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comments4.xml" ContentType="application/vnd.openxmlformats-officedocument.spreadsheetml.comments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comments3.xml" ContentType="application/vnd.openxmlformats-officedocument.spreadsheetml.comments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5" yWindow="-15" windowWidth="13785" windowHeight="12780" tabRatio="943" firstSheet="9" activeTab="9"/>
  </bookViews>
  <sheets>
    <sheet name="2024 Калуга+область транспортир" sheetId="118" state="hidden" r:id="rId1"/>
    <sheet name="2024 Калуга+область перекачка" sheetId="117" state="hidden" r:id="rId2"/>
    <sheet name="2024 Калуга+область очистка" sheetId="116" state="hidden" r:id="rId3"/>
    <sheet name="к Пояснительной" sheetId="115" state="hidden" r:id="rId4"/>
    <sheet name="объемы Калуга ГРАБЦЕВО" sheetId="122" state="hidden" r:id="rId5"/>
    <sheet name="Населенные пункты_тариф_last" sheetId="123" state="hidden" r:id="rId6"/>
    <sheet name="Населенные пункты_тариф" sheetId="110" state="hidden" r:id="rId7"/>
    <sheet name="Амортизация" sheetId="99" state="hidden" r:id="rId8"/>
    <sheet name="Износ" sheetId="94" state="hidden" r:id="rId9"/>
    <sheet name="Мероприятия_и_источники" sheetId="28" r:id="rId10"/>
    <sheet name="Ист-ки_в_текст" sheetId="32" state="hidden" r:id="rId11"/>
    <sheet name="расчет_тарифа_В_" sheetId="92" r:id="rId12"/>
    <sheet name="расчет_тарифа_К_" sheetId="111" r:id="rId13"/>
    <sheet name="НВВ_очистка+трансп-ка_" sheetId="121" state="hidden" r:id="rId14"/>
    <sheet name="НВВ_очистка_" sheetId="120" state="hidden" r:id="rId15"/>
    <sheet name="Прил.1 Перечень по подключению" sheetId="63" state="hidden" r:id="rId16"/>
    <sheet name="Пр.3 Мероп по строительству" sheetId="64" state="hidden" r:id="rId17"/>
    <sheet name="Реконструкция ВОДА" sheetId="83" state="hidden" r:id="rId18"/>
    <sheet name="Реконструкция КАНАЛ" sheetId="84" state="hidden" r:id="rId19"/>
    <sheet name="Строительство" sheetId="88" state="hidden" r:id="rId20"/>
    <sheet name="Пр.4 Мероприятия по ГО и ЧС" sheetId="65" state="hidden" r:id="rId21"/>
    <sheet name="Пр 5.Мер-я по кап.влож.в ОС " sheetId="66" state="hidden" r:id="rId22"/>
    <sheet name="Заявители до 40 куб.Калуга" sheetId="69" state="hidden" r:id="rId23"/>
    <sheet name="Старт" sheetId="89" state="hidden" r:id="rId24"/>
    <sheet name="Водоприбор" sheetId="85" state="hidden" r:id="rId25"/>
    <sheet name="Минскстрой_Малиновка-2" sheetId="70" state="hidden" r:id="rId26"/>
    <sheet name="Белорус.дом" sheetId="71" state="hidden" r:id="rId27"/>
    <sheet name="УКС_Онкоцентр" sheetId="72" state="hidden" r:id="rId28"/>
    <sheet name="ЗАО СК Правый берег, квартал №5" sheetId="73" state="hidden" r:id="rId29"/>
    <sheet name="АО_ЦентрСпецСтрой" sheetId="74" state="hidden" r:id="rId30"/>
    <sheet name="ИП_Грабцево_К" sheetId="87" state="hidden" r:id="rId31"/>
    <sheet name="ИП Грабцево_В" sheetId="75" state="hidden" r:id="rId32"/>
    <sheet name="КалугаЭлитДевелопмент" sheetId="76" state="hidden" r:id="rId33"/>
    <sheet name="ООО «Минскстройэкспорт»Драйвер" sheetId="77" state="hidden" r:id="rId34"/>
    <sheet name="КОШЕЛЕВ" sheetId="86" state="hidden" r:id="rId35"/>
    <sheet name="Комета" sheetId="78" state="hidden" r:id="rId36"/>
    <sheet name="УКС_ПОЛИКЛИНИКА" sheetId="79" state="hidden" r:id="rId37"/>
    <sheet name="Прошкола" sheetId="80" state="hidden" r:id="rId38"/>
    <sheet name="Калугагазстрой ул. Ермоловская" sheetId="81" state="hidden" r:id="rId39"/>
    <sheet name="Азимут" sheetId="90" state="hidden" r:id="rId40"/>
    <sheet name="КОШЕЛЕВ_НОВОЕ" sheetId="98" state="hidden" r:id="rId41"/>
    <sheet name="Лидер_Бетон" sheetId="101" state="hidden" r:id="rId42"/>
    <sheet name="Уайт Групп" sheetId="102" state="hidden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xlnm._FilterDatabase" localSheetId="7" hidden="1">Амортизация!$AE$1:$AE$110</definedName>
    <definedName name="_xlnm._FilterDatabase" localSheetId="22" hidden="1">'Заявители до 40 куб.Калуга'!$Q$3:$Q$154</definedName>
    <definedName name="_xlnm._FilterDatabase" localSheetId="8" hidden="1">Износ!$D$1:$D$7520</definedName>
    <definedName name="_xlnm._FilterDatabase" localSheetId="9" hidden="1">Мероприятия_и_источники!$A$6:$X$572</definedName>
    <definedName name="_xlnm._FilterDatabase" localSheetId="6" hidden="1">'Населенные пункты_тариф'!$A$1:$M$1</definedName>
    <definedName name="_xlnm._FilterDatabase" localSheetId="5" hidden="1">'Населенные пункты_тариф_last'!$A$9:$I$95</definedName>
    <definedName name="_xlnm._FilterDatabase" localSheetId="16" hidden="1">'Пр.3 Мероп по строительству'!$E$1:$E$190</definedName>
    <definedName name="_xlnm._FilterDatabase" localSheetId="15" hidden="1">'Прил.1 Перечень по подключению'!$A$10:$H$31</definedName>
    <definedName name="_xlnm._FilterDatabase" localSheetId="17" hidden="1">'Реконструкция ВОДА'!$D$1:$D$76</definedName>
    <definedName name="OLE_LINK1" localSheetId="9">Мероприятия_и_источники!$B$52</definedName>
    <definedName name="Z_03637091_85B9_41AF_8B09_8D0988B5F52E_.wvu.FilterData" localSheetId="9" hidden="1">Мероприятия_и_источники!$A$5:$I$5</definedName>
    <definedName name="Z_19800DF3_FE8D_4312_B707_B7F827CFE702_.wvu.FilterData" localSheetId="9" hidden="1">Мероприятия_и_источники!$A$5:$I$5</definedName>
    <definedName name="Z_33D32264_8B78_4F9A_9225_F24BDB8376AE_.wvu.FilterData" localSheetId="9" hidden="1">Мероприятия_и_источники!$A$5:$I$5</definedName>
    <definedName name="Z_41451C22_68C1_4405_9590_7B128FBB9FD3_.wvu.FilterData" localSheetId="9" hidden="1">Мероприятия_и_источники!$A$5:$I$5</definedName>
    <definedName name="Z_48B76CE8_74E6_40F7_B530_215224FD9278_.wvu.FilterData" localSheetId="9" hidden="1">Мероприятия_и_источники!$A$5:$I$5</definedName>
    <definedName name="Z_4B71BDC2_6AB4_4EAC_B0C5_36EAD15DFD8E_.wvu.FilterData" localSheetId="9" hidden="1">Мероприятия_и_источники!$A$5:$I$5</definedName>
    <definedName name="Z_4B71BDC2_6AB4_4EAC_B0C5_36EAD15DFD8E_.wvu.PrintArea" localSheetId="9" hidden="1">Мероприятия_и_источники!$A$1:$I$436</definedName>
    <definedName name="Z_4BF460DB_BC9B_497B_928B_A692558A62F3_.wvu.FilterData" localSheetId="9" hidden="1">Мероприятия_и_источники!$A$5:$I$5</definedName>
    <definedName name="Z_54600256_373F_444D_8FB7_03B5EBD6D47B_.wvu.FilterData" localSheetId="9" hidden="1">Мероприятия_и_источники!$A$5:$I$5</definedName>
    <definedName name="Z_598A5B1C_8699_45F2_B97D_686CD45E2A5E_.wvu.Rows" localSheetId="2" hidden="1">'2024 Калуга+область очистка'!$A$144:$IV$173</definedName>
    <definedName name="Z_598A5B1C_8699_45F2_B97D_686CD45E2A5E_.wvu.Rows" localSheetId="1" hidden="1">'2024 Калуга+область перекачка'!$A$144:$IV$173</definedName>
    <definedName name="Z_598A5B1C_8699_45F2_B97D_686CD45E2A5E_.wvu.Rows" localSheetId="0" hidden="1">'2024 Калуга+область транспортир'!$A$144:$IV$173</definedName>
    <definedName name="Z_5CADEC34_AE4E_4E11_A7F1_24FD7050C367_.wvu.FilterData" localSheetId="9" hidden="1">Мероприятия_и_источники!$A$5:$I$5</definedName>
    <definedName name="Z_5E2C02EB_06D5_4AD7_A09F_1ACDC73812FE_.wvu.FilterData" localSheetId="9" hidden="1">Мероприятия_и_источники!$A$5:$I$5</definedName>
    <definedName name="Z_5E2C02EB_06D5_4AD7_A09F_1ACDC73812FE_.wvu.PrintArea" localSheetId="9" hidden="1">Мероприятия_и_источники!$A$1:$I$436</definedName>
    <definedName name="Z_61593981_D416_4203_9101_0CE7D329C020_.wvu.FilterData" localSheetId="9" hidden="1">Мероприятия_и_источники!$A$5:$I$5</definedName>
    <definedName name="Z_7C9E737E_8913_4DA7_B527_3CE69D5E842C_.wvu.FilterData" localSheetId="9" hidden="1">Мероприятия_и_источники!$A$5:$I$5</definedName>
    <definedName name="Z_8926D0EC_3C67_473E_9637_C1939A3FA581_.wvu.FilterData" localSheetId="9" hidden="1">Мероприятия_и_источники!$A$5:$I$5</definedName>
    <definedName name="Z_8965283E_5397_4EF2_B73F_386AF1C4FB4E_.wvu.FilterData" localSheetId="9" hidden="1">Мероприятия_и_источники!$A$5:$I$5</definedName>
    <definedName name="Z_97593BCC_5EBB_47E8_BBCD_1ED4BCE6C290_.wvu.FilterData" localSheetId="9" hidden="1">Мероприятия_и_источники!$A$5:$I$5</definedName>
    <definedName name="Z_B07DCFE4_B6E3_4DBB_B441_3F482E1D968F_.wvu.FilterData" localSheetId="9" hidden="1">Мероприятия_и_источники!$A$5:$I$5</definedName>
    <definedName name="Z_B24957AD_F910_440B_89AC_8698276E2CA8_.wvu.FilterData" localSheetId="9" hidden="1">Мероприятия_и_источники!$A$5:$I$5</definedName>
    <definedName name="Z_D3697159_B361_410B_9080_8D95B85FDC7D_.wvu.FilterData" localSheetId="9" hidden="1">Мероприятия_и_источники!$A$5:$I$5</definedName>
    <definedName name="Z_DDBD8AB1_F2C4_49FD_ABAD_830914B51D6A_.wvu.FilterData" localSheetId="9" hidden="1">Мероприятия_и_источники!$A$5:$I$5</definedName>
    <definedName name="Z_E40A9D94_6C9D_430F_9EED_CA9046B854EE_.wvu.FilterData" localSheetId="9" hidden="1">Мероприятия_и_источники!$A$5:$I$5</definedName>
    <definedName name="Z_E6329E2C_F76C_4550_9DD8_14E46FAB416A_.wvu.FilterData" localSheetId="9" hidden="1">Мероприятия_и_источники!$A$5:$I$5</definedName>
    <definedName name="Z_EE76B0FF_A7E0_4C0B_AD3C_E1E894858379_.wvu.FilterData" localSheetId="9" hidden="1">Мероприятия_и_источники!$A$5:$I$5</definedName>
    <definedName name="Z_EF849E85_3A08_4703_84D4_8F15D7CF0EB6_.wvu.Rows" localSheetId="2" hidden="1">'2024 Калуга+область очистка'!$A$144:$IV$173</definedName>
    <definedName name="Z_EF849E85_3A08_4703_84D4_8F15D7CF0EB6_.wvu.Rows" localSheetId="1" hidden="1">'2024 Калуга+область перекачка'!$A$144:$IV$173</definedName>
    <definedName name="Z_EF849E85_3A08_4703_84D4_8F15D7CF0EB6_.wvu.Rows" localSheetId="0" hidden="1">'2024 Калуга+область транспортир'!$A$144:$IV$173</definedName>
    <definedName name="Z_F1B8FAA6_A9FA_4EBB_AB4A_403CFB27E570_.wvu.FilterData" localSheetId="9" hidden="1">Мероприятия_и_источники!$A$5:$I$5</definedName>
    <definedName name="Z_F2CD39B5_8E49_4BE6_96CB_72CAB7D7785C_.wvu.FilterData" localSheetId="9" hidden="1">Мероприятия_и_источники!$A$5:$I$5</definedName>
    <definedName name="Z_F63CCC89_7D4E_412E_A2B2_9F019C87C131_.wvu.FilterData" localSheetId="9" hidden="1">Мероприятия_и_источники!$A$5:$I$5</definedName>
    <definedName name="_xlnm.Print_Titles" localSheetId="2">'2024 Калуга+область очистка'!$A$2:$IV$3</definedName>
    <definedName name="_xlnm.Print_Titles" localSheetId="1">'2024 Калуга+область перекачка'!$A$2:$IV$3</definedName>
    <definedName name="_xlnm.Print_Titles" localSheetId="0">'2024 Калуга+область транспортир'!$A$2:$IV$3</definedName>
    <definedName name="_xlnm.Print_Titles" localSheetId="9">Мероприятия_и_источники!$4:$5</definedName>
    <definedName name="_xlnm.Print_Titles" localSheetId="6">'Населенные пункты_тариф'!$1:$1</definedName>
    <definedName name="_xlnm.Print_Titles" localSheetId="5">'Населенные пункты_тариф_last'!$8:$9</definedName>
    <definedName name="_xlnm.Print_Titles" localSheetId="14">НВВ_очистка_!$A$2:$IS$4</definedName>
    <definedName name="_xlnm.Print_Titles" localSheetId="13">'НВВ_очистка+трансп-ка_'!$A$2:$IV$4</definedName>
    <definedName name="_xlnm.Print_Titles" localSheetId="16">'Пр.3 Мероп по строительству'!$10:$10</definedName>
    <definedName name="_xlnm.Print_Titles" localSheetId="11">расчет_тарифа_В_!$2:$3</definedName>
    <definedName name="_xlnm.Print_Titles" localSheetId="12">расчет_тарифа_К_!$2:$4</definedName>
    <definedName name="_xlnm.Print_Area" localSheetId="2">'2024 Калуга+область очистка'!$B$1:$P$283</definedName>
    <definedName name="_xlnm.Print_Area" localSheetId="1">'2024 Калуга+область перекачка'!$B$1:$P$283</definedName>
    <definedName name="_xlnm.Print_Area" localSheetId="0">'2024 Калуга+область транспортир'!$B$1:$P$283</definedName>
    <definedName name="_xlnm.Print_Area" localSheetId="39">Азимут!$A$1:$AZ$101</definedName>
    <definedName name="_xlnm.Print_Area" localSheetId="7">Амортизация!$A$1:$AL$110</definedName>
    <definedName name="_xlnm.Print_Area" localSheetId="29">АО_ЦентрСпецСтрой!$A$1:$L$65</definedName>
    <definedName name="_xlnm.Print_Area" localSheetId="26">Белорус.дом!$A$1:$F$66</definedName>
    <definedName name="_xlnm.Print_Area" localSheetId="24">Водоприбор!$A$4:$AC$20</definedName>
    <definedName name="_xlnm.Print_Area" localSheetId="28">'ЗАО СК Правый берег, квартал №5'!$A$1:$F$53</definedName>
    <definedName name="_xlnm.Print_Area" localSheetId="31">'ИП Грабцево_В'!$A$1:$J$53</definedName>
    <definedName name="_xlnm.Print_Area" localSheetId="30">ИП_Грабцево_К!$A$1:$L$64</definedName>
    <definedName name="_xlnm.Print_Area" localSheetId="10">'Ист-ки_в_текст'!$B$2:$H$33</definedName>
    <definedName name="_xlnm.Print_Area" localSheetId="3">'к Пояснительной'!$A$1:$S$91</definedName>
    <definedName name="_xlnm.Print_Area" localSheetId="38">'Калугагазстрой ул. Ермоловская'!$A$1:$F$59</definedName>
    <definedName name="_xlnm.Print_Area" localSheetId="32">КалугаЭлитДевелопмент!$A$1:$G$53</definedName>
    <definedName name="_xlnm.Print_Area" localSheetId="35">Комета!$A$1:$L$53</definedName>
    <definedName name="_xlnm.Print_Area" localSheetId="34">КОШЕЛЕВ!$A$1:$L$53</definedName>
    <definedName name="_xlnm.Print_Area" localSheetId="40">КОШЕЛЕВ_НОВОЕ!$B$1:$CO$100</definedName>
    <definedName name="_xlnm.Print_Area" localSheetId="41">Лидер_Бетон!$B$1:$CO$100</definedName>
    <definedName name="_xlnm.Print_Area" localSheetId="9">Мероприятия_и_источники!$A$1:$O$572</definedName>
    <definedName name="_xlnm.Print_Area" localSheetId="25">'Минскстрой_Малиновка-2'!$A$1:$F$59</definedName>
    <definedName name="_xlnm.Print_Area" localSheetId="6">'Населенные пункты_тариф'!$A$1:$I$93</definedName>
    <definedName name="_xlnm.Print_Area" localSheetId="5">'Населенные пункты_тариф_last'!$A$1:$Q$110</definedName>
    <definedName name="_xlnm.Print_Area" localSheetId="14">НВВ_очистка_!$A$1:$AB$288</definedName>
    <definedName name="_xlnm.Print_Area" localSheetId="13">'НВВ_очистка+трансп-ка_'!$A$1:$AE$308</definedName>
    <definedName name="_xlnm.Print_Area" localSheetId="4">'объемы Калуга ГРАБЦЕВО'!$A$1:$L$99</definedName>
    <definedName name="_xlnm.Print_Area" localSheetId="33">'ООО «Минскстройэкспорт»Драйвер'!$A$1:$L$64</definedName>
    <definedName name="_xlnm.Print_Area" localSheetId="21">'Пр 5.Мер-я по кап.влож.в ОС '!$A$1:$D$21</definedName>
    <definedName name="_xlnm.Print_Area" localSheetId="16">'Пр.3 Мероп по строительству'!$A$1:$K$187</definedName>
    <definedName name="_xlnm.Print_Area" localSheetId="20">'Пр.4 Мероприятия по ГО и ЧС'!$A$1:$C$19</definedName>
    <definedName name="_xlnm.Print_Area" localSheetId="15">'Прил.1 Перечень по подключению'!$A$1:$G$31</definedName>
    <definedName name="_xlnm.Print_Area" localSheetId="37">Прошкола!$A$1:$L$55</definedName>
    <definedName name="_xlnm.Print_Area" localSheetId="11">расчет_тарифа_В_!$A$2:$Y$585</definedName>
    <definedName name="_xlnm.Print_Area" localSheetId="12">расчет_тарифа_К_!$A$1:$AE$308</definedName>
    <definedName name="_xlnm.Print_Area" localSheetId="17">'Реконструкция ВОДА'!$A$1:$X$27</definedName>
    <definedName name="_xlnm.Print_Area" localSheetId="18">'Реконструкция КАНАЛ'!$A$1:$AB$24</definedName>
    <definedName name="_xlnm.Print_Area" localSheetId="23">Старт!$A$1:$AH$23</definedName>
    <definedName name="_xlnm.Print_Area" localSheetId="19">Строительство!$B$1:$Y$27</definedName>
    <definedName name="_xlnm.Print_Area" localSheetId="42">'Уайт Групп'!$A$1:$CW$100</definedName>
    <definedName name="_xlnm.Print_Area" localSheetId="27">УКС_Онкоцентр!$A$1:$F$66</definedName>
    <definedName name="_xlnm.Print_Area" localSheetId="36">УКС_ПОЛИКЛИНИКА!$A$1:$F$53</definedName>
    <definedName name="СписокМО" localSheetId="5">[1]СписокМО!$C$2:$C$280</definedName>
    <definedName name="СписокМО">[2]СписокМО!$C$2:$C$280</definedName>
  </definedNames>
  <calcPr calcId="125725"/>
  <customWorkbookViews>
    <customWorkbookView name="t.savelieva - Личное представление" guid="{4B71BDC2-6AB4-4EAC-B0C5-36EAD15DFD8E}" mergeInterval="0" personalView="1" maximized="1" xWindow="1" yWindow="1" windowWidth="1280" windowHeight="803" activeSheetId="1"/>
    <customWorkbookView name="L.Legkova - Личное представление" guid="{5E2C02EB-06D5-4AD7-A09F-1ACDC73812FE}" mergeInterval="0" personalView="1" maximized="1" xWindow="1" yWindow="1" windowWidth="1440" windowHeight="724" activeSheetId="1"/>
  </customWorkbookViews>
</workbook>
</file>

<file path=xl/calcChain.xml><?xml version="1.0" encoding="utf-8"?>
<calcChain xmlns="http://schemas.openxmlformats.org/spreadsheetml/2006/main">
  <c r="I50" i="122"/>
  <c r="J50"/>
  <c r="J43" s="1"/>
  <c r="K50"/>
  <c r="L50"/>
  <c r="H50"/>
  <c r="I44"/>
  <c r="J44"/>
  <c r="K44"/>
  <c r="L44"/>
  <c r="I47"/>
  <c r="J47"/>
  <c r="K47"/>
  <c r="L47"/>
  <c r="H47"/>
  <c r="H44"/>
  <c r="H52"/>
  <c r="H46"/>
  <c r="I96"/>
  <c r="I98" s="1"/>
  <c r="J96"/>
  <c r="K96"/>
  <c r="L96"/>
  <c r="H96"/>
  <c r="I90"/>
  <c r="J90"/>
  <c r="J92" s="1"/>
  <c r="K90"/>
  <c r="L90"/>
  <c r="H90"/>
  <c r="H92" s="1"/>
  <c r="I93"/>
  <c r="J93"/>
  <c r="K93"/>
  <c r="L93"/>
  <c r="H93"/>
  <c r="L98"/>
  <c r="K98"/>
  <c r="J98"/>
  <c r="H98"/>
  <c r="I92"/>
  <c r="L92"/>
  <c r="K92"/>
  <c r="H88" i="115"/>
  <c r="H91"/>
  <c r="H90"/>
  <c r="G86"/>
  <c r="I43" i="122"/>
  <c r="K43"/>
  <c r="H75"/>
  <c r="H74"/>
  <c r="H29"/>
  <c r="H28"/>
  <c r="L43" l="1"/>
  <c r="H43"/>
  <c r="L89"/>
  <c r="H89"/>
  <c r="J89"/>
  <c r="I89"/>
  <c r="K89"/>
  <c r="L75"/>
  <c r="K75"/>
  <c r="J75"/>
  <c r="I75"/>
  <c r="G75"/>
  <c r="F75"/>
  <c r="E75"/>
  <c r="D75"/>
  <c r="C75"/>
  <c r="B75"/>
  <c r="L74"/>
  <c r="K74"/>
  <c r="J74"/>
  <c r="I74"/>
  <c r="G74"/>
  <c r="F74"/>
  <c r="E74"/>
  <c r="C74"/>
  <c r="B74"/>
  <c r="E29"/>
  <c r="D29"/>
  <c r="C29"/>
  <c r="C36" s="1"/>
  <c r="B29"/>
  <c r="E28"/>
  <c r="D28"/>
  <c r="C28"/>
  <c r="B28"/>
  <c r="L29"/>
  <c r="K29"/>
  <c r="J29"/>
  <c r="I29"/>
  <c r="L28"/>
  <c r="K28"/>
  <c r="J28"/>
  <c r="I28"/>
  <c r="G91" i="115"/>
  <c r="G88"/>
  <c r="G90"/>
  <c r="C35" i="122" l="1"/>
  <c r="C33" s="1"/>
  <c r="D35"/>
  <c r="D33" s="1"/>
  <c r="F13" i="123"/>
  <c r="J13"/>
  <c r="J100" s="1"/>
  <c r="F14"/>
  <c r="F18"/>
  <c r="F19"/>
  <c r="J19"/>
  <c r="F52"/>
  <c r="F57"/>
  <c r="F58"/>
  <c r="J58"/>
  <c r="F61"/>
  <c r="F63"/>
  <c r="F72"/>
  <c r="F73"/>
  <c r="F79"/>
  <c r="F80"/>
  <c r="F100"/>
  <c r="G100"/>
  <c r="K100"/>
  <c r="L100"/>
  <c r="M100"/>
  <c r="N100"/>
  <c r="O100"/>
  <c r="P100"/>
  <c r="Q100"/>
  <c r="E96" i="122" l="1"/>
  <c r="B47"/>
  <c r="D93" l="1"/>
  <c r="D47"/>
  <c r="C93"/>
  <c r="F96"/>
  <c r="G96"/>
  <c r="E91"/>
  <c r="F91"/>
  <c r="G91"/>
  <c r="E47" l="1"/>
  <c r="D44" l="1"/>
  <c r="C43"/>
  <c r="F90" l="1"/>
  <c r="G90"/>
  <c r="E44"/>
  <c r="G46"/>
  <c r="G52"/>
  <c r="E50"/>
  <c r="G47"/>
  <c r="B43" l="1"/>
  <c r="E48"/>
  <c r="E43"/>
  <c r="D43" l="1"/>
  <c r="F115" l="1"/>
  <c r="G115"/>
  <c r="E93"/>
  <c r="E95" s="1"/>
  <c r="C98"/>
  <c r="C96" s="1"/>
  <c r="B93"/>
  <c r="B94" s="1"/>
  <c r="E90"/>
  <c r="B35"/>
  <c r="C79"/>
  <c r="B79"/>
  <c r="B36"/>
  <c r="E33"/>
  <c r="E35" s="1"/>
  <c r="F28"/>
  <c r="G28"/>
  <c r="B33"/>
  <c r="D36"/>
  <c r="E36"/>
  <c r="F29"/>
  <c r="G29"/>
  <c r="L25"/>
  <c r="K25"/>
  <c r="J25"/>
  <c r="I25"/>
  <c r="H25"/>
  <c r="G25"/>
  <c r="F25"/>
  <c r="E25"/>
  <c r="D25"/>
  <c r="C25"/>
  <c r="B25"/>
  <c r="L23"/>
  <c r="K23"/>
  <c r="J23"/>
  <c r="I23"/>
  <c r="H23"/>
  <c r="G23"/>
  <c r="F23"/>
  <c r="E23"/>
  <c r="D23"/>
  <c r="C23"/>
  <c r="B23"/>
  <c r="L21"/>
  <c r="K21"/>
  <c r="J21"/>
  <c r="I21"/>
  <c r="H21"/>
  <c r="G21"/>
  <c r="F21"/>
  <c r="E21"/>
  <c r="D21"/>
  <c r="C21"/>
  <c r="B21"/>
  <c r="L12"/>
  <c r="K12"/>
  <c r="J12"/>
  <c r="I12"/>
  <c r="H12"/>
  <c r="G12"/>
  <c r="F12"/>
  <c r="E12"/>
  <c r="D12"/>
  <c r="C12"/>
  <c r="B12"/>
  <c r="F33"/>
  <c r="G33"/>
  <c r="F36"/>
  <c r="G36"/>
  <c r="B3"/>
  <c r="E3"/>
  <c r="E71"/>
  <c r="E64"/>
  <c r="E56"/>
  <c r="C64"/>
  <c r="D64"/>
  <c r="F64"/>
  <c r="G64"/>
  <c r="L64"/>
  <c r="B64"/>
  <c r="C71"/>
  <c r="D71"/>
  <c r="F71"/>
  <c r="G71"/>
  <c r="H71"/>
  <c r="I71"/>
  <c r="J71"/>
  <c r="K71"/>
  <c r="L71"/>
  <c r="B71"/>
  <c r="C3"/>
  <c r="D3"/>
  <c r="B56"/>
  <c r="C56"/>
  <c r="D60"/>
  <c r="D59"/>
  <c r="D61"/>
  <c r="D57"/>
  <c r="D74" l="1"/>
  <c r="E79"/>
  <c r="H115"/>
  <c r="E89"/>
  <c r="E115" s="1"/>
  <c r="D89"/>
  <c r="J115"/>
  <c r="J64"/>
  <c r="K64"/>
  <c r="D82"/>
  <c r="H64"/>
  <c r="I64"/>
  <c r="L115"/>
  <c r="I115"/>
  <c r="K115"/>
  <c r="B82"/>
  <c r="C82"/>
  <c r="D79"/>
  <c r="E82"/>
  <c r="C89"/>
  <c r="C115" s="1"/>
  <c r="B89"/>
  <c r="B73"/>
  <c r="B76" s="1"/>
  <c r="B27"/>
  <c r="B30" s="1"/>
  <c r="E27"/>
  <c r="D27"/>
  <c r="D30" s="1"/>
  <c r="C27"/>
  <c r="E73"/>
  <c r="E76" s="1"/>
  <c r="C73"/>
  <c r="D56"/>
  <c r="D73" s="1"/>
  <c r="D76" s="1"/>
  <c r="C85" l="1"/>
  <c r="C76"/>
  <c r="E39"/>
  <c r="E40" s="1"/>
  <c r="E30"/>
  <c r="C40"/>
  <c r="C30"/>
  <c r="C39" s="1"/>
  <c r="C32" s="1"/>
  <c r="B85"/>
  <c r="E85"/>
  <c r="D78"/>
  <c r="D99" s="1"/>
  <c r="D115"/>
  <c r="B39"/>
  <c r="B40" s="1"/>
  <c r="B32"/>
  <c r="B53" s="1"/>
  <c r="E32"/>
  <c r="E53" s="1"/>
  <c r="C53"/>
  <c r="B78"/>
  <c r="B99" s="1"/>
  <c r="B115"/>
  <c r="D39"/>
  <c r="D85"/>
  <c r="E78"/>
  <c r="E99" s="1"/>
  <c r="C78"/>
  <c r="C99" s="1"/>
  <c r="F50"/>
  <c r="F44"/>
  <c r="F47"/>
  <c r="D40" l="1"/>
  <c r="D32"/>
  <c r="D53" s="1"/>
  <c r="F43"/>
  <c r="G50"/>
  <c r="G44"/>
  <c r="F39"/>
  <c r="F32" s="1"/>
  <c r="G39"/>
  <c r="G32" s="1"/>
  <c r="G43" l="1"/>
  <c r="F56" l="1"/>
  <c r="F73" s="1"/>
  <c r="F76" s="1"/>
  <c r="G56"/>
  <c r="G73" s="1"/>
  <c r="G76" s="1"/>
  <c r="H56"/>
  <c r="H73" s="1"/>
  <c r="H76" s="1"/>
  <c r="I56"/>
  <c r="I73" s="1"/>
  <c r="I76" s="1"/>
  <c r="J56"/>
  <c r="J73" s="1"/>
  <c r="J76" s="1"/>
  <c r="K56"/>
  <c r="K73" s="1"/>
  <c r="K76" s="1"/>
  <c r="L56"/>
  <c r="L73" s="1"/>
  <c r="L76" s="1"/>
  <c r="F3"/>
  <c r="F27" s="1"/>
  <c r="G3"/>
  <c r="G27" s="1"/>
  <c r="H3"/>
  <c r="H27" s="1"/>
  <c r="H30" s="1"/>
  <c r="I3"/>
  <c r="I27" s="1"/>
  <c r="I30" s="1"/>
  <c r="J3"/>
  <c r="J27" s="1"/>
  <c r="J30" s="1"/>
  <c r="K3"/>
  <c r="K27" s="1"/>
  <c r="K30" s="1"/>
  <c r="L3"/>
  <c r="L27" s="1"/>
  <c r="L30" s="1"/>
  <c r="H507" i="92"/>
  <c r="K382"/>
  <c r="K361"/>
  <c r="K335"/>
  <c r="N283" i="120"/>
  <c r="Q272"/>
  <c r="P272"/>
  <c r="L53" i="122" l="1"/>
  <c r="H53"/>
  <c r="I53"/>
  <c r="F99"/>
  <c r="J53"/>
  <c r="F30"/>
  <c r="F53"/>
  <c r="G99"/>
  <c r="K53"/>
  <c r="G30"/>
  <c r="G53"/>
  <c r="J99"/>
  <c r="K99"/>
  <c r="I99"/>
  <c r="L99"/>
  <c r="H99"/>
  <c r="S272" i="120"/>
  <c r="R272"/>
  <c r="T272" s="1"/>
  <c r="Q47" i="121"/>
  <c r="W101"/>
  <c r="R114"/>
  <c r="X211"/>
  <c r="O78"/>
  <c r="T189"/>
  <c r="T48" i="111"/>
  <c r="T216"/>
  <c r="R22"/>
  <c r="Q98"/>
  <c r="T75" i="121"/>
  <c r="W67"/>
  <c r="T26"/>
  <c r="Q188"/>
  <c r="AA56" i="111"/>
  <c r="Q218" i="121"/>
  <c r="R58"/>
  <c r="Q57"/>
  <c r="T71" i="111"/>
  <c r="Q16" i="121"/>
  <c r="U272" i="120"/>
  <c r="W272" s="1"/>
  <c r="T124" i="121"/>
  <c r="AC14" i="120"/>
  <c r="AC15"/>
  <c r="AC30"/>
  <c r="AC34"/>
  <c r="AC40"/>
  <c r="AC43"/>
  <c r="AC49"/>
  <c r="AC53"/>
  <c r="AC60"/>
  <c r="AC66"/>
  <c r="AC81"/>
  <c r="AC86"/>
  <c r="AC94"/>
  <c r="AC95"/>
  <c r="AC117"/>
  <c r="AC122"/>
  <c r="AC131"/>
  <c r="AC132"/>
  <c r="AC137"/>
  <c r="AC138"/>
  <c r="AC140"/>
  <c r="AC141"/>
  <c r="AC145"/>
  <c r="AC146"/>
  <c r="AC148"/>
  <c r="AC149"/>
  <c r="AC151"/>
  <c r="AC152"/>
  <c r="AC154"/>
  <c r="AC155"/>
  <c r="AC157"/>
  <c r="AC158"/>
  <c r="AC161"/>
  <c r="AC162"/>
  <c r="AC164"/>
  <c r="AC165"/>
  <c r="AC167"/>
  <c r="AC168"/>
  <c r="AC170"/>
  <c r="AC171"/>
  <c r="AC173"/>
  <c r="AC174"/>
  <c r="AC182"/>
  <c r="AC183"/>
  <c r="AC185"/>
  <c r="AC186"/>
  <c r="AC187"/>
  <c r="AC191"/>
  <c r="AC193"/>
  <c r="AC194"/>
  <c r="AC196"/>
  <c r="AC197"/>
  <c r="AC198"/>
  <c r="AC199"/>
  <c r="AC200"/>
  <c r="AC205"/>
  <c r="AC206"/>
  <c r="AC209"/>
  <c r="AC210"/>
  <c r="AC213"/>
  <c r="AC214"/>
  <c r="AC217"/>
  <c r="AC219"/>
  <c r="AC223"/>
  <c r="AC224"/>
  <c r="AC225"/>
  <c r="AC227"/>
  <c r="AC228"/>
  <c r="AC229"/>
  <c r="AC231"/>
  <c r="AC234"/>
  <c r="AC235"/>
  <c r="AC241"/>
  <c r="AC244"/>
  <c r="AC245"/>
  <c r="AC246"/>
  <c r="AC247"/>
  <c r="AC248"/>
  <c r="AC249"/>
  <c r="AC250"/>
  <c r="AC251"/>
  <c r="AC254"/>
  <c r="AC255"/>
  <c r="AC257"/>
  <c r="AC258"/>
  <c r="AC259"/>
  <c r="AC261"/>
  <c r="AC262"/>
  <c r="AC263"/>
  <c r="AC264"/>
  <c r="AC265"/>
  <c r="AC267"/>
  <c r="AC268"/>
  <c r="AC269"/>
  <c r="AC270"/>
  <c r="AC271"/>
  <c r="Q207"/>
  <c r="Z56" i="121"/>
  <c r="X56"/>
  <c r="W56"/>
  <c r="U56"/>
  <c r="T56"/>
  <c r="U55"/>
  <c r="T55"/>
  <c r="R56"/>
  <c r="Q56"/>
  <c r="R55"/>
  <c r="Q55"/>
  <c r="O56"/>
  <c r="N56"/>
  <c r="O55"/>
  <c r="N55"/>
  <c r="O207"/>
  <c r="Q207" s="1"/>
  <c r="N207"/>
  <c r="O47"/>
  <c r="N47"/>
  <c r="Q44"/>
  <c r="O44"/>
  <c r="N44"/>
  <c r="AA272"/>
  <c r="Q272"/>
  <c r="O272"/>
  <c r="N272"/>
  <c r="R240"/>
  <c r="Q240"/>
  <c r="O240"/>
  <c r="N240"/>
  <c r="R237"/>
  <c r="Q237"/>
  <c r="O237"/>
  <c r="O236" s="1"/>
  <c r="N237"/>
  <c r="T216"/>
  <c r="T211"/>
  <c r="T179"/>
  <c r="R222"/>
  <c r="Q222"/>
  <c r="R216"/>
  <c r="Q216"/>
  <c r="R215"/>
  <c r="Q215"/>
  <c r="R211"/>
  <c r="Q211"/>
  <c r="R205"/>
  <c r="Q205"/>
  <c r="Q204"/>
  <c r="Q202"/>
  <c r="Q201"/>
  <c r="R189"/>
  <c r="Q189"/>
  <c r="R179"/>
  <c r="Q179"/>
  <c r="Q178"/>
  <c r="O222"/>
  <c r="N222"/>
  <c r="O218"/>
  <c r="N218"/>
  <c r="O216"/>
  <c r="N216"/>
  <c r="O215"/>
  <c r="N215"/>
  <c r="O211"/>
  <c r="N211"/>
  <c r="O208"/>
  <c r="N208"/>
  <c r="O205"/>
  <c r="N205"/>
  <c r="O204"/>
  <c r="N204"/>
  <c r="O202"/>
  <c r="N202"/>
  <c r="O201"/>
  <c r="N201"/>
  <c r="O189"/>
  <c r="N189"/>
  <c r="O188"/>
  <c r="N188"/>
  <c r="O179"/>
  <c r="N179"/>
  <c r="O178"/>
  <c r="N178"/>
  <c r="O176"/>
  <c r="N176"/>
  <c r="O177"/>
  <c r="N177"/>
  <c r="T134"/>
  <c r="R134"/>
  <c r="Q134"/>
  <c r="T128"/>
  <c r="R128"/>
  <c r="Q128"/>
  <c r="R127"/>
  <c r="Q127"/>
  <c r="T112"/>
  <c r="T111"/>
  <c r="T108"/>
  <c r="U101"/>
  <c r="R124"/>
  <c r="Q124"/>
  <c r="R123"/>
  <c r="Q123"/>
  <c r="Q114"/>
  <c r="R112"/>
  <c r="Q112"/>
  <c r="R111"/>
  <c r="Q111"/>
  <c r="R109"/>
  <c r="Q109"/>
  <c r="R108"/>
  <c r="Q108"/>
  <c r="R106"/>
  <c r="Q106"/>
  <c r="R101"/>
  <c r="Q101"/>
  <c r="Q100"/>
  <c r="Q98"/>
  <c r="R97"/>
  <c r="Q97"/>
  <c r="O134"/>
  <c r="N134"/>
  <c r="O133"/>
  <c r="N133"/>
  <c r="O128"/>
  <c r="N128"/>
  <c r="O127"/>
  <c r="N127"/>
  <c r="O124"/>
  <c r="N124"/>
  <c r="O123"/>
  <c r="N123"/>
  <c r="P116"/>
  <c r="O114"/>
  <c r="N114"/>
  <c r="O113"/>
  <c r="N113"/>
  <c r="O112"/>
  <c r="N112"/>
  <c r="O111"/>
  <c r="N111"/>
  <c r="O109"/>
  <c r="N109"/>
  <c r="O108"/>
  <c r="N108"/>
  <c r="O106"/>
  <c r="N106"/>
  <c r="O105"/>
  <c r="N105"/>
  <c r="O101"/>
  <c r="N101"/>
  <c r="O100"/>
  <c r="N100"/>
  <c r="O98"/>
  <c r="N98"/>
  <c r="O97"/>
  <c r="N97"/>
  <c r="W87"/>
  <c r="T92"/>
  <c r="T89"/>
  <c r="T88"/>
  <c r="U87"/>
  <c r="T87"/>
  <c r="R92"/>
  <c r="Q92"/>
  <c r="R91"/>
  <c r="Q91"/>
  <c r="Q90"/>
  <c r="R89"/>
  <c r="Q89"/>
  <c r="R88"/>
  <c r="Q88"/>
  <c r="R87"/>
  <c r="Q87"/>
  <c r="O92"/>
  <c r="N92"/>
  <c r="O91"/>
  <c r="N91"/>
  <c r="O90"/>
  <c r="N90"/>
  <c r="O89"/>
  <c r="N89"/>
  <c r="O88"/>
  <c r="N88"/>
  <c r="O87"/>
  <c r="N87"/>
  <c r="N78"/>
  <c r="O77"/>
  <c r="N77"/>
  <c r="T74"/>
  <c r="T73"/>
  <c r="U72"/>
  <c r="T72"/>
  <c r="Q76"/>
  <c r="R75"/>
  <c r="Q75"/>
  <c r="R74"/>
  <c r="Q74"/>
  <c r="R73"/>
  <c r="Q73"/>
  <c r="R72"/>
  <c r="Q72"/>
  <c r="R71"/>
  <c r="Q71"/>
  <c r="N72"/>
  <c r="O72"/>
  <c r="N73"/>
  <c r="O73"/>
  <c r="N74"/>
  <c r="O74"/>
  <c r="N75"/>
  <c r="O75"/>
  <c r="N76"/>
  <c r="O76"/>
  <c r="O71"/>
  <c r="N71"/>
  <c r="T67"/>
  <c r="R67"/>
  <c r="Q67"/>
  <c r="Q58"/>
  <c r="O68"/>
  <c r="N68"/>
  <c r="O67"/>
  <c r="N67"/>
  <c r="O58"/>
  <c r="N58"/>
  <c r="O57"/>
  <c r="N57"/>
  <c r="W42"/>
  <c r="T51"/>
  <c r="U42"/>
  <c r="T42"/>
  <c r="R52"/>
  <c r="Q52"/>
  <c r="R51"/>
  <c r="Q51"/>
  <c r="Q50"/>
  <c r="Q48"/>
  <c r="R46"/>
  <c r="Q46"/>
  <c r="Q45"/>
  <c r="R42"/>
  <c r="Q42"/>
  <c r="R41"/>
  <c r="Q41"/>
  <c r="Q32"/>
  <c r="O52"/>
  <c r="N52"/>
  <c r="O51"/>
  <c r="N51"/>
  <c r="O50"/>
  <c r="N50"/>
  <c r="O48"/>
  <c r="N48"/>
  <c r="O46"/>
  <c r="N46"/>
  <c r="O45"/>
  <c r="N45"/>
  <c r="O42"/>
  <c r="N42"/>
  <c r="O41"/>
  <c r="N41"/>
  <c r="O32"/>
  <c r="O31"/>
  <c r="N31"/>
  <c r="T23"/>
  <c r="R29"/>
  <c r="Q29"/>
  <c r="R28"/>
  <c r="Q28"/>
  <c r="R26"/>
  <c r="Q26"/>
  <c r="Q25"/>
  <c r="R23"/>
  <c r="Q23"/>
  <c r="R20"/>
  <c r="Q20"/>
  <c r="Q19"/>
  <c r="R17"/>
  <c r="Q17"/>
  <c r="O12"/>
  <c r="N12"/>
  <c r="O29"/>
  <c r="N29"/>
  <c r="O28"/>
  <c r="N28"/>
  <c r="O26"/>
  <c r="N26"/>
  <c r="O25"/>
  <c r="N25"/>
  <c r="O23"/>
  <c r="N23"/>
  <c r="O22"/>
  <c r="N22"/>
  <c r="O20"/>
  <c r="N20"/>
  <c r="O19"/>
  <c r="N19"/>
  <c r="N17"/>
  <c r="O17"/>
  <c r="O16"/>
  <c r="N16"/>
  <c r="AB306"/>
  <c r="Y306"/>
  <c r="AA305"/>
  <c r="Z305"/>
  <c r="X305"/>
  <c r="W305"/>
  <c r="U305"/>
  <c r="T305"/>
  <c r="R305"/>
  <c r="Q305"/>
  <c r="O305"/>
  <c r="N305"/>
  <c r="Y304"/>
  <c r="V304"/>
  <c r="S304"/>
  <c r="P304"/>
  <c r="S303"/>
  <c r="P303"/>
  <c r="AB302"/>
  <c r="P302"/>
  <c r="S301"/>
  <c r="P301"/>
  <c r="Y300"/>
  <c r="V300"/>
  <c r="S300"/>
  <c r="P299"/>
  <c r="Y298"/>
  <c r="V298"/>
  <c r="S298"/>
  <c r="P298"/>
  <c r="Y297"/>
  <c r="V297"/>
  <c r="S297"/>
  <c r="V296"/>
  <c r="S296"/>
  <c r="P296"/>
  <c r="AB295"/>
  <c r="P295"/>
  <c r="S294"/>
  <c r="P294"/>
  <c r="V293"/>
  <c r="P293"/>
  <c r="V292"/>
  <c r="P292"/>
  <c r="AA291"/>
  <c r="Z291"/>
  <c r="X291"/>
  <c r="W291"/>
  <c r="U291"/>
  <c r="T291"/>
  <c r="R291"/>
  <c r="Q291"/>
  <c r="O291"/>
  <c r="N291"/>
  <c r="N283"/>
  <c r="N281"/>
  <c r="O281" s="1"/>
  <c r="R281" s="1"/>
  <c r="U281" s="1"/>
  <c r="X281" s="1"/>
  <c r="AA281" s="1"/>
  <c r="N274"/>
  <c r="O273"/>
  <c r="P273" s="1"/>
  <c r="L273"/>
  <c r="M273" s="1"/>
  <c r="J273"/>
  <c r="G273"/>
  <c r="AB271"/>
  <c r="Y271"/>
  <c r="V271"/>
  <c r="S271"/>
  <c r="P271"/>
  <c r="M271"/>
  <c r="J271"/>
  <c r="G271"/>
  <c r="AB270"/>
  <c r="Y270"/>
  <c r="V270"/>
  <c r="S270"/>
  <c r="P270"/>
  <c r="M270"/>
  <c r="J270"/>
  <c r="G270"/>
  <c r="AB269"/>
  <c r="Y269"/>
  <c r="V269"/>
  <c r="S269"/>
  <c r="P269"/>
  <c r="M269"/>
  <c r="J269"/>
  <c r="G269"/>
  <c r="AB268"/>
  <c r="Y268"/>
  <c r="V268"/>
  <c r="S268"/>
  <c r="P268"/>
  <c r="M268"/>
  <c r="J268"/>
  <c r="G268"/>
  <c r="AB267"/>
  <c r="Y267"/>
  <c r="V267"/>
  <c r="S267"/>
  <c r="P267"/>
  <c r="M267"/>
  <c r="J267"/>
  <c r="G267"/>
  <c r="AA266"/>
  <c r="Z266"/>
  <c r="X266"/>
  <c r="W266"/>
  <c r="U266"/>
  <c r="T266"/>
  <c r="R266"/>
  <c r="Q266"/>
  <c r="O266"/>
  <c r="N266"/>
  <c r="L266"/>
  <c r="K266"/>
  <c r="I266"/>
  <c r="H266"/>
  <c r="F266"/>
  <c r="E266"/>
  <c r="AB265"/>
  <c r="Y265"/>
  <c r="V265"/>
  <c r="S265"/>
  <c r="P265"/>
  <c r="M265"/>
  <c r="J265"/>
  <c r="G265"/>
  <c r="AB264"/>
  <c r="Y264"/>
  <c r="V264"/>
  <c r="S264"/>
  <c r="P264"/>
  <c r="M264"/>
  <c r="J264"/>
  <c r="G264"/>
  <c r="AB263"/>
  <c r="Y263"/>
  <c r="V263"/>
  <c r="S263"/>
  <c r="P263"/>
  <c r="M263"/>
  <c r="J263"/>
  <c r="G263"/>
  <c r="AB262"/>
  <c r="Y262"/>
  <c r="V262"/>
  <c r="S262"/>
  <c r="P262"/>
  <c r="M262"/>
  <c r="J262"/>
  <c r="G262"/>
  <c r="AB261"/>
  <c r="Y261"/>
  <c r="V261"/>
  <c r="S261"/>
  <c r="P261"/>
  <c r="M261"/>
  <c r="J261"/>
  <c r="G261"/>
  <c r="AA260"/>
  <c r="Z260"/>
  <c r="X260"/>
  <c r="W260"/>
  <c r="U260"/>
  <c r="T260"/>
  <c r="R260"/>
  <c r="Q260"/>
  <c r="O260"/>
  <c r="N260"/>
  <c r="L260"/>
  <c r="K260"/>
  <c r="I260"/>
  <c r="H260"/>
  <c r="F260"/>
  <c r="E260"/>
  <c r="AB259"/>
  <c r="Y259"/>
  <c r="V259"/>
  <c r="S259"/>
  <c r="P259"/>
  <c r="M259"/>
  <c r="J259"/>
  <c r="G259"/>
  <c r="M258"/>
  <c r="J258"/>
  <c r="G258"/>
  <c r="AB257"/>
  <c r="Y257"/>
  <c r="V257"/>
  <c r="S257"/>
  <c r="P257"/>
  <c r="M257"/>
  <c r="J257"/>
  <c r="G257"/>
  <c r="N256"/>
  <c r="L256"/>
  <c r="K256"/>
  <c r="I256"/>
  <c r="H256"/>
  <c r="F256"/>
  <c r="E256"/>
  <c r="AB255"/>
  <c r="Y255"/>
  <c r="V255"/>
  <c r="S255"/>
  <c r="P255"/>
  <c r="M255"/>
  <c r="J255"/>
  <c r="G255"/>
  <c r="AB254"/>
  <c r="Y254"/>
  <c r="V254"/>
  <c r="S254"/>
  <c r="P254"/>
  <c r="M254"/>
  <c r="J254"/>
  <c r="G254"/>
  <c r="AA253"/>
  <c r="Z253"/>
  <c r="X253"/>
  <c r="W253"/>
  <c r="U253"/>
  <c r="T253"/>
  <c r="R253"/>
  <c r="Q253"/>
  <c r="O253"/>
  <c r="N253"/>
  <c r="L253"/>
  <c r="K253"/>
  <c r="I253"/>
  <c r="H253"/>
  <c r="F253"/>
  <c r="E253"/>
  <c r="AB251"/>
  <c r="Y251"/>
  <c r="V251"/>
  <c r="S251"/>
  <c r="P251"/>
  <c r="M251"/>
  <c r="J251"/>
  <c r="G251"/>
  <c r="AB250"/>
  <c r="Y250"/>
  <c r="V250"/>
  <c r="S250"/>
  <c r="P250"/>
  <c r="M250"/>
  <c r="J250"/>
  <c r="G250"/>
  <c r="AB249"/>
  <c r="Y249"/>
  <c r="V249"/>
  <c r="S249"/>
  <c r="P249"/>
  <c r="M249"/>
  <c r="J249"/>
  <c r="G249"/>
  <c r="N248"/>
  <c r="M248"/>
  <c r="J248"/>
  <c r="G248"/>
  <c r="AB247"/>
  <c r="Y247"/>
  <c r="V247"/>
  <c r="S247"/>
  <c r="P247"/>
  <c r="M247"/>
  <c r="J247"/>
  <c r="G247"/>
  <c r="AB246"/>
  <c r="Y246"/>
  <c r="V246"/>
  <c r="S246"/>
  <c r="P246"/>
  <c r="M246"/>
  <c r="J246"/>
  <c r="G246"/>
  <c r="AB245"/>
  <c r="Y245"/>
  <c r="V245"/>
  <c r="S245"/>
  <c r="P245"/>
  <c r="M245"/>
  <c r="J245"/>
  <c r="G245"/>
  <c r="AB244"/>
  <c r="Y244"/>
  <c r="V244"/>
  <c r="S244"/>
  <c r="P244"/>
  <c r="M244"/>
  <c r="J244"/>
  <c r="G244"/>
  <c r="L243"/>
  <c r="L242" s="1"/>
  <c r="L239" s="1"/>
  <c r="L238" s="1"/>
  <c r="K243"/>
  <c r="K242" s="1"/>
  <c r="K239" s="1"/>
  <c r="K238" s="1"/>
  <c r="I243"/>
  <c r="I242" s="1"/>
  <c r="I239" s="1"/>
  <c r="I238" s="1"/>
  <c r="H243"/>
  <c r="F243"/>
  <c r="E243"/>
  <c r="E242" s="1"/>
  <c r="N242"/>
  <c r="F242"/>
  <c r="F239" s="1"/>
  <c r="F238" s="1"/>
  <c r="AB241"/>
  <c r="Y241"/>
  <c r="V241"/>
  <c r="S241"/>
  <c r="P241"/>
  <c r="M241"/>
  <c r="J241"/>
  <c r="G241"/>
  <c r="M240"/>
  <c r="J240"/>
  <c r="G240"/>
  <c r="M237"/>
  <c r="J237"/>
  <c r="G237"/>
  <c r="L236"/>
  <c r="K236"/>
  <c r="I236"/>
  <c r="H236"/>
  <c r="F236"/>
  <c r="E236"/>
  <c r="Z233"/>
  <c r="AB233" s="1"/>
  <c r="O233"/>
  <c r="M233"/>
  <c r="J233"/>
  <c r="G233"/>
  <c r="Z232"/>
  <c r="AB232" s="1"/>
  <c r="O232"/>
  <c r="M232"/>
  <c r="J232"/>
  <c r="G232"/>
  <c r="AB231"/>
  <c r="Y231"/>
  <c r="V231"/>
  <c r="S231"/>
  <c r="P231"/>
  <c r="M231"/>
  <c r="J231"/>
  <c r="G231"/>
  <c r="AA230"/>
  <c r="Z230"/>
  <c r="X230"/>
  <c r="P230"/>
  <c r="L230"/>
  <c r="K230"/>
  <c r="I230"/>
  <c r="H230"/>
  <c r="F230"/>
  <c r="E230"/>
  <c r="AB229"/>
  <c r="Y229"/>
  <c r="V229"/>
  <c r="S229"/>
  <c r="P229"/>
  <c r="M229"/>
  <c r="J229"/>
  <c r="G229"/>
  <c r="AB228"/>
  <c r="Y228"/>
  <c r="V228"/>
  <c r="S228"/>
  <c r="P228"/>
  <c r="M228"/>
  <c r="J228"/>
  <c r="G228"/>
  <c r="AB227"/>
  <c r="Y227"/>
  <c r="V227"/>
  <c r="S227"/>
  <c r="P227"/>
  <c r="M227"/>
  <c r="J227"/>
  <c r="G227"/>
  <c r="AA226"/>
  <c r="Z226"/>
  <c r="AB226" s="1"/>
  <c r="X226"/>
  <c r="W226"/>
  <c r="U226"/>
  <c r="T226"/>
  <c r="R226"/>
  <c r="Q226"/>
  <c r="P226"/>
  <c r="L226"/>
  <c r="K226"/>
  <c r="I226"/>
  <c r="H226"/>
  <c r="F226"/>
  <c r="E226"/>
  <c r="AB225"/>
  <c r="Y225"/>
  <c r="V225"/>
  <c r="S225"/>
  <c r="P225"/>
  <c r="M225"/>
  <c r="J225"/>
  <c r="G225"/>
  <c r="AC224"/>
  <c r="AB224"/>
  <c r="Y224"/>
  <c r="V224"/>
  <c r="S224"/>
  <c r="P224"/>
  <c r="M224"/>
  <c r="J224"/>
  <c r="G224"/>
  <c r="AC223"/>
  <c r="AB223"/>
  <c r="Y223"/>
  <c r="V223"/>
  <c r="S223"/>
  <c r="P223"/>
  <c r="M223"/>
  <c r="J223"/>
  <c r="G223"/>
  <c r="K222"/>
  <c r="J222"/>
  <c r="G222"/>
  <c r="AB221"/>
  <c r="Y221"/>
  <c r="V221"/>
  <c r="S221"/>
  <c r="P221"/>
  <c r="M221"/>
  <c r="J221"/>
  <c r="G221"/>
  <c r="AB220"/>
  <c r="Y220"/>
  <c r="V220"/>
  <c r="S220"/>
  <c r="P220"/>
  <c r="M220"/>
  <c r="J220"/>
  <c r="G220"/>
  <c r="AB219"/>
  <c r="Y219"/>
  <c r="V219"/>
  <c r="S219"/>
  <c r="P219"/>
  <c r="M219"/>
  <c r="J219"/>
  <c r="G219"/>
  <c r="I218"/>
  <c r="H218"/>
  <c r="F218"/>
  <c r="E218"/>
  <c r="AB217"/>
  <c r="Y217"/>
  <c r="V217"/>
  <c r="S217"/>
  <c r="P217"/>
  <c r="M217"/>
  <c r="J217"/>
  <c r="G217"/>
  <c r="M216"/>
  <c r="J216"/>
  <c r="G216"/>
  <c r="M215"/>
  <c r="J215"/>
  <c r="G215"/>
  <c r="AB214"/>
  <c r="Y214"/>
  <c r="V214"/>
  <c r="S214"/>
  <c r="P214"/>
  <c r="M214"/>
  <c r="J214"/>
  <c r="G214"/>
  <c r="AB213"/>
  <c r="Y213"/>
  <c r="V213"/>
  <c r="S213"/>
  <c r="P213"/>
  <c r="M213"/>
  <c r="J213"/>
  <c r="G213"/>
  <c r="AB212"/>
  <c r="Y212"/>
  <c r="V212"/>
  <c r="P212"/>
  <c r="L212"/>
  <c r="L208" s="1"/>
  <c r="K212"/>
  <c r="I212"/>
  <c r="H212"/>
  <c r="J212" s="1"/>
  <c r="F212"/>
  <c r="F208" s="1"/>
  <c r="E212"/>
  <c r="E208" s="1"/>
  <c r="M211"/>
  <c r="J211"/>
  <c r="G211"/>
  <c r="AB210"/>
  <c r="Y210"/>
  <c r="V210"/>
  <c r="S210"/>
  <c r="P210"/>
  <c r="M210"/>
  <c r="J210"/>
  <c r="G210"/>
  <c r="AB209"/>
  <c r="Y209"/>
  <c r="V209"/>
  <c r="S209"/>
  <c r="P209"/>
  <c r="M209"/>
  <c r="J209"/>
  <c r="G209"/>
  <c r="I208"/>
  <c r="L207"/>
  <c r="K207"/>
  <c r="I207"/>
  <c r="H207"/>
  <c r="F207"/>
  <c r="E207"/>
  <c r="M206"/>
  <c r="J206"/>
  <c r="G206"/>
  <c r="M205"/>
  <c r="J205"/>
  <c r="G205"/>
  <c r="L204"/>
  <c r="K204"/>
  <c r="I204"/>
  <c r="H204"/>
  <c r="F204"/>
  <c r="E204"/>
  <c r="M203"/>
  <c r="J203"/>
  <c r="G203"/>
  <c r="M202"/>
  <c r="J202"/>
  <c r="G202"/>
  <c r="L201"/>
  <c r="K201"/>
  <c r="I201"/>
  <c r="H201"/>
  <c r="F201"/>
  <c r="E201"/>
  <c r="AB200"/>
  <c r="Y200"/>
  <c r="V200"/>
  <c r="S200"/>
  <c r="P200"/>
  <c r="M200"/>
  <c r="J200"/>
  <c r="G200"/>
  <c r="AB199"/>
  <c r="Y199"/>
  <c r="V199"/>
  <c r="S199"/>
  <c r="P199"/>
  <c r="M199"/>
  <c r="J199"/>
  <c r="G199"/>
  <c r="AB198"/>
  <c r="Y198"/>
  <c r="V198"/>
  <c r="S198"/>
  <c r="P198"/>
  <c r="M198"/>
  <c r="J198"/>
  <c r="G198"/>
  <c r="AB197"/>
  <c r="Y197"/>
  <c r="V197"/>
  <c r="S197"/>
  <c r="P197"/>
  <c r="M197"/>
  <c r="J197"/>
  <c r="G197"/>
  <c r="AB196"/>
  <c r="Y196"/>
  <c r="V196"/>
  <c r="S196"/>
  <c r="P196"/>
  <c r="M196"/>
  <c r="J196"/>
  <c r="G196"/>
  <c r="AB195"/>
  <c r="Y195"/>
  <c r="V195"/>
  <c r="S195"/>
  <c r="P195"/>
  <c r="L195"/>
  <c r="K195"/>
  <c r="I195"/>
  <c r="H195"/>
  <c r="F195"/>
  <c r="E195"/>
  <c r="AB194"/>
  <c r="Y194"/>
  <c r="V194"/>
  <c r="S194"/>
  <c r="P194"/>
  <c r="M194"/>
  <c r="J194"/>
  <c r="G194"/>
  <c r="AB193"/>
  <c r="Y193"/>
  <c r="V193"/>
  <c r="S193"/>
  <c r="P193"/>
  <c r="M193"/>
  <c r="J193"/>
  <c r="G193"/>
  <c r="AB192"/>
  <c r="Y192"/>
  <c r="V192"/>
  <c r="S192"/>
  <c r="P192"/>
  <c r="L192"/>
  <c r="K192"/>
  <c r="I192"/>
  <c r="H192"/>
  <c r="F192"/>
  <c r="E192"/>
  <c r="AB191"/>
  <c r="Y191"/>
  <c r="V191"/>
  <c r="S191"/>
  <c r="P191"/>
  <c r="M191"/>
  <c r="J191"/>
  <c r="G191"/>
  <c r="M190"/>
  <c r="J190"/>
  <c r="G190"/>
  <c r="M189"/>
  <c r="J189"/>
  <c r="G189"/>
  <c r="L188"/>
  <c r="K188"/>
  <c r="I188"/>
  <c r="H188"/>
  <c r="F188"/>
  <c r="E188"/>
  <c r="AB187"/>
  <c r="Y187"/>
  <c r="V187"/>
  <c r="S187"/>
  <c r="P187"/>
  <c r="M187"/>
  <c r="J187"/>
  <c r="G187"/>
  <c r="AB186"/>
  <c r="Y186"/>
  <c r="V186"/>
  <c r="S186"/>
  <c r="P186"/>
  <c r="M186"/>
  <c r="J186"/>
  <c r="G186"/>
  <c r="AB185"/>
  <c r="Y185"/>
  <c r="V185"/>
  <c r="S185"/>
  <c r="P185"/>
  <c r="M185"/>
  <c r="J185"/>
  <c r="G185"/>
  <c r="AB184"/>
  <c r="Y184"/>
  <c r="V184"/>
  <c r="S184"/>
  <c r="P184"/>
  <c r="L184"/>
  <c r="K184"/>
  <c r="I184"/>
  <c r="H184"/>
  <c r="J184" s="1"/>
  <c r="F184"/>
  <c r="E184"/>
  <c r="AB183"/>
  <c r="Y183"/>
  <c r="V183"/>
  <c r="S183"/>
  <c r="P183"/>
  <c r="M183"/>
  <c r="J183"/>
  <c r="G183"/>
  <c r="AB182"/>
  <c r="Y182"/>
  <c r="V182"/>
  <c r="S182"/>
  <c r="P182"/>
  <c r="M182"/>
  <c r="J182"/>
  <c r="G182"/>
  <c r="Y181"/>
  <c r="V181"/>
  <c r="S181"/>
  <c r="P181"/>
  <c r="L181"/>
  <c r="M181" s="1"/>
  <c r="K181"/>
  <c r="I181"/>
  <c r="H181"/>
  <c r="F181"/>
  <c r="E181"/>
  <c r="M180"/>
  <c r="J180"/>
  <c r="G180"/>
  <c r="M179"/>
  <c r="J179"/>
  <c r="G179"/>
  <c r="L178"/>
  <c r="K178"/>
  <c r="I178"/>
  <c r="H178"/>
  <c r="F178"/>
  <c r="E178"/>
  <c r="AB174"/>
  <c r="Y174"/>
  <c r="V174"/>
  <c r="S174"/>
  <c r="P174"/>
  <c r="M174"/>
  <c r="J174"/>
  <c r="G174"/>
  <c r="AB173"/>
  <c r="Y173"/>
  <c r="V173"/>
  <c r="S173"/>
  <c r="P173"/>
  <c r="M173"/>
  <c r="J173"/>
  <c r="G173"/>
  <c r="AA172"/>
  <c r="Z172"/>
  <c r="X172"/>
  <c r="W172"/>
  <c r="U172"/>
  <c r="T172"/>
  <c r="R172"/>
  <c r="S172" s="1"/>
  <c r="Q172"/>
  <c r="O172"/>
  <c r="N172"/>
  <c r="L172"/>
  <c r="K172"/>
  <c r="I172"/>
  <c r="H172"/>
  <c r="F172"/>
  <c r="G172" s="1"/>
  <c r="E172"/>
  <c r="AB171"/>
  <c r="Y171"/>
  <c r="V171"/>
  <c r="S171"/>
  <c r="P171"/>
  <c r="M171"/>
  <c r="J171"/>
  <c r="G171"/>
  <c r="AB170"/>
  <c r="Y170"/>
  <c r="V170"/>
  <c r="S170"/>
  <c r="P170"/>
  <c r="M170"/>
  <c r="J170"/>
  <c r="G170"/>
  <c r="AA169"/>
  <c r="AB169" s="1"/>
  <c r="X169"/>
  <c r="Y169" s="1"/>
  <c r="U169"/>
  <c r="V169" s="1"/>
  <c r="R169"/>
  <c r="S169" s="1"/>
  <c r="P169"/>
  <c r="L169"/>
  <c r="K169"/>
  <c r="I169"/>
  <c r="H169"/>
  <c r="F169"/>
  <c r="E169"/>
  <c r="AB168"/>
  <c r="Y168"/>
  <c r="V168"/>
  <c r="S168"/>
  <c r="P168"/>
  <c r="M168"/>
  <c r="J168"/>
  <c r="G168"/>
  <c r="AB167"/>
  <c r="Y167"/>
  <c r="V167"/>
  <c r="S167"/>
  <c r="P167"/>
  <c r="M167"/>
  <c r="J167"/>
  <c r="G167"/>
  <c r="AA166"/>
  <c r="Z166"/>
  <c r="AB166" s="1"/>
  <c r="X166"/>
  <c r="Y166" s="1"/>
  <c r="W166"/>
  <c r="U166"/>
  <c r="T166"/>
  <c r="R166"/>
  <c r="Q166"/>
  <c r="O166"/>
  <c r="N166"/>
  <c r="L166"/>
  <c r="K166"/>
  <c r="I166"/>
  <c r="H166"/>
  <c r="F166"/>
  <c r="E166"/>
  <c r="AB165"/>
  <c r="Y165"/>
  <c r="V165"/>
  <c r="S165"/>
  <c r="P165"/>
  <c r="M165"/>
  <c r="J165"/>
  <c r="G165"/>
  <c r="AB164"/>
  <c r="Y164"/>
  <c r="V164"/>
  <c r="S164"/>
  <c r="P164"/>
  <c r="M164"/>
  <c r="J164"/>
  <c r="G164"/>
  <c r="AA163"/>
  <c r="Z163"/>
  <c r="X163"/>
  <c r="W163"/>
  <c r="U163"/>
  <c r="T163"/>
  <c r="R163"/>
  <c r="Q163"/>
  <c r="O163"/>
  <c r="N163"/>
  <c r="P163" s="1"/>
  <c r="L163"/>
  <c r="K163"/>
  <c r="I163"/>
  <c r="H163"/>
  <c r="F163"/>
  <c r="E163"/>
  <c r="AB162"/>
  <c r="Y162"/>
  <c r="V162"/>
  <c r="S162"/>
  <c r="P162"/>
  <c r="M162"/>
  <c r="J162"/>
  <c r="G162"/>
  <c r="AB161"/>
  <c r="Y161"/>
  <c r="V161"/>
  <c r="S161"/>
  <c r="P161"/>
  <c r="M161"/>
  <c r="J161"/>
  <c r="G161"/>
  <c r="AA160"/>
  <c r="Z160"/>
  <c r="X160"/>
  <c r="W160"/>
  <c r="U160"/>
  <c r="T160"/>
  <c r="R160"/>
  <c r="Q160"/>
  <c r="O160"/>
  <c r="N160"/>
  <c r="L160"/>
  <c r="K160"/>
  <c r="I160"/>
  <c r="H160"/>
  <c r="F160"/>
  <c r="E160"/>
  <c r="AB158"/>
  <c r="Y158"/>
  <c r="V158"/>
  <c r="S158"/>
  <c r="P158"/>
  <c r="M158"/>
  <c r="J158"/>
  <c r="G158"/>
  <c r="AB157"/>
  <c r="Y157"/>
  <c r="V157"/>
  <c r="S157"/>
  <c r="P157"/>
  <c r="M157"/>
  <c r="J157"/>
  <c r="G157"/>
  <c r="AA156"/>
  <c r="Z156"/>
  <c r="X156"/>
  <c r="W156"/>
  <c r="U156"/>
  <c r="T156"/>
  <c r="V156" s="1"/>
  <c r="R156"/>
  <c r="Q156"/>
  <c r="O156"/>
  <c r="N156"/>
  <c r="L156"/>
  <c r="K156"/>
  <c r="I156"/>
  <c r="H156"/>
  <c r="J156" s="1"/>
  <c r="F156"/>
  <c r="E156"/>
  <c r="AB155"/>
  <c r="Y155"/>
  <c r="V155"/>
  <c r="S155"/>
  <c r="P155"/>
  <c r="M155"/>
  <c r="J155"/>
  <c r="G155"/>
  <c r="AB154"/>
  <c r="Y154"/>
  <c r="V154"/>
  <c r="S154"/>
  <c r="P154"/>
  <c r="M154"/>
  <c r="J154"/>
  <c r="G154"/>
  <c r="AA153"/>
  <c r="AB153" s="1"/>
  <c r="X153"/>
  <c r="Y153" s="1"/>
  <c r="U153"/>
  <c r="V153" s="1"/>
  <c r="R153"/>
  <c r="P153"/>
  <c r="L153"/>
  <c r="K153"/>
  <c r="I153"/>
  <c r="H153"/>
  <c r="F153"/>
  <c r="E153"/>
  <c r="AB152"/>
  <c r="Y152"/>
  <c r="V152"/>
  <c r="S152"/>
  <c r="P152"/>
  <c r="M152"/>
  <c r="J152"/>
  <c r="G152"/>
  <c r="AB151"/>
  <c r="Y151"/>
  <c r="V151"/>
  <c r="S151"/>
  <c r="P151"/>
  <c r="M151"/>
  <c r="J151"/>
  <c r="G151"/>
  <c r="AA150"/>
  <c r="Z150"/>
  <c r="X150"/>
  <c r="W150"/>
  <c r="U150"/>
  <c r="T150"/>
  <c r="R150"/>
  <c r="Q150"/>
  <c r="O150"/>
  <c r="N150"/>
  <c r="L150"/>
  <c r="K150"/>
  <c r="I150"/>
  <c r="H150"/>
  <c r="F150"/>
  <c r="E150"/>
  <c r="AB149"/>
  <c r="Y149"/>
  <c r="V149"/>
  <c r="S149"/>
  <c r="P149"/>
  <c r="M149"/>
  <c r="J149"/>
  <c r="G149"/>
  <c r="AB148"/>
  <c r="Y148"/>
  <c r="V148"/>
  <c r="S148"/>
  <c r="P148"/>
  <c r="M148"/>
  <c r="J148"/>
  <c r="G148"/>
  <c r="AA147"/>
  <c r="Z147"/>
  <c r="X147"/>
  <c r="W147"/>
  <c r="U147"/>
  <c r="T147"/>
  <c r="R147"/>
  <c r="Q147"/>
  <c r="O147"/>
  <c r="N147"/>
  <c r="L147"/>
  <c r="K147"/>
  <c r="I147"/>
  <c r="H147"/>
  <c r="F147"/>
  <c r="E147"/>
  <c r="AB146"/>
  <c r="Y146"/>
  <c r="V146"/>
  <c r="S146"/>
  <c r="P146"/>
  <c r="M146"/>
  <c r="J146"/>
  <c r="G146"/>
  <c r="AB145"/>
  <c r="Y145"/>
  <c r="V145"/>
  <c r="S145"/>
  <c r="P145"/>
  <c r="M145"/>
  <c r="J145"/>
  <c r="G145"/>
  <c r="AA144"/>
  <c r="Z144"/>
  <c r="X144"/>
  <c r="W144"/>
  <c r="U144"/>
  <c r="T144"/>
  <c r="R144"/>
  <c r="S144" s="1"/>
  <c r="Q144"/>
  <c r="O144"/>
  <c r="N144"/>
  <c r="L144"/>
  <c r="K144"/>
  <c r="I144"/>
  <c r="H144"/>
  <c r="F144"/>
  <c r="E144"/>
  <c r="AA143"/>
  <c r="AA142" s="1"/>
  <c r="AB141"/>
  <c r="Y141"/>
  <c r="V141"/>
  <c r="S141"/>
  <c r="P141"/>
  <c r="M141"/>
  <c r="J141"/>
  <c r="G141"/>
  <c r="AB140"/>
  <c r="Y140"/>
  <c r="V140"/>
  <c r="S140"/>
  <c r="P140"/>
  <c r="M140"/>
  <c r="J140"/>
  <c r="G140"/>
  <c r="AA139"/>
  <c r="Z139"/>
  <c r="X139"/>
  <c r="W139"/>
  <c r="U139"/>
  <c r="T139"/>
  <c r="R139"/>
  <c r="Q139"/>
  <c r="O139"/>
  <c r="N139"/>
  <c r="L139"/>
  <c r="K139"/>
  <c r="I139"/>
  <c r="H139"/>
  <c r="F139"/>
  <c r="E139"/>
  <c r="AB138"/>
  <c r="Y138"/>
  <c r="V138"/>
  <c r="S138"/>
  <c r="P138"/>
  <c r="M138"/>
  <c r="J138"/>
  <c r="G138"/>
  <c r="AB137"/>
  <c r="Y137"/>
  <c r="V137"/>
  <c r="S137"/>
  <c r="P137"/>
  <c r="M137"/>
  <c r="J137"/>
  <c r="G137"/>
  <c r="AA136"/>
  <c r="Z136"/>
  <c r="X136"/>
  <c r="W136"/>
  <c r="U136"/>
  <c r="T136"/>
  <c r="R136"/>
  <c r="Q136"/>
  <c r="O136"/>
  <c r="N136"/>
  <c r="L136"/>
  <c r="K136"/>
  <c r="I136"/>
  <c r="H136"/>
  <c r="F136"/>
  <c r="E136"/>
  <c r="Q135"/>
  <c r="R135" s="1"/>
  <c r="T135" s="1"/>
  <c r="P135"/>
  <c r="M135"/>
  <c r="J135"/>
  <c r="G135"/>
  <c r="M134"/>
  <c r="J134"/>
  <c r="G134"/>
  <c r="L133"/>
  <c r="K133"/>
  <c r="I133"/>
  <c r="H133"/>
  <c r="F133"/>
  <c r="E133"/>
  <c r="Z132"/>
  <c r="AB132" s="1"/>
  <c r="W132"/>
  <c r="Y132" s="1"/>
  <c r="T132"/>
  <c r="V132" s="1"/>
  <c r="Q132"/>
  <c r="S132" s="1"/>
  <c r="P132"/>
  <c r="M132"/>
  <c r="J132"/>
  <c r="G132"/>
  <c r="Z131"/>
  <c r="AB131" s="1"/>
  <c r="W131"/>
  <c r="Y131" s="1"/>
  <c r="T131"/>
  <c r="V131" s="1"/>
  <c r="Q131"/>
  <c r="S131" s="1"/>
  <c r="P131"/>
  <c r="M131"/>
  <c r="J131"/>
  <c r="G131"/>
  <c r="AA130"/>
  <c r="X130"/>
  <c r="Z130" s="1"/>
  <c r="U130"/>
  <c r="W130" s="1"/>
  <c r="R130"/>
  <c r="T130" s="1"/>
  <c r="O130"/>
  <c r="Q130" s="1"/>
  <c r="N130"/>
  <c r="L130"/>
  <c r="K130"/>
  <c r="I130"/>
  <c r="H130"/>
  <c r="F130"/>
  <c r="E130"/>
  <c r="Q129"/>
  <c r="R129" s="1"/>
  <c r="T129" s="1"/>
  <c r="P129"/>
  <c r="M129"/>
  <c r="J129"/>
  <c r="G129"/>
  <c r="M128"/>
  <c r="J128"/>
  <c r="G128"/>
  <c r="L127"/>
  <c r="K127"/>
  <c r="I127"/>
  <c r="H127"/>
  <c r="F127"/>
  <c r="E127"/>
  <c r="K124"/>
  <c r="L124" s="1"/>
  <c r="M124" s="1"/>
  <c r="J124"/>
  <c r="G124"/>
  <c r="L123"/>
  <c r="M123" s="1"/>
  <c r="J123"/>
  <c r="G123"/>
  <c r="AB122"/>
  <c r="Y122"/>
  <c r="V122"/>
  <c r="S122"/>
  <c r="P122"/>
  <c r="M122"/>
  <c r="J122"/>
  <c r="G122"/>
  <c r="K121"/>
  <c r="L121" s="1"/>
  <c r="J121"/>
  <c r="G121"/>
  <c r="P120"/>
  <c r="L120"/>
  <c r="M120" s="1"/>
  <c r="J120"/>
  <c r="G120"/>
  <c r="P119"/>
  <c r="M119"/>
  <c r="J119"/>
  <c r="G119"/>
  <c r="P118"/>
  <c r="K118"/>
  <c r="I118"/>
  <c r="I115" s="1"/>
  <c r="I114" s="1"/>
  <c r="I113" s="1"/>
  <c r="H118"/>
  <c r="H115" s="1"/>
  <c r="F118"/>
  <c r="F115" s="1"/>
  <c r="F114" s="1"/>
  <c r="F113" s="1"/>
  <c r="E118"/>
  <c r="E115" s="1"/>
  <c r="AB117"/>
  <c r="Y117"/>
  <c r="V117"/>
  <c r="S117"/>
  <c r="P117"/>
  <c r="M117"/>
  <c r="J117"/>
  <c r="G117"/>
  <c r="K116"/>
  <c r="L116" s="1"/>
  <c r="M116" s="1"/>
  <c r="J116"/>
  <c r="G116"/>
  <c r="P115"/>
  <c r="M112"/>
  <c r="J112"/>
  <c r="G112"/>
  <c r="M111"/>
  <c r="J111"/>
  <c r="G111"/>
  <c r="AB110"/>
  <c r="Y110"/>
  <c r="V110"/>
  <c r="S110"/>
  <c r="P110"/>
  <c r="M110"/>
  <c r="J110"/>
  <c r="G110"/>
  <c r="M109"/>
  <c r="J109"/>
  <c r="G109"/>
  <c r="M108"/>
  <c r="J108"/>
  <c r="G108"/>
  <c r="AB107"/>
  <c r="Y107"/>
  <c r="V107"/>
  <c r="S107"/>
  <c r="P107"/>
  <c r="M107"/>
  <c r="J107"/>
  <c r="G107"/>
  <c r="M106"/>
  <c r="J106"/>
  <c r="G106"/>
  <c r="L105"/>
  <c r="K105"/>
  <c r="H105"/>
  <c r="J105" s="1"/>
  <c r="E105"/>
  <c r="G105" s="1"/>
  <c r="AB104"/>
  <c r="Y104"/>
  <c r="V104"/>
  <c r="S104"/>
  <c r="P104"/>
  <c r="M104"/>
  <c r="J104"/>
  <c r="G104"/>
  <c r="AB103"/>
  <c r="Y103"/>
  <c r="V103"/>
  <c r="S103"/>
  <c r="P103"/>
  <c r="M103"/>
  <c r="J103"/>
  <c r="G103"/>
  <c r="AB102"/>
  <c r="Y102"/>
  <c r="V102"/>
  <c r="S102"/>
  <c r="P102"/>
  <c r="M102"/>
  <c r="J102"/>
  <c r="G102"/>
  <c r="K101"/>
  <c r="J101"/>
  <c r="G101"/>
  <c r="M100"/>
  <c r="J100"/>
  <c r="G100"/>
  <c r="AB99"/>
  <c r="Y99"/>
  <c r="V99"/>
  <c r="S99"/>
  <c r="P99"/>
  <c r="M99"/>
  <c r="J99"/>
  <c r="G99"/>
  <c r="I98"/>
  <c r="I96" s="1"/>
  <c r="H98"/>
  <c r="F98"/>
  <c r="F96" s="1"/>
  <c r="E98"/>
  <c r="E96" s="1"/>
  <c r="M97"/>
  <c r="J97"/>
  <c r="G97"/>
  <c r="AB95"/>
  <c r="Y95"/>
  <c r="V95"/>
  <c r="S95"/>
  <c r="P95"/>
  <c r="M95"/>
  <c r="J95"/>
  <c r="G95"/>
  <c r="AB94"/>
  <c r="Y94"/>
  <c r="V94"/>
  <c r="S94"/>
  <c r="P94"/>
  <c r="M94"/>
  <c r="J94"/>
  <c r="G94"/>
  <c r="AA93"/>
  <c r="Z93"/>
  <c r="X93"/>
  <c r="W93"/>
  <c r="U93"/>
  <c r="T93"/>
  <c r="R93"/>
  <c r="Q93"/>
  <c r="O93"/>
  <c r="N93"/>
  <c r="L93"/>
  <c r="K93"/>
  <c r="I93"/>
  <c r="H93"/>
  <c r="J93" s="1"/>
  <c r="F93"/>
  <c r="E93"/>
  <c r="M92"/>
  <c r="J92"/>
  <c r="G92"/>
  <c r="M91"/>
  <c r="J91"/>
  <c r="G91"/>
  <c r="M90"/>
  <c r="J90"/>
  <c r="G90"/>
  <c r="K89"/>
  <c r="L89" s="1"/>
  <c r="M89" s="1"/>
  <c r="H89"/>
  <c r="I89" s="1"/>
  <c r="J89" s="1"/>
  <c r="G89"/>
  <c r="M88"/>
  <c r="J88"/>
  <c r="G88"/>
  <c r="M87"/>
  <c r="J87"/>
  <c r="G87"/>
  <c r="AB86"/>
  <c r="Y86"/>
  <c r="V86"/>
  <c r="S86"/>
  <c r="P86"/>
  <c r="M86"/>
  <c r="J86"/>
  <c r="G86"/>
  <c r="S85"/>
  <c r="P85"/>
  <c r="M85"/>
  <c r="J85"/>
  <c r="G85"/>
  <c r="S84"/>
  <c r="P84"/>
  <c r="M84"/>
  <c r="J84"/>
  <c r="G84"/>
  <c r="P83"/>
  <c r="M83"/>
  <c r="J83"/>
  <c r="G83"/>
  <c r="P82"/>
  <c r="L82"/>
  <c r="K82"/>
  <c r="I82"/>
  <c r="I79" s="1"/>
  <c r="I78" s="1"/>
  <c r="I77" s="1"/>
  <c r="H82"/>
  <c r="F82"/>
  <c r="F79" s="1"/>
  <c r="F78" s="1"/>
  <c r="F77" s="1"/>
  <c r="E82"/>
  <c r="AB81"/>
  <c r="Y81"/>
  <c r="V81"/>
  <c r="S81"/>
  <c r="P81"/>
  <c r="M81"/>
  <c r="J81"/>
  <c r="G81"/>
  <c r="P80"/>
  <c r="M80"/>
  <c r="J80"/>
  <c r="G80"/>
  <c r="P79"/>
  <c r="L79"/>
  <c r="L78" s="1"/>
  <c r="L77" s="1"/>
  <c r="K79"/>
  <c r="M76"/>
  <c r="J76"/>
  <c r="G76"/>
  <c r="M75"/>
  <c r="L75"/>
  <c r="K75"/>
  <c r="J75"/>
  <c r="G75"/>
  <c r="M74"/>
  <c r="J74"/>
  <c r="G74"/>
  <c r="M73"/>
  <c r="J73"/>
  <c r="G73"/>
  <c r="M72"/>
  <c r="J72"/>
  <c r="G72"/>
  <c r="M71"/>
  <c r="J71"/>
  <c r="G71"/>
  <c r="L70"/>
  <c r="K70"/>
  <c r="I70"/>
  <c r="H70"/>
  <c r="F70"/>
  <c r="E70"/>
  <c r="M68"/>
  <c r="J68"/>
  <c r="G68"/>
  <c r="M67"/>
  <c r="J67"/>
  <c r="G67"/>
  <c r="AB66"/>
  <c r="Y66"/>
  <c r="V66"/>
  <c r="S66"/>
  <c r="P66"/>
  <c r="M66"/>
  <c r="J66"/>
  <c r="G66"/>
  <c r="P65"/>
  <c r="M65"/>
  <c r="J65"/>
  <c r="G65"/>
  <c r="P64"/>
  <c r="M64"/>
  <c r="J64"/>
  <c r="G64"/>
  <c r="P63"/>
  <c r="M63"/>
  <c r="J63"/>
  <c r="G63"/>
  <c r="P62"/>
  <c r="M62"/>
  <c r="J62"/>
  <c r="G62"/>
  <c r="P61"/>
  <c r="L61"/>
  <c r="L59" s="1"/>
  <c r="L58" s="1"/>
  <c r="L57" s="1"/>
  <c r="L54" s="1"/>
  <c r="K61"/>
  <c r="I61"/>
  <c r="I59" s="1"/>
  <c r="I58" s="1"/>
  <c r="I57" s="1"/>
  <c r="I54" s="1"/>
  <c r="H61"/>
  <c r="F61"/>
  <c r="E61"/>
  <c r="AB60"/>
  <c r="Y60"/>
  <c r="V60"/>
  <c r="S60"/>
  <c r="P60"/>
  <c r="M60"/>
  <c r="J60"/>
  <c r="G60"/>
  <c r="P59"/>
  <c r="F59"/>
  <c r="F58" s="1"/>
  <c r="F57" s="1"/>
  <c r="F54" s="1"/>
  <c r="E59"/>
  <c r="M56"/>
  <c r="J56"/>
  <c r="G56"/>
  <c r="M55"/>
  <c r="J55"/>
  <c r="G55"/>
  <c r="AB53"/>
  <c r="Y53"/>
  <c r="V53"/>
  <c r="S53"/>
  <c r="P53"/>
  <c r="M53"/>
  <c r="J53"/>
  <c r="G53"/>
  <c r="M52"/>
  <c r="J52"/>
  <c r="G52"/>
  <c r="M51"/>
  <c r="J51"/>
  <c r="G51"/>
  <c r="M50"/>
  <c r="J50"/>
  <c r="G50"/>
  <c r="AB49"/>
  <c r="Y49"/>
  <c r="V49"/>
  <c r="S49"/>
  <c r="P49"/>
  <c r="M49"/>
  <c r="J49"/>
  <c r="G49"/>
  <c r="M48"/>
  <c r="J48"/>
  <c r="G48"/>
  <c r="L47"/>
  <c r="K47"/>
  <c r="I47"/>
  <c r="H47"/>
  <c r="F47"/>
  <c r="E47"/>
  <c r="M46"/>
  <c r="J46"/>
  <c r="G46"/>
  <c r="M45"/>
  <c r="J45"/>
  <c r="G45"/>
  <c r="L44"/>
  <c r="K44"/>
  <c r="I44"/>
  <c r="H44"/>
  <c r="F44"/>
  <c r="E44"/>
  <c r="AB43"/>
  <c r="Y43"/>
  <c r="V43"/>
  <c r="S43"/>
  <c r="P43"/>
  <c r="M43"/>
  <c r="J43"/>
  <c r="G43"/>
  <c r="M42"/>
  <c r="J42"/>
  <c r="G42"/>
  <c r="M41"/>
  <c r="J41"/>
  <c r="G41"/>
  <c r="AB40"/>
  <c r="Y40"/>
  <c r="V40"/>
  <c r="S40"/>
  <c r="P40"/>
  <c r="M40"/>
  <c r="J40"/>
  <c r="G40"/>
  <c r="P39"/>
  <c r="M39"/>
  <c r="J39"/>
  <c r="G39"/>
  <c r="P38"/>
  <c r="M38"/>
  <c r="J38"/>
  <c r="G38"/>
  <c r="P37"/>
  <c r="M37"/>
  <c r="J37"/>
  <c r="G37"/>
  <c r="P36"/>
  <c r="M36"/>
  <c r="J36"/>
  <c r="G36"/>
  <c r="P35"/>
  <c r="L35"/>
  <c r="L33" s="1"/>
  <c r="L32" s="1"/>
  <c r="L31" s="1"/>
  <c r="K35"/>
  <c r="I35"/>
  <c r="I33" s="1"/>
  <c r="I32" s="1"/>
  <c r="I31" s="1"/>
  <c r="H35"/>
  <c r="H33" s="1"/>
  <c r="F35"/>
  <c r="F33" s="1"/>
  <c r="F32" s="1"/>
  <c r="F31" s="1"/>
  <c r="E35"/>
  <c r="E33" s="1"/>
  <c r="AB34"/>
  <c r="Y34"/>
  <c r="V34"/>
  <c r="S34"/>
  <c r="P34"/>
  <c r="M34"/>
  <c r="J34"/>
  <c r="G34"/>
  <c r="P33"/>
  <c r="Z30"/>
  <c r="AB30" s="1"/>
  <c r="O30"/>
  <c r="Q30" s="1"/>
  <c r="M30"/>
  <c r="J30"/>
  <c r="G30"/>
  <c r="M29"/>
  <c r="J29"/>
  <c r="G29"/>
  <c r="M28"/>
  <c r="J28"/>
  <c r="G28"/>
  <c r="M27"/>
  <c r="J27"/>
  <c r="G27"/>
  <c r="M26"/>
  <c r="J26"/>
  <c r="G26"/>
  <c r="L25"/>
  <c r="K25"/>
  <c r="I25"/>
  <c r="H25"/>
  <c r="F25"/>
  <c r="E25"/>
  <c r="M24"/>
  <c r="J24"/>
  <c r="G24"/>
  <c r="M23"/>
  <c r="J23"/>
  <c r="G23"/>
  <c r="L22"/>
  <c r="K22"/>
  <c r="I22"/>
  <c r="H22"/>
  <c r="F22"/>
  <c r="E22"/>
  <c r="M21"/>
  <c r="J21"/>
  <c r="G21"/>
  <c r="M20"/>
  <c r="J20"/>
  <c r="G20"/>
  <c r="L19"/>
  <c r="K19"/>
  <c r="I19"/>
  <c r="H19"/>
  <c r="F19"/>
  <c r="E19"/>
  <c r="M18"/>
  <c r="J18"/>
  <c r="G18"/>
  <c r="M17"/>
  <c r="J17"/>
  <c r="G17"/>
  <c r="L16"/>
  <c r="K16"/>
  <c r="I16"/>
  <c r="H16"/>
  <c r="F16"/>
  <c r="E16"/>
  <c r="AB15"/>
  <c r="Y15"/>
  <c r="V15"/>
  <c r="S15"/>
  <c r="P15"/>
  <c r="M15"/>
  <c r="J15"/>
  <c r="G15"/>
  <c r="AB14"/>
  <c r="Y14"/>
  <c r="V14"/>
  <c r="S14"/>
  <c r="P14"/>
  <c r="M14"/>
  <c r="J14"/>
  <c r="G14"/>
  <c r="AB13"/>
  <c r="Y13"/>
  <c r="V13"/>
  <c r="S13"/>
  <c r="P13"/>
  <c r="L13"/>
  <c r="K13"/>
  <c r="I13"/>
  <c r="H13"/>
  <c r="F13"/>
  <c r="E13"/>
  <c r="N281" i="111"/>
  <c r="O281" s="1"/>
  <c r="AA272"/>
  <c r="Q272"/>
  <c r="AA241"/>
  <c r="Z241"/>
  <c r="X241"/>
  <c r="W241"/>
  <c r="U241"/>
  <c r="T241"/>
  <c r="R241"/>
  <c r="Q241"/>
  <c r="R240"/>
  <c r="Q240"/>
  <c r="R237"/>
  <c r="Q237"/>
  <c r="R222"/>
  <c r="Q222"/>
  <c r="U211"/>
  <c r="T211"/>
  <c r="R216"/>
  <c r="Q216"/>
  <c r="R215"/>
  <c r="Q215"/>
  <c r="R211"/>
  <c r="Q211"/>
  <c r="R205"/>
  <c r="Q205"/>
  <c r="Q204"/>
  <c r="Q202"/>
  <c r="Q201"/>
  <c r="R189"/>
  <c r="Q189"/>
  <c r="Q188"/>
  <c r="T179"/>
  <c r="R179"/>
  <c r="Q179"/>
  <c r="Q178"/>
  <c r="AA170"/>
  <c r="Z170"/>
  <c r="AA169"/>
  <c r="Z169"/>
  <c r="X170"/>
  <c r="W170"/>
  <c r="X169"/>
  <c r="W169"/>
  <c r="U170"/>
  <c r="T170"/>
  <c r="U169"/>
  <c r="T169"/>
  <c r="R170"/>
  <c r="Q170"/>
  <c r="R169"/>
  <c r="Q169"/>
  <c r="AA154"/>
  <c r="Z154"/>
  <c r="AA153"/>
  <c r="Z153"/>
  <c r="X154"/>
  <c r="W154"/>
  <c r="X153"/>
  <c r="W153"/>
  <c r="U154"/>
  <c r="T154"/>
  <c r="U153"/>
  <c r="T153"/>
  <c r="R154"/>
  <c r="Q154"/>
  <c r="R153"/>
  <c r="Q153"/>
  <c r="T134"/>
  <c r="R134"/>
  <c r="Q134"/>
  <c r="T128"/>
  <c r="R128"/>
  <c r="Q128"/>
  <c r="R127"/>
  <c r="Q127"/>
  <c r="R124"/>
  <c r="Q124"/>
  <c r="R123"/>
  <c r="Q123"/>
  <c r="Q114"/>
  <c r="T111"/>
  <c r="R112"/>
  <c r="Q112"/>
  <c r="R111"/>
  <c r="Q111"/>
  <c r="W109"/>
  <c r="T108"/>
  <c r="R109"/>
  <c r="Q109"/>
  <c r="R108"/>
  <c r="Q108"/>
  <c r="Q106"/>
  <c r="T101"/>
  <c r="R101"/>
  <c r="Q101"/>
  <c r="Q100"/>
  <c r="R97"/>
  <c r="Q97"/>
  <c r="T92"/>
  <c r="T89"/>
  <c r="T88"/>
  <c r="R92"/>
  <c r="Q92"/>
  <c r="R91"/>
  <c r="Q91"/>
  <c r="Q90"/>
  <c r="R89"/>
  <c r="Q89"/>
  <c r="R88"/>
  <c r="Q88"/>
  <c r="W87"/>
  <c r="U87"/>
  <c r="T87"/>
  <c r="R87"/>
  <c r="Q87"/>
  <c r="T75"/>
  <c r="T74"/>
  <c r="T73"/>
  <c r="Q76"/>
  <c r="R75"/>
  <c r="Q75"/>
  <c r="R74"/>
  <c r="Q74"/>
  <c r="R73"/>
  <c r="Q73"/>
  <c r="R71"/>
  <c r="Q71"/>
  <c r="T67"/>
  <c r="R67"/>
  <c r="Q67"/>
  <c r="Z56"/>
  <c r="X56"/>
  <c r="W56"/>
  <c r="U56"/>
  <c r="T56"/>
  <c r="U55"/>
  <c r="T55"/>
  <c r="Q58"/>
  <c r="R56"/>
  <c r="Q56"/>
  <c r="R55"/>
  <c r="Q55"/>
  <c r="T51"/>
  <c r="R52"/>
  <c r="Q52"/>
  <c r="R51"/>
  <c r="Q51"/>
  <c r="Q50"/>
  <c r="R48"/>
  <c r="Q48"/>
  <c r="Q46"/>
  <c r="Q45"/>
  <c r="Z42"/>
  <c r="W42"/>
  <c r="U42"/>
  <c r="T42"/>
  <c r="R42"/>
  <c r="Q42"/>
  <c r="R41"/>
  <c r="Q41"/>
  <c r="O41"/>
  <c r="N41"/>
  <c r="R32"/>
  <c r="Q32"/>
  <c r="R29"/>
  <c r="Q29"/>
  <c r="R28"/>
  <c r="Q28"/>
  <c r="R26"/>
  <c r="Q26"/>
  <c r="Q25"/>
  <c r="T23"/>
  <c r="R23"/>
  <c r="Q23"/>
  <c r="R20"/>
  <c r="Q20"/>
  <c r="Q19"/>
  <c r="R17"/>
  <c r="Q17"/>
  <c r="O272"/>
  <c r="AL271" i="118" s="1"/>
  <c r="N272" i="111"/>
  <c r="O241"/>
  <c r="AL240" i="118" s="1"/>
  <c r="N241" i="111"/>
  <c r="O240"/>
  <c r="N240"/>
  <c r="O237"/>
  <c r="AL236" i="118" s="1"/>
  <c r="O222" i="111"/>
  <c r="N222"/>
  <c r="O216"/>
  <c r="AL215" i="118" s="1"/>
  <c r="N216" i="111"/>
  <c r="O215"/>
  <c r="N215"/>
  <c r="O211"/>
  <c r="N211"/>
  <c r="O207"/>
  <c r="N207"/>
  <c r="O205"/>
  <c r="AL204" i="118" s="1"/>
  <c r="N205" i="111"/>
  <c r="O204"/>
  <c r="N204"/>
  <c r="O202"/>
  <c r="N202"/>
  <c r="O201"/>
  <c r="N201"/>
  <c r="O189"/>
  <c r="N189"/>
  <c r="O188"/>
  <c r="AL187" i="118" s="1"/>
  <c r="N188" i="111"/>
  <c r="O179"/>
  <c r="AL178" i="118" s="1"/>
  <c r="N179" i="111"/>
  <c r="O178"/>
  <c r="N178"/>
  <c r="O170"/>
  <c r="AL169" i="118" s="1"/>
  <c r="N170" i="111"/>
  <c r="O169"/>
  <c r="AL168" i="118" s="1"/>
  <c r="N169" i="111"/>
  <c r="O154"/>
  <c r="AL153" i="118" s="1"/>
  <c r="N154" i="111"/>
  <c r="O153"/>
  <c r="AL152" i="118" s="1"/>
  <c r="N153" i="111"/>
  <c r="O134"/>
  <c r="AL133" i="118" s="1"/>
  <c r="N134" i="111"/>
  <c r="O133"/>
  <c r="AL132" i="118" s="1"/>
  <c r="N133" i="111"/>
  <c r="O128"/>
  <c r="AL127" i="118" s="1"/>
  <c r="N128" i="111"/>
  <c r="O127"/>
  <c r="AL126" i="118" s="1"/>
  <c r="N127" i="111"/>
  <c r="O124"/>
  <c r="N124"/>
  <c r="O123"/>
  <c r="AL122" i="118" s="1"/>
  <c r="N123" i="111"/>
  <c r="O114"/>
  <c r="O113" s="1"/>
  <c r="N114"/>
  <c r="O112"/>
  <c r="AL111" i="118" s="1"/>
  <c r="N112" i="111"/>
  <c r="O111"/>
  <c r="AL110" i="118" s="1"/>
  <c r="N111" i="111"/>
  <c r="O109"/>
  <c r="N109"/>
  <c r="O108"/>
  <c r="N108"/>
  <c r="O106"/>
  <c r="N106"/>
  <c r="O105"/>
  <c r="AL104" i="118" s="1"/>
  <c r="N105" i="111"/>
  <c r="O101"/>
  <c r="N101"/>
  <c r="O100"/>
  <c r="N100"/>
  <c r="O98"/>
  <c r="N98"/>
  <c r="O97"/>
  <c r="AL96" i="118" s="1"/>
  <c r="N97" i="111"/>
  <c r="O92"/>
  <c r="N92"/>
  <c r="O91"/>
  <c r="N91"/>
  <c r="O90"/>
  <c r="N90"/>
  <c r="O89"/>
  <c r="N89"/>
  <c r="O88"/>
  <c r="AL87" i="118" s="1"/>
  <c r="N88" i="111"/>
  <c r="O87"/>
  <c r="N87"/>
  <c r="N78"/>
  <c r="O76"/>
  <c r="AL75" i="118" s="1"/>
  <c r="N76" i="111"/>
  <c r="O75"/>
  <c r="N75"/>
  <c r="O74"/>
  <c r="N74"/>
  <c r="O73"/>
  <c r="AL72" i="118" s="1"/>
  <c r="N73" i="111"/>
  <c r="O71"/>
  <c r="N71"/>
  <c r="O68"/>
  <c r="N68"/>
  <c r="O67"/>
  <c r="AL66" i="118" s="1"/>
  <c r="N67" i="111"/>
  <c r="O58"/>
  <c r="AL57" i="118" s="1"/>
  <c r="N58" i="111"/>
  <c r="O57"/>
  <c r="N57"/>
  <c r="O56"/>
  <c r="N56"/>
  <c r="O55"/>
  <c r="N55"/>
  <c r="O52"/>
  <c r="N52"/>
  <c r="O51"/>
  <c r="N51"/>
  <c r="O50"/>
  <c r="N50"/>
  <c r="O48"/>
  <c r="N48"/>
  <c r="O46"/>
  <c r="N46"/>
  <c r="O45"/>
  <c r="N45"/>
  <c r="O42"/>
  <c r="N42"/>
  <c r="O32"/>
  <c r="N32"/>
  <c r="O31"/>
  <c r="N31"/>
  <c r="O29"/>
  <c r="N29"/>
  <c r="O28"/>
  <c r="N28"/>
  <c r="O26"/>
  <c r="AL25" i="118" s="1"/>
  <c r="N26" i="111"/>
  <c r="O25"/>
  <c r="N25"/>
  <c r="O23"/>
  <c r="N23"/>
  <c r="O22"/>
  <c r="N22"/>
  <c r="O20"/>
  <c r="AL19" i="118" s="1"/>
  <c r="N20" i="111"/>
  <c r="O19"/>
  <c r="N19"/>
  <c r="N17"/>
  <c r="O17"/>
  <c r="O16"/>
  <c r="N16"/>
  <c r="AL210" i="118"/>
  <c r="Q33" i="111"/>
  <c r="Q34"/>
  <c r="Q35"/>
  <c r="Q36"/>
  <c r="R36" s="1"/>
  <c r="Q37"/>
  <c r="R37" s="1"/>
  <c r="Q150"/>
  <c r="AL13" i="118"/>
  <c r="AL14"/>
  <c r="AL32"/>
  <c r="AL33"/>
  <c r="AL34"/>
  <c r="AL35"/>
  <c r="AL36"/>
  <c r="AL37"/>
  <c r="AL38"/>
  <c r="AL39"/>
  <c r="AL58"/>
  <c r="AL59"/>
  <c r="AL60"/>
  <c r="AL61"/>
  <c r="AL62"/>
  <c r="AL63"/>
  <c r="AL64"/>
  <c r="AL71"/>
  <c r="AL78"/>
  <c r="AL79"/>
  <c r="AL80"/>
  <c r="AL81"/>
  <c r="AL82"/>
  <c r="AL83"/>
  <c r="AL84"/>
  <c r="AL85"/>
  <c r="AL93"/>
  <c r="AL94"/>
  <c r="AL98"/>
  <c r="AL101"/>
  <c r="AL102"/>
  <c r="AL103"/>
  <c r="AL106"/>
  <c r="AL109"/>
  <c r="AL114"/>
  <c r="AL115"/>
  <c r="AL116"/>
  <c r="AL117"/>
  <c r="AL118"/>
  <c r="AL119"/>
  <c r="AL120"/>
  <c r="AL121"/>
  <c r="AL131"/>
  <c r="AL137"/>
  <c r="AL140"/>
  <c r="AL145"/>
  <c r="AL148"/>
  <c r="AL151"/>
  <c r="AL157"/>
  <c r="AL161"/>
  <c r="AL164"/>
  <c r="AL167"/>
  <c r="AL173"/>
  <c r="AL182"/>
  <c r="AL185"/>
  <c r="AL193"/>
  <c r="AL196"/>
  <c r="AL243"/>
  <c r="AL244"/>
  <c r="AL245"/>
  <c r="AL246"/>
  <c r="AL248"/>
  <c r="AL249"/>
  <c r="AL250"/>
  <c r="AL253"/>
  <c r="AL254"/>
  <c r="AL256"/>
  <c r="AL258"/>
  <c r="AL260"/>
  <c r="AL261"/>
  <c r="AL262"/>
  <c r="AL263"/>
  <c r="AL264"/>
  <c r="AL266"/>
  <c r="AL267"/>
  <c r="AL268"/>
  <c r="AL269"/>
  <c r="AL270"/>
  <c r="O66" i="111"/>
  <c r="AL65" i="118" s="1"/>
  <c r="N66" i="111"/>
  <c r="O235"/>
  <c r="AL234" i="118" s="1"/>
  <c r="N235" i="111"/>
  <c r="O234"/>
  <c r="AL233" i="118" s="1"/>
  <c r="N234" i="111"/>
  <c r="O233"/>
  <c r="AL232" i="118" s="1"/>
  <c r="N233" i="111"/>
  <c r="O232"/>
  <c r="AL231" i="118" s="1"/>
  <c r="N232" i="111"/>
  <c r="O231"/>
  <c r="AL230" i="118" s="1"/>
  <c r="N231" i="111"/>
  <c r="O200"/>
  <c r="AL199" i="118" s="1"/>
  <c r="N200" i="111"/>
  <c r="O199"/>
  <c r="AL198" i="118" s="1"/>
  <c r="N199" i="111"/>
  <c r="O198"/>
  <c r="AL197" i="118" s="1"/>
  <c r="N198" i="111"/>
  <c r="O187"/>
  <c r="AL186" i="118" s="1"/>
  <c r="N187" i="111"/>
  <c r="O185"/>
  <c r="AL184" i="118" s="1"/>
  <c r="N185" i="111"/>
  <c r="AI12" i="118"/>
  <c r="AJ12"/>
  <c r="AI13"/>
  <c r="AJ13"/>
  <c r="AI14"/>
  <c r="AJ14"/>
  <c r="AM14" s="1"/>
  <c r="AI33"/>
  <c r="AJ33"/>
  <c r="AI36"/>
  <c r="AJ36"/>
  <c r="AI38"/>
  <c r="AJ38"/>
  <c r="AI39"/>
  <c r="AJ39"/>
  <c r="AI59"/>
  <c r="AJ59"/>
  <c r="AM59" s="1"/>
  <c r="AI62"/>
  <c r="AJ62"/>
  <c r="AM62" s="1"/>
  <c r="AI65"/>
  <c r="AJ65"/>
  <c r="AI79"/>
  <c r="AJ79"/>
  <c r="AI80"/>
  <c r="AJ80"/>
  <c r="AI83"/>
  <c r="AJ83"/>
  <c r="AI84"/>
  <c r="AJ84"/>
  <c r="AI85"/>
  <c r="AJ85"/>
  <c r="AM85" s="1"/>
  <c r="AI116"/>
  <c r="AJ116"/>
  <c r="AM116" s="1"/>
  <c r="AI119"/>
  <c r="AJ119"/>
  <c r="AI121"/>
  <c r="AJ121"/>
  <c r="AM121" s="1"/>
  <c r="AI131"/>
  <c r="AJ131"/>
  <c r="AI137"/>
  <c r="AJ137"/>
  <c r="AI140"/>
  <c r="AJ140"/>
  <c r="AI184"/>
  <c r="AJ184"/>
  <c r="AI185"/>
  <c r="AJ185"/>
  <c r="AI186"/>
  <c r="AJ186"/>
  <c r="AI197"/>
  <c r="AJ197"/>
  <c r="AM197" s="1"/>
  <c r="AI198"/>
  <c r="AJ198"/>
  <c r="AI199"/>
  <c r="AJ199"/>
  <c r="AI230"/>
  <c r="AJ230"/>
  <c r="AI231"/>
  <c r="AJ231"/>
  <c r="AI232"/>
  <c r="AJ232"/>
  <c r="AI233"/>
  <c r="AJ233"/>
  <c r="AI234"/>
  <c r="AJ234"/>
  <c r="AJ236"/>
  <c r="AI243"/>
  <c r="AJ243"/>
  <c r="AM243" s="1"/>
  <c r="AI244"/>
  <c r="AJ244"/>
  <c r="AM244" s="1"/>
  <c r="AJ271"/>
  <c r="AK273"/>
  <c r="Q121" i="111"/>
  <c r="R121" s="1"/>
  <c r="Q116"/>
  <c r="R116" s="1"/>
  <c r="Q85"/>
  <c r="R85" s="1"/>
  <c r="T85" s="1"/>
  <c r="Q65"/>
  <c r="Q39"/>
  <c r="Q38"/>
  <c r="R38" s="1"/>
  <c r="T38" s="1"/>
  <c r="AB271"/>
  <c r="Y271"/>
  <c r="V271"/>
  <c r="S271"/>
  <c r="AB270"/>
  <c r="Y270"/>
  <c r="V270"/>
  <c r="S270"/>
  <c r="AB269"/>
  <c r="Y269"/>
  <c r="V269"/>
  <c r="S269"/>
  <c r="AB268"/>
  <c r="Y268"/>
  <c r="V268"/>
  <c r="S268"/>
  <c r="AB267"/>
  <c r="Y267"/>
  <c r="V267"/>
  <c r="S267"/>
  <c r="AA266"/>
  <c r="Z266"/>
  <c r="AB266" s="1"/>
  <c r="X266"/>
  <c r="W266"/>
  <c r="U266"/>
  <c r="T266"/>
  <c r="R266"/>
  <c r="Q266"/>
  <c r="AB265"/>
  <c r="Y265"/>
  <c r="V265"/>
  <c r="S265"/>
  <c r="AB264"/>
  <c r="Y264"/>
  <c r="V264"/>
  <c r="S264"/>
  <c r="AB263"/>
  <c r="Y263"/>
  <c r="V263"/>
  <c r="S263"/>
  <c r="AB262"/>
  <c r="Y262"/>
  <c r="V262"/>
  <c r="S262"/>
  <c r="AB261"/>
  <c r="Y261"/>
  <c r="V261"/>
  <c r="S261"/>
  <c r="AA260"/>
  <c r="Z260"/>
  <c r="AB260" s="1"/>
  <c r="X260"/>
  <c r="W260"/>
  <c r="U260"/>
  <c r="T260"/>
  <c r="V260" s="1"/>
  <c r="R260"/>
  <c r="Q260"/>
  <c r="S260" s="1"/>
  <c r="AB259"/>
  <c r="Y259"/>
  <c r="V259"/>
  <c r="S259"/>
  <c r="AB257"/>
  <c r="Y257"/>
  <c r="V257"/>
  <c r="S257"/>
  <c r="AB255"/>
  <c r="Y255"/>
  <c r="V255"/>
  <c r="S255"/>
  <c r="AB254"/>
  <c r="Y254"/>
  <c r="V254"/>
  <c r="S254"/>
  <c r="AA253"/>
  <c r="Z253"/>
  <c r="X253"/>
  <c r="W253"/>
  <c r="U253"/>
  <c r="T253"/>
  <c r="R253"/>
  <c r="Q253"/>
  <c r="AB251"/>
  <c r="Y251"/>
  <c r="V251"/>
  <c r="S251"/>
  <c r="AB250"/>
  <c r="Y250"/>
  <c r="V250"/>
  <c r="S250"/>
  <c r="AB249"/>
  <c r="Y249"/>
  <c r="V249"/>
  <c r="S249"/>
  <c r="AB247"/>
  <c r="Y247"/>
  <c r="V247"/>
  <c r="S247"/>
  <c r="AB246"/>
  <c r="Y246"/>
  <c r="V246"/>
  <c r="S246"/>
  <c r="AB245"/>
  <c r="Y245"/>
  <c r="V245"/>
  <c r="S245"/>
  <c r="AB244"/>
  <c r="Y244"/>
  <c r="V244"/>
  <c r="S244"/>
  <c r="Z233"/>
  <c r="AB233" s="1"/>
  <c r="Z232"/>
  <c r="AB232" s="1"/>
  <c r="AB231"/>
  <c r="Y231"/>
  <c r="V231"/>
  <c r="S231"/>
  <c r="AA230"/>
  <c r="X230"/>
  <c r="AB229"/>
  <c r="Y229"/>
  <c r="V229"/>
  <c r="S229"/>
  <c r="AB228"/>
  <c r="Y228"/>
  <c r="V228"/>
  <c r="S228"/>
  <c r="AB227"/>
  <c r="Y227"/>
  <c r="V227"/>
  <c r="S227"/>
  <c r="AA226"/>
  <c r="Z226"/>
  <c r="X226"/>
  <c r="W226"/>
  <c r="U226"/>
  <c r="T226"/>
  <c r="R226"/>
  <c r="Q226"/>
  <c r="AB225"/>
  <c r="Y225"/>
  <c r="V225"/>
  <c r="S225"/>
  <c r="AB224"/>
  <c r="Y224"/>
  <c r="V224"/>
  <c r="S224"/>
  <c r="AB223"/>
  <c r="Y223"/>
  <c r="V223"/>
  <c r="S223"/>
  <c r="AB221"/>
  <c r="Y221"/>
  <c r="V221"/>
  <c r="S221"/>
  <c r="AB220"/>
  <c r="Y220"/>
  <c r="V220"/>
  <c r="S220"/>
  <c r="AB219"/>
  <c r="Y219"/>
  <c r="V219"/>
  <c r="S219"/>
  <c r="AB217"/>
  <c r="Y217"/>
  <c r="V217"/>
  <c r="S217"/>
  <c r="AB210"/>
  <c r="Y210"/>
  <c r="V210"/>
  <c r="S210"/>
  <c r="AB209"/>
  <c r="Y209"/>
  <c r="V209"/>
  <c r="S209"/>
  <c r="AB200"/>
  <c r="Y200"/>
  <c r="V200"/>
  <c r="S200"/>
  <c r="AB199"/>
  <c r="Y199"/>
  <c r="V199"/>
  <c r="S199"/>
  <c r="AB198"/>
  <c r="Y198"/>
  <c r="V198"/>
  <c r="S198"/>
  <c r="AB197"/>
  <c r="Y197"/>
  <c r="V197"/>
  <c r="S197"/>
  <c r="AB196"/>
  <c r="Y196"/>
  <c r="V196"/>
  <c r="S196"/>
  <c r="AA195"/>
  <c r="Z195"/>
  <c r="X195"/>
  <c r="W195"/>
  <c r="U195"/>
  <c r="T195"/>
  <c r="R195"/>
  <c r="Q195"/>
  <c r="S195" s="1"/>
  <c r="AB194"/>
  <c r="Y194"/>
  <c r="V194"/>
  <c r="S194"/>
  <c r="AB193"/>
  <c r="Y193"/>
  <c r="V193"/>
  <c r="S193"/>
  <c r="AA192"/>
  <c r="Z192"/>
  <c r="AB192" s="1"/>
  <c r="X192"/>
  <c r="W192"/>
  <c r="U192"/>
  <c r="T192"/>
  <c r="R192"/>
  <c r="Q192"/>
  <c r="AB191"/>
  <c r="Y191"/>
  <c r="V191"/>
  <c r="S191"/>
  <c r="AB187"/>
  <c r="Y187"/>
  <c r="V187"/>
  <c r="S187"/>
  <c r="AB186"/>
  <c r="Y186"/>
  <c r="V186"/>
  <c r="S186"/>
  <c r="AB185"/>
  <c r="Y185"/>
  <c r="V185"/>
  <c r="S185"/>
  <c r="AA184"/>
  <c r="Z184"/>
  <c r="X184"/>
  <c r="W184"/>
  <c r="U184"/>
  <c r="T184"/>
  <c r="R184"/>
  <c r="Q184"/>
  <c r="AB183"/>
  <c r="Y183"/>
  <c r="V183"/>
  <c r="S183"/>
  <c r="AB182"/>
  <c r="Y182"/>
  <c r="V182"/>
  <c r="S182"/>
  <c r="AA181"/>
  <c r="Z181"/>
  <c r="X181"/>
  <c r="W181"/>
  <c r="U181"/>
  <c r="T181"/>
  <c r="R181"/>
  <c r="Q181"/>
  <c r="AB174"/>
  <c r="Y174"/>
  <c r="V174"/>
  <c r="S174"/>
  <c r="AB173"/>
  <c r="Y173"/>
  <c r="V173"/>
  <c r="S173"/>
  <c r="AA172"/>
  <c r="Z172"/>
  <c r="X172"/>
  <c r="W172"/>
  <c r="U172"/>
  <c r="T172"/>
  <c r="R172"/>
  <c r="Q172"/>
  <c r="AB168"/>
  <c r="Y168"/>
  <c r="V168"/>
  <c r="S168"/>
  <c r="AB167"/>
  <c r="Y167"/>
  <c r="V167"/>
  <c r="S167"/>
  <c r="AA166"/>
  <c r="Z166"/>
  <c r="X166"/>
  <c r="W166"/>
  <c r="U166"/>
  <c r="T166"/>
  <c r="R166"/>
  <c r="Q166"/>
  <c r="AB165"/>
  <c r="Y165"/>
  <c r="V165"/>
  <c r="S165"/>
  <c r="AB164"/>
  <c r="Y164"/>
  <c r="V164"/>
  <c r="S164"/>
  <c r="AA163"/>
  <c r="Z163"/>
  <c r="X163"/>
  <c r="W163"/>
  <c r="U163"/>
  <c r="T163"/>
  <c r="R163"/>
  <c r="Q163"/>
  <c r="AB162"/>
  <c r="Y162"/>
  <c r="V162"/>
  <c r="S162"/>
  <c r="AB161"/>
  <c r="Y161"/>
  <c r="V161"/>
  <c r="S161"/>
  <c r="AA160"/>
  <c r="Z160"/>
  <c r="X160"/>
  <c r="W160"/>
  <c r="U160"/>
  <c r="T160"/>
  <c r="R160"/>
  <c r="S160" s="1"/>
  <c r="Q160"/>
  <c r="AB158"/>
  <c r="Y158"/>
  <c r="V158"/>
  <c r="S158"/>
  <c r="AB157"/>
  <c r="Y157"/>
  <c r="V157"/>
  <c r="S157"/>
  <c r="AA156"/>
  <c r="Z156"/>
  <c r="X156"/>
  <c r="W156"/>
  <c r="U156"/>
  <c r="T156"/>
  <c r="R156"/>
  <c r="Q156"/>
  <c r="AB152"/>
  <c r="Y152"/>
  <c r="V152"/>
  <c r="S152"/>
  <c r="AB151"/>
  <c r="Y151"/>
  <c r="V151"/>
  <c r="S151"/>
  <c r="AA150"/>
  <c r="Z150"/>
  <c r="AB150" s="1"/>
  <c r="X150"/>
  <c r="W150"/>
  <c r="U150"/>
  <c r="T150"/>
  <c r="R150"/>
  <c r="AB149"/>
  <c r="Y149"/>
  <c r="V149"/>
  <c r="S149"/>
  <c r="AB148"/>
  <c r="Y148"/>
  <c r="V148"/>
  <c r="S148"/>
  <c r="AA147"/>
  <c r="Z147"/>
  <c r="X147"/>
  <c r="W147"/>
  <c r="U147"/>
  <c r="T147"/>
  <c r="R147"/>
  <c r="Q147"/>
  <c r="AB146"/>
  <c r="Y146"/>
  <c r="V146"/>
  <c r="S146"/>
  <c r="AB145"/>
  <c r="Y145"/>
  <c r="V145"/>
  <c r="S145"/>
  <c r="AA144"/>
  <c r="Z144"/>
  <c r="X144"/>
  <c r="W144"/>
  <c r="U144"/>
  <c r="T144"/>
  <c r="R144"/>
  <c r="Q144"/>
  <c r="AB141"/>
  <c r="Y141"/>
  <c r="V141"/>
  <c r="S141"/>
  <c r="AB140"/>
  <c r="Y140"/>
  <c r="V140"/>
  <c r="S140"/>
  <c r="AA139"/>
  <c r="Z139"/>
  <c r="X139"/>
  <c r="W139"/>
  <c r="U139"/>
  <c r="T139"/>
  <c r="R139"/>
  <c r="Q139"/>
  <c r="AB138"/>
  <c r="Y138"/>
  <c r="V138"/>
  <c r="S138"/>
  <c r="AB137"/>
  <c r="Y137"/>
  <c r="V137"/>
  <c r="S137"/>
  <c r="AA136"/>
  <c r="Z136"/>
  <c r="X136"/>
  <c r="W136"/>
  <c r="U136"/>
  <c r="T136"/>
  <c r="R136"/>
  <c r="Q136"/>
  <c r="Z132"/>
  <c r="AB132" s="1"/>
  <c r="W132"/>
  <c r="Y132" s="1"/>
  <c r="T132"/>
  <c r="V132" s="1"/>
  <c r="Q132"/>
  <c r="S132" s="1"/>
  <c r="Z131"/>
  <c r="AB131" s="1"/>
  <c r="W131"/>
  <c r="Y131" s="1"/>
  <c r="T131"/>
  <c r="V131" s="1"/>
  <c r="AA130"/>
  <c r="X130"/>
  <c r="Z130" s="1"/>
  <c r="U130"/>
  <c r="W130" s="1"/>
  <c r="R130"/>
  <c r="T130" s="1"/>
  <c r="AB122"/>
  <c r="Y122"/>
  <c r="V122"/>
  <c r="S122"/>
  <c r="Q120"/>
  <c r="R120" s="1"/>
  <c r="T120" s="1"/>
  <c r="Q119"/>
  <c r="R119" s="1"/>
  <c r="T119" s="1"/>
  <c r="AB117"/>
  <c r="Y117"/>
  <c r="V117"/>
  <c r="S117"/>
  <c r="AB110"/>
  <c r="Y110"/>
  <c r="V110"/>
  <c r="S110"/>
  <c r="AB107"/>
  <c r="Y107"/>
  <c r="V107"/>
  <c r="S107"/>
  <c r="AB104"/>
  <c r="Y104"/>
  <c r="V104"/>
  <c r="S104"/>
  <c r="AB103"/>
  <c r="Y103"/>
  <c r="V103"/>
  <c r="S103"/>
  <c r="AB102"/>
  <c r="Y102"/>
  <c r="V102"/>
  <c r="S102"/>
  <c r="AB99"/>
  <c r="Y99"/>
  <c r="V99"/>
  <c r="S99"/>
  <c r="AB95"/>
  <c r="Y95"/>
  <c r="V95"/>
  <c r="S95"/>
  <c r="AB94"/>
  <c r="Y94"/>
  <c r="V94"/>
  <c r="S94"/>
  <c r="AA93"/>
  <c r="Z93"/>
  <c r="X93"/>
  <c r="W93"/>
  <c r="U93"/>
  <c r="T93"/>
  <c r="R93"/>
  <c r="Q93"/>
  <c r="AB86"/>
  <c r="Y86"/>
  <c r="V86"/>
  <c r="S86"/>
  <c r="Q84"/>
  <c r="R84" s="1"/>
  <c r="T84" s="1"/>
  <c r="Q83"/>
  <c r="R83" s="1"/>
  <c r="AB81"/>
  <c r="Y81"/>
  <c r="V81"/>
  <c r="S81"/>
  <c r="Q80"/>
  <c r="AB72"/>
  <c r="Y72"/>
  <c r="V72"/>
  <c r="S72"/>
  <c r="Z66"/>
  <c r="AB66" s="1"/>
  <c r="W66"/>
  <c r="Y66" s="1"/>
  <c r="T66"/>
  <c r="V66" s="1"/>
  <c r="Q66"/>
  <c r="S66" s="1"/>
  <c r="Q64"/>
  <c r="R64" s="1"/>
  <c r="T64" s="1"/>
  <c r="U64" s="1"/>
  <c r="W64" s="1"/>
  <c r="Q63"/>
  <c r="Q62"/>
  <c r="R62" s="1"/>
  <c r="T62" s="1"/>
  <c r="U62" s="1"/>
  <c r="AB60"/>
  <c r="Y60"/>
  <c r="V60"/>
  <c r="S60"/>
  <c r="Z43"/>
  <c r="AB43" s="1"/>
  <c r="W43"/>
  <c r="Y43" s="1"/>
  <c r="T43"/>
  <c r="V43" s="1"/>
  <c r="Z40"/>
  <c r="AB40" s="1"/>
  <c r="W40"/>
  <c r="Y40" s="1"/>
  <c r="T40"/>
  <c r="V40" s="1"/>
  <c r="Q40"/>
  <c r="S40" s="1"/>
  <c r="Z34"/>
  <c r="AB34" s="1"/>
  <c r="W34"/>
  <c r="Y34" s="1"/>
  <c r="T34"/>
  <c r="V34" s="1"/>
  <c r="AB15"/>
  <c r="Y15"/>
  <c r="V15"/>
  <c r="S15"/>
  <c r="AB14"/>
  <c r="Y14"/>
  <c r="V14"/>
  <c r="S14"/>
  <c r="AA13"/>
  <c r="Z13"/>
  <c r="X13"/>
  <c r="W13"/>
  <c r="U13"/>
  <c r="T13"/>
  <c r="V13" s="1"/>
  <c r="R13"/>
  <c r="Q13"/>
  <c r="AB288" i="120"/>
  <c r="Y288"/>
  <c r="V288"/>
  <c r="S288"/>
  <c r="P288"/>
  <c r="N281"/>
  <c r="Q281" s="1"/>
  <c r="Q273"/>
  <c r="R273" s="1"/>
  <c r="T273" s="1"/>
  <c r="AC273" s="1"/>
  <c r="P273"/>
  <c r="L273"/>
  <c r="M273" s="1"/>
  <c r="J273"/>
  <c r="G273"/>
  <c r="AC272"/>
  <c r="AB271"/>
  <c r="Y271"/>
  <c r="V271"/>
  <c r="S271"/>
  <c r="P271"/>
  <c r="M271"/>
  <c r="J271"/>
  <c r="G271"/>
  <c r="AB270"/>
  <c r="Y270"/>
  <c r="V270"/>
  <c r="S270"/>
  <c r="P270"/>
  <c r="M270"/>
  <c r="J270"/>
  <c r="G270"/>
  <c r="AB269"/>
  <c r="Y269"/>
  <c r="V269"/>
  <c r="S269"/>
  <c r="P269"/>
  <c r="M269"/>
  <c r="J269"/>
  <c r="G269"/>
  <c r="AB268"/>
  <c r="Y268"/>
  <c r="V268"/>
  <c r="S268"/>
  <c r="P268"/>
  <c r="M268"/>
  <c r="J268"/>
  <c r="G268"/>
  <c r="AB267"/>
  <c r="Y267"/>
  <c r="V267"/>
  <c r="S267"/>
  <c r="P267"/>
  <c r="M267"/>
  <c r="J267"/>
  <c r="G267"/>
  <c r="AA266"/>
  <c r="Z266"/>
  <c r="X266"/>
  <c r="W266"/>
  <c r="U266"/>
  <c r="T266"/>
  <c r="AC266" s="1"/>
  <c r="R266"/>
  <c r="Q266"/>
  <c r="P266"/>
  <c r="L266"/>
  <c r="K266"/>
  <c r="I266"/>
  <c r="H266"/>
  <c r="F266"/>
  <c r="E266"/>
  <c r="AB265"/>
  <c r="Y265"/>
  <c r="V265"/>
  <c r="S265"/>
  <c r="P265"/>
  <c r="M265"/>
  <c r="J265"/>
  <c r="G265"/>
  <c r="AB264"/>
  <c r="Y264"/>
  <c r="V264"/>
  <c r="S264"/>
  <c r="P264"/>
  <c r="M264"/>
  <c r="J264"/>
  <c r="G264"/>
  <c r="AB263"/>
  <c r="Y263"/>
  <c r="V263"/>
  <c r="S263"/>
  <c r="P263"/>
  <c r="M263"/>
  <c r="J263"/>
  <c r="G263"/>
  <c r="AB262"/>
  <c r="Y262"/>
  <c r="V262"/>
  <c r="S262"/>
  <c r="P262"/>
  <c r="M262"/>
  <c r="J262"/>
  <c r="G262"/>
  <c r="AB261"/>
  <c r="Y261"/>
  <c r="V261"/>
  <c r="S261"/>
  <c r="P261"/>
  <c r="M261"/>
  <c r="J261"/>
  <c r="G261"/>
  <c r="AA260"/>
  <c r="Z260"/>
  <c r="X260"/>
  <c r="W260"/>
  <c r="U260"/>
  <c r="T260"/>
  <c r="R260"/>
  <c r="Q260"/>
  <c r="P260"/>
  <c r="L260"/>
  <c r="K260"/>
  <c r="I260"/>
  <c r="H260"/>
  <c r="F260"/>
  <c r="E260"/>
  <c r="AB259"/>
  <c r="Y259"/>
  <c r="V259"/>
  <c r="S259"/>
  <c r="P259"/>
  <c r="M259"/>
  <c r="J259"/>
  <c r="G259"/>
  <c r="AB258"/>
  <c r="Y258"/>
  <c r="V258"/>
  <c r="S258"/>
  <c r="P258"/>
  <c r="M258"/>
  <c r="J258"/>
  <c r="G258"/>
  <c r="AB257"/>
  <c r="Y257"/>
  <c r="V257"/>
  <c r="S257"/>
  <c r="P257"/>
  <c r="M257"/>
  <c r="J257"/>
  <c r="G257"/>
  <c r="AA256"/>
  <c r="Z256"/>
  <c r="X256"/>
  <c r="W256"/>
  <c r="U256"/>
  <c r="T256"/>
  <c r="AC256" s="1"/>
  <c r="R256"/>
  <c r="Q256"/>
  <c r="P256"/>
  <c r="L256"/>
  <c r="K256"/>
  <c r="I256"/>
  <c r="H256"/>
  <c r="F256"/>
  <c r="E256"/>
  <c r="AB255"/>
  <c r="Y255"/>
  <c r="V255"/>
  <c r="S255"/>
  <c r="P255"/>
  <c r="M255"/>
  <c r="J255"/>
  <c r="G255"/>
  <c r="AB254"/>
  <c r="Y254"/>
  <c r="V254"/>
  <c r="S254"/>
  <c r="P254"/>
  <c r="M254"/>
  <c r="J254"/>
  <c r="G254"/>
  <c r="AA253"/>
  <c r="Z253"/>
  <c r="X253"/>
  <c r="X252" s="1"/>
  <c r="W253"/>
  <c r="U253"/>
  <c r="T253"/>
  <c r="R253"/>
  <c r="Q253"/>
  <c r="P253"/>
  <c r="L253"/>
  <c r="K253"/>
  <c r="I253"/>
  <c r="H253"/>
  <c r="F253"/>
  <c r="E253"/>
  <c r="P252"/>
  <c r="AB251"/>
  <c r="Y251"/>
  <c r="V251"/>
  <c r="S251"/>
  <c r="P251"/>
  <c r="M251"/>
  <c r="J251"/>
  <c r="G251"/>
  <c r="AB250"/>
  <c r="Y250"/>
  <c r="V250"/>
  <c r="S250"/>
  <c r="P250"/>
  <c r="M250"/>
  <c r="J250"/>
  <c r="G250"/>
  <c r="AB249"/>
  <c r="Y249"/>
  <c r="V249"/>
  <c r="S249"/>
  <c r="P249"/>
  <c r="M249"/>
  <c r="J249"/>
  <c r="G249"/>
  <c r="AB248"/>
  <c r="Y248"/>
  <c r="V248"/>
  <c r="S248"/>
  <c r="P248"/>
  <c r="M248"/>
  <c r="J248"/>
  <c r="G248"/>
  <c r="AB247"/>
  <c r="Y247"/>
  <c r="V247"/>
  <c r="S247"/>
  <c r="P247"/>
  <c r="M247"/>
  <c r="J247"/>
  <c r="G247"/>
  <c r="AB246"/>
  <c r="Y246"/>
  <c r="V246"/>
  <c r="S246"/>
  <c r="P246"/>
  <c r="M246"/>
  <c r="J246"/>
  <c r="G246"/>
  <c r="AB245"/>
  <c r="Y245"/>
  <c r="V245"/>
  <c r="S245"/>
  <c r="P245"/>
  <c r="M245"/>
  <c r="J245"/>
  <c r="G245"/>
  <c r="AB244"/>
  <c r="Y244"/>
  <c r="V244"/>
  <c r="S244"/>
  <c r="P244"/>
  <c r="M244"/>
  <c r="J244"/>
  <c r="G244"/>
  <c r="AA243"/>
  <c r="AA242" s="1"/>
  <c r="Z243"/>
  <c r="X243"/>
  <c r="X242" s="1"/>
  <c r="W243"/>
  <c r="U243"/>
  <c r="U242" s="1"/>
  <c r="T243"/>
  <c r="R243"/>
  <c r="R242" s="1"/>
  <c r="Q243"/>
  <c r="P243"/>
  <c r="L243"/>
  <c r="L242" s="1"/>
  <c r="L239" s="1"/>
  <c r="L238" s="1"/>
  <c r="K243"/>
  <c r="I243"/>
  <c r="I242" s="1"/>
  <c r="I239" s="1"/>
  <c r="I238" s="1"/>
  <c r="H243"/>
  <c r="F243"/>
  <c r="F242" s="1"/>
  <c r="F239" s="1"/>
  <c r="F238" s="1"/>
  <c r="E243"/>
  <c r="P242"/>
  <c r="AB241"/>
  <c r="Y241"/>
  <c r="V241"/>
  <c r="S241"/>
  <c r="P241"/>
  <c r="M241"/>
  <c r="J241"/>
  <c r="G241"/>
  <c r="Q240"/>
  <c r="R240" s="1"/>
  <c r="P240"/>
  <c r="M240"/>
  <c r="J240"/>
  <c r="G240"/>
  <c r="P239"/>
  <c r="P238"/>
  <c r="Q237"/>
  <c r="P237"/>
  <c r="M237"/>
  <c r="J237"/>
  <c r="G237"/>
  <c r="P236"/>
  <c r="L236"/>
  <c r="K236"/>
  <c r="I236"/>
  <c r="H236"/>
  <c r="F236"/>
  <c r="E236"/>
  <c r="Q233"/>
  <c r="R233" s="1"/>
  <c r="P233"/>
  <c r="M233"/>
  <c r="J233"/>
  <c r="G233"/>
  <c r="Q232"/>
  <c r="R232" s="1"/>
  <c r="P232"/>
  <c r="M232"/>
  <c r="J232"/>
  <c r="G232"/>
  <c r="AB231"/>
  <c r="Y231"/>
  <c r="V231"/>
  <c r="S231"/>
  <c r="P231"/>
  <c r="M231"/>
  <c r="J231"/>
  <c r="G231"/>
  <c r="P230"/>
  <c r="L230"/>
  <c r="K230"/>
  <c r="I230"/>
  <c r="H230"/>
  <c r="J230" s="1"/>
  <c r="F230"/>
  <c r="E230"/>
  <c r="AB229"/>
  <c r="Y229"/>
  <c r="V229"/>
  <c r="S229"/>
  <c r="P229"/>
  <c r="M229"/>
  <c r="J229"/>
  <c r="G229"/>
  <c r="AB228"/>
  <c r="Y228"/>
  <c r="V228"/>
  <c r="S228"/>
  <c r="P228"/>
  <c r="M228"/>
  <c r="J228"/>
  <c r="G228"/>
  <c r="AB227"/>
  <c r="Y227"/>
  <c r="V227"/>
  <c r="S227"/>
  <c r="P227"/>
  <c r="M227"/>
  <c r="J227"/>
  <c r="G227"/>
  <c r="AA226"/>
  <c r="Z226"/>
  <c r="X226"/>
  <c r="W226"/>
  <c r="U226"/>
  <c r="T226"/>
  <c r="AC226" s="1"/>
  <c r="R226"/>
  <c r="Q226"/>
  <c r="P226"/>
  <c r="L226"/>
  <c r="K226"/>
  <c r="I226"/>
  <c r="H226"/>
  <c r="F226"/>
  <c r="E226"/>
  <c r="AB225"/>
  <c r="Y225"/>
  <c r="V225"/>
  <c r="S225"/>
  <c r="P225"/>
  <c r="M225"/>
  <c r="J225"/>
  <c r="G225"/>
  <c r="AB224"/>
  <c r="Y224"/>
  <c r="V224"/>
  <c r="S224"/>
  <c r="P224"/>
  <c r="M224"/>
  <c r="J224"/>
  <c r="G224"/>
  <c r="AB223"/>
  <c r="Y223"/>
  <c r="V223"/>
  <c r="S223"/>
  <c r="P223"/>
  <c r="M223"/>
  <c r="J223"/>
  <c r="G223"/>
  <c r="Q222"/>
  <c r="R222" s="1"/>
  <c r="T222" s="1"/>
  <c r="AC222" s="1"/>
  <c r="P222"/>
  <c r="K222"/>
  <c r="J222"/>
  <c r="G222"/>
  <c r="Q221"/>
  <c r="R221" s="1"/>
  <c r="T221" s="1"/>
  <c r="AC221" s="1"/>
  <c r="P221"/>
  <c r="M221"/>
  <c r="J221"/>
  <c r="G221"/>
  <c r="Q220"/>
  <c r="P220"/>
  <c r="M220"/>
  <c r="J220"/>
  <c r="G220"/>
  <c r="AB219"/>
  <c r="Y219"/>
  <c r="V219"/>
  <c r="S219"/>
  <c r="P219"/>
  <c r="M219"/>
  <c r="J219"/>
  <c r="G219"/>
  <c r="P218"/>
  <c r="I218"/>
  <c r="H218"/>
  <c r="F218"/>
  <c r="E218"/>
  <c r="AB217"/>
  <c r="Y217"/>
  <c r="V217"/>
  <c r="S217"/>
  <c r="P217"/>
  <c r="M217"/>
  <c r="J217"/>
  <c r="G217"/>
  <c r="Q216"/>
  <c r="R216" s="1"/>
  <c r="T216" s="1"/>
  <c r="AC216" s="1"/>
  <c r="P216"/>
  <c r="K216"/>
  <c r="L216" s="1"/>
  <c r="M216" s="1"/>
  <c r="H216"/>
  <c r="I216" s="1"/>
  <c r="E216"/>
  <c r="F216" s="1"/>
  <c r="Q215"/>
  <c r="R215" s="1"/>
  <c r="T215" s="1"/>
  <c r="U215" s="1"/>
  <c r="W215" s="1"/>
  <c r="P215"/>
  <c r="M215"/>
  <c r="J215"/>
  <c r="G215"/>
  <c r="AB214"/>
  <c r="Y214"/>
  <c r="V214"/>
  <c r="S214"/>
  <c r="P214"/>
  <c r="M214"/>
  <c r="J214"/>
  <c r="G214"/>
  <c r="AB213"/>
  <c r="Y213"/>
  <c r="V213"/>
  <c r="S213"/>
  <c r="P213"/>
  <c r="M213"/>
  <c r="J213"/>
  <c r="G213"/>
  <c r="AA212"/>
  <c r="Z212"/>
  <c r="X212"/>
  <c r="W212"/>
  <c r="U212"/>
  <c r="T212"/>
  <c r="R212"/>
  <c r="Q212"/>
  <c r="P212"/>
  <c r="L212"/>
  <c r="K212"/>
  <c r="I212"/>
  <c r="H212"/>
  <c r="F212"/>
  <c r="E212"/>
  <c r="Q211"/>
  <c r="R211" s="1"/>
  <c r="P211"/>
  <c r="M211"/>
  <c r="J211"/>
  <c r="G211"/>
  <c r="AB210"/>
  <c r="Y210"/>
  <c r="V210"/>
  <c r="S210"/>
  <c r="P210"/>
  <c r="M210"/>
  <c r="J210"/>
  <c r="G210"/>
  <c r="AB209"/>
  <c r="Y209"/>
  <c r="V209"/>
  <c r="S209"/>
  <c r="P209"/>
  <c r="M209"/>
  <c r="J209"/>
  <c r="G209"/>
  <c r="P208"/>
  <c r="AA207"/>
  <c r="Z207"/>
  <c r="Y207"/>
  <c r="X207"/>
  <c r="W207"/>
  <c r="V207"/>
  <c r="U207"/>
  <c r="T207"/>
  <c r="AC207" s="1"/>
  <c r="S207"/>
  <c r="P207"/>
  <c r="M207"/>
  <c r="L207"/>
  <c r="K207"/>
  <c r="J207"/>
  <c r="I207"/>
  <c r="H207"/>
  <c r="G207"/>
  <c r="F207"/>
  <c r="E207"/>
  <c r="AB206"/>
  <c r="Y206"/>
  <c r="V206"/>
  <c r="S206"/>
  <c r="P206"/>
  <c r="M206"/>
  <c r="J206"/>
  <c r="G206"/>
  <c r="AB205"/>
  <c r="Y205"/>
  <c r="V205"/>
  <c r="S205"/>
  <c r="P205"/>
  <c r="M205"/>
  <c r="J205"/>
  <c r="G205"/>
  <c r="AA204"/>
  <c r="Z204"/>
  <c r="X204"/>
  <c r="W204"/>
  <c r="U204"/>
  <c r="T204"/>
  <c r="R204"/>
  <c r="Q204"/>
  <c r="P204"/>
  <c r="L204"/>
  <c r="K204"/>
  <c r="I204"/>
  <c r="H204"/>
  <c r="F204"/>
  <c r="E204"/>
  <c r="Q203"/>
  <c r="R203" s="1"/>
  <c r="T203" s="1"/>
  <c r="AC203" s="1"/>
  <c r="P203"/>
  <c r="M203"/>
  <c r="J203"/>
  <c r="G203"/>
  <c r="Q202"/>
  <c r="P202"/>
  <c r="M202"/>
  <c r="J202"/>
  <c r="G202"/>
  <c r="P201"/>
  <c r="L201"/>
  <c r="K201"/>
  <c r="I201"/>
  <c r="H201"/>
  <c r="F201"/>
  <c r="E201"/>
  <c r="AB200"/>
  <c r="Y200"/>
  <c r="V200"/>
  <c r="S200"/>
  <c r="P200"/>
  <c r="M200"/>
  <c r="J200"/>
  <c r="G200"/>
  <c r="AB199"/>
  <c r="Y199"/>
  <c r="V199"/>
  <c r="S199"/>
  <c r="P199"/>
  <c r="M199"/>
  <c r="J199"/>
  <c r="G199"/>
  <c r="AB198"/>
  <c r="Y198"/>
  <c r="V198"/>
  <c r="S198"/>
  <c r="P198"/>
  <c r="M198"/>
  <c r="J198"/>
  <c r="G198"/>
  <c r="AB197"/>
  <c r="Y197"/>
  <c r="V197"/>
  <c r="S197"/>
  <c r="P197"/>
  <c r="M197"/>
  <c r="J197"/>
  <c r="G197"/>
  <c r="AB196"/>
  <c r="Y196"/>
  <c r="V196"/>
  <c r="S196"/>
  <c r="P196"/>
  <c r="M196"/>
  <c r="J196"/>
  <c r="G196"/>
  <c r="AA195"/>
  <c r="AB195" s="1"/>
  <c r="Z195"/>
  <c r="X195"/>
  <c r="W195"/>
  <c r="U195"/>
  <c r="T195"/>
  <c r="R195"/>
  <c r="Q195"/>
  <c r="P195"/>
  <c r="L195"/>
  <c r="K195"/>
  <c r="I195"/>
  <c r="H195"/>
  <c r="F195"/>
  <c r="E195"/>
  <c r="AB194"/>
  <c r="Y194"/>
  <c r="V194"/>
  <c r="S194"/>
  <c r="P194"/>
  <c r="M194"/>
  <c r="J194"/>
  <c r="G194"/>
  <c r="AB193"/>
  <c r="Y193"/>
  <c r="V193"/>
  <c r="S193"/>
  <c r="P193"/>
  <c r="M193"/>
  <c r="J193"/>
  <c r="G193"/>
  <c r="AA192"/>
  <c r="Z192"/>
  <c r="X192"/>
  <c r="W192"/>
  <c r="U192"/>
  <c r="T192"/>
  <c r="AC192" s="1"/>
  <c r="R192"/>
  <c r="Q192"/>
  <c r="P192"/>
  <c r="L192"/>
  <c r="K192"/>
  <c r="I192"/>
  <c r="H192"/>
  <c r="F192"/>
  <c r="E192"/>
  <c r="AB191"/>
  <c r="Y191"/>
  <c r="V191"/>
  <c r="S191"/>
  <c r="P191"/>
  <c r="M191"/>
  <c r="J191"/>
  <c r="G191"/>
  <c r="Q190"/>
  <c r="R190" s="1"/>
  <c r="P190"/>
  <c r="M190"/>
  <c r="J190"/>
  <c r="G190"/>
  <c r="Q189"/>
  <c r="R189" s="1"/>
  <c r="P189"/>
  <c r="M189"/>
  <c r="J189"/>
  <c r="G189"/>
  <c r="P188"/>
  <c r="L188"/>
  <c r="K188"/>
  <c r="I188"/>
  <c r="J188" s="1"/>
  <c r="H188"/>
  <c r="F188"/>
  <c r="E188"/>
  <c r="AB187"/>
  <c r="Y187"/>
  <c r="V187"/>
  <c r="S187"/>
  <c r="P187"/>
  <c r="M187"/>
  <c r="J187"/>
  <c r="G187"/>
  <c r="AB186"/>
  <c r="Y186"/>
  <c r="V186"/>
  <c r="S186"/>
  <c r="P186"/>
  <c r="M186"/>
  <c r="J186"/>
  <c r="G186"/>
  <c r="AB185"/>
  <c r="Y185"/>
  <c r="V185"/>
  <c r="S185"/>
  <c r="P185"/>
  <c r="M185"/>
  <c r="J185"/>
  <c r="G185"/>
  <c r="AA184"/>
  <c r="Z184"/>
  <c r="X184"/>
  <c r="W184"/>
  <c r="U184"/>
  <c r="V184" s="1"/>
  <c r="T184"/>
  <c r="R184"/>
  <c r="Q184"/>
  <c r="P184"/>
  <c r="L184"/>
  <c r="K184"/>
  <c r="I184"/>
  <c r="H184"/>
  <c r="F184"/>
  <c r="E184"/>
  <c r="AB183"/>
  <c r="Y183"/>
  <c r="V183"/>
  <c r="S183"/>
  <c r="P183"/>
  <c r="M183"/>
  <c r="J183"/>
  <c r="G183"/>
  <c r="AB182"/>
  <c r="Y182"/>
  <c r="V182"/>
  <c r="S182"/>
  <c r="P182"/>
  <c r="M182"/>
  <c r="J182"/>
  <c r="G182"/>
  <c r="AA181"/>
  <c r="Z181"/>
  <c r="X181"/>
  <c r="W181"/>
  <c r="U181"/>
  <c r="T181"/>
  <c r="AC181" s="1"/>
  <c r="R181"/>
  <c r="Q181"/>
  <c r="P181"/>
  <c r="L181"/>
  <c r="K181"/>
  <c r="I181"/>
  <c r="H181"/>
  <c r="F181"/>
  <c r="E181"/>
  <c r="Q180"/>
  <c r="R180" s="1"/>
  <c r="T180" s="1"/>
  <c r="P180"/>
  <c r="M180"/>
  <c r="J180"/>
  <c r="G180"/>
  <c r="Q179"/>
  <c r="R179" s="1"/>
  <c r="P179"/>
  <c r="M179"/>
  <c r="J179"/>
  <c r="G179"/>
  <c r="P178"/>
  <c r="L178"/>
  <c r="K178"/>
  <c r="I178"/>
  <c r="H178"/>
  <c r="F178"/>
  <c r="E178"/>
  <c r="P177"/>
  <c r="P176"/>
  <c r="P175"/>
  <c r="AB174"/>
  <c r="Y174"/>
  <c r="V174"/>
  <c r="S174"/>
  <c r="P174"/>
  <c r="M174"/>
  <c r="J174"/>
  <c r="G174"/>
  <c r="AB173"/>
  <c r="Y173"/>
  <c r="V173"/>
  <c r="S173"/>
  <c r="P173"/>
  <c r="M173"/>
  <c r="J173"/>
  <c r="G173"/>
  <c r="AA172"/>
  <c r="Z172"/>
  <c r="X172"/>
  <c r="W172"/>
  <c r="U172"/>
  <c r="T172"/>
  <c r="R172"/>
  <c r="Q172"/>
  <c r="P172"/>
  <c r="L172"/>
  <c r="K172"/>
  <c r="I172"/>
  <c r="H172"/>
  <c r="F172"/>
  <c r="E172"/>
  <c r="AB171"/>
  <c r="Y171"/>
  <c r="V171"/>
  <c r="S171"/>
  <c r="P171"/>
  <c r="M171"/>
  <c r="J171"/>
  <c r="G171"/>
  <c r="AB170"/>
  <c r="Y170"/>
  <c r="V170"/>
  <c r="S170"/>
  <c r="P170"/>
  <c r="M170"/>
  <c r="J170"/>
  <c r="G170"/>
  <c r="AA169"/>
  <c r="Z169"/>
  <c r="X169"/>
  <c r="W169"/>
  <c r="U169"/>
  <c r="T169"/>
  <c r="R169"/>
  <c r="Q169"/>
  <c r="P169"/>
  <c r="L169"/>
  <c r="K169"/>
  <c r="I169"/>
  <c r="H169"/>
  <c r="F169"/>
  <c r="E169"/>
  <c r="AB168"/>
  <c r="Y168"/>
  <c r="V168"/>
  <c r="S168"/>
  <c r="P168"/>
  <c r="M168"/>
  <c r="J168"/>
  <c r="G168"/>
  <c r="AB167"/>
  <c r="Y167"/>
  <c r="V167"/>
  <c r="S167"/>
  <c r="P167"/>
  <c r="M167"/>
  <c r="J167"/>
  <c r="G167"/>
  <c r="AA166"/>
  <c r="Z166"/>
  <c r="X166"/>
  <c r="W166"/>
  <c r="U166"/>
  <c r="T166"/>
  <c r="R166"/>
  <c r="Q166"/>
  <c r="P166"/>
  <c r="L166"/>
  <c r="K166"/>
  <c r="I166"/>
  <c r="H166"/>
  <c r="F166"/>
  <c r="E166"/>
  <c r="AB165"/>
  <c r="Y165"/>
  <c r="V165"/>
  <c r="S165"/>
  <c r="P165"/>
  <c r="M165"/>
  <c r="J165"/>
  <c r="G165"/>
  <c r="AB164"/>
  <c r="Y164"/>
  <c r="V164"/>
  <c r="S164"/>
  <c r="P164"/>
  <c r="M164"/>
  <c r="J164"/>
  <c r="G164"/>
  <c r="AA163"/>
  <c r="Z163"/>
  <c r="X163"/>
  <c r="W163"/>
  <c r="U163"/>
  <c r="T163"/>
  <c r="AC163" s="1"/>
  <c r="R163"/>
  <c r="Q163"/>
  <c r="P163"/>
  <c r="L163"/>
  <c r="K163"/>
  <c r="I163"/>
  <c r="H163"/>
  <c r="F163"/>
  <c r="E163"/>
  <c r="AB162"/>
  <c r="Y162"/>
  <c r="V162"/>
  <c r="S162"/>
  <c r="P162"/>
  <c r="M162"/>
  <c r="J162"/>
  <c r="G162"/>
  <c r="AB161"/>
  <c r="Y161"/>
  <c r="V161"/>
  <c r="S161"/>
  <c r="P161"/>
  <c r="M161"/>
  <c r="J161"/>
  <c r="G161"/>
  <c r="AA160"/>
  <c r="Z160"/>
  <c r="X160"/>
  <c r="W160"/>
  <c r="U160"/>
  <c r="T160"/>
  <c r="R160"/>
  <c r="Q160"/>
  <c r="P160"/>
  <c r="L160"/>
  <c r="K160"/>
  <c r="I160"/>
  <c r="H160"/>
  <c r="F160"/>
  <c r="E160"/>
  <c r="P159"/>
  <c r="AB158"/>
  <c r="Y158"/>
  <c r="V158"/>
  <c r="S158"/>
  <c r="P158"/>
  <c r="M158"/>
  <c r="J158"/>
  <c r="G158"/>
  <c r="AB157"/>
  <c r="Y157"/>
  <c r="V157"/>
  <c r="S157"/>
  <c r="P157"/>
  <c r="M157"/>
  <c r="J157"/>
  <c r="G157"/>
  <c r="AA156"/>
  <c r="Z156"/>
  <c r="X156"/>
  <c r="W156"/>
  <c r="U156"/>
  <c r="T156"/>
  <c r="R156"/>
  <c r="Q156"/>
  <c r="P156"/>
  <c r="L156"/>
  <c r="K156"/>
  <c r="I156"/>
  <c r="H156"/>
  <c r="F156"/>
  <c r="E156"/>
  <c r="AB155"/>
  <c r="Y155"/>
  <c r="V155"/>
  <c r="S155"/>
  <c r="P155"/>
  <c r="M155"/>
  <c r="J155"/>
  <c r="G155"/>
  <c r="AB154"/>
  <c r="Y154"/>
  <c r="V154"/>
  <c r="S154"/>
  <c r="P154"/>
  <c r="M154"/>
  <c r="J154"/>
  <c r="G154"/>
  <c r="AA153"/>
  <c r="Z153"/>
  <c r="X153"/>
  <c r="W153"/>
  <c r="U153"/>
  <c r="T153"/>
  <c r="R153"/>
  <c r="Q153"/>
  <c r="P153"/>
  <c r="L153"/>
  <c r="K153"/>
  <c r="I153"/>
  <c r="H153"/>
  <c r="F153"/>
  <c r="E153"/>
  <c r="AB152"/>
  <c r="Y152"/>
  <c r="V152"/>
  <c r="S152"/>
  <c r="P152"/>
  <c r="M152"/>
  <c r="J152"/>
  <c r="G152"/>
  <c r="AB151"/>
  <c r="Y151"/>
  <c r="V151"/>
  <c r="S151"/>
  <c r="P151"/>
  <c r="M151"/>
  <c r="J151"/>
  <c r="G151"/>
  <c r="AA150"/>
  <c r="Z150"/>
  <c r="X150"/>
  <c r="W150"/>
  <c r="U150"/>
  <c r="T150"/>
  <c r="R150"/>
  <c r="Q150"/>
  <c r="P150"/>
  <c r="L150"/>
  <c r="K150"/>
  <c r="I150"/>
  <c r="H150"/>
  <c r="F150"/>
  <c r="E150"/>
  <c r="AB149"/>
  <c r="Y149"/>
  <c r="V149"/>
  <c r="S149"/>
  <c r="P149"/>
  <c r="M149"/>
  <c r="J149"/>
  <c r="G149"/>
  <c r="AB148"/>
  <c r="Y148"/>
  <c r="V148"/>
  <c r="S148"/>
  <c r="P148"/>
  <c r="M148"/>
  <c r="J148"/>
  <c r="G148"/>
  <c r="AA147"/>
  <c r="Z147"/>
  <c r="X147"/>
  <c r="W147"/>
  <c r="U147"/>
  <c r="T147"/>
  <c r="AC147" s="1"/>
  <c r="R147"/>
  <c r="Q147"/>
  <c r="P147"/>
  <c r="L147"/>
  <c r="K147"/>
  <c r="I147"/>
  <c r="H147"/>
  <c r="F147"/>
  <c r="E147"/>
  <c r="AB146"/>
  <c r="Y146"/>
  <c r="V146"/>
  <c r="S146"/>
  <c r="P146"/>
  <c r="M146"/>
  <c r="J146"/>
  <c r="G146"/>
  <c r="AB145"/>
  <c r="Y145"/>
  <c r="V145"/>
  <c r="S145"/>
  <c r="P145"/>
  <c r="M145"/>
  <c r="J145"/>
  <c r="G145"/>
  <c r="AA144"/>
  <c r="Z144"/>
  <c r="X144"/>
  <c r="W144"/>
  <c r="U144"/>
  <c r="T144"/>
  <c r="R144"/>
  <c r="Q144"/>
  <c r="P144"/>
  <c r="L144"/>
  <c r="K144"/>
  <c r="I144"/>
  <c r="H144"/>
  <c r="F144"/>
  <c r="E144"/>
  <c r="P143"/>
  <c r="P142"/>
  <c r="AB141"/>
  <c r="Y141"/>
  <c r="V141"/>
  <c r="S141"/>
  <c r="P141"/>
  <c r="M141"/>
  <c r="J141"/>
  <c r="G141"/>
  <c r="AB140"/>
  <c r="Y140"/>
  <c r="V140"/>
  <c r="S140"/>
  <c r="P140"/>
  <c r="M140"/>
  <c r="J140"/>
  <c r="G140"/>
  <c r="AA139"/>
  <c r="Z139"/>
  <c r="X139"/>
  <c r="W139"/>
  <c r="U139"/>
  <c r="T139"/>
  <c r="R139"/>
  <c r="Q139"/>
  <c r="P139"/>
  <c r="L139"/>
  <c r="K139"/>
  <c r="I139"/>
  <c r="H139"/>
  <c r="F139"/>
  <c r="E139"/>
  <c r="AB138"/>
  <c r="Y138"/>
  <c r="V138"/>
  <c r="S138"/>
  <c r="P138"/>
  <c r="M138"/>
  <c r="J138"/>
  <c r="G138"/>
  <c r="AB137"/>
  <c r="Y137"/>
  <c r="V137"/>
  <c r="S137"/>
  <c r="P137"/>
  <c r="M137"/>
  <c r="J137"/>
  <c r="G137"/>
  <c r="AA136"/>
  <c r="Z136"/>
  <c r="X136"/>
  <c r="W136"/>
  <c r="U136"/>
  <c r="T136"/>
  <c r="R136"/>
  <c r="Q136"/>
  <c r="P136"/>
  <c r="L136"/>
  <c r="K136"/>
  <c r="I136"/>
  <c r="H136"/>
  <c r="F136"/>
  <c r="E136"/>
  <c r="Q135"/>
  <c r="P135"/>
  <c r="M135"/>
  <c r="J135"/>
  <c r="G135"/>
  <c r="Q134"/>
  <c r="P134"/>
  <c r="M134"/>
  <c r="J134"/>
  <c r="G134"/>
  <c r="P133"/>
  <c r="L133"/>
  <c r="K133"/>
  <c r="I133"/>
  <c r="H133"/>
  <c r="F133"/>
  <c r="E133"/>
  <c r="AB132"/>
  <c r="Y132"/>
  <c r="V132"/>
  <c r="S132"/>
  <c r="P132"/>
  <c r="M132"/>
  <c r="J132"/>
  <c r="G132"/>
  <c r="AB131"/>
  <c r="Y131"/>
  <c r="V131"/>
  <c r="S131"/>
  <c r="P131"/>
  <c r="M131"/>
  <c r="J131"/>
  <c r="G131"/>
  <c r="AA130"/>
  <c r="Z130"/>
  <c r="X130"/>
  <c r="W130"/>
  <c r="U130"/>
  <c r="T130"/>
  <c r="R130"/>
  <c r="Q130"/>
  <c r="P130"/>
  <c r="L130"/>
  <c r="K130"/>
  <c r="I130"/>
  <c r="H130"/>
  <c r="F130"/>
  <c r="E130"/>
  <c r="Q129"/>
  <c r="P129"/>
  <c r="M129"/>
  <c r="J129"/>
  <c r="G129"/>
  <c r="Q128"/>
  <c r="P128"/>
  <c r="M128"/>
  <c r="J128"/>
  <c r="G128"/>
  <c r="P127"/>
  <c r="L127"/>
  <c r="K127"/>
  <c r="I127"/>
  <c r="H127"/>
  <c r="F127"/>
  <c r="E127"/>
  <c r="P126"/>
  <c r="P125"/>
  <c r="Q124"/>
  <c r="R124" s="1"/>
  <c r="S124" s="1"/>
  <c r="P124"/>
  <c r="M124"/>
  <c r="J124"/>
  <c r="G124"/>
  <c r="Q123"/>
  <c r="R123" s="1"/>
  <c r="P123"/>
  <c r="M123"/>
  <c r="J123"/>
  <c r="G123"/>
  <c r="AB122"/>
  <c r="Y122"/>
  <c r="V122"/>
  <c r="S122"/>
  <c r="P122"/>
  <c r="M122"/>
  <c r="J122"/>
  <c r="G122"/>
  <c r="Q121"/>
  <c r="R121" s="1"/>
  <c r="P121"/>
  <c r="M121"/>
  <c r="J121"/>
  <c r="G121"/>
  <c r="Q120"/>
  <c r="R120" s="1"/>
  <c r="P120"/>
  <c r="M120"/>
  <c r="J120"/>
  <c r="G120"/>
  <c r="Q119"/>
  <c r="P119"/>
  <c r="R119" s="1"/>
  <c r="T119" s="1"/>
  <c r="AC119" s="1"/>
  <c r="M119"/>
  <c r="J119"/>
  <c r="G119"/>
  <c r="O118"/>
  <c r="O115" s="1"/>
  <c r="O114" s="1"/>
  <c r="Q114" s="1"/>
  <c r="N118"/>
  <c r="L118"/>
  <c r="L115" s="1"/>
  <c r="L114" s="1"/>
  <c r="L113" s="1"/>
  <c r="K118"/>
  <c r="K115" s="1"/>
  <c r="K114" s="1"/>
  <c r="I118"/>
  <c r="I115" s="1"/>
  <c r="I114" s="1"/>
  <c r="I113" s="1"/>
  <c r="H118"/>
  <c r="F118"/>
  <c r="E118"/>
  <c r="E115" s="1"/>
  <c r="E114" s="1"/>
  <c r="E113" s="1"/>
  <c r="AB117"/>
  <c r="Y117"/>
  <c r="V117"/>
  <c r="S117"/>
  <c r="P117"/>
  <c r="M117"/>
  <c r="J117"/>
  <c r="G117"/>
  <c r="Q116"/>
  <c r="R116" s="1"/>
  <c r="T116" s="1"/>
  <c r="AC116" s="1"/>
  <c r="P116"/>
  <c r="M116"/>
  <c r="J116"/>
  <c r="G116"/>
  <c r="P113"/>
  <c r="Q112"/>
  <c r="P112"/>
  <c r="M112"/>
  <c r="J112"/>
  <c r="G112"/>
  <c r="Q111"/>
  <c r="P111"/>
  <c r="L111"/>
  <c r="K111"/>
  <c r="J111"/>
  <c r="G111"/>
  <c r="Q110"/>
  <c r="R110" s="1"/>
  <c r="P110"/>
  <c r="M110"/>
  <c r="J110"/>
  <c r="G110"/>
  <c r="Q109"/>
  <c r="R109" s="1"/>
  <c r="T109" s="1"/>
  <c r="U109" s="1"/>
  <c r="W109" s="1"/>
  <c r="P109"/>
  <c r="M109"/>
  <c r="J109"/>
  <c r="G109"/>
  <c r="Q108"/>
  <c r="P108"/>
  <c r="M108"/>
  <c r="J108"/>
  <c r="G108"/>
  <c r="Q107"/>
  <c r="R107" s="1"/>
  <c r="T107" s="1"/>
  <c r="U107" s="1"/>
  <c r="W107" s="1"/>
  <c r="P107"/>
  <c r="M107"/>
  <c r="J107"/>
  <c r="G107"/>
  <c r="Q106"/>
  <c r="P106"/>
  <c r="L106"/>
  <c r="K106"/>
  <c r="J106"/>
  <c r="G106"/>
  <c r="P105"/>
  <c r="H105"/>
  <c r="J105" s="1"/>
  <c r="E105"/>
  <c r="G105" s="1"/>
  <c r="Q104"/>
  <c r="R104" s="1"/>
  <c r="S104" s="1"/>
  <c r="P104"/>
  <c r="M104"/>
  <c r="J104"/>
  <c r="G104"/>
  <c r="Q103"/>
  <c r="R103" s="1"/>
  <c r="T103" s="1"/>
  <c r="AC103" s="1"/>
  <c r="P103"/>
  <c r="M103"/>
  <c r="J103"/>
  <c r="G103"/>
  <c r="Q102"/>
  <c r="R102" s="1"/>
  <c r="T102" s="1"/>
  <c r="AC102" s="1"/>
  <c r="P102"/>
  <c r="M102"/>
  <c r="J102"/>
  <c r="G102"/>
  <c r="Q101"/>
  <c r="R101" s="1"/>
  <c r="P101"/>
  <c r="K101"/>
  <c r="L101" s="1"/>
  <c r="M101" s="1"/>
  <c r="J101"/>
  <c r="G101"/>
  <c r="Q100"/>
  <c r="R100" s="1"/>
  <c r="T100" s="1"/>
  <c r="AC100" s="1"/>
  <c r="P100"/>
  <c r="M100"/>
  <c r="J100"/>
  <c r="G100"/>
  <c r="Q99"/>
  <c r="P99"/>
  <c r="M99"/>
  <c r="J99"/>
  <c r="G99"/>
  <c r="P98"/>
  <c r="I98"/>
  <c r="I96" s="1"/>
  <c r="H98"/>
  <c r="F98"/>
  <c r="E98"/>
  <c r="G98" s="1"/>
  <c r="Q97"/>
  <c r="R97" s="1"/>
  <c r="T97" s="1"/>
  <c r="AC97" s="1"/>
  <c r="P97"/>
  <c r="M97"/>
  <c r="J97"/>
  <c r="G97"/>
  <c r="P96"/>
  <c r="F96"/>
  <c r="AB95"/>
  <c r="Y95"/>
  <c r="V95"/>
  <c r="S95"/>
  <c r="P95"/>
  <c r="M95"/>
  <c r="J95"/>
  <c r="G95"/>
  <c r="AB94"/>
  <c r="Y94"/>
  <c r="V94"/>
  <c r="S94"/>
  <c r="P94"/>
  <c r="M94"/>
  <c r="J94"/>
  <c r="G94"/>
  <c r="AA93"/>
  <c r="Z93"/>
  <c r="X93"/>
  <c r="W93"/>
  <c r="V93"/>
  <c r="U93"/>
  <c r="T93"/>
  <c r="R93"/>
  <c r="Q93"/>
  <c r="P93"/>
  <c r="L93"/>
  <c r="K93"/>
  <c r="I93"/>
  <c r="H93"/>
  <c r="F93"/>
  <c r="E93"/>
  <c r="Q92"/>
  <c r="R92" s="1"/>
  <c r="S92" s="1"/>
  <c r="P92"/>
  <c r="M92"/>
  <c r="J92"/>
  <c r="G92"/>
  <c r="Q91"/>
  <c r="R91" s="1"/>
  <c r="T91" s="1"/>
  <c r="AC91" s="1"/>
  <c r="P91"/>
  <c r="M91"/>
  <c r="J91"/>
  <c r="G91"/>
  <c r="Q90"/>
  <c r="R90" s="1"/>
  <c r="T90" s="1"/>
  <c r="AC90" s="1"/>
  <c r="P90"/>
  <c r="M90"/>
  <c r="J90"/>
  <c r="G90"/>
  <c r="Q89"/>
  <c r="R89" s="1"/>
  <c r="P89"/>
  <c r="M89"/>
  <c r="J89"/>
  <c r="G89"/>
  <c r="Q88"/>
  <c r="R88" s="1"/>
  <c r="S88" s="1"/>
  <c r="P88"/>
  <c r="M88"/>
  <c r="J88"/>
  <c r="G88"/>
  <c r="Q87"/>
  <c r="R87" s="1"/>
  <c r="T87" s="1"/>
  <c r="AC87" s="1"/>
  <c r="P87"/>
  <c r="M87"/>
  <c r="J87"/>
  <c r="G87"/>
  <c r="AB86"/>
  <c r="Y86"/>
  <c r="V86"/>
  <c r="S86"/>
  <c r="P86"/>
  <c r="M86"/>
  <c r="J86"/>
  <c r="G86"/>
  <c r="Q85"/>
  <c r="R85" s="1"/>
  <c r="T85" s="1"/>
  <c r="AC85" s="1"/>
  <c r="P85"/>
  <c r="M85"/>
  <c r="J85"/>
  <c r="G85"/>
  <c r="Q84"/>
  <c r="R84" s="1"/>
  <c r="P84"/>
  <c r="M84"/>
  <c r="J84"/>
  <c r="G84"/>
  <c r="Q83"/>
  <c r="R83" s="1"/>
  <c r="S83" s="1"/>
  <c r="P83"/>
  <c r="M83"/>
  <c r="J83"/>
  <c r="G83"/>
  <c r="O82"/>
  <c r="N82"/>
  <c r="L82"/>
  <c r="L79" s="1"/>
  <c r="L78" s="1"/>
  <c r="L77" s="1"/>
  <c r="K82"/>
  <c r="I82"/>
  <c r="I79" s="1"/>
  <c r="I78" s="1"/>
  <c r="I77" s="1"/>
  <c r="H82"/>
  <c r="F82"/>
  <c r="F79" s="1"/>
  <c r="F78" s="1"/>
  <c r="F77" s="1"/>
  <c r="E82"/>
  <c r="AB81"/>
  <c r="Y81"/>
  <c r="V81"/>
  <c r="S81"/>
  <c r="P81"/>
  <c r="M81"/>
  <c r="J81"/>
  <c r="G81"/>
  <c r="Q80"/>
  <c r="P80"/>
  <c r="M80"/>
  <c r="J80"/>
  <c r="G80"/>
  <c r="N79"/>
  <c r="N78" s="1"/>
  <c r="P77"/>
  <c r="Q76"/>
  <c r="R76" s="1"/>
  <c r="T76" s="1"/>
  <c r="AC76" s="1"/>
  <c r="P76"/>
  <c r="M76"/>
  <c r="J76"/>
  <c r="G76"/>
  <c r="Q75"/>
  <c r="R75" s="1"/>
  <c r="T75" s="1"/>
  <c r="AC75" s="1"/>
  <c r="P75"/>
  <c r="L75"/>
  <c r="L70" s="1"/>
  <c r="K75"/>
  <c r="J75"/>
  <c r="G75"/>
  <c r="Q74"/>
  <c r="R74" s="1"/>
  <c r="T74" s="1"/>
  <c r="AC74" s="1"/>
  <c r="P74"/>
  <c r="M74"/>
  <c r="J74"/>
  <c r="G74"/>
  <c r="Q73"/>
  <c r="R73" s="1"/>
  <c r="T73" s="1"/>
  <c r="U73" s="1"/>
  <c r="W73" s="1"/>
  <c r="P73"/>
  <c r="M73"/>
  <c r="J73"/>
  <c r="G73"/>
  <c r="Q72"/>
  <c r="R72" s="1"/>
  <c r="T72" s="1"/>
  <c r="AC72" s="1"/>
  <c r="P72"/>
  <c r="M72"/>
  <c r="J72"/>
  <c r="G72"/>
  <c r="Q71"/>
  <c r="R71" s="1"/>
  <c r="P71"/>
  <c r="M71"/>
  <c r="J71"/>
  <c r="G71"/>
  <c r="P70"/>
  <c r="K70"/>
  <c r="I70"/>
  <c r="H70"/>
  <c r="F70"/>
  <c r="E70"/>
  <c r="P69"/>
  <c r="P68"/>
  <c r="M68"/>
  <c r="J68"/>
  <c r="G68"/>
  <c r="Q67"/>
  <c r="R67" s="1"/>
  <c r="T67" s="1"/>
  <c r="U67" s="1"/>
  <c r="W67" s="1"/>
  <c r="P67"/>
  <c r="M67"/>
  <c r="J67"/>
  <c r="G67"/>
  <c r="AB66"/>
  <c r="Y66"/>
  <c r="V66"/>
  <c r="S66"/>
  <c r="P66"/>
  <c r="M66"/>
  <c r="J66"/>
  <c r="G66"/>
  <c r="Q65"/>
  <c r="P65"/>
  <c r="M65"/>
  <c r="J65"/>
  <c r="G65"/>
  <c r="Q64"/>
  <c r="R64" s="1"/>
  <c r="T64" s="1"/>
  <c r="U64" s="1"/>
  <c r="W64" s="1"/>
  <c r="P64"/>
  <c r="M64"/>
  <c r="J64"/>
  <c r="G64"/>
  <c r="Q63"/>
  <c r="R63" s="1"/>
  <c r="T63" s="1"/>
  <c r="AC63" s="1"/>
  <c r="P63"/>
  <c r="M63"/>
  <c r="J63"/>
  <c r="G63"/>
  <c r="Q62"/>
  <c r="P62"/>
  <c r="M62"/>
  <c r="J62"/>
  <c r="G62"/>
  <c r="O61"/>
  <c r="O59" s="1"/>
  <c r="N61"/>
  <c r="N59" s="1"/>
  <c r="L61"/>
  <c r="L59" s="1"/>
  <c r="L58" s="1"/>
  <c r="L57" s="1"/>
  <c r="L54" s="1"/>
  <c r="K61"/>
  <c r="K59" s="1"/>
  <c r="K58" s="1"/>
  <c r="I61"/>
  <c r="I59" s="1"/>
  <c r="I58" s="1"/>
  <c r="I57" s="1"/>
  <c r="I54" s="1"/>
  <c r="H61"/>
  <c r="F61"/>
  <c r="F59" s="1"/>
  <c r="F58" s="1"/>
  <c r="F57" s="1"/>
  <c r="F54" s="1"/>
  <c r="E61"/>
  <c r="AB60"/>
  <c r="Y60"/>
  <c r="V60"/>
  <c r="S60"/>
  <c r="P60"/>
  <c r="M60"/>
  <c r="J60"/>
  <c r="G60"/>
  <c r="H59"/>
  <c r="Q58"/>
  <c r="P58"/>
  <c r="P57"/>
  <c r="Q56"/>
  <c r="P56"/>
  <c r="M56"/>
  <c r="J56"/>
  <c r="G56"/>
  <c r="Q55"/>
  <c r="P55"/>
  <c r="M55"/>
  <c r="J55"/>
  <c r="G55"/>
  <c r="O54"/>
  <c r="N54"/>
  <c r="AB53"/>
  <c r="Y53"/>
  <c r="V53"/>
  <c r="S53"/>
  <c r="P53"/>
  <c r="M53"/>
  <c r="J53"/>
  <c r="G53"/>
  <c r="Q52"/>
  <c r="P52"/>
  <c r="M52"/>
  <c r="J52"/>
  <c r="G52"/>
  <c r="Q51"/>
  <c r="P51"/>
  <c r="M51"/>
  <c r="J51"/>
  <c r="G51"/>
  <c r="Q50"/>
  <c r="P50"/>
  <c r="M50"/>
  <c r="J50"/>
  <c r="G50"/>
  <c r="AB49"/>
  <c r="Y49"/>
  <c r="V49"/>
  <c r="S49"/>
  <c r="P49"/>
  <c r="M49"/>
  <c r="J49"/>
  <c r="G49"/>
  <c r="Q48"/>
  <c r="P48"/>
  <c r="M48"/>
  <c r="J48"/>
  <c r="G48"/>
  <c r="P47"/>
  <c r="L47"/>
  <c r="K47"/>
  <c r="I47"/>
  <c r="H47"/>
  <c r="F47"/>
  <c r="E47"/>
  <c r="Q46"/>
  <c r="R46" s="1"/>
  <c r="P46"/>
  <c r="M46"/>
  <c r="J46"/>
  <c r="G46"/>
  <c r="Q45"/>
  <c r="P45"/>
  <c r="M45"/>
  <c r="J45"/>
  <c r="G45"/>
  <c r="P44"/>
  <c r="L44"/>
  <c r="K44"/>
  <c r="I44"/>
  <c r="H44"/>
  <c r="F44"/>
  <c r="E44"/>
  <c r="AB43"/>
  <c r="Y43"/>
  <c r="V43"/>
  <c r="S43"/>
  <c r="P43"/>
  <c r="M43"/>
  <c r="J43"/>
  <c r="G43"/>
  <c r="Q42"/>
  <c r="P42"/>
  <c r="M42"/>
  <c r="J42"/>
  <c r="G42"/>
  <c r="Q41"/>
  <c r="P41"/>
  <c r="M41"/>
  <c r="J41"/>
  <c r="G41"/>
  <c r="AB40"/>
  <c r="Y40"/>
  <c r="V40"/>
  <c r="S40"/>
  <c r="P40"/>
  <c r="M40"/>
  <c r="J40"/>
  <c r="G40"/>
  <c r="Q39"/>
  <c r="P39"/>
  <c r="M39"/>
  <c r="J39"/>
  <c r="G39"/>
  <c r="O38"/>
  <c r="Q38" s="1"/>
  <c r="M38"/>
  <c r="J38"/>
  <c r="G38"/>
  <c r="Q37"/>
  <c r="R37" s="1"/>
  <c r="T37" s="1"/>
  <c r="AC37" s="1"/>
  <c r="P37"/>
  <c r="M37"/>
  <c r="J37"/>
  <c r="G37"/>
  <c r="Q36"/>
  <c r="P36"/>
  <c r="M36"/>
  <c r="J36"/>
  <c r="G36"/>
  <c r="O35"/>
  <c r="N35"/>
  <c r="L35"/>
  <c r="L33" s="1"/>
  <c r="L32" s="1"/>
  <c r="L31" s="1"/>
  <c r="K35"/>
  <c r="K33" s="1"/>
  <c r="I35"/>
  <c r="H35"/>
  <c r="H33" s="1"/>
  <c r="H32" s="1"/>
  <c r="H31" s="1"/>
  <c r="F35"/>
  <c r="F33" s="1"/>
  <c r="F32" s="1"/>
  <c r="F31" s="1"/>
  <c r="E35"/>
  <c r="E33" s="1"/>
  <c r="E32" s="1"/>
  <c r="AB34"/>
  <c r="Y34"/>
  <c r="V34"/>
  <c r="S34"/>
  <c r="P34"/>
  <c r="M34"/>
  <c r="J34"/>
  <c r="G34"/>
  <c r="P31"/>
  <c r="AB30"/>
  <c r="Y30"/>
  <c r="V30"/>
  <c r="S30"/>
  <c r="P30"/>
  <c r="M30"/>
  <c r="J30"/>
  <c r="G30"/>
  <c r="Q29"/>
  <c r="R29" s="1"/>
  <c r="T29" s="1"/>
  <c r="AC29" s="1"/>
  <c r="P29"/>
  <c r="M29"/>
  <c r="J29"/>
  <c r="G29"/>
  <c r="Q28"/>
  <c r="R28" s="1"/>
  <c r="T28" s="1"/>
  <c r="AC28" s="1"/>
  <c r="P28"/>
  <c r="M28"/>
  <c r="J28"/>
  <c r="G28"/>
  <c r="Q27"/>
  <c r="R27" s="1"/>
  <c r="T27" s="1"/>
  <c r="AC27" s="1"/>
  <c r="P27"/>
  <c r="M27"/>
  <c r="J27"/>
  <c r="G27"/>
  <c r="Q26"/>
  <c r="R26" s="1"/>
  <c r="P26"/>
  <c r="M26"/>
  <c r="J26"/>
  <c r="G26"/>
  <c r="P25"/>
  <c r="L25"/>
  <c r="K25"/>
  <c r="I25"/>
  <c r="H25"/>
  <c r="F25"/>
  <c r="E25"/>
  <c r="Q24"/>
  <c r="R24" s="1"/>
  <c r="T24" s="1"/>
  <c r="AC24" s="1"/>
  <c r="P24"/>
  <c r="M24"/>
  <c r="J24"/>
  <c r="G24"/>
  <c r="Q23"/>
  <c r="R23" s="1"/>
  <c r="T23" s="1"/>
  <c r="AC23" s="1"/>
  <c r="P23"/>
  <c r="M23"/>
  <c r="J23"/>
  <c r="G23"/>
  <c r="P22"/>
  <c r="L22"/>
  <c r="K22"/>
  <c r="I22"/>
  <c r="H22"/>
  <c r="F22"/>
  <c r="E22"/>
  <c r="Q21"/>
  <c r="R21" s="1"/>
  <c r="T21" s="1"/>
  <c r="AC21" s="1"/>
  <c r="P21"/>
  <c r="M21"/>
  <c r="J21"/>
  <c r="G21"/>
  <c r="Q20"/>
  <c r="R20" s="1"/>
  <c r="P20"/>
  <c r="M20"/>
  <c r="J20"/>
  <c r="G20"/>
  <c r="P19"/>
  <c r="L19"/>
  <c r="K19"/>
  <c r="I19"/>
  <c r="H19"/>
  <c r="F19"/>
  <c r="E19"/>
  <c r="Q18"/>
  <c r="R18" s="1"/>
  <c r="P18"/>
  <c r="M18"/>
  <c r="J18"/>
  <c r="G18"/>
  <c r="Q17"/>
  <c r="R17" s="1"/>
  <c r="T17" s="1"/>
  <c r="U17" s="1"/>
  <c r="W17" s="1"/>
  <c r="X17" s="1"/>
  <c r="Z17" s="1"/>
  <c r="P17"/>
  <c r="M17"/>
  <c r="J17"/>
  <c r="G17"/>
  <c r="P16"/>
  <c r="L16"/>
  <c r="K16"/>
  <c r="I16"/>
  <c r="H16"/>
  <c r="F16"/>
  <c r="E16"/>
  <c r="AB15"/>
  <c r="Y15"/>
  <c r="V15"/>
  <c r="S15"/>
  <c r="P15"/>
  <c r="M15"/>
  <c r="J15"/>
  <c r="G15"/>
  <c r="AB14"/>
  <c r="Y14"/>
  <c r="V14"/>
  <c r="S14"/>
  <c r="P14"/>
  <c r="M14"/>
  <c r="J14"/>
  <c r="G14"/>
  <c r="AA13"/>
  <c r="Z13"/>
  <c r="X13"/>
  <c r="W13"/>
  <c r="U13"/>
  <c r="T13"/>
  <c r="R13"/>
  <c r="Q13"/>
  <c r="P13"/>
  <c r="L13"/>
  <c r="K13"/>
  <c r="I13"/>
  <c r="H13"/>
  <c r="F13"/>
  <c r="E13"/>
  <c r="P12"/>
  <c r="P11"/>
  <c r="O10"/>
  <c r="N10"/>
  <c r="O282" i="118"/>
  <c r="O277"/>
  <c r="N276"/>
  <c r="O276" s="1"/>
  <c r="O281" s="1"/>
  <c r="O283" s="1"/>
  <c r="AA272"/>
  <c r="Z272"/>
  <c r="X272"/>
  <c r="W272"/>
  <c r="U272"/>
  <c r="T272"/>
  <c r="S272"/>
  <c r="P272"/>
  <c r="L272"/>
  <c r="K272"/>
  <c r="I272"/>
  <c r="H272"/>
  <c r="F272"/>
  <c r="E272"/>
  <c r="U271"/>
  <c r="T271"/>
  <c r="U270"/>
  <c r="V270" s="1"/>
  <c r="T270"/>
  <c r="S270"/>
  <c r="P270"/>
  <c r="M270"/>
  <c r="J270"/>
  <c r="G270"/>
  <c r="U269"/>
  <c r="T269"/>
  <c r="S269"/>
  <c r="P269"/>
  <c r="M269"/>
  <c r="J269"/>
  <c r="G269"/>
  <c r="AA268"/>
  <c r="Z268"/>
  <c r="X268"/>
  <c r="W268"/>
  <c r="U268"/>
  <c r="T268"/>
  <c r="S268"/>
  <c r="P268"/>
  <c r="M268"/>
  <c r="J268"/>
  <c r="G268"/>
  <c r="AE267"/>
  <c r="AF267" s="1"/>
  <c r="AA267"/>
  <c r="Z267"/>
  <c r="X267"/>
  <c r="W267"/>
  <c r="U267"/>
  <c r="T267"/>
  <c r="S267"/>
  <c r="P267"/>
  <c r="M267"/>
  <c r="J267"/>
  <c r="G267"/>
  <c r="AA266"/>
  <c r="Z266"/>
  <c r="X266"/>
  <c r="W266"/>
  <c r="U266"/>
  <c r="T266"/>
  <c r="S266"/>
  <c r="P266"/>
  <c r="M266"/>
  <c r="J266"/>
  <c r="G266"/>
  <c r="AA265"/>
  <c r="Z265"/>
  <c r="X265"/>
  <c r="W265"/>
  <c r="U265"/>
  <c r="T265"/>
  <c r="S265"/>
  <c r="P265"/>
  <c r="L265"/>
  <c r="K265"/>
  <c r="I265"/>
  <c r="H265"/>
  <c r="F265"/>
  <c r="E265"/>
  <c r="G265" s="1"/>
  <c r="AA264"/>
  <c r="Z264"/>
  <c r="X264"/>
  <c r="W264"/>
  <c r="U264"/>
  <c r="AE264" s="1"/>
  <c r="AF264" s="1"/>
  <c r="T264"/>
  <c r="V264" s="1"/>
  <c r="S264"/>
  <c r="P264"/>
  <c r="M264"/>
  <c r="J264"/>
  <c r="G264"/>
  <c r="AA263"/>
  <c r="Z263"/>
  <c r="X263"/>
  <c r="Y263" s="1"/>
  <c r="W263"/>
  <c r="U263"/>
  <c r="T263"/>
  <c r="S263"/>
  <c r="P263"/>
  <c r="M263"/>
  <c r="J263"/>
  <c r="G263"/>
  <c r="AA262"/>
  <c r="Z262"/>
  <c r="X262"/>
  <c r="W262"/>
  <c r="U262"/>
  <c r="AE262" s="1"/>
  <c r="AF262" s="1"/>
  <c r="T262"/>
  <c r="V262" s="1"/>
  <c r="S262"/>
  <c r="P262"/>
  <c r="M262"/>
  <c r="J262"/>
  <c r="G262"/>
  <c r="AA261"/>
  <c r="Z261"/>
  <c r="X261"/>
  <c r="Y261" s="1"/>
  <c r="W261"/>
  <c r="U261"/>
  <c r="T261"/>
  <c r="V261" s="1"/>
  <c r="S261"/>
  <c r="P261"/>
  <c r="M261"/>
  <c r="J261"/>
  <c r="G261"/>
  <c r="AA260"/>
  <c r="Z260"/>
  <c r="X260"/>
  <c r="W260"/>
  <c r="U260"/>
  <c r="AC260" s="1"/>
  <c r="AD260" s="1"/>
  <c r="T260"/>
  <c r="S260"/>
  <c r="P260"/>
  <c r="M260"/>
  <c r="J260"/>
  <c r="G260"/>
  <c r="AA259"/>
  <c r="Z259"/>
  <c r="X259"/>
  <c r="W259"/>
  <c r="U259"/>
  <c r="T259"/>
  <c r="S259"/>
  <c r="P259"/>
  <c r="L259"/>
  <c r="K259"/>
  <c r="M259" s="1"/>
  <c r="I259"/>
  <c r="H259"/>
  <c r="F259"/>
  <c r="E259"/>
  <c r="AA258"/>
  <c r="Z258"/>
  <c r="U258"/>
  <c r="T258"/>
  <c r="S258"/>
  <c r="P258"/>
  <c r="M258"/>
  <c r="J258"/>
  <c r="G258"/>
  <c r="AA257"/>
  <c r="Z257"/>
  <c r="X257"/>
  <c r="W257"/>
  <c r="U257"/>
  <c r="T257"/>
  <c r="S257"/>
  <c r="P257"/>
  <c r="M257"/>
  <c r="J257"/>
  <c r="G257"/>
  <c r="AA256"/>
  <c r="Z256"/>
  <c r="X256"/>
  <c r="W256"/>
  <c r="Y256" s="1"/>
  <c r="U256"/>
  <c r="AC256" s="1"/>
  <c r="T256"/>
  <c r="V256" s="1"/>
  <c r="S256"/>
  <c r="P256"/>
  <c r="M256"/>
  <c r="J256"/>
  <c r="G256"/>
  <c r="AA255"/>
  <c r="AB255" s="1"/>
  <c r="Z255"/>
  <c r="X255"/>
  <c r="W255"/>
  <c r="Y255" s="1"/>
  <c r="U255"/>
  <c r="T255"/>
  <c r="S255"/>
  <c r="P255"/>
  <c r="L255"/>
  <c r="K255"/>
  <c r="I255"/>
  <c r="H255"/>
  <c r="J255" s="1"/>
  <c r="F255"/>
  <c r="E255"/>
  <c r="G255" s="1"/>
  <c r="AE254"/>
  <c r="AF254" s="1"/>
  <c r="AA254"/>
  <c r="Z254"/>
  <c r="AB254" s="1"/>
  <c r="X254"/>
  <c r="W254"/>
  <c r="U254"/>
  <c r="T254"/>
  <c r="S254"/>
  <c r="P254"/>
  <c r="M254"/>
  <c r="J254"/>
  <c r="G254"/>
  <c r="AA253"/>
  <c r="Z253"/>
  <c r="X253"/>
  <c r="W253"/>
  <c r="U253"/>
  <c r="T253"/>
  <c r="S253"/>
  <c r="P253"/>
  <c r="M253"/>
  <c r="J253"/>
  <c r="G253"/>
  <c r="AE252"/>
  <c r="AF252" s="1"/>
  <c r="AA252"/>
  <c r="AB252" s="1"/>
  <c r="Z252"/>
  <c r="X252"/>
  <c r="W252"/>
  <c r="U252"/>
  <c r="T252"/>
  <c r="S252"/>
  <c r="P252"/>
  <c r="L252"/>
  <c r="K252"/>
  <c r="I252"/>
  <c r="H252"/>
  <c r="H251" s="1"/>
  <c r="F252"/>
  <c r="E252"/>
  <c r="AA251"/>
  <c r="Z251"/>
  <c r="AB251" s="1"/>
  <c r="X251"/>
  <c r="W251"/>
  <c r="U251"/>
  <c r="T251"/>
  <c r="S251"/>
  <c r="P251"/>
  <c r="AA250"/>
  <c r="Z250"/>
  <c r="X250"/>
  <c r="W250"/>
  <c r="U250"/>
  <c r="T250"/>
  <c r="S250"/>
  <c r="P250"/>
  <c r="M250"/>
  <c r="J250"/>
  <c r="G250"/>
  <c r="AA249"/>
  <c r="Z249"/>
  <c r="Y249"/>
  <c r="X249"/>
  <c r="W249"/>
  <c r="U249"/>
  <c r="T249"/>
  <c r="S249"/>
  <c r="P249"/>
  <c r="M249"/>
  <c r="J249"/>
  <c r="G249"/>
  <c r="AA248"/>
  <c r="Z248"/>
  <c r="X248"/>
  <c r="W248"/>
  <c r="U248"/>
  <c r="AC248" s="1"/>
  <c r="AD248" s="1"/>
  <c r="T248"/>
  <c r="S248"/>
  <c r="P248"/>
  <c r="M248"/>
  <c r="J248"/>
  <c r="G248"/>
  <c r="AA247"/>
  <c r="Z247"/>
  <c r="AB247" s="1"/>
  <c r="Y247"/>
  <c r="X247"/>
  <c r="W247"/>
  <c r="U247"/>
  <c r="T247"/>
  <c r="S247"/>
  <c r="P247"/>
  <c r="M247"/>
  <c r="J247"/>
  <c r="F247"/>
  <c r="F242" s="1"/>
  <c r="F241" s="1"/>
  <c r="E247"/>
  <c r="E242" s="1"/>
  <c r="AA246"/>
  <c r="Z246"/>
  <c r="X246"/>
  <c r="W246"/>
  <c r="U246"/>
  <c r="AC246" s="1"/>
  <c r="T246"/>
  <c r="S246"/>
  <c r="P246"/>
  <c r="M246"/>
  <c r="J246"/>
  <c r="G246"/>
  <c r="AA245"/>
  <c r="Z245"/>
  <c r="X245"/>
  <c r="W245"/>
  <c r="U245"/>
  <c r="AE245" s="1"/>
  <c r="AF245" s="1"/>
  <c r="T245"/>
  <c r="S245"/>
  <c r="P245"/>
  <c r="M245"/>
  <c r="J245"/>
  <c r="G245"/>
  <c r="AB244"/>
  <c r="Y244"/>
  <c r="V244"/>
  <c r="S244"/>
  <c r="P244"/>
  <c r="M244"/>
  <c r="J244"/>
  <c r="G244"/>
  <c r="AC243"/>
  <c r="AD243" s="1"/>
  <c r="AB243"/>
  <c r="Y243"/>
  <c r="V243"/>
  <c r="S243"/>
  <c r="P243"/>
  <c r="M243"/>
  <c r="J243"/>
  <c r="G243"/>
  <c r="X242"/>
  <c r="W242"/>
  <c r="U242"/>
  <c r="T242"/>
  <c r="S242"/>
  <c r="P242"/>
  <c r="L242"/>
  <c r="K242"/>
  <c r="M242" s="1"/>
  <c r="I242"/>
  <c r="J242" s="1"/>
  <c r="H242"/>
  <c r="AA241"/>
  <c r="Z241"/>
  <c r="X241"/>
  <c r="W241"/>
  <c r="Y241" s="1"/>
  <c r="U241"/>
  <c r="T241"/>
  <c r="S241"/>
  <c r="P241"/>
  <c r="L241"/>
  <c r="H241"/>
  <c r="U240"/>
  <c r="T240"/>
  <c r="S240"/>
  <c r="P240"/>
  <c r="M240"/>
  <c r="J240"/>
  <c r="G240"/>
  <c r="T239"/>
  <c r="T238" s="1"/>
  <c r="S239"/>
  <c r="P239"/>
  <c r="O239"/>
  <c r="U239" s="1"/>
  <c r="L239"/>
  <c r="K239"/>
  <c r="I239"/>
  <c r="H239"/>
  <c r="F239"/>
  <c r="E239"/>
  <c r="R238"/>
  <c r="Q238"/>
  <c r="O238"/>
  <c r="N238"/>
  <c r="O237"/>
  <c r="AC236"/>
  <c r="AD236" s="1"/>
  <c r="U236"/>
  <c r="U235" s="1"/>
  <c r="T236"/>
  <c r="T235" s="1"/>
  <c r="V235" s="1"/>
  <c r="S236"/>
  <c r="P236"/>
  <c r="L236"/>
  <c r="L235" s="1"/>
  <c r="K236"/>
  <c r="I236"/>
  <c r="I235" s="1"/>
  <c r="H236"/>
  <c r="H235" s="1"/>
  <c r="F236"/>
  <c r="E236"/>
  <c r="E235" s="1"/>
  <c r="AA235"/>
  <c r="X235"/>
  <c r="S235"/>
  <c r="P235"/>
  <c r="AE234"/>
  <c r="AF234" s="1"/>
  <c r="AB234"/>
  <c r="Y234"/>
  <c r="V234"/>
  <c r="AB233"/>
  <c r="Y233"/>
  <c r="V233"/>
  <c r="AB232"/>
  <c r="Y232"/>
  <c r="V232"/>
  <c r="S232"/>
  <c r="P232"/>
  <c r="L232"/>
  <c r="K232"/>
  <c r="I232"/>
  <c r="H232"/>
  <c r="F232"/>
  <c r="E232"/>
  <c r="AB231"/>
  <c r="Y231"/>
  <c r="V231"/>
  <c r="S231"/>
  <c r="P231"/>
  <c r="L231"/>
  <c r="K231"/>
  <c r="K229" s="1"/>
  <c r="I231"/>
  <c r="I229" s="1"/>
  <c r="H231"/>
  <c r="H229" s="1"/>
  <c r="F231"/>
  <c r="F229" s="1"/>
  <c r="E231"/>
  <c r="AB230"/>
  <c r="Y230"/>
  <c r="V230"/>
  <c r="S230"/>
  <c r="P230"/>
  <c r="M230"/>
  <c r="J230"/>
  <c r="G230"/>
  <c r="U229"/>
  <c r="T229"/>
  <c r="S229"/>
  <c r="P229"/>
  <c r="U228"/>
  <c r="T228"/>
  <c r="S228"/>
  <c r="P228"/>
  <c r="M228"/>
  <c r="J228"/>
  <c r="G228"/>
  <c r="U227"/>
  <c r="AE227" s="1"/>
  <c r="T227"/>
  <c r="V227" s="1"/>
  <c r="S227"/>
  <c r="P227"/>
  <c r="M227"/>
  <c r="J227"/>
  <c r="G227"/>
  <c r="U226"/>
  <c r="T226"/>
  <c r="S226"/>
  <c r="P226"/>
  <c r="M226"/>
  <c r="J226"/>
  <c r="G226"/>
  <c r="U225"/>
  <c r="AE225" s="1"/>
  <c r="T225"/>
  <c r="V225" s="1"/>
  <c r="S225"/>
  <c r="P225"/>
  <c r="L225"/>
  <c r="K225"/>
  <c r="I225"/>
  <c r="H225"/>
  <c r="J225" s="1"/>
  <c r="F225"/>
  <c r="E225"/>
  <c r="U224"/>
  <c r="T224"/>
  <c r="V224" s="1"/>
  <c r="S224"/>
  <c r="P224"/>
  <c r="M224"/>
  <c r="J224"/>
  <c r="G224"/>
  <c r="U223"/>
  <c r="T223"/>
  <c r="S223"/>
  <c r="P223"/>
  <c r="M223"/>
  <c r="J223"/>
  <c r="G223"/>
  <c r="U222"/>
  <c r="AE222" s="1"/>
  <c r="T222"/>
  <c r="V222" s="1"/>
  <c r="S222"/>
  <c r="P222"/>
  <c r="M222"/>
  <c r="J222"/>
  <c r="G222"/>
  <c r="U221"/>
  <c r="T221"/>
  <c r="S221"/>
  <c r="R221"/>
  <c r="P221"/>
  <c r="L221"/>
  <c r="L217" s="1"/>
  <c r="K221"/>
  <c r="I221"/>
  <c r="I217" s="1"/>
  <c r="H221"/>
  <c r="H217" s="1"/>
  <c r="F221"/>
  <c r="F217" s="1"/>
  <c r="E221"/>
  <c r="U220"/>
  <c r="AC220" s="1"/>
  <c r="T220"/>
  <c r="S220"/>
  <c r="P220"/>
  <c r="M220"/>
  <c r="J220"/>
  <c r="G220"/>
  <c r="AE219"/>
  <c r="U219"/>
  <c r="T219"/>
  <c r="S219"/>
  <c r="P219"/>
  <c r="M219"/>
  <c r="J219"/>
  <c r="G219"/>
  <c r="U218"/>
  <c r="T218"/>
  <c r="Z218" s="1"/>
  <c r="S218"/>
  <c r="P218"/>
  <c r="M218"/>
  <c r="J218"/>
  <c r="G218"/>
  <c r="R217"/>
  <c r="Q217"/>
  <c r="O217"/>
  <c r="N217"/>
  <c r="U216"/>
  <c r="T216"/>
  <c r="S216"/>
  <c r="P216"/>
  <c r="L216"/>
  <c r="K216"/>
  <c r="I216"/>
  <c r="H216"/>
  <c r="F216"/>
  <c r="E216"/>
  <c r="U215"/>
  <c r="T215"/>
  <c r="S215"/>
  <c r="P215"/>
  <c r="L215"/>
  <c r="K215"/>
  <c r="I215"/>
  <c r="H215"/>
  <c r="F215"/>
  <c r="E215"/>
  <c r="T214"/>
  <c r="S214"/>
  <c r="R214"/>
  <c r="L214"/>
  <c r="K214"/>
  <c r="I214"/>
  <c r="H214"/>
  <c r="G214"/>
  <c r="AE213"/>
  <c r="U213"/>
  <c r="T213"/>
  <c r="S213"/>
  <c r="P213"/>
  <c r="M213"/>
  <c r="J213"/>
  <c r="G213"/>
  <c r="U212"/>
  <c r="T212"/>
  <c r="S212"/>
  <c r="P212"/>
  <c r="M212"/>
  <c r="J212"/>
  <c r="G212"/>
  <c r="U211"/>
  <c r="T211"/>
  <c r="S211"/>
  <c r="P211"/>
  <c r="L211"/>
  <c r="K211"/>
  <c r="I211"/>
  <c r="H211"/>
  <c r="F211"/>
  <c r="E211"/>
  <c r="G211" s="1"/>
  <c r="T210"/>
  <c r="R210"/>
  <c r="U210" s="1"/>
  <c r="P210"/>
  <c r="L210"/>
  <c r="K210"/>
  <c r="I210"/>
  <c r="H210"/>
  <c r="F210"/>
  <c r="E210"/>
  <c r="U209"/>
  <c r="AC209" s="1"/>
  <c r="T209"/>
  <c r="S209"/>
  <c r="P209"/>
  <c r="M209"/>
  <c r="J209"/>
  <c r="G209"/>
  <c r="Z208"/>
  <c r="V208"/>
  <c r="U208"/>
  <c r="T208"/>
  <c r="S208"/>
  <c r="P208"/>
  <c r="M208"/>
  <c r="J208"/>
  <c r="G208"/>
  <c r="Q207"/>
  <c r="T207" s="1"/>
  <c r="N207"/>
  <c r="U206"/>
  <c r="T206"/>
  <c r="S206"/>
  <c r="P206"/>
  <c r="L206"/>
  <c r="K206"/>
  <c r="I206"/>
  <c r="H206"/>
  <c r="F206"/>
  <c r="E206"/>
  <c r="U205"/>
  <c r="T205"/>
  <c r="S205"/>
  <c r="P205"/>
  <c r="L205"/>
  <c r="K205"/>
  <c r="I205"/>
  <c r="H205"/>
  <c r="F205"/>
  <c r="E205"/>
  <c r="X204"/>
  <c r="X203" s="1"/>
  <c r="U204"/>
  <c r="AE204" s="1"/>
  <c r="T204"/>
  <c r="S204"/>
  <c r="P204"/>
  <c r="L204"/>
  <c r="K204"/>
  <c r="I204"/>
  <c r="H204"/>
  <c r="F204"/>
  <c r="E204"/>
  <c r="U203"/>
  <c r="V203" s="1"/>
  <c r="T203"/>
  <c r="Z203" s="1"/>
  <c r="S203"/>
  <c r="P203"/>
  <c r="S202"/>
  <c r="P202"/>
  <c r="M202"/>
  <c r="J202"/>
  <c r="G202"/>
  <c r="U201"/>
  <c r="T201"/>
  <c r="S201"/>
  <c r="P201"/>
  <c r="M201"/>
  <c r="J201"/>
  <c r="G201"/>
  <c r="U200"/>
  <c r="AC200" s="1"/>
  <c r="T200"/>
  <c r="S200"/>
  <c r="P200"/>
  <c r="M200"/>
  <c r="L200"/>
  <c r="K200"/>
  <c r="I200"/>
  <c r="H200"/>
  <c r="F200"/>
  <c r="E200"/>
  <c r="AC199"/>
  <c r="AD199" s="1"/>
  <c r="AB199"/>
  <c r="Y199"/>
  <c r="V199"/>
  <c r="S199"/>
  <c r="P199"/>
  <c r="M199"/>
  <c r="J199"/>
  <c r="G199"/>
  <c r="AB198"/>
  <c r="Y198"/>
  <c r="V198"/>
  <c r="S198"/>
  <c r="P198"/>
  <c r="M198"/>
  <c r="J198"/>
  <c r="G198"/>
  <c r="AB197"/>
  <c r="Y197"/>
  <c r="V197"/>
  <c r="S197"/>
  <c r="P197"/>
  <c r="M197"/>
  <c r="J197"/>
  <c r="G197"/>
  <c r="V196"/>
  <c r="S196"/>
  <c r="P196"/>
  <c r="M196"/>
  <c r="J196"/>
  <c r="G196"/>
  <c r="V195"/>
  <c r="S195"/>
  <c r="P195"/>
  <c r="M195"/>
  <c r="J195"/>
  <c r="G195"/>
  <c r="X194"/>
  <c r="V194"/>
  <c r="S194"/>
  <c r="P194"/>
  <c r="L194"/>
  <c r="K194"/>
  <c r="I194"/>
  <c r="H194"/>
  <c r="J194" s="1"/>
  <c r="G194"/>
  <c r="F194"/>
  <c r="E194"/>
  <c r="AE193"/>
  <c r="AC193"/>
  <c r="V193"/>
  <c r="S193"/>
  <c r="P193"/>
  <c r="M193"/>
  <c r="J193"/>
  <c r="G193"/>
  <c r="AE192"/>
  <c r="V192"/>
  <c r="S192"/>
  <c r="P192"/>
  <c r="M192"/>
  <c r="J192"/>
  <c r="G192"/>
  <c r="W191"/>
  <c r="V191"/>
  <c r="S191"/>
  <c r="P191"/>
  <c r="L191"/>
  <c r="K191"/>
  <c r="M191" s="1"/>
  <c r="I191"/>
  <c r="H191"/>
  <c r="F191"/>
  <c r="E191"/>
  <c r="Z190"/>
  <c r="V190"/>
  <c r="S190"/>
  <c r="P190"/>
  <c r="L190"/>
  <c r="K190"/>
  <c r="I190"/>
  <c r="H190"/>
  <c r="F190"/>
  <c r="E190"/>
  <c r="S189"/>
  <c r="P189"/>
  <c r="L189"/>
  <c r="K189"/>
  <c r="I189"/>
  <c r="H189"/>
  <c r="F189"/>
  <c r="E189"/>
  <c r="U188"/>
  <c r="T188"/>
  <c r="S188"/>
  <c r="P188"/>
  <c r="L188"/>
  <c r="K188"/>
  <c r="I188"/>
  <c r="H188"/>
  <c r="F188"/>
  <c r="E188"/>
  <c r="U187"/>
  <c r="T187"/>
  <c r="S187"/>
  <c r="P187"/>
  <c r="AE186"/>
  <c r="AF186" s="1"/>
  <c r="AB186"/>
  <c r="Y186"/>
  <c r="V186"/>
  <c r="S186"/>
  <c r="P186"/>
  <c r="M186"/>
  <c r="J186"/>
  <c r="G186"/>
  <c r="AE185"/>
  <c r="AF185" s="1"/>
  <c r="AB185"/>
  <c r="Y185"/>
  <c r="V185"/>
  <c r="S185"/>
  <c r="P185"/>
  <c r="M185"/>
  <c r="J185"/>
  <c r="G185"/>
  <c r="AE184"/>
  <c r="AF184" s="1"/>
  <c r="AD184"/>
  <c r="AC184"/>
  <c r="AB184"/>
  <c r="Y184"/>
  <c r="V184"/>
  <c r="S184"/>
  <c r="P184"/>
  <c r="M184"/>
  <c r="J184"/>
  <c r="G184"/>
  <c r="U183"/>
  <c r="AE183" s="1"/>
  <c r="T183"/>
  <c r="W183" s="1"/>
  <c r="S183"/>
  <c r="P183"/>
  <c r="L183"/>
  <c r="K183"/>
  <c r="I183"/>
  <c r="H183"/>
  <c r="F183"/>
  <c r="E183"/>
  <c r="G183" s="1"/>
  <c r="AE182"/>
  <c r="AC182"/>
  <c r="V182"/>
  <c r="S182"/>
  <c r="P182"/>
  <c r="L182"/>
  <c r="K182"/>
  <c r="I182"/>
  <c r="H182"/>
  <c r="F182"/>
  <c r="E182"/>
  <c r="U181"/>
  <c r="V181" s="1"/>
  <c r="T181"/>
  <c r="Z181" s="1"/>
  <c r="S181"/>
  <c r="P181"/>
  <c r="L181"/>
  <c r="K181"/>
  <c r="I181"/>
  <c r="H181"/>
  <c r="F181"/>
  <c r="E181"/>
  <c r="U180"/>
  <c r="T180"/>
  <c r="S180"/>
  <c r="P180"/>
  <c r="S179"/>
  <c r="O179"/>
  <c r="L179"/>
  <c r="K179"/>
  <c r="I179"/>
  <c r="H179"/>
  <c r="F179"/>
  <c r="E179"/>
  <c r="U178"/>
  <c r="AA178" s="1"/>
  <c r="T178"/>
  <c r="S178"/>
  <c r="P178"/>
  <c r="L178"/>
  <c r="K178"/>
  <c r="I178"/>
  <c r="I177" s="1"/>
  <c r="H178"/>
  <c r="F178"/>
  <c r="E178"/>
  <c r="R177"/>
  <c r="R176" s="1"/>
  <c r="R175" s="1"/>
  <c r="Q177"/>
  <c r="S177" s="1"/>
  <c r="N177"/>
  <c r="N176" s="1"/>
  <c r="Q176"/>
  <c r="Q175" s="1"/>
  <c r="Q174" s="1"/>
  <c r="AE173"/>
  <c r="V173"/>
  <c r="S173"/>
  <c r="P173"/>
  <c r="M173"/>
  <c r="J173"/>
  <c r="G173"/>
  <c r="AE172"/>
  <c r="V172"/>
  <c r="S172"/>
  <c r="P172"/>
  <c r="M172"/>
  <c r="J172"/>
  <c r="G172"/>
  <c r="AE171"/>
  <c r="AC171"/>
  <c r="V171"/>
  <c r="S171"/>
  <c r="P171"/>
  <c r="L171"/>
  <c r="K171"/>
  <c r="I171"/>
  <c r="J171" s="1"/>
  <c r="H171"/>
  <c r="F171"/>
  <c r="E171"/>
  <c r="AC170"/>
  <c r="V170"/>
  <c r="S170"/>
  <c r="P170"/>
  <c r="M170"/>
  <c r="J170"/>
  <c r="G170"/>
  <c r="AC169"/>
  <c r="V169"/>
  <c r="S169"/>
  <c r="P169"/>
  <c r="M169"/>
  <c r="J169"/>
  <c r="G169"/>
  <c r="AC168"/>
  <c r="V168"/>
  <c r="S168"/>
  <c r="P168"/>
  <c r="L168"/>
  <c r="K168"/>
  <c r="I168"/>
  <c r="H168"/>
  <c r="F168"/>
  <c r="E168"/>
  <c r="AE167"/>
  <c r="V167"/>
  <c r="S167"/>
  <c r="P167"/>
  <c r="M167"/>
  <c r="J167"/>
  <c r="G167"/>
  <c r="AE166"/>
  <c r="Z166"/>
  <c r="V166"/>
  <c r="S166"/>
  <c r="P166"/>
  <c r="M166"/>
  <c r="J166"/>
  <c r="G166"/>
  <c r="AE165"/>
  <c r="AC165"/>
  <c r="V165"/>
  <c r="S165"/>
  <c r="P165"/>
  <c r="L165"/>
  <c r="K165"/>
  <c r="M165" s="1"/>
  <c r="I165"/>
  <c r="H165"/>
  <c r="F165"/>
  <c r="E165"/>
  <c r="G165" s="1"/>
  <c r="AC164"/>
  <c r="V164"/>
  <c r="S164"/>
  <c r="P164"/>
  <c r="M164"/>
  <c r="J164"/>
  <c r="G164"/>
  <c r="AC163"/>
  <c r="AA163"/>
  <c r="V163"/>
  <c r="S163"/>
  <c r="P163"/>
  <c r="M163"/>
  <c r="J163"/>
  <c r="G163"/>
  <c r="AC162"/>
  <c r="X162"/>
  <c r="V162"/>
  <c r="S162"/>
  <c r="P162"/>
  <c r="L162"/>
  <c r="K162"/>
  <c r="I162"/>
  <c r="H162"/>
  <c r="F162"/>
  <c r="G162" s="1"/>
  <c r="E162"/>
  <c r="AE161"/>
  <c r="AC161"/>
  <c r="V161"/>
  <c r="S161"/>
  <c r="P161"/>
  <c r="M161"/>
  <c r="J161"/>
  <c r="G161"/>
  <c r="AE160"/>
  <c r="V160"/>
  <c r="S160"/>
  <c r="P160"/>
  <c r="M160"/>
  <c r="J160"/>
  <c r="G160"/>
  <c r="AE159"/>
  <c r="AC159"/>
  <c r="X159"/>
  <c r="AD159" s="1"/>
  <c r="V159"/>
  <c r="S159"/>
  <c r="P159"/>
  <c r="M159"/>
  <c r="L159"/>
  <c r="K159"/>
  <c r="I159"/>
  <c r="J159" s="1"/>
  <c r="H159"/>
  <c r="F159"/>
  <c r="E159"/>
  <c r="Z158"/>
  <c r="V158"/>
  <c r="S158"/>
  <c r="P158"/>
  <c r="AC157"/>
  <c r="V157"/>
  <c r="S157"/>
  <c r="P157"/>
  <c r="M157"/>
  <c r="J157"/>
  <c r="G157"/>
  <c r="AC156"/>
  <c r="V156"/>
  <c r="S156"/>
  <c r="P156"/>
  <c r="M156"/>
  <c r="J156"/>
  <c r="G156"/>
  <c r="AC155"/>
  <c r="Z155"/>
  <c r="V155"/>
  <c r="S155"/>
  <c r="P155"/>
  <c r="L155"/>
  <c r="K155"/>
  <c r="M155" s="1"/>
  <c r="I155"/>
  <c r="H155"/>
  <c r="J155" s="1"/>
  <c r="F155"/>
  <c r="E155"/>
  <c r="AE154"/>
  <c r="V154"/>
  <c r="S154"/>
  <c r="P154"/>
  <c r="M154"/>
  <c r="J154"/>
  <c r="G154"/>
  <c r="AE153"/>
  <c r="AC153"/>
  <c r="AA153"/>
  <c r="V153"/>
  <c r="S153"/>
  <c r="P153"/>
  <c r="M153"/>
  <c r="J153"/>
  <c r="G153"/>
  <c r="AE152"/>
  <c r="Z152"/>
  <c r="V152"/>
  <c r="S152"/>
  <c r="P152"/>
  <c r="L152"/>
  <c r="K152"/>
  <c r="I152"/>
  <c r="H152"/>
  <c r="F152"/>
  <c r="E152"/>
  <c r="G152" s="1"/>
  <c r="AC151"/>
  <c r="V151"/>
  <c r="S151"/>
  <c r="P151"/>
  <c r="M151"/>
  <c r="J151"/>
  <c r="G151"/>
  <c r="AC150"/>
  <c r="V150"/>
  <c r="S150"/>
  <c r="P150"/>
  <c r="M150"/>
  <c r="J150"/>
  <c r="G150"/>
  <c r="AC149"/>
  <c r="Z149"/>
  <c r="V149"/>
  <c r="S149"/>
  <c r="P149"/>
  <c r="L149"/>
  <c r="K149"/>
  <c r="I149"/>
  <c r="H149"/>
  <c r="J149" s="1"/>
  <c r="F149"/>
  <c r="E149"/>
  <c r="AE148"/>
  <c r="V148"/>
  <c r="S148"/>
  <c r="P148"/>
  <c r="M148"/>
  <c r="J148"/>
  <c r="G148"/>
  <c r="AE147"/>
  <c r="AC147"/>
  <c r="AA147"/>
  <c r="V147"/>
  <c r="S147"/>
  <c r="P147"/>
  <c r="M147"/>
  <c r="J147"/>
  <c r="G147"/>
  <c r="AE146"/>
  <c r="Z146"/>
  <c r="V146"/>
  <c r="S146"/>
  <c r="P146"/>
  <c r="L146"/>
  <c r="K146"/>
  <c r="I146"/>
  <c r="H146"/>
  <c r="F146"/>
  <c r="E146"/>
  <c r="AC145"/>
  <c r="V145"/>
  <c r="S145"/>
  <c r="P145"/>
  <c r="M145"/>
  <c r="J145"/>
  <c r="G145"/>
  <c r="AC144"/>
  <c r="V144"/>
  <c r="S144"/>
  <c r="P144"/>
  <c r="M144"/>
  <c r="J144"/>
  <c r="G144"/>
  <c r="U143"/>
  <c r="T143"/>
  <c r="S143"/>
  <c r="P143"/>
  <c r="L143"/>
  <c r="M143" s="1"/>
  <c r="K143"/>
  <c r="I143"/>
  <c r="H143"/>
  <c r="F143"/>
  <c r="E143"/>
  <c r="U142"/>
  <c r="T142"/>
  <c r="S142"/>
  <c r="P142"/>
  <c r="U141"/>
  <c r="T141"/>
  <c r="S141"/>
  <c r="P141"/>
  <c r="AC140"/>
  <c r="AD140" s="1"/>
  <c r="AB140"/>
  <c r="Y140"/>
  <c r="V140"/>
  <c r="S140"/>
  <c r="P140"/>
  <c r="M140"/>
  <c r="J140"/>
  <c r="G140"/>
  <c r="U139"/>
  <c r="T139"/>
  <c r="S139"/>
  <c r="P139"/>
  <c r="M139"/>
  <c r="J139"/>
  <c r="G139"/>
  <c r="U138"/>
  <c r="T138"/>
  <c r="Z138" s="1"/>
  <c r="S138"/>
  <c r="P138"/>
  <c r="L138"/>
  <c r="K138"/>
  <c r="M138" s="1"/>
  <c r="I138"/>
  <c r="J138" s="1"/>
  <c r="H138"/>
  <c r="F138"/>
  <c r="G138" s="1"/>
  <c r="E138"/>
  <c r="AE137"/>
  <c r="AF137" s="1"/>
  <c r="AC137"/>
  <c r="AD137" s="1"/>
  <c r="AB137"/>
  <c r="Y137"/>
  <c r="V137"/>
  <c r="S137"/>
  <c r="P137"/>
  <c r="M137"/>
  <c r="J137"/>
  <c r="G137"/>
  <c r="AE136"/>
  <c r="U136"/>
  <c r="T136"/>
  <c r="Z136" s="1"/>
  <c r="S136"/>
  <c r="P136"/>
  <c r="M136"/>
  <c r="J136"/>
  <c r="G136"/>
  <c r="U135"/>
  <c r="T135"/>
  <c r="S135"/>
  <c r="P135"/>
  <c r="L135"/>
  <c r="M135" s="1"/>
  <c r="K135"/>
  <c r="I135"/>
  <c r="H135"/>
  <c r="F135"/>
  <c r="E135"/>
  <c r="S134"/>
  <c r="P134"/>
  <c r="M134"/>
  <c r="J134"/>
  <c r="G134"/>
  <c r="U133"/>
  <c r="T133"/>
  <c r="S133"/>
  <c r="P133"/>
  <c r="M133"/>
  <c r="J133"/>
  <c r="G133"/>
  <c r="U132"/>
  <c r="AC132" s="1"/>
  <c r="T132"/>
  <c r="S132"/>
  <c r="P132"/>
  <c r="L132"/>
  <c r="K132"/>
  <c r="I132"/>
  <c r="H132"/>
  <c r="F132"/>
  <c r="E132"/>
  <c r="AB131"/>
  <c r="Y131"/>
  <c r="V131"/>
  <c r="S131"/>
  <c r="P131"/>
  <c r="M131"/>
  <c r="J131"/>
  <c r="G131"/>
  <c r="U130"/>
  <c r="X130" s="1"/>
  <c r="T130"/>
  <c r="S130"/>
  <c r="P130"/>
  <c r="M130"/>
  <c r="J130"/>
  <c r="G130"/>
  <c r="W129"/>
  <c r="U129"/>
  <c r="X129" s="1"/>
  <c r="AA129" s="1"/>
  <c r="T129"/>
  <c r="V129" s="1"/>
  <c r="S129"/>
  <c r="P129"/>
  <c r="L129"/>
  <c r="K129"/>
  <c r="I129"/>
  <c r="H129"/>
  <c r="J129" s="1"/>
  <c r="F129"/>
  <c r="E129"/>
  <c r="S128"/>
  <c r="P128"/>
  <c r="M128"/>
  <c r="J128"/>
  <c r="G128"/>
  <c r="U127"/>
  <c r="T127"/>
  <c r="S127"/>
  <c r="P127"/>
  <c r="M127"/>
  <c r="J127"/>
  <c r="G127"/>
  <c r="X126"/>
  <c r="U126"/>
  <c r="T126"/>
  <c r="S126"/>
  <c r="P126"/>
  <c r="L126"/>
  <c r="K126"/>
  <c r="M126" s="1"/>
  <c r="I126"/>
  <c r="H126"/>
  <c r="J126" s="1"/>
  <c r="F126"/>
  <c r="G126" s="1"/>
  <c r="E126"/>
  <c r="Z125"/>
  <c r="U125"/>
  <c r="T125"/>
  <c r="W125" s="1"/>
  <c r="S125"/>
  <c r="P125"/>
  <c r="K125"/>
  <c r="U124"/>
  <c r="T124"/>
  <c r="S124"/>
  <c r="P124"/>
  <c r="L123"/>
  <c r="K123"/>
  <c r="J123"/>
  <c r="G123"/>
  <c r="U122"/>
  <c r="T122"/>
  <c r="S122"/>
  <c r="P122"/>
  <c r="L122"/>
  <c r="K122"/>
  <c r="J122"/>
  <c r="G122"/>
  <c r="AB121"/>
  <c r="Y121"/>
  <c r="V121"/>
  <c r="S121"/>
  <c r="P121"/>
  <c r="L121"/>
  <c r="K121"/>
  <c r="J121"/>
  <c r="G121"/>
  <c r="AA120"/>
  <c r="X120"/>
  <c r="W120"/>
  <c r="Y120" s="1"/>
  <c r="U120"/>
  <c r="AC120" s="1"/>
  <c r="AD120" s="1"/>
  <c r="T120"/>
  <c r="V120" s="1"/>
  <c r="R120"/>
  <c r="S120" s="1"/>
  <c r="L120"/>
  <c r="O120" s="1"/>
  <c r="P120" s="1"/>
  <c r="K120"/>
  <c r="J120"/>
  <c r="G120"/>
  <c r="AB119"/>
  <c r="Y119"/>
  <c r="U119"/>
  <c r="AC119" s="1"/>
  <c r="AD119" s="1"/>
  <c r="T119"/>
  <c r="S119"/>
  <c r="P119"/>
  <c r="L119"/>
  <c r="K119"/>
  <c r="J119"/>
  <c r="G119"/>
  <c r="U118"/>
  <c r="X118" s="1"/>
  <c r="T118"/>
  <c r="T117" s="1"/>
  <c r="R118"/>
  <c r="S118" s="1"/>
  <c r="L118"/>
  <c r="K118"/>
  <c r="J118"/>
  <c r="G118"/>
  <c r="R117"/>
  <c r="Q117"/>
  <c r="N117"/>
  <c r="N114" s="1"/>
  <c r="N113" s="1"/>
  <c r="I117"/>
  <c r="I114" s="1"/>
  <c r="I113" s="1"/>
  <c r="I112" s="1"/>
  <c r="H117"/>
  <c r="F117"/>
  <c r="F114" s="1"/>
  <c r="F113" s="1"/>
  <c r="F112" s="1"/>
  <c r="E117"/>
  <c r="AC116"/>
  <c r="AD116" s="1"/>
  <c r="AB116"/>
  <c r="Y116"/>
  <c r="V116"/>
  <c r="S116"/>
  <c r="P116"/>
  <c r="M116"/>
  <c r="J116"/>
  <c r="G116"/>
  <c r="AA115"/>
  <c r="Y115"/>
  <c r="U115"/>
  <c r="AC115" s="1"/>
  <c r="AD115" s="1"/>
  <c r="S115"/>
  <c r="L115"/>
  <c r="O115" s="1"/>
  <c r="P115" s="1"/>
  <c r="K115"/>
  <c r="J115"/>
  <c r="G115"/>
  <c r="H114"/>
  <c r="Z111"/>
  <c r="T111"/>
  <c r="R111"/>
  <c r="S111" s="1"/>
  <c r="P111"/>
  <c r="L111"/>
  <c r="K111"/>
  <c r="J111"/>
  <c r="G111"/>
  <c r="Z110"/>
  <c r="T110"/>
  <c r="R110"/>
  <c r="S110" s="1"/>
  <c r="O110"/>
  <c r="U110" s="1"/>
  <c r="L110"/>
  <c r="K110"/>
  <c r="J110"/>
  <c r="G110"/>
  <c r="U109"/>
  <c r="X109" s="1"/>
  <c r="T109"/>
  <c r="R109"/>
  <c r="S109" s="1"/>
  <c r="P109"/>
  <c r="L109"/>
  <c r="K109"/>
  <c r="J109"/>
  <c r="G109"/>
  <c r="Z108"/>
  <c r="T108"/>
  <c r="R108"/>
  <c r="P108"/>
  <c r="L108"/>
  <c r="K108"/>
  <c r="J108"/>
  <c r="G108"/>
  <c r="T107"/>
  <c r="R107"/>
  <c r="U107" s="1"/>
  <c r="P107"/>
  <c r="L107"/>
  <c r="K107"/>
  <c r="J107"/>
  <c r="G107"/>
  <c r="T106"/>
  <c r="W106" s="1"/>
  <c r="R106"/>
  <c r="U106" s="1"/>
  <c r="P106"/>
  <c r="L106"/>
  <c r="K106"/>
  <c r="J106"/>
  <c r="G106"/>
  <c r="T105"/>
  <c r="R105"/>
  <c r="S105" s="1"/>
  <c r="P105"/>
  <c r="L105"/>
  <c r="K105"/>
  <c r="J105"/>
  <c r="G105"/>
  <c r="Q104"/>
  <c r="O104"/>
  <c r="N104"/>
  <c r="L104"/>
  <c r="K104"/>
  <c r="H104"/>
  <c r="E104"/>
  <c r="G104" s="1"/>
  <c r="U103"/>
  <c r="AC103" s="1"/>
  <c r="T103"/>
  <c r="S103"/>
  <c r="P103"/>
  <c r="L103"/>
  <c r="K103"/>
  <c r="J103"/>
  <c r="G103"/>
  <c r="W102"/>
  <c r="U102"/>
  <c r="AC102" s="1"/>
  <c r="T102"/>
  <c r="S102"/>
  <c r="P102"/>
  <c r="L102"/>
  <c r="K102"/>
  <c r="J102"/>
  <c r="G102"/>
  <c r="U101"/>
  <c r="T101"/>
  <c r="S101"/>
  <c r="P101"/>
  <c r="L101"/>
  <c r="K101"/>
  <c r="J101"/>
  <c r="G101"/>
  <c r="T100"/>
  <c r="W100" s="1"/>
  <c r="S100"/>
  <c r="R100"/>
  <c r="U100" s="1"/>
  <c r="P100"/>
  <c r="L100"/>
  <c r="K100"/>
  <c r="J100"/>
  <c r="G100"/>
  <c r="T99"/>
  <c r="R99"/>
  <c r="S99" s="1"/>
  <c r="P99"/>
  <c r="M99"/>
  <c r="J99"/>
  <c r="G99"/>
  <c r="W98"/>
  <c r="U98"/>
  <c r="AC98" s="1"/>
  <c r="T98"/>
  <c r="S98"/>
  <c r="P98"/>
  <c r="L98"/>
  <c r="K98"/>
  <c r="J98"/>
  <c r="G98"/>
  <c r="Q97"/>
  <c r="T97" s="1"/>
  <c r="W97" s="1"/>
  <c r="P97"/>
  <c r="I97"/>
  <c r="I95" s="1"/>
  <c r="H97"/>
  <c r="J97" s="1"/>
  <c r="F97"/>
  <c r="F95" s="1"/>
  <c r="E97"/>
  <c r="T96"/>
  <c r="Z96" s="1"/>
  <c r="R96"/>
  <c r="S96" s="1"/>
  <c r="P96"/>
  <c r="L96"/>
  <c r="K96"/>
  <c r="J96"/>
  <c r="G96"/>
  <c r="U94"/>
  <c r="AC94" s="1"/>
  <c r="T94"/>
  <c r="Z94" s="1"/>
  <c r="S94"/>
  <c r="P94"/>
  <c r="M94"/>
  <c r="J94"/>
  <c r="G94"/>
  <c r="U93"/>
  <c r="X93" s="1"/>
  <c r="T93"/>
  <c r="S93"/>
  <c r="P93"/>
  <c r="M93"/>
  <c r="J93"/>
  <c r="G93"/>
  <c r="AE92"/>
  <c r="AC92"/>
  <c r="AD92" s="1"/>
  <c r="Z92"/>
  <c r="X92"/>
  <c r="V92"/>
  <c r="S92"/>
  <c r="P92"/>
  <c r="L92"/>
  <c r="K92"/>
  <c r="I92"/>
  <c r="H92"/>
  <c r="J92" s="1"/>
  <c r="F92"/>
  <c r="E92"/>
  <c r="G92" s="1"/>
  <c r="T91"/>
  <c r="R91"/>
  <c r="S91" s="1"/>
  <c r="L91"/>
  <c r="O91" s="1"/>
  <c r="K91"/>
  <c r="I91"/>
  <c r="H91"/>
  <c r="F91"/>
  <c r="E91"/>
  <c r="Z90"/>
  <c r="W90"/>
  <c r="T90"/>
  <c r="R90"/>
  <c r="S90" s="1"/>
  <c r="L90"/>
  <c r="O90" s="1"/>
  <c r="K90"/>
  <c r="I90"/>
  <c r="H90"/>
  <c r="F90"/>
  <c r="E90"/>
  <c r="T89"/>
  <c r="R89"/>
  <c r="S89" s="1"/>
  <c r="L89"/>
  <c r="O89" s="1"/>
  <c r="U89" s="1"/>
  <c r="K89"/>
  <c r="I89"/>
  <c r="H89"/>
  <c r="F89"/>
  <c r="E89"/>
  <c r="T88"/>
  <c r="Z88" s="1"/>
  <c r="R88"/>
  <c r="S88" s="1"/>
  <c r="L88"/>
  <c r="O88" s="1"/>
  <c r="K88"/>
  <c r="I88"/>
  <c r="H88"/>
  <c r="F88"/>
  <c r="E88"/>
  <c r="P87"/>
  <c r="M87"/>
  <c r="J87"/>
  <c r="G87"/>
  <c r="U86"/>
  <c r="AA86" s="1"/>
  <c r="T86"/>
  <c r="S86"/>
  <c r="P86"/>
  <c r="M86"/>
  <c r="J86"/>
  <c r="G86"/>
  <c r="AC85"/>
  <c r="AD85" s="1"/>
  <c r="AB85"/>
  <c r="Y85"/>
  <c r="V85"/>
  <c r="S85"/>
  <c r="P85"/>
  <c r="M85"/>
  <c r="J85"/>
  <c r="G85"/>
  <c r="AB84"/>
  <c r="Y84"/>
  <c r="U84"/>
  <c r="R84"/>
  <c r="S84" s="1"/>
  <c r="P84"/>
  <c r="M84"/>
  <c r="J84"/>
  <c r="G84"/>
  <c r="AC83"/>
  <c r="AD83" s="1"/>
  <c r="AB83"/>
  <c r="Y83"/>
  <c r="V83"/>
  <c r="S83"/>
  <c r="P83"/>
  <c r="M83"/>
  <c r="J83"/>
  <c r="G83"/>
  <c r="T82"/>
  <c r="R82"/>
  <c r="S82" s="1"/>
  <c r="P82"/>
  <c r="M82"/>
  <c r="J82"/>
  <c r="G82"/>
  <c r="Q81"/>
  <c r="P81"/>
  <c r="L81"/>
  <c r="L78" s="1"/>
  <c r="L77" s="1"/>
  <c r="L76" s="1"/>
  <c r="K81"/>
  <c r="I81"/>
  <c r="H81"/>
  <c r="J81" s="1"/>
  <c r="G81"/>
  <c r="F81"/>
  <c r="E81"/>
  <c r="AC80"/>
  <c r="AD80" s="1"/>
  <c r="AB80"/>
  <c r="Y80"/>
  <c r="V80"/>
  <c r="S80"/>
  <c r="P80"/>
  <c r="M80"/>
  <c r="J80"/>
  <c r="G80"/>
  <c r="AB79"/>
  <c r="Y79"/>
  <c r="T79"/>
  <c r="R79"/>
  <c r="S79" s="1"/>
  <c r="P79"/>
  <c r="M79"/>
  <c r="J79"/>
  <c r="G79"/>
  <c r="P78"/>
  <c r="I78"/>
  <c r="I77" s="1"/>
  <c r="I76" s="1"/>
  <c r="F78"/>
  <c r="F77" s="1"/>
  <c r="E78"/>
  <c r="P77"/>
  <c r="P76"/>
  <c r="F76"/>
  <c r="Z75"/>
  <c r="V75"/>
  <c r="U75"/>
  <c r="AC75" s="1"/>
  <c r="T75"/>
  <c r="S75"/>
  <c r="P75"/>
  <c r="M75"/>
  <c r="J75"/>
  <c r="F75"/>
  <c r="E75"/>
  <c r="T74"/>
  <c r="Z74" s="1"/>
  <c r="R74"/>
  <c r="S74" s="1"/>
  <c r="L74"/>
  <c r="O74" s="1"/>
  <c r="K74"/>
  <c r="K69" s="1"/>
  <c r="I74"/>
  <c r="I69" s="1"/>
  <c r="H74"/>
  <c r="H69" s="1"/>
  <c r="F74"/>
  <c r="E74"/>
  <c r="T73"/>
  <c r="R73"/>
  <c r="S73" s="1"/>
  <c r="P73"/>
  <c r="M73"/>
  <c r="J73"/>
  <c r="F73"/>
  <c r="E73"/>
  <c r="U72"/>
  <c r="T72"/>
  <c r="Z72" s="1"/>
  <c r="R72"/>
  <c r="S72" s="1"/>
  <c r="P72"/>
  <c r="M72"/>
  <c r="J72"/>
  <c r="F72"/>
  <c r="E72"/>
  <c r="AE71"/>
  <c r="U71"/>
  <c r="AA71" s="1"/>
  <c r="T71"/>
  <c r="Z71" s="1"/>
  <c r="S71"/>
  <c r="P71"/>
  <c r="M71"/>
  <c r="J71"/>
  <c r="F71"/>
  <c r="E71"/>
  <c r="T70"/>
  <c r="R70"/>
  <c r="P70"/>
  <c r="M70"/>
  <c r="J70"/>
  <c r="F70"/>
  <c r="E70"/>
  <c r="Q69"/>
  <c r="N69"/>
  <c r="N68"/>
  <c r="L67"/>
  <c r="K67"/>
  <c r="I67"/>
  <c r="H67"/>
  <c r="F67"/>
  <c r="E67"/>
  <c r="U66"/>
  <c r="X66" s="1"/>
  <c r="T66"/>
  <c r="S66"/>
  <c r="P66"/>
  <c r="L66"/>
  <c r="K66"/>
  <c r="I66"/>
  <c r="H66"/>
  <c r="F66"/>
  <c r="E66"/>
  <c r="AC65"/>
  <c r="AD65" s="1"/>
  <c r="AB65"/>
  <c r="Y65"/>
  <c r="V65"/>
  <c r="S65"/>
  <c r="P65"/>
  <c r="L65"/>
  <c r="K65"/>
  <c r="I65"/>
  <c r="H65"/>
  <c r="F65"/>
  <c r="E65"/>
  <c r="AB64"/>
  <c r="Y64"/>
  <c r="V64"/>
  <c r="U64"/>
  <c r="AC64" s="1"/>
  <c r="AD64" s="1"/>
  <c r="R64"/>
  <c r="S64" s="1"/>
  <c r="O64"/>
  <c r="P64" s="1"/>
  <c r="L64"/>
  <c r="K64"/>
  <c r="I64"/>
  <c r="H64"/>
  <c r="F64"/>
  <c r="E64"/>
  <c r="AB63"/>
  <c r="Y63"/>
  <c r="U63"/>
  <c r="AC63" s="1"/>
  <c r="AD63" s="1"/>
  <c r="T63"/>
  <c r="R63"/>
  <c r="S63" s="1"/>
  <c r="O63"/>
  <c r="P63" s="1"/>
  <c r="L63"/>
  <c r="K63"/>
  <c r="I63"/>
  <c r="H63"/>
  <c r="F63"/>
  <c r="E63"/>
  <c r="AC62"/>
  <c r="AD62" s="1"/>
  <c r="AB62"/>
  <c r="Y62"/>
  <c r="V62"/>
  <c r="S62"/>
  <c r="P62"/>
  <c r="L62"/>
  <c r="K62"/>
  <c r="I62"/>
  <c r="H62"/>
  <c r="F62"/>
  <c r="E62"/>
  <c r="U61"/>
  <c r="T61"/>
  <c r="T60" s="1"/>
  <c r="R61"/>
  <c r="S61" s="1"/>
  <c r="O61"/>
  <c r="O60" s="1"/>
  <c r="L61"/>
  <c r="K61"/>
  <c r="I61"/>
  <c r="H61"/>
  <c r="F61"/>
  <c r="E61"/>
  <c r="R60"/>
  <c r="Q60"/>
  <c r="N60"/>
  <c r="AC59"/>
  <c r="AD59" s="1"/>
  <c r="AB59"/>
  <c r="Y59"/>
  <c r="V59"/>
  <c r="S59"/>
  <c r="P59"/>
  <c r="M59"/>
  <c r="J59"/>
  <c r="G59"/>
  <c r="Z55"/>
  <c r="T55"/>
  <c r="W55" s="1"/>
  <c r="S55"/>
  <c r="L55"/>
  <c r="O55" s="1"/>
  <c r="U55" s="1"/>
  <c r="K55"/>
  <c r="I55"/>
  <c r="H55"/>
  <c r="F55"/>
  <c r="E55"/>
  <c r="T54"/>
  <c r="S54"/>
  <c r="L54"/>
  <c r="O54" s="1"/>
  <c r="K54"/>
  <c r="I54"/>
  <c r="H54"/>
  <c r="F54"/>
  <c r="E54"/>
  <c r="U52"/>
  <c r="T52"/>
  <c r="S52"/>
  <c r="P52"/>
  <c r="L52"/>
  <c r="K52"/>
  <c r="I52"/>
  <c r="H52"/>
  <c r="F52"/>
  <c r="E52"/>
  <c r="T51"/>
  <c r="R51"/>
  <c r="S51" s="1"/>
  <c r="L51"/>
  <c r="O51" s="1"/>
  <c r="K51"/>
  <c r="I51"/>
  <c r="H51"/>
  <c r="F51"/>
  <c r="E51"/>
  <c r="T50"/>
  <c r="S50"/>
  <c r="R50"/>
  <c r="L50"/>
  <c r="O50" s="1"/>
  <c r="K50"/>
  <c r="I50"/>
  <c r="H50"/>
  <c r="F50"/>
  <c r="E50"/>
  <c r="T49"/>
  <c r="R49"/>
  <c r="S49" s="1"/>
  <c r="L49"/>
  <c r="O49" s="1"/>
  <c r="K49"/>
  <c r="I49"/>
  <c r="H49"/>
  <c r="F49"/>
  <c r="E49"/>
  <c r="T48"/>
  <c r="S48"/>
  <c r="L48"/>
  <c r="K48"/>
  <c r="I48"/>
  <c r="H48"/>
  <c r="F48"/>
  <c r="E48"/>
  <c r="W47"/>
  <c r="T47"/>
  <c r="R47"/>
  <c r="S47" s="1"/>
  <c r="L47"/>
  <c r="K47"/>
  <c r="I47"/>
  <c r="H47"/>
  <c r="F47"/>
  <c r="E47"/>
  <c r="Q46"/>
  <c r="N46"/>
  <c r="T45"/>
  <c r="Z45" s="1"/>
  <c r="R45"/>
  <c r="S45" s="1"/>
  <c r="L45"/>
  <c r="K45"/>
  <c r="I45"/>
  <c r="H45"/>
  <c r="F45"/>
  <c r="E45"/>
  <c r="T44"/>
  <c r="W44" s="1"/>
  <c r="R44"/>
  <c r="L44"/>
  <c r="O44" s="1"/>
  <c r="K44"/>
  <c r="I44"/>
  <c r="H44"/>
  <c r="F44"/>
  <c r="E44"/>
  <c r="Q43"/>
  <c r="N43"/>
  <c r="U42"/>
  <c r="AC42" s="1"/>
  <c r="T42"/>
  <c r="V42" s="1"/>
  <c r="S42"/>
  <c r="P42"/>
  <c r="M42"/>
  <c r="J42"/>
  <c r="G42"/>
  <c r="L41"/>
  <c r="K41"/>
  <c r="I41"/>
  <c r="H41"/>
  <c r="F41"/>
  <c r="E41"/>
  <c r="U40"/>
  <c r="AA40" s="1"/>
  <c r="T40"/>
  <c r="S40"/>
  <c r="P40"/>
  <c r="L40"/>
  <c r="K40"/>
  <c r="I40"/>
  <c r="H40"/>
  <c r="F40"/>
  <c r="E40"/>
  <c r="AC39"/>
  <c r="AD39" s="1"/>
  <c r="AB39"/>
  <c r="Y39"/>
  <c r="V39"/>
  <c r="S39"/>
  <c r="P39"/>
  <c r="L39"/>
  <c r="K39"/>
  <c r="I39"/>
  <c r="H39"/>
  <c r="F39"/>
  <c r="E39"/>
  <c r="AC38"/>
  <c r="AD38" s="1"/>
  <c r="AB38"/>
  <c r="Y38"/>
  <c r="V38"/>
  <c r="R38"/>
  <c r="S38" s="1"/>
  <c r="O38"/>
  <c r="P38" s="1"/>
  <c r="L38"/>
  <c r="K38"/>
  <c r="I38"/>
  <c r="H38"/>
  <c r="F38"/>
  <c r="E38"/>
  <c r="AC37"/>
  <c r="AD37" s="1"/>
  <c r="AB37"/>
  <c r="Y37"/>
  <c r="U37"/>
  <c r="T37"/>
  <c r="V37" s="1"/>
  <c r="R37"/>
  <c r="S37" s="1"/>
  <c r="O37"/>
  <c r="P37" s="1"/>
  <c r="L37"/>
  <c r="K37"/>
  <c r="I37"/>
  <c r="H37"/>
  <c r="F37"/>
  <c r="E37"/>
  <c r="AC36"/>
  <c r="AD36" s="1"/>
  <c r="AB36"/>
  <c r="Y36"/>
  <c r="V36"/>
  <c r="S36"/>
  <c r="P36"/>
  <c r="L36"/>
  <c r="K36"/>
  <c r="I36"/>
  <c r="H36"/>
  <c r="F36"/>
  <c r="E36"/>
  <c r="U35"/>
  <c r="T35"/>
  <c r="R35"/>
  <c r="S35" s="1"/>
  <c r="O35"/>
  <c r="L35"/>
  <c r="K35"/>
  <c r="I35"/>
  <c r="H35"/>
  <c r="F35"/>
  <c r="E35"/>
  <c r="R34"/>
  <c r="R32" s="1"/>
  <c r="R31" s="1"/>
  <c r="Q34"/>
  <c r="N34"/>
  <c r="N32" s="1"/>
  <c r="AC33"/>
  <c r="AD33" s="1"/>
  <c r="AB33"/>
  <c r="Y33"/>
  <c r="V33"/>
  <c r="S33"/>
  <c r="P33"/>
  <c r="M33"/>
  <c r="J33"/>
  <c r="G33"/>
  <c r="AE29"/>
  <c r="Z29"/>
  <c r="U29"/>
  <c r="T29"/>
  <c r="V29" s="1"/>
  <c r="S29"/>
  <c r="P29"/>
  <c r="L29"/>
  <c r="K29"/>
  <c r="I29"/>
  <c r="H29"/>
  <c r="F29"/>
  <c r="E29"/>
  <c r="Z28"/>
  <c r="W28"/>
  <c r="T28"/>
  <c r="R28"/>
  <c r="P28"/>
  <c r="L28"/>
  <c r="K28"/>
  <c r="I28"/>
  <c r="H28"/>
  <c r="F28"/>
  <c r="E28"/>
  <c r="T27"/>
  <c r="R27"/>
  <c r="S27" s="1"/>
  <c r="O27"/>
  <c r="L27"/>
  <c r="K27"/>
  <c r="I27"/>
  <c r="H27"/>
  <c r="F27"/>
  <c r="E27"/>
  <c r="R26"/>
  <c r="S26" s="1"/>
  <c r="P26"/>
  <c r="O26"/>
  <c r="L26"/>
  <c r="K26"/>
  <c r="I26"/>
  <c r="H26"/>
  <c r="F26"/>
  <c r="E26"/>
  <c r="U25"/>
  <c r="AE25" s="1"/>
  <c r="T25"/>
  <c r="S25"/>
  <c r="P25"/>
  <c r="L25"/>
  <c r="K25"/>
  <c r="I25"/>
  <c r="H25"/>
  <c r="H24" s="1"/>
  <c r="F25"/>
  <c r="E25"/>
  <c r="U24"/>
  <c r="X24" s="1"/>
  <c r="T24"/>
  <c r="S24"/>
  <c r="P24"/>
  <c r="R23"/>
  <c r="S23" s="1"/>
  <c r="O23"/>
  <c r="P23" s="1"/>
  <c r="L23"/>
  <c r="K23"/>
  <c r="I23"/>
  <c r="H23"/>
  <c r="F23"/>
  <c r="E23"/>
  <c r="Z22"/>
  <c r="U22"/>
  <c r="AE22" s="1"/>
  <c r="T22"/>
  <c r="T23" s="1"/>
  <c r="S22"/>
  <c r="P22"/>
  <c r="L22"/>
  <c r="K22"/>
  <c r="I22"/>
  <c r="H22"/>
  <c r="F22"/>
  <c r="E22"/>
  <c r="W21"/>
  <c r="U21"/>
  <c r="T21"/>
  <c r="S21"/>
  <c r="P21"/>
  <c r="R20"/>
  <c r="S20" s="1"/>
  <c r="O20"/>
  <c r="P20" s="1"/>
  <c r="L20"/>
  <c r="K20"/>
  <c r="I20"/>
  <c r="H20"/>
  <c r="F20"/>
  <c r="E20"/>
  <c r="AC19"/>
  <c r="U19"/>
  <c r="T19"/>
  <c r="Z19" s="1"/>
  <c r="S19"/>
  <c r="P19"/>
  <c r="L19"/>
  <c r="K19"/>
  <c r="I19"/>
  <c r="H19"/>
  <c r="F19"/>
  <c r="E19"/>
  <c r="U18"/>
  <c r="AC18" s="1"/>
  <c r="T18"/>
  <c r="Z18" s="1"/>
  <c r="S18"/>
  <c r="P18"/>
  <c r="R17"/>
  <c r="S17" s="1"/>
  <c r="P17"/>
  <c r="O17"/>
  <c r="L17"/>
  <c r="K17"/>
  <c r="I17"/>
  <c r="H17"/>
  <c r="F17"/>
  <c r="E17"/>
  <c r="U16"/>
  <c r="AA16" s="1"/>
  <c r="T16"/>
  <c r="S16"/>
  <c r="P16"/>
  <c r="L16"/>
  <c r="K16"/>
  <c r="I16"/>
  <c r="H16"/>
  <c r="F16"/>
  <c r="E16"/>
  <c r="U15"/>
  <c r="AA15" s="1"/>
  <c r="T15"/>
  <c r="S15"/>
  <c r="P15"/>
  <c r="AE14"/>
  <c r="AF14" s="1"/>
  <c r="AC14"/>
  <c r="AD14" s="1"/>
  <c r="AB14"/>
  <c r="Y14"/>
  <c r="V14"/>
  <c r="S14"/>
  <c r="P14"/>
  <c r="M14"/>
  <c r="J14"/>
  <c r="G14"/>
  <c r="AE13"/>
  <c r="AF13" s="1"/>
  <c r="AC13"/>
  <c r="AD13" s="1"/>
  <c r="AB13"/>
  <c r="Y13"/>
  <c r="V13"/>
  <c r="S13"/>
  <c r="P13"/>
  <c r="M13"/>
  <c r="J13"/>
  <c r="G13"/>
  <c r="AF12"/>
  <c r="AE12"/>
  <c r="AC12"/>
  <c r="AD12" s="1"/>
  <c r="AB12"/>
  <c r="Y12"/>
  <c r="V12"/>
  <c r="S12"/>
  <c r="O12"/>
  <c r="N12"/>
  <c r="N11" s="1"/>
  <c r="N10" s="1"/>
  <c r="L12"/>
  <c r="K12"/>
  <c r="I12"/>
  <c r="H12"/>
  <c r="F12"/>
  <c r="E12"/>
  <c r="R11"/>
  <c r="Q11"/>
  <c r="Q10" s="1"/>
  <c r="O282" i="117"/>
  <c r="O277"/>
  <c r="N276"/>
  <c r="AA272"/>
  <c r="AJ272" i="118" s="1"/>
  <c r="Z272" i="117"/>
  <c r="AB272" s="1"/>
  <c r="X272"/>
  <c r="W272"/>
  <c r="U272"/>
  <c r="T272"/>
  <c r="S272"/>
  <c r="P272"/>
  <c r="L272"/>
  <c r="K272"/>
  <c r="I272"/>
  <c r="H272"/>
  <c r="F272"/>
  <c r="E272"/>
  <c r="U271"/>
  <c r="T271"/>
  <c r="W271" s="1"/>
  <c r="Y271" s="1"/>
  <c r="U270"/>
  <c r="X270" s="1"/>
  <c r="T270"/>
  <c r="S270"/>
  <c r="P270"/>
  <c r="M270"/>
  <c r="J270"/>
  <c r="G270"/>
  <c r="U269"/>
  <c r="T269"/>
  <c r="S269"/>
  <c r="P269"/>
  <c r="M269"/>
  <c r="J269"/>
  <c r="G269"/>
  <c r="U268"/>
  <c r="X268" s="1"/>
  <c r="T268"/>
  <c r="W268" s="1"/>
  <c r="Y268" s="1"/>
  <c r="S268"/>
  <c r="P268"/>
  <c r="M268"/>
  <c r="J268"/>
  <c r="G268"/>
  <c r="U267"/>
  <c r="T267"/>
  <c r="S267"/>
  <c r="P267"/>
  <c r="M267"/>
  <c r="J267"/>
  <c r="G267"/>
  <c r="U266"/>
  <c r="X266" s="1"/>
  <c r="T266"/>
  <c r="S266"/>
  <c r="P266"/>
  <c r="M266"/>
  <c r="J266"/>
  <c r="G266"/>
  <c r="U265"/>
  <c r="T265"/>
  <c r="S265"/>
  <c r="P265"/>
  <c r="L265"/>
  <c r="K265"/>
  <c r="I265"/>
  <c r="J265" s="1"/>
  <c r="H265"/>
  <c r="F265"/>
  <c r="E265"/>
  <c r="AF264"/>
  <c r="U264"/>
  <c r="T264"/>
  <c r="S264"/>
  <c r="P264"/>
  <c r="M264"/>
  <c r="J264"/>
  <c r="G264"/>
  <c r="X263"/>
  <c r="U263"/>
  <c r="T263"/>
  <c r="S263"/>
  <c r="P263"/>
  <c r="M263"/>
  <c r="J263"/>
  <c r="G263"/>
  <c r="Z262"/>
  <c r="W262"/>
  <c r="U262"/>
  <c r="T262"/>
  <c r="S262"/>
  <c r="P262"/>
  <c r="M262"/>
  <c r="J262"/>
  <c r="G262"/>
  <c r="U261"/>
  <c r="T261"/>
  <c r="W261" s="1"/>
  <c r="S261"/>
  <c r="P261"/>
  <c r="M261"/>
  <c r="J261"/>
  <c r="G261"/>
  <c r="Z260"/>
  <c r="W260"/>
  <c r="U260"/>
  <c r="AF260" s="1"/>
  <c r="T260"/>
  <c r="S260"/>
  <c r="P260"/>
  <c r="M260"/>
  <c r="J260"/>
  <c r="G260"/>
  <c r="U259"/>
  <c r="T259"/>
  <c r="S259"/>
  <c r="P259"/>
  <c r="L259"/>
  <c r="K259"/>
  <c r="I259"/>
  <c r="H259"/>
  <c r="F259"/>
  <c r="G259" s="1"/>
  <c r="E259"/>
  <c r="U258"/>
  <c r="X258" s="1"/>
  <c r="AA258" s="1"/>
  <c r="T258"/>
  <c r="S258"/>
  <c r="P258"/>
  <c r="M258"/>
  <c r="J258"/>
  <c r="G258"/>
  <c r="U257"/>
  <c r="T257"/>
  <c r="W257" s="1"/>
  <c r="Z257" s="1"/>
  <c r="S257"/>
  <c r="P257"/>
  <c r="M257"/>
  <c r="J257"/>
  <c r="G257"/>
  <c r="U256"/>
  <c r="AH256" s="1"/>
  <c r="T256"/>
  <c r="W256" s="1"/>
  <c r="S256"/>
  <c r="P256"/>
  <c r="M256"/>
  <c r="J256"/>
  <c r="G256"/>
  <c r="U255"/>
  <c r="T255"/>
  <c r="W255" s="1"/>
  <c r="S255"/>
  <c r="P255"/>
  <c r="L255"/>
  <c r="K255"/>
  <c r="M255" s="1"/>
  <c r="I255"/>
  <c r="H255"/>
  <c r="J255" s="1"/>
  <c r="F255"/>
  <c r="E255"/>
  <c r="U254"/>
  <c r="T254"/>
  <c r="W254" s="1"/>
  <c r="S254"/>
  <c r="P254"/>
  <c r="M254"/>
  <c r="J254"/>
  <c r="G254"/>
  <c r="X253"/>
  <c r="AA253" s="1"/>
  <c r="U253"/>
  <c r="T253"/>
  <c r="W253" s="1"/>
  <c r="S253"/>
  <c r="P253"/>
  <c r="M253"/>
  <c r="J253"/>
  <c r="G253"/>
  <c r="U252"/>
  <c r="T252"/>
  <c r="W252" s="1"/>
  <c r="S252"/>
  <c r="P252"/>
  <c r="L252"/>
  <c r="K252"/>
  <c r="M252" s="1"/>
  <c r="I252"/>
  <c r="H252"/>
  <c r="F252"/>
  <c r="E252"/>
  <c r="E251" s="1"/>
  <c r="U251"/>
  <c r="T251"/>
  <c r="W251" s="1"/>
  <c r="S251"/>
  <c r="P251"/>
  <c r="W250"/>
  <c r="U250"/>
  <c r="T250"/>
  <c r="S250"/>
  <c r="P250"/>
  <c r="M250"/>
  <c r="J250"/>
  <c r="G250"/>
  <c r="AH249"/>
  <c r="X249"/>
  <c r="U249"/>
  <c r="T249"/>
  <c r="W249" s="1"/>
  <c r="S249"/>
  <c r="P249"/>
  <c r="M249"/>
  <c r="J249"/>
  <c r="G249"/>
  <c r="Z248"/>
  <c r="U248"/>
  <c r="T248"/>
  <c r="W248" s="1"/>
  <c r="S248"/>
  <c r="P248"/>
  <c r="M248"/>
  <c r="J248"/>
  <c r="G248"/>
  <c r="U247"/>
  <c r="X247" s="1"/>
  <c r="T247"/>
  <c r="S247"/>
  <c r="P247"/>
  <c r="M247"/>
  <c r="J247"/>
  <c r="G247"/>
  <c r="U246"/>
  <c r="T246"/>
  <c r="S246"/>
  <c r="P246"/>
  <c r="M246"/>
  <c r="J246"/>
  <c r="G246"/>
  <c r="U245"/>
  <c r="T245"/>
  <c r="W245" s="1"/>
  <c r="S245"/>
  <c r="P245"/>
  <c r="M245"/>
  <c r="J245"/>
  <c r="G245"/>
  <c r="AB244"/>
  <c r="Y244"/>
  <c r="V244"/>
  <c r="S244"/>
  <c r="P244"/>
  <c r="M244"/>
  <c r="J244"/>
  <c r="G244"/>
  <c r="AB243"/>
  <c r="Y243"/>
  <c r="V243"/>
  <c r="S243"/>
  <c r="P243"/>
  <c r="M243"/>
  <c r="J243"/>
  <c r="G243"/>
  <c r="U242"/>
  <c r="T242"/>
  <c r="W242" s="1"/>
  <c r="S242"/>
  <c r="P242"/>
  <c r="L242"/>
  <c r="L241" s="1"/>
  <c r="K242"/>
  <c r="K241" s="1"/>
  <c r="M241" s="1"/>
  <c r="I242"/>
  <c r="I241" s="1"/>
  <c r="H242"/>
  <c r="H241" s="1"/>
  <c r="F242"/>
  <c r="F241" s="1"/>
  <c r="E242"/>
  <c r="U241"/>
  <c r="T241"/>
  <c r="V241" s="1"/>
  <c r="S241"/>
  <c r="P241"/>
  <c r="U240"/>
  <c r="T240"/>
  <c r="S240"/>
  <c r="P240"/>
  <c r="M240"/>
  <c r="J240"/>
  <c r="G240"/>
  <c r="T239"/>
  <c r="R239"/>
  <c r="S239" s="1"/>
  <c r="L239"/>
  <c r="O239" s="1"/>
  <c r="K239"/>
  <c r="I239"/>
  <c r="I238" s="1"/>
  <c r="I237" s="1"/>
  <c r="H239"/>
  <c r="F239"/>
  <c r="E239"/>
  <c r="R238"/>
  <c r="R237" s="1"/>
  <c r="Q238"/>
  <c r="Q237" s="1"/>
  <c r="N238"/>
  <c r="U236"/>
  <c r="T236"/>
  <c r="S236"/>
  <c r="P236"/>
  <c r="L236"/>
  <c r="L235" s="1"/>
  <c r="K236"/>
  <c r="I236"/>
  <c r="I235" s="1"/>
  <c r="H236"/>
  <c r="F236"/>
  <c r="F235" s="1"/>
  <c r="E236"/>
  <c r="E235" s="1"/>
  <c r="AA235"/>
  <c r="X235"/>
  <c r="U235"/>
  <c r="R235"/>
  <c r="Q235"/>
  <c r="S235" s="1"/>
  <c r="O235"/>
  <c r="P235" s="1"/>
  <c r="AH234"/>
  <c r="AI234" s="1"/>
  <c r="AB234"/>
  <c r="Y234"/>
  <c r="V234"/>
  <c r="AB233"/>
  <c r="Y233"/>
  <c r="V233"/>
  <c r="AB232"/>
  <c r="Y232"/>
  <c r="V232"/>
  <c r="S232"/>
  <c r="P232"/>
  <c r="L232"/>
  <c r="K232"/>
  <c r="I232"/>
  <c r="H232"/>
  <c r="F232"/>
  <c r="E232"/>
  <c r="AB231"/>
  <c r="Y231"/>
  <c r="V231"/>
  <c r="S231"/>
  <c r="P231"/>
  <c r="L231"/>
  <c r="L229" s="1"/>
  <c r="K231"/>
  <c r="I231"/>
  <c r="I229" s="1"/>
  <c r="H231"/>
  <c r="F231"/>
  <c r="F229" s="1"/>
  <c r="E231"/>
  <c r="AB230"/>
  <c r="Y230"/>
  <c r="V230"/>
  <c r="S230"/>
  <c r="P230"/>
  <c r="M230"/>
  <c r="J230"/>
  <c r="G230"/>
  <c r="U229"/>
  <c r="T229"/>
  <c r="S229"/>
  <c r="P229"/>
  <c r="U228"/>
  <c r="T228"/>
  <c r="S228"/>
  <c r="P228"/>
  <c r="M228"/>
  <c r="J228"/>
  <c r="G228"/>
  <c r="U227"/>
  <c r="V227" s="1"/>
  <c r="T227"/>
  <c r="S227"/>
  <c r="P227"/>
  <c r="M227"/>
  <c r="J227"/>
  <c r="G227"/>
  <c r="U226"/>
  <c r="T226"/>
  <c r="S226"/>
  <c r="P226"/>
  <c r="M226"/>
  <c r="J226"/>
  <c r="G226"/>
  <c r="U225"/>
  <c r="V225" s="1"/>
  <c r="T225"/>
  <c r="S225"/>
  <c r="P225"/>
  <c r="L225"/>
  <c r="K225"/>
  <c r="I225"/>
  <c r="H225"/>
  <c r="F225"/>
  <c r="E225"/>
  <c r="U224"/>
  <c r="AH224" s="1"/>
  <c r="T224"/>
  <c r="S224"/>
  <c r="P224"/>
  <c r="M224"/>
  <c r="J224"/>
  <c r="G224"/>
  <c r="U223"/>
  <c r="T223"/>
  <c r="S223"/>
  <c r="P223"/>
  <c r="M223"/>
  <c r="J223"/>
  <c r="G223"/>
  <c r="U222"/>
  <c r="T222"/>
  <c r="V222" s="1"/>
  <c r="S222"/>
  <c r="P222"/>
  <c r="M222"/>
  <c r="J222"/>
  <c r="G222"/>
  <c r="T221"/>
  <c r="R221"/>
  <c r="L221"/>
  <c r="L217" s="1"/>
  <c r="K221"/>
  <c r="I221"/>
  <c r="I217" s="1"/>
  <c r="H221"/>
  <c r="F221"/>
  <c r="F217" s="1"/>
  <c r="E221"/>
  <c r="E217" s="1"/>
  <c r="U220"/>
  <c r="AH220" s="1"/>
  <c r="T220"/>
  <c r="S220"/>
  <c r="P220"/>
  <c r="M220"/>
  <c r="J220"/>
  <c r="G220"/>
  <c r="U219"/>
  <c r="T219"/>
  <c r="S219"/>
  <c r="P219"/>
  <c r="M219"/>
  <c r="J219"/>
  <c r="G219"/>
  <c r="V218"/>
  <c r="U218"/>
  <c r="T218"/>
  <c r="Z218" s="1"/>
  <c r="S218"/>
  <c r="P218"/>
  <c r="M218"/>
  <c r="J218"/>
  <c r="G218"/>
  <c r="T217"/>
  <c r="Q217"/>
  <c r="N217"/>
  <c r="H217"/>
  <c r="U216"/>
  <c r="T216"/>
  <c r="S216"/>
  <c r="P216"/>
  <c r="L216"/>
  <c r="K216"/>
  <c r="I216"/>
  <c r="H216"/>
  <c r="F216"/>
  <c r="E216"/>
  <c r="U215"/>
  <c r="T215"/>
  <c r="S215"/>
  <c r="P215"/>
  <c r="L215"/>
  <c r="K215"/>
  <c r="I215"/>
  <c r="H215"/>
  <c r="F215"/>
  <c r="E215"/>
  <c r="T214"/>
  <c r="R214"/>
  <c r="S214" s="1"/>
  <c r="L214"/>
  <c r="O214" s="1"/>
  <c r="K214"/>
  <c r="I214"/>
  <c r="H214"/>
  <c r="G214"/>
  <c r="U213"/>
  <c r="AF213" s="1"/>
  <c r="T213"/>
  <c r="S213"/>
  <c r="P213"/>
  <c r="M213"/>
  <c r="J213"/>
  <c r="G213"/>
  <c r="U212"/>
  <c r="V212" s="1"/>
  <c r="T212"/>
  <c r="S212"/>
  <c r="P212"/>
  <c r="M212"/>
  <c r="J212"/>
  <c r="G212"/>
  <c r="U211"/>
  <c r="X211" s="1"/>
  <c r="T211"/>
  <c r="S211"/>
  <c r="P211"/>
  <c r="L211"/>
  <c r="M211" s="1"/>
  <c r="K211"/>
  <c r="I211"/>
  <c r="H211"/>
  <c r="F211"/>
  <c r="E211"/>
  <c r="T210"/>
  <c r="R210"/>
  <c r="S210" s="1"/>
  <c r="P210"/>
  <c r="L210"/>
  <c r="K210"/>
  <c r="I210"/>
  <c r="H210"/>
  <c r="F210"/>
  <c r="E210"/>
  <c r="U209"/>
  <c r="T209"/>
  <c r="S209"/>
  <c r="P209"/>
  <c r="M209"/>
  <c r="J209"/>
  <c r="G209"/>
  <c r="U208"/>
  <c r="T208"/>
  <c r="S208"/>
  <c r="P208"/>
  <c r="M208"/>
  <c r="J208"/>
  <c r="G208"/>
  <c r="R207"/>
  <c r="Q207"/>
  <c r="N207"/>
  <c r="U206"/>
  <c r="T206"/>
  <c r="S206"/>
  <c r="P206"/>
  <c r="L206"/>
  <c r="K206"/>
  <c r="I206"/>
  <c r="H206"/>
  <c r="F206"/>
  <c r="E206"/>
  <c r="U205"/>
  <c r="V205" s="1"/>
  <c r="T205"/>
  <c r="S205"/>
  <c r="P205"/>
  <c r="M205"/>
  <c r="J205"/>
  <c r="G205"/>
  <c r="U204"/>
  <c r="T204"/>
  <c r="S204"/>
  <c r="P204"/>
  <c r="M204"/>
  <c r="J204"/>
  <c r="G204"/>
  <c r="U203"/>
  <c r="T203"/>
  <c r="S203"/>
  <c r="P203"/>
  <c r="L203"/>
  <c r="K203"/>
  <c r="M203" s="1"/>
  <c r="I203"/>
  <c r="H203"/>
  <c r="J203" s="1"/>
  <c r="F203"/>
  <c r="E203"/>
  <c r="S202"/>
  <c r="P202"/>
  <c r="M202"/>
  <c r="J202"/>
  <c r="G202"/>
  <c r="U201"/>
  <c r="T201"/>
  <c r="S201"/>
  <c r="P201"/>
  <c r="M201"/>
  <c r="J201"/>
  <c r="G201"/>
  <c r="U200"/>
  <c r="T200"/>
  <c r="Z200" s="1"/>
  <c r="S200"/>
  <c r="P200"/>
  <c r="L200"/>
  <c r="K200"/>
  <c r="I200"/>
  <c r="H200"/>
  <c r="F200"/>
  <c r="E200"/>
  <c r="AB199"/>
  <c r="Y199"/>
  <c r="V199"/>
  <c r="S199"/>
  <c r="P199"/>
  <c r="M199"/>
  <c r="J199"/>
  <c r="G199"/>
  <c r="AB198"/>
  <c r="Y198"/>
  <c r="V198"/>
  <c r="S198"/>
  <c r="P198"/>
  <c r="M198"/>
  <c r="J198"/>
  <c r="G198"/>
  <c r="AB197"/>
  <c r="Y197"/>
  <c r="V197"/>
  <c r="S197"/>
  <c r="P197"/>
  <c r="M197"/>
  <c r="J197"/>
  <c r="G197"/>
  <c r="V196"/>
  <c r="S196"/>
  <c r="P196"/>
  <c r="M196"/>
  <c r="J196"/>
  <c r="G196"/>
  <c r="AF195"/>
  <c r="V195"/>
  <c r="S195"/>
  <c r="P195"/>
  <c r="M195"/>
  <c r="J195"/>
  <c r="G195"/>
  <c r="V194"/>
  <c r="S194"/>
  <c r="P194"/>
  <c r="L194"/>
  <c r="K194"/>
  <c r="I194"/>
  <c r="H194"/>
  <c r="F194"/>
  <c r="E194"/>
  <c r="G194" s="1"/>
  <c r="AH193"/>
  <c r="V193"/>
  <c r="S193"/>
  <c r="P193"/>
  <c r="M193"/>
  <c r="J193"/>
  <c r="G193"/>
  <c r="V192"/>
  <c r="S192"/>
  <c r="P192"/>
  <c r="M192"/>
  <c r="J192"/>
  <c r="G192"/>
  <c r="AH191"/>
  <c r="V191"/>
  <c r="S191"/>
  <c r="P191"/>
  <c r="L191"/>
  <c r="K191"/>
  <c r="I191"/>
  <c r="J191" s="1"/>
  <c r="H191"/>
  <c r="F191"/>
  <c r="E191"/>
  <c r="X190"/>
  <c r="V190"/>
  <c r="S190"/>
  <c r="P190"/>
  <c r="L190"/>
  <c r="K190"/>
  <c r="I190"/>
  <c r="H190"/>
  <c r="F190"/>
  <c r="E190"/>
  <c r="S189"/>
  <c r="P189"/>
  <c r="L189"/>
  <c r="K189"/>
  <c r="I189"/>
  <c r="H189"/>
  <c r="F189"/>
  <c r="E189"/>
  <c r="U188"/>
  <c r="T188"/>
  <c r="W188" s="1"/>
  <c r="S188"/>
  <c r="P188"/>
  <c r="L188"/>
  <c r="K188"/>
  <c r="I188"/>
  <c r="H188"/>
  <c r="F188"/>
  <c r="E188"/>
  <c r="U187"/>
  <c r="T187"/>
  <c r="Z187" s="1"/>
  <c r="S187"/>
  <c r="P187"/>
  <c r="AB186"/>
  <c r="Y186"/>
  <c r="V186"/>
  <c r="S186"/>
  <c r="P186"/>
  <c r="M186"/>
  <c r="J186"/>
  <c r="G186"/>
  <c r="AB185"/>
  <c r="Y185"/>
  <c r="V185"/>
  <c r="S185"/>
  <c r="P185"/>
  <c r="M185"/>
  <c r="J185"/>
  <c r="G185"/>
  <c r="AB184"/>
  <c r="Y184"/>
  <c r="V184"/>
  <c r="S184"/>
  <c r="P184"/>
  <c r="M184"/>
  <c r="J184"/>
  <c r="G184"/>
  <c r="U183"/>
  <c r="T183"/>
  <c r="V183" s="1"/>
  <c r="S183"/>
  <c r="P183"/>
  <c r="L183"/>
  <c r="K183"/>
  <c r="J183"/>
  <c r="I183"/>
  <c r="H183"/>
  <c r="F183"/>
  <c r="E183"/>
  <c r="V182"/>
  <c r="S182"/>
  <c r="P182"/>
  <c r="L182"/>
  <c r="K182"/>
  <c r="I182"/>
  <c r="H182"/>
  <c r="F182"/>
  <c r="E182"/>
  <c r="U181"/>
  <c r="T181"/>
  <c r="S181"/>
  <c r="P181"/>
  <c r="L181"/>
  <c r="K181"/>
  <c r="I181"/>
  <c r="H181"/>
  <c r="F181"/>
  <c r="E181"/>
  <c r="U180"/>
  <c r="T180"/>
  <c r="S180"/>
  <c r="P180"/>
  <c r="S179"/>
  <c r="R179"/>
  <c r="O179"/>
  <c r="L179"/>
  <c r="K179"/>
  <c r="I179"/>
  <c r="H179"/>
  <c r="F179"/>
  <c r="E179"/>
  <c r="U178"/>
  <c r="T178"/>
  <c r="S178"/>
  <c r="P178"/>
  <c r="L178"/>
  <c r="K178"/>
  <c r="I178"/>
  <c r="H178"/>
  <c r="F178"/>
  <c r="E178"/>
  <c r="R177"/>
  <c r="R176" s="1"/>
  <c r="R175" s="1"/>
  <c r="Q177"/>
  <c r="N177"/>
  <c r="V173"/>
  <c r="S173"/>
  <c r="P173"/>
  <c r="M173"/>
  <c r="J173"/>
  <c r="G173"/>
  <c r="AF172"/>
  <c r="V172"/>
  <c r="S172"/>
  <c r="P172"/>
  <c r="M172"/>
  <c r="J172"/>
  <c r="G172"/>
  <c r="V171"/>
  <c r="S171"/>
  <c r="P171"/>
  <c r="L171"/>
  <c r="K171"/>
  <c r="I171"/>
  <c r="H171"/>
  <c r="F171"/>
  <c r="E171"/>
  <c r="G171" s="1"/>
  <c r="R170"/>
  <c r="S170" s="1"/>
  <c r="P170"/>
  <c r="M170"/>
  <c r="J170"/>
  <c r="G170"/>
  <c r="U169"/>
  <c r="T169"/>
  <c r="W169" s="1"/>
  <c r="S169"/>
  <c r="P169"/>
  <c r="M169"/>
  <c r="J169"/>
  <c r="G169"/>
  <c r="Q168"/>
  <c r="P168"/>
  <c r="L168"/>
  <c r="K168"/>
  <c r="M168" s="1"/>
  <c r="I168"/>
  <c r="H168"/>
  <c r="J168" s="1"/>
  <c r="F168"/>
  <c r="G168" s="1"/>
  <c r="E168"/>
  <c r="V167"/>
  <c r="S167"/>
  <c r="P167"/>
  <c r="M167"/>
  <c r="J167"/>
  <c r="G167"/>
  <c r="AA166"/>
  <c r="V166"/>
  <c r="S166"/>
  <c r="P166"/>
  <c r="M166"/>
  <c r="J166"/>
  <c r="G166"/>
  <c r="AH165"/>
  <c r="V165"/>
  <c r="S165"/>
  <c r="P165"/>
  <c r="L165"/>
  <c r="M165" s="1"/>
  <c r="K165"/>
  <c r="I165"/>
  <c r="H165"/>
  <c r="F165"/>
  <c r="E165"/>
  <c r="V164"/>
  <c r="S164"/>
  <c r="P164"/>
  <c r="M164"/>
  <c r="J164"/>
  <c r="G164"/>
  <c r="V163"/>
  <c r="S163"/>
  <c r="P163"/>
  <c r="M163"/>
  <c r="J163"/>
  <c r="G163"/>
  <c r="V162"/>
  <c r="S162"/>
  <c r="P162"/>
  <c r="L162"/>
  <c r="K162"/>
  <c r="I162"/>
  <c r="H162"/>
  <c r="J162" s="1"/>
  <c r="F162"/>
  <c r="E162"/>
  <c r="V161"/>
  <c r="S161"/>
  <c r="P161"/>
  <c r="M161"/>
  <c r="J161"/>
  <c r="G161"/>
  <c r="AH160"/>
  <c r="W160"/>
  <c r="V160"/>
  <c r="S160"/>
  <c r="P160"/>
  <c r="M160"/>
  <c r="J160"/>
  <c r="G160"/>
  <c r="AH159"/>
  <c r="V159"/>
  <c r="R159"/>
  <c r="Q159"/>
  <c r="P159"/>
  <c r="L159"/>
  <c r="K159"/>
  <c r="J159"/>
  <c r="I159"/>
  <c r="H159"/>
  <c r="F159"/>
  <c r="E159"/>
  <c r="P158"/>
  <c r="V157"/>
  <c r="S157"/>
  <c r="P157"/>
  <c r="M157"/>
  <c r="J157"/>
  <c r="G157"/>
  <c r="V156"/>
  <c r="S156"/>
  <c r="P156"/>
  <c r="M156"/>
  <c r="J156"/>
  <c r="G156"/>
  <c r="U155"/>
  <c r="T155"/>
  <c r="V155" s="1"/>
  <c r="S155"/>
  <c r="P155"/>
  <c r="L155"/>
  <c r="K155"/>
  <c r="M155" s="1"/>
  <c r="I155"/>
  <c r="H155"/>
  <c r="J155" s="1"/>
  <c r="F155"/>
  <c r="G155" s="1"/>
  <c r="E155"/>
  <c r="R154"/>
  <c r="P154"/>
  <c r="M154"/>
  <c r="J154"/>
  <c r="G154"/>
  <c r="T153"/>
  <c r="Z153" s="1"/>
  <c r="S153"/>
  <c r="U153" s="1"/>
  <c r="P153"/>
  <c r="M153"/>
  <c r="J153"/>
  <c r="G153"/>
  <c r="Q152"/>
  <c r="P152"/>
  <c r="L152"/>
  <c r="K152"/>
  <c r="I152"/>
  <c r="H152"/>
  <c r="J152" s="1"/>
  <c r="F152"/>
  <c r="E152"/>
  <c r="AH151"/>
  <c r="V151"/>
  <c r="S151"/>
  <c r="P151"/>
  <c r="M151"/>
  <c r="J151"/>
  <c r="G151"/>
  <c r="AH150"/>
  <c r="Z150"/>
  <c r="V150"/>
  <c r="S150"/>
  <c r="P150"/>
  <c r="M150"/>
  <c r="J150"/>
  <c r="G150"/>
  <c r="AH149"/>
  <c r="U149"/>
  <c r="T149"/>
  <c r="W149" s="1"/>
  <c r="S149"/>
  <c r="P149"/>
  <c r="L149"/>
  <c r="K149"/>
  <c r="M149" s="1"/>
  <c r="I149"/>
  <c r="H149"/>
  <c r="F149"/>
  <c r="E149"/>
  <c r="AH148"/>
  <c r="V148"/>
  <c r="S148"/>
  <c r="P148"/>
  <c r="M148"/>
  <c r="J148"/>
  <c r="G148"/>
  <c r="AH147"/>
  <c r="Z147"/>
  <c r="V147"/>
  <c r="S147"/>
  <c r="P147"/>
  <c r="M147"/>
  <c r="J147"/>
  <c r="G147"/>
  <c r="W146"/>
  <c r="U146"/>
  <c r="T146"/>
  <c r="S146"/>
  <c r="P146"/>
  <c r="L146"/>
  <c r="K146"/>
  <c r="I146"/>
  <c r="H146"/>
  <c r="J146" s="1"/>
  <c r="F146"/>
  <c r="E146"/>
  <c r="S145"/>
  <c r="P145"/>
  <c r="M145"/>
  <c r="J145"/>
  <c r="G145"/>
  <c r="T144"/>
  <c r="S144"/>
  <c r="U144" s="1"/>
  <c r="P144"/>
  <c r="M144"/>
  <c r="J144"/>
  <c r="G144"/>
  <c r="R143"/>
  <c r="Q143"/>
  <c r="T143" s="1"/>
  <c r="T145" s="1"/>
  <c r="P143"/>
  <c r="L143"/>
  <c r="K143"/>
  <c r="I143"/>
  <c r="H143"/>
  <c r="F143"/>
  <c r="E143"/>
  <c r="P142"/>
  <c r="P141"/>
  <c r="AB140"/>
  <c r="Y140"/>
  <c r="V140"/>
  <c r="S140"/>
  <c r="P140"/>
  <c r="M140"/>
  <c r="J140"/>
  <c r="G140"/>
  <c r="U139"/>
  <c r="T139"/>
  <c r="S139"/>
  <c r="P139"/>
  <c r="M139"/>
  <c r="J139"/>
  <c r="G139"/>
  <c r="U138"/>
  <c r="AH138" s="1"/>
  <c r="T138"/>
  <c r="V138" s="1"/>
  <c r="S138"/>
  <c r="P138"/>
  <c r="L138"/>
  <c r="K138"/>
  <c r="J138"/>
  <c r="I138"/>
  <c r="H138"/>
  <c r="F138"/>
  <c r="E138"/>
  <c r="AH137"/>
  <c r="AI137" s="1"/>
  <c r="AB137"/>
  <c r="Y137"/>
  <c r="V137"/>
  <c r="S137"/>
  <c r="P137"/>
  <c r="M137"/>
  <c r="J137"/>
  <c r="F137"/>
  <c r="E137"/>
  <c r="U136"/>
  <c r="T136"/>
  <c r="S136"/>
  <c r="P136"/>
  <c r="M136"/>
  <c r="J136"/>
  <c r="F136"/>
  <c r="E136"/>
  <c r="U135"/>
  <c r="T135"/>
  <c r="S135"/>
  <c r="P135"/>
  <c r="L135"/>
  <c r="K135"/>
  <c r="I135"/>
  <c r="H135"/>
  <c r="R134"/>
  <c r="S134" s="1"/>
  <c r="O134"/>
  <c r="P134" s="1"/>
  <c r="L134"/>
  <c r="K134"/>
  <c r="I134"/>
  <c r="H134"/>
  <c r="G134"/>
  <c r="U133"/>
  <c r="T133"/>
  <c r="S133"/>
  <c r="P133"/>
  <c r="L133"/>
  <c r="K133"/>
  <c r="I133"/>
  <c r="H133"/>
  <c r="G133"/>
  <c r="R132"/>
  <c r="Q132"/>
  <c r="N132"/>
  <c r="F132"/>
  <c r="E132"/>
  <c r="G132" s="1"/>
  <c r="AH131"/>
  <c r="AI131" s="1"/>
  <c r="AB131"/>
  <c r="Y131"/>
  <c r="V131"/>
  <c r="S131"/>
  <c r="P131"/>
  <c r="M131"/>
  <c r="J131"/>
  <c r="G131"/>
  <c r="W130"/>
  <c r="U130"/>
  <c r="X130" s="1"/>
  <c r="AA130" s="1"/>
  <c r="T130"/>
  <c r="S130"/>
  <c r="P130"/>
  <c r="M130"/>
  <c r="J130"/>
  <c r="G130"/>
  <c r="U129"/>
  <c r="T129"/>
  <c r="S129"/>
  <c r="P129"/>
  <c r="L129"/>
  <c r="K129"/>
  <c r="I129"/>
  <c r="H129"/>
  <c r="F129"/>
  <c r="E129"/>
  <c r="S128"/>
  <c r="O128"/>
  <c r="L128"/>
  <c r="K128"/>
  <c r="I128"/>
  <c r="H128"/>
  <c r="F128"/>
  <c r="E128"/>
  <c r="U127"/>
  <c r="T127"/>
  <c r="V127" s="1"/>
  <c r="S127"/>
  <c r="P127"/>
  <c r="L127"/>
  <c r="K127"/>
  <c r="I127"/>
  <c r="H127"/>
  <c r="F127"/>
  <c r="E127"/>
  <c r="R126"/>
  <c r="R125" s="1"/>
  <c r="Q126"/>
  <c r="S126" s="1"/>
  <c r="N126"/>
  <c r="N125" s="1"/>
  <c r="L123"/>
  <c r="K123"/>
  <c r="J123"/>
  <c r="G123"/>
  <c r="U122"/>
  <c r="T122"/>
  <c r="S122"/>
  <c r="P122"/>
  <c r="L122"/>
  <c r="K122"/>
  <c r="J122"/>
  <c r="G122"/>
  <c r="AB121"/>
  <c r="Y121"/>
  <c r="V121"/>
  <c r="S121"/>
  <c r="P121"/>
  <c r="L121"/>
  <c r="K121"/>
  <c r="J121"/>
  <c r="G121"/>
  <c r="AH120"/>
  <c r="X120"/>
  <c r="Y120" s="1"/>
  <c r="U120"/>
  <c r="T120"/>
  <c r="R120"/>
  <c r="S120" s="1"/>
  <c r="L120"/>
  <c r="O120" s="1"/>
  <c r="P120" s="1"/>
  <c r="K120"/>
  <c r="J120"/>
  <c r="G120"/>
  <c r="AH119"/>
  <c r="AI119" s="1"/>
  <c r="AB119"/>
  <c r="Y119"/>
  <c r="V119"/>
  <c r="S119"/>
  <c r="P119"/>
  <c r="L119"/>
  <c r="K119"/>
  <c r="J119"/>
  <c r="G119"/>
  <c r="U118"/>
  <c r="T118"/>
  <c r="R118"/>
  <c r="L118"/>
  <c r="O118" s="1"/>
  <c r="P118" s="1"/>
  <c r="K118"/>
  <c r="J118"/>
  <c r="G118"/>
  <c r="Q117"/>
  <c r="Q114" s="1"/>
  <c r="N117"/>
  <c r="N114" s="1"/>
  <c r="N113" s="1"/>
  <c r="N112" s="1"/>
  <c r="N95" s="1"/>
  <c r="I117"/>
  <c r="I114" s="1"/>
  <c r="H117"/>
  <c r="F117"/>
  <c r="G117" s="1"/>
  <c r="E117"/>
  <c r="E114" s="1"/>
  <c r="AH116"/>
  <c r="AI116" s="1"/>
  <c r="AB116"/>
  <c r="Y116"/>
  <c r="V116"/>
  <c r="S116"/>
  <c r="P116"/>
  <c r="M116"/>
  <c r="J116"/>
  <c r="G116"/>
  <c r="AD115"/>
  <c r="AA115"/>
  <c r="Z115"/>
  <c r="AI115" i="118" s="1"/>
  <c r="W115" i="117"/>
  <c r="U115"/>
  <c r="T115"/>
  <c r="R115"/>
  <c r="S115" s="1"/>
  <c r="L115"/>
  <c r="O115" s="1"/>
  <c r="P115" s="1"/>
  <c r="K115"/>
  <c r="J115"/>
  <c r="G115"/>
  <c r="F114"/>
  <c r="F113" s="1"/>
  <c r="F112" s="1"/>
  <c r="Q113"/>
  <c r="Q123" s="1"/>
  <c r="I113"/>
  <c r="I112" s="1"/>
  <c r="T111"/>
  <c r="W111" s="1"/>
  <c r="R111"/>
  <c r="U111" s="1"/>
  <c r="P111"/>
  <c r="L111"/>
  <c r="K111"/>
  <c r="J111"/>
  <c r="G111"/>
  <c r="T110"/>
  <c r="R110"/>
  <c r="S110" s="1"/>
  <c r="O110"/>
  <c r="U110" s="1"/>
  <c r="L110"/>
  <c r="K110"/>
  <c r="J110"/>
  <c r="G110"/>
  <c r="T109"/>
  <c r="Z109" s="1"/>
  <c r="R109"/>
  <c r="P109"/>
  <c r="L109"/>
  <c r="K109"/>
  <c r="J109"/>
  <c r="G109"/>
  <c r="T108"/>
  <c r="W108" s="1"/>
  <c r="R108"/>
  <c r="P108"/>
  <c r="L108"/>
  <c r="K108"/>
  <c r="J108"/>
  <c r="G108"/>
  <c r="U107"/>
  <c r="X107" s="1"/>
  <c r="T107"/>
  <c r="S107"/>
  <c r="R107"/>
  <c r="P107"/>
  <c r="L107"/>
  <c r="K107"/>
  <c r="J107"/>
  <c r="G107"/>
  <c r="T106"/>
  <c r="R106"/>
  <c r="S106" s="1"/>
  <c r="P106"/>
  <c r="L106"/>
  <c r="K106"/>
  <c r="J106"/>
  <c r="G106"/>
  <c r="T105"/>
  <c r="R105"/>
  <c r="S105" s="1"/>
  <c r="P105"/>
  <c r="L105"/>
  <c r="K105"/>
  <c r="J105"/>
  <c r="G105"/>
  <c r="Q104"/>
  <c r="T104" s="1"/>
  <c r="L104"/>
  <c r="K104"/>
  <c r="H104"/>
  <c r="J104" s="1"/>
  <c r="E104"/>
  <c r="G104" s="1"/>
  <c r="U103"/>
  <c r="X103" s="1"/>
  <c r="T103"/>
  <c r="S103"/>
  <c r="P103"/>
  <c r="L103"/>
  <c r="K103"/>
  <c r="J103"/>
  <c r="G103"/>
  <c r="U102"/>
  <c r="X102" s="1"/>
  <c r="T102"/>
  <c r="S102"/>
  <c r="P102"/>
  <c r="L102"/>
  <c r="K102"/>
  <c r="J102"/>
  <c r="G102"/>
  <c r="T101"/>
  <c r="R101"/>
  <c r="S101" s="1"/>
  <c r="P101"/>
  <c r="L101"/>
  <c r="K101"/>
  <c r="J101"/>
  <c r="G101"/>
  <c r="T100"/>
  <c r="R100"/>
  <c r="S100" s="1"/>
  <c r="P100"/>
  <c r="L100"/>
  <c r="K100"/>
  <c r="J100"/>
  <c r="G100"/>
  <c r="T99"/>
  <c r="V99" s="1"/>
  <c r="R99"/>
  <c r="U99" s="1"/>
  <c r="P99"/>
  <c r="M99"/>
  <c r="J99"/>
  <c r="G99"/>
  <c r="T98"/>
  <c r="R98"/>
  <c r="S98" s="1"/>
  <c r="P98"/>
  <c r="L98"/>
  <c r="K98"/>
  <c r="J98"/>
  <c r="G98"/>
  <c r="Q97"/>
  <c r="T97" s="1"/>
  <c r="Z97" s="1"/>
  <c r="P97"/>
  <c r="I97"/>
  <c r="I95" s="1"/>
  <c r="H97"/>
  <c r="H95" s="1"/>
  <c r="F97"/>
  <c r="F95" s="1"/>
  <c r="E97"/>
  <c r="T96"/>
  <c r="R96"/>
  <c r="S96" s="1"/>
  <c r="P96"/>
  <c r="M96"/>
  <c r="J96"/>
  <c r="G96"/>
  <c r="U94"/>
  <c r="X94" s="1"/>
  <c r="T94"/>
  <c r="S94"/>
  <c r="P94"/>
  <c r="M94"/>
  <c r="J94"/>
  <c r="G94"/>
  <c r="U93"/>
  <c r="T93"/>
  <c r="S93"/>
  <c r="P93"/>
  <c r="M93"/>
  <c r="J93"/>
  <c r="G93"/>
  <c r="V92"/>
  <c r="S92"/>
  <c r="P92"/>
  <c r="L92"/>
  <c r="K92"/>
  <c r="M92" s="1"/>
  <c r="I92"/>
  <c r="H92"/>
  <c r="F92"/>
  <c r="E92"/>
  <c r="G92" s="1"/>
  <c r="T91"/>
  <c r="R91"/>
  <c r="S91" s="1"/>
  <c r="L91"/>
  <c r="O91" s="1"/>
  <c r="K91"/>
  <c r="I91"/>
  <c r="H91"/>
  <c r="F91"/>
  <c r="E91"/>
  <c r="T90"/>
  <c r="R90"/>
  <c r="S90" s="1"/>
  <c r="L90"/>
  <c r="O90" s="1"/>
  <c r="P90" s="1"/>
  <c r="K90"/>
  <c r="I90"/>
  <c r="H90"/>
  <c r="F90"/>
  <c r="E90"/>
  <c r="T89"/>
  <c r="Z89" s="1"/>
  <c r="R89"/>
  <c r="S89" s="1"/>
  <c r="L89"/>
  <c r="O89" s="1"/>
  <c r="K89"/>
  <c r="I89"/>
  <c r="H89"/>
  <c r="F89"/>
  <c r="E89"/>
  <c r="T88"/>
  <c r="R88"/>
  <c r="S88" s="1"/>
  <c r="L88"/>
  <c r="O88" s="1"/>
  <c r="K88"/>
  <c r="I88"/>
  <c r="H88"/>
  <c r="F88"/>
  <c r="E88"/>
  <c r="P87"/>
  <c r="M87"/>
  <c r="J87"/>
  <c r="G87"/>
  <c r="U86"/>
  <c r="AH86" s="1"/>
  <c r="T86"/>
  <c r="V86" s="1"/>
  <c r="S86"/>
  <c r="P86"/>
  <c r="M86"/>
  <c r="J86"/>
  <c r="G86"/>
  <c r="AF85"/>
  <c r="AG85" s="1"/>
  <c r="AB85"/>
  <c r="Y85"/>
  <c r="V85"/>
  <c r="S85"/>
  <c r="P85"/>
  <c r="M85"/>
  <c r="J85"/>
  <c r="G85"/>
  <c r="AB84"/>
  <c r="Y84"/>
  <c r="U84"/>
  <c r="T84"/>
  <c r="R84"/>
  <c r="S84" s="1"/>
  <c r="P84"/>
  <c r="M84"/>
  <c r="J84"/>
  <c r="G84"/>
  <c r="AH83"/>
  <c r="AI83" s="1"/>
  <c r="AB83"/>
  <c r="Y83"/>
  <c r="V83"/>
  <c r="S83"/>
  <c r="P83"/>
  <c r="M83"/>
  <c r="J83"/>
  <c r="G83"/>
  <c r="T82"/>
  <c r="W82" s="1"/>
  <c r="W81" s="1"/>
  <c r="R82"/>
  <c r="R81" s="1"/>
  <c r="P82"/>
  <c r="M82"/>
  <c r="J82"/>
  <c r="G82"/>
  <c r="Q81"/>
  <c r="Q78" s="1"/>
  <c r="Q77" s="1"/>
  <c r="P81"/>
  <c r="L81"/>
  <c r="K81"/>
  <c r="K78" s="1"/>
  <c r="K77" s="1"/>
  <c r="I81"/>
  <c r="I78" s="1"/>
  <c r="I77" s="1"/>
  <c r="H81"/>
  <c r="J81" s="1"/>
  <c r="F81"/>
  <c r="F78" s="1"/>
  <c r="E81"/>
  <c r="AB80"/>
  <c r="Y80"/>
  <c r="V80"/>
  <c r="S80"/>
  <c r="P80"/>
  <c r="M80"/>
  <c r="J80"/>
  <c r="G80"/>
  <c r="AB79"/>
  <c r="Y79"/>
  <c r="T79"/>
  <c r="R79"/>
  <c r="S79" s="1"/>
  <c r="P79"/>
  <c r="M79"/>
  <c r="J79"/>
  <c r="G79"/>
  <c r="P78"/>
  <c r="P77"/>
  <c r="F77"/>
  <c r="F76" s="1"/>
  <c r="P76"/>
  <c r="I76"/>
  <c r="T75"/>
  <c r="R75"/>
  <c r="S75" s="1"/>
  <c r="P75"/>
  <c r="M75"/>
  <c r="J75"/>
  <c r="G75"/>
  <c r="T74"/>
  <c r="R74"/>
  <c r="S74" s="1"/>
  <c r="L74"/>
  <c r="K74"/>
  <c r="I74"/>
  <c r="I69" s="1"/>
  <c r="H74"/>
  <c r="H69" s="1"/>
  <c r="G74"/>
  <c r="U73"/>
  <c r="X73" s="1"/>
  <c r="T73"/>
  <c r="R73"/>
  <c r="S73" s="1"/>
  <c r="P73"/>
  <c r="M73"/>
  <c r="J73"/>
  <c r="G73"/>
  <c r="U72"/>
  <c r="AH72" s="1"/>
  <c r="T72"/>
  <c r="R72"/>
  <c r="S72" s="1"/>
  <c r="P72"/>
  <c r="M72"/>
  <c r="J72"/>
  <c r="G72"/>
  <c r="T71"/>
  <c r="R71"/>
  <c r="P71"/>
  <c r="M71"/>
  <c r="J71"/>
  <c r="G71"/>
  <c r="T70"/>
  <c r="R70"/>
  <c r="U70" s="1"/>
  <c r="P70"/>
  <c r="M70"/>
  <c r="J70"/>
  <c r="G70"/>
  <c r="Q69"/>
  <c r="N69"/>
  <c r="N68" s="1"/>
  <c r="F69"/>
  <c r="E69"/>
  <c r="G69" s="1"/>
  <c r="L67"/>
  <c r="K67"/>
  <c r="I67"/>
  <c r="H67"/>
  <c r="F67"/>
  <c r="E67"/>
  <c r="U66"/>
  <c r="X66" s="1"/>
  <c r="T66"/>
  <c r="AD59" s="1"/>
  <c r="S66"/>
  <c r="P66"/>
  <c r="L66"/>
  <c r="K66"/>
  <c r="I66"/>
  <c r="H66"/>
  <c r="F66"/>
  <c r="E66"/>
  <c r="AB65"/>
  <c r="Y65"/>
  <c r="V65"/>
  <c r="S65"/>
  <c r="P65"/>
  <c r="L65"/>
  <c r="K65"/>
  <c r="I65"/>
  <c r="H65"/>
  <c r="F65"/>
  <c r="E65"/>
  <c r="AA64"/>
  <c r="Z64"/>
  <c r="X64"/>
  <c r="W64"/>
  <c r="Y64" s="1"/>
  <c r="U64"/>
  <c r="AH64" s="1"/>
  <c r="AI64" s="1"/>
  <c r="T64"/>
  <c r="R64"/>
  <c r="S64" s="1"/>
  <c r="O64"/>
  <c r="P64" s="1"/>
  <c r="L64"/>
  <c r="K64"/>
  <c r="I64"/>
  <c r="H64"/>
  <c r="F64"/>
  <c r="E64"/>
  <c r="AB63"/>
  <c r="X63"/>
  <c r="W63"/>
  <c r="Y63" s="1"/>
  <c r="U63"/>
  <c r="T63"/>
  <c r="R63"/>
  <c r="S63" s="1"/>
  <c r="O63"/>
  <c r="P63" s="1"/>
  <c r="L63"/>
  <c r="K63"/>
  <c r="I63"/>
  <c r="H63"/>
  <c r="F63"/>
  <c r="E63"/>
  <c r="AB62"/>
  <c r="Y62"/>
  <c r="U62"/>
  <c r="T62"/>
  <c r="S62"/>
  <c r="P62"/>
  <c r="L62"/>
  <c r="K62"/>
  <c r="I62"/>
  <c r="H62"/>
  <c r="F62"/>
  <c r="E62"/>
  <c r="T61"/>
  <c r="R61"/>
  <c r="S61" s="1"/>
  <c r="P61"/>
  <c r="O61"/>
  <c r="O60" s="1"/>
  <c r="L61"/>
  <c r="K61"/>
  <c r="I61"/>
  <c r="H61"/>
  <c r="F61"/>
  <c r="E61"/>
  <c r="Q60"/>
  <c r="N60"/>
  <c r="AH59"/>
  <c r="AI59" s="1"/>
  <c r="AB59"/>
  <c r="Y59"/>
  <c r="V59"/>
  <c r="S59"/>
  <c r="P59"/>
  <c r="M59"/>
  <c r="J59"/>
  <c r="G59"/>
  <c r="Q58"/>
  <c r="T55"/>
  <c r="S55"/>
  <c r="L55"/>
  <c r="O55" s="1"/>
  <c r="P55" s="1"/>
  <c r="K55"/>
  <c r="I55"/>
  <c r="H55"/>
  <c r="F55"/>
  <c r="E55"/>
  <c r="T54"/>
  <c r="S54"/>
  <c r="L54"/>
  <c r="O54" s="1"/>
  <c r="U54" s="1"/>
  <c r="AH54" s="1"/>
  <c r="K54"/>
  <c r="I54"/>
  <c r="H54"/>
  <c r="F54"/>
  <c r="E54"/>
  <c r="AH52"/>
  <c r="X52"/>
  <c r="U52"/>
  <c r="T52"/>
  <c r="S52"/>
  <c r="P52"/>
  <c r="L52"/>
  <c r="K52"/>
  <c r="I52"/>
  <c r="H52"/>
  <c r="F52"/>
  <c r="E52"/>
  <c r="T51"/>
  <c r="W51" s="1"/>
  <c r="R51"/>
  <c r="P51"/>
  <c r="L51"/>
  <c r="K51"/>
  <c r="I51"/>
  <c r="H51"/>
  <c r="F51"/>
  <c r="E51"/>
  <c r="T50"/>
  <c r="R50"/>
  <c r="S50" s="1"/>
  <c r="L50"/>
  <c r="O50" s="1"/>
  <c r="K50"/>
  <c r="I50"/>
  <c r="H50"/>
  <c r="F50"/>
  <c r="E50"/>
  <c r="T49"/>
  <c r="Z49" s="1"/>
  <c r="R49"/>
  <c r="L49"/>
  <c r="O49" s="1"/>
  <c r="K49"/>
  <c r="I49"/>
  <c r="H49"/>
  <c r="F49"/>
  <c r="E49"/>
  <c r="T48"/>
  <c r="R48"/>
  <c r="S48" s="1"/>
  <c r="L48"/>
  <c r="O48" s="1"/>
  <c r="K48"/>
  <c r="I48"/>
  <c r="H48"/>
  <c r="F48"/>
  <c r="E48"/>
  <c r="T47"/>
  <c r="R47"/>
  <c r="S47" s="1"/>
  <c r="L47"/>
  <c r="O47" s="1"/>
  <c r="K47"/>
  <c r="I47"/>
  <c r="H47"/>
  <c r="F47"/>
  <c r="E47"/>
  <c r="Q46"/>
  <c r="N46"/>
  <c r="T45"/>
  <c r="Z45" s="1"/>
  <c r="R45"/>
  <c r="S45" s="1"/>
  <c r="L45"/>
  <c r="K45"/>
  <c r="I45"/>
  <c r="H45"/>
  <c r="F45"/>
  <c r="E45"/>
  <c r="T44"/>
  <c r="W44" s="1"/>
  <c r="R44"/>
  <c r="L44"/>
  <c r="O44" s="1"/>
  <c r="K44"/>
  <c r="I44"/>
  <c r="H44"/>
  <c r="F44"/>
  <c r="E44"/>
  <c r="Q43"/>
  <c r="N43"/>
  <c r="U42"/>
  <c r="X42" s="1"/>
  <c r="T42"/>
  <c r="Z42" s="1"/>
  <c r="S42"/>
  <c r="P42"/>
  <c r="M42"/>
  <c r="J42"/>
  <c r="G42"/>
  <c r="L41"/>
  <c r="K41"/>
  <c r="I41"/>
  <c r="H41"/>
  <c r="F41"/>
  <c r="E41"/>
  <c r="U40"/>
  <c r="AH40" s="1"/>
  <c r="T40"/>
  <c r="Z40" s="1"/>
  <c r="S40"/>
  <c r="P40"/>
  <c r="L40"/>
  <c r="K40"/>
  <c r="I40"/>
  <c r="H40"/>
  <c r="F40"/>
  <c r="E40"/>
  <c r="AH39"/>
  <c r="AI39" s="1"/>
  <c r="AF39"/>
  <c r="AG39" s="1"/>
  <c r="AB39"/>
  <c r="Y39"/>
  <c r="V39"/>
  <c r="S39"/>
  <c r="P39"/>
  <c r="L39"/>
  <c r="K39"/>
  <c r="I39"/>
  <c r="H39"/>
  <c r="F39"/>
  <c r="E39"/>
  <c r="AB38"/>
  <c r="Y38"/>
  <c r="U38"/>
  <c r="R38"/>
  <c r="S38" s="1"/>
  <c r="L38"/>
  <c r="O38" s="1"/>
  <c r="P38" s="1"/>
  <c r="K38"/>
  <c r="I38"/>
  <c r="H38"/>
  <c r="F38"/>
  <c r="E38"/>
  <c r="AA37"/>
  <c r="Z37"/>
  <c r="AI37" i="118" s="1"/>
  <c r="X37" i="117"/>
  <c r="W37"/>
  <c r="Y37" s="1"/>
  <c r="U37"/>
  <c r="AH37" s="1"/>
  <c r="T37"/>
  <c r="V37" s="1"/>
  <c r="R37"/>
  <c r="S37" s="1"/>
  <c r="L37"/>
  <c r="O37" s="1"/>
  <c r="P37" s="1"/>
  <c r="K37"/>
  <c r="I37"/>
  <c r="H37"/>
  <c r="F37"/>
  <c r="E37"/>
  <c r="AB36"/>
  <c r="Y36"/>
  <c r="U36"/>
  <c r="AF36" s="1"/>
  <c r="AG36" s="1"/>
  <c r="T36"/>
  <c r="T34" s="1"/>
  <c r="S36"/>
  <c r="P36"/>
  <c r="L36"/>
  <c r="K36"/>
  <c r="I36"/>
  <c r="H36"/>
  <c r="F36"/>
  <c r="E36"/>
  <c r="W35"/>
  <c r="T35"/>
  <c r="R35"/>
  <c r="R34" s="1"/>
  <c r="L35"/>
  <c r="O35" s="1"/>
  <c r="K35"/>
  <c r="I35"/>
  <c r="H35"/>
  <c r="F35"/>
  <c r="E35"/>
  <c r="Q34"/>
  <c r="AI33"/>
  <c r="AH33"/>
  <c r="AF33"/>
  <c r="AG33" s="1"/>
  <c r="AD33"/>
  <c r="AB33"/>
  <c r="Y33"/>
  <c r="V33"/>
  <c r="S33"/>
  <c r="P33"/>
  <c r="M33"/>
  <c r="J33"/>
  <c r="G33"/>
  <c r="U29"/>
  <c r="T29"/>
  <c r="Z29" s="1"/>
  <c r="S29"/>
  <c r="P29"/>
  <c r="M29"/>
  <c r="J29"/>
  <c r="G29"/>
  <c r="T28"/>
  <c r="Z28" s="1"/>
  <c r="R28"/>
  <c r="S28" s="1"/>
  <c r="P28"/>
  <c r="L28"/>
  <c r="K28"/>
  <c r="I28"/>
  <c r="H28"/>
  <c r="F28"/>
  <c r="E28"/>
  <c r="T27"/>
  <c r="W27" s="1"/>
  <c r="R27"/>
  <c r="S27" s="1"/>
  <c r="L27"/>
  <c r="O27" s="1"/>
  <c r="K27"/>
  <c r="I27"/>
  <c r="H27"/>
  <c r="F27"/>
  <c r="E27"/>
  <c r="R26"/>
  <c r="S26" s="1"/>
  <c r="L26"/>
  <c r="O26" s="1"/>
  <c r="K26"/>
  <c r="I26"/>
  <c r="H26"/>
  <c r="F26"/>
  <c r="E26"/>
  <c r="W25"/>
  <c r="U25"/>
  <c r="AH25" s="1"/>
  <c r="T25"/>
  <c r="S25"/>
  <c r="P25"/>
  <c r="L25"/>
  <c r="K25"/>
  <c r="I25"/>
  <c r="H25"/>
  <c r="F25"/>
  <c r="E25"/>
  <c r="Q24"/>
  <c r="N24"/>
  <c r="R23"/>
  <c r="R21" s="1"/>
  <c r="L23"/>
  <c r="O23" s="1"/>
  <c r="K23"/>
  <c r="I23"/>
  <c r="H23"/>
  <c r="F23"/>
  <c r="E23"/>
  <c r="U22"/>
  <c r="T22"/>
  <c r="Z22" s="1"/>
  <c r="S22"/>
  <c r="P22"/>
  <c r="L22"/>
  <c r="K22"/>
  <c r="I22"/>
  <c r="H22"/>
  <c r="F22"/>
  <c r="E22"/>
  <c r="Q21"/>
  <c r="N21"/>
  <c r="R20"/>
  <c r="S20" s="1"/>
  <c r="L20"/>
  <c r="O20" s="1"/>
  <c r="K20"/>
  <c r="I20"/>
  <c r="H20"/>
  <c r="F20"/>
  <c r="E20"/>
  <c r="AA19"/>
  <c r="U19"/>
  <c r="T19"/>
  <c r="W19" s="1"/>
  <c r="S19"/>
  <c r="P19"/>
  <c r="L19"/>
  <c r="K19"/>
  <c r="I19"/>
  <c r="H19"/>
  <c r="F19"/>
  <c r="E19"/>
  <c r="R18"/>
  <c r="Q18"/>
  <c r="N18"/>
  <c r="R17"/>
  <c r="L17"/>
  <c r="O17" s="1"/>
  <c r="K17"/>
  <c r="I17"/>
  <c r="H17"/>
  <c r="F17"/>
  <c r="E17"/>
  <c r="U16"/>
  <c r="X16" s="1"/>
  <c r="T16"/>
  <c r="Z16" s="1"/>
  <c r="S16"/>
  <c r="P16"/>
  <c r="L16"/>
  <c r="K16"/>
  <c r="I16"/>
  <c r="H16"/>
  <c r="F16"/>
  <c r="E16"/>
  <c r="Q15"/>
  <c r="N15"/>
  <c r="AH14"/>
  <c r="AI14" s="1"/>
  <c r="AB14"/>
  <c r="Y14"/>
  <c r="V14"/>
  <c r="S14"/>
  <c r="P14"/>
  <c r="M14"/>
  <c r="J14"/>
  <c r="G14"/>
  <c r="AH13"/>
  <c r="AI13" s="1"/>
  <c r="AB13"/>
  <c r="Y13"/>
  <c r="V13"/>
  <c r="S13"/>
  <c r="P13"/>
  <c r="M13"/>
  <c r="J13"/>
  <c r="G13"/>
  <c r="AH12"/>
  <c r="AI12" s="1"/>
  <c r="AB12"/>
  <c r="Y12"/>
  <c r="V12"/>
  <c r="S12"/>
  <c r="O12"/>
  <c r="N12"/>
  <c r="P12" s="1"/>
  <c r="L12"/>
  <c r="M12" s="1"/>
  <c r="K12"/>
  <c r="I12"/>
  <c r="H12"/>
  <c r="F12"/>
  <c r="E12"/>
  <c r="AA282" i="116"/>
  <c r="X282"/>
  <c r="X283" s="1"/>
  <c r="X284" s="1"/>
  <c r="O282"/>
  <c r="O277"/>
  <c r="N276"/>
  <c r="AB272"/>
  <c r="Y272"/>
  <c r="U272"/>
  <c r="T272"/>
  <c r="S272"/>
  <c r="S274" s="1"/>
  <c r="P272"/>
  <c r="L272"/>
  <c r="K272"/>
  <c r="I272"/>
  <c r="H272"/>
  <c r="F272"/>
  <c r="E272"/>
  <c r="W271"/>
  <c r="Y271" s="1"/>
  <c r="U271"/>
  <c r="V271" s="1"/>
  <c r="T271"/>
  <c r="S271"/>
  <c r="U270"/>
  <c r="X270" s="1"/>
  <c r="T270"/>
  <c r="S270"/>
  <c r="P270"/>
  <c r="M270"/>
  <c r="J270"/>
  <c r="G270"/>
  <c r="U269"/>
  <c r="AA269" s="1"/>
  <c r="T269"/>
  <c r="V269" s="1"/>
  <c r="S269"/>
  <c r="P269"/>
  <c r="M269"/>
  <c r="J269"/>
  <c r="G269"/>
  <c r="U268"/>
  <c r="X268" s="1"/>
  <c r="T268"/>
  <c r="S268"/>
  <c r="P268"/>
  <c r="M268"/>
  <c r="J268"/>
  <c r="G268"/>
  <c r="U267"/>
  <c r="T267"/>
  <c r="W267" s="1"/>
  <c r="S267"/>
  <c r="P267"/>
  <c r="M267"/>
  <c r="J267"/>
  <c r="G267"/>
  <c r="U266"/>
  <c r="X266" s="1"/>
  <c r="T266"/>
  <c r="S266"/>
  <c r="P266"/>
  <c r="M266"/>
  <c r="J266"/>
  <c r="G266"/>
  <c r="U265"/>
  <c r="X265" s="1"/>
  <c r="AA265" s="1"/>
  <c r="T265"/>
  <c r="V265" s="1"/>
  <c r="S265"/>
  <c r="P265"/>
  <c r="L265"/>
  <c r="K265"/>
  <c r="M265" s="1"/>
  <c r="I265"/>
  <c r="H265"/>
  <c r="J265" s="1"/>
  <c r="F265"/>
  <c r="E265"/>
  <c r="U264"/>
  <c r="X264" s="1"/>
  <c r="T264"/>
  <c r="W264" s="1"/>
  <c r="S264"/>
  <c r="P264"/>
  <c r="M264"/>
  <c r="J264"/>
  <c r="G264"/>
  <c r="U263"/>
  <c r="T263"/>
  <c r="S263"/>
  <c r="P263"/>
  <c r="M263"/>
  <c r="J263"/>
  <c r="G263"/>
  <c r="U262"/>
  <c r="X262" s="1"/>
  <c r="T262"/>
  <c r="W262" s="1"/>
  <c r="S262"/>
  <c r="P262"/>
  <c r="M262"/>
  <c r="J262"/>
  <c r="G262"/>
  <c r="U261"/>
  <c r="X261" s="1"/>
  <c r="T261"/>
  <c r="S261"/>
  <c r="P261"/>
  <c r="M261"/>
  <c r="J261"/>
  <c r="G261"/>
  <c r="W260"/>
  <c r="U260"/>
  <c r="X260" s="1"/>
  <c r="T260"/>
  <c r="S260"/>
  <c r="P260"/>
  <c r="M260"/>
  <c r="J260"/>
  <c r="G260"/>
  <c r="U259"/>
  <c r="T259"/>
  <c r="S259"/>
  <c r="P259"/>
  <c r="L259"/>
  <c r="K259"/>
  <c r="I259"/>
  <c r="H259"/>
  <c r="F259"/>
  <c r="E259"/>
  <c r="U258"/>
  <c r="X258" s="1"/>
  <c r="T258"/>
  <c r="S258"/>
  <c r="P258"/>
  <c r="M258"/>
  <c r="J258"/>
  <c r="G258"/>
  <c r="U257"/>
  <c r="X257" s="1"/>
  <c r="T257"/>
  <c r="W257" s="1"/>
  <c r="S257"/>
  <c r="P257"/>
  <c r="M257"/>
  <c r="J257"/>
  <c r="G257"/>
  <c r="U256"/>
  <c r="T256"/>
  <c r="S256"/>
  <c r="P256"/>
  <c r="M256"/>
  <c r="J256"/>
  <c r="G256"/>
  <c r="U255"/>
  <c r="T255"/>
  <c r="W255" s="1"/>
  <c r="S255"/>
  <c r="P255"/>
  <c r="L255"/>
  <c r="K255"/>
  <c r="M255" s="1"/>
  <c r="I255"/>
  <c r="H255"/>
  <c r="J255" s="1"/>
  <c r="F255"/>
  <c r="G255" s="1"/>
  <c r="E255"/>
  <c r="U254"/>
  <c r="X254" s="1"/>
  <c r="T254"/>
  <c r="W254" s="1"/>
  <c r="S254"/>
  <c r="P254"/>
  <c r="M254"/>
  <c r="J254"/>
  <c r="G254"/>
  <c r="U253"/>
  <c r="X253" s="1"/>
  <c r="T253"/>
  <c r="S253"/>
  <c r="P253"/>
  <c r="M253"/>
  <c r="J253"/>
  <c r="G253"/>
  <c r="X252"/>
  <c r="U252"/>
  <c r="T252"/>
  <c r="V252" s="1"/>
  <c r="S252"/>
  <c r="P252"/>
  <c r="L252"/>
  <c r="K252"/>
  <c r="M252" s="1"/>
  <c r="J252"/>
  <c r="I252"/>
  <c r="H252"/>
  <c r="F252"/>
  <c r="E252"/>
  <c r="U251"/>
  <c r="X251" s="1"/>
  <c r="T251"/>
  <c r="W251" s="1"/>
  <c r="S251"/>
  <c r="P251"/>
  <c r="W250"/>
  <c r="V250"/>
  <c r="U250"/>
  <c r="X250" s="1"/>
  <c r="AA250" s="1"/>
  <c r="T250"/>
  <c r="S250"/>
  <c r="P250"/>
  <c r="M250"/>
  <c r="J250"/>
  <c r="G250"/>
  <c r="U249"/>
  <c r="X249" s="1"/>
  <c r="T249"/>
  <c r="S249"/>
  <c r="P249"/>
  <c r="M249"/>
  <c r="J249"/>
  <c r="G249"/>
  <c r="U248"/>
  <c r="T248"/>
  <c r="W248" s="1"/>
  <c r="S248"/>
  <c r="P248"/>
  <c r="M248"/>
  <c r="J248"/>
  <c r="G248"/>
  <c r="U247"/>
  <c r="X247" s="1"/>
  <c r="T247"/>
  <c r="S247"/>
  <c r="P247"/>
  <c r="M247"/>
  <c r="J247"/>
  <c r="G247"/>
  <c r="W246"/>
  <c r="U246"/>
  <c r="X246" s="1"/>
  <c r="AA246" s="1"/>
  <c r="T246"/>
  <c r="S246"/>
  <c r="P246"/>
  <c r="M246"/>
  <c r="J246"/>
  <c r="G246"/>
  <c r="U245"/>
  <c r="X245" s="1"/>
  <c r="T245"/>
  <c r="S245"/>
  <c r="P245"/>
  <c r="M245"/>
  <c r="J245"/>
  <c r="G245"/>
  <c r="AB244"/>
  <c r="Y244"/>
  <c r="V244"/>
  <c r="S244"/>
  <c r="P244"/>
  <c r="M244"/>
  <c r="J244"/>
  <c r="G244"/>
  <c r="AB243"/>
  <c r="Y243"/>
  <c r="V243"/>
  <c r="S243"/>
  <c r="P243"/>
  <c r="M243"/>
  <c r="J243"/>
  <c r="G243"/>
  <c r="U242"/>
  <c r="T242"/>
  <c r="W242" s="1"/>
  <c r="S242"/>
  <c r="P242"/>
  <c r="L242"/>
  <c r="L241" s="1"/>
  <c r="K242"/>
  <c r="I242"/>
  <c r="I241" s="1"/>
  <c r="H242"/>
  <c r="F242"/>
  <c r="F241" s="1"/>
  <c r="E242"/>
  <c r="G242" s="1"/>
  <c r="W241"/>
  <c r="U241"/>
  <c r="X241" s="1"/>
  <c r="AA241" s="1"/>
  <c r="T241"/>
  <c r="V241" s="1"/>
  <c r="S241"/>
  <c r="P241"/>
  <c r="H241"/>
  <c r="X240"/>
  <c r="U240"/>
  <c r="T240"/>
  <c r="W240" s="1"/>
  <c r="S240"/>
  <c r="P240"/>
  <c r="M240"/>
  <c r="J240"/>
  <c r="G240"/>
  <c r="T239"/>
  <c r="Z239" s="1"/>
  <c r="R239"/>
  <c r="L239"/>
  <c r="K239"/>
  <c r="I239"/>
  <c r="H239"/>
  <c r="F239"/>
  <c r="E239"/>
  <c r="T238"/>
  <c r="Q238"/>
  <c r="N237"/>
  <c r="U236"/>
  <c r="T236"/>
  <c r="T235" s="1"/>
  <c r="V235" s="1"/>
  <c r="S236"/>
  <c r="P236"/>
  <c r="L236"/>
  <c r="L235" s="1"/>
  <c r="K236"/>
  <c r="K235" s="1"/>
  <c r="I236"/>
  <c r="I235" s="1"/>
  <c r="H236"/>
  <c r="F236"/>
  <c r="F235" s="1"/>
  <c r="E236"/>
  <c r="AA235"/>
  <c r="X235"/>
  <c r="U235"/>
  <c r="R235"/>
  <c r="Q235"/>
  <c r="O235"/>
  <c r="P235" s="1"/>
  <c r="AB234"/>
  <c r="AC234" s="1"/>
  <c r="Y234"/>
  <c r="V234"/>
  <c r="S234"/>
  <c r="AC233"/>
  <c r="AB233"/>
  <c r="Y233"/>
  <c r="V233"/>
  <c r="S233"/>
  <c r="AB232"/>
  <c r="Y232"/>
  <c r="V232"/>
  <c r="S232"/>
  <c r="P232"/>
  <c r="L232"/>
  <c r="K232"/>
  <c r="I232"/>
  <c r="H232"/>
  <c r="F232"/>
  <c r="E232"/>
  <c r="AC231"/>
  <c r="AB231"/>
  <c r="Y231"/>
  <c r="V231"/>
  <c r="S231"/>
  <c r="P231"/>
  <c r="L231"/>
  <c r="L229" s="1"/>
  <c r="K231"/>
  <c r="I231"/>
  <c r="I229" s="1"/>
  <c r="H231"/>
  <c r="F231"/>
  <c r="F229" s="1"/>
  <c r="E231"/>
  <c r="E229" s="1"/>
  <c r="AB230"/>
  <c r="AC230" s="1"/>
  <c r="Y230"/>
  <c r="V230"/>
  <c r="S230"/>
  <c r="P230"/>
  <c r="M230"/>
  <c r="J230"/>
  <c r="G230"/>
  <c r="Z229"/>
  <c r="U229"/>
  <c r="T229"/>
  <c r="W229" s="1"/>
  <c r="S229"/>
  <c r="P229"/>
  <c r="U228"/>
  <c r="X228" s="1"/>
  <c r="T228"/>
  <c r="Z228" s="1"/>
  <c r="S228"/>
  <c r="P228"/>
  <c r="M228"/>
  <c r="J228"/>
  <c r="G228"/>
  <c r="U227"/>
  <c r="T227"/>
  <c r="W227" s="1"/>
  <c r="S227"/>
  <c r="P227"/>
  <c r="M227"/>
  <c r="J227"/>
  <c r="G227"/>
  <c r="U226"/>
  <c r="AA226" s="1"/>
  <c r="T226"/>
  <c r="S226"/>
  <c r="P226"/>
  <c r="M226"/>
  <c r="J226"/>
  <c r="G226"/>
  <c r="U225"/>
  <c r="X225" s="1"/>
  <c r="T225"/>
  <c r="W225" s="1"/>
  <c r="S225"/>
  <c r="P225"/>
  <c r="L225"/>
  <c r="K225"/>
  <c r="I225"/>
  <c r="H225"/>
  <c r="F225"/>
  <c r="E225"/>
  <c r="G225" s="1"/>
  <c r="U224"/>
  <c r="T224"/>
  <c r="S224"/>
  <c r="P224"/>
  <c r="M224"/>
  <c r="J224"/>
  <c r="G224"/>
  <c r="AA223"/>
  <c r="U223"/>
  <c r="X223" s="1"/>
  <c r="T223"/>
  <c r="S223"/>
  <c r="P223"/>
  <c r="M223"/>
  <c r="J223"/>
  <c r="G223"/>
  <c r="U222"/>
  <c r="X222" s="1"/>
  <c r="T222"/>
  <c r="Z222" s="1"/>
  <c r="S222"/>
  <c r="P222"/>
  <c r="M222"/>
  <c r="J222"/>
  <c r="G222"/>
  <c r="T221"/>
  <c r="W221" s="1"/>
  <c r="R221"/>
  <c r="S221" s="1"/>
  <c r="L221"/>
  <c r="K221"/>
  <c r="I221"/>
  <c r="I217" s="1"/>
  <c r="H221"/>
  <c r="F221"/>
  <c r="F217" s="1"/>
  <c r="E221"/>
  <c r="E217" s="1"/>
  <c r="U220"/>
  <c r="T220"/>
  <c r="S220"/>
  <c r="P220"/>
  <c r="M220"/>
  <c r="J220"/>
  <c r="G220"/>
  <c r="U219"/>
  <c r="AA219" s="1"/>
  <c r="T219"/>
  <c r="S219"/>
  <c r="P219"/>
  <c r="M219"/>
  <c r="J219"/>
  <c r="G219"/>
  <c r="W218"/>
  <c r="V218"/>
  <c r="U218"/>
  <c r="AA218" s="1"/>
  <c r="T218"/>
  <c r="Z218" s="1"/>
  <c r="AB218" s="1"/>
  <c r="S218"/>
  <c r="P218"/>
  <c r="M218"/>
  <c r="J218"/>
  <c r="G218"/>
  <c r="Q217"/>
  <c r="N217"/>
  <c r="U216"/>
  <c r="AA216" s="1"/>
  <c r="T216"/>
  <c r="W216" s="1"/>
  <c r="S216"/>
  <c r="P216"/>
  <c r="L216"/>
  <c r="K216"/>
  <c r="I216"/>
  <c r="H216"/>
  <c r="F216"/>
  <c r="E216"/>
  <c r="U215"/>
  <c r="AA215" s="1"/>
  <c r="T215"/>
  <c r="W215" s="1"/>
  <c r="R215"/>
  <c r="S215" s="1"/>
  <c r="P215"/>
  <c r="L215"/>
  <c r="K215"/>
  <c r="I215"/>
  <c r="H215"/>
  <c r="F215"/>
  <c r="E215"/>
  <c r="T214"/>
  <c r="Z214" s="1"/>
  <c r="R214"/>
  <c r="L214"/>
  <c r="O214" s="1"/>
  <c r="P214" s="1"/>
  <c r="K214"/>
  <c r="I214"/>
  <c r="H214"/>
  <c r="F214"/>
  <c r="E214"/>
  <c r="U213"/>
  <c r="AA213" s="1"/>
  <c r="T213"/>
  <c r="S213"/>
  <c r="P213"/>
  <c r="M213"/>
  <c r="J213"/>
  <c r="G213"/>
  <c r="U212"/>
  <c r="AA212" s="1"/>
  <c r="T212"/>
  <c r="S212"/>
  <c r="P212"/>
  <c r="M212"/>
  <c r="J212"/>
  <c r="G212"/>
  <c r="R211"/>
  <c r="Q211"/>
  <c r="O211"/>
  <c r="N211"/>
  <c r="L211"/>
  <c r="K211"/>
  <c r="I211"/>
  <c r="H211"/>
  <c r="J211" s="1"/>
  <c r="F211"/>
  <c r="E211"/>
  <c r="G211" s="1"/>
  <c r="T210"/>
  <c r="R210"/>
  <c r="U210" s="1"/>
  <c r="P210"/>
  <c r="L210"/>
  <c r="K210"/>
  <c r="I210"/>
  <c r="H210"/>
  <c r="F210"/>
  <c r="E210"/>
  <c r="U209"/>
  <c r="T209"/>
  <c r="Z209" s="1"/>
  <c r="S209"/>
  <c r="P209"/>
  <c r="M209"/>
  <c r="J209"/>
  <c r="G209"/>
  <c r="AD208"/>
  <c r="U208"/>
  <c r="AA208" s="1"/>
  <c r="T208"/>
  <c r="Z208" s="1"/>
  <c r="S208"/>
  <c r="P208"/>
  <c r="M208"/>
  <c r="J208"/>
  <c r="G208"/>
  <c r="Q207"/>
  <c r="U206"/>
  <c r="T206"/>
  <c r="Z206" s="1"/>
  <c r="S206"/>
  <c r="P206"/>
  <c r="L206"/>
  <c r="K206"/>
  <c r="I206"/>
  <c r="H206"/>
  <c r="F206"/>
  <c r="E206"/>
  <c r="U205"/>
  <c r="T205"/>
  <c r="V205" s="1"/>
  <c r="S205"/>
  <c r="P205"/>
  <c r="M205"/>
  <c r="J205"/>
  <c r="G205"/>
  <c r="AE204"/>
  <c r="W204"/>
  <c r="V204"/>
  <c r="U204"/>
  <c r="AA204" s="1"/>
  <c r="T204"/>
  <c r="Z204" s="1"/>
  <c r="S204"/>
  <c r="P204"/>
  <c r="M204"/>
  <c r="J204"/>
  <c r="G204"/>
  <c r="AA203"/>
  <c r="X203"/>
  <c r="U203"/>
  <c r="T203"/>
  <c r="S203"/>
  <c r="P203"/>
  <c r="L203"/>
  <c r="K203"/>
  <c r="M203" s="1"/>
  <c r="I203"/>
  <c r="H203"/>
  <c r="F203"/>
  <c r="E203"/>
  <c r="G203" s="1"/>
  <c r="AE202"/>
  <c r="AA202"/>
  <c r="S202"/>
  <c r="P202"/>
  <c r="L202"/>
  <c r="K202"/>
  <c r="I202"/>
  <c r="H202"/>
  <c r="F202"/>
  <c r="E202"/>
  <c r="T201"/>
  <c r="R201"/>
  <c r="R200" s="1"/>
  <c r="P201"/>
  <c r="L201"/>
  <c r="K201"/>
  <c r="I201"/>
  <c r="H201"/>
  <c r="F201"/>
  <c r="E201"/>
  <c r="T200"/>
  <c r="O200"/>
  <c r="AB199"/>
  <c r="Y199"/>
  <c r="V199"/>
  <c r="S199"/>
  <c r="P199"/>
  <c r="M199"/>
  <c r="J199"/>
  <c r="G199"/>
  <c r="AB198"/>
  <c r="Y198"/>
  <c r="V198"/>
  <c r="S198"/>
  <c r="P198"/>
  <c r="M198"/>
  <c r="J198"/>
  <c r="G198"/>
  <c r="AB197"/>
  <c r="Y197"/>
  <c r="V197"/>
  <c r="S197"/>
  <c r="P197"/>
  <c r="M197"/>
  <c r="J197"/>
  <c r="G197"/>
  <c r="V196"/>
  <c r="S196"/>
  <c r="P196"/>
  <c r="M196"/>
  <c r="J196"/>
  <c r="G196"/>
  <c r="AA195"/>
  <c r="Z195"/>
  <c r="W195"/>
  <c r="V195"/>
  <c r="S195"/>
  <c r="P195"/>
  <c r="M195"/>
  <c r="J195"/>
  <c r="G195"/>
  <c r="AA194"/>
  <c r="X194"/>
  <c r="W194"/>
  <c r="V194"/>
  <c r="S194"/>
  <c r="P194"/>
  <c r="L194"/>
  <c r="M194" s="1"/>
  <c r="K194"/>
  <c r="I194"/>
  <c r="H194"/>
  <c r="F194"/>
  <c r="E194"/>
  <c r="V193"/>
  <c r="S193"/>
  <c r="P193"/>
  <c r="M193"/>
  <c r="J193"/>
  <c r="G193"/>
  <c r="AA192"/>
  <c r="X192"/>
  <c r="W192"/>
  <c r="V192"/>
  <c r="S192"/>
  <c r="P192"/>
  <c r="M192"/>
  <c r="J192"/>
  <c r="G192"/>
  <c r="X191"/>
  <c r="V191"/>
  <c r="S191"/>
  <c r="P191"/>
  <c r="L191"/>
  <c r="K191"/>
  <c r="I191"/>
  <c r="H191"/>
  <c r="J191" s="1"/>
  <c r="F191"/>
  <c r="E191"/>
  <c r="G191" s="1"/>
  <c r="AA190"/>
  <c r="X190"/>
  <c r="W190"/>
  <c r="V190"/>
  <c r="S190"/>
  <c r="P190"/>
  <c r="L190"/>
  <c r="K190"/>
  <c r="I190"/>
  <c r="H190"/>
  <c r="F190"/>
  <c r="E190"/>
  <c r="S189"/>
  <c r="P189"/>
  <c r="L189"/>
  <c r="K189"/>
  <c r="I189"/>
  <c r="H189"/>
  <c r="F189"/>
  <c r="E189"/>
  <c r="U188"/>
  <c r="X188" s="1"/>
  <c r="T188"/>
  <c r="Z188" s="1"/>
  <c r="S188"/>
  <c r="P188"/>
  <c r="L188"/>
  <c r="K188"/>
  <c r="I188"/>
  <c r="H188"/>
  <c r="F188"/>
  <c r="E188"/>
  <c r="W187"/>
  <c r="U187"/>
  <c r="AA187" s="1"/>
  <c r="T187"/>
  <c r="S187"/>
  <c r="P187"/>
  <c r="AB186"/>
  <c r="Y186"/>
  <c r="V186"/>
  <c r="S186"/>
  <c r="P186"/>
  <c r="M186"/>
  <c r="J186"/>
  <c r="G186"/>
  <c r="AB185"/>
  <c r="Y185"/>
  <c r="V185"/>
  <c r="S185"/>
  <c r="P185"/>
  <c r="M185"/>
  <c r="J185"/>
  <c r="G185"/>
  <c r="AB184"/>
  <c r="Y184"/>
  <c r="V184"/>
  <c r="S184"/>
  <c r="P184"/>
  <c r="M184"/>
  <c r="J184"/>
  <c r="G184"/>
  <c r="U183"/>
  <c r="AA183" s="1"/>
  <c r="T183"/>
  <c r="S183"/>
  <c r="P183"/>
  <c r="L183"/>
  <c r="K183"/>
  <c r="I183"/>
  <c r="H183"/>
  <c r="J183" s="1"/>
  <c r="G183"/>
  <c r="F183"/>
  <c r="E183"/>
  <c r="V182"/>
  <c r="S182"/>
  <c r="P182"/>
  <c r="L182"/>
  <c r="K182"/>
  <c r="I182"/>
  <c r="H182"/>
  <c r="F182"/>
  <c r="E182"/>
  <c r="AA181"/>
  <c r="U181"/>
  <c r="X181" s="1"/>
  <c r="T181"/>
  <c r="W181" s="1"/>
  <c r="S181"/>
  <c r="P181"/>
  <c r="L181"/>
  <c r="K181"/>
  <c r="I181"/>
  <c r="H181"/>
  <c r="F181"/>
  <c r="E181"/>
  <c r="U180"/>
  <c r="T180"/>
  <c r="S180"/>
  <c r="P180"/>
  <c r="R179"/>
  <c r="S179" s="1"/>
  <c r="O179"/>
  <c r="P179" s="1"/>
  <c r="L179"/>
  <c r="K179"/>
  <c r="I179"/>
  <c r="H179"/>
  <c r="F179"/>
  <c r="E179"/>
  <c r="U178"/>
  <c r="T178"/>
  <c r="S178"/>
  <c r="P178"/>
  <c r="L178"/>
  <c r="K178"/>
  <c r="I178"/>
  <c r="H178"/>
  <c r="F178"/>
  <c r="E178"/>
  <c r="Q177"/>
  <c r="N177"/>
  <c r="N176" s="1"/>
  <c r="V173"/>
  <c r="S173"/>
  <c r="P173"/>
  <c r="M173"/>
  <c r="J173"/>
  <c r="G173"/>
  <c r="AA172"/>
  <c r="Z172"/>
  <c r="W172"/>
  <c r="V172"/>
  <c r="S172"/>
  <c r="P172"/>
  <c r="M172"/>
  <c r="J172"/>
  <c r="G172"/>
  <c r="AA171"/>
  <c r="X171"/>
  <c r="W171"/>
  <c r="V171"/>
  <c r="S171"/>
  <c r="P171"/>
  <c r="L171"/>
  <c r="K171"/>
  <c r="M171" s="1"/>
  <c r="I171"/>
  <c r="H171"/>
  <c r="F171"/>
  <c r="E171"/>
  <c r="V170"/>
  <c r="S170"/>
  <c r="P170"/>
  <c r="M170"/>
  <c r="J170"/>
  <c r="G170"/>
  <c r="AA169"/>
  <c r="X169"/>
  <c r="W169"/>
  <c r="Y169" s="1"/>
  <c r="V169"/>
  <c r="S169"/>
  <c r="P169"/>
  <c r="M169"/>
  <c r="J169"/>
  <c r="G169"/>
  <c r="X168"/>
  <c r="X170" s="1"/>
  <c r="V168"/>
  <c r="S168"/>
  <c r="P168"/>
  <c r="L168"/>
  <c r="K168"/>
  <c r="M168" s="1"/>
  <c r="I168"/>
  <c r="H168"/>
  <c r="J168" s="1"/>
  <c r="F168"/>
  <c r="E168"/>
  <c r="V167"/>
  <c r="S167"/>
  <c r="P167"/>
  <c r="M167"/>
  <c r="J167"/>
  <c r="G167"/>
  <c r="AA166"/>
  <c r="AB166" s="1"/>
  <c r="Z166"/>
  <c r="X166"/>
  <c r="W166"/>
  <c r="Y166" s="1"/>
  <c r="V166"/>
  <c r="S166"/>
  <c r="P166"/>
  <c r="M166"/>
  <c r="J166"/>
  <c r="G166"/>
  <c r="AA165"/>
  <c r="Z165"/>
  <c r="Z167" s="1"/>
  <c r="X165"/>
  <c r="X167" s="1"/>
  <c r="W165"/>
  <c r="V165"/>
  <c r="S165"/>
  <c r="P165"/>
  <c r="L165"/>
  <c r="K165"/>
  <c r="I165"/>
  <c r="J165" s="1"/>
  <c r="H165"/>
  <c r="F165"/>
  <c r="E165"/>
  <c r="V164"/>
  <c r="S164"/>
  <c r="P164"/>
  <c r="M164"/>
  <c r="J164"/>
  <c r="G164"/>
  <c r="AA163"/>
  <c r="Z163"/>
  <c r="AB163" s="1"/>
  <c r="X163"/>
  <c r="W163"/>
  <c r="V163"/>
  <c r="S163"/>
  <c r="P163"/>
  <c r="M163"/>
  <c r="J163"/>
  <c r="G163"/>
  <c r="AA162"/>
  <c r="Z162"/>
  <c r="X162"/>
  <c r="W162"/>
  <c r="W164" s="1"/>
  <c r="V162"/>
  <c r="S162"/>
  <c r="P162"/>
  <c r="L162"/>
  <c r="K162"/>
  <c r="I162"/>
  <c r="H162"/>
  <c r="J162" s="1"/>
  <c r="F162"/>
  <c r="E162"/>
  <c r="V161"/>
  <c r="S161"/>
  <c r="P161"/>
  <c r="M161"/>
  <c r="J161"/>
  <c r="G161"/>
  <c r="AA160"/>
  <c r="Z160"/>
  <c r="X160"/>
  <c r="W160"/>
  <c r="Y160" s="1"/>
  <c r="V160"/>
  <c r="S160"/>
  <c r="P160"/>
  <c r="M160"/>
  <c r="J160"/>
  <c r="G160"/>
  <c r="AA159"/>
  <c r="Z159"/>
  <c r="X159"/>
  <c r="X161" s="1"/>
  <c r="W159"/>
  <c r="V159"/>
  <c r="S159"/>
  <c r="P159"/>
  <c r="L159"/>
  <c r="K159"/>
  <c r="I159"/>
  <c r="H159"/>
  <c r="F159"/>
  <c r="E159"/>
  <c r="AA158"/>
  <c r="Z158"/>
  <c r="X158"/>
  <c r="W158"/>
  <c r="V158"/>
  <c r="S158"/>
  <c r="P158"/>
  <c r="V157"/>
  <c r="S157"/>
  <c r="P157"/>
  <c r="M157"/>
  <c r="J157"/>
  <c r="G157"/>
  <c r="AA156"/>
  <c r="Z156"/>
  <c r="X156"/>
  <c r="W156"/>
  <c r="Y156" s="1"/>
  <c r="V156"/>
  <c r="S156"/>
  <c r="P156"/>
  <c r="M156"/>
  <c r="J156"/>
  <c r="G156"/>
  <c r="AA155"/>
  <c r="Z155"/>
  <c r="Z157" s="1"/>
  <c r="X155"/>
  <c r="W155"/>
  <c r="V155"/>
  <c r="S155"/>
  <c r="P155"/>
  <c r="L155"/>
  <c r="K155"/>
  <c r="M155" s="1"/>
  <c r="I155"/>
  <c r="H155"/>
  <c r="F155"/>
  <c r="E155"/>
  <c r="V154"/>
  <c r="S154"/>
  <c r="P154"/>
  <c r="M154"/>
  <c r="J154"/>
  <c r="G154"/>
  <c r="AA153"/>
  <c r="Z153"/>
  <c r="X153"/>
  <c r="W153"/>
  <c r="V153"/>
  <c r="S153"/>
  <c r="P153"/>
  <c r="M153"/>
  <c r="J153"/>
  <c r="G153"/>
  <c r="AB152"/>
  <c r="AA152"/>
  <c r="Z152"/>
  <c r="X152"/>
  <c r="W152"/>
  <c r="W154" s="1"/>
  <c r="V152"/>
  <c r="S152"/>
  <c r="P152"/>
  <c r="L152"/>
  <c r="K152"/>
  <c r="I152"/>
  <c r="H152"/>
  <c r="J152" s="1"/>
  <c r="F152"/>
  <c r="E152"/>
  <c r="V151"/>
  <c r="S151"/>
  <c r="P151"/>
  <c r="M151"/>
  <c r="J151"/>
  <c r="G151"/>
  <c r="AA150"/>
  <c r="Z150"/>
  <c r="AB150" s="1"/>
  <c r="X150"/>
  <c r="X151" s="1"/>
  <c r="W150"/>
  <c r="V150"/>
  <c r="S150"/>
  <c r="P150"/>
  <c r="M150"/>
  <c r="J150"/>
  <c r="G150"/>
  <c r="AA149"/>
  <c r="AA151" s="1"/>
  <c r="Z149"/>
  <c r="X149"/>
  <c r="W149"/>
  <c r="W151" s="1"/>
  <c r="V149"/>
  <c r="S149"/>
  <c r="P149"/>
  <c r="L149"/>
  <c r="K149"/>
  <c r="I149"/>
  <c r="H149"/>
  <c r="F149"/>
  <c r="E149"/>
  <c r="E142" s="1"/>
  <c r="V148"/>
  <c r="S148"/>
  <c r="P148"/>
  <c r="M148"/>
  <c r="J148"/>
  <c r="G148"/>
  <c r="AA147"/>
  <c r="Z147"/>
  <c r="X147"/>
  <c r="Y147" s="1"/>
  <c r="W147"/>
  <c r="V147"/>
  <c r="S147"/>
  <c r="P147"/>
  <c r="M147"/>
  <c r="J147"/>
  <c r="G147"/>
  <c r="AA146"/>
  <c r="Z146"/>
  <c r="X146"/>
  <c r="X148" s="1"/>
  <c r="W146"/>
  <c r="V146"/>
  <c r="S146"/>
  <c r="P146"/>
  <c r="L146"/>
  <c r="K146"/>
  <c r="I146"/>
  <c r="H146"/>
  <c r="J146" s="1"/>
  <c r="F146"/>
  <c r="E146"/>
  <c r="V145"/>
  <c r="S145"/>
  <c r="P145"/>
  <c r="M145"/>
  <c r="J145"/>
  <c r="G145"/>
  <c r="AA144"/>
  <c r="Z144"/>
  <c r="X144"/>
  <c r="W144"/>
  <c r="Y144" s="1"/>
  <c r="V144"/>
  <c r="S144"/>
  <c r="P144"/>
  <c r="M144"/>
  <c r="J144"/>
  <c r="G144"/>
  <c r="W143"/>
  <c r="U143"/>
  <c r="AA143" s="1"/>
  <c r="T143"/>
  <c r="S143"/>
  <c r="P143"/>
  <c r="L143"/>
  <c r="K143"/>
  <c r="I143"/>
  <c r="H143"/>
  <c r="J143" s="1"/>
  <c r="F143"/>
  <c r="E143"/>
  <c r="U142"/>
  <c r="AA142" s="1"/>
  <c r="T142"/>
  <c r="S142"/>
  <c r="P142"/>
  <c r="Z141"/>
  <c r="U141"/>
  <c r="T141"/>
  <c r="W141" s="1"/>
  <c r="S141"/>
  <c r="P141"/>
  <c r="AB140"/>
  <c r="Y140"/>
  <c r="V140"/>
  <c r="S140"/>
  <c r="P140"/>
  <c r="M140"/>
  <c r="J140"/>
  <c r="G140"/>
  <c r="U139"/>
  <c r="X139" s="1"/>
  <c r="T139"/>
  <c r="S139"/>
  <c r="P139"/>
  <c r="M139"/>
  <c r="J139"/>
  <c r="G139"/>
  <c r="W138"/>
  <c r="U138"/>
  <c r="X138" s="1"/>
  <c r="T138"/>
  <c r="Z138" s="1"/>
  <c r="S138"/>
  <c r="P138"/>
  <c r="L138"/>
  <c r="K138"/>
  <c r="I138"/>
  <c r="J138" s="1"/>
  <c r="H138"/>
  <c r="F138"/>
  <c r="E138"/>
  <c r="G138" s="1"/>
  <c r="AB137"/>
  <c r="Y137"/>
  <c r="V137"/>
  <c r="S137"/>
  <c r="P137"/>
  <c r="M137"/>
  <c r="J137"/>
  <c r="G137"/>
  <c r="U136"/>
  <c r="T136"/>
  <c r="S136"/>
  <c r="P136"/>
  <c r="M136"/>
  <c r="J136"/>
  <c r="G136"/>
  <c r="AA135"/>
  <c r="X135"/>
  <c r="U135"/>
  <c r="T135"/>
  <c r="S135"/>
  <c r="P135"/>
  <c r="L135"/>
  <c r="K135"/>
  <c r="I135"/>
  <c r="H135"/>
  <c r="F135"/>
  <c r="E135"/>
  <c r="R134"/>
  <c r="S134" s="1"/>
  <c r="O134"/>
  <c r="O132" s="1"/>
  <c r="L134"/>
  <c r="K134"/>
  <c r="I134"/>
  <c r="H134"/>
  <c r="F134"/>
  <c r="E134"/>
  <c r="U133"/>
  <c r="X133" s="1"/>
  <c r="T133"/>
  <c r="S133"/>
  <c r="P133"/>
  <c r="L133"/>
  <c r="K133"/>
  <c r="I133"/>
  <c r="H133"/>
  <c r="F133"/>
  <c r="E133"/>
  <c r="Q132"/>
  <c r="N132"/>
  <c r="AB131"/>
  <c r="Y131"/>
  <c r="V131"/>
  <c r="S131"/>
  <c r="P131"/>
  <c r="M131"/>
  <c r="J131"/>
  <c r="G131"/>
  <c r="W130"/>
  <c r="U130"/>
  <c r="T130"/>
  <c r="V130" s="1"/>
  <c r="S130"/>
  <c r="P130"/>
  <c r="M130"/>
  <c r="J130"/>
  <c r="G130"/>
  <c r="U129"/>
  <c r="T129"/>
  <c r="W129" s="1"/>
  <c r="Z129" s="1"/>
  <c r="S129"/>
  <c r="P129"/>
  <c r="L129"/>
  <c r="K129"/>
  <c r="M129" s="1"/>
  <c r="I129"/>
  <c r="H129"/>
  <c r="F129"/>
  <c r="E129"/>
  <c r="S128"/>
  <c r="O128"/>
  <c r="L128"/>
  <c r="K128"/>
  <c r="I128"/>
  <c r="H128"/>
  <c r="F128"/>
  <c r="E128"/>
  <c r="U127"/>
  <c r="AA127" s="1"/>
  <c r="T127"/>
  <c r="S127"/>
  <c r="P127"/>
  <c r="L127"/>
  <c r="K127"/>
  <c r="I127"/>
  <c r="H127"/>
  <c r="F127"/>
  <c r="E127"/>
  <c r="R126"/>
  <c r="Q126"/>
  <c r="N126"/>
  <c r="L123"/>
  <c r="K123"/>
  <c r="J123"/>
  <c r="G123"/>
  <c r="U122"/>
  <c r="AA122" s="1"/>
  <c r="T122"/>
  <c r="S122"/>
  <c r="P122"/>
  <c r="L122"/>
  <c r="K122"/>
  <c r="J122"/>
  <c r="G122"/>
  <c r="AB121"/>
  <c r="Y121"/>
  <c r="V121"/>
  <c r="S121"/>
  <c r="P121"/>
  <c r="L121"/>
  <c r="K121"/>
  <c r="J121"/>
  <c r="G121"/>
  <c r="AA120"/>
  <c r="AB120" s="1"/>
  <c r="X120"/>
  <c r="W120"/>
  <c r="U120"/>
  <c r="V120" s="1"/>
  <c r="R120"/>
  <c r="S120" s="1"/>
  <c r="L120"/>
  <c r="O120" s="1"/>
  <c r="P120" s="1"/>
  <c r="K120"/>
  <c r="J120"/>
  <c r="G120"/>
  <c r="AB119"/>
  <c r="X119"/>
  <c r="W119"/>
  <c r="U119"/>
  <c r="T119"/>
  <c r="V119" s="1"/>
  <c r="S119"/>
  <c r="P119"/>
  <c r="L119"/>
  <c r="K119"/>
  <c r="J119"/>
  <c r="G119"/>
  <c r="U118"/>
  <c r="U117" s="1"/>
  <c r="T118"/>
  <c r="T117" s="1"/>
  <c r="R118"/>
  <c r="S118" s="1"/>
  <c r="L118"/>
  <c r="O118" s="1"/>
  <c r="K118"/>
  <c r="J118"/>
  <c r="G118"/>
  <c r="Q117"/>
  <c r="Q114" s="1"/>
  <c r="Q113" s="1"/>
  <c r="I117"/>
  <c r="I114" s="1"/>
  <c r="I113" s="1"/>
  <c r="I112" s="1"/>
  <c r="H117"/>
  <c r="H114" s="1"/>
  <c r="F117"/>
  <c r="E117"/>
  <c r="G117" s="1"/>
  <c r="AB116"/>
  <c r="Y116"/>
  <c r="V116"/>
  <c r="S116"/>
  <c r="P116"/>
  <c r="M116"/>
  <c r="J116"/>
  <c r="G116"/>
  <c r="AA115"/>
  <c r="AB115" s="1"/>
  <c r="Y115"/>
  <c r="U115"/>
  <c r="T115"/>
  <c r="R115"/>
  <c r="S115" s="1"/>
  <c r="L115"/>
  <c r="K115"/>
  <c r="J115"/>
  <c r="G115"/>
  <c r="F114"/>
  <c r="F113" s="1"/>
  <c r="F112" s="1"/>
  <c r="Z111"/>
  <c r="W111"/>
  <c r="T111"/>
  <c r="R111"/>
  <c r="P111"/>
  <c r="M111"/>
  <c r="J111"/>
  <c r="G111"/>
  <c r="Z110"/>
  <c r="W110"/>
  <c r="T110"/>
  <c r="R110"/>
  <c r="O110"/>
  <c r="O104" s="1"/>
  <c r="P104" s="1"/>
  <c r="M110"/>
  <c r="J110"/>
  <c r="G110"/>
  <c r="T109"/>
  <c r="W109" s="1"/>
  <c r="S109"/>
  <c r="R109"/>
  <c r="U109" s="1"/>
  <c r="P109"/>
  <c r="M109"/>
  <c r="J109"/>
  <c r="G109"/>
  <c r="T108"/>
  <c r="W108" s="1"/>
  <c r="R108"/>
  <c r="U108" s="1"/>
  <c r="P108"/>
  <c r="M108"/>
  <c r="J108"/>
  <c r="G108"/>
  <c r="T107"/>
  <c r="W107" s="1"/>
  <c r="R107"/>
  <c r="P107"/>
  <c r="M107"/>
  <c r="J107"/>
  <c r="G107"/>
  <c r="T106"/>
  <c r="W106" s="1"/>
  <c r="S106"/>
  <c r="R106"/>
  <c r="U106" s="1"/>
  <c r="P106"/>
  <c r="M106"/>
  <c r="J106"/>
  <c r="G106"/>
  <c r="T105"/>
  <c r="W105" s="1"/>
  <c r="S105"/>
  <c r="R105"/>
  <c r="U105" s="1"/>
  <c r="P105"/>
  <c r="M105"/>
  <c r="J105"/>
  <c r="G105"/>
  <c r="Q104"/>
  <c r="T104" s="1"/>
  <c r="K104"/>
  <c r="M104" s="1"/>
  <c r="H104"/>
  <c r="J104" s="1"/>
  <c r="E104"/>
  <c r="G104" s="1"/>
  <c r="U103"/>
  <c r="AA103" s="1"/>
  <c r="T103"/>
  <c r="S103"/>
  <c r="P103"/>
  <c r="M103"/>
  <c r="J103"/>
  <c r="G103"/>
  <c r="U102"/>
  <c r="AA102" s="1"/>
  <c r="T102"/>
  <c r="W102" s="1"/>
  <c r="S102"/>
  <c r="P102"/>
  <c r="M102"/>
  <c r="J102"/>
  <c r="G102"/>
  <c r="T101"/>
  <c r="W101" s="1"/>
  <c r="S101"/>
  <c r="R101"/>
  <c r="U101" s="1"/>
  <c r="X101" s="1"/>
  <c r="P101"/>
  <c r="M101"/>
  <c r="J101"/>
  <c r="G101"/>
  <c r="T100"/>
  <c r="W100" s="1"/>
  <c r="S100"/>
  <c r="R100"/>
  <c r="U100" s="1"/>
  <c r="P100"/>
  <c r="M100"/>
  <c r="J100"/>
  <c r="G100"/>
  <c r="T99"/>
  <c r="W99" s="1"/>
  <c r="R99"/>
  <c r="P99"/>
  <c r="M99"/>
  <c r="J99"/>
  <c r="G99"/>
  <c r="T98"/>
  <c r="Z98" s="1"/>
  <c r="R98"/>
  <c r="S98" s="1"/>
  <c r="P98"/>
  <c r="M98"/>
  <c r="J98"/>
  <c r="G98"/>
  <c r="Q97"/>
  <c r="O97"/>
  <c r="N97"/>
  <c r="N95" s="1"/>
  <c r="L97"/>
  <c r="K97"/>
  <c r="I97"/>
  <c r="H97"/>
  <c r="J97" s="1"/>
  <c r="F97"/>
  <c r="F95" s="1"/>
  <c r="E97"/>
  <c r="T96"/>
  <c r="W96" s="1"/>
  <c r="S96"/>
  <c r="R96"/>
  <c r="U96" s="1"/>
  <c r="X96" s="1"/>
  <c r="P96"/>
  <c r="M96"/>
  <c r="J96"/>
  <c r="G96"/>
  <c r="I95"/>
  <c r="H95"/>
  <c r="U94"/>
  <c r="AA94" s="1"/>
  <c r="T94"/>
  <c r="W94" s="1"/>
  <c r="S94"/>
  <c r="P94"/>
  <c r="M94"/>
  <c r="J94"/>
  <c r="G94"/>
  <c r="U93"/>
  <c r="AA93" s="1"/>
  <c r="T93"/>
  <c r="S93"/>
  <c r="P93"/>
  <c r="M93"/>
  <c r="J93"/>
  <c r="G93"/>
  <c r="AA92"/>
  <c r="Z92"/>
  <c r="AB92" s="1"/>
  <c r="X92"/>
  <c r="W92"/>
  <c r="V92"/>
  <c r="S92"/>
  <c r="P92"/>
  <c r="L92"/>
  <c r="K92"/>
  <c r="I92"/>
  <c r="J92" s="1"/>
  <c r="H92"/>
  <c r="F92"/>
  <c r="E92"/>
  <c r="T91"/>
  <c r="Z91" s="1"/>
  <c r="R91"/>
  <c r="S91" s="1"/>
  <c r="L91"/>
  <c r="O91" s="1"/>
  <c r="K91"/>
  <c r="I91"/>
  <c r="H91"/>
  <c r="F91"/>
  <c r="E91"/>
  <c r="T90"/>
  <c r="R90"/>
  <c r="S90" s="1"/>
  <c r="L90"/>
  <c r="O90" s="1"/>
  <c r="K90"/>
  <c r="I90"/>
  <c r="H90"/>
  <c r="F90"/>
  <c r="E90"/>
  <c r="T89"/>
  <c r="W89" s="1"/>
  <c r="S89"/>
  <c r="R89"/>
  <c r="L89"/>
  <c r="O89" s="1"/>
  <c r="U89" s="1"/>
  <c r="AA89" s="1"/>
  <c r="K89"/>
  <c r="I89"/>
  <c r="H89"/>
  <c r="F89"/>
  <c r="E89"/>
  <c r="W88"/>
  <c r="T88"/>
  <c r="Z88" s="1"/>
  <c r="R88"/>
  <c r="S88" s="1"/>
  <c r="L88"/>
  <c r="K88"/>
  <c r="I88"/>
  <c r="H88"/>
  <c r="F88"/>
  <c r="E88"/>
  <c r="T87"/>
  <c r="W87" s="1"/>
  <c r="P87"/>
  <c r="M87"/>
  <c r="J87"/>
  <c r="G87"/>
  <c r="W86"/>
  <c r="U86"/>
  <c r="X86" s="1"/>
  <c r="T86"/>
  <c r="Z86" s="1"/>
  <c r="S86"/>
  <c r="P86"/>
  <c r="M86"/>
  <c r="J86"/>
  <c r="G86"/>
  <c r="AB85"/>
  <c r="Y85"/>
  <c r="V85"/>
  <c r="S85"/>
  <c r="P85"/>
  <c r="M85"/>
  <c r="J85"/>
  <c r="G85"/>
  <c r="AB84"/>
  <c r="Y84"/>
  <c r="T84"/>
  <c r="R84"/>
  <c r="U84" s="1"/>
  <c r="P84"/>
  <c r="M84"/>
  <c r="J84"/>
  <c r="G84"/>
  <c r="AB83"/>
  <c r="Y83"/>
  <c r="V83"/>
  <c r="S83"/>
  <c r="P83"/>
  <c r="M83"/>
  <c r="J83"/>
  <c r="G83"/>
  <c r="T82"/>
  <c r="R82"/>
  <c r="S82" s="1"/>
  <c r="P82"/>
  <c r="M82"/>
  <c r="J82"/>
  <c r="G82"/>
  <c r="Q81"/>
  <c r="P81"/>
  <c r="L81"/>
  <c r="K81"/>
  <c r="M81" s="1"/>
  <c r="I81"/>
  <c r="H81"/>
  <c r="J81" s="1"/>
  <c r="F81"/>
  <c r="F78" s="1"/>
  <c r="F77" s="1"/>
  <c r="F76" s="1"/>
  <c r="E81"/>
  <c r="E78" s="1"/>
  <c r="E77" s="1"/>
  <c r="E76" s="1"/>
  <c r="AB80"/>
  <c r="Y80"/>
  <c r="V80"/>
  <c r="S80"/>
  <c r="P80"/>
  <c r="M80"/>
  <c r="J80"/>
  <c r="G80"/>
  <c r="AB79"/>
  <c r="Y79"/>
  <c r="T79"/>
  <c r="R79"/>
  <c r="U79" s="1"/>
  <c r="P79"/>
  <c r="M79"/>
  <c r="J79"/>
  <c r="G79"/>
  <c r="P78"/>
  <c r="L78"/>
  <c r="L77" s="1"/>
  <c r="L76" s="1"/>
  <c r="I78"/>
  <c r="P77"/>
  <c r="I77"/>
  <c r="I76" s="1"/>
  <c r="P76"/>
  <c r="T75"/>
  <c r="Z75" s="1"/>
  <c r="R75"/>
  <c r="S75" s="1"/>
  <c r="P75"/>
  <c r="M75"/>
  <c r="J75"/>
  <c r="G75"/>
  <c r="T74"/>
  <c r="Z74" s="1"/>
  <c r="R74"/>
  <c r="S74" s="1"/>
  <c r="L74"/>
  <c r="K74"/>
  <c r="I74"/>
  <c r="I69" s="1"/>
  <c r="H74"/>
  <c r="G74"/>
  <c r="Z73"/>
  <c r="W73"/>
  <c r="T73"/>
  <c r="R73"/>
  <c r="U73" s="1"/>
  <c r="X73" s="1"/>
  <c r="P73"/>
  <c r="M73"/>
  <c r="J73"/>
  <c r="G73"/>
  <c r="Z72"/>
  <c r="W72"/>
  <c r="T72"/>
  <c r="R72"/>
  <c r="U72" s="1"/>
  <c r="X72" s="1"/>
  <c r="P72"/>
  <c r="M72"/>
  <c r="J72"/>
  <c r="G72"/>
  <c r="T71"/>
  <c r="Z71" s="1"/>
  <c r="R71"/>
  <c r="U71" s="1"/>
  <c r="X71" s="1"/>
  <c r="P71"/>
  <c r="M71"/>
  <c r="J71"/>
  <c r="G71"/>
  <c r="T70"/>
  <c r="Z70" s="1"/>
  <c r="R70"/>
  <c r="U70" s="1"/>
  <c r="X70" s="1"/>
  <c r="P70"/>
  <c r="M70"/>
  <c r="J70"/>
  <c r="G70"/>
  <c r="Q69"/>
  <c r="N69"/>
  <c r="F69"/>
  <c r="E69"/>
  <c r="L67"/>
  <c r="K67"/>
  <c r="I67"/>
  <c r="H67"/>
  <c r="F67"/>
  <c r="E67"/>
  <c r="U66"/>
  <c r="AA66" s="1"/>
  <c r="T66"/>
  <c r="S66"/>
  <c r="P66"/>
  <c r="L66"/>
  <c r="K66"/>
  <c r="I66"/>
  <c r="H66"/>
  <c r="F66"/>
  <c r="E66"/>
  <c r="AB65"/>
  <c r="Y65"/>
  <c r="V65"/>
  <c r="S65"/>
  <c r="P65"/>
  <c r="L65"/>
  <c r="K65"/>
  <c r="I65"/>
  <c r="H65"/>
  <c r="F65"/>
  <c r="E65"/>
  <c r="Z64"/>
  <c r="Y64"/>
  <c r="U64"/>
  <c r="AA64" s="1"/>
  <c r="AB64" s="1"/>
  <c r="R64"/>
  <c r="S64" s="1"/>
  <c r="L64"/>
  <c r="O64" s="1"/>
  <c r="P64" s="1"/>
  <c r="K64"/>
  <c r="I64"/>
  <c r="H64"/>
  <c r="F64"/>
  <c r="E64"/>
  <c r="X63"/>
  <c r="Y63" s="1"/>
  <c r="W63"/>
  <c r="U63"/>
  <c r="AA63" s="1"/>
  <c r="AJ63" i="118" s="1"/>
  <c r="T63" i="116"/>
  <c r="R63"/>
  <c r="S63" s="1"/>
  <c r="L63"/>
  <c r="O63" s="1"/>
  <c r="P63" s="1"/>
  <c r="K63"/>
  <c r="I63"/>
  <c r="H63"/>
  <c r="F63"/>
  <c r="E63"/>
  <c r="AB62"/>
  <c r="Y62"/>
  <c r="U62"/>
  <c r="T62"/>
  <c r="S62"/>
  <c r="P62"/>
  <c r="L62"/>
  <c r="K62"/>
  <c r="I62"/>
  <c r="H62"/>
  <c r="F62"/>
  <c r="E62"/>
  <c r="T61"/>
  <c r="R61"/>
  <c r="S61" s="1"/>
  <c r="L61"/>
  <c r="K61"/>
  <c r="I61"/>
  <c r="H61"/>
  <c r="F61"/>
  <c r="E61"/>
  <c r="Q60"/>
  <c r="AB59"/>
  <c r="Y59"/>
  <c r="V59"/>
  <c r="S59"/>
  <c r="P59"/>
  <c r="M59"/>
  <c r="J59"/>
  <c r="G59"/>
  <c r="U55"/>
  <c r="AA55" s="1"/>
  <c r="T55"/>
  <c r="W55" s="1"/>
  <c r="S55"/>
  <c r="P55"/>
  <c r="L55"/>
  <c r="K55"/>
  <c r="I55"/>
  <c r="H55"/>
  <c r="F55"/>
  <c r="E55"/>
  <c r="T54"/>
  <c r="S54"/>
  <c r="L54"/>
  <c r="O54" s="1"/>
  <c r="U54" s="1"/>
  <c r="AA54" s="1"/>
  <c r="K54"/>
  <c r="I54"/>
  <c r="H54"/>
  <c r="F54"/>
  <c r="E54"/>
  <c r="N53"/>
  <c r="X52"/>
  <c r="W52"/>
  <c r="Y52" s="1"/>
  <c r="U52"/>
  <c r="AA52" s="1"/>
  <c r="T52"/>
  <c r="S52"/>
  <c r="P52"/>
  <c r="L52"/>
  <c r="K52"/>
  <c r="I52"/>
  <c r="H52"/>
  <c r="F52"/>
  <c r="E52"/>
  <c r="T51"/>
  <c r="W51" s="1"/>
  <c r="R51"/>
  <c r="S51" s="1"/>
  <c r="L51"/>
  <c r="O51" s="1"/>
  <c r="K51"/>
  <c r="I51"/>
  <c r="H51"/>
  <c r="F51"/>
  <c r="E51"/>
  <c r="T50"/>
  <c r="W50" s="1"/>
  <c r="S50"/>
  <c r="R50"/>
  <c r="L50"/>
  <c r="O50" s="1"/>
  <c r="K50"/>
  <c r="I50"/>
  <c r="H50"/>
  <c r="F50"/>
  <c r="E50"/>
  <c r="T49"/>
  <c r="Z49" s="1"/>
  <c r="R49"/>
  <c r="S49" s="1"/>
  <c r="L49"/>
  <c r="O49" s="1"/>
  <c r="P49" s="1"/>
  <c r="K49"/>
  <c r="I49"/>
  <c r="H49"/>
  <c r="F49"/>
  <c r="E49"/>
  <c r="T48"/>
  <c r="R48"/>
  <c r="S48" s="1"/>
  <c r="P48"/>
  <c r="L48"/>
  <c r="K48"/>
  <c r="I48"/>
  <c r="H48"/>
  <c r="F48"/>
  <c r="E48"/>
  <c r="T47"/>
  <c r="Z47" s="1"/>
  <c r="S47"/>
  <c r="R47"/>
  <c r="L47"/>
  <c r="K47"/>
  <c r="I47"/>
  <c r="H47"/>
  <c r="F47"/>
  <c r="E47"/>
  <c r="Q46"/>
  <c r="N46"/>
  <c r="T45"/>
  <c r="W45" s="1"/>
  <c r="R45"/>
  <c r="S45" s="1"/>
  <c r="L45"/>
  <c r="O45" s="1"/>
  <c r="K45"/>
  <c r="I45"/>
  <c r="H45"/>
  <c r="F45"/>
  <c r="E45"/>
  <c r="T44"/>
  <c r="Z44" s="1"/>
  <c r="R44"/>
  <c r="L44"/>
  <c r="O44" s="1"/>
  <c r="K44"/>
  <c r="I44"/>
  <c r="H44"/>
  <c r="F44"/>
  <c r="E44"/>
  <c r="Q43"/>
  <c r="T43" s="1"/>
  <c r="N43"/>
  <c r="U42"/>
  <c r="T42"/>
  <c r="Z42" s="1"/>
  <c r="S42"/>
  <c r="P42"/>
  <c r="M42"/>
  <c r="J42"/>
  <c r="G42"/>
  <c r="L41"/>
  <c r="K41"/>
  <c r="I41"/>
  <c r="H41"/>
  <c r="F41"/>
  <c r="E41"/>
  <c r="X40"/>
  <c r="U40"/>
  <c r="AA40" s="1"/>
  <c r="T40"/>
  <c r="S40"/>
  <c r="P40"/>
  <c r="L40"/>
  <c r="K40"/>
  <c r="I40"/>
  <c r="H40"/>
  <c r="F40"/>
  <c r="E40"/>
  <c r="AB39"/>
  <c r="Y39"/>
  <c r="V39"/>
  <c r="S39"/>
  <c r="P39"/>
  <c r="L39"/>
  <c r="K39"/>
  <c r="I39"/>
  <c r="H39"/>
  <c r="F39"/>
  <c r="E39"/>
  <c r="AB38"/>
  <c r="Y38"/>
  <c r="T38"/>
  <c r="R38"/>
  <c r="S38" s="1"/>
  <c r="L38"/>
  <c r="O38" s="1"/>
  <c r="K38"/>
  <c r="I38"/>
  <c r="H38"/>
  <c r="F38"/>
  <c r="E38"/>
  <c r="AB37"/>
  <c r="AA37"/>
  <c r="X37"/>
  <c r="W37"/>
  <c r="Y37" s="1"/>
  <c r="T37"/>
  <c r="R37"/>
  <c r="S37" s="1"/>
  <c r="L37"/>
  <c r="O37" s="1"/>
  <c r="K37"/>
  <c r="I37"/>
  <c r="H37"/>
  <c r="F37"/>
  <c r="E37"/>
  <c r="AC36"/>
  <c r="AC37" s="1"/>
  <c r="AB36"/>
  <c r="Y36"/>
  <c r="U36"/>
  <c r="T36"/>
  <c r="V36" s="1"/>
  <c r="S36"/>
  <c r="P36"/>
  <c r="L36"/>
  <c r="K36"/>
  <c r="I36"/>
  <c r="H36"/>
  <c r="F36"/>
  <c r="E36"/>
  <c r="U35"/>
  <c r="T35"/>
  <c r="W35" s="1"/>
  <c r="R35"/>
  <c r="L35"/>
  <c r="K35"/>
  <c r="I35"/>
  <c r="H35"/>
  <c r="F35"/>
  <c r="E35"/>
  <c r="Q34"/>
  <c r="AB33"/>
  <c r="Y33"/>
  <c r="V33"/>
  <c r="S33"/>
  <c r="P33"/>
  <c r="M33"/>
  <c r="J33"/>
  <c r="G33"/>
  <c r="Q32"/>
  <c r="X29"/>
  <c r="U29"/>
  <c r="AA29" s="1"/>
  <c r="T29"/>
  <c r="S29"/>
  <c r="P29"/>
  <c r="M29"/>
  <c r="J29"/>
  <c r="F29"/>
  <c r="E29"/>
  <c r="T28"/>
  <c r="Z28" s="1"/>
  <c r="R28"/>
  <c r="S28" s="1"/>
  <c r="P28"/>
  <c r="L28"/>
  <c r="K28"/>
  <c r="I28"/>
  <c r="H28"/>
  <c r="F28"/>
  <c r="E28"/>
  <c r="T27"/>
  <c r="W27" s="1"/>
  <c r="R27"/>
  <c r="S27" s="1"/>
  <c r="O27"/>
  <c r="L27"/>
  <c r="K27"/>
  <c r="I27"/>
  <c r="H27"/>
  <c r="F27"/>
  <c r="E27"/>
  <c r="R26"/>
  <c r="R24" s="1"/>
  <c r="O26"/>
  <c r="P26" s="1"/>
  <c r="L26"/>
  <c r="K26"/>
  <c r="I26"/>
  <c r="H26"/>
  <c r="F26"/>
  <c r="E26"/>
  <c r="U25"/>
  <c r="T25"/>
  <c r="W25" s="1"/>
  <c r="S25"/>
  <c r="P25"/>
  <c r="L25"/>
  <c r="K25"/>
  <c r="I25"/>
  <c r="H25"/>
  <c r="F25"/>
  <c r="E25"/>
  <c r="Q24"/>
  <c r="N24"/>
  <c r="R23"/>
  <c r="S23" s="1"/>
  <c r="O23"/>
  <c r="P23" s="1"/>
  <c r="L23"/>
  <c r="K23"/>
  <c r="I23"/>
  <c r="H23"/>
  <c r="F23"/>
  <c r="E23"/>
  <c r="U22"/>
  <c r="X22" s="1"/>
  <c r="T22"/>
  <c r="Z22" s="1"/>
  <c r="S22"/>
  <c r="P22"/>
  <c r="L22"/>
  <c r="K22"/>
  <c r="I22"/>
  <c r="H22"/>
  <c r="F22"/>
  <c r="E22"/>
  <c r="Q21"/>
  <c r="O21"/>
  <c r="N21"/>
  <c r="T21" s="1"/>
  <c r="T23" s="1"/>
  <c r="R20"/>
  <c r="S20" s="1"/>
  <c r="O20"/>
  <c r="O18" s="1"/>
  <c r="U18" s="1"/>
  <c r="AA18" s="1"/>
  <c r="L20"/>
  <c r="K20"/>
  <c r="I20"/>
  <c r="H20"/>
  <c r="F20"/>
  <c r="E20"/>
  <c r="U19"/>
  <c r="X19" s="1"/>
  <c r="T19"/>
  <c r="W19" s="1"/>
  <c r="S19"/>
  <c r="P19"/>
  <c r="L19"/>
  <c r="K19"/>
  <c r="I19"/>
  <c r="I18" s="1"/>
  <c r="H19"/>
  <c r="F19"/>
  <c r="E19"/>
  <c r="R18"/>
  <c r="Q18"/>
  <c r="S18" s="1"/>
  <c r="N18"/>
  <c r="P18" s="1"/>
  <c r="R17"/>
  <c r="S17" s="1"/>
  <c r="O17"/>
  <c r="P17" s="1"/>
  <c r="L17"/>
  <c r="K17"/>
  <c r="I17"/>
  <c r="H17"/>
  <c r="F17"/>
  <c r="E17"/>
  <c r="U16"/>
  <c r="AA16" s="1"/>
  <c r="T16"/>
  <c r="S16"/>
  <c r="P16"/>
  <c r="L16"/>
  <c r="K16"/>
  <c r="I16"/>
  <c r="H16"/>
  <c r="F16"/>
  <c r="E16"/>
  <c r="R15"/>
  <c r="Q15"/>
  <c r="N15"/>
  <c r="AB14"/>
  <c r="Y14"/>
  <c r="V14"/>
  <c r="S14"/>
  <c r="P14"/>
  <c r="M14"/>
  <c r="J14"/>
  <c r="G14"/>
  <c r="AB13"/>
  <c r="Y13"/>
  <c r="V13"/>
  <c r="S13"/>
  <c r="P13"/>
  <c r="M13"/>
  <c r="J13"/>
  <c r="G13"/>
  <c r="AB12"/>
  <c r="Y12"/>
  <c r="AC12" s="1"/>
  <c r="V12"/>
  <c r="S12"/>
  <c r="O12"/>
  <c r="N12"/>
  <c r="P12" s="1"/>
  <c r="L12"/>
  <c r="K12"/>
  <c r="M12" s="1"/>
  <c r="I12"/>
  <c r="H12"/>
  <c r="F12"/>
  <c r="E12"/>
  <c r="G12" s="1"/>
  <c r="AE6"/>
  <c r="AD6"/>
  <c r="AK5"/>
  <c r="L97" i="117" l="1"/>
  <c r="I24" i="118"/>
  <c r="K177" i="117"/>
  <c r="I21" i="118"/>
  <c r="K24"/>
  <c r="G35"/>
  <c r="G45"/>
  <c r="F177"/>
  <c r="E126" i="116"/>
  <c r="F24" i="118"/>
  <c r="L24"/>
  <c r="V22" i="116"/>
  <c r="AA19"/>
  <c r="W22"/>
  <c r="W42"/>
  <c r="Z45"/>
  <c r="V52"/>
  <c r="X55"/>
  <c r="V62"/>
  <c r="W70"/>
  <c r="V84"/>
  <c r="Z99"/>
  <c r="AA101"/>
  <c r="X103"/>
  <c r="X106"/>
  <c r="Y106" s="1"/>
  <c r="AA106"/>
  <c r="P128"/>
  <c r="O126"/>
  <c r="U126" s="1"/>
  <c r="AA22"/>
  <c r="U48"/>
  <c r="AA48" s="1"/>
  <c r="H78"/>
  <c r="T97"/>
  <c r="Y55"/>
  <c r="S60"/>
  <c r="O24"/>
  <c r="R60"/>
  <c r="R58" s="1"/>
  <c r="R57" s="1"/>
  <c r="AC65"/>
  <c r="V70"/>
  <c r="Y86"/>
  <c r="Y96"/>
  <c r="Z101"/>
  <c r="AB101" s="1"/>
  <c r="S107"/>
  <c r="U107"/>
  <c r="AA107" s="1"/>
  <c r="AC121"/>
  <c r="J114"/>
  <c r="G128"/>
  <c r="R132"/>
  <c r="U132" s="1"/>
  <c r="V138"/>
  <c r="AA139"/>
  <c r="G143"/>
  <c r="AA148"/>
  <c r="G152"/>
  <c r="J155"/>
  <c r="AB160"/>
  <c r="G162"/>
  <c r="AA164"/>
  <c r="R177"/>
  <c r="AC186"/>
  <c r="G194"/>
  <c r="W222"/>
  <c r="Y222" s="1"/>
  <c r="AA225"/>
  <c r="X226"/>
  <c r="Z227"/>
  <c r="V228"/>
  <c r="V229"/>
  <c r="S235"/>
  <c r="AA240"/>
  <c r="J242"/>
  <c r="V246"/>
  <c r="W252"/>
  <c r="AA262"/>
  <c r="T18" i="117"/>
  <c r="S23"/>
  <c r="R60"/>
  <c r="O58"/>
  <c r="O57" s="1"/>
  <c r="U61"/>
  <c r="X61" s="1"/>
  <c r="V64"/>
  <c r="U79"/>
  <c r="AH79" s="1"/>
  <c r="AI79" s="1"/>
  <c r="U101"/>
  <c r="X101" s="1"/>
  <c r="S111"/>
  <c r="J149"/>
  <c r="V149"/>
  <c r="G165"/>
  <c r="M200"/>
  <c r="V206"/>
  <c r="V209"/>
  <c r="G211"/>
  <c r="V224"/>
  <c r="J225"/>
  <c r="Z242"/>
  <c r="Z251"/>
  <c r="Z254"/>
  <c r="AC106" i="118"/>
  <c r="AE106"/>
  <c r="L142" i="116"/>
  <c r="L141" s="1"/>
  <c r="Y225"/>
  <c r="I238"/>
  <c r="I237" s="1"/>
  <c r="Y262"/>
  <c r="AC100" i="118"/>
  <c r="AE100"/>
  <c r="J129" i="116"/>
  <c r="P132"/>
  <c r="G149"/>
  <c r="AC160"/>
  <c r="Y162"/>
  <c r="AC198"/>
  <c r="AC199"/>
  <c r="V208"/>
  <c r="X219"/>
  <c r="J241"/>
  <c r="Y246"/>
  <c r="X248"/>
  <c r="AA248" s="1"/>
  <c r="Y251"/>
  <c r="F251"/>
  <c r="AA255"/>
  <c r="V260"/>
  <c r="AA264"/>
  <c r="G265"/>
  <c r="S18" i="117"/>
  <c r="T21"/>
  <c r="H78"/>
  <c r="R97"/>
  <c r="S132"/>
  <c r="M135"/>
  <c r="G159"/>
  <c r="L187"/>
  <c r="V188"/>
  <c r="M191"/>
  <c r="J200"/>
  <c r="V203"/>
  <c r="V220"/>
  <c r="V252"/>
  <c r="L251"/>
  <c r="W267"/>
  <c r="Z267"/>
  <c r="V115" i="116"/>
  <c r="AC131"/>
  <c r="E132"/>
  <c r="G135"/>
  <c r="M135"/>
  <c r="AA138"/>
  <c r="AC140"/>
  <c r="X142"/>
  <c r="I142"/>
  <c r="I141" s="1"/>
  <c r="X143"/>
  <c r="X145" s="1"/>
  <c r="Z154"/>
  <c r="K158"/>
  <c r="M158" s="1"/>
  <c r="Y158"/>
  <c r="G159"/>
  <c r="M159"/>
  <c r="G165"/>
  <c r="M165"/>
  <c r="Y181"/>
  <c r="AC185"/>
  <c r="X187"/>
  <c r="M191"/>
  <c r="J194"/>
  <c r="U201"/>
  <c r="W208"/>
  <c r="Z221"/>
  <c r="V222"/>
  <c r="V227"/>
  <c r="Y240"/>
  <c r="K251"/>
  <c r="AA251"/>
  <c r="AA252"/>
  <c r="X255"/>
  <c r="Y255" s="1"/>
  <c r="W269"/>
  <c r="R24" i="117"/>
  <c r="S24" s="1"/>
  <c r="S35"/>
  <c r="U96"/>
  <c r="U98"/>
  <c r="V98" s="1"/>
  <c r="AH130"/>
  <c r="Z143"/>
  <c r="G149"/>
  <c r="E158"/>
  <c r="G158" s="1"/>
  <c r="M183"/>
  <c r="Z188"/>
  <c r="U210"/>
  <c r="Z222"/>
  <c r="V242"/>
  <c r="V254"/>
  <c r="T176" i="118"/>
  <c r="W176" s="1"/>
  <c r="N175"/>
  <c r="AH268" i="117"/>
  <c r="AA270"/>
  <c r="V22" i="118"/>
  <c r="AE24"/>
  <c r="AC25"/>
  <c r="W71"/>
  <c r="Y129"/>
  <c r="V136"/>
  <c r="I142"/>
  <c r="I141" s="1"/>
  <c r="S176"/>
  <c r="V236"/>
  <c r="U238"/>
  <c r="V245"/>
  <c r="V250"/>
  <c r="Y259"/>
  <c r="Y268"/>
  <c r="AI272"/>
  <c r="S192" i="111"/>
  <c r="V195"/>
  <c r="AM184" i="118"/>
  <c r="AM13"/>
  <c r="G25" i="121"/>
  <c r="M82"/>
  <c r="G144"/>
  <c r="Y160"/>
  <c r="G163"/>
  <c r="J226"/>
  <c r="J253"/>
  <c r="P253"/>
  <c r="V253"/>
  <c r="H95" i="118"/>
  <c r="J95" s="1"/>
  <c r="S106"/>
  <c r="U128"/>
  <c r="M129"/>
  <c r="AE129"/>
  <c r="J135"/>
  <c r="W136"/>
  <c r="G146"/>
  <c r="AB265"/>
  <c r="M75" i="120"/>
  <c r="AC243"/>
  <c r="AM65" i="118"/>
  <c r="AM119"/>
  <c r="G13" i="121"/>
  <c r="AB93"/>
  <c r="P12" i="118"/>
  <c r="P61"/>
  <c r="U73"/>
  <c r="X73" s="1"/>
  <c r="X86"/>
  <c r="AA94"/>
  <c r="AA98"/>
  <c r="U99"/>
  <c r="AC99" s="1"/>
  <c r="AA103"/>
  <c r="U105"/>
  <c r="L125"/>
  <c r="J165"/>
  <c r="G168"/>
  <c r="M168"/>
  <c r="G171"/>
  <c r="M171"/>
  <c r="AA204"/>
  <c r="S210"/>
  <c r="M214"/>
  <c r="U237"/>
  <c r="AB260"/>
  <c r="AC13" i="120"/>
  <c r="S29"/>
  <c r="AC93"/>
  <c r="AC144"/>
  <c r="Y153"/>
  <c r="M156"/>
  <c r="AC156"/>
  <c r="AC160"/>
  <c r="AC172"/>
  <c r="AB181"/>
  <c r="S144" i="111"/>
  <c r="AM131" i="118"/>
  <c r="S147" i="121"/>
  <c r="M230"/>
  <c r="M265" i="117"/>
  <c r="AA266"/>
  <c r="AF163"/>
  <c r="G12" i="118"/>
  <c r="V21"/>
  <c r="AA25"/>
  <c r="E34"/>
  <c r="E32" s="1"/>
  <c r="U49"/>
  <c r="AC49" s="1"/>
  <c r="P60"/>
  <c r="T69"/>
  <c r="W69" s="1"/>
  <c r="V71"/>
  <c r="R81"/>
  <c r="U82"/>
  <c r="AE98"/>
  <c r="AE103"/>
  <c r="S107"/>
  <c r="AE126"/>
  <c r="J143"/>
  <c r="S175"/>
  <c r="J183"/>
  <c r="G200"/>
  <c r="J211"/>
  <c r="U217"/>
  <c r="AE217" s="1"/>
  <c r="R237"/>
  <c r="K241"/>
  <c r="G252"/>
  <c r="AD256"/>
  <c r="V259"/>
  <c r="V266"/>
  <c r="AB267"/>
  <c r="AC266"/>
  <c r="AD266" s="1"/>
  <c r="M25" i="120"/>
  <c r="AC153"/>
  <c r="AC169"/>
  <c r="AB169"/>
  <c r="G178"/>
  <c r="G184"/>
  <c r="M184"/>
  <c r="M188"/>
  <c r="G212"/>
  <c r="AB163" i="111"/>
  <c r="AB166"/>
  <c r="AB181"/>
  <c r="G61" i="121"/>
  <c r="AB130"/>
  <c r="G136"/>
  <c r="V147"/>
  <c r="AB147"/>
  <c r="J150"/>
  <c r="AB150"/>
  <c r="P166"/>
  <c r="M253"/>
  <c r="M207"/>
  <c r="X109" i="111"/>
  <c r="X109" i="121"/>
  <c r="Q208"/>
  <c r="O78" i="111"/>
  <c r="AL77" i="118" s="1"/>
  <c r="W101" i="111"/>
  <c r="U109"/>
  <c r="N32" i="121"/>
  <c r="P32" s="1"/>
  <c r="T101"/>
  <c r="U109"/>
  <c r="W109"/>
  <c r="T189" i="111"/>
  <c r="U211" i="121"/>
  <c r="U101" i="111"/>
  <c r="T109"/>
  <c r="Q68" i="121"/>
  <c r="T109"/>
  <c r="R113"/>
  <c r="Q16" i="111"/>
  <c r="T26"/>
  <c r="R46"/>
  <c r="R100"/>
  <c r="S100" s="1"/>
  <c r="X211"/>
  <c r="T71" i="121"/>
  <c r="R90"/>
  <c r="R100"/>
  <c r="S100" s="1"/>
  <c r="U67" i="111"/>
  <c r="R90"/>
  <c r="T28" i="121"/>
  <c r="T28" i="111"/>
  <c r="Q68"/>
  <c r="T112"/>
  <c r="R114"/>
  <c r="W211"/>
  <c r="R48" i="121"/>
  <c r="T48"/>
  <c r="W211"/>
  <c r="X42" i="111"/>
  <c r="Q57"/>
  <c r="W67"/>
  <c r="R76"/>
  <c r="S76" s="1"/>
  <c r="U88"/>
  <c r="R22" i="121"/>
  <c r="R24" s="1"/>
  <c r="R32"/>
  <c r="X42"/>
  <c r="Z42"/>
  <c r="R76"/>
  <c r="R70" s="1"/>
  <c r="Q105"/>
  <c r="R272"/>
  <c r="Q105" i="111"/>
  <c r="R50"/>
  <c r="R58"/>
  <c r="W88"/>
  <c r="R106"/>
  <c r="S106" s="1"/>
  <c r="Q133"/>
  <c r="R50" i="121"/>
  <c r="U67"/>
  <c r="U88"/>
  <c r="W88"/>
  <c r="Q133"/>
  <c r="P75"/>
  <c r="P73"/>
  <c r="S75"/>
  <c r="P109"/>
  <c r="J49" i="116"/>
  <c r="J217" i="118"/>
  <c r="G50" i="116"/>
  <c r="M50"/>
  <c r="M40" i="118"/>
  <c r="G207" i="121"/>
  <c r="J24" i="118"/>
  <c r="G45" i="116"/>
  <c r="M45"/>
  <c r="G47"/>
  <c r="M47"/>
  <c r="E187" i="118"/>
  <c r="J207" i="121"/>
  <c r="X272" i="120"/>
  <c r="Z272" s="1"/>
  <c r="AB272" s="1"/>
  <c r="V272"/>
  <c r="Q21" i="121"/>
  <c r="P128"/>
  <c r="Q27"/>
  <c r="Q18"/>
  <c r="AA56"/>
  <c r="AB56" s="1"/>
  <c r="Q113"/>
  <c r="W72"/>
  <c r="O18"/>
  <c r="P22"/>
  <c r="P78"/>
  <c r="P177"/>
  <c r="P201"/>
  <c r="P204"/>
  <c r="P208"/>
  <c r="P215"/>
  <c r="P23"/>
  <c r="P26"/>
  <c r="P67"/>
  <c r="P77"/>
  <c r="N24"/>
  <c r="P45"/>
  <c r="P76"/>
  <c r="P74"/>
  <c r="V72"/>
  <c r="O190"/>
  <c r="AA211" i="111"/>
  <c r="T188" i="121"/>
  <c r="T190" s="1"/>
  <c r="T188" i="111"/>
  <c r="U92" i="121"/>
  <c r="U92" i="111"/>
  <c r="Y254" i="116"/>
  <c r="Z254"/>
  <c r="E113" i="117"/>
  <c r="G114"/>
  <c r="S24" i="116"/>
  <c r="Z35"/>
  <c r="Z34" s="1"/>
  <c r="Z32" s="1"/>
  <c r="W34"/>
  <c r="AA109"/>
  <c r="X109"/>
  <c r="X105"/>
  <c r="Y105" s="1"/>
  <c r="AA105"/>
  <c r="X108"/>
  <c r="AA108"/>
  <c r="AA132"/>
  <c r="X132"/>
  <c r="X134" s="1"/>
  <c r="X210"/>
  <c r="AA210"/>
  <c r="S81" i="117"/>
  <c r="R78"/>
  <c r="R77" s="1"/>
  <c r="Y109" i="116"/>
  <c r="AD202"/>
  <c r="AD203" s="1"/>
  <c r="AE203" s="1"/>
  <c r="S200"/>
  <c r="Z25"/>
  <c r="AC84"/>
  <c r="X18"/>
  <c r="X20" s="1"/>
  <c r="P20"/>
  <c r="AC85"/>
  <c r="X118"/>
  <c r="AA118" s="1"/>
  <c r="AA117" s="1"/>
  <c r="AA114" s="1"/>
  <c r="AA113" s="1"/>
  <c r="AG114" s="1"/>
  <c r="AG115" s="1"/>
  <c r="V188"/>
  <c r="U189"/>
  <c r="AC197"/>
  <c r="AI201"/>
  <c r="X212"/>
  <c r="Z216"/>
  <c r="AB216" s="1"/>
  <c r="Z240"/>
  <c r="AB240" s="1"/>
  <c r="Y241"/>
  <c r="V242"/>
  <c r="Y250"/>
  <c r="Z251"/>
  <c r="AB251" s="1"/>
  <c r="G252"/>
  <c r="V254"/>
  <c r="AA254"/>
  <c r="Z255"/>
  <c r="AB255" s="1"/>
  <c r="V257"/>
  <c r="X267"/>
  <c r="V267"/>
  <c r="AF29" i="117"/>
  <c r="X29"/>
  <c r="AJ37" i="118"/>
  <c r="AB37" i="117"/>
  <c r="AF38"/>
  <c r="AG38" s="1"/>
  <c r="AH38"/>
  <c r="AI38" s="1"/>
  <c r="U51"/>
  <c r="S51"/>
  <c r="AB64"/>
  <c r="AI64" i="118"/>
  <c r="U71" i="117"/>
  <c r="AA71" s="1"/>
  <c r="S71"/>
  <c r="AH84"/>
  <c r="AI84" s="1"/>
  <c r="AF84"/>
  <c r="AG84" s="1"/>
  <c r="AF93"/>
  <c r="AH93"/>
  <c r="V93"/>
  <c r="U108"/>
  <c r="S108"/>
  <c r="U109"/>
  <c r="V109" s="1"/>
  <c r="S109"/>
  <c r="AF136"/>
  <c r="AG136" s="1"/>
  <c r="X136"/>
  <c r="R152"/>
  <c r="U152" s="1"/>
  <c r="S154"/>
  <c r="AF180"/>
  <c r="AA180"/>
  <c r="AF211"/>
  <c r="AF245"/>
  <c r="AA259"/>
  <c r="X259"/>
  <c r="AF261"/>
  <c r="X261"/>
  <c r="AH261"/>
  <c r="V264"/>
  <c r="AA17" i="118"/>
  <c r="AB17" s="1"/>
  <c r="R41"/>
  <c r="S41" s="1"/>
  <c r="AK65"/>
  <c r="AC125"/>
  <c r="AD125" s="1"/>
  <c r="X125"/>
  <c r="AE125"/>
  <c r="AA125"/>
  <c r="AA133"/>
  <c r="AE133"/>
  <c r="W21" i="116"/>
  <c r="S26"/>
  <c r="W47"/>
  <c r="S72"/>
  <c r="G81"/>
  <c r="R81"/>
  <c r="S81" s="1"/>
  <c r="X93"/>
  <c r="W98"/>
  <c r="X122"/>
  <c r="M146"/>
  <c r="AB155"/>
  <c r="AA167"/>
  <c r="AB167" s="1"/>
  <c r="J171"/>
  <c r="X183"/>
  <c r="O15"/>
  <c r="U15" s="1"/>
  <c r="Y19"/>
  <c r="R21"/>
  <c r="S21" s="1"/>
  <c r="V25"/>
  <c r="W28"/>
  <c r="V35"/>
  <c r="AC39"/>
  <c r="G44"/>
  <c r="W44"/>
  <c r="R46"/>
  <c r="W49"/>
  <c r="Z50"/>
  <c r="G52"/>
  <c r="Z52"/>
  <c r="Q58"/>
  <c r="X66"/>
  <c r="S70"/>
  <c r="W71"/>
  <c r="S73"/>
  <c r="AA73"/>
  <c r="W74"/>
  <c r="W75"/>
  <c r="U82"/>
  <c r="AC83"/>
  <c r="Z87"/>
  <c r="W91"/>
  <c r="M92"/>
  <c r="X94"/>
  <c r="Y94" s="1"/>
  <c r="AC94" s="1"/>
  <c r="Z100"/>
  <c r="V101"/>
  <c r="X102"/>
  <c r="Y102" s="1"/>
  <c r="X107"/>
  <c r="J117"/>
  <c r="O125"/>
  <c r="R125"/>
  <c r="R124" s="1"/>
  <c r="X127"/>
  <c r="V129"/>
  <c r="X130"/>
  <c r="Y130" s="1"/>
  <c r="AA133"/>
  <c r="P134"/>
  <c r="M138"/>
  <c r="V141"/>
  <c r="H142"/>
  <c r="AB147"/>
  <c r="AC147" s="1"/>
  <c r="J149"/>
  <c r="AA161"/>
  <c r="AB165"/>
  <c r="AA173"/>
  <c r="AB172"/>
  <c r="O177"/>
  <c r="O176" s="1"/>
  <c r="O175" s="1"/>
  <c r="W188"/>
  <c r="AA196"/>
  <c r="AB195"/>
  <c r="S201"/>
  <c r="W228"/>
  <c r="W236"/>
  <c r="W235" s="1"/>
  <c r="Y235" s="1"/>
  <c r="V240"/>
  <c r="Z246"/>
  <c r="AB246" s="1"/>
  <c r="V248"/>
  <c r="V251"/>
  <c r="V255"/>
  <c r="AA260"/>
  <c r="V262"/>
  <c r="V264"/>
  <c r="AF13" i="117"/>
  <c r="AG13" s="1"/>
  <c r="V19"/>
  <c r="AF22"/>
  <c r="AH29"/>
  <c r="V40"/>
  <c r="R43"/>
  <c r="S44"/>
  <c r="AF64"/>
  <c r="AG64" s="1"/>
  <c r="T69"/>
  <c r="U75"/>
  <c r="V75" s="1"/>
  <c r="AA93"/>
  <c r="Y115"/>
  <c r="AF120"/>
  <c r="AG120" s="1"/>
  <c r="V130"/>
  <c r="AH146"/>
  <c r="V146"/>
  <c r="S152"/>
  <c r="AH169"/>
  <c r="V169"/>
  <c r="R174"/>
  <c r="S221"/>
  <c r="R217"/>
  <c r="AF232"/>
  <c r="AG232" s="1"/>
  <c r="J242"/>
  <c r="X245"/>
  <c r="AA245" s="1"/>
  <c r="AF248"/>
  <c r="Y249"/>
  <c r="Z252"/>
  <c r="X256"/>
  <c r="AA256" s="1"/>
  <c r="AA261"/>
  <c r="O11" i="118"/>
  <c r="O10" s="1"/>
  <c r="AK197"/>
  <c r="AC257"/>
  <c r="AE257"/>
  <c r="AF257" s="1"/>
  <c r="AB257"/>
  <c r="Y108" i="116"/>
  <c r="Y22"/>
  <c r="X48"/>
  <c r="V64"/>
  <c r="AC64" s="1"/>
  <c r="G78"/>
  <c r="S84"/>
  <c r="V94"/>
  <c r="Y107"/>
  <c r="S108"/>
  <c r="H113"/>
  <c r="H112" s="1"/>
  <c r="Y138"/>
  <c r="X154"/>
  <c r="Y154" s="1"/>
  <c r="G168"/>
  <c r="S210"/>
  <c r="S211"/>
  <c r="AC14"/>
  <c r="Q11"/>
  <c r="T34"/>
  <c r="U61"/>
  <c r="AA70"/>
  <c r="V79"/>
  <c r="U91"/>
  <c r="E95"/>
  <c r="E114"/>
  <c r="E113" s="1"/>
  <c r="E112" s="1"/>
  <c r="S132"/>
  <c r="J135"/>
  <c r="AB138"/>
  <c r="G146"/>
  <c r="Y149"/>
  <c r="M152"/>
  <c r="Y153"/>
  <c r="X157"/>
  <c r="E158"/>
  <c r="G158" s="1"/>
  <c r="AB158"/>
  <c r="AC158" s="1"/>
  <c r="X164"/>
  <c r="W167"/>
  <c r="Y167" s="1"/>
  <c r="M183"/>
  <c r="Y190"/>
  <c r="T202"/>
  <c r="J203"/>
  <c r="X215"/>
  <c r="Y215" s="1"/>
  <c r="V216"/>
  <c r="AA222"/>
  <c r="AB222" s="1"/>
  <c r="J225"/>
  <c r="E241"/>
  <c r="Z241"/>
  <c r="AB241" s="1"/>
  <c r="X242"/>
  <c r="AA242" s="1"/>
  <c r="Z250"/>
  <c r="AB250" s="1"/>
  <c r="W265"/>
  <c r="Y265" s="1"/>
  <c r="AA267"/>
  <c r="Q11" i="117"/>
  <c r="Q10" s="1"/>
  <c r="V36"/>
  <c r="AH36"/>
  <c r="AI36" s="1"/>
  <c r="AH62"/>
  <c r="AI62" s="1"/>
  <c r="AF62"/>
  <c r="AG62" s="1"/>
  <c r="V63"/>
  <c r="AF65"/>
  <c r="AG65" s="1"/>
  <c r="AF72"/>
  <c r="X72"/>
  <c r="U82"/>
  <c r="AH82" s="1"/>
  <c r="S82"/>
  <c r="AF121"/>
  <c r="AG121" s="1"/>
  <c r="M129"/>
  <c r="O132"/>
  <c r="U132" s="1"/>
  <c r="AH132" s="1"/>
  <c r="AF140"/>
  <c r="AG140" s="1"/>
  <c r="R168"/>
  <c r="V178"/>
  <c r="S217"/>
  <c r="G225"/>
  <c r="AF235"/>
  <c r="AG235" s="1"/>
  <c r="AF236"/>
  <c r="AG236" s="1"/>
  <c r="M242"/>
  <c r="AH245"/>
  <c r="W246"/>
  <c r="Z246" s="1"/>
  <c r="AI246" i="118" s="1"/>
  <c r="AA247" i="117"/>
  <c r="V248"/>
  <c r="AF249"/>
  <c r="AG249" s="1"/>
  <c r="AA249"/>
  <c r="AI249" s="1"/>
  <c r="Z250"/>
  <c r="V251"/>
  <c r="F251"/>
  <c r="V255"/>
  <c r="W264"/>
  <c r="Z264" s="1"/>
  <c r="W265"/>
  <c r="Z265" s="1"/>
  <c r="V267"/>
  <c r="P10" i="118"/>
  <c r="S11"/>
  <c r="T11"/>
  <c r="AK36"/>
  <c r="S44"/>
  <c r="R43"/>
  <c r="AC180"/>
  <c r="X180"/>
  <c r="V180"/>
  <c r="U24" i="116"/>
  <c r="U114"/>
  <c r="U113" s="1"/>
  <c r="AA188"/>
  <c r="AA205"/>
  <c r="AE208"/>
  <c r="AA228"/>
  <c r="AB228" s="1"/>
  <c r="AA257"/>
  <c r="L251"/>
  <c r="M251" s="1"/>
  <c r="Z262"/>
  <c r="AB262" s="1"/>
  <c r="R15" i="117"/>
  <c r="R11" s="1"/>
  <c r="R10" s="1"/>
  <c r="S17"/>
  <c r="AF25"/>
  <c r="AA25"/>
  <c r="AI25" s="1"/>
  <c r="V25"/>
  <c r="R46"/>
  <c r="S49"/>
  <c r="AH63"/>
  <c r="AI63" s="1"/>
  <c r="AF63"/>
  <c r="AG63" s="1"/>
  <c r="J92"/>
  <c r="W100"/>
  <c r="Z100"/>
  <c r="W118"/>
  <c r="W117" s="1"/>
  <c r="W114" s="1"/>
  <c r="T117"/>
  <c r="T114" s="1"/>
  <c r="T113" s="1"/>
  <c r="Y245"/>
  <c r="AI251" i="118"/>
  <c r="J252" i="117"/>
  <c r="I251"/>
  <c r="AI256"/>
  <c r="Y261"/>
  <c r="AF244"/>
  <c r="AG244" s="1"/>
  <c r="AF184"/>
  <c r="AG184" s="1"/>
  <c r="AF80"/>
  <c r="AG80" s="1"/>
  <c r="AF14"/>
  <c r="AG14" s="1"/>
  <c r="Y272"/>
  <c r="AF199"/>
  <c r="AG199" s="1"/>
  <c r="AF186"/>
  <c r="AG186" s="1"/>
  <c r="AF182"/>
  <c r="AF164"/>
  <c r="AF156"/>
  <c r="AF92"/>
  <c r="AF12"/>
  <c r="AG12" s="1"/>
  <c r="AK13" i="118"/>
  <c r="AC16"/>
  <c r="AE16"/>
  <c r="AF16" s="1"/>
  <c r="X16"/>
  <c r="AK79"/>
  <c r="AK80"/>
  <c r="AK83"/>
  <c r="J12" i="117"/>
  <c r="R32"/>
  <c r="R31" s="1"/>
  <c r="M63"/>
  <c r="M81"/>
  <c r="V84"/>
  <c r="G97"/>
  <c r="J117"/>
  <c r="K126"/>
  <c r="G129"/>
  <c r="Z130"/>
  <c r="G138"/>
  <c r="M138"/>
  <c r="L142"/>
  <c r="L141" s="1"/>
  <c r="G152"/>
  <c r="M152"/>
  <c r="V153"/>
  <c r="M159"/>
  <c r="J171"/>
  <c r="M178"/>
  <c r="J194"/>
  <c r="AF201"/>
  <c r="AF212"/>
  <c r="AK232" i="118"/>
  <c r="S238" i="117"/>
  <c r="H238"/>
  <c r="H237" s="1"/>
  <c r="J237" s="1"/>
  <c r="Z255"/>
  <c r="AI255" i="118" s="1"/>
  <c r="AA263" i="117"/>
  <c r="Z271"/>
  <c r="AB271" s="1"/>
  <c r="Z240"/>
  <c r="M12" i="118"/>
  <c r="AK12"/>
  <c r="AC15"/>
  <c r="AD15" s="1"/>
  <c r="X15"/>
  <c r="X17" s="1"/>
  <c r="Y17" s="1"/>
  <c r="Z21"/>
  <c r="AI22"/>
  <c r="AI28"/>
  <c r="AK33"/>
  <c r="AC35"/>
  <c r="U34"/>
  <c r="U32" s="1"/>
  <c r="AB71"/>
  <c r="AF71"/>
  <c r="J69"/>
  <c r="AK84"/>
  <c r="AK85"/>
  <c r="AB94"/>
  <c r="AE94"/>
  <c r="AF94" s="1"/>
  <c r="AF103"/>
  <c r="S108"/>
  <c r="U108"/>
  <c r="AK116"/>
  <c r="AB125"/>
  <c r="AD162"/>
  <c r="AK186"/>
  <c r="V238"/>
  <c r="T237"/>
  <c r="Z270"/>
  <c r="X226"/>
  <c r="AA219"/>
  <c r="V272"/>
  <c r="AA215"/>
  <c r="AA213"/>
  <c r="AA192"/>
  <c r="W171"/>
  <c r="W227"/>
  <c r="W194"/>
  <c r="Y194" s="1"/>
  <c r="X187"/>
  <c r="AA171"/>
  <c r="AA169"/>
  <c r="X168"/>
  <c r="W165"/>
  <c r="Z163"/>
  <c r="AA162"/>
  <c r="W162"/>
  <c r="Y162" s="1"/>
  <c r="W159"/>
  <c r="AA156"/>
  <c r="X155"/>
  <c r="Z153"/>
  <c r="AI153" s="1"/>
  <c r="X152"/>
  <c r="AA150"/>
  <c r="X149"/>
  <c r="Z147"/>
  <c r="Z148" s="1"/>
  <c r="X146"/>
  <c r="AA144"/>
  <c r="AA122"/>
  <c r="AA106"/>
  <c r="AF106" s="1"/>
  <c r="X103"/>
  <c r="AA100"/>
  <c r="W225"/>
  <c r="X211"/>
  <c r="AA210"/>
  <c r="AA191"/>
  <c r="Z171"/>
  <c r="Z169"/>
  <c r="AA168"/>
  <c r="W168"/>
  <c r="AA165"/>
  <c r="Z162"/>
  <c r="AA159"/>
  <c r="X158"/>
  <c r="Z156"/>
  <c r="Z157" s="1"/>
  <c r="W155"/>
  <c r="W152"/>
  <c r="Y152" s="1"/>
  <c r="Z150"/>
  <c r="W149"/>
  <c r="W146"/>
  <c r="Y146" s="1"/>
  <c r="Z144"/>
  <c r="W92"/>
  <c r="Y92" s="1"/>
  <c r="W269"/>
  <c r="X223"/>
  <c r="Z220"/>
  <c r="Z200"/>
  <c r="Z195"/>
  <c r="Z194"/>
  <c r="X192"/>
  <c r="X191"/>
  <c r="AA172"/>
  <c r="X171"/>
  <c r="Z168"/>
  <c r="AA166"/>
  <c r="Z165"/>
  <c r="AA160"/>
  <c r="Z159"/>
  <c r="AA158"/>
  <c r="W158"/>
  <c r="AA155"/>
  <c r="AA152"/>
  <c r="AA149"/>
  <c r="AA146"/>
  <c r="W94"/>
  <c r="AA92"/>
  <c r="AA75"/>
  <c r="Z42"/>
  <c r="U28"/>
  <c r="V28" s="1"/>
  <c r="S28"/>
  <c r="AK38"/>
  <c r="Z48"/>
  <c r="W48"/>
  <c r="AK62"/>
  <c r="Z70"/>
  <c r="W70"/>
  <c r="W138"/>
  <c r="V138"/>
  <c r="AB155"/>
  <c r="N219" i="111"/>
  <c r="AI218" i="118"/>
  <c r="X229"/>
  <c r="AC229"/>
  <c r="I251" i="116"/>
  <c r="Z271"/>
  <c r="AB271" s="1"/>
  <c r="Z269"/>
  <c r="AB269" s="1"/>
  <c r="G12" i="117"/>
  <c r="AF19"/>
  <c r="AH19"/>
  <c r="AI19" s="1"/>
  <c r="T24"/>
  <c r="AI37"/>
  <c r="G39"/>
  <c r="J41"/>
  <c r="T43"/>
  <c r="S46"/>
  <c r="U50"/>
  <c r="AF52"/>
  <c r="V62"/>
  <c r="AJ64" i="118"/>
  <c r="J65" i="117"/>
  <c r="AF111"/>
  <c r="AH111"/>
  <c r="F126"/>
  <c r="L126"/>
  <c r="AF127"/>
  <c r="I142"/>
  <c r="I141" s="1"/>
  <c r="G146"/>
  <c r="M146"/>
  <c r="G162"/>
  <c r="M162"/>
  <c r="M225"/>
  <c r="J241"/>
  <c r="AF258"/>
  <c r="AG258" s="1"/>
  <c r="V260"/>
  <c r="AA268"/>
  <c r="V271"/>
  <c r="P11" i="118"/>
  <c r="AE15"/>
  <c r="AF15" s="1"/>
  <c r="U26"/>
  <c r="AC26" s="1"/>
  <c r="AA24"/>
  <c r="X29"/>
  <c r="AA29"/>
  <c r="AK39"/>
  <c r="X40"/>
  <c r="AI45"/>
  <c r="M47"/>
  <c r="Z50"/>
  <c r="W50"/>
  <c r="N58"/>
  <c r="R58"/>
  <c r="R57" s="1"/>
  <c r="R67" s="1"/>
  <c r="O58"/>
  <c r="O57" s="1"/>
  <c r="O67" s="1"/>
  <c r="U60"/>
  <c r="X61"/>
  <c r="AA61" s="1"/>
  <c r="AC66"/>
  <c r="AA66"/>
  <c r="AC84"/>
  <c r="AD84" s="1"/>
  <c r="V84"/>
  <c r="V94"/>
  <c r="AF100"/>
  <c r="AC101"/>
  <c r="AE101"/>
  <c r="AA101"/>
  <c r="X101"/>
  <c r="Z107"/>
  <c r="W107"/>
  <c r="V119"/>
  <c r="Y125"/>
  <c r="W126"/>
  <c r="Y126" s="1"/>
  <c r="V126"/>
  <c r="Z126"/>
  <c r="Z133"/>
  <c r="AA136"/>
  <c r="AB136" s="1"/>
  <c r="G159"/>
  <c r="E158"/>
  <c r="G158" s="1"/>
  <c r="Z160"/>
  <c r="X165"/>
  <c r="Z172"/>
  <c r="Z212"/>
  <c r="T217"/>
  <c r="W217" s="1"/>
  <c r="S217"/>
  <c r="Z227"/>
  <c r="AA269"/>
  <c r="X52"/>
  <c r="W54"/>
  <c r="AK64"/>
  <c r="AF98"/>
  <c r="AA102"/>
  <c r="R114"/>
  <c r="R113" s="1"/>
  <c r="AK121"/>
  <c r="V125"/>
  <c r="G129"/>
  <c r="AK131"/>
  <c r="V133"/>
  <c r="X138"/>
  <c r="AA138"/>
  <c r="X139"/>
  <c r="L142"/>
  <c r="L141" s="1"/>
  <c r="L124" s="1"/>
  <c r="X142"/>
  <c r="F142"/>
  <c r="F141" s="1"/>
  <c r="G155"/>
  <c r="AF159"/>
  <c r="AF165"/>
  <c r="AF171"/>
  <c r="X183"/>
  <c r="Y183" s="1"/>
  <c r="AC188"/>
  <c r="AC190"/>
  <c r="J191"/>
  <c r="AC196"/>
  <c r="J200"/>
  <c r="AC201"/>
  <c r="AE201"/>
  <c r="AF204"/>
  <c r="AA211"/>
  <c r="AC216"/>
  <c r="AA216"/>
  <c r="AF219"/>
  <c r="AK233"/>
  <c r="AC235"/>
  <c r="AD235" s="1"/>
  <c r="X239"/>
  <c r="Z242"/>
  <c r="Y242"/>
  <c r="AB245"/>
  <c r="AI250"/>
  <c r="I251"/>
  <c r="J251" s="1"/>
  <c r="AC270"/>
  <c r="L222" i="120"/>
  <c r="K218"/>
  <c r="AF267" i="117"/>
  <c r="J12" i="118"/>
  <c r="AK14"/>
  <c r="U23"/>
  <c r="G23"/>
  <c r="AF25"/>
  <c r="G36"/>
  <c r="M37"/>
  <c r="AK37"/>
  <c r="R46"/>
  <c r="AK59"/>
  <c r="W66"/>
  <c r="Y66" s="1"/>
  <c r="W72"/>
  <c r="AE75"/>
  <c r="U91"/>
  <c r="AE91" s="1"/>
  <c r="M92"/>
  <c r="AE102"/>
  <c r="AF102" s="1"/>
  <c r="AC121"/>
  <c r="AD121" s="1"/>
  <c r="AC122"/>
  <c r="AA126"/>
  <c r="X127"/>
  <c r="AC131"/>
  <c r="AD131" s="1"/>
  <c r="I125"/>
  <c r="I124" s="1"/>
  <c r="AE138"/>
  <c r="AF138" s="1"/>
  <c r="AC139"/>
  <c r="AK140"/>
  <c r="M146"/>
  <c r="AC146"/>
  <c r="AD146" s="1"/>
  <c r="AC148"/>
  <c r="M152"/>
  <c r="AC152"/>
  <c r="AD152" s="1"/>
  <c r="AC154"/>
  <c r="AC158"/>
  <c r="AD158" s="1"/>
  <c r="AC160"/>
  <c r="AC166"/>
  <c r="AC167"/>
  <c r="AC172"/>
  <c r="AC173"/>
  <c r="T177"/>
  <c r="W177" s="1"/>
  <c r="AK184"/>
  <c r="AC185"/>
  <c r="AD185" s="1"/>
  <c r="U189"/>
  <c r="AA187"/>
  <c r="AA188"/>
  <c r="AC192"/>
  <c r="M194"/>
  <c r="AC194"/>
  <c r="AD194" s="1"/>
  <c r="AC195"/>
  <c r="AC197"/>
  <c r="AD197" s="1"/>
  <c r="AA201"/>
  <c r="AA208"/>
  <c r="Z222"/>
  <c r="I241"/>
  <c r="J241" s="1"/>
  <c r="AK243"/>
  <c r="V249"/>
  <c r="AC249"/>
  <c r="AD249" s="1"/>
  <c r="AB249"/>
  <c r="Y253"/>
  <c r="W258"/>
  <c r="V258"/>
  <c r="AC261"/>
  <c r="AD261" s="1"/>
  <c r="AI262"/>
  <c r="AB264"/>
  <c r="Y266"/>
  <c r="S184" i="111"/>
  <c r="W101" i="118"/>
  <c r="Y101" s="1"/>
  <c r="AB115"/>
  <c r="AJ115"/>
  <c r="AK119"/>
  <c r="AB120"/>
  <c r="AA124"/>
  <c r="G132"/>
  <c r="X135"/>
  <c r="AF136"/>
  <c r="AK137"/>
  <c r="X143"/>
  <c r="J146"/>
  <c r="J152"/>
  <c r="AF166"/>
  <c r="J168"/>
  <c r="AD168"/>
  <c r="AC178"/>
  <c r="AE178"/>
  <c r="AF178" s="1"/>
  <c r="P179"/>
  <c r="O177"/>
  <c r="O176" s="1"/>
  <c r="O175" s="1"/>
  <c r="U175" s="1"/>
  <c r="AA175" s="1"/>
  <c r="AC183"/>
  <c r="AD183" s="1"/>
  <c r="AA183"/>
  <c r="AF183" s="1"/>
  <c r="AK198"/>
  <c r="W219"/>
  <c r="AA222"/>
  <c r="Z224"/>
  <c r="Z225"/>
  <c r="AJ235"/>
  <c r="P238"/>
  <c r="N237"/>
  <c r="P237" s="1"/>
  <c r="V240"/>
  <c r="AC240"/>
  <c r="AK244"/>
  <c r="Y246"/>
  <c r="AD246"/>
  <c r="AI254"/>
  <c r="AB261"/>
  <c r="X284"/>
  <c r="AC234"/>
  <c r="AD234" s="1"/>
  <c r="AC233"/>
  <c r="AD233" s="1"/>
  <c r="AC232"/>
  <c r="AD232" s="1"/>
  <c r="AC228"/>
  <c r="AC205"/>
  <c r="AD205" s="1"/>
  <c r="AC231"/>
  <c r="AD231" s="1"/>
  <c r="AC230"/>
  <c r="AD230" s="1"/>
  <c r="AC244"/>
  <c r="AD244" s="1"/>
  <c r="AC198"/>
  <c r="AD198" s="1"/>
  <c r="AC191"/>
  <c r="AC186"/>
  <c r="AD186" s="1"/>
  <c r="Y139" i="120"/>
  <c r="U180"/>
  <c r="W180" s="1"/>
  <c r="AC180"/>
  <c r="AF172" i="118"/>
  <c r="W180"/>
  <c r="Y180" s="1"/>
  <c r="AK185"/>
  <c r="AK199"/>
  <c r="W200"/>
  <c r="W203"/>
  <c r="AC204"/>
  <c r="AD204" s="1"/>
  <c r="V205"/>
  <c r="AC210"/>
  <c r="V212"/>
  <c r="AC213"/>
  <c r="AC215"/>
  <c r="X217"/>
  <c r="AC219"/>
  <c r="W222"/>
  <c r="W224"/>
  <c r="G225"/>
  <c r="M225"/>
  <c r="AK230"/>
  <c r="AK231"/>
  <c r="H238"/>
  <c r="H237" s="1"/>
  <c r="J237" s="1"/>
  <c r="AC245"/>
  <c r="Y248"/>
  <c r="AB248"/>
  <c r="AC250"/>
  <c r="AD250" s="1"/>
  <c r="AB250"/>
  <c r="V251"/>
  <c r="V252"/>
  <c r="V254"/>
  <c r="AC259"/>
  <c r="AD259" s="1"/>
  <c r="Y260"/>
  <c r="AC262"/>
  <c r="AB262"/>
  <c r="V263"/>
  <c r="AB263"/>
  <c r="AC264"/>
  <c r="M265"/>
  <c r="V265"/>
  <c r="X269"/>
  <c r="Y13" i="120"/>
  <c r="M16"/>
  <c r="P35"/>
  <c r="G93"/>
  <c r="M93"/>
  <c r="Y93"/>
  <c r="L105"/>
  <c r="G133"/>
  <c r="G139"/>
  <c r="AC139"/>
  <c r="V150"/>
  <c r="Y160"/>
  <c r="V166"/>
  <c r="AC184"/>
  <c r="AC195"/>
  <c r="AC204"/>
  <c r="AC212"/>
  <c r="AC253"/>
  <c r="AB256"/>
  <c r="V160" i="111"/>
  <c r="S226"/>
  <c r="Y226"/>
  <c r="S253"/>
  <c r="AM232" i="118"/>
  <c r="J206"/>
  <c r="X208"/>
  <c r="X225"/>
  <c r="AA225"/>
  <c r="AF225" s="1"/>
  <c r="X227"/>
  <c r="AA227"/>
  <c r="X228"/>
  <c r="AK234"/>
  <c r="I238"/>
  <c r="I237" s="1"/>
  <c r="Y245"/>
  <c r="AB246"/>
  <c r="Y250"/>
  <c r="AC251"/>
  <c r="AD251" s="1"/>
  <c r="AC252"/>
  <c r="AB253"/>
  <c r="AC254"/>
  <c r="V255"/>
  <c r="F251"/>
  <c r="Y264"/>
  <c r="AC265"/>
  <c r="AD265" s="1"/>
  <c r="AB266"/>
  <c r="V267"/>
  <c r="AC271"/>
  <c r="AD271" s="1"/>
  <c r="J127" i="120"/>
  <c r="V130"/>
  <c r="AC130"/>
  <c r="V136"/>
  <c r="AC136"/>
  <c r="AB139"/>
  <c r="Y13" i="111"/>
  <c r="S93"/>
  <c r="Y93"/>
  <c r="V184"/>
  <c r="AB184"/>
  <c r="AM115" i="118"/>
  <c r="AM79"/>
  <c r="AC211"/>
  <c r="AF213"/>
  <c r="T214" i="111" s="1"/>
  <c r="AC217" i="118"/>
  <c r="X224"/>
  <c r="AA224"/>
  <c r="AF227"/>
  <c r="AB241"/>
  <c r="V248"/>
  <c r="Y251"/>
  <c r="J252"/>
  <c r="Y254"/>
  <c r="L251"/>
  <c r="AC255"/>
  <c r="AD255" s="1"/>
  <c r="AB256"/>
  <c r="V257"/>
  <c r="AB258"/>
  <c r="AB259"/>
  <c r="V260"/>
  <c r="J265"/>
  <c r="Y265"/>
  <c r="AC267"/>
  <c r="AB268"/>
  <c r="AC269"/>
  <c r="AE269"/>
  <c r="W239"/>
  <c r="M35" i="120"/>
  <c r="Y166"/>
  <c r="Y253"/>
  <c r="M256"/>
  <c r="V260"/>
  <c r="S181" i="111"/>
  <c r="P232" i="121"/>
  <c r="Q232"/>
  <c r="R232" s="1"/>
  <c r="AM186" i="118"/>
  <c r="AM234"/>
  <c r="AM198"/>
  <c r="AM83"/>
  <c r="AM233"/>
  <c r="AM230"/>
  <c r="AM199"/>
  <c r="AM140"/>
  <c r="AM36"/>
  <c r="L101" i="121"/>
  <c r="M101" s="1"/>
  <c r="K98"/>
  <c r="AM231" i="118"/>
  <c r="AM185"/>
  <c r="AM64"/>
  <c r="AM38"/>
  <c r="AM137"/>
  <c r="AM84"/>
  <c r="AM80"/>
  <c r="AM39"/>
  <c r="AM236"/>
  <c r="AM271"/>
  <c r="V241" i="111"/>
  <c r="AB160" i="121"/>
  <c r="J172"/>
  <c r="V172"/>
  <c r="N18"/>
  <c r="P123"/>
  <c r="P133"/>
  <c r="P205"/>
  <c r="I177"/>
  <c r="O21"/>
  <c r="O27"/>
  <c r="N180"/>
  <c r="N190"/>
  <c r="Q180"/>
  <c r="Q190"/>
  <c r="Q203"/>
  <c r="Q206"/>
  <c r="P47"/>
  <c r="AM63" i="118"/>
  <c r="AM37"/>
  <c r="AM33"/>
  <c r="AB136" i="121"/>
  <c r="J139"/>
  <c r="AB139"/>
  <c r="K143"/>
  <c r="M160"/>
  <c r="S166"/>
  <c r="P29"/>
  <c r="P31"/>
  <c r="P57"/>
  <c r="P91"/>
  <c r="P108"/>
  <c r="T272"/>
  <c r="R272" i="111"/>
  <c r="S272" s="1"/>
  <c r="P19" i="121"/>
  <c r="P25"/>
  <c r="P28"/>
  <c r="S28"/>
  <c r="P101"/>
  <c r="P240"/>
  <c r="S272"/>
  <c r="P44"/>
  <c r="P207"/>
  <c r="S241" i="111"/>
  <c r="Y241"/>
  <c r="AB241"/>
  <c r="N239" i="121"/>
  <c r="N238" s="1"/>
  <c r="O203"/>
  <c r="P55"/>
  <c r="N203"/>
  <c r="N21"/>
  <c r="N27"/>
  <c r="S46"/>
  <c r="P98"/>
  <c r="N180" i="111"/>
  <c r="P17" i="121"/>
  <c r="O24"/>
  <c r="P89"/>
  <c r="P100"/>
  <c r="P127"/>
  <c r="P179"/>
  <c r="P202"/>
  <c r="P216"/>
  <c r="N206"/>
  <c r="P58"/>
  <c r="S72"/>
  <c r="P112"/>
  <c r="O206"/>
  <c r="P178"/>
  <c r="O180"/>
  <c r="R290"/>
  <c r="M256"/>
  <c r="K126"/>
  <c r="M133"/>
  <c r="M70"/>
  <c r="L12"/>
  <c r="L11" s="1"/>
  <c r="L10" s="1"/>
  <c r="T124" i="111"/>
  <c r="S266" i="120"/>
  <c r="I252"/>
  <c r="AA252"/>
  <c r="AC260"/>
  <c r="AC215"/>
  <c r="AC166"/>
  <c r="AC150"/>
  <c r="J133"/>
  <c r="T124"/>
  <c r="AC124" s="1"/>
  <c r="Q127"/>
  <c r="AC109"/>
  <c r="AC107"/>
  <c r="AC73"/>
  <c r="AC67"/>
  <c r="AC64"/>
  <c r="G47"/>
  <c r="R45"/>
  <c r="T45" s="1"/>
  <c r="AC45" s="1"/>
  <c r="AC17"/>
  <c r="M136"/>
  <c r="I177"/>
  <c r="I176" s="1"/>
  <c r="J181"/>
  <c r="O9"/>
  <c r="O8" s="1"/>
  <c r="O7" s="1"/>
  <c r="O6" s="1"/>
  <c r="O282" s="1"/>
  <c r="O285" s="1"/>
  <c r="J25"/>
  <c r="Q44"/>
  <c r="Q47"/>
  <c r="P54"/>
  <c r="G127"/>
  <c r="F143"/>
  <c r="F142" s="1"/>
  <c r="J147"/>
  <c r="G153"/>
  <c r="G218"/>
  <c r="M266"/>
  <c r="G136"/>
  <c r="Q188"/>
  <c r="S20"/>
  <c r="P61"/>
  <c r="S63"/>
  <c r="S67"/>
  <c r="X143"/>
  <c r="X142" s="1"/>
  <c r="AB147"/>
  <c r="G160"/>
  <c r="Q207" i="111"/>
  <c r="Z290" i="121"/>
  <c r="K252"/>
  <c r="G188"/>
  <c r="M188"/>
  <c r="G178"/>
  <c r="S135"/>
  <c r="G127"/>
  <c r="J44"/>
  <c r="J16"/>
  <c r="J19"/>
  <c r="J25"/>
  <c r="P56"/>
  <c r="N54"/>
  <c r="O54"/>
  <c r="L69"/>
  <c r="O143"/>
  <c r="S150"/>
  <c r="G153"/>
  <c r="S160"/>
  <c r="M195"/>
  <c r="G204"/>
  <c r="H208"/>
  <c r="J208" s="1"/>
  <c r="G226"/>
  <c r="Y253"/>
  <c r="J13"/>
  <c r="J22"/>
  <c r="G35"/>
  <c r="J47"/>
  <c r="G93"/>
  <c r="S93"/>
  <c r="J130"/>
  <c r="Y130"/>
  <c r="G139"/>
  <c r="S139"/>
  <c r="G147"/>
  <c r="M156"/>
  <c r="Y156"/>
  <c r="W159"/>
  <c r="Y159" s="1"/>
  <c r="Y163"/>
  <c r="M166"/>
  <c r="G169"/>
  <c r="Y172"/>
  <c r="E177"/>
  <c r="E176" s="1"/>
  <c r="J192"/>
  <c r="G201"/>
  <c r="M201"/>
  <c r="G212"/>
  <c r="Y226"/>
  <c r="AB230"/>
  <c r="I252"/>
  <c r="J82"/>
  <c r="J133"/>
  <c r="V136"/>
  <c r="X143"/>
  <c r="X142" s="1"/>
  <c r="L143"/>
  <c r="L142" s="1"/>
  <c r="G150"/>
  <c r="AB163"/>
  <c r="V166"/>
  <c r="J178"/>
  <c r="G195"/>
  <c r="M204"/>
  <c r="M226"/>
  <c r="S253"/>
  <c r="F12"/>
  <c r="F11" s="1"/>
  <c r="F10" s="1"/>
  <c r="H79"/>
  <c r="H78" s="1"/>
  <c r="M130"/>
  <c r="S136"/>
  <c r="AB144"/>
  <c r="P147"/>
  <c r="G184"/>
  <c r="G192"/>
  <c r="U290"/>
  <c r="AA290"/>
  <c r="S266"/>
  <c r="F252"/>
  <c r="J256"/>
  <c r="G260"/>
  <c r="Y260"/>
  <c r="Y266"/>
  <c r="AB260"/>
  <c r="P266"/>
  <c r="V266"/>
  <c r="AB266"/>
  <c r="Q273"/>
  <c r="M266"/>
  <c r="M236"/>
  <c r="J201"/>
  <c r="H177"/>
  <c r="H96"/>
  <c r="J96" s="1"/>
  <c r="M105"/>
  <c r="G98"/>
  <c r="G96"/>
  <c r="G47"/>
  <c r="G22"/>
  <c r="G16"/>
  <c r="M16"/>
  <c r="G19"/>
  <c r="M25"/>
  <c r="M22"/>
  <c r="H12"/>
  <c r="H11" s="1"/>
  <c r="I12"/>
  <c r="I11" s="1"/>
  <c r="I10" s="1"/>
  <c r="N290"/>
  <c r="G242"/>
  <c r="E239"/>
  <c r="U129"/>
  <c r="W129" s="1"/>
  <c r="T232"/>
  <c r="U232" s="1"/>
  <c r="U230" s="1"/>
  <c r="R230"/>
  <c r="I143"/>
  <c r="I142" s="1"/>
  <c r="G243"/>
  <c r="P260"/>
  <c r="E12"/>
  <c r="M19"/>
  <c r="J98"/>
  <c r="L126"/>
  <c r="L125" s="1"/>
  <c r="I126"/>
  <c r="I125" s="1"/>
  <c r="Y139"/>
  <c r="P144"/>
  <c r="V144"/>
  <c r="Y150"/>
  <c r="J153"/>
  <c r="P160"/>
  <c r="Z159"/>
  <c r="AB159" s="1"/>
  <c r="M163"/>
  <c r="S163"/>
  <c r="M172"/>
  <c r="G181"/>
  <c r="M184"/>
  <c r="G218"/>
  <c r="G230"/>
  <c r="J236"/>
  <c r="N252"/>
  <c r="V260"/>
  <c r="G266"/>
  <c r="T290"/>
  <c r="J35"/>
  <c r="F143"/>
  <c r="F142" s="1"/>
  <c r="U143"/>
  <c r="U142" s="1"/>
  <c r="O159"/>
  <c r="M13"/>
  <c r="M44"/>
  <c r="J70"/>
  <c r="F69"/>
  <c r="V93"/>
  <c r="F126"/>
  <c r="F125" s="1"/>
  <c r="J136"/>
  <c r="P139"/>
  <c r="V139"/>
  <c r="T143"/>
  <c r="J147"/>
  <c r="P150"/>
  <c r="V150"/>
  <c r="Q159"/>
  <c r="S159" s="1"/>
  <c r="G166"/>
  <c r="M169"/>
  <c r="M192"/>
  <c r="G208"/>
  <c r="S226"/>
  <c r="G236"/>
  <c r="J243"/>
  <c r="S260"/>
  <c r="W290"/>
  <c r="P272"/>
  <c r="P222"/>
  <c r="P218"/>
  <c r="P211"/>
  <c r="S211"/>
  <c r="P189"/>
  <c r="P188"/>
  <c r="P176"/>
  <c r="N175"/>
  <c r="P134"/>
  <c r="P124"/>
  <c r="E114"/>
  <c r="G114" s="1"/>
  <c r="G115"/>
  <c r="G118"/>
  <c r="L118"/>
  <c r="M118" s="1"/>
  <c r="J118"/>
  <c r="V119"/>
  <c r="P121"/>
  <c r="P114"/>
  <c r="P113"/>
  <c r="P111"/>
  <c r="P106"/>
  <c r="P105"/>
  <c r="N96"/>
  <c r="O96"/>
  <c r="P97"/>
  <c r="P92"/>
  <c r="P90"/>
  <c r="S90"/>
  <c r="P88"/>
  <c r="P87"/>
  <c r="S83"/>
  <c r="S82"/>
  <c r="P72"/>
  <c r="P71"/>
  <c r="O70"/>
  <c r="N70"/>
  <c r="P68"/>
  <c r="P52"/>
  <c r="P51"/>
  <c r="P50"/>
  <c r="P48"/>
  <c r="P46"/>
  <c r="P42"/>
  <c r="P41"/>
  <c r="P12"/>
  <c r="O11"/>
  <c r="S23"/>
  <c r="P20"/>
  <c r="P16"/>
  <c r="N11"/>
  <c r="S101" i="111"/>
  <c r="O129"/>
  <c r="AL128" i="118" s="1"/>
  <c r="H32" i="121"/>
  <c r="J33"/>
  <c r="G33"/>
  <c r="E32"/>
  <c r="M35"/>
  <c r="K33"/>
  <c r="J61"/>
  <c r="H59"/>
  <c r="P93"/>
  <c r="S116"/>
  <c r="S156"/>
  <c r="Q143"/>
  <c r="AB156"/>
  <c r="Z143"/>
  <c r="AB253"/>
  <c r="S80"/>
  <c r="M61"/>
  <c r="K59"/>
  <c r="S112"/>
  <c r="M121"/>
  <c r="J127"/>
  <c r="H126"/>
  <c r="P136"/>
  <c r="O126"/>
  <c r="S62"/>
  <c r="K12"/>
  <c r="S20"/>
  <c r="S26"/>
  <c r="R30"/>
  <c r="T30" s="1"/>
  <c r="S38"/>
  <c r="V38"/>
  <c r="G44"/>
  <c r="S52"/>
  <c r="S56"/>
  <c r="Y56"/>
  <c r="V62"/>
  <c r="V64"/>
  <c r="V67"/>
  <c r="Y93"/>
  <c r="V130"/>
  <c r="W143"/>
  <c r="K159"/>
  <c r="H242"/>
  <c r="G59"/>
  <c r="E58"/>
  <c r="S120"/>
  <c r="S128"/>
  <c r="J144"/>
  <c r="H143"/>
  <c r="V83"/>
  <c r="S101"/>
  <c r="S121"/>
  <c r="G130"/>
  <c r="E126"/>
  <c r="P130"/>
  <c r="N126"/>
  <c r="U135"/>
  <c r="W135" s="1"/>
  <c r="G160"/>
  <c r="E159"/>
  <c r="G159" s="1"/>
  <c r="S39"/>
  <c r="M47"/>
  <c r="S64"/>
  <c r="S67"/>
  <c r="K115"/>
  <c r="AB181"/>
  <c r="J204"/>
  <c r="P30"/>
  <c r="S37"/>
  <c r="S51"/>
  <c r="S61"/>
  <c r="S63"/>
  <c r="S65"/>
  <c r="I69"/>
  <c r="S73"/>
  <c r="S89"/>
  <c r="M79"/>
  <c r="K78"/>
  <c r="X129"/>
  <c r="Z129" s="1"/>
  <c r="R143"/>
  <c r="R142" s="1"/>
  <c r="S153"/>
  <c r="S222"/>
  <c r="Q233"/>
  <c r="P233"/>
  <c r="O175"/>
  <c r="N236"/>
  <c r="P237"/>
  <c r="G70"/>
  <c r="S71"/>
  <c r="S74"/>
  <c r="M93"/>
  <c r="S119"/>
  <c r="Y136"/>
  <c r="Y147"/>
  <c r="V163"/>
  <c r="L177"/>
  <c r="L176" s="1"/>
  <c r="V226"/>
  <c r="G82"/>
  <c r="E79"/>
  <c r="J115"/>
  <c r="H114"/>
  <c r="T159"/>
  <c r="V159" s="1"/>
  <c r="V160"/>
  <c r="S179"/>
  <c r="L252"/>
  <c r="M260"/>
  <c r="AC305"/>
  <c r="Q290"/>
  <c r="S123"/>
  <c r="Y144"/>
  <c r="AB172"/>
  <c r="G156"/>
  <c r="E143"/>
  <c r="P156"/>
  <c r="N143"/>
  <c r="M178"/>
  <c r="K177"/>
  <c r="M212"/>
  <c r="K208"/>
  <c r="M208" s="1"/>
  <c r="K218"/>
  <c r="L222"/>
  <c r="L218" s="1"/>
  <c r="Q230"/>
  <c r="S232"/>
  <c r="N243"/>
  <c r="Q281"/>
  <c r="P281"/>
  <c r="AD291"/>
  <c r="O290"/>
  <c r="M127"/>
  <c r="G133"/>
  <c r="M143"/>
  <c r="I176"/>
  <c r="I175" s="1"/>
  <c r="J188"/>
  <c r="J195"/>
  <c r="M238"/>
  <c r="M239"/>
  <c r="G253"/>
  <c r="G256"/>
  <c r="X290"/>
  <c r="J160"/>
  <c r="H159"/>
  <c r="J159" s="1"/>
  <c r="P172"/>
  <c r="N159"/>
  <c r="S212"/>
  <c r="H252"/>
  <c r="J260"/>
  <c r="S129"/>
  <c r="S130"/>
  <c r="M136"/>
  <c r="M139"/>
  <c r="M144"/>
  <c r="M147"/>
  <c r="M150"/>
  <c r="M153"/>
  <c r="J163"/>
  <c r="J166"/>
  <c r="J169"/>
  <c r="F177"/>
  <c r="F176" s="1"/>
  <c r="F175" s="1"/>
  <c r="J181"/>
  <c r="J218"/>
  <c r="J230"/>
  <c r="M242"/>
  <c r="M243"/>
  <c r="E252"/>
  <c r="J266"/>
  <c r="AC291"/>
  <c r="AD305"/>
  <c r="O180" i="111"/>
  <c r="AL179" i="118" s="1"/>
  <c r="N237" i="111"/>
  <c r="S34"/>
  <c r="T37"/>
  <c r="U37" s="1"/>
  <c r="W37" s="1"/>
  <c r="R35"/>
  <c r="AL206" i="118"/>
  <c r="N206" i="111"/>
  <c r="O203"/>
  <c r="Q203" s="1"/>
  <c r="R203" s="1"/>
  <c r="AL201" i="118"/>
  <c r="N203" i="111"/>
  <c r="AL188" i="118"/>
  <c r="N190" i="111"/>
  <c r="Q180"/>
  <c r="R180" s="1"/>
  <c r="T180" s="1"/>
  <c r="U180" s="1"/>
  <c r="W180" s="1"/>
  <c r="AL177" i="118"/>
  <c r="N113" i="111"/>
  <c r="AL108" i="118"/>
  <c r="AL107"/>
  <c r="AL100"/>
  <c r="AL99"/>
  <c r="AL97"/>
  <c r="AL86"/>
  <c r="AL73"/>
  <c r="AL70"/>
  <c r="AL28"/>
  <c r="AL22"/>
  <c r="AL40"/>
  <c r="N27" i="111"/>
  <c r="N21"/>
  <c r="N18"/>
  <c r="O206"/>
  <c r="AL205" i="118" s="1"/>
  <c r="AL203"/>
  <c r="AL200"/>
  <c r="O190" i="111"/>
  <c r="S170"/>
  <c r="S154"/>
  <c r="N155"/>
  <c r="N129"/>
  <c r="AL113" i="118"/>
  <c r="AL105"/>
  <c r="AL31"/>
  <c r="N24" i="111"/>
  <c r="AL16" i="118"/>
  <c r="AB207" i="120"/>
  <c r="M23" i="116"/>
  <c r="G35"/>
  <c r="G40"/>
  <c r="M40"/>
  <c r="M206"/>
  <c r="L18" i="117"/>
  <c r="E15" i="118"/>
  <c r="H15"/>
  <c r="L21" i="116"/>
  <c r="G67"/>
  <c r="M40" i="117"/>
  <c r="J61"/>
  <c r="L177"/>
  <c r="H18" i="118"/>
  <c r="J18" s="1"/>
  <c r="M52"/>
  <c r="M110"/>
  <c r="F180"/>
  <c r="L180"/>
  <c r="J272"/>
  <c r="G20" i="116"/>
  <c r="G55"/>
  <c r="J88" i="117"/>
  <c r="J35" i="118"/>
  <c r="I34"/>
  <c r="I32" s="1"/>
  <c r="I31" s="1"/>
  <c r="I30" s="1"/>
  <c r="M44"/>
  <c r="G242"/>
  <c r="G247"/>
  <c r="M272"/>
  <c r="L60" i="116"/>
  <c r="L58" s="1"/>
  <c r="L57" s="1"/>
  <c r="L56" s="1"/>
  <c r="L53" s="1"/>
  <c r="I43" i="118"/>
  <c r="H21" i="116"/>
  <c r="J23"/>
  <c r="M201"/>
  <c r="E15" i="117"/>
  <c r="G15" s="1"/>
  <c r="M67"/>
  <c r="I177"/>
  <c r="M206"/>
  <c r="G55" i="118"/>
  <c r="G62"/>
  <c r="M182"/>
  <c r="U88" i="117"/>
  <c r="AA88" s="1"/>
  <c r="P88"/>
  <c r="I126" i="116"/>
  <c r="M272"/>
  <c r="E135" i="117"/>
  <c r="G182"/>
  <c r="M189"/>
  <c r="M215"/>
  <c r="H180" i="118"/>
  <c r="J27" i="116"/>
  <c r="J36"/>
  <c r="M37"/>
  <c r="J128"/>
  <c r="J133"/>
  <c r="L180"/>
  <c r="J216"/>
  <c r="J20" i="117"/>
  <c r="L34"/>
  <c r="L32" s="1"/>
  <c r="L31" s="1"/>
  <c r="L30" s="1"/>
  <c r="J48"/>
  <c r="G52"/>
  <c r="J63"/>
  <c r="M65"/>
  <c r="G66"/>
  <c r="J67"/>
  <c r="M108"/>
  <c r="L117"/>
  <c r="L114" s="1"/>
  <c r="L113" s="1"/>
  <c r="L112" s="1"/>
  <c r="L95" s="1"/>
  <c r="M109" i="118"/>
  <c r="G179"/>
  <c r="G190"/>
  <c r="F34" i="116"/>
  <c r="F32" s="1"/>
  <c r="F31" s="1"/>
  <c r="F30" s="1"/>
  <c r="M36"/>
  <c r="J38"/>
  <c r="F200"/>
  <c r="G239"/>
  <c r="G217" i="117"/>
  <c r="J27" i="118"/>
  <c r="G29"/>
  <c r="L60"/>
  <c r="L58" s="1"/>
  <c r="L57" s="1"/>
  <c r="L56" s="1"/>
  <c r="L53" s="1"/>
  <c r="G63"/>
  <c r="I203"/>
  <c r="P118" i="116"/>
  <c r="O117"/>
  <c r="P117" s="1"/>
  <c r="M48"/>
  <c r="M51"/>
  <c r="M134"/>
  <c r="I180"/>
  <c r="M19" i="117"/>
  <c r="J23"/>
  <c r="M181"/>
  <c r="J188"/>
  <c r="J215"/>
  <c r="J28" i="118"/>
  <c r="J63"/>
  <c r="J88"/>
  <c r="L15" i="116"/>
  <c r="I15"/>
  <c r="M25"/>
  <c r="O61"/>
  <c r="P61" s="1"/>
  <c r="J63"/>
  <c r="L117"/>
  <c r="L114" s="1"/>
  <c r="L113" s="1"/>
  <c r="L112" s="1"/>
  <c r="L95" s="1"/>
  <c r="J188"/>
  <c r="K187"/>
  <c r="H18" i="117"/>
  <c r="K24"/>
  <c r="G28"/>
  <c r="M128"/>
  <c r="G39" i="118"/>
  <c r="J47"/>
  <c r="G48"/>
  <c r="I187"/>
  <c r="G204"/>
  <c r="G232"/>
  <c r="M38" i="116"/>
  <c r="I46"/>
  <c r="G51"/>
  <c r="J52"/>
  <c r="G134"/>
  <c r="M16" i="117"/>
  <c r="J25"/>
  <c r="M111"/>
  <c r="J179"/>
  <c r="J190"/>
  <c r="M27" i="118"/>
  <c r="J29"/>
  <c r="J41"/>
  <c r="J74"/>
  <c r="M89"/>
  <c r="M236"/>
  <c r="G62" i="116"/>
  <c r="M115"/>
  <c r="F177"/>
  <c r="F180"/>
  <c r="M190"/>
  <c r="I15" i="117"/>
  <c r="I18"/>
  <c r="M20"/>
  <c r="I21"/>
  <c r="M27"/>
  <c r="J28"/>
  <c r="M51" i="118"/>
  <c r="J61"/>
  <c r="J89"/>
  <c r="M103"/>
  <c r="G188"/>
  <c r="M210"/>
  <c r="J235"/>
  <c r="G49" i="116"/>
  <c r="M52"/>
  <c r="M74"/>
  <c r="L207"/>
  <c r="M214"/>
  <c r="G17" i="117"/>
  <c r="M23"/>
  <c r="F68"/>
  <c r="M107"/>
  <c r="M190"/>
  <c r="J22" i="118"/>
  <c r="J37"/>
  <c r="G49"/>
  <c r="G65"/>
  <c r="G66"/>
  <c r="G189"/>
  <c r="L18" i="116"/>
  <c r="J22"/>
  <c r="M63"/>
  <c r="F126"/>
  <c r="G126" s="1"/>
  <c r="M127"/>
  <c r="J182"/>
  <c r="M189"/>
  <c r="F15" i="117"/>
  <c r="L15"/>
  <c r="G37"/>
  <c r="I43"/>
  <c r="F43"/>
  <c r="L43"/>
  <c r="I126"/>
  <c r="M210"/>
  <c r="I15" i="118"/>
  <c r="I18"/>
  <c r="M39"/>
  <c r="G50"/>
  <c r="G51"/>
  <c r="J55"/>
  <c r="J66"/>
  <c r="G70"/>
  <c r="G91"/>
  <c r="J181"/>
  <c r="E180"/>
  <c r="F207"/>
  <c r="G272"/>
  <c r="H34"/>
  <c r="H32" s="1"/>
  <c r="M54" i="116"/>
  <c r="G133"/>
  <c r="M182"/>
  <c r="J215"/>
  <c r="M17" i="117"/>
  <c r="J22"/>
  <c r="J26"/>
  <c r="M41"/>
  <c r="J69"/>
  <c r="J74"/>
  <c r="G88"/>
  <c r="M101"/>
  <c r="J232"/>
  <c r="G236"/>
  <c r="J36" i="118"/>
  <c r="M38"/>
  <c r="M63"/>
  <c r="J64"/>
  <c r="J210"/>
  <c r="G215"/>
  <c r="J20" i="116"/>
  <c r="F24"/>
  <c r="G26"/>
  <c r="M26"/>
  <c r="G39"/>
  <c r="J51"/>
  <c r="J54"/>
  <c r="G61"/>
  <c r="G64"/>
  <c r="J134"/>
  <c r="E177"/>
  <c r="G177" s="1"/>
  <c r="J179"/>
  <c r="G181"/>
  <c r="J189"/>
  <c r="M210"/>
  <c r="G231"/>
  <c r="G236"/>
  <c r="J27" i="117"/>
  <c r="G36"/>
  <c r="J37"/>
  <c r="M44"/>
  <c r="H43"/>
  <c r="J43" s="1"/>
  <c r="M47"/>
  <c r="G48"/>
  <c r="J50"/>
  <c r="M51"/>
  <c r="M104"/>
  <c r="M122"/>
  <c r="M127"/>
  <c r="G231"/>
  <c r="J239"/>
  <c r="G272"/>
  <c r="G17" i="118"/>
  <c r="G19"/>
  <c r="M19"/>
  <c r="G26"/>
  <c r="M26"/>
  <c r="M41"/>
  <c r="J51"/>
  <c r="G61"/>
  <c r="G64"/>
  <c r="J91"/>
  <c r="M101"/>
  <c r="M105"/>
  <c r="M107"/>
  <c r="J178"/>
  <c r="M181"/>
  <c r="J188"/>
  <c r="J190"/>
  <c r="J236"/>
  <c r="V253" i="111"/>
  <c r="AB226"/>
  <c r="Z230"/>
  <c r="AB230" s="1"/>
  <c r="V172"/>
  <c r="S166"/>
  <c r="V156"/>
  <c r="AB156"/>
  <c r="AB144"/>
  <c r="V147"/>
  <c r="S150"/>
  <c r="V144"/>
  <c r="AB147"/>
  <c r="V150"/>
  <c r="S136"/>
  <c r="AB130"/>
  <c r="AB93"/>
  <c r="S266"/>
  <c r="Y266"/>
  <c r="V170"/>
  <c r="Y154"/>
  <c r="V154"/>
  <c r="S179"/>
  <c r="V93"/>
  <c r="S147"/>
  <c r="S163"/>
  <c r="V181"/>
  <c r="AB13"/>
  <c r="V130"/>
  <c r="V136"/>
  <c r="AB136"/>
  <c r="V139"/>
  <c r="S156"/>
  <c r="V166"/>
  <c r="S172"/>
  <c r="V192"/>
  <c r="Y195"/>
  <c r="Y253"/>
  <c r="V266"/>
  <c r="Y150"/>
  <c r="Y163"/>
  <c r="V226"/>
  <c r="S139"/>
  <c r="AB195"/>
  <c r="S216"/>
  <c r="AB139"/>
  <c r="AB160"/>
  <c r="V163"/>
  <c r="AB172"/>
  <c r="S112"/>
  <c r="R118"/>
  <c r="S120"/>
  <c r="Q118"/>
  <c r="S119"/>
  <c r="S87"/>
  <c r="Q82"/>
  <c r="S85"/>
  <c r="R39"/>
  <c r="R63"/>
  <c r="W62"/>
  <c r="R65"/>
  <c r="R80"/>
  <c r="Y144"/>
  <c r="Q61"/>
  <c r="X64"/>
  <c r="Z64" s="1"/>
  <c r="AB253"/>
  <c r="T36"/>
  <c r="U38"/>
  <c r="W38" s="1"/>
  <c r="V64"/>
  <c r="S13"/>
  <c r="R236"/>
  <c r="R82"/>
  <c r="T83"/>
  <c r="S83"/>
  <c r="U119"/>
  <c r="V119" s="1"/>
  <c r="T118"/>
  <c r="T121"/>
  <c r="S121"/>
  <c r="S38"/>
  <c r="Y136"/>
  <c r="S37"/>
  <c r="S62"/>
  <c r="S64"/>
  <c r="S67"/>
  <c r="S71"/>
  <c r="S84"/>
  <c r="S123"/>
  <c r="Y184"/>
  <c r="U85"/>
  <c r="W85" s="1"/>
  <c r="S111"/>
  <c r="U120"/>
  <c r="W120" s="1"/>
  <c r="S134"/>
  <c r="U84"/>
  <c r="W84" s="1"/>
  <c r="T116"/>
  <c r="S116"/>
  <c r="S36"/>
  <c r="S41"/>
  <c r="V62"/>
  <c r="Y160"/>
  <c r="Y130"/>
  <c r="Y139"/>
  <c r="Y166"/>
  <c r="Y181"/>
  <c r="Y147"/>
  <c r="Y156"/>
  <c r="Y172"/>
  <c r="Y192"/>
  <c r="Y260"/>
  <c r="V226" i="120"/>
  <c r="Q230"/>
  <c r="J204"/>
  <c r="J139"/>
  <c r="I126"/>
  <c r="M222"/>
  <c r="L218"/>
  <c r="M218" s="1"/>
  <c r="P118"/>
  <c r="M144"/>
  <c r="M147"/>
  <c r="G150"/>
  <c r="Y150"/>
  <c r="G192"/>
  <c r="V212"/>
  <c r="J218"/>
  <c r="G243"/>
  <c r="S256"/>
  <c r="Y256"/>
  <c r="G260"/>
  <c r="Y260"/>
  <c r="I12"/>
  <c r="I11" s="1"/>
  <c r="H12"/>
  <c r="H11" s="1"/>
  <c r="S27"/>
  <c r="O33"/>
  <c r="O32" s="1"/>
  <c r="Q32" s="1"/>
  <c r="R32" s="1"/>
  <c r="T32" s="1"/>
  <c r="J35"/>
  <c r="P38"/>
  <c r="M44"/>
  <c r="M111"/>
  <c r="Z159"/>
  <c r="AB159" s="1"/>
  <c r="V172"/>
  <c r="S181"/>
  <c r="V192"/>
  <c r="AB204"/>
  <c r="G253"/>
  <c r="J118"/>
  <c r="M169"/>
  <c r="G172"/>
  <c r="P10"/>
  <c r="R19"/>
  <c r="G22"/>
  <c r="S87"/>
  <c r="S102"/>
  <c r="S144"/>
  <c r="Y147"/>
  <c r="J153"/>
  <c r="J160"/>
  <c r="AB160"/>
  <c r="J163"/>
  <c r="S166"/>
  <c r="S169"/>
  <c r="S172"/>
  <c r="Y172"/>
  <c r="M181"/>
  <c r="Y192"/>
  <c r="M195"/>
  <c r="E208"/>
  <c r="G226"/>
  <c r="M226"/>
  <c r="M230"/>
  <c r="Y243"/>
  <c r="AB266"/>
  <c r="J216"/>
  <c r="I208"/>
  <c r="X67"/>
  <c r="Z67" s="1"/>
  <c r="AA67" s="1"/>
  <c r="AB67" s="1"/>
  <c r="M70"/>
  <c r="Q143"/>
  <c r="M19"/>
  <c r="J44"/>
  <c r="G61"/>
  <c r="AB153"/>
  <c r="M163"/>
  <c r="S192"/>
  <c r="Y195"/>
  <c r="G230"/>
  <c r="M236"/>
  <c r="J256"/>
  <c r="L12"/>
  <c r="L11" s="1"/>
  <c r="J16"/>
  <c r="J19"/>
  <c r="Q19"/>
  <c r="R25"/>
  <c r="Q35"/>
  <c r="Q33" s="1"/>
  <c r="P59"/>
  <c r="S91"/>
  <c r="H115"/>
  <c r="J115" s="1"/>
  <c r="N115"/>
  <c r="P115" s="1"/>
  <c r="Q118"/>
  <c r="Q115" s="1"/>
  <c r="S130"/>
  <c r="Q133"/>
  <c r="V144"/>
  <c r="V156"/>
  <c r="S163"/>
  <c r="G166"/>
  <c r="M166"/>
  <c r="V169"/>
  <c r="V180"/>
  <c r="J192"/>
  <c r="AB192"/>
  <c r="J195"/>
  <c r="M204"/>
  <c r="Y212"/>
  <c r="S222"/>
  <c r="E242"/>
  <c r="E239" s="1"/>
  <c r="W242"/>
  <c r="Y242" s="1"/>
  <c r="V243"/>
  <c r="F252"/>
  <c r="Q22"/>
  <c r="J47"/>
  <c r="G82"/>
  <c r="Q82"/>
  <c r="Q79" s="1"/>
  <c r="Q78" s="1"/>
  <c r="M130"/>
  <c r="S136"/>
  <c r="V153"/>
  <c r="Y184"/>
  <c r="G188"/>
  <c r="S195"/>
  <c r="G201"/>
  <c r="Y226"/>
  <c r="G236"/>
  <c r="AB260"/>
  <c r="G13"/>
  <c r="T20"/>
  <c r="F69"/>
  <c r="K98"/>
  <c r="F126"/>
  <c r="G147"/>
  <c r="S156"/>
  <c r="V160"/>
  <c r="AB163"/>
  <c r="AB166"/>
  <c r="S204"/>
  <c r="L10"/>
  <c r="M33"/>
  <c r="J13"/>
  <c r="AB13"/>
  <c r="S13"/>
  <c r="T123"/>
  <c r="AC123" s="1"/>
  <c r="S123"/>
  <c r="S190"/>
  <c r="T190"/>
  <c r="AC190" s="1"/>
  <c r="U23"/>
  <c r="W23" s="1"/>
  <c r="X23" s="1"/>
  <c r="Y23" s="1"/>
  <c r="T46"/>
  <c r="AC46" s="1"/>
  <c r="R44"/>
  <c r="S46"/>
  <c r="R188"/>
  <c r="S188" s="1"/>
  <c r="S189"/>
  <c r="T189"/>
  <c r="E12"/>
  <c r="E11" s="1"/>
  <c r="V13"/>
  <c r="J22"/>
  <c r="N33"/>
  <c r="M47"/>
  <c r="E59"/>
  <c r="E58" s="1"/>
  <c r="S93"/>
  <c r="AB93"/>
  <c r="M139"/>
  <c r="Y156"/>
  <c r="AB172"/>
  <c r="J201"/>
  <c r="V204"/>
  <c r="J236"/>
  <c r="J260"/>
  <c r="F12"/>
  <c r="F11" s="1"/>
  <c r="F10" s="1"/>
  <c r="S26"/>
  <c r="K32"/>
  <c r="R36"/>
  <c r="S36" s="1"/>
  <c r="M61"/>
  <c r="E79"/>
  <c r="G79" s="1"/>
  <c r="S85"/>
  <c r="S90"/>
  <c r="E96"/>
  <c r="T104"/>
  <c r="V109"/>
  <c r="J130"/>
  <c r="Y130"/>
  <c r="L126"/>
  <c r="S150"/>
  <c r="AB156"/>
  <c r="J169"/>
  <c r="M172"/>
  <c r="V181"/>
  <c r="M260"/>
  <c r="J266"/>
  <c r="V266"/>
  <c r="O281"/>
  <c r="R281" s="1"/>
  <c r="U281" s="1"/>
  <c r="X281" s="1"/>
  <c r="AA281" s="1"/>
  <c r="V17"/>
  <c r="G16"/>
  <c r="I33"/>
  <c r="G44"/>
  <c r="G70"/>
  <c r="G130"/>
  <c r="AB130"/>
  <c r="S147"/>
  <c r="J150"/>
  <c r="AB150"/>
  <c r="G156"/>
  <c r="J166"/>
  <c r="Y169"/>
  <c r="Y181"/>
  <c r="G204"/>
  <c r="F208"/>
  <c r="N9"/>
  <c r="M13"/>
  <c r="S21"/>
  <c r="Q25"/>
  <c r="T26"/>
  <c r="I69"/>
  <c r="V73"/>
  <c r="S76"/>
  <c r="T83"/>
  <c r="AC83" s="1"/>
  <c r="T88"/>
  <c r="T92"/>
  <c r="J93"/>
  <c r="S97"/>
  <c r="L98"/>
  <c r="L96" s="1"/>
  <c r="S103"/>
  <c r="M115"/>
  <c r="M118"/>
  <c r="M133"/>
  <c r="J136"/>
  <c r="Y136"/>
  <c r="S139"/>
  <c r="L143"/>
  <c r="L142" s="1"/>
  <c r="R143"/>
  <c r="R142" s="1"/>
  <c r="AA143"/>
  <c r="AA142" s="1"/>
  <c r="U143"/>
  <c r="U142" s="1"/>
  <c r="M150"/>
  <c r="S153"/>
  <c r="G169"/>
  <c r="F177"/>
  <c r="F176" s="1"/>
  <c r="J184"/>
  <c r="AB184"/>
  <c r="V195"/>
  <c r="AB212"/>
  <c r="J226"/>
  <c r="AB226"/>
  <c r="T242"/>
  <c r="W252"/>
  <c r="Y252" s="1"/>
  <c r="G266"/>
  <c r="T281"/>
  <c r="U24"/>
  <c r="W24" s="1"/>
  <c r="W22" s="1"/>
  <c r="X64"/>
  <c r="Z64" s="1"/>
  <c r="T18"/>
  <c r="AC18" s="1"/>
  <c r="R16"/>
  <c r="U28"/>
  <c r="W28" s="1"/>
  <c r="U29"/>
  <c r="W29" s="1"/>
  <c r="AA17"/>
  <c r="AB17" s="1"/>
  <c r="U63"/>
  <c r="W63" s="1"/>
  <c r="R65"/>
  <c r="T65" s="1"/>
  <c r="AC65" s="1"/>
  <c r="T71"/>
  <c r="AC71" s="1"/>
  <c r="R70"/>
  <c r="U72"/>
  <c r="W72" s="1"/>
  <c r="S84"/>
  <c r="T84"/>
  <c r="AC84" s="1"/>
  <c r="S89"/>
  <c r="T89"/>
  <c r="AC89" s="1"/>
  <c r="Q98"/>
  <c r="U103"/>
  <c r="W103" s="1"/>
  <c r="M127"/>
  <c r="K126"/>
  <c r="T179"/>
  <c r="AC179" s="1"/>
  <c r="R178"/>
  <c r="R177" s="1"/>
  <c r="R202"/>
  <c r="Q201"/>
  <c r="S243"/>
  <c r="Q242"/>
  <c r="U21"/>
  <c r="W21" s="1"/>
  <c r="M58"/>
  <c r="K57"/>
  <c r="R62"/>
  <c r="S72"/>
  <c r="Q70"/>
  <c r="U85"/>
  <c r="W85" s="1"/>
  <c r="U97"/>
  <c r="S101"/>
  <c r="T101"/>
  <c r="AC101" s="1"/>
  <c r="Q126"/>
  <c r="R135"/>
  <c r="T135" s="1"/>
  <c r="AC135" s="1"/>
  <c r="J144"/>
  <c r="H143"/>
  <c r="G32"/>
  <c r="E31"/>
  <c r="G31" s="1"/>
  <c r="R58"/>
  <c r="S58" s="1"/>
  <c r="Q68"/>
  <c r="Q57" s="1"/>
  <c r="J59"/>
  <c r="H58"/>
  <c r="J82"/>
  <c r="H79"/>
  <c r="U87"/>
  <c r="W87" s="1"/>
  <c r="U91"/>
  <c r="W91" s="1"/>
  <c r="J98"/>
  <c r="H96"/>
  <c r="J96" s="1"/>
  <c r="R108"/>
  <c r="T108" s="1"/>
  <c r="AC108" s="1"/>
  <c r="X109"/>
  <c r="Z109" s="1"/>
  <c r="Q113"/>
  <c r="R114"/>
  <c r="S114" s="1"/>
  <c r="G118"/>
  <c r="F115"/>
  <c r="G181"/>
  <c r="E177"/>
  <c r="R237"/>
  <c r="S237" s="1"/>
  <c r="Q236"/>
  <c r="G256"/>
  <c r="E252"/>
  <c r="V256"/>
  <c r="T252"/>
  <c r="S64"/>
  <c r="M22"/>
  <c r="R22"/>
  <c r="S28"/>
  <c r="G33"/>
  <c r="G35"/>
  <c r="U37"/>
  <c r="W37" s="1"/>
  <c r="M59"/>
  <c r="J61"/>
  <c r="Q61"/>
  <c r="V64"/>
  <c r="V67"/>
  <c r="S75"/>
  <c r="R99"/>
  <c r="S99" s="1"/>
  <c r="U100"/>
  <c r="W100" s="1"/>
  <c r="H126"/>
  <c r="G195"/>
  <c r="V215"/>
  <c r="R39"/>
  <c r="T39" s="1"/>
  <c r="AC39" s="1"/>
  <c r="R42"/>
  <c r="S42" s="1"/>
  <c r="R50"/>
  <c r="T50" s="1"/>
  <c r="AC50" s="1"/>
  <c r="R52"/>
  <c r="T52" s="1"/>
  <c r="AC52" s="1"/>
  <c r="R55"/>
  <c r="S55" s="1"/>
  <c r="X73"/>
  <c r="Z73" s="1"/>
  <c r="U75"/>
  <c r="W75" s="1"/>
  <c r="T110"/>
  <c r="AC110" s="1"/>
  <c r="S110"/>
  <c r="T121"/>
  <c r="AC121" s="1"/>
  <c r="S121"/>
  <c r="J172"/>
  <c r="H159"/>
  <c r="J159" s="1"/>
  <c r="U221"/>
  <c r="W221" s="1"/>
  <c r="AB243"/>
  <c r="Z242"/>
  <c r="AB242" s="1"/>
  <c r="U27"/>
  <c r="W27" s="1"/>
  <c r="U74"/>
  <c r="W74" s="1"/>
  <c r="U90"/>
  <c r="W90" s="1"/>
  <c r="X107"/>
  <c r="Z107" s="1"/>
  <c r="S111"/>
  <c r="R111"/>
  <c r="T111" s="1"/>
  <c r="AC111" s="1"/>
  <c r="Y144"/>
  <c r="W143"/>
  <c r="M153"/>
  <c r="K143"/>
  <c r="K159"/>
  <c r="M159" s="1"/>
  <c r="M160"/>
  <c r="E159"/>
  <c r="G159" s="1"/>
  <c r="G163"/>
  <c r="V163"/>
  <c r="T159"/>
  <c r="X180"/>
  <c r="Z180" s="1"/>
  <c r="T240"/>
  <c r="AC240" s="1"/>
  <c r="R239"/>
  <c r="R238" s="1"/>
  <c r="R38"/>
  <c r="S38" s="1"/>
  <c r="R41"/>
  <c r="T41" s="1"/>
  <c r="AC41" s="1"/>
  <c r="T44"/>
  <c r="U45"/>
  <c r="R48"/>
  <c r="R51"/>
  <c r="T51" s="1"/>
  <c r="AC51" s="1"/>
  <c r="R56"/>
  <c r="T56" s="1"/>
  <c r="AC56" s="1"/>
  <c r="J70"/>
  <c r="U76"/>
  <c r="W76" s="1"/>
  <c r="O79"/>
  <c r="O78" s="1"/>
  <c r="P78" s="1"/>
  <c r="P82"/>
  <c r="U102"/>
  <c r="W102" s="1"/>
  <c r="Q105"/>
  <c r="R106"/>
  <c r="S106" s="1"/>
  <c r="T120"/>
  <c r="S120"/>
  <c r="U203"/>
  <c r="W203" s="1"/>
  <c r="X215"/>
  <c r="Z215" s="1"/>
  <c r="R220"/>
  <c r="Q218"/>
  <c r="T233"/>
  <c r="AC233" s="1"/>
  <c r="S233"/>
  <c r="S18"/>
  <c r="S24"/>
  <c r="T22"/>
  <c r="S37"/>
  <c r="K12"/>
  <c r="Q16"/>
  <c r="S17"/>
  <c r="Y17"/>
  <c r="G19"/>
  <c r="S23"/>
  <c r="G25"/>
  <c r="S74"/>
  <c r="V107"/>
  <c r="R129"/>
  <c r="T129" s="1"/>
  <c r="AC129" s="1"/>
  <c r="V147"/>
  <c r="T143"/>
  <c r="J178"/>
  <c r="H177"/>
  <c r="R208"/>
  <c r="S211"/>
  <c r="T211"/>
  <c r="AC211" s="1"/>
  <c r="M212"/>
  <c r="K208"/>
  <c r="J253"/>
  <c r="H252"/>
  <c r="J252" s="1"/>
  <c r="U252"/>
  <c r="V253"/>
  <c r="U273"/>
  <c r="W273" s="1"/>
  <c r="L69"/>
  <c r="G96"/>
  <c r="S107"/>
  <c r="S109"/>
  <c r="V139"/>
  <c r="M201"/>
  <c r="G216"/>
  <c r="S216"/>
  <c r="R80"/>
  <c r="S80" s="1"/>
  <c r="M82"/>
  <c r="K79"/>
  <c r="M106"/>
  <c r="K105"/>
  <c r="M105" s="1"/>
  <c r="S179"/>
  <c r="Q178"/>
  <c r="S212"/>
  <c r="Q208"/>
  <c r="U216"/>
  <c r="W216" s="1"/>
  <c r="R230"/>
  <c r="S230" s="1"/>
  <c r="S232"/>
  <c r="T232"/>
  <c r="AC232" s="1"/>
  <c r="M243"/>
  <c r="K242"/>
  <c r="S71"/>
  <c r="S73"/>
  <c r="R82"/>
  <c r="S100"/>
  <c r="L177"/>
  <c r="L176" s="1"/>
  <c r="L252"/>
  <c r="S273"/>
  <c r="R134"/>
  <c r="S134" s="1"/>
  <c r="G144"/>
  <c r="E143"/>
  <c r="AB144"/>
  <c r="Z143"/>
  <c r="S160"/>
  <c r="Q159"/>
  <c r="S159" s="1"/>
  <c r="Y163"/>
  <c r="W159"/>
  <c r="Y159" s="1"/>
  <c r="M178"/>
  <c r="K177"/>
  <c r="J212"/>
  <c r="H208"/>
  <c r="J243"/>
  <c r="H242"/>
  <c r="M253"/>
  <c r="K252"/>
  <c r="S116"/>
  <c r="R118"/>
  <c r="S119"/>
  <c r="U119" s="1"/>
  <c r="E126"/>
  <c r="AB136"/>
  <c r="J156"/>
  <c r="S184"/>
  <c r="M192"/>
  <c r="S203"/>
  <c r="Y204"/>
  <c r="S221"/>
  <c r="S226"/>
  <c r="R252"/>
  <c r="S260"/>
  <c r="Y266"/>
  <c r="R112"/>
  <c r="T112" s="1"/>
  <c r="AC112" s="1"/>
  <c r="M114"/>
  <c r="K113"/>
  <c r="M113" s="1"/>
  <c r="U116"/>
  <c r="R128"/>
  <c r="S128" s="1"/>
  <c r="U222"/>
  <c r="W222" s="1"/>
  <c r="S253"/>
  <c r="Q252"/>
  <c r="AB253"/>
  <c r="Z252"/>
  <c r="AB252" s="1"/>
  <c r="I143"/>
  <c r="I142" s="1"/>
  <c r="S180"/>
  <c r="L208"/>
  <c r="S215"/>
  <c r="S240"/>
  <c r="U48" i="117"/>
  <c r="AA48" s="1"/>
  <c r="P48"/>
  <c r="P26"/>
  <c r="O24"/>
  <c r="U24" s="1"/>
  <c r="AF24" s="1"/>
  <c r="U38" i="116"/>
  <c r="V38" s="1"/>
  <c r="AC38" s="1"/>
  <c r="P38"/>
  <c r="O18" i="117"/>
  <c r="U18" s="1"/>
  <c r="X18" s="1"/>
  <c r="P20"/>
  <c r="M16" i="116"/>
  <c r="J17"/>
  <c r="M27"/>
  <c r="K34"/>
  <c r="K32" s="1"/>
  <c r="G41"/>
  <c r="F43"/>
  <c r="H43"/>
  <c r="J48"/>
  <c r="G66"/>
  <c r="M66"/>
  <c r="G91"/>
  <c r="L132"/>
  <c r="F132"/>
  <c r="I177"/>
  <c r="H187"/>
  <c r="I207"/>
  <c r="M232"/>
  <c r="K15" i="117"/>
  <c r="F21"/>
  <c r="L21"/>
  <c r="F24"/>
  <c r="F34"/>
  <c r="F32" s="1"/>
  <c r="F31" s="1"/>
  <c r="F30" s="1"/>
  <c r="J36"/>
  <c r="G38"/>
  <c r="M38"/>
  <c r="J45"/>
  <c r="I46"/>
  <c r="M48"/>
  <c r="E46"/>
  <c r="M120"/>
  <c r="I180"/>
  <c r="L180"/>
  <c r="M188"/>
  <c r="J216"/>
  <c r="G235"/>
  <c r="F15" i="118"/>
  <c r="G15" s="1"/>
  <c r="J17"/>
  <c r="L21"/>
  <c r="G28"/>
  <c r="L34"/>
  <c r="L32" s="1"/>
  <c r="L31" s="1"/>
  <c r="L30" s="1"/>
  <c r="M36"/>
  <c r="J52"/>
  <c r="G54"/>
  <c r="M54"/>
  <c r="J65"/>
  <c r="M91"/>
  <c r="M104"/>
  <c r="M106"/>
  <c r="H177"/>
  <c r="J182"/>
  <c r="F187"/>
  <c r="G187" s="1"/>
  <c r="F15" i="116"/>
  <c r="J25"/>
  <c r="L24"/>
  <c r="G28"/>
  <c r="E43"/>
  <c r="F46"/>
  <c r="X89"/>
  <c r="Y89" s="1"/>
  <c r="P91"/>
  <c r="H132"/>
  <c r="I132"/>
  <c r="I200"/>
  <c r="E235"/>
  <c r="G235" s="1"/>
  <c r="K18" i="117"/>
  <c r="F18"/>
  <c r="K21"/>
  <c r="I24"/>
  <c r="E34"/>
  <c r="E32" s="1"/>
  <c r="O45"/>
  <c r="O43" s="1"/>
  <c r="M54"/>
  <c r="AA54"/>
  <c r="AI54" s="1"/>
  <c r="G61"/>
  <c r="M61"/>
  <c r="G90"/>
  <c r="M103"/>
  <c r="I132"/>
  <c r="J134"/>
  <c r="I187"/>
  <c r="M216"/>
  <c r="G221"/>
  <c r="L238"/>
  <c r="L237" s="1"/>
  <c r="L15" i="118"/>
  <c r="O47"/>
  <c r="P47" s="1"/>
  <c r="E60"/>
  <c r="E58" s="1"/>
  <c r="I60"/>
  <c r="I58" s="1"/>
  <c r="I57" s="1"/>
  <c r="I56" s="1"/>
  <c r="I53" s="1"/>
  <c r="E177"/>
  <c r="G177" s="1"/>
  <c r="F203"/>
  <c r="O214"/>
  <c r="P214" s="1"/>
  <c r="F207" i="117"/>
  <c r="G38" i="116"/>
  <c r="I60"/>
  <c r="I58" s="1"/>
  <c r="I57" s="1"/>
  <c r="I56" s="1"/>
  <c r="I53" s="1"/>
  <c r="F68"/>
  <c r="M89"/>
  <c r="M91"/>
  <c r="M120"/>
  <c r="M122"/>
  <c r="M178"/>
  <c r="L187"/>
  <c r="M215"/>
  <c r="E238"/>
  <c r="E237" s="1"/>
  <c r="E18" i="117"/>
  <c r="J19"/>
  <c r="G20"/>
  <c r="H24"/>
  <c r="L24"/>
  <c r="I34"/>
  <c r="I32" s="1"/>
  <c r="I31" s="1"/>
  <c r="I30" s="1"/>
  <c r="I60"/>
  <c r="I58" s="1"/>
  <c r="I57" s="1"/>
  <c r="I56" s="1"/>
  <c r="I53" s="1"/>
  <c r="M64"/>
  <c r="M123"/>
  <c r="J214"/>
  <c r="J238"/>
  <c r="L18" i="118"/>
  <c r="J38"/>
  <c r="F60"/>
  <c r="P89"/>
  <c r="G178"/>
  <c r="L203"/>
  <c r="M206"/>
  <c r="G216"/>
  <c r="M216"/>
  <c r="M118" i="116"/>
  <c r="K117"/>
  <c r="K114" s="1"/>
  <c r="G44" i="117"/>
  <c r="E43"/>
  <c r="G210" i="118"/>
  <c r="E207"/>
  <c r="J214"/>
  <c r="I207"/>
  <c r="O43" i="116"/>
  <c r="P43" s="1"/>
  <c r="P44"/>
  <c r="M16" i="118"/>
  <c r="K15"/>
  <c r="E24"/>
  <c r="G25"/>
  <c r="G205"/>
  <c r="E203"/>
  <c r="M221"/>
  <c r="K217"/>
  <c r="M217" s="1"/>
  <c r="H60" i="116"/>
  <c r="H58" s="1"/>
  <c r="H57" s="1"/>
  <c r="J61"/>
  <c r="K117" i="117"/>
  <c r="K114" s="1"/>
  <c r="K113" s="1"/>
  <c r="M119"/>
  <c r="K238"/>
  <c r="M239"/>
  <c r="G22" i="118"/>
  <c r="E21"/>
  <c r="E18" i="116"/>
  <c r="G22"/>
  <c r="J39"/>
  <c r="J50"/>
  <c r="M123"/>
  <c r="I187"/>
  <c r="M36" i="117"/>
  <c r="F46"/>
  <c r="M52"/>
  <c r="G89"/>
  <c r="J90"/>
  <c r="G16" i="118"/>
  <c r="G20"/>
  <c r="M64"/>
  <c r="M67"/>
  <c r="M119"/>
  <c r="M121"/>
  <c r="G17" i="116"/>
  <c r="I21"/>
  <c r="J21" s="1"/>
  <c r="K24"/>
  <c r="J67"/>
  <c r="J88"/>
  <c r="M119"/>
  <c r="L126"/>
  <c r="G179"/>
  <c r="G201"/>
  <c r="K200"/>
  <c r="G206"/>
  <c r="J239"/>
  <c r="G272"/>
  <c r="H21" i="117"/>
  <c r="M37"/>
  <c r="G41"/>
  <c r="G45"/>
  <c r="J55"/>
  <c r="G91"/>
  <c r="M91"/>
  <c r="M134"/>
  <c r="F180"/>
  <c r="K187"/>
  <c r="M187" s="1"/>
  <c r="F187"/>
  <c r="J206"/>
  <c r="M17" i="118"/>
  <c r="J44"/>
  <c r="G71"/>
  <c r="M108"/>
  <c r="M111"/>
  <c r="M115"/>
  <c r="M123"/>
  <c r="G206"/>
  <c r="J215"/>
  <c r="G25" i="117"/>
  <c r="E24"/>
  <c r="J127"/>
  <c r="H126"/>
  <c r="J189"/>
  <c r="H187"/>
  <c r="M231"/>
  <c r="K229"/>
  <c r="M229" s="1"/>
  <c r="AA55" i="118"/>
  <c r="AE55"/>
  <c r="G16" i="116"/>
  <c r="E15"/>
  <c r="N281"/>
  <c r="N283" s="1"/>
  <c r="O276"/>
  <c r="O281" s="1"/>
  <c r="O283" s="1"/>
  <c r="J47" i="117"/>
  <c r="H46"/>
  <c r="O74"/>
  <c r="L69"/>
  <c r="J178"/>
  <c r="H177"/>
  <c r="K21" i="118"/>
  <c r="M22"/>
  <c r="J16" i="117"/>
  <c r="H15"/>
  <c r="J35"/>
  <c r="H34"/>
  <c r="G181"/>
  <c r="E180"/>
  <c r="G180" s="1"/>
  <c r="J23" i="118"/>
  <c r="H21"/>
  <c r="J62"/>
  <c r="H60"/>
  <c r="H58" s="1"/>
  <c r="O118"/>
  <c r="O117" s="1"/>
  <c r="O114" s="1"/>
  <c r="P114" s="1"/>
  <c r="L117"/>
  <c r="L114" s="1"/>
  <c r="L113" s="1"/>
  <c r="L112" s="1"/>
  <c r="M179"/>
  <c r="K177"/>
  <c r="M190"/>
  <c r="K187"/>
  <c r="E241"/>
  <c r="G241" s="1"/>
  <c r="M28" i="116"/>
  <c r="J41"/>
  <c r="G65"/>
  <c r="J90"/>
  <c r="G214"/>
  <c r="G232"/>
  <c r="M236"/>
  <c r="G26" i="117"/>
  <c r="M39"/>
  <c r="J40"/>
  <c r="G51"/>
  <c r="G54"/>
  <c r="G190"/>
  <c r="M20" i="118"/>
  <c r="J49"/>
  <c r="M66"/>
  <c r="G19" i="116"/>
  <c r="F18"/>
  <c r="J28"/>
  <c r="E60"/>
  <c r="E58" s="1"/>
  <c r="G63"/>
  <c r="J65"/>
  <c r="G89"/>
  <c r="G90"/>
  <c r="E180"/>
  <c r="J214"/>
  <c r="G221"/>
  <c r="G19" i="117"/>
  <c r="M22"/>
  <c r="M28"/>
  <c r="M35"/>
  <c r="F60"/>
  <c r="F58" s="1"/>
  <c r="F57" s="1"/>
  <c r="F56" s="1"/>
  <c r="F53" s="1"/>
  <c r="G65"/>
  <c r="M126"/>
  <c r="F135"/>
  <c r="G137"/>
  <c r="M179"/>
  <c r="J217"/>
  <c r="J221"/>
  <c r="O221"/>
  <c r="U221" s="1"/>
  <c r="AH221" s="1"/>
  <c r="E229"/>
  <c r="G229" s="1"/>
  <c r="G239"/>
  <c r="F238"/>
  <c r="F237" s="1"/>
  <c r="K18" i="118"/>
  <c r="F18"/>
  <c r="M23"/>
  <c r="J25"/>
  <c r="J26"/>
  <c r="G38"/>
  <c r="I46"/>
  <c r="P55"/>
  <c r="G90"/>
  <c r="M90"/>
  <c r="M100"/>
  <c r="L177"/>
  <c r="K180"/>
  <c r="L187"/>
  <c r="J216"/>
  <c r="J232"/>
  <c r="J272" i="117"/>
  <c r="J16" i="118"/>
  <c r="F21"/>
  <c r="M24"/>
  <c r="M29"/>
  <c r="F43"/>
  <c r="M49"/>
  <c r="G52"/>
  <c r="M62"/>
  <c r="J67"/>
  <c r="G72"/>
  <c r="G74"/>
  <c r="G88"/>
  <c r="L97"/>
  <c r="M178"/>
  <c r="J179"/>
  <c r="M188"/>
  <c r="M189"/>
  <c r="J205"/>
  <c r="J231"/>
  <c r="M232"/>
  <c r="M239"/>
  <c r="J17" i="117"/>
  <c r="G22"/>
  <c r="G27"/>
  <c r="J38"/>
  <c r="J44"/>
  <c r="G49"/>
  <c r="J54"/>
  <c r="M55"/>
  <c r="G64"/>
  <c r="J66"/>
  <c r="G67"/>
  <c r="M90"/>
  <c r="M100"/>
  <c r="M110"/>
  <c r="M115"/>
  <c r="M121"/>
  <c r="G128"/>
  <c r="L132"/>
  <c r="L125" s="1"/>
  <c r="L124" s="1"/>
  <c r="G136"/>
  <c r="F177"/>
  <c r="G179"/>
  <c r="J181"/>
  <c r="G215"/>
  <c r="J19" i="116"/>
  <c r="M20"/>
  <c r="M22"/>
  <c r="G29"/>
  <c r="G36"/>
  <c r="G37"/>
  <c r="M39"/>
  <c r="M41"/>
  <c r="J44"/>
  <c r="I43"/>
  <c r="F60"/>
  <c r="F58" s="1"/>
  <c r="F57" s="1"/>
  <c r="F56" s="1"/>
  <c r="F53" s="1"/>
  <c r="J62"/>
  <c r="J64"/>
  <c r="J89"/>
  <c r="G127"/>
  <c r="G178"/>
  <c r="G188"/>
  <c r="M188"/>
  <c r="J190"/>
  <c r="J201"/>
  <c r="J206"/>
  <c r="G210"/>
  <c r="G216"/>
  <c r="M216"/>
  <c r="G229"/>
  <c r="F238"/>
  <c r="F237" s="1"/>
  <c r="G16" i="117"/>
  <c r="E21"/>
  <c r="G23"/>
  <c r="M25"/>
  <c r="M26"/>
  <c r="J39"/>
  <c r="G40"/>
  <c r="M45"/>
  <c r="G47"/>
  <c r="G50"/>
  <c r="M50"/>
  <c r="J51"/>
  <c r="J52"/>
  <c r="L60"/>
  <c r="L58" s="1"/>
  <c r="L57" s="1"/>
  <c r="L56" s="1"/>
  <c r="L53" s="1"/>
  <c r="G63"/>
  <c r="M66"/>
  <c r="I68"/>
  <c r="M88"/>
  <c r="J91"/>
  <c r="M102"/>
  <c r="M106"/>
  <c r="M109"/>
  <c r="G127"/>
  <c r="J128"/>
  <c r="J182"/>
  <c r="G189"/>
  <c r="G206"/>
  <c r="G216"/>
  <c r="G232"/>
  <c r="M232"/>
  <c r="M272"/>
  <c r="G27" i="118"/>
  <c r="G37"/>
  <c r="J39"/>
  <c r="G40"/>
  <c r="G41"/>
  <c r="F46"/>
  <c r="G75"/>
  <c r="G89"/>
  <c r="M96"/>
  <c r="F238"/>
  <c r="F237" s="1"/>
  <c r="N281"/>
  <c r="N283" s="1"/>
  <c r="N278"/>
  <c r="O278"/>
  <c r="O288" s="1"/>
  <c r="W15"/>
  <c r="Z15"/>
  <c r="V15"/>
  <c r="AC23"/>
  <c r="AE23"/>
  <c r="Z24"/>
  <c r="V24"/>
  <c r="W24"/>
  <c r="Y24" s="1"/>
  <c r="V35"/>
  <c r="W35"/>
  <c r="T34"/>
  <c r="AE49"/>
  <c r="Z52"/>
  <c r="V52"/>
  <c r="W52"/>
  <c r="Y52" s="1"/>
  <c r="R123"/>
  <c r="R112" s="1"/>
  <c r="AA118"/>
  <c r="X117"/>
  <c r="X114" s="1"/>
  <c r="X19"/>
  <c r="AD19" s="1"/>
  <c r="AE19"/>
  <c r="AA19"/>
  <c r="AJ19" s="1"/>
  <c r="AM19" s="1"/>
  <c r="M28"/>
  <c r="N31"/>
  <c r="S34"/>
  <c r="Q32"/>
  <c r="U51"/>
  <c r="V51" s="1"/>
  <c r="P51"/>
  <c r="U58"/>
  <c r="AC60"/>
  <c r="AE89"/>
  <c r="AA89"/>
  <c r="AC89"/>
  <c r="X89"/>
  <c r="T114"/>
  <c r="Y239"/>
  <c r="J20"/>
  <c r="J19"/>
  <c r="Z16"/>
  <c r="V16"/>
  <c r="W16"/>
  <c r="Y16" s="1"/>
  <c r="Z23"/>
  <c r="Z27"/>
  <c r="W27"/>
  <c r="J45"/>
  <c r="H43"/>
  <c r="U20"/>
  <c r="AE18"/>
  <c r="AA18"/>
  <c r="X18"/>
  <c r="AD18" s="1"/>
  <c r="O34"/>
  <c r="P35"/>
  <c r="J48"/>
  <c r="H46"/>
  <c r="Z51"/>
  <c r="W51"/>
  <c r="AA91"/>
  <c r="AB18"/>
  <c r="T10"/>
  <c r="E18"/>
  <c r="V23"/>
  <c r="AB19"/>
  <c r="V60"/>
  <c r="T58"/>
  <c r="M61"/>
  <c r="K60"/>
  <c r="AE72"/>
  <c r="AA72"/>
  <c r="X72"/>
  <c r="Y72" s="1"/>
  <c r="U74"/>
  <c r="P74"/>
  <c r="Z91"/>
  <c r="W91"/>
  <c r="G97"/>
  <c r="E95"/>
  <c r="G95" s="1"/>
  <c r="Z103"/>
  <c r="V103"/>
  <c r="AE105"/>
  <c r="AA105"/>
  <c r="Z109"/>
  <c r="V109"/>
  <c r="W109"/>
  <c r="Y109" s="1"/>
  <c r="X110"/>
  <c r="AC110"/>
  <c r="N112"/>
  <c r="Z132"/>
  <c r="V132"/>
  <c r="W132"/>
  <c r="AE141"/>
  <c r="AA141"/>
  <c r="Z142"/>
  <c r="V142"/>
  <c r="W142"/>
  <c r="Y142" s="1"/>
  <c r="G143"/>
  <c r="E142"/>
  <c r="M162"/>
  <c r="K158"/>
  <c r="M158" s="1"/>
  <c r="Z196"/>
  <c r="Z210"/>
  <c r="V210"/>
  <c r="W210"/>
  <c r="AE218"/>
  <c r="AA218"/>
  <c r="X218"/>
  <c r="V218"/>
  <c r="U44"/>
  <c r="P44"/>
  <c r="O48"/>
  <c r="L46"/>
  <c r="Z105"/>
  <c r="V105"/>
  <c r="W105"/>
  <c r="X107"/>
  <c r="Y107" s="1"/>
  <c r="AC107"/>
  <c r="AB126"/>
  <c r="Z135"/>
  <c r="V135"/>
  <c r="W135"/>
  <c r="Y135" s="1"/>
  <c r="AC189"/>
  <c r="AE189"/>
  <c r="Z207"/>
  <c r="W207"/>
  <c r="M211"/>
  <c r="K207"/>
  <c r="AE223"/>
  <c r="AA223"/>
  <c r="AC223"/>
  <c r="AD223" s="1"/>
  <c r="M35"/>
  <c r="K34"/>
  <c r="T43"/>
  <c r="Z44"/>
  <c r="M45"/>
  <c r="K43"/>
  <c r="T46"/>
  <c r="Z47"/>
  <c r="M48"/>
  <c r="K46"/>
  <c r="U54"/>
  <c r="V54" s="1"/>
  <c r="P54"/>
  <c r="X55"/>
  <c r="Y55" s="1"/>
  <c r="AC55"/>
  <c r="P58"/>
  <c r="N57"/>
  <c r="S60"/>
  <c r="Q58"/>
  <c r="V61"/>
  <c r="W61"/>
  <c r="G73"/>
  <c r="E69"/>
  <c r="M81"/>
  <c r="K78"/>
  <c r="V82"/>
  <c r="W82"/>
  <c r="T81"/>
  <c r="Z86"/>
  <c r="V86"/>
  <c r="W86"/>
  <c r="Y86" s="1"/>
  <c r="Z89"/>
  <c r="V89"/>
  <c r="W89"/>
  <c r="U90"/>
  <c r="P90"/>
  <c r="AE93"/>
  <c r="AA93"/>
  <c r="AJ93" s="1"/>
  <c r="AM93" s="1"/>
  <c r="M98"/>
  <c r="K97"/>
  <c r="Z98"/>
  <c r="V98"/>
  <c r="Z100"/>
  <c r="V100"/>
  <c r="Z102"/>
  <c r="V102"/>
  <c r="T104"/>
  <c r="P104"/>
  <c r="Z106"/>
  <c r="V106"/>
  <c r="J114"/>
  <c r="H113"/>
  <c r="M118"/>
  <c r="K117"/>
  <c r="AA167"/>
  <c r="AF167" s="1"/>
  <c r="AB166"/>
  <c r="AC175"/>
  <c r="AE175"/>
  <c r="AF175" s="1"/>
  <c r="U176"/>
  <c r="P176"/>
  <c r="U177"/>
  <c r="V177" s="1"/>
  <c r="P177"/>
  <c r="Z187"/>
  <c r="V187"/>
  <c r="T189"/>
  <c r="V189" s="1"/>
  <c r="W187"/>
  <c r="AE200"/>
  <c r="AA200"/>
  <c r="X200"/>
  <c r="U202"/>
  <c r="V200"/>
  <c r="M231"/>
  <c r="L229"/>
  <c r="M229" s="1"/>
  <c r="AC239"/>
  <c r="AD239" s="1"/>
  <c r="AA239"/>
  <c r="AE239"/>
  <c r="AE253"/>
  <c r="AF253" s="1"/>
  <c r="AC253"/>
  <c r="AD253" s="1"/>
  <c r="V253"/>
  <c r="AC118"/>
  <c r="AD118" s="1"/>
  <c r="AC124"/>
  <c r="X193"/>
  <c r="AD193" s="1"/>
  <c r="AC22"/>
  <c r="AE28"/>
  <c r="S43"/>
  <c r="G44"/>
  <c r="G47"/>
  <c r="AC61"/>
  <c r="AD61" s="1"/>
  <c r="O69"/>
  <c r="J90"/>
  <c r="AB92"/>
  <c r="AE107"/>
  <c r="M122"/>
  <c r="AF146"/>
  <c r="AF152"/>
  <c r="H207"/>
  <c r="R10"/>
  <c r="U17"/>
  <c r="W18"/>
  <c r="Y18" s="1"/>
  <c r="W19"/>
  <c r="X21"/>
  <c r="X22"/>
  <c r="X25"/>
  <c r="AD25" s="1"/>
  <c r="AB29"/>
  <c r="X35"/>
  <c r="AD35" s="1"/>
  <c r="J40"/>
  <c r="AC40"/>
  <c r="AD40" s="1"/>
  <c r="W42"/>
  <c r="W45"/>
  <c r="P49"/>
  <c r="J50"/>
  <c r="M50"/>
  <c r="V55"/>
  <c r="R56"/>
  <c r="R53" s="1"/>
  <c r="X60"/>
  <c r="X58" s="1"/>
  <c r="X57" s="1"/>
  <c r="AH58" s="1"/>
  <c r="AH59" s="1"/>
  <c r="V63"/>
  <c r="M65"/>
  <c r="G67"/>
  <c r="F69"/>
  <c r="F68" s="1"/>
  <c r="I68"/>
  <c r="W74"/>
  <c r="AB75"/>
  <c r="R78"/>
  <c r="R77" s="1"/>
  <c r="W88"/>
  <c r="P91"/>
  <c r="AC93"/>
  <c r="AD93" s="1"/>
  <c r="U96"/>
  <c r="M102"/>
  <c r="W103"/>
  <c r="Y103" s="1"/>
  <c r="J104"/>
  <c r="V107"/>
  <c r="J117"/>
  <c r="X122"/>
  <c r="AD122" s="1"/>
  <c r="T128"/>
  <c r="V128" s="1"/>
  <c r="AF126"/>
  <c r="Z129"/>
  <c r="X133"/>
  <c r="AC141"/>
  <c r="AB147"/>
  <c r="AB153"/>
  <c r="AD171"/>
  <c r="X178"/>
  <c r="X188"/>
  <c r="X189" s="1"/>
  <c r="AC218"/>
  <c r="AD218" s="1"/>
  <c r="AD229"/>
  <c r="V237"/>
  <c r="Z66"/>
  <c r="V66"/>
  <c r="U70"/>
  <c r="R69"/>
  <c r="Z73"/>
  <c r="V73"/>
  <c r="W73"/>
  <c r="Y73" s="1"/>
  <c r="U88"/>
  <c r="P88"/>
  <c r="AE99"/>
  <c r="AA99"/>
  <c r="Z101"/>
  <c r="V101"/>
  <c r="E114"/>
  <c r="G117"/>
  <c r="Q114"/>
  <c r="S117"/>
  <c r="M125"/>
  <c r="Z127"/>
  <c r="V127"/>
  <c r="W127"/>
  <c r="Y127" s="1"/>
  <c r="Z143"/>
  <c r="V143"/>
  <c r="W143"/>
  <c r="AB162"/>
  <c r="Z164"/>
  <c r="Z206"/>
  <c r="V206"/>
  <c r="W206"/>
  <c r="AE268"/>
  <c r="AF268" s="1"/>
  <c r="AC268"/>
  <c r="AD268" s="1"/>
  <c r="Z25"/>
  <c r="V25"/>
  <c r="X28"/>
  <c r="Y28" s="1"/>
  <c r="AC28"/>
  <c r="AE42"/>
  <c r="AA42"/>
  <c r="X42"/>
  <c r="AD42" s="1"/>
  <c r="O45"/>
  <c r="L43"/>
  <c r="Z69"/>
  <c r="G78"/>
  <c r="E77"/>
  <c r="Z99"/>
  <c r="V99"/>
  <c r="W99"/>
  <c r="AE108"/>
  <c r="AA108"/>
  <c r="X108"/>
  <c r="V118"/>
  <c r="W118"/>
  <c r="Z122"/>
  <c r="V122"/>
  <c r="Z124"/>
  <c r="V124"/>
  <c r="W124"/>
  <c r="AC128"/>
  <c r="AE128"/>
  <c r="G135"/>
  <c r="E125"/>
  <c r="Y149"/>
  <c r="Y155"/>
  <c r="AA173"/>
  <c r="AF173" s="1"/>
  <c r="AB172"/>
  <c r="Z211"/>
  <c r="V211"/>
  <c r="W211"/>
  <c r="Y211" s="1"/>
  <c r="AE237"/>
  <c r="AC237"/>
  <c r="AE241"/>
  <c r="AF241" s="1"/>
  <c r="V241"/>
  <c r="AC241"/>
  <c r="AD241" s="1"/>
  <c r="W195"/>
  <c r="W190"/>
  <c r="Y272"/>
  <c r="X195"/>
  <c r="AD195" s="1"/>
  <c r="X190"/>
  <c r="X219"/>
  <c r="Y219" s="1"/>
  <c r="W208"/>
  <c r="Y208" s="1"/>
  <c r="X201"/>
  <c r="AD201" s="1"/>
  <c r="W169"/>
  <c r="Y169" s="1"/>
  <c r="W163"/>
  <c r="X153"/>
  <c r="AD153" s="1"/>
  <c r="X147"/>
  <c r="AD147" s="1"/>
  <c r="X215"/>
  <c r="AD215" s="1"/>
  <c r="W192"/>
  <c r="X169"/>
  <c r="AD169" s="1"/>
  <c r="X163"/>
  <c r="AD163" s="1"/>
  <c r="W156"/>
  <c r="W150"/>
  <c r="W144"/>
  <c r="W236"/>
  <c r="X221"/>
  <c r="X216"/>
  <c r="AD216" s="1"/>
  <c r="W172"/>
  <c r="W166"/>
  <c r="W167" s="1"/>
  <c r="W160"/>
  <c r="X156"/>
  <c r="X157" s="1"/>
  <c r="AD157" s="1"/>
  <c r="X150"/>
  <c r="X151" s="1"/>
  <c r="AD151" s="1"/>
  <c r="X144"/>
  <c r="AD144" s="1"/>
  <c r="W111"/>
  <c r="W108"/>
  <c r="W96"/>
  <c r="X94"/>
  <c r="AD94" s="1"/>
  <c r="X75"/>
  <c r="AD75" s="1"/>
  <c r="W213"/>
  <c r="X172"/>
  <c r="X173" s="1"/>
  <c r="AD173" s="1"/>
  <c r="X166"/>
  <c r="X167" s="1"/>
  <c r="AD167" s="1"/>
  <c r="X160"/>
  <c r="AD160" s="1"/>
  <c r="W153"/>
  <c r="Y153" s="1"/>
  <c r="W147"/>
  <c r="W133"/>
  <c r="Y133" s="1"/>
  <c r="AE26"/>
  <c r="V26"/>
  <c r="U27"/>
  <c r="U11" s="1"/>
  <c r="P27"/>
  <c r="Z40"/>
  <c r="V40"/>
  <c r="W40"/>
  <c r="Y40" s="1"/>
  <c r="Z49"/>
  <c r="AI49" s="1"/>
  <c r="W49"/>
  <c r="U50"/>
  <c r="P50"/>
  <c r="AE52"/>
  <c r="AA52"/>
  <c r="Z54"/>
  <c r="M55"/>
  <c r="AE73"/>
  <c r="AA73"/>
  <c r="S81"/>
  <c r="Q78"/>
  <c r="Z93"/>
  <c r="V93"/>
  <c r="W93"/>
  <c r="Y93" s="1"/>
  <c r="Z97"/>
  <c r="AE109"/>
  <c r="AA109"/>
  <c r="AE127"/>
  <c r="AA127"/>
  <c r="J132"/>
  <c r="H125"/>
  <c r="AE132"/>
  <c r="AA132"/>
  <c r="U134"/>
  <c r="X132"/>
  <c r="AE139"/>
  <c r="AA139"/>
  <c r="AA161"/>
  <c r="AB160"/>
  <c r="AB168"/>
  <c r="Z170"/>
  <c r="Y203"/>
  <c r="J204"/>
  <c r="H203"/>
  <c r="AE206"/>
  <c r="AF206" s="1"/>
  <c r="AA206"/>
  <c r="X206"/>
  <c r="AC206"/>
  <c r="Z216"/>
  <c r="V216"/>
  <c r="W216"/>
  <c r="AE247"/>
  <c r="AF247" s="1"/>
  <c r="V247"/>
  <c r="AC247"/>
  <c r="AD247" s="1"/>
  <c r="AC72"/>
  <c r="AD72" s="1"/>
  <c r="AC105"/>
  <c r="V110"/>
  <c r="T134"/>
  <c r="AC21"/>
  <c r="AD21" s="1"/>
  <c r="M25"/>
  <c r="AC34"/>
  <c r="S46"/>
  <c r="J54"/>
  <c r="AC86"/>
  <c r="AD86" s="1"/>
  <c r="AF92"/>
  <c r="AA110"/>
  <c r="AB110" s="1"/>
  <c r="U117"/>
  <c r="AF129"/>
  <c r="AD139"/>
  <c r="AB146"/>
  <c r="AB152"/>
  <c r="Y159"/>
  <c r="V18"/>
  <c r="V19"/>
  <c r="AA21"/>
  <c r="AB21" s="1"/>
  <c r="AE21"/>
  <c r="W22"/>
  <c r="AA22"/>
  <c r="AC24"/>
  <c r="AD24" s="1"/>
  <c r="W25"/>
  <c r="Y25" s="1"/>
  <c r="AA28"/>
  <c r="W29"/>
  <c r="Y29" s="1"/>
  <c r="AF29"/>
  <c r="T30" i="111" s="1"/>
  <c r="U30" s="1"/>
  <c r="F34" i="118"/>
  <c r="F32" s="1"/>
  <c r="F31" s="1"/>
  <c r="F30" s="1"/>
  <c r="E43"/>
  <c r="E46"/>
  <c r="AC52"/>
  <c r="AD52" s="1"/>
  <c r="O56"/>
  <c r="AD66"/>
  <c r="L69"/>
  <c r="L68" s="1"/>
  <c r="S70"/>
  <c r="X71"/>
  <c r="Y71" s="1"/>
  <c r="V72"/>
  <c r="AC73"/>
  <c r="AD73" s="1"/>
  <c r="M74"/>
  <c r="W75"/>
  <c r="AF75"/>
  <c r="H78"/>
  <c r="U79"/>
  <c r="M88"/>
  <c r="X98"/>
  <c r="AD98" s="1"/>
  <c r="X99"/>
  <c r="AD99" s="1"/>
  <c r="X100"/>
  <c r="Y100" s="1"/>
  <c r="AD101"/>
  <c r="X102"/>
  <c r="Y102" s="1"/>
  <c r="AD103"/>
  <c r="R104"/>
  <c r="U104" s="1"/>
  <c r="X105"/>
  <c r="X106"/>
  <c r="AD106" s="1"/>
  <c r="AA107"/>
  <c r="AC109"/>
  <c r="AD109" s="1"/>
  <c r="W110"/>
  <c r="Y110" s="1"/>
  <c r="AE110"/>
  <c r="U111"/>
  <c r="M120"/>
  <c r="W122"/>
  <c r="X124"/>
  <c r="F125"/>
  <c r="F124" s="1"/>
  <c r="AC127"/>
  <c r="AD127" s="1"/>
  <c r="M132"/>
  <c r="X141"/>
  <c r="X145"/>
  <c r="AD145" s="1"/>
  <c r="AF147"/>
  <c r="AF153"/>
  <c r="W164"/>
  <c r="AD165"/>
  <c r="W173"/>
  <c r="W178"/>
  <c r="W201"/>
  <c r="Y201" s="1"/>
  <c r="W204"/>
  <c r="Y204" s="1"/>
  <c r="X213"/>
  <c r="W214"/>
  <c r="V268"/>
  <c r="AE130"/>
  <c r="AA130"/>
  <c r="Z139"/>
  <c r="V139"/>
  <c r="W139"/>
  <c r="Y139" s="1"/>
  <c r="Z141"/>
  <c r="V141"/>
  <c r="W141"/>
  <c r="M149"/>
  <c r="K142"/>
  <c r="AE209"/>
  <c r="AA209"/>
  <c r="X209"/>
  <c r="AD209" s="1"/>
  <c r="Z215"/>
  <c r="V215"/>
  <c r="W215"/>
  <c r="AE220"/>
  <c r="AA220"/>
  <c r="X220"/>
  <c r="AD220" s="1"/>
  <c r="V220"/>
  <c r="G231"/>
  <c r="E229"/>
  <c r="G229" s="1"/>
  <c r="G236"/>
  <c r="F235"/>
  <c r="G235" s="1"/>
  <c r="S238"/>
  <c r="Q237"/>
  <c r="S237" s="1"/>
  <c r="M252"/>
  <c r="K251"/>
  <c r="M251" s="1"/>
  <c r="AE258"/>
  <c r="AF258" s="1"/>
  <c r="X258"/>
  <c r="Y258" s="1"/>
  <c r="AE244"/>
  <c r="AF244" s="1"/>
  <c r="AE243"/>
  <c r="AF243" s="1"/>
  <c r="AE233"/>
  <c r="AF233" s="1"/>
  <c r="AE199"/>
  <c r="AF199" s="1"/>
  <c r="AE198"/>
  <c r="AF198" s="1"/>
  <c r="AE197"/>
  <c r="AF197" s="1"/>
  <c r="AE196"/>
  <c r="AE195"/>
  <c r="AE194"/>
  <c r="AE190"/>
  <c r="AE232"/>
  <c r="AF232" s="1"/>
  <c r="AE230"/>
  <c r="AF230" s="1"/>
  <c r="AE205"/>
  <c r="AE251"/>
  <c r="AF251" s="1"/>
  <c r="AE248"/>
  <c r="AF248" s="1"/>
  <c r="AE231"/>
  <c r="AF231" s="1"/>
  <c r="AE224"/>
  <c r="AF224" s="1"/>
  <c r="AE215"/>
  <c r="AF215" s="1"/>
  <c r="AE210"/>
  <c r="AF210" s="1"/>
  <c r="AE208"/>
  <c r="AF208" s="1"/>
  <c r="AE187"/>
  <c r="AF187" s="1"/>
  <c r="AE170"/>
  <c r="AE169"/>
  <c r="AF169" s="1"/>
  <c r="AE168"/>
  <c r="AF168" s="1"/>
  <c r="AE164"/>
  <c r="AE163"/>
  <c r="AF163" s="1"/>
  <c r="AE162"/>
  <c r="AF162" s="1"/>
  <c r="AE158"/>
  <c r="AF158" s="1"/>
  <c r="AE265"/>
  <c r="AF265" s="1"/>
  <c r="AE260"/>
  <c r="AF260" s="1"/>
  <c r="AE255"/>
  <c r="AF255" s="1"/>
  <c r="AE250"/>
  <c r="AF250" s="1"/>
  <c r="AE235"/>
  <c r="AF235" s="1"/>
  <c r="AE216"/>
  <c r="AF216" s="1"/>
  <c r="AE211"/>
  <c r="AF211" s="1"/>
  <c r="T212" i="111" s="1"/>
  <c r="AE191" i="118"/>
  <c r="AF191" s="1"/>
  <c r="AE188"/>
  <c r="AF188" s="1"/>
  <c r="AE157"/>
  <c r="AE156"/>
  <c r="AF156" s="1"/>
  <c r="AE155"/>
  <c r="AF155" s="1"/>
  <c r="AE151"/>
  <c r="AE150"/>
  <c r="AF150" s="1"/>
  <c r="AE149"/>
  <c r="AF149" s="1"/>
  <c r="AE145"/>
  <c r="AE144"/>
  <c r="AF144" s="1"/>
  <c r="AE140"/>
  <c r="AF140" s="1"/>
  <c r="AE131"/>
  <c r="AF131" s="1"/>
  <c r="AC29"/>
  <c r="AC71"/>
  <c r="R97"/>
  <c r="P110"/>
  <c r="V115"/>
  <c r="AC126"/>
  <c r="AD126" s="1"/>
  <c r="AC130"/>
  <c r="AD130" s="1"/>
  <c r="AF133"/>
  <c r="H142"/>
  <c r="X148"/>
  <c r="AD148" s="1"/>
  <c r="W148"/>
  <c r="G149"/>
  <c r="AD150"/>
  <c r="X154"/>
  <c r="AD154" s="1"/>
  <c r="AD156"/>
  <c r="AD166"/>
  <c r="AD172"/>
  <c r="AD178"/>
  <c r="W181"/>
  <c r="G182"/>
  <c r="AA193"/>
  <c r="M205"/>
  <c r="L207"/>
  <c r="M215"/>
  <c r="Y217"/>
  <c r="J229"/>
  <c r="M255"/>
  <c r="AC258"/>
  <c r="Y269"/>
  <c r="O286"/>
  <c r="V130"/>
  <c r="W130"/>
  <c r="Y130" s="1"/>
  <c r="AE135"/>
  <c r="AA135"/>
  <c r="AE142"/>
  <c r="AA142"/>
  <c r="AE143"/>
  <c r="AA143"/>
  <c r="J162"/>
  <c r="H158"/>
  <c r="J158" s="1"/>
  <c r="Z176"/>
  <c r="V176"/>
  <c r="T179"/>
  <c r="Z177"/>
  <c r="Z178"/>
  <c r="V178"/>
  <c r="Z188"/>
  <c r="V188"/>
  <c r="W188"/>
  <c r="J189"/>
  <c r="H187"/>
  <c r="Z209"/>
  <c r="V209"/>
  <c r="W209"/>
  <c r="Z214"/>
  <c r="AE228"/>
  <c r="AF228" s="1"/>
  <c r="AA228"/>
  <c r="AE229"/>
  <c r="AA229"/>
  <c r="G239"/>
  <c r="AE240"/>
  <c r="AA240"/>
  <c r="X240"/>
  <c r="AD240" s="1"/>
  <c r="AE242"/>
  <c r="AA242"/>
  <c r="V242"/>
  <c r="AC242"/>
  <c r="AD242" s="1"/>
  <c r="AE246"/>
  <c r="AF246" s="1"/>
  <c r="V246"/>
  <c r="AE263"/>
  <c r="AF263" s="1"/>
  <c r="AC263"/>
  <c r="AD263" s="1"/>
  <c r="AE270"/>
  <c r="AA270"/>
  <c r="X270"/>
  <c r="AD270" s="1"/>
  <c r="X128"/>
  <c r="AC135"/>
  <c r="AD135" s="1"/>
  <c r="X136"/>
  <c r="Y136" s="1"/>
  <c r="AC142"/>
  <c r="AD142" s="1"/>
  <c r="AC143"/>
  <c r="AD143" s="1"/>
  <c r="AD149"/>
  <c r="AD155"/>
  <c r="X164"/>
  <c r="AD164" s="1"/>
  <c r="X170"/>
  <c r="AD170" s="1"/>
  <c r="AD190"/>
  <c r="W220"/>
  <c r="AE180"/>
  <c r="AA180"/>
  <c r="Z183"/>
  <c r="V183"/>
  <c r="Z201"/>
  <c r="V201"/>
  <c r="M204"/>
  <c r="K203"/>
  <c r="Z204"/>
  <c r="V204"/>
  <c r="AE212"/>
  <c r="AF212" s="1"/>
  <c r="T213" i="111" s="1"/>
  <c r="AA212" i="118"/>
  <c r="AB212" s="1"/>
  <c r="X212"/>
  <c r="Z217"/>
  <c r="V217"/>
  <c r="Z219"/>
  <c r="V219"/>
  <c r="G221"/>
  <c r="E217"/>
  <c r="G217" s="1"/>
  <c r="AE221"/>
  <c r="AA221"/>
  <c r="Z223"/>
  <c r="V223"/>
  <c r="W223"/>
  <c r="Y223" s="1"/>
  <c r="AE226"/>
  <c r="AA226"/>
  <c r="Z228"/>
  <c r="V228"/>
  <c r="W228"/>
  <c r="Y228" s="1"/>
  <c r="Z229"/>
  <c r="V229"/>
  <c r="W229"/>
  <c r="Y229" s="1"/>
  <c r="Z239"/>
  <c r="V239"/>
  <c r="G259"/>
  <c r="E251"/>
  <c r="G251" s="1"/>
  <c r="AB272"/>
  <c r="AK272" s="1"/>
  <c r="AA195"/>
  <c r="AA194"/>
  <c r="AA190"/>
  <c r="AB190" s="1"/>
  <c r="Z236"/>
  <c r="Z192"/>
  <c r="Z191"/>
  <c r="AC129"/>
  <c r="AD129" s="1"/>
  <c r="AC133"/>
  <c r="AD133" s="1"/>
  <c r="AC136"/>
  <c r="AC138"/>
  <c r="AD138" s="1"/>
  <c r="I180"/>
  <c r="Z180"/>
  <c r="G181"/>
  <c r="M183"/>
  <c r="G191"/>
  <c r="AB208"/>
  <c r="X210"/>
  <c r="AD210" s="1"/>
  <c r="AC212"/>
  <c r="AD213"/>
  <c r="R214" i="111" s="1"/>
  <c r="P217" i="118"/>
  <c r="W218"/>
  <c r="Y218" s="1"/>
  <c r="AB218"/>
  <c r="J221"/>
  <c r="AC221"/>
  <c r="X222"/>
  <c r="Y222" s="1"/>
  <c r="AB224"/>
  <c r="AC226"/>
  <c r="AD226" s="1"/>
  <c r="K235"/>
  <c r="M235" s="1"/>
  <c r="AE236"/>
  <c r="AF236" s="1"/>
  <c r="L238"/>
  <c r="AE238"/>
  <c r="AC238"/>
  <c r="J239"/>
  <c r="W240"/>
  <c r="AD245"/>
  <c r="Y252"/>
  <c r="AD254"/>
  <c r="AE256"/>
  <c r="AF256" s="1"/>
  <c r="Y257"/>
  <c r="J259"/>
  <c r="AE261"/>
  <c r="AF261" s="1"/>
  <c r="Y262"/>
  <c r="AD264"/>
  <c r="AE266"/>
  <c r="AF266" s="1"/>
  <c r="Y267"/>
  <c r="AD269"/>
  <c r="W270"/>
  <c r="AE271"/>
  <c r="AF271" s="1"/>
  <c r="AE181"/>
  <c r="AF181" s="1"/>
  <c r="AA181"/>
  <c r="X181"/>
  <c r="X182" s="1"/>
  <c r="AD182" s="1"/>
  <c r="AE203"/>
  <c r="AA203"/>
  <c r="Z213"/>
  <c r="V213"/>
  <c r="Z221"/>
  <c r="V221"/>
  <c r="W221"/>
  <c r="Z226"/>
  <c r="V226"/>
  <c r="W226"/>
  <c r="Y226" s="1"/>
  <c r="Z269"/>
  <c r="V269"/>
  <c r="V271"/>
  <c r="W271"/>
  <c r="AC181"/>
  <c r="X196"/>
  <c r="AD196" s="1"/>
  <c r="AB195"/>
  <c r="AC203"/>
  <c r="AD203" s="1"/>
  <c r="AD211"/>
  <c r="R212" i="111" s="1"/>
  <c r="W212" i="118"/>
  <c r="AD217"/>
  <c r="AA217"/>
  <c r="AF217" s="1"/>
  <c r="Y224"/>
  <c r="AE249"/>
  <c r="AF249" s="1"/>
  <c r="AD252"/>
  <c r="AD257"/>
  <c r="AE259"/>
  <c r="AF259" s="1"/>
  <c r="AD262"/>
  <c r="AD267"/>
  <c r="T202"/>
  <c r="V202" s="1"/>
  <c r="AC208"/>
  <c r="AD208" s="1"/>
  <c r="AC222"/>
  <c r="AC224"/>
  <c r="AD224" s="1"/>
  <c r="AC225"/>
  <c r="AD225" s="1"/>
  <c r="AC227"/>
  <c r="AD227" s="1"/>
  <c r="AC187"/>
  <c r="AD187" s="1"/>
  <c r="R207"/>
  <c r="R174" s="1"/>
  <c r="S174" s="1"/>
  <c r="W24" i="117"/>
  <c r="T26"/>
  <c r="Z24"/>
  <c r="N124"/>
  <c r="T20"/>
  <c r="Z18"/>
  <c r="W18"/>
  <c r="U154"/>
  <c r="AH152"/>
  <c r="AA152"/>
  <c r="X152"/>
  <c r="AF152"/>
  <c r="K76"/>
  <c r="AH110"/>
  <c r="AA110"/>
  <c r="AF110"/>
  <c r="X110"/>
  <c r="S11"/>
  <c r="S15"/>
  <c r="S34"/>
  <c r="P23"/>
  <c r="O21"/>
  <c r="AF48"/>
  <c r="X48"/>
  <c r="P17"/>
  <c r="O15"/>
  <c r="T23"/>
  <c r="Z21"/>
  <c r="W21"/>
  <c r="R30"/>
  <c r="R41"/>
  <c r="U44"/>
  <c r="P44"/>
  <c r="U27"/>
  <c r="P27"/>
  <c r="P35"/>
  <c r="O34"/>
  <c r="Z43"/>
  <c r="W43"/>
  <c r="AH50"/>
  <c r="AA50"/>
  <c r="AF50"/>
  <c r="X50"/>
  <c r="R9"/>
  <c r="O67"/>
  <c r="O56" s="1"/>
  <c r="AH70"/>
  <c r="AA70"/>
  <c r="X70"/>
  <c r="Q87"/>
  <c r="Q76" s="1"/>
  <c r="S77"/>
  <c r="J129"/>
  <c r="AH129"/>
  <c r="AH139"/>
  <c r="AI139" s="1"/>
  <c r="AA139"/>
  <c r="G178"/>
  <c r="E177"/>
  <c r="Z228"/>
  <c r="V228"/>
  <c r="W228"/>
  <c r="AH246"/>
  <c r="AA246"/>
  <c r="X246"/>
  <c r="Y246" s="1"/>
  <c r="AF246"/>
  <c r="V246"/>
  <c r="Z247"/>
  <c r="V247"/>
  <c r="W247"/>
  <c r="Y247" s="1"/>
  <c r="AH262"/>
  <c r="AA262"/>
  <c r="X262"/>
  <c r="Y262" s="1"/>
  <c r="AF262"/>
  <c r="V262"/>
  <c r="Z263"/>
  <c r="V263"/>
  <c r="W263"/>
  <c r="Y263" s="1"/>
  <c r="U47"/>
  <c r="P47"/>
  <c r="AH73"/>
  <c r="AA73"/>
  <c r="AH75"/>
  <c r="AA75"/>
  <c r="X75"/>
  <c r="S78"/>
  <c r="T78"/>
  <c r="E78"/>
  <c r="G81"/>
  <c r="U91"/>
  <c r="P91"/>
  <c r="AH98"/>
  <c r="AI98" s="1"/>
  <c r="AA98"/>
  <c r="X98"/>
  <c r="AH101"/>
  <c r="AA101"/>
  <c r="Z108"/>
  <c r="V108"/>
  <c r="AF115"/>
  <c r="AG115" s="1"/>
  <c r="Z122"/>
  <c r="V122"/>
  <c r="W122"/>
  <c r="W113" s="1"/>
  <c r="Z129"/>
  <c r="V129"/>
  <c r="W129"/>
  <c r="X132"/>
  <c r="AF132"/>
  <c r="P179"/>
  <c r="O177"/>
  <c r="Z181"/>
  <c r="V181"/>
  <c r="W181"/>
  <c r="AH210"/>
  <c r="AA210"/>
  <c r="X210"/>
  <c r="AF210"/>
  <c r="Z236"/>
  <c r="V236"/>
  <c r="W236"/>
  <c r="T235"/>
  <c r="V235" s="1"/>
  <c r="AH250"/>
  <c r="X250"/>
  <c r="Y250" s="1"/>
  <c r="AF250"/>
  <c r="V250"/>
  <c r="AH257"/>
  <c r="X257"/>
  <c r="Y257" s="1"/>
  <c r="V257"/>
  <c r="V266"/>
  <c r="W266"/>
  <c r="Y266" s="1"/>
  <c r="AH61"/>
  <c r="U60"/>
  <c r="J62"/>
  <c r="H60"/>
  <c r="S70"/>
  <c r="R69"/>
  <c r="S69" s="1"/>
  <c r="X71"/>
  <c r="AF71"/>
  <c r="Z73"/>
  <c r="V73"/>
  <c r="W73"/>
  <c r="Y73" s="1"/>
  <c r="Z74"/>
  <c r="AI74" i="118" s="1"/>
  <c r="W74" i="117"/>
  <c r="T81"/>
  <c r="V82"/>
  <c r="AH96"/>
  <c r="AA96"/>
  <c r="M98"/>
  <c r="K97"/>
  <c r="Z101"/>
  <c r="V101"/>
  <c r="W101"/>
  <c r="Y101" s="1"/>
  <c r="Z103"/>
  <c r="V103"/>
  <c r="W103"/>
  <c r="Y103" s="1"/>
  <c r="Z104"/>
  <c r="U105"/>
  <c r="R104"/>
  <c r="S104" s="1"/>
  <c r="AB115"/>
  <c r="S118"/>
  <c r="R117"/>
  <c r="T132"/>
  <c r="P132"/>
  <c r="J133"/>
  <c r="H132"/>
  <c r="AH133"/>
  <c r="AA133"/>
  <c r="AH135"/>
  <c r="AI135" s="1"/>
  <c r="AA135"/>
  <c r="Z136"/>
  <c r="V136"/>
  <c r="W136"/>
  <c r="Y136" s="1"/>
  <c r="AH144"/>
  <c r="AA144"/>
  <c r="J165"/>
  <c r="H158"/>
  <c r="J158" s="1"/>
  <c r="S168"/>
  <c r="T168"/>
  <c r="Z180"/>
  <c r="V180"/>
  <c r="W180"/>
  <c r="Z201"/>
  <c r="V201"/>
  <c r="W201"/>
  <c r="O207"/>
  <c r="U207" s="1"/>
  <c r="P214"/>
  <c r="U214"/>
  <c r="V214" s="1"/>
  <c r="Z217"/>
  <c r="W217"/>
  <c r="Z221"/>
  <c r="W221"/>
  <c r="AH269"/>
  <c r="AI269" s="1"/>
  <c r="AA269"/>
  <c r="X269"/>
  <c r="V269"/>
  <c r="AF269"/>
  <c r="AG269" s="1"/>
  <c r="AF16"/>
  <c r="AG16" s="1"/>
  <c r="AF37"/>
  <c r="AG37" s="1"/>
  <c r="X82"/>
  <c r="T15"/>
  <c r="Z19"/>
  <c r="X22"/>
  <c r="AG22" s="1"/>
  <c r="Z25"/>
  <c r="AB25" s="1"/>
  <c r="Z27"/>
  <c r="U28"/>
  <c r="W29"/>
  <c r="Y29" s="1"/>
  <c r="K34"/>
  <c r="Z35"/>
  <c r="L46"/>
  <c r="T46"/>
  <c r="P60"/>
  <c r="Z70"/>
  <c r="AB70" s="1"/>
  <c r="Z71"/>
  <c r="AF73"/>
  <c r="AG73" s="1"/>
  <c r="AF79"/>
  <c r="AG79" s="1"/>
  <c r="AA86"/>
  <c r="Z93"/>
  <c r="AB93" s="1"/>
  <c r="X96"/>
  <c r="W97"/>
  <c r="AF98"/>
  <c r="AG98" s="1"/>
  <c r="W104"/>
  <c r="M105"/>
  <c r="Z105"/>
  <c r="W109"/>
  <c r="M118"/>
  <c r="Z118"/>
  <c r="Q125"/>
  <c r="T125" s="1"/>
  <c r="E126"/>
  <c r="X138"/>
  <c r="AA138"/>
  <c r="Q142"/>
  <c r="W147"/>
  <c r="W148" s="1"/>
  <c r="W153"/>
  <c r="W159"/>
  <c r="Z172"/>
  <c r="Y253"/>
  <c r="Z269"/>
  <c r="AB269" s="1"/>
  <c r="W16"/>
  <c r="Y16" s="1"/>
  <c r="AA16"/>
  <c r="AH16"/>
  <c r="S21"/>
  <c r="W22"/>
  <c r="AA22"/>
  <c r="AB22" s="1"/>
  <c r="AH22"/>
  <c r="V29"/>
  <c r="Q32"/>
  <c r="W34"/>
  <c r="G35"/>
  <c r="U35"/>
  <c r="V38"/>
  <c r="X40"/>
  <c r="W42"/>
  <c r="Y42" s="1"/>
  <c r="AA42"/>
  <c r="AB42" s="1"/>
  <c r="AH42"/>
  <c r="K43"/>
  <c r="S43"/>
  <c r="W45"/>
  <c r="K46"/>
  <c r="O46"/>
  <c r="Z47"/>
  <c r="J49"/>
  <c r="M49"/>
  <c r="AH51"/>
  <c r="AG52"/>
  <c r="P54"/>
  <c r="W54"/>
  <c r="W55"/>
  <c r="Z55"/>
  <c r="N58"/>
  <c r="K60"/>
  <c r="AF61"/>
  <c r="AG61" s="1"/>
  <c r="M62"/>
  <c r="W71"/>
  <c r="AH71"/>
  <c r="AI71" s="1"/>
  <c r="AG72"/>
  <c r="W75"/>
  <c r="Y75" s="1"/>
  <c r="Z75"/>
  <c r="AI75" i="118" s="1"/>
  <c r="U77" i="117"/>
  <c r="Z86"/>
  <c r="R87"/>
  <c r="U87" s="1"/>
  <c r="J89"/>
  <c r="M89"/>
  <c r="Z91"/>
  <c r="W93"/>
  <c r="AI93"/>
  <c r="AF96"/>
  <c r="AG96" s="1"/>
  <c r="J97"/>
  <c r="W98"/>
  <c r="Y98" s="1"/>
  <c r="Z98"/>
  <c r="AB98" s="1"/>
  <c r="S99"/>
  <c r="Z99"/>
  <c r="O104"/>
  <c r="W105"/>
  <c r="U106"/>
  <c r="AA108"/>
  <c r="AA111"/>
  <c r="AI111" s="1"/>
  <c r="H114"/>
  <c r="V115"/>
  <c r="AH115"/>
  <c r="AI115" s="1"/>
  <c r="O117"/>
  <c r="V120"/>
  <c r="AA120"/>
  <c r="W127"/>
  <c r="Z127"/>
  <c r="Y130"/>
  <c r="AI130"/>
  <c r="AA132"/>
  <c r="AA134" s="1"/>
  <c r="M133"/>
  <c r="AF133"/>
  <c r="U134"/>
  <c r="J135"/>
  <c r="AF135"/>
  <c r="Z138"/>
  <c r="F142"/>
  <c r="F141" s="1"/>
  <c r="AF144"/>
  <c r="X146"/>
  <c r="AA146"/>
  <c r="AI146" s="1"/>
  <c r="X149"/>
  <c r="Y149" s="1"/>
  <c r="AA149"/>
  <c r="W165"/>
  <c r="M171"/>
  <c r="K180"/>
  <c r="AA181"/>
  <c r="W183"/>
  <c r="Z183"/>
  <c r="W187"/>
  <c r="X192"/>
  <c r="Z194"/>
  <c r="AF206"/>
  <c r="X208"/>
  <c r="Z220"/>
  <c r="Z224"/>
  <c r="AF226"/>
  <c r="G251"/>
  <c r="AF257"/>
  <c r="AG257" s="1"/>
  <c r="AF268"/>
  <c r="AG268" s="1"/>
  <c r="AF270"/>
  <c r="AG270" s="1"/>
  <c r="Z50"/>
  <c r="V50"/>
  <c r="W50"/>
  <c r="G62"/>
  <c r="E60"/>
  <c r="Z66"/>
  <c r="V66"/>
  <c r="W66"/>
  <c r="Y66" s="1"/>
  <c r="AF82"/>
  <c r="U81"/>
  <c r="Z94"/>
  <c r="V94"/>
  <c r="W94"/>
  <c r="Y94" s="1"/>
  <c r="U97"/>
  <c r="V97" s="1"/>
  <c r="Z102"/>
  <c r="V102"/>
  <c r="W102"/>
  <c r="Y102" s="1"/>
  <c r="Z107"/>
  <c r="V107"/>
  <c r="W107"/>
  <c r="Y107" s="1"/>
  <c r="Z110"/>
  <c r="V110"/>
  <c r="W110"/>
  <c r="Y110" s="1"/>
  <c r="AH118"/>
  <c r="U117"/>
  <c r="U114" s="1"/>
  <c r="X118"/>
  <c r="AH122"/>
  <c r="AA122"/>
  <c r="R142"/>
  <c r="U143"/>
  <c r="V143" s="1"/>
  <c r="X153"/>
  <c r="AF153"/>
  <c r="S177"/>
  <c r="Q176"/>
  <c r="J210"/>
  <c r="I207"/>
  <c r="Z216"/>
  <c r="V216"/>
  <c r="W216"/>
  <c r="N237"/>
  <c r="V272"/>
  <c r="W269"/>
  <c r="Y269" s="1"/>
  <c r="W241"/>
  <c r="W240"/>
  <c r="X218"/>
  <c r="X212"/>
  <c r="AG212" s="1"/>
  <c r="U213" i="111" s="1"/>
  <c r="W200" i="117"/>
  <c r="AA195"/>
  <c r="W195"/>
  <c r="AA194"/>
  <c r="W194"/>
  <c r="X195"/>
  <c r="AG195" s="1"/>
  <c r="X194"/>
  <c r="Z192"/>
  <c r="AB192" s="1"/>
  <c r="Z191"/>
  <c r="W225"/>
  <c r="AA224"/>
  <c r="AI224" s="1"/>
  <c r="AA220"/>
  <c r="AI220" s="1"/>
  <c r="W212"/>
  <c r="Z209"/>
  <c r="AA192"/>
  <c r="AA191"/>
  <c r="AA193" s="1"/>
  <c r="AI193" s="1"/>
  <c r="AA172"/>
  <c r="W172"/>
  <c r="AA171"/>
  <c r="W171"/>
  <c r="X166"/>
  <c r="X165"/>
  <c r="Z163"/>
  <c r="Z162"/>
  <c r="X160"/>
  <c r="Y160" s="1"/>
  <c r="X159"/>
  <c r="AA156"/>
  <c r="W156"/>
  <c r="Y156" s="1"/>
  <c r="W155"/>
  <c r="X229"/>
  <c r="X228"/>
  <c r="W227"/>
  <c r="Z225"/>
  <c r="X223"/>
  <c r="W222"/>
  <c r="X219"/>
  <c r="W218"/>
  <c r="Z212"/>
  <c r="Z206"/>
  <c r="X201"/>
  <c r="AG201" s="1"/>
  <c r="Z195"/>
  <c r="Z190"/>
  <c r="X172"/>
  <c r="X171"/>
  <c r="X173" s="1"/>
  <c r="AA163"/>
  <c r="W163"/>
  <c r="AA162"/>
  <c r="W162"/>
  <c r="X156"/>
  <c r="AG156" s="1"/>
  <c r="Z241"/>
  <c r="AI241" i="118" s="1"/>
  <c r="Z227" i="117"/>
  <c r="AA208"/>
  <c r="X204"/>
  <c r="Z203"/>
  <c r="AA201"/>
  <c r="W191"/>
  <c r="Z178"/>
  <c r="Z171"/>
  <c r="Z169"/>
  <c r="AA165"/>
  <c r="AA167" s="1"/>
  <c r="X163"/>
  <c r="AG163" s="1"/>
  <c r="AA160"/>
  <c r="AI160" s="1"/>
  <c r="Z159"/>
  <c r="X150"/>
  <c r="X147"/>
  <c r="X93"/>
  <c r="AG93" s="1"/>
  <c r="Z92"/>
  <c r="AI92" i="118" s="1"/>
  <c r="W239" i="117"/>
  <c r="AA227"/>
  <c r="AA225"/>
  <c r="W224"/>
  <c r="W220"/>
  <c r="AA212"/>
  <c r="AA204"/>
  <c r="AJ204" i="118" s="1"/>
  <c r="AM204" s="1"/>
  <c r="X191" i="117"/>
  <c r="W190"/>
  <c r="Y190" s="1"/>
  <c r="X180"/>
  <c r="AG180" s="1"/>
  <c r="AA169"/>
  <c r="AI169" s="1"/>
  <c r="W166"/>
  <c r="X162"/>
  <c r="X164" s="1"/>
  <c r="AG164" s="1"/>
  <c r="AA159"/>
  <c r="Z156"/>
  <c r="AA92"/>
  <c r="W92"/>
  <c r="X60"/>
  <c r="X58" s="1"/>
  <c r="X57" s="1"/>
  <c r="AA61"/>
  <c r="AA60" s="1"/>
  <c r="AA58" s="1"/>
  <c r="Z69"/>
  <c r="W69"/>
  <c r="H77"/>
  <c r="J78"/>
  <c r="W78"/>
  <c r="Z82"/>
  <c r="Z90"/>
  <c r="W90"/>
  <c r="AH103"/>
  <c r="AA103"/>
  <c r="AJ103" i="118" s="1"/>
  <c r="AM103" s="1"/>
  <c r="X109" i="117"/>
  <c r="AF109"/>
  <c r="Z111"/>
  <c r="AI111" i="118" s="1"/>
  <c r="V111" i="117"/>
  <c r="Q112"/>
  <c r="T123"/>
  <c r="T126"/>
  <c r="P126"/>
  <c r="AH127"/>
  <c r="AA127"/>
  <c r="X127"/>
  <c r="AG127" s="1"/>
  <c r="AH136"/>
  <c r="AI136" s="1"/>
  <c r="AA136"/>
  <c r="Z139"/>
  <c r="V139"/>
  <c r="W139"/>
  <c r="G143"/>
  <c r="E142"/>
  <c r="AH187"/>
  <c r="AA187"/>
  <c r="X187"/>
  <c r="U189"/>
  <c r="V187"/>
  <c r="AH200"/>
  <c r="AA200"/>
  <c r="X200"/>
  <c r="V200"/>
  <c r="AF200"/>
  <c r="X221"/>
  <c r="M236"/>
  <c r="K235"/>
  <c r="M235" s="1"/>
  <c r="AH265"/>
  <c r="X265"/>
  <c r="Y265" s="1"/>
  <c r="AF265"/>
  <c r="V265"/>
  <c r="N281"/>
  <c r="N283" s="1"/>
  <c r="O276"/>
  <c r="O278" s="1"/>
  <c r="Z48"/>
  <c r="W48"/>
  <c r="U49"/>
  <c r="P49"/>
  <c r="Z51"/>
  <c r="V51"/>
  <c r="Z52"/>
  <c r="V52"/>
  <c r="X54"/>
  <c r="AF54"/>
  <c r="V61"/>
  <c r="T60"/>
  <c r="W61"/>
  <c r="AH66"/>
  <c r="AA66"/>
  <c r="Z72"/>
  <c r="AI72" i="118" s="1"/>
  <c r="V72" i="117"/>
  <c r="M74"/>
  <c r="K69"/>
  <c r="Z88"/>
  <c r="AI88" i="118" s="1"/>
  <c r="W88" i="117"/>
  <c r="U89"/>
  <c r="P89"/>
  <c r="AH94"/>
  <c r="AA94"/>
  <c r="AJ94" i="118" s="1"/>
  <c r="AM94" s="1"/>
  <c r="Z96" i="117"/>
  <c r="V96"/>
  <c r="W96"/>
  <c r="Y96" s="1"/>
  <c r="X99"/>
  <c r="AF99"/>
  <c r="AH102"/>
  <c r="AA102"/>
  <c r="AH107"/>
  <c r="AI107" s="1"/>
  <c r="AA107"/>
  <c r="P128"/>
  <c r="O126"/>
  <c r="Z133"/>
  <c r="AB133" s="1"/>
  <c r="V133"/>
  <c r="W133"/>
  <c r="Z135"/>
  <c r="AB135" s="1"/>
  <c r="V135"/>
  <c r="W135"/>
  <c r="J143"/>
  <c r="H142"/>
  <c r="Z144"/>
  <c r="AB144" s="1"/>
  <c r="V144"/>
  <c r="W144"/>
  <c r="Z204"/>
  <c r="V204"/>
  <c r="W204"/>
  <c r="Y204" s="1"/>
  <c r="AH215"/>
  <c r="AA215"/>
  <c r="X215"/>
  <c r="AF215"/>
  <c r="AH216"/>
  <c r="AA216"/>
  <c r="X216"/>
  <c r="AF216"/>
  <c r="AH240"/>
  <c r="AA240"/>
  <c r="AB240" s="1"/>
  <c r="X240"/>
  <c r="V240"/>
  <c r="AF240"/>
  <c r="M259"/>
  <c r="K251"/>
  <c r="M251" s="1"/>
  <c r="V259"/>
  <c r="W259"/>
  <c r="Y259" s="1"/>
  <c r="V270"/>
  <c r="W270"/>
  <c r="Y270" s="1"/>
  <c r="AH244"/>
  <c r="AI244" s="1"/>
  <c r="AH243"/>
  <c r="AI243" s="1"/>
  <c r="AH233"/>
  <c r="AI233" s="1"/>
  <c r="AH199"/>
  <c r="AI199" s="1"/>
  <c r="AH198"/>
  <c r="AI198" s="1"/>
  <c r="AH197"/>
  <c r="AI197" s="1"/>
  <c r="AH196"/>
  <c r="AH195"/>
  <c r="AI195" s="1"/>
  <c r="AH194"/>
  <c r="AF193"/>
  <c r="AF192"/>
  <c r="AG192" s="1"/>
  <c r="AF191"/>
  <c r="AF234"/>
  <c r="AG234" s="1"/>
  <c r="AH232"/>
  <c r="AI232" s="1"/>
  <c r="AF231"/>
  <c r="AG231" s="1"/>
  <c r="AH230"/>
  <c r="AI230" s="1"/>
  <c r="AH270"/>
  <c r="AI270" s="1"/>
  <c r="AH258"/>
  <c r="AI258" s="1"/>
  <c r="AF243"/>
  <c r="AG243" s="1"/>
  <c r="AH235"/>
  <c r="AI235" s="1"/>
  <c r="AF233"/>
  <c r="AG233" s="1"/>
  <c r="AH225"/>
  <c r="AI225" s="1"/>
  <c r="AH212"/>
  <c r="AI212" s="1"/>
  <c r="AH201"/>
  <c r="AF198"/>
  <c r="AG198" s="1"/>
  <c r="AF196"/>
  <c r="AF194"/>
  <c r="AG194" s="1"/>
  <c r="AH186"/>
  <c r="AI186" s="1"/>
  <c r="AH185"/>
  <c r="AI185" s="1"/>
  <c r="AH184"/>
  <c r="AI184" s="1"/>
  <c r="AH182"/>
  <c r="AH173"/>
  <c r="AH172"/>
  <c r="AH171"/>
  <c r="AI171" s="1"/>
  <c r="AH157"/>
  <c r="AH156"/>
  <c r="AH266"/>
  <c r="AI266" s="1"/>
  <c r="AH263"/>
  <c r="AI263" s="1"/>
  <c r="AH259"/>
  <c r="AI259" s="1"/>
  <c r="AF255"/>
  <c r="AF252"/>
  <c r="AH247"/>
  <c r="AI247" s="1"/>
  <c r="AH231"/>
  <c r="AI231" s="1"/>
  <c r="AH227"/>
  <c r="AH222"/>
  <c r="AH218"/>
  <c r="AH208"/>
  <c r="AH204"/>
  <c r="AI204" s="1"/>
  <c r="AH190"/>
  <c r="AF167"/>
  <c r="AF166"/>
  <c r="AG166" s="1"/>
  <c r="AF165"/>
  <c r="AG165" s="1"/>
  <c r="AH164"/>
  <c r="AH163"/>
  <c r="AI163" s="1"/>
  <c r="AH162"/>
  <c r="AI162" s="1"/>
  <c r="AF161"/>
  <c r="AF160"/>
  <c r="AF159"/>
  <c r="AG159" s="1"/>
  <c r="AF271"/>
  <c r="AG271" s="1"/>
  <c r="AH253"/>
  <c r="AI253" s="1"/>
  <c r="AF242"/>
  <c r="AF197"/>
  <c r="AG197" s="1"/>
  <c r="AH192"/>
  <c r="AI192" s="1"/>
  <c r="AF190"/>
  <c r="AG190" s="1"/>
  <c r="AF185"/>
  <c r="AG185" s="1"/>
  <c r="AH180"/>
  <c r="AI180" s="1"/>
  <c r="AH167"/>
  <c r="AF162"/>
  <c r="AF157"/>
  <c r="AF119"/>
  <c r="AG119" s="1"/>
  <c r="AF116"/>
  <c r="AG116" s="1"/>
  <c r="AF83"/>
  <c r="AG83" s="1"/>
  <c r="AF230"/>
  <c r="AG230" s="1"/>
  <c r="AH181"/>
  <c r="AI181" s="1"/>
  <c r="AF173"/>
  <c r="AF171"/>
  <c r="AH166"/>
  <c r="AI166" s="1"/>
  <c r="AH161"/>
  <c r="AF151"/>
  <c r="AF150"/>
  <c r="AF148"/>
  <c r="AF147"/>
  <c r="AG147" s="1"/>
  <c r="AH140"/>
  <c r="AI140" s="1"/>
  <c r="AF137"/>
  <c r="AG137" s="1"/>
  <c r="AF131"/>
  <c r="AG131" s="1"/>
  <c r="AH121"/>
  <c r="AI121" s="1"/>
  <c r="AH92"/>
  <c r="AI92" s="1"/>
  <c r="AH85"/>
  <c r="AI85" s="1"/>
  <c r="AH80"/>
  <c r="AI80" s="1"/>
  <c r="AH65"/>
  <c r="AI65" s="1"/>
  <c r="AF59"/>
  <c r="AG59" s="1"/>
  <c r="AF42"/>
  <c r="AG42" s="1"/>
  <c r="AF70"/>
  <c r="U90"/>
  <c r="AF118"/>
  <c r="AG118" s="1"/>
  <c r="AF122"/>
  <c r="AF129"/>
  <c r="AI132"/>
  <c r="AF139"/>
  <c r="AG139" s="1"/>
  <c r="Y146"/>
  <c r="AG172"/>
  <c r="AA182"/>
  <c r="Z189"/>
  <c r="AA29"/>
  <c r="AI29" s="1"/>
  <c r="AF40"/>
  <c r="Z44"/>
  <c r="W49"/>
  <c r="X51"/>
  <c r="Y51" s="1"/>
  <c r="W52"/>
  <c r="Y52" s="1"/>
  <c r="Z54"/>
  <c r="U55"/>
  <c r="J64"/>
  <c r="W70"/>
  <c r="W72"/>
  <c r="Y72" s="1"/>
  <c r="AF75"/>
  <c r="AG75" s="1"/>
  <c r="V79"/>
  <c r="X86"/>
  <c r="W89"/>
  <c r="E95"/>
  <c r="G95" s="1"/>
  <c r="AA99"/>
  <c r="AF101"/>
  <c r="AG101" s="1"/>
  <c r="AF103"/>
  <c r="AG103" s="1"/>
  <c r="AH109"/>
  <c r="AB130"/>
  <c r="X133"/>
  <c r="X135"/>
  <c r="W143"/>
  <c r="X144"/>
  <c r="W150"/>
  <c r="AH153"/>
  <c r="Z155"/>
  <c r="Z165"/>
  <c r="Z166"/>
  <c r="X225"/>
  <c r="N11"/>
  <c r="V16"/>
  <c r="X19"/>
  <c r="AG19" s="1"/>
  <c r="V22"/>
  <c r="X25"/>
  <c r="Y25" s="1"/>
  <c r="W28"/>
  <c r="T32"/>
  <c r="W40"/>
  <c r="Y40" s="1"/>
  <c r="AA40"/>
  <c r="V42"/>
  <c r="W47"/>
  <c r="P50"/>
  <c r="AA52"/>
  <c r="AI52" s="1"/>
  <c r="V54"/>
  <c r="G55"/>
  <c r="Q57"/>
  <c r="AF66"/>
  <c r="AG66" s="1"/>
  <c r="V70"/>
  <c r="AA72"/>
  <c r="AI72" s="1"/>
  <c r="T77"/>
  <c r="V77" s="1"/>
  <c r="L78"/>
  <c r="L77" s="1"/>
  <c r="L76" s="1"/>
  <c r="U78"/>
  <c r="W86"/>
  <c r="Y86" s="1"/>
  <c r="W91"/>
  <c r="X92"/>
  <c r="AG92" s="1"/>
  <c r="AF94"/>
  <c r="AG94" s="1"/>
  <c r="J95"/>
  <c r="S97"/>
  <c r="W99"/>
  <c r="AH99"/>
  <c r="U100"/>
  <c r="AF102"/>
  <c r="AG102" s="1"/>
  <c r="W106"/>
  <c r="Z106"/>
  <c r="AF107"/>
  <c r="AG107" s="1"/>
  <c r="X108"/>
  <c r="Y108" s="1"/>
  <c r="AA109"/>
  <c r="AB109" s="1"/>
  <c r="P110"/>
  <c r="X111"/>
  <c r="Y111" s="1"/>
  <c r="V118"/>
  <c r="Z120"/>
  <c r="X122"/>
  <c r="X129"/>
  <c r="AA129" s="1"/>
  <c r="K132"/>
  <c r="W138"/>
  <c r="Y138" s="1"/>
  <c r="AI138"/>
  <c r="X139"/>
  <c r="K142"/>
  <c r="M143"/>
  <c r="S143"/>
  <c r="Z146"/>
  <c r="AA147"/>
  <c r="Z149"/>
  <c r="AA150"/>
  <c r="AI150" s="1"/>
  <c r="T152"/>
  <c r="AA153"/>
  <c r="AI159"/>
  <c r="Z160"/>
  <c r="AB160" s="1"/>
  <c r="X181"/>
  <c r="AF187"/>
  <c r="AA190"/>
  <c r="W192"/>
  <c r="U202"/>
  <c r="AG211"/>
  <c r="U212" i="111" s="1"/>
  <c r="AA218" i="117"/>
  <c r="AB218" s="1"/>
  <c r="AA222"/>
  <c r="AB222" s="1"/>
  <c r="X227"/>
  <c r="N278"/>
  <c r="T177"/>
  <c r="P177"/>
  <c r="AH178"/>
  <c r="AA178"/>
  <c r="X178"/>
  <c r="Z208"/>
  <c r="V208"/>
  <c r="W208"/>
  <c r="Y208" s="1"/>
  <c r="J211"/>
  <c r="H207"/>
  <c r="AH211"/>
  <c r="AA211"/>
  <c r="AH213"/>
  <c r="AA213"/>
  <c r="X213"/>
  <c r="AG213" s="1"/>
  <c r="U214" i="111" s="1"/>
  <c r="Z215" i="117"/>
  <c r="AB215" s="1"/>
  <c r="V215"/>
  <c r="W215"/>
  <c r="Z219"/>
  <c r="V219"/>
  <c r="W219"/>
  <c r="Z223"/>
  <c r="V223"/>
  <c r="W223"/>
  <c r="Y223" s="1"/>
  <c r="AH226"/>
  <c r="AA226"/>
  <c r="X226"/>
  <c r="Z229"/>
  <c r="V229"/>
  <c r="W229"/>
  <c r="J231"/>
  <c r="H229"/>
  <c r="J229" s="1"/>
  <c r="U239"/>
  <c r="V239" s="1"/>
  <c r="P239"/>
  <c r="O238"/>
  <c r="G242"/>
  <c r="E241"/>
  <c r="G241" s="1"/>
  <c r="AH251"/>
  <c r="X251"/>
  <c r="Y251" s="1"/>
  <c r="V258"/>
  <c r="W258"/>
  <c r="Y258" s="1"/>
  <c r="AF86"/>
  <c r="AG86" s="1"/>
  <c r="AF130"/>
  <c r="AG130" s="1"/>
  <c r="AF138"/>
  <c r="AG138" s="1"/>
  <c r="AF146"/>
  <c r="AG146" s="1"/>
  <c r="AF149"/>
  <c r="X169"/>
  <c r="Y169" s="1"/>
  <c r="AF178"/>
  <c r="G183"/>
  <c r="G188"/>
  <c r="G191"/>
  <c r="T202"/>
  <c r="AF251"/>
  <c r="Y256"/>
  <c r="AH155"/>
  <c r="AI155" s="1"/>
  <c r="AA155"/>
  <c r="AA157" s="1"/>
  <c r="X155"/>
  <c r="S159"/>
  <c r="Q158"/>
  <c r="AH183"/>
  <c r="AA183"/>
  <c r="X183"/>
  <c r="AH188"/>
  <c r="AI188" s="1"/>
  <c r="AA188"/>
  <c r="AB188" s="1"/>
  <c r="X188"/>
  <c r="Y188" s="1"/>
  <c r="AH206"/>
  <c r="AA206"/>
  <c r="X206"/>
  <c r="G210"/>
  <c r="E207"/>
  <c r="G207" s="1"/>
  <c r="Z213"/>
  <c r="AB213" s="1"/>
  <c r="V213"/>
  <c r="W213"/>
  <c r="Z214"/>
  <c r="W214"/>
  <c r="O217"/>
  <c r="Z226"/>
  <c r="AB226" s="1"/>
  <c r="V226"/>
  <c r="W226"/>
  <c r="Z239"/>
  <c r="T238"/>
  <c r="AH254"/>
  <c r="X254"/>
  <c r="Y254" s="1"/>
  <c r="AF155"/>
  <c r="K158"/>
  <c r="M158" s="1"/>
  <c r="N176"/>
  <c r="W178"/>
  <c r="Y178" s="1"/>
  <c r="H180"/>
  <c r="AF181"/>
  <c r="M182"/>
  <c r="AF183"/>
  <c r="AG183" s="1"/>
  <c r="E187"/>
  <c r="AF188"/>
  <c r="AG188" s="1"/>
  <c r="W203"/>
  <c r="S207"/>
  <c r="AF218"/>
  <c r="AG218" s="1"/>
  <c r="X222"/>
  <c r="S237"/>
  <c r="E238"/>
  <c r="AF254"/>
  <c r="AH271"/>
  <c r="AI271" s="1"/>
  <c r="T207"/>
  <c r="AH209"/>
  <c r="AA209"/>
  <c r="X209"/>
  <c r="Z210"/>
  <c r="AB210" s="1"/>
  <c r="V210"/>
  <c r="W210"/>
  <c r="Z211"/>
  <c r="V211"/>
  <c r="W211"/>
  <c r="Y211" s="1"/>
  <c r="K207"/>
  <c r="M214"/>
  <c r="M221"/>
  <c r="K217"/>
  <c r="M217" s="1"/>
  <c r="H235"/>
  <c r="J235" s="1"/>
  <c r="J236"/>
  <c r="AH242"/>
  <c r="X242"/>
  <c r="Y242" s="1"/>
  <c r="Z245"/>
  <c r="V245"/>
  <c r="AH248"/>
  <c r="X248"/>
  <c r="Z249"/>
  <c r="V249"/>
  <c r="J259"/>
  <c r="H251"/>
  <c r="J251" s="1"/>
  <c r="AH260"/>
  <c r="X260"/>
  <c r="Y260" s="1"/>
  <c r="Z261"/>
  <c r="V261"/>
  <c r="AH264"/>
  <c r="X264"/>
  <c r="AH267"/>
  <c r="X267"/>
  <c r="Y267" s="1"/>
  <c r="Z268"/>
  <c r="V268"/>
  <c r="AF169"/>
  <c r="T189"/>
  <c r="M194"/>
  <c r="G203"/>
  <c r="AH205"/>
  <c r="AF205"/>
  <c r="W206"/>
  <c r="Y206" s="1"/>
  <c r="AF209"/>
  <c r="L207"/>
  <c r="G252"/>
  <c r="AF253"/>
  <c r="AG253" s="1"/>
  <c r="G255"/>
  <c r="AF256"/>
  <c r="AG256" s="1"/>
  <c r="AH203"/>
  <c r="AA203"/>
  <c r="AA205" s="1"/>
  <c r="X203"/>
  <c r="AH219"/>
  <c r="AA219"/>
  <c r="AH223"/>
  <c r="AA223"/>
  <c r="AH228"/>
  <c r="AA228"/>
  <c r="AH229"/>
  <c r="AA229"/>
  <c r="AH241"/>
  <c r="AA241"/>
  <c r="AJ241" i="118" s="1"/>
  <c r="X241" i="117"/>
  <c r="AH252"/>
  <c r="X252"/>
  <c r="Y252" s="1"/>
  <c r="Z253"/>
  <c r="V253"/>
  <c r="AH255"/>
  <c r="X255"/>
  <c r="Y255" s="1"/>
  <c r="Z256"/>
  <c r="V256"/>
  <c r="G200"/>
  <c r="AF203"/>
  <c r="AF204"/>
  <c r="AG204" s="1"/>
  <c r="AF208"/>
  <c r="AG208" s="1"/>
  <c r="W209"/>
  <c r="AF219"/>
  <c r="X220"/>
  <c r="AF223"/>
  <c r="X224"/>
  <c r="AF228"/>
  <c r="AG228" s="1"/>
  <c r="AF229"/>
  <c r="AG229" s="1"/>
  <c r="AH236"/>
  <c r="AI236" s="1"/>
  <c r="AF241"/>
  <c r="AF247"/>
  <c r="AG247" s="1"/>
  <c r="AF259"/>
  <c r="AG259" s="1"/>
  <c r="AF263"/>
  <c r="AG263" s="1"/>
  <c r="G265"/>
  <c r="AF266"/>
  <c r="AG266" s="1"/>
  <c r="AF220"/>
  <c r="AF222"/>
  <c r="AG222" s="1"/>
  <c r="AF224"/>
  <c r="AF225"/>
  <c r="AF227"/>
  <c r="AA15" i="116"/>
  <c r="X15"/>
  <c r="U17"/>
  <c r="Q10"/>
  <c r="J16"/>
  <c r="H15"/>
  <c r="M19"/>
  <c r="K18"/>
  <c r="M18" s="1"/>
  <c r="G25"/>
  <c r="E24"/>
  <c r="T32"/>
  <c r="H34"/>
  <c r="J35"/>
  <c r="U51"/>
  <c r="V51" s="1"/>
  <c r="P51"/>
  <c r="J55"/>
  <c r="V61"/>
  <c r="T60"/>
  <c r="W61"/>
  <c r="W97"/>
  <c r="Z104"/>
  <c r="J142"/>
  <c r="J159"/>
  <c r="H158"/>
  <c r="J158" s="1"/>
  <c r="W161"/>
  <c r="Y161" s="1"/>
  <c r="Y159"/>
  <c r="Z203"/>
  <c r="V203"/>
  <c r="W203"/>
  <c r="Z16"/>
  <c r="AB16" s="1"/>
  <c r="V16"/>
  <c r="W16"/>
  <c r="G23"/>
  <c r="E21"/>
  <c r="U34"/>
  <c r="X35"/>
  <c r="Z43"/>
  <c r="W43"/>
  <c r="M49"/>
  <c r="K46"/>
  <c r="Z54"/>
  <c r="AB54" s="1"/>
  <c r="V54"/>
  <c r="W54"/>
  <c r="E68"/>
  <c r="G76"/>
  <c r="X91"/>
  <c r="Y91" s="1"/>
  <c r="AA91"/>
  <c r="AB91" s="1"/>
  <c r="V91"/>
  <c r="U98"/>
  <c r="R97"/>
  <c r="U97" s="1"/>
  <c r="T126"/>
  <c r="P126"/>
  <c r="N125"/>
  <c r="AB153"/>
  <c r="AA154"/>
  <c r="AB154" s="1"/>
  <c r="AC154" s="1"/>
  <c r="S177"/>
  <c r="Q176"/>
  <c r="T176" s="1"/>
  <c r="O239"/>
  <c r="L238"/>
  <c r="L237" s="1"/>
  <c r="M17"/>
  <c r="K15"/>
  <c r="Z27"/>
  <c r="Z29"/>
  <c r="V29"/>
  <c r="W29"/>
  <c r="Y29" s="1"/>
  <c r="M44"/>
  <c r="K43"/>
  <c r="U45"/>
  <c r="P45"/>
  <c r="J47"/>
  <c r="H46"/>
  <c r="M55"/>
  <c r="Z55"/>
  <c r="AB55" s="1"/>
  <c r="V55"/>
  <c r="Z63"/>
  <c r="V63"/>
  <c r="Z66"/>
  <c r="AB66" s="1"/>
  <c r="V66"/>
  <c r="W66"/>
  <c r="Y66" s="1"/>
  <c r="H69"/>
  <c r="J74"/>
  <c r="Z93"/>
  <c r="AB93" s="1"/>
  <c r="V93"/>
  <c r="W93"/>
  <c r="Y93" s="1"/>
  <c r="X100"/>
  <c r="Y100" s="1"/>
  <c r="AA100"/>
  <c r="AB100" s="1"/>
  <c r="V100"/>
  <c r="R104"/>
  <c r="S104" s="1"/>
  <c r="S110"/>
  <c r="AD110"/>
  <c r="S111"/>
  <c r="U111"/>
  <c r="M133"/>
  <c r="K132"/>
  <c r="Z133"/>
  <c r="AB133" s="1"/>
  <c r="V133"/>
  <c r="W133"/>
  <c r="Y133" s="1"/>
  <c r="G189"/>
  <c r="E187"/>
  <c r="Y257"/>
  <c r="Z257"/>
  <c r="U49"/>
  <c r="F21"/>
  <c r="I24"/>
  <c r="G27"/>
  <c r="AB52"/>
  <c r="AC52" s="1"/>
  <c r="K69"/>
  <c r="V71"/>
  <c r="Y72"/>
  <c r="AB73"/>
  <c r="G77"/>
  <c r="R78"/>
  <c r="R77" s="1"/>
  <c r="J91"/>
  <c r="J95"/>
  <c r="AC13"/>
  <c r="AA20"/>
  <c r="O11"/>
  <c r="O10" s="1"/>
  <c r="U20"/>
  <c r="U28"/>
  <c r="M35"/>
  <c r="J37"/>
  <c r="J40"/>
  <c r="L43"/>
  <c r="G48"/>
  <c r="M64"/>
  <c r="AB70"/>
  <c r="AA71"/>
  <c r="AJ71" i="118" s="1"/>
  <c r="AM71" s="1"/>
  <c r="V72" i="116"/>
  <c r="Y73"/>
  <c r="AC73" s="1"/>
  <c r="Q78"/>
  <c r="M90"/>
  <c r="G95"/>
  <c r="Z97"/>
  <c r="G112"/>
  <c r="G113"/>
  <c r="AC167"/>
  <c r="Z19"/>
  <c r="AB19" s="1"/>
  <c r="AC19" s="1"/>
  <c r="V19"/>
  <c r="U21"/>
  <c r="V21" s="1"/>
  <c r="AC22"/>
  <c r="X24"/>
  <c r="X26" s="1"/>
  <c r="U26"/>
  <c r="AA42"/>
  <c r="AB42" s="1"/>
  <c r="X42"/>
  <c r="Y42" s="1"/>
  <c r="T46"/>
  <c r="Z48"/>
  <c r="AB48" s="1"/>
  <c r="V48"/>
  <c r="W48"/>
  <c r="Y48" s="1"/>
  <c r="T69"/>
  <c r="N68"/>
  <c r="V82"/>
  <c r="W82"/>
  <c r="W148"/>
  <c r="Y148" s="1"/>
  <c r="Y146"/>
  <c r="Z180"/>
  <c r="V180"/>
  <c r="W180"/>
  <c r="S214"/>
  <c r="R207"/>
  <c r="S207" s="1"/>
  <c r="J12"/>
  <c r="T24"/>
  <c r="P24"/>
  <c r="AA25"/>
  <c r="AJ25" i="118" s="1"/>
  <c r="AM25" s="1"/>
  <c r="X25" i="116"/>
  <c r="Y25" s="1"/>
  <c r="J26"/>
  <c r="H24"/>
  <c r="U27"/>
  <c r="P27"/>
  <c r="L34"/>
  <c r="L32" s="1"/>
  <c r="L31" s="1"/>
  <c r="L30" s="1"/>
  <c r="O35"/>
  <c r="U50"/>
  <c r="P50"/>
  <c r="Z51"/>
  <c r="R67"/>
  <c r="R56" s="1"/>
  <c r="R53" s="1"/>
  <c r="K60"/>
  <c r="M61"/>
  <c r="M88"/>
  <c r="O88"/>
  <c r="U90"/>
  <c r="V90" s="1"/>
  <c r="P90"/>
  <c r="U125"/>
  <c r="O124"/>
  <c r="U124" s="1"/>
  <c r="AA126"/>
  <c r="AA128" s="1"/>
  <c r="U128"/>
  <c r="X126"/>
  <c r="X128" s="1"/>
  <c r="Z135"/>
  <c r="AB135" s="1"/>
  <c r="V135"/>
  <c r="W135"/>
  <c r="Y135" s="1"/>
  <c r="Z183"/>
  <c r="AB183" s="1"/>
  <c r="V183"/>
  <c r="W183"/>
  <c r="Y183" s="1"/>
  <c r="Z220"/>
  <c r="V220"/>
  <c r="W220"/>
  <c r="M242"/>
  <c r="K241"/>
  <c r="M241" s="1"/>
  <c r="Y260"/>
  <c r="Z260"/>
  <c r="T15"/>
  <c r="P15"/>
  <c r="Z21"/>
  <c r="W32"/>
  <c r="S35"/>
  <c r="R34"/>
  <c r="U37"/>
  <c r="V37" s="1"/>
  <c r="P37"/>
  <c r="Z40"/>
  <c r="AB40" s="1"/>
  <c r="V40"/>
  <c r="W40"/>
  <c r="Y40" s="1"/>
  <c r="S44"/>
  <c r="R43"/>
  <c r="O47"/>
  <c r="L46"/>
  <c r="P54"/>
  <c r="Q57"/>
  <c r="S58"/>
  <c r="L69"/>
  <c r="L68" s="1"/>
  <c r="O74"/>
  <c r="J78"/>
  <c r="H77"/>
  <c r="W90"/>
  <c r="Z90"/>
  <c r="M97"/>
  <c r="U99"/>
  <c r="S99"/>
  <c r="AA136"/>
  <c r="X136"/>
  <c r="W202"/>
  <c r="AA224"/>
  <c r="X224"/>
  <c r="Y264"/>
  <c r="Z264"/>
  <c r="AB264" s="1"/>
  <c r="Y71"/>
  <c r="R11"/>
  <c r="R10" s="1"/>
  <c r="S15"/>
  <c r="W23"/>
  <c r="AA24"/>
  <c r="U44"/>
  <c r="J45"/>
  <c r="E46"/>
  <c r="G46" s="1"/>
  <c r="M62"/>
  <c r="J66"/>
  <c r="R69"/>
  <c r="I68"/>
  <c r="K78"/>
  <c r="G92"/>
  <c r="N11"/>
  <c r="X16"/>
  <c r="H18"/>
  <c r="J18" s="1"/>
  <c r="T18"/>
  <c r="K21"/>
  <c r="P21"/>
  <c r="AB22"/>
  <c r="Q31"/>
  <c r="E34"/>
  <c r="I34"/>
  <c r="I32" s="1"/>
  <c r="I31" s="1"/>
  <c r="I30" s="1"/>
  <c r="V42"/>
  <c r="S46"/>
  <c r="G54"/>
  <c r="X54"/>
  <c r="AC62"/>
  <c r="M65"/>
  <c r="M67"/>
  <c r="G69"/>
  <c r="Y70"/>
  <c r="S71"/>
  <c r="AB71"/>
  <c r="AA72"/>
  <c r="AB72" s="1"/>
  <c r="V73"/>
  <c r="U75"/>
  <c r="S79"/>
  <c r="T81"/>
  <c r="AA96"/>
  <c r="G97"/>
  <c r="P97"/>
  <c r="U104"/>
  <c r="V104" s="1"/>
  <c r="W104"/>
  <c r="Q123"/>
  <c r="O115"/>
  <c r="W145"/>
  <c r="Y145" s="1"/>
  <c r="Y143"/>
  <c r="Z164"/>
  <c r="AB164" s="1"/>
  <c r="AB162"/>
  <c r="AC162" s="1"/>
  <c r="L200"/>
  <c r="M202"/>
  <c r="Z219"/>
  <c r="AB219" s="1"/>
  <c r="V219"/>
  <c r="W219"/>
  <c r="Y219" s="1"/>
  <c r="J221"/>
  <c r="H217"/>
  <c r="J217" s="1"/>
  <c r="Z238"/>
  <c r="W238"/>
  <c r="T237"/>
  <c r="Y242"/>
  <c r="Z242"/>
  <c r="AB242" s="1"/>
  <c r="V245"/>
  <c r="W245"/>
  <c r="Y245" s="1"/>
  <c r="V249"/>
  <c r="W249"/>
  <c r="Y249" s="1"/>
  <c r="Y267"/>
  <c r="Z267"/>
  <c r="Z96"/>
  <c r="V96"/>
  <c r="Z102"/>
  <c r="AB102" s="1"/>
  <c r="V102"/>
  <c r="Z105"/>
  <c r="AB105" s="1"/>
  <c r="V105"/>
  <c r="Z106"/>
  <c r="AB106" s="1"/>
  <c r="V106"/>
  <c r="Z107"/>
  <c r="AB107" s="1"/>
  <c r="V107"/>
  <c r="Z108"/>
  <c r="AB108" s="1"/>
  <c r="V108"/>
  <c r="Z109"/>
  <c r="AB109" s="1"/>
  <c r="V109"/>
  <c r="S126"/>
  <c r="Q125"/>
  <c r="Z127"/>
  <c r="AB127" s="1"/>
  <c r="V127"/>
  <c r="W127"/>
  <c r="Y127" s="1"/>
  <c r="Z142"/>
  <c r="AB142" s="1"/>
  <c r="V142"/>
  <c r="W142"/>
  <c r="Y142" s="1"/>
  <c r="Z148"/>
  <c r="AB148" s="1"/>
  <c r="AB146"/>
  <c r="W157"/>
  <c r="Y157" s="1"/>
  <c r="Y155"/>
  <c r="AC155" s="1"/>
  <c r="Z161"/>
  <c r="AB161" s="1"/>
  <c r="AB159"/>
  <c r="J178"/>
  <c r="H177"/>
  <c r="AA178"/>
  <c r="X178"/>
  <c r="G202"/>
  <c r="E200"/>
  <c r="J210"/>
  <c r="H207"/>
  <c r="Z210"/>
  <c r="AB210" s="1"/>
  <c r="V210"/>
  <c r="W210"/>
  <c r="Y210" s="1"/>
  <c r="Z212"/>
  <c r="AB212" s="1"/>
  <c r="V212"/>
  <c r="W212"/>
  <c r="Y212" s="1"/>
  <c r="T217"/>
  <c r="O221"/>
  <c r="L217"/>
  <c r="Z223"/>
  <c r="AB223" s="1"/>
  <c r="V223"/>
  <c r="W223"/>
  <c r="Y223" s="1"/>
  <c r="M231"/>
  <c r="K229"/>
  <c r="M229" s="1"/>
  <c r="Q237"/>
  <c r="X256"/>
  <c r="AA256" s="1"/>
  <c r="AJ256" i="118" s="1"/>
  <c r="AM256" s="1"/>
  <c r="J259" i="116"/>
  <c r="H251"/>
  <c r="J251" s="1"/>
  <c r="X259"/>
  <c r="AA259" s="1"/>
  <c r="AJ259" i="118" s="1"/>
  <c r="X263" i="116"/>
  <c r="AA263" s="1"/>
  <c r="G114"/>
  <c r="Y119"/>
  <c r="AC119" s="1"/>
  <c r="AC137"/>
  <c r="M162"/>
  <c r="M239"/>
  <c r="G241"/>
  <c r="V86"/>
  <c r="AA86"/>
  <c r="AB86" s="1"/>
  <c r="G88"/>
  <c r="P89"/>
  <c r="Y92"/>
  <c r="AC92" s="1"/>
  <c r="Z94"/>
  <c r="AB94" s="1"/>
  <c r="Y101"/>
  <c r="AC101" s="1"/>
  <c r="M121"/>
  <c r="G129"/>
  <c r="AA134"/>
  <c r="U134"/>
  <c r="AC138"/>
  <c r="Y150"/>
  <c r="AC150" s="1"/>
  <c r="F142"/>
  <c r="F141" s="1"/>
  <c r="Y152"/>
  <c r="AC152" s="1"/>
  <c r="Y163"/>
  <c r="AC163" s="1"/>
  <c r="Y165"/>
  <c r="AC165" s="1"/>
  <c r="AC184"/>
  <c r="X193"/>
  <c r="AB204"/>
  <c r="X213"/>
  <c r="U214"/>
  <c r="G217"/>
  <c r="AC222"/>
  <c r="M235"/>
  <c r="Y236"/>
  <c r="M259"/>
  <c r="E125"/>
  <c r="J127"/>
  <c r="H126"/>
  <c r="Z136"/>
  <c r="AB136" s="1"/>
  <c r="V136"/>
  <c r="W136"/>
  <c r="Z139"/>
  <c r="AB139" s="1"/>
  <c r="V139"/>
  <c r="Z151"/>
  <c r="AB151" s="1"/>
  <c r="AB149"/>
  <c r="AC149" s="1"/>
  <c r="J181"/>
  <c r="H180"/>
  <c r="U200"/>
  <c r="U202" s="1"/>
  <c r="X202" s="1"/>
  <c r="P200"/>
  <c r="Z224"/>
  <c r="V224"/>
  <c r="W224"/>
  <c r="Y248"/>
  <c r="Z248"/>
  <c r="Y252"/>
  <c r="Z252"/>
  <c r="AB252" s="1"/>
  <c r="V253"/>
  <c r="W253"/>
  <c r="Y253" s="1"/>
  <c r="V268"/>
  <c r="W268"/>
  <c r="Y268" s="1"/>
  <c r="Z89"/>
  <c r="AB89" s="1"/>
  <c r="V89"/>
  <c r="Z103"/>
  <c r="AB103" s="1"/>
  <c r="V103"/>
  <c r="W103"/>
  <c r="Y103" s="1"/>
  <c r="T114"/>
  <c r="V117"/>
  <c r="V118"/>
  <c r="W118"/>
  <c r="Z122"/>
  <c r="AB122" s="1"/>
  <c r="V122"/>
  <c r="W122"/>
  <c r="Y122" s="1"/>
  <c r="M128"/>
  <c r="K126"/>
  <c r="X129"/>
  <c r="Y129" s="1"/>
  <c r="AA141"/>
  <c r="AB141" s="1"/>
  <c r="X141"/>
  <c r="Y141" s="1"/>
  <c r="M143"/>
  <c r="K142"/>
  <c r="Z143"/>
  <c r="V143"/>
  <c r="P176"/>
  <c r="N175"/>
  <c r="U177"/>
  <c r="R176"/>
  <c r="R175" s="1"/>
  <c r="Z178"/>
  <c r="AB178" s="1"/>
  <c r="V178"/>
  <c r="W178"/>
  <c r="Y178" s="1"/>
  <c r="AA180"/>
  <c r="AA182" s="1"/>
  <c r="X180"/>
  <c r="X182" s="1"/>
  <c r="W189"/>
  <c r="Y187"/>
  <c r="Z201"/>
  <c r="V201"/>
  <c r="W201"/>
  <c r="AA206"/>
  <c r="AB206" s="1"/>
  <c r="X206"/>
  <c r="V206"/>
  <c r="AA209"/>
  <c r="AB209" s="1"/>
  <c r="X209"/>
  <c r="V209"/>
  <c r="M211"/>
  <c r="K207"/>
  <c r="G215"/>
  <c r="E207"/>
  <c r="AA220"/>
  <c r="X220"/>
  <c r="J236"/>
  <c r="H235"/>
  <c r="J235" s="1"/>
  <c r="V256"/>
  <c r="W256"/>
  <c r="V259"/>
  <c r="W259"/>
  <c r="Y259" s="1"/>
  <c r="V263"/>
  <c r="W263"/>
  <c r="Z263" s="1"/>
  <c r="U110"/>
  <c r="Y120"/>
  <c r="AC120" s="1"/>
  <c r="AB144"/>
  <c r="M149"/>
  <c r="G155"/>
  <c r="AB156"/>
  <c r="AC156" s="1"/>
  <c r="J112"/>
  <c r="J113"/>
  <c r="Z130"/>
  <c r="T132"/>
  <c r="W139"/>
  <c r="Y139" s="1"/>
  <c r="E141"/>
  <c r="G141" s="1"/>
  <c r="AA145"/>
  <c r="AC144"/>
  <c r="Y151"/>
  <c r="AC153"/>
  <c r="AA157"/>
  <c r="AB157" s="1"/>
  <c r="Y164"/>
  <c r="AC164" s="1"/>
  <c r="AC166"/>
  <c r="L177"/>
  <c r="AI200"/>
  <c r="AI202" s="1"/>
  <c r="K238"/>
  <c r="AA247"/>
  <c r="AA266"/>
  <c r="AJ266" i="118" s="1"/>
  <c r="AM266" s="1"/>
  <c r="M179" i="116"/>
  <c r="K177"/>
  <c r="M181"/>
  <c r="K180"/>
  <c r="Z181"/>
  <c r="AB181" s="1"/>
  <c r="V181"/>
  <c r="T189"/>
  <c r="V189" s="1"/>
  <c r="Z187"/>
  <c r="V187"/>
  <c r="W196"/>
  <c r="Y194"/>
  <c r="T207"/>
  <c r="O207"/>
  <c r="U211"/>
  <c r="Z213"/>
  <c r="AB213" s="1"/>
  <c r="V213"/>
  <c r="W213"/>
  <c r="M221"/>
  <c r="K217"/>
  <c r="Z225"/>
  <c r="AB225" s="1"/>
  <c r="V225"/>
  <c r="J231"/>
  <c r="H229"/>
  <c r="J229" s="1"/>
  <c r="S239"/>
  <c r="R238"/>
  <c r="R237" s="1"/>
  <c r="Z247"/>
  <c r="V247"/>
  <c r="W247"/>
  <c r="Y247" s="1"/>
  <c r="G259"/>
  <c r="E251"/>
  <c r="G251" s="1"/>
  <c r="V266"/>
  <c r="W266"/>
  <c r="Y266" s="1"/>
  <c r="P110"/>
  <c r="R117"/>
  <c r="G171"/>
  <c r="G182"/>
  <c r="AA189"/>
  <c r="AB188"/>
  <c r="G190"/>
  <c r="Y192"/>
  <c r="AE201"/>
  <c r="AB208"/>
  <c r="F207"/>
  <c r="R217"/>
  <c r="S217" s="1"/>
  <c r="M225"/>
  <c r="Y228"/>
  <c r="AC228" s="1"/>
  <c r="J232"/>
  <c r="AC232"/>
  <c r="H238"/>
  <c r="AA258"/>
  <c r="AJ258" i="118" s="1"/>
  <c r="AM258" s="1"/>
  <c r="AA261" i="116"/>
  <c r="AJ261" i="118" s="1"/>
  <c r="AM261" s="1"/>
  <c r="AA270" i="116"/>
  <c r="J272"/>
  <c r="N278"/>
  <c r="W173"/>
  <c r="Y171"/>
  <c r="T177"/>
  <c r="P177"/>
  <c r="J202"/>
  <c r="H200"/>
  <c r="T211"/>
  <c r="P211"/>
  <c r="Z215"/>
  <c r="AB215" s="1"/>
  <c r="V215"/>
  <c r="Z226"/>
  <c r="AB226" s="1"/>
  <c r="V226"/>
  <c r="W226"/>
  <c r="Y226" s="1"/>
  <c r="AA227"/>
  <c r="AB227" s="1"/>
  <c r="X227"/>
  <c r="Y227" s="1"/>
  <c r="AA229"/>
  <c r="AB229" s="1"/>
  <c r="X229"/>
  <c r="Y229" s="1"/>
  <c r="Z236"/>
  <c r="V236"/>
  <c r="V258"/>
  <c r="W258"/>
  <c r="Y258" s="1"/>
  <c r="V261"/>
  <c r="W261"/>
  <c r="Y261" s="1"/>
  <c r="V270"/>
  <c r="W270"/>
  <c r="Y270" s="1"/>
  <c r="V272"/>
  <c r="X269"/>
  <c r="W239"/>
  <c r="X218"/>
  <c r="Y218" s="1"/>
  <c r="AC218" s="1"/>
  <c r="X216"/>
  <c r="Y216" s="1"/>
  <c r="AC216" s="1"/>
  <c r="W214"/>
  <c r="W209"/>
  <c r="X208"/>
  <c r="Y208" s="1"/>
  <c r="AC208" s="1"/>
  <c r="W206"/>
  <c r="X204"/>
  <c r="X205" s="1"/>
  <c r="X195"/>
  <c r="Y195" s="1"/>
  <c r="AC195" s="1"/>
  <c r="Z191"/>
  <c r="X172"/>
  <c r="Y172" s="1"/>
  <c r="AC172" s="1"/>
  <c r="Z168"/>
  <c r="Z194"/>
  <c r="Z192"/>
  <c r="AB192" s="1"/>
  <c r="AA191"/>
  <c r="AA193" s="1"/>
  <c r="W191"/>
  <c r="Z190"/>
  <c r="AB190" s="1"/>
  <c r="AC190" s="1"/>
  <c r="Z171"/>
  <c r="Z169"/>
  <c r="AB169" s="1"/>
  <c r="AC169" s="1"/>
  <c r="AA168"/>
  <c r="AA170" s="1"/>
  <c r="W168"/>
  <c r="X189"/>
  <c r="F187"/>
  <c r="Y188"/>
  <c r="AA245"/>
  <c r="AA249"/>
  <c r="AJ249" i="118" s="1"/>
  <c r="AM249" s="1"/>
  <c r="AA253" i="116"/>
  <c r="AJ253" i="118" s="1"/>
  <c r="AM253" s="1"/>
  <c r="AA268" i="116"/>
  <c r="Y269"/>
  <c r="AL200"/>
  <c r="J46" l="1"/>
  <c r="AG50" i="117"/>
  <c r="G34"/>
  <c r="M187" i="116"/>
  <c r="I11" i="118"/>
  <c r="I10" s="1"/>
  <c r="I9" s="1"/>
  <c r="I8" s="1"/>
  <c r="AH24" i="117"/>
  <c r="J43" i="118"/>
  <c r="M180"/>
  <c r="G24"/>
  <c r="J18" i="117"/>
  <c r="AC91" i="118"/>
  <c r="AD91" s="1"/>
  <c r="AA49"/>
  <c r="AB49" s="1"/>
  <c r="J46" i="117"/>
  <c r="M180" i="116"/>
  <c r="L176"/>
  <c r="L175" s="1"/>
  <c r="L174" s="1"/>
  <c r="M207"/>
  <c r="J180"/>
  <c r="V48" i="117"/>
  <c r="M43"/>
  <c r="AH48"/>
  <c r="V24"/>
  <c r="X91" i="118"/>
  <c r="X49"/>
  <c r="AD49" s="1"/>
  <c r="M18" i="117"/>
  <c r="M15"/>
  <c r="I176" i="116"/>
  <c r="F176"/>
  <c r="J15" i="118"/>
  <c r="L125" i="116"/>
  <c r="L124" s="1"/>
  <c r="F125"/>
  <c r="M132"/>
  <c r="AA221" i="117"/>
  <c r="AI221" s="1"/>
  <c r="U26"/>
  <c r="AF26" s="1"/>
  <c r="V49" i="118"/>
  <c r="V91"/>
  <c r="L176"/>
  <c r="G43" i="117"/>
  <c r="I125" i="116"/>
  <c r="I124" s="1"/>
  <c r="O60"/>
  <c r="P60" s="1"/>
  <c r="F176" i="118"/>
  <c r="M177" i="117"/>
  <c r="Z270" i="116"/>
  <c r="AC103"/>
  <c r="AC127"/>
  <c r="AC70"/>
  <c r="AG225" i="117"/>
  <c r="AI109"/>
  <c r="AI156"/>
  <c r="AI201"/>
  <c r="AG191"/>
  <c r="Z259"/>
  <c r="AA202"/>
  <c r="Y218"/>
  <c r="AB224"/>
  <c r="AF195" i="118"/>
  <c r="W128"/>
  <c r="Y128" s="1"/>
  <c r="Y122"/>
  <c r="U56"/>
  <c r="AF109"/>
  <c r="AF73"/>
  <c r="AF52"/>
  <c r="Y108"/>
  <c r="Y150"/>
  <c r="Y163"/>
  <c r="AF93"/>
  <c r="AC44" i="120"/>
  <c r="W232" i="121"/>
  <c r="J177"/>
  <c r="AF269" i="118"/>
  <c r="AD180"/>
  <c r="X117" i="116"/>
  <c r="X114" s="1"/>
  <c r="X113" s="1"/>
  <c r="V71" i="117"/>
  <c r="AG261"/>
  <c r="R58"/>
  <c r="S60"/>
  <c r="Y139"/>
  <c r="Y106" i="118"/>
  <c r="AC105" i="116"/>
  <c r="AA252" i="117"/>
  <c r="AI241"/>
  <c r="AI228"/>
  <c r="AI219"/>
  <c r="AA251"/>
  <c r="AJ251" i="118" s="1"/>
  <c r="AI211" i="117"/>
  <c r="AI178"/>
  <c r="AF18" i="118"/>
  <c r="M241"/>
  <c r="K238"/>
  <c r="K237" s="1"/>
  <c r="AC82"/>
  <c r="X82"/>
  <c r="U81"/>
  <c r="AC81" s="1"/>
  <c r="N174"/>
  <c r="T174" s="1"/>
  <c r="T175"/>
  <c r="AB247" i="116"/>
  <c r="G142"/>
  <c r="Y209"/>
  <c r="Z261"/>
  <c r="AB261" s="1"/>
  <c r="V200"/>
  <c r="Y213"/>
  <c r="AC213" s="1"/>
  <c r="Z268"/>
  <c r="AB268" s="1"/>
  <c r="Z249"/>
  <c r="AC55"/>
  <c r="AB211" i="117"/>
  <c r="AG251"/>
  <c r="AI240"/>
  <c r="AI216"/>
  <c r="AI215"/>
  <c r="AB156"/>
  <c r="AI203" i="118"/>
  <c r="AG153" i="117"/>
  <c r="AB201"/>
  <c r="AI133"/>
  <c r="AI96"/>
  <c r="AA257"/>
  <c r="AI152"/>
  <c r="W202" i="118"/>
  <c r="AF226"/>
  <c r="AF180"/>
  <c r="AJ240"/>
  <c r="AM240" s="1"/>
  <c r="AF229"/>
  <c r="X134"/>
  <c r="Y19"/>
  <c r="M24" i="116"/>
  <c r="G60" i="118"/>
  <c r="T16" i="120"/>
  <c r="AC16" s="1"/>
  <c r="U83"/>
  <c r="V83" s="1"/>
  <c r="V232" i="121"/>
  <c r="L98"/>
  <c r="M98" s="1"/>
  <c r="S45" i="120"/>
  <c r="Z154" i="118"/>
  <c r="Y168"/>
  <c r="Y171"/>
  <c r="AF125"/>
  <c r="AG29" i="117"/>
  <c r="P190" i="121"/>
  <c r="Z109" i="111"/>
  <c r="Z109" i="121"/>
  <c r="Z211"/>
  <c r="AA211"/>
  <c r="Z211" i="111"/>
  <c r="R218" i="121"/>
  <c r="S218" s="1"/>
  <c r="U48" i="111"/>
  <c r="U48" i="121"/>
  <c r="V48" s="1"/>
  <c r="U111"/>
  <c r="U111" i="111"/>
  <c r="T113" i="121"/>
  <c r="T114"/>
  <c r="T114" i="111"/>
  <c r="R57" i="121"/>
  <c r="R57" i="111"/>
  <c r="AA109" i="121"/>
  <c r="AA109" i="111"/>
  <c r="R98" i="121"/>
  <c r="S98" s="1"/>
  <c r="R98" i="111"/>
  <c r="S98" s="1"/>
  <c r="U97" i="121"/>
  <c r="T97" i="111"/>
  <c r="T97" i="121"/>
  <c r="R16" i="111"/>
  <c r="R16" i="121"/>
  <c r="R18" s="1"/>
  <c r="S18" s="1"/>
  <c r="T58"/>
  <c r="T58" i="111"/>
  <c r="R188" i="121"/>
  <c r="R190" s="1"/>
  <c r="S190" s="1"/>
  <c r="R188" i="111"/>
  <c r="T100" i="121"/>
  <c r="T100" i="111"/>
  <c r="U74" i="121"/>
  <c r="V74" s="1"/>
  <c r="U74" i="111"/>
  <c r="U75"/>
  <c r="U75" i="121"/>
  <c r="V75" s="1"/>
  <c r="X88"/>
  <c r="X88" i="111"/>
  <c r="R47" i="121"/>
  <c r="T46" i="111"/>
  <c r="T46" i="121"/>
  <c r="U128"/>
  <c r="U128" i="111"/>
  <c r="R68"/>
  <c r="R68" i="121"/>
  <c r="W71" i="111"/>
  <c r="U71" i="121"/>
  <c r="V71" s="1"/>
  <c r="U71" i="111"/>
  <c r="V71" s="1"/>
  <c r="T32"/>
  <c r="T32" i="121"/>
  <c r="T105"/>
  <c r="T106" i="111"/>
  <c r="T106" i="121"/>
  <c r="AA42" i="111"/>
  <c r="AA42" i="121"/>
  <c r="T22"/>
  <c r="T24" s="1"/>
  <c r="T22" i="111"/>
  <c r="T47" i="121"/>
  <c r="T50"/>
  <c r="T50" i="111"/>
  <c r="U216" i="121"/>
  <c r="U216" i="111"/>
  <c r="V216" s="1"/>
  <c r="U179"/>
  <c r="V179" s="1"/>
  <c r="U179" i="121"/>
  <c r="R31"/>
  <c r="R31" i="111"/>
  <c r="X67" i="121"/>
  <c r="Y67" s="1"/>
  <c r="X67" i="111"/>
  <c r="Y67" s="1"/>
  <c r="P24" i="121"/>
  <c r="U214" i="118"/>
  <c r="V214" s="1"/>
  <c r="J207" i="116"/>
  <c r="G68"/>
  <c r="AA24" i="117"/>
  <c r="AJ24" i="118" s="1"/>
  <c r="X24" i="117"/>
  <c r="X26" s="1"/>
  <c r="O207" i="118"/>
  <c r="U207" s="1"/>
  <c r="G46"/>
  <c r="I11" i="117"/>
  <c r="I10" s="1"/>
  <c r="I9" s="1"/>
  <c r="I8" s="1"/>
  <c r="H176" i="118"/>
  <c r="J238"/>
  <c r="J60"/>
  <c r="M21"/>
  <c r="P24" i="117"/>
  <c r="Y50"/>
  <c r="J132"/>
  <c r="AF88"/>
  <c r="F176"/>
  <c r="F175" s="1"/>
  <c r="F174" s="1"/>
  <c r="G135"/>
  <c r="M21"/>
  <c r="Y272" i="120"/>
  <c r="P206" i="121"/>
  <c r="P21"/>
  <c r="P180"/>
  <c r="P18"/>
  <c r="T91"/>
  <c r="T91" i="111"/>
  <c r="R45" i="121"/>
  <c r="S45" s="1"/>
  <c r="R45" i="111"/>
  <c r="T215"/>
  <c r="T215" i="121"/>
  <c r="T222"/>
  <c r="T222" i="111"/>
  <c r="T29" i="121"/>
  <c r="T29" i="111"/>
  <c r="R208" i="121"/>
  <c r="U26"/>
  <c r="V26" s="1"/>
  <c r="U26" i="111"/>
  <c r="R133" i="121"/>
  <c r="R126" s="1"/>
  <c r="R133" i="111"/>
  <c r="T127" i="121"/>
  <c r="T127" i="111"/>
  <c r="U28" i="121"/>
  <c r="V28" s="1"/>
  <c r="U28" i="111"/>
  <c r="T133" i="121"/>
  <c r="T133" i="111"/>
  <c r="R25" i="121"/>
  <c r="R27" s="1"/>
  <c r="S27" s="1"/>
  <c r="R25" i="111"/>
  <c r="U134" i="121"/>
  <c r="U134" i="111"/>
  <c r="V134" s="1"/>
  <c r="Q177" i="121"/>
  <c r="T237"/>
  <c r="T237" i="111"/>
  <c r="T236" s="1"/>
  <c r="T41" i="121"/>
  <c r="T41" i="111"/>
  <c r="X207" i="121"/>
  <c r="X207" i="111"/>
  <c r="T52" i="121"/>
  <c r="T52" i="111"/>
  <c r="Q12" i="121"/>
  <c r="Q11" s="1"/>
  <c r="T25"/>
  <c r="T27" s="1"/>
  <c r="T25" i="111"/>
  <c r="R202" i="121"/>
  <c r="S202" s="1"/>
  <c r="R202" i="111"/>
  <c r="S202" s="1"/>
  <c r="Q22" i="121"/>
  <c r="Q24" s="1"/>
  <c r="S24" s="1"/>
  <c r="Q22" i="111"/>
  <c r="R105" i="121"/>
  <c r="R105" i="111"/>
  <c r="U97"/>
  <c r="T90" i="121"/>
  <c r="T90" i="111"/>
  <c r="T76" i="121"/>
  <c r="T70" s="1"/>
  <c r="T76" i="111"/>
  <c r="T207" i="121"/>
  <c r="T207" i="111"/>
  <c r="AA207"/>
  <c r="AA207" i="121"/>
  <c r="T240"/>
  <c r="T240" i="111"/>
  <c r="T20" i="121"/>
  <c r="T20" i="111"/>
  <c r="T123"/>
  <c r="T123" i="121"/>
  <c r="Q31" i="111"/>
  <c r="Q31" i="121"/>
  <c r="U108"/>
  <c r="U108" i="111"/>
  <c r="X87" i="121"/>
  <c r="X87" i="111"/>
  <c r="R178" i="121"/>
  <c r="R180" s="1"/>
  <c r="S180" s="1"/>
  <c r="R178" i="111"/>
  <c r="S178" s="1"/>
  <c r="U106" i="121"/>
  <c r="U106" i="111"/>
  <c r="P203" i="121"/>
  <c r="W207"/>
  <c r="W207" i="111"/>
  <c r="R207" i="121"/>
  <c r="S207" s="1"/>
  <c r="R207" i="111"/>
  <c r="S207" s="1"/>
  <c r="U73" i="121"/>
  <c r="V73" s="1"/>
  <c r="U73" i="111"/>
  <c r="V73" s="1"/>
  <c r="T17" i="121"/>
  <c r="T17" i="111"/>
  <c r="T31" i="121"/>
  <c r="U89"/>
  <c r="V89" s="1"/>
  <c r="U89" i="111"/>
  <c r="U112" i="121"/>
  <c r="U112" i="111"/>
  <c r="V112" s="1"/>
  <c r="W28" i="121"/>
  <c r="W28" i="111"/>
  <c r="U23"/>
  <c r="U23" i="121"/>
  <c r="V23" s="1"/>
  <c r="T205"/>
  <c r="T205" i="111"/>
  <c r="T105"/>
  <c r="Q176" i="121"/>
  <c r="Q175" s="1"/>
  <c r="X72"/>
  <c r="Y72" s="1"/>
  <c r="W92"/>
  <c r="W92" i="111"/>
  <c r="U189" i="121"/>
  <c r="V189" s="1"/>
  <c r="U189" i="111"/>
  <c r="V189" s="1"/>
  <c r="W55" i="121"/>
  <c r="W55" i="111"/>
  <c r="T218" i="121"/>
  <c r="R19"/>
  <c r="R19" i="111"/>
  <c r="R78"/>
  <c r="R78" i="121"/>
  <c r="R204"/>
  <c r="R206" s="1"/>
  <c r="S206" s="1"/>
  <c r="R204" i="111"/>
  <c r="X101" i="121"/>
  <c r="X101" i="111"/>
  <c r="U51" i="121"/>
  <c r="V51" s="1"/>
  <c r="U51" i="111"/>
  <c r="U176" i="116"/>
  <c r="X173"/>
  <c r="AC225"/>
  <c r="AB29"/>
  <c r="N30" i="111"/>
  <c r="O30" s="1"/>
  <c r="AL29" i="118" s="1"/>
  <c r="Z30" i="111" s="1"/>
  <c r="AA30" s="1"/>
  <c r="AI29" i="118"/>
  <c r="W30" i="111" s="1"/>
  <c r="X30" s="1"/>
  <c r="AG241" i="117"/>
  <c r="AB245"/>
  <c r="AB219"/>
  <c r="AB153"/>
  <c r="AJ153" i="118"/>
  <c r="AM153" s="1"/>
  <c r="AB147" i="117"/>
  <c r="AJ147" i="118"/>
  <c r="O148" i="111"/>
  <c r="AL147" i="118" s="1"/>
  <c r="AB150" i="117"/>
  <c r="AI218"/>
  <c r="Z270"/>
  <c r="AB270" s="1"/>
  <c r="Y92"/>
  <c r="AA196"/>
  <c r="AB66"/>
  <c r="AI120"/>
  <c r="AJ120" i="118"/>
  <c r="AM120" s="1"/>
  <c r="AB16" i="117"/>
  <c r="AJ16" i="118"/>
  <c r="AB136" i="117"/>
  <c r="AI136" i="118"/>
  <c r="N137" i="111"/>
  <c r="AB257" i="117"/>
  <c r="AJ257" i="118"/>
  <c r="N182" i="111"/>
  <c r="AI181" i="118"/>
  <c r="AB29" i="117"/>
  <c r="AK29" i="118" s="1"/>
  <c r="AB203"/>
  <c r="AJ203"/>
  <c r="N192" i="111"/>
  <c r="AI191" i="118"/>
  <c r="O195" i="111"/>
  <c r="AL194" i="118" s="1"/>
  <c r="AJ194"/>
  <c r="AB228"/>
  <c r="N229" i="111"/>
  <c r="AI228" i="118"/>
  <c r="V213" i="111"/>
  <c r="AB183" i="118"/>
  <c r="N184" i="111"/>
  <c r="AI183" i="118"/>
  <c r="AB178"/>
  <c r="AI178"/>
  <c r="AA145"/>
  <c r="AF145" s="1"/>
  <c r="AJ135"/>
  <c r="O136" i="111"/>
  <c r="AL135" i="118" s="1"/>
  <c r="AB139"/>
  <c r="AI139"/>
  <c r="N140" i="111"/>
  <c r="AB107" i="118"/>
  <c r="AJ107"/>
  <c r="AB22"/>
  <c r="AK22" s="1"/>
  <c r="AJ22"/>
  <c r="AF22"/>
  <c r="V134"/>
  <c r="AI54"/>
  <c r="AB122"/>
  <c r="AI122"/>
  <c r="AB108"/>
  <c r="AJ108"/>
  <c r="AB99"/>
  <c r="AI99"/>
  <c r="AB42"/>
  <c r="AK42" s="1"/>
  <c r="AJ42"/>
  <c r="O43" i="111"/>
  <c r="AB206" i="118"/>
  <c r="AI206"/>
  <c r="AI127"/>
  <c r="AI73"/>
  <c r="AB66"/>
  <c r="AI66"/>
  <c r="AK147"/>
  <c r="AI187"/>
  <c r="AJ167"/>
  <c r="AM167" s="1"/>
  <c r="AJ268"/>
  <c r="AM268" s="1"/>
  <c r="Y206" i="116"/>
  <c r="AB25"/>
  <c r="AK25" i="118" s="1"/>
  <c r="AB257" i="116"/>
  <c r="AI257" i="118"/>
  <c r="Y16" i="116"/>
  <c r="AB249" i="117"/>
  <c r="AI249" i="118"/>
  <c r="Y256" i="116"/>
  <c r="Y189"/>
  <c r="AC86"/>
  <c r="AC223"/>
  <c r="AC109"/>
  <c r="AC107"/>
  <c r="X196"/>
  <c r="AG223" i="117"/>
  <c r="AI252"/>
  <c r="X205"/>
  <c r="AB261"/>
  <c r="AI261" i="118"/>
  <c r="AI209" i="117"/>
  <c r="AB251"/>
  <c r="AK251" i="118" s="1"/>
  <c r="AG155" i="117"/>
  <c r="AI183"/>
  <c r="AG178"/>
  <c r="AI251"/>
  <c r="Y229"/>
  <c r="Y215"/>
  <c r="AB208"/>
  <c r="N209" i="111"/>
  <c r="AI208" i="118"/>
  <c r="Y192" i="117"/>
  <c r="N147" i="111"/>
  <c r="AI146" i="118"/>
  <c r="AB166" i="117"/>
  <c r="AI166" i="118"/>
  <c r="N167" i="111"/>
  <c r="AB204" i="117"/>
  <c r="AB48"/>
  <c r="X193"/>
  <c r="AG193" s="1"/>
  <c r="AB110"/>
  <c r="AI110" i="118"/>
  <c r="AB138" i="117"/>
  <c r="N139" i="111"/>
  <c r="AI138" i="118"/>
  <c r="AI42" i="117"/>
  <c r="AB108"/>
  <c r="AI108" i="118"/>
  <c r="AI73" i="117"/>
  <c r="Y19"/>
  <c r="AG25"/>
  <c r="AG267"/>
  <c r="AG110"/>
  <c r="AB221" i="118"/>
  <c r="AI221"/>
  <c r="AF203"/>
  <c r="AK208"/>
  <c r="AB192"/>
  <c r="AK192" s="1"/>
  <c r="N193" i="111"/>
  <c r="AI192" i="118"/>
  <c r="O196" i="111"/>
  <c r="AL195" i="118" s="1"/>
  <c r="AJ195"/>
  <c r="AB229"/>
  <c r="AI229"/>
  <c r="O227" i="111"/>
  <c r="AL226" i="118" s="1"/>
  <c r="AJ226"/>
  <c r="AB223"/>
  <c r="N224" i="111"/>
  <c r="AI223" i="118"/>
  <c r="AA182"/>
  <c r="O181" i="111"/>
  <c r="AL180" i="118" s="1"/>
  <c r="AJ180"/>
  <c r="AJ229"/>
  <c r="AB209"/>
  <c r="N210" i="111"/>
  <c r="AI209" i="118"/>
  <c r="AF143"/>
  <c r="AF135"/>
  <c r="AF193"/>
  <c r="AJ193"/>
  <c r="AM193" s="1"/>
  <c r="AD71"/>
  <c r="AF194"/>
  <c r="Y178"/>
  <c r="AF110"/>
  <c r="AB28"/>
  <c r="AJ206"/>
  <c r="AK160"/>
  <c r="AJ109"/>
  <c r="AM109" s="1"/>
  <c r="AJ73"/>
  <c r="O53" i="111"/>
  <c r="AJ52" i="118"/>
  <c r="Y147"/>
  <c r="AF108"/>
  <c r="AI25"/>
  <c r="N144" i="111"/>
  <c r="AI143" i="118"/>
  <c r="AF99"/>
  <c r="AD219"/>
  <c r="Y42"/>
  <c r="AK136"/>
  <c r="AJ263"/>
  <c r="AM263" s="1"/>
  <c r="AB267" i="116"/>
  <c r="AI267" i="118"/>
  <c r="AB63" i="116"/>
  <c r="AI63" i="118"/>
  <c r="AB256" i="117"/>
  <c r="AB253"/>
  <c r="AI40"/>
  <c r="AJ40" i="118"/>
  <c r="AB52" i="117"/>
  <c r="N191" i="111"/>
  <c r="AI190" i="118"/>
  <c r="AB183" i="117"/>
  <c r="AG135"/>
  <c r="AB127"/>
  <c r="Y93"/>
  <c r="AB71"/>
  <c r="AI71" i="118"/>
  <c r="AB122" i="117"/>
  <c r="AB263"/>
  <c r="AI263" i="118"/>
  <c r="AB262" i="117"/>
  <c r="AJ262" i="118"/>
  <c r="AM262" s="1"/>
  <c r="AB247" i="117"/>
  <c r="AK247" i="118" s="1"/>
  <c r="AI247"/>
  <c r="AB246" i="117"/>
  <c r="AJ246" i="118"/>
  <c r="AM246" s="1"/>
  <c r="AB228" i="117"/>
  <c r="AG260"/>
  <c r="X154"/>
  <c r="N227" i="111"/>
  <c r="AI226" i="118"/>
  <c r="N181" i="111"/>
  <c r="AI180" i="118"/>
  <c r="AI236"/>
  <c r="AI239"/>
  <c r="AB204"/>
  <c r="AI204"/>
  <c r="AB201"/>
  <c r="AI201"/>
  <c r="AI214"/>
  <c r="AB188"/>
  <c r="AK188" s="1"/>
  <c r="AI188"/>
  <c r="AD29"/>
  <c r="AB220"/>
  <c r="O221" i="111"/>
  <c r="AL220" i="118" s="1"/>
  <c r="AJ220"/>
  <c r="AB215"/>
  <c r="AK215" s="1"/>
  <c r="AI215"/>
  <c r="AB216"/>
  <c r="N217" i="111"/>
  <c r="AI216" i="118"/>
  <c r="W205"/>
  <c r="Y205" s="1"/>
  <c r="AF161"/>
  <c r="AB93"/>
  <c r="AK93" s="1"/>
  <c r="AI93"/>
  <c r="AB40"/>
  <c r="AI40"/>
  <c r="AB124"/>
  <c r="Y99"/>
  <c r="AB106"/>
  <c r="AI106"/>
  <c r="AB102"/>
  <c r="AI102"/>
  <c r="AB98"/>
  <c r="AI98"/>
  <c r="AB86"/>
  <c r="AI86"/>
  <c r="AI47"/>
  <c r="AI44"/>
  <c r="Y210"/>
  <c r="AB194"/>
  <c r="AJ245"/>
  <c r="AM245" s="1"/>
  <c r="Y196" i="116"/>
  <c r="AB270"/>
  <c r="AC215"/>
  <c r="AC181"/>
  <c r="AB248"/>
  <c r="AI248" i="118"/>
  <c r="AC108" i="116"/>
  <c r="AC106"/>
  <c r="AC102"/>
  <c r="AA26"/>
  <c r="AB260"/>
  <c r="AI260" i="118"/>
  <c r="AC146" i="116"/>
  <c r="AG224" i="117"/>
  <c r="AI203"/>
  <c r="AB268"/>
  <c r="AI268" i="118"/>
  <c r="AA260" i="117"/>
  <c r="AJ178" i="118"/>
  <c r="AM178" s="1"/>
  <c r="AI149"/>
  <c r="N150" i="111"/>
  <c r="AB120" i="117"/>
  <c r="AI120" i="118"/>
  <c r="AG111" i="117"/>
  <c r="AI155" i="118"/>
  <c r="N156" i="111"/>
  <c r="AI182" i="117"/>
  <c r="AB259"/>
  <c r="Y135"/>
  <c r="AB96"/>
  <c r="AI96" i="118"/>
  <c r="AI66" i="117"/>
  <c r="X189"/>
  <c r="AI127"/>
  <c r="AI90" i="118"/>
  <c r="AA161" i="117"/>
  <c r="AI161" s="1"/>
  <c r="AB178"/>
  <c r="AJ163" i="118"/>
  <c r="O164" i="111"/>
  <c r="AL163" i="118" s="1"/>
  <c r="AB195" i="117"/>
  <c r="AK195" i="118" s="1"/>
  <c r="AB225" i="117"/>
  <c r="Y241"/>
  <c r="AI94" i="118"/>
  <c r="Y183" i="117"/>
  <c r="AI55" i="118"/>
  <c r="AI22" i="117"/>
  <c r="AI16"/>
  <c r="Y109"/>
  <c r="AI86"/>
  <c r="AJ86" i="118"/>
  <c r="AM86" s="1"/>
  <c r="AB19" i="117"/>
  <c r="AI19" i="118"/>
  <c r="AB73" i="117"/>
  <c r="AG132"/>
  <c r="AI110"/>
  <c r="AD181" i="118"/>
  <c r="AB269"/>
  <c r="AK269" s="1"/>
  <c r="AI269"/>
  <c r="AB213"/>
  <c r="AK213" s="1"/>
  <c r="N214" i="111"/>
  <c r="AI213" i="118"/>
  <c r="AB181"/>
  <c r="AJ181"/>
  <c r="O182" i="111"/>
  <c r="AL181" i="118" s="1"/>
  <c r="AM181" s="1"/>
  <c r="AK218"/>
  <c r="AD212"/>
  <c r="R213" i="111" s="1"/>
  <c r="O191"/>
  <c r="AL190" i="118" s="1"/>
  <c r="AJ190"/>
  <c r="AB219"/>
  <c r="AK219" s="1"/>
  <c r="N220" i="111"/>
  <c r="AI219" i="118"/>
  <c r="O213" i="111"/>
  <c r="AL212" i="118" s="1"/>
  <c r="AJ212"/>
  <c r="X213" i="111" s="1"/>
  <c r="AB270" i="118"/>
  <c r="AK270" s="1"/>
  <c r="AJ270"/>
  <c r="AM270" s="1"/>
  <c r="AB242"/>
  <c r="AF240"/>
  <c r="O229" i="111"/>
  <c r="AL228" i="118" s="1"/>
  <c r="AJ228"/>
  <c r="Y181"/>
  <c r="Y148"/>
  <c r="V212" i="111"/>
  <c r="O210"/>
  <c r="AL209" i="118" s="1"/>
  <c r="AJ209"/>
  <c r="Y141"/>
  <c r="AD100"/>
  <c r="S104"/>
  <c r="AD206"/>
  <c r="AJ139"/>
  <c r="O140" i="111"/>
  <c r="AL139" i="118" s="1"/>
  <c r="AA134"/>
  <c r="AJ134" s="1"/>
  <c r="AJ132"/>
  <c r="AM132" s="1"/>
  <c r="AA128"/>
  <c r="AJ127"/>
  <c r="AM127" s="1"/>
  <c r="AI97"/>
  <c r="Y156"/>
  <c r="Y195"/>
  <c r="AB211"/>
  <c r="AB101"/>
  <c r="AI101"/>
  <c r="AK153"/>
  <c r="AB129"/>
  <c r="N130" i="111"/>
  <c r="AI129" i="118"/>
  <c r="AF239"/>
  <c r="AA202"/>
  <c r="AJ202" s="1"/>
  <c r="AJ200"/>
  <c r="AK166"/>
  <c r="AI264"/>
  <c r="AJ247"/>
  <c r="AI252"/>
  <c r="AB24"/>
  <c r="F124" i="116"/>
  <c r="AM203" i="118"/>
  <c r="AM107"/>
  <c r="AK268"/>
  <c r="AK246"/>
  <c r="Q214" i="111"/>
  <c r="S214" s="1"/>
  <c r="O223"/>
  <c r="AL222" i="118" s="1"/>
  <c r="AJ222"/>
  <c r="AK115"/>
  <c r="AB222"/>
  <c r="AK222" s="1"/>
  <c r="N223" i="111"/>
  <c r="AI222" i="118"/>
  <c r="AA189"/>
  <c r="AF189" s="1"/>
  <c r="AJ188"/>
  <c r="N213" i="111"/>
  <c r="AI212" i="118"/>
  <c r="W213" i="111" s="1"/>
  <c r="Y213" s="1"/>
  <c r="AF101" i="118"/>
  <c r="AJ101"/>
  <c r="AM101" s="1"/>
  <c r="AA60"/>
  <c r="AA151"/>
  <c r="AJ149"/>
  <c r="O150" i="111"/>
  <c r="AL149" i="118" s="1"/>
  <c r="O167" i="111"/>
  <c r="AL166" i="118" s="1"/>
  <c r="AJ166"/>
  <c r="AD191"/>
  <c r="AI150"/>
  <c r="N151" i="111"/>
  <c r="AB150" i="118"/>
  <c r="AK150" s="1"/>
  <c r="O192" i="111"/>
  <c r="AL191" i="118" s="1"/>
  <c r="AM191" s="1"/>
  <c r="AJ191"/>
  <c r="O145" i="111"/>
  <c r="AL144" i="118" s="1"/>
  <c r="AJ144"/>
  <c r="O151" i="111"/>
  <c r="AL150" i="118" s="1"/>
  <c r="AJ150"/>
  <c r="O157" i="111"/>
  <c r="AL156" i="118" s="1"/>
  <c r="AJ156"/>
  <c r="AB163"/>
  <c r="N164" i="111"/>
  <c r="AI163" i="118"/>
  <c r="AJ171"/>
  <c r="AM171" s="1"/>
  <c r="O172" i="111"/>
  <c r="AL171" i="118" s="1"/>
  <c r="AK71"/>
  <c r="U60" i="116"/>
  <c r="U58" s="1"/>
  <c r="U57" s="1"/>
  <c r="X61"/>
  <c r="AK257" i="118"/>
  <c r="AI268" i="117"/>
  <c r="AI261"/>
  <c r="AG245"/>
  <c r="G113"/>
  <c r="E112"/>
  <c r="G112" s="1"/>
  <c r="AI89" i="118"/>
  <c r="AB135"/>
  <c r="AK135" s="1"/>
  <c r="N136" i="111"/>
  <c r="AI135" i="118"/>
  <c r="AI51"/>
  <c r="X113"/>
  <c r="H114" i="120"/>
  <c r="L11" i="116"/>
  <c r="L10" s="1"/>
  <c r="L9" s="1"/>
  <c r="L8" s="1"/>
  <c r="AM108" i="118"/>
  <c r="P27" i="121"/>
  <c r="V214" i="111"/>
  <c r="O228"/>
  <c r="AL227" i="118" s="1"/>
  <c r="AJ227"/>
  <c r="AD228"/>
  <c r="AK120"/>
  <c r="O209" i="111"/>
  <c r="AL208" i="118" s="1"/>
  <c r="AJ208"/>
  <c r="AJ187"/>
  <c r="AM187" s="1"/>
  <c r="O217" i="111"/>
  <c r="AL216" i="118" s="1"/>
  <c r="AJ216"/>
  <c r="AF201"/>
  <c r="O139" i="111"/>
  <c r="AL138" i="118" s="1"/>
  <c r="AJ138"/>
  <c r="AJ102"/>
  <c r="AM102" s="1"/>
  <c r="AB227"/>
  <c r="N228" i="111"/>
  <c r="AI227" i="118"/>
  <c r="AI172"/>
  <c r="N173" i="111"/>
  <c r="AI107" i="118"/>
  <c r="AA26"/>
  <c r="AB26" s="1"/>
  <c r="AF24"/>
  <c r="AB158"/>
  <c r="AI70"/>
  <c r="N49" i="111"/>
  <c r="AI48" i="118"/>
  <c r="AJ92"/>
  <c r="AA154"/>
  <c r="AJ152"/>
  <c r="AM152" s="1"/>
  <c r="Z161"/>
  <c r="AB161" s="1"/>
  <c r="N160" i="111"/>
  <c r="AI159" i="118"/>
  <c r="AB159"/>
  <c r="AD192"/>
  <c r="N221" i="111"/>
  <c r="AI220" i="118"/>
  <c r="AI144"/>
  <c r="N145" i="111"/>
  <c r="AB144" i="118"/>
  <c r="AK144" s="1"/>
  <c r="AJ159"/>
  <c r="O160" i="111"/>
  <c r="AL159" i="118" s="1"/>
  <c r="AA170"/>
  <c r="AF170" s="1"/>
  <c r="AJ210"/>
  <c r="AM210" s="1"/>
  <c r="Y165"/>
  <c r="O193" i="111"/>
  <c r="AL192" i="118" s="1"/>
  <c r="AM192" s="1"/>
  <c r="AJ192"/>
  <c r="AF192"/>
  <c r="O220" i="111"/>
  <c r="AL219" i="118" s="1"/>
  <c r="AM219" s="1"/>
  <c r="AJ219"/>
  <c r="AC108"/>
  <c r="AD108" s="1"/>
  <c r="V108"/>
  <c r="AC32"/>
  <c r="U31"/>
  <c r="AC31" s="1"/>
  <c r="AI21"/>
  <c r="AD16"/>
  <c r="S10" i="117"/>
  <c r="Z151" i="118"/>
  <c r="AA130" i="116"/>
  <c r="AB130" s="1"/>
  <c r="AC130" s="1"/>
  <c r="AB254"/>
  <c r="AB100" i="118"/>
  <c r="AI100"/>
  <c r="O224" i="111"/>
  <c r="AL223" i="118" s="1"/>
  <c r="AJ223"/>
  <c r="O219" i="111"/>
  <c r="AL218" i="118" s="1"/>
  <c r="AJ218"/>
  <c r="AB210"/>
  <c r="AK210" s="1"/>
  <c r="AI210"/>
  <c r="AB109"/>
  <c r="AK109" s="1"/>
  <c r="AI109"/>
  <c r="AB103"/>
  <c r="AI103"/>
  <c r="AK19"/>
  <c r="AI27"/>
  <c r="AD60"/>
  <c r="AA117"/>
  <c r="AI52"/>
  <c r="N53" i="111"/>
  <c r="AC252" i="120"/>
  <c r="AM40" i="118"/>
  <c r="AM73"/>
  <c r="AM188"/>
  <c r="O225" i="111"/>
  <c r="AL224" i="118" s="1"/>
  <c r="AJ224"/>
  <c r="AK262"/>
  <c r="AB225"/>
  <c r="AK225" s="1"/>
  <c r="AI225"/>
  <c r="AJ201"/>
  <c r="AM201" s="1"/>
  <c r="AI242"/>
  <c r="AJ269"/>
  <c r="AM269" s="1"/>
  <c r="O137" i="111"/>
  <c r="AL136" i="118" s="1"/>
  <c r="AM136" s="1"/>
  <c r="AJ136"/>
  <c r="AJ66"/>
  <c r="AM66" s="1"/>
  <c r="U67"/>
  <c r="AI50"/>
  <c r="Y138"/>
  <c r="AA157"/>
  <c r="AJ155"/>
  <c r="O156" i="111"/>
  <c r="AL155" i="118" s="1"/>
  <c r="O161" i="111"/>
  <c r="AL160" i="118" s="1"/>
  <c r="AJ160"/>
  <c r="AM160" s="1"/>
  <c r="AF160"/>
  <c r="N195" i="111"/>
  <c r="AI194" i="118"/>
  <c r="N163" i="111"/>
  <c r="AI162" i="118"/>
  <c r="AB169"/>
  <c r="AI169"/>
  <c r="N148" i="111"/>
  <c r="AI147" i="118"/>
  <c r="O214" i="111"/>
  <c r="AL213" i="118" s="1"/>
  <c r="AJ213"/>
  <c r="X214" i="111" s="1"/>
  <c r="Y191" i="118"/>
  <c r="AB138"/>
  <c r="AK138" s="1"/>
  <c r="U168" i="117"/>
  <c r="R158"/>
  <c r="S158" s="1"/>
  <c r="AB149" i="118"/>
  <c r="X82" i="116"/>
  <c r="U81"/>
  <c r="U78" s="1"/>
  <c r="U77" s="1"/>
  <c r="AJ133" i="118"/>
  <c r="AM133" s="1"/>
  <c r="AF51" i="117"/>
  <c r="AG51" s="1"/>
  <c r="AA51"/>
  <c r="AB51" s="1"/>
  <c r="AD22" i="118"/>
  <c r="AF223"/>
  <c r="AI105"/>
  <c r="AF218"/>
  <c r="AI91"/>
  <c r="AB72"/>
  <c r="AJ72"/>
  <c r="AM72" s="1"/>
  <c r="AB16"/>
  <c r="AK16" s="1"/>
  <c r="AI16"/>
  <c r="R95"/>
  <c r="AC22" i="120"/>
  <c r="V23"/>
  <c r="AM16" i="118"/>
  <c r="AM200"/>
  <c r="AM22"/>
  <c r="AM206"/>
  <c r="M126" i="121"/>
  <c r="AJ225" i="118"/>
  <c r="AK261"/>
  <c r="N225" i="111"/>
  <c r="AI224" i="118"/>
  <c r="O184" i="111"/>
  <c r="AL183" i="118" s="1"/>
  <c r="AJ183"/>
  <c r="AM183" s="1"/>
  <c r="AF222"/>
  <c r="AI160"/>
  <c r="N161" i="111"/>
  <c r="AB133" i="118"/>
  <c r="AK133" s="1"/>
  <c r="AI133"/>
  <c r="AJ29"/>
  <c r="N43" i="111"/>
  <c r="AI42" i="118"/>
  <c r="AA148"/>
  <c r="O147" i="111"/>
  <c r="AL146" i="118" s="1"/>
  <c r="AJ146"/>
  <c r="Y158"/>
  <c r="Z167"/>
  <c r="N166" i="111"/>
  <c r="AI165" i="118"/>
  <c r="AB165"/>
  <c r="O173" i="111"/>
  <c r="AL172" i="118" s="1"/>
  <c r="AJ172"/>
  <c r="AI195"/>
  <c r="N196" i="111"/>
  <c r="AI156" i="118"/>
  <c r="N157" i="111"/>
  <c r="AB156" i="118"/>
  <c r="AK156" s="1"/>
  <c r="AJ165"/>
  <c r="O166" i="111"/>
  <c r="AL165" i="118" s="1"/>
  <c r="Z173"/>
  <c r="N172" i="111"/>
  <c r="AI171" i="118"/>
  <c r="AB171"/>
  <c r="Y225"/>
  <c r="AJ122"/>
  <c r="AM122" s="1"/>
  <c r="AA164"/>
  <c r="AB164" s="1"/>
  <c r="O163" i="111"/>
  <c r="AL162" i="118" s="1"/>
  <c r="AM162" s="1"/>
  <c r="AJ162"/>
  <c r="AJ169"/>
  <c r="AM169" s="1"/>
  <c r="Y227"/>
  <c r="AJ215"/>
  <c r="AM215" s="1"/>
  <c r="AI270"/>
  <c r="P175"/>
  <c r="AI245" i="117"/>
  <c r="Z265" i="116"/>
  <c r="AB265" s="1"/>
  <c r="R30" i="118"/>
  <c r="AF108" i="117"/>
  <c r="AG108" s="1"/>
  <c r="AH108"/>
  <c r="AI108" s="1"/>
  <c r="T272" i="111"/>
  <c r="L115" i="121"/>
  <c r="L114" s="1"/>
  <c r="L113" s="1"/>
  <c r="L96" s="1"/>
  <c r="L9" s="1"/>
  <c r="J252"/>
  <c r="R273"/>
  <c r="S273" s="1"/>
  <c r="J12"/>
  <c r="V242" i="120"/>
  <c r="AC242"/>
  <c r="U189"/>
  <c r="V189" s="1"/>
  <c r="AC189"/>
  <c r="V159"/>
  <c r="AC159"/>
  <c r="AC143"/>
  <c r="T118"/>
  <c r="AC118" s="1"/>
  <c r="AC120"/>
  <c r="U104"/>
  <c r="W104" s="1"/>
  <c r="AC104"/>
  <c r="U92"/>
  <c r="W92" s="1"/>
  <c r="X92" s="1"/>
  <c r="Z92" s="1"/>
  <c r="AC92"/>
  <c r="U88"/>
  <c r="W88" s="1"/>
  <c r="AC88"/>
  <c r="O274"/>
  <c r="U32"/>
  <c r="W32" s="1"/>
  <c r="X32" s="1"/>
  <c r="AC32"/>
  <c r="U20"/>
  <c r="V20" s="1"/>
  <c r="AC20"/>
  <c r="S25"/>
  <c r="J12"/>
  <c r="T25"/>
  <c r="AC25" s="1"/>
  <c r="AC26"/>
  <c r="V222"/>
  <c r="S44"/>
  <c r="F125"/>
  <c r="S143"/>
  <c r="I175"/>
  <c r="G242"/>
  <c r="S22"/>
  <c r="Q31"/>
  <c r="M252" i="121"/>
  <c r="G252"/>
  <c r="F9"/>
  <c r="F8" s="1"/>
  <c r="F7" s="1"/>
  <c r="F6" s="1"/>
  <c r="F274" s="1"/>
  <c r="J11"/>
  <c r="I9"/>
  <c r="I8" s="1"/>
  <c r="I7" s="1"/>
  <c r="I6" s="1"/>
  <c r="I274" s="1"/>
  <c r="V56"/>
  <c r="P54"/>
  <c r="J79"/>
  <c r="S230"/>
  <c r="O142"/>
  <c r="S30"/>
  <c r="H176"/>
  <c r="J176" s="1"/>
  <c r="Y129"/>
  <c r="P159"/>
  <c r="G12"/>
  <c r="E11"/>
  <c r="G11" s="1"/>
  <c r="G239"/>
  <c r="E238"/>
  <c r="G238" s="1"/>
  <c r="T230"/>
  <c r="V230" s="1"/>
  <c r="G177"/>
  <c r="AD290"/>
  <c r="AC290"/>
  <c r="V143"/>
  <c r="O10"/>
  <c r="V129"/>
  <c r="S237"/>
  <c r="Q236"/>
  <c r="P236"/>
  <c r="S215"/>
  <c r="P175"/>
  <c r="S205"/>
  <c r="S189"/>
  <c r="S134"/>
  <c r="O125"/>
  <c r="E113"/>
  <c r="G113" s="1"/>
  <c r="S111"/>
  <c r="V109"/>
  <c r="S109"/>
  <c r="S106"/>
  <c r="P96"/>
  <c r="Q96"/>
  <c r="S97"/>
  <c r="S91"/>
  <c r="S87"/>
  <c r="V84"/>
  <c r="Q70"/>
  <c r="S70" s="1"/>
  <c r="S76"/>
  <c r="O69"/>
  <c r="P70"/>
  <c r="N69"/>
  <c r="S48"/>
  <c r="S41"/>
  <c r="Y38"/>
  <c r="S29"/>
  <c r="P11"/>
  <c r="N10"/>
  <c r="Q129" i="111"/>
  <c r="R129" s="1"/>
  <c r="T129" s="1"/>
  <c r="U129" s="1"/>
  <c r="W129" s="1"/>
  <c r="X129" s="1"/>
  <c r="Z129" s="1"/>
  <c r="M78" i="121"/>
  <c r="K77"/>
  <c r="K11"/>
  <c r="M12"/>
  <c r="T281"/>
  <c r="S281"/>
  <c r="M177"/>
  <c r="K176"/>
  <c r="N142"/>
  <c r="P143"/>
  <c r="G126"/>
  <c r="G58"/>
  <c r="E57"/>
  <c r="Q142"/>
  <c r="S142" s="1"/>
  <c r="S143"/>
  <c r="V211"/>
  <c r="K114"/>
  <c r="V82"/>
  <c r="M159"/>
  <c r="K142"/>
  <c r="S59"/>
  <c r="AB38"/>
  <c r="L175"/>
  <c r="V85"/>
  <c r="S216"/>
  <c r="M222"/>
  <c r="V135"/>
  <c r="S50"/>
  <c r="V39"/>
  <c r="V65"/>
  <c r="R233"/>
  <c r="T233" s="1"/>
  <c r="Y232"/>
  <c r="W230"/>
  <c r="Y230" s="1"/>
  <c r="AB64"/>
  <c r="E175"/>
  <c r="G175" s="1"/>
  <c r="G176"/>
  <c r="J114"/>
  <c r="H113"/>
  <c r="J113" s="1"/>
  <c r="E78"/>
  <c r="G79"/>
  <c r="J78"/>
  <c r="H77"/>
  <c r="S127"/>
  <c r="Q126"/>
  <c r="Y143"/>
  <c r="W142"/>
  <c r="Y142" s="1"/>
  <c r="U30"/>
  <c r="W30" s="1"/>
  <c r="Y30" s="1"/>
  <c r="J126"/>
  <c r="M59"/>
  <c r="K58"/>
  <c r="H58"/>
  <c r="J59"/>
  <c r="G32"/>
  <c r="E31"/>
  <c r="J32"/>
  <c r="H31"/>
  <c r="E142"/>
  <c r="G142" s="1"/>
  <c r="G143"/>
  <c r="AA129"/>
  <c r="AB129" s="1"/>
  <c r="X135"/>
  <c r="Z135" s="1"/>
  <c r="P126"/>
  <c r="J143"/>
  <c r="H142"/>
  <c r="J142" s="1"/>
  <c r="J242"/>
  <c r="H239"/>
  <c r="Z142"/>
  <c r="AB142" s="1"/>
  <c r="AB143"/>
  <c r="M33"/>
  <c r="K32"/>
  <c r="V63"/>
  <c r="Y64"/>
  <c r="M218"/>
  <c r="Q54"/>
  <c r="S55"/>
  <c r="S36"/>
  <c r="T142"/>
  <c r="V142" s="1"/>
  <c r="V37"/>
  <c r="R33" i="111"/>
  <c r="S180"/>
  <c r="R115"/>
  <c r="S115" s="1"/>
  <c r="T63"/>
  <c r="T61" s="1"/>
  <c r="Q206"/>
  <c r="AL202" i="118"/>
  <c r="AM202" s="1"/>
  <c r="S189" i="111"/>
  <c r="S23"/>
  <c r="S17"/>
  <c r="Q236"/>
  <c r="S237"/>
  <c r="S211"/>
  <c r="S205"/>
  <c r="T203"/>
  <c r="U203" s="1"/>
  <c r="W203" s="1"/>
  <c r="X203" s="1"/>
  <c r="Z203" s="1"/>
  <c r="S203"/>
  <c r="Q190"/>
  <c r="AL189" i="118"/>
  <c r="S128" i="111"/>
  <c r="S97"/>
  <c r="S80"/>
  <c r="S74"/>
  <c r="T65"/>
  <c r="U65" s="1"/>
  <c r="W65" s="1"/>
  <c r="S20"/>
  <c r="T39"/>
  <c r="U39" s="1"/>
  <c r="W39" s="1"/>
  <c r="X88" i="117"/>
  <c r="AG88" s="1"/>
  <c r="J46" i="118"/>
  <c r="G200" i="116"/>
  <c r="M21"/>
  <c r="AH88" i="117"/>
  <c r="AI88" s="1"/>
  <c r="U47" i="118"/>
  <c r="V47" s="1"/>
  <c r="O278" i="116"/>
  <c r="O288" s="1"/>
  <c r="V88" i="117"/>
  <c r="L176"/>
  <c r="L175" s="1"/>
  <c r="I176"/>
  <c r="I175" s="1"/>
  <c r="I174" s="1"/>
  <c r="J203" i="118"/>
  <c r="O113"/>
  <c r="P113" s="1"/>
  <c r="N286"/>
  <c r="F175"/>
  <c r="J34"/>
  <c r="J177" i="117"/>
  <c r="K11"/>
  <c r="G203" i="118"/>
  <c r="I125" i="117"/>
  <c r="I124" s="1"/>
  <c r="N288" i="116"/>
  <c r="U43"/>
  <c r="V43" s="1"/>
  <c r="N286"/>
  <c r="J34" i="117"/>
  <c r="J43" i="116"/>
  <c r="P18" i="117"/>
  <c r="AB54"/>
  <c r="J58" i="116"/>
  <c r="J24" i="117"/>
  <c r="L68"/>
  <c r="J60" i="116"/>
  <c r="AF18" i="117"/>
  <c r="L175" i="118"/>
  <c r="L174" s="1"/>
  <c r="G180" i="116"/>
  <c r="G15"/>
  <c r="J21" i="117"/>
  <c r="L11" i="118"/>
  <c r="L10" s="1"/>
  <c r="L9" s="1"/>
  <c r="E176"/>
  <c r="E175" s="1"/>
  <c r="M24" i="117"/>
  <c r="J15" i="116"/>
  <c r="U20" i="117"/>
  <c r="AF20" s="1"/>
  <c r="G180" i="118"/>
  <c r="O46"/>
  <c r="P46" s="1"/>
  <c r="M18"/>
  <c r="J177"/>
  <c r="I175" i="116"/>
  <c r="I174" s="1"/>
  <c r="G207" i="118"/>
  <c r="G132" i="116"/>
  <c r="F11" i="117"/>
  <c r="F10" s="1"/>
  <c r="F9" s="1"/>
  <c r="F8" s="1"/>
  <c r="E238" i="118"/>
  <c r="E237" s="1"/>
  <c r="G237" s="1"/>
  <c r="F11"/>
  <c r="F10" s="1"/>
  <c r="F9" s="1"/>
  <c r="F58"/>
  <c r="F57" s="1"/>
  <c r="F56" s="1"/>
  <c r="F53" s="1"/>
  <c r="G43" i="116"/>
  <c r="M117"/>
  <c r="G24"/>
  <c r="AG48" i="117"/>
  <c r="U49" i="111" s="1"/>
  <c r="AA18" i="117"/>
  <c r="V18"/>
  <c r="G43" i="118"/>
  <c r="P117"/>
  <c r="L11" i="117"/>
  <c r="L10" s="1"/>
  <c r="L9" s="1"/>
  <c r="L8" s="1"/>
  <c r="AB55" i="118"/>
  <c r="AG18" i="117"/>
  <c r="G237" i="116"/>
  <c r="F175"/>
  <c r="F174" s="1"/>
  <c r="J200"/>
  <c r="G238"/>
  <c r="AH18" i="117"/>
  <c r="F174" i="118"/>
  <c r="M187"/>
  <c r="L95"/>
  <c r="J187" i="117"/>
  <c r="G24"/>
  <c r="G46"/>
  <c r="G18"/>
  <c r="AB154" i="111"/>
  <c r="V87"/>
  <c r="S73"/>
  <c r="S65"/>
  <c r="Q177"/>
  <c r="S108"/>
  <c r="S29"/>
  <c r="S39"/>
  <c r="V38"/>
  <c r="S109"/>
  <c r="S118"/>
  <c r="V101"/>
  <c r="S82"/>
  <c r="Y64"/>
  <c r="S63"/>
  <c r="V67"/>
  <c r="R61"/>
  <c r="X180"/>
  <c r="Z180" s="1"/>
  <c r="U121"/>
  <c r="W121" s="1"/>
  <c r="X38"/>
  <c r="Z38" s="1"/>
  <c r="AA64"/>
  <c r="AB64" s="1"/>
  <c r="V84"/>
  <c r="V120"/>
  <c r="V85"/>
  <c r="S26"/>
  <c r="V37"/>
  <c r="U116"/>
  <c r="V116" s="1"/>
  <c r="T35"/>
  <c r="X62"/>
  <c r="Y62" s="1"/>
  <c r="U36"/>
  <c r="T80"/>
  <c r="R79"/>
  <c r="X84"/>
  <c r="Z84" s="1"/>
  <c r="X120"/>
  <c r="Z120" s="1"/>
  <c r="X85"/>
  <c r="Z85" s="1"/>
  <c r="U118"/>
  <c r="V118" s="1"/>
  <c r="W119"/>
  <c r="U83"/>
  <c r="T82"/>
  <c r="X37"/>
  <c r="Z37" s="1"/>
  <c r="V180"/>
  <c r="S35"/>
  <c r="G208" i="120"/>
  <c r="F175"/>
  <c r="I125"/>
  <c r="F9"/>
  <c r="J208"/>
  <c r="S129"/>
  <c r="T19"/>
  <c r="AC19" s="1"/>
  <c r="S32"/>
  <c r="N114"/>
  <c r="P114" s="1"/>
  <c r="S281"/>
  <c r="S19"/>
  <c r="E78"/>
  <c r="E77" s="1"/>
  <c r="S118"/>
  <c r="S82"/>
  <c r="V102"/>
  <c r="S51"/>
  <c r="G59"/>
  <c r="V103"/>
  <c r="M98"/>
  <c r="Y107"/>
  <c r="V221"/>
  <c r="U26"/>
  <c r="V26" s="1"/>
  <c r="G252"/>
  <c r="Y67"/>
  <c r="L9"/>
  <c r="P9"/>
  <c r="N8"/>
  <c r="K31"/>
  <c r="M31" s="1"/>
  <c r="M32"/>
  <c r="U46"/>
  <c r="W46" s="1"/>
  <c r="X46" s="1"/>
  <c r="Z46" s="1"/>
  <c r="U123"/>
  <c r="W123" s="1"/>
  <c r="S252"/>
  <c r="S16"/>
  <c r="V74"/>
  <c r="V92"/>
  <c r="S65"/>
  <c r="O283"/>
  <c r="O284" s="1"/>
  <c r="M252"/>
  <c r="S208"/>
  <c r="U190"/>
  <c r="W190" s="1"/>
  <c r="X190" s="1"/>
  <c r="Z190" s="1"/>
  <c r="V91"/>
  <c r="V87"/>
  <c r="V29"/>
  <c r="P281"/>
  <c r="L125"/>
  <c r="T188"/>
  <c r="AC188" s="1"/>
  <c r="J33"/>
  <c r="I32"/>
  <c r="J114"/>
  <c r="H113"/>
  <c r="J113" s="1"/>
  <c r="T36"/>
  <c r="AC36" s="1"/>
  <c r="R35"/>
  <c r="S35" s="1"/>
  <c r="P33"/>
  <c r="N32"/>
  <c r="P32" s="1"/>
  <c r="U22"/>
  <c r="V22" s="1"/>
  <c r="V27"/>
  <c r="S50"/>
  <c r="V88"/>
  <c r="V72"/>
  <c r="V273"/>
  <c r="G12"/>
  <c r="O286"/>
  <c r="O287" s="1"/>
  <c r="V281"/>
  <c r="W281"/>
  <c r="K78"/>
  <c r="M79"/>
  <c r="U211"/>
  <c r="V211" s="1"/>
  <c r="T208"/>
  <c r="AC208" s="1"/>
  <c r="E10"/>
  <c r="G11"/>
  <c r="X203"/>
  <c r="Z203" s="1"/>
  <c r="X76"/>
  <c r="Z76" s="1"/>
  <c r="U56"/>
  <c r="W56" s="1"/>
  <c r="R47"/>
  <c r="S47" s="1"/>
  <c r="T48"/>
  <c r="AC48" s="1"/>
  <c r="U41"/>
  <c r="W41" s="1"/>
  <c r="T239"/>
  <c r="AC239" s="1"/>
  <c r="U240"/>
  <c r="V240" s="1"/>
  <c r="X90"/>
  <c r="Z90" s="1"/>
  <c r="U121"/>
  <c r="W121" s="1"/>
  <c r="X104"/>
  <c r="Z104" s="1"/>
  <c r="AA73"/>
  <c r="AB73" s="1"/>
  <c r="U52"/>
  <c r="W52" s="1"/>
  <c r="U39"/>
  <c r="W39" s="1"/>
  <c r="X100"/>
  <c r="Z100" s="1"/>
  <c r="X37"/>
  <c r="Z37" s="1"/>
  <c r="AA109"/>
  <c r="AB109" s="1"/>
  <c r="H78"/>
  <c r="J79"/>
  <c r="U135"/>
  <c r="W135" s="1"/>
  <c r="U101"/>
  <c r="W101" s="1"/>
  <c r="W97"/>
  <c r="X21"/>
  <c r="Z21" s="1"/>
  <c r="T202"/>
  <c r="AC202" s="1"/>
  <c r="R201"/>
  <c r="R176" s="1"/>
  <c r="M126"/>
  <c r="U89"/>
  <c r="W89" s="1"/>
  <c r="AA64"/>
  <c r="AB64" s="1"/>
  <c r="X222"/>
  <c r="Z222" s="1"/>
  <c r="V119"/>
  <c r="X119" s="1"/>
  <c r="W119"/>
  <c r="AB143"/>
  <c r="Z142"/>
  <c r="AB142" s="1"/>
  <c r="R133"/>
  <c r="S133" s="1"/>
  <c r="T134"/>
  <c r="AC134" s="1"/>
  <c r="U232"/>
  <c r="T230"/>
  <c r="AC230" s="1"/>
  <c r="T80"/>
  <c r="AC80" s="1"/>
  <c r="R79"/>
  <c r="J177"/>
  <c r="H176"/>
  <c r="U129"/>
  <c r="W129" s="1"/>
  <c r="M12"/>
  <c r="K11"/>
  <c r="AA215"/>
  <c r="AB215" s="1"/>
  <c r="Y143"/>
  <c r="W142"/>
  <c r="Y142" s="1"/>
  <c r="U111"/>
  <c r="W111" s="1"/>
  <c r="E57"/>
  <c r="G58"/>
  <c r="X221"/>
  <c r="Z221" s="1"/>
  <c r="Z23"/>
  <c r="J126"/>
  <c r="T237"/>
  <c r="AC237" s="1"/>
  <c r="R236"/>
  <c r="S236" s="1"/>
  <c r="G115"/>
  <c r="F114"/>
  <c r="X88"/>
  <c r="Z88" s="1"/>
  <c r="W83"/>
  <c r="R68"/>
  <c r="R57" s="1"/>
  <c r="T58"/>
  <c r="AC58" s="1"/>
  <c r="S70"/>
  <c r="K54"/>
  <c r="M54" s="1"/>
  <c r="M57"/>
  <c r="T178"/>
  <c r="AC178" s="1"/>
  <c r="U179"/>
  <c r="V179" s="1"/>
  <c r="T70"/>
  <c r="AC70" s="1"/>
  <c r="U71"/>
  <c r="X63"/>
  <c r="Z63" s="1"/>
  <c r="V216"/>
  <c r="V76"/>
  <c r="S56"/>
  <c r="S48"/>
  <c r="S41"/>
  <c r="V90"/>
  <c r="V104"/>
  <c r="Y73"/>
  <c r="S52"/>
  <c r="S39"/>
  <c r="S108"/>
  <c r="V97"/>
  <c r="V21"/>
  <c r="V28"/>
  <c r="Y64"/>
  <c r="V24"/>
  <c r="S178"/>
  <c r="Q177"/>
  <c r="T220"/>
  <c r="AC220" s="1"/>
  <c r="R218"/>
  <c r="S218" s="1"/>
  <c r="X28"/>
  <c r="Z28" s="1"/>
  <c r="W116"/>
  <c r="V116"/>
  <c r="G126"/>
  <c r="X216"/>
  <c r="Z216" s="1"/>
  <c r="U233"/>
  <c r="W233" s="1"/>
  <c r="T106"/>
  <c r="AC106" s="1"/>
  <c r="R105"/>
  <c r="S105" s="1"/>
  <c r="X102"/>
  <c r="Z102" s="1"/>
  <c r="U51"/>
  <c r="W51" s="1"/>
  <c r="T38"/>
  <c r="AC38" s="1"/>
  <c r="AA180"/>
  <c r="AB180" s="1"/>
  <c r="AA107"/>
  <c r="AB107" s="1"/>
  <c r="X74"/>
  <c r="Z74" s="1"/>
  <c r="X27"/>
  <c r="Z27" s="1"/>
  <c r="U110"/>
  <c r="W110" s="1"/>
  <c r="X75"/>
  <c r="Z75" s="1"/>
  <c r="T55"/>
  <c r="AC55" s="1"/>
  <c r="U50"/>
  <c r="W50" s="1"/>
  <c r="T42"/>
  <c r="AC42" s="1"/>
  <c r="R31"/>
  <c r="W26"/>
  <c r="J11"/>
  <c r="H10"/>
  <c r="T114"/>
  <c r="AC114" s="1"/>
  <c r="R113"/>
  <c r="S113" s="1"/>
  <c r="U108"/>
  <c r="W108" s="1"/>
  <c r="J58"/>
  <c r="H57"/>
  <c r="J143"/>
  <c r="H142"/>
  <c r="J142" s="1"/>
  <c r="X85"/>
  <c r="Z85" s="1"/>
  <c r="R61"/>
  <c r="R59" s="1"/>
  <c r="T62"/>
  <c r="AC62" s="1"/>
  <c r="Q96"/>
  <c r="U84"/>
  <c r="W84" s="1"/>
  <c r="T82"/>
  <c r="AC82" s="1"/>
  <c r="X29"/>
  <c r="Z29" s="1"/>
  <c r="U18"/>
  <c r="V18" s="1"/>
  <c r="S112"/>
  <c r="R115"/>
  <c r="S115" s="1"/>
  <c r="M208"/>
  <c r="Q54"/>
  <c r="Q12"/>
  <c r="Y215"/>
  <c r="V252"/>
  <c r="V63"/>
  <c r="V37"/>
  <c r="X24"/>
  <c r="Z24" s="1"/>
  <c r="R127"/>
  <c r="T128"/>
  <c r="AC128" s="1"/>
  <c r="U112"/>
  <c r="W112" s="1"/>
  <c r="J242"/>
  <c r="H239"/>
  <c r="M177"/>
  <c r="K176"/>
  <c r="G143"/>
  <c r="E142"/>
  <c r="G142" s="1"/>
  <c r="K239"/>
  <c r="M242"/>
  <c r="X273"/>
  <c r="Z273" s="1"/>
  <c r="V143"/>
  <c r="T142"/>
  <c r="U120"/>
  <c r="W120" s="1"/>
  <c r="Q77"/>
  <c r="W45"/>
  <c r="V45"/>
  <c r="M143"/>
  <c r="K142"/>
  <c r="M142" s="1"/>
  <c r="G239"/>
  <c r="E238"/>
  <c r="G238" s="1"/>
  <c r="T99"/>
  <c r="AC99" s="1"/>
  <c r="R98"/>
  <c r="Q59"/>
  <c r="G177"/>
  <c r="E176"/>
  <c r="X91"/>
  <c r="Z91" s="1"/>
  <c r="X87"/>
  <c r="Z87" s="1"/>
  <c r="S242"/>
  <c r="Q239"/>
  <c r="X103"/>
  <c r="Z103" s="1"/>
  <c r="X72"/>
  <c r="Z72" s="1"/>
  <c r="U65"/>
  <c r="W65" s="1"/>
  <c r="W20"/>
  <c r="L175"/>
  <c r="P79"/>
  <c r="K96"/>
  <c r="M96" s="1"/>
  <c r="S220"/>
  <c r="V203"/>
  <c r="Y180"/>
  <c r="Q142"/>
  <c r="S142" s="1"/>
  <c r="V75"/>
  <c r="Y109"/>
  <c r="S135"/>
  <c r="V85"/>
  <c r="S62"/>
  <c r="S202"/>
  <c r="V100"/>
  <c r="R12"/>
  <c r="R11" s="1"/>
  <c r="I11" i="116"/>
  <c r="I10" s="1"/>
  <c r="I9" s="1"/>
  <c r="M46"/>
  <c r="AF89" i="118"/>
  <c r="J132" i="116"/>
  <c r="U45" i="117"/>
  <c r="P45"/>
  <c r="G60" i="116"/>
  <c r="J207" i="117"/>
  <c r="AB89" i="118"/>
  <c r="O286" i="116"/>
  <c r="H32" i="117"/>
  <c r="J32" s="1"/>
  <c r="L174"/>
  <c r="H125"/>
  <c r="M177" i="118"/>
  <c r="K176"/>
  <c r="M15"/>
  <c r="K11"/>
  <c r="J21"/>
  <c r="H11"/>
  <c r="J187" i="116"/>
  <c r="J126" i="117"/>
  <c r="J207" i="118"/>
  <c r="E176" i="116"/>
  <c r="G176" s="1"/>
  <c r="M200"/>
  <c r="P221" i="117"/>
  <c r="AG54"/>
  <c r="Y48"/>
  <c r="AF221"/>
  <c r="AG221" s="1"/>
  <c r="M114"/>
  <c r="V221"/>
  <c r="AI48"/>
  <c r="AB91" i="118"/>
  <c r="AF55"/>
  <c r="F125" i="117"/>
  <c r="F124" s="1"/>
  <c r="G21"/>
  <c r="E11"/>
  <c r="J15"/>
  <c r="H11"/>
  <c r="O69"/>
  <c r="U69" s="1"/>
  <c r="P74"/>
  <c r="K237"/>
  <c r="M237" s="1"/>
  <c r="M238"/>
  <c r="G34" i="118"/>
  <c r="F11" i="116"/>
  <c r="F10" s="1"/>
  <c r="F9" s="1"/>
  <c r="F8" s="1"/>
  <c r="P207" i="117"/>
  <c r="G187"/>
  <c r="M117"/>
  <c r="N286"/>
  <c r="Y54"/>
  <c r="M46"/>
  <c r="U74"/>
  <c r="AF74" s="1"/>
  <c r="O287" i="118"/>
  <c r="P118"/>
  <c r="M69"/>
  <c r="M43"/>
  <c r="G21"/>
  <c r="AD89"/>
  <c r="AF49"/>
  <c r="G18" i="116"/>
  <c r="N288" i="118"/>
  <c r="U46"/>
  <c r="V46" s="1"/>
  <c r="AB236"/>
  <c r="Z235"/>
  <c r="J187"/>
  <c r="H175"/>
  <c r="Z179"/>
  <c r="J142"/>
  <c r="H141"/>
  <c r="J141" s="1"/>
  <c r="J78"/>
  <c r="H77"/>
  <c r="X56"/>
  <c r="AC56"/>
  <c r="AA56"/>
  <c r="U114"/>
  <c r="AC117"/>
  <c r="AD117" s="1"/>
  <c r="U69"/>
  <c r="P69"/>
  <c r="O68"/>
  <c r="J113"/>
  <c r="H112"/>
  <c r="J112" s="1"/>
  <c r="M97"/>
  <c r="T78"/>
  <c r="V81"/>
  <c r="J32"/>
  <c r="H31"/>
  <c r="T57"/>
  <c r="V58"/>
  <c r="O32"/>
  <c r="P34"/>
  <c r="AC11"/>
  <c r="U10"/>
  <c r="AE11"/>
  <c r="AC58"/>
  <c r="AD58" s="1"/>
  <c r="U57"/>
  <c r="AC57" s="1"/>
  <c r="AD57" s="1"/>
  <c r="Z35"/>
  <c r="AI35" s="1"/>
  <c r="W34"/>
  <c r="Y35"/>
  <c r="Z11"/>
  <c r="AB15"/>
  <c r="Y240"/>
  <c r="Z240"/>
  <c r="Z238" s="1"/>
  <c r="G32"/>
  <c r="E31"/>
  <c r="E76"/>
  <c r="G76" s="1"/>
  <c r="G77"/>
  <c r="X70"/>
  <c r="Y70" s="1"/>
  <c r="AC70"/>
  <c r="AE70"/>
  <c r="AA70"/>
  <c r="V70"/>
  <c r="Y21"/>
  <c r="X23"/>
  <c r="AD23" s="1"/>
  <c r="X202"/>
  <c r="Y202" s="1"/>
  <c r="Y200"/>
  <c r="AC177"/>
  <c r="U179"/>
  <c r="AE177"/>
  <c r="X177"/>
  <c r="AA177"/>
  <c r="Z61"/>
  <c r="W60"/>
  <c r="Y61"/>
  <c r="W46"/>
  <c r="Z46"/>
  <c r="AC44"/>
  <c r="AA44"/>
  <c r="AE44"/>
  <c r="X44"/>
  <c r="Y44" s="1"/>
  <c r="G142"/>
  <c r="E141"/>
  <c r="G141" s="1"/>
  <c r="E11"/>
  <c r="G18"/>
  <c r="Q31"/>
  <c r="S32"/>
  <c r="V34"/>
  <c r="T32"/>
  <c r="Z193"/>
  <c r="AB191"/>
  <c r="U97"/>
  <c r="S97"/>
  <c r="AA111"/>
  <c r="X111"/>
  <c r="AC111"/>
  <c r="V111"/>
  <c r="H124"/>
  <c r="J124" s="1"/>
  <c r="J125"/>
  <c r="AC27"/>
  <c r="AE27"/>
  <c r="X27"/>
  <c r="Y27" s="1"/>
  <c r="AA27"/>
  <c r="AA11" s="1"/>
  <c r="AA10" s="1"/>
  <c r="G125"/>
  <c r="U45"/>
  <c r="P45"/>
  <c r="G114"/>
  <c r="E113"/>
  <c r="S69"/>
  <c r="H57"/>
  <c r="J58"/>
  <c r="AE96"/>
  <c r="AA96"/>
  <c r="X96"/>
  <c r="V96"/>
  <c r="AC96"/>
  <c r="U77"/>
  <c r="AC77" s="1"/>
  <c r="R87"/>
  <c r="U87" s="1"/>
  <c r="AE17"/>
  <c r="AF17" s="1"/>
  <c r="V17"/>
  <c r="AC17"/>
  <c r="AD17" s="1"/>
  <c r="AE202"/>
  <c r="AF202" s="1"/>
  <c r="AC202"/>
  <c r="Y187"/>
  <c r="W189"/>
  <c r="Y189" s="1"/>
  <c r="M117"/>
  <c r="K114"/>
  <c r="M34"/>
  <c r="K32"/>
  <c r="W134"/>
  <c r="Y134" s="1"/>
  <c r="Y132"/>
  <c r="X74"/>
  <c r="Y74" s="1"/>
  <c r="AC74"/>
  <c r="V74"/>
  <c r="AA74"/>
  <c r="AE74"/>
  <c r="K58"/>
  <c r="M60"/>
  <c r="AA20"/>
  <c r="AB20" s="1"/>
  <c r="AE51"/>
  <c r="AA51"/>
  <c r="AC51"/>
  <c r="X51"/>
  <c r="Y51" s="1"/>
  <c r="Z205"/>
  <c r="Y111"/>
  <c r="AF128"/>
  <c r="AB127"/>
  <c r="AK127" s="1"/>
  <c r="Y212"/>
  <c r="AD136"/>
  <c r="Y164"/>
  <c r="Y190"/>
  <c r="O53"/>
  <c r="U53" s="1"/>
  <c r="AB105"/>
  <c r="AB142"/>
  <c r="AD110"/>
  <c r="W238"/>
  <c r="Y221"/>
  <c r="Y270"/>
  <c r="AB200"/>
  <c r="W182"/>
  <c r="Y182" s="1"/>
  <c r="AA196"/>
  <c r="AJ196" s="1"/>
  <c r="AM196" s="1"/>
  <c r="Y220"/>
  <c r="Y188"/>
  <c r="Z130"/>
  <c r="AD258"/>
  <c r="AF190"/>
  <c r="Y215"/>
  <c r="AF209"/>
  <c r="AF130"/>
  <c r="Y75"/>
  <c r="AA23"/>
  <c r="AB23" s="1"/>
  <c r="Y98"/>
  <c r="Y96"/>
  <c r="Y172"/>
  <c r="Y144"/>
  <c r="Y124"/>
  <c r="AD28"/>
  <c r="Y206"/>
  <c r="AD132"/>
  <c r="AD102"/>
  <c r="Y94"/>
  <c r="Y89"/>
  <c r="M46"/>
  <c r="V44"/>
  <c r="Y91"/>
  <c r="AD200"/>
  <c r="AF91"/>
  <c r="AB27"/>
  <c r="X26"/>
  <c r="V11"/>
  <c r="V117"/>
  <c r="AF19"/>
  <c r="AB52"/>
  <c r="AK52" s="1"/>
  <c r="Z182"/>
  <c r="AB180"/>
  <c r="AB239"/>
  <c r="W23"/>
  <c r="Y22"/>
  <c r="X50"/>
  <c r="Y50" s="1"/>
  <c r="AC50"/>
  <c r="AA50"/>
  <c r="V50"/>
  <c r="AE50"/>
  <c r="Q113"/>
  <c r="S114"/>
  <c r="X88"/>
  <c r="Y88" s="1"/>
  <c r="AC88"/>
  <c r="V88"/>
  <c r="AE88"/>
  <c r="AA88"/>
  <c r="AE47"/>
  <c r="X47"/>
  <c r="Y47" s="1"/>
  <c r="Z134"/>
  <c r="AB132"/>
  <c r="Z271"/>
  <c r="Y271"/>
  <c r="AA205"/>
  <c r="AG203"/>
  <c r="AH203" s="1"/>
  <c r="M238"/>
  <c r="L237"/>
  <c r="M237" s="1"/>
  <c r="AA214"/>
  <c r="AB214" s="1"/>
  <c r="U78"/>
  <c r="AC78" s="1"/>
  <c r="AC79"/>
  <c r="AD79" s="1"/>
  <c r="V79"/>
  <c r="AE134"/>
  <c r="AF134" s="1"/>
  <c r="AC134"/>
  <c r="AD134" s="1"/>
  <c r="Y192"/>
  <c r="W193"/>
  <c r="Y193" s="1"/>
  <c r="Z118"/>
  <c r="W117"/>
  <c r="Y118"/>
  <c r="E57"/>
  <c r="W145"/>
  <c r="Y145" s="1"/>
  <c r="Y143"/>
  <c r="AA35"/>
  <c r="X34"/>
  <c r="X32" s="1"/>
  <c r="S10"/>
  <c r="R9"/>
  <c r="K77"/>
  <c r="M78"/>
  <c r="N67"/>
  <c r="P57"/>
  <c r="I176"/>
  <c r="J180"/>
  <c r="M203"/>
  <c r="P207"/>
  <c r="O174"/>
  <c r="K141"/>
  <c r="M142"/>
  <c r="AE104"/>
  <c r="AA104"/>
  <c r="X104"/>
  <c r="AC104"/>
  <c r="S78"/>
  <c r="Q77"/>
  <c r="Y236"/>
  <c r="W235"/>
  <c r="Y235" s="1"/>
  <c r="Z145"/>
  <c r="AB143"/>
  <c r="Z189"/>
  <c r="AB187"/>
  <c r="AC176"/>
  <c r="AE176"/>
  <c r="AA176"/>
  <c r="X176"/>
  <c r="W104"/>
  <c r="Z104"/>
  <c r="V104"/>
  <c r="X90"/>
  <c r="Y90" s="1"/>
  <c r="AC90"/>
  <c r="V90"/>
  <c r="AA90"/>
  <c r="AE90"/>
  <c r="Z82"/>
  <c r="W81"/>
  <c r="Y82"/>
  <c r="G69"/>
  <c r="S58"/>
  <c r="Q57"/>
  <c r="AC54"/>
  <c r="X54"/>
  <c r="Y54" s="1"/>
  <c r="AE54"/>
  <c r="AA54"/>
  <c r="W43"/>
  <c r="Z43"/>
  <c r="AI43" s="1"/>
  <c r="U48"/>
  <c r="P48"/>
  <c r="N95"/>
  <c r="X20"/>
  <c r="Y20" s="1"/>
  <c r="X11"/>
  <c r="X10" s="1"/>
  <c r="AE20"/>
  <c r="V20"/>
  <c r="AC20"/>
  <c r="AD20" s="1"/>
  <c r="T113"/>
  <c r="N41"/>
  <c r="N30" s="1"/>
  <c r="Y15"/>
  <c r="W11"/>
  <c r="Y160"/>
  <c r="AD222"/>
  <c r="AB217"/>
  <c r="W196"/>
  <c r="Y196" s="1"/>
  <c r="AD105"/>
  <c r="Y213"/>
  <c r="W151"/>
  <c r="Y151" s="1"/>
  <c r="Y167"/>
  <c r="AD189"/>
  <c r="AD107"/>
  <c r="AB196"/>
  <c r="S207"/>
  <c r="AD188"/>
  <c r="AB226"/>
  <c r="AK226" s="1"/>
  <c r="AD221"/>
  <c r="Z202"/>
  <c r="AF221"/>
  <c r="AF270"/>
  <c r="AF242"/>
  <c r="Y209"/>
  <c r="AF142"/>
  <c r="W154"/>
  <c r="Y154" s="1"/>
  <c r="AF196"/>
  <c r="AF220"/>
  <c r="AB141"/>
  <c r="Y173"/>
  <c r="AF21"/>
  <c r="X238"/>
  <c r="X237" s="1"/>
  <c r="AD237" s="1"/>
  <c r="W161"/>
  <c r="X161"/>
  <c r="AD161" s="1"/>
  <c r="Y216"/>
  <c r="AF139"/>
  <c r="AF132"/>
  <c r="AF127"/>
  <c r="Y49"/>
  <c r="Y166"/>
  <c r="AD128"/>
  <c r="AF42"/>
  <c r="AB73"/>
  <c r="AK73" s="1"/>
  <c r="W170"/>
  <c r="Y170" s="1"/>
  <c r="W157"/>
  <c r="Y157" s="1"/>
  <c r="AD141"/>
  <c r="AF107"/>
  <c r="AF28"/>
  <c r="AD124"/>
  <c r="AA238"/>
  <c r="AA237" s="1"/>
  <c r="AF237" s="1"/>
  <c r="AF200"/>
  <c r="W179"/>
  <c r="AD55"/>
  <c r="M207"/>
  <c r="Z128"/>
  <c r="Y105"/>
  <c r="O43"/>
  <c r="AF141"/>
  <c r="AF105"/>
  <c r="AF72"/>
  <c r="V27"/>
  <c r="AF23"/>
  <c r="W125" i="117"/>
  <c r="Z125"/>
  <c r="U113"/>
  <c r="AF114"/>
  <c r="AH114"/>
  <c r="V114"/>
  <c r="G238"/>
  <c r="E237"/>
  <c r="G237" s="1"/>
  <c r="AH202"/>
  <c r="AI202" s="1"/>
  <c r="AF202"/>
  <c r="W145"/>
  <c r="O281"/>
  <c r="O283" s="1"/>
  <c r="O288" s="1"/>
  <c r="W77"/>
  <c r="Y191"/>
  <c r="W193"/>
  <c r="Y193" s="1"/>
  <c r="W164"/>
  <c r="Y164" s="1"/>
  <c r="Y162"/>
  <c r="Z164"/>
  <c r="AI164" i="118" s="1"/>
  <c r="AB162" i="117"/>
  <c r="AK162" i="118" s="1"/>
  <c r="U142" i="117"/>
  <c r="R141"/>
  <c r="AF81"/>
  <c r="AH81"/>
  <c r="U104"/>
  <c r="P104"/>
  <c r="P58"/>
  <c r="N57"/>
  <c r="W32"/>
  <c r="Z46"/>
  <c r="W46"/>
  <c r="X81"/>
  <c r="AA82"/>
  <c r="Z168"/>
  <c r="AI168" i="118" s="1"/>
  <c r="V168" i="117"/>
  <c r="T158"/>
  <c r="W168"/>
  <c r="T170"/>
  <c r="W235"/>
  <c r="Y235" s="1"/>
  <c r="Y236"/>
  <c r="E77"/>
  <c r="G78"/>
  <c r="AH26"/>
  <c r="W20"/>
  <c r="Y18"/>
  <c r="J180"/>
  <c r="H176"/>
  <c r="W238"/>
  <c r="T237"/>
  <c r="Z238"/>
  <c r="AB149"/>
  <c r="Z151"/>
  <c r="Q67"/>
  <c r="AB155"/>
  <c r="AK155" i="118" s="1"/>
  <c r="Z157" i="117"/>
  <c r="AB157" s="1"/>
  <c r="AH90"/>
  <c r="AA90"/>
  <c r="AB90" s="1"/>
  <c r="X90"/>
  <c r="Y90" s="1"/>
  <c r="AF90"/>
  <c r="X89"/>
  <c r="Y89" s="1"/>
  <c r="AF89"/>
  <c r="AA89"/>
  <c r="AB89" s="1"/>
  <c r="V89"/>
  <c r="AH89"/>
  <c r="W157"/>
  <c r="Y155"/>
  <c r="Z193"/>
  <c r="AB193" s="1"/>
  <c r="AB191"/>
  <c r="W196"/>
  <c r="Y194"/>
  <c r="S176"/>
  <c r="Q175"/>
  <c r="AA118"/>
  <c r="AA117" s="1"/>
  <c r="AA114" s="1"/>
  <c r="AA113" s="1"/>
  <c r="X117"/>
  <c r="X97"/>
  <c r="AF97"/>
  <c r="AA97"/>
  <c r="AB97" s="1"/>
  <c r="AH97"/>
  <c r="J114"/>
  <c r="H113"/>
  <c r="K10"/>
  <c r="M34"/>
  <c r="K32"/>
  <c r="AH214"/>
  <c r="AA214"/>
  <c r="AB214" s="1"/>
  <c r="X214"/>
  <c r="Y214" s="1"/>
  <c r="AF214"/>
  <c r="AB180"/>
  <c r="Z182"/>
  <c r="AB182" s="1"/>
  <c r="Z23"/>
  <c r="U21"/>
  <c r="P21"/>
  <c r="AF154"/>
  <c r="AG154" s="1"/>
  <c r="AH154"/>
  <c r="W26"/>
  <c r="U217"/>
  <c r="P217"/>
  <c r="M113"/>
  <c r="K112"/>
  <c r="M112" s="1"/>
  <c r="AB165"/>
  <c r="Z167"/>
  <c r="AB167" s="1"/>
  <c r="AH55"/>
  <c r="AA55"/>
  <c r="AB55" s="1"/>
  <c r="X55"/>
  <c r="Y55" s="1"/>
  <c r="AF55"/>
  <c r="V55"/>
  <c r="T58"/>
  <c r="V60"/>
  <c r="T112"/>
  <c r="Q95"/>
  <c r="H76"/>
  <c r="J77"/>
  <c r="AB171"/>
  <c r="Z173"/>
  <c r="AB203"/>
  <c r="Z205"/>
  <c r="AB205" s="1"/>
  <c r="W189"/>
  <c r="Y189" s="1"/>
  <c r="Y187"/>
  <c r="M180"/>
  <c r="K176"/>
  <c r="AH106"/>
  <c r="AA106"/>
  <c r="AB106" s="1"/>
  <c r="X106"/>
  <c r="AF106"/>
  <c r="V106"/>
  <c r="AF77"/>
  <c r="AH77"/>
  <c r="P46"/>
  <c r="U46"/>
  <c r="V46" s="1"/>
  <c r="X35"/>
  <c r="V35"/>
  <c r="AH35"/>
  <c r="U34"/>
  <c r="AF35"/>
  <c r="AG35" s="1"/>
  <c r="Z117"/>
  <c r="Z34"/>
  <c r="T17"/>
  <c r="Z15"/>
  <c r="T11"/>
  <c r="W15"/>
  <c r="X105"/>
  <c r="AF105"/>
  <c r="V105"/>
  <c r="AA105"/>
  <c r="AJ105" i="118" s="1"/>
  <c r="AM105" s="1"/>
  <c r="AH105" i="117"/>
  <c r="AB236"/>
  <c r="Z235"/>
  <c r="AB235" s="1"/>
  <c r="O176"/>
  <c r="U177"/>
  <c r="X91"/>
  <c r="Y91" s="1"/>
  <c r="AF91"/>
  <c r="AH91"/>
  <c r="AA91"/>
  <c r="AB91" s="1"/>
  <c r="V91"/>
  <c r="T87"/>
  <c r="S87"/>
  <c r="X44"/>
  <c r="Y44" s="1"/>
  <c r="AA44"/>
  <c r="AB44" s="1"/>
  <c r="AF44"/>
  <c r="V44"/>
  <c r="AH44"/>
  <c r="Z20"/>
  <c r="Y227"/>
  <c r="Y127"/>
  <c r="Z145"/>
  <c r="V81"/>
  <c r="AG187"/>
  <c r="Y99"/>
  <c r="AG173"/>
  <c r="AI157"/>
  <c r="AG215"/>
  <c r="AG206"/>
  <c r="AG144"/>
  <c r="Y71"/>
  <c r="AB172"/>
  <c r="AK172" i="118" s="1"/>
  <c r="AB103" i="117"/>
  <c r="AG71"/>
  <c r="AG250"/>
  <c r="Y181"/>
  <c r="AG152"/>
  <c r="AG227"/>
  <c r="AG220"/>
  <c r="Y209"/>
  <c r="AA255"/>
  <c r="AI205"/>
  <c r="AG169"/>
  <c r="AA267"/>
  <c r="AI267" s="1"/>
  <c r="AA242"/>
  <c r="AB242" s="1"/>
  <c r="AG254"/>
  <c r="AG181"/>
  <c r="Y226"/>
  <c r="Y213"/>
  <c r="X157"/>
  <c r="AG149"/>
  <c r="AB229"/>
  <c r="AI99"/>
  <c r="AI147"/>
  <c r="AG122"/>
  <c r="AG70"/>
  <c r="AG150"/>
  <c r="AG171"/>
  <c r="AG162"/>
  <c r="AI227"/>
  <c r="AG255"/>
  <c r="AG240"/>
  <c r="Y144"/>
  <c r="Y133"/>
  <c r="AI102"/>
  <c r="AB88"/>
  <c r="AB72"/>
  <c r="AI187"/>
  <c r="AG109"/>
  <c r="Y82"/>
  <c r="AA57"/>
  <c r="AB241"/>
  <c r="AK241" i="118" s="1"/>
  <c r="Y163" i="117"/>
  <c r="AB190"/>
  <c r="AK190" i="118" s="1"/>
  <c r="AB212" i="117"/>
  <c r="AK212" i="118" s="1"/>
  <c r="X161" i="117"/>
  <c r="AG161" s="1"/>
  <c r="X167"/>
  <c r="AG167" s="1"/>
  <c r="Y172"/>
  <c r="AB209"/>
  <c r="Y225"/>
  <c r="Y240"/>
  <c r="AB216"/>
  <c r="AB200"/>
  <c r="AI122"/>
  <c r="AB102"/>
  <c r="AA151"/>
  <c r="AI151" s="1"/>
  <c r="X148"/>
  <c r="AG148" s="1"/>
  <c r="AG133"/>
  <c r="Y22"/>
  <c r="AI149"/>
  <c r="Y201"/>
  <c r="AB101"/>
  <c r="AI61"/>
  <c r="AI210"/>
  <c r="Y129"/>
  <c r="AG262"/>
  <c r="AG246"/>
  <c r="Y228"/>
  <c r="AI129"/>
  <c r="AI70"/>
  <c r="AB40"/>
  <c r="O53"/>
  <c r="AI191"/>
  <c r="M76"/>
  <c r="Y264"/>
  <c r="AG264"/>
  <c r="Y248"/>
  <c r="AG248"/>
  <c r="W207"/>
  <c r="V207"/>
  <c r="Z207"/>
  <c r="M142"/>
  <c r="K141"/>
  <c r="M141" s="1"/>
  <c r="K125"/>
  <c r="M132"/>
  <c r="W126"/>
  <c r="Z126"/>
  <c r="T128"/>
  <c r="W173"/>
  <c r="Y173" s="1"/>
  <c r="Y171"/>
  <c r="AF117"/>
  <c r="AG117" s="1"/>
  <c r="AH117"/>
  <c r="AB194"/>
  <c r="Z196"/>
  <c r="AB196" s="1"/>
  <c r="P117"/>
  <c r="O114"/>
  <c r="X87"/>
  <c r="AF87"/>
  <c r="AH87"/>
  <c r="AA87"/>
  <c r="Y159"/>
  <c r="W161"/>
  <c r="G126"/>
  <c r="E125"/>
  <c r="T134"/>
  <c r="V134" s="1"/>
  <c r="Z132"/>
  <c r="V132"/>
  <c r="W132"/>
  <c r="X27"/>
  <c r="Y27" s="1"/>
  <c r="V27"/>
  <c r="AH27"/>
  <c r="AA27"/>
  <c r="AF27"/>
  <c r="AG27" s="1"/>
  <c r="P43"/>
  <c r="U43"/>
  <c r="O237"/>
  <c r="U237" s="1"/>
  <c r="U238"/>
  <c r="AF78"/>
  <c r="AH78"/>
  <c r="K68"/>
  <c r="M69"/>
  <c r="X49"/>
  <c r="Y49" s="1"/>
  <c r="AF49"/>
  <c r="AA49"/>
  <c r="AB49" s="1"/>
  <c r="AH49"/>
  <c r="V49"/>
  <c r="AH189"/>
  <c r="AF189"/>
  <c r="AG189" s="1"/>
  <c r="W202"/>
  <c r="Y200"/>
  <c r="X143"/>
  <c r="X145" s="1"/>
  <c r="U145"/>
  <c r="AF143"/>
  <c r="AA143"/>
  <c r="AJ143" i="118" s="1"/>
  <c r="AH143" i="117"/>
  <c r="K58"/>
  <c r="M60"/>
  <c r="M97"/>
  <c r="H58"/>
  <c r="J60"/>
  <c r="T76"/>
  <c r="Q68"/>
  <c r="G32"/>
  <c r="E31"/>
  <c r="W205"/>
  <c r="Y205" s="1"/>
  <c r="Y203"/>
  <c r="T176"/>
  <c r="P176"/>
  <c r="N175"/>
  <c r="AF239"/>
  <c r="X239"/>
  <c r="Y239" s="1"/>
  <c r="AA239"/>
  <c r="AH239"/>
  <c r="W177"/>
  <c r="V177"/>
  <c r="T179"/>
  <c r="Z177"/>
  <c r="Z152"/>
  <c r="AI152" i="118" s="1"/>
  <c r="V152" i="117"/>
  <c r="W152"/>
  <c r="T154"/>
  <c r="V154" s="1"/>
  <c r="AB146"/>
  <c r="AK146" i="118" s="1"/>
  <c r="Z148" i="117"/>
  <c r="AI148" i="118" s="1"/>
  <c r="AE114" i="117"/>
  <c r="AE115" s="1"/>
  <c r="AH100"/>
  <c r="AA100"/>
  <c r="AB100" s="1"/>
  <c r="X100"/>
  <c r="Y100" s="1"/>
  <c r="AF100"/>
  <c r="V100"/>
  <c r="T31"/>
  <c r="N10"/>
  <c r="H141"/>
  <c r="J141" s="1"/>
  <c r="J142"/>
  <c r="O125"/>
  <c r="U126"/>
  <c r="Z61"/>
  <c r="W60"/>
  <c r="Y61"/>
  <c r="G142"/>
  <c r="E141"/>
  <c r="G141" s="1"/>
  <c r="W123"/>
  <c r="Z123"/>
  <c r="AB82"/>
  <c r="Z81"/>
  <c r="AB159"/>
  <c r="Z161"/>
  <c r="AB161" s="1"/>
  <c r="E58"/>
  <c r="G60"/>
  <c r="Y165"/>
  <c r="W167"/>
  <c r="AH134"/>
  <c r="AI134" s="1"/>
  <c r="AF134"/>
  <c r="Q31"/>
  <c r="S32"/>
  <c r="S142"/>
  <c r="Q141"/>
  <c r="Q124" s="1"/>
  <c r="T124" s="1"/>
  <c r="T142"/>
  <c r="S125"/>
  <c r="AH28"/>
  <c r="AA28"/>
  <c r="AB28" s="1"/>
  <c r="AF28"/>
  <c r="V28"/>
  <c r="X28"/>
  <c r="Y28" s="1"/>
  <c r="AH207"/>
  <c r="AA207"/>
  <c r="X207"/>
  <c r="AF207"/>
  <c r="W182"/>
  <c r="Y180"/>
  <c r="R114"/>
  <c r="S117"/>
  <c r="AF60"/>
  <c r="AG60" s="1"/>
  <c r="AH60"/>
  <c r="AI60" s="1"/>
  <c r="U58"/>
  <c r="X47"/>
  <c r="Y47" s="1"/>
  <c r="AF47"/>
  <c r="AH47"/>
  <c r="AA47"/>
  <c r="AB47" s="1"/>
  <c r="V47"/>
  <c r="G177"/>
  <c r="E176"/>
  <c r="P34"/>
  <c r="O32"/>
  <c r="W23"/>
  <c r="P15"/>
  <c r="U15"/>
  <c r="V15" s="1"/>
  <c r="O11"/>
  <c r="O10" s="1"/>
  <c r="Z26"/>
  <c r="AB24"/>
  <c r="AB223"/>
  <c r="AI153"/>
  <c r="Y220"/>
  <c r="Y216"/>
  <c r="AB129"/>
  <c r="AI255"/>
  <c r="AG209"/>
  <c r="AI242"/>
  <c r="V202"/>
  <c r="Y106"/>
  <c r="Y70"/>
  <c r="AI167"/>
  <c r="AI208"/>
  <c r="AI196"/>
  <c r="AG216"/>
  <c r="AG99"/>
  <c r="AG265"/>
  <c r="X202"/>
  <c r="V90"/>
  <c r="X182"/>
  <c r="AG182" s="1"/>
  <c r="Y212"/>
  <c r="P238"/>
  <c r="AB107"/>
  <c r="AB94"/>
  <c r="AK94" i="118" s="1"/>
  <c r="AG226" i="117"/>
  <c r="X151"/>
  <c r="AG151" s="1"/>
  <c r="V117"/>
  <c r="Y105"/>
  <c r="AB75"/>
  <c r="Y147"/>
  <c r="AI165"/>
  <c r="AB221"/>
  <c r="AG210"/>
  <c r="AG219"/>
  <c r="AG203"/>
  <c r="AI229"/>
  <c r="AI223"/>
  <c r="AG205"/>
  <c r="V189"/>
  <c r="AA264"/>
  <c r="AA248"/>
  <c r="AI248" s="1"/>
  <c r="M207"/>
  <c r="Y210"/>
  <c r="AA254"/>
  <c r="AI206"/>
  <c r="Z258"/>
  <c r="AI226"/>
  <c r="Y219"/>
  <c r="AI213"/>
  <c r="Y150"/>
  <c r="AG40"/>
  <c r="AG129"/>
  <c r="M78"/>
  <c r="AG157"/>
  <c r="AG242"/>
  <c r="AG160"/>
  <c r="AI190"/>
  <c r="AI222"/>
  <c r="AG252"/>
  <c r="AI172"/>
  <c r="AI194"/>
  <c r="AI94"/>
  <c r="N288"/>
  <c r="AA265"/>
  <c r="AG200"/>
  <c r="AI200"/>
  <c r="AA189"/>
  <c r="AB189" s="1"/>
  <c r="AB139"/>
  <c r="AB111"/>
  <c r="AI103"/>
  <c r="Y166"/>
  <c r="Y224"/>
  <c r="AB92"/>
  <c r="AK92" i="118" s="1"/>
  <c r="AB169" i="117"/>
  <c r="AB227"/>
  <c r="AA164"/>
  <c r="AI164" s="1"/>
  <c r="AB206"/>
  <c r="Y222"/>
  <c r="AB163"/>
  <c r="AA173"/>
  <c r="AI173" s="1"/>
  <c r="X196"/>
  <c r="AG196" s="1"/>
  <c r="Y195"/>
  <c r="Z202"/>
  <c r="AB202" s="1"/>
  <c r="AI118"/>
  <c r="AG82"/>
  <c r="AB50"/>
  <c r="AB220"/>
  <c r="AA148"/>
  <c r="AI148" s="1"/>
  <c r="AB99"/>
  <c r="AB86"/>
  <c r="Y153"/>
  <c r="AB105"/>
  <c r="Y97"/>
  <c r="AB187"/>
  <c r="R76"/>
  <c r="U76" s="1"/>
  <c r="Y221"/>
  <c r="AI144"/>
  <c r="Z266"/>
  <c r="AI257"/>
  <c r="AA250"/>
  <c r="AB181"/>
  <c r="X134"/>
  <c r="Y122"/>
  <c r="AI101"/>
  <c r="V78"/>
  <c r="AI75"/>
  <c r="AI262"/>
  <c r="AI246"/>
  <c r="AI50"/>
  <c r="X20"/>
  <c r="W151"/>
  <c r="Y151" s="1"/>
  <c r="Y118"/>
  <c r="M77"/>
  <c r="AA154"/>
  <c r="I8" i="116"/>
  <c r="I7" s="1"/>
  <c r="I6" s="1"/>
  <c r="I5" s="1"/>
  <c r="I273" s="1"/>
  <c r="W176"/>
  <c r="Z176"/>
  <c r="V176"/>
  <c r="AC227"/>
  <c r="J238"/>
  <c r="H237"/>
  <c r="J237" s="1"/>
  <c r="M177"/>
  <c r="K176"/>
  <c r="M238"/>
  <c r="K237"/>
  <c r="M237" s="1"/>
  <c r="Z118"/>
  <c r="W117"/>
  <c r="Y118"/>
  <c r="O217"/>
  <c r="O174" s="1"/>
  <c r="P221"/>
  <c r="U221"/>
  <c r="T123"/>
  <c r="Z18"/>
  <c r="AI18" i="118" s="1"/>
  <c r="V18" i="116"/>
  <c r="W18"/>
  <c r="T20"/>
  <c r="V20" s="1"/>
  <c r="J77"/>
  <c r="H76"/>
  <c r="J76" s="1"/>
  <c r="AA43"/>
  <c r="AB43" s="1"/>
  <c r="X43"/>
  <c r="Y43" s="1"/>
  <c r="X50"/>
  <c r="Y50" s="1"/>
  <c r="V50"/>
  <c r="AA50"/>
  <c r="AB50" s="1"/>
  <c r="Z205"/>
  <c r="AB205" s="1"/>
  <c r="AB203"/>
  <c r="V60"/>
  <c r="T58"/>
  <c r="T31"/>
  <c r="AA17"/>
  <c r="Y168"/>
  <c r="W170"/>
  <c r="Y170" s="1"/>
  <c r="X211"/>
  <c r="AA211"/>
  <c r="AJ211" i="118" s="1"/>
  <c r="X212" i="111" s="1"/>
  <c r="T113" i="116"/>
  <c r="V113" s="1"/>
  <c r="V114"/>
  <c r="E124"/>
  <c r="G125"/>
  <c r="Q124"/>
  <c r="S124" s="1"/>
  <c r="S125"/>
  <c r="G34"/>
  <c r="E32"/>
  <c r="P11"/>
  <c r="N10"/>
  <c r="AA97"/>
  <c r="AB97" s="1"/>
  <c r="X97"/>
  <c r="O46"/>
  <c r="U47"/>
  <c r="P47"/>
  <c r="R32"/>
  <c r="S34"/>
  <c r="U88"/>
  <c r="P88"/>
  <c r="P35"/>
  <c r="O34"/>
  <c r="W46"/>
  <c r="Z46"/>
  <c r="K11"/>
  <c r="M15"/>
  <c r="T125"/>
  <c r="P125"/>
  <c r="N124"/>
  <c r="AA98"/>
  <c r="AB98" s="1"/>
  <c r="X98"/>
  <c r="Y98" s="1"/>
  <c r="M32"/>
  <c r="K31"/>
  <c r="Z61"/>
  <c r="W60"/>
  <c r="Y61"/>
  <c r="H32"/>
  <c r="J34"/>
  <c r="Z173"/>
  <c r="AB173" s="1"/>
  <c r="AB171"/>
  <c r="AC171" s="1"/>
  <c r="Z193"/>
  <c r="AB193" s="1"/>
  <c r="AB191"/>
  <c r="R114"/>
  <c r="S117"/>
  <c r="Z189"/>
  <c r="AB189" s="1"/>
  <c r="AB187"/>
  <c r="AC187" s="1"/>
  <c r="AB201"/>
  <c r="W217"/>
  <c r="Z217"/>
  <c r="AI217" i="118" s="1"/>
  <c r="X104" i="116"/>
  <c r="AA104"/>
  <c r="X99"/>
  <c r="Y99" s="1"/>
  <c r="AA99"/>
  <c r="AB99" s="1"/>
  <c r="V99"/>
  <c r="U74"/>
  <c r="O69"/>
  <c r="P74"/>
  <c r="W15"/>
  <c r="T17"/>
  <c r="V17" s="1"/>
  <c r="T11"/>
  <c r="Z15"/>
  <c r="V15"/>
  <c r="AA90"/>
  <c r="AB90" s="1"/>
  <c r="X90"/>
  <c r="Y90" s="1"/>
  <c r="K58"/>
  <c r="M60"/>
  <c r="AA27"/>
  <c r="X27"/>
  <c r="Y27" s="1"/>
  <c r="S78"/>
  <c r="Q77"/>
  <c r="AA28"/>
  <c r="AB28" s="1"/>
  <c r="X28"/>
  <c r="Y28" s="1"/>
  <c r="V28"/>
  <c r="M69"/>
  <c r="AA111"/>
  <c r="AB111" s="1"/>
  <c r="X111"/>
  <c r="Y111" s="1"/>
  <c r="V111"/>
  <c r="J69"/>
  <c r="O238"/>
  <c r="P239"/>
  <c r="U239"/>
  <c r="S97"/>
  <c r="Y203"/>
  <c r="W205"/>
  <c r="Y205" s="1"/>
  <c r="AC205" s="1"/>
  <c r="S10"/>
  <c r="S237"/>
  <c r="AC100"/>
  <c r="AC42"/>
  <c r="M34"/>
  <c r="AC141"/>
  <c r="AB224"/>
  <c r="AK224" i="118" s="1"/>
  <c r="Y220" i="116"/>
  <c r="S43"/>
  <c r="AC16"/>
  <c r="S11"/>
  <c r="Z258"/>
  <c r="AB258" s="1"/>
  <c r="Y204"/>
  <c r="AC204" s="1"/>
  <c r="AC192"/>
  <c r="Z266"/>
  <c r="AB266" s="1"/>
  <c r="M217"/>
  <c r="AC139"/>
  <c r="Z259"/>
  <c r="AB259" s="1"/>
  <c r="AK259" i="118" s="1"/>
  <c r="G207" i="116"/>
  <c r="R174"/>
  <c r="AA129"/>
  <c r="AB129" s="1"/>
  <c r="AC129" s="1"/>
  <c r="Z253"/>
  <c r="AB253" s="1"/>
  <c r="AK253" i="118" s="1"/>
  <c r="Y136" i="116"/>
  <c r="AC136" s="1"/>
  <c r="AC210"/>
  <c r="AC157"/>
  <c r="AB96"/>
  <c r="AC96" s="1"/>
  <c r="Z245"/>
  <c r="AB245" s="1"/>
  <c r="AK245" i="118" s="1"/>
  <c r="AC71" i="116"/>
  <c r="V202"/>
  <c r="AC40"/>
  <c r="AC183"/>
  <c r="Q112"/>
  <c r="AC93"/>
  <c r="AC29"/>
  <c r="Q30" i="111" s="1"/>
  <c r="R30" s="1"/>
  <c r="AB27" i="116"/>
  <c r="AC91"/>
  <c r="U32"/>
  <c r="U31" s="1"/>
  <c r="AC161"/>
  <c r="V97"/>
  <c r="Y191"/>
  <c r="W193"/>
  <c r="Y193" s="1"/>
  <c r="AC193" s="1"/>
  <c r="AB168"/>
  <c r="Z170"/>
  <c r="AB170" s="1"/>
  <c r="Z235"/>
  <c r="AB235" s="1"/>
  <c r="AC235" s="1"/>
  <c r="AB236"/>
  <c r="P207"/>
  <c r="U207"/>
  <c r="V207" s="1"/>
  <c r="X110"/>
  <c r="Y110" s="1"/>
  <c r="AA110"/>
  <c r="AB110" s="1"/>
  <c r="V110"/>
  <c r="X201"/>
  <c r="Y201" s="1"/>
  <c r="AC201" s="1"/>
  <c r="W200"/>
  <c r="N174"/>
  <c r="P175"/>
  <c r="AB143"/>
  <c r="AC143" s="1"/>
  <c r="Z145"/>
  <c r="AB145" s="1"/>
  <c r="AC145" s="1"/>
  <c r="AA214"/>
  <c r="AB214" s="1"/>
  <c r="X214"/>
  <c r="Y214" s="1"/>
  <c r="V214"/>
  <c r="AA75"/>
  <c r="AB75" s="1"/>
  <c r="X75"/>
  <c r="Y75" s="1"/>
  <c r="V75"/>
  <c r="Q41"/>
  <c r="Q30" s="1"/>
  <c r="AA44"/>
  <c r="AB44" s="1"/>
  <c r="X44"/>
  <c r="Y44" s="1"/>
  <c r="V44"/>
  <c r="Z23"/>
  <c r="AB23" s="1"/>
  <c r="X125"/>
  <c r="AA125"/>
  <c r="T26"/>
  <c r="V26" s="1"/>
  <c r="W24"/>
  <c r="V24"/>
  <c r="Z24"/>
  <c r="AI24" i="118" s="1"/>
  <c r="Z82" i="116"/>
  <c r="W81"/>
  <c r="Y82"/>
  <c r="W69"/>
  <c r="Z69"/>
  <c r="AI69" i="118" s="1"/>
  <c r="AA49" i="116"/>
  <c r="AB49" s="1"/>
  <c r="X49"/>
  <c r="Y49" s="1"/>
  <c r="V49"/>
  <c r="H56"/>
  <c r="J57"/>
  <c r="AB194"/>
  <c r="AC194" s="1"/>
  <c r="Z196"/>
  <c r="AB196" s="1"/>
  <c r="AC196" s="1"/>
  <c r="V211"/>
  <c r="W211"/>
  <c r="Z211"/>
  <c r="W177"/>
  <c r="T179"/>
  <c r="V177"/>
  <c r="Z177"/>
  <c r="Z132"/>
  <c r="V132"/>
  <c r="W132"/>
  <c r="T134"/>
  <c r="V134" s="1"/>
  <c r="AA177"/>
  <c r="AA179" s="1"/>
  <c r="X177"/>
  <c r="X179" s="1"/>
  <c r="U179"/>
  <c r="K125"/>
  <c r="M126"/>
  <c r="H176"/>
  <c r="J177"/>
  <c r="S69"/>
  <c r="S57"/>
  <c r="Q67"/>
  <c r="Q56" s="1"/>
  <c r="AA124"/>
  <c r="X124"/>
  <c r="Z182"/>
  <c r="AB182" s="1"/>
  <c r="AB180"/>
  <c r="X45"/>
  <c r="Y45" s="1"/>
  <c r="AA45"/>
  <c r="AB45" s="1"/>
  <c r="V45"/>
  <c r="Q175"/>
  <c r="S176"/>
  <c r="X17"/>
  <c r="X176"/>
  <c r="AA176"/>
  <c r="AA175" s="1"/>
  <c r="W207"/>
  <c r="Z207"/>
  <c r="K141"/>
  <c r="M141" s="1"/>
  <c r="M142"/>
  <c r="H125"/>
  <c r="J126"/>
  <c r="Z237"/>
  <c r="W237"/>
  <c r="P115"/>
  <c r="O114"/>
  <c r="M78"/>
  <c r="K77"/>
  <c r="Z202"/>
  <c r="Y202"/>
  <c r="W31"/>
  <c r="W182"/>
  <c r="Y182" s="1"/>
  <c r="Y180"/>
  <c r="E57"/>
  <c r="G58"/>
  <c r="U23"/>
  <c r="V23" s="1"/>
  <c r="X21"/>
  <c r="AA21"/>
  <c r="AA23" s="1"/>
  <c r="R87"/>
  <c r="K113"/>
  <c r="M114"/>
  <c r="T128"/>
  <c r="V128" s="1"/>
  <c r="W126"/>
  <c r="V126"/>
  <c r="Z126"/>
  <c r="AA35"/>
  <c r="Y35"/>
  <c r="X34"/>
  <c r="E11"/>
  <c r="G21"/>
  <c r="X51"/>
  <c r="Y51" s="1"/>
  <c r="AA51"/>
  <c r="AB51" s="1"/>
  <c r="AC89"/>
  <c r="AC72"/>
  <c r="M43"/>
  <c r="AB104"/>
  <c r="AC209"/>
  <c r="AB263"/>
  <c r="AK263" i="118" s="1"/>
  <c r="AC178" i="116"/>
  <c r="AC236"/>
  <c r="AC212"/>
  <c r="Q213" i="111" s="1"/>
  <c r="S213" s="1"/>
  <c r="AB249" i="116"/>
  <c r="AK249" i="118" s="1"/>
  <c r="AC219" i="116"/>
  <c r="J24"/>
  <c r="AC48"/>
  <c r="AC133"/>
  <c r="AC66"/>
  <c r="AC188"/>
  <c r="AC206"/>
  <c r="AC229"/>
  <c r="AC226"/>
  <c r="Y173"/>
  <c r="AC151"/>
  <c r="Y263"/>
  <c r="Z256"/>
  <c r="AB256" s="1"/>
  <c r="AK256" i="118" s="1"/>
  <c r="AC122" i="116"/>
  <c r="Y224"/>
  <c r="AC224" s="1"/>
  <c r="U175"/>
  <c r="V98"/>
  <c r="S238"/>
  <c r="AC142"/>
  <c r="Y104"/>
  <c r="AB220"/>
  <c r="AC135"/>
  <c r="AC25"/>
  <c r="H11"/>
  <c r="AC148"/>
  <c r="T78"/>
  <c r="G187"/>
  <c r="V27"/>
  <c r="Y54"/>
  <c r="AC54" s="1"/>
  <c r="AC159"/>
  <c r="H141"/>
  <c r="J141" s="1"/>
  <c r="Y97"/>
  <c r="V34"/>
  <c r="U11"/>
  <c r="U10" s="1"/>
  <c r="H506" i="92"/>
  <c r="J506" s="1"/>
  <c r="J507"/>
  <c r="I446"/>
  <c r="H446"/>
  <c r="T543"/>
  <c r="Q543"/>
  <c r="S543" s="1"/>
  <c r="N543"/>
  <c r="P543" s="1"/>
  <c r="J543"/>
  <c r="K543"/>
  <c r="M543" s="1"/>
  <c r="K511"/>
  <c r="L511" s="1"/>
  <c r="N511" s="1"/>
  <c r="J511"/>
  <c r="K507"/>
  <c r="V504"/>
  <c r="S504"/>
  <c r="P504"/>
  <c r="M504"/>
  <c r="J504"/>
  <c r="V503"/>
  <c r="S503"/>
  <c r="P503"/>
  <c r="M503"/>
  <c r="J503"/>
  <c r="V502"/>
  <c r="S502"/>
  <c r="P502"/>
  <c r="M502"/>
  <c r="J502"/>
  <c r="U501"/>
  <c r="T501"/>
  <c r="R501"/>
  <c r="Q501"/>
  <c r="O501"/>
  <c r="N501"/>
  <c r="L501"/>
  <c r="M501" s="1"/>
  <c r="K501"/>
  <c r="J501"/>
  <c r="V500"/>
  <c r="S500"/>
  <c r="P500"/>
  <c r="M500"/>
  <c r="J500"/>
  <c r="V499"/>
  <c r="S499"/>
  <c r="P499"/>
  <c r="M499"/>
  <c r="J499"/>
  <c r="V498"/>
  <c r="S498"/>
  <c r="P498"/>
  <c r="M498"/>
  <c r="J498"/>
  <c r="U497"/>
  <c r="T497"/>
  <c r="R497"/>
  <c r="Q497"/>
  <c r="O497"/>
  <c r="N497"/>
  <c r="P497" s="1"/>
  <c r="L497"/>
  <c r="K497"/>
  <c r="M497" s="1"/>
  <c r="J497"/>
  <c r="V496"/>
  <c r="S496"/>
  <c r="P496"/>
  <c r="M496"/>
  <c r="J496"/>
  <c r="V495"/>
  <c r="S495"/>
  <c r="P495"/>
  <c r="M495"/>
  <c r="J495"/>
  <c r="V494"/>
  <c r="S494"/>
  <c r="P494"/>
  <c r="M494"/>
  <c r="J494"/>
  <c r="K493"/>
  <c r="J493"/>
  <c r="V492"/>
  <c r="S492"/>
  <c r="P492"/>
  <c r="M492"/>
  <c r="J492"/>
  <c r="V491"/>
  <c r="S491"/>
  <c r="P491"/>
  <c r="M491"/>
  <c r="J491"/>
  <c r="V490"/>
  <c r="S490"/>
  <c r="P490"/>
  <c r="M490"/>
  <c r="J490"/>
  <c r="J489"/>
  <c r="V488"/>
  <c r="S488"/>
  <c r="P488"/>
  <c r="M488"/>
  <c r="J488"/>
  <c r="V487"/>
  <c r="S487"/>
  <c r="P487"/>
  <c r="M487"/>
  <c r="J487"/>
  <c r="K486"/>
  <c r="L486" s="1"/>
  <c r="N486" s="1"/>
  <c r="J486"/>
  <c r="V485"/>
  <c r="S485"/>
  <c r="P485"/>
  <c r="M485"/>
  <c r="J485"/>
  <c r="K484"/>
  <c r="L484" s="1"/>
  <c r="J484"/>
  <c r="J483"/>
  <c r="K482"/>
  <c r="L482" s="1"/>
  <c r="J482"/>
  <c r="V481"/>
  <c r="S481"/>
  <c r="P481"/>
  <c r="M481"/>
  <c r="J481"/>
  <c r="V480"/>
  <c r="S480"/>
  <c r="P480"/>
  <c r="M480"/>
  <c r="J480"/>
  <c r="J479"/>
  <c r="K478"/>
  <c r="J478"/>
  <c r="V477"/>
  <c r="S477"/>
  <c r="P477"/>
  <c r="M477"/>
  <c r="J477"/>
  <c r="V476"/>
  <c r="S476"/>
  <c r="P476"/>
  <c r="M476"/>
  <c r="J476"/>
  <c r="U475"/>
  <c r="T475"/>
  <c r="V475" s="1"/>
  <c r="R475"/>
  <c r="Q475"/>
  <c r="O475"/>
  <c r="N475"/>
  <c r="L475"/>
  <c r="K475"/>
  <c r="J475"/>
  <c r="V474"/>
  <c r="S474"/>
  <c r="P474"/>
  <c r="M474"/>
  <c r="J474"/>
  <c r="V473"/>
  <c r="S473"/>
  <c r="P473"/>
  <c r="M473"/>
  <c r="J473"/>
  <c r="U472"/>
  <c r="T472"/>
  <c r="R472"/>
  <c r="Q472"/>
  <c r="O472"/>
  <c r="N472"/>
  <c r="M472"/>
  <c r="L472"/>
  <c r="K472"/>
  <c r="J472"/>
  <c r="V471"/>
  <c r="S471"/>
  <c r="P471"/>
  <c r="M471"/>
  <c r="J471"/>
  <c r="V470"/>
  <c r="S470"/>
  <c r="P470"/>
  <c r="M470"/>
  <c r="J470"/>
  <c r="V469"/>
  <c r="S469"/>
  <c r="P469"/>
  <c r="M469"/>
  <c r="J469"/>
  <c r="K468"/>
  <c r="L468" s="1"/>
  <c r="J468"/>
  <c r="K467"/>
  <c r="L467" s="1"/>
  <c r="J467"/>
  <c r="J466"/>
  <c r="K465"/>
  <c r="L465" s="1"/>
  <c r="J465"/>
  <c r="K464"/>
  <c r="L464" s="1"/>
  <c r="J464"/>
  <c r="J463"/>
  <c r="V462"/>
  <c r="S462"/>
  <c r="P462"/>
  <c r="M462"/>
  <c r="J462"/>
  <c r="K461"/>
  <c r="L461" s="1"/>
  <c r="N461" s="1"/>
  <c r="J461"/>
  <c r="K460"/>
  <c r="L460" s="1"/>
  <c r="J460"/>
  <c r="J459"/>
  <c r="V458"/>
  <c r="S458"/>
  <c r="P458"/>
  <c r="M458"/>
  <c r="J458"/>
  <c r="V457"/>
  <c r="S457"/>
  <c r="P457"/>
  <c r="M457"/>
  <c r="J457"/>
  <c r="V456"/>
  <c r="S456"/>
  <c r="P456"/>
  <c r="M456"/>
  <c r="J456"/>
  <c r="U455"/>
  <c r="T455"/>
  <c r="R455"/>
  <c r="Q455"/>
  <c r="O455"/>
  <c r="N455"/>
  <c r="L455"/>
  <c r="K455"/>
  <c r="J455"/>
  <c r="V454"/>
  <c r="S454"/>
  <c r="P454"/>
  <c r="M454"/>
  <c r="J454"/>
  <c r="V453"/>
  <c r="S453"/>
  <c r="P453"/>
  <c r="M453"/>
  <c r="J453"/>
  <c r="U452"/>
  <c r="V452" s="1"/>
  <c r="T452"/>
  <c r="R452"/>
  <c r="Q452"/>
  <c r="O452"/>
  <c r="N452"/>
  <c r="L452"/>
  <c r="K452"/>
  <c r="J452"/>
  <c r="K451"/>
  <c r="L451" s="1"/>
  <c r="N451" s="1"/>
  <c r="J451"/>
  <c r="K450"/>
  <c r="L450" s="1"/>
  <c r="N450" s="1"/>
  <c r="J450"/>
  <c r="J449"/>
  <c r="J448"/>
  <c r="J447"/>
  <c r="V445"/>
  <c r="S445"/>
  <c r="P445"/>
  <c r="M445"/>
  <c r="J445"/>
  <c r="V444"/>
  <c r="S444"/>
  <c r="P444"/>
  <c r="M444"/>
  <c r="J444"/>
  <c r="U443"/>
  <c r="T443"/>
  <c r="R443"/>
  <c r="Q443"/>
  <c r="O443"/>
  <c r="P443" s="1"/>
  <c r="N443"/>
  <c r="L443"/>
  <c r="K443"/>
  <c r="J443"/>
  <c r="K442"/>
  <c r="J442"/>
  <c r="K441"/>
  <c r="L441" s="1"/>
  <c r="J441"/>
  <c r="J440"/>
  <c r="K439"/>
  <c r="L439" s="1"/>
  <c r="N439" s="1"/>
  <c r="J439"/>
  <c r="K438"/>
  <c r="J438"/>
  <c r="J437"/>
  <c r="V436"/>
  <c r="S436"/>
  <c r="P436"/>
  <c r="M436"/>
  <c r="J436"/>
  <c r="V435"/>
  <c r="S435"/>
  <c r="P435"/>
  <c r="M435"/>
  <c r="J435"/>
  <c r="U434"/>
  <c r="T434"/>
  <c r="V434" s="1"/>
  <c r="R434"/>
  <c r="Q434"/>
  <c r="S434" s="1"/>
  <c r="O434"/>
  <c r="N434"/>
  <c r="P434" s="1"/>
  <c r="L434"/>
  <c r="K434"/>
  <c r="M434" s="1"/>
  <c r="J434"/>
  <c r="V433"/>
  <c r="S433"/>
  <c r="P433"/>
  <c r="M433"/>
  <c r="J433"/>
  <c r="V432"/>
  <c r="S432"/>
  <c r="P432"/>
  <c r="M432"/>
  <c r="J432"/>
  <c r="U431"/>
  <c r="T431"/>
  <c r="R431"/>
  <c r="Q431"/>
  <c r="O431"/>
  <c r="P431" s="1"/>
  <c r="N431"/>
  <c r="L431"/>
  <c r="K431"/>
  <c r="J431"/>
  <c r="J430"/>
  <c r="V429"/>
  <c r="S429"/>
  <c r="P429"/>
  <c r="M429"/>
  <c r="J429"/>
  <c r="V428"/>
  <c r="S428"/>
  <c r="P428"/>
  <c r="M428"/>
  <c r="J428"/>
  <c r="U427"/>
  <c r="T427"/>
  <c r="S427"/>
  <c r="R427"/>
  <c r="Q427"/>
  <c r="O427"/>
  <c r="N427"/>
  <c r="P427" s="1"/>
  <c r="L427"/>
  <c r="K427"/>
  <c r="J427"/>
  <c r="K426"/>
  <c r="J426"/>
  <c r="K425"/>
  <c r="L425" s="1"/>
  <c r="J425"/>
  <c r="J424"/>
  <c r="K423"/>
  <c r="J423"/>
  <c r="K422"/>
  <c r="L422" s="1"/>
  <c r="N422" s="1"/>
  <c r="J422"/>
  <c r="J421"/>
  <c r="V420"/>
  <c r="S420"/>
  <c r="P420"/>
  <c r="M420"/>
  <c r="J420"/>
  <c r="V419"/>
  <c r="S419"/>
  <c r="P419"/>
  <c r="M419"/>
  <c r="J419"/>
  <c r="U418"/>
  <c r="T418"/>
  <c r="R418"/>
  <c r="Q418"/>
  <c r="O418"/>
  <c r="N418"/>
  <c r="L418"/>
  <c r="M418" s="1"/>
  <c r="K418"/>
  <c r="J418"/>
  <c r="V417"/>
  <c r="S417"/>
  <c r="P417"/>
  <c r="M417"/>
  <c r="J417"/>
  <c r="V416"/>
  <c r="S416"/>
  <c r="P416"/>
  <c r="M416"/>
  <c r="J416"/>
  <c r="U415"/>
  <c r="T415"/>
  <c r="V415" s="1"/>
  <c r="R415"/>
  <c r="Q415"/>
  <c r="O415"/>
  <c r="N415"/>
  <c r="P415" s="1"/>
  <c r="L415"/>
  <c r="K415"/>
  <c r="J415"/>
  <c r="J414"/>
  <c r="J413"/>
  <c r="V412"/>
  <c r="S412"/>
  <c r="P412"/>
  <c r="M412"/>
  <c r="J412"/>
  <c r="V411"/>
  <c r="S411"/>
  <c r="P411"/>
  <c r="M411"/>
  <c r="J411"/>
  <c r="U410"/>
  <c r="T410"/>
  <c r="R410"/>
  <c r="Q410"/>
  <c r="O410"/>
  <c r="N410"/>
  <c r="L410"/>
  <c r="K410"/>
  <c r="J410"/>
  <c r="K409"/>
  <c r="L409" s="1"/>
  <c r="J409"/>
  <c r="K408"/>
  <c r="L408" s="1"/>
  <c r="J408"/>
  <c r="J407"/>
  <c r="K406"/>
  <c r="L406" s="1"/>
  <c r="N406" s="1"/>
  <c r="J406"/>
  <c r="K405"/>
  <c r="L405" s="1"/>
  <c r="J405"/>
  <c r="J404"/>
  <c r="K403"/>
  <c r="L403" s="1"/>
  <c r="N403" s="1"/>
  <c r="J403"/>
  <c r="K402"/>
  <c r="J402"/>
  <c r="J401"/>
  <c r="K400"/>
  <c r="L400" s="1"/>
  <c r="N400" s="1"/>
  <c r="J400"/>
  <c r="K399"/>
  <c r="L399" s="1"/>
  <c r="L398" s="1"/>
  <c r="J399"/>
  <c r="J398"/>
  <c r="J397"/>
  <c r="J396"/>
  <c r="V393"/>
  <c r="S393"/>
  <c r="P393"/>
  <c r="M393"/>
  <c r="J393"/>
  <c r="V392"/>
  <c r="S392"/>
  <c r="P392"/>
  <c r="M392"/>
  <c r="J392"/>
  <c r="U391"/>
  <c r="T391"/>
  <c r="R391"/>
  <c r="Q391"/>
  <c r="S391" s="1"/>
  <c r="O391"/>
  <c r="N391"/>
  <c r="L391"/>
  <c r="K391"/>
  <c r="J391"/>
  <c r="L390"/>
  <c r="N390" s="1"/>
  <c r="K390"/>
  <c r="J390"/>
  <c r="K389"/>
  <c r="J389"/>
  <c r="K388"/>
  <c r="L388" s="1"/>
  <c r="J388"/>
  <c r="K387"/>
  <c r="J387"/>
  <c r="K386"/>
  <c r="L386" s="1"/>
  <c r="N386" s="1"/>
  <c r="J386"/>
  <c r="K385"/>
  <c r="L385" s="1"/>
  <c r="N385" s="1"/>
  <c r="J385"/>
  <c r="V384"/>
  <c r="S384"/>
  <c r="P384"/>
  <c r="M384"/>
  <c r="J384"/>
  <c r="K383"/>
  <c r="J383"/>
  <c r="J382"/>
  <c r="J381"/>
  <c r="J380"/>
  <c r="V379"/>
  <c r="S379"/>
  <c r="P379"/>
  <c r="M379"/>
  <c r="J379"/>
  <c r="K378"/>
  <c r="L378" s="1"/>
  <c r="N378" s="1"/>
  <c r="J378"/>
  <c r="J377"/>
  <c r="K376"/>
  <c r="L376" s="1"/>
  <c r="J376"/>
  <c r="K375"/>
  <c r="J375"/>
  <c r="V374"/>
  <c r="S374"/>
  <c r="P374"/>
  <c r="M374"/>
  <c r="J374"/>
  <c r="K373"/>
  <c r="J373"/>
  <c r="K372"/>
  <c r="L372" s="1"/>
  <c r="J372"/>
  <c r="K371"/>
  <c r="J371"/>
  <c r="V370"/>
  <c r="S370"/>
  <c r="P370"/>
  <c r="M370"/>
  <c r="J370"/>
  <c r="K369"/>
  <c r="J369"/>
  <c r="J368"/>
  <c r="L366"/>
  <c r="N366" s="1"/>
  <c r="K366"/>
  <c r="J366"/>
  <c r="K365"/>
  <c r="L365" s="1"/>
  <c r="J365"/>
  <c r="V364"/>
  <c r="S364"/>
  <c r="P364"/>
  <c r="M364"/>
  <c r="J364"/>
  <c r="K363"/>
  <c r="L363" s="1"/>
  <c r="N363" s="1"/>
  <c r="O363" s="1"/>
  <c r="Q363" s="1"/>
  <c r="R363" s="1"/>
  <c r="T363" s="1"/>
  <c r="K362"/>
  <c r="J362"/>
  <c r="J361"/>
  <c r="J360"/>
  <c r="J359"/>
  <c r="V358"/>
  <c r="S358"/>
  <c r="P358"/>
  <c r="M358"/>
  <c r="J358"/>
  <c r="J357"/>
  <c r="K356"/>
  <c r="J356"/>
  <c r="K355"/>
  <c r="J355"/>
  <c r="K354"/>
  <c r="L354" s="1"/>
  <c r="N354" s="1"/>
  <c r="J354"/>
  <c r="K353"/>
  <c r="J353"/>
  <c r="V351"/>
  <c r="S351"/>
  <c r="P351"/>
  <c r="M351"/>
  <c r="J351"/>
  <c r="K350"/>
  <c r="L350" s="1"/>
  <c r="N350" s="1"/>
  <c r="J350"/>
  <c r="K349"/>
  <c r="L349" s="1"/>
  <c r="N349" s="1"/>
  <c r="J349"/>
  <c r="K348"/>
  <c r="J348"/>
  <c r="V347"/>
  <c r="S347"/>
  <c r="P347"/>
  <c r="M347"/>
  <c r="J347"/>
  <c r="K346"/>
  <c r="L346" s="1"/>
  <c r="J346"/>
  <c r="J345"/>
  <c r="K344"/>
  <c r="L344" s="1"/>
  <c r="N344" s="1"/>
  <c r="J344"/>
  <c r="K343"/>
  <c r="L343" s="1"/>
  <c r="J343"/>
  <c r="J342"/>
  <c r="K340"/>
  <c r="J340"/>
  <c r="L339"/>
  <c r="N339" s="1"/>
  <c r="K339"/>
  <c r="M339" s="1"/>
  <c r="J339"/>
  <c r="V338"/>
  <c r="S338"/>
  <c r="P338"/>
  <c r="M338"/>
  <c r="J338"/>
  <c r="K337"/>
  <c r="L337" s="1"/>
  <c r="N337" s="1"/>
  <c r="J337"/>
  <c r="K336"/>
  <c r="J336"/>
  <c r="J335"/>
  <c r="K334"/>
  <c r="J334"/>
  <c r="J333"/>
  <c r="V332"/>
  <c r="S332"/>
  <c r="P332"/>
  <c r="M332"/>
  <c r="J332"/>
  <c r="J331"/>
  <c r="K330"/>
  <c r="J330"/>
  <c r="K329"/>
  <c r="J329"/>
  <c r="K328"/>
  <c r="J328"/>
  <c r="I310"/>
  <c r="H310"/>
  <c r="K327"/>
  <c r="L327" s="1"/>
  <c r="K326"/>
  <c r="L326" s="1"/>
  <c r="K325"/>
  <c r="L325" s="1"/>
  <c r="L324"/>
  <c r="N324" s="1"/>
  <c r="O324" s="1"/>
  <c r="K324"/>
  <c r="K323" s="1"/>
  <c r="K322"/>
  <c r="L322" s="1"/>
  <c r="L321"/>
  <c r="N321" s="1"/>
  <c r="O321" s="1"/>
  <c r="K321"/>
  <c r="K320" s="1"/>
  <c r="K319"/>
  <c r="L319" s="1"/>
  <c r="L318"/>
  <c r="N318" s="1"/>
  <c r="O318" s="1"/>
  <c r="K318"/>
  <c r="K317" s="1"/>
  <c r="K316"/>
  <c r="L316" s="1"/>
  <c r="L315"/>
  <c r="N315" s="1"/>
  <c r="O315" s="1"/>
  <c r="K315"/>
  <c r="K314" s="1"/>
  <c r="V313"/>
  <c r="S313"/>
  <c r="P313"/>
  <c r="M313"/>
  <c r="V312"/>
  <c r="S312"/>
  <c r="P312"/>
  <c r="M312"/>
  <c r="U311"/>
  <c r="T311"/>
  <c r="V311" s="1"/>
  <c r="R311"/>
  <c r="Q311"/>
  <c r="S311" s="1"/>
  <c r="O311"/>
  <c r="N311"/>
  <c r="P311" s="1"/>
  <c r="L311"/>
  <c r="K311"/>
  <c r="M311" s="1"/>
  <c r="J341"/>
  <c r="J327"/>
  <c r="J326"/>
  <c r="J325"/>
  <c r="J324"/>
  <c r="J323"/>
  <c r="J322"/>
  <c r="J321"/>
  <c r="J320"/>
  <c r="J319"/>
  <c r="J318"/>
  <c r="J317"/>
  <c r="J316"/>
  <c r="J315"/>
  <c r="J311"/>
  <c r="J312"/>
  <c r="J313"/>
  <c r="J314"/>
  <c r="J14"/>
  <c r="J15"/>
  <c r="J17"/>
  <c r="J18"/>
  <c r="J20"/>
  <c r="J21"/>
  <c r="J23"/>
  <c r="J24"/>
  <c r="J26"/>
  <c r="J27"/>
  <c r="J29"/>
  <c r="J30"/>
  <c r="J33"/>
  <c r="J34"/>
  <c r="J36"/>
  <c r="J37"/>
  <c r="J39"/>
  <c r="J40"/>
  <c r="J42"/>
  <c r="J43"/>
  <c r="J45"/>
  <c r="J46"/>
  <c r="J48"/>
  <c r="J49"/>
  <c r="J51"/>
  <c r="J52"/>
  <c r="J55"/>
  <c r="J56"/>
  <c r="J58"/>
  <c r="J59"/>
  <c r="J61"/>
  <c r="J62"/>
  <c r="J64"/>
  <c r="J65"/>
  <c r="J67"/>
  <c r="J68"/>
  <c r="J70"/>
  <c r="J71"/>
  <c r="J73"/>
  <c r="J74"/>
  <c r="J76"/>
  <c r="J77"/>
  <c r="J79"/>
  <c r="J80"/>
  <c r="J82"/>
  <c r="J83"/>
  <c r="J85"/>
  <c r="J86"/>
  <c r="J88"/>
  <c r="J89"/>
  <c r="J91"/>
  <c r="J92"/>
  <c r="J94"/>
  <c r="J95"/>
  <c r="J97"/>
  <c r="J98"/>
  <c r="J100"/>
  <c r="J101"/>
  <c r="J103"/>
  <c r="J104"/>
  <c r="J106"/>
  <c r="J107"/>
  <c r="J109"/>
  <c r="J110"/>
  <c r="J112"/>
  <c r="J113"/>
  <c r="J115"/>
  <c r="J116"/>
  <c r="J118"/>
  <c r="J119"/>
  <c r="J121"/>
  <c r="J122"/>
  <c r="J124"/>
  <c r="J125"/>
  <c r="J127"/>
  <c r="J128"/>
  <c r="J130"/>
  <c r="J131"/>
  <c r="J133"/>
  <c r="J134"/>
  <c r="J136"/>
  <c r="J137"/>
  <c r="J139"/>
  <c r="J140"/>
  <c r="J142"/>
  <c r="J143"/>
  <c r="J145"/>
  <c r="J146"/>
  <c r="J148"/>
  <c r="J149"/>
  <c r="J151"/>
  <c r="J152"/>
  <c r="J154"/>
  <c r="J155"/>
  <c r="J157"/>
  <c r="J158"/>
  <c r="J160"/>
  <c r="J161"/>
  <c r="J163"/>
  <c r="J164"/>
  <c r="J166"/>
  <c r="J167"/>
  <c r="J169"/>
  <c r="J170"/>
  <c r="J172"/>
  <c r="J173"/>
  <c r="J175"/>
  <c r="J176"/>
  <c r="J178"/>
  <c r="J179"/>
  <c r="J181"/>
  <c r="J182"/>
  <c r="J184"/>
  <c r="J185"/>
  <c r="J187"/>
  <c r="J188"/>
  <c r="J190"/>
  <c r="J191"/>
  <c r="J193"/>
  <c r="J194"/>
  <c r="J196"/>
  <c r="J197"/>
  <c r="J199"/>
  <c r="J200"/>
  <c r="J202"/>
  <c r="J203"/>
  <c r="J205"/>
  <c r="J206"/>
  <c r="J208"/>
  <c r="J209"/>
  <c r="J211"/>
  <c r="J212"/>
  <c r="J214"/>
  <c r="J215"/>
  <c r="J217"/>
  <c r="J218"/>
  <c r="J220"/>
  <c r="J221"/>
  <c r="J223"/>
  <c r="J224"/>
  <c r="J226"/>
  <c r="J227"/>
  <c r="J229"/>
  <c r="J230"/>
  <c r="J232"/>
  <c r="J233"/>
  <c r="J235"/>
  <c r="J236"/>
  <c r="J238"/>
  <c r="J239"/>
  <c r="J241"/>
  <c r="J242"/>
  <c r="J244"/>
  <c r="J245"/>
  <c r="J247"/>
  <c r="J248"/>
  <c r="J250"/>
  <c r="J251"/>
  <c r="J253"/>
  <c r="J254"/>
  <c r="J256"/>
  <c r="J257"/>
  <c r="J259"/>
  <c r="J260"/>
  <c r="J262"/>
  <c r="J263"/>
  <c r="J265"/>
  <c r="J266"/>
  <c r="J268"/>
  <c r="J269"/>
  <c r="J271"/>
  <c r="J272"/>
  <c r="J274"/>
  <c r="J275"/>
  <c r="J277"/>
  <c r="J278"/>
  <c r="J280"/>
  <c r="J281"/>
  <c r="J283"/>
  <c r="J284"/>
  <c r="J286"/>
  <c r="J287"/>
  <c r="J289"/>
  <c r="J290"/>
  <c r="J292"/>
  <c r="J293"/>
  <c r="J295"/>
  <c r="J296"/>
  <c r="J298"/>
  <c r="J299"/>
  <c r="J301"/>
  <c r="J302"/>
  <c r="J304"/>
  <c r="J305"/>
  <c r="J307"/>
  <c r="J308"/>
  <c r="J309"/>
  <c r="J310"/>
  <c r="V26" i="117" l="1"/>
  <c r="AE214" i="118"/>
  <c r="AF214" s="1"/>
  <c r="AC214"/>
  <c r="AC47"/>
  <c r="AG24" i="117"/>
  <c r="AA26"/>
  <c r="AJ26" i="118" s="1"/>
  <c r="O58" i="116"/>
  <c r="AI24" i="117"/>
  <c r="Y24"/>
  <c r="X214" i="118"/>
  <c r="Y214" s="1"/>
  <c r="AA47"/>
  <c r="AB47" s="1"/>
  <c r="M176"/>
  <c r="AG134" i="117"/>
  <c r="AK161" i="118"/>
  <c r="AM180"/>
  <c r="AK66"/>
  <c r="V175"/>
  <c r="W175"/>
  <c r="Z175"/>
  <c r="AB175" s="1"/>
  <c r="AD82"/>
  <c r="S415" i="92"/>
  <c r="P418"/>
  <c r="S431"/>
  <c r="L442"/>
  <c r="N442" s="1"/>
  <c r="M452"/>
  <c r="S452"/>
  <c r="M455"/>
  <c r="S455"/>
  <c r="AK75" i="118"/>
  <c r="AI126"/>
  <c r="AM172"/>
  <c r="AM155"/>
  <c r="AM216"/>
  <c r="AK204"/>
  <c r="W174"/>
  <c r="Z174"/>
  <c r="AI132"/>
  <c r="AI15"/>
  <c r="AJ252"/>
  <c r="AB252" i="117"/>
  <c r="AK252" i="118" s="1"/>
  <c r="M415" i="92"/>
  <c r="S443"/>
  <c r="P452"/>
  <c r="P455"/>
  <c r="V455"/>
  <c r="P501"/>
  <c r="AC104" i="116"/>
  <c r="AI100" i="117"/>
  <c r="AI177" i="118"/>
  <c r="AI207"/>
  <c r="AI105" i="117"/>
  <c r="AI23" i="118"/>
  <c r="AF176"/>
  <c r="E124"/>
  <c r="G124" s="1"/>
  <c r="AF27"/>
  <c r="AM156"/>
  <c r="AM144"/>
  <c r="AM222"/>
  <c r="AM220"/>
  <c r="AM226"/>
  <c r="AM195"/>
  <c r="AK110"/>
  <c r="X81"/>
  <c r="AA82"/>
  <c r="AA81" s="1"/>
  <c r="R57" i="117"/>
  <c r="S58"/>
  <c r="V97" i="111"/>
  <c r="S188" i="121"/>
  <c r="W111"/>
  <c r="W111" i="111"/>
  <c r="W71" i="121"/>
  <c r="R12"/>
  <c r="U114" i="111"/>
  <c r="U114" i="121"/>
  <c r="W48"/>
  <c r="W48" i="111"/>
  <c r="U272"/>
  <c r="V272" s="1"/>
  <c r="W179" i="121"/>
  <c r="W179" i="111"/>
  <c r="W46"/>
  <c r="W106"/>
  <c r="U105"/>
  <c r="W74"/>
  <c r="W74" i="121"/>
  <c r="W128"/>
  <c r="W128" i="111"/>
  <c r="U58"/>
  <c r="U58" i="121"/>
  <c r="U46"/>
  <c r="V46" s="1"/>
  <c r="T98"/>
  <c r="U32"/>
  <c r="U32" i="111"/>
  <c r="Z88" i="121"/>
  <c r="Z88" i="111"/>
  <c r="T57" i="121"/>
  <c r="T57" i="111"/>
  <c r="U218" i="121"/>
  <c r="W216"/>
  <c r="W216" i="111"/>
  <c r="W272" i="121"/>
  <c r="U100"/>
  <c r="V100" s="1"/>
  <c r="U100" i="111"/>
  <c r="V100" s="1"/>
  <c r="Z67" i="121"/>
  <c r="Z67" i="111"/>
  <c r="U47" i="121"/>
  <c r="U50" i="111"/>
  <c r="U50" i="121"/>
  <c r="V50" s="1"/>
  <c r="U127"/>
  <c r="U127" i="111"/>
  <c r="W75" i="121"/>
  <c r="W75" i="111"/>
  <c r="T68" i="121"/>
  <c r="T68" i="111"/>
  <c r="V106"/>
  <c r="T98"/>
  <c r="T31"/>
  <c r="U46"/>
  <c r="O123" i="118"/>
  <c r="O112" s="1"/>
  <c r="U112" s="1"/>
  <c r="G124" i="116"/>
  <c r="J125" i="117"/>
  <c r="S22" i="121"/>
  <c r="S25"/>
  <c r="R177" i="111"/>
  <c r="S177" s="1"/>
  <c r="S129"/>
  <c r="V129"/>
  <c r="U76" i="121"/>
  <c r="U76" i="111"/>
  <c r="V76" s="1"/>
  <c r="W97" i="121"/>
  <c r="W97" i="111"/>
  <c r="T202" i="121"/>
  <c r="T202" i="111"/>
  <c r="U133" i="121"/>
  <c r="U133" i="111"/>
  <c r="U222" i="121"/>
  <c r="U222" i="111"/>
  <c r="T45" i="121"/>
  <c r="T45" i="111"/>
  <c r="U91" i="121"/>
  <c r="V91" s="1"/>
  <c r="U91" i="111"/>
  <c r="W134" i="121"/>
  <c r="W134" i="111"/>
  <c r="U90"/>
  <c r="U90" i="121"/>
  <c r="V90" s="1"/>
  <c r="U41"/>
  <c r="V41" s="1"/>
  <c r="U41" i="111"/>
  <c r="V41" s="1"/>
  <c r="W26" i="121"/>
  <c r="W26" i="111"/>
  <c r="U29" i="121"/>
  <c r="V29" s="1"/>
  <c r="U29" i="111"/>
  <c r="V29" s="1"/>
  <c r="R44" i="121"/>
  <c r="S44" s="1"/>
  <c r="R201"/>
  <c r="R201" i="111"/>
  <c r="S201" s="1"/>
  <c r="U52" i="121"/>
  <c r="V52" s="1"/>
  <c r="U52" i="111"/>
  <c r="U237"/>
  <c r="V237" s="1"/>
  <c r="U237" i="121"/>
  <c r="T208"/>
  <c r="U215" i="111"/>
  <c r="U215" i="121"/>
  <c r="V215" s="1"/>
  <c r="U208"/>
  <c r="W189"/>
  <c r="W189" i="111"/>
  <c r="U22" i="121"/>
  <c r="U24" s="1"/>
  <c r="V24" s="1"/>
  <c r="U22" i="111"/>
  <c r="X28" i="121"/>
  <c r="Y28" s="1"/>
  <c r="W112" i="111"/>
  <c r="W112" i="121"/>
  <c r="U17" i="111"/>
  <c r="V17" s="1"/>
  <c r="U17" i="121"/>
  <c r="Z87" i="111"/>
  <c r="Z87" i="121"/>
  <c r="N274" i="111"/>
  <c r="N283" s="1"/>
  <c r="U20"/>
  <c r="V20" s="1"/>
  <c r="U20" i="121"/>
  <c r="V20" s="1"/>
  <c r="AB30" i="111"/>
  <c r="AM29" i="118"/>
  <c r="Z101" i="111"/>
  <c r="Z101" i="121"/>
  <c r="R77"/>
  <c r="U188"/>
  <c r="U190" s="1"/>
  <c r="V190" s="1"/>
  <c r="U188" i="111"/>
  <c r="X92"/>
  <c r="X92" i="121"/>
  <c r="Y92" s="1"/>
  <c r="AA72"/>
  <c r="Z72"/>
  <c r="T204"/>
  <c r="T206" s="1"/>
  <c r="T204" i="111"/>
  <c r="U205" i="121"/>
  <c r="U205" i="111"/>
  <c r="V205" s="1"/>
  <c r="W89"/>
  <c r="W89" i="121"/>
  <c r="X71"/>
  <c r="R177"/>
  <c r="S177" s="1"/>
  <c r="Q78"/>
  <c r="Q78" i="111"/>
  <c r="Q77" s="1"/>
  <c r="Z207" i="121"/>
  <c r="Z207" i="111"/>
  <c r="AB207" s="1"/>
  <c r="R21" i="121"/>
  <c r="S21" s="1"/>
  <c r="S19"/>
  <c r="W73" i="111"/>
  <c r="W73" i="121"/>
  <c r="U123"/>
  <c r="V123" s="1"/>
  <c r="U123" i="111"/>
  <c r="V123" s="1"/>
  <c r="W51" i="121"/>
  <c r="W51" i="111"/>
  <c r="X55" i="121"/>
  <c r="X55" i="111"/>
  <c r="U25" i="121"/>
  <c r="U27" s="1"/>
  <c r="V27" s="1"/>
  <c r="U25" i="111"/>
  <c r="W23" i="121"/>
  <c r="W23" i="111"/>
  <c r="T178" i="121"/>
  <c r="T180" s="1"/>
  <c r="T178" i="111"/>
  <c r="T177" s="1"/>
  <c r="T16"/>
  <c r="T16" i="121"/>
  <c r="T18" s="1"/>
  <c r="W108" i="111"/>
  <c r="W108" i="121"/>
  <c r="U207"/>
  <c r="V207" s="1"/>
  <c r="U207" i="111"/>
  <c r="V207" s="1"/>
  <c r="T19"/>
  <c r="T19" i="121"/>
  <c r="T21" s="1"/>
  <c r="U240"/>
  <c r="U240" i="111"/>
  <c r="N388" i="92"/>
  <c r="M388"/>
  <c r="AB254" i="117"/>
  <c r="AK254" i="118" s="1"/>
  <c r="AJ254"/>
  <c r="AM254" s="1"/>
  <c r="AB264" i="117"/>
  <c r="AK264" i="118" s="1"/>
  <c r="AJ264"/>
  <c r="AM264" s="1"/>
  <c r="AB202"/>
  <c r="AI202"/>
  <c r="AB104"/>
  <c r="AI104"/>
  <c r="AB271"/>
  <c r="AK271" s="1"/>
  <c r="AI271"/>
  <c r="AB182"/>
  <c r="AK182" s="1"/>
  <c r="AI182"/>
  <c r="AK105"/>
  <c r="AI205"/>
  <c r="AI46"/>
  <c r="AB70"/>
  <c r="AK70" s="1"/>
  <c r="AJ70"/>
  <c r="AM70" s="1"/>
  <c r="AB240"/>
  <c r="AK240" s="1"/>
  <c r="AI240"/>
  <c r="O212" i="111"/>
  <c r="AL211" i="118" s="1"/>
  <c r="AJ106"/>
  <c r="AM106" s="1"/>
  <c r="AB157"/>
  <c r="AK157" s="1"/>
  <c r="AJ157"/>
  <c r="AM157" s="1"/>
  <c r="AA67"/>
  <c r="X67"/>
  <c r="AC67"/>
  <c r="AD67" s="1"/>
  <c r="AK159"/>
  <c r="AJ100"/>
  <c r="AM100" s="1"/>
  <c r="AA58"/>
  <c r="AB170"/>
  <c r="AI265"/>
  <c r="AK216"/>
  <c r="AI256"/>
  <c r="AA78"/>
  <c r="AJ28"/>
  <c r="AM28" s="1"/>
  <c r="AJ130"/>
  <c r="AF164"/>
  <c r="V81" i="116"/>
  <c r="AJ99" i="118"/>
  <c r="AM99" s="1"/>
  <c r="AL42"/>
  <c r="AM42" s="1"/>
  <c r="Q43" i="111"/>
  <c r="S43" s="1"/>
  <c r="AK99" i="118"/>
  <c r="AK122"/>
  <c r="AK139"/>
  <c r="AK183"/>
  <c r="AK228"/>
  <c r="L362" i="92"/>
  <c r="N362" s="1"/>
  <c r="P410"/>
  <c r="V410"/>
  <c r="V418"/>
  <c r="M427"/>
  <c r="V427"/>
  <c r="V472"/>
  <c r="L493"/>
  <c r="S497"/>
  <c r="V501"/>
  <c r="AB211" i="116"/>
  <c r="AK211" i="118" s="1"/>
  <c r="AC110" i="116"/>
  <c r="AC191"/>
  <c r="AC27"/>
  <c r="AC99"/>
  <c r="AB266" i="117"/>
  <c r="AK266" i="118" s="1"/>
  <c r="AI266"/>
  <c r="AI47" i="117"/>
  <c r="S76"/>
  <c r="AG143"/>
  <c r="Y202"/>
  <c r="AB128" i="118"/>
  <c r="AK196"/>
  <c r="AI82"/>
  <c r="AB145"/>
  <c r="AI145"/>
  <c r="AA34"/>
  <c r="AI61"/>
  <c r="AF70"/>
  <c r="AF11"/>
  <c r="F8"/>
  <c r="F7" s="1"/>
  <c r="F6" s="1"/>
  <c r="F5" s="1"/>
  <c r="F273" s="1"/>
  <c r="AI173"/>
  <c r="AB173"/>
  <c r="AM146"/>
  <c r="U158" i="117"/>
  <c r="AF168"/>
  <c r="U170"/>
  <c r="X168"/>
  <c r="X170" s="1"/>
  <c r="AH168"/>
  <c r="AA168"/>
  <c r="AM213" i="118"/>
  <c r="AA214" i="111" s="1"/>
  <c r="Z214"/>
  <c r="AB214" s="1"/>
  <c r="AJ118" i="118"/>
  <c r="AM118" s="1"/>
  <c r="AM218"/>
  <c r="AM223"/>
  <c r="AJ154"/>
  <c r="AB154"/>
  <c r="AF154"/>
  <c r="AM138"/>
  <c r="AM227"/>
  <c r="AA61" i="116"/>
  <c r="X60"/>
  <c r="X58" s="1"/>
  <c r="X57" s="1"/>
  <c r="AK163" i="118"/>
  <c r="AM150"/>
  <c r="AM166"/>
  <c r="AB151"/>
  <c r="AJ151"/>
  <c r="AM151" s="1"/>
  <c r="AM139"/>
  <c r="AM209"/>
  <c r="AJ242"/>
  <c r="AJ260"/>
  <c r="AM260" s="1"/>
  <c r="AB260" i="117"/>
  <c r="AK260" i="118" s="1"/>
  <c r="AK86"/>
  <c r="AK102"/>
  <c r="AJ110"/>
  <c r="AM110" s="1"/>
  <c r="AK201"/>
  <c r="AK28"/>
  <c r="O131" i="111"/>
  <c r="AF151" i="118"/>
  <c r="AJ173"/>
  <c r="AM173" s="1"/>
  <c r="AK107"/>
  <c r="O144" i="111"/>
  <c r="AL143" i="118" s="1"/>
  <c r="AM143" s="1"/>
  <c r="AK178"/>
  <c r="AM194"/>
  <c r="AI51" i="117"/>
  <c r="AM147" i="118"/>
  <c r="AI260" i="117"/>
  <c r="L340" i="92"/>
  <c r="N340" s="1"/>
  <c r="K459"/>
  <c r="K489"/>
  <c r="AC203" i="116"/>
  <c r="AC170"/>
  <c r="AB258" i="117"/>
  <c r="AK258" i="118" s="1"/>
  <c r="AI258"/>
  <c r="AI264" i="117"/>
  <c r="AB255"/>
  <c r="AK255" i="118" s="1"/>
  <c r="AJ255"/>
  <c r="Y145" i="117"/>
  <c r="AK187" i="118"/>
  <c r="AF205"/>
  <c r="AJ205"/>
  <c r="AM205" s="1"/>
  <c r="AB134"/>
  <c r="AI238"/>
  <c r="R76"/>
  <c r="U76" s="1"/>
  <c r="AB96"/>
  <c r="AK96" s="1"/>
  <c r="AJ96"/>
  <c r="AM96" s="1"/>
  <c r="AK191"/>
  <c r="AA179"/>
  <c r="AD177"/>
  <c r="AD70"/>
  <c r="AB235"/>
  <c r="AK235" s="1"/>
  <c r="AI235"/>
  <c r="S201" i="120"/>
  <c r="AK171" i="118"/>
  <c r="AI167"/>
  <c r="AB167"/>
  <c r="AK167" s="1"/>
  <c r="AJ148"/>
  <c r="AM148" s="1"/>
  <c r="AF148"/>
  <c r="AB148"/>
  <c r="AK72"/>
  <c r="AI196"/>
  <c r="AA82" i="116"/>
  <c r="AA81" s="1"/>
  <c r="AA78" s="1"/>
  <c r="AA77" s="1"/>
  <c r="X81"/>
  <c r="X78" s="1"/>
  <c r="X77" s="1"/>
  <c r="AK169" i="118"/>
  <c r="AM224"/>
  <c r="AA114"/>
  <c r="AJ117"/>
  <c r="AM117" s="1"/>
  <c r="AI151"/>
  <c r="AK227"/>
  <c r="AM208"/>
  <c r="AJ75"/>
  <c r="AM75" s="1"/>
  <c r="AK101"/>
  <c r="N212" i="111"/>
  <c r="AM228" i="118"/>
  <c r="AK242"/>
  <c r="AM212"/>
  <c r="AA213" i="111" s="1"/>
  <c r="Z213"/>
  <c r="AB213" s="1"/>
  <c r="AM190" i="118"/>
  <c r="AK181"/>
  <c r="AI259"/>
  <c r="AI253"/>
  <c r="AL52"/>
  <c r="AM52" s="1"/>
  <c r="Q53" i="111"/>
  <c r="R53" s="1"/>
  <c r="AK209" i="118"/>
  <c r="AF182"/>
  <c r="AJ182"/>
  <c r="AM182" s="1"/>
  <c r="AK223"/>
  <c r="AK229"/>
  <c r="AJ98"/>
  <c r="AM98" s="1"/>
  <c r="O130" i="111"/>
  <c r="AL129" i="118" s="1"/>
  <c r="AK108"/>
  <c r="AF157"/>
  <c r="AK203"/>
  <c r="K310" i="92"/>
  <c r="M318"/>
  <c r="M324"/>
  <c r="M344"/>
  <c r="L348"/>
  <c r="N348" s="1"/>
  <c r="M366"/>
  <c r="L373"/>
  <c r="N373" s="1"/>
  <c r="L389"/>
  <c r="N389" s="1"/>
  <c r="V391"/>
  <c r="M406"/>
  <c r="S418"/>
  <c r="L426"/>
  <c r="N426" s="1"/>
  <c r="M431"/>
  <c r="L438"/>
  <c r="N438" s="1"/>
  <c r="M443"/>
  <c r="V443"/>
  <c r="V497"/>
  <c r="S501"/>
  <c r="L507"/>
  <c r="L506" s="1"/>
  <c r="M511"/>
  <c r="J446"/>
  <c r="AC182" i="116"/>
  <c r="V179"/>
  <c r="AB250" i="117"/>
  <c r="AK250" i="118" s="1"/>
  <c r="AJ250"/>
  <c r="AM250" s="1"/>
  <c r="AB265" i="117"/>
  <c r="AK265" i="118" s="1"/>
  <c r="AJ265"/>
  <c r="AB248" i="117"/>
  <c r="AK248" i="118" s="1"/>
  <c r="AJ248"/>
  <c r="AM248" s="1"/>
  <c r="AI28" i="117"/>
  <c r="AG100"/>
  <c r="AI87"/>
  <c r="AB267"/>
  <c r="AK267" i="118" s="1"/>
  <c r="AJ267"/>
  <c r="AM267" s="1"/>
  <c r="AG97" i="117"/>
  <c r="Q56"/>
  <c r="Y143"/>
  <c r="AB176" i="118"/>
  <c r="AB189"/>
  <c r="AK189" s="1"/>
  <c r="AI189"/>
  <c r="AI118"/>
  <c r="AK180"/>
  <c r="AB130"/>
  <c r="AK130" s="1"/>
  <c r="AI130"/>
  <c r="N131" i="111"/>
  <c r="AD202" i="118"/>
  <c r="AB111"/>
  <c r="AK111" s="1"/>
  <c r="AJ111"/>
  <c r="AM111" s="1"/>
  <c r="AB193"/>
  <c r="AK193" s="1"/>
  <c r="AI193"/>
  <c r="V57"/>
  <c r="AK236"/>
  <c r="AJ164"/>
  <c r="AM164" s="1"/>
  <c r="AM165"/>
  <c r="AK165"/>
  <c r="AK149"/>
  <c r="AK103"/>
  <c r="AK100"/>
  <c r="AM159"/>
  <c r="AI161"/>
  <c r="W49" i="111"/>
  <c r="AM149" i="118"/>
  <c r="AJ189"/>
  <c r="AM189" s="1"/>
  <c r="AK129"/>
  <c r="AI211"/>
  <c r="W212" i="111" s="1"/>
  <c r="Y212" s="1"/>
  <c r="AF26" i="118"/>
  <c r="W214" i="111"/>
  <c r="Y214" s="1"/>
  <c r="AM163" i="118"/>
  <c r="AK194"/>
  <c r="AK98"/>
  <c r="AK106"/>
  <c r="AK40"/>
  <c r="AJ161"/>
  <c r="AM161" s="1"/>
  <c r="AK220"/>
  <c r="AC63" i="116"/>
  <c r="AK63" i="118"/>
  <c r="AJ129"/>
  <c r="AM129" s="1"/>
  <c r="AI157"/>
  <c r="AK206"/>
  <c r="AM135"/>
  <c r="AI245"/>
  <c r="U272" i="121"/>
  <c r="V272" s="1"/>
  <c r="P10"/>
  <c r="V543" i="92"/>
  <c r="W543" s="1"/>
  <c r="M115" i="121"/>
  <c r="T273"/>
  <c r="R125"/>
  <c r="Q10"/>
  <c r="W189" i="120"/>
  <c r="X189" s="1"/>
  <c r="V142"/>
  <c r="AC142"/>
  <c r="Y102"/>
  <c r="T115"/>
  <c r="AC115" s="1"/>
  <c r="V32"/>
  <c r="T12"/>
  <c r="AC12" s="1"/>
  <c r="U19"/>
  <c r="V19" s="1"/>
  <c r="U25"/>
  <c r="V25" s="1"/>
  <c r="Y28"/>
  <c r="Y103"/>
  <c r="S31"/>
  <c r="V41"/>
  <c r="V56"/>
  <c r="H175" i="121"/>
  <c r="J175" s="1"/>
  <c r="L8"/>
  <c r="L7" s="1"/>
  <c r="L6" s="1"/>
  <c r="L274" s="1"/>
  <c r="V30"/>
  <c r="E125"/>
  <c r="G125" s="1"/>
  <c r="P142"/>
  <c r="S240"/>
  <c r="R236"/>
  <c r="S178"/>
  <c r="S208"/>
  <c r="S204"/>
  <c r="Y109"/>
  <c r="V111"/>
  <c r="V112"/>
  <c r="T126"/>
  <c r="S133"/>
  <c r="V108"/>
  <c r="S108"/>
  <c r="V92"/>
  <c r="S92"/>
  <c r="O9"/>
  <c r="O8" s="1"/>
  <c r="Y84"/>
  <c r="Y85"/>
  <c r="P69"/>
  <c r="Y63"/>
  <c r="V61"/>
  <c r="Y39"/>
  <c r="Y37"/>
  <c r="S17"/>
  <c r="N9"/>
  <c r="N287" i="117"/>
  <c r="M32" i="121"/>
  <c r="K31"/>
  <c r="M31" s="1"/>
  <c r="V179"/>
  <c r="M58"/>
  <c r="K57"/>
  <c r="Q125"/>
  <c r="S126"/>
  <c r="U233"/>
  <c r="W233" s="1"/>
  <c r="Y233" s="1"/>
  <c r="M142"/>
  <c r="K125"/>
  <c r="M125" s="1"/>
  <c r="AB65"/>
  <c r="V281"/>
  <c r="W281"/>
  <c r="J58"/>
  <c r="H57"/>
  <c r="S47"/>
  <c r="S118"/>
  <c r="V59"/>
  <c r="S35"/>
  <c r="J239"/>
  <c r="H238"/>
  <c r="J238" s="1"/>
  <c r="AB39"/>
  <c r="J31"/>
  <c r="H10"/>
  <c r="J77"/>
  <c r="H69"/>
  <c r="J69" s="1"/>
  <c r="AB85"/>
  <c r="S58"/>
  <c r="Y211"/>
  <c r="V80"/>
  <c r="M11"/>
  <c r="N125"/>
  <c r="V97"/>
  <c r="Y65"/>
  <c r="H125"/>
  <c r="J125" s="1"/>
  <c r="V116"/>
  <c r="AA135"/>
  <c r="AB135" s="1"/>
  <c r="G31"/>
  <c r="E10"/>
  <c r="G78"/>
  <c r="E77"/>
  <c r="AB37"/>
  <c r="AB63"/>
  <c r="AB84"/>
  <c r="AB109"/>
  <c r="M114"/>
  <c r="K113"/>
  <c r="S79"/>
  <c r="G57"/>
  <c r="E54"/>
  <c r="G54" s="1"/>
  <c r="M176"/>
  <c r="K175"/>
  <c r="M175" s="1"/>
  <c r="M77"/>
  <c r="K69"/>
  <c r="M69" s="1"/>
  <c r="V121"/>
  <c r="Y135"/>
  <c r="V216"/>
  <c r="Y119"/>
  <c r="S233"/>
  <c r="V128"/>
  <c r="V101"/>
  <c r="S236" i="111"/>
  <c r="V211"/>
  <c r="Y84"/>
  <c r="R59"/>
  <c r="U63"/>
  <c r="R206"/>
  <c r="S206" s="1"/>
  <c r="V108"/>
  <c r="V203"/>
  <c r="R190"/>
  <c r="AB170"/>
  <c r="Y170"/>
  <c r="S127"/>
  <c r="V109"/>
  <c r="V23"/>
  <c r="O287" i="116"/>
  <c r="N287" i="118"/>
  <c r="Y88" i="117"/>
  <c r="AF50" i="118"/>
  <c r="AH74" i="117"/>
  <c r="G238" i="118"/>
  <c r="E175" i="116"/>
  <c r="E174" s="1"/>
  <c r="G174" s="1"/>
  <c r="G176" i="118"/>
  <c r="V20" i="117"/>
  <c r="N287" i="116"/>
  <c r="L7" i="117"/>
  <c r="L6" s="1"/>
  <c r="L5" s="1"/>
  <c r="L273" s="1"/>
  <c r="V74"/>
  <c r="AI18"/>
  <c r="AJ89" i="118"/>
  <c r="AI44" i="117"/>
  <c r="F7" i="116"/>
  <c r="F6" s="1"/>
  <c r="F5" s="1"/>
  <c r="F273" s="1"/>
  <c r="M68" i="117"/>
  <c r="AH20"/>
  <c r="M11"/>
  <c r="I7"/>
  <c r="I6" s="1"/>
  <c r="I5" s="1"/>
  <c r="I273" s="1"/>
  <c r="AJ91" i="118"/>
  <c r="AC50" i="116"/>
  <c r="G58" i="118"/>
  <c r="AK91"/>
  <c r="AB239" i="117"/>
  <c r="AB88" i="118"/>
  <c r="AA20" i="117"/>
  <c r="AJ20" i="118" s="1"/>
  <c r="AJ18"/>
  <c r="AB27" i="117"/>
  <c r="AK27" i="118" s="1"/>
  <c r="AJ27"/>
  <c r="AB90"/>
  <c r="AK90" s="1"/>
  <c r="AJ90"/>
  <c r="AJ214"/>
  <c r="AB50"/>
  <c r="AK50" s="1"/>
  <c r="AJ50"/>
  <c r="AB51"/>
  <c r="AK51" s="1"/>
  <c r="AJ51"/>
  <c r="AB74"/>
  <c r="AB18" i="117"/>
  <c r="H31"/>
  <c r="J31" s="1"/>
  <c r="AK55" i="118"/>
  <c r="AJ49"/>
  <c r="AI207" i="117"/>
  <c r="X74"/>
  <c r="Y74" s="1"/>
  <c r="AD54" i="118"/>
  <c r="AJ55"/>
  <c r="AB54"/>
  <c r="AK54" s="1"/>
  <c r="AJ54"/>
  <c r="AB44"/>
  <c r="AK44" s="1"/>
  <c r="AJ44"/>
  <c r="AL24"/>
  <c r="AM24" s="1"/>
  <c r="O27" i="111"/>
  <c r="AA74" i="117"/>
  <c r="AB74" s="1"/>
  <c r="AK49" i="118"/>
  <c r="AK89"/>
  <c r="AK214"/>
  <c r="F7" i="117"/>
  <c r="F6" s="1"/>
  <c r="F5" s="1"/>
  <c r="F273" s="1"/>
  <c r="L8" i="118"/>
  <c r="L7" s="1"/>
  <c r="L6" s="1"/>
  <c r="L5" s="1"/>
  <c r="L273" s="1"/>
  <c r="Y180" i="111"/>
  <c r="Y207"/>
  <c r="S105"/>
  <c r="Y87"/>
  <c r="Y85"/>
  <c r="Y203"/>
  <c r="Y109"/>
  <c r="Y101"/>
  <c r="V111"/>
  <c r="V121"/>
  <c r="S61"/>
  <c r="V39"/>
  <c r="Y38"/>
  <c r="Y37"/>
  <c r="AA120"/>
  <c r="AB120" s="1"/>
  <c r="W36"/>
  <c r="U35"/>
  <c r="V35" s="1"/>
  <c r="W63"/>
  <c r="U61"/>
  <c r="U82"/>
  <c r="V82" s="1"/>
  <c r="W83"/>
  <c r="AA38"/>
  <c r="AB38" s="1"/>
  <c r="X119"/>
  <c r="Y119" s="1"/>
  <c r="W118"/>
  <c r="AA85"/>
  <c r="AB85" s="1"/>
  <c r="AA84"/>
  <c r="AB84" s="1"/>
  <c r="X39"/>
  <c r="Z39" s="1"/>
  <c r="AA203"/>
  <c r="AB203" s="1"/>
  <c r="S114"/>
  <c r="Y211"/>
  <c r="V63"/>
  <c r="V83"/>
  <c r="Y129"/>
  <c r="V65"/>
  <c r="S79"/>
  <c r="AB109"/>
  <c r="AA180"/>
  <c r="AB180" s="1"/>
  <c r="AA37"/>
  <c r="AB37" s="1"/>
  <c r="U80"/>
  <c r="V80" s="1"/>
  <c r="Z62"/>
  <c r="T33"/>
  <c r="S33"/>
  <c r="AA129"/>
  <c r="AB129" s="1"/>
  <c r="W116"/>
  <c r="U115"/>
  <c r="X65"/>
  <c r="Z65" s="1"/>
  <c r="X121"/>
  <c r="Z121" s="1"/>
  <c r="Y120"/>
  <c r="V36"/>
  <c r="F8" i="120"/>
  <c r="F7" s="1"/>
  <c r="F6" s="1"/>
  <c r="F274" s="1"/>
  <c r="G78"/>
  <c r="V123"/>
  <c r="V65"/>
  <c r="Y91"/>
  <c r="S61"/>
  <c r="Y29"/>
  <c r="V190"/>
  <c r="R33"/>
  <c r="S33" s="1"/>
  <c r="Y190"/>
  <c r="U44"/>
  <c r="V44" s="1"/>
  <c r="U188"/>
  <c r="V188" s="1"/>
  <c r="V135"/>
  <c r="Y37"/>
  <c r="AA46"/>
  <c r="AB46" s="1"/>
  <c r="L8"/>
  <c r="L7" s="1"/>
  <c r="L6" s="1"/>
  <c r="L274" s="1"/>
  <c r="Q286"/>
  <c r="U36"/>
  <c r="T35"/>
  <c r="I31"/>
  <c r="J32"/>
  <c r="P8"/>
  <c r="N7"/>
  <c r="S59"/>
  <c r="V120"/>
  <c r="Y273"/>
  <c r="V110"/>
  <c r="Y46"/>
  <c r="U118"/>
  <c r="V118" s="1"/>
  <c r="V46"/>
  <c r="Q283"/>
  <c r="Q284" s="1"/>
  <c r="X123"/>
  <c r="Z123" s="1"/>
  <c r="AA123" s="1"/>
  <c r="AB123" s="1"/>
  <c r="R175"/>
  <c r="Y72"/>
  <c r="V112"/>
  <c r="V108"/>
  <c r="Y74"/>
  <c r="Y88"/>
  <c r="V111"/>
  <c r="Y222"/>
  <c r="V101"/>
  <c r="Z281"/>
  <c r="AB281" s="1"/>
  <c r="Y281"/>
  <c r="R54"/>
  <c r="S54" s="1"/>
  <c r="S57"/>
  <c r="X45"/>
  <c r="W44"/>
  <c r="J239"/>
  <c r="H238"/>
  <c r="J238" s="1"/>
  <c r="X65"/>
  <c r="Z65" s="1"/>
  <c r="AA103"/>
  <c r="AB103" s="1"/>
  <c r="AA91"/>
  <c r="AB91" s="1"/>
  <c r="M239"/>
  <c r="K238"/>
  <c r="M238" s="1"/>
  <c r="AA24"/>
  <c r="AB24" s="1"/>
  <c r="Z32"/>
  <c r="AA29"/>
  <c r="AB29" s="1"/>
  <c r="X84"/>
  <c r="Z84" s="1"/>
  <c r="U114"/>
  <c r="U38"/>
  <c r="W38" s="1"/>
  <c r="AA28"/>
  <c r="AB28" s="1"/>
  <c r="Q176"/>
  <c r="S177"/>
  <c r="AA63"/>
  <c r="AB63" s="1"/>
  <c r="T68"/>
  <c r="AC68" s="1"/>
  <c r="U58"/>
  <c r="V58" s="1"/>
  <c r="AA88"/>
  <c r="AB88" s="1"/>
  <c r="F113"/>
  <c r="G113" s="1"/>
  <c r="G114"/>
  <c r="X111"/>
  <c r="Z111" s="1"/>
  <c r="J176"/>
  <c r="H175"/>
  <c r="J175" s="1"/>
  <c r="Z119"/>
  <c r="AA222"/>
  <c r="AB222" s="1"/>
  <c r="X97"/>
  <c r="Y97" s="1"/>
  <c r="X135"/>
  <c r="Z135" s="1"/>
  <c r="G77"/>
  <c r="E69"/>
  <c r="G69" s="1"/>
  <c r="AA203"/>
  <c r="AB203" s="1"/>
  <c r="U208"/>
  <c r="V208" s="1"/>
  <c r="W211"/>
  <c r="V50"/>
  <c r="Y75"/>
  <c r="Y27"/>
  <c r="H125"/>
  <c r="J125" s="1"/>
  <c r="Y221"/>
  <c r="V89"/>
  <c r="Y100"/>
  <c r="V121"/>
  <c r="U128"/>
  <c r="V128" s="1"/>
  <c r="T127"/>
  <c r="AC127" s="1"/>
  <c r="S12"/>
  <c r="Q11"/>
  <c r="X233"/>
  <c r="Z233" s="1"/>
  <c r="AA72"/>
  <c r="AB72" s="1"/>
  <c r="T98"/>
  <c r="AC98" s="1"/>
  <c r="U99"/>
  <c r="M176"/>
  <c r="K175"/>
  <c r="M175" s="1"/>
  <c r="X112"/>
  <c r="Z112" s="1"/>
  <c r="W18"/>
  <c r="U16"/>
  <c r="T61"/>
  <c r="AC61" s="1"/>
  <c r="U62"/>
  <c r="V62" s="1"/>
  <c r="J57"/>
  <c r="H54"/>
  <c r="J54" s="1"/>
  <c r="X26"/>
  <c r="Y26" s="1"/>
  <c r="W25"/>
  <c r="X50"/>
  <c r="Z50" s="1"/>
  <c r="AA75"/>
  <c r="AB75" s="1"/>
  <c r="AA27"/>
  <c r="AB27" s="1"/>
  <c r="AA102"/>
  <c r="AB102" s="1"/>
  <c r="AA190"/>
  <c r="AB190" s="1"/>
  <c r="T218"/>
  <c r="AC218" s="1"/>
  <c r="U220"/>
  <c r="V220" s="1"/>
  <c r="T236"/>
  <c r="AC236" s="1"/>
  <c r="U237"/>
  <c r="V237" s="1"/>
  <c r="G57"/>
  <c r="E54"/>
  <c r="G54" s="1"/>
  <c r="T79"/>
  <c r="AC79" s="1"/>
  <c r="U80"/>
  <c r="T133"/>
  <c r="AC133" s="1"/>
  <c r="U134"/>
  <c r="Y119"/>
  <c r="AA119" s="1"/>
  <c r="W118"/>
  <c r="W115" s="1"/>
  <c r="X101"/>
  <c r="Z101" s="1"/>
  <c r="H77"/>
  <c r="J78"/>
  <c r="AA37"/>
  <c r="AB37" s="1"/>
  <c r="X41"/>
  <c r="Z41" s="1"/>
  <c r="X56"/>
  <c r="Z56" s="1"/>
  <c r="M78"/>
  <c r="K77"/>
  <c r="R10"/>
  <c r="Y87"/>
  <c r="Y24"/>
  <c r="S68"/>
  <c r="Y32"/>
  <c r="V84"/>
  <c r="Q125"/>
  <c r="E125"/>
  <c r="G125" s="1"/>
  <c r="U115"/>
  <c r="V115" s="1"/>
  <c r="Y63"/>
  <c r="U82"/>
  <c r="V82" s="1"/>
  <c r="Y92"/>
  <c r="X22"/>
  <c r="Y22" s="1"/>
  <c r="V129"/>
  <c r="Y21"/>
  <c r="V39"/>
  <c r="V52"/>
  <c r="Y104"/>
  <c r="Y90"/>
  <c r="Y203"/>
  <c r="AA85"/>
  <c r="AB85" s="1"/>
  <c r="U55"/>
  <c r="V55" s="1"/>
  <c r="X51"/>
  <c r="Z51" s="1"/>
  <c r="AA216"/>
  <c r="AB216" s="1"/>
  <c r="W71"/>
  <c r="U70"/>
  <c r="V70" s="1"/>
  <c r="W179"/>
  <c r="U178"/>
  <c r="U177" s="1"/>
  <c r="AA221"/>
  <c r="AB221" s="1"/>
  <c r="U230"/>
  <c r="V230" s="1"/>
  <c r="W232"/>
  <c r="X89"/>
  <c r="Z89" s="1"/>
  <c r="T201"/>
  <c r="AC201" s="1"/>
  <c r="U202"/>
  <c r="V202" s="1"/>
  <c r="AA100"/>
  <c r="AB100" s="1"/>
  <c r="X121"/>
  <c r="Z121" s="1"/>
  <c r="W240"/>
  <c r="U239"/>
  <c r="U238" s="1"/>
  <c r="U48"/>
  <c r="V48" s="1"/>
  <c r="T47"/>
  <c r="AC47" s="1"/>
  <c r="AA76"/>
  <c r="AB76" s="1"/>
  <c r="X20"/>
  <c r="Y20" s="1"/>
  <c r="W19"/>
  <c r="S239"/>
  <c r="Q238"/>
  <c r="S238" s="1"/>
  <c r="AA87"/>
  <c r="AB87" s="1"/>
  <c r="G176"/>
  <c r="E175"/>
  <c r="G175" s="1"/>
  <c r="X120"/>
  <c r="Z120" s="1"/>
  <c r="AA273"/>
  <c r="AB273" s="1"/>
  <c r="R126"/>
  <c r="S127"/>
  <c r="X108"/>
  <c r="Z108" s="1"/>
  <c r="U42"/>
  <c r="V42" s="1"/>
  <c r="T31"/>
  <c r="AC31" s="1"/>
  <c r="X110"/>
  <c r="Z110" s="1"/>
  <c r="AA74"/>
  <c r="AB74" s="1"/>
  <c r="U106"/>
  <c r="V106" s="1"/>
  <c r="T105"/>
  <c r="AC105" s="1"/>
  <c r="X116"/>
  <c r="Y116" s="1"/>
  <c r="T177"/>
  <c r="AC177" s="1"/>
  <c r="X83"/>
  <c r="W82"/>
  <c r="AA92"/>
  <c r="AB92" s="1"/>
  <c r="AA23"/>
  <c r="Z22"/>
  <c r="M11"/>
  <c r="K10"/>
  <c r="X129"/>
  <c r="Z129" s="1"/>
  <c r="R78"/>
  <c r="S79"/>
  <c r="AA21"/>
  <c r="AB21" s="1"/>
  <c r="X39"/>
  <c r="Z39" s="1"/>
  <c r="X52"/>
  <c r="Z52" s="1"/>
  <c r="AA104"/>
  <c r="AB104" s="1"/>
  <c r="AA90"/>
  <c r="AB90" s="1"/>
  <c r="T238"/>
  <c r="AC238" s="1"/>
  <c r="G10"/>
  <c r="R96"/>
  <c r="S96" s="1"/>
  <c r="S98"/>
  <c r="Y85"/>
  <c r="V51"/>
  <c r="V233"/>
  <c r="Y216"/>
  <c r="V71"/>
  <c r="Q69"/>
  <c r="V232"/>
  <c r="K125"/>
  <c r="M125" s="1"/>
  <c r="Y76"/>
  <c r="AC90" i="116"/>
  <c r="V32"/>
  <c r="AI49" i="117"/>
  <c r="AC45" i="116"/>
  <c r="X45" i="117"/>
  <c r="Y45" s="1"/>
  <c r="AH45"/>
  <c r="AA45"/>
  <c r="AB45" s="1"/>
  <c r="AF45"/>
  <c r="V45"/>
  <c r="AI27"/>
  <c r="E10"/>
  <c r="G10" s="1"/>
  <c r="G11"/>
  <c r="L7" i="116"/>
  <c r="L6" s="1"/>
  <c r="L5" s="1"/>
  <c r="L273" s="1"/>
  <c r="AC49"/>
  <c r="AC43"/>
  <c r="AG214" i="117"/>
  <c r="AI89"/>
  <c r="AI90"/>
  <c r="AG26"/>
  <c r="AF54" i="118"/>
  <c r="K175"/>
  <c r="M175" s="1"/>
  <c r="AF51"/>
  <c r="J11" i="117"/>
  <c r="H10"/>
  <c r="J10" s="1"/>
  <c r="O68"/>
  <c r="P68" s="1"/>
  <c r="P69"/>
  <c r="J11" i="118"/>
  <c r="H10"/>
  <c r="J10" s="1"/>
  <c r="M11"/>
  <c r="K10"/>
  <c r="M10" s="1"/>
  <c r="AC214" i="116"/>
  <c r="AG47" i="117"/>
  <c r="P237"/>
  <c r="AI214"/>
  <c r="Q87" i="118"/>
  <c r="S77"/>
  <c r="T77"/>
  <c r="V77" s="1"/>
  <c r="I175"/>
  <c r="I174" s="1"/>
  <c r="I7" s="1"/>
  <c r="I6" s="1"/>
  <c r="I5" s="1"/>
  <c r="I273" s="1"/>
  <c r="J176"/>
  <c r="G113"/>
  <c r="E112"/>
  <c r="G112" s="1"/>
  <c r="G31"/>
  <c r="E30"/>
  <c r="G30" s="1"/>
  <c r="Z34"/>
  <c r="AI34" s="1"/>
  <c r="AB35"/>
  <c r="AC10"/>
  <c r="AD10" s="1"/>
  <c r="AE10"/>
  <c r="AF10" s="1"/>
  <c r="J31"/>
  <c r="H30"/>
  <c r="P68"/>
  <c r="AC114"/>
  <c r="AD114" s="1"/>
  <c r="U113"/>
  <c r="V113" s="1"/>
  <c r="H76"/>
  <c r="J77"/>
  <c r="S57"/>
  <c r="Q67"/>
  <c r="S67" s="1"/>
  <c r="Z237"/>
  <c r="AB238"/>
  <c r="Y26"/>
  <c r="AD26"/>
  <c r="M114"/>
  <c r="K113"/>
  <c r="J57"/>
  <c r="H56"/>
  <c r="E10"/>
  <c r="G11"/>
  <c r="Z60"/>
  <c r="AB61"/>
  <c r="AE179"/>
  <c r="AF179" s="1"/>
  <c r="AC179"/>
  <c r="Y34"/>
  <c r="W32"/>
  <c r="O31"/>
  <c r="P32"/>
  <c r="AE46"/>
  <c r="AA46"/>
  <c r="AB46" s="1"/>
  <c r="X46"/>
  <c r="Y46" s="1"/>
  <c r="AC46"/>
  <c r="U43"/>
  <c r="P43"/>
  <c r="AG121"/>
  <c r="X175"/>
  <c r="Y176"/>
  <c r="AE207"/>
  <c r="AA207"/>
  <c r="X207"/>
  <c r="Y207" s="1"/>
  <c r="AC207"/>
  <c r="V207"/>
  <c r="S113"/>
  <c r="Q123"/>
  <c r="Q112" s="1"/>
  <c r="E174"/>
  <c r="G174" s="1"/>
  <c r="G175"/>
  <c r="X87"/>
  <c r="AC87"/>
  <c r="AD87" s="1"/>
  <c r="AA87"/>
  <c r="Y60"/>
  <c r="W58"/>
  <c r="AC69"/>
  <c r="X69"/>
  <c r="Y69" s="1"/>
  <c r="AA69"/>
  <c r="AE69"/>
  <c r="V69"/>
  <c r="H174"/>
  <c r="AB177"/>
  <c r="V114"/>
  <c r="P112"/>
  <c r="AD47"/>
  <c r="AF44"/>
  <c r="V78"/>
  <c r="V179"/>
  <c r="AF20"/>
  <c r="E68"/>
  <c r="G68" s="1"/>
  <c r="AF90"/>
  <c r="AD104"/>
  <c r="AD50"/>
  <c r="AD34"/>
  <c r="AF74"/>
  <c r="AF177"/>
  <c r="AD56"/>
  <c r="N9"/>
  <c r="Y81"/>
  <c r="W78"/>
  <c r="U174"/>
  <c r="P174"/>
  <c r="AD32"/>
  <c r="X31"/>
  <c r="Z117"/>
  <c r="AB118"/>
  <c r="AA76"/>
  <c r="AC76"/>
  <c r="X76"/>
  <c r="T31"/>
  <c r="V31" s="1"/>
  <c r="V32"/>
  <c r="X48"/>
  <c r="Y48" s="1"/>
  <c r="AC48"/>
  <c r="Q49" i="111" s="1"/>
  <c r="V48" i="118"/>
  <c r="AA48"/>
  <c r="AE48"/>
  <c r="M141"/>
  <c r="K124"/>
  <c r="M124" s="1"/>
  <c r="P67"/>
  <c r="Y117"/>
  <c r="W114"/>
  <c r="AE53"/>
  <c r="AA53"/>
  <c r="AC53"/>
  <c r="X53"/>
  <c r="AE45"/>
  <c r="AA45"/>
  <c r="X45"/>
  <c r="Y45" s="1"/>
  <c r="AC45"/>
  <c r="V45"/>
  <c r="Y11"/>
  <c r="W10"/>
  <c r="T41"/>
  <c r="AB82"/>
  <c r="Z81"/>
  <c r="M77"/>
  <c r="K76"/>
  <c r="G57"/>
  <c r="E56"/>
  <c r="W237"/>
  <c r="Y237" s="1"/>
  <c r="Y238"/>
  <c r="M58"/>
  <c r="K57"/>
  <c r="M32"/>
  <c r="K31"/>
  <c r="AC97"/>
  <c r="X97"/>
  <c r="Y97" s="1"/>
  <c r="AE97"/>
  <c r="AA97"/>
  <c r="V97"/>
  <c r="S31"/>
  <c r="Q30"/>
  <c r="X179"/>
  <c r="Y179" s="1"/>
  <c r="Y177"/>
  <c r="Z10"/>
  <c r="AB11"/>
  <c r="AD88"/>
  <c r="AB205"/>
  <c r="AK205" s="1"/>
  <c r="Y161"/>
  <c r="AD238"/>
  <c r="AD90"/>
  <c r="Y104"/>
  <c r="AD176"/>
  <c r="AF104"/>
  <c r="N56"/>
  <c r="AF47"/>
  <c r="AF88"/>
  <c r="Y23"/>
  <c r="AF238"/>
  <c r="AD51"/>
  <c r="AD74"/>
  <c r="AD96"/>
  <c r="AF96"/>
  <c r="R68"/>
  <c r="U68" s="1"/>
  <c r="AD27"/>
  <c r="AD111"/>
  <c r="AD44"/>
  <c r="AD11"/>
  <c r="V10"/>
  <c r="AB179"/>
  <c r="W124" i="117"/>
  <c r="Z124"/>
  <c r="R113"/>
  <c r="S114"/>
  <c r="G58"/>
  <c r="E57"/>
  <c r="AB61"/>
  <c r="Z60"/>
  <c r="N9"/>
  <c r="P10"/>
  <c r="AH238"/>
  <c r="AA238"/>
  <c r="X238"/>
  <c r="Y238" s="1"/>
  <c r="AF238"/>
  <c r="T95"/>
  <c r="M32"/>
  <c r="K31"/>
  <c r="S175"/>
  <c r="Q174"/>
  <c r="S174" s="1"/>
  <c r="Q53"/>
  <c r="H175"/>
  <c r="J176"/>
  <c r="Z170"/>
  <c r="AB168"/>
  <c r="AK168" i="118" s="1"/>
  <c r="N67" i="117"/>
  <c r="N56" s="1"/>
  <c r="P57"/>
  <c r="AF104"/>
  <c r="AA104"/>
  <c r="AB104" s="1"/>
  <c r="AH104"/>
  <c r="AI104" s="1"/>
  <c r="X104"/>
  <c r="Y104" s="1"/>
  <c r="V104"/>
  <c r="AH142"/>
  <c r="AA142"/>
  <c r="AJ142" i="118" s="1"/>
  <c r="AF142" i="117"/>
  <c r="X142"/>
  <c r="AD78"/>
  <c r="AF113"/>
  <c r="AH113"/>
  <c r="AI113" s="1"/>
  <c r="V113"/>
  <c r="G176"/>
  <c r="E175"/>
  <c r="T141"/>
  <c r="S141"/>
  <c r="E30"/>
  <c r="G31"/>
  <c r="AH217"/>
  <c r="AA217"/>
  <c r="X217"/>
  <c r="Y217" s="1"/>
  <c r="AF217"/>
  <c r="V217"/>
  <c r="W31"/>
  <c r="U141"/>
  <c r="R124"/>
  <c r="S124" s="1"/>
  <c r="AF76"/>
  <c r="AH76"/>
  <c r="X76"/>
  <c r="AA76"/>
  <c r="AH58"/>
  <c r="AI58" s="1"/>
  <c r="AF58"/>
  <c r="AG58" s="1"/>
  <c r="U57"/>
  <c r="Z142"/>
  <c r="V142"/>
  <c r="W142"/>
  <c r="Y142" s="1"/>
  <c r="S31"/>
  <c r="Q30"/>
  <c r="Q41"/>
  <c r="O124"/>
  <c r="U125"/>
  <c r="P125"/>
  <c r="Z179"/>
  <c r="T175"/>
  <c r="N174"/>
  <c r="Z76"/>
  <c r="V76"/>
  <c r="W76"/>
  <c r="AF43"/>
  <c r="AH43"/>
  <c r="AA43"/>
  <c r="AB43" s="1"/>
  <c r="X43"/>
  <c r="Y43" s="1"/>
  <c r="V43"/>
  <c r="K124"/>
  <c r="M124" s="1"/>
  <c r="M125"/>
  <c r="W87"/>
  <c r="Y87" s="1"/>
  <c r="V87"/>
  <c r="Z87"/>
  <c r="AB87" s="1"/>
  <c r="T10"/>
  <c r="Z32"/>
  <c r="K175"/>
  <c r="M176"/>
  <c r="Z112"/>
  <c r="W112"/>
  <c r="M10"/>
  <c r="X114"/>
  <c r="AG114" s="1"/>
  <c r="Y117"/>
  <c r="W237"/>
  <c r="V237"/>
  <c r="Z237"/>
  <c r="V158"/>
  <c r="Z158"/>
  <c r="W158"/>
  <c r="X78"/>
  <c r="AG78" s="1"/>
  <c r="Y81"/>
  <c r="V238"/>
  <c r="Y161"/>
  <c r="AG87"/>
  <c r="Y207"/>
  <c r="AG105"/>
  <c r="Y157"/>
  <c r="AG89"/>
  <c r="R68"/>
  <c r="Y182"/>
  <c r="AB148"/>
  <c r="AI239"/>
  <c r="AI143"/>
  <c r="AI189"/>
  <c r="AG49"/>
  <c r="AI265"/>
  <c r="AG20"/>
  <c r="AG44"/>
  <c r="AG91"/>
  <c r="AG106"/>
  <c r="AG55"/>
  <c r="AI154"/>
  <c r="AI97"/>
  <c r="AB151"/>
  <c r="AG81"/>
  <c r="AB164"/>
  <c r="AK164" i="118" s="1"/>
  <c r="AI114" i="117"/>
  <c r="W176"/>
  <c r="Z176"/>
  <c r="AI176" i="118" s="1"/>
  <c r="W128" i="117"/>
  <c r="U179"/>
  <c r="V179" s="1"/>
  <c r="AH177"/>
  <c r="AA177"/>
  <c r="AA179" s="1"/>
  <c r="X177"/>
  <c r="X179" s="1"/>
  <c r="AF177"/>
  <c r="AG177" s="1"/>
  <c r="Z11"/>
  <c r="Z17"/>
  <c r="AB117"/>
  <c r="Z114"/>
  <c r="X34"/>
  <c r="AA35"/>
  <c r="AJ35" i="118" s="1"/>
  <c r="AM35" s="1"/>
  <c r="Y35" i="117"/>
  <c r="T57"/>
  <c r="V57" s="1"/>
  <c r="V58"/>
  <c r="J113"/>
  <c r="H112"/>
  <c r="J112" s="1"/>
  <c r="Z78"/>
  <c r="W58"/>
  <c r="Y60"/>
  <c r="Z154"/>
  <c r="AB152"/>
  <c r="AK152" i="118" s="1"/>
  <c r="AA145" i="117"/>
  <c r="AJ145" i="118" s="1"/>
  <c r="AM145" s="1"/>
  <c r="AB143" i="117"/>
  <c r="AK143" i="118" s="1"/>
  <c r="Z134" i="117"/>
  <c r="AB134" s="1"/>
  <c r="AB132"/>
  <c r="Z128"/>
  <c r="J76"/>
  <c r="H68"/>
  <c r="J68" s="1"/>
  <c r="X15"/>
  <c r="Y15" s="1"/>
  <c r="U11"/>
  <c r="U17"/>
  <c r="AH15"/>
  <c r="AA15"/>
  <c r="AF15"/>
  <c r="P32"/>
  <c r="O31"/>
  <c r="AH69"/>
  <c r="AA69"/>
  <c r="AB69" s="1"/>
  <c r="X69"/>
  <c r="Y69" s="1"/>
  <c r="AF69"/>
  <c r="V69"/>
  <c r="AH126"/>
  <c r="AA126"/>
  <c r="AB126" s="1"/>
  <c r="X126"/>
  <c r="X128" s="1"/>
  <c r="AF126"/>
  <c r="U128"/>
  <c r="V128" s="1"/>
  <c r="Y152"/>
  <c r="W154"/>
  <c r="Y154" s="1"/>
  <c r="W179"/>
  <c r="S68"/>
  <c r="T68"/>
  <c r="H57"/>
  <c r="J58"/>
  <c r="K57"/>
  <c r="M58"/>
  <c r="AF145"/>
  <c r="AG145" s="1"/>
  <c r="AH145"/>
  <c r="V145"/>
  <c r="AH237"/>
  <c r="AA237"/>
  <c r="X237"/>
  <c r="AF237"/>
  <c r="W134"/>
  <c r="Y134" s="1"/>
  <c r="Y132"/>
  <c r="G125"/>
  <c r="E124"/>
  <c r="G124" s="1"/>
  <c r="P114"/>
  <c r="O113"/>
  <c r="O175"/>
  <c r="U176"/>
  <c r="V176" s="1"/>
  <c r="W17"/>
  <c r="W11"/>
  <c r="AF34"/>
  <c r="AG34" s="1"/>
  <c r="AH34"/>
  <c r="U32"/>
  <c r="V34"/>
  <c r="X46"/>
  <c r="Y46" s="1"/>
  <c r="AF46"/>
  <c r="AH46"/>
  <c r="AA46"/>
  <c r="AB46" s="1"/>
  <c r="AF21"/>
  <c r="U23"/>
  <c r="AH21"/>
  <c r="AA21"/>
  <c r="X21"/>
  <c r="V21"/>
  <c r="E76"/>
  <c r="G77"/>
  <c r="W170"/>
  <c r="Y170" s="1"/>
  <c r="Y168"/>
  <c r="AA81"/>
  <c r="AA78" s="1"/>
  <c r="AA77" s="1"/>
  <c r="AI82"/>
  <c r="AB173"/>
  <c r="Y148"/>
  <c r="AG207"/>
  <c r="P11"/>
  <c r="K95"/>
  <c r="M95" s="1"/>
  <c r="AI254"/>
  <c r="AI77"/>
  <c r="Y196"/>
  <c r="AG28"/>
  <c r="Y167"/>
  <c r="AG239"/>
  <c r="AI117"/>
  <c r="V126"/>
  <c r="AB207"/>
  <c r="AI250"/>
  <c r="AI91"/>
  <c r="AB118"/>
  <c r="AI106"/>
  <c r="AI55"/>
  <c r="Y26"/>
  <c r="H124"/>
  <c r="J124" s="1"/>
  <c r="AG90"/>
  <c r="Y20"/>
  <c r="O286"/>
  <c r="O287" s="1"/>
  <c r="AG202"/>
  <c r="Q53" i="116"/>
  <c r="S56"/>
  <c r="T56"/>
  <c r="S87"/>
  <c r="U87"/>
  <c r="Q174"/>
  <c r="S174" s="1"/>
  <c r="S175"/>
  <c r="AB24"/>
  <c r="AK24" i="118" s="1"/>
  <c r="Z26" i="116"/>
  <c r="AB26" s="1"/>
  <c r="T10"/>
  <c r="V11"/>
  <c r="Z60"/>
  <c r="AB61"/>
  <c r="AC61" s="1"/>
  <c r="AA88"/>
  <c r="AB88" s="1"/>
  <c r="X88"/>
  <c r="Y88" s="1"/>
  <c r="V88"/>
  <c r="P10"/>
  <c r="N9"/>
  <c r="Z20"/>
  <c r="AB20" s="1"/>
  <c r="AB18"/>
  <c r="Z117"/>
  <c r="AB118"/>
  <c r="AC118" s="1"/>
  <c r="X32"/>
  <c r="Y34"/>
  <c r="X23"/>
  <c r="Y23" s="1"/>
  <c r="AC23" s="1"/>
  <c r="Y21"/>
  <c r="K76"/>
  <c r="M77"/>
  <c r="Z134"/>
  <c r="AB134" s="1"/>
  <c r="AB132"/>
  <c r="W179"/>
  <c r="Y179" s="1"/>
  <c r="Y177"/>
  <c r="AA239"/>
  <c r="AB239" s="1"/>
  <c r="X239"/>
  <c r="Y239" s="1"/>
  <c r="V239"/>
  <c r="U238"/>
  <c r="M58"/>
  <c r="K57"/>
  <c r="AB15"/>
  <c r="Z17"/>
  <c r="AB17" s="1"/>
  <c r="Z11"/>
  <c r="Y60"/>
  <c r="W58"/>
  <c r="Z125"/>
  <c r="AB125" s="1"/>
  <c r="V125"/>
  <c r="W125"/>
  <c r="Y125" s="1"/>
  <c r="AA221"/>
  <c r="X221"/>
  <c r="Y221" s="1"/>
  <c r="V221"/>
  <c r="Y117"/>
  <c r="W114"/>
  <c r="M176"/>
  <c r="K175"/>
  <c r="Y176"/>
  <c r="W175"/>
  <c r="G11"/>
  <c r="E10"/>
  <c r="AB126"/>
  <c r="Z128"/>
  <c r="AB128" s="1"/>
  <c r="E56"/>
  <c r="G57"/>
  <c r="Z31"/>
  <c r="AB202"/>
  <c r="AG202"/>
  <c r="H175"/>
  <c r="J176"/>
  <c r="J56"/>
  <c r="H53"/>
  <c r="J53" s="1"/>
  <c r="W78"/>
  <c r="Y81"/>
  <c r="Y24"/>
  <c r="W26"/>
  <c r="Y26" s="1"/>
  <c r="T30"/>
  <c r="T174"/>
  <c r="P174"/>
  <c r="T112"/>
  <c r="Q95"/>
  <c r="W17"/>
  <c r="Y17" s="1"/>
  <c r="W11"/>
  <c r="Y15"/>
  <c r="AC15" s="1"/>
  <c r="R31"/>
  <c r="S32"/>
  <c r="E31"/>
  <c r="G32"/>
  <c r="V58"/>
  <c r="T57"/>
  <c r="V57" s="1"/>
  <c r="W20"/>
  <c r="Y20" s="1"/>
  <c r="Y18"/>
  <c r="AC18" s="1"/>
  <c r="AB176"/>
  <c r="Z175"/>
  <c r="AC51"/>
  <c r="T175"/>
  <c r="V175" s="1"/>
  <c r="AC44"/>
  <c r="AC98"/>
  <c r="AC97"/>
  <c r="AC173"/>
  <c r="U174"/>
  <c r="AB21"/>
  <c r="AC220"/>
  <c r="Q9"/>
  <c r="H68"/>
  <c r="J68" s="1"/>
  <c r="AC28"/>
  <c r="Z200"/>
  <c r="AA11"/>
  <c r="AA10" s="1"/>
  <c r="Y126"/>
  <c r="AC126" s="1"/>
  <c r="W128"/>
  <c r="Y128" s="1"/>
  <c r="AC128" s="1"/>
  <c r="S67"/>
  <c r="T67"/>
  <c r="M125"/>
  <c r="K124"/>
  <c r="M124" s="1"/>
  <c r="AB177"/>
  <c r="Z179"/>
  <c r="AB179" s="1"/>
  <c r="Q76"/>
  <c r="S77"/>
  <c r="U69"/>
  <c r="O68"/>
  <c r="P69"/>
  <c r="X47"/>
  <c r="Y47" s="1"/>
  <c r="AA47"/>
  <c r="AB47" s="1"/>
  <c r="AK47" i="118" s="1"/>
  <c r="V47" i="116"/>
  <c r="H10"/>
  <c r="J11"/>
  <c r="K112"/>
  <c r="M113"/>
  <c r="Z81"/>
  <c r="AB82"/>
  <c r="AC82" s="1"/>
  <c r="R113"/>
  <c r="S114"/>
  <c r="V78"/>
  <c r="T77"/>
  <c r="V77" s="1"/>
  <c r="AA34"/>
  <c r="AB35"/>
  <c r="P114"/>
  <c r="O113"/>
  <c r="J125"/>
  <c r="H124"/>
  <c r="J124" s="1"/>
  <c r="W134"/>
  <c r="Y134" s="1"/>
  <c r="Y132"/>
  <c r="T41"/>
  <c r="AD201"/>
  <c r="X200"/>
  <c r="Y200" s="1"/>
  <c r="AA207"/>
  <c r="AB207" s="1"/>
  <c r="X207"/>
  <c r="Y207" s="1"/>
  <c r="O237"/>
  <c r="P237" s="1"/>
  <c r="P238"/>
  <c r="AA74"/>
  <c r="AB74" s="1"/>
  <c r="X74"/>
  <c r="Y74" s="1"/>
  <c r="V74"/>
  <c r="J32"/>
  <c r="H31"/>
  <c r="M31"/>
  <c r="K30"/>
  <c r="M30" s="1"/>
  <c r="T124"/>
  <c r="P124"/>
  <c r="K10"/>
  <c r="M11"/>
  <c r="O32"/>
  <c r="P34"/>
  <c r="U46"/>
  <c r="P46"/>
  <c r="Z123"/>
  <c r="W123"/>
  <c r="U217"/>
  <c r="P217"/>
  <c r="X175"/>
  <c r="AC180"/>
  <c r="R76"/>
  <c r="AC202"/>
  <c r="X11"/>
  <c r="X10" s="1"/>
  <c r="Y211"/>
  <c r="AC211" s="1"/>
  <c r="Q212" i="111" s="1"/>
  <c r="S212" s="1"/>
  <c r="AC75" i="116"/>
  <c r="AC111"/>
  <c r="AC168"/>
  <c r="V31"/>
  <c r="S472" i="92"/>
  <c r="P472"/>
  <c r="S475"/>
  <c r="M410"/>
  <c r="M315"/>
  <c r="M321"/>
  <c r="L328"/>
  <c r="N328" s="1"/>
  <c r="O328" s="1"/>
  <c r="Q328" s="1"/>
  <c r="L329"/>
  <c r="N329" s="1"/>
  <c r="O329" s="1"/>
  <c r="Q329" s="1"/>
  <c r="L336"/>
  <c r="N336" s="1"/>
  <c r="M337"/>
  <c r="K342"/>
  <c r="M349"/>
  <c r="L353"/>
  <c r="N353" s="1"/>
  <c r="O353" s="1"/>
  <c r="Q353" s="1"/>
  <c r="M354"/>
  <c r="L355"/>
  <c r="N355" s="1"/>
  <c r="M365"/>
  <c r="N365"/>
  <c r="O365" s="1"/>
  <c r="Q365" s="1"/>
  <c r="L369"/>
  <c r="M369" s="1"/>
  <c r="N372"/>
  <c r="O372" s="1"/>
  <c r="Q372" s="1"/>
  <c r="M372"/>
  <c r="N376"/>
  <c r="M376"/>
  <c r="M385"/>
  <c r="M390"/>
  <c r="M386"/>
  <c r="L402"/>
  <c r="N402" s="1"/>
  <c r="N401" s="1"/>
  <c r="K404"/>
  <c r="M404" s="1"/>
  <c r="M403"/>
  <c r="M399"/>
  <c r="S410"/>
  <c r="K424"/>
  <c r="M423"/>
  <c r="M422"/>
  <c r="L423"/>
  <c r="N423" s="1"/>
  <c r="O423" s="1"/>
  <c r="Q423" s="1"/>
  <c r="M439"/>
  <c r="K440"/>
  <c r="M450"/>
  <c r="N465"/>
  <c r="M465"/>
  <c r="M461"/>
  <c r="K463"/>
  <c r="M475"/>
  <c r="M482"/>
  <c r="M486"/>
  <c r="P475"/>
  <c r="L478"/>
  <c r="N478" s="1"/>
  <c r="K483"/>
  <c r="K479" s="1"/>
  <c r="K506"/>
  <c r="M506" s="1"/>
  <c r="O511"/>
  <c r="Q511" s="1"/>
  <c r="N507"/>
  <c r="O451"/>
  <c r="Q451" s="1"/>
  <c r="L463"/>
  <c r="M464"/>
  <c r="N464"/>
  <c r="L483"/>
  <c r="L479" s="1"/>
  <c r="M484"/>
  <c r="N484"/>
  <c r="O486"/>
  <c r="Q486" s="1"/>
  <c r="L459"/>
  <c r="M460"/>
  <c r="N460"/>
  <c r="O465"/>
  <c r="Q465" s="1"/>
  <c r="N467"/>
  <c r="L466"/>
  <c r="N449"/>
  <c r="O450"/>
  <c r="O461"/>
  <c r="Q461" s="1"/>
  <c r="M468"/>
  <c r="N468"/>
  <c r="O478"/>
  <c r="Q478" s="1"/>
  <c r="M459"/>
  <c r="L449"/>
  <c r="L448" s="1"/>
  <c r="K466"/>
  <c r="K449"/>
  <c r="K448" s="1"/>
  <c r="K447" s="1"/>
  <c r="M451"/>
  <c r="M467"/>
  <c r="N482"/>
  <c r="O406"/>
  <c r="Q406" s="1"/>
  <c r="M409"/>
  <c r="N409"/>
  <c r="P426"/>
  <c r="O426"/>
  <c r="Q426" s="1"/>
  <c r="O442"/>
  <c r="Q442" s="1"/>
  <c r="N408"/>
  <c r="L407"/>
  <c r="O422"/>
  <c r="L424"/>
  <c r="M425"/>
  <c r="N425"/>
  <c r="O438"/>
  <c r="P438" s="1"/>
  <c r="N437"/>
  <c r="O439"/>
  <c r="Q439" s="1"/>
  <c r="L440"/>
  <c r="M441"/>
  <c r="N441"/>
  <c r="O400"/>
  <c r="Q400" s="1"/>
  <c r="O403"/>
  <c r="Q403" s="1"/>
  <c r="L404"/>
  <c r="M405"/>
  <c r="N405"/>
  <c r="K407"/>
  <c r="K398"/>
  <c r="N399"/>
  <c r="M400"/>
  <c r="M408"/>
  <c r="L421"/>
  <c r="L414" s="1"/>
  <c r="V431"/>
  <c r="L437"/>
  <c r="L430" s="1"/>
  <c r="K401"/>
  <c r="K421"/>
  <c r="K437"/>
  <c r="P391"/>
  <c r="M391"/>
  <c r="O389"/>
  <c r="Q389" s="1"/>
  <c r="O390"/>
  <c r="Q390" s="1"/>
  <c r="O378"/>
  <c r="O373"/>
  <c r="Q373" s="1"/>
  <c r="O385"/>
  <c r="Q385" s="1"/>
  <c r="O386"/>
  <c r="Q386" s="1"/>
  <c r="K368"/>
  <c r="N369"/>
  <c r="L371"/>
  <c r="N371" s="1"/>
  <c r="L375"/>
  <c r="N375" s="1"/>
  <c r="O376"/>
  <c r="Q376" s="1"/>
  <c r="M378"/>
  <c r="L383"/>
  <c r="N383" s="1"/>
  <c r="L387"/>
  <c r="N387" s="1"/>
  <c r="O388"/>
  <c r="Q388" s="1"/>
  <c r="O354"/>
  <c r="Q354" s="1"/>
  <c r="O355"/>
  <c r="Q355" s="1"/>
  <c r="O366"/>
  <c r="Q366" s="1"/>
  <c r="P366"/>
  <c r="O362"/>
  <c r="Q362" s="1"/>
  <c r="U363"/>
  <c r="V363" s="1"/>
  <c r="L356"/>
  <c r="N356" s="1"/>
  <c r="L342"/>
  <c r="M342" s="1"/>
  <c r="M343"/>
  <c r="N343"/>
  <c r="O350"/>
  <c r="Q350" s="1"/>
  <c r="O344"/>
  <c r="Q344" s="1"/>
  <c r="N346"/>
  <c r="L345"/>
  <c r="O348"/>
  <c r="Q348" s="1"/>
  <c r="O349"/>
  <c r="Q349" s="1"/>
  <c r="M346"/>
  <c r="M350"/>
  <c r="K345"/>
  <c r="O340"/>
  <c r="Q340" s="1"/>
  <c r="O337"/>
  <c r="Q337" s="1"/>
  <c r="L330"/>
  <c r="N330" s="1"/>
  <c r="L334"/>
  <c r="O339"/>
  <c r="Q339" s="1"/>
  <c r="Q315"/>
  <c r="Q321"/>
  <c r="M326"/>
  <c r="N326"/>
  <c r="M319"/>
  <c r="N319"/>
  <c r="L317"/>
  <c r="M317" s="1"/>
  <c r="M325"/>
  <c r="N325"/>
  <c r="L323"/>
  <c r="M323" s="1"/>
  <c r="M316"/>
  <c r="N316"/>
  <c r="L314"/>
  <c r="M322"/>
  <c r="N322"/>
  <c r="L320"/>
  <c r="M320" s="1"/>
  <c r="M327"/>
  <c r="N327"/>
  <c r="Q318"/>
  <c r="Q324"/>
  <c r="P315"/>
  <c r="P318"/>
  <c r="P321"/>
  <c r="P324"/>
  <c r="M91" i="115"/>
  <c r="M90"/>
  <c r="N90"/>
  <c r="Q90"/>
  <c r="P90"/>
  <c r="N88"/>
  <c r="N91" s="1"/>
  <c r="P88"/>
  <c r="P91" s="1"/>
  <c r="M88"/>
  <c r="F90"/>
  <c r="I90"/>
  <c r="E61"/>
  <c r="E62"/>
  <c r="D88"/>
  <c r="D91" s="1"/>
  <c r="D90"/>
  <c r="AD214" i="118" l="1"/>
  <c r="P123"/>
  <c r="O57" i="116"/>
  <c r="P58"/>
  <c r="AI26" i="117"/>
  <c r="G175" i="116"/>
  <c r="O95" i="118"/>
  <c r="U95" s="1"/>
  <c r="AA95" s="1"/>
  <c r="U123"/>
  <c r="AC123" s="1"/>
  <c r="AB26" i="117"/>
  <c r="P465" i="92"/>
  <c r="M437"/>
  <c r="N421"/>
  <c r="M463"/>
  <c r="AI145" i="117"/>
  <c r="Y179"/>
  <c r="AK132" i="118"/>
  <c r="AI11"/>
  <c r="AI177" i="117"/>
  <c r="AB179"/>
  <c r="AG76"/>
  <c r="AG142"/>
  <c r="AF97" i="118"/>
  <c r="T67"/>
  <c r="J175"/>
  <c r="AI168" i="117"/>
  <c r="X78" i="118"/>
  <c r="AD81"/>
  <c r="AB81" i="117"/>
  <c r="AK126" i="118"/>
  <c r="R67" i="117"/>
  <c r="S57"/>
  <c r="P349" i="92"/>
  <c r="M478"/>
  <c r="AC134" i="116"/>
  <c r="AI81" i="117"/>
  <c r="AI128" i="118"/>
  <c r="AB145" i="117"/>
  <c r="Y121" i="120"/>
  <c r="AB20" i="117"/>
  <c r="AK20" i="118" s="1"/>
  <c r="M442" i="92"/>
  <c r="Y71" i="121"/>
  <c r="U113"/>
  <c r="W114" i="111"/>
  <c r="W114" i="121"/>
  <c r="X48"/>
  <c r="Y48" s="1"/>
  <c r="X48" i="111"/>
  <c r="U124"/>
  <c r="U124" i="121"/>
  <c r="X111" i="111"/>
  <c r="Y111" s="1"/>
  <c r="X111" i="121"/>
  <c r="Y111" s="1"/>
  <c r="W100" i="111"/>
  <c r="W100" i="121"/>
  <c r="X216"/>
  <c r="Y216" s="1"/>
  <c r="X216" i="111"/>
  <c r="Y216" s="1"/>
  <c r="U57" i="121"/>
  <c r="U57" i="111"/>
  <c r="W127" i="121"/>
  <c r="W127" i="111"/>
  <c r="U98" i="121"/>
  <c r="V98" s="1"/>
  <c r="U98" i="111"/>
  <c r="V98" s="1"/>
  <c r="X75" i="121"/>
  <c r="Y75" s="1"/>
  <c r="X75" i="111"/>
  <c r="W50" i="121"/>
  <c r="W50" i="111"/>
  <c r="AA67"/>
  <c r="AB67" s="1"/>
  <c r="AA67" i="121"/>
  <c r="AB67" s="1"/>
  <c r="AA88"/>
  <c r="AA88" i="111"/>
  <c r="W32"/>
  <c r="W32" i="121"/>
  <c r="U68" i="111"/>
  <c r="U68" i="121"/>
  <c r="X179" i="111"/>
  <c r="Y179" s="1"/>
  <c r="X179" i="121"/>
  <c r="U105"/>
  <c r="Z71"/>
  <c r="W105" i="111"/>
  <c r="X128" i="121"/>
  <c r="Y128" s="1"/>
  <c r="X128" i="111"/>
  <c r="X97"/>
  <c r="U31" i="121"/>
  <c r="U31" i="111"/>
  <c r="W58" i="121"/>
  <c r="W58" i="111"/>
  <c r="X74"/>
  <c r="X74" i="121"/>
  <c r="Y74" s="1"/>
  <c r="W106"/>
  <c r="X71" i="111"/>
  <c r="Y71" s="1"/>
  <c r="W46" i="121"/>
  <c r="U236" i="111"/>
  <c r="V236" s="1"/>
  <c r="V25" i="121"/>
  <c r="V188"/>
  <c r="W215"/>
  <c r="W215" i="111"/>
  <c r="X26" i="121"/>
  <c r="Y26" s="1"/>
  <c r="X26" i="111"/>
  <c r="W41" i="121"/>
  <c r="W41" i="111"/>
  <c r="W91" i="121"/>
  <c r="W91" i="111"/>
  <c r="U202"/>
  <c r="V202" s="1"/>
  <c r="U202" i="121"/>
  <c r="V202" s="1"/>
  <c r="U44"/>
  <c r="U45" i="111"/>
  <c r="U45" i="121"/>
  <c r="V45" s="1"/>
  <c r="T201" i="111"/>
  <c r="T201" i="121"/>
  <c r="T203" s="1"/>
  <c r="W237" i="111"/>
  <c r="W236" s="1"/>
  <c r="W237" i="121"/>
  <c r="W52"/>
  <c r="W52" i="111"/>
  <c r="R203" i="121"/>
  <c r="S203" s="1"/>
  <c r="S201"/>
  <c r="W133"/>
  <c r="W133" i="111"/>
  <c r="W222"/>
  <c r="W222" i="121"/>
  <c r="W76"/>
  <c r="W70" s="1"/>
  <c r="W76" i="111"/>
  <c r="X28"/>
  <c r="W29" i="121"/>
  <c r="W29" i="111"/>
  <c r="W90"/>
  <c r="W90" i="121"/>
  <c r="X134"/>
  <c r="X134" i="111"/>
  <c r="Y134" s="1"/>
  <c r="T44" i="121"/>
  <c r="T177"/>
  <c r="X23"/>
  <c r="Y23" s="1"/>
  <c r="X23" i="111"/>
  <c r="Y23" s="1"/>
  <c r="X73" i="121"/>
  <c r="X73" i="111"/>
  <c r="Y73" s="1"/>
  <c r="U204" i="121"/>
  <c r="U206" s="1"/>
  <c r="V206" s="1"/>
  <c r="U204" i="111"/>
  <c r="Z92" i="121"/>
  <c r="Z92" i="111"/>
  <c r="AA87" i="121"/>
  <c r="AA87" i="111"/>
  <c r="AB87" s="1"/>
  <c r="X108"/>
  <c r="Y108" s="1"/>
  <c r="X108" i="121"/>
  <c r="Z55"/>
  <c r="Z55" i="111"/>
  <c r="O274"/>
  <c r="AB72" i="121"/>
  <c r="W20"/>
  <c r="W20" i="111"/>
  <c r="U78" i="121"/>
  <c r="U78" i="111"/>
  <c r="U16" i="121"/>
  <c r="U18" s="1"/>
  <c r="V18" s="1"/>
  <c r="U16" i="111"/>
  <c r="U178" i="121"/>
  <c r="U180" s="1"/>
  <c r="V180" s="1"/>
  <c r="U178" i="111"/>
  <c r="Z28"/>
  <c r="Z28" i="121"/>
  <c r="X189"/>
  <c r="X189" i="111"/>
  <c r="Y189" s="1"/>
  <c r="W240"/>
  <c r="W240" i="121"/>
  <c r="W47"/>
  <c r="X51"/>
  <c r="Y51" s="1"/>
  <c r="X51" i="111"/>
  <c r="W123"/>
  <c r="W123" i="121"/>
  <c r="W25"/>
  <c r="W25" i="111"/>
  <c r="Q77" i="121"/>
  <c r="Q69" s="1"/>
  <c r="Q9" s="1"/>
  <c r="AA101"/>
  <c r="AA101" i="111"/>
  <c r="AB101" s="1"/>
  <c r="U19" i="121"/>
  <c r="U21" s="1"/>
  <c r="V21" s="1"/>
  <c r="U19" i="111"/>
  <c r="X112" i="121"/>
  <c r="Y112" s="1"/>
  <c r="X112" i="111"/>
  <c r="Y112" s="1"/>
  <c r="X106" i="121"/>
  <c r="X106" i="111"/>
  <c r="Y106" s="1"/>
  <c r="T12" i="121"/>
  <c r="W22"/>
  <c r="W24" s="1"/>
  <c r="W22" i="111"/>
  <c r="R176" i="121"/>
  <c r="S176" s="1"/>
  <c r="Z71" i="111"/>
  <c r="X89" i="121"/>
  <c r="Y89" s="1"/>
  <c r="X89" i="111"/>
  <c r="W205" i="121"/>
  <c r="W205" i="111"/>
  <c r="W17" i="121"/>
  <c r="W17" i="111"/>
  <c r="W188" i="121"/>
  <c r="W190" s="1"/>
  <c r="W188" i="111"/>
  <c r="P350" i="92"/>
  <c r="M407"/>
  <c r="P461"/>
  <c r="K446"/>
  <c r="M440"/>
  <c r="AI126" i="117"/>
  <c r="AI117" i="118"/>
  <c r="AD179"/>
  <c r="AI179"/>
  <c r="AJ177"/>
  <c r="AM177" s="1"/>
  <c r="AK134"/>
  <c r="AI26"/>
  <c r="M373" i="92"/>
  <c r="Q131" i="111"/>
  <c r="S131" s="1"/>
  <c r="AL130" i="118"/>
  <c r="AM130" s="1"/>
  <c r="AF170" i="117"/>
  <c r="AG170" s="1"/>
  <c r="AH170"/>
  <c r="AK173" i="118"/>
  <c r="AJ81"/>
  <c r="AM81" s="1"/>
  <c r="AA57"/>
  <c r="AI125"/>
  <c r="AJ82"/>
  <c r="AM82" s="1"/>
  <c r="P385" i="92"/>
  <c r="P390"/>
  <c r="M424"/>
  <c r="AB200" i="116"/>
  <c r="AK200" i="118" s="1"/>
  <c r="AI200"/>
  <c r="AC24" i="116"/>
  <c r="Y177" i="117"/>
  <c r="AI17" i="118"/>
  <c r="AI78" i="117"/>
  <c r="AI158" i="118"/>
  <c r="Y76" i="117"/>
  <c r="AB97" i="118"/>
  <c r="AK97" s="1"/>
  <c r="AJ97"/>
  <c r="AM97" s="1"/>
  <c r="AI81"/>
  <c r="AD76"/>
  <c r="AB237"/>
  <c r="AI237"/>
  <c r="Y51" i="120"/>
  <c r="S53" i="111"/>
  <c r="T53"/>
  <c r="AK148" i="118"/>
  <c r="AJ179"/>
  <c r="AM179" s="1"/>
  <c r="AK26"/>
  <c r="M438" i="92"/>
  <c r="M348"/>
  <c r="AK151" i="118"/>
  <c r="AA170" i="117"/>
  <c r="AJ170" i="118" s="1"/>
  <c r="AJ168"/>
  <c r="AM168" s="1"/>
  <c r="AG168" i="117"/>
  <c r="AA32" i="118"/>
  <c r="AA77"/>
  <c r="AJ78"/>
  <c r="AM78" s="1"/>
  <c r="AK170"/>
  <c r="AM211"/>
  <c r="AA212" i="111" s="1"/>
  <c r="Z212"/>
  <c r="AK104" i="118"/>
  <c r="V170" i="117"/>
  <c r="G89" i="115"/>
  <c r="P89"/>
  <c r="M345" i="92"/>
  <c r="AC179" i="116"/>
  <c r="AB170" i="117"/>
  <c r="AI170" i="118"/>
  <c r="AK179"/>
  <c r="AK82"/>
  <c r="AF77"/>
  <c r="AF78" s="1"/>
  <c r="AK61"/>
  <c r="AK18"/>
  <c r="AA113"/>
  <c r="AJ114"/>
  <c r="AM114" s="1"/>
  <c r="M507" i="92"/>
  <c r="M426"/>
  <c r="AA60" i="116"/>
  <c r="AJ61" i="118"/>
  <c r="AM61" s="1"/>
  <c r="X158" i="117"/>
  <c r="Y158" s="1"/>
  <c r="AF158"/>
  <c r="AA158"/>
  <c r="AJ158" i="118" s="1"/>
  <c r="AH158" i="117"/>
  <c r="AJ104" i="118"/>
  <c r="AM104" s="1"/>
  <c r="M362" i="92"/>
  <c r="AC21" i="116"/>
  <c r="AA128" i="117"/>
  <c r="AJ128" i="118" s="1"/>
  <c r="AM128" s="1"/>
  <c r="AJ126"/>
  <c r="AM126" s="1"/>
  <c r="AB154" i="117"/>
  <c r="AK154" i="118" s="1"/>
  <c r="AI154"/>
  <c r="AB142" i="117"/>
  <c r="AK142" i="118" s="1"/>
  <c r="AI142"/>
  <c r="AK118"/>
  <c r="AI60"/>
  <c r="AI20"/>
  <c r="AI134"/>
  <c r="M389" i="92"/>
  <c r="AK145" i="118"/>
  <c r="N493" i="92"/>
  <c r="L489"/>
  <c r="M489" s="1"/>
  <c r="M340"/>
  <c r="AK202" i="118"/>
  <c r="M493" i="92"/>
  <c r="W272" i="111"/>
  <c r="U273" i="121"/>
  <c r="W273" s="1"/>
  <c r="S236"/>
  <c r="S125"/>
  <c r="W188" i="120"/>
  <c r="T33"/>
  <c r="AC33" s="1"/>
  <c r="AC35"/>
  <c r="T11"/>
  <c r="AC11" s="1"/>
  <c r="Y41"/>
  <c r="Y89"/>
  <c r="Y112"/>
  <c r="K10" i="121"/>
  <c r="M10" s="1"/>
  <c r="V240"/>
  <c r="T236"/>
  <c r="V134"/>
  <c r="V127"/>
  <c r="Y121"/>
  <c r="V106"/>
  <c r="S105"/>
  <c r="V87"/>
  <c r="V76"/>
  <c r="U70"/>
  <c r="V70" s="1"/>
  <c r="V47"/>
  <c r="O7"/>
  <c r="V22"/>
  <c r="V17"/>
  <c r="S16"/>
  <c r="P9"/>
  <c r="Y82"/>
  <c r="G10"/>
  <c r="V58"/>
  <c r="AB119"/>
  <c r="S115"/>
  <c r="H54"/>
  <c r="J54" s="1"/>
  <c r="J57"/>
  <c r="Y59"/>
  <c r="V208"/>
  <c r="E69"/>
  <c r="G69" s="1"/>
  <c r="G77"/>
  <c r="P125"/>
  <c r="N8"/>
  <c r="S57"/>
  <c r="R54"/>
  <c r="AB121"/>
  <c r="K54"/>
  <c r="M54" s="1"/>
  <c r="M57"/>
  <c r="V218"/>
  <c r="Y207"/>
  <c r="V36"/>
  <c r="V233"/>
  <c r="M113"/>
  <c r="K96"/>
  <c r="M96" s="1"/>
  <c r="T125"/>
  <c r="S33"/>
  <c r="Y281"/>
  <c r="Z281"/>
  <c r="AB281" s="1"/>
  <c r="AB207"/>
  <c r="Y116"/>
  <c r="S78"/>
  <c r="S68"/>
  <c r="J10"/>
  <c r="Y83"/>
  <c r="V55"/>
  <c r="V222"/>
  <c r="Y62"/>
  <c r="V120"/>
  <c r="S59" i="111"/>
  <c r="T206"/>
  <c r="T190"/>
  <c r="S190"/>
  <c r="R113"/>
  <c r="R96" s="1"/>
  <c r="V74"/>
  <c r="S58"/>
  <c r="AI45" i="117"/>
  <c r="AI20"/>
  <c r="AJ47" i="118"/>
  <c r="AL47"/>
  <c r="AL49"/>
  <c r="AM49" s="1"/>
  <c r="AB45"/>
  <c r="AK45" s="1"/>
  <c r="AJ45"/>
  <c r="AL90"/>
  <c r="AM90" s="1"/>
  <c r="AL27"/>
  <c r="AM27" s="1"/>
  <c r="AL55"/>
  <c r="AL89"/>
  <c r="AM89" s="1"/>
  <c r="O21" i="111"/>
  <c r="AL18" i="118"/>
  <c r="AM18" s="1"/>
  <c r="AC74" i="116"/>
  <c r="V174"/>
  <c r="AJ239" i="118"/>
  <c r="H30" i="117"/>
  <c r="H9" s="1"/>
  <c r="K174" i="118"/>
  <c r="M174" s="1"/>
  <c r="AG45" i="117"/>
  <c r="AJ74" i="118"/>
  <c r="AJ88"/>
  <c r="AK239"/>
  <c r="AB48"/>
  <c r="AK48" s="1"/>
  <c r="AJ48"/>
  <c r="X49" i="111" s="1"/>
  <c r="Y49" s="1"/>
  <c r="O49"/>
  <c r="AL91" i="118"/>
  <c r="AM91" s="1"/>
  <c r="AL44"/>
  <c r="AM44" s="1"/>
  <c r="AJ15"/>
  <c r="AB217" i="117"/>
  <c r="AB69" i="118"/>
  <c r="AL51"/>
  <c r="AM51" s="1"/>
  <c r="AB221" i="116"/>
  <c r="AK221" i="118" s="1"/>
  <c r="AJ221"/>
  <c r="AJ21"/>
  <c r="AB238" i="117"/>
  <c r="AB207" i="118"/>
  <c r="AK207" s="1"/>
  <c r="AJ207"/>
  <c r="Q27" i="111"/>
  <c r="AL26" i="118"/>
  <c r="AM26" s="1"/>
  <c r="AL54"/>
  <c r="AM54" s="1"/>
  <c r="AL50"/>
  <c r="AM50" s="1"/>
  <c r="AL214"/>
  <c r="AM214" s="1"/>
  <c r="AC207" i="116"/>
  <c r="AG74" i="117"/>
  <c r="AI74"/>
  <c r="AM55" i="118"/>
  <c r="AK74"/>
  <c r="AK88"/>
  <c r="V128" i="111"/>
  <c r="V127"/>
  <c r="X116"/>
  <c r="Y116" s="1"/>
  <c r="AA62"/>
  <c r="AB62" s="1"/>
  <c r="S78"/>
  <c r="X83"/>
  <c r="Y83" s="1"/>
  <c r="W82"/>
  <c r="V114"/>
  <c r="V115"/>
  <c r="W80"/>
  <c r="U79"/>
  <c r="Z119"/>
  <c r="X118"/>
  <c r="Y118" s="1"/>
  <c r="W35"/>
  <c r="U33"/>
  <c r="V33" s="1"/>
  <c r="Y39"/>
  <c r="Y65"/>
  <c r="V26"/>
  <c r="AA121"/>
  <c r="AB121" s="1"/>
  <c r="S32"/>
  <c r="AA39"/>
  <c r="AB39" s="1"/>
  <c r="U59"/>
  <c r="V61"/>
  <c r="AA65"/>
  <c r="AB65" s="1"/>
  <c r="X36"/>
  <c r="Y36" s="1"/>
  <c r="X63"/>
  <c r="W61"/>
  <c r="V105"/>
  <c r="Y121"/>
  <c r="V238" i="120"/>
  <c r="AA22"/>
  <c r="AB22" s="1"/>
  <c r="V38"/>
  <c r="Y84"/>
  <c r="Y123"/>
  <c r="P7"/>
  <c r="N6"/>
  <c r="Q287"/>
  <c r="Q285"/>
  <c r="W36"/>
  <c r="U35"/>
  <c r="V239"/>
  <c r="X118"/>
  <c r="Y118" s="1"/>
  <c r="I10"/>
  <c r="J31"/>
  <c r="E9"/>
  <c r="E8" s="1"/>
  <c r="Y39"/>
  <c r="V36"/>
  <c r="Z83"/>
  <c r="X82"/>
  <c r="Y82" s="1"/>
  <c r="AA56"/>
  <c r="AB56" s="1"/>
  <c r="W134"/>
  <c r="U133"/>
  <c r="V133" s="1"/>
  <c r="Z189"/>
  <c r="X188"/>
  <c r="Y188" s="1"/>
  <c r="W99"/>
  <c r="U98"/>
  <c r="V98" s="1"/>
  <c r="AA233"/>
  <c r="AB233" s="1"/>
  <c r="T126"/>
  <c r="AC126" s="1"/>
  <c r="AA135"/>
  <c r="AB135" s="1"/>
  <c r="AA111"/>
  <c r="AB111" s="1"/>
  <c r="S176"/>
  <c r="Q175"/>
  <c r="S175" s="1"/>
  <c r="U124"/>
  <c r="U113" s="1"/>
  <c r="W114"/>
  <c r="AA52"/>
  <c r="AB52" s="1"/>
  <c r="AA129"/>
  <c r="AB129" s="1"/>
  <c r="V177"/>
  <c r="T176"/>
  <c r="AC176" s="1"/>
  <c r="W42"/>
  <c r="U31"/>
  <c r="V31" s="1"/>
  <c r="W48"/>
  <c r="U47"/>
  <c r="V47" s="1"/>
  <c r="AA121"/>
  <c r="AB121" s="1"/>
  <c r="X71"/>
  <c r="W70"/>
  <c r="J77"/>
  <c r="H69"/>
  <c r="J69" s="1"/>
  <c r="W80"/>
  <c r="U79"/>
  <c r="U78" s="1"/>
  <c r="U77" s="1"/>
  <c r="U69" s="1"/>
  <c r="T59"/>
  <c r="AC59" s="1"/>
  <c r="AA112"/>
  <c r="AB112" s="1"/>
  <c r="Z97"/>
  <c r="AB119"/>
  <c r="Z118"/>
  <c r="X38"/>
  <c r="Y38" s="1"/>
  <c r="AA65"/>
  <c r="AB65" s="1"/>
  <c r="AB23"/>
  <c r="Y50"/>
  <c r="V99"/>
  <c r="Y111"/>
  <c r="W202"/>
  <c r="U201"/>
  <c r="V201" s="1"/>
  <c r="T78"/>
  <c r="AC78" s="1"/>
  <c r="AA108"/>
  <c r="AB108" s="1"/>
  <c r="R125"/>
  <c r="S125" s="1"/>
  <c r="S126"/>
  <c r="Z20"/>
  <c r="X19"/>
  <c r="Y19" s="1"/>
  <c r="X240"/>
  <c r="W239"/>
  <c r="AA89"/>
  <c r="AB89" s="1"/>
  <c r="AA51"/>
  <c r="AB51" s="1"/>
  <c r="M77"/>
  <c r="K69"/>
  <c r="M69" s="1"/>
  <c r="AA41"/>
  <c r="AB41" s="1"/>
  <c r="W220"/>
  <c r="U218"/>
  <c r="V218" s="1"/>
  <c r="Z26"/>
  <c r="X25"/>
  <c r="Y25" s="1"/>
  <c r="W62"/>
  <c r="U61"/>
  <c r="U59" s="1"/>
  <c r="X18"/>
  <c r="W16"/>
  <c r="S11"/>
  <c r="Q10"/>
  <c r="X211"/>
  <c r="Y211" s="1"/>
  <c r="W208"/>
  <c r="X44"/>
  <c r="Y44" s="1"/>
  <c r="Z45"/>
  <c r="Y52"/>
  <c r="Y129"/>
  <c r="V178"/>
  <c r="Y120"/>
  <c r="V134"/>
  <c r="Y189"/>
  <c r="T57"/>
  <c r="AC57" s="1"/>
  <c r="T113"/>
  <c r="Y65"/>
  <c r="M10"/>
  <c r="AA110"/>
  <c r="AB110" s="1"/>
  <c r="W230"/>
  <c r="X232"/>
  <c r="AA101"/>
  <c r="AB101" s="1"/>
  <c r="AA50"/>
  <c r="AB50" s="1"/>
  <c r="AA39"/>
  <c r="AB39" s="1"/>
  <c r="R77"/>
  <c r="S78"/>
  <c r="Z116"/>
  <c r="W106"/>
  <c r="U105"/>
  <c r="V105" s="1"/>
  <c r="AA120"/>
  <c r="AA118" s="1"/>
  <c r="X179"/>
  <c r="Y179" s="1"/>
  <c r="W178"/>
  <c r="W55"/>
  <c r="W237"/>
  <c r="U236"/>
  <c r="V236" s="1"/>
  <c r="U12"/>
  <c r="V16"/>
  <c r="W128"/>
  <c r="U127"/>
  <c r="U68"/>
  <c r="V68" s="1"/>
  <c r="W58"/>
  <c r="AA84"/>
  <c r="AB84" s="1"/>
  <c r="AA32"/>
  <c r="Y83"/>
  <c r="Y110"/>
  <c r="Y108"/>
  <c r="Y56"/>
  <c r="Y101"/>
  <c r="V80"/>
  <c r="Y233"/>
  <c r="Y135"/>
  <c r="V114"/>
  <c r="Y45"/>
  <c r="AC47" i="116"/>
  <c r="AD45" i="118"/>
  <c r="AI43" i="117"/>
  <c r="AF45" i="118"/>
  <c r="AF53"/>
  <c r="AD207"/>
  <c r="AG15" i="117"/>
  <c r="AI237"/>
  <c r="AI15"/>
  <c r="AI217"/>
  <c r="AF207" i="118"/>
  <c r="AC68"/>
  <c r="X68"/>
  <c r="AE68"/>
  <c r="AA68"/>
  <c r="S112"/>
  <c r="Q95"/>
  <c r="T112"/>
  <c r="AB10"/>
  <c r="M57"/>
  <c r="K56"/>
  <c r="AB81"/>
  <c r="Z78"/>
  <c r="Z41"/>
  <c r="W41"/>
  <c r="W67"/>
  <c r="Y67" s="1"/>
  <c r="V67"/>
  <c r="Z67"/>
  <c r="O41"/>
  <c r="P31"/>
  <c r="E9"/>
  <c r="G10"/>
  <c r="AB34"/>
  <c r="Z32"/>
  <c r="AI32" s="1"/>
  <c r="T87"/>
  <c r="S87"/>
  <c r="S30"/>
  <c r="Q9"/>
  <c r="X123"/>
  <c r="Y78"/>
  <c r="W77"/>
  <c r="K30"/>
  <c r="M31"/>
  <c r="G56"/>
  <c r="E53"/>
  <c r="G53" s="1"/>
  <c r="Y10"/>
  <c r="Z114"/>
  <c r="AB117"/>
  <c r="AC174"/>
  <c r="AA174"/>
  <c r="AE174"/>
  <c r="V174"/>
  <c r="Y58"/>
  <c r="W57"/>
  <c r="X174"/>
  <c r="Y174" s="1"/>
  <c r="Y175"/>
  <c r="AD175"/>
  <c r="AE43"/>
  <c r="AA43"/>
  <c r="X43"/>
  <c r="Y43" s="1"/>
  <c r="AC43"/>
  <c r="V43"/>
  <c r="AB60"/>
  <c r="Z58"/>
  <c r="AC113"/>
  <c r="AD113" s="1"/>
  <c r="AH121"/>
  <c r="AH122" s="1"/>
  <c r="AH123" s="1"/>
  <c r="J30"/>
  <c r="H9"/>
  <c r="AC112"/>
  <c r="AA112"/>
  <c r="X112"/>
  <c r="AF48"/>
  <c r="T49" i="111" s="1"/>
  <c r="V49" s="1"/>
  <c r="R8" i="118"/>
  <c r="R7" s="1"/>
  <c r="R6" s="1"/>
  <c r="R5" s="1"/>
  <c r="R273" s="1"/>
  <c r="AD46"/>
  <c r="AD53"/>
  <c r="AD48"/>
  <c r="R49" i="111" s="1"/>
  <c r="AF69" i="118"/>
  <c r="AF46"/>
  <c r="Q56"/>
  <c r="Q76"/>
  <c r="M76"/>
  <c r="K68"/>
  <c r="M68" s="1"/>
  <c r="AH32"/>
  <c r="AH33" s="1"/>
  <c r="AD31"/>
  <c r="K112"/>
  <c r="M113"/>
  <c r="T56"/>
  <c r="P56"/>
  <c r="N53"/>
  <c r="Y114"/>
  <c r="W113"/>
  <c r="Y113" s="1"/>
  <c r="S123"/>
  <c r="T123"/>
  <c r="Y32"/>
  <c r="W31"/>
  <c r="Y31" s="1"/>
  <c r="J56"/>
  <c r="H53"/>
  <c r="J53" s="1"/>
  <c r="J76"/>
  <c r="H68"/>
  <c r="J68" s="1"/>
  <c r="AE95"/>
  <c r="T30"/>
  <c r="J174"/>
  <c r="AD97"/>
  <c r="AD69"/>
  <c r="AA23" i="117"/>
  <c r="AB21"/>
  <c r="AK21" i="118" s="1"/>
  <c r="O174" i="117"/>
  <c r="U174" s="1"/>
  <c r="U175"/>
  <c r="AF11"/>
  <c r="U10"/>
  <c r="AH11"/>
  <c r="T30"/>
  <c r="T9" s="1"/>
  <c r="Q9"/>
  <c r="S30"/>
  <c r="G30"/>
  <c r="E9"/>
  <c r="Z95"/>
  <c r="W95"/>
  <c r="AB60"/>
  <c r="Z58"/>
  <c r="X23"/>
  <c r="Y23" s="1"/>
  <c r="Y21"/>
  <c r="K56"/>
  <c r="M57"/>
  <c r="AH17"/>
  <c r="AF17"/>
  <c r="Z113"/>
  <c r="AB113" s="1"/>
  <c r="AB114"/>
  <c r="U68"/>
  <c r="V68" s="1"/>
  <c r="G175"/>
  <c r="E174"/>
  <c r="G174" s="1"/>
  <c r="T56"/>
  <c r="P56"/>
  <c r="N53"/>
  <c r="AF23"/>
  <c r="AH23"/>
  <c r="V23"/>
  <c r="Z68"/>
  <c r="W68"/>
  <c r="P31"/>
  <c r="O41"/>
  <c r="Z77"/>
  <c r="AB77" s="1"/>
  <c r="AB78"/>
  <c r="X32"/>
  <c r="Y34"/>
  <c r="X77"/>
  <c r="Y78"/>
  <c r="X113"/>
  <c r="Y113" s="1"/>
  <c r="Y114"/>
  <c r="Z31"/>
  <c r="U124"/>
  <c r="P124"/>
  <c r="W141"/>
  <c r="V141"/>
  <c r="Z141"/>
  <c r="AI141" i="118" s="1"/>
  <c r="K30" i="117"/>
  <c r="M31"/>
  <c r="G57"/>
  <c r="E56"/>
  <c r="Y237"/>
  <c r="P175"/>
  <c r="AG237"/>
  <c r="AB176"/>
  <c r="AK176" i="118" s="1"/>
  <c r="AG43" i="117"/>
  <c r="V17"/>
  <c r="AG46"/>
  <c r="AG69"/>
  <c r="Y128"/>
  <c r="AB237"/>
  <c r="AB76"/>
  <c r="AB177"/>
  <c r="AK177" i="118" s="1"/>
  <c r="AI76" i="117"/>
  <c r="AG104"/>
  <c r="AG238"/>
  <c r="W10"/>
  <c r="AH128"/>
  <c r="AI128" s="1"/>
  <c r="AF128"/>
  <c r="AG128" s="1"/>
  <c r="AF179"/>
  <c r="AG179" s="1"/>
  <c r="AH179"/>
  <c r="AI179" s="1"/>
  <c r="AH176"/>
  <c r="AI176" s="1"/>
  <c r="AA176"/>
  <c r="AJ176" i="118" s="1"/>
  <c r="X176" i="117"/>
  <c r="AF176"/>
  <c r="AG176" s="1"/>
  <c r="Z10"/>
  <c r="AI10" i="118" s="1"/>
  <c r="T174" i="117"/>
  <c r="T41"/>
  <c r="S41"/>
  <c r="G76"/>
  <c r="E68"/>
  <c r="G68" s="1"/>
  <c r="AH32"/>
  <c r="AF32"/>
  <c r="AG32" s="1"/>
  <c r="U31"/>
  <c r="V32"/>
  <c r="O123"/>
  <c r="P113"/>
  <c r="H56"/>
  <c r="J57"/>
  <c r="AA11"/>
  <c r="AA17"/>
  <c r="X17"/>
  <c r="Y17" s="1"/>
  <c r="X11"/>
  <c r="X10" s="1"/>
  <c r="W57"/>
  <c r="Y57" s="1"/>
  <c r="Y58"/>
  <c r="AA34"/>
  <c r="AJ34" i="118" s="1"/>
  <c r="AM34" s="1"/>
  <c r="AB35" i="117"/>
  <c r="AK35" i="118" s="1"/>
  <c r="K174" i="117"/>
  <c r="M174" s="1"/>
  <c r="M175"/>
  <c r="W175"/>
  <c r="Z175"/>
  <c r="AI175" i="118" s="1"/>
  <c r="V175" i="117"/>
  <c r="AH125"/>
  <c r="AA125"/>
  <c r="X125"/>
  <c r="Y125" s="1"/>
  <c r="AF125"/>
  <c r="V125"/>
  <c r="AH57"/>
  <c r="AI57" s="1"/>
  <c r="AE58"/>
  <c r="AE59" s="1"/>
  <c r="AF57"/>
  <c r="AG57" s="1"/>
  <c r="X141"/>
  <c r="AF141"/>
  <c r="AH141"/>
  <c r="AA141"/>
  <c r="AJ141" i="118" s="1"/>
  <c r="P67" i="117"/>
  <c r="T67"/>
  <c r="H174"/>
  <c r="J174" s="1"/>
  <c r="J175"/>
  <c r="R112"/>
  <c r="S113"/>
  <c r="R123"/>
  <c r="S123" s="1"/>
  <c r="AG21"/>
  <c r="AI21"/>
  <c r="AI46"/>
  <c r="AG126"/>
  <c r="AI69"/>
  <c r="AB128"/>
  <c r="AK128" i="118" s="1"/>
  <c r="AB15" i="117"/>
  <c r="AK15" i="118" s="1"/>
  <c r="Y126" i="117"/>
  <c r="Y176"/>
  <c r="AI35"/>
  <c r="V11"/>
  <c r="AC76"/>
  <c r="AG217"/>
  <c r="AI142"/>
  <c r="AI238"/>
  <c r="M10" i="116"/>
  <c r="K9"/>
  <c r="R41"/>
  <c r="S41" s="1"/>
  <c r="S31"/>
  <c r="S53"/>
  <c r="T53"/>
  <c r="AA217"/>
  <c r="AJ217" i="118" s="1"/>
  <c r="X217" i="116"/>
  <c r="Y217" s="1"/>
  <c r="V217"/>
  <c r="AB81"/>
  <c r="AC81" s="1"/>
  <c r="Z78"/>
  <c r="M112"/>
  <c r="K95"/>
  <c r="M95" s="1"/>
  <c r="X69"/>
  <c r="Y69" s="1"/>
  <c r="AA69"/>
  <c r="AB69" s="1"/>
  <c r="V69"/>
  <c r="M175"/>
  <c r="K174"/>
  <c r="M174" s="1"/>
  <c r="AB11"/>
  <c r="Z10"/>
  <c r="M76"/>
  <c r="K68"/>
  <c r="M68" s="1"/>
  <c r="X31"/>
  <c r="Y31" s="1"/>
  <c r="Y32"/>
  <c r="P32"/>
  <c r="O31"/>
  <c r="Z124"/>
  <c r="AB124" s="1"/>
  <c r="V124"/>
  <c r="W124"/>
  <c r="Y124" s="1"/>
  <c r="AG200"/>
  <c r="AG201" s="1"/>
  <c r="AK200"/>
  <c r="AM200" s="1"/>
  <c r="O123"/>
  <c r="O112" s="1"/>
  <c r="P113"/>
  <c r="P68"/>
  <c r="Z67"/>
  <c r="W67"/>
  <c r="E30"/>
  <c r="G30" s="1"/>
  <c r="G31"/>
  <c r="W10"/>
  <c r="Y11"/>
  <c r="AC11" s="1"/>
  <c r="Y78"/>
  <c r="W77"/>
  <c r="Y77" s="1"/>
  <c r="J175"/>
  <c r="H174"/>
  <c r="J174" s="1"/>
  <c r="AF32"/>
  <c r="M57"/>
  <c r="K56"/>
  <c r="AB60"/>
  <c r="Z58"/>
  <c r="Z56"/>
  <c r="W56"/>
  <c r="AC26"/>
  <c r="AC88"/>
  <c r="AC132"/>
  <c r="AC20"/>
  <c r="AC176"/>
  <c r="AC125"/>
  <c r="AC239"/>
  <c r="AC177"/>
  <c r="AA46"/>
  <c r="AB46" s="1"/>
  <c r="AK46" i="118" s="1"/>
  <c r="X46" i="116"/>
  <c r="Y46" s="1"/>
  <c r="V46"/>
  <c r="Z41"/>
  <c r="W41"/>
  <c r="T95"/>
  <c r="G56"/>
  <c r="E53"/>
  <c r="G53" s="1"/>
  <c r="AA238"/>
  <c r="AB238" s="1"/>
  <c r="X238"/>
  <c r="Y238" s="1"/>
  <c r="U237"/>
  <c r="V238"/>
  <c r="N8"/>
  <c r="T9"/>
  <c r="V10"/>
  <c r="X87"/>
  <c r="Y87" s="1"/>
  <c r="AA87"/>
  <c r="AB87" s="1"/>
  <c r="V87"/>
  <c r="Z174"/>
  <c r="AB175"/>
  <c r="G10"/>
  <c r="U76"/>
  <c r="R68"/>
  <c r="U68" s="1"/>
  <c r="J31"/>
  <c r="H30"/>
  <c r="J30" s="1"/>
  <c r="AA32"/>
  <c r="AB34"/>
  <c r="R123"/>
  <c r="S123" s="1"/>
  <c r="S113"/>
  <c r="J10"/>
  <c r="T76"/>
  <c r="Q68"/>
  <c r="S76"/>
  <c r="W112"/>
  <c r="Z112"/>
  <c r="Z30"/>
  <c r="W30"/>
  <c r="Y175"/>
  <c r="W174"/>
  <c r="W113"/>
  <c r="Y113" s="1"/>
  <c r="Y114"/>
  <c r="Y58"/>
  <c r="W57"/>
  <c r="Y57" s="1"/>
  <c r="AB117"/>
  <c r="AC117" s="1"/>
  <c r="Z114"/>
  <c r="AC17"/>
  <c r="AF200"/>
  <c r="M466" i="92"/>
  <c r="M479"/>
  <c r="M328"/>
  <c r="M329"/>
  <c r="M330"/>
  <c r="M336"/>
  <c r="O336"/>
  <c r="Q336" s="1"/>
  <c r="R336" s="1"/>
  <c r="T336" s="1"/>
  <c r="M353"/>
  <c r="P354"/>
  <c r="M355"/>
  <c r="P365"/>
  <c r="M371"/>
  <c r="M387"/>
  <c r="P388"/>
  <c r="L401"/>
  <c r="L397" s="1"/>
  <c r="O402"/>
  <c r="Q402" s="1"/>
  <c r="M402"/>
  <c r="P403"/>
  <c r="P406"/>
  <c r="K414"/>
  <c r="M414" s="1"/>
  <c r="K430"/>
  <c r="L413"/>
  <c r="P486"/>
  <c r="M483"/>
  <c r="R511"/>
  <c r="T511" s="1"/>
  <c r="P511"/>
  <c r="O507"/>
  <c r="P507" s="1"/>
  <c r="N506"/>
  <c r="O482"/>
  <c r="P482" s="1"/>
  <c r="R478"/>
  <c r="T478" s="1"/>
  <c r="O460"/>
  <c r="N459"/>
  <c r="O484"/>
  <c r="P484" s="1"/>
  <c r="N483"/>
  <c r="N479" s="1"/>
  <c r="M449"/>
  <c r="R461"/>
  <c r="T461" s="1"/>
  <c r="N448"/>
  <c r="R465"/>
  <c r="T465" s="1"/>
  <c r="R486"/>
  <c r="T486" s="1"/>
  <c r="O464"/>
  <c r="P464" s="1"/>
  <c r="N463"/>
  <c r="P478"/>
  <c r="P451"/>
  <c r="Q450"/>
  <c r="O449"/>
  <c r="O448" s="1"/>
  <c r="R451"/>
  <c r="T451" s="1"/>
  <c r="O468"/>
  <c r="Q468" s="1"/>
  <c r="N466"/>
  <c r="O467"/>
  <c r="L447"/>
  <c r="L446" s="1"/>
  <c r="P450"/>
  <c r="R442"/>
  <c r="T442" s="1"/>
  <c r="O409"/>
  <c r="Q409" s="1"/>
  <c r="O401"/>
  <c r="P401" s="1"/>
  <c r="R439"/>
  <c r="T439" s="1"/>
  <c r="R423"/>
  <c r="T423" s="1"/>
  <c r="N398"/>
  <c r="O399"/>
  <c r="O405"/>
  <c r="P405" s="1"/>
  <c r="N404"/>
  <c r="R403"/>
  <c r="T403" s="1"/>
  <c r="R400"/>
  <c r="T400" s="1"/>
  <c r="R406"/>
  <c r="T406" s="1"/>
  <c r="M430"/>
  <c r="P442"/>
  <c r="O441"/>
  <c r="N440"/>
  <c r="N430" s="1"/>
  <c r="O425"/>
  <c r="P425" s="1"/>
  <c r="N424"/>
  <c r="O421"/>
  <c r="P421" s="1"/>
  <c r="Q422"/>
  <c r="K397"/>
  <c r="M398"/>
  <c r="O437"/>
  <c r="P437" s="1"/>
  <c r="Q438"/>
  <c r="O408"/>
  <c r="P408" s="1"/>
  <c r="N407"/>
  <c r="R426"/>
  <c r="T426" s="1"/>
  <c r="M421"/>
  <c r="P402"/>
  <c r="P400"/>
  <c r="P439"/>
  <c r="P422"/>
  <c r="P423"/>
  <c r="R372"/>
  <c r="T372" s="1"/>
  <c r="O383"/>
  <c r="Q383" s="1"/>
  <c r="O375"/>
  <c r="Q375" s="1"/>
  <c r="R386"/>
  <c r="T386" s="1"/>
  <c r="R373"/>
  <c r="T373" s="1"/>
  <c r="R389"/>
  <c r="T389" s="1"/>
  <c r="O387"/>
  <c r="Q387" s="1"/>
  <c r="R376"/>
  <c r="T376" s="1"/>
  <c r="O369"/>
  <c r="N368"/>
  <c r="Q378"/>
  <c r="R388"/>
  <c r="T388" s="1"/>
  <c r="O371"/>
  <c r="Q371" s="1"/>
  <c r="R385"/>
  <c r="T385" s="1"/>
  <c r="R390"/>
  <c r="T390" s="1"/>
  <c r="M375"/>
  <c r="P372"/>
  <c r="P386"/>
  <c r="P373"/>
  <c r="P376"/>
  <c r="P389"/>
  <c r="M383"/>
  <c r="L368"/>
  <c r="M368" s="1"/>
  <c r="P378"/>
  <c r="R362"/>
  <c r="T362" s="1"/>
  <c r="R355"/>
  <c r="T355" s="1"/>
  <c r="R365"/>
  <c r="T365" s="1"/>
  <c r="R353"/>
  <c r="T353" s="1"/>
  <c r="R366"/>
  <c r="T366" s="1"/>
  <c r="R354"/>
  <c r="T354" s="1"/>
  <c r="M356"/>
  <c r="P353"/>
  <c r="O356"/>
  <c r="Q356" s="1"/>
  <c r="P362"/>
  <c r="P355"/>
  <c r="N345"/>
  <c r="O346"/>
  <c r="P346" s="1"/>
  <c r="O343"/>
  <c r="P343" s="1"/>
  <c r="N342"/>
  <c r="P348"/>
  <c r="P344"/>
  <c r="R349"/>
  <c r="T349" s="1"/>
  <c r="R350"/>
  <c r="T350" s="1"/>
  <c r="R348"/>
  <c r="T348" s="1"/>
  <c r="R344"/>
  <c r="T344" s="1"/>
  <c r="R337"/>
  <c r="T337" s="1"/>
  <c r="R339"/>
  <c r="T339" s="1"/>
  <c r="P340"/>
  <c r="P329"/>
  <c r="P339"/>
  <c r="N334"/>
  <c r="R328"/>
  <c r="T328" s="1"/>
  <c r="R340"/>
  <c r="T340" s="1"/>
  <c r="O330"/>
  <c r="Q330" s="1"/>
  <c r="R329"/>
  <c r="T329" s="1"/>
  <c r="P328"/>
  <c r="P337"/>
  <c r="M334"/>
  <c r="R318"/>
  <c r="S318" s="1"/>
  <c r="O316"/>
  <c r="P316" s="1"/>
  <c r="N314"/>
  <c r="O326"/>
  <c r="Q326" s="1"/>
  <c r="R315"/>
  <c r="S315" s="1"/>
  <c r="M314"/>
  <c r="L310"/>
  <c r="M310" s="1"/>
  <c r="O325"/>
  <c r="N323"/>
  <c r="R324"/>
  <c r="S324" s="1"/>
  <c r="O327"/>
  <c r="Q327" s="1"/>
  <c r="O319"/>
  <c r="N317"/>
  <c r="R321"/>
  <c r="S321" s="1"/>
  <c r="O322"/>
  <c r="P322" s="1"/>
  <c r="N320"/>
  <c r="D93" i="115"/>
  <c r="D92"/>
  <c r="O67" i="116" l="1"/>
  <c r="O56" s="1"/>
  <c r="P57"/>
  <c r="AC95" i="118"/>
  <c r="AA123"/>
  <c r="P95"/>
  <c r="X95"/>
  <c r="AD95" s="1"/>
  <c r="Y77"/>
  <c r="AG158" i="117"/>
  <c r="R56"/>
  <c r="U67"/>
  <c r="S67"/>
  <c r="X77" i="118"/>
  <c r="AD77" s="1"/>
  <c r="AD78"/>
  <c r="R175" i="121"/>
  <c r="S175" s="1"/>
  <c r="X46"/>
  <c r="Y46" s="1"/>
  <c r="V44"/>
  <c r="X46" i="111"/>
  <c r="Z48"/>
  <c r="Z48" i="121"/>
  <c r="W124" i="111"/>
  <c r="W124" i="121"/>
  <c r="Z111" i="111"/>
  <c r="Z111" i="121"/>
  <c r="X97"/>
  <c r="Y97" s="1"/>
  <c r="X114" i="111"/>
  <c r="X114" i="121"/>
  <c r="X127" i="111"/>
  <c r="X127" i="121"/>
  <c r="Y127" s="1"/>
  <c r="Z128"/>
  <c r="Z128" i="111"/>
  <c r="X50"/>
  <c r="X50" i="121"/>
  <c r="Y50" s="1"/>
  <c r="W218"/>
  <c r="Z97"/>
  <c r="Z179" i="111"/>
  <c r="Z179" i="121"/>
  <c r="W31" i="111"/>
  <c r="W31" i="121"/>
  <c r="Z75" i="111"/>
  <c r="Z75" i="121"/>
  <c r="Z216"/>
  <c r="Z216" i="111"/>
  <c r="W105" i="121"/>
  <c r="W57"/>
  <c r="W54" s="1"/>
  <c r="W57" i="111"/>
  <c r="X218" i="121"/>
  <c r="X32" i="111"/>
  <c r="X32" i="121"/>
  <c r="W68" i="111"/>
  <c r="W68" i="121"/>
  <c r="X98" i="111"/>
  <c r="X100" i="121"/>
  <c r="Y100" s="1"/>
  <c r="X100" i="111"/>
  <c r="Y100" s="1"/>
  <c r="Z74" i="121"/>
  <c r="Z74" i="111"/>
  <c r="X58" i="121"/>
  <c r="X58" i="111"/>
  <c r="Z46" i="121"/>
  <c r="Z106" i="111"/>
  <c r="X105"/>
  <c r="W98"/>
  <c r="W98" i="121"/>
  <c r="V19"/>
  <c r="X76"/>
  <c r="Y76" s="1"/>
  <c r="X76" i="111"/>
  <c r="Y76" s="1"/>
  <c r="X52" i="121"/>
  <c r="Y52" s="1"/>
  <c r="X52" i="111"/>
  <c r="X237"/>
  <c r="Y237" s="1"/>
  <c r="X237" i="121"/>
  <c r="X215"/>
  <c r="Y215" s="1"/>
  <c r="X208"/>
  <c r="X215" i="111"/>
  <c r="X133" i="121"/>
  <c r="X133" i="111"/>
  <c r="Z97"/>
  <c r="W45" i="121"/>
  <c r="W45" i="111"/>
  <c r="X41" i="121"/>
  <c r="Y41" s="1"/>
  <c r="X41" i="111"/>
  <c r="Y41" s="1"/>
  <c r="W208" i="121"/>
  <c r="Z134"/>
  <c r="Z134" i="111"/>
  <c r="X90"/>
  <c r="X90" i="121"/>
  <c r="Y90" s="1"/>
  <c r="X29"/>
  <c r="Y29" s="1"/>
  <c r="X29" i="111"/>
  <c r="Y29" s="1"/>
  <c r="U201" i="121"/>
  <c r="U201" i="111"/>
  <c r="V201" s="1"/>
  <c r="X91" i="121"/>
  <c r="Y91" s="1"/>
  <c r="X91" i="111"/>
  <c r="X222"/>
  <c r="X222" i="121"/>
  <c r="Y222" s="1"/>
  <c r="W202"/>
  <c r="W202" i="111"/>
  <c r="Z26" i="121"/>
  <c r="Z26" i="111"/>
  <c r="X17" i="121"/>
  <c r="X17" i="111"/>
  <c r="Y17" s="1"/>
  <c r="X205" i="121"/>
  <c r="X205" i="111"/>
  <c r="Y205" s="1"/>
  <c r="AA71"/>
  <c r="AB71" s="1"/>
  <c r="U177" i="121"/>
  <c r="V177" s="1"/>
  <c r="X20"/>
  <c r="Y20" s="1"/>
  <c r="X20" i="111"/>
  <c r="Y20" s="1"/>
  <c r="AA92" i="121"/>
  <c r="AB92" s="1"/>
  <c r="AA92" i="111"/>
  <c r="X22" i="121"/>
  <c r="X24" s="1"/>
  <c r="Y24" s="1"/>
  <c r="X22" i="111"/>
  <c r="W16" i="121"/>
  <c r="W18" s="1"/>
  <c r="W16" i="111"/>
  <c r="Z112"/>
  <c r="Z112" i="121"/>
  <c r="W27"/>
  <c r="X123" i="111"/>
  <c r="Y123" s="1"/>
  <c r="X123" i="121"/>
  <c r="Y123" s="1"/>
  <c r="AA28"/>
  <c r="AB28" s="1"/>
  <c r="AA28" i="111"/>
  <c r="AA55" i="121"/>
  <c r="AA55" i="111"/>
  <c r="Z23" i="121"/>
  <c r="Z23" i="111"/>
  <c r="T176" i="121"/>
  <c r="T175" s="1"/>
  <c r="Z89"/>
  <c r="Z89" i="111"/>
  <c r="X240"/>
  <c r="X240" i="121"/>
  <c r="Y240" s="1"/>
  <c r="X188"/>
  <c r="X190" s="1"/>
  <c r="Y190" s="1"/>
  <c r="X188" i="111"/>
  <c r="U177"/>
  <c r="V177" s="1"/>
  <c r="V178"/>
  <c r="Z46"/>
  <c r="W19" i="121"/>
  <c r="W21" s="1"/>
  <c r="W19" i="111"/>
  <c r="Z108"/>
  <c r="Z108" i="121"/>
  <c r="X25"/>
  <c r="X27" s="1"/>
  <c r="X25" i="111"/>
  <c r="W204" i="121"/>
  <c r="W206" s="1"/>
  <c r="W204" i="111"/>
  <c r="T78" i="121"/>
  <c r="V78" s="1"/>
  <c r="T78" i="111"/>
  <c r="V78" s="1"/>
  <c r="W178" i="121"/>
  <c r="W180" s="1"/>
  <c r="W178" i="111"/>
  <c r="W177" s="1"/>
  <c r="Z51" i="121"/>
  <c r="Z51" i="111"/>
  <c r="Z189" i="121"/>
  <c r="Z189" i="111"/>
  <c r="U12" i="121"/>
  <c r="U77"/>
  <c r="Z73"/>
  <c r="Z73" i="111"/>
  <c r="S365" i="92"/>
  <c r="P371"/>
  <c r="AC87" i="116"/>
  <c r="AI58" i="118"/>
  <c r="AK117"/>
  <c r="AK81"/>
  <c r="AJ87"/>
  <c r="AM87" s="1"/>
  <c r="S355" i="92"/>
  <c r="S372"/>
  <c r="P336"/>
  <c r="AI141" i="117"/>
  <c r="AK60" i="118"/>
  <c r="AI114"/>
  <c r="AI158" i="117"/>
  <c r="AB212" i="111"/>
  <c r="AJ77" i="118"/>
  <c r="AM77" s="1"/>
  <c r="AH78"/>
  <c r="AH79" s="1"/>
  <c r="U53" i="111"/>
  <c r="W53" s="1"/>
  <c r="AB158" i="117"/>
  <c r="AK158" i="118" s="1"/>
  <c r="AI170" i="117"/>
  <c r="P327" i="92"/>
  <c r="AG141" i="117"/>
  <c r="AB125"/>
  <c r="AK125" i="118" s="1"/>
  <c r="AJ125"/>
  <c r="AG113" i="117"/>
  <c r="AB67" i="118"/>
  <c r="O493" i="92"/>
  <c r="N489"/>
  <c r="AI124" i="118"/>
  <c r="Y141" i="117"/>
  <c r="AI78" i="118"/>
  <c r="AA58" i="116"/>
  <c r="AJ60" i="118"/>
  <c r="AM60" s="1"/>
  <c r="AH114"/>
  <c r="AH115" s="1"/>
  <c r="AJ113"/>
  <c r="AM113" s="1"/>
  <c r="AA31"/>
  <c r="AC200" i="116"/>
  <c r="X272" i="121"/>
  <c r="Y272" s="1"/>
  <c r="X272" i="111"/>
  <c r="Y272" s="1"/>
  <c r="X273" i="121"/>
  <c r="Z273" s="1"/>
  <c r="AA273" s="1"/>
  <c r="AB273" s="1"/>
  <c r="V273"/>
  <c r="S54"/>
  <c r="T10" i="120"/>
  <c r="AC10" s="1"/>
  <c r="T96"/>
  <c r="AC96" s="1"/>
  <c r="AC113"/>
  <c r="U126"/>
  <c r="U125" s="1"/>
  <c r="E9" i="121"/>
  <c r="G9" s="1"/>
  <c r="U236"/>
  <c r="V236" s="1"/>
  <c r="V237"/>
  <c r="V204"/>
  <c r="V205"/>
  <c r="Y134"/>
  <c r="V133"/>
  <c r="U126"/>
  <c r="Y108"/>
  <c r="V105"/>
  <c r="AB87"/>
  <c r="Y87"/>
  <c r="Y61"/>
  <c r="H9"/>
  <c r="J9" s="1"/>
  <c r="R11"/>
  <c r="S12"/>
  <c r="Y120"/>
  <c r="Y36"/>
  <c r="E8"/>
  <c r="V115"/>
  <c r="Y80"/>
  <c r="V33"/>
  <c r="W126"/>
  <c r="V79"/>
  <c r="AB211"/>
  <c r="N7"/>
  <c r="P8"/>
  <c r="S114"/>
  <c r="V118"/>
  <c r="K9"/>
  <c r="V35"/>
  <c r="U54"/>
  <c r="S88"/>
  <c r="Q8"/>
  <c r="S32"/>
  <c r="AB59"/>
  <c r="Y73"/>
  <c r="V68"/>
  <c r="Y189"/>
  <c r="V178"/>
  <c r="Y101"/>
  <c r="S204" i="111"/>
  <c r="U206"/>
  <c r="V206" s="1"/>
  <c r="U190"/>
  <c r="R176"/>
  <c r="T176" s="1"/>
  <c r="R77"/>
  <c r="Y74"/>
  <c r="AM47" i="118"/>
  <c r="AK238"/>
  <c r="J30" i="117"/>
  <c r="AJ46" i="118"/>
  <c r="P174" i="117"/>
  <c r="AF68" i="118"/>
  <c r="AB17" i="117"/>
  <c r="AK17" i="118" s="1"/>
  <c r="AJ17"/>
  <c r="Q208" i="111"/>
  <c r="AL21" i="118"/>
  <c r="O24" i="111"/>
  <c r="AL239" i="118"/>
  <c r="AM239" s="1"/>
  <c r="AB23" i="117"/>
  <c r="AK23" i="118" s="1"/>
  <c r="AJ23"/>
  <c r="AL74"/>
  <c r="AM74" s="1"/>
  <c r="R27" i="111"/>
  <c r="AL221" i="118"/>
  <c r="AM221" s="1"/>
  <c r="AL48"/>
  <c r="S49" i="111"/>
  <c r="AL20" i="118"/>
  <c r="AM20" s="1"/>
  <c r="Q21" i="111"/>
  <c r="S56"/>
  <c r="AL88" i="118"/>
  <c r="AM88" s="1"/>
  <c r="O18" i="111"/>
  <c r="AL15" i="118"/>
  <c r="AM15" s="1"/>
  <c r="AC221" i="116"/>
  <c r="AJ238" i="118"/>
  <c r="AK69"/>
  <c r="AB43"/>
  <c r="AK43" s="1"/>
  <c r="AJ43"/>
  <c r="S45" i="111"/>
  <c r="AA10" i="117"/>
  <c r="AJ10" i="118" s="1"/>
  <c r="AJ11"/>
  <c r="AB174"/>
  <c r="S55" i="111"/>
  <c r="AL45" i="118"/>
  <c r="AM45" s="1"/>
  <c r="Y11" i="117"/>
  <c r="AM21" i="118"/>
  <c r="AJ69"/>
  <c r="Y128" i="111"/>
  <c r="Z63"/>
  <c r="X61"/>
  <c r="X59" s="1"/>
  <c r="Y59" s="1"/>
  <c r="Z118"/>
  <c r="AA119"/>
  <c r="AA118" s="1"/>
  <c r="V59"/>
  <c r="V79"/>
  <c r="S88"/>
  <c r="X80"/>
  <c r="Y80" s="1"/>
  <c r="X115"/>
  <c r="Y115" s="1"/>
  <c r="Z116"/>
  <c r="X35"/>
  <c r="Z36"/>
  <c r="W33"/>
  <c r="Y26"/>
  <c r="Z83"/>
  <c r="X82"/>
  <c r="Y82" s="1"/>
  <c r="Y63"/>
  <c r="T113"/>
  <c r="Y97"/>
  <c r="V79" i="120"/>
  <c r="X115"/>
  <c r="Y115" s="1"/>
  <c r="U176"/>
  <c r="V176" s="1"/>
  <c r="G9"/>
  <c r="I9"/>
  <c r="I8" s="1"/>
  <c r="I7" s="1"/>
  <c r="I6" s="1"/>
  <c r="I274" s="1"/>
  <c r="J10"/>
  <c r="N274"/>
  <c r="N282"/>
  <c r="P6"/>
  <c r="V124"/>
  <c r="V127"/>
  <c r="X36"/>
  <c r="W35"/>
  <c r="V35"/>
  <c r="U33"/>
  <c r="V33" s="1"/>
  <c r="AB120"/>
  <c r="X237"/>
  <c r="W236"/>
  <c r="X239"/>
  <c r="X238" s="1"/>
  <c r="Z240"/>
  <c r="T77"/>
  <c r="AC77" s="1"/>
  <c r="V78"/>
  <c r="AA97"/>
  <c r="AB97" s="1"/>
  <c r="W133"/>
  <c r="X134"/>
  <c r="Y134" s="1"/>
  <c r="W68"/>
  <c r="W57" s="1"/>
  <c r="X58"/>
  <c r="Q9"/>
  <c r="S10"/>
  <c r="Z18"/>
  <c r="X16"/>
  <c r="X12" s="1"/>
  <c r="X11" s="1"/>
  <c r="Z25"/>
  <c r="AA26"/>
  <c r="AA25" s="1"/>
  <c r="W238"/>
  <c r="Z38"/>
  <c r="X70"/>
  <c r="Y70" s="1"/>
  <c r="Z71"/>
  <c r="W47"/>
  <c r="X48"/>
  <c r="T125"/>
  <c r="V61"/>
  <c r="U175"/>
  <c r="V59"/>
  <c r="U96"/>
  <c r="V96" s="1"/>
  <c r="Z232"/>
  <c r="X230"/>
  <c r="Y230" s="1"/>
  <c r="Z82"/>
  <c r="AA83"/>
  <c r="AA82" s="1"/>
  <c r="W127"/>
  <c r="X128"/>
  <c r="Y128" s="1"/>
  <c r="U11"/>
  <c r="V12"/>
  <c r="X55"/>
  <c r="AA116"/>
  <c r="AA115" s="1"/>
  <c r="Z115"/>
  <c r="T54"/>
  <c r="AC54" s="1"/>
  <c r="AB45"/>
  <c r="AA45"/>
  <c r="AA44" s="1"/>
  <c r="Z44"/>
  <c r="Y16"/>
  <c r="W12"/>
  <c r="Z19"/>
  <c r="AA20"/>
  <c r="AA19" s="1"/>
  <c r="X202"/>
  <c r="W201"/>
  <c r="W79"/>
  <c r="X80"/>
  <c r="Y80" s="1"/>
  <c r="T175"/>
  <c r="AC175" s="1"/>
  <c r="X114"/>
  <c r="Y114" s="1"/>
  <c r="W124"/>
  <c r="W113" s="1"/>
  <c r="Z188"/>
  <c r="AA189"/>
  <c r="AA188" s="1"/>
  <c r="AB32"/>
  <c r="U57"/>
  <c r="U54" s="1"/>
  <c r="Y232"/>
  <c r="Y240"/>
  <c r="H9"/>
  <c r="Y71"/>
  <c r="W177"/>
  <c r="W98"/>
  <c r="X99"/>
  <c r="X178"/>
  <c r="X177" s="1"/>
  <c r="Z179"/>
  <c r="X106"/>
  <c r="Y106" s="1"/>
  <c r="W105"/>
  <c r="R69"/>
  <c r="S77"/>
  <c r="Z211"/>
  <c r="X208"/>
  <c r="Y208" s="1"/>
  <c r="W61"/>
  <c r="X62"/>
  <c r="Y62" s="1"/>
  <c r="X220"/>
  <c r="W218"/>
  <c r="X42"/>
  <c r="Y42" s="1"/>
  <c r="W31"/>
  <c r="E7"/>
  <c r="G8"/>
  <c r="K9"/>
  <c r="V113"/>
  <c r="Y18"/>
  <c r="AB118"/>
  <c r="AF95" i="118"/>
  <c r="AG11" i="117"/>
  <c r="H9" i="116"/>
  <c r="J9" s="1"/>
  <c r="AF43" i="118"/>
  <c r="AD68"/>
  <c r="AC46" i="116"/>
  <c r="AG23" i="117"/>
  <c r="P53" i="118"/>
  <c r="W30"/>
  <c r="Z30"/>
  <c r="T9"/>
  <c r="AB114"/>
  <c r="Z113"/>
  <c r="S9"/>
  <c r="AB32"/>
  <c r="Z31"/>
  <c r="AI31" s="1"/>
  <c r="S95"/>
  <c r="T95"/>
  <c r="AF174"/>
  <c r="U41"/>
  <c r="P41"/>
  <c r="Z123"/>
  <c r="V123"/>
  <c r="W123"/>
  <c r="Y123" s="1"/>
  <c r="W56"/>
  <c r="Y56" s="1"/>
  <c r="V56"/>
  <c r="Z56"/>
  <c r="Q53"/>
  <c r="S53" s="1"/>
  <c r="S56"/>
  <c r="J9"/>
  <c r="H8"/>
  <c r="AB58"/>
  <c r="Z57"/>
  <c r="V87"/>
  <c r="W87"/>
  <c r="Y87" s="1"/>
  <c r="Z87"/>
  <c r="E8"/>
  <c r="G9"/>
  <c r="M56"/>
  <c r="K53"/>
  <c r="M53" s="1"/>
  <c r="Z112"/>
  <c r="V112"/>
  <c r="W112"/>
  <c r="Y112" s="1"/>
  <c r="M112"/>
  <c r="K95"/>
  <c r="M95" s="1"/>
  <c r="Y57"/>
  <c r="AG58"/>
  <c r="AG59" s="1"/>
  <c r="AB78"/>
  <c r="Z77"/>
  <c r="Q68"/>
  <c r="S76"/>
  <c r="T76"/>
  <c r="M30"/>
  <c r="K9"/>
  <c r="N8"/>
  <c r="AD112"/>
  <c r="AD43"/>
  <c r="AD174"/>
  <c r="AD123"/>
  <c r="O30"/>
  <c r="AA32" i="117"/>
  <c r="AI32" s="1"/>
  <c r="AB34"/>
  <c r="AK34" i="118" s="1"/>
  <c r="M30" i="117"/>
  <c r="K9"/>
  <c r="P41"/>
  <c r="U41"/>
  <c r="P123"/>
  <c r="U123"/>
  <c r="Z41"/>
  <c r="AI41" i="118" s="1"/>
  <c r="W41" i="117"/>
  <c r="P53"/>
  <c r="T53"/>
  <c r="M56"/>
  <c r="K53"/>
  <c r="M53" s="1"/>
  <c r="G9"/>
  <c r="Z30"/>
  <c r="W30"/>
  <c r="Z67"/>
  <c r="V67"/>
  <c r="W67"/>
  <c r="AB58"/>
  <c r="Z57"/>
  <c r="AB57" s="1"/>
  <c r="S9"/>
  <c r="Q8"/>
  <c r="AH174"/>
  <c r="AA174"/>
  <c r="X174"/>
  <c r="AF174"/>
  <c r="AI23"/>
  <c r="AG125"/>
  <c r="AB11"/>
  <c r="AK11" i="118" s="1"/>
  <c r="N8" i="117"/>
  <c r="AI11"/>
  <c r="J9"/>
  <c r="H53"/>
  <c r="J53" s="1"/>
  <c r="J56"/>
  <c r="R95"/>
  <c r="S112"/>
  <c r="AE78"/>
  <c r="AC77"/>
  <c r="AG77"/>
  <c r="Y77"/>
  <c r="AF10"/>
  <c r="AG10" s="1"/>
  <c r="AH10"/>
  <c r="AH31"/>
  <c r="AE32"/>
  <c r="AE33" s="1"/>
  <c r="AF31"/>
  <c r="V31"/>
  <c r="W174"/>
  <c r="V174"/>
  <c r="Z174"/>
  <c r="AI174" i="118" s="1"/>
  <c r="Y10" i="117"/>
  <c r="W9"/>
  <c r="G56"/>
  <c r="E53"/>
  <c r="G53" s="1"/>
  <c r="AH124"/>
  <c r="AI124" s="1"/>
  <c r="AA124"/>
  <c r="X124"/>
  <c r="Y124" s="1"/>
  <c r="AF124"/>
  <c r="V124"/>
  <c r="X31"/>
  <c r="Y31" s="1"/>
  <c r="Y32"/>
  <c r="W56"/>
  <c r="Z56"/>
  <c r="AH68"/>
  <c r="AA68"/>
  <c r="AB68" s="1"/>
  <c r="X68"/>
  <c r="Y68" s="1"/>
  <c r="AF68"/>
  <c r="AH175"/>
  <c r="AA175"/>
  <c r="X175"/>
  <c r="Y175" s="1"/>
  <c r="AF175"/>
  <c r="AG17"/>
  <c r="AI125"/>
  <c r="O112"/>
  <c r="AI34"/>
  <c r="AB141"/>
  <c r="AK141" i="118" s="1"/>
  <c r="O30" i="117"/>
  <c r="AI17"/>
  <c r="V10"/>
  <c r="AA68" i="116"/>
  <c r="X68"/>
  <c r="S68"/>
  <c r="T68"/>
  <c r="T8" s="1"/>
  <c r="AA31"/>
  <c r="AB32"/>
  <c r="X76"/>
  <c r="AA76"/>
  <c r="AJ76" i="118" s="1"/>
  <c r="P112" i="116"/>
  <c r="U112"/>
  <c r="O95"/>
  <c r="AB114"/>
  <c r="Z113"/>
  <c r="N7"/>
  <c r="Z57"/>
  <c r="AB58"/>
  <c r="P123"/>
  <c r="U123"/>
  <c r="M9"/>
  <c r="Z95"/>
  <c r="W95"/>
  <c r="Y10"/>
  <c r="W9"/>
  <c r="O41"/>
  <c r="O30" s="1"/>
  <c r="P31"/>
  <c r="W53"/>
  <c r="Z53"/>
  <c r="AC175"/>
  <c r="Q8"/>
  <c r="E9"/>
  <c r="AC238"/>
  <c r="AC69"/>
  <c r="AB10"/>
  <c r="Z9"/>
  <c r="H8"/>
  <c r="Z76"/>
  <c r="AB76" s="1"/>
  <c r="V76"/>
  <c r="W76"/>
  <c r="AA237"/>
  <c r="X237"/>
  <c r="Y237" s="1"/>
  <c r="V237"/>
  <c r="M56"/>
  <c r="K53"/>
  <c r="M53" s="1"/>
  <c r="AB78"/>
  <c r="Z77"/>
  <c r="AB77" s="1"/>
  <c r="AB217"/>
  <c r="AC217" s="1"/>
  <c r="AA174"/>
  <c r="AB174" s="1"/>
  <c r="X174"/>
  <c r="Y174" s="1"/>
  <c r="R112"/>
  <c r="AC124"/>
  <c r="R30"/>
  <c r="P409" i="92"/>
  <c r="S328"/>
  <c r="S348"/>
  <c r="S362"/>
  <c r="S366"/>
  <c r="S376"/>
  <c r="S373"/>
  <c r="P375"/>
  <c r="P383"/>
  <c r="P387"/>
  <c r="S389"/>
  <c r="L396"/>
  <c r="M401"/>
  <c r="S403"/>
  <c r="K413"/>
  <c r="M413" s="1"/>
  <c r="S439"/>
  <c r="P449"/>
  <c r="S451"/>
  <c r="S461"/>
  <c r="S465"/>
  <c r="S478"/>
  <c r="U511"/>
  <c r="V511" s="1"/>
  <c r="S511"/>
  <c r="O506"/>
  <c r="P506" s="1"/>
  <c r="Q507"/>
  <c r="O466"/>
  <c r="P466" s="1"/>
  <c r="Q467"/>
  <c r="R450"/>
  <c r="S450" s="1"/>
  <c r="Q449"/>
  <c r="U486"/>
  <c r="V486" s="1"/>
  <c r="N447"/>
  <c r="N446" s="1"/>
  <c r="P448"/>
  <c r="Q484"/>
  <c r="O483"/>
  <c r="P483" s="1"/>
  <c r="P468"/>
  <c r="S486"/>
  <c r="Q482"/>
  <c r="R468"/>
  <c r="T468" s="1"/>
  <c r="M448"/>
  <c r="Q460"/>
  <c r="O459"/>
  <c r="U451"/>
  <c r="V451" s="1"/>
  <c r="Q464"/>
  <c r="O463"/>
  <c r="P463" s="1"/>
  <c r="U465"/>
  <c r="V465" s="1"/>
  <c r="U461"/>
  <c r="V461" s="1"/>
  <c r="U478"/>
  <c r="V478" s="1"/>
  <c r="P467"/>
  <c r="P460"/>
  <c r="U426"/>
  <c r="V426" s="1"/>
  <c r="R422"/>
  <c r="Q421"/>
  <c r="U400"/>
  <c r="V400" s="1"/>
  <c r="Q399"/>
  <c r="O398"/>
  <c r="P398" s="1"/>
  <c r="M397"/>
  <c r="K396"/>
  <c r="Q441"/>
  <c r="O440"/>
  <c r="U406"/>
  <c r="V406" s="1"/>
  <c r="U423"/>
  <c r="V423" s="1"/>
  <c r="U442"/>
  <c r="V442" s="1"/>
  <c r="O407"/>
  <c r="Q408"/>
  <c r="Q405"/>
  <c r="O404"/>
  <c r="P404" s="1"/>
  <c r="N397"/>
  <c r="U439"/>
  <c r="V439" s="1"/>
  <c r="S409"/>
  <c r="R409"/>
  <c r="T409" s="1"/>
  <c r="P399"/>
  <c r="P424"/>
  <c r="P441"/>
  <c r="S406"/>
  <c r="P407"/>
  <c r="O430"/>
  <c r="P430" s="1"/>
  <c r="P440"/>
  <c r="S400"/>
  <c r="N414"/>
  <c r="R438"/>
  <c r="Q437"/>
  <c r="O424"/>
  <c r="O414" s="1"/>
  <c r="Q425"/>
  <c r="U403"/>
  <c r="V403" s="1"/>
  <c r="R402"/>
  <c r="S402" s="1"/>
  <c r="Q401"/>
  <c r="S426"/>
  <c r="S423"/>
  <c r="S442"/>
  <c r="U385"/>
  <c r="V385" s="1"/>
  <c r="U386"/>
  <c r="V386" s="1"/>
  <c r="U390"/>
  <c r="V390" s="1"/>
  <c r="U376"/>
  <c r="V376" s="1"/>
  <c r="U389"/>
  <c r="V389" s="1"/>
  <c r="R383"/>
  <c r="T383" s="1"/>
  <c r="R371"/>
  <c r="T371" s="1"/>
  <c r="R378"/>
  <c r="S378" s="1"/>
  <c r="O368"/>
  <c r="P368" s="1"/>
  <c r="Q369"/>
  <c r="R387"/>
  <c r="T387" s="1"/>
  <c r="U373"/>
  <c r="V373" s="1"/>
  <c r="R375"/>
  <c r="T375" s="1"/>
  <c r="U372"/>
  <c r="V372" s="1"/>
  <c r="S386"/>
  <c r="S390"/>
  <c r="S385"/>
  <c r="S388"/>
  <c r="P369"/>
  <c r="U388"/>
  <c r="V388" s="1"/>
  <c r="R356"/>
  <c r="T356" s="1"/>
  <c r="U354"/>
  <c r="V354" s="1"/>
  <c r="U353"/>
  <c r="V353" s="1"/>
  <c r="V366"/>
  <c r="U366"/>
  <c r="U365"/>
  <c r="V365"/>
  <c r="V362"/>
  <c r="U362"/>
  <c r="U355"/>
  <c r="V355" s="1"/>
  <c r="P356"/>
  <c r="S354"/>
  <c r="S353"/>
  <c r="U348"/>
  <c r="V348" s="1"/>
  <c r="S349"/>
  <c r="U349"/>
  <c r="V349" s="1"/>
  <c r="U344"/>
  <c r="V344" s="1"/>
  <c r="U350"/>
  <c r="V350" s="1"/>
  <c r="O345"/>
  <c r="P345" s="1"/>
  <c r="Q346"/>
  <c r="Q343"/>
  <c r="O342"/>
  <c r="P342" s="1"/>
  <c r="S344"/>
  <c r="S350"/>
  <c r="R330"/>
  <c r="T330" s="1"/>
  <c r="U340"/>
  <c r="V340" s="1"/>
  <c r="U328"/>
  <c r="V328" s="1"/>
  <c r="S337"/>
  <c r="S329"/>
  <c r="S336"/>
  <c r="S339"/>
  <c r="V337"/>
  <c r="U337"/>
  <c r="U329"/>
  <c r="V329" s="1"/>
  <c r="O334"/>
  <c r="U336"/>
  <c r="V336" s="1"/>
  <c r="U339"/>
  <c r="V339"/>
  <c r="P330"/>
  <c r="S340"/>
  <c r="T324"/>
  <c r="N310"/>
  <c r="Q319"/>
  <c r="O317"/>
  <c r="P317" s="1"/>
  <c r="Q325"/>
  <c r="O323"/>
  <c r="P323" s="1"/>
  <c r="T321"/>
  <c r="T315"/>
  <c r="R326"/>
  <c r="T326" s="1"/>
  <c r="T318"/>
  <c r="Q322"/>
  <c r="O320"/>
  <c r="P320" s="1"/>
  <c r="R327"/>
  <c r="T327" s="1"/>
  <c r="Q316"/>
  <c r="O314"/>
  <c r="P319"/>
  <c r="P325"/>
  <c r="P326"/>
  <c r="E79" i="115"/>
  <c r="F79" s="1"/>
  <c r="U56" i="116" l="1"/>
  <c r="X56" s="1"/>
  <c r="Y56" s="1"/>
  <c r="O53"/>
  <c r="P53" s="1"/>
  <c r="P56"/>
  <c r="P67"/>
  <c r="U67"/>
  <c r="AI30" i="118"/>
  <c r="AH67" i="117"/>
  <c r="AI67" s="1"/>
  <c r="AA67"/>
  <c r="AB67" s="1"/>
  <c r="AF67"/>
  <c r="X67"/>
  <c r="Y67" s="1"/>
  <c r="R53"/>
  <c r="U56"/>
  <c r="S56"/>
  <c r="Y98" i="111"/>
  <c r="AA71" i="121"/>
  <c r="AB71" s="1"/>
  <c r="X113"/>
  <c r="X124"/>
  <c r="X124" i="111"/>
  <c r="AA111"/>
  <c r="AB111" s="1"/>
  <c r="AA111" i="121"/>
  <c r="AB111" s="1"/>
  <c r="W113"/>
  <c r="X105"/>
  <c r="AA48"/>
  <c r="AB48" s="1"/>
  <c r="AA48" i="111"/>
  <c r="Z114" i="121"/>
  <c r="Z114" i="111"/>
  <c r="AA74" i="121"/>
  <c r="AB74" s="1"/>
  <c r="AA74" i="111"/>
  <c r="AB74" s="1"/>
  <c r="Z105"/>
  <c r="Z127"/>
  <c r="Z127" i="121"/>
  <c r="X68" i="111"/>
  <c r="X68" i="121"/>
  <c r="Y68" s="1"/>
  <c r="Z32"/>
  <c r="Z32" i="111"/>
  <c r="AA75"/>
  <c r="AA75" i="121"/>
  <c r="AB75" s="1"/>
  <c r="Z106"/>
  <c r="X47"/>
  <c r="Y47" s="1"/>
  <c r="Z58"/>
  <c r="Z58" i="111"/>
  <c r="Z100"/>
  <c r="Z100" i="121"/>
  <c r="X57"/>
  <c r="Y57" s="1"/>
  <c r="X57" i="111"/>
  <c r="X31" i="121"/>
  <c r="X31" i="111"/>
  <c r="AA179"/>
  <c r="AB179" s="1"/>
  <c r="AA179" i="121"/>
  <c r="Z50"/>
  <c r="Z50" i="111"/>
  <c r="AA216" i="121"/>
  <c r="AB216" s="1"/>
  <c r="AA216" i="111"/>
  <c r="AB216" s="1"/>
  <c r="AA128" i="121"/>
  <c r="AB128" s="1"/>
  <c r="AA128" i="111"/>
  <c r="AB128" s="1"/>
  <c r="X98" i="121"/>
  <c r="Y98" s="1"/>
  <c r="X236" i="111"/>
  <c r="Y236" s="1"/>
  <c r="X70" i="121"/>
  <c r="Y70" s="1"/>
  <c r="Y22"/>
  <c r="X202" i="111"/>
  <c r="Y202" s="1"/>
  <c r="X202" i="121"/>
  <c r="Y202" s="1"/>
  <c r="Z29"/>
  <c r="Z29" i="111"/>
  <c r="Z52" i="121"/>
  <c r="Z52" i="111"/>
  <c r="AA26" i="121"/>
  <c r="AB26" s="1"/>
  <c r="AA26" i="111"/>
  <c r="W201"/>
  <c r="W201" i="121"/>
  <c r="W203" s="1"/>
  <c r="U203"/>
  <c r="V203" s="1"/>
  <c r="V201"/>
  <c r="Z133"/>
  <c r="Z133" i="111"/>
  <c r="X44" i="121"/>
  <c r="X45"/>
  <c r="Y45" s="1"/>
  <c r="X45" i="111"/>
  <c r="Y45" s="1"/>
  <c r="Z222"/>
  <c r="Z222" i="121"/>
  <c r="Z91"/>
  <c r="Z91" i="111"/>
  <c r="AA134" i="121"/>
  <c r="AA134" i="111"/>
  <c r="Z41" i="121"/>
  <c r="Z41" i="111"/>
  <c r="Z215"/>
  <c r="Z215" i="121"/>
  <c r="Z90"/>
  <c r="Z90" i="111"/>
  <c r="W44" i="121"/>
  <c r="Z237" i="111"/>
  <c r="Z236" s="1"/>
  <c r="Z237" i="121"/>
  <c r="Z76"/>
  <c r="Z70" s="1"/>
  <c r="Z76" i="111"/>
  <c r="Z188" i="121"/>
  <c r="Z190" s="1"/>
  <c r="Z188" i="111"/>
  <c r="Z240" i="121"/>
  <c r="Z240" i="111"/>
  <c r="AA23"/>
  <c r="AB23" s="1"/>
  <c r="AA23" i="121"/>
  <c r="AB23" s="1"/>
  <c r="Y27"/>
  <c r="Z20"/>
  <c r="Z20" i="111"/>
  <c r="Z105" i="121"/>
  <c r="V53" i="111"/>
  <c r="AA73" i="121"/>
  <c r="AA73" i="111"/>
  <c r="Z47" i="121"/>
  <c r="AA89"/>
  <c r="AB89" s="1"/>
  <c r="AA89" i="111"/>
  <c r="AA25" i="121"/>
  <c r="AA25" i="111"/>
  <c r="Z123"/>
  <c r="Z123" i="121"/>
  <c r="X19"/>
  <c r="X21" s="1"/>
  <c r="Y21" s="1"/>
  <c r="X19" i="111"/>
  <c r="X78"/>
  <c r="X78" i="121"/>
  <c r="AA106" i="111"/>
  <c r="Z205" i="121"/>
  <c r="Z205" i="111"/>
  <c r="AA189" i="121"/>
  <c r="AA189" i="111"/>
  <c r="AA51" i="121"/>
  <c r="AB51" s="1"/>
  <c r="AA51" i="111"/>
  <c r="W177" i="121"/>
  <c r="T77"/>
  <c r="T69" s="1"/>
  <c r="Z22" i="111"/>
  <c r="Z22" i="121"/>
  <c r="X178"/>
  <c r="X180" s="1"/>
  <c r="Y180" s="1"/>
  <c r="X178" i="111"/>
  <c r="AA112" i="121"/>
  <c r="AB112" s="1"/>
  <c r="AA112" i="111"/>
  <c r="AB112" s="1"/>
  <c r="U176" i="121"/>
  <c r="X204"/>
  <c r="X206" s="1"/>
  <c r="Y206" s="1"/>
  <c r="X204" i="111"/>
  <c r="Z17" i="121"/>
  <c r="Z17" i="111"/>
  <c r="AA108"/>
  <c r="AB108" s="1"/>
  <c r="AA108" i="121"/>
  <c r="AB108" s="1"/>
  <c r="Z25" i="111"/>
  <c r="Z25" i="121"/>
  <c r="Y25"/>
  <c r="W12"/>
  <c r="X16"/>
  <c r="X18" s="1"/>
  <c r="Y18" s="1"/>
  <c r="X16" i="111"/>
  <c r="AB123" i="118"/>
  <c r="AI123"/>
  <c r="S326" i="92"/>
  <c r="AI175" i="117"/>
  <c r="O310" i="92"/>
  <c r="AB124" i="117"/>
  <c r="AK124" i="118" s="1"/>
  <c r="AJ124"/>
  <c r="AI77"/>
  <c r="AB112"/>
  <c r="AI112"/>
  <c r="AI57"/>
  <c r="AI113"/>
  <c r="AB82" i="120"/>
  <c r="O489" i="92"/>
  <c r="P489" s="1"/>
  <c r="P493"/>
  <c r="Q493"/>
  <c r="X53" i="111"/>
  <c r="Z53" s="1"/>
  <c r="AA53" s="1"/>
  <c r="AB53" s="1"/>
  <c r="O479" i="92"/>
  <c r="P479" s="1"/>
  <c r="AK78" i="118"/>
  <c r="AB87"/>
  <c r="AK87" s="1"/>
  <c r="AI87"/>
  <c r="AK58"/>
  <c r="AK114"/>
  <c r="AJ32"/>
  <c r="AM32" s="1"/>
  <c r="AB175" i="117"/>
  <c r="AK175" i="118" s="1"/>
  <c r="AJ175"/>
  <c r="AB56"/>
  <c r="AI56"/>
  <c r="AA57" i="116"/>
  <c r="AJ58" i="118"/>
  <c r="AM58" s="1"/>
  <c r="AI67"/>
  <c r="Z272" i="111"/>
  <c r="AB272" s="1"/>
  <c r="Z272" i="121"/>
  <c r="AB272" s="1"/>
  <c r="Y273"/>
  <c r="S11"/>
  <c r="AB116" i="120"/>
  <c r="V125"/>
  <c r="AC125"/>
  <c r="V126"/>
  <c r="V54"/>
  <c r="W236" i="121"/>
  <c r="U125"/>
  <c r="V125" s="1"/>
  <c r="V126"/>
  <c r="Y106"/>
  <c r="AB62"/>
  <c r="H8"/>
  <c r="J8" s="1"/>
  <c r="U11"/>
  <c r="Y17"/>
  <c r="V16"/>
  <c r="T11"/>
  <c r="K8"/>
  <c r="M9"/>
  <c r="E7"/>
  <c r="G8"/>
  <c r="N6"/>
  <c r="P7"/>
  <c r="S77"/>
  <c r="R69"/>
  <c r="S42"/>
  <c r="Q7"/>
  <c r="S124"/>
  <c r="Y35"/>
  <c r="Y115"/>
  <c r="Y55"/>
  <c r="AB61"/>
  <c r="AB82"/>
  <c r="Y58"/>
  <c r="V57"/>
  <c r="T54"/>
  <c r="V54" s="1"/>
  <c r="Y218"/>
  <c r="AB116"/>
  <c r="S31"/>
  <c r="R10"/>
  <c r="S113"/>
  <c r="R96"/>
  <c r="W125"/>
  <c r="Y188"/>
  <c r="V114"/>
  <c r="V32"/>
  <c r="Y208"/>
  <c r="Y179"/>
  <c r="AB83"/>
  <c r="AM48" i="118"/>
  <c r="AA49" i="111" s="1"/>
  <c r="Z49"/>
  <c r="W206"/>
  <c r="V204"/>
  <c r="S215"/>
  <c r="W190"/>
  <c r="V188"/>
  <c r="V190"/>
  <c r="S77"/>
  <c r="S48"/>
  <c r="S27"/>
  <c r="S28"/>
  <c r="S90"/>
  <c r="AJ174" i="118"/>
  <c r="AB10" i="117"/>
  <c r="AK10" i="118" s="1"/>
  <c r="AI10" i="117"/>
  <c r="V55" i="111"/>
  <c r="Y55"/>
  <c r="V45"/>
  <c r="Q218"/>
  <c r="R47"/>
  <c r="R21"/>
  <c r="Q24"/>
  <c r="AL23" i="118"/>
  <c r="AM23" s="1"/>
  <c r="R208" i="111"/>
  <c r="S52"/>
  <c r="S91"/>
  <c r="AJ68" i="118"/>
  <c r="S92" i="111"/>
  <c r="S50"/>
  <c r="S51"/>
  <c r="AB237" i="116"/>
  <c r="AK237" i="118" s="1"/>
  <c r="AJ237"/>
  <c r="Q70" i="111"/>
  <c r="Q69" s="1"/>
  <c r="AL17" i="118"/>
  <c r="AM17" s="1"/>
  <c r="Q18" i="111"/>
  <c r="R54"/>
  <c r="T27"/>
  <c r="AK217" i="118"/>
  <c r="Y127" i="111"/>
  <c r="AB211"/>
  <c r="AB119"/>
  <c r="T96"/>
  <c r="AA36"/>
  <c r="AA35" s="1"/>
  <c r="AA33" s="1"/>
  <c r="Y105"/>
  <c r="T77"/>
  <c r="U113"/>
  <c r="U96" s="1"/>
  <c r="V32"/>
  <c r="AB118"/>
  <c r="Z82"/>
  <c r="AA83"/>
  <c r="AA82" s="1"/>
  <c r="V58"/>
  <c r="AA116"/>
  <c r="AA115" s="1"/>
  <c r="AB115" s="1"/>
  <c r="Y114"/>
  <c r="W113"/>
  <c r="Z35"/>
  <c r="X33"/>
  <c r="Z33" s="1"/>
  <c r="Z80"/>
  <c r="X79"/>
  <c r="AA63"/>
  <c r="AA61" s="1"/>
  <c r="AA59" s="1"/>
  <c r="AB59" s="1"/>
  <c r="Z61"/>
  <c r="Y61"/>
  <c r="V124"/>
  <c r="Y35"/>
  <c r="W33" i="120"/>
  <c r="Y238"/>
  <c r="Y239"/>
  <c r="Z36"/>
  <c r="X35"/>
  <c r="X33" s="1"/>
  <c r="N285"/>
  <c r="P282"/>
  <c r="AB188"/>
  <c r="AB25"/>
  <c r="Y36"/>
  <c r="H8"/>
  <c r="J9"/>
  <c r="W126"/>
  <c r="X236"/>
  <c r="Y236" s="1"/>
  <c r="Z237"/>
  <c r="E6"/>
  <c r="G7"/>
  <c r="X218"/>
  <c r="Y218" s="1"/>
  <c r="Z220"/>
  <c r="X98"/>
  <c r="Y98" s="1"/>
  <c r="Z99"/>
  <c r="X201"/>
  <c r="X176" s="1"/>
  <c r="X175" s="1"/>
  <c r="Z202"/>
  <c r="Y12"/>
  <c r="W11"/>
  <c r="AA71"/>
  <c r="AA70" s="1"/>
  <c r="Z70"/>
  <c r="Q8"/>
  <c r="V77"/>
  <c r="T69"/>
  <c r="T9" s="1"/>
  <c r="W54"/>
  <c r="Z208"/>
  <c r="AA211"/>
  <c r="AA208" s="1"/>
  <c r="Z48"/>
  <c r="X47"/>
  <c r="Y47" s="1"/>
  <c r="AA240"/>
  <c r="AA239" s="1"/>
  <c r="AA238" s="1"/>
  <c r="Z239"/>
  <c r="Z42"/>
  <c r="X31"/>
  <c r="Y31" s="1"/>
  <c r="W59"/>
  <c r="R9"/>
  <c r="R8" s="1"/>
  <c r="R7" s="1"/>
  <c r="R6" s="1"/>
  <c r="R282" s="1"/>
  <c r="S69"/>
  <c r="AA179"/>
  <c r="AA178" s="1"/>
  <c r="AA177" s="1"/>
  <c r="Z178"/>
  <c r="X124"/>
  <c r="X113" s="1"/>
  <c r="Y113" s="1"/>
  <c r="Z114"/>
  <c r="Z80"/>
  <c r="X79"/>
  <c r="X78" s="1"/>
  <c r="X77" s="1"/>
  <c r="X69" s="1"/>
  <c r="Z55"/>
  <c r="Z128"/>
  <c r="X127"/>
  <c r="AA38"/>
  <c r="X68"/>
  <c r="Y68" s="1"/>
  <c r="Z58"/>
  <c r="Y99"/>
  <c r="Y178"/>
  <c r="Y201"/>
  <c r="AB19"/>
  <c r="AB115"/>
  <c r="Y237"/>
  <c r="M9"/>
  <c r="K8"/>
  <c r="W96"/>
  <c r="W78"/>
  <c r="Z62"/>
  <c r="X61"/>
  <c r="X59" s="1"/>
  <c r="Z106"/>
  <c r="X105"/>
  <c r="Y105" s="1"/>
  <c r="Y177"/>
  <c r="W176"/>
  <c r="U10"/>
  <c r="V11"/>
  <c r="Z230"/>
  <c r="AA232"/>
  <c r="AA230" s="1"/>
  <c r="AA18"/>
  <c r="AA16" s="1"/>
  <c r="AA12" s="1"/>
  <c r="AA11" s="1"/>
  <c r="Z16"/>
  <c r="Z134"/>
  <c r="X133"/>
  <c r="Y133" s="1"/>
  <c r="Y220"/>
  <c r="AB189"/>
  <c r="V175"/>
  <c r="Y202"/>
  <c r="AB20"/>
  <c r="AB44"/>
  <c r="V57"/>
  <c r="Y55"/>
  <c r="AB83"/>
  <c r="Y48"/>
  <c r="AB26"/>
  <c r="Y58"/>
  <c r="K8" i="116"/>
  <c r="M8" s="1"/>
  <c r="AC174"/>
  <c r="Y174" i="117"/>
  <c r="AI68"/>
  <c r="H8"/>
  <c r="H7" s="1"/>
  <c r="E8"/>
  <c r="G8" s="1"/>
  <c r="AC41" i="118"/>
  <c r="AA41"/>
  <c r="AB41" s="1"/>
  <c r="AE41"/>
  <c r="X41"/>
  <c r="Y41" s="1"/>
  <c r="V41"/>
  <c r="AG78"/>
  <c r="AG79" s="1"/>
  <c r="AE77"/>
  <c r="AE78" s="1"/>
  <c r="AB77"/>
  <c r="AK77" s="1"/>
  <c r="E7"/>
  <c r="G8"/>
  <c r="AB57"/>
  <c r="V95"/>
  <c r="Z95"/>
  <c r="W95"/>
  <c r="Y95" s="1"/>
  <c r="T53"/>
  <c r="U30"/>
  <c r="O9"/>
  <c r="P30"/>
  <c r="Z9"/>
  <c r="M9"/>
  <c r="K8"/>
  <c r="S68"/>
  <c r="T68"/>
  <c r="W9"/>
  <c r="Z76"/>
  <c r="V76"/>
  <c r="W76"/>
  <c r="Y76" s="1"/>
  <c r="N7"/>
  <c r="J8"/>
  <c r="H7"/>
  <c r="AB31"/>
  <c r="AB113"/>
  <c r="AG114"/>
  <c r="AG115" s="1"/>
  <c r="AG122"/>
  <c r="AG123" s="1"/>
  <c r="Q8"/>
  <c r="Z53" i="117"/>
  <c r="W53"/>
  <c r="N7"/>
  <c r="AH123"/>
  <c r="AA123"/>
  <c r="X123"/>
  <c r="Y123" s="1"/>
  <c r="AF123"/>
  <c r="V123"/>
  <c r="Q7"/>
  <c r="AG68"/>
  <c r="Z9"/>
  <c r="AG174"/>
  <c r="P30"/>
  <c r="U30"/>
  <c r="O9"/>
  <c r="AC95"/>
  <c r="S95"/>
  <c r="R8"/>
  <c r="R7" s="1"/>
  <c r="R6" s="1"/>
  <c r="R5" s="1"/>
  <c r="R273" s="1"/>
  <c r="AA31"/>
  <c r="AB31" s="1"/>
  <c r="AB32"/>
  <c r="AK32" i="118" s="1"/>
  <c r="U112" i="117"/>
  <c r="P112"/>
  <c r="O95"/>
  <c r="X41"/>
  <c r="Y41" s="1"/>
  <c r="AA41"/>
  <c r="AB41" s="1"/>
  <c r="AF41"/>
  <c r="AH41"/>
  <c r="K8"/>
  <c r="M9"/>
  <c r="AG175"/>
  <c r="AI31"/>
  <c r="AG124"/>
  <c r="AB174"/>
  <c r="AK174" i="118" s="1"/>
  <c r="AG31" i="117"/>
  <c r="AI174"/>
  <c r="V41"/>
  <c r="T8"/>
  <c r="J8" i="116"/>
  <c r="H7"/>
  <c r="AA112"/>
  <c r="AB112" s="1"/>
  <c r="X112"/>
  <c r="Y112" s="1"/>
  <c r="V112"/>
  <c r="R9"/>
  <c r="S30"/>
  <c r="T7"/>
  <c r="AA123"/>
  <c r="X123"/>
  <c r="Y123" s="1"/>
  <c r="V123"/>
  <c r="N6"/>
  <c r="P95"/>
  <c r="R95"/>
  <c r="S95" s="1"/>
  <c r="S112"/>
  <c r="Q7"/>
  <c r="AF58"/>
  <c r="AB57"/>
  <c r="Z68"/>
  <c r="AB68" s="1"/>
  <c r="V68"/>
  <c r="W68"/>
  <c r="Y68" s="1"/>
  <c r="AA56"/>
  <c r="AC10"/>
  <c r="P30"/>
  <c r="U30"/>
  <c r="O9"/>
  <c r="E8"/>
  <c r="G9"/>
  <c r="U41"/>
  <c r="P41"/>
  <c r="AF114"/>
  <c r="AB113"/>
  <c r="AF116"/>
  <c r="AG32"/>
  <c r="AG33" s="1"/>
  <c r="AB31"/>
  <c r="Y76"/>
  <c r="AC76" s="1"/>
  <c r="S327" i="92"/>
  <c r="M396"/>
  <c r="O413"/>
  <c r="O447"/>
  <c r="O446" s="1"/>
  <c r="P459"/>
  <c r="Q506"/>
  <c r="R507"/>
  <c r="S507" s="1"/>
  <c r="U468"/>
  <c r="V468" s="1"/>
  <c r="Q448"/>
  <c r="S482"/>
  <c r="R482"/>
  <c r="Q466"/>
  <c r="R467"/>
  <c r="Q463"/>
  <c r="R464"/>
  <c r="Q459"/>
  <c r="R460"/>
  <c r="S460" s="1"/>
  <c r="M446"/>
  <c r="M447"/>
  <c r="Q483"/>
  <c r="Q479" s="1"/>
  <c r="R484"/>
  <c r="P447"/>
  <c r="R449"/>
  <c r="R448" s="1"/>
  <c r="T450"/>
  <c r="S468"/>
  <c r="T438"/>
  <c r="R437"/>
  <c r="Q404"/>
  <c r="R405"/>
  <c r="S405" s="1"/>
  <c r="T422"/>
  <c r="R421"/>
  <c r="Q398"/>
  <c r="R399"/>
  <c r="S399" s="1"/>
  <c r="T402"/>
  <c r="R401"/>
  <c r="S401" s="1"/>
  <c r="P414"/>
  <c r="N413"/>
  <c r="P413" s="1"/>
  <c r="U409"/>
  <c r="V409" s="1"/>
  <c r="Q407"/>
  <c r="R408"/>
  <c r="S408" s="1"/>
  <c r="S438"/>
  <c r="O397"/>
  <c r="P397" s="1"/>
  <c r="R425"/>
  <c r="Q424"/>
  <c r="Q440"/>
  <c r="R441"/>
  <c r="S422"/>
  <c r="U371"/>
  <c r="V371" s="1"/>
  <c r="U383"/>
  <c r="V383" s="1"/>
  <c r="U375"/>
  <c r="V375" s="1"/>
  <c r="R369"/>
  <c r="S369" s="1"/>
  <c r="Q368"/>
  <c r="T378"/>
  <c r="S371"/>
  <c r="S383"/>
  <c r="S375"/>
  <c r="S387"/>
  <c r="U387"/>
  <c r="V387" s="1"/>
  <c r="S356"/>
  <c r="U356"/>
  <c r="V356" s="1"/>
  <c r="Q345"/>
  <c r="R346"/>
  <c r="Q342"/>
  <c r="R343"/>
  <c r="S343" s="1"/>
  <c r="Q334"/>
  <c r="U330"/>
  <c r="V330" s="1"/>
  <c r="S330"/>
  <c r="P334"/>
  <c r="R316"/>
  <c r="Q314"/>
  <c r="R322"/>
  <c r="S322" s="1"/>
  <c r="Q320"/>
  <c r="R319"/>
  <c r="S319" s="1"/>
  <c r="Q317"/>
  <c r="U324"/>
  <c r="U326"/>
  <c r="V326" s="1"/>
  <c r="U321"/>
  <c r="R325"/>
  <c r="S325" s="1"/>
  <c r="Q323"/>
  <c r="U327"/>
  <c r="V327" s="1"/>
  <c r="U318"/>
  <c r="U315"/>
  <c r="P310"/>
  <c r="P314"/>
  <c r="F89" i="115"/>
  <c r="E63"/>
  <c r="E78"/>
  <c r="E77"/>
  <c r="E86"/>
  <c r="H86"/>
  <c r="D86"/>
  <c r="R4"/>
  <c r="R90" s="1"/>
  <c r="O89"/>
  <c r="N86"/>
  <c r="U53" i="116" l="1"/>
  <c r="K7"/>
  <c r="K6" s="1"/>
  <c r="V56"/>
  <c r="AA67"/>
  <c r="AB67" s="1"/>
  <c r="AK67" i="118" s="1"/>
  <c r="X67" i="116"/>
  <c r="Y67" s="1"/>
  <c r="V67"/>
  <c r="W8"/>
  <c r="U95"/>
  <c r="AA95" s="1"/>
  <c r="AB95" s="1"/>
  <c r="U53" i="117"/>
  <c r="S53"/>
  <c r="AG67"/>
  <c r="T8" i="118"/>
  <c r="AA56" i="117"/>
  <c r="AB56" s="1"/>
  <c r="X56"/>
  <c r="Y56" s="1"/>
  <c r="AF56"/>
  <c r="AG56" s="1"/>
  <c r="AH56"/>
  <c r="AI56" s="1"/>
  <c r="V56"/>
  <c r="AA46" i="121"/>
  <c r="AB46" s="1"/>
  <c r="AA97"/>
  <c r="AB97" s="1"/>
  <c r="Z124" i="111"/>
  <c r="Z124" i="121"/>
  <c r="AA106"/>
  <c r="AB106" s="1"/>
  <c r="Z98"/>
  <c r="AA114"/>
  <c r="AA114" i="111"/>
  <c r="AA50"/>
  <c r="AB50" s="1"/>
  <c r="AA50" i="121"/>
  <c r="AB50" s="1"/>
  <c r="AA127" i="111"/>
  <c r="AB127" s="1"/>
  <c r="AA127" i="121"/>
  <c r="AB127" s="1"/>
  <c r="AA100" i="111"/>
  <c r="AB100" s="1"/>
  <c r="AA100" i="121"/>
  <c r="AB100" s="1"/>
  <c r="Z68"/>
  <c r="Z68" i="111"/>
  <c r="AA32"/>
  <c r="AA32" i="121"/>
  <c r="AA97" i="111"/>
  <c r="AB97" s="1"/>
  <c r="AA58"/>
  <c r="AA58" i="121"/>
  <c r="Z31" i="111"/>
  <c r="Z31" i="121"/>
  <c r="Z98" i="111"/>
  <c r="AA46"/>
  <c r="Y44" i="121"/>
  <c r="AA27"/>
  <c r="Y19"/>
  <c r="AA90"/>
  <c r="AB90" s="1"/>
  <c r="AA90" i="111"/>
  <c r="AA29" i="121"/>
  <c r="AB29" s="1"/>
  <c r="AA29" i="111"/>
  <c r="AB29" s="1"/>
  <c r="X201" i="121"/>
  <c r="X201" i="111"/>
  <c r="Y201" s="1"/>
  <c r="Z218" i="121"/>
  <c r="Z208"/>
  <c r="Z45"/>
  <c r="Z45" i="111"/>
  <c r="AA52" i="121"/>
  <c r="AB52" s="1"/>
  <c r="AA52" i="111"/>
  <c r="AB52" s="1"/>
  <c r="AA47" i="121"/>
  <c r="AB47" s="1"/>
  <c r="AA76"/>
  <c r="AA70" s="1"/>
  <c r="AB70" s="1"/>
  <c r="AA76" i="111"/>
  <c r="AB76" s="1"/>
  <c r="AA133" i="121"/>
  <c r="AA126" s="1"/>
  <c r="AA125" s="1"/>
  <c r="AA133" i="111"/>
  <c r="AA222" i="121"/>
  <c r="AA222" i="111"/>
  <c r="AA218" i="121"/>
  <c r="Z202"/>
  <c r="Z202" i="111"/>
  <c r="AA237" i="121"/>
  <c r="AA237" i="111"/>
  <c r="AA236" s="1"/>
  <c r="AB236" s="1"/>
  <c r="AA208" i="121"/>
  <c r="AA215" i="111"/>
  <c r="AA215" i="121"/>
  <c r="AA41"/>
  <c r="AB41" s="1"/>
  <c r="AA41" i="111"/>
  <c r="AB41" s="1"/>
  <c r="AA91"/>
  <c r="AB91" s="1"/>
  <c r="AA91" i="121"/>
  <c r="AB91" s="1"/>
  <c r="X177" i="111"/>
  <c r="Y177" s="1"/>
  <c r="Y178"/>
  <c r="Z204" i="121"/>
  <c r="Z206" s="1"/>
  <c r="Z204" i="111"/>
  <c r="AA77" i="121"/>
  <c r="AA78"/>
  <c r="AA78" i="111"/>
  <c r="X12" i="121"/>
  <c r="X11" s="1"/>
  <c r="Z178"/>
  <c r="Z180" s="1"/>
  <c r="Z178" i="111"/>
  <c r="AA17"/>
  <c r="AB17" s="1"/>
  <c r="AA17" i="121"/>
  <c r="AB17" s="1"/>
  <c r="AA188"/>
  <c r="AA190" s="1"/>
  <c r="AB190" s="1"/>
  <c r="AA188" i="111"/>
  <c r="AA205" i="121"/>
  <c r="AA205" i="111"/>
  <c r="AB205" s="1"/>
  <c r="AA105"/>
  <c r="AB105" s="1"/>
  <c r="AA105" i="121"/>
  <c r="AB105" s="1"/>
  <c r="X77"/>
  <c r="AA123"/>
  <c r="AB123" s="1"/>
  <c r="AA123" i="111"/>
  <c r="AB123" s="1"/>
  <c r="AA20"/>
  <c r="AB20" s="1"/>
  <c r="AA20" i="121"/>
  <c r="AB20" s="1"/>
  <c r="AA240"/>
  <c r="AB240" s="1"/>
  <c r="AA240" i="111"/>
  <c r="Z27" i="121"/>
  <c r="AB25"/>
  <c r="X177"/>
  <c r="Y177" s="1"/>
  <c r="Z19" i="111"/>
  <c r="Z19" i="121"/>
  <c r="Z21" s="1"/>
  <c r="AA22"/>
  <c r="AA24" s="1"/>
  <c r="AA22" i="111"/>
  <c r="AA178" i="121"/>
  <c r="AA180" s="1"/>
  <c r="AA178" i="111"/>
  <c r="AA177" s="1"/>
  <c r="Z16"/>
  <c r="Z16" i="121"/>
  <c r="Z18" s="1"/>
  <c r="Z24"/>
  <c r="W176"/>
  <c r="W175" s="1"/>
  <c r="W78"/>
  <c r="W78" i="111"/>
  <c r="W77" s="1"/>
  <c r="AG58" i="116"/>
  <c r="AG59" s="1"/>
  <c r="AJ57" i="118"/>
  <c r="AM57" s="1"/>
  <c r="Q489" i="92"/>
  <c r="R493"/>
  <c r="S493"/>
  <c r="AK31" i="118"/>
  <c r="AI9"/>
  <c r="AK57"/>
  <c r="AF41"/>
  <c r="AJ31"/>
  <c r="AM31" s="1"/>
  <c r="AB76"/>
  <c r="AK76" s="1"/>
  <c r="AI76"/>
  <c r="Y53" i="111"/>
  <c r="AK113" i="118"/>
  <c r="AB95"/>
  <c r="AI95"/>
  <c r="AD41"/>
  <c r="S96" i="121"/>
  <c r="S69"/>
  <c r="AC9" i="120"/>
  <c r="V69"/>
  <c r="AC69"/>
  <c r="AB240"/>
  <c r="Y35"/>
  <c r="AB230"/>
  <c r="H7" i="121"/>
  <c r="H6" s="1"/>
  <c r="X236"/>
  <c r="Y236" s="1"/>
  <c r="Y237"/>
  <c r="AB189"/>
  <c r="Y205"/>
  <c r="Y204"/>
  <c r="U175"/>
  <c r="V175" s="1"/>
  <c r="V176"/>
  <c r="Y133"/>
  <c r="X126"/>
  <c r="Y118"/>
  <c r="Y105"/>
  <c r="X54"/>
  <c r="Y54" s="1"/>
  <c r="W11"/>
  <c r="Y16"/>
  <c r="V11"/>
  <c r="V12"/>
  <c r="AB49" i="111"/>
  <c r="N282" i="121"/>
  <c r="M8"/>
  <c r="K7"/>
  <c r="T96"/>
  <c r="R9"/>
  <c r="S10"/>
  <c r="Y114"/>
  <c r="E6"/>
  <c r="G7"/>
  <c r="Y178"/>
  <c r="AB73"/>
  <c r="AB101"/>
  <c r="AB35"/>
  <c r="T10"/>
  <c r="Y79"/>
  <c r="AB115"/>
  <c r="AB36"/>
  <c r="U96"/>
  <c r="V88"/>
  <c r="V124"/>
  <c r="X206" i="111"/>
  <c r="S222"/>
  <c r="S208"/>
  <c r="X190"/>
  <c r="U176"/>
  <c r="S46"/>
  <c r="S21"/>
  <c r="T47"/>
  <c r="V51"/>
  <c r="S240"/>
  <c r="V52"/>
  <c r="J8" i="117"/>
  <c r="AC237" i="116"/>
  <c r="V28" i="111"/>
  <c r="AB123" i="117"/>
  <c r="AJ123" i="118"/>
  <c r="U27" i="111"/>
  <c r="V27" s="1"/>
  <c r="R70"/>
  <c r="V48"/>
  <c r="U47"/>
  <c r="W47" s="1"/>
  <c r="AL67" i="118"/>
  <c r="R18" i="111"/>
  <c r="R218"/>
  <c r="AB92"/>
  <c r="V90"/>
  <c r="S89"/>
  <c r="S75"/>
  <c r="V91"/>
  <c r="AB56" i="116"/>
  <c r="AK56" i="118" s="1"/>
  <c r="R24" i="111"/>
  <c r="R44"/>
  <c r="AB28"/>
  <c r="AB51"/>
  <c r="T208"/>
  <c r="T21"/>
  <c r="V50"/>
  <c r="T54"/>
  <c r="V92"/>
  <c r="V42"/>
  <c r="AB116"/>
  <c r="AB106"/>
  <c r="Y124"/>
  <c r="AB83"/>
  <c r="AB73"/>
  <c r="AA80"/>
  <c r="AA79" s="1"/>
  <c r="Y58"/>
  <c r="Y79"/>
  <c r="V57"/>
  <c r="X113"/>
  <c r="X96" s="1"/>
  <c r="V68"/>
  <c r="Y32"/>
  <c r="Y33"/>
  <c r="AB35"/>
  <c r="AB189"/>
  <c r="AB134"/>
  <c r="AB36"/>
  <c r="V113"/>
  <c r="W96"/>
  <c r="AB61"/>
  <c r="AB63"/>
  <c r="U77"/>
  <c r="AB33"/>
  <c r="AB82"/>
  <c r="V88"/>
  <c r="V96"/>
  <c r="AB208" i="120"/>
  <c r="Y33"/>
  <c r="Y124"/>
  <c r="X57"/>
  <c r="X54" s="1"/>
  <c r="Y54" s="1"/>
  <c r="Y61"/>
  <c r="Z35"/>
  <c r="AA36"/>
  <c r="AA35" s="1"/>
  <c r="AA33" s="1"/>
  <c r="R285"/>
  <c r="R283"/>
  <c r="P285"/>
  <c r="S9"/>
  <c r="AB18"/>
  <c r="AB38"/>
  <c r="AB239"/>
  <c r="Z238"/>
  <c r="AB238" s="1"/>
  <c r="H7"/>
  <c r="J8"/>
  <c r="Z12"/>
  <c r="AB16"/>
  <c r="W175"/>
  <c r="Y175" s="1"/>
  <c r="Y176"/>
  <c r="AA128"/>
  <c r="AA127" s="1"/>
  <c r="Z127"/>
  <c r="AA80"/>
  <c r="AA79" s="1"/>
  <c r="AA78" s="1"/>
  <c r="AA77" s="1"/>
  <c r="AA69" s="1"/>
  <c r="Z79"/>
  <c r="AB178"/>
  <c r="Z177"/>
  <c r="R274"/>
  <c r="AA42"/>
  <c r="AA31" s="1"/>
  <c r="Z31"/>
  <c r="AA202"/>
  <c r="AA201" s="1"/>
  <c r="AA176" s="1"/>
  <c r="Z201"/>
  <c r="AA220"/>
  <c r="AA218" s="1"/>
  <c r="Z218"/>
  <c r="AA237"/>
  <c r="AA236" s="1"/>
  <c r="Z236"/>
  <c r="AB71"/>
  <c r="Z124"/>
  <c r="Z113" s="1"/>
  <c r="AA114"/>
  <c r="Z47"/>
  <c r="AA48"/>
  <c r="AA47" s="1"/>
  <c r="T8"/>
  <c r="AC8" s="1"/>
  <c r="AA134"/>
  <c r="AA133" s="1"/>
  <c r="Z133"/>
  <c r="U9"/>
  <c r="U8" s="1"/>
  <c r="U7" s="1"/>
  <c r="U6" s="1"/>
  <c r="U282" s="1"/>
  <c r="V10"/>
  <c r="AA106"/>
  <c r="AA105" s="1"/>
  <c r="Z105"/>
  <c r="W77"/>
  <c r="Y78"/>
  <c r="AB70"/>
  <c r="E274"/>
  <c r="G6"/>
  <c r="AB232"/>
  <c r="X126"/>
  <c r="X125" s="1"/>
  <c r="X96"/>
  <c r="Y96" s="1"/>
  <c r="Y127"/>
  <c r="Z61"/>
  <c r="AA62"/>
  <c r="AA61" s="1"/>
  <c r="AA59" s="1"/>
  <c r="M8"/>
  <c r="K7"/>
  <c r="Z68"/>
  <c r="AA58"/>
  <c r="AA55"/>
  <c r="Q7"/>
  <c r="S8"/>
  <c r="Y11"/>
  <c r="W10"/>
  <c r="AA99"/>
  <c r="AA98" s="1"/>
  <c r="Z98"/>
  <c r="W125"/>
  <c r="Y125" s="1"/>
  <c r="Y79"/>
  <c r="AB179"/>
  <c r="Y59"/>
  <c r="AB211"/>
  <c r="X10"/>
  <c r="E7" i="117"/>
  <c r="G7" s="1"/>
  <c r="AG41"/>
  <c r="AG123"/>
  <c r="AI41"/>
  <c r="AI123"/>
  <c r="T7" i="118"/>
  <c r="Q7"/>
  <c r="S8"/>
  <c r="Z53"/>
  <c r="V53"/>
  <c r="W53"/>
  <c r="Y53" s="1"/>
  <c r="M8"/>
  <c r="K7"/>
  <c r="Z68"/>
  <c r="Z8" s="1"/>
  <c r="AI8" s="1"/>
  <c r="V68"/>
  <c r="W68"/>
  <c r="Y68" s="1"/>
  <c r="X30"/>
  <c r="AC30"/>
  <c r="AA30"/>
  <c r="U9"/>
  <c r="V30"/>
  <c r="N6"/>
  <c r="E6"/>
  <c r="G7"/>
  <c r="J7"/>
  <c r="H6"/>
  <c r="O8"/>
  <c r="P9"/>
  <c r="T7" i="117"/>
  <c r="K7"/>
  <c r="M8"/>
  <c r="X30"/>
  <c r="AH30"/>
  <c r="AA30"/>
  <c r="AF30"/>
  <c r="V30"/>
  <c r="U9"/>
  <c r="Z8"/>
  <c r="S7"/>
  <c r="Q6"/>
  <c r="H6"/>
  <c r="J7"/>
  <c r="W8"/>
  <c r="N6"/>
  <c r="AF112"/>
  <c r="X112"/>
  <c r="Y112" s="1"/>
  <c r="AH112"/>
  <c r="AA112"/>
  <c r="V112"/>
  <c r="U95"/>
  <c r="P95"/>
  <c r="O8"/>
  <c r="P9"/>
  <c r="S8"/>
  <c r="X95" i="116"/>
  <c r="Y95" s="1"/>
  <c r="V95"/>
  <c r="M7"/>
  <c r="H6"/>
  <c r="J7"/>
  <c r="T6"/>
  <c r="AC68"/>
  <c r="O8"/>
  <c r="P9"/>
  <c r="AA41"/>
  <c r="AB41" s="1"/>
  <c r="AK41" i="118" s="1"/>
  <c r="X41" i="116"/>
  <c r="Y41" s="1"/>
  <c r="V41"/>
  <c r="W7"/>
  <c r="AA53"/>
  <c r="X53"/>
  <c r="Y53" s="1"/>
  <c r="V53"/>
  <c r="G8"/>
  <c r="E7"/>
  <c r="AA30"/>
  <c r="X30"/>
  <c r="U9"/>
  <c r="V30"/>
  <c r="Q6"/>
  <c r="N5"/>
  <c r="AG116"/>
  <c r="AB123"/>
  <c r="AC123" s="1"/>
  <c r="R8"/>
  <c r="S9"/>
  <c r="Z8"/>
  <c r="AC112"/>
  <c r="P446" i="92"/>
  <c r="O396"/>
  <c r="T507"/>
  <c r="R506"/>
  <c r="S506" s="1"/>
  <c r="R463"/>
  <c r="S463" s="1"/>
  <c r="T464"/>
  <c r="T467"/>
  <c r="R466"/>
  <c r="S466" s="1"/>
  <c r="T484"/>
  <c r="R483"/>
  <c r="R479" s="1"/>
  <c r="S479" s="1"/>
  <c r="T482"/>
  <c r="S464"/>
  <c r="S449"/>
  <c r="U450"/>
  <c r="U449" s="1"/>
  <c r="U448" s="1"/>
  <c r="T449"/>
  <c r="R459"/>
  <c r="S459" s="1"/>
  <c r="T460"/>
  <c r="S448"/>
  <c r="Q447"/>
  <c r="Q446" s="1"/>
  <c r="S467"/>
  <c r="S484"/>
  <c r="R440"/>
  <c r="R430" s="1"/>
  <c r="T441"/>
  <c r="R424"/>
  <c r="S424" s="1"/>
  <c r="T425"/>
  <c r="T421"/>
  <c r="U422"/>
  <c r="U421" s="1"/>
  <c r="T408"/>
  <c r="R407"/>
  <c r="S407" s="1"/>
  <c r="T401"/>
  <c r="U402"/>
  <c r="U401" s="1"/>
  <c r="S398"/>
  <c r="Q397"/>
  <c r="R398"/>
  <c r="T399"/>
  <c r="T405"/>
  <c r="R404"/>
  <c r="U438"/>
  <c r="U437" s="1"/>
  <c r="T437"/>
  <c r="N396"/>
  <c r="S441"/>
  <c r="S421"/>
  <c r="S437"/>
  <c r="S404"/>
  <c r="S425"/>
  <c r="Q414"/>
  <c r="Q430"/>
  <c r="U378"/>
  <c r="V378" s="1"/>
  <c r="T369"/>
  <c r="R368"/>
  <c r="S368" s="1"/>
  <c r="T343"/>
  <c r="R342"/>
  <c r="S342" s="1"/>
  <c r="T346"/>
  <c r="R345"/>
  <c r="S345" s="1"/>
  <c r="S346"/>
  <c r="R334"/>
  <c r="T316"/>
  <c r="R314"/>
  <c r="T325"/>
  <c r="R323"/>
  <c r="S323" s="1"/>
  <c r="Q310"/>
  <c r="T319"/>
  <c r="R317"/>
  <c r="S317" s="1"/>
  <c r="T322"/>
  <c r="R320"/>
  <c r="S320" s="1"/>
  <c r="V315"/>
  <c r="V324"/>
  <c r="V318"/>
  <c r="V321"/>
  <c r="S316"/>
  <c r="P86" i="115"/>
  <c r="Q70"/>
  <c r="Q88" s="1"/>
  <c r="Q91" s="1"/>
  <c r="R69"/>
  <c r="O56"/>
  <c r="H78"/>
  <c r="H77"/>
  <c r="E74"/>
  <c r="E73"/>
  <c r="H73"/>
  <c r="E72"/>
  <c r="H72"/>
  <c r="H71"/>
  <c r="E71"/>
  <c r="F69"/>
  <c r="F88" s="1"/>
  <c r="F91" s="1"/>
  <c r="H70"/>
  <c r="E68"/>
  <c r="E67"/>
  <c r="H68"/>
  <c r="H67"/>
  <c r="H64"/>
  <c r="E64"/>
  <c r="H63"/>
  <c r="H62"/>
  <c r="E66"/>
  <c r="G93"/>
  <c r="I88"/>
  <c r="I91" s="1"/>
  <c r="F86"/>
  <c r="E58"/>
  <c r="E57"/>
  <c r="AJ67" i="118" l="1"/>
  <c r="AM67" s="1"/>
  <c r="AC67" i="116"/>
  <c r="AJ56" i="118"/>
  <c r="X53" i="117"/>
  <c r="Y53" s="1"/>
  <c r="AF53"/>
  <c r="AH53"/>
  <c r="AA53"/>
  <c r="AB53" s="1"/>
  <c r="V53"/>
  <c r="AA113" i="121"/>
  <c r="AA124"/>
  <c r="AB124" s="1"/>
  <c r="AA124" i="111"/>
  <c r="AB124" s="1"/>
  <c r="Z113" i="121"/>
  <c r="AA57"/>
  <c r="AA54" s="1"/>
  <c r="AA57" i="111"/>
  <c r="AA31"/>
  <c r="AA31" i="121"/>
  <c r="Z57" i="111"/>
  <c r="Z57" i="121"/>
  <c r="Z54" s="1"/>
  <c r="AA98" i="111"/>
  <c r="AB98" s="1"/>
  <c r="AA98" i="121"/>
  <c r="AB98" s="1"/>
  <c r="AA68"/>
  <c r="AB68" s="1"/>
  <c r="AA68" i="111"/>
  <c r="AB27" i="121"/>
  <c r="AB24"/>
  <c r="AB76"/>
  <c r="AB237" i="111"/>
  <c r="AB188" i="121"/>
  <c r="Z44"/>
  <c r="Z201" i="111"/>
  <c r="Z201" i="121"/>
  <c r="Z203" s="1"/>
  <c r="AA45"/>
  <c r="AB45" s="1"/>
  <c r="AA45" i="111"/>
  <c r="AB45" s="1"/>
  <c r="X203" i="121"/>
  <c r="Y203" s="1"/>
  <c r="Y201"/>
  <c r="AB180"/>
  <c r="AA202"/>
  <c r="AB202" s="1"/>
  <c r="AA202" i="111"/>
  <c r="AB202" s="1"/>
  <c r="X176" i="121"/>
  <c r="X175" s="1"/>
  <c r="Y175" s="1"/>
  <c r="W77"/>
  <c r="W69" s="1"/>
  <c r="AB22"/>
  <c r="Z12"/>
  <c r="Z11" s="1"/>
  <c r="AA204"/>
  <c r="AA206" s="1"/>
  <c r="AB206" s="1"/>
  <c r="AA204" i="111"/>
  <c r="Z177"/>
  <c r="AB177" s="1"/>
  <c r="AB178"/>
  <c r="AA19" i="121"/>
  <c r="AA19" i="111"/>
  <c r="AA177" i="121"/>
  <c r="AA16"/>
  <c r="AA18" s="1"/>
  <c r="AB18" s="1"/>
  <c r="AA16" i="111"/>
  <c r="Z177" i="121"/>
  <c r="E90" i="115"/>
  <c r="T493" i="92"/>
  <c r="R489"/>
  <c r="S489" s="1"/>
  <c r="AB53" i="118"/>
  <c r="AI53"/>
  <c r="Q89" i="115"/>
  <c r="Q86" s="1"/>
  <c r="O88"/>
  <c r="O91" s="1"/>
  <c r="R88"/>
  <c r="R91" s="1"/>
  <c r="R414" i="92"/>
  <c r="AB68" i="118"/>
  <c r="AK68" s="1"/>
  <c r="AI68"/>
  <c r="Y57" i="120"/>
  <c r="Y126"/>
  <c r="J7" i="121"/>
  <c r="Z236"/>
  <c r="AA236"/>
  <c r="AB222"/>
  <c r="AB218"/>
  <c r="AB118"/>
  <c r="AB120"/>
  <c r="AB133"/>
  <c r="Z126"/>
  <c r="X125"/>
  <c r="Y125" s="1"/>
  <c r="Y126"/>
  <c r="AB134"/>
  <c r="Y88"/>
  <c r="Y78"/>
  <c r="V42"/>
  <c r="V31"/>
  <c r="Y33"/>
  <c r="Y12"/>
  <c r="E274"/>
  <c r="G6"/>
  <c r="AB79"/>
  <c r="H274"/>
  <c r="J6"/>
  <c r="U69"/>
  <c r="V69" s="1"/>
  <c r="V77"/>
  <c r="Y11"/>
  <c r="N285"/>
  <c r="AB58"/>
  <c r="AB33"/>
  <c r="AB80"/>
  <c r="V96"/>
  <c r="AB179"/>
  <c r="Y124"/>
  <c r="AB215"/>
  <c r="T9"/>
  <c r="Y32"/>
  <c r="X96"/>
  <c r="M7"/>
  <c r="K6"/>
  <c r="X69"/>
  <c r="AB178"/>
  <c r="AB88"/>
  <c r="Y113"/>
  <c r="W96"/>
  <c r="R8"/>
  <c r="S9"/>
  <c r="V113"/>
  <c r="AB55"/>
  <c r="AB208"/>
  <c r="Z206" i="111"/>
  <c r="Y204"/>
  <c r="Y206"/>
  <c r="S218"/>
  <c r="Z190"/>
  <c r="AA190" s="1"/>
  <c r="Y188"/>
  <c r="Y190"/>
  <c r="V176"/>
  <c r="W176"/>
  <c r="Y113"/>
  <c r="Y88"/>
  <c r="T44"/>
  <c r="AC56" i="116"/>
  <c r="Y51" i="111"/>
  <c r="V56"/>
  <c r="Y91"/>
  <c r="V89"/>
  <c r="Y50"/>
  <c r="U54"/>
  <c r="V54" s="1"/>
  <c r="V47"/>
  <c r="Y92"/>
  <c r="AB53" i="116"/>
  <c r="AK53" i="118" s="1"/>
  <c r="U208" i="111"/>
  <c r="V208" s="1"/>
  <c r="T24"/>
  <c r="T18"/>
  <c r="U18" s="1"/>
  <c r="Y48"/>
  <c r="X47"/>
  <c r="Z47" s="1"/>
  <c r="AB56"/>
  <c r="AB89"/>
  <c r="T218"/>
  <c r="S68"/>
  <c r="S70"/>
  <c r="R69"/>
  <c r="AJ41" i="118"/>
  <c r="Y52" i="111"/>
  <c r="V215"/>
  <c r="Y90"/>
  <c r="AG112" i="117"/>
  <c r="E6"/>
  <c r="AK123" i="118"/>
  <c r="AJ30"/>
  <c r="AL30"/>
  <c r="AB90" i="111"/>
  <c r="AL123" i="118"/>
  <c r="AM123" s="1"/>
  <c r="AL112"/>
  <c r="AB112" i="117"/>
  <c r="AK112" i="118" s="1"/>
  <c r="AJ112"/>
  <c r="U21" i="111"/>
  <c r="V75"/>
  <c r="T70"/>
  <c r="W27"/>
  <c r="V240"/>
  <c r="Y28"/>
  <c r="S24"/>
  <c r="S18"/>
  <c r="Y96"/>
  <c r="V77"/>
  <c r="V31"/>
  <c r="AB88"/>
  <c r="AB26"/>
  <c r="Y78"/>
  <c r="AB80"/>
  <c r="AB79"/>
  <c r="Z113"/>
  <c r="X77"/>
  <c r="AB55"/>
  <c r="AA10" i="120"/>
  <c r="X9"/>
  <c r="X8" s="1"/>
  <c r="X7" s="1"/>
  <c r="X6" s="1"/>
  <c r="X282" s="1"/>
  <c r="X283" s="1"/>
  <c r="AB220"/>
  <c r="AB202"/>
  <c r="AB31"/>
  <c r="AB35"/>
  <c r="Z33"/>
  <c r="AB33" s="1"/>
  <c r="V9"/>
  <c r="AB80"/>
  <c r="AB36"/>
  <c r="T283"/>
  <c r="T284" s="1"/>
  <c r="R284"/>
  <c r="U285"/>
  <c r="U286" s="1"/>
  <c r="U283"/>
  <c r="R286"/>
  <c r="S285"/>
  <c r="AB99"/>
  <c r="Y77"/>
  <c r="W69"/>
  <c r="Y69" s="1"/>
  <c r="AB12"/>
  <c r="Z11"/>
  <c r="AB98"/>
  <c r="Z96"/>
  <c r="AA68"/>
  <c r="AA57" s="1"/>
  <c r="AA54" s="1"/>
  <c r="AB79"/>
  <c r="Z78"/>
  <c r="Z126"/>
  <c r="AB127"/>
  <c r="AB62"/>
  <c r="AB133"/>
  <c r="AB48"/>
  <c r="AB236"/>
  <c r="Y10"/>
  <c r="AA124"/>
  <c r="AA113" s="1"/>
  <c r="H6"/>
  <c r="J7"/>
  <c r="AB55"/>
  <c r="AB58"/>
  <c r="AB106"/>
  <c r="AB134"/>
  <c r="AA175"/>
  <c r="AB218"/>
  <c r="AB128"/>
  <c r="Q6"/>
  <c r="Q282" s="1"/>
  <c r="S282" s="1"/>
  <c r="S7"/>
  <c r="M7"/>
  <c r="K6"/>
  <c r="Z59"/>
  <c r="AB59" s="1"/>
  <c r="AB61"/>
  <c r="U274"/>
  <c r="V8"/>
  <c r="T7"/>
  <c r="AC7" s="1"/>
  <c r="AB177"/>
  <c r="Z176"/>
  <c r="AA126"/>
  <c r="AA125" s="1"/>
  <c r="Z57"/>
  <c r="AB105"/>
  <c r="AB47"/>
  <c r="AB114"/>
  <c r="AB237"/>
  <c r="AB201"/>
  <c r="AB42"/>
  <c r="AG30" i="117"/>
  <c r="X9" i="118"/>
  <c r="Y30"/>
  <c r="N5"/>
  <c r="AD30"/>
  <c r="W8"/>
  <c r="J6"/>
  <c r="H5"/>
  <c r="AA9"/>
  <c r="AB30"/>
  <c r="Z7"/>
  <c r="M7"/>
  <c r="K6"/>
  <c r="Q6"/>
  <c r="S7"/>
  <c r="O7"/>
  <c r="P8"/>
  <c r="E5"/>
  <c r="G6"/>
  <c r="AC9"/>
  <c r="U8"/>
  <c r="AE9"/>
  <c r="V9"/>
  <c r="T6"/>
  <c r="H5" i="117"/>
  <c r="J6"/>
  <c r="AA9"/>
  <c r="AB30"/>
  <c r="T6"/>
  <c r="AF95"/>
  <c r="AA95"/>
  <c r="AH95"/>
  <c r="X95"/>
  <c r="Y95" s="1"/>
  <c r="V95"/>
  <c r="W7"/>
  <c r="X9"/>
  <c r="Y30"/>
  <c r="O7"/>
  <c r="P8"/>
  <c r="Z7"/>
  <c r="K6"/>
  <c r="M7"/>
  <c r="N5"/>
  <c r="S6"/>
  <c r="Q5"/>
  <c r="AF9"/>
  <c r="U8"/>
  <c r="AH9"/>
  <c r="V9"/>
  <c r="G6"/>
  <c r="E5"/>
  <c r="AI112"/>
  <c r="AI30"/>
  <c r="W6" i="116"/>
  <c r="N289"/>
  <c r="N290" s="1"/>
  <c r="N273"/>
  <c r="E6"/>
  <c r="G7"/>
  <c r="Z7"/>
  <c r="AA9"/>
  <c r="AB30"/>
  <c r="O7"/>
  <c r="P8"/>
  <c r="AC41"/>
  <c r="AC95"/>
  <c r="R7"/>
  <c r="S8"/>
  <c r="U8"/>
  <c r="V9"/>
  <c r="H5"/>
  <c r="J6"/>
  <c r="Q5"/>
  <c r="X9"/>
  <c r="Y30"/>
  <c r="T5"/>
  <c r="K5"/>
  <c r="M6"/>
  <c r="V402" i="92"/>
  <c r="V401"/>
  <c r="V422"/>
  <c r="P396"/>
  <c r="V438"/>
  <c r="S483"/>
  <c r="T506"/>
  <c r="U507"/>
  <c r="U506" s="1"/>
  <c r="T459"/>
  <c r="U460"/>
  <c r="U459" s="1"/>
  <c r="T463"/>
  <c r="U464"/>
  <c r="U463" s="1"/>
  <c r="V464"/>
  <c r="V450"/>
  <c r="U482"/>
  <c r="V482" s="1"/>
  <c r="T483"/>
  <c r="U484"/>
  <c r="U483" s="1"/>
  <c r="V449"/>
  <c r="T448"/>
  <c r="U467"/>
  <c r="U466" s="1"/>
  <c r="T466"/>
  <c r="R447"/>
  <c r="R446" s="1"/>
  <c r="T404"/>
  <c r="U405"/>
  <c r="U404" s="1"/>
  <c r="R397"/>
  <c r="S397" s="1"/>
  <c r="V437"/>
  <c r="V421"/>
  <c r="T440"/>
  <c r="T430" s="1"/>
  <c r="U441"/>
  <c r="U440" s="1"/>
  <c r="U430" s="1"/>
  <c r="S414"/>
  <c r="Q413"/>
  <c r="U399"/>
  <c r="U398" s="1"/>
  <c r="T398"/>
  <c r="T407"/>
  <c r="U408"/>
  <c r="U407" s="1"/>
  <c r="T424"/>
  <c r="U425"/>
  <c r="U424" s="1"/>
  <c r="U414" s="1"/>
  <c r="R413"/>
  <c r="S430"/>
  <c r="S440"/>
  <c r="T368"/>
  <c r="U369"/>
  <c r="U368" s="1"/>
  <c r="T342"/>
  <c r="U343"/>
  <c r="U342" s="1"/>
  <c r="T345"/>
  <c r="U346"/>
  <c r="U345" s="1"/>
  <c r="T334"/>
  <c r="S334"/>
  <c r="U319"/>
  <c r="U317" s="1"/>
  <c r="T317"/>
  <c r="U325"/>
  <c r="U323" s="1"/>
  <c r="T323"/>
  <c r="U322"/>
  <c r="U320" s="1"/>
  <c r="T320"/>
  <c r="U316"/>
  <c r="U314" s="1"/>
  <c r="T314"/>
  <c r="R310"/>
  <c r="S310" s="1"/>
  <c r="S314"/>
  <c r="F93" i="115"/>
  <c r="I86"/>
  <c r="E88"/>
  <c r="AJ53" i="118" l="1"/>
  <c r="AG53" i="117"/>
  <c r="V342" i="92"/>
  <c r="V317"/>
  <c r="AI53" i="117"/>
  <c r="R89" i="115"/>
  <c r="R86" s="1"/>
  <c r="AB54" i="121"/>
  <c r="AA113" i="111"/>
  <c r="AB113" s="1"/>
  <c r="AB57" i="121"/>
  <c r="AB177"/>
  <c r="Y176"/>
  <c r="AA201"/>
  <c r="AA201" i="111"/>
  <c r="AB201" s="1"/>
  <c r="AA44" i="121"/>
  <c r="AB44" s="1"/>
  <c r="AA12"/>
  <c r="Z78"/>
  <c r="AB78" s="1"/>
  <c r="Z78" i="111"/>
  <c r="AA21" i="121"/>
  <c r="AB21" s="1"/>
  <c r="AB19"/>
  <c r="AB16"/>
  <c r="Z176"/>
  <c r="Z175" s="1"/>
  <c r="AA176"/>
  <c r="AA175" s="1"/>
  <c r="V441" i="92"/>
  <c r="AI7" i="118"/>
  <c r="O86" i="115"/>
  <c r="O4" s="1"/>
  <c r="O90" s="1"/>
  <c r="U310" i="92"/>
  <c r="T489"/>
  <c r="U493"/>
  <c r="AB236" i="121"/>
  <c r="AB68" i="120"/>
  <c r="AB237" i="121"/>
  <c r="AB204"/>
  <c r="AB205"/>
  <c r="AB126"/>
  <c r="Z125"/>
  <c r="AB125" s="1"/>
  <c r="Y96"/>
  <c r="W10"/>
  <c r="U10"/>
  <c r="U9" s="1"/>
  <c r="U8" s="1"/>
  <c r="U7" s="1"/>
  <c r="N286"/>
  <c r="Y69"/>
  <c r="T8"/>
  <c r="AA96"/>
  <c r="AA69"/>
  <c r="R7"/>
  <c r="S8"/>
  <c r="K274"/>
  <c r="M6"/>
  <c r="Y77"/>
  <c r="AA206" i="111"/>
  <c r="AB190"/>
  <c r="X176"/>
  <c r="S69"/>
  <c r="AM30" i="118"/>
  <c r="AK30"/>
  <c r="Y240" i="111"/>
  <c r="AM112" i="118"/>
  <c r="W21" i="111"/>
  <c r="U24"/>
  <c r="W208"/>
  <c r="Y56"/>
  <c r="V25"/>
  <c r="U70"/>
  <c r="U69" s="1"/>
  <c r="V18"/>
  <c r="W18"/>
  <c r="X18" s="1"/>
  <c r="U44"/>
  <c r="T69"/>
  <c r="Q113"/>
  <c r="S124"/>
  <c r="AL41" i="118"/>
  <c r="AM41" s="1"/>
  <c r="V222" i="111"/>
  <c r="U218"/>
  <c r="V218" s="1"/>
  <c r="R12"/>
  <c r="AB95" i="117"/>
  <c r="AK95" i="118" s="1"/>
  <c r="AJ95"/>
  <c r="X27" i="111"/>
  <c r="AB240"/>
  <c r="Q54"/>
  <c r="S57"/>
  <c r="AA47"/>
  <c r="AB47" s="1"/>
  <c r="AJ9" i="118"/>
  <c r="V46" i="111"/>
  <c r="AG9" i="117"/>
  <c r="Y47" i="111"/>
  <c r="V21"/>
  <c r="Y89"/>
  <c r="Y77"/>
  <c r="Y68"/>
  <c r="X54"/>
  <c r="Z96"/>
  <c r="W54"/>
  <c r="AB114"/>
  <c r="Y42"/>
  <c r="AB58"/>
  <c r="AB68"/>
  <c r="X285" i="120"/>
  <c r="X286" s="1"/>
  <c r="Z286" s="1"/>
  <c r="AB124"/>
  <c r="X274"/>
  <c r="W286"/>
  <c r="W283"/>
  <c r="W284" s="1"/>
  <c r="U284"/>
  <c r="Z283"/>
  <c r="Z284" s="1"/>
  <c r="T286"/>
  <c r="R287"/>
  <c r="AA96"/>
  <c r="AB96" s="1"/>
  <c r="AB113"/>
  <c r="AB78"/>
  <c r="Z77"/>
  <c r="T6"/>
  <c r="V7"/>
  <c r="AB126"/>
  <c r="Z125"/>
  <c r="AB125" s="1"/>
  <c r="Q274"/>
  <c r="S6"/>
  <c r="Z10"/>
  <c r="AB11"/>
  <c r="H274"/>
  <c r="J6"/>
  <c r="AB57"/>
  <c r="Z54"/>
  <c r="AB54" s="1"/>
  <c r="AB176"/>
  <c r="Z175"/>
  <c r="AB175" s="1"/>
  <c r="K274"/>
  <c r="M6"/>
  <c r="W9"/>
  <c r="AC30" i="116"/>
  <c r="AI95" i="117"/>
  <c r="AD9" i="118"/>
  <c r="O6"/>
  <c r="P7"/>
  <c r="X8"/>
  <c r="X7" s="1"/>
  <c r="X6" s="1"/>
  <c r="X5" s="1"/>
  <c r="Y9"/>
  <c r="T5"/>
  <c r="AC8"/>
  <c r="U7"/>
  <c r="AE8"/>
  <c r="V8"/>
  <c r="M6"/>
  <c r="K5"/>
  <c r="W7"/>
  <c r="E273"/>
  <c r="G5"/>
  <c r="Q5"/>
  <c r="S6"/>
  <c r="Z6"/>
  <c r="N289"/>
  <c r="N290" s="1"/>
  <c r="N273"/>
  <c r="AF9"/>
  <c r="AA8"/>
  <c r="AB9"/>
  <c r="H273"/>
  <c r="J5"/>
  <c r="Q273" i="117"/>
  <c r="S5"/>
  <c r="H273"/>
  <c r="J5"/>
  <c r="N289"/>
  <c r="N290" s="1"/>
  <c r="N273"/>
  <c r="X8"/>
  <c r="Y9"/>
  <c r="E273"/>
  <c r="G5"/>
  <c r="U7"/>
  <c r="AH8"/>
  <c r="AF8"/>
  <c r="V8"/>
  <c r="Z6"/>
  <c r="AA8"/>
  <c r="AB9"/>
  <c r="AG95"/>
  <c r="T5"/>
  <c r="K5"/>
  <c r="M6"/>
  <c r="O6"/>
  <c r="P7"/>
  <c r="W6"/>
  <c r="AI9"/>
  <c r="T273" i="116"/>
  <c r="AA8"/>
  <c r="AB9"/>
  <c r="Q273"/>
  <c r="W5"/>
  <c r="U7"/>
  <c r="V8"/>
  <c r="G6"/>
  <c r="E5"/>
  <c r="M5"/>
  <c r="K273"/>
  <c r="X8"/>
  <c r="Y9"/>
  <c r="H273"/>
  <c r="J5"/>
  <c r="R6"/>
  <c r="S7"/>
  <c r="O6"/>
  <c r="P7"/>
  <c r="Z6"/>
  <c r="U447" i="92"/>
  <c r="V323"/>
  <c r="V319"/>
  <c r="V346"/>
  <c r="V345"/>
  <c r="V369"/>
  <c r="V399"/>
  <c r="V424"/>
  <c r="U413"/>
  <c r="V430"/>
  <c r="V440"/>
  <c r="V466"/>
  <c r="V459"/>
  <c r="V463"/>
  <c r="V484"/>
  <c r="V483"/>
  <c r="S447"/>
  <c r="V506"/>
  <c r="V507"/>
  <c r="V467"/>
  <c r="U479"/>
  <c r="V460"/>
  <c r="T447"/>
  <c r="V448"/>
  <c r="T479"/>
  <c r="S446"/>
  <c r="V398"/>
  <c r="T397"/>
  <c r="T414"/>
  <c r="V405"/>
  <c r="V408"/>
  <c r="S413"/>
  <c r="R396"/>
  <c r="V425"/>
  <c r="V407"/>
  <c r="U397"/>
  <c r="Q396"/>
  <c r="S396" s="1"/>
  <c r="V404"/>
  <c r="V368"/>
  <c r="V343"/>
  <c r="U334"/>
  <c r="V314"/>
  <c r="T310"/>
  <c r="V310" s="1"/>
  <c r="V316"/>
  <c r="V322"/>
  <c r="V320"/>
  <c r="V325"/>
  <c r="I89" i="115"/>
  <c r="I93" s="1"/>
  <c r="H89"/>
  <c r="H93" s="1"/>
  <c r="E93"/>
  <c r="E91"/>
  <c r="D102"/>
  <c r="D101"/>
  <c r="AC9" i="116" l="1"/>
  <c r="AA96" i="111"/>
  <c r="AB96" s="1"/>
  <c r="AB175" i="121"/>
  <c r="AA203"/>
  <c r="AB203" s="1"/>
  <c r="AB201"/>
  <c r="AB176"/>
  <c r="AA11"/>
  <c r="AB11" s="1"/>
  <c r="AB12"/>
  <c r="AB78" i="111"/>
  <c r="Z77"/>
  <c r="AA77" s="1"/>
  <c r="Z77" i="121"/>
  <c r="Z69" s="1"/>
  <c r="AB69" s="1"/>
  <c r="U396" i="92"/>
  <c r="AI6" i="118"/>
  <c r="T446" i="92"/>
  <c r="V446" s="1"/>
  <c r="U489"/>
  <c r="V489" s="1"/>
  <c r="V493"/>
  <c r="T282" i="120"/>
  <c r="V282" s="1"/>
  <c r="AC6"/>
  <c r="V10" i="121"/>
  <c r="AB114"/>
  <c r="X10"/>
  <c r="V9"/>
  <c r="S7"/>
  <c r="AB113"/>
  <c r="Z96"/>
  <c r="AB96" s="1"/>
  <c r="V8"/>
  <c r="T7"/>
  <c r="Y42"/>
  <c r="W9"/>
  <c r="AB204" i="111"/>
  <c r="AB206"/>
  <c r="AA176"/>
  <c r="AB188"/>
  <c r="Y176"/>
  <c r="Z176"/>
  <c r="S54"/>
  <c r="S42"/>
  <c r="R11"/>
  <c r="AJ8" i="118"/>
  <c r="V70" i="111"/>
  <c r="V69"/>
  <c r="W218"/>
  <c r="W44"/>
  <c r="V44"/>
  <c r="X208"/>
  <c r="X21"/>
  <c r="V19"/>
  <c r="Z27"/>
  <c r="AA27" s="1"/>
  <c r="V16"/>
  <c r="T12"/>
  <c r="Y18"/>
  <c r="Z18"/>
  <c r="Y75"/>
  <c r="W70"/>
  <c r="W24"/>
  <c r="U12"/>
  <c r="U11" s="1"/>
  <c r="Q96"/>
  <c r="S113"/>
  <c r="AK9" i="118"/>
  <c r="AB48" i="111"/>
  <c r="Y215"/>
  <c r="Y27"/>
  <c r="V24"/>
  <c r="Y57"/>
  <c r="AB42"/>
  <c r="Y31"/>
  <c r="AB32"/>
  <c r="AA54"/>
  <c r="Y54"/>
  <c r="Z54"/>
  <c r="T285" i="120"/>
  <c r="V285" s="1"/>
  <c r="T287"/>
  <c r="W285"/>
  <c r="Y285" s="1"/>
  <c r="W287"/>
  <c r="U287"/>
  <c r="X287"/>
  <c r="Z285"/>
  <c r="Z287"/>
  <c r="X284"/>
  <c r="AB10"/>
  <c r="T274"/>
  <c r="AC274" s="1"/>
  <c r="V6"/>
  <c r="Y9"/>
  <c r="W8"/>
  <c r="AB77"/>
  <c r="Z69"/>
  <c r="AB69" s="1"/>
  <c r="AA9"/>
  <c r="AA8" s="1"/>
  <c r="AA7" s="1"/>
  <c r="AA6" s="1"/>
  <c r="AA282" s="1"/>
  <c r="Y8" i="118"/>
  <c r="AI8" i="117"/>
  <c r="AG8"/>
  <c r="AD8" i="118"/>
  <c r="O5"/>
  <c r="P6"/>
  <c r="Y7"/>
  <c r="W6"/>
  <c r="T273"/>
  <c r="Z4"/>
  <c r="W4"/>
  <c r="Q273"/>
  <c r="S5"/>
  <c r="Z5"/>
  <c r="X279"/>
  <c r="X273"/>
  <c r="X285"/>
  <c r="AA7"/>
  <c r="AB8"/>
  <c r="K273"/>
  <c r="M5"/>
  <c r="AC7"/>
  <c r="AD7" s="1"/>
  <c r="U6"/>
  <c r="AE7"/>
  <c r="V7"/>
  <c r="AF8"/>
  <c r="T273" i="117"/>
  <c r="Z4"/>
  <c r="W4"/>
  <c r="AA7"/>
  <c r="AB8"/>
  <c r="W5"/>
  <c r="K273"/>
  <c r="M5"/>
  <c r="O5"/>
  <c r="P6"/>
  <c r="Z5"/>
  <c r="U6"/>
  <c r="AF7"/>
  <c r="AH7"/>
  <c r="V7"/>
  <c r="X7"/>
  <c r="Y8"/>
  <c r="O5" i="116"/>
  <c r="P6"/>
  <c r="R5"/>
  <c r="S5" s="1"/>
  <c r="S6"/>
  <c r="X7"/>
  <c r="Y8"/>
  <c r="AA7"/>
  <c r="AB8"/>
  <c r="U6"/>
  <c r="V7"/>
  <c r="Z5"/>
  <c r="E273"/>
  <c r="G5"/>
  <c r="W273"/>
  <c r="Y284" s="1"/>
  <c r="U446" i="92"/>
  <c r="V479"/>
  <c r="V447"/>
  <c r="V397"/>
  <c r="V414"/>
  <c r="T413"/>
  <c r="V413" s="1"/>
  <c r="V334"/>
  <c r="M86" i="115"/>
  <c r="AB77" i="121" l="1"/>
  <c r="AB77" i="111"/>
  <c r="AI5" i="118"/>
  <c r="X9" i="121"/>
  <c r="X8" s="1"/>
  <c r="X7" s="1"/>
  <c r="Y10"/>
  <c r="Y31"/>
  <c r="Z10"/>
  <c r="AB42"/>
  <c r="W8"/>
  <c r="V7"/>
  <c r="AB32"/>
  <c r="AB176" i="111"/>
  <c r="S96"/>
  <c r="Y25"/>
  <c r="AB27"/>
  <c r="AB25"/>
  <c r="Z208"/>
  <c r="Y222"/>
  <c r="X218"/>
  <c r="Y218" s="1"/>
  <c r="W69"/>
  <c r="AA18"/>
  <c r="Y208"/>
  <c r="X44"/>
  <c r="Z44" s="1"/>
  <c r="X24"/>
  <c r="Y16"/>
  <c r="Z21"/>
  <c r="AA21" s="1"/>
  <c r="V22"/>
  <c r="X70"/>
  <c r="X69" s="1"/>
  <c r="T11"/>
  <c r="V11" s="1"/>
  <c r="V12"/>
  <c r="AJ7" i="118"/>
  <c r="AK8"/>
  <c r="AC8" i="116"/>
  <c r="Y46" i="111"/>
  <c r="Y21"/>
  <c r="AB57"/>
  <c r="AB54"/>
  <c r="AA285" i="120"/>
  <c r="AA286" s="1"/>
  <c r="AA287" s="1"/>
  <c r="AA283"/>
  <c r="AA284" s="1"/>
  <c r="Y8"/>
  <c r="W7"/>
  <c r="Z9"/>
  <c r="AA274"/>
  <c r="AI7" i="117"/>
  <c r="AF7" i="118"/>
  <c r="O273"/>
  <c r="O289"/>
  <c r="O290" s="1"/>
  <c r="P5"/>
  <c r="X281"/>
  <c r="Y281" s="1"/>
  <c r="AC6"/>
  <c r="AD6" s="1"/>
  <c r="U5"/>
  <c r="AE6"/>
  <c r="V6"/>
  <c r="Z273"/>
  <c r="AA6"/>
  <c r="AB7"/>
  <c r="Y6"/>
  <c r="W5"/>
  <c r="Z273" i="117"/>
  <c r="AA6"/>
  <c r="AB7"/>
  <c r="X6"/>
  <c r="Y7"/>
  <c r="AH6"/>
  <c r="AF6"/>
  <c r="U5"/>
  <c r="V6"/>
  <c r="O289"/>
  <c r="O290" s="1"/>
  <c r="O273"/>
  <c r="P5"/>
  <c r="W273"/>
  <c r="AC5"/>
  <c r="AG7"/>
  <c r="U5" i="116"/>
  <c r="V6"/>
  <c r="X6"/>
  <c r="Y7"/>
  <c r="O289"/>
  <c r="O290" s="1"/>
  <c r="O273"/>
  <c r="P5"/>
  <c r="AA6"/>
  <c r="AB7"/>
  <c r="Z273"/>
  <c r="P284" s="1"/>
  <c r="T396" i="92"/>
  <c r="V396" s="1"/>
  <c r="E89" i="110"/>
  <c r="AI273" i="118" l="1"/>
  <c r="AK7"/>
  <c r="AG6" i="117"/>
  <c r="Y9" i="121"/>
  <c r="Z9"/>
  <c r="Y8"/>
  <c r="W7"/>
  <c r="AB16" i="111"/>
  <c r="X175"/>
  <c r="Y69"/>
  <c r="Y19"/>
  <c r="AI6" i="117"/>
  <c r="Z24" i="111"/>
  <c r="Z218"/>
  <c r="Z175" s="1"/>
  <c r="AA218"/>
  <c r="Z70"/>
  <c r="AB21"/>
  <c r="AB19"/>
  <c r="AB215"/>
  <c r="AA208"/>
  <c r="AB46"/>
  <c r="AA44"/>
  <c r="AB44" s="1"/>
  <c r="Y44"/>
  <c r="Y24"/>
  <c r="AB18"/>
  <c r="AJ6" i="118"/>
  <c r="W12" i="111"/>
  <c r="Y70"/>
  <c r="AB31"/>
  <c r="AB285" i="120"/>
  <c r="Y7"/>
  <c r="W6"/>
  <c r="W282" s="1"/>
  <c r="Y282" s="1"/>
  <c r="Z8"/>
  <c r="AB9"/>
  <c r="AF6" i="118"/>
  <c r="AA5"/>
  <c r="AB6"/>
  <c r="W273"/>
  <c r="X275" s="1"/>
  <c r="Y5"/>
  <c r="U273"/>
  <c r="U275" s="1"/>
  <c r="AC5"/>
  <c r="AD5" s="1"/>
  <c r="AE5"/>
  <c r="AA4"/>
  <c r="X4"/>
  <c r="V5"/>
  <c r="U273" i="117"/>
  <c r="U275" s="1"/>
  <c r="AH5"/>
  <c r="X4"/>
  <c r="AA4"/>
  <c r="AF5"/>
  <c r="V5"/>
  <c r="X5"/>
  <c r="Y6"/>
  <c r="AA5"/>
  <c r="AB6"/>
  <c r="U273" i="116"/>
  <c r="U275" s="1"/>
  <c r="V5"/>
  <c r="X5"/>
  <c r="Y6"/>
  <c r="AA5"/>
  <c r="AB6"/>
  <c r="AC7"/>
  <c r="H89" i="110"/>
  <c r="H91" s="1"/>
  <c r="E91"/>
  <c r="AA10" i="121" l="1"/>
  <c r="AB31"/>
  <c r="Y7"/>
  <c r="Z8"/>
  <c r="AA175" i="111"/>
  <c r="AB175" s="1"/>
  <c r="AB218"/>
  <c r="AB222"/>
  <c r="AB208"/>
  <c r="AG5" i="117"/>
  <c r="AF5" i="118"/>
  <c r="AA24" i="111"/>
  <c r="AA12" s="1"/>
  <c r="AA11" s="1"/>
  <c r="AA10" s="1"/>
  <c r="AB75"/>
  <c r="AA70"/>
  <c r="AA69" s="1"/>
  <c r="X12"/>
  <c r="X11" s="1"/>
  <c r="X10" s="1"/>
  <c r="X9" s="1"/>
  <c r="Z69"/>
  <c r="AA273" i="118"/>
  <c r="AJ5"/>
  <c r="W11" i="111"/>
  <c r="AK6" i="118"/>
  <c r="AC6" i="116"/>
  <c r="Y22" i="111"/>
  <c r="W274" i="120"/>
  <c r="Y6"/>
  <c r="Z7"/>
  <c r="AB8"/>
  <c r="X278" i="118"/>
  <c r="Y278" s="1"/>
  <c r="AA279"/>
  <c r="AB5"/>
  <c r="Y4"/>
  <c r="AB4"/>
  <c r="AA273" i="117"/>
  <c r="AA275" s="1"/>
  <c r="AA277"/>
  <c r="AB5"/>
  <c r="AB4"/>
  <c r="Y4"/>
  <c r="X273"/>
  <c r="X275" s="1"/>
  <c r="X277"/>
  <c r="AD5"/>
  <c r="AD7"/>
  <c r="Y5"/>
  <c r="AI5"/>
  <c r="AA273" i="116"/>
  <c r="AA277"/>
  <c r="AD5"/>
  <c r="AA283"/>
  <c r="AB5"/>
  <c r="X277"/>
  <c r="X273"/>
  <c r="X275" s="1"/>
  <c r="AI5"/>
  <c r="AL5" s="1"/>
  <c r="Y5"/>
  <c r="AC5" s="1"/>
  <c r="K25" i="32"/>
  <c r="L29"/>
  <c r="J29"/>
  <c r="AA9" i="121" l="1"/>
  <c r="AB10"/>
  <c r="Z7"/>
  <c r="AB69" i="111"/>
  <c r="AB70"/>
  <c r="AJ273" i="118"/>
  <c r="AA9" i="111"/>
  <c r="AB22"/>
  <c r="Z12"/>
  <c r="AB24"/>
  <c r="Y11"/>
  <c r="AK5" i="118"/>
  <c r="Y12" i="111"/>
  <c r="AB7" i="120"/>
  <c r="Z6"/>
  <c r="Z282" s="1"/>
  <c r="AB282" s="1"/>
  <c r="AE5" i="117"/>
  <c r="AA275" i="118"/>
  <c r="AA278"/>
  <c r="AB278" s="1"/>
  <c r="AA281"/>
  <c r="AB281" s="1"/>
  <c r="AD7" i="116"/>
  <c r="AE5"/>
  <c r="AA275"/>
  <c r="Q284"/>
  <c r="J376" i="28"/>
  <c r="I376"/>
  <c r="J375"/>
  <c r="I375"/>
  <c r="I374"/>
  <c r="E376"/>
  <c r="E375"/>
  <c r="E374"/>
  <c r="D376"/>
  <c r="D375"/>
  <c r="D374"/>
  <c r="C373"/>
  <c r="J63"/>
  <c r="I63"/>
  <c r="J62"/>
  <c r="I62"/>
  <c r="I61"/>
  <c r="E63"/>
  <c r="E62"/>
  <c r="E61"/>
  <c r="D63"/>
  <c r="D62"/>
  <c r="D61"/>
  <c r="AA8" i="121" l="1"/>
  <c r="AB9"/>
  <c r="AB12" i="111"/>
  <c r="Z11"/>
  <c r="Z274" i="120"/>
  <c r="AB6"/>
  <c r="E400" i="28"/>
  <c r="E399"/>
  <c r="E398"/>
  <c r="D400"/>
  <c r="D399"/>
  <c r="D398"/>
  <c r="L12" i="32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C330" i="28"/>
  <c r="C331"/>
  <c r="F330"/>
  <c r="L330"/>
  <c r="M330"/>
  <c r="F331"/>
  <c r="F332"/>
  <c r="F397"/>
  <c r="H400"/>
  <c r="G400" s="1"/>
  <c r="H399"/>
  <c r="G399" s="1"/>
  <c r="H398"/>
  <c r="G398" s="1"/>
  <c r="M397"/>
  <c r="L397"/>
  <c r="K397"/>
  <c r="J397"/>
  <c r="K393"/>
  <c r="L393"/>
  <c r="E396"/>
  <c r="E395"/>
  <c r="E394"/>
  <c r="D396"/>
  <c r="D395"/>
  <c r="D394"/>
  <c r="E91"/>
  <c r="E90"/>
  <c r="E89"/>
  <c r="D91"/>
  <c r="D90"/>
  <c r="D89"/>
  <c r="AA7" i="121" l="1"/>
  <c r="AB8"/>
  <c r="AB11" i="111"/>
  <c r="Z10"/>
  <c r="I397" i="28"/>
  <c r="H397" s="1"/>
  <c r="G397" s="1"/>
  <c r="AB7" i="121" l="1"/>
  <c r="Z9" i="111"/>
  <c r="AB9" s="1"/>
  <c r="AB10"/>
  <c r="C17" i="28"/>
  <c r="F17"/>
  <c r="C18"/>
  <c r="F18"/>
  <c r="C19"/>
  <c r="F19"/>
  <c r="L17"/>
  <c r="M17"/>
  <c r="J88"/>
  <c r="K88"/>
  <c r="L88"/>
  <c r="M88"/>
  <c r="I88"/>
  <c r="H91"/>
  <c r="G91" s="1"/>
  <c r="H89"/>
  <c r="G89" s="1"/>
  <c r="H90" l="1"/>
  <c r="G90" s="1"/>
  <c r="H88"/>
  <c r="G88" s="1"/>
  <c r="S13" i="88" l="1"/>
  <c r="Z6"/>
  <c r="R13"/>
  <c r="Q13" l="1"/>
  <c r="P10" i="83" l="1"/>
  <c r="K224" i="28" s="1"/>
  <c r="K226" s="1"/>
  <c r="P15" i="83"/>
  <c r="K240" i="28" s="1"/>
  <c r="O5" i="83"/>
  <c r="N22"/>
  <c r="I268" i="28" s="1"/>
  <c r="I270" s="1"/>
  <c r="M576" i="92"/>
  <c r="K242" i="28" l="1"/>
  <c r="P568" i="92"/>
  <c r="J160" i="28"/>
  <c r="M585" i="92" s="1"/>
  <c r="P16" i="88"/>
  <c r="N21" i="83"/>
  <c r="I264" i="28" s="1"/>
  <c r="J574" i="92" s="1"/>
  <c r="J575"/>
  <c r="J268" i="28"/>
  <c r="J270" s="1"/>
  <c r="J264"/>
  <c r="J266" s="1"/>
  <c r="N11" i="83"/>
  <c r="I228" i="28" s="1"/>
  <c r="I230" s="1"/>
  <c r="N26" i="83"/>
  <c r="O6"/>
  <c r="O8"/>
  <c r="O14"/>
  <c r="O12"/>
  <c r="K252" i="28"/>
  <c r="K236"/>
  <c r="K238" s="1"/>
  <c r="K232"/>
  <c r="K234" s="1"/>
  <c r="P17" i="88"/>
  <c r="Q17" s="1"/>
  <c r="K304" i="28" s="1"/>
  <c r="K305" s="1"/>
  <c r="AC2" i="84"/>
  <c r="R11"/>
  <c r="I497" i="28" s="1"/>
  <c r="P297" i="121" s="1"/>
  <c r="L562" i="28"/>
  <c r="H562" s="1"/>
  <c r="V17" i="84"/>
  <c r="U17"/>
  <c r="T17"/>
  <c r="P304" i="111"/>
  <c r="R16" i="84"/>
  <c r="I513" i="28" s="1"/>
  <c r="P300" i="121" s="1"/>
  <c r="P25" i="88"/>
  <c r="Q25" s="1"/>
  <c r="K553" i="28" s="1"/>
  <c r="V306" i="121" s="1"/>
  <c r="L558" i="28"/>
  <c r="T18" i="84"/>
  <c r="K521" i="28" s="1"/>
  <c r="K523" l="1"/>
  <c r="V302" i="121"/>
  <c r="P291"/>
  <c r="I515" i="28"/>
  <c r="I499"/>
  <c r="J162"/>
  <c r="V302" i="111"/>
  <c r="K554" i="28"/>
  <c r="I266"/>
  <c r="K254"/>
  <c r="P571" i="92"/>
  <c r="K208" i="28"/>
  <c r="K210" s="1"/>
  <c r="L280"/>
  <c r="L276"/>
  <c r="L204"/>
  <c r="S559" i="92" s="1"/>
  <c r="K280" i="28"/>
  <c r="K282" s="1"/>
  <c r="K228"/>
  <c r="P9" i="83"/>
  <c r="K220" i="28" s="1"/>
  <c r="P563" i="92" s="1"/>
  <c r="K216" i="28"/>
  <c r="K204"/>
  <c r="O16" i="83"/>
  <c r="AB306" i="111"/>
  <c r="Y306"/>
  <c r="V306"/>
  <c r="AA305"/>
  <c r="Z305"/>
  <c r="X305"/>
  <c r="W305"/>
  <c r="U305"/>
  <c r="T305"/>
  <c r="R305"/>
  <c r="Q305"/>
  <c r="O305"/>
  <c r="N305"/>
  <c r="Y304"/>
  <c r="V304"/>
  <c r="S304"/>
  <c r="AK303"/>
  <c r="AF303"/>
  <c r="S303"/>
  <c r="P303"/>
  <c r="AK302"/>
  <c r="AF302"/>
  <c r="AB302"/>
  <c r="P302"/>
  <c r="AK301"/>
  <c r="AF301"/>
  <c r="S301"/>
  <c r="P301"/>
  <c r="AK300"/>
  <c r="AF300"/>
  <c r="Y300"/>
  <c r="V300"/>
  <c r="S300"/>
  <c r="P300"/>
  <c r="AK299"/>
  <c r="AF299"/>
  <c r="P299"/>
  <c r="AK298"/>
  <c r="AF298"/>
  <c r="Y298"/>
  <c r="V298"/>
  <c r="S298"/>
  <c r="P298"/>
  <c r="AK297"/>
  <c r="AF297"/>
  <c r="Y297"/>
  <c r="V297"/>
  <c r="S297"/>
  <c r="P297"/>
  <c r="AK296"/>
  <c r="AF296"/>
  <c r="V296"/>
  <c r="S296"/>
  <c r="P296"/>
  <c r="AK295"/>
  <c r="AF295"/>
  <c r="AB295"/>
  <c r="P295"/>
  <c r="AK294"/>
  <c r="AF294"/>
  <c r="S294"/>
  <c r="P294"/>
  <c r="AK293"/>
  <c r="AF293"/>
  <c r="V293"/>
  <c r="P293"/>
  <c r="AK292"/>
  <c r="AF292"/>
  <c r="V292"/>
  <c r="P292"/>
  <c r="AK291"/>
  <c r="AF291"/>
  <c r="AA291"/>
  <c r="AA290" s="1"/>
  <c r="Z291"/>
  <c r="X291"/>
  <c r="W291"/>
  <c r="W290" s="1"/>
  <c r="U291"/>
  <c r="U290" s="1"/>
  <c r="T291"/>
  <c r="R291"/>
  <c r="Q291"/>
  <c r="Q290" s="1"/>
  <c r="O291"/>
  <c r="N291"/>
  <c r="L273"/>
  <c r="M273" s="1"/>
  <c r="J273"/>
  <c r="G273"/>
  <c r="P272"/>
  <c r="P271"/>
  <c r="M271"/>
  <c r="J271"/>
  <c r="G271"/>
  <c r="P270"/>
  <c r="M270"/>
  <c r="J270"/>
  <c r="G270"/>
  <c r="P269"/>
  <c r="M269"/>
  <c r="J269"/>
  <c r="G269"/>
  <c r="P268"/>
  <c r="M268"/>
  <c r="J268"/>
  <c r="G268"/>
  <c r="P267"/>
  <c r="M267"/>
  <c r="J267"/>
  <c r="G267"/>
  <c r="O266"/>
  <c r="AL265" i="118" s="1"/>
  <c r="AM265" s="1"/>
  <c r="N266" i="111"/>
  <c r="L266"/>
  <c r="K266"/>
  <c r="I266"/>
  <c r="H266"/>
  <c r="F266"/>
  <c r="E266"/>
  <c r="P265"/>
  <c r="M265"/>
  <c r="J265"/>
  <c r="G265"/>
  <c r="P264"/>
  <c r="M264"/>
  <c r="J264"/>
  <c r="G264"/>
  <c r="P263"/>
  <c r="M263"/>
  <c r="J263"/>
  <c r="G263"/>
  <c r="P262"/>
  <c r="M262"/>
  <c r="J262"/>
  <c r="G262"/>
  <c r="P261"/>
  <c r="M261"/>
  <c r="J261"/>
  <c r="G261"/>
  <c r="O260"/>
  <c r="AL259" i="118" s="1"/>
  <c r="AM259" s="1"/>
  <c r="N260" i="111"/>
  <c r="L260"/>
  <c r="K260"/>
  <c r="I260"/>
  <c r="H260"/>
  <c r="F260"/>
  <c r="E260"/>
  <c r="P259"/>
  <c r="M259"/>
  <c r="J259"/>
  <c r="G259"/>
  <c r="M258"/>
  <c r="J258"/>
  <c r="G258"/>
  <c r="P257"/>
  <c r="M257"/>
  <c r="J257"/>
  <c r="G257"/>
  <c r="N256"/>
  <c r="L256"/>
  <c r="K256"/>
  <c r="I256"/>
  <c r="H256"/>
  <c r="F256"/>
  <c r="E256"/>
  <c r="P255"/>
  <c r="M255"/>
  <c r="J255"/>
  <c r="G255"/>
  <c r="P254"/>
  <c r="M254"/>
  <c r="J254"/>
  <c r="G254"/>
  <c r="O253"/>
  <c r="AL252" i="118" s="1"/>
  <c r="AM252" s="1"/>
  <c r="N253" i="111"/>
  <c r="L253"/>
  <c r="K253"/>
  <c r="I253"/>
  <c r="H253"/>
  <c r="F253"/>
  <c r="E253"/>
  <c r="P251"/>
  <c r="M251"/>
  <c r="J251"/>
  <c r="G251"/>
  <c r="P250"/>
  <c r="M250"/>
  <c r="J250"/>
  <c r="G250"/>
  <c r="P249"/>
  <c r="M249"/>
  <c r="J249"/>
  <c r="G249"/>
  <c r="M248"/>
  <c r="J248"/>
  <c r="G248"/>
  <c r="P247"/>
  <c r="M247"/>
  <c r="J247"/>
  <c r="G247"/>
  <c r="P246"/>
  <c r="M246"/>
  <c r="J246"/>
  <c r="G246"/>
  <c r="P245"/>
  <c r="M245"/>
  <c r="J245"/>
  <c r="G245"/>
  <c r="P244"/>
  <c r="M244"/>
  <c r="J244"/>
  <c r="G244"/>
  <c r="N243"/>
  <c r="N242" s="1"/>
  <c r="L243"/>
  <c r="L242" s="1"/>
  <c r="L239" s="1"/>
  <c r="L238" s="1"/>
  <c r="K243"/>
  <c r="K242" s="1"/>
  <c r="I243"/>
  <c r="I242" s="1"/>
  <c r="I239" s="1"/>
  <c r="I238" s="1"/>
  <c r="H243"/>
  <c r="F243"/>
  <c r="F242" s="1"/>
  <c r="E243"/>
  <c r="E242" s="1"/>
  <c r="E239" s="1"/>
  <c r="E238" s="1"/>
  <c r="P241"/>
  <c r="M241"/>
  <c r="J241"/>
  <c r="G241"/>
  <c r="M240"/>
  <c r="J240"/>
  <c r="G240"/>
  <c r="M237"/>
  <c r="J237"/>
  <c r="G237"/>
  <c r="L236"/>
  <c r="K236"/>
  <c r="I236"/>
  <c r="H236"/>
  <c r="F236"/>
  <c r="E236"/>
  <c r="M233"/>
  <c r="J233"/>
  <c r="G233"/>
  <c r="M232"/>
  <c r="J232"/>
  <c r="G232"/>
  <c r="P231"/>
  <c r="M231"/>
  <c r="J231"/>
  <c r="G231"/>
  <c r="N230"/>
  <c r="L230"/>
  <c r="K230"/>
  <c r="I230"/>
  <c r="H230"/>
  <c r="F230"/>
  <c r="E230"/>
  <c r="P229"/>
  <c r="M229"/>
  <c r="J229"/>
  <c r="G229"/>
  <c r="P228"/>
  <c r="M228"/>
  <c r="J228"/>
  <c r="G228"/>
  <c r="P227"/>
  <c r="M227"/>
  <c r="J227"/>
  <c r="G227"/>
  <c r="O226"/>
  <c r="AL225" i="118" s="1"/>
  <c r="AM225" s="1"/>
  <c r="N226" i="111"/>
  <c r="L226"/>
  <c r="K226"/>
  <c r="I226"/>
  <c r="H226"/>
  <c r="F226"/>
  <c r="E226"/>
  <c r="P225"/>
  <c r="M225"/>
  <c r="J225"/>
  <c r="G225"/>
  <c r="P224"/>
  <c r="M224"/>
  <c r="J224"/>
  <c r="G224"/>
  <c r="P223"/>
  <c r="M223"/>
  <c r="J223"/>
  <c r="G223"/>
  <c r="N218"/>
  <c r="L222"/>
  <c r="M222" s="1"/>
  <c r="K222"/>
  <c r="J222"/>
  <c r="G222"/>
  <c r="P221"/>
  <c r="M221"/>
  <c r="J221"/>
  <c r="G221"/>
  <c r="P220"/>
  <c r="M220"/>
  <c r="J220"/>
  <c r="G220"/>
  <c r="P219"/>
  <c r="M219"/>
  <c r="J219"/>
  <c r="G219"/>
  <c r="L218"/>
  <c r="K218"/>
  <c r="I218"/>
  <c r="H218"/>
  <c r="F218"/>
  <c r="E218"/>
  <c r="P217"/>
  <c r="M217"/>
  <c r="J217"/>
  <c r="G217"/>
  <c r="M216"/>
  <c r="J216"/>
  <c r="G216"/>
  <c r="M215"/>
  <c r="J215"/>
  <c r="G215"/>
  <c r="P214"/>
  <c r="M214"/>
  <c r="J214"/>
  <c r="G214"/>
  <c r="P213"/>
  <c r="M213"/>
  <c r="J213"/>
  <c r="G213"/>
  <c r="L212"/>
  <c r="L208" s="1"/>
  <c r="K212"/>
  <c r="I212"/>
  <c r="H212"/>
  <c r="F212"/>
  <c r="E212"/>
  <c r="E208" s="1"/>
  <c r="M211"/>
  <c r="J211"/>
  <c r="G211"/>
  <c r="P210"/>
  <c r="M210"/>
  <c r="J210"/>
  <c r="G210"/>
  <c r="P209"/>
  <c r="M209"/>
  <c r="J209"/>
  <c r="G209"/>
  <c r="I208"/>
  <c r="L207"/>
  <c r="K207"/>
  <c r="I207"/>
  <c r="H207"/>
  <c r="F207"/>
  <c r="E207"/>
  <c r="M206"/>
  <c r="J206"/>
  <c r="G206"/>
  <c r="M205"/>
  <c r="J205"/>
  <c r="G205"/>
  <c r="L204"/>
  <c r="K204"/>
  <c r="I204"/>
  <c r="H204"/>
  <c r="F204"/>
  <c r="E204"/>
  <c r="M203"/>
  <c r="J203"/>
  <c r="G203"/>
  <c r="M202"/>
  <c r="J202"/>
  <c r="G202"/>
  <c r="L201"/>
  <c r="K201"/>
  <c r="I201"/>
  <c r="H201"/>
  <c r="F201"/>
  <c r="E201"/>
  <c r="P200"/>
  <c r="M200"/>
  <c r="J200"/>
  <c r="G200"/>
  <c r="P199"/>
  <c r="M199"/>
  <c r="J199"/>
  <c r="G199"/>
  <c r="P198"/>
  <c r="M198"/>
  <c r="J198"/>
  <c r="G198"/>
  <c r="P197"/>
  <c r="M197"/>
  <c r="J197"/>
  <c r="G197"/>
  <c r="P196"/>
  <c r="M196"/>
  <c r="J196"/>
  <c r="G196"/>
  <c r="L195"/>
  <c r="K195"/>
  <c r="I195"/>
  <c r="H195"/>
  <c r="F195"/>
  <c r="G195" s="1"/>
  <c r="E195"/>
  <c r="P194"/>
  <c r="M194"/>
  <c r="J194"/>
  <c r="G194"/>
  <c r="P193"/>
  <c r="M193"/>
  <c r="J193"/>
  <c r="G193"/>
  <c r="L192"/>
  <c r="K192"/>
  <c r="I192"/>
  <c r="H192"/>
  <c r="F192"/>
  <c r="E192"/>
  <c r="P191"/>
  <c r="M191"/>
  <c r="J191"/>
  <c r="G191"/>
  <c r="M190"/>
  <c r="J190"/>
  <c r="G190"/>
  <c r="M189"/>
  <c r="J189"/>
  <c r="G189"/>
  <c r="L188"/>
  <c r="K188"/>
  <c r="I188"/>
  <c r="H188"/>
  <c r="F188"/>
  <c r="E188"/>
  <c r="P187"/>
  <c r="M187"/>
  <c r="J187"/>
  <c r="G187"/>
  <c r="P186"/>
  <c r="M186"/>
  <c r="J186"/>
  <c r="G186"/>
  <c r="P185"/>
  <c r="M185"/>
  <c r="J185"/>
  <c r="G185"/>
  <c r="P184"/>
  <c r="L184"/>
  <c r="K184"/>
  <c r="I184"/>
  <c r="H184"/>
  <c r="J184" s="1"/>
  <c r="F184"/>
  <c r="E184"/>
  <c r="P183"/>
  <c r="M183"/>
  <c r="J183"/>
  <c r="G183"/>
  <c r="P182"/>
  <c r="M182"/>
  <c r="J182"/>
  <c r="G182"/>
  <c r="L181"/>
  <c r="K181"/>
  <c r="M181" s="1"/>
  <c r="I181"/>
  <c r="H181"/>
  <c r="F181"/>
  <c r="E181"/>
  <c r="M180"/>
  <c r="J180"/>
  <c r="G180"/>
  <c r="M179"/>
  <c r="J179"/>
  <c r="G179"/>
  <c r="L178"/>
  <c r="K178"/>
  <c r="M178" s="1"/>
  <c r="I178"/>
  <c r="H178"/>
  <c r="F178"/>
  <c r="E178"/>
  <c r="P174"/>
  <c r="M174"/>
  <c r="J174"/>
  <c r="G174"/>
  <c r="P173"/>
  <c r="M173"/>
  <c r="J173"/>
  <c r="G173"/>
  <c r="L172"/>
  <c r="K172"/>
  <c r="I172"/>
  <c r="H172"/>
  <c r="F172"/>
  <c r="E172"/>
  <c r="M171"/>
  <c r="J171"/>
  <c r="G171"/>
  <c r="M170"/>
  <c r="J170"/>
  <c r="G170"/>
  <c r="L169"/>
  <c r="K169"/>
  <c r="I169"/>
  <c r="H169"/>
  <c r="F169"/>
  <c r="G169" s="1"/>
  <c r="E169"/>
  <c r="P168"/>
  <c r="M168"/>
  <c r="J168"/>
  <c r="G168"/>
  <c r="P167"/>
  <c r="M167"/>
  <c r="J167"/>
  <c r="G167"/>
  <c r="L166"/>
  <c r="K166"/>
  <c r="I166"/>
  <c r="H166"/>
  <c r="F166"/>
  <c r="E166"/>
  <c r="P165"/>
  <c r="M165"/>
  <c r="J165"/>
  <c r="G165"/>
  <c r="P164"/>
  <c r="M164"/>
  <c r="J164"/>
  <c r="G164"/>
  <c r="L163"/>
  <c r="K163"/>
  <c r="I163"/>
  <c r="H163"/>
  <c r="F163"/>
  <c r="E163"/>
  <c r="P162"/>
  <c r="M162"/>
  <c r="J162"/>
  <c r="G162"/>
  <c r="P161"/>
  <c r="M161"/>
  <c r="J161"/>
  <c r="G161"/>
  <c r="L160"/>
  <c r="K160"/>
  <c r="I160"/>
  <c r="H160"/>
  <c r="F160"/>
  <c r="E160"/>
  <c r="P158"/>
  <c r="M158"/>
  <c r="J158"/>
  <c r="G158"/>
  <c r="P157"/>
  <c r="M157"/>
  <c r="J157"/>
  <c r="G157"/>
  <c r="L156"/>
  <c r="K156"/>
  <c r="I156"/>
  <c r="H156"/>
  <c r="F156"/>
  <c r="E156"/>
  <c r="M155"/>
  <c r="J155"/>
  <c r="G155"/>
  <c r="M154"/>
  <c r="J154"/>
  <c r="G154"/>
  <c r="L153"/>
  <c r="M153" s="1"/>
  <c r="K153"/>
  <c r="I153"/>
  <c r="H153"/>
  <c r="F153"/>
  <c r="E153"/>
  <c r="P152"/>
  <c r="M152"/>
  <c r="J152"/>
  <c r="G152"/>
  <c r="P151"/>
  <c r="M151"/>
  <c r="J151"/>
  <c r="G151"/>
  <c r="L150"/>
  <c r="K150"/>
  <c r="I150"/>
  <c r="H150"/>
  <c r="F150"/>
  <c r="E150"/>
  <c r="P149"/>
  <c r="M149"/>
  <c r="J149"/>
  <c r="G149"/>
  <c r="P148"/>
  <c r="M148"/>
  <c r="J148"/>
  <c r="G148"/>
  <c r="L147"/>
  <c r="K147"/>
  <c r="I147"/>
  <c r="H147"/>
  <c r="F147"/>
  <c r="E147"/>
  <c r="P146"/>
  <c r="M146"/>
  <c r="J146"/>
  <c r="G146"/>
  <c r="P145"/>
  <c r="M145"/>
  <c r="J145"/>
  <c r="G145"/>
  <c r="L144"/>
  <c r="K144"/>
  <c r="I144"/>
  <c r="H144"/>
  <c r="F144"/>
  <c r="E144"/>
  <c r="P141"/>
  <c r="M141"/>
  <c r="J141"/>
  <c r="G141"/>
  <c r="P140"/>
  <c r="M140"/>
  <c r="J140"/>
  <c r="G140"/>
  <c r="L139"/>
  <c r="K139"/>
  <c r="I139"/>
  <c r="H139"/>
  <c r="F139"/>
  <c r="E139"/>
  <c r="P138"/>
  <c r="M138"/>
  <c r="J138"/>
  <c r="G138"/>
  <c r="P137"/>
  <c r="M137"/>
  <c r="J137"/>
  <c r="G137"/>
  <c r="P136"/>
  <c r="L136"/>
  <c r="K136"/>
  <c r="I136"/>
  <c r="H136"/>
  <c r="F136"/>
  <c r="E136"/>
  <c r="M135"/>
  <c r="J135"/>
  <c r="G135"/>
  <c r="M134"/>
  <c r="J134"/>
  <c r="G134"/>
  <c r="L133"/>
  <c r="K133"/>
  <c r="I133"/>
  <c r="H133"/>
  <c r="F133"/>
  <c r="E133"/>
  <c r="P132"/>
  <c r="M132"/>
  <c r="J132"/>
  <c r="G132"/>
  <c r="P131"/>
  <c r="M131"/>
  <c r="J131"/>
  <c r="G131"/>
  <c r="Q130"/>
  <c r="L130"/>
  <c r="K130"/>
  <c r="I130"/>
  <c r="H130"/>
  <c r="F130"/>
  <c r="E130"/>
  <c r="P129"/>
  <c r="M129"/>
  <c r="J129"/>
  <c r="G129"/>
  <c r="P128"/>
  <c r="M128"/>
  <c r="J128"/>
  <c r="G128"/>
  <c r="L127"/>
  <c r="K127"/>
  <c r="I127"/>
  <c r="H127"/>
  <c r="F127"/>
  <c r="E127"/>
  <c r="K124"/>
  <c r="L124" s="1"/>
  <c r="J124"/>
  <c r="G124"/>
  <c r="L123"/>
  <c r="M123" s="1"/>
  <c r="J123"/>
  <c r="G123"/>
  <c r="P122"/>
  <c r="M122"/>
  <c r="J122"/>
  <c r="G122"/>
  <c r="L121"/>
  <c r="M121" s="1"/>
  <c r="K121"/>
  <c r="J121"/>
  <c r="G121"/>
  <c r="P120"/>
  <c r="L120"/>
  <c r="M120" s="1"/>
  <c r="J120"/>
  <c r="G120"/>
  <c r="P119"/>
  <c r="M119"/>
  <c r="J119"/>
  <c r="G119"/>
  <c r="L118"/>
  <c r="K118"/>
  <c r="I118"/>
  <c r="H118"/>
  <c r="J118" s="1"/>
  <c r="F118"/>
  <c r="E118"/>
  <c r="E115" s="1"/>
  <c r="P117"/>
  <c r="M117"/>
  <c r="J117"/>
  <c r="G117"/>
  <c r="K116"/>
  <c r="L116" s="1"/>
  <c r="M116" s="1"/>
  <c r="J116"/>
  <c r="G116"/>
  <c r="P115"/>
  <c r="I115"/>
  <c r="M112"/>
  <c r="J112"/>
  <c r="G112"/>
  <c r="M111"/>
  <c r="J111"/>
  <c r="G111"/>
  <c r="M110"/>
  <c r="J110"/>
  <c r="G110"/>
  <c r="M109"/>
  <c r="J109"/>
  <c r="G109"/>
  <c r="M108"/>
  <c r="J108"/>
  <c r="G108"/>
  <c r="M107"/>
  <c r="J107"/>
  <c r="G107"/>
  <c r="M106"/>
  <c r="J106"/>
  <c r="G106"/>
  <c r="L105"/>
  <c r="K105"/>
  <c r="H105"/>
  <c r="E105"/>
  <c r="G105" s="1"/>
  <c r="P104"/>
  <c r="M104"/>
  <c r="J104"/>
  <c r="G104"/>
  <c r="P103"/>
  <c r="M103"/>
  <c r="J103"/>
  <c r="G103"/>
  <c r="P102"/>
  <c r="M102"/>
  <c r="J102"/>
  <c r="G102"/>
  <c r="K101"/>
  <c r="J101"/>
  <c r="G101"/>
  <c r="M100"/>
  <c r="J100"/>
  <c r="G100"/>
  <c r="P99"/>
  <c r="M99"/>
  <c r="J99"/>
  <c r="G99"/>
  <c r="I98"/>
  <c r="H98"/>
  <c r="F98"/>
  <c r="F96" s="1"/>
  <c r="E98"/>
  <c r="M97"/>
  <c r="J97"/>
  <c r="G97"/>
  <c r="P95"/>
  <c r="M95"/>
  <c r="J95"/>
  <c r="G95"/>
  <c r="P94"/>
  <c r="M94"/>
  <c r="J94"/>
  <c r="G94"/>
  <c r="O93"/>
  <c r="AL92" i="118" s="1"/>
  <c r="AM92" s="1"/>
  <c r="N93" i="111"/>
  <c r="L93"/>
  <c r="K93"/>
  <c r="I93"/>
  <c r="H93"/>
  <c r="F93"/>
  <c r="E93"/>
  <c r="M92"/>
  <c r="J92"/>
  <c r="G92"/>
  <c r="M91"/>
  <c r="J91"/>
  <c r="G91"/>
  <c r="M90"/>
  <c r="J90"/>
  <c r="G90"/>
  <c r="K89"/>
  <c r="L89" s="1"/>
  <c r="M89" s="1"/>
  <c r="H89"/>
  <c r="G89"/>
  <c r="M88"/>
  <c r="J88"/>
  <c r="G88"/>
  <c r="M87"/>
  <c r="J87"/>
  <c r="G87"/>
  <c r="P86"/>
  <c r="M86"/>
  <c r="J86"/>
  <c r="G86"/>
  <c r="M85"/>
  <c r="J85"/>
  <c r="G85"/>
  <c r="P84"/>
  <c r="M84"/>
  <c r="J84"/>
  <c r="G84"/>
  <c r="P83"/>
  <c r="M83"/>
  <c r="J83"/>
  <c r="G83"/>
  <c r="L82"/>
  <c r="L79" s="1"/>
  <c r="L78" s="1"/>
  <c r="L77" s="1"/>
  <c r="K82"/>
  <c r="I82"/>
  <c r="I79" s="1"/>
  <c r="I78" s="1"/>
  <c r="I77" s="1"/>
  <c r="H82"/>
  <c r="J82" s="1"/>
  <c r="F82"/>
  <c r="F79" s="1"/>
  <c r="F78" s="1"/>
  <c r="F77" s="1"/>
  <c r="E82"/>
  <c r="P81"/>
  <c r="M81"/>
  <c r="J81"/>
  <c r="G81"/>
  <c r="M80"/>
  <c r="J80"/>
  <c r="G80"/>
  <c r="P79"/>
  <c r="M76"/>
  <c r="J76"/>
  <c r="G76"/>
  <c r="L75"/>
  <c r="K75"/>
  <c r="M75" s="1"/>
  <c r="J75"/>
  <c r="G75"/>
  <c r="M74"/>
  <c r="J74"/>
  <c r="G74"/>
  <c r="M73"/>
  <c r="J73"/>
  <c r="G73"/>
  <c r="M72"/>
  <c r="J72"/>
  <c r="G72"/>
  <c r="M71"/>
  <c r="J71"/>
  <c r="G71"/>
  <c r="L70"/>
  <c r="K70"/>
  <c r="I70"/>
  <c r="H70"/>
  <c r="F70"/>
  <c r="E70"/>
  <c r="G70" s="1"/>
  <c r="M68"/>
  <c r="J68"/>
  <c r="G68"/>
  <c r="M67"/>
  <c r="J67"/>
  <c r="G67"/>
  <c r="P66"/>
  <c r="M66"/>
  <c r="J66"/>
  <c r="G66"/>
  <c r="M65"/>
  <c r="J65"/>
  <c r="G65"/>
  <c r="M64"/>
  <c r="J64"/>
  <c r="G64"/>
  <c r="P63"/>
  <c r="M63"/>
  <c r="J63"/>
  <c r="G63"/>
  <c r="P62"/>
  <c r="M62"/>
  <c r="J62"/>
  <c r="G62"/>
  <c r="L61"/>
  <c r="L59" s="1"/>
  <c r="L58" s="1"/>
  <c r="L57" s="1"/>
  <c r="L54" s="1"/>
  <c r="K61"/>
  <c r="I61"/>
  <c r="I59" s="1"/>
  <c r="I58" s="1"/>
  <c r="I57" s="1"/>
  <c r="I54" s="1"/>
  <c r="H61"/>
  <c r="F61"/>
  <c r="F59" s="1"/>
  <c r="F58" s="1"/>
  <c r="F57" s="1"/>
  <c r="F54" s="1"/>
  <c r="E61"/>
  <c r="P60"/>
  <c r="M60"/>
  <c r="J60"/>
  <c r="G60"/>
  <c r="P59"/>
  <c r="H59"/>
  <c r="H58" s="1"/>
  <c r="E59"/>
  <c r="AL56" i="118"/>
  <c r="AM56" s="1"/>
  <c r="M56" i="111"/>
  <c r="J56"/>
  <c r="G56"/>
  <c r="M55"/>
  <c r="J55"/>
  <c r="G55"/>
  <c r="M53"/>
  <c r="J53"/>
  <c r="G53"/>
  <c r="M52"/>
  <c r="J52"/>
  <c r="G52"/>
  <c r="M51"/>
  <c r="J51"/>
  <c r="G51"/>
  <c r="M50"/>
  <c r="J50"/>
  <c r="G50"/>
  <c r="M49"/>
  <c r="J49"/>
  <c r="G49"/>
  <c r="M48"/>
  <c r="J48"/>
  <c r="G48"/>
  <c r="L47"/>
  <c r="K47"/>
  <c r="I47"/>
  <c r="H47"/>
  <c r="F47"/>
  <c r="E47"/>
  <c r="M46"/>
  <c r="J46"/>
  <c r="G46"/>
  <c r="M45"/>
  <c r="J45"/>
  <c r="G45"/>
  <c r="L44"/>
  <c r="K44"/>
  <c r="I44"/>
  <c r="H44"/>
  <c r="F44"/>
  <c r="E44"/>
  <c r="P43"/>
  <c r="M43"/>
  <c r="J43"/>
  <c r="G43"/>
  <c r="M42"/>
  <c r="J42"/>
  <c r="G42"/>
  <c r="M41"/>
  <c r="J41"/>
  <c r="G41"/>
  <c r="P40"/>
  <c r="M40"/>
  <c r="J40"/>
  <c r="G40"/>
  <c r="M39"/>
  <c r="J39"/>
  <c r="G39"/>
  <c r="P38"/>
  <c r="M38"/>
  <c r="J38"/>
  <c r="G38"/>
  <c r="P37"/>
  <c r="M37"/>
  <c r="J37"/>
  <c r="G37"/>
  <c r="P36"/>
  <c r="M36"/>
  <c r="J36"/>
  <c r="G36"/>
  <c r="P35"/>
  <c r="L35"/>
  <c r="L33" s="1"/>
  <c r="L32" s="1"/>
  <c r="L31" s="1"/>
  <c r="K35"/>
  <c r="I35"/>
  <c r="I33" s="1"/>
  <c r="I32" s="1"/>
  <c r="I31" s="1"/>
  <c r="H35"/>
  <c r="F35"/>
  <c r="F33" s="1"/>
  <c r="F32" s="1"/>
  <c r="F31" s="1"/>
  <c r="E35"/>
  <c r="E33" s="1"/>
  <c r="P34"/>
  <c r="M34"/>
  <c r="J34"/>
  <c r="G34"/>
  <c r="P33"/>
  <c r="M30"/>
  <c r="J30"/>
  <c r="G30"/>
  <c r="M29"/>
  <c r="J29"/>
  <c r="G29"/>
  <c r="M28"/>
  <c r="J28"/>
  <c r="G28"/>
  <c r="P27"/>
  <c r="M27"/>
  <c r="J27"/>
  <c r="G27"/>
  <c r="M26"/>
  <c r="J26"/>
  <c r="G26"/>
  <c r="L25"/>
  <c r="K25"/>
  <c r="I25"/>
  <c r="H25"/>
  <c r="F25"/>
  <c r="E25"/>
  <c r="G25" s="1"/>
  <c r="M24"/>
  <c r="J24"/>
  <c r="G24"/>
  <c r="M23"/>
  <c r="J23"/>
  <c r="G23"/>
  <c r="L22"/>
  <c r="K22"/>
  <c r="I22"/>
  <c r="H22"/>
  <c r="F22"/>
  <c r="E22"/>
  <c r="G22" s="1"/>
  <c r="M21"/>
  <c r="J21"/>
  <c r="G21"/>
  <c r="M20"/>
  <c r="J20"/>
  <c r="G20"/>
  <c r="L19"/>
  <c r="K19"/>
  <c r="I19"/>
  <c r="H19"/>
  <c r="F19"/>
  <c r="E19"/>
  <c r="M18"/>
  <c r="J18"/>
  <c r="G18"/>
  <c r="M17"/>
  <c r="J17"/>
  <c r="G17"/>
  <c r="L16"/>
  <c r="K16"/>
  <c r="I16"/>
  <c r="H16"/>
  <c r="F16"/>
  <c r="E16"/>
  <c r="P15"/>
  <c r="M15"/>
  <c r="J15"/>
  <c r="G15"/>
  <c r="P14"/>
  <c r="M14"/>
  <c r="J14"/>
  <c r="G14"/>
  <c r="O13"/>
  <c r="AL12" i="118" s="1"/>
  <c r="AM12" s="1"/>
  <c r="N13" i="111"/>
  <c r="L13"/>
  <c r="K13"/>
  <c r="M13" s="1"/>
  <c r="I13"/>
  <c r="H13"/>
  <c r="F13"/>
  <c r="F12" s="1"/>
  <c r="F11" s="1"/>
  <c r="E13"/>
  <c r="G44" l="1"/>
  <c r="AC305"/>
  <c r="J47"/>
  <c r="G204"/>
  <c r="J212"/>
  <c r="J22"/>
  <c r="G61"/>
  <c r="J201"/>
  <c r="M236"/>
  <c r="X290"/>
  <c r="G178"/>
  <c r="J236"/>
  <c r="H79"/>
  <c r="J79" s="1"/>
  <c r="K115"/>
  <c r="K114" s="1"/>
  <c r="K113" s="1"/>
  <c r="G156"/>
  <c r="J35"/>
  <c r="H33"/>
  <c r="H32" s="1"/>
  <c r="J32" s="1"/>
  <c r="S25"/>
  <c r="M226"/>
  <c r="M218"/>
  <c r="G226"/>
  <c r="M230"/>
  <c r="H208"/>
  <c r="J208" s="1"/>
  <c r="J98"/>
  <c r="G59"/>
  <c r="H12"/>
  <c r="J260"/>
  <c r="P232"/>
  <c r="Q232"/>
  <c r="L12"/>
  <c r="L11" s="1"/>
  <c r="L10" s="1"/>
  <c r="J130"/>
  <c r="M192"/>
  <c r="I12"/>
  <c r="I11" s="1"/>
  <c r="I10" s="1"/>
  <c r="M19"/>
  <c r="J25"/>
  <c r="M47"/>
  <c r="J61"/>
  <c r="G144"/>
  <c r="J150"/>
  <c r="M169"/>
  <c r="L177"/>
  <c r="L176" s="1"/>
  <c r="L175" s="1"/>
  <c r="P181"/>
  <c r="M201"/>
  <c r="P226"/>
  <c r="J230"/>
  <c r="P30"/>
  <c r="P233"/>
  <c r="Q233"/>
  <c r="G139"/>
  <c r="H159"/>
  <c r="J159" s="1"/>
  <c r="M188"/>
  <c r="G192"/>
  <c r="G236"/>
  <c r="J19"/>
  <c r="J44"/>
  <c r="J169"/>
  <c r="G127"/>
  <c r="J133"/>
  <c r="G136"/>
  <c r="G147"/>
  <c r="J163"/>
  <c r="P166"/>
  <c r="M172"/>
  <c r="S130"/>
  <c r="Q126"/>
  <c r="J139"/>
  <c r="M163"/>
  <c r="J172"/>
  <c r="M61"/>
  <c r="M124"/>
  <c r="M133"/>
  <c r="G16"/>
  <c r="G130"/>
  <c r="P144"/>
  <c r="J147"/>
  <c r="M150"/>
  <c r="G153"/>
  <c r="J160"/>
  <c r="G166"/>
  <c r="M166"/>
  <c r="J218"/>
  <c r="G243"/>
  <c r="M82"/>
  <c r="J93"/>
  <c r="P93"/>
  <c r="J181"/>
  <c r="M204"/>
  <c r="J13"/>
  <c r="J16"/>
  <c r="O44"/>
  <c r="G47"/>
  <c r="P55"/>
  <c r="P68"/>
  <c r="P73"/>
  <c r="G160"/>
  <c r="K177"/>
  <c r="M177" s="1"/>
  <c r="P192"/>
  <c r="J195"/>
  <c r="J204"/>
  <c r="O230"/>
  <c r="P253"/>
  <c r="AD305"/>
  <c r="P266"/>
  <c r="G260"/>
  <c r="K252"/>
  <c r="P207"/>
  <c r="P237"/>
  <c r="P205"/>
  <c r="M207"/>
  <c r="P64"/>
  <c r="K222" i="28"/>
  <c r="P48" i="111"/>
  <c r="P116"/>
  <c r="P89"/>
  <c r="P170"/>
  <c r="P109"/>
  <c r="P121"/>
  <c r="P124"/>
  <c r="K230" i="28"/>
  <c r="L282"/>
  <c r="S578" i="92"/>
  <c r="L278" i="28"/>
  <c r="S577" i="92"/>
  <c r="K206" i="28"/>
  <c r="P559" i="92"/>
  <c r="L206" i="28"/>
  <c r="K218"/>
  <c r="P85" i="111"/>
  <c r="P97"/>
  <c r="P101"/>
  <c r="O135"/>
  <c r="N236"/>
  <c r="P20"/>
  <c r="P42"/>
  <c r="P76"/>
  <c r="P92"/>
  <c r="P100"/>
  <c r="T290"/>
  <c r="Z290"/>
  <c r="P39"/>
  <c r="P50"/>
  <c r="P53"/>
  <c r="P72"/>
  <c r="P75"/>
  <c r="O77"/>
  <c r="P87"/>
  <c r="P123"/>
  <c r="P134"/>
  <c r="O171"/>
  <c r="O177"/>
  <c r="P240"/>
  <c r="P153"/>
  <c r="P49"/>
  <c r="P91"/>
  <c r="P98"/>
  <c r="P105"/>
  <c r="P202"/>
  <c r="G207"/>
  <c r="P222"/>
  <c r="O47"/>
  <c r="P52"/>
  <c r="N96"/>
  <c r="P180"/>
  <c r="P46"/>
  <c r="P28"/>
  <c r="P29"/>
  <c r="P65"/>
  <c r="P67"/>
  <c r="P88"/>
  <c r="P108"/>
  <c r="P111"/>
  <c r="P112"/>
  <c r="N159"/>
  <c r="J207"/>
  <c r="O70"/>
  <c r="P106"/>
  <c r="O218"/>
  <c r="G266"/>
  <c r="G256"/>
  <c r="G93"/>
  <c r="M130"/>
  <c r="F69"/>
  <c r="I96"/>
  <c r="H252"/>
  <c r="M260"/>
  <c r="M266"/>
  <c r="J266"/>
  <c r="I252"/>
  <c r="F252"/>
  <c r="J256"/>
  <c r="L252"/>
  <c r="M253"/>
  <c r="F239"/>
  <c r="F238" s="1"/>
  <c r="G238" s="1"/>
  <c r="G242"/>
  <c r="G230"/>
  <c r="G218"/>
  <c r="M195"/>
  <c r="G188"/>
  <c r="J192"/>
  <c r="P195"/>
  <c r="G184"/>
  <c r="M184"/>
  <c r="F177"/>
  <c r="F176" s="1"/>
  <c r="P172"/>
  <c r="J166"/>
  <c r="P163"/>
  <c r="J156"/>
  <c r="F143"/>
  <c r="F142" s="1"/>
  <c r="M147"/>
  <c r="I143"/>
  <c r="I142" s="1"/>
  <c r="J136"/>
  <c r="I126"/>
  <c r="M118"/>
  <c r="H115"/>
  <c r="H114" s="1"/>
  <c r="H113" s="1"/>
  <c r="P110"/>
  <c r="E96"/>
  <c r="G96" s="1"/>
  <c r="M105"/>
  <c r="M93"/>
  <c r="H78"/>
  <c r="J78" s="1"/>
  <c r="P82"/>
  <c r="K79"/>
  <c r="M79" s="1"/>
  <c r="M70"/>
  <c r="J58"/>
  <c r="J59"/>
  <c r="H57"/>
  <c r="H54" s="1"/>
  <c r="J54" s="1"/>
  <c r="E58"/>
  <c r="G58" s="1"/>
  <c r="K59"/>
  <c r="K58" s="1"/>
  <c r="P61"/>
  <c r="F10"/>
  <c r="P32"/>
  <c r="O54"/>
  <c r="P56"/>
  <c r="G118"/>
  <c r="F115"/>
  <c r="F114" s="1"/>
  <c r="F113" s="1"/>
  <c r="O290"/>
  <c r="AD291"/>
  <c r="G13"/>
  <c r="E12"/>
  <c r="P13"/>
  <c r="H177"/>
  <c r="J178"/>
  <c r="P71"/>
  <c r="N70"/>
  <c r="L101"/>
  <c r="L98" s="1"/>
  <c r="K98"/>
  <c r="P114"/>
  <c r="O96"/>
  <c r="M16"/>
  <c r="H11"/>
  <c r="M139"/>
  <c r="K126"/>
  <c r="I114"/>
  <c r="I113" s="1"/>
  <c r="M22"/>
  <c r="K12"/>
  <c r="P24"/>
  <c r="P23"/>
  <c r="G82"/>
  <c r="E79"/>
  <c r="P90"/>
  <c r="K239"/>
  <c r="M242"/>
  <c r="G19"/>
  <c r="J70"/>
  <c r="J105"/>
  <c r="H96"/>
  <c r="P156"/>
  <c r="O143"/>
  <c r="P45"/>
  <c r="N44"/>
  <c r="K78"/>
  <c r="G115"/>
  <c r="E114"/>
  <c r="P127"/>
  <c r="O126"/>
  <c r="M25"/>
  <c r="N47"/>
  <c r="F126"/>
  <c r="P58"/>
  <c r="N77"/>
  <c r="P78"/>
  <c r="P18"/>
  <c r="P26"/>
  <c r="P25"/>
  <c r="E32"/>
  <c r="G33"/>
  <c r="M35"/>
  <c r="K33"/>
  <c r="H143"/>
  <c r="J144"/>
  <c r="G150"/>
  <c r="E143"/>
  <c r="P150"/>
  <c r="N143"/>
  <c r="P154"/>
  <c r="O155"/>
  <c r="P51"/>
  <c r="P17"/>
  <c r="P21"/>
  <c r="G35"/>
  <c r="P41"/>
  <c r="M44"/>
  <c r="L69"/>
  <c r="P74"/>
  <c r="P80"/>
  <c r="I89"/>
  <c r="J89" s="1"/>
  <c r="G98"/>
  <c r="P107"/>
  <c r="P118"/>
  <c r="H126"/>
  <c r="J127"/>
  <c r="G133"/>
  <c r="E126"/>
  <c r="M160"/>
  <c r="K159"/>
  <c r="M159" s="1"/>
  <c r="G163"/>
  <c r="E159"/>
  <c r="G159" s="1"/>
  <c r="P179"/>
  <c r="N177"/>
  <c r="L126"/>
  <c r="M136"/>
  <c r="P139"/>
  <c r="M144"/>
  <c r="P147"/>
  <c r="O159"/>
  <c r="G172"/>
  <c r="O208"/>
  <c r="P291"/>
  <c r="N135"/>
  <c r="P133"/>
  <c r="N171"/>
  <c r="P169"/>
  <c r="P189"/>
  <c r="F208"/>
  <c r="G208" s="1"/>
  <c r="G212"/>
  <c r="H242"/>
  <c r="J243"/>
  <c r="N290"/>
  <c r="AC290" s="1"/>
  <c r="AC291"/>
  <c r="P206"/>
  <c r="N239"/>
  <c r="E252"/>
  <c r="G253"/>
  <c r="L143"/>
  <c r="L142" s="1"/>
  <c r="G201"/>
  <c r="J226"/>
  <c r="L115"/>
  <c r="N126"/>
  <c r="M127"/>
  <c r="P130"/>
  <c r="K143"/>
  <c r="J153"/>
  <c r="M156"/>
  <c r="P160"/>
  <c r="J188"/>
  <c r="P212"/>
  <c r="M256"/>
  <c r="G181"/>
  <c r="E177"/>
  <c r="O236"/>
  <c r="P260"/>
  <c r="N252"/>
  <c r="P203"/>
  <c r="P215"/>
  <c r="P216"/>
  <c r="M243"/>
  <c r="J253"/>
  <c r="R290"/>
  <c r="P190"/>
  <c r="N208"/>
  <c r="P211"/>
  <c r="M212"/>
  <c r="K208"/>
  <c r="M208" s="1"/>
  <c r="I177"/>
  <c r="I176" s="1"/>
  <c r="I175" s="1"/>
  <c r="D157" i="28"/>
  <c r="J12" i="111" l="1"/>
  <c r="H31"/>
  <c r="J31" s="1"/>
  <c r="J33"/>
  <c r="F9"/>
  <c r="AL235" i="118"/>
  <c r="AM235" s="1"/>
  <c r="AL207"/>
  <c r="AM207" s="1"/>
  <c r="AL176"/>
  <c r="AM176" s="1"/>
  <c r="AL158"/>
  <c r="AM158" s="1"/>
  <c r="AL142"/>
  <c r="AM142" s="1"/>
  <c r="AL125"/>
  <c r="AM125" s="1"/>
  <c r="AL95"/>
  <c r="AM95" s="1"/>
  <c r="AL76"/>
  <c r="AM76" s="1"/>
  <c r="AL69"/>
  <c r="AM69" s="1"/>
  <c r="AL53"/>
  <c r="AM53" s="1"/>
  <c r="S188" i="111"/>
  <c r="Q171"/>
  <c r="AL170" i="118"/>
  <c r="AM170" s="1"/>
  <c r="Q155" i="111"/>
  <c r="AL154" i="118"/>
  <c r="AM154" s="1"/>
  <c r="Q135" i="111"/>
  <c r="R135" s="1"/>
  <c r="AL134" i="118"/>
  <c r="AM134" s="1"/>
  <c r="S31" i="111"/>
  <c r="S22"/>
  <c r="S19"/>
  <c r="P44"/>
  <c r="Q44"/>
  <c r="AL43" i="118"/>
  <c r="AM43" s="1"/>
  <c r="P230" i="111"/>
  <c r="AL229" i="118"/>
  <c r="AM229" s="1"/>
  <c r="P218" i="111"/>
  <c r="AL217" i="118"/>
  <c r="AM217" s="1"/>
  <c r="F125" i="111"/>
  <c r="M252"/>
  <c r="Q47"/>
  <c r="AL46" i="118"/>
  <c r="AM46" s="1"/>
  <c r="S30" i="111"/>
  <c r="R10"/>
  <c r="R232"/>
  <c r="Q230"/>
  <c r="S232"/>
  <c r="R233"/>
  <c r="T233" s="1"/>
  <c r="K176"/>
  <c r="K175" s="1"/>
  <c r="M175" s="1"/>
  <c r="M101"/>
  <c r="Q12"/>
  <c r="S16"/>
  <c r="I69"/>
  <c r="I9" s="1"/>
  <c r="P201"/>
  <c r="J252"/>
  <c r="P47"/>
  <c r="P155"/>
  <c r="P135"/>
  <c r="O12"/>
  <c r="P236"/>
  <c r="P77"/>
  <c r="P19"/>
  <c r="P159"/>
  <c r="P171"/>
  <c r="P96"/>
  <c r="O69"/>
  <c r="P16"/>
  <c r="P204"/>
  <c r="O176"/>
  <c r="G252"/>
  <c r="AD290"/>
  <c r="J115"/>
  <c r="J96"/>
  <c r="G239"/>
  <c r="P208"/>
  <c r="P188"/>
  <c r="L125"/>
  <c r="I125"/>
  <c r="H77"/>
  <c r="M59"/>
  <c r="J57"/>
  <c r="E57"/>
  <c r="E54" s="1"/>
  <c r="G54" s="1"/>
  <c r="H142"/>
  <c r="J142" s="1"/>
  <c r="J143"/>
  <c r="E31"/>
  <c r="G31" s="1"/>
  <c r="G32"/>
  <c r="G177"/>
  <c r="E176"/>
  <c r="H10"/>
  <c r="J11"/>
  <c r="K142"/>
  <c r="M142" s="1"/>
  <c r="M143"/>
  <c r="P126"/>
  <c r="M115"/>
  <c r="L114"/>
  <c r="H239"/>
  <c r="J242"/>
  <c r="P178"/>
  <c r="P57"/>
  <c r="N54"/>
  <c r="E113"/>
  <c r="G113" s="1"/>
  <c r="G114"/>
  <c r="G79"/>
  <c r="E78"/>
  <c r="M126"/>
  <c r="P113"/>
  <c r="F175"/>
  <c r="J114"/>
  <c r="P31"/>
  <c r="N238"/>
  <c r="J126"/>
  <c r="H176"/>
  <c r="J177"/>
  <c r="G143"/>
  <c r="E142"/>
  <c r="G142" s="1"/>
  <c r="K57"/>
  <c r="M58"/>
  <c r="M176"/>
  <c r="G126"/>
  <c r="P143"/>
  <c r="N142"/>
  <c r="M33"/>
  <c r="K32"/>
  <c r="K77"/>
  <c r="M78"/>
  <c r="K238"/>
  <c r="M238" s="1"/>
  <c r="M239"/>
  <c r="M12"/>
  <c r="K11"/>
  <c r="K96"/>
  <c r="M98"/>
  <c r="N69"/>
  <c r="P70"/>
  <c r="E11"/>
  <c r="G12"/>
  <c r="J113"/>
  <c r="O142"/>
  <c r="Z579" i="92"/>
  <c r="Z578"/>
  <c r="Z577"/>
  <c r="Z576"/>
  <c r="Z575"/>
  <c r="Z574"/>
  <c r="Z573"/>
  <c r="Z572"/>
  <c r="Z571"/>
  <c r="Z570"/>
  <c r="Z569"/>
  <c r="Z568"/>
  <c r="Z567"/>
  <c r="Z566"/>
  <c r="Z565"/>
  <c r="Z564"/>
  <c r="Z563"/>
  <c r="Z562"/>
  <c r="Z561"/>
  <c r="Z560"/>
  <c r="Z559"/>
  <c r="V585"/>
  <c r="V582"/>
  <c r="V581"/>
  <c r="V579"/>
  <c r="V575"/>
  <c r="V574"/>
  <c r="V572"/>
  <c r="V571"/>
  <c r="V570"/>
  <c r="V569"/>
  <c r="V568"/>
  <c r="V567"/>
  <c r="V566"/>
  <c r="V565"/>
  <c r="V564"/>
  <c r="V563"/>
  <c r="V562"/>
  <c r="V561"/>
  <c r="V560"/>
  <c r="S582"/>
  <c r="S581"/>
  <c r="S579"/>
  <c r="S572"/>
  <c r="S570"/>
  <c r="S569"/>
  <c r="S568"/>
  <c r="S567"/>
  <c r="S566"/>
  <c r="S565"/>
  <c r="S563"/>
  <c r="S562"/>
  <c r="S560"/>
  <c r="P585"/>
  <c r="P582"/>
  <c r="P581"/>
  <c r="P579"/>
  <c r="P578"/>
  <c r="P576"/>
  <c r="P575"/>
  <c r="P574"/>
  <c r="P573"/>
  <c r="P572"/>
  <c r="P570"/>
  <c r="P569"/>
  <c r="P567"/>
  <c r="P566"/>
  <c r="P565"/>
  <c r="P562"/>
  <c r="P561"/>
  <c r="P560"/>
  <c r="M577"/>
  <c r="M575"/>
  <c r="M574"/>
  <c r="M573"/>
  <c r="M564"/>
  <c r="J585"/>
  <c r="J584"/>
  <c r="J577"/>
  <c r="J576"/>
  <c r="J573"/>
  <c r="J572"/>
  <c r="J570"/>
  <c r="J568"/>
  <c r="J565"/>
  <c r="J564"/>
  <c r="J562"/>
  <c r="J561"/>
  <c r="AL175" i="118" l="1"/>
  <c r="AM175" s="1"/>
  <c r="N125" i="111"/>
  <c r="AL68" i="118"/>
  <c r="AM68" s="1"/>
  <c r="P54" i="111"/>
  <c r="R171"/>
  <c r="S171" s="1"/>
  <c r="R155"/>
  <c r="S155" s="1"/>
  <c r="S135"/>
  <c r="S47"/>
  <c r="S44"/>
  <c r="R9"/>
  <c r="F8"/>
  <c r="F7" s="1"/>
  <c r="F6" s="1"/>
  <c r="F274" s="1"/>
  <c r="O125"/>
  <c r="AL141" i="118"/>
  <c r="AM141" s="1"/>
  <c r="O11" i="111"/>
  <c r="AL11" i="118"/>
  <c r="AM11" s="1"/>
  <c r="S233" i="111"/>
  <c r="U233"/>
  <c r="W233" s="1"/>
  <c r="Y233" s="1"/>
  <c r="V30"/>
  <c r="T10"/>
  <c r="R230"/>
  <c r="T232"/>
  <c r="O175"/>
  <c r="Q176"/>
  <c r="T135"/>
  <c r="Q11"/>
  <c r="S12"/>
  <c r="K125"/>
  <c r="M125" s="1"/>
  <c r="P69"/>
  <c r="H125"/>
  <c r="J125" s="1"/>
  <c r="E125"/>
  <c r="G125" s="1"/>
  <c r="I8"/>
  <c r="I7" s="1"/>
  <c r="I6" s="1"/>
  <c r="I274" s="1"/>
  <c r="H69"/>
  <c r="J69" s="1"/>
  <c r="J77"/>
  <c r="G57"/>
  <c r="J10"/>
  <c r="E10"/>
  <c r="G11"/>
  <c r="G78"/>
  <c r="E77"/>
  <c r="G176"/>
  <c r="E175"/>
  <c r="G175" s="1"/>
  <c r="M11"/>
  <c r="M32"/>
  <c r="K31"/>
  <c r="M31" s="1"/>
  <c r="P22"/>
  <c r="N12"/>
  <c r="L113"/>
  <c r="M114"/>
  <c r="P142"/>
  <c r="K54"/>
  <c r="M54" s="1"/>
  <c r="M57"/>
  <c r="M77"/>
  <c r="K69"/>
  <c r="M69" s="1"/>
  <c r="J176"/>
  <c r="H175"/>
  <c r="J175" s="1"/>
  <c r="P177"/>
  <c r="N176"/>
  <c r="H238"/>
  <c r="J238" s="1"/>
  <c r="J239"/>
  <c r="AL174" i="118" l="1"/>
  <c r="AM174" s="1"/>
  <c r="AL124"/>
  <c r="AM124" s="1"/>
  <c r="T171" i="111"/>
  <c r="Q159"/>
  <c r="S169"/>
  <c r="Q143"/>
  <c r="S153"/>
  <c r="T155"/>
  <c r="P125"/>
  <c r="O10"/>
  <c r="AL10" i="118"/>
  <c r="AM10" s="1"/>
  <c r="T230" i="111"/>
  <c r="U232"/>
  <c r="U10"/>
  <c r="U9" s="1"/>
  <c r="V233"/>
  <c r="T9"/>
  <c r="S230"/>
  <c r="R175"/>
  <c r="Q175"/>
  <c r="S176"/>
  <c r="U135"/>
  <c r="V135" s="1"/>
  <c r="S133"/>
  <c r="R126"/>
  <c r="Q10"/>
  <c r="S11"/>
  <c r="H9"/>
  <c r="H8" s="1"/>
  <c r="K10"/>
  <c r="M10" s="1"/>
  <c r="N11"/>
  <c r="P12"/>
  <c r="G10"/>
  <c r="N175"/>
  <c r="P176"/>
  <c r="M113"/>
  <c r="L96"/>
  <c r="G77"/>
  <c r="E69"/>
  <c r="G69" s="1"/>
  <c r="B561" i="28"/>
  <c r="B557"/>
  <c r="P175" i="111" l="1"/>
  <c r="R159"/>
  <c r="U171"/>
  <c r="R143"/>
  <c r="Q142"/>
  <c r="U155"/>
  <c r="V155" s="1"/>
  <c r="AL9" i="118"/>
  <c r="AM9" s="1"/>
  <c r="O9" i="111"/>
  <c r="V10"/>
  <c r="V9"/>
  <c r="S175"/>
  <c r="Y30"/>
  <c r="W10"/>
  <c r="T175"/>
  <c r="V232"/>
  <c r="U230"/>
  <c r="U175" s="1"/>
  <c r="W232"/>
  <c r="T126"/>
  <c r="S126"/>
  <c r="W135"/>
  <c r="Q9"/>
  <c r="S10"/>
  <c r="J9"/>
  <c r="K9"/>
  <c r="K8" s="1"/>
  <c r="L9"/>
  <c r="L8" s="1"/>
  <c r="L7" s="1"/>
  <c r="L6" s="1"/>
  <c r="L274" s="1"/>
  <c r="M96"/>
  <c r="J8"/>
  <c r="H7"/>
  <c r="P11"/>
  <c r="N10"/>
  <c r="E9"/>
  <c r="W9" i="85"/>
  <c r="W8"/>
  <c r="M12"/>
  <c r="N12"/>
  <c r="AC11"/>
  <c r="AB11"/>
  <c r="L312" i="28" s="1"/>
  <c r="L314" s="1"/>
  <c r="AA11" i="85"/>
  <c r="Z11"/>
  <c r="Y11"/>
  <c r="Y10" s="1"/>
  <c r="C11"/>
  <c r="L18"/>
  <c r="K28"/>
  <c r="J28"/>
  <c r="I28"/>
  <c r="H28"/>
  <c r="G28"/>
  <c r="F28"/>
  <c r="E28"/>
  <c r="D28"/>
  <c r="H39" i="32"/>
  <c r="G39"/>
  <c r="F39"/>
  <c r="E39"/>
  <c r="D39"/>
  <c r="AE559" i="92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F557"/>
  <c r="AF553" s="1"/>
  <c r="K489" i="28"/>
  <c r="V295" i="121" s="1"/>
  <c r="L24" i="88"/>
  <c r="AB3" i="84"/>
  <c r="J553" i="28"/>
  <c r="S306" i="121" s="1"/>
  <c r="K525" i="28"/>
  <c r="V303" i="121" s="1"/>
  <c r="J521" i="28"/>
  <c r="S302" i="121" s="1"/>
  <c r="J489" i="28"/>
  <c r="S295" i="121" s="1"/>
  <c r="J481" i="28"/>
  <c r="S293" i="121" s="1"/>
  <c r="J477" i="28"/>
  <c r="S292" i="121" s="1"/>
  <c r="AC10" i="85" l="1"/>
  <c r="Z10"/>
  <c r="AA10"/>
  <c r="AB10"/>
  <c r="C39" i="32"/>
  <c r="M312" i="28"/>
  <c r="M314" s="1"/>
  <c r="S159" i="111"/>
  <c r="T159"/>
  <c r="W171"/>
  <c r="U159"/>
  <c r="V171"/>
  <c r="R142"/>
  <c r="S142" s="1"/>
  <c r="S143"/>
  <c r="T143"/>
  <c r="W155"/>
  <c r="U143"/>
  <c r="Q125"/>
  <c r="Q8" s="1"/>
  <c r="AL8" i="118"/>
  <c r="AM8" s="1"/>
  <c r="O8" i="111"/>
  <c r="V175"/>
  <c r="W9"/>
  <c r="Y9" s="1"/>
  <c r="Y10"/>
  <c r="V230"/>
  <c r="W230"/>
  <c r="Y232"/>
  <c r="U126"/>
  <c r="X135"/>
  <c r="Y135" s="1"/>
  <c r="V133"/>
  <c r="S9"/>
  <c r="K312" i="28"/>
  <c r="K314" s="1"/>
  <c r="S295" i="111"/>
  <c r="V295"/>
  <c r="S302"/>
  <c r="S293"/>
  <c r="J479" i="28"/>
  <c r="S292" i="111"/>
  <c r="V303"/>
  <c r="J483" i="28"/>
  <c r="K491"/>
  <c r="J554"/>
  <c r="S306" i="111"/>
  <c r="J523" i="28"/>
  <c r="J491"/>
  <c r="M9" i="111"/>
  <c r="H6"/>
  <c r="J7"/>
  <c r="G9"/>
  <c r="E8"/>
  <c r="P10"/>
  <c r="N9"/>
  <c r="M8"/>
  <c r="K7"/>
  <c r="K527" i="28"/>
  <c r="S12" i="88"/>
  <c r="P6"/>
  <c r="V169" i="111" l="1"/>
  <c r="X171"/>
  <c r="T142"/>
  <c r="T125" s="1"/>
  <c r="T8" s="1"/>
  <c r="V159"/>
  <c r="X155"/>
  <c r="Y155" s="1"/>
  <c r="R125"/>
  <c r="V153"/>
  <c r="V143"/>
  <c r="U142"/>
  <c r="AL7" i="118"/>
  <c r="AM7" s="1"/>
  <c r="O7" i="111"/>
  <c r="Y230"/>
  <c r="W175"/>
  <c r="Y175" s="1"/>
  <c r="Z135"/>
  <c r="AA135" s="1"/>
  <c r="Y133"/>
  <c r="W126"/>
  <c r="V126"/>
  <c r="Q7"/>
  <c r="H274"/>
  <c r="J6"/>
  <c r="M7"/>
  <c r="K6"/>
  <c r="N8"/>
  <c r="P9"/>
  <c r="E7"/>
  <c r="G8"/>
  <c r="AD21" i="89"/>
  <c r="AE21" s="1"/>
  <c r="AE17"/>
  <c r="AD17"/>
  <c r="J304" i="28"/>
  <c r="J284"/>
  <c r="J280"/>
  <c r="J252"/>
  <c r="J244"/>
  <c r="J236"/>
  <c r="M567" i="92" s="1"/>
  <c r="J232" i="28"/>
  <c r="M566" i="92" s="1"/>
  <c r="J222" i="28"/>
  <c r="J220" s="1"/>
  <c r="J208"/>
  <c r="J204"/>
  <c r="I558" i="92"/>
  <c r="I557" s="1"/>
  <c r="I580"/>
  <c r="I583"/>
  <c r="J308" i="28" l="1"/>
  <c r="V142" i="111"/>
  <c r="AL6" i="118"/>
  <c r="AM6" s="1"/>
  <c r="Z171" i="111"/>
  <c r="X159"/>
  <c r="W159"/>
  <c r="Y171"/>
  <c r="X143"/>
  <c r="Z155"/>
  <c r="U125"/>
  <c r="R8"/>
  <c r="S125"/>
  <c r="W143"/>
  <c r="T7"/>
  <c r="AB135"/>
  <c r="AA126"/>
  <c r="X126"/>
  <c r="M569" i="92"/>
  <c r="J310" i="28"/>
  <c r="M582" i="92"/>
  <c r="M559"/>
  <c r="M579"/>
  <c r="J286" i="28"/>
  <c r="M571" i="92"/>
  <c r="J238" i="28"/>
  <c r="J234"/>
  <c r="M581" i="92"/>
  <c r="J305" i="28"/>
  <c r="M578" i="92"/>
  <c r="J282" i="28"/>
  <c r="J254"/>
  <c r="J246"/>
  <c r="M560" i="92"/>
  <c r="J210" i="28"/>
  <c r="J206"/>
  <c r="M563" i="92"/>
  <c r="N7" i="111"/>
  <c r="N6" s="1"/>
  <c r="P8"/>
  <c r="E6"/>
  <c r="G7"/>
  <c r="K274"/>
  <c r="M6"/>
  <c r="E550" i="92"/>
  <c r="F550"/>
  <c r="H550" s="1"/>
  <c r="J395"/>
  <c r="J142" i="28"/>
  <c r="X142" i="111" l="1"/>
  <c r="X125" s="1"/>
  <c r="X8" s="1"/>
  <c r="X7" s="1"/>
  <c r="AA171"/>
  <c r="AA159" s="1"/>
  <c r="Y159"/>
  <c r="Y169"/>
  <c r="AA155"/>
  <c r="AA143" s="1"/>
  <c r="W142"/>
  <c r="Y143"/>
  <c r="U8"/>
  <c r="V125"/>
  <c r="R7"/>
  <c r="S7" s="1"/>
  <c r="S8"/>
  <c r="Y153"/>
  <c r="Z126"/>
  <c r="AB133"/>
  <c r="Y126"/>
  <c r="E274"/>
  <c r="G6"/>
  <c r="P7"/>
  <c r="AB155" l="1"/>
  <c r="AB171"/>
  <c r="AA142"/>
  <c r="AA125" s="1"/>
  <c r="AA8" s="1"/>
  <c r="AA7" s="1"/>
  <c r="Z159"/>
  <c r="AB159" s="1"/>
  <c r="AB169"/>
  <c r="Z143"/>
  <c r="AB153"/>
  <c r="Y142"/>
  <c r="W125"/>
  <c r="U7"/>
  <c r="V7" s="1"/>
  <c r="V8"/>
  <c r="N282"/>
  <c r="N285" s="1"/>
  <c r="AB126"/>
  <c r="K7486" i="94"/>
  <c r="D325" i="28"/>
  <c r="E325"/>
  <c r="D326"/>
  <c r="E326"/>
  <c r="D327"/>
  <c r="E327"/>
  <c r="D328"/>
  <c r="E328"/>
  <c r="C326"/>
  <c r="C327"/>
  <c r="C328"/>
  <c r="F442"/>
  <c r="F443"/>
  <c r="F444"/>
  <c r="F441"/>
  <c r="I446"/>
  <c r="I442" s="1"/>
  <c r="J446"/>
  <c r="J442" s="1"/>
  <c r="K446"/>
  <c r="K442" s="1"/>
  <c r="L446"/>
  <c r="L442" s="1"/>
  <c r="M446"/>
  <c r="M442" s="1"/>
  <c r="I447"/>
  <c r="I443" s="1"/>
  <c r="J447"/>
  <c r="J443" s="1"/>
  <c r="K447"/>
  <c r="K443" s="1"/>
  <c r="L447"/>
  <c r="L443" s="1"/>
  <c r="M447"/>
  <c r="M443" s="1"/>
  <c r="I448"/>
  <c r="I444" s="1"/>
  <c r="J448"/>
  <c r="J444" s="1"/>
  <c r="K448"/>
  <c r="K444" s="1"/>
  <c r="L448"/>
  <c r="L444" s="1"/>
  <c r="M448"/>
  <c r="M444" s="1"/>
  <c r="E441"/>
  <c r="D441"/>
  <c r="C425"/>
  <c r="I406"/>
  <c r="K406"/>
  <c r="L406"/>
  <c r="M406"/>
  <c r="I407"/>
  <c r="L407"/>
  <c r="M407"/>
  <c r="I408"/>
  <c r="L408"/>
  <c r="M408"/>
  <c r="Z142" i="111" l="1"/>
  <c r="AB143"/>
  <c r="W8"/>
  <c r="Y125"/>
  <c r="I507" i="28"/>
  <c r="N286" i="111" l="1"/>
  <c r="AB142"/>
  <c r="Z125"/>
  <c r="W7"/>
  <c r="Y7" s="1"/>
  <c r="Y8"/>
  <c r="P281"/>
  <c r="Q281"/>
  <c r="Z8" l="1"/>
  <c r="AB125"/>
  <c r="T281"/>
  <c r="R281"/>
  <c r="Z7" l="1"/>
  <c r="AB7" s="1"/>
  <c r="AB8"/>
  <c r="S281"/>
  <c r="W281"/>
  <c r="U281"/>
  <c r="V281" s="1"/>
  <c r="BY100" i="102"/>
  <c r="CJ20" s="1"/>
  <c r="BW100"/>
  <c r="BA100"/>
  <c r="AM100"/>
  <c r="AC100"/>
  <c r="N100"/>
  <c r="G100"/>
  <c r="CT98"/>
  <c r="CT100" s="1"/>
  <c r="CS98"/>
  <c r="CS100" s="1"/>
  <c r="CK98"/>
  <c r="CK100" s="1"/>
  <c r="CH98"/>
  <c r="CH100" s="1"/>
  <c r="CG98"/>
  <c r="CG100" s="1"/>
  <c r="BV98"/>
  <c r="BV100" s="1"/>
  <c r="BU98"/>
  <c r="BU100" s="1"/>
  <c r="BM98"/>
  <c r="BM100" s="1"/>
  <c r="BJ98"/>
  <c r="BJ100" s="1"/>
  <c r="BI98"/>
  <c r="BI100" s="1"/>
  <c r="AL98"/>
  <c r="AL100" s="1"/>
  <c r="AK98"/>
  <c r="AK100" s="1"/>
  <c r="T98"/>
  <c r="T100" s="1"/>
  <c r="AB20" s="1"/>
  <c r="AB16" s="1"/>
  <c r="S85"/>
  <c r="F77"/>
  <c r="F76"/>
  <c r="F75"/>
  <c r="F74"/>
  <c r="F73"/>
  <c r="F72"/>
  <c r="F71"/>
  <c r="AC67"/>
  <c r="F67"/>
  <c r="BA66"/>
  <c r="AC66"/>
  <c r="F66"/>
  <c r="AC65"/>
  <c r="AC64"/>
  <c r="F64"/>
  <c r="BY63"/>
  <c r="AO63"/>
  <c r="AC63" s="1"/>
  <c r="G63"/>
  <c r="F63" s="1"/>
  <c r="AC62"/>
  <c r="F62"/>
  <c r="AC61"/>
  <c r="F61"/>
  <c r="AC60"/>
  <c r="F60"/>
  <c r="CK59"/>
  <c r="BY59"/>
  <c r="BA59"/>
  <c r="T59"/>
  <c r="AB46"/>
  <c r="CS45"/>
  <c r="CS43" s="1"/>
  <c r="CR45"/>
  <c r="CR43" s="1"/>
  <c r="CQ45"/>
  <c r="CG45"/>
  <c r="CG43" s="1"/>
  <c r="CF45"/>
  <c r="CF43" s="1"/>
  <c r="CE45"/>
  <c r="BN45"/>
  <c r="BI45"/>
  <c r="BI43" s="1"/>
  <c r="BH45"/>
  <c r="BH43" s="1"/>
  <c r="BG45"/>
  <c r="BG43" s="1"/>
  <c r="AW45"/>
  <c r="AW43" s="1"/>
  <c r="AV45"/>
  <c r="AV43" s="1"/>
  <c r="AU45"/>
  <c r="AU43" s="1"/>
  <c r="AD45"/>
  <c r="AD43" s="1"/>
  <c r="T45"/>
  <c r="G45"/>
  <c r="F45" s="1"/>
  <c r="F43" s="1"/>
  <c r="CV43"/>
  <c r="CU43"/>
  <c r="CT43"/>
  <c r="CP43"/>
  <c r="CO43"/>
  <c r="CN43"/>
  <c r="CM43"/>
  <c r="CL43"/>
  <c r="CJ43"/>
  <c r="CI43"/>
  <c r="CH43"/>
  <c r="CD43"/>
  <c r="CC43"/>
  <c r="CB43"/>
  <c r="CA43"/>
  <c r="BZ43"/>
  <c r="BV43"/>
  <c r="BU43"/>
  <c r="BT43"/>
  <c r="BS43"/>
  <c r="BR43"/>
  <c r="BQ43"/>
  <c r="BP43"/>
  <c r="BO43"/>
  <c r="BN43"/>
  <c r="BL43"/>
  <c r="BK43"/>
  <c r="BJ43"/>
  <c r="BF43"/>
  <c r="BE43"/>
  <c r="BD43"/>
  <c r="BC43"/>
  <c r="BB43"/>
  <c r="AZ43"/>
  <c r="AY43"/>
  <c r="AX43"/>
  <c r="AT43"/>
  <c r="AS43"/>
  <c r="AR43"/>
  <c r="AQ43"/>
  <c r="AP43"/>
  <c r="AL43"/>
  <c r="AK43"/>
  <c r="AJ43"/>
  <c r="AI43"/>
  <c r="AH43"/>
  <c r="AG43"/>
  <c r="AF43"/>
  <c r="AE43"/>
  <c r="AB43"/>
  <c r="AA43"/>
  <c r="Z43"/>
  <c r="Y43"/>
  <c r="X43"/>
  <c r="W43"/>
  <c r="V43"/>
  <c r="U43"/>
  <c r="T43"/>
  <c r="G43"/>
  <c r="CT40"/>
  <c r="CT41" s="1"/>
  <c r="CT36" s="1"/>
  <c r="CT42" s="1"/>
  <c r="CS40"/>
  <c r="CS41" s="1"/>
  <c r="CS24" s="1"/>
  <c r="CQ40"/>
  <c r="CQ41" s="1"/>
  <c r="CQ36" s="1"/>
  <c r="CQ42" s="1"/>
  <c r="CP40"/>
  <c r="CP41" s="1"/>
  <c r="CO40"/>
  <c r="CO41" s="1"/>
  <c r="CN40"/>
  <c r="CN41" s="1"/>
  <c r="CM40"/>
  <c r="CM41" s="1"/>
  <c r="CM36" s="1"/>
  <c r="CM42" s="1"/>
  <c r="CL40"/>
  <c r="CL41" s="1"/>
  <c r="CH40"/>
  <c r="CH41" s="1"/>
  <c r="CH36" s="1"/>
  <c r="CH42" s="1"/>
  <c r="CG40"/>
  <c r="CG41" s="1"/>
  <c r="CE40"/>
  <c r="CE41" s="1"/>
  <c r="CD40"/>
  <c r="CD41" s="1"/>
  <c r="CC40"/>
  <c r="CC41" s="1"/>
  <c r="CC36" s="1"/>
  <c r="CC42" s="1"/>
  <c r="CB40"/>
  <c r="CB41" s="1"/>
  <c r="CB36" s="1"/>
  <c r="CB42" s="1"/>
  <c r="CA40"/>
  <c r="CA41" s="1"/>
  <c r="BZ40"/>
  <c r="BZ41" s="1"/>
  <c r="BV40"/>
  <c r="BV41" s="1"/>
  <c r="BU40"/>
  <c r="BU41" s="1"/>
  <c r="BT40"/>
  <c r="BT41" s="1"/>
  <c r="BS40"/>
  <c r="BS41" s="1"/>
  <c r="BS36" s="1"/>
  <c r="BS42" s="1"/>
  <c r="BR40"/>
  <c r="BR41" s="1"/>
  <c r="BR36" s="1"/>
  <c r="BR42" s="1"/>
  <c r="BQ40"/>
  <c r="BQ41" s="1"/>
  <c r="BP40"/>
  <c r="BP41" s="1"/>
  <c r="BO40"/>
  <c r="BO41" s="1"/>
  <c r="BO36" s="1"/>
  <c r="BO42" s="1"/>
  <c r="BJ40"/>
  <c r="BJ41" s="1"/>
  <c r="BJ36" s="1"/>
  <c r="BJ42" s="1"/>
  <c r="BI40"/>
  <c r="BI41" s="1"/>
  <c r="BG40"/>
  <c r="BG41" s="1"/>
  <c r="BF40"/>
  <c r="BF41" s="1"/>
  <c r="BE40"/>
  <c r="BE41" s="1"/>
  <c r="BD40"/>
  <c r="BD41" s="1"/>
  <c r="BC40"/>
  <c r="BC41" s="1"/>
  <c r="BB40"/>
  <c r="BB41" s="1"/>
  <c r="AX40"/>
  <c r="AX41" s="1"/>
  <c r="AX36" s="1"/>
  <c r="AX42" s="1"/>
  <c r="AW40"/>
  <c r="AW41" s="1"/>
  <c r="AU40"/>
  <c r="AU41" s="1"/>
  <c r="AU36" s="1"/>
  <c r="AU42" s="1"/>
  <c r="AT40"/>
  <c r="AT41" s="1"/>
  <c r="AT36" s="1"/>
  <c r="AT42" s="1"/>
  <c r="AS40"/>
  <c r="AS41" s="1"/>
  <c r="AS24" s="1"/>
  <c r="AR40"/>
  <c r="AR41" s="1"/>
  <c r="AQ40"/>
  <c r="AQ41" s="1"/>
  <c r="AQ36" s="1"/>
  <c r="AQ42" s="1"/>
  <c r="AP40"/>
  <c r="AP41" s="1"/>
  <c r="AL40"/>
  <c r="AL41" s="1"/>
  <c r="AK40"/>
  <c r="AK41" s="1"/>
  <c r="AK36" s="1"/>
  <c r="AK42" s="1"/>
  <c r="AJ40"/>
  <c r="AJ41" s="1"/>
  <c r="AJ36" s="1"/>
  <c r="AJ42" s="1"/>
  <c r="AI40"/>
  <c r="AI41" s="1"/>
  <c r="AI24" s="1"/>
  <c r="AH40"/>
  <c r="AH41" s="1"/>
  <c r="AG40"/>
  <c r="AG41" s="1"/>
  <c r="AG36" s="1"/>
  <c r="AG42" s="1"/>
  <c r="AF40"/>
  <c r="AF41" s="1"/>
  <c r="AE40"/>
  <c r="AE41" s="1"/>
  <c r="AE36" s="1"/>
  <c r="AE42" s="1"/>
  <c r="Z40"/>
  <c r="Z41" s="1"/>
  <c r="Z24" s="1"/>
  <c r="T24" s="1"/>
  <c r="Y40"/>
  <c r="Y41" s="1"/>
  <c r="Y36" s="1"/>
  <c r="Y42" s="1"/>
  <c r="X40"/>
  <c r="X41" s="1"/>
  <c r="X36" s="1"/>
  <c r="X42" s="1"/>
  <c r="W40"/>
  <c r="W41" s="1"/>
  <c r="V40"/>
  <c r="V41" s="1"/>
  <c r="U40"/>
  <c r="U41" s="1"/>
  <c r="U36" s="1"/>
  <c r="U42" s="1"/>
  <c r="CV39"/>
  <c r="CU39"/>
  <c r="BY39"/>
  <c r="BN39"/>
  <c r="BA39"/>
  <c r="AO39"/>
  <c r="AD39"/>
  <c r="AB39"/>
  <c r="AA39"/>
  <c r="G39"/>
  <c r="CV38"/>
  <c r="CU38"/>
  <c r="CJ38"/>
  <c r="CI38"/>
  <c r="BN38"/>
  <c r="BA38"/>
  <c r="AZ38"/>
  <c r="AY38"/>
  <c r="AD38"/>
  <c r="AB38"/>
  <c r="AA38"/>
  <c r="S38"/>
  <c r="R38"/>
  <c r="CV37"/>
  <c r="CU37"/>
  <c r="CJ37"/>
  <c r="CI37"/>
  <c r="BY37"/>
  <c r="BN37"/>
  <c r="BN40" s="1"/>
  <c r="BN41" s="1"/>
  <c r="BN36" s="1"/>
  <c r="BN42" s="1"/>
  <c r="BA37"/>
  <c r="AZ37"/>
  <c r="AY37"/>
  <c r="AD37"/>
  <c r="AB37"/>
  <c r="AA37"/>
  <c r="S37"/>
  <c r="R37"/>
  <c r="G37" s="1"/>
  <c r="CO35"/>
  <c r="CK35"/>
  <c r="CC35"/>
  <c r="BY35"/>
  <c r="BR35"/>
  <c r="BN35"/>
  <c r="BE35"/>
  <c r="BA35"/>
  <c r="AS35"/>
  <c r="AO35"/>
  <c r="AH35"/>
  <c r="AD35"/>
  <c r="X35"/>
  <c r="T35"/>
  <c r="G35"/>
  <c r="CK34"/>
  <c r="BY34"/>
  <c r="BN34"/>
  <c r="BA34"/>
  <c r="AO34"/>
  <c r="AD34"/>
  <c r="T34"/>
  <c r="G34"/>
  <c r="F34" s="1"/>
  <c r="CO33"/>
  <c r="CK33"/>
  <c r="CC33"/>
  <c r="BY33"/>
  <c r="BR33"/>
  <c r="BN33"/>
  <c r="BE33"/>
  <c r="BA33"/>
  <c r="AS33"/>
  <c r="AO33"/>
  <c r="AH33"/>
  <c r="AD33"/>
  <c r="X33"/>
  <c r="T33"/>
  <c r="G33"/>
  <c r="CK32"/>
  <c r="BY32"/>
  <c r="BN32"/>
  <c r="BA32"/>
  <c r="AO32"/>
  <c r="AD32"/>
  <c r="T32"/>
  <c r="G32"/>
  <c r="CO31"/>
  <c r="CK31"/>
  <c r="CC31"/>
  <c r="BY31"/>
  <c r="BR31"/>
  <c r="BR32" s="1"/>
  <c r="BN31"/>
  <c r="BE31"/>
  <c r="BA31"/>
  <c r="AS31"/>
  <c r="AO31"/>
  <c r="AH31"/>
  <c r="AH32" s="1"/>
  <c r="AD31"/>
  <c r="X31"/>
  <c r="X32" s="1"/>
  <c r="X30" s="1"/>
  <c r="T30" s="1"/>
  <c r="T31"/>
  <c r="F31" s="1"/>
  <c r="G31"/>
  <c r="BN30"/>
  <c r="AD30"/>
  <c r="G30"/>
  <c r="CK29"/>
  <c r="BY29"/>
  <c r="BN29"/>
  <c r="BA29"/>
  <c r="AO29"/>
  <c r="AD29"/>
  <c r="T29"/>
  <c r="G29"/>
  <c r="CK28"/>
  <c r="BY28"/>
  <c r="BN28"/>
  <c r="BA28"/>
  <c r="AO28"/>
  <c r="AD28"/>
  <c r="CK27"/>
  <c r="BY27"/>
  <c r="BN27"/>
  <c r="BA27"/>
  <c r="AO27"/>
  <c r="AD27"/>
  <c r="T27"/>
  <c r="G27"/>
  <c r="F27"/>
  <c r="T26"/>
  <c r="G26"/>
  <c r="CS25"/>
  <c r="CQ25"/>
  <c r="CP25"/>
  <c r="CO25"/>
  <c r="CN25"/>
  <c r="CM25"/>
  <c r="CL25"/>
  <c r="CG25"/>
  <c r="CE25"/>
  <c r="CD25"/>
  <c r="CC25"/>
  <c r="CB25"/>
  <c r="CA25"/>
  <c r="BZ25"/>
  <c r="BV25"/>
  <c r="BU25"/>
  <c r="BT25"/>
  <c r="BS25"/>
  <c r="BR25"/>
  <c r="BQ25"/>
  <c r="BP25"/>
  <c r="BN25"/>
  <c r="BI25"/>
  <c r="BG25"/>
  <c r="BF25"/>
  <c r="BE25"/>
  <c r="BD25"/>
  <c r="BC25"/>
  <c r="BB25"/>
  <c r="AW25"/>
  <c r="AU25"/>
  <c r="AT25"/>
  <c r="AS25"/>
  <c r="AR25"/>
  <c r="AQ25"/>
  <c r="AP25"/>
  <c r="AL25"/>
  <c r="AK25"/>
  <c r="AJ25"/>
  <c r="AI25"/>
  <c r="AH25"/>
  <c r="AG25"/>
  <c r="AF25"/>
  <c r="Z25"/>
  <c r="T25" s="1"/>
  <c r="Y25"/>
  <c r="X25"/>
  <c r="W25"/>
  <c r="V25"/>
  <c r="U25"/>
  <c r="G25"/>
  <c r="CQ24"/>
  <c r="AQ24"/>
  <c r="AK24"/>
  <c r="AG24"/>
  <c r="U24"/>
  <c r="G24"/>
  <c r="CQ23"/>
  <c r="CP23"/>
  <c r="CO23"/>
  <c r="CN23"/>
  <c r="CM23"/>
  <c r="CL23"/>
  <c r="CE23"/>
  <c r="CD23"/>
  <c r="CC23"/>
  <c r="CB23"/>
  <c r="CA23"/>
  <c r="BZ23"/>
  <c r="BU23"/>
  <c r="BT23"/>
  <c r="BS23"/>
  <c r="BR23"/>
  <c r="BQ23"/>
  <c r="BP23"/>
  <c r="BG23"/>
  <c r="BF23"/>
  <c r="BE23"/>
  <c r="BD23"/>
  <c r="BC23"/>
  <c r="BB23"/>
  <c r="AU23"/>
  <c r="AT23"/>
  <c r="AS23"/>
  <c r="AR23"/>
  <c r="AQ23"/>
  <c r="AP23"/>
  <c r="AK23"/>
  <c r="AK26" s="1"/>
  <c r="AJ23"/>
  <c r="AI23"/>
  <c r="AI26" s="1"/>
  <c r="AH23"/>
  <c r="AG23"/>
  <c r="AG26" s="1"/>
  <c r="AF23"/>
  <c r="Z23"/>
  <c r="T23" s="1"/>
  <c r="Y23"/>
  <c r="X23"/>
  <c r="W23"/>
  <c r="V23"/>
  <c r="U23"/>
  <c r="G23"/>
  <c r="F23" s="1"/>
  <c r="CV22"/>
  <c r="CU22"/>
  <c r="CT22"/>
  <c r="CT16" s="1"/>
  <c r="CJ22"/>
  <c r="CI22"/>
  <c r="CH22"/>
  <c r="BO22"/>
  <c r="BO16" s="1"/>
  <c r="BO46" s="1"/>
  <c r="BL22"/>
  <c r="BK22"/>
  <c r="BJ22"/>
  <c r="BJ16" s="1"/>
  <c r="BJ46" s="1"/>
  <c r="BJ14" s="1"/>
  <c r="BJ15" s="1"/>
  <c r="AZ22"/>
  <c r="AY22"/>
  <c r="AX22"/>
  <c r="AX16" s="1"/>
  <c r="AX46" s="1"/>
  <c r="AE22"/>
  <c r="CR20"/>
  <c r="CF20"/>
  <c r="CF23" s="1"/>
  <c r="BY23" s="1"/>
  <c r="BH20"/>
  <c r="AV20"/>
  <c r="AV23" s="1"/>
  <c r="AA20"/>
  <c r="S20"/>
  <c r="R20"/>
  <c r="BN19"/>
  <c r="AD19"/>
  <c r="T19"/>
  <c r="G19"/>
  <c r="BN18"/>
  <c r="AD18"/>
  <c r="T18"/>
  <c r="G18"/>
  <c r="CK17"/>
  <c r="BY17"/>
  <c r="BN17" s="1"/>
  <c r="BA17"/>
  <c r="AO17"/>
  <c r="AD17" s="1"/>
  <c r="T17"/>
  <c r="R17"/>
  <c r="G17" s="1"/>
  <c r="CH16"/>
  <c r="AE16"/>
  <c r="AE46" s="1"/>
  <c r="Z16"/>
  <c r="S16"/>
  <c r="S46" s="1"/>
  <c r="S14" s="1"/>
  <c r="S15" s="1"/>
  <c r="AC31" l="1"/>
  <c r="AC34"/>
  <c r="T38"/>
  <c r="T39"/>
  <c r="CQ26"/>
  <c r="G20"/>
  <c r="J86" i="28" s="1"/>
  <c r="AF36" i="102"/>
  <c r="AF42" s="1"/>
  <c r="AF24"/>
  <c r="AW24"/>
  <c r="AW36"/>
  <c r="AW42" s="1"/>
  <c r="BI36"/>
  <c r="BI42" s="1"/>
  <c r="BI24"/>
  <c r="CG36"/>
  <c r="CG42" s="1"/>
  <c r="CG24"/>
  <c r="CG26" s="1"/>
  <c r="CN36"/>
  <c r="CN42" s="1"/>
  <c r="CN24"/>
  <c r="BE36"/>
  <c r="BE42" s="1"/>
  <c r="BE24"/>
  <c r="BV36"/>
  <c r="BV42" s="1"/>
  <c r="BV24"/>
  <c r="CO24"/>
  <c r="CO36"/>
  <c r="CO42" s="1"/>
  <c r="V24"/>
  <c r="V36"/>
  <c r="V42" s="1"/>
  <c r="J85" i="28"/>
  <c r="F17" i="102"/>
  <c r="W24"/>
  <c r="W26" s="1"/>
  <c r="W22" s="1"/>
  <c r="W16" s="1"/>
  <c r="W36"/>
  <c r="W42" s="1"/>
  <c r="AP36"/>
  <c r="AP42" s="1"/>
  <c r="AP24"/>
  <c r="AP26" s="1"/>
  <c r="AP22" s="1"/>
  <c r="AP16" s="1"/>
  <c r="BB36"/>
  <c r="BB42" s="1"/>
  <c r="BB24"/>
  <c r="BB26" s="1"/>
  <c r="BF36"/>
  <c r="BF42" s="1"/>
  <c r="BF24"/>
  <c r="AE14"/>
  <c r="AE57" s="1"/>
  <c r="AS26"/>
  <c r="AC33"/>
  <c r="AB14"/>
  <c r="AB15" s="1"/>
  <c r="J390" i="28"/>
  <c r="R16" i="102"/>
  <c r="AV25"/>
  <c r="AC27"/>
  <c r="E27"/>
  <c r="AC17"/>
  <c r="E17" s="1"/>
  <c r="AF26"/>
  <c r="BE26"/>
  <c r="X281" i="111"/>
  <c r="Y281" s="1"/>
  <c r="Z281"/>
  <c r="BA45" i="102"/>
  <c r="BA43" s="1"/>
  <c r="CT46"/>
  <c r="CT14" s="1"/>
  <c r="CT15" s="1"/>
  <c r="AF27"/>
  <c r="AF22" s="1"/>
  <c r="AF16" s="1"/>
  <c r="AP46"/>
  <c r="AP14" s="1"/>
  <c r="AA40"/>
  <c r="AA41" s="1"/>
  <c r="AA36" s="1"/>
  <c r="AA42" s="1"/>
  <c r="AA16"/>
  <c r="CR40"/>
  <c r="CR41" s="1"/>
  <c r="BN23"/>
  <c r="CN26"/>
  <c r="CN22" s="1"/>
  <c r="CN16" s="1"/>
  <c r="BD36"/>
  <c r="BD42" s="1"/>
  <c r="BD24"/>
  <c r="AZ20"/>
  <c r="AY20"/>
  <c r="R46"/>
  <c r="R14" s="1"/>
  <c r="R15" s="1"/>
  <c r="BV26"/>
  <c r="BV22" s="1"/>
  <c r="BV16" s="1"/>
  <c r="BY38"/>
  <c r="BC36"/>
  <c r="BC42" s="1"/>
  <c r="BC24"/>
  <c r="BQ36"/>
  <c r="BQ42" s="1"/>
  <c r="BQ24"/>
  <c r="BQ26" s="1"/>
  <c r="BQ22" s="1"/>
  <c r="BQ16" s="1"/>
  <c r="AR36"/>
  <c r="AR42" s="1"/>
  <c r="AR24"/>
  <c r="BZ36"/>
  <c r="BZ42" s="1"/>
  <c r="BZ24"/>
  <c r="CD36"/>
  <c r="CD42" s="1"/>
  <c r="CD24"/>
  <c r="AW26"/>
  <c r="AW22" s="1"/>
  <c r="AW16" s="1"/>
  <c r="CR23"/>
  <c r="F30"/>
  <c r="BH40"/>
  <c r="BH41" s="1"/>
  <c r="CS26"/>
  <c r="T20"/>
  <c r="J138" i="28" s="1"/>
  <c r="AK22" i="102"/>
  <c r="AK16" s="1"/>
  <c r="BB22"/>
  <c r="BB16" s="1"/>
  <c r="AD23"/>
  <c r="AD25"/>
  <c r="F29"/>
  <c r="T37"/>
  <c r="AO37"/>
  <c r="CK39"/>
  <c r="S40"/>
  <c r="S41" s="1"/>
  <c r="S36" s="1"/>
  <c r="CG22"/>
  <c r="CG16" s="1"/>
  <c r="CS22"/>
  <c r="CS16" s="1"/>
  <c r="AO23"/>
  <c r="BH23"/>
  <c r="Y24"/>
  <c r="Y26" s="1"/>
  <c r="BS24"/>
  <c r="AO25"/>
  <c r="AQ26"/>
  <c r="AQ22" s="1"/>
  <c r="AQ16" s="1"/>
  <c r="AX14"/>
  <c r="AX15" s="1"/>
  <c r="BO14"/>
  <c r="AE15"/>
  <c r="R40"/>
  <c r="R41" s="1"/>
  <c r="R36" s="1"/>
  <c r="AG22"/>
  <c r="AG16" s="1"/>
  <c r="U26"/>
  <c r="CO26"/>
  <c r="X24"/>
  <c r="AJ24"/>
  <c r="AT24"/>
  <c r="BR24"/>
  <c r="BR26" s="1"/>
  <c r="BR22" s="1"/>
  <c r="BR16" s="1"/>
  <c r="CB24"/>
  <c r="CM24"/>
  <c r="F25"/>
  <c r="F26"/>
  <c r="AC28"/>
  <c r="T28" s="1"/>
  <c r="G28" s="1"/>
  <c r="F28" s="1"/>
  <c r="E28" s="1"/>
  <c r="AC29"/>
  <c r="AC32"/>
  <c r="AC35"/>
  <c r="Z36"/>
  <c r="Z42" s="1"/>
  <c r="AI36"/>
  <c r="AI42" s="1"/>
  <c r="AS36"/>
  <c r="AS42" s="1"/>
  <c r="CK38"/>
  <c r="AB40"/>
  <c r="AB41" s="1"/>
  <c r="AB36" s="1"/>
  <c r="AB42" s="1"/>
  <c r="AV40"/>
  <c r="AV41" s="1"/>
  <c r="AO45"/>
  <c r="AO43" s="1"/>
  <c r="Z46"/>
  <c r="Z14" s="1"/>
  <c r="BH25"/>
  <c r="BY45"/>
  <c r="BY43" s="1"/>
  <c r="CE43"/>
  <c r="BI26"/>
  <c r="BI22" s="1"/>
  <c r="BI16" s="1"/>
  <c r="CQ22"/>
  <c r="CQ16" s="1"/>
  <c r="BG36"/>
  <c r="BG42" s="1"/>
  <c r="BG24"/>
  <c r="BU36"/>
  <c r="BU42" s="1"/>
  <c r="BU24"/>
  <c r="CK45"/>
  <c r="CK43" s="1"/>
  <c r="CQ43"/>
  <c r="CV20"/>
  <c r="CV100"/>
  <c r="CU20"/>
  <c r="CF25"/>
  <c r="BY25" s="1"/>
  <c r="CF40"/>
  <c r="CF41" s="1"/>
  <c r="AH36"/>
  <c r="AH42" s="1"/>
  <c r="AH24"/>
  <c r="AH26" s="1"/>
  <c r="AL36"/>
  <c r="AL42" s="1"/>
  <c r="AL24"/>
  <c r="BP36"/>
  <c r="BP42" s="1"/>
  <c r="BP24"/>
  <c r="BT36"/>
  <c r="BT42" s="1"/>
  <c r="BT24"/>
  <c r="CA36"/>
  <c r="CA42" s="1"/>
  <c r="CA24"/>
  <c r="CE36"/>
  <c r="CE42" s="1"/>
  <c r="CE24"/>
  <c r="CL24"/>
  <c r="CL36"/>
  <c r="CL42" s="1"/>
  <c r="CP24"/>
  <c r="CP36"/>
  <c r="CP42" s="1"/>
  <c r="BL20"/>
  <c r="BK20"/>
  <c r="CJ40"/>
  <c r="CJ41" s="1"/>
  <c r="CJ36" s="1"/>
  <c r="CJ42" s="1"/>
  <c r="CJ16"/>
  <c r="CR25"/>
  <c r="CK25" s="1"/>
  <c r="CK37"/>
  <c r="AO38"/>
  <c r="AI22"/>
  <c r="AI16" s="1"/>
  <c r="V26"/>
  <c r="V27" s="1"/>
  <c r="F24"/>
  <c r="E24" s="1"/>
  <c r="AU24"/>
  <c r="CC24"/>
  <c r="CC26" s="1"/>
  <c r="BA25"/>
  <c r="F32"/>
  <c r="F33"/>
  <c r="F35"/>
  <c r="CS36"/>
  <c r="CS42" s="1"/>
  <c r="G38"/>
  <c r="AD40"/>
  <c r="AD41" s="1"/>
  <c r="AD36" s="1"/>
  <c r="AD42" s="1"/>
  <c r="CH46"/>
  <c r="CH14" s="1"/>
  <c r="CH15" s="1"/>
  <c r="CI20"/>
  <c r="AO59"/>
  <c r="AS32" s="1"/>
  <c r="AS30" s="1"/>
  <c r="AO30" s="1"/>
  <c r="AC30" s="1"/>
  <c r="BF26" l="1"/>
  <c r="BF22" s="1"/>
  <c r="BF16" s="1"/>
  <c r="BF46" s="1"/>
  <c r="BF14" s="1"/>
  <c r="E30"/>
  <c r="AR26"/>
  <c r="AR22" s="1"/>
  <c r="AR16" s="1"/>
  <c r="AR46" s="1"/>
  <c r="AR14" s="1"/>
  <c r="CB26"/>
  <c r="CB22" s="1"/>
  <c r="CB16" s="1"/>
  <c r="AA281" i="111"/>
  <c r="Z57" i="102"/>
  <c r="Z15"/>
  <c r="BQ46"/>
  <c r="BQ14" s="1"/>
  <c r="AF46"/>
  <c r="AF14" s="1"/>
  <c r="BR46"/>
  <c r="BR14" s="1"/>
  <c r="BV46"/>
  <c r="BV14" s="1"/>
  <c r="BV15" s="1"/>
  <c r="BI46"/>
  <c r="BI14" s="1"/>
  <c r="BI15" s="1"/>
  <c r="AW46"/>
  <c r="AW14" s="1"/>
  <c r="AW15" s="1"/>
  <c r="AQ46"/>
  <c r="AQ14" s="1"/>
  <c r="W46"/>
  <c r="W14" s="1"/>
  <c r="BL16"/>
  <c r="BL40"/>
  <c r="BL41" s="1"/>
  <c r="BL36" s="1"/>
  <c r="BL42" s="1"/>
  <c r="CL26"/>
  <c r="CL22" s="1"/>
  <c r="CL16" s="1"/>
  <c r="CQ46"/>
  <c r="CQ14" s="1"/>
  <c r="CQ15" s="1"/>
  <c r="AT26"/>
  <c r="AT22" s="1"/>
  <c r="AT16" s="1"/>
  <c r="BB46"/>
  <c r="BB14" s="1"/>
  <c r="CR24"/>
  <c r="CR36"/>
  <c r="CR42" s="1"/>
  <c r="AI46"/>
  <c r="AI14" s="1"/>
  <c r="BP26"/>
  <c r="CU40"/>
  <c r="CU41" s="1"/>
  <c r="CU36" s="1"/>
  <c r="CU42" s="1"/>
  <c r="CK20"/>
  <c r="J435" i="28" s="1"/>
  <c r="CU16" i="102"/>
  <c r="BC26"/>
  <c r="BC22"/>
  <c r="BC16" s="1"/>
  <c r="CI40"/>
  <c r="CI41" s="1"/>
  <c r="CI36" s="1"/>
  <c r="CI42" s="1"/>
  <c r="BY20"/>
  <c r="CI16"/>
  <c r="AU26"/>
  <c r="AU22" s="1"/>
  <c r="AU16" s="1"/>
  <c r="CP26"/>
  <c r="CP22" s="1"/>
  <c r="CP16" s="1"/>
  <c r="BG26"/>
  <c r="BG22" s="1"/>
  <c r="BG16" s="1"/>
  <c r="X26"/>
  <c r="X22" s="1"/>
  <c r="X16" s="1"/>
  <c r="BS26"/>
  <c r="BS22" s="1"/>
  <c r="BS16" s="1"/>
  <c r="CC32"/>
  <c r="CC30" s="1"/>
  <c r="BY30" s="1"/>
  <c r="BE32"/>
  <c r="BE30" s="1"/>
  <c r="CJ46"/>
  <c r="CJ14" s="1"/>
  <c r="CJ15" s="1"/>
  <c r="CE26"/>
  <c r="CE22" s="1"/>
  <c r="CE16" s="1"/>
  <c r="BT26"/>
  <c r="BT22" s="1"/>
  <c r="BT16" s="1"/>
  <c r="BN24"/>
  <c r="AL26"/>
  <c r="AL22" s="1"/>
  <c r="AL16" s="1"/>
  <c r="CF36"/>
  <c r="CF42" s="1"/>
  <c r="CF24"/>
  <c r="CV40"/>
  <c r="CV41" s="1"/>
  <c r="CV36" s="1"/>
  <c r="CV42" s="1"/>
  <c r="CV16"/>
  <c r="AD24"/>
  <c r="AJ26"/>
  <c r="AG46"/>
  <c r="AG14" s="1"/>
  <c r="BO15"/>
  <c r="BO57"/>
  <c r="AK46"/>
  <c r="AK14" s="1"/>
  <c r="AK15" s="1"/>
  <c r="CK23"/>
  <c r="CD26"/>
  <c r="CD22" s="1"/>
  <c r="CD16" s="1"/>
  <c r="AY40"/>
  <c r="AY41" s="1"/>
  <c r="AY36" s="1"/>
  <c r="AY42" s="1"/>
  <c r="AY16"/>
  <c r="AO20"/>
  <c r="J391" i="28" s="1"/>
  <c r="AA46" i="102"/>
  <c r="AA14" s="1"/>
  <c r="AA15" s="1"/>
  <c r="Y22"/>
  <c r="Y16" s="1"/>
  <c r="BU26"/>
  <c r="BU22" s="1"/>
  <c r="BU16" s="1"/>
  <c r="BD26"/>
  <c r="BD22" s="1"/>
  <c r="BD16" s="1"/>
  <c r="T22"/>
  <c r="T16" s="1"/>
  <c r="T40"/>
  <c r="T41" s="1"/>
  <c r="AC45"/>
  <c r="G40"/>
  <c r="G41" s="1"/>
  <c r="G36" s="1"/>
  <c r="G42" s="1"/>
  <c r="CO32"/>
  <c r="CO30" s="1"/>
  <c r="CK30" s="1"/>
  <c r="U27"/>
  <c r="U22" s="1"/>
  <c r="U16" s="1"/>
  <c r="BA23"/>
  <c r="G22"/>
  <c r="AJ22"/>
  <c r="AJ16" s="1"/>
  <c r="AS22"/>
  <c r="AS16" s="1"/>
  <c r="E29"/>
  <c r="F20"/>
  <c r="CM26"/>
  <c r="CM22" s="1"/>
  <c r="CM16" s="1"/>
  <c r="CG46"/>
  <c r="CG14" s="1"/>
  <c r="CG15" s="1"/>
  <c r="BH36"/>
  <c r="BH42" s="1"/>
  <c r="BH24"/>
  <c r="AP57"/>
  <c r="AP15"/>
  <c r="BK40"/>
  <c r="BK41" s="1"/>
  <c r="BK36" s="1"/>
  <c r="BK42" s="1"/>
  <c r="BA20"/>
  <c r="BK16"/>
  <c r="CA26"/>
  <c r="CA22" s="1"/>
  <c r="CA16" s="1"/>
  <c r="AV36"/>
  <c r="AV42" s="1"/>
  <c r="AV24"/>
  <c r="AO24" s="1"/>
  <c r="AO22" s="1"/>
  <c r="CS46"/>
  <c r="CS14" s="1"/>
  <c r="CS15" s="1"/>
  <c r="AC23"/>
  <c r="E23" s="1"/>
  <c r="BZ26"/>
  <c r="BZ22" s="1"/>
  <c r="BZ16" s="1"/>
  <c r="AZ40"/>
  <c r="AZ41" s="1"/>
  <c r="AZ36" s="1"/>
  <c r="AZ42" s="1"/>
  <c r="AZ16"/>
  <c r="CN46"/>
  <c r="CN14"/>
  <c r="V22"/>
  <c r="V16" s="1"/>
  <c r="T36"/>
  <c r="T42" s="1"/>
  <c r="AH22"/>
  <c r="AH16" s="1"/>
  <c r="AC25"/>
  <c r="E25" s="1"/>
  <c r="CO22" l="1"/>
  <c r="CO16" s="1"/>
  <c r="BF15"/>
  <c r="BF57"/>
  <c r="CB46"/>
  <c r="CB14" s="1"/>
  <c r="AD26"/>
  <c r="AC26" s="1"/>
  <c r="E26" s="1"/>
  <c r="AB281" i="111"/>
  <c r="CA46" i="102"/>
  <c r="CA14" s="1"/>
  <c r="AL46"/>
  <c r="AL14" s="1"/>
  <c r="AL15" s="1"/>
  <c r="AT46"/>
  <c r="AT14" s="1"/>
  <c r="BR57"/>
  <c r="BR15"/>
  <c r="BZ46"/>
  <c r="BZ14" s="1"/>
  <c r="T46"/>
  <c r="AR15"/>
  <c r="AR57"/>
  <c r="U46"/>
  <c r="U14" s="1"/>
  <c r="BU46"/>
  <c r="BU14" s="1"/>
  <c r="BU15" s="1"/>
  <c r="BS46"/>
  <c r="BS14" s="1"/>
  <c r="AU46"/>
  <c r="AU14" s="1"/>
  <c r="AU15" s="1"/>
  <c r="CM46"/>
  <c r="CM14" s="1"/>
  <c r="AC43"/>
  <c r="E43" s="1"/>
  <c r="E45"/>
  <c r="CO46"/>
  <c r="CO14" s="1"/>
  <c r="CE46"/>
  <c r="CE14" s="1"/>
  <c r="CE15" s="1"/>
  <c r="CP14"/>
  <c r="CP46"/>
  <c r="CL46"/>
  <c r="CL14" s="1"/>
  <c r="W57"/>
  <c r="W15"/>
  <c r="BD46"/>
  <c r="BD14" s="1"/>
  <c r="BA40"/>
  <c r="BA41" s="1"/>
  <c r="BA36" s="1"/>
  <c r="BA42" s="1"/>
  <c r="Y46"/>
  <c r="Y14" s="1"/>
  <c r="AY46"/>
  <c r="AY14" s="1"/>
  <c r="AY15" s="1"/>
  <c r="BA30"/>
  <c r="BE22"/>
  <c r="BE16" s="1"/>
  <c r="BG46"/>
  <c r="BG14" s="1"/>
  <c r="BG15" s="1"/>
  <c r="CK24"/>
  <c r="CK22" s="1"/>
  <c r="CK16" s="1"/>
  <c r="CR26"/>
  <c r="CR22" s="1"/>
  <c r="CR16" s="1"/>
  <c r="AQ15"/>
  <c r="AQ57"/>
  <c r="BQ57"/>
  <c r="BQ15"/>
  <c r="AV26"/>
  <c r="AV22" s="1"/>
  <c r="AV16" s="1"/>
  <c r="BK46"/>
  <c r="BK14" s="1"/>
  <c r="BK15" s="1"/>
  <c r="F22"/>
  <c r="G16"/>
  <c r="AC20"/>
  <c r="AO40"/>
  <c r="AO41" s="1"/>
  <c r="AO36" s="1"/>
  <c r="AO42" s="1"/>
  <c r="AO16"/>
  <c r="AG15"/>
  <c r="AG57"/>
  <c r="BY40"/>
  <c r="BY41" s="1"/>
  <c r="BY36" s="1"/>
  <c r="BY42" s="1"/>
  <c r="CU46"/>
  <c r="CU14" s="1"/>
  <c r="CU15" s="1"/>
  <c r="AH46"/>
  <c r="AH14" s="1"/>
  <c r="E20"/>
  <c r="CV46"/>
  <c r="CV14" s="1"/>
  <c r="CV15" s="1"/>
  <c r="CI14"/>
  <c r="CI15" s="1"/>
  <c r="CI46"/>
  <c r="BH26"/>
  <c r="BH22" s="1"/>
  <c r="BH16" s="1"/>
  <c r="BA24"/>
  <c r="BA22" s="1"/>
  <c r="BA16" s="1"/>
  <c r="BP27"/>
  <c r="BP22" s="1"/>
  <c r="BP16" s="1"/>
  <c r="CC22"/>
  <c r="CC16" s="1"/>
  <c r="BN26"/>
  <c r="BN22" s="1"/>
  <c r="BN16" s="1"/>
  <c r="CN57"/>
  <c r="CN15"/>
  <c r="AJ46"/>
  <c r="AJ14" s="1"/>
  <c r="BT46"/>
  <c r="BT14" s="1"/>
  <c r="X46"/>
  <c r="X14" s="1"/>
  <c r="BC14"/>
  <c r="BC46"/>
  <c r="AI57"/>
  <c r="AI15"/>
  <c r="AF15"/>
  <c r="AF57"/>
  <c r="V46"/>
  <c r="V14" s="1"/>
  <c r="AS46"/>
  <c r="AS14" s="1"/>
  <c r="CF26"/>
  <c r="CF22" s="1"/>
  <c r="CF16" s="1"/>
  <c r="CK40"/>
  <c r="CK41" s="1"/>
  <c r="CK36" s="1"/>
  <c r="CK42" s="1"/>
  <c r="BB57"/>
  <c r="BB15"/>
  <c r="BL46"/>
  <c r="BL14" s="1"/>
  <c r="BL15" s="1"/>
  <c r="AZ46"/>
  <c r="AZ14" s="1"/>
  <c r="AZ15" s="1"/>
  <c r="CD46"/>
  <c r="CD14" s="1"/>
  <c r="BY24"/>
  <c r="BY22" s="1"/>
  <c r="BY16" s="1"/>
  <c r="F16" l="1"/>
  <c r="AD22"/>
  <c r="CB57"/>
  <c r="CB15"/>
  <c r="T14"/>
  <c r="T15" s="1"/>
  <c r="J139" i="28"/>
  <c r="X57" i="102"/>
  <c r="X15"/>
  <c r="BS15"/>
  <c r="BS57"/>
  <c r="BY46"/>
  <c r="BY14" s="1"/>
  <c r="AS57"/>
  <c r="AS15"/>
  <c r="U15"/>
  <c r="U57"/>
  <c r="BA46"/>
  <c r="BA14" s="1"/>
  <c r="CK46"/>
  <c r="J436" i="28" s="1"/>
  <c r="BP46" i="102"/>
  <c r="BP14" s="1"/>
  <c r="CO57"/>
  <c r="CO15"/>
  <c r="CA15"/>
  <c r="CA57"/>
  <c r="CD15"/>
  <c r="CD57"/>
  <c r="BT15"/>
  <c r="BT57"/>
  <c r="AV46"/>
  <c r="AV14" s="1"/>
  <c r="Y15"/>
  <c r="Y57"/>
  <c r="BD57"/>
  <c r="BD15"/>
  <c r="CP57"/>
  <c r="CP15"/>
  <c r="CM57"/>
  <c r="CM15"/>
  <c r="BH46"/>
  <c r="BH14" s="1"/>
  <c r="BZ15"/>
  <c r="BZ57"/>
  <c r="AT57"/>
  <c r="AT15"/>
  <c r="CF46"/>
  <c r="CF14" s="1"/>
  <c r="V57"/>
  <c r="V15"/>
  <c r="AJ15"/>
  <c r="AJ57"/>
  <c r="AH57"/>
  <c r="AH15"/>
  <c r="BE46"/>
  <c r="BE14" s="1"/>
  <c r="BN46"/>
  <c r="BN14" s="1"/>
  <c r="AO46"/>
  <c r="BC57"/>
  <c r="BC15"/>
  <c r="G14"/>
  <c r="G46"/>
  <c r="CL57"/>
  <c r="CL15"/>
  <c r="CC46"/>
  <c r="CC14" s="1"/>
  <c r="CR46"/>
  <c r="CR14" s="1"/>
  <c r="T57" l="1"/>
  <c r="AC22"/>
  <c r="AD16"/>
  <c r="AD46" s="1"/>
  <c r="AD14" s="1"/>
  <c r="F46"/>
  <c r="F14" s="1"/>
  <c r="J87" i="28"/>
  <c r="CK14" i="102"/>
  <c r="CK15" s="1"/>
  <c r="AC46"/>
  <c r="J392" i="28"/>
  <c r="BE57" i="102"/>
  <c r="BE15"/>
  <c r="BH57"/>
  <c r="BH15"/>
  <c r="CF57"/>
  <c r="CF15"/>
  <c r="AD57"/>
  <c r="AD15"/>
  <c r="BA15"/>
  <c r="BA57"/>
  <c r="CC57"/>
  <c r="CC15"/>
  <c r="BP15"/>
  <c r="BP57"/>
  <c r="CR57"/>
  <c r="CR15"/>
  <c r="BY57"/>
  <c r="BY15"/>
  <c r="AV57"/>
  <c r="AV15"/>
  <c r="G15"/>
  <c r="G57"/>
  <c r="F57" s="1"/>
  <c r="F85"/>
  <c r="F15"/>
  <c r="F78" s="1"/>
  <c r="AO14"/>
  <c r="BN57"/>
  <c r="BN15"/>
  <c r="E22" l="1"/>
  <c r="AC16"/>
  <c r="E16" s="1"/>
  <c r="AC14"/>
  <c r="AC85" s="1"/>
  <c r="CK57"/>
  <c r="E46"/>
  <c r="AO57"/>
  <c r="AC57" s="1"/>
  <c r="E57" s="1"/>
  <c r="AO15"/>
  <c r="E14" l="1"/>
  <c r="E15" s="1"/>
  <c r="AC15"/>
  <c r="AC78" s="1"/>
  <c r="O20" i="88"/>
  <c r="R14" i="84"/>
  <c r="I475" i="28" l="1"/>
  <c r="O512"/>
  <c r="O511"/>
  <c r="O510"/>
  <c r="O536"/>
  <c r="O535"/>
  <c r="O534"/>
  <c r="J439" l="1"/>
  <c r="J438"/>
  <c r="J423"/>
  <c r="J422"/>
  <c r="J141"/>
  <c r="J126"/>
  <c r="J125"/>
  <c r="H125" s="1"/>
  <c r="D41" i="65"/>
  <c r="S2962" i="94"/>
  <c r="S1933"/>
  <c r="N116" i="28" l="1"/>
  <c r="L21" i="88" l="1"/>
  <c r="P21" s="1"/>
  <c r="H41" i="65" l="1"/>
  <c r="I318" i="28" l="1"/>
  <c r="M318"/>
  <c r="L318"/>
  <c r="K318"/>
  <c r="J318"/>
  <c r="O474"/>
  <c r="H28" i="65" l="1"/>
  <c r="H29"/>
  <c r="H30"/>
  <c r="H31"/>
  <c r="H27"/>
  <c r="M316" i="28"/>
  <c r="L316"/>
  <c r="K316"/>
  <c r="J316"/>
  <c r="I316"/>
  <c r="D22" i="65"/>
  <c r="H186" i="64"/>
  <c r="I186"/>
  <c r="J186"/>
  <c r="K186"/>
  <c r="G186"/>
  <c r="D318" i="28"/>
  <c r="H317"/>
  <c r="G317" s="1"/>
  <c r="H319"/>
  <c r="G319" s="1"/>
  <c r="H567"/>
  <c r="G567" s="1"/>
  <c r="H565"/>
  <c r="G565" s="1"/>
  <c r="D567"/>
  <c r="N567"/>
  <c r="I104" i="64" l="1"/>
  <c r="AA22" i="85"/>
  <c r="H104" i="64"/>
  <c r="Z22" i="85"/>
  <c r="G104" i="64"/>
  <c r="Y22" i="85"/>
  <c r="K104" i="64"/>
  <c r="AC22" i="85"/>
  <c r="J104" i="64"/>
  <c r="AB22" i="85"/>
  <c r="H21" i="65"/>
  <c r="H318" i="28"/>
  <c r="G318" s="1"/>
  <c r="H316"/>
  <c r="G316" s="1"/>
  <c r="P429"/>
  <c r="I470" l="1"/>
  <c r="J470"/>
  <c r="K470"/>
  <c r="L470"/>
  <c r="M470"/>
  <c r="I472"/>
  <c r="J472"/>
  <c r="K472"/>
  <c r="L472"/>
  <c r="M472"/>
  <c r="F470"/>
  <c r="F471"/>
  <c r="F472"/>
  <c r="F469"/>
  <c r="M517" l="1"/>
  <c r="AB301" i="121" s="1"/>
  <c r="AB301" i="111" l="1"/>
  <c r="M519" i="28"/>
  <c r="U20" i="84" l="1"/>
  <c r="K485" i="28"/>
  <c r="V294" i="121" s="1"/>
  <c r="M7492" i="94"/>
  <c r="M7491"/>
  <c r="V294" i="111" l="1"/>
  <c r="K487" i="28"/>
  <c r="K531"/>
  <c r="CM100" i="101"/>
  <c r="CA100"/>
  <c r="BY100"/>
  <c r="BC100"/>
  <c r="BM20" s="1"/>
  <c r="AO100"/>
  <c r="AE100"/>
  <c r="U100"/>
  <c r="N100"/>
  <c r="CV98"/>
  <c r="CV100" s="1"/>
  <c r="CU98"/>
  <c r="CU100" s="1"/>
  <c r="CJ98"/>
  <c r="CJ100" s="1"/>
  <c r="CI98"/>
  <c r="CI100" s="1"/>
  <c r="BX98"/>
  <c r="BX100" s="1"/>
  <c r="BW98"/>
  <c r="BW100" s="1"/>
  <c r="BO98"/>
  <c r="BO100" s="1"/>
  <c r="BL98"/>
  <c r="BL100" s="1"/>
  <c r="BK98"/>
  <c r="BK100" s="1"/>
  <c r="AN98"/>
  <c r="AN100" s="1"/>
  <c r="AM98"/>
  <c r="AM100" s="1"/>
  <c r="G98"/>
  <c r="G100" s="1"/>
  <c r="S20" s="1"/>
  <c r="F77"/>
  <c r="F76"/>
  <c r="F75"/>
  <c r="F74"/>
  <c r="F73"/>
  <c r="F72"/>
  <c r="F71"/>
  <c r="AE67"/>
  <c r="F67"/>
  <c r="BC66"/>
  <c r="AE66" s="1"/>
  <c r="F66"/>
  <c r="AE65"/>
  <c r="AE64"/>
  <c r="F64"/>
  <c r="AE63"/>
  <c r="G63"/>
  <c r="F63" s="1"/>
  <c r="AE62"/>
  <c r="F62"/>
  <c r="AE61"/>
  <c r="F61"/>
  <c r="AE60"/>
  <c r="F60"/>
  <c r="CM59"/>
  <c r="CA59"/>
  <c r="BC59"/>
  <c r="AQ59"/>
  <c r="BZ46"/>
  <c r="BY46"/>
  <c r="BO46"/>
  <c r="AP46"/>
  <c r="AO46"/>
  <c r="U45"/>
  <c r="G45"/>
  <c r="CX43"/>
  <c r="CW43"/>
  <c r="CV43"/>
  <c r="CU43"/>
  <c r="CT43"/>
  <c r="CS43"/>
  <c r="CR43"/>
  <c r="CQ43"/>
  <c r="CP43"/>
  <c r="CO43"/>
  <c r="CN43"/>
  <c r="CM43"/>
  <c r="CL43"/>
  <c r="CK43"/>
  <c r="CJ43"/>
  <c r="CI43"/>
  <c r="CH43"/>
  <c r="CG43"/>
  <c r="CF43"/>
  <c r="CE43"/>
  <c r="CD43"/>
  <c r="CC43"/>
  <c r="CB43"/>
  <c r="CA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CX40"/>
  <c r="CW40"/>
  <c r="CV40"/>
  <c r="CU40"/>
  <c r="CS40"/>
  <c r="CR40"/>
  <c r="CQ40"/>
  <c r="CP40"/>
  <c r="CO40"/>
  <c r="CN40"/>
  <c r="CL40"/>
  <c r="CK40"/>
  <c r="CJ40"/>
  <c r="CI40"/>
  <c r="CG40"/>
  <c r="CF40"/>
  <c r="CE40"/>
  <c r="CD40"/>
  <c r="CC40"/>
  <c r="CB40"/>
  <c r="BZ40"/>
  <c r="BY40"/>
  <c r="BX40"/>
  <c r="BW40"/>
  <c r="BV40"/>
  <c r="BU40"/>
  <c r="BT40"/>
  <c r="BS40"/>
  <c r="BR40"/>
  <c r="BQ40"/>
  <c r="BP40"/>
  <c r="BO40"/>
  <c r="BM40"/>
  <c r="BL40"/>
  <c r="BK40"/>
  <c r="BI40"/>
  <c r="BH40"/>
  <c r="BG40"/>
  <c r="BF40"/>
  <c r="BE40"/>
  <c r="BD40"/>
  <c r="BB40"/>
  <c r="BA40"/>
  <c r="AZ40"/>
  <c r="AY40"/>
  <c r="AW40"/>
  <c r="AV40"/>
  <c r="AU40"/>
  <c r="AT40"/>
  <c r="AS40"/>
  <c r="AR40"/>
  <c r="AP40"/>
  <c r="AO40"/>
  <c r="AN40"/>
  <c r="AM40"/>
  <c r="AL40"/>
  <c r="AK40"/>
  <c r="AJ40"/>
  <c r="AI40"/>
  <c r="AH40"/>
  <c r="AG40"/>
  <c r="AF40"/>
  <c r="AC40"/>
  <c r="AB40"/>
  <c r="AA40"/>
  <c r="AA41" s="1"/>
  <c r="AA36" s="1"/>
  <c r="AA42" s="1"/>
  <c r="Z40"/>
  <c r="Z41" s="1"/>
  <c r="Y40"/>
  <c r="Y41" s="1"/>
  <c r="Y36" s="1"/>
  <c r="Y42" s="1"/>
  <c r="X40"/>
  <c r="X41" s="1"/>
  <c r="W40"/>
  <c r="W41" s="1"/>
  <c r="W36" s="1"/>
  <c r="W42" s="1"/>
  <c r="V40"/>
  <c r="V41" s="1"/>
  <c r="T40"/>
  <c r="T41" s="1"/>
  <c r="CX39"/>
  <c r="CX41" s="1"/>
  <c r="CW39"/>
  <c r="CV39"/>
  <c r="CU39"/>
  <c r="CT39"/>
  <c r="CS39"/>
  <c r="CR39"/>
  <c r="CQ39"/>
  <c r="CP39"/>
  <c r="CP41" s="1"/>
  <c r="CP24" s="1"/>
  <c r="CO39"/>
  <c r="CN39"/>
  <c r="CM39"/>
  <c r="CL39"/>
  <c r="CL41" s="1"/>
  <c r="CL36" s="1"/>
  <c r="CL42" s="1"/>
  <c r="CK39"/>
  <c r="CJ39"/>
  <c r="CI39"/>
  <c r="CH39"/>
  <c r="CG39"/>
  <c r="CF39"/>
  <c r="CE39"/>
  <c r="CD39"/>
  <c r="CD41" s="1"/>
  <c r="CD24" s="1"/>
  <c r="CC39"/>
  <c r="CB39"/>
  <c r="CA39"/>
  <c r="BZ39"/>
  <c r="BZ41" s="1"/>
  <c r="BY39"/>
  <c r="BX39"/>
  <c r="BW39"/>
  <c r="BV39"/>
  <c r="BV41" s="1"/>
  <c r="BV36" s="1"/>
  <c r="BV42" s="1"/>
  <c r="BU39"/>
  <c r="BT39"/>
  <c r="BS39"/>
  <c r="BR39"/>
  <c r="BR41" s="1"/>
  <c r="BR24" s="1"/>
  <c r="BQ39"/>
  <c r="BP39"/>
  <c r="BO39"/>
  <c r="BN39"/>
  <c r="BM39"/>
  <c r="BL39"/>
  <c r="BK39"/>
  <c r="BJ39"/>
  <c r="BI39"/>
  <c r="BH39"/>
  <c r="BG39"/>
  <c r="BF39"/>
  <c r="BF41" s="1"/>
  <c r="BF36" s="1"/>
  <c r="BF42" s="1"/>
  <c r="BE39"/>
  <c r="BD39"/>
  <c r="BC39"/>
  <c r="BB39"/>
  <c r="BB41" s="1"/>
  <c r="BA39"/>
  <c r="AZ39"/>
  <c r="AY39"/>
  <c r="AX39"/>
  <c r="AW39"/>
  <c r="AV39"/>
  <c r="AU39"/>
  <c r="AT39"/>
  <c r="AT41" s="1"/>
  <c r="AT24" s="1"/>
  <c r="AS39"/>
  <c r="AR39"/>
  <c r="AQ39"/>
  <c r="AP39"/>
  <c r="AP41" s="1"/>
  <c r="AP36" s="1"/>
  <c r="AP42" s="1"/>
  <c r="AO39"/>
  <c r="AN39"/>
  <c r="AM39"/>
  <c r="AL39"/>
  <c r="AL41" s="1"/>
  <c r="AL24" s="1"/>
  <c r="AK39"/>
  <c r="AJ39"/>
  <c r="AI39"/>
  <c r="AH39"/>
  <c r="AH41" s="1"/>
  <c r="AH36" s="1"/>
  <c r="AH42" s="1"/>
  <c r="AG39"/>
  <c r="AF39"/>
  <c r="AE39"/>
  <c r="AD39"/>
  <c r="AC39"/>
  <c r="AB39"/>
  <c r="G39"/>
  <c r="U38"/>
  <c r="S38"/>
  <c r="R38"/>
  <c r="U37"/>
  <c r="S37"/>
  <c r="S40" s="1"/>
  <c r="S41" s="1"/>
  <c r="S36" s="1"/>
  <c r="R37"/>
  <c r="CX36"/>
  <c r="CX42" s="1"/>
  <c r="CP36"/>
  <c r="CP42" s="1"/>
  <c r="BZ36"/>
  <c r="BZ42" s="1"/>
  <c r="BR36"/>
  <c r="BR42" s="1"/>
  <c r="X36"/>
  <c r="X42" s="1"/>
  <c r="T36"/>
  <c r="CQ35"/>
  <c r="CM35"/>
  <c r="CE35"/>
  <c r="CA35"/>
  <c r="BT35"/>
  <c r="BP35"/>
  <c r="BG35"/>
  <c r="BC35"/>
  <c r="AU35"/>
  <c r="AQ35"/>
  <c r="AJ35"/>
  <c r="AF35"/>
  <c r="AE35" s="1"/>
  <c r="Y35"/>
  <c r="U35"/>
  <c r="G35"/>
  <c r="CM34"/>
  <c r="CA34"/>
  <c r="BP34"/>
  <c r="BC34"/>
  <c r="AQ34"/>
  <c r="AF34"/>
  <c r="U34"/>
  <c r="G34"/>
  <c r="CQ33"/>
  <c r="CM33"/>
  <c r="CE33"/>
  <c r="CA33"/>
  <c r="BT33"/>
  <c r="BP33"/>
  <c r="BG33"/>
  <c r="BC33"/>
  <c r="AU33"/>
  <c r="AQ33"/>
  <c r="AJ33"/>
  <c r="AF33"/>
  <c r="Y33"/>
  <c r="U33"/>
  <c r="G33"/>
  <c r="CM32"/>
  <c r="CA32"/>
  <c r="BP32"/>
  <c r="BC32"/>
  <c r="AQ32"/>
  <c r="AF32"/>
  <c r="U32"/>
  <c r="F32" s="1"/>
  <c r="G32"/>
  <c r="CQ31"/>
  <c r="CQ32" s="1"/>
  <c r="CM31"/>
  <c r="CE31"/>
  <c r="CE32" s="1"/>
  <c r="CE30" s="1"/>
  <c r="CA30" s="1"/>
  <c r="CA31"/>
  <c r="BT31"/>
  <c r="BT32" s="1"/>
  <c r="BP31"/>
  <c r="BG31"/>
  <c r="BG32" s="1"/>
  <c r="BC31"/>
  <c r="AU31"/>
  <c r="AU32" s="1"/>
  <c r="AQ31"/>
  <c r="AJ31"/>
  <c r="AJ32" s="1"/>
  <c r="AF31"/>
  <c r="Y31"/>
  <c r="Y32" s="1"/>
  <c r="U31"/>
  <c r="G31"/>
  <c r="BP30"/>
  <c r="AF30"/>
  <c r="G30"/>
  <c r="CM29"/>
  <c r="CA29"/>
  <c r="BP29"/>
  <c r="BC29"/>
  <c r="AQ29"/>
  <c r="AF29"/>
  <c r="U29"/>
  <c r="G29"/>
  <c r="CM28"/>
  <c r="CA28"/>
  <c r="BP28"/>
  <c r="BC28"/>
  <c r="AQ28"/>
  <c r="AF28"/>
  <c r="CM27"/>
  <c r="CA27"/>
  <c r="BP27"/>
  <c r="BC27"/>
  <c r="AQ27"/>
  <c r="AF27"/>
  <c r="U27"/>
  <c r="G27"/>
  <c r="U26"/>
  <c r="F26" s="1"/>
  <c r="CU25"/>
  <c r="CS25"/>
  <c r="CR25"/>
  <c r="CQ25"/>
  <c r="CP25"/>
  <c r="CO25"/>
  <c r="CN25"/>
  <c r="CI25"/>
  <c r="CG25"/>
  <c r="CF25"/>
  <c r="CE25"/>
  <c r="CD25"/>
  <c r="CC25"/>
  <c r="CB25"/>
  <c r="BX25"/>
  <c r="BW25"/>
  <c r="BV25"/>
  <c r="BU25"/>
  <c r="BT25"/>
  <c r="BS25"/>
  <c r="BR25"/>
  <c r="BK25"/>
  <c r="BI25"/>
  <c r="BH25"/>
  <c r="BG25"/>
  <c r="BF25"/>
  <c r="BE25"/>
  <c r="BD25"/>
  <c r="AY25"/>
  <c r="AW25"/>
  <c r="AV25"/>
  <c r="AU25"/>
  <c r="AT25"/>
  <c r="AS25"/>
  <c r="AR25"/>
  <c r="AN25"/>
  <c r="AM25"/>
  <c r="AL25"/>
  <c r="AK25"/>
  <c r="AJ25"/>
  <c r="AI25"/>
  <c r="AH25"/>
  <c r="AA25"/>
  <c r="U25" s="1"/>
  <c r="F25" s="1"/>
  <c r="Z25"/>
  <c r="Y25"/>
  <c r="X25"/>
  <c r="W25"/>
  <c r="V25"/>
  <c r="BV24"/>
  <c r="BF24"/>
  <c r="AA24"/>
  <c r="U24" s="1"/>
  <c r="F24" s="1"/>
  <c r="E24" s="1"/>
  <c r="X24"/>
  <c r="CS23"/>
  <c r="CR23"/>
  <c r="CQ23"/>
  <c r="CP23"/>
  <c r="CO23"/>
  <c r="CN23"/>
  <c r="CG23"/>
  <c r="CF23"/>
  <c r="CE23"/>
  <c r="CD23"/>
  <c r="CC23"/>
  <c r="CB23"/>
  <c r="BW23"/>
  <c r="BV23"/>
  <c r="BU23"/>
  <c r="BT23"/>
  <c r="BS23"/>
  <c r="BR23"/>
  <c r="BI23"/>
  <c r="BH23"/>
  <c r="BG23"/>
  <c r="BF23"/>
  <c r="BE23"/>
  <c r="BD23"/>
  <c r="AW23"/>
  <c r="AV23"/>
  <c r="AU23"/>
  <c r="AT23"/>
  <c r="AS23"/>
  <c r="AR23"/>
  <c r="AM23"/>
  <c r="AL23"/>
  <c r="AK23"/>
  <c r="AJ23"/>
  <c r="AI23"/>
  <c r="AH23"/>
  <c r="AA23"/>
  <c r="U23" s="1"/>
  <c r="Z23"/>
  <c r="Y23"/>
  <c r="X23"/>
  <c r="W23"/>
  <c r="V23"/>
  <c r="CX22"/>
  <c r="CW22"/>
  <c r="CW16" s="1"/>
  <c r="CV22"/>
  <c r="CL22"/>
  <c r="CL16" s="1"/>
  <c r="CL46" s="1"/>
  <c r="CL14" s="1"/>
  <c r="CL15" s="1"/>
  <c r="CK22"/>
  <c r="CK16" s="1"/>
  <c r="CK46" s="1"/>
  <c r="CJ22"/>
  <c r="CJ16" s="1"/>
  <c r="BQ22"/>
  <c r="BQ16" s="1"/>
  <c r="BN22"/>
  <c r="BM22"/>
  <c r="BM16" s="1"/>
  <c r="BL22"/>
  <c r="BL16" s="1"/>
  <c r="BL46" s="1"/>
  <c r="BB22"/>
  <c r="BB16" s="1"/>
  <c r="BB46" s="1"/>
  <c r="BB14" s="1"/>
  <c r="BB15" s="1"/>
  <c r="BA22"/>
  <c r="BA16" s="1"/>
  <c r="AZ22"/>
  <c r="AZ16" s="1"/>
  <c r="AG22"/>
  <c r="AG16" s="1"/>
  <c r="AG46" s="1"/>
  <c r="CT20"/>
  <c r="CM20"/>
  <c r="CM40" s="1"/>
  <c r="CM41" s="1"/>
  <c r="CH20"/>
  <c r="CH25" s="1"/>
  <c r="CA20"/>
  <c r="CA40" s="1"/>
  <c r="BN20"/>
  <c r="BJ20"/>
  <c r="BJ23" s="1"/>
  <c r="AX20"/>
  <c r="AX40" s="1"/>
  <c r="AX41" s="1"/>
  <c r="AX36" s="1"/>
  <c r="AX42" s="1"/>
  <c r="AQ20"/>
  <c r="AQ40" s="1"/>
  <c r="AD20"/>
  <c r="AD40" s="1"/>
  <c r="AD41" s="1"/>
  <c r="R20"/>
  <c r="I82" i="28" s="1"/>
  <c r="BP19" i="101"/>
  <c r="AF19"/>
  <c r="U19"/>
  <c r="G19"/>
  <c r="BP18"/>
  <c r="AF18"/>
  <c r="U18"/>
  <c r="G18"/>
  <c r="CM17"/>
  <c r="CA17"/>
  <c r="BC17"/>
  <c r="AQ17"/>
  <c r="AF17" s="1"/>
  <c r="U17"/>
  <c r="G17"/>
  <c r="CX16"/>
  <c r="CX46" s="1"/>
  <c r="CX14" s="1"/>
  <c r="CX15" s="1"/>
  <c r="CV16"/>
  <c r="AC16"/>
  <c r="AC46" s="1"/>
  <c r="AB16"/>
  <c r="AB46" s="1"/>
  <c r="AA16"/>
  <c r="T16"/>
  <c r="T46" s="1"/>
  <c r="S16"/>
  <c r="CK14"/>
  <c r="CK15" s="1"/>
  <c r="BL14"/>
  <c r="BL15" s="1"/>
  <c r="T14"/>
  <c r="T15" s="1"/>
  <c r="F17" l="1"/>
  <c r="F34"/>
  <c r="AE17"/>
  <c r="BN16"/>
  <c r="AE27"/>
  <c r="F29"/>
  <c r="AE32"/>
  <c r="AL26"/>
  <c r="AE28"/>
  <c r="U28" s="1"/>
  <c r="G28" s="1"/>
  <c r="F28" s="1"/>
  <c r="E28" s="1"/>
  <c r="F33"/>
  <c r="AL36"/>
  <c r="AL42" s="1"/>
  <c r="U39"/>
  <c r="AS41"/>
  <c r="AS24" s="1"/>
  <c r="CW41"/>
  <c r="BP23"/>
  <c r="F31"/>
  <c r="AE34"/>
  <c r="G37"/>
  <c r="AK41"/>
  <c r="AK24" s="1"/>
  <c r="AK26" s="1"/>
  <c r="CO41"/>
  <c r="CO24" s="1"/>
  <c r="AS26"/>
  <c r="AD36"/>
  <c r="AD42" s="1"/>
  <c r="BI41"/>
  <c r="BI24" s="1"/>
  <c r="BI26" s="1"/>
  <c r="BI22" s="1"/>
  <c r="BI16" s="1"/>
  <c r="BP25"/>
  <c r="Y30"/>
  <c r="U30" s="1"/>
  <c r="F30" s="1"/>
  <c r="AU30"/>
  <c r="AQ30" s="1"/>
  <c r="AE30" s="1"/>
  <c r="CQ30"/>
  <c r="CM30" s="1"/>
  <c r="AE33"/>
  <c r="BA41"/>
  <c r="V24"/>
  <c r="V26" s="1"/>
  <c r="V27" s="1"/>
  <c r="V22" s="1"/>
  <c r="V16" s="1"/>
  <c r="V36"/>
  <c r="V42" s="1"/>
  <c r="Z24"/>
  <c r="Z36"/>
  <c r="Z42" s="1"/>
  <c r="AS22"/>
  <c r="AS16" s="1"/>
  <c r="Z26"/>
  <c r="Z22" s="1"/>
  <c r="Z16" s="1"/>
  <c r="CA25"/>
  <c r="AC14"/>
  <c r="AC15" s="1"/>
  <c r="X26"/>
  <c r="AX23"/>
  <c r="AC41"/>
  <c r="AY41"/>
  <c r="AY24" s="1"/>
  <c r="BD41"/>
  <c r="BD24" s="1"/>
  <c r="BD26" s="1"/>
  <c r="BD22" s="1"/>
  <c r="BD16" s="1"/>
  <c r="BD46" s="1"/>
  <c r="BD14" s="1"/>
  <c r="BH41"/>
  <c r="BH24" s="1"/>
  <c r="BH26" s="1"/>
  <c r="BH22" s="1"/>
  <c r="BH16" s="1"/>
  <c r="BM41"/>
  <c r="CE41"/>
  <c r="CE24" s="1"/>
  <c r="CJ41"/>
  <c r="CJ36" s="1"/>
  <c r="CJ42" s="1"/>
  <c r="CN41"/>
  <c r="CR41"/>
  <c r="AE20"/>
  <c r="AE40" s="1"/>
  <c r="AX24"/>
  <c r="F27"/>
  <c r="E27" s="1"/>
  <c r="AT36"/>
  <c r="AT42" s="1"/>
  <c r="AZ41"/>
  <c r="AZ36" s="1"/>
  <c r="AZ42" s="1"/>
  <c r="BE41"/>
  <c r="BE24" s="1"/>
  <c r="CB41"/>
  <c r="CF41"/>
  <c r="AG14"/>
  <c r="E30"/>
  <c r="AF41"/>
  <c r="AF36" s="1"/>
  <c r="AF42" s="1"/>
  <c r="AJ41"/>
  <c r="AN41"/>
  <c r="AR41"/>
  <c r="AV41"/>
  <c r="BP41"/>
  <c r="BP36" s="1"/>
  <c r="BP42" s="1"/>
  <c r="BT41"/>
  <c r="BX41"/>
  <c r="CC41"/>
  <c r="CC24" s="1"/>
  <c r="CG41"/>
  <c r="CG24" s="1"/>
  <c r="CU41"/>
  <c r="CU24" s="1"/>
  <c r="AX25"/>
  <c r="AE29"/>
  <c r="F35"/>
  <c r="BB36"/>
  <c r="BB42" s="1"/>
  <c r="CM36"/>
  <c r="CM42" s="1"/>
  <c r="AB41"/>
  <c r="AB36" s="1"/>
  <c r="AB42" s="1"/>
  <c r="BL41"/>
  <c r="BL36" s="1"/>
  <c r="BL42" s="1"/>
  <c r="BQ41"/>
  <c r="BU41"/>
  <c r="BU24" s="1"/>
  <c r="BY41"/>
  <c r="CQ41"/>
  <c r="CQ24" s="1"/>
  <c r="CV41"/>
  <c r="CV36" s="1"/>
  <c r="CV42" s="1"/>
  <c r="BH46"/>
  <c r="BH14" s="1"/>
  <c r="AS14"/>
  <c r="AS46"/>
  <c r="AZ46"/>
  <c r="AZ14" s="1"/>
  <c r="AZ15" s="1"/>
  <c r="CE26"/>
  <c r="CE22" s="1"/>
  <c r="CE16" s="1"/>
  <c r="R40"/>
  <c r="R41" s="1"/>
  <c r="R36" s="1"/>
  <c r="G20"/>
  <c r="R16"/>
  <c r="BQ46"/>
  <c r="BQ14" s="1"/>
  <c r="CJ46"/>
  <c r="CJ14" s="1"/>
  <c r="CJ15" s="1"/>
  <c r="AF23"/>
  <c r="BK41"/>
  <c r="BK24" s="1"/>
  <c r="BS41"/>
  <c r="BS24" s="1"/>
  <c r="S46"/>
  <c r="S14" s="1"/>
  <c r="S15" s="1"/>
  <c r="BN46"/>
  <c r="BN14"/>
  <c r="BN15" s="1"/>
  <c r="E17"/>
  <c r="AQ23"/>
  <c r="AL22"/>
  <c r="AL16" s="1"/>
  <c r="BR26"/>
  <c r="CD26"/>
  <c r="CD22" s="1"/>
  <c r="CD16" s="1"/>
  <c r="BG41"/>
  <c r="BG24" s="1"/>
  <c r="CA41"/>
  <c r="CA36" s="1"/>
  <c r="CA42" s="1"/>
  <c r="CC26"/>
  <c r="CC22" s="1"/>
  <c r="CC16" s="1"/>
  <c r="X22"/>
  <c r="X16" s="1"/>
  <c r="CP26"/>
  <c r="CV46"/>
  <c r="CV14" s="1"/>
  <c r="CV15" s="1"/>
  <c r="AY26"/>
  <c r="AY22" s="1"/>
  <c r="AY16" s="1"/>
  <c r="G38"/>
  <c r="BP17"/>
  <c r="BN40"/>
  <c r="BN41" s="1"/>
  <c r="BN36" s="1"/>
  <c r="BN42" s="1"/>
  <c r="BC20"/>
  <c r="CT40"/>
  <c r="CT41" s="1"/>
  <c r="CT23"/>
  <c r="BA46"/>
  <c r="BA14" s="1"/>
  <c r="BA15" s="1"/>
  <c r="BM46"/>
  <c r="BM14" s="1"/>
  <c r="BM15" s="1"/>
  <c r="CW46"/>
  <c r="CW14" s="1"/>
  <c r="CW15" s="1"/>
  <c r="U22"/>
  <c r="F22" s="1"/>
  <c r="F23"/>
  <c r="BF26"/>
  <c r="BF22" s="1"/>
  <c r="BF16" s="1"/>
  <c r="BC23"/>
  <c r="Z46"/>
  <c r="Z14" s="1"/>
  <c r="BE26"/>
  <c r="BE22" s="1"/>
  <c r="BE16" s="1"/>
  <c r="AY36"/>
  <c r="AY42" s="1"/>
  <c r="BG36"/>
  <c r="BG42" s="1"/>
  <c r="CE36"/>
  <c r="CE42" s="1"/>
  <c r="CI41"/>
  <c r="CI24" s="1"/>
  <c r="BU26"/>
  <c r="BU22" s="1"/>
  <c r="BU16" s="1"/>
  <c r="CT25"/>
  <c r="CM25" s="1"/>
  <c r="AT26"/>
  <c r="AT22" s="1"/>
  <c r="AT16" s="1"/>
  <c r="E29"/>
  <c r="AE41"/>
  <c r="AE36" s="1"/>
  <c r="AE42" s="1"/>
  <c r="AI41"/>
  <c r="AI24" s="1"/>
  <c r="AI26" s="1"/>
  <c r="AM41"/>
  <c r="AM24" s="1"/>
  <c r="AM26" s="1"/>
  <c r="AQ41"/>
  <c r="AQ36" s="1"/>
  <c r="AQ42" s="1"/>
  <c r="AU41"/>
  <c r="AU24" s="1"/>
  <c r="BO41"/>
  <c r="BO36" s="1"/>
  <c r="BO42" s="1"/>
  <c r="BW41"/>
  <c r="BW24" s="1"/>
  <c r="BJ40"/>
  <c r="BJ41" s="1"/>
  <c r="BJ25"/>
  <c r="BC25" s="1"/>
  <c r="CH40"/>
  <c r="CH41" s="1"/>
  <c r="CH23"/>
  <c r="F45"/>
  <c r="G43"/>
  <c r="CU36"/>
  <c r="CU42" s="1"/>
  <c r="Y24"/>
  <c r="AK22"/>
  <c r="AK16" s="1"/>
  <c r="CG26"/>
  <c r="AH24"/>
  <c r="Y26"/>
  <c r="Y22" s="1"/>
  <c r="Y16" s="1"/>
  <c r="BV26"/>
  <c r="BV22" s="1"/>
  <c r="BV16" s="1"/>
  <c r="BG30"/>
  <c r="BC30" s="1"/>
  <c r="CD36"/>
  <c r="CD42" s="1"/>
  <c r="AC36"/>
  <c r="AC42" s="1"/>
  <c r="AK36"/>
  <c r="AK42" s="1"/>
  <c r="AS36"/>
  <c r="AS42" s="1"/>
  <c r="BA36"/>
  <c r="BA42" s="1"/>
  <c r="BE36"/>
  <c r="BE42" s="1"/>
  <c r="BI36"/>
  <c r="BI42" s="1"/>
  <c r="BM36"/>
  <c r="BM42" s="1"/>
  <c r="BQ36"/>
  <c r="BQ42" s="1"/>
  <c r="BU36"/>
  <c r="BU42" s="1"/>
  <c r="BY36"/>
  <c r="BY42" s="1"/>
  <c r="CC36"/>
  <c r="CC42" s="1"/>
  <c r="CG36"/>
  <c r="CG42" s="1"/>
  <c r="CO36"/>
  <c r="CO42" s="1"/>
  <c r="CW36"/>
  <c r="CW42" s="1"/>
  <c r="AA46"/>
  <c r="AA14" s="1"/>
  <c r="AU26"/>
  <c r="BG26"/>
  <c r="CQ36"/>
  <c r="CQ42" s="1"/>
  <c r="CQ26"/>
  <c r="CQ22" s="1"/>
  <c r="CQ16" s="1"/>
  <c r="BH36"/>
  <c r="BH42" s="1"/>
  <c r="CP22"/>
  <c r="CP16" s="1"/>
  <c r="AB14"/>
  <c r="AB15" s="1"/>
  <c r="AD16"/>
  <c r="U20"/>
  <c r="U40" s="1"/>
  <c r="U41" s="1"/>
  <c r="U36" s="1"/>
  <c r="U42" s="1"/>
  <c r="CG22"/>
  <c r="CG16" s="1"/>
  <c r="CO26"/>
  <c r="CO22" s="1"/>
  <c r="CO16" s="1"/>
  <c r="W24"/>
  <c r="W26" s="1"/>
  <c r="AF25"/>
  <c r="AE25" s="1"/>
  <c r="E25" s="1"/>
  <c r="AQ25"/>
  <c r="AE31"/>
  <c r="BD36"/>
  <c r="BD42" s="1"/>
  <c r="AG41"/>
  <c r="AG36" s="1"/>
  <c r="AG42" s="1"/>
  <c r="AO41"/>
  <c r="AO36" s="1"/>
  <c r="AO42" s="1"/>
  <c r="AW41"/>
  <c r="AW24" s="1"/>
  <c r="CK41"/>
  <c r="CK36" s="1"/>
  <c r="CK42" s="1"/>
  <c r="CS41"/>
  <c r="CS24" s="1"/>
  <c r="BG22" l="1"/>
  <c r="BG16" s="1"/>
  <c r="AX26"/>
  <c r="AX22" s="1"/>
  <c r="AX16" s="1"/>
  <c r="BR27"/>
  <c r="BR22" s="1"/>
  <c r="BR16" s="1"/>
  <c r="BR46" s="1"/>
  <c r="BR14" s="1"/>
  <c r="AU36"/>
  <c r="AU42" s="1"/>
  <c r="BX36"/>
  <c r="BX42" s="1"/>
  <c r="BX24"/>
  <c r="BX26" s="1"/>
  <c r="BX22" s="1"/>
  <c r="BX16" s="1"/>
  <c r="AR24"/>
  <c r="AR36"/>
  <c r="AR42" s="1"/>
  <c r="CF36"/>
  <c r="CF42" s="1"/>
  <c r="CF24"/>
  <c r="AI22"/>
  <c r="AI16" s="1"/>
  <c r="AI36"/>
  <c r="AI42" s="1"/>
  <c r="CU26"/>
  <c r="CU22" s="1"/>
  <c r="CU16" s="1"/>
  <c r="BT24"/>
  <c r="BT36"/>
  <c r="BT42" s="1"/>
  <c r="AN36"/>
  <c r="AN42" s="1"/>
  <c r="AN24"/>
  <c r="AN26" s="1"/>
  <c r="AN22" s="1"/>
  <c r="AN16" s="1"/>
  <c r="CB24"/>
  <c r="CB36"/>
  <c r="CB42" s="1"/>
  <c r="AU22"/>
  <c r="AU16" s="1"/>
  <c r="AJ36"/>
  <c r="AJ42" s="1"/>
  <c r="AJ24"/>
  <c r="AJ26" s="1"/>
  <c r="AJ22" s="1"/>
  <c r="AJ16" s="1"/>
  <c r="CR24"/>
  <c r="CR26" s="1"/>
  <c r="CR22" s="1"/>
  <c r="CR16" s="1"/>
  <c r="CR46" s="1"/>
  <c r="CR14" s="1"/>
  <c r="CR36"/>
  <c r="CR42" s="1"/>
  <c r="CI36"/>
  <c r="CI42" s="1"/>
  <c r="AV36"/>
  <c r="AV42" s="1"/>
  <c r="AV24"/>
  <c r="AG57"/>
  <c r="AG15"/>
  <c r="CN24"/>
  <c r="CN36"/>
  <c r="CN42" s="1"/>
  <c r="AT46"/>
  <c r="AT14" s="1"/>
  <c r="BD57"/>
  <c r="BD15"/>
  <c r="BH57"/>
  <c r="BH15"/>
  <c r="BG46"/>
  <c r="BG14" s="1"/>
  <c r="BX46"/>
  <c r="BX14" s="1"/>
  <c r="BX15" s="1"/>
  <c r="BE46"/>
  <c r="BE14" s="1"/>
  <c r="AU46"/>
  <c r="AU14" s="1"/>
  <c r="BU46"/>
  <c r="BU14" s="1"/>
  <c r="V46"/>
  <c r="V14" s="1"/>
  <c r="Z15"/>
  <c r="Z57"/>
  <c r="CC46"/>
  <c r="CC14" s="1"/>
  <c r="CQ46"/>
  <c r="CQ14" s="1"/>
  <c r="AI46"/>
  <c r="AI14" s="1"/>
  <c r="AY46"/>
  <c r="AY14" s="1"/>
  <c r="AY15" s="1"/>
  <c r="CD46"/>
  <c r="CD14" s="1"/>
  <c r="BQ57"/>
  <c r="BQ15"/>
  <c r="AJ46"/>
  <c r="AJ14" s="1"/>
  <c r="AH26"/>
  <c r="AH27" s="1"/>
  <c r="AH22" s="1"/>
  <c r="AH16" s="1"/>
  <c r="E45"/>
  <c r="F43"/>
  <c r="E43" s="1"/>
  <c r="CA23"/>
  <c r="BF46"/>
  <c r="BF14" s="1"/>
  <c r="CE46"/>
  <c r="CE14" s="1"/>
  <c r="AS57"/>
  <c r="AS15"/>
  <c r="CO46"/>
  <c r="CO14" s="1"/>
  <c r="CG46"/>
  <c r="CG14" s="1"/>
  <c r="CG15" s="1"/>
  <c r="AK46"/>
  <c r="AK14" s="1"/>
  <c r="CM23"/>
  <c r="AX46"/>
  <c r="AX14" s="1"/>
  <c r="BK26"/>
  <c r="BK22" s="1"/>
  <c r="BK16" s="1"/>
  <c r="F20"/>
  <c r="G40"/>
  <c r="G41" s="1"/>
  <c r="G36" s="1"/>
  <c r="G42" s="1"/>
  <c r="W27"/>
  <c r="W22" s="1"/>
  <c r="W16" s="1"/>
  <c r="CP46"/>
  <c r="CP14" s="1"/>
  <c r="CH36"/>
  <c r="CH42" s="1"/>
  <c r="CH24"/>
  <c r="CA24" s="1"/>
  <c r="CI26"/>
  <c r="CI22" s="1"/>
  <c r="CI16" s="1"/>
  <c r="BI46"/>
  <c r="BI14" s="1"/>
  <c r="BI15" s="1"/>
  <c r="R46"/>
  <c r="BW36"/>
  <c r="BW42" s="1"/>
  <c r="AF24"/>
  <c r="CS26"/>
  <c r="CS22" s="1"/>
  <c r="CS16" s="1"/>
  <c r="AM22"/>
  <c r="AM16" s="1"/>
  <c r="G16"/>
  <c r="U16"/>
  <c r="CS36"/>
  <c r="CS42" s="1"/>
  <c r="AW36"/>
  <c r="AW42" s="1"/>
  <c r="AM36"/>
  <c r="AM42" s="1"/>
  <c r="BS36"/>
  <c r="BS42" s="1"/>
  <c r="AQ24"/>
  <c r="AQ22" s="1"/>
  <c r="AQ16" s="1"/>
  <c r="AW26"/>
  <c r="AW22" s="1"/>
  <c r="AW16" s="1"/>
  <c r="AA57"/>
  <c r="AA15"/>
  <c r="BW26"/>
  <c r="BW22" s="1"/>
  <c r="BW16" s="1"/>
  <c r="BC40"/>
  <c r="BC41" s="1"/>
  <c r="BC36" s="1"/>
  <c r="BC42" s="1"/>
  <c r="BS26"/>
  <c r="BS22" s="1"/>
  <c r="BS16" s="1"/>
  <c r="AD46"/>
  <c r="AD14" s="1"/>
  <c r="AD15" s="1"/>
  <c r="AN46"/>
  <c r="AN14" s="1"/>
  <c r="AN15" s="1"/>
  <c r="Y46"/>
  <c r="Y14" s="1"/>
  <c r="BJ24"/>
  <c r="BJ36"/>
  <c r="BJ42" s="1"/>
  <c r="BV46"/>
  <c r="BV14" s="1"/>
  <c r="CT24"/>
  <c r="CM24" s="1"/>
  <c r="CT36"/>
  <c r="CT42" s="1"/>
  <c r="X46"/>
  <c r="X14" s="1"/>
  <c r="AL46"/>
  <c r="AL14" s="1"/>
  <c r="AE23"/>
  <c r="E23" s="1"/>
  <c r="BP24"/>
  <c r="BK36"/>
  <c r="BK42" s="1"/>
  <c r="R14" l="1"/>
  <c r="R15" s="1"/>
  <c r="I83" i="28"/>
  <c r="CN26" i="101"/>
  <c r="CN22" s="1"/>
  <c r="CN16" s="1"/>
  <c r="CB26"/>
  <c r="CB22" s="1"/>
  <c r="CB16" s="1"/>
  <c r="BT26"/>
  <c r="BT22" s="1"/>
  <c r="BT16" s="1"/>
  <c r="AR26"/>
  <c r="AR22" s="1"/>
  <c r="AR16" s="1"/>
  <c r="AR46" s="1"/>
  <c r="AR14" s="1"/>
  <c r="CU46"/>
  <c r="CU14" s="1"/>
  <c r="CU15" s="1"/>
  <c r="CF26"/>
  <c r="CF22" s="1"/>
  <c r="CF16" s="1"/>
  <c r="AV26"/>
  <c r="AV22" s="1"/>
  <c r="AV16" s="1"/>
  <c r="AF26"/>
  <c r="AI57"/>
  <c r="AI15"/>
  <c r="BE57"/>
  <c r="BE15"/>
  <c r="AT57"/>
  <c r="AT15"/>
  <c r="CP57"/>
  <c r="CP15"/>
  <c r="CE57"/>
  <c r="CE15"/>
  <c r="AJ57"/>
  <c r="AJ15"/>
  <c r="CR57"/>
  <c r="CR15"/>
  <c r="AL57"/>
  <c r="AL15"/>
  <c r="AX15"/>
  <c r="AX57"/>
  <c r="AK15"/>
  <c r="AK57"/>
  <c r="BR57"/>
  <c r="BR15"/>
  <c r="CI46"/>
  <c r="CI14" s="1"/>
  <c r="CI15" s="1"/>
  <c r="CO15"/>
  <c r="CO57"/>
  <c r="BU57"/>
  <c r="BU15"/>
  <c r="CS46"/>
  <c r="CS14" s="1"/>
  <c r="CS15" s="1"/>
  <c r="BW46"/>
  <c r="BW14" s="1"/>
  <c r="BW15" s="1"/>
  <c r="CQ57"/>
  <c r="CQ15"/>
  <c r="BV57"/>
  <c r="BV15"/>
  <c r="Y57"/>
  <c r="Y15"/>
  <c r="W46"/>
  <c r="W14" s="1"/>
  <c r="BC24"/>
  <c r="BC22" s="1"/>
  <c r="BC16" s="1"/>
  <c r="BJ26"/>
  <c r="BJ22" s="1"/>
  <c r="BJ16" s="1"/>
  <c r="BS46"/>
  <c r="BS14" s="1"/>
  <c r="AQ46"/>
  <c r="AQ14" s="1"/>
  <c r="G46"/>
  <c r="CH26"/>
  <c r="CM22"/>
  <c r="CM16" s="1"/>
  <c r="CA22"/>
  <c r="CA16" s="1"/>
  <c r="BP26"/>
  <c r="BP22" s="1"/>
  <c r="BP16" s="1"/>
  <c r="CT26"/>
  <c r="CT22" s="1"/>
  <c r="CT16" s="1"/>
  <c r="X15"/>
  <c r="X57"/>
  <c r="AW46"/>
  <c r="AW14" s="1"/>
  <c r="AW15" s="1"/>
  <c r="BK46"/>
  <c r="BK14" s="1"/>
  <c r="BK15" s="1"/>
  <c r="AH46"/>
  <c r="AH14" s="1"/>
  <c r="AM46"/>
  <c r="AM14" s="1"/>
  <c r="AM15" s="1"/>
  <c r="E20"/>
  <c r="F16"/>
  <c r="U46"/>
  <c r="U14" s="1"/>
  <c r="BF15"/>
  <c r="BF57"/>
  <c r="CD57"/>
  <c r="CD15"/>
  <c r="CC57"/>
  <c r="CC15"/>
  <c r="V57"/>
  <c r="V15"/>
  <c r="AU57"/>
  <c r="AU15"/>
  <c r="BG57"/>
  <c r="BG15"/>
  <c r="CH22"/>
  <c r="CH16" s="1"/>
  <c r="CB46" l="1"/>
  <c r="CB14" s="1"/>
  <c r="CN46"/>
  <c r="CN14" s="1"/>
  <c r="AV46"/>
  <c r="AV14" s="1"/>
  <c r="AR57"/>
  <c r="AR15"/>
  <c r="CF46"/>
  <c r="CF14" s="1"/>
  <c r="BT46"/>
  <c r="BT14" s="1"/>
  <c r="F46"/>
  <c r="F14" s="1"/>
  <c r="F15" s="1"/>
  <c r="F78" s="1"/>
  <c r="AE26"/>
  <c r="E26" s="1"/>
  <c r="AF22"/>
  <c r="BJ46"/>
  <c r="BJ14" s="1"/>
  <c r="BS57"/>
  <c r="BS15"/>
  <c r="AH57"/>
  <c r="AH15"/>
  <c r="CT46"/>
  <c r="CT14" s="1"/>
  <c r="AQ57"/>
  <c r="AQ15"/>
  <c r="W57"/>
  <c r="W15"/>
  <c r="CA46"/>
  <c r="CA14" s="1"/>
  <c r="BC46"/>
  <c r="BC14" s="1"/>
  <c r="G14"/>
  <c r="BP46"/>
  <c r="BP14" s="1"/>
  <c r="CH46"/>
  <c r="CH14" s="1"/>
  <c r="U57"/>
  <c r="U15"/>
  <c r="CM46"/>
  <c r="CM14" s="1"/>
  <c r="CN57" l="1"/>
  <c r="CN15"/>
  <c r="CB57"/>
  <c r="CB15"/>
  <c r="BT57"/>
  <c r="BT15"/>
  <c r="AE22"/>
  <c r="AF16"/>
  <c r="CF15"/>
  <c r="CF57"/>
  <c r="AV57"/>
  <c r="AV15"/>
  <c r="CA57"/>
  <c r="CA15"/>
  <c r="BJ57"/>
  <c r="BJ15"/>
  <c r="BC57"/>
  <c r="BC15"/>
  <c r="CH57"/>
  <c r="CH15"/>
  <c r="CT57"/>
  <c r="CT15"/>
  <c r="CM57"/>
  <c r="CM15"/>
  <c r="G57"/>
  <c r="F57" s="1"/>
  <c r="G15"/>
  <c r="BP57"/>
  <c r="BP15"/>
  <c r="AF46" l="1"/>
  <c r="AF14" s="1"/>
  <c r="E22"/>
  <c r="AE16"/>
  <c r="AF57" l="1"/>
  <c r="AE57" s="1"/>
  <c r="E57" s="1"/>
  <c r="AF15"/>
  <c r="E16"/>
  <c r="AE46"/>
  <c r="E46" s="1"/>
  <c r="E14" l="1"/>
  <c r="E15" s="1"/>
  <c r="AE14"/>
  <c r="AE15" s="1"/>
  <c r="AE78" s="1"/>
  <c r="H82" i="28" l="1"/>
  <c r="O567" l="1"/>
  <c r="O318"/>
  <c r="O315"/>
  <c r="O314"/>
  <c r="O313"/>
  <c r="Q49" i="99"/>
  <c r="I531" i="92"/>
  <c r="C561" l="1"/>
  <c r="C564"/>
  <c r="O476" i="28"/>
  <c r="O475"/>
  <c r="Q53" i="99" l="1"/>
  <c r="W585" i="92" l="1"/>
  <c r="V580" l="1"/>
  <c r="P580"/>
  <c r="Q51" i="99"/>
  <c r="Q45"/>
  <c r="I548" i="92" l="1"/>
  <c r="A53" i="99" l="1"/>
  <c r="A51"/>
  <c r="Q105"/>
  <c r="Q99"/>
  <c r="Q97"/>
  <c r="Q95"/>
  <c r="Q92"/>
  <c r="Q96"/>
  <c r="A44"/>
  <c r="Q93"/>
  <c r="Q100"/>
  <c r="Q106"/>
  <c r="Q59"/>
  <c r="Q56"/>
  <c r="C56"/>
  <c r="Q47"/>
  <c r="C44"/>
  <c r="Q91"/>
  <c r="Q107"/>
  <c r="Q60"/>
  <c r="Q82"/>
  <c r="C45"/>
  <c r="A45"/>
  <c r="Q40"/>
  <c r="Q86" l="1"/>
  <c r="Q87"/>
  <c r="Q83"/>
  <c r="A82"/>
  <c r="Q29"/>
  <c r="Q27"/>
  <c r="Q26" l="1"/>
  <c r="D29"/>
  <c r="C87"/>
  <c r="A26"/>
  <c r="C59"/>
  <c r="A27"/>
  <c r="C11"/>
  <c r="C26"/>
  <c r="Q50" l="1"/>
  <c r="C560" i="92" l="1"/>
  <c r="A101" i="99"/>
  <c r="A39"/>
  <c r="C559" i="92"/>
  <c r="K7492" i="94" l="1"/>
  <c r="L7492"/>
  <c r="N7492"/>
  <c r="O7492"/>
  <c r="P7492"/>
  <c r="Q7492"/>
  <c r="R7492"/>
  <c r="L7486"/>
  <c r="M7486"/>
  <c r="N7486"/>
  <c r="O7486"/>
  <c r="P7486"/>
  <c r="Q7486"/>
  <c r="R7486"/>
  <c r="L7483"/>
  <c r="M7483"/>
  <c r="N7483"/>
  <c r="O7483"/>
  <c r="P7483"/>
  <c r="Q7483"/>
  <c r="R7483"/>
  <c r="K7483"/>
  <c r="S7492" l="1"/>
  <c r="A89" i="99"/>
  <c r="A86"/>
  <c r="B308" i="28"/>
  <c r="A61" i="99" l="1"/>
  <c r="C582" i="92"/>
  <c r="Q21" i="84"/>
  <c r="R21" s="1"/>
  <c r="C563" i="92" l="1"/>
  <c r="I201" i="28"/>
  <c r="I200" s="1"/>
  <c r="H38" i="99" s="1"/>
  <c r="T4"/>
  <c r="I2"/>
  <c r="H2"/>
  <c r="Z4"/>
  <c r="Q84"/>
  <c r="N38"/>
  <c r="Q188" i="28"/>
  <c r="Q192"/>
  <c r="A31" i="99"/>
  <c r="A30"/>
  <c r="J2"/>
  <c r="K2"/>
  <c r="L2"/>
  <c r="B2"/>
  <c r="C2"/>
  <c r="D2"/>
  <c r="E2"/>
  <c r="F2"/>
  <c r="G2"/>
  <c r="M2"/>
  <c r="N2"/>
  <c r="A2"/>
  <c r="C5"/>
  <c r="D5"/>
  <c r="N5"/>
  <c r="C6"/>
  <c r="D6"/>
  <c r="N6"/>
  <c r="B7"/>
  <c r="C7"/>
  <c r="D7"/>
  <c r="N7"/>
  <c r="B8"/>
  <c r="C8"/>
  <c r="N8"/>
  <c r="C9"/>
  <c r="D9"/>
  <c r="N9"/>
  <c r="C10"/>
  <c r="D10"/>
  <c r="N10"/>
  <c r="B11"/>
  <c r="D11"/>
  <c r="N11"/>
  <c r="B12"/>
  <c r="C12"/>
  <c r="N12"/>
  <c r="B13"/>
  <c r="C13"/>
  <c r="N13"/>
  <c r="B14"/>
  <c r="C14"/>
  <c r="N14"/>
  <c r="C15"/>
  <c r="D15"/>
  <c r="N15"/>
  <c r="B16"/>
  <c r="C16"/>
  <c r="N16"/>
  <c r="B17"/>
  <c r="C17"/>
  <c r="N17"/>
  <c r="B18"/>
  <c r="C18"/>
  <c r="N18"/>
  <c r="C19"/>
  <c r="N19"/>
  <c r="B20"/>
  <c r="C20"/>
  <c r="N20"/>
  <c r="B21"/>
  <c r="C21"/>
  <c r="N21"/>
  <c r="B22"/>
  <c r="C22"/>
  <c r="D22"/>
  <c r="E22"/>
  <c r="N22"/>
  <c r="B23"/>
  <c r="C23"/>
  <c r="D23"/>
  <c r="E23"/>
  <c r="N23"/>
  <c r="B24"/>
  <c r="C24"/>
  <c r="D24"/>
  <c r="E24"/>
  <c r="N24"/>
  <c r="B25"/>
  <c r="C25"/>
  <c r="D25"/>
  <c r="N25"/>
  <c r="B26"/>
  <c r="D26"/>
  <c r="E26"/>
  <c r="N26"/>
  <c r="B27"/>
  <c r="C27"/>
  <c r="D27"/>
  <c r="E27"/>
  <c r="N27"/>
  <c r="B28"/>
  <c r="C28"/>
  <c r="E28"/>
  <c r="N28"/>
  <c r="B29"/>
  <c r="C29"/>
  <c r="E29"/>
  <c r="M29"/>
  <c r="N29"/>
  <c r="B30"/>
  <c r="C30"/>
  <c r="D30"/>
  <c r="E30"/>
  <c r="M30"/>
  <c r="N30"/>
  <c r="B31"/>
  <c r="C31"/>
  <c r="D31"/>
  <c r="E31"/>
  <c r="M31"/>
  <c r="N31"/>
  <c r="C32"/>
  <c r="D32"/>
  <c r="E32"/>
  <c r="M32"/>
  <c r="N32"/>
  <c r="B33"/>
  <c r="C33"/>
  <c r="D33"/>
  <c r="E33"/>
  <c r="H33"/>
  <c r="U33" s="1"/>
  <c r="M33"/>
  <c r="N33"/>
  <c r="B34"/>
  <c r="C34"/>
  <c r="D34"/>
  <c r="E34"/>
  <c r="H34"/>
  <c r="U34" s="1"/>
  <c r="I34"/>
  <c r="J34"/>
  <c r="W34" s="1"/>
  <c r="L34"/>
  <c r="Y34" s="1"/>
  <c r="M34"/>
  <c r="N34"/>
  <c r="B35"/>
  <c r="C35"/>
  <c r="D35"/>
  <c r="E35"/>
  <c r="M35"/>
  <c r="N35"/>
  <c r="B36"/>
  <c r="C36"/>
  <c r="D36"/>
  <c r="E36"/>
  <c r="M36"/>
  <c r="N36"/>
  <c r="B37"/>
  <c r="C37"/>
  <c r="D37"/>
  <c r="E37"/>
  <c r="M37"/>
  <c r="N37"/>
  <c r="B38"/>
  <c r="C38"/>
  <c r="D38"/>
  <c r="E38"/>
  <c r="M38"/>
  <c r="B39"/>
  <c r="C39"/>
  <c r="D39"/>
  <c r="E39"/>
  <c r="I39"/>
  <c r="J39"/>
  <c r="W39" s="1"/>
  <c r="K39"/>
  <c r="X39" s="1"/>
  <c r="M39"/>
  <c r="N39"/>
  <c r="B40"/>
  <c r="C40"/>
  <c r="D40"/>
  <c r="E40"/>
  <c r="I40"/>
  <c r="J40"/>
  <c r="K40"/>
  <c r="X40" s="1"/>
  <c r="L40"/>
  <c r="Y40" s="1"/>
  <c r="M40"/>
  <c r="N40"/>
  <c r="B41"/>
  <c r="C41"/>
  <c r="D41"/>
  <c r="E41"/>
  <c r="H41"/>
  <c r="U41" s="1"/>
  <c r="L41"/>
  <c r="Y41" s="1"/>
  <c r="M41"/>
  <c r="N41"/>
  <c r="B42"/>
  <c r="C42"/>
  <c r="D42"/>
  <c r="E42"/>
  <c r="H42"/>
  <c r="U42" s="1"/>
  <c r="J42"/>
  <c r="K42"/>
  <c r="X42" s="1"/>
  <c r="L42"/>
  <c r="Y42" s="1"/>
  <c r="M42"/>
  <c r="N42"/>
  <c r="B43"/>
  <c r="C43"/>
  <c r="D43"/>
  <c r="E43"/>
  <c r="I43"/>
  <c r="V43" s="1"/>
  <c r="J43"/>
  <c r="AC43" s="1"/>
  <c r="K43"/>
  <c r="X43" s="1"/>
  <c r="L43"/>
  <c r="Y43" s="1"/>
  <c r="M43"/>
  <c r="N43"/>
  <c r="B44"/>
  <c r="D44"/>
  <c r="E44"/>
  <c r="H44"/>
  <c r="U44" s="1"/>
  <c r="I44"/>
  <c r="V44" s="1"/>
  <c r="L44"/>
  <c r="Y44" s="1"/>
  <c r="M44"/>
  <c r="N44"/>
  <c r="B45"/>
  <c r="D45"/>
  <c r="E45"/>
  <c r="H45"/>
  <c r="J45"/>
  <c r="K45"/>
  <c r="X45" s="1"/>
  <c r="L45"/>
  <c r="Y45" s="1"/>
  <c r="M45"/>
  <c r="N45"/>
  <c r="B46"/>
  <c r="C46"/>
  <c r="D46"/>
  <c r="E46"/>
  <c r="I46"/>
  <c r="J46"/>
  <c r="W46" s="1"/>
  <c r="K46"/>
  <c r="X46" s="1"/>
  <c r="L46"/>
  <c r="Y46" s="1"/>
  <c r="M46"/>
  <c r="N46"/>
  <c r="B47"/>
  <c r="C47"/>
  <c r="D47"/>
  <c r="E47"/>
  <c r="I47"/>
  <c r="J47"/>
  <c r="W47" s="1"/>
  <c r="K47"/>
  <c r="X47" s="1"/>
  <c r="L47"/>
  <c r="Y47" s="1"/>
  <c r="M47"/>
  <c r="N47"/>
  <c r="B48"/>
  <c r="C48"/>
  <c r="D48"/>
  <c r="E48"/>
  <c r="H48"/>
  <c r="U48" s="1"/>
  <c r="J48"/>
  <c r="K48"/>
  <c r="X48" s="1"/>
  <c r="L48"/>
  <c r="Y48" s="1"/>
  <c r="M48"/>
  <c r="N48"/>
  <c r="B49"/>
  <c r="C49"/>
  <c r="D49"/>
  <c r="E49"/>
  <c r="I49"/>
  <c r="AB49" s="1"/>
  <c r="J49"/>
  <c r="W49" s="1"/>
  <c r="K49"/>
  <c r="X49" s="1"/>
  <c r="L49"/>
  <c r="Y49" s="1"/>
  <c r="M49"/>
  <c r="N49"/>
  <c r="B50"/>
  <c r="C50"/>
  <c r="D50"/>
  <c r="E50"/>
  <c r="H50"/>
  <c r="U50" s="1"/>
  <c r="J50"/>
  <c r="W50" s="1"/>
  <c r="K50"/>
  <c r="X50" s="1"/>
  <c r="L50"/>
  <c r="Y50" s="1"/>
  <c r="M50"/>
  <c r="N50"/>
  <c r="B51"/>
  <c r="C51"/>
  <c r="D51"/>
  <c r="E51"/>
  <c r="I51"/>
  <c r="J51"/>
  <c r="W51" s="1"/>
  <c r="L51"/>
  <c r="Y51" s="1"/>
  <c r="M51"/>
  <c r="N51"/>
  <c r="B52"/>
  <c r="C52"/>
  <c r="D52"/>
  <c r="E52"/>
  <c r="H52"/>
  <c r="U52" s="1"/>
  <c r="J52"/>
  <c r="W52" s="1"/>
  <c r="K52"/>
  <c r="X52" s="1"/>
  <c r="L52"/>
  <c r="Y52" s="1"/>
  <c r="M52"/>
  <c r="N52"/>
  <c r="B53"/>
  <c r="C53"/>
  <c r="D53"/>
  <c r="E53"/>
  <c r="H53"/>
  <c r="U53" s="1"/>
  <c r="J53"/>
  <c r="W53" s="1"/>
  <c r="M53"/>
  <c r="N53"/>
  <c r="B54"/>
  <c r="C54"/>
  <c r="D54"/>
  <c r="E54"/>
  <c r="H54"/>
  <c r="I54"/>
  <c r="V54" s="1"/>
  <c r="L54"/>
  <c r="Y54" s="1"/>
  <c r="M54"/>
  <c r="N54"/>
  <c r="B55"/>
  <c r="C55"/>
  <c r="D55"/>
  <c r="E55"/>
  <c r="H55"/>
  <c r="I55"/>
  <c r="V55" s="1"/>
  <c r="L55"/>
  <c r="Y55" s="1"/>
  <c r="M55"/>
  <c r="N55"/>
  <c r="B56"/>
  <c r="D56"/>
  <c r="E56"/>
  <c r="H56"/>
  <c r="U56" s="1"/>
  <c r="I56"/>
  <c r="V56" s="1"/>
  <c r="M56"/>
  <c r="N56"/>
  <c r="B57"/>
  <c r="C57"/>
  <c r="D57"/>
  <c r="E57"/>
  <c r="H57"/>
  <c r="U57" s="1"/>
  <c r="I57"/>
  <c r="V57" s="1"/>
  <c r="K57"/>
  <c r="X57" s="1"/>
  <c r="M57"/>
  <c r="N57"/>
  <c r="B58"/>
  <c r="C58"/>
  <c r="D58"/>
  <c r="E58"/>
  <c r="I58"/>
  <c r="V58" s="1"/>
  <c r="J58"/>
  <c r="W58" s="1"/>
  <c r="K58"/>
  <c r="X58" s="1"/>
  <c r="M58"/>
  <c r="N58"/>
  <c r="B59"/>
  <c r="D59"/>
  <c r="E59"/>
  <c r="I59"/>
  <c r="V59" s="1"/>
  <c r="J59"/>
  <c r="W59" s="1"/>
  <c r="K59"/>
  <c r="X59" s="1"/>
  <c r="L59"/>
  <c r="Y59" s="1"/>
  <c r="M59"/>
  <c r="N59"/>
  <c r="B60"/>
  <c r="C60"/>
  <c r="D60"/>
  <c r="E60"/>
  <c r="I60"/>
  <c r="J60"/>
  <c r="W60" s="1"/>
  <c r="K60"/>
  <c r="X60" s="1"/>
  <c r="L60"/>
  <c r="Y60" s="1"/>
  <c r="M60"/>
  <c r="N60"/>
  <c r="B61"/>
  <c r="C61"/>
  <c r="D61"/>
  <c r="E61"/>
  <c r="I61"/>
  <c r="J61"/>
  <c r="K61"/>
  <c r="L61"/>
  <c r="M61"/>
  <c r="N61"/>
  <c r="B62"/>
  <c r="C62"/>
  <c r="D62"/>
  <c r="E62"/>
  <c r="J62"/>
  <c r="X62" s="1"/>
  <c r="K62"/>
  <c r="Y62" s="1"/>
  <c r="L62"/>
  <c r="M62"/>
  <c r="N62"/>
  <c r="B63"/>
  <c r="C63"/>
  <c r="D63"/>
  <c r="E63"/>
  <c r="M63"/>
  <c r="N63"/>
  <c r="C67"/>
  <c r="N67"/>
  <c r="C68"/>
  <c r="D68"/>
  <c r="E68"/>
  <c r="N68"/>
  <c r="B69"/>
  <c r="C69"/>
  <c r="D69"/>
  <c r="N69"/>
  <c r="B70"/>
  <c r="C70"/>
  <c r="D70"/>
  <c r="E70"/>
  <c r="N70"/>
  <c r="B71"/>
  <c r="C71"/>
  <c r="D71"/>
  <c r="E71"/>
  <c r="N71"/>
  <c r="B72"/>
  <c r="C72"/>
  <c r="D72"/>
  <c r="N72"/>
  <c r="B73"/>
  <c r="C73"/>
  <c r="D73"/>
  <c r="N73"/>
  <c r="B74"/>
  <c r="C74"/>
  <c r="E74"/>
  <c r="N74"/>
  <c r="B75"/>
  <c r="C75"/>
  <c r="N75"/>
  <c r="B76"/>
  <c r="C76"/>
  <c r="D76"/>
  <c r="N76"/>
  <c r="B77"/>
  <c r="C77"/>
  <c r="D77"/>
  <c r="N77"/>
  <c r="B78"/>
  <c r="C78"/>
  <c r="D78"/>
  <c r="N78"/>
  <c r="C79"/>
  <c r="D79"/>
  <c r="N79"/>
  <c r="B80"/>
  <c r="C80"/>
  <c r="D80"/>
  <c r="N80"/>
  <c r="C81"/>
  <c r="D81"/>
  <c r="M81"/>
  <c r="N81"/>
  <c r="B82"/>
  <c r="C82"/>
  <c r="D82"/>
  <c r="N82"/>
  <c r="B83"/>
  <c r="C83"/>
  <c r="D83"/>
  <c r="E83"/>
  <c r="N83"/>
  <c r="C84"/>
  <c r="D84"/>
  <c r="N84"/>
  <c r="B85"/>
  <c r="C85"/>
  <c r="D85"/>
  <c r="M85"/>
  <c r="N85"/>
  <c r="B86"/>
  <c r="C86"/>
  <c r="D86"/>
  <c r="E86"/>
  <c r="J86"/>
  <c r="W86" s="1"/>
  <c r="N86"/>
  <c r="B87"/>
  <c r="E87"/>
  <c r="J87"/>
  <c r="W87" s="1"/>
  <c r="M87"/>
  <c r="N87"/>
  <c r="B88"/>
  <c r="C88"/>
  <c r="D88"/>
  <c r="E88"/>
  <c r="M88"/>
  <c r="N88"/>
  <c r="B89"/>
  <c r="C89"/>
  <c r="D89"/>
  <c r="E89"/>
  <c r="M89"/>
  <c r="N89"/>
  <c r="C90"/>
  <c r="D90"/>
  <c r="E90"/>
  <c r="M90"/>
  <c r="N90"/>
  <c r="B91"/>
  <c r="C91"/>
  <c r="D91"/>
  <c r="E91"/>
  <c r="M91"/>
  <c r="N91"/>
  <c r="B92"/>
  <c r="C92"/>
  <c r="D92"/>
  <c r="E92"/>
  <c r="H92"/>
  <c r="U92" s="1"/>
  <c r="I92"/>
  <c r="V92" s="1"/>
  <c r="J92"/>
  <c r="W92" s="1"/>
  <c r="M92"/>
  <c r="N92"/>
  <c r="B93"/>
  <c r="C93"/>
  <c r="D93"/>
  <c r="E93"/>
  <c r="H93"/>
  <c r="U93" s="1"/>
  <c r="I93"/>
  <c r="V93" s="1"/>
  <c r="J93"/>
  <c r="W93" s="1"/>
  <c r="M93"/>
  <c r="N93"/>
  <c r="B94"/>
  <c r="C94"/>
  <c r="D94"/>
  <c r="E94"/>
  <c r="I94"/>
  <c r="V94" s="1"/>
  <c r="J94"/>
  <c r="M94"/>
  <c r="N94"/>
  <c r="B95"/>
  <c r="C95"/>
  <c r="D95"/>
  <c r="E95"/>
  <c r="I95"/>
  <c r="J95"/>
  <c r="W95" s="1"/>
  <c r="L95"/>
  <c r="Y95" s="1"/>
  <c r="M95"/>
  <c r="N95"/>
  <c r="B96"/>
  <c r="C96"/>
  <c r="D96"/>
  <c r="E96"/>
  <c r="I96"/>
  <c r="V96" s="1"/>
  <c r="J96"/>
  <c r="W96" s="1"/>
  <c r="M96"/>
  <c r="N96"/>
  <c r="B97"/>
  <c r="C97"/>
  <c r="D97"/>
  <c r="E97"/>
  <c r="H97"/>
  <c r="I97"/>
  <c r="V97" s="1"/>
  <c r="K97"/>
  <c r="X97" s="1"/>
  <c r="M97"/>
  <c r="N97"/>
  <c r="B98"/>
  <c r="C98"/>
  <c r="D98"/>
  <c r="E98"/>
  <c r="H98"/>
  <c r="U98" s="1"/>
  <c r="J98"/>
  <c r="W98" s="1"/>
  <c r="K98"/>
  <c r="X98" s="1"/>
  <c r="M98"/>
  <c r="N98"/>
  <c r="B99"/>
  <c r="C99"/>
  <c r="D99"/>
  <c r="E99"/>
  <c r="M99"/>
  <c r="N99"/>
  <c r="B100"/>
  <c r="C100"/>
  <c r="D100"/>
  <c r="E100"/>
  <c r="I100"/>
  <c r="V100" s="1"/>
  <c r="J100"/>
  <c r="W100" s="1"/>
  <c r="K100"/>
  <c r="X100" s="1"/>
  <c r="L100"/>
  <c r="Y100" s="1"/>
  <c r="M100"/>
  <c r="N100"/>
  <c r="B101"/>
  <c r="C101"/>
  <c r="D101"/>
  <c r="E101"/>
  <c r="H101"/>
  <c r="J101"/>
  <c r="W101" s="1"/>
  <c r="K101"/>
  <c r="X101" s="1"/>
  <c r="M101"/>
  <c r="N101"/>
  <c r="B102"/>
  <c r="C102"/>
  <c r="D102"/>
  <c r="E102"/>
  <c r="H102"/>
  <c r="I102"/>
  <c r="L102"/>
  <c r="M102"/>
  <c r="N102"/>
  <c r="B103"/>
  <c r="C103"/>
  <c r="D103"/>
  <c r="E103"/>
  <c r="H103"/>
  <c r="U103" s="1"/>
  <c r="I103"/>
  <c r="J103"/>
  <c r="L103"/>
  <c r="Y103" s="1"/>
  <c r="M103"/>
  <c r="N103"/>
  <c r="B104"/>
  <c r="C104"/>
  <c r="D104"/>
  <c r="E104"/>
  <c r="H104"/>
  <c r="U104" s="1"/>
  <c r="I104"/>
  <c r="V104" s="1"/>
  <c r="J104"/>
  <c r="W104" s="1"/>
  <c r="M104"/>
  <c r="N104"/>
  <c r="B105"/>
  <c r="C105"/>
  <c r="D105"/>
  <c r="E105"/>
  <c r="H105"/>
  <c r="U105" s="1"/>
  <c r="I105"/>
  <c r="V105" s="1"/>
  <c r="K105"/>
  <c r="X105" s="1"/>
  <c r="M105"/>
  <c r="N105"/>
  <c r="B106"/>
  <c r="C106"/>
  <c r="D106"/>
  <c r="E106"/>
  <c r="I106"/>
  <c r="V106" s="1"/>
  <c r="J106"/>
  <c r="W106" s="1"/>
  <c r="K106"/>
  <c r="X106" s="1"/>
  <c r="L106"/>
  <c r="Y106" s="1"/>
  <c r="M106"/>
  <c r="N106"/>
  <c r="B107"/>
  <c r="C107"/>
  <c r="D107"/>
  <c r="E107"/>
  <c r="I107"/>
  <c r="J107"/>
  <c r="W107" s="1"/>
  <c r="K107"/>
  <c r="X107" s="1"/>
  <c r="L107"/>
  <c r="Y107" s="1"/>
  <c r="M107"/>
  <c r="N107"/>
  <c r="B108"/>
  <c r="C108"/>
  <c r="D108"/>
  <c r="E108"/>
  <c r="M108"/>
  <c r="N108"/>
  <c r="B109"/>
  <c r="C109"/>
  <c r="D109"/>
  <c r="E109"/>
  <c r="M109"/>
  <c r="N109"/>
  <c r="B110"/>
  <c r="C110"/>
  <c r="D110"/>
  <c r="E110"/>
  <c r="M110"/>
  <c r="N110"/>
  <c r="A19"/>
  <c r="A20"/>
  <c r="A21"/>
  <c r="A22"/>
  <c r="A23"/>
  <c r="A24"/>
  <c r="A25"/>
  <c r="A29"/>
  <c r="A32"/>
  <c r="A33"/>
  <c r="A34"/>
  <c r="A35"/>
  <c r="A36"/>
  <c r="A37"/>
  <c r="A38"/>
  <c r="A40"/>
  <c r="A41"/>
  <c r="A42"/>
  <c r="A43"/>
  <c r="A46"/>
  <c r="A47"/>
  <c r="A48"/>
  <c r="A49"/>
  <c r="A50"/>
  <c r="A52"/>
  <c r="A54"/>
  <c r="A55"/>
  <c r="A56"/>
  <c r="A57"/>
  <c r="A58"/>
  <c r="A59"/>
  <c r="A63"/>
  <c r="A67"/>
  <c r="A68"/>
  <c r="A69"/>
  <c r="A70"/>
  <c r="A71"/>
  <c r="A72"/>
  <c r="A73"/>
  <c r="A74"/>
  <c r="A75"/>
  <c r="A76"/>
  <c r="A77"/>
  <c r="A78"/>
  <c r="A79"/>
  <c r="A80"/>
  <c r="A81"/>
  <c r="A83"/>
  <c r="A84"/>
  <c r="A85"/>
  <c r="A87"/>
  <c r="A88"/>
  <c r="A90"/>
  <c r="A91"/>
  <c r="A92"/>
  <c r="A93"/>
  <c r="A94"/>
  <c r="A95"/>
  <c r="A96"/>
  <c r="A97"/>
  <c r="A98"/>
  <c r="A99"/>
  <c r="A100"/>
  <c r="A102"/>
  <c r="A103"/>
  <c r="A104"/>
  <c r="A105"/>
  <c r="A106"/>
  <c r="A110"/>
  <c r="A18"/>
  <c r="A6"/>
  <c r="A7"/>
  <c r="A8"/>
  <c r="A9"/>
  <c r="A10"/>
  <c r="A11"/>
  <c r="A12"/>
  <c r="A13"/>
  <c r="A14"/>
  <c r="A15"/>
  <c r="A16"/>
  <c r="A17"/>
  <c r="A5"/>
  <c r="H202" i="28"/>
  <c r="H203"/>
  <c r="K200"/>
  <c r="L200"/>
  <c r="M200"/>
  <c r="U54" i="99" l="1"/>
  <c r="AA54"/>
  <c r="AB54" s="1"/>
  <c r="AC54" s="1"/>
  <c r="AD54" s="1"/>
  <c r="W103"/>
  <c r="AC103"/>
  <c r="AD103" s="1"/>
  <c r="U101"/>
  <c r="AA101"/>
  <c r="AB101" s="1"/>
  <c r="AC101" s="1"/>
  <c r="AD101" s="1"/>
  <c r="V60"/>
  <c r="AC60"/>
  <c r="AD60" s="1"/>
  <c r="U55"/>
  <c r="AA55"/>
  <c r="AB55" s="1"/>
  <c r="AC55" s="1"/>
  <c r="AD55" s="1"/>
  <c r="V46"/>
  <c r="AB46"/>
  <c r="V40"/>
  <c r="AB40"/>
  <c r="AC40" s="1"/>
  <c r="AD40" s="1"/>
  <c r="V47"/>
  <c r="AB47"/>
  <c r="U45"/>
  <c r="AA45"/>
  <c r="AB45" s="1"/>
  <c r="AC45" s="1"/>
  <c r="AD45" s="1"/>
  <c r="U97"/>
  <c r="AA97"/>
  <c r="V39"/>
  <c r="AB39"/>
  <c r="AC39" s="1"/>
  <c r="AD39" s="1"/>
  <c r="V34"/>
  <c r="AB34"/>
  <c r="AC34" s="1"/>
  <c r="AD34" s="1"/>
  <c r="V107"/>
  <c r="AC107"/>
  <c r="AD107" s="1"/>
  <c r="W48"/>
  <c r="AC48"/>
  <c r="W45"/>
  <c r="W42"/>
  <c r="V51"/>
  <c r="V49"/>
  <c r="AC49"/>
  <c r="AD49" s="1"/>
  <c r="W43"/>
  <c r="AD43"/>
  <c r="W40"/>
  <c r="V103"/>
  <c r="V95"/>
  <c r="W94"/>
  <c r="K38"/>
  <c r="L38"/>
  <c r="J38"/>
  <c r="CM100" i="98"/>
  <c r="CA100"/>
  <c r="BY100"/>
  <c r="BC100"/>
  <c r="AO100"/>
  <c r="AE100"/>
  <c r="N100"/>
  <c r="CV98"/>
  <c r="CV100" s="1"/>
  <c r="CU98"/>
  <c r="CU100" s="1"/>
  <c r="CJ98"/>
  <c r="CJ100" s="1"/>
  <c r="CI98"/>
  <c r="CI100" s="1"/>
  <c r="BX98"/>
  <c r="BX100" s="1"/>
  <c r="BW98"/>
  <c r="BW100" s="1"/>
  <c r="BO98"/>
  <c r="BO100" s="1"/>
  <c r="BL98"/>
  <c r="BL100" s="1"/>
  <c r="BK98"/>
  <c r="BK100" s="1"/>
  <c r="AN98"/>
  <c r="AN100" s="1"/>
  <c r="AM98"/>
  <c r="AM100" s="1"/>
  <c r="U98"/>
  <c r="U100" s="1"/>
  <c r="G98"/>
  <c r="G100" s="1"/>
  <c r="T20" s="1"/>
  <c r="T16" s="1"/>
  <c r="F77"/>
  <c r="F76"/>
  <c r="F75"/>
  <c r="F74"/>
  <c r="F73"/>
  <c r="F72"/>
  <c r="F71"/>
  <c r="AE67"/>
  <c r="F67"/>
  <c r="BC66"/>
  <c r="AE66" s="1"/>
  <c r="G66"/>
  <c r="F66" s="1"/>
  <c r="AE65"/>
  <c r="AE64"/>
  <c r="F64"/>
  <c r="AE63"/>
  <c r="F63"/>
  <c r="AE62"/>
  <c r="F62"/>
  <c r="AE61"/>
  <c r="F61"/>
  <c r="AE60"/>
  <c r="F60"/>
  <c r="CM59"/>
  <c r="CA59"/>
  <c r="AQ59"/>
  <c r="BZ46"/>
  <c r="BY46"/>
  <c r="BO46"/>
  <c r="AP46"/>
  <c r="AO46"/>
  <c r="U45"/>
  <c r="G45"/>
  <c r="CX43"/>
  <c r="CW43"/>
  <c r="CV43"/>
  <c r="CU43"/>
  <c r="CT43"/>
  <c r="CS43"/>
  <c r="CR43"/>
  <c r="CQ43"/>
  <c r="CP43"/>
  <c r="CO43"/>
  <c r="CN43"/>
  <c r="CM43"/>
  <c r="CL43"/>
  <c r="CK43"/>
  <c r="CJ43"/>
  <c r="CI43"/>
  <c r="CH43"/>
  <c r="CG43"/>
  <c r="CF43"/>
  <c r="CE43"/>
  <c r="CD43"/>
  <c r="CC43"/>
  <c r="CB43"/>
  <c r="CA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CX40"/>
  <c r="CW40"/>
  <c r="CV40"/>
  <c r="CU40"/>
  <c r="CS40"/>
  <c r="CR40"/>
  <c r="CQ40"/>
  <c r="CP40"/>
  <c r="CO40"/>
  <c r="CN40"/>
  <c r="CL40"/>
  <c r="CK40"/>
  <c r="CJ40"/>
  <c r="CI40"/>
  <c r="CG40"/>
  <c r="CF40"/>
  <c r="CE40"/>
  <c r="CD40"/>
  <c r="CC40"/>
  <c r="CB40"/>
  <c r="BZ40"/>
  <c r="BY40"/>
  <c r="BX40"/>
  <c r="BW40"/>
  <c r="BV40"/>
  <c r="BU40"/>
  <c r="BT40"/>
  <c r="BS40"/>
  <c r="BR40"/>
  <c r="BQ40"/>
  <c r="BP40"/>
  <c r="BO40"/>
  <c r="BL40"/>
  <c r="BK40"/>
  <c r="BI40"/>
  <c r="BH40"/>
  <c r="BG40"/>
  <c r="BF40"/>
  <c r="BE40"/>
  <c r="BD40"/>
  <c r="BB40"/>
  <c r="BA40"/>
  <c r="AZ40"/>
  <c r="AY40"/>
  <c r="AW40"/>
  <c r="AV40"/>
  <c r="AU40"/>
  <c r="AT40"/>
  <c r="AS40"/>
  <c r="AR40"/>
  <c r="AP40"/>
  <c r="AO40"/>
  <c r="AN40"/>
  <c r="AM40"/>
  <c r="AL40"/>
  <c r="AK40"/>
  <c r="AJ40"/>
  <c r="AI40"/>
  <c r="AH40"/>
  <c r="AG40"/>
  <c r="AF40"/>
  <c r="AC40"/>
  <c r="AB40"/>
  <c r="AA40"/>
  <c r="AA41" s="1"/>
  <c r="AA24" s="1"/>
  <c r="U24" s="1"/>
  <c r="F24" s="1"/>
  <c r="E24" s="1"/>
  <c r="Z40"/>
  <c r="Z41" s="1"/>
  <c r="Y40"/>
  <c r="Y41" s="1"/>
  <c r="X40"/>
  <c r="X41" s="1"/>
  <c r="W40"/>
  <c r="W41" s="1"/>
  <c r="V40"/>
  <c r="V41" s="1"/>
  <c r="S40"/>
  <c r="S41" s="1"/>
  <c r="S36" s="1"/>
  <c r="R40"/>
  <c r="R41" s="1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C41" s="1"/>
  <c r="CB39"/>
  <c r="CA39"/>
  <c r="BZ39"/>
  <c r="BY39"/>
  <c r="BX39"/>
  <c r="BW39"/>
  <c r="BV39"/>
  <c r="BU39"/>
  <c r="BU41" s="1"/>
  <c r="BU36" s="1"/>
  <c r="BU42" s="1"/>
  <c r="BT39"/>
  <c r="BS39"/>
  <c r="BR39"/>
  <c r="BQ39"/>
  <c r="BQ41" s="1"/>
  <c r="BQ36" s="1"/>
  <c r="BQ42" s="1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W41" s="1"/>
  <c r="AW36" s="1"/>
  <c r="AW42" s="1"/>
  <c r="AV39"/>
  <c r="AV41" s="1"/>
  <c r="AV24" s="1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C41" s="1"/>
  <c r="AC36" s="1"/>
  <c r="AC42" s="1"/>
  <c r="AB39"/>
  <c r="G39"/>
  <c r="AD38"/>
  <c r="U38" s="1"/>
  <c r="T38"/>
  <c r="G38" s="1"/>
  <c r="AD37"/>
  <c r="U37" s="1"/>
  <c r="T37"/>
  <c r="G37"/>
  <c r="Z36"/>
  <c r="Z42" s="1"/>
  <c r="W36"/>
  <c r="W42" s="1"/>
  <c r="V36"/>
  <c r="V42" s="1"/>
  <c r="R36"/>
  <c r="CQ35"/>
  <c r="CM35"/>
  <c r="CE35"/>
  <c r="CA35"/>
  <c r="BT35"/>
  <c r="BP35"/>
  <c r="BG35"/>
  <c r="BC35"/>
  <c r="AU35"/>
  <c r="AQ35"/>
  <c r="AJ35"/>
  <c r="AF35"/>
  <c r="Y35"/>
  <c r="U35"/>
  <c r="G35"/>
  <c r="CM34"/>
  <c r="CA34"/>
  <c r="BP34"/>
  <c r="BC34"/>
  <c r="AQ34"/>
  <c r="AF34"/>
  <c r="AE34" s="1"/>
  <c r="U34"/>
  <c r="G34"/>
  <c r="CQ33"/>
  <c r="CM33"/>
  <c r="CE33"/>
  <c r="CA33"/>
  <c r="BT33"/>
  <c r="BP33"/>
  <c r="BG33"/>
  <c r="BC33"/>
  <c r="AU33"/>
  <c r="AQ33"/>
  <c r="AJ33"/>
  <c r="AF33"/>
  <c r="Y33"/>
  <c r="U33"/>
  <c r="G33"/>
  <c r="CM32"/>
  <c r="CA32"/>
  <c r="BP32"/>
  <c r="BC32"/>
  <c r="AQ32"/>
  <c r="AF32"/>
  <c r="AE32" s="1"/>
  <c r="U32"/>
  <c r="G32"/>
  <c r="CQ31"/>
  <c r="CQ32" s="1"/>
  <c r="CM31"/>
  <c r="CE31"/>
  <c r="CE32" s="1"/>
  <c r="CA31"/>
  <c r="BT31"/>
  <c r="BT32" s="1"/>
  <c r="BP31"/>
  <c r="BG31"/>
  <c r="BG32" s="1"/>
  <c r="BG30" s="1"/>
  <c r="BC30" s="1"/>
  <c r="BC31"/>
  <c r="AU31"/>
  <c r="AU32" s="1"/>
  <c r="AQ31"/>
  <c r="AJ31"/>
  <c r="AJ32" s="1"/>
  <c r="AF31"/>
  <c r="Y31"/>
  <c r="Y32" s="1"/>
  <c r="U31"/>
  <c r="G31"/>
  <c r="BP30"/>
  <c r="AF30"/>
  <c r="G30"/>
  <c r="CM29"/>
  <c r="CA29"/>
  <c r="BP29"/>
  <c r="BC29"/>
  <c r="AQ29"/>
  <c r="AF29"/>
  <c r="U29"/>
  <c r="G29"/>
  <c r="CM28"/>
  <c r="CA28"/>
  <c r="BP28"/>
  <c r="BC28"/>
  <c r="AQ28"/>
  <c r="AF28"/>
  <c r="CM27"/>
  <c r="CA27"/>
  <c r="BP27"/>
  <c r="BC27"/>
  <c r="AQ27"/>
  <c r="AF27"/>
  <c r="U27"/>
  <c r="G27"/>
  <c r="U26"/>
  <c r="F26" s="1"/>
  <c r="CU25"/>
  <c r="CS25"/>
  <c r="CR25"/>
  <c r="CQ25"/>
  <c r="CP25"/>
  <c r="CO25"/>
  <c r="CN25"/>
  <c r="CI25"/>
  <c r="CG25"/>
  <c r="CF25"/>
  <c r="CE25"/>
  <c r="CD25"/>
  <c r="CC25"/>
  <c r="CB25"/>
  <c r="BX25"/>
  <c r="BW25"/>
  <c r="BV25"/>
  <c r="BU25"/>
  <c r="BT25"/>
  <c r="BS25"/>
  <c r="BR25"/>
  <c r="BK25"/>
  <c r="BI25"/>
  <c r="BH25"/>
  <c r="BG25"/>
  <c r="BF25"/>
  <c r="BE25"/>
  <c r="BD25"/>
  <c r="AY25"/>
  <c r="AW25"/>
  <c r="AV25"/>
  <c r="AU25"/>
  <c r="AT25"/>
  <c r="AS25"/>
  <c r="AR25"/>
  <c r="AN25"/>
  <c r="AM25"/>
  <c r="AL25"/>
  <c r="AK25"/>
  <c r="AJ25"/>
  <c r="AI25"/>
  <c r="AH25"/>
  <c r="AA25"/>
  <c r="U25" s="1"/>
  <c r="F25" s="1"/>
  <c r="Z25"/>
  <c r="Y25"/>
  <c r="X25"/>
  <c r="W25"/>
  <c r="V25"/>
  <c r="Z24"/>
  <c r="W24"/>
  <c r="V24"/>
  <c r="CS23"/>
  <c r="CR23"/>
  <c r="CQ23"/>
  <c r="CP23"/>
  <c r="CO23"/>
  <c r="CN23"/>
  <c r="CG23"/>
  <c r="CF23"/>
  <c r="CE23"/>
  <c r="CD23"/>
  <c r="CC23"/>
  <c r="CB23"/>
  <c r="BW23"/>
  <c r="BP23" s="1"/>
  <c r="BV23"/>
  <c r="BU23"/>
  <c r="BT23"/>
  <c r="BS23"/>
  <c r="BR23"/>
  <c r="BI23"/>
  <c r="BH23"/>
  <c r="BG23"/>
  <c r="BF23"/>
  <c r="BE23"/>
  <c r="BD23"/>
  <c r="AW23"/>
  <c r="AV23"/>
  <c r="AU23"/>
  <c r="AT23"/>
  <c r="AS23"/>
  <c r="AR23"/>
  <c r="AM23"/>
  <c r="AL23"/>
  <c r="AK23"/>
  <c r="AJ23"/>
  <c r="AI23"/>
  <c r="AH23"/>
  <c r="AA23"/>
  <c r="U23" s="1"/>
  <c r="Z23"/>
  <c r="Y23"/>
  <c r="X23"/>
  <c r="W23"/>
  <c r="V23"/>
  <c r="CX22"/>
  <c r="CX16" s="1"/>
  <c r="CW22"/>
  <c r="CW16" s="1"/>
  <c r="CW46" s="1"/>
  <c r="CV22"/>
  <c r="CL22"/>
  <c r="CL16" s="1"/>
  <c r="CL46" s="1"/>
  <c r="CK22"/>
  <c r="CJ22"/>
  <c r="CJ16" s="1"/>
  <c r="BQ22"/>
  <c r="BQ16" s="1"/>
  <c r="BQ46" s="1"/>
  <c r="BN22"/>
  <c r="BM22"/>
  <c r="BL22"/>
  <c r="BL16" s="1"/>
  <c r="BB22"/>
  <c r="BA22"/>
  <c r="AZ22"/>
  <c r="AG22"/>
  <c r="AG16" s="1"/>
  <c r="CT20"/>
  <c r="CT40" s="1"/>
  <c r="CT41" s="1"/>
  <c r="CM20"/>
  <c r="CH20"/>
  <c r="CH25" s="1"/>
  <c r="CA20"/>
  <c r="CA40" s="1"/>
  <c r="CA41" s="1"/>
  <c r="CA36" s="1"/>
  <c r="CA42" s="1"/>
  <c r="BN20"/>
  <c r="BN16" s="1"/>
  <c r="BN46" s="1"/>
  <c r="BM20"/>
  <c r="BJ20"/>
  <c r="BJ40" s="1"/>
  <c r="BJ41" s="1"/>
  <c r="AX20"/>
  <c r="AQ20"/>
  <c r="AD20"/>
  <c r="AD40" s="1"/>
  <c r="AD41" s="1"/>
  <c r="AD36" s="1"/>
  <c r="AD42" s="1"/>
  <c r="BP19"/>
  <c r="AF19"/>
  <c r="U19"/>
  <c r="G19"/>
  <c r="BP18"/>
  <c r="AF18"/>
  <c r="U18"/>
  <c r="G18"/>
  <c r="CM17"/>
  <c r="CA17"/>
  <c r="BP17" s="1"/>
  <c r="BC17"/>
  <c r="AE17" s="1"/>
  <c r="AQ17"/>
  <c r="AC17"/>
  <c r="S17"/>
  <c r="G17" s="1"/>
  <c r="I121" i="28" s="1"/>
  <c r="CV16" i="98"/>
  <c r="CK16"/>
  <c r="CK46" s="1"/>
  <c r="BB16"/>
  <c r="BB46" s="1"/>
  <c r="BA16"/>
  <c r="BA46" s="1"/>
  <c r="AZ16"/>
  <c r="AZ46" s="1"/>
  <c r="AZ14" s="1"/>
  <c r="AZ15" s="1"/>
  <c r="AD16"/>
  <c r="AD46" s="1"/>
  <c r="AB16"/>
  <c r="AA16"/>
  <c r="R16"/>
  <c r="R46" s="1"/>
  <c r="BN14"/>
  <c r="BN15" s="1"/>
  <c r="BB14"/>
  <c r="BB15" s="1"/>
  <c r="BC59" l="1"/>
  <c r="R14"/>
  <c r="R15" s="1"/>
  <c r="Y30"/>
  <c r="U30" s="1"/>
  <c r="AU30"/>
  <c r="AQ30" s="1"/>
  <c r="CQ30"/>
  <c r="CM30" s="1"/>
  <c r="AK41"/>
  <c r="CB41"/>
  <c r="CB24" s="1"/>
  <c r="F31"/>
  <c r="F33"/>
  <c r="AG41"/>
  <c r="AG36" s="1"/>
  <c r="AG42" s="1"/>
  <c r="AO41"/>
  <c r="AO36" s="1"/>
  <c r="AO42" s="1"/>
  <c r="CK41"/>
  <c r="CK36" s="1"/>
  <c r="CK42" s="1"/>
  <c r="AF41"/>
  <c r="AS41"/>
  <c r="AS24" s="1"/>
  <c r="AS26" s="1"/>
  <c r="BL41"/>
  <c r="CO41"/>
  <c r="BI41"/>
  <c r="CG41"/>
  <c r="CG24" s="1"/>
  <c r="CG26" s="1"/>
  <c r="CG22" s="1"/>
  <c r="CG16" s="1"/>
  <c r="V26"/>
  <c r="F27"/>
  <c r="AE31"/>
  <c r="F32"/>
  <c r="AE33"/>
  <c r="F34"/>
  <c r="AA36"/>
  <c r="AA42" s="1"/>
  <c r="BA41"/>
  <c r="BA36" s="1"/>
  <c r="BA42" s="1"/>
  <c r="BY41"/>
  <c r="BY36" s="1"/>
  <c r="BY42" s="1"/>
  <c r="CR41"/>
  <c r="CR24" s="1"/>
  <c r="CW41"/>
  <c r="CW36" s="1"/>
  <c r="CW42" s="1"/>
  <c r="F45"/>
  <c r="BJ36"/>
  <c r="BJ42" s="1"/>
  <c r="BJ24"/>
  <c r="X36"/>
  <c r="X42" s="1"/>
  <c r="X24"/>
  <c r="X26" s="1"/>
  <c r="BI24"/>
  <c r="BI36"/>
  <c r="BI42" s="1"/>
  <c r="CG36"/>
  <c r="CG42" s="1"/>
  <c r="Y24"/>
  <c r="Y26" s="1"/>
  <c r="Y36"/>
  <c r="Y42" s="1"/>
  <c r="CT36"/>
  <c r="CT42" s="1"/>
  <c r="CT24"/>
  <c r="T46"/>
  <c r="T14" s="1"/>
  <c r="T15" s="1"/>
  <c r="S16"/>
  <c r="CL14"/>
  <c r="CL15" s="1"/>
  <c r="AF25"/>
  <c r="BJ25"/>
  <c r="BC25" s="1"/>
  <c r="BE41"/>
  <c r="CS41"/>
  <c r="CS24" s="1"/>
  <c r="BB41"/>
  <c r="BB36" s="1"/>
  <c r="BB42" s="1"/>
  <c r="BG41"/>
  <c r="BG24" s="1"/>
  <c r="BG26" s="1"/>
  <c r="BK41"/>
  <c r="BK24" s="1"/>
  <c r="BK26" s="1"/>
  <c r="BK22" s="1"/>
  <c r="BK16" s="1"/>
  <c r="CD41"/>
  <c r="CD24" s="1"/>
  <c r="CH40"/>
  <c r="CH41" s="1"/>
  <c r="CH24" s="1"/>
  <c r="CL41"/>
  <c r="CL36" s="1"/>
  <c r="CL42" s="1"/>
  <c r="CQ41"/>
  <c r="CU41"/>
  <c r="BQ14"/>
  <c r="BQ15" s="1"/>
  <c r="CW14"/>
  <c r="CW15" s="1"/>
  <c r="AE28"/>
  <c r="U28" s="1"/>
  <c r="G28" s="1"/>
  <c r="F28" s="1"/>
  <c r="E28" s="1"/>
  <c r="AT41"/>
  <c r="AY41"/>
  <c r="BR41"/>
  <c r="BV41"/>
  <c r="BV36" s="1"/>
  <c r="BV42" s="1"/>
  <c r="BZ41"/>
  <c r="BZ36" s="1"/>
  <c r="BZ42" s="1"/>
  <c r="CE41"/>
  <c r="CE24" s="1"/>
  <c r="CE26" s="1"/>
  <c r="CI41"/>
  <c r="CH23"/>
  <c r="CA23" s="1"/>
  <c r="CA25"/>
  <c r="AH41"/>
  <c r="AH24" s="1"/>
  <c r="AH26" s="1"/>
  <c r="AL41"/>
  <c r="AP41"/>
  <c r="AP36" s="1"/>
  <c r="AP42" s="1"/>
  <c r="AU41"/>
  <c r="BO41"/>
  <c r="BO36" s="1"/>
  <c r="BO42" s="1"/>
  <c r="BS41"/>
  <c r="BS24" s="1"/>
  <c r="BW41"/>
  <c r="CK14"/>
  <c r="CK15" s="1"/>
  <c r="W26"/>
  <c r="W27" s="1"/>
  <c r="W22" s="1"/>
  <c r="W16" s="1"/>
  <c r="W46" s="1"/>
  <c r="W14" s="1"/>
  <c r="BJ23"/>
  <c r="BC23" s="1"/>
  <c r="CR26"/>
  <c r="CR22" s="1"/>
  <c r="CR16" s="1"/>
  <c r="BP25"/>
  <c r="AE27"/>
  <c r="F30"/>
  <c r="AI41"/>
  <c r="AI24" s="1"/>
  <c r="AM41"/>
  <c r="BF41"/>
  <c r="CP41"/>
  <c r="CP36" s="1"/>
  <c r="CP42" s="1"/>
  <c r="CX41"/>
  <c r="CX36" s="1"/>
  <c r="CX42" s="1"/>
  <c r="G43"/>
  <c r="CJ46"/>
  <c r="CJ14" s="1"/>
  <c r="CJ15" s="1"/>
  <c r="BL46"/>
  <c r="BL14" s="1"/>
  <c r="BL15" s="1"/>
  <c r="BM40"/>
  <c r="BM41" s="1"/>
  <c r="BM36" s="1"/>
  <c r="BM42" s="1"/>
  <c r="BC20"/>
  <c r="BC40" s="1"/>
  <c r="BC41" s="1"/>
  <c r="BC36" s="1"/>
  <c r="BC42" s="1"/>
  <c r="CM40"/>
  <c r="CM41" s="1"/>
  <c r="CM36" s="1"/>
  <c r="CM42" s="1"/>
  <c r="AC16"/>
  <c r="U17"/>
  <c r="I77" i="28" s="1"/>
  <c r="I17" s="1"/>
  <c r="G20" i="98"/>
  <c r="J122" i="28" s="1"/>
  <c r="T40" i="98"/>
  <c r="T41" s="1"/>
  <c r="T36" s="1"/>
  <c r="F23"/>
  <c r="CC24"/>
  <c r="CC36"/>
  <c r="CC42" s="1"/>
  <c r="CO24"/>
  <c r="CO36"/>
  <c r="CO42" s="1"/>
  <c r="S46"/>
  <c r="S14" s="1"/>
  <c r="S15" s="1"/>
  <c r="CV46"/>
  <c r="CV14" s="1"/>
  <c r="CV15" s="1"/>
  <c r="AX25"/>
  <c r="AX40"/>
  <c r="AX41" s="1"/>
  <c r="Z26"/>
  <c r="Z22" s="1"/>
  <c r="Z16" s="1"/>
  <c r="CB26"/>
  <c r="CB22" s="1"/>
  <c r="CB16" s="1"/>
  <c r="U39"/>
  <c r="AB41"/>
  <c r="AB36" s="1"/>
  <c r="AB42" s="1"/>
  <c r="AJ41"/>
  <c r="AJ24" s="1"/>
  <c r="AJ26" s="1"/>
  <c r="AR41"/>
  <c r="AR24" s="1"/>
  <c r="AZ41"/>
  <c r="AZ36" s="1"/>
  <c r="AZ42" s="1"/>
  <c r="BH41"/>
  <c r="BH24" s="1"/>
  <c r="BP41"/>
  <c r="BP36" s="1"/>
  <c r="BP42" s="1"/>
  <c r="BX41"/>
  <c r="BX24" s="1"/>
  <c r="CF41"/>
  <c r="CF24" s="1"/>
  <c r="CN41"/>
  <c r="CN24" s="1"/>
  <c r="CV41"/>
  <c r="CV36" s="1"/>
  <c r="CV42" s="1"/>
  <c r="E45"/>
  <c r="F43"/>
  <c r="E43" s="1"/>
  <c r="AE20"/>
  <c r="AE40" s="1"/>
  <c r="AE41" s="1"/>
  <c r="AE36" s="1"/>
  <c r="AE42" s="1"/>
  <c r="AQ40"/>
  <c r="AQ41" s="1"/>
  <c r="AQ36" s="1"/>
  <c r="AQ42" s="1"/>
  <c r="CT25"/>
  <c r="CT23"/>
  <c r="AG46"/>
  <c r="AG14" s="1"/>
  <c r="CX46"/>
  <c r="CX14" s="1"/>
  <c r="CX15" s="1"/>
  <c r="AI26"/>
  <c r="AI22" s="1"/>
  <c r="AI16" s="1"/>
  <c r="BR36"/>
  <c r="BR42" s="1"/>
  <c r="BR24"/>
  <c r="AK36"/>
  <c r="AK42" s="1"/>
  <c r="AK24"/>
  <c r="AQ25"/>
  <c r="AE25" s="1"/>
  <c r="E25" s="1"/>
  <c r="AE30"/>
  <c r="AD14"/>
  <c r="AD15" s="1"/>
  <c r="BM16"/>
  <c r="V27"/>
  <c r="V22" s="1"/>
  <c r="V16" s="1"/>
  <c r="CM25"/>
  <c r="CS26"/>
  <c r="CS22" s="1"/>
  <c r="CS16" s="1"/>
  <c r="AF36"/>
  <c r="AF42" s="1"/>
  <c r="AV36"/>
  <c r="AV42" s="1"/>
  <c r="BL36"/>
  <c r="BL42" s="1"/>
  <c r="CB36"/>
  <c r="CB42" s="1"/>
  <c r="CR36"/>
  <c r="CR42" s="1"/>
  <c r="AN41"/>
  <c r="AN24" s="1"/>
  <c r="BD41"/>
  <c r="BD24" s="1"/>
  <c r="BT41"/>
  <c r="BT24" s="1"/>
  <c r="BT26" s="1"/>
  <c r="CJ41"/>
  <c r="CJ36" s="1"/>
  <c r="CJ42" s="1"/>
  <c r="BA14"/>
  <c r="BA15" s="1"/>
  <c r="G16"/>
  <c r="AX23"/>
  <c r="AW24"/>
  <c r="BU24"/>
  <c r="BU26" s="1"/>
  <c r="Y22"/>
  <c r="Y16" s="1"/>
  <c r="AV26"/>
  <c r="AV22" s="1"/>
  <c r="AV16" s="1"/>
  <c r="F29"/>
  <c r="F35"/>
  <c r="CD36"/>
  <c r="CD42" s="1"/>
  <c r="CS36"/>
  <c r="CS42" s="1"/>
  <c r="BN40"/>
  <c r="BN41" s="1"/>
  <c r="BN36" s="1"/>
  <c r="BN42" s="1"/>
  <c r="BS26"/>
  <c r="BS22" s="1"/>
  <c r="BS16" s="1"/>
  <c r="AA46"/>
  <c r="AA14" s="1"/>
  <c r="AF17"/>
  <c r="BJ26"/>
  <c r="AF23"/>
  <c r="CD26"/>
  <c r="CD22" s="1"/>
  <c r="CD16" s="1"/>
  <c r="BI26"/>
  <c r="BI22" s="1"/>
  <c r="BI16" s="1"/>
  <c r="CE30"/>
  <c r="AE35"/>
  <c r="AB46"/>
  <c r="AB14" s="1"/>
  <c r="AB15" s="1"/>
  <c r="U20"/>
  <c r="X22"/>
  <c r="X16" s="1"/>
  <c r="AE29"/>
  <c r="BK36"/>
  <c r="BK42" s="1"/>
  <c r="BH36" l="1"/>
  <c r="BH42" s="1"/>
  <c r="E30"/>
  <c r="BU22"/>
  <c r="BU16" s="1"/>
  <c r="BV24"/>
  <c r="E27"/>
  <c r="CN36"/>
  <c r="CN42" s="1"/>
  <c r="CH36"/>
  <c r="CH42" s="1"/>
  <c r="AS36"/>
  <c r="AS42" s="1"/>
  <c r="AI36"/>
  <c r="AI42" s="1"/>
  <c r="BQ57"/>
  <c r="U40"/>
  <c r="J78" i="28"/>
  <c r="AM36" i="98"/>
  <c r="AM42" s="1"/>
  <c r="AM24"/>
  <c r="BW36"/>
  <c r="BW42" s="1"/>
  <c r="BW24"/>
  <c r="BW26" s="1"/>
  <c r="BW22" s="1"/>
  <c r="BW16" s="1"/>
  <c r="BW46" s="1"/>
  <c r="BW14" s="1"/>
  <c r="BW15" s="1"/>
  <c r="BK46"/>
  <c r="BK14" s="1"/>
  <c r="BK15" s="1"/>
  <c r="BE36"/>
  <c r="BE42" s="1"/>
  <c r="BE24"/>
  <c r="BE26" s="1"/>
  <c r="BE22" s="1"/>
  <c r="BE16" s="1"/>
  <c r="BE46" s="1"/>
  <c r="BE14" s="1"/>
  <c r="CH26"/>
  <c r="BJ22"/>
  <c r="BJ16" s="1"/>
  <c r="CP24"/>
  <c r="AR36"/>
  <c r="AR42" s="1"/>
  <c r="AL24"/>
  <c r="AL26" s="1"/>
  <c r="AL36"/>
  <c r="AL42" s="1"/>
  <c r="CI36"/>
  <c r="CI42" s="1"/>
  <c r="CI24"/>
  <c r="BG22"/>
  <c r="BG16" s="1"/>
  <c r="BC24"/>
  <c r="BC22" s="1"/>
  <c r="BC16" s="1"/>
  <c r="BS36"/>
  <c r="BS42" s="1"/>
  <c r="AJ22"/>
  <c r="AJ16" s="1"/>
  <c r="AY36"/>
  <c r="AY42" s="1"/>
  <c r="AY24"/>
  <c r="BX36"/>
  <c r="BX42" s="1"/>
  <c r="U22"/>
  <c r="F22" s="1"/>
  <c r="BF24"/>
  <c r="BF36"/>
  <c r="BF42" s="1"/>
  <c r="AU36"/>
  <c r="AU42" s="1"/>
  <c r="AU24"/>
  <c r="AT24"/>
  <c r="AT26" s="1"/>
  <c r="AT22" s="1"/>
  <c r="AT16" s="1"/>
  <c r="AT36"/>
  <c r="AT42" s="1"/>
  <c r="CU36"/>
  <c r="CU42" s="1"/>
  <c r="CU24"/>
  <c r="AH27"/>
  <c r="AH22" s="1"/>
  <c r="AH16" s="1"/>
  <c r="AH36"/>
  <c r="AH42" s="1"/>
  <c r="BG36"/>
  <c r="BG42" s="1"/>
  <c r="CQ36"/>
  <c r="CQ42" s="1"/>
  <c r="CQ24"/>
  <c r="AS22"/>
  <c r="AS16" s="1"/>
  <c r="CE36"/>
  <c r="CE42" s="1"/>
  <c r="AI46"/>
  <c r="AI14" s="1"/>
  <c r="W57"/>
  <c r="W15"/>
  <c r="CD46"/>
  <c r="CD14" s="1"/>
  <c r="BS46"/>
  <c r="BS14" s="1"/>
  <c r="AG57"/>
  <c r="AG15"/>
  <c r="AJ46"/>
  <c r="AJ14" s="1"/>
  <c r="CB46"/>
  <c r="CB14" s="1"/>
  <c r="AA57"/>
  <c r="AA15"/>
  <c r="AV46"/>
  <c r="AV14" s="1"/>
  <c r="AT46"/>
  <c r="AT14" s="1"/>
  <c r="Z46"/>
  <c r="Z14" s="1"/>
  <c r="CA30"/>
  <c r="CE22"/>
  <c r="CE16" s="1"/>
  <c r="BC46"/>
  <c r="BC14" s="1"/>
  <c r="Y46"/>
  <c r="Y14" s="1"/>
  <c r="BJ46"/>
  <c r="BJ14" s="1"/>
  <c r="BD26"/>
  <c r="BD22" s="1"/>
  <c r="BD16" s="1"/>
  <c r="BU46"/>
  <c r="BU14" s="1"/>
  <c r="AK26"/>
  <c r="AK22" s="1"/>
  <c r="AK16" s="1"/>
  <c r="BR26"/>
  <c r="BR27" s="1"/>
  <c r="CM23"/>
  <c r="CS46"/>
  <c r="CS14" s="1"/>
  <c r="CS15" s="1"/>
  <c r="CG46"/>
  <c r="CG14" s="1"/>
  <c r="CG15" s="1"/>
  <c r="AC46"/>
  <c r="AC14" s="1"/>
  <c r="AC15" s="1"/>
  <c r="X46"/>
  <c r="X14" s="1"/>
  <c r="G46"/>
  <c r="J123" i="28" s="1"/>
  <c r="BM46" i="98"/>
  <c r="BM14" s="1"/>
  <c r="BM15" s="1"/>
  <c r="BI46"/>
  <c r="BI14" s="1"/>
  <c r="BI15" s="1"/>
  <c r="F17"/>
  <c r="AL22"/>
  <c r="AL16" s="1"/>
  <c r="AW26"/>
  <c r="AW22" s="1"/>
  <c r="AW16" s="1"/>
  <c r="CR46"/>
  <c r="CR14" s="1"/>
  <c r="V46"/>
  <c r="V14" s="1"/>
  <c r="BP24"/>
  <c r="BV26"/>
  <c r="BV22" s="1"/>
  <c r="BV16" s="1"/>
  <c r="CN26"/>
  <c r="CN22" s="1"/>
  <c r="CN16" s="1"/>
  <c r="BX26"/>
  <c r="BX22" s="1"/>
  <c r="BX16" s="1"/>
  <c r="BH26"/>
  <c r="BH22" s="1"/>
  <c r="BH16" s="1"/>
  <c r="AR26"/>
  <c r="AR22" s="1"/>
  <c r="AR16" s="1"/>
  <c r="AX24"/>
  <c r="AX26" s="1"/>
  <c r="AX36"/>
  <c r="AX42" s="1"/>
  <c r="CO26"/>
  <c r="CO22" s="1"/>
  <c r="CO16" s="1"/>
  <c r="CC26"/>
  <c r="CC22" s="1"/>
  <c r="CC16" s="1"/>
  <c r="G40"/>
  <c r="G41" s="1"/>
  <c r="G36" s="1"/>
  <c r="G42" s="1"/>
  <c r="F20"/>
  <c r="E20" s="1"/>
  <c r="CH22"/>
  <c r="CH16" s="1"/>
  <c r="CA24"/>
  <c r="AQ23"/>
  <c r="AE23" s="1"/>
  <c r="E23" s="1"/>
  <c r="AF24"/>
  <c r="AN26"/>
  <c r="AN22" s="1"/>
  <c r="AN16" s="1"/>
  <c r="BD36"/>
  <c r="BD42" s="1"/>
  <c r="BT22"/>
  <c r="BT16" s="1"/>
  <c r="CT26"/>
  <c r="CT22" s="1"/>
  <c r="CT16" s="1"/>
  <c r="E29"/>
  <c r="CF26"/>
  <c r="CF22" s="1"/>
  <c r="CF16" s="1"/>
  <c r="U41"/>
  <c r="U36" s="1"/>
  <c r="U42" s="1"/>
  <c r="BT36"/>
  <c r="BT42" s="1"/>
  <c r="AN36"/>
  <c r="AN42" s="1"/>
  <c r="CF36"/>
  <c r="CF42" s="1"/>
  <c r="AJ36"/>
  <c r="AJ42" s="1"/>
  <c r="U16" l="1"/>
  <c r="CQ26"/>
  <c r="CQ22" s="1"/>
  <c r="CQ16" s="1"/>
  <c r="CQ46" s="1"/>
  <c r="CQ14" s="1"/>
  <c r="BF26"/>
  <c r="BF22" s="1"/>
  <c r="BF16" s="1"/>
  <c r="BF46" s="1"/>
  <c r="BF14" s="1"/>
  <c r="BG46"/>
  <c r="BG14" s="1"/>
  <c r="AM26"/>
  <c r="AM22" s="1"/>
  <c r="AM16" s="1"/>
  <c r="AM46" s="1"/>
  <c r="AM14" s="1"/>
  <c r="AM15" s="1"/>
  <c r="AU26"/>
  <c r="AU22" s="1"/>
  <c r="AU16" s="1"/>
  <c r="AU46" s="1"/>
  <c r="AU14" s="1"/>
  <c r="CI26"/>
  <c r="CI22" s="1"/>
  <c r="CI16" s="1"/>
  <c r="AH46"/>
  <c r="AH14" s="1"/>
  <c r="CU26"/>
  <c r="CU22" s="1"/>
  <c r="CU16" s="1"/>
  <c r="CU46" s="1"/>
  <c r="CU14" s="1"/>
  <c r="CU15" s="1"/>
  <c r="CM24"/>
  <c r="CM22" s="1"/>
  <c r="CM16" s="1"/>
  <c r="CM46" s="1"/>
  <c r="CM14" s="1"/>
  <c r="CP26"/>
  <c r="CP22" s="1"/>
  <c r="CP16" s="1"/>
  <c r="AX22"/>
  <c r="AX16" s="1"/>
  <c r="AS46"/>
  <c r="AS14" s="1"/>
  <c r="AY26"/>
  <c r="AY22" s="1"/>
  <c r="AY16" s="1"/>
  <c r="AY46" s="1"/>
  <c r="AY14" s="1"/>
  <c r="AY15" s="1"/>
  <c r="AR46"/>
  <c r="AR14" s="1"/>
  <c r="BU57"/>
  <c r="BU15"/>
  <c r="CB57"/>
  <c r="CB15"/>
  <c r="CN46"/>
  <c r="CN14" s="1"/>
  <c r="BH46"/>
  <c r="BH14" s="1"/>
  <c r="Y57"/>
  <c r="Y15"/>
  <c r="AJ15"/>
  <c r="AJ57"/>
  <c r="X15"/>
  <c r="X57"/>
  <c r="AK46"/>
  <c r="AK14" s="1"/>
  <c r="AT15"/>
  <c r="AT57"/>
  <c r="AN46"/>
  <c r="AN14" s="1"/>
  <c r="AN15" s="1"/>
  <c r="BX46"/>
  <c r="BX14" s="1"/>
  <c r="BX15" s="1"/>
  <c r="BE57"/>
  <c r="BE15"/>
  <c r="BS15"/>
  <c r="BS57"/>
  <c r="AW46"/>
  <c r="AW14" s="1"/>
  <c r="AW15" s="1"/>
  <c r="U46"/>
  <c r="CR57"/>
  <c r="CR15"/>
  <c r="AL46"/>
  <c r="AL14" s="1"/>
  <c r="F16"/>
  <c r="E17"/>
  <c r="CT46"/>
  <c r="CT14" s="1"/>
  <c r="BD46"/>
  <c r="BD14" s="1"/>
  <c r="CF14"/>
  <c r="CF46"/>
  <c r="BT46"/>
  <c r="BT14" s="1"/>
  <c r="AX46"/>
  <c r="AX14" s="1"/>
  <c r="CH46"/>
  <c r="CH14" s="1"/>
  <c r="CC46"/>
  <c r="CC14" s="1"/>
  <c r="BV46"/>
  <c r="BV14" s="1"/>
  <c r="CE46"/>
  <c r="CE14" s="1"/>
  <c r="AF26"/>
  <c r="BR22"/>
  <c r="BR16" s="1"/>
  <c r="CA22"/>
  <c r="CA16" s="1"/>
  <c r="BP26"/>
  <c r="BP22" s="1"/>
  <c r="BP16" s="1"/>
  <c r="AQ24"/>
  <c r="AQ22" s="1"/>
  <c r="AQ16" s="1"/>
  <c r="G14"/>
  <c r="CO46"/>
  <c r="CO14" s="1"/>
  <c r="V57"/>
  <c r="V15"/>
  <c r="BJ15"/>
  <c r="BJ57"/>
  <c r="BC57"/>
  <c r="BC15"/>
  <c r="Z57"/>
  <c r="Z15"/>
  <c r="AV57"/>
  <c r="AV15"/>
  <c r="CD57"/>
  <c r="CD15"/>
  <c r="AI15"/>
  <c r="AI57"/>
  <c r="AS57" l="1"/>
  <c r="AS15"/>
  <c r="BG57"/>
  <c r="BG15"/>
  <c r="CI46"/>
  <c r="CI14"/>
  <c r="CI15" s="1"/>
  <c r="BF15"/>
  <c r="BF57"/>
  <c r="AU57"/>
  <c r="AU15"/>
  <c r="CQ15"/>
  <c r="CQ57"/>
  <c r="F46"/>
  <c r="J79" i="28"/>
  <c r="CP46" i="98"/>
  <c r="CP14" s="1"/>
  <c r="AH57"/>
  <c r="AH15"/>
  <c r="CH57"/>
  <c r="CH15"/>
  <c r="AK57"/>
  <c r="AK15"/>
  <c r="AR57"/>
  <c r="AR15"/>
  <c r="CE57"/>
  <c r="CE15"/>
  <c r="CO57"/>
  <c r="CO15"/>
  <c r="BT57"/>
  <c r="BT15"/>
  <c r="CT57"/>
  <c r="CT15"/>
  <c r="CM57"/>
  <c r="CM15"/>
  <c r="AX57"/>
  <c r="AX15"/>
  <c r="BD57"/>
  <c r="BD15"/>
  <c r="AL57"/>
  <c r="AL15"/>
  <c r="BH57"/>
  <c r="BH15"/>
  <c r="AQ46"/>
  <c r="AQ14" s="1"/>
  <c r="BV57"/>
  <c r="BV15"/>
  <c r="CA46"/>
  <c r="CA14" s="1"/>
  <c r="BR46"/>
  <c r="BR14" s="1"/>
  <c r="CC15"/>
  <c r="CC57"/>
  <c r="CF57"/>
  <c r="CF15"/>
  <c r="CN57"/>
  <c r="CN15"/>
  <c r="G15"/>
  <c r="G57"/>
  <c r="AE26"/>
  <c r="E26" s="1"/>
  <c r="AF22"/>
  <c r="F14"/>
  <c r="F15" s="1"/>
  <c r="F78" s="1"/>
  <c r="BP46"/>
  <c r="BP14" s="1"/>
  <c r="U14"/>
  <c r="CP57" l="1"/>
  <c r="CP15"/>
  <c r="BR15"/>
  <c r="BR57"/>
  <c r="AQ15"/>
  <c r="AQ57"/>
  <c r="CA57"/>
  <c r="CA15"/>
  <c r="AE22"/>
  <c r="AF16"/>
  <c r="BP57"/>
  <c r="BP15"/>
  <c r="U57"/>
  <c r="F57" s="1"/>
  <c r="U15"/>
  <c r="AE16" l="1"/>
  <c r="E22"/>
  <c r="AF46"/>
  <c r="AF14" s="1"/>
  <c r="AF15" l="1"/>
  <c r="AF57"/>
  <c r="AE57" s="1"/>
  <c r="E57" s="1"/>
  <c r="AE46"/>
  <c r="E46" s="1"/>
  <c r="E16"/>
  <c r="E14" l="1"/>
  <c r="E15" s="1"/>
  <c r="AE14"/>
  <c r="AE15" s="1"/>
  <c r="AE78" s="1"/>
  <c r="I24" i="88" l="1"/>
  <c r="J473" i="28"/>
  <c r="E21" i="32" s="1"/>
  <c r="K473" i="28"/>
  <c r="F21" i="32" s="1"/>
  <c r="M473" i="28"/>
  <c r="H21" i="32" s="1"/>
  <c r="I473" i="28"/>
  <c r="I561"/>
  <c r="P308" i="121" s="1"/>
  <c r="K561" i="28"/>
  <c r="V308" i="121" s="1"/>
  <c r="L561" i="28"/>
  <c r="Y308" i="121" s="1"/>
  <c r="H564" i="28"/>
  <c r="H558"/>
  <c r="J557"/>
  <c r="S307" i="121" s="1"/>
  <c r="K557" i="28"/>
  <c r="V307" i="121" s="1"/>
  <c r="V305" s="1"/>
  <c r="M557" i="28"/>
  <c r="AB307" i="121" s="1"/>
  <c r="H560" i="28"/>
  <c r="L23" i="88"/>
  <c r="Y308" i="111" l="1"/>
  <c r="S307"/>
  <c r="V307"/>
  <c r="P308"/>
  <c r="AB307"/>
  <c r="V308"/>
  <c r="E32" i="32"/>
  <c r="F20"/>
  <c r="F31" s="1"/>
  <c r="H32"/>
  <c r="J561" i="28"/>
  <c r="S308" i="121" s="1"/>
  <c r="S305" s="1"/>
  <c r="L91" i="99"/>
  <c r="Y91" s="1"/>
  <c r="H91"/>
  <c r="I91"/>
  <c r="V91" s="1"/>
  <c r="J91"/>
  <c r="W91" s="1"/>
  <c r="G562" i="28"/>
  <c r="J108" i="99"/>
  <c r="W108" s="1"/>
  <c r="K109"/>
  <c r="X109" s="1"/>
  <c r="L108"/>
  <c r="Y108" s="1"/>
  <c r="H109"/>
  <c r="U109" s="1"/>
  <c r="I108"/>
  <c r="V108" s="1"/>
  <c r="J109"/>
  <c r="W109" s="1"/>
  <c r="I557" i="28"/>
  <c r="P307" i="121" s="1"/>
  <c r="G558" i="28"/>
  <c r="V305" i="111" l="1"/>
  <c r="S308"/>
  <c r="P307"/>
  <c r="U91" i="99"/>
  <c r="AA91"/>
  <c r="AB91" s="1"/>
  <c r="AC91" s="1"/>
  <c r="AD91" s="1"/>
  <c r="F32" i="32"/>
  <c r="H20"/>
  <c r="H31" s="1"/>
  <c r="E20"/>
  <c r="E31" s="1"/>
  <c r="I109" i="99"/>
  <c r="H108"/>
  <c r="S305" i="111" l="1"/>
  <c r="V109" i="99"/>
  <c r="U108"/>
  <c r="K7487" i="94"/>
  <c r="M28" i="99"/>
  <c r="N40" i="28"/>
  <c r="M10" i="99" s="1"/>
  <c r="N377" i="28"/>
  <c r="M78" i="99" s="1"/>
  <c r="N64" i="28"/>
  <c r="M16" i="99" s="1"/>
  <c r="N369" i="28"/>
  <c r="M76" i="99" s="1"/>
  <c r="N56" i="28"/>
  <c r="M14" i="99" s="1"/>
  <c r="I353" i="28"/>
  <c r="L357"/>
  <c r="C100"/>
  <c r="J301"/>
  <c r="K301"/>
  <c r="L301"/>
  <c r="M301"/>
  <c r="K302"/>
  <c r="L302"/>
  <c r="M302"/>
  <c r="G303"/>
  <c r="H303"/>
  <c r="I303"/>
  <c r="J303"/>
  <c r="K303"/>
  <c r="L303"/>
  <c r="M303"/>
  <c r="K300"/>
  <c r="L300"/>
  <c r="M300"/>
  <c r="F101"/>
  <c r="K101"/>
  <c r="L101"/>
  <c r="M101"/>
  <c r="F102"/>
  <c r="L102"/>
  <c r="M102"/>
  <c r="F103"/>
  <c r="L103"/>
  <c r="M103"/>
  <c r="K43"/>
  <c r="K41"/>
  <c r="K17" s="1"/>
  <c r="D354"/>
  <c r="D111"/>
  <c r="D110"/>
  <c r="D109"/>
  <c r="D41"/>
  <c r="N417"/>
  <c r="M84" i="99" s="1"/>
  <c r="N112" i="28"/>
  <c r="M25" i="99" s="1"/>
  <c r="N373" i="28"/>
  <c r="M77" i="99" s="1"/>
  <c r="N7487" i="94"/>
  <c r="P3" i="99" l="1"/>
  <c r="T3" s="1"/>
  <c r="P65"/>
  <c r="T65" s="1"/>
  <c r="K73"/>
  <c r="X73" s="1"/>
  <c r="H72"/>
  <c r="U72" s="1"/>
  <c r="S12" i="94"/>
  <c r="B77" i="64"/>
  <c r="D175"/>
  <c r="D176"/>
  <c r="D177"/>
  <c r="B99"/>
  <c r="B75"/>
  <c r="S6723" i="94"/>
  <c r="S5935"/>
  <c r="S2995"/>
  <c r="S6799"/>
  <c r="H199" i="28" l="1"/>
  <c r="K185"/>
  <c r="L185"/>
  <c r="M185"/>
  <c r="I187"/>
  <c r="J187"/>
  <c r="K187"/>
  <c r="L187"/>
  <c r="M187"/>
  <c r="H143"/>
  <c r="G143" s="1"/>
  <c r="S30" i="94"/>
  <c r="S154"/>
  <c r="S174"/>
  <c r="S222"/>
  <c r="S228"/>
  <c r="S754"/>
  <c r="S842"/>
  <c r="S946"/>
  <c r="S1013"/>
  <c r="S1520"/>
  <c r="S1565"/>
  <c r="S2256"/>
  <c r="S2528"/>
  <c r="Q3" i="99"/>
  <c r="L7487" i="94"/>
  <c r="M7487"/>
  <c r="O7487"/>
  <c r="Q65" i="99" s="1"/>
  <c r="P7487" i="94"/>
  <c r="Q7487"/>
  <c r="R7487"/>
  <c r="R65" i="99" s="1"/>
  <c r="K7489" i="94"/>
  <c r="L7489"/>
  <c r="M7489"/>
  <c r="N7489"/>
  <c r="O7489"/>
  <c r="P7489"/>
  <c r="Q7489"/>
  <c r="R7489"/>
  <c r="K7490"/>
  <c r="L7490"/>
  <c r="M7490"/>
  <c r="N7490"/>
  <c r="O7490"/>
  <c r="P7490"/>
  <c r="Q7490"/>
  <c r="R7490"/>
  <c r="K7491"/>
  <c r="L7491"/>
  <c r="N7491"/>
  <c r="O7491"/>
  <c r="P7491"/>
  <c r="Q7491"/>
  <c r="R7491"/>
  <c r="S7491" s="1"/>
  <c r="K7493"/>
  <c r="L7493"/>
  <c r="M7493"/>
  <c r="N7493"/>
  <c r="O7493"/>
  <c r="P7493"/>
  <c r="Q7493"/>
  <c r="R7493"/>
  <c r="K7494"/>
  <c r="L7494"/>
  <c r="M7494"/>
  <c r="N7494"/>
  <c r="O7494"/>
  <c r="P7494"/>
  <c r="Q7494"/>
  <c r="R7494"/>
  <c r="H95" i="99" l="1"/>
  <c r="U95" s="1"/>
  <c r="K7495" i="94"/>
  <c r="S7489"/>
  <c r="S7494"/>
  <c r="S7490"/>
  <c r="S7486"/>
  <c r="R3" i="99"/>
  <c r="S3" s="1"/>
  <c r="Z3" s="1"/>
  <c r="S65"/>
  <c r="AF65"/>
  <c r="S7487" i="94"/>
  <c r="S7493"/>
  <c r="M7495"/>
  <c r="Q7495"/>
  <c r="N7495"/>
  <c r="O7495"/>
  <c r="P7495"/>
  <c r="L7495"/>
  <c r="R7495"/>
  <c r="B124" i="28"/>
  <c r="A28" i="99" s="1"/>
  <c r="D11" i="64"/>
  <c r="E11"/>
  <c r="D105"/>
  <c r="E105"/>
  <c r="AF3" i="99" l="1"/>
  <c r="AG65"/>
  <c r="S7495" i="94"/>
  <c r="F6" i="32"/>
  <c r="F41" s="1"/>
  <c r="H6"/>
  <c r="H41" s="1"/>
  <c r="G6"/>
  <c r="G41" s="1"/>
  <c r="F15"/>
  <c r="H15"/>
  <c r="D15"/>
  <c r="G15"/>
  <c r="E15"/>
  <c r="L11" i="88"/>
  <c r="H141" i="28"/>
  <c r="G141" s="1"/>
  <c r="H142"/>
  <c r="G142" s="1"/>
  <c r="C585" i="92"/>
  <c r="D121" i="28"/>
  <c r="D122" s="1"/>
  <c r="C15" i="32" l="1"/>
  <c r="G26"/>
  <c r="F26"/>
  <c r="H26"/>
  <c r="G110" i="99"/>
  <c r="G63"/>
  <c r="AG3"/>
  <c r="F63"/>
  <c r="J63"/>
  <c r="W63" s="1"/>
  <c r="L63"/>
  <c r="Y63" s="1"/>
  <c r="H63"/>
  <c r="U63" s="1"/>
  <c r="K63"/>
  <c r="X63" s="1"/>
  <c r="I63"/>
  <c r="V63" s="1"/>
  <c r="K110"/>
  <c r="X110" s="1"/>
  <c r="I110"/>
  <c r="V110" s="1"/>
  <c r="F110"/>
  <c r="J110"/>
  <c r="W110" s="1"/>
  <c r="L110"/>
  <c r="Y110" s="1"/>
  <c r="H110"/>
  <c r="U110" s="1"/>
  <c r="Q13" i="84"/>
  <c r="S13" l="1"/>
  <c r="J505" i="28" s="1"/>
  <c r="S299" i="121" s="1"/>
  <c r="S291" s="1"/>
  <c r="T13" i="84"/>
  <c r="K505" i="28" s="1"/>
  <c r="V299" i="121" s="1"/>
  <c r="U13" i="84"/>
  <c r="L505" i="28" s="1"/>
  <c r="Y299" i="121" s="1"/>
  <c r="V13" i="84"/>
  <c r="M505" i="28" s="1"/>
  <c r="AB299" i="121" s="1"/>
  <c r="I99" i="99"/>
  <c r="J469" i="28"/>
  <c r="P11" i="88"/>
  <c r="S290" i="121" l="1"/>
  <c r="L507" i="28"/>
  <c r="Y299" i="111"/>
  <c r="K99" i="99"/>
  <c r="X99" s="1"/>
  <c r="V299" i="111"/>
  <c r="K507" i="28"/>
  <c r="J99" i="99"/>
  <c r="W99" s="1"/>
  <c r="S299" i="111"/>
  <c r="J507" i="28"/>
  <c r="J471" s="1"/>
  <c r="AB299" i="111"/>
  <c r="M507" i="28"/>
  <c r="L99" i="99"/>
  <c r="Y99" s="1"/>
  <c r="E16" i="32"/>
  <c r="V99" i="99"/>
  <c r="Q23" i="84"/>
  <c r="S23" s="1"/>
  <c r="J124" i="28"/>
  <c r="I28" i="99" s="1"/>
  <c r="V28" s="1"/>
  <c r="K13" i="83"/>
  <c r="O13" s="1"/>
  <c r="R13"/>
  <c r="J140" i="28"/>
  <c r="I31" i="99" s="1"/>
  <c r="V31" s="1"/>
  <c r="K140" i="28"/>
  <c r="J31" i="99" s="1"/>
  <c r="W31" s="1"/>
  <c r="L140" i="28"/>
  <c r="K31" i="99" s="1"/>
  <c r="X31" s="1"/>
  <c r="M140" i="28"/>
  <c r="L31" i="99" s="1"/>
  <c r="Y31" s="1"/>
  <c r="I140" i="28"/>
  <c r="K124"/>
  <c r="J28" i="99" s="1"/>
  <c r="W28" s="1"/>
  <c r="L124" i="28"/>
  <c r="K28" i="99" s="1"/>
  <c r="X28" s="1"/>
  <c r="M124" i="28"/>
  <c r="L28" i="99" s="1"/>
  <c r="Y28" s="1"/>
  <c r="I124" i="28"/>
  <c r="H28" i="99" s="1"/>
  <c r="U28" s="1"/>
  <c r="J421" i="28"/>
  <c r="K421"/>
  <c r="L421"/>
  <c r="M421"/>
  <c r="I421"/>
  <c r="I190"/>
  <c r="I189"/>
  <c r="S291" i="111" l="1"/>
  <c r="S290" s="1"/>
  <c r="AE299"/>
  <c r="AB31" i="99"/>
  <c r="AC31" s="1"/>
  <c r="AD31" s="1"/>
  <c r="AB28"/>
  <c r="AC28" s="1"/>
  <c r="AD28" s="1"/>
  <c r="J85"/>
  <c r="W85" s="1"/>
  <c r="K85"/>
  <c r="X85" s="1"/>
  <c r="L85"/>
  <c r="Y85" s="1"/>
  <c r="H31"/>
  <c r="U31" s="1"/>
  <c r="H85"/>
  <c r="U85" s="1"/>
  <c r="I85"/>
  <c r="J51" i="64"/>
  <c r="K46"/>
  <c r="G46"/>
  <c r="H51"/>
  <c r="J46"/>
  <c r="K51"/>
  <c r="I46"/>
  <c r="I51"/>
  <c r="H46"/>
  <c r="G51"/>
  <c r="H140" i="28"/>
  <c r="I74" i="64"/>
  <c r="J74"/>
  <c r="K74"/>
  <c r="G74"/>
  <c r="I198" i="28"/>
  <c r="H198" s="1"/>
  <c r="I197"/>
  <c r="I193"/>
  <c r="I194"/>
  <c r="AB85" i="99" l="1"/>
  <c r="AC85" s="1"/>
  <c r="AD85" s="1"/>
  <c r="V85"/>
  <c r="G140" i="28"/>
  <c r="G31" i="99"/>
  <c r="I192" i="28"/>
  <c r="H36" i="99" s="1"/>
  <c r="I196" i="28"/>
  <c r="H197"/>
  <c r="I185"/>
  <c r="A177" i="64"/>
  <c r="A176"/>
  <c r="A175"/>
  <c r="A174"/>
  <c r="A173"/>
  <c r="A172"/>
  <c r="A171"/>
  <c r="A170"/>
  <c r="A169"/>
  <c r="A168"/>
  <c r="A167"/>
  <c r="A166"/>
  <c r="F161"/>
  <c r="D166"/>
  <c r="B166"/>
  <c r="D492" i="28"/>
  <c r="D491"/>
  <c r="D490"/>
  <c r="H492"/>
  <c r="G492" s="1"/>
  <c r="H490"/>
  <c r="G490" s="1"/>
  <c r="W584" i="92"/>
  <c r="X584"/>
  <c r="X585"/>
  <c r="K583"/>
  <c r="L583"/>
  <c r="N583"/>
  <c r="O583"/>
  <c r="Q583"/>
  <c r="R583"/>
  <c r="T583"/>
  <c r="U583"/>
  <c r="C584"/>
  <c r="C583"/>
  <c r="AA36" i="99" l="1"/>
  <c r="AB36" s="1"/>
  <c r="AC36" s="1"/>
  <c r="AD36" s="1"/>
  <c r="U36"/>
  <c r="F31"/>
  <c r="H37"/>
  <c r="AA37" s="1"/>
  <c r="G72" i="64"/>
  <c r="W583" i="92"/>
  <c r="X583"/>
  <c r="J583"/>
  <c r="AB37" i="99" l="1"/>
  <c r="AC37" s="1"/>
  <c r="AD37" s="1"/>
  <c r="U37"/>
  <c r="J548" i="92"/>
  <c r="F548"/>
  <c r="E548"/>
  <c r="G548" l="1"/>
  <c r="F549" l="1"/>
  <c r="F551"/>
  <c r="E549"/>
  <c r="X544"/>
  <c r="Y544" s="1"/>
  <c r="Y542"/>
  <c r="Y541"/>
  <c r="Y540"/>
  <c r="Y539"/>
  <c r="Y538"/>
  <c r="X537"/>
  <c r="W537"/>
  <c r="Y536"/>
  <c r="Y535"/>
  <c r="Y534"/>
  <c r="Y533"/>
  <c r="Y532"/>
  <c r="X531"/>
  <c r="W531"/>
  <c r="Y530"/>
  <c r="F580"/>
  <c r="G580"/>
  <c r="H580"/>
  <c r="E580"/>
  <c r="F558"/>
  <c r="F557" s="1"/>
  <c r="G558"/>
  <c r="G557" s="1"/>
  <c r="H558"/>
  <c r="H557" s="1"/>
  <c r="E558"/>
  <c r="E557" s="1"/>
  <c r="C580"/>
  <c r="C574"/>
  <c r="C575"/>
  <c r="C576"/>
  <c r="C577"/>
  <c r="C578"/>
  <c r="C579"/>
  <c r="C568"/>
  <c r="C569"/>
  <c r="C570"/>
  <c r="C571"/>
  <c r="C572"/>
  <c r="C573"/>
  <c r="C562"/>
  <c r="C565"/>
  <c r="C566"/>
  <c r="C567"/>
  <c r="C558"/>
  <c r="H551" l="1"/>
  <c r="F552"/>
  <c r="F553" s="1"/>
  <c r="G549"/>
  <c r="E552"/>
  <c r="Y537"/>
  <c r="Y531"/>
  <c r="W576"/>
  <c r="W560"/>
  <c r="Q580"/>
  <c r="X579"/>
  <c r="X578"/>
  <c r="X576"/>
  <c r="X575"/>
  <c r="X571"/>
  <c r="X570"/>
  <c r="X567"/>
  <c r="X566"/>
  <c r="X565"/>
  <c r="X564"/>
  <c r="X563"/>
  <c r="X562"/>
  <c r="X559"/>
  <c r="X582"/>
  <c r="X572"/>
  <c r="X568"/>
  <c r="M580"/>
  <c r="S580"/>
  <c r="P18" i="84"/>
  <c r="G552" i="92" l="1"/>
  <c r="E553"/>
  <c r="F554" s="1"/>
  <c r="L548"/>
  <c r="O548" s="1"/>
  <c r="K548"/>
  <c r="R580"/>
  <c r="X574"/>
  <c r="O580"/>
  <c r="X561"/>
  <c r="X560"/>
  <c r="X569"/>
  <c r="X573"/>
  <c r="X577"/>
  <c r="X581"/>
  <c r="W564"/>
  <c r="W568"/>
  <c r="W565"/>
  <c r="N580"/>
  <c r="W572"/>
  <c r="U580"/>
  <c r="W581"/>
  <c r="K580"/>
  <c r="W569"/>
  <c r="W573"/>
  <c r="W582"/>
  <c r="L580"/>
  <c r="W559"/>
  <c r="W563"/>
  <c r="W567"/>
  <c r="W571"/>
  <c r="W575"/>
  <c r="W579"/>
  <c r="W561"/>
  <c r="W577"/>
  <c r="W562"/>
  <c r="W566"/>
  <c r="W570"/>
  <c r="W574"/>
  <c r="W578"/>
  <c r="T580"/>
  <c r="N548" l="1"/>
  <c r="M548"/>
  <c r="R548"/>
  <c r="U548" s="1"/>
  <c r="X580"/>
  <c r="W580"/>
  <c r="X545" l="1"/>
  <c r="Q548"/>
  <c r="P548"/>
  <c r="S548" l="1"/>
  <c r="T548"/>
  <c r="V548" s="1"/>
  <c r="U544" l="1"/>
  <c r="V544" s="1"/>
  <c r="V542"/>
  <c r="V541"/>
  <c r="V540"/>
  <c r="V539"/>
  <c r="V538"/>
  <c r="U537"/>
  <c r="T537"/>
  <c r="V536"/>
  <c r="V535"/>
  <c r="V534"/>
  <c r="V533"/>
  <c r="V532"/>
  <c r="U531"/>
  <c r="T531"/>
  <c r="V530"/>
  <c r="V528"/>
  <c r="V526"/>
  <c r="V525"/>
  <c r="U524"/>
  <c r="T524"/>
  <c r="V522"/>
  <c r="V521"/>
  <c r="V520"/>
  <c r="V519"/>
  <c r="V516"/>
  <c r="V515"/>
  <c r="V512"/>
  <c r="V508"/>
  <c r="V395"/>
  <c r="U352"/>
  <c r="V309"/>
  <c r="V308"/>
  <c r="V307"/>
  <c r="U306"/>
  <c r="T306"/>
  <c r="V305"/>
  <c r="V304"/>
  <c r="U303"/>
  <c r="T303"/>
  <c r="V302"/>
  <c r="V301"/>
  <c r="U300"/>
  <c r="T300"/>
  <c r="V299"/>
  <c r="V298"/>
  <c r="U297"/>
  <c r="T297"/>
  <c r="V296"/>
  <c r="V295"/>
  <c r="U294"/>
  <c r="T294"/>
  <c r="V293"/>
  <c r="V292"/>
  <c r="U291"/>
  <c r="T291"/>
  <c r="V290"/>
  <c r="V289"/>
  <c r="U288"/>
  <c r="T288"/>
  <c r="V287"/>
  <c r="V286"/>
  <c r="U285"/>
  <c r="T285"/>
  <c r="V284"/>
  <c r="V283"/>
  <c r="U282"/>
  <c r="T282"/>
  <c r="V281"/>
  <c r="V280"/>
  <c r="U279"/>
  <c r="T279"/>
  <c r="V278"/>
  <c r="V277"/>
  <c r="U276"/>
  <c r="T276"/>
  <c r="V275"/>
  <c r="V274"/>
  <c r="U273"/>
  <c r="T273"/>
  <c r="V272"/>
  <c r="V271"/>
  <c r="U270"/>
  <c r="T270"/>
  <c r="V269"/>
  <c r="V268"/>
  <c r="U267"/>
  <c r="T267"/>
  <c r="V266"/>
  <c r="V265"/>
  <c r="U264"/>
  <c r="T264"/>
  <c r="V263"/>
  <c r="V262"/>
  <c r="U261"/>
  <c r="T261"/>
  <c r="V260"/>
  <c r="V259"/>
  <c r="U258"/>
  <c r="T258"/>
  <c r="V257"/>
  <c r="V256"/>
  <c r="U255"/>
  <c r="T255"/>
  <c r="V254"/>
  <c r="V253"/>
  <c r="U252"/>
  <c r="T252"/>
  <c r="V251"/>
  <c r="V250"/>
  <c r="U249"/>
  <c r="T249"/>
  <c r="V248"/>
  <c r="V247"/>
  <c r="U246"/>
  <c r="T246"/>
  <c r="V245"/>
  <c r="V244"/>
  <c r="U243"/>
  <c r="T243"/>
  <c r="V242"/>
  <c r="V241"/>
  <c r="U240"/>
  <c r="T240"/>
  <c r="V239"/>
  <c r="V238"/>
  <c r="U237"/>
  <c r="T237"/>
  <c r="V236"/>
  <c r="V235"/>
  <c r="U234"/>
  <c r="T234"/>
  <c r="V233"/>
  <c r="V232"/>
  <c r="U231"/>
  <c r="T231"/>
  <c r="V230"/>
  <c r="V229"/>
  <c r="U228"/>
  <c r="T228"/>
  <c r="V227"/>
  <c r="V226"/>
  <c r="U225"/>
  <c r="T225"/>
  <c r="V224"/>
  <c r="V223"/>
  <c r="U222"/>
  <c r="T222"/>
  <c r="V221"/>
  <c r="V220"/>
  <c r="U219"/>
  <c r="T219"/>
  <c r="V218"/>
  <c r="V217"/>
  <c r="U216"/>
  <c r="T216"/>
  <c r="V215"/>
  <c r="V214"/>
  <c r="U213"/>
  <c r="T213"/>
  <c r="V212"/>
  <c r="V211"/>
  <c r="U210"/>
  <c r="T210"/>
  <c r="V209"/>
  <c r="V208"/>
  <c r="U207"/>
  <c r="T207"/>
  <c r="V206"/>
  <c r="V205"/>
  <c r="U204"/>
  <c r="T204"/>
  <c r="V203"/>
  <c r="V202"/>
  <c r="U201"/>
  <c r="T201"/>
  <c r="V200"/>
  <c r="V199"/>
  <c r="U198"/>
  <c r="T198"/>
  <c r="V197"/>
  <c r="V196"/>
  <c r="U195"/>
  <c r="T195"/>
  <c r="V194"/>
  <c r="V193"/>
  <c r="U192"/>
  <c r="T192"/>
  <c r="V191"/>
  <c r="V190"/>
  <c r="U189"/>
  <c r="T189"/>
  <c r="V188"/>
  <c r="V187"/>
  <c r="U186"/>
  <c r="T186"/>
  <c r="V185"/>
  <c r="V184"/>
  <c r="U183"/>
  <c r="T183"/>
  <c r="V182"/>
  <c r="V181"/>
  <c r="U180"/>
  <c r="T180"/>
  <c r="V179"/>
  <c r="V178"/>
  <c r="U177"/>
  <c r="T177"/>
  <c r="V176"/>
  <c r="V175"/>
  <c r="U174"/>
  <c r="T174"/>
  <c r="V173"/>
  <c r="V172"/>
  <c r="U171"/>
  <c r="T171"/>
  <c r="V170"/>
  <c r="V169"/>
  <c r="U168"/>
  <c r="T168"/>
  <c r="V167"/>
  <c r="V166"/>
  <c r="U165"/>
  <c r="T165"/>
  <c r="V164"/>
  <c r="V163"/>
  <c r="U162"/>
  <c r="T162"/>
  <c r="V161"/>
  <c r="V160"/>
  <c r="U159"/>
  <c r="T159"/>
  <c r="V158"/>
  <c r="V157"/>
  <c r="U156"/>
  <c r="T156"/>
  <c r="V155"/>
  <c r="V154"/>
  <c r="U153"/>
  <c r="T153"/>
  <c r="V152"/>
  <c r="V151"/>
  <c r="U150"/>
  <c r="T150"/>
  <c r="V149"/>
  <c r="V148"/>
  <c r="U147"/>
  <c r="T147"/>
  <c r="V146"/>
  <c r="V145"/>
  <c r="U144"/>
  <c r="T144"/>
  <c r="V143"/>
  <c r="V142"/>
  <c r="U141"/>
  <c r="T141"/>
  <c r="V140"/>
  <c r="V139"/>
  <c r="U138"/>
  <c r="T138"/>
  <c r="V137"/>
  <c r="V136"/>
  <c r="U135"/>
  <c r="T135"/>
  <c r="V134"/>
  <c r="V133"/>
  <c r="U132"/>
  <c r="T132"/>
  <c r="V131"/>
  <c r="V130"/>
  <c r="U129"/>
  <c r="T129"/>
  <c r="V128"/>
  <c r="V127"/>
  <c r="U126"/>
  <c r="T126"/>
  <c r="V125"/>
  <c r="V124"/>
  <c r="U123"/>
  <c r="T123"/>
  <c r="V122"/>
  <c r="V121"/>
  <c r="U120"/>
  <c r="T120"/>
  <c r="V119"/>
  <c r="V118"/>
  <c r="U117"/>
  <c r="T117"/>
  <c r="V116"/>
  <c r="V115"/>
  <c r="U114"/>
  <c r="T114"/>
  <c r="V113"/>
  <c r="V112"/>
  <c r="U111"/>
  <c r="T111"/>
  <c r="V110"/>
  <c r="V109"/>
  <c r="U108"/>
  <c r="T108"/>
  <c r="V107"/>
  <c r="V106"/>
  <c r="U105"/>
  <c r="T105"/>
  <c r="V104"/>
  <c r="V103"/>
  <c r="U102"/>
  <c r="T102"/>
  <c r="V101"/>
  <c r="V100"/>
  <c r="U99"/>
  <c r="T99"/>
  <c r="V98"/>
  <c r="V97"/>
  <c r="U96"/>
  <c r="T96"/>
  <c r="V95"/>
  <c r="V94"/>
  <c r="U93"/>
  <c r="T93"/>
  <c r="V92"/>
  <c r="V91"/>
  <c r="U90"/>
  <c r="T90"/>
  <c r="V89"/>
  <c r="V88"/>
  <c r="U87"/>
  <c r="T87"/>
  <c r="V86"/>
  <c r="V85"/>
  <c r="U84"/>
  <c r="T84"/>
  <c r="V83"/>
  <c r="V82"/>
  <c r="U81"/>
  <c r="T81"/>
  <c r="V80"/>
  <c r="V79"/>
  <c r="U78"/>
  <c r="T78"/>
  <c r="V77"/>
  <c r="V76"/>
  <c r="U75"/>
  <c r="T75"/>
  <c r="V74"/>
  <c r="V73"/>
  <c r="U72"/>
  <c r="T72"/>
  <c r="V71"/>
  <c r="V70"/>
  <c r="U69"/>
  <c r="T69"/>
  <c r="V68"/>
  <c r="V67"/>
  <c r="U66"/>
  <c r="T66"/>
  <c r="V65"/>
  <c r="V64"/>
  <c r="U63"/>
  <c r="T63"/>
  <c r="V62"/>
  <c r="V61"/>
  <c r="U60"/>
  <c r="T60"/>
  <c r="V59"/>
  <c r="V58"/>
  <c r="U57"/>
  <c r="T57"/>
  <c r="V56"/>
  <c r="V55"/>
  <c r="U54"/>
  <c r="T54"/>
  <c r="V52"/>
  <c r="V51"/>
  <c r="U50"/>
  <c r="T50"/>
  <c r="V49"/>
  <c r="V48"/>
  <c r="U47"/>
  <c r="T47"/>
  <c r="V46"/>
  <c r="V45"/>
  <c r="U44"/>
  <c r="T44"/>
  <c r="V43"/>
  <c r="V42"/>
  <c r="U41"/>
  <c r="T41"/>
  <c r="V40"/>
  <c r="V39"/>
  <c r="U38"/>
  <c r="T38"/>
  <c r="V37"/>
  <c r="V36"/>
  <c r="U35"/>
  <c r="T35"/>
  <c r="V34"/>
  <c r="V33"/>
  <c r="U32"/>
  <c r="T32"/>
  <c r="V30"/>
  <c r="V29"/>
  <c r="U28"/>
  <c r="T28"/>
  <c r="V27"/>
  <c r="V26"/>
  <c r="U25"/>
  <c r="T25"/>
  <c r="V24"/>
  <c r="V23"/>
  <c r="U22"/>
  <c r="T22"/>
  <c r="V21"/>
  <c r="V20"/>
  <c r="U19"/>
  <c r="T19"/>
  <c r="V18"/>
  <c r="V17"/>
  <c r="U16"/>
  <c r="T16"/>
  <c r="V15"/>
  <c r="V14"/>
  <c r="U13"/>
  <c r="T13"/>
  <c r="R544"/>
  <c r="S544" s="1"/>
  <c r="S542"/>
  <c r="S541"/>
  <c r="S540"/>
  <c r="S539"/>
  <c r="S538"/>
  <c r="R537"/>
  <c r="Q537"/>
  <c r="S536"/>
  <c r="S535"/>
  <c r="S534"/>
  <c r="S533"/>
  <c r="S532"/>
  <c r="R531"/>
  <c r="Q531"/>
  <c r="S530"/>
  <c r="S528"/>
  <c r="S526"/>
  <c r="S525"/>
  <c r="R524"/>
  <c r="Q524"/>
  <c r="S522"/>
  <c r="S521"/>
  <c r="S520"/>
  <c r="S519"/>
  <c r="S516"/>
  <c r="S515"/>
  <c r="S512"/>
  <c r="S508"/>
  <c r="S395"/>
  <c r="R352"/>
  <c r="S309"/>
  <c r="S308"/>
  <c r="S307"/>
  <c r="R306"/>
  <c r="Q306"/>
  <c r="S305"/>
  <c r="S304"/>
  <c r="R303"/>
  <c r="Q303"/>
  <c r="S302"/>
  <c r="S301"/>
  <c r="R300"/>
  <c r="Q300"/>
  <c r="S299"/>
  <c r="S298"/>
  <c r="R297"/>
  <c r="Q297"/>
  <c r="S296"/>
  <c r="S295"/>
  <c r="R294"/>
  <c r="Q294"/>
  <c r="S293"/>
  <c r="S292"/>
  <c r="R291"/>
  <c r="Q291"/>
  <c r="S290"/>
  <c r="S289"/>
  <c r="R288"/>
  <c r="Q288"/>
  <c r="S287"/>
  <c r="S286"/>
  <c r="R285"/>
  <c r="Q285"/>
  <c r="S284"/>
  <c r="S283"/>
  <c r="R282"/>
  <c r="Q282"/>
  <c r="S281"/>
  <c r="S280"/>
  <c r="R279"/>
  <c r="Q279"/>
  <c r="S278"/>
  <c r="S277"/>
  <c r="R276"/>
  <c r="Q276"/>
  <c r="S275"/>
  <c r="S274"/>
  <c r="R273"/>
  <c r="Q273"/>
  <c r="S272"/>
  <c r="S271"/>
  <c r="R270"/>
  <c r="Q270"/>
  <c r="S269"/>
  <c r="S268"/>
  <c r="R267"/>
  <c r="Q267"/>
  <c r="S266"/>
  <c r="S265"/>
  <c r="R264"/>
  <c r="Q264"/>
  <c r="S263"/>
  <c r="S262"/>
  <c r="R261"/>
  <c r="Q261"/>
  <c r="S260"/>
  <c r="S259"/>
  <c r="R258"/>
  <c r="Q258"/>
  <c r="S257"/>
  <c r="S256"/>
  <c r="R255"/>
  <c r="Q255"/>
  <c r="S254"/>
  <c r="S253"/>
  <c r="R252"/>
  <c r="Q252"/>
  <c r="S251"/>
  <c r="S250"/>
  <c r="R249"/>
  <c r="Q249"/>
  <c r="S248"/>
  <c r="S247"/>
  <c r="R246"/>
  <c r="Q246"/>
  <c r="S245"/>
  <c r="S244"/>
  <c r="R243"/>
  <c r="Q243"/>
  <c r="S242"/>
  <c r="S241"/>
  <c r="R240"/>
  <c r="Q240"/>
  <c r="S239"/>
  <c r="S238"/>
  <c r="R237"/>
  <c r="Q237"/>
  <c r="S236"/>
  <c r="S235"/>
  <c r="R234"/>
  <c r="Q234"/>
  <c r="S233"/>
  <c r="S232"/>
  <c r="R231"/>
  <c r="Q231"/>
  <c r="S230"/>
  <c r="S229"/>
  <c r="R228"/>
  <c r="Q228"/>
  <c r="S227"/>
  <c r="S226"/>
  <c r="R225"/>
  <c r="Q225"/>
  <c r="S224"/>
  <c r="S223"/>
  <c r="R222"/>
  <c r="Q222"/>
  <c r="S221"/>
  <c r="S220"/>
  <c r="R219"/>
  <c r="Q219"/>
  <c r="S218"/>
  <c r="S217"/>
  <c r="R216"/>
  <c r="Q216"/>
  <c r="S215"/>
  <c r="S214"/>
  <c r="R213"/>
  <c r="Q213"/>
  <c r="S212"/>
  <c r="S211"/>
  <c r="R210"/>
  <c r="Q210"/>
  <c r="S209"/>
  <c r="S208"/>
  <c r="R207"/>
  <c r="Q207"/>
  <c r="S206"/>
  <c r="S205"/>
  <c r="R204"/>
  <c r="Q204"/>
  <c r="S203"/>
  <c r="S202"/>
  <c r="R201"/>
  <c r="Q201"/>
  <c r="S200"/>
  <c r="S199"/>
  <c r="R198"/>
  <c r="Q198"/>
  <c r="S197"/>
  <c r="S196"/>
  <c r="R195"/>
  <c r="Q195"/>
  <c r="S194"/>
  <c r="S193"/>
  <c r="R192"/>
  <c r="Q192"/>
  <c r="S191"/>
  <c r="S190"/>
  <c r="R189"/>
  <c r="Q189"/>
  <c r="S188"/>
  <c r="S187"/>
  <c r="R186"/>
  <c r="Q186"/>
  <c r="S185"/>
  <c r="S184"/>
  <c r="R183"/>
  <c r="Q183"/>
  <c r="S182"/>
  <c r="S181"/>
  <c r="R180"/>
  <c r="Q180"/>
  <c r="S179"/>
  <c r="S178"/>
  <c r="R177"/>
  <c r="Q177"/>
  <c r="S176"/>
  <c r="S175"/>
  <c r="R174"/>
  <c r="Q174"/>
  <c r="S173"/>
  <c r="S172"/>
  <c r="R171"/>
  <c r="Q171"/>
  <c r="S170"/>
  <c r="S169"/>
  <c r="R168"/>
  <c r="Q168"/>
  <c r="S167"/>
  <c r="S166"/>
  <c r="R165"/>
  <c r="Q165"/>
  <c r="S164"/>
  <c r="S163"/>
  <c r="R162"/>
  <c r="Q162"/>
  <c r="S161"/>
  <c r="S160"/>
  <c r="R159"/>
  <c r="Q159"/>
  <c r="S158"/>
  <c r="S157"/>
  <c r="R156"/>
  <c r="Q156"/>
  <c r="S155"/>
  <c r="S154"/>
  <c r="R153"/>
  <c r="Q153"/>
  <c r="S152"/>
  <c r="S151"/>
  <c r="R150"/>
  <c r="Q150"/>
  <c r="S149"/>
  <c r="S148"/>
  <c r="R147"/>
  <c r="Q147"/>
  <c r="S146"/>
  <c r="S145"/>
  <c r="R144"/>
  <c r="Q144"/>
  <c r="S143"/>
  <c r="S142"/>
  <c r="R141"/>
  <c r="Q141"/>
  <c r="S140"/>
  <c r="S139"/>
  <c r="R138"/>
  <c r="Q138"/>
  <c r="S137"/>
  <c r="S136"/>
  <c r="R135"/>
  <c r="Q135"/>
  <c r="S134"/>
  <c r="S133"/>
  <c r="R132"/>
  <c r="Q132"/>
  <c r="S131"/>
  <c r="S130"/>
  <c r="R129"/>
  <c r="Q129"/>
  <c r="S128"/>
  <c r="S127"/>
  <c r="R126"/>
  <c r="Q126"/>
  <c r="S125"/>
  <c r="S124"/>
  <c r="R123"/>
  <c r="Q123"/>
  <c r="S122"/>
  <c r="S121"/>
  <c r="R120"/>
  <c r="Q120"/>
  <c r="S119"/>
  <c r="S118"/>
  <c r="R117"/>
  <c r="Q117"/>
  <c r="S116"/>
  <c r="S115"/>
  <c r="R114"/>
  <c r="Q114"/>
  <c r="S113"/>
  <c r="S112"/>
  <c r="R111"/>
  <c r="Q111"/>
  <c r="S110"/>
  <c r="S109"/>
  <c r="R108"/>
  <c r="Q108"/>
  <c r="S107"/>
  <c r="S106"/>
  <c r="R105"/>
  <c r="Q105"/>
  <c r="S104"/>
  <c r="S103"/>
  <c r="R102"/>
  <c r="Q102"/>
  <c r="S101"/>
  <c r="S100"/>
  <c r="R99"/>
  <c r="Q99"/>
  <c r="S98"/>
  <c r="S97"/>
  <c r="R96"/>
  <c r="Q96"/>
  <c r="S95"/>
  <c r="S94"/>
  <c r="R93"/>
  <c r="Q93"/>
  <c r="S92"/>
  <c r="S91"/>
  <c r="R90"/>
  <c r="Q90"/>
  <c r="S89"/>
  <c r="S88"/>
  <c r="R87"/>
  <c r="Q87"/>
  <c r="S86"/>
  <c r="S85"/>
  <c r="R84"/>
  <c r="Q84"/>
  <c r="S83"/>
  <c r="S82"/>
  <c r="R81"/>
  <c r="Q81"/>
  <c r="S80"/>
  <c r="S79"/>
  <c r="R78"/>
  <c r="Q78"/>
  <c r="S77"/>
  <c r="S76"/>
  <c r="R75"/>
  <c r="Q75"/>
  <c r="S74"/>
  <c r="S73"/>
  <c r="R72"/>
  <c r="Q72"/>
  <c r="S71"/>
  <c r="S70"/>
  <c r="R69"/>
  <c r="Q69"/>
  <c r="S68"/>
  <c r="S67"/>
  <c r="R66"/>
  <c r="Q66"/>
  <c r="S65"/>
  <c r="S64"/>
  <c r="R63"/>
  <c r="Q63"/>
  <c r="S62"/>
  <c r="S61"/>
  <c r="R60"/>
  <c r="Q60"/>
  <c r="S59"/>
  <c r="S58"/>
  <c r="R57"/>
  <c r="Q57"/>
  <c r="S56"/>
  <c r="S55"/>
  <c r="R54"/>
  <c r="Q54"/>
  <c r="S52"/>
  <c r="S51"/>
  <c r="R50"/>
  <c r="Q50"/>
  <c r="S49"/>
  <c r="S48"/>
  <c r="R47"/>
  <c r="Q47"/>
  <c r="S46"/>
  <c r="S45"/>
  <c r="R44"/>
  <c r="Q44"/>
  <c r="S43"/>
  <c r="S42"/>
  <c r="R41"/>
  <c r="Q41"/>
  <c r="S40"/>
  <c r="S39"/>
  <c r="R38"/>
  <c r="Q38"/>
  <c r="S37"/>
  <c r="S36"/>
  <c r="R35"/>
  <c r="Q35"/>
  <c r="S34"/>
  <c r="S33"/>
  <c r="R32"/>
  <c r="Q32"/>
  <c r="S30"/>
  <c r="S29"/>
  <c r="R28"/>
  <c r="Q28"/>
  <c r="S27"/>
  <c r="S26"/>
  <c r="R25"/>
  <c r="Q25"/>
  <c r="S24"/>
  <c r="S23"/>
  <c r="R22"/>
  <c r="Q22"/>
  <c r="S21"/>
  <c r="S20"/>
  <c r="R19"/>
  <c r="Q19"/>
  <c r="S18"/>
  <c r="S17"/>
  <c r="R16"/>
  <c r="Q16"/>
  <c r="S15"/>
  <c r="S14"/>
  <c r="R13"/>
  <c r="Q13"/>
  <c r="O544"/>
  <c r="P544" s="1"/>
  <c r="P542"/>
  <c r="P541"/>
  <c r="P540"/>
  <c r="P539"/>
  <c r="P538"/>
  <c r="O537"/>
  <c r="N537"/>
  <c r="P536"/>
  <c r="P535"/>
  <c r="P534"/>
  <c r="P533"/>
  <c r="P532"/>
  <c r="O531"/>
  <c r="N531"/>
  <c r="P530"/>
  <c r="P528"/>
  <c r="P526"/>
  <c r="P525"/>
  <c r="O524"/>
  <c r="N524"/>
  <c r="P522"/>
  <c r="P521"/>
  <c r="P520"/>
  <c r="P519"/>
  <c r="P516"/>
  <c r="P515"/>
  <c r="P512"/>
  <c r="P508"/>
  <c r="P395"/>
  <c r="O352"/>
  <c r="P309"/>
  <c r="P308"/>
  <c r="P307"/>
  <c r="O306"/>
  <c r="N306"/>
  <c r="P305"/>
  <c r="P304"/>
  <c r="O303"/>
  <c r="N303"/>
  <c r="P302"/>
  <c r="P301"/>
  <c r="O300"/>
  <c r="N300"/>
  <c r="P299"/>
  <c r="P298"/>
  <c r="O297"/>
  <c r="N297"/>
  <c r="P296"/>
  <c r="P295"/>
  <c r="O294"/>
  <c r="N294"/>
  <c r="P293"/>
  <c r="P292"/>
  <c r="O291"/>
  <c r="N291"/>
  <c r="P290"/>
  <c r="P289"/>
  <c r="O288"/>
  <c r="N288"/>
  <c r="P287"/>
  <c r="P286"/>
  <c r="O285"/>
  <c r="N285"/>
  <c r="P284"/>
  <c r="P283"/>
  <c r="O282"/>
  <c r="N282"/>
  <c r="P281"/>
  <c r="P280"/>
  <c r="O279"/>
  <c r="N279"/>
  <c r="P278"/>
  <c r="P277"/>
  <c r="O276"/>
  <c r="N276"/>
  <c r="P275"/>
  <c r="P274"/>
  <c r="O273"/>
  <c r="N273"/>
  <c r="P272"/>
  <c r="P271"/>
  <c r="O270"/>
  <c r="N270"/>
  <c r="P269"/>
  <c r="P268"/>
  <c r="O267"/>
  <c r="N267"/>
  <c r="P266"/>
  <c r="P265"/>
  <c r="O264"/>
  <c r="N264"/>
  <c r="P263"/>
  <c r="P262"/>
  <c r="O261"/>
  <c r="N261"/>
  <c r="P260"/>
  <c r="P259"/>
  <c r="O258"/>
  <c r="N258"/>
  <c r="P257"/>
  <c r="P256"/>
  <c r="O255"/>
  <c r="N255"/>
  <c r="P254"/>
  <c r="P253"/>
  <c r="O252"/>
  <c r="N252"/>
  <c r="P251"/>
  <c r="P250"/>
  <c r="O249"/>
  <c r="N249"/>
  <c r="P248"/>
  <c r="P247"/>
  <c r="O246"/>
  <c r="N246"/>
  <c r="P245"/>
  <c r="P244"/>
  <c r="O243"/>
  <c r="N243"/>
  <c r="P242"/>
  <c r="P241"/>
  <c r="O240"/>
  <c r="N240"/>
  <c r="P239"/>
  <c r="P238"/>
  <c r="O237"/>
  <c r="N237"/>
  <c r="P236"/>
  <c r="P235"/>
  <c r="O234"/>
  <c r="N234"/>
  <c r="P233"/>
  <c r="P232"/>
  <c r="O231"/>
  <c r="N231"/>
  <c r="P230"/>
  <c r="P229"/>
  <c r="O228"/>
  <c r="N228"/>
  <c r="P227"/>
  <c r="P226"/>
  <c r="O225"/>
  <c r="N225"/>
  <c r="P224"/>
  <c r="P223"/>
  <c r="O222"/>
  <c r="N222"/>
  <c r="P221"/>
  <c r="P220"/>
  <c r="O219"/>
  <c r="N219"/>
  <c r="P218"/>
  <c r="P217"/>
  <c r="O216"/>
  <c r="N216"/>
  <c r="P215"/>
  <c r="P214"/>
  <c r="O213"/>
  <c r="N213"/>
  <c r="P212"/>
  <c r="P211"/>
  <c r="O210"/>
  <c r="N210"/>
  <c r="P209"/>
  <c r="P208"/>
  <c r="O207"/>
  <c r="N207"/>
  <c r="P206"/>
  <c r="P205"/>
  <c r="O204"/>
  <c r="N204"/>
  <c r="P203"/>
  <c r="P202"/>
  <c r="O201"/>
  <c r="N201"/>
  <c r="P200"/>
  <c r="P199"/>
  <c r="O198"/>
  <c r="N198"/>
  <c r="P197"/>
  <c r="P196"/>
  <c r="O195"/>
  <c r="N195"/>
  <c r="P194"/>
  <c r="P193"/>
  <c r="O192"/>
  <c r="N192"/>
  <c r="P191"/>
  <c r="P190"/>
  <c r="O189"/>
  <c r="N189"/>
  <c r="P188"/>
  <c r="P187"/>
  <c r="O186"/>
  <c r="N186"/>
  <c r="P185"/>
  <c r="P184"/>
  <c r="O183"/>
  <c r="N183"/>
  <c r="P182"/>
  <c r="P181"/>
  <c r="O180"/>
  <c r="N180"/>
  <c r="P179"/>
  <c r="P178"/>
  <c r="O177"/>
  <c r="N177"/>
  <c r="P176"/>
  <c r="P175"/>
  <c r="O174"/>
  <c r="N174"/>
  <c r="P173"/>
  <c r="P172"/>
  <c r="O171"/>
  <c r="N171"/>
  <c r="P170"/>
  <c r="P169"/>
  <c r="O168"/>
  <c r="N168"/>
  <c r="P167"/>
  <c r="P166"/>
  <c r="O165"/>
  <c r="N165"/>
  <c r="P164"/>
  <c r="P163"/>
  <c r="O162"/>
  <c r="N162"/>
  <c r="P161"/>
  <c r="P160"/>
  <c r="O159"/>
  <c r="N159"/>
  <c r="P158"/>
  <c r="P157"/>
  <c r="O156"/>
  <c r="N156"/>
  <c r="P155"/>
  <c r="P154"/>
  <c r="O153"/>
  <c r="N153"/>
  <c r="P152"/>
  <c r="P151"/>
  <c r="O150"/>
  <c r="N150"/>
  <c r="P149"/>
  <c r="P148"/>
  <c r="O147"/>
  <c r="N147"/>
  <c r="P146"/>
  <c r="P145"/>
  <c r="O144"/>
  <c r="N144"/>
  <c r="P143"/>
  <c r="P142"/>
  <c r="O141"/>
  <c r="N141"/>
  <c r="P140"/>
  <c r="P139"/>
  <c r="O138"/>
  <c r="N138"/>
  <c r="P137"/>
  <c r="P136"/>
  <c r="O135"/>
  <c r="N135"/>
  <c r="P134"/>
  <c r="P133"/>
  <c r="O132"/>
  <c r="N132"/>
  <c r="P131"/>
  <c r="P130"/>
  <c r="O129"/>
  <c r="N129"/>
  <c r="P128"/>
  <c r="P127"/>
  <c r="O126"/>
  <c r="N126"/>
  <c r="P125"/>
  <c r="P124"/>
  <c r="O123"/>
  <c r="N123"/>
  <c r="P122"/>
  <c r="P121"/>
  <c r="O120"/>
  <c r="N120"/>
  <c r="P119"/>
  <c r="P118"/>
  <c r="O117"/>
  <c r="N117"/>
  <c r="P116"/>
  <c r="P115"/>
  <c r="O114"/>
  <c r="N114"/>
  <c r="P113"/>
  <c r="P112"/>
  <c r="O111"/>
  <c r="N111"/>
  <c r="P110"/>
  <c r="P109"/>
  <c r="O108"/>
  <c r="N108"/>
  <c r="P107"/>
  <c r="P106"/>
  <c r="O105"/>
  <c r="N105"/>
  <c r="P104"/>
  <c r="P103"/>
  <c r="O102"/>
  <c r="N102"/>
  <c r="P101"/>
  <c r="P100"/>
  <c r="O99"/>
  <c r="N99"/>
  <c r="P98"/>
  <c r="P97"/>
  <c r="O96"/>
  <c r="N96"/>
  <c r="P95"/>
  <c r="P94"/>
  <c r="O93"/>
  <c r="N93"/>
  <c r="P92"/>
  <c r="P91"/>
  <c r="O90"/>
  <c r="N90"/>
  <c r="P89"/>
  <c r="P88"/>
  <c r="O87"/>
  <c r="N87"/>
  <c r="P86"/>
  <c r="P85"/>
  <c r="O84"/>
  <c r="N84"/>
  <c r="P83"/>
  <c r="P82"/>
  <c r="O81"/>
  <c r="N81"/>
  <c r="P80"/>
  <c r="P79"/>
  <c r="O78"/>
  <c r="N78"/>
  <c r="P77"/>
  <c r="P76"/>
  <c r="O75"/>
  <c r="N75"/>
  <c r="P74"/>
  <c r="P73"/>
  <c r="O72"/>
  <c r="N72"/>
  <c r="P71"/>
  <c r="P70"/>
  <c r="O69"/>
  <c r="N69"/>
  <c r="P68"/>
  <c r="P67"/>
  <c r="O66"/>
  <c r="N66"/>
  <c r="P65"/>
  <c r="P64"/>
  <c r="O63"/>
  <c r="N63"/>
  <c r="P62"/>
  <c r="P61"/>
  <c r="O60"/>
  <c r="N60"/>
  <c r="P59"/>
  <c r="P58"/>
  <c r="O57"/>
  <c r="N57"/>
  <c r="P56"/>
  <c r="P55"/>
  <c r="O54"/>
  <c r="N54"/>
  <c r="P52"/>
  <c r="P51"/>
  <c r="O50"/>
  <c r="N50"/>
  <c r="P49"/>
  <c r="P48"/>
  <c r="O47"/>
  <c r="N47"/>
  <c r="P46"/>
  <c r="P45"/>
  <c r="O44"/>
  <c r="N44"/>
  <c r="P43"/>
  <c r="P42"/>
  <c r="O41"/>
  <c r="N41"/>
  <c r="P40"/>
  <c r="P39"/>
  <c r="O38"/>
  <c r="N38"/>
  <c r="P37"/>
  <c r="P36"/>
  <c r="O35"/>
  <c r="N35"/>
  <c r="P34"/>
  <c r="P33"/>
  <c r="O32"/>
  <c r="N32"/>
  <c r="P30"/>
  <c r="P29"/>
  <c r="O28"/>
  <c r="N28"/>
  <c r="P27"/>
  <c r="P26"/>
  <c r="O25"/>
  <c r="N25"/>
  <c r="P24"/>
  <c r="P23"/>
  <c r="O22"/>
  <c r="N22"/>
  <c r="P21"/>
  <c r="P20"/>
  <c r="O19"/>
  <c r="N19"/>
  <c r="P18"/>
  <c r="P17"/>
  <c r="O16"/>
  <c r="N16"/>
  <c r="P15"/>
  <c r="P14"/>
  <c r="O13"/>
  <c r="N13"/>
  <c r="L544"/>
  <c r="M544" s="1"/>
  <c r="M542"/>
  <c r="M541"/>
  <c r="M540"/>
  <c r="M539"/>
  <c r="M538"/>
  <c r="L537"/>
  <c r="K537"/>
  <c r="M536"/>
  <c r="M535"/>
  <c r="M534"/>
  <c r="M533"/>
  <c r="M532"/>
  <c r="L531"/>
  <c r="K531"/>
  <c r="M530"/>
  <c r="M528"/>
  <c r="M526"/>
  <c r="M525"/>
  <c r="L524"/>
  <c r="K524"/>
  <c r="M522"/>
  <c r="M521"/>
  <c r="M520"/>
  <c r="M519"/>
  <c r="M516"/>
  <c r="M515"/>
  <c r="M512"/>
  <c r="M508"/>
  <c r="M395"/>
  <c r="L352"/>
  <c r="M309"/>
  <c r="M308"/>
  <c r="M307"/>
  <c r="L306"/>
  <c r="K306"/>
  <c r="M305"/>
  <c r="M304"/>
  <c r="L303"/>
  <c r="K303"/>
  <c r="M302"/>
  <c r="M301"/>
  <c r="L300"/>
  <c r="K300"/>
  <c r="M299"/>
  <c r="M298"/>
  <c r="L297"/>
  <c r="K297"/>
  <c r="M296"/>
  <c r="M295"/>
  <c r="L294"/>
  <c r="K294"/>
  <c r="M293"/>
  <c r="M292"/>
  <c r="L291"/>
  <c r="K291"/>
  <c r="M290"/>
  <c r="M289"/>
  <c r="L288"/>
  <c r="K288"/>
  <c r="M287"/>
  <c r="M286"/>
  <c r="L285"/>
  <c r="K285"/>
  <c r="M284"/>
  <c r="M283"/>
  <c r="L282"/>
  <c r="K282"/>
  <c r="M281"/>
  <c r="M280"/>
  <c r="L279"/>
  <c r="K279"/>
  <c r="M278"/>
  <c r="M277"/>
  <c r="L276"/>
  <c r="K276"/>
  <c r="M275"/>
  <c r="M274"/>
  <c r="L273"/>
  <c r="K273"/>
  <c r="M272"/>
  <c r="M271"/>
  <c r="L270"/>
  <c r="K270"/>
  <c r="M269"/>
  <c r="M268"/>
  <c r="L267"/>
  <c r="K267"/>
  <c r="M266"/>
  <c r="M265"/>
  <c r="L264"/>
  <c r="K264"/>
  <c r="M263"/>
  <c r="M262"/>
  <c r="L261"/>
  <c r="K261"/>
  <c r="M260"/>
  <c r="M259"/>
  <c r="L258"/>
  <c r="K258"/>
  <c r="M257"/>
  <c r="M256"/>
  <c r="L255"/>
  <c r="K255"/>
  <c r="M254"/>
  <c r="M253"/>
  <c r="L252"/>
  <c r="K252"/>
  <c r="M251"/>
  <c r="M250"/>
  <c r="L249"/>
  <c r="K249"/>
  <c r="M248"/>
  <c r="M247"/>
  <c r="L246"/>
  <c r="K246"/>
  <c r="M245"/>
  <c r="M244"/>
  <c r="L243"/>
  <c r="K243"/>
  <c r="M242"/>
  <c r="M241"/>
  <c r="L240"/>
  <c r="K240"/>
  <c r="M239"/>
  <c r="M238"/>
  <c r="L237"/>
  <c r="K237"/>
  <c r="M236"/>
  <c r="M235"/>
  <c r="L234"/>
  <c r="K234"/>
  <c r="M233"/>
  <c r="M232"/>
  <c r="L231"/>
  <c r="K231"/>
  <c r="M230"/>
  <c r="M229"/>
  <c r="L228"/>
  <c r="K228"/>
  <c r="M227"/>
  <c r="M226"/>
  <c r="L225"/>
  <c r="K225"/>
  <c r="M224"/>
  <c r="M223"/>
  <c r="L222"/>
  <c r="K222"/>
  <c r="M221"/>
  <c r="M220"/>
  <c r="L219"/>
  <c r="K219"/>
  <c r="M218"/>
  <c r="M217"/>
  <c r="L216"/>
  <c r="K216"/>
  <c r="M215"/>
  <c r="M214"/>
  <c r="L213"/>
  <c r="K213"/>
  <c r="M212"/>
  <c r="M211"/>
  <c r="L210"/>
  <c r="K210"/>
  <c r="M209"/>
  <c r="M208"/>
  <c r="L207"/>
  <c r="K207"/>
  <c r="M206"/>
  <c r="M205"/>
  <c r="L204"/>
  <c r="K204"/>
  <c r="M203"/>
  <c r="M202"/>
  <c r="L201"/>
  <c r="K201"/>
  <c r="M200"/>
  <c r="M199"/>
  <c r="L198"/>
  <c r="K198"/>
  <c r="M197"/>
  <c r="M196"/>
  <c r="L195"/>
  <c r="K195"/>
  <c r="M194"/>
  <c r="M193"/>
  <c r="L192"/>
  <c r="K192"/>
  <c r="M191"/>
  <c r="M190"/>
  <c r="L189"/>
  <c r="K189"/>
  <c r="M188"/>
  <c r="M187"/>
  <c r="L186"/>
  <c r="K186"/>
  <c r="M185"/>
  <c r="M184"/>
  <c r="L183"/>
  <c r="K183"/>
  <c r="M182"/>
  <c r="M181"/>
  <c r="L180"/>
  <c r="K180"/>
  <c r="M179"/>
  <c r="M178"/>
  <c r="L177"/>
  <c r="K177"/>
  <c r="M176"/>
  <c r="M175"/>
  <c r="L174"/>
  <c r="K174"/>
  <c r="M173"/>
  <c r="M172"/>
  <c r="L171"/>
  <c r="K171"/>
  <c r="M170"/>
  <c r="M169"/>
  <c r="L168"/>
  <c r="K168"/>
  <c r="M167"/>
  <c r="M166"/>
  <c r="L165"/>
  <c r="K165"/>
  <c r="M164"/>
  <c r="M163"/>
  <c r="L162"/>
  <c r="K162"/>
  <c r="M161"/>
  <c r="M160"/>
  <c r="L159"/>
  <c r="K159"/>
  <c r="M158"/>
  <c r="M157"/>
  <c r="L156"/>
  <c r="K156"/>
  <c r="M155"/>
  <c r="M154"/>
  <c r="L153"/>
  <c r="K153"/>
  <c r="M152"/>
  <c r="M151"/>
  <c r="L150"/>
  <c r="K150"/>
  <c r="M149"/>
  <c r="M148"/>
  <c r="L147"/>
  <c r="K147"/>
  <c r="M146"/>
  <c r="M145"/>
  <c r="L144"/>
  <c r="K144"/>
  <c r="M143"/>
  <c r="M142"/>
  <c r="L141"/>
  <c r="K141"/>
  <c r="M140"/>
  <c r="M139"/>
  <c r="L138"/>
  <c r="K138"/>
  <c r="M137"/>
  <c r="M136"/>
  <c r="L135"/>
  <c r="K135"/>
  <c r="M134"/>
  <c r="M133"/>
  <c r="L132"/>
  <c r="K132"/>
  <c r="M131"/>
  <c r="M130"/>
  <c r="L129"/>
  <c r="K129"/>
  <c r="M128"/>
  <c r="M127"/>
  <c r="L126"/>
  <c r="K126"/>
  <c r="M125"/>
  <c r="M124"/>
  <c r="L123"/>
  <c r="K123"/>
  <c r="M122"/>
  <c r="M121"/>
  <c r="L120"/>
  <c r="K120"/>
  <c r="M119"/>
  <c r="M118"/>
  <c r="L117"/>
  <c r="K117"/>
  <c r="M116"/>
  <c r="M115"/>
  <c r="L114"/>
  <c r="K114"/>
  <c r="M113"/>
  <c r="M112"/>
  <c r="L111"/>
  <c r="K111"/>
  <c r="M110"/>
  <c r="M109"/>
  <c r="L108"/>
  <c r="K108"/>
  <c r="M107"/>
  <c r="M106"/>
  <c r="L105"/>
  <c r="K105"/>
  <c r="M104"/>
  <c r="M103"/>
  <c r="L102"/>
  <c r="K102"/>
  <c r="M101"/>
  <c r="M100"/>
  <c r="L99"/>
  <c r="K99"/>
  <c r="M98"/>
  <c r="M97"/>
  <c r="L96"/>
  <c r="K96"/>
  <c r="M95"/>
  <c r="M94"/>
  <c r="L93"/>
  <c r="K93"/>
  <c r="M92"/>
  <c r="M91"/>
  <c r="L90"/>
  <c r="K90"/>
  <c r="M89"/>
  <c r="M88"/>
  <c r="L87"/>
  <c r="K87"/>
  <c r="M86"/>
  <c r="M85"/>
  <c r="L84"/>
  <c r="K84"/>
  <c r="M83"/>
  <c r="M82"/>
  <c r="L81"/>
  <c r="K81"/>
  <c r="M80"/>
  <c r="M79"/>
  <c r="L78"/>
  <c r="K78"/>
  <c r="M77"/>
  <c r="M76"/>
  <c r="L75"/>
  <c r="K75"/>
  <c r="M74"/>
  <c r="M73"/>
  <c r="L72"/>
  <c r="K72"/>
  <c r="M71"/>
  <c r="M70"/>
  <c r="L69"/>
  <c r="K69"/>
  <c r="M68"/>
  <c r="M67"/>
  <c r="L66"/>
  <c r="K66"/>
  <c r="M65"/>
  <c r="M64"/>
  <c r="L63"/>
  <c r="K63"/>
  <c r="M62"/>
  <c r="M61"/>
  <c r="L60"/>
  <c r="K60"/>
  <c r="M59"/>
  <c r="M58"/>
  <c r="L57"/>
  <c r="K57"/>
  <c r="M56"/>
  <c r="M55"/>
  <c r="L54"/>
  <c r="K54"/>
  <c r="M52"/>
  <c r="M51"/>
  <c r="L50"/>
  <c r="K50"/>
  <c r="M49"/>
  <c r="M48"/>
  <c r="L47"/>
  <c r="K47"/>
  <c r="M46"/>
  <c r="M45"/>
  <c r="L44"/>
  <c r="K44"/>
  <c r="M43"/>
  <c r="M42"/>
  <c r="L41"/>
  <c r="K41"/>
  <c r="M40"/>
  <c r="M39"/>
  <c r="L38"/>
  <c r="K38"/>
  <c r="M37"/>
  <c r="M36"/>
  <c r="L35"/>
  <c r="K35"/>
  <c r="M34"/>
  <c r="M33"/>
  <c r="L32"/>
  <c r="K32"/>
  <c r="M30"/>
  <c r="M29"/>
  <c r="L28"/>
  <c r="K28"/>
  <c r="M27"/>
  <c r="M26"/>
  <c r="L25"/>
  <c r="K25"/>
  <c r="M24"/>
  <c r="M23"/>
  <c r="L22"/>
  <c r="K22"/>
  <c r="M21"/>
  <c r="M20"/>
  <c r="L19"/>
  <c r="K19"/>
  <c r="M18"/>
  <c r="M17"/>
  <c r="L16"/>
  <c r="K16"/>
  <c r="M15"/>
  <c r="M14"/>
  <c r="L13"/>
  <c r="K13"/>
  <c r="I544"/>
  <c r="J544" s="1"/>
  <c r="J542"/>
  <c r="J541"/>
  <c r="J540"/>
  <c r="J539"/>
  <c r="J538"/>
  <c r="I537"/>
  <c r="H537"/>
  <c r="J536"/>
  <c r="J535"/>
  <c r="J534"/>
  <c r="J533"/>
  <c r="J532"/>
  <c r="H531"/>
  <c r="J530"/>
  <c r="J528"/>
  <c r="H527"/>
  <c r="J526"/>
  <c r="J525"/>
  <c r="I524"/>
  <c r="H524"/>
  <c r="J522"/>
  <c r="J521"/>
  <c r="J520"/>
  <c r="J519"/>
  <c r="J516"/>
  <c r="J515"/>
  <c r="H514"/>
  <c r="H513" s="1"/>
  <c r="J512"/>
  <c r="J508"/>
  <c r="I306"/>
  <c r="H306"/>
  <c r="J306" s="1"/>
  <c r="I303"/>
  <c r="H303"/>
  <c r="J303" s="1"/>
  <c r="I300"/>
  <c r="H300"/>
  <c r="J300" s="1"/>
  <c r="I297"/>
  <c r="H297"/>
  <c r="J297" s="1"/>
  <c r="I294"/>
  <c r="H294"/>
  <c r="J294" s="1"/>
  <c r="I291"/>
  <c r="H291"/>
  <c r="J291" s="1"/>
  <c r="I288"/>
  <c r="H288"/>
  <c r="J288" s="1"/>
  <c r="I285"/>
  <c r="H285"/>
  <c r="J285" s="1"/>
  <c r="I282"/>
  <c r="H282"/>
  <c r="J282" s="1"/>
  <c r="I279"/>
  <c r="H279"/>
  <c r="J279" s="1"/>
  <c r="I276"/>
  <c r="H276"/>
  <c r="J276" s="1"/>
  <c r="I273"/>
  <c r="H273"/>
  <c r="J273" s="1"/>
  <c r="I270"/>
  <c r="H270"/>
  <c r="J270" s="1"/>
  <c r="I267"/>
  <c r="H267"/>
  <c r="J267" s="1"/>
  <c r="I264"/>
  <c r="H264"/>
  <c r="J264" s="1"/>
  <c r="I261"/>
  <c r="H261"/>
  <c r="J261" s="1"/>
  <c r="I258"/>
  <c r="H258"/>
  <c r="J258" s="1"/>
  <c r="I255"/>
  <c r="H255"/>
  <c r="J255" s="1"/>
  <c r="I252"/>
  <c r="H252"/>
  <c r="J252" s="1"/>
  <c r="I249"/>
  <c r="H249"/>
  <c r="J249" s="1"/>
  <c r="I246"/>
  <c r="H246"/>
  <c r="J246" s="1"/>
  <c r="I243"/>
  <c r="H243"/>
  <c r="J243" s="1"/>
  <c r="I240"/>
  <c r="H240"/>
  <c r="J240" s="1"/>
  <c r="I237"/>
  <c r="H237"/>
  <c r="J237" s="1"/>
  <c r="I234"/>
  <c r="H234"/>
  <c r="J234" s="1"/>
  <c r="I231"/>
  <c r="H231"/>
  <c r="J231" s="1"/>
  <c r="I228"/>
  <c r="H228"/>
  <c r="J228" s="1"/>
  <c r="I225"/>
  <c r="H225"/>
  <c r="J225" s="1"/>
  <c r="I222"/>
  <c r="H222"/>
  <c r="J222" s="1"/>
  <c r="I219"/>
  <c r="H219"/>
  <c r="J219" s="1"/>
  <c r="I216"/>
  <c r="H216"/>
  <c r="J216" s="1"/>
  <c r="I213"/>
  <c r="H213"/>
  <c r="J213" s="1"/>
  <c r="I210"/>
  <c r="H210"/>
  <c r="J210" s="1"/>
  <c r="I207"/>
  <c r="H207"/>
  <c r="J207" s="1"/>
  <c r="I204"/>
  <c r="H204"/>
  <c r="J204" s="1"/>
  <c r="I201"/>
  <c r="H201"/>
  <c r="J201" s="1"/>
  <c r="I198"/>
  <c r="H198"/>
  <c r="J198" s="1"/>
  <c r="I195"/>
  <c r="H195"/>
  <c r="J195" s="1"/>
  <c r="I192"/>
  <c r="H192"/>
  <c r="J192" s="1"/>
  <c r="I189"/>
  <c r="H189"/>
  <c r="J189" s="1"/>
  <c r="I186"/>
  <c r="H186"/>
  <c r="J186" s="1"/>
  <c r="I183"/>
  <c r="H183"/>
  <c r="J183" s="1"/>
  <c r="I180"/>
  <c r="H180"/>
  <c r="J180" s="1"/>
  <c r="I177"/>
  <c r="H177"/>
  <c r="J177" s="1"/>
  <c r="I174"/>
  <c r="H174"/>
  <c r="J174" s="1"/>
  <c r="I171"/>
  <c r="H171"/>
  <c r="J171" s="1"/>
  <c r="I168"/>
  <c r="H168"/>
  <c r="J168" s="1"/>
  <c r="I165"/>
  <c r="H165"/>
  <c r="J165" s="1"/>
  <c r="I162"/>
  <c r="H162"/>
  <c r="J162" s="1"/>
  <c r="I159"/>
  <c r="H159"/>
  <c r="J159" s="1"/>
  <c r="I156"/>
  <c r="H156"/>
  <c r="J156" s="1"/>
  <c r="I153"/>
  <c r="H153"/>
  <c r="J153" s="1"/>
  <c r="I150"/>
  <c r="H150"/>
  <c r="J150" s="1"/>
  <c r="I147"/>
  <c r="H147"/>
  <c r="J147" s="1"/>
  <c r="I144"/>
  <c r="H144"/>
  <c r="J144" s="1"/>
  <c r="I141"/>
  <c r="H141"/>
  <c r="J141" s="1"/>
  <c r="I138"/>
  <c r="H138"/>
  <c r="J138" s="1"/>
  <c r="I135"/>
  <c r="H135"/>
  <c r="J135" s="1"/>
  <c r="I132"/>
  <c r="H132"/>
  <c r="J132" s="1"/>
  <c r="I129"/>
  <c r="H129"/>
  <c r="J129" s="1"/>
  <c r="I126"/>
  <c r="H126"/>
  <c r="J126" s="1"/>
  <c r="I123"/>
  <c r="H123"/>
  <c r="J123" s="1"/>
  <c r="I120"/>
  <c r="H120"/>
  <c r="J120" s="1"/>
  <c r="I117"/>
  <c r="H117"/>
  <c r="J117" s="1"/>
  <c r="I114"/>
  <c r="H114"/>
  <c r="J114" s="1"/>
  <c r="I111"/>
  <c r="H111"/>
  <c r="J111" s="1"/>
  <c r="I108"/>
  <c r="H108"/>
  <c r="J108" s="1"/>
  <c r="I105"/>
  <c r="H105"/>
  <c r="J105" s="1"/>
  <c r="I102"/>
  <c r="H102"/>
  <c r="J102" s="1"/>
  <c r="I99"/>
  <c r="H99"/>
  <c r="J99" s="1"/>
  <c r="I96"/>
  <c r="H96"/>
  <c r="J96" s="1"/>
  <c r="I93"/>
  <c r="H93"/>
  <c r="J93" s="1"/>
  <c r="I90"/>
  <c r="H90"/>
  <c r="J90" s="1"/>
  <c r="I87"/>
  <c r="H87"/>
  <c r="J87" s="1"/>
  <c r="I84"/>
  <c r="H84"/>
  <c r="J84" s="1"/>
  <c r="I81"/>
  <c r="H81"/>
  <c r="J81" s="1"/>
  <c r="I78"/>
  <c r="H78"/>
  <c r="J78" s="1"/>
  <c r="I75"/>
  <c r="H75"/>
  <c r="J75" s="1"/>
  <c r="I72"/>
  <c r="H72"/>
  <c r="J72" s="1"/>
  <c r="I69"/>
  <c r="H69"/>
  <c r="J69" s="1"/>
  <c r="I66"/>
  <c r="H66"/>
  <c r="J66" s="1"/>
  <c r="I63"/>
  <c r="H63"/>
  <c r="J63" s="1"/>
  <c r="I60"/>
  <c r="H60"/>
  <c r="J60" s="1"/>
  <c r="I57"/>
  <c r="H57"/>
  <c r="J57" s="1"/>
  <c r="I54"/>
  <c r="H54"/>
  <c r="J54" s="1"/>
  <c r="I50"/>
  <c r="H50"/>
  <c r="J50" s="1"/>
  <c r="I47"/>
  <c r="H47"/>
  <c r="J47" s="1"/>
  <c r="I44"/>
  <c r="H44"/>
  <c r="J44" s="1"/>
  <c r="I41"/>
  <c r="H41"/>
  <c r="J41" s="1"/>
  <c r="I38"/>
  <c r="H38"/>
  <c r="J38" s="1"/>
  <c r="I35"/>
  <c r="H35"/>
  <c r="J35" s="1"/>
  <c r="I32"/>
  <c r="H32"/>
  <c r="J32" s="1"/>
  <c r="I28"/>
  <c r="H28"/>
  <c r="J28" s="1"/>
  <c r="I25"/>
  <c r="H25"/>
  <c r="J25" s="1"/>
  <c r="I22"/>
  <c r="H22"/>
  <c r="J22" s="1"/>
  <c r="I19"/>
  <c r="H19"/>
  <c r="J19" s="1"/>
  <c r="I16"/>
  <c r="H16"/>
  <c r="J16" s="1"/>
  <c r="I13"/>
  <c r="H13"/>
  <c r="J13" s="1"/>
  <c r="E544"/>
  <c r="F544" s="1"/>
  <c r="G544" s="1"/>
  <c r="G542"/>
  <c r="G541"/>
  <c r="G540"/>
  <c r="G539"/>
  <c r="G538"/>
  <c r="F537"/>
  <c r="E537"/>
  <c r="G536"/>
  <c r="G535"/>
  <c r="G534"/>
  <c r="G533"/>
  <c r="G532"/>
  <c r="F531"/>
  <c r="E531"/>
  <c r="G530"/>
  <c r="G529"/>
  <c r="G528"/>
  <c r="F527"/>
  <c r="E527"/>
  <c r="G526"/>
  <c r="G525"/>
  <c r="F524"/>
  <c r="E524"/>
  <c r="G522"/>
  <c r="G521"/>
  <c r="G520"/>
  <c r="G519"/>
  <c r="G518"/>
  <c r="G517"/>
  <c r="G516"/>
  <c r="G515"/>
  <c r="F514"/>
  <c r="E514"/>
  <c r="E513" s="1"/>
  <c r="E510" s="1"/>
  <c r="E509" s="1"/>
  <c r="G512"/>
  <c r="G511"/>
  <c r="F508"/>
  <c r="G508" s="1"/>
  <c r="G507"/>
  <c r="F506"/>
  <c r="E506"/>
  <c r="G505"/>
  <c r="G504"/>
  <c r="F503"/>
  <c r="E503"/>
  <c r="G502"/>
  <c r="G501"/>
  <c r="G500"/>
  <c r="F499"/>
  <c r="E499"/>
  <c r="G498"/>
  <c r="G497"/>
  <c r="G496"/>
  <c r="F495"/>
  <c r="E495"/>
  <c r="G494"/>
  <c r="G493"/>
  <c r="G492"/>
  <c r="G491"/>
  <c r="G490"/>
  <c r="F489"/>
  <c r="E489"/>
  <c r="G488"/>
  <c r="G487"/>
  <c r="G486"/>
  <c r="G485"/>
  <c r="G484"/>
  <c r="F483"/>
  <c r="F479" s="1"/>
  <c r="E483"/>
  <c r="G482"/>
  <c r="G481"/>
  <c r="G480"/>
  <c r="G478"/>
  <c r="G477"/>
  <c r="G476"/>
  <c r="F475"/>
  <c r="E475"/>
  <c r="G474"/>
  <c r="G473"/>
  <c r="F472"/>
  <c r="E472"/>
  <c r="G471"/>
  <c r="G470"/>
  <c r="G469"/>
  <c r="F468"/>
  <c r="G467"/>
  <c r="E466"/>
  <c r="F465"/>
  <c r="G465" s="1"/>
  <c r="G464"/>
  <c r="E463"/>
  <c r="G462"/>
  <c r="G461"/>
  <c r="G460"/>
  <c r="F459"/>
  <c r="E459"/>
  <c r="G458"/>
  <c r="G457"/>
  <c r="G456"/>
  <c r="F455"/>
  <c r="E455"/>
  <c r="G454"/>
  <c r="G453"/>
  <c r="F452"/>
  <c r="E452"/>
  <c r="G451"/>
  <c r="G450"/>
  <c r="F449"/>
  <c r="F448" s="1"/>
  <c r="E449"/>
  <c r="G445"/>
  <c r="G444"/>
  <c r="F443"/>
  <c r="E443"/>
  <c r="G442"/>
  <c r="G441"/>
  <c r="F440"/>
  <c r="E440"/>
  <c r="G439"/>
  <c r="G438"/>
  <c r="F437"/>
  <c r="E437"/>
  <c r="G436"/>
  <c r="G435"/>
  <c r="F434"/>
  <c r="E434"/>
  <c r="G433"/>
  <c r="G432"/>
  <c r="F431"/>
  <c r="E431"/>
  <c r="G429"/>
  <c r="G428"/>
  <c r="F427"/>
  <c r="E427"/>
  <c r="G426"/>
  <c r="G425"/>
  <c r="F424"/>
  <c r="E424"/>
  <c r="G423"/>
  <c r="G422"/>
  <c r="F421"/>
  <c r="E421"/>
  <c r="G420"/>
  <c r="G419"/>
  <c r="F418"/>
  <c r="E418"/>
  <c r="G417"/>
  <c r="G416"/>
  <c r="F415"/>
  <c r="E415"/>
  <c r="G412"/>
  <c r="G411"/>
  <c r="F410"/>
  <c r="E410"/>
  <c r="G409"/>
  <c r="G408"/>
  <c r="F407"/>
  <c r="E407"/>
  <c r="G406"/>
  <c r="G405"/>
  <c r="F404"/>
  <c r="E404"/>
  <c r="G403"/>
  <c r="G402"/>
  <c r="F401"/>
  <c r="E401"/>
  <c r="G400"/>
  <c r="G399"/>
  <c r="F398"/>
  <c r="F397" s="1"/>
  <c r="E398"/>
  <c r="G395"/>
  <c r="F394"/>
  <c r="E394"/>
  <c r="G393"/>
  <c r="G392"/>
  <c r="F391"/>
  <c r="E391"/>
  <c r="G390"/>
  <c r="G389"/>
  <c r="G388"/>
  <c r="G387"/>
  <c r="G386"/>
  <c r="G385"/>
  <c r="G384"/>
  <c r="G383"/>
  <c r="F382"/>
  <c r="E381"/>
  <c r="G379"/>
  <c r="G378"/>
  <c r="G374"/>
  <c r="G373"/>
  <c r="G372"/>
  <c r="G371"/>
  <c r="G370"/>
  <c r="G369"/>
  <c r="F368"/>
  <c r="E368"/>
  <c r="G366"/>
  <c r="G365"/>
  <c r="G364"/>
  <c r="G363"/>
  <c r="G362"/>
  <c r="F361"/>
  <c r="E360"/>
  <c r="G358"/>
  <c r="G354"/>
  <c r="G353"/>
  <c r="G351"/>
  <c r="G350"/>
  <c r="G349"/>
  <c r="G348"/>
  <c r="G347"/>
  <c r="G346"/>
  <c r="F345"/>
  <c r="E345"/>
  <c r="G344"/>
  <c r="G343"/>
  <c r="F342"/>
  <c r="E342"/>
  <c r="G341"/>
  <c r="G340"/>
  <c r="G339"/>
  <c r="G338"/>
  <c r="G337"/>
  <c r="G336"/>
  <c r="F335"/>
  <c r="E334"/>
  <c r="G332"/>
  <c r="G328"/>
  <c r="G327"/>
  <c r="G326"/>
  <c r="G325"/>
  <c r="G324"/>
  <c r="F323"/>
  <c r="E323"/>
  <c r="E322"/>
  <c r="E320" s="1"/>
  <c r="G321"/>
  <c r="E319"/>
  <c r="F319" s="1"/>
  <c r="F317" s="1"/>
  <c r="G318"/>
  <c r="E316"/>
  <c r="G315"/>
  <c r="G313"/>
  <c r="G312"/>
  <c r="F311"/>
  <c r="E311"/>
  <c r="G309"/>
  <c r="G308"/>
  <c r="G307"/>
  <c r="F306"/>
  <c r="E306"/>
  <c r="G305"/>
  <c r="G304"/>
  <c r="F303"/>
  <c r="E303"/>
  <c r="G302"/>
  <c r="G301"/>
  <c r="F300"/>
  <c r="E300"/>
  <c r="G299"/>
  <c r="G298"/>
  <c r="F297"/>
  <c r="E297"/>
  <c r="G296"/>
  <c r="G295"/>
  <c r="F294"/>
  <c r="E294"/>
  <c r="G293"/>
  <c r="G292"/>
  <c r="F291"/>
  <c r="E291"/>
  <c r="G290"/>
  <c r="G289"/>
  <c r="F288"/>
  <c r="E288"/>
  <c r="G287"/>
  <c r="G286"/>
  <c r="F285"/>
  <c r="E285"/>
  <c r="G284"/>
  <c r="G283"/>
  <c r="F282"/>
  <c r="E282"/>
  <c r="G281"/>
  <c r="G280"/>
  <c r="F279"/>
  <c r="E279"/>
  <c r="G278"/>
  <c r="G277"/>
  <c r="F276"/>
  <c r="E276"/>
  <c r="G275"/>
  <c r="G274"/>
  <c r="F273"/>
  <c r="E273"/>
  <c r="G272"/>
  <c r="G271"/>
  <c r="F270"/>
  <c r="E270"/>
  <c r="G269"/>
  <c r="G268"/>
  <c r="F267"/>
  <c r="E267"/>
  <c r="G266"/>
  <c r="G265"/>
  <c r="F264"/>
  <c r="E264"/>
  <c r="G263"/>
  <c r="G262"/>
  <c r="F261"/>
  <c r="E261"/>
  <c r="G260"/>
  <c r="G259"/>
  <c r="F258"/>
  <c r="E258"/>
  <c r="G257"/>
  <c r="G256"/>
  <c r="F255"/>
  <c r="E255"/>
  <c r="G254"/>
  <c r="G253"/>
  <c r="F252"/>
  <c r="E252"/>
  <c r="G251"/>
  <c r="G250"/>
  <c r="F249"/>
  <c r="E249"/>
  <c r="G248"/>
  <c r="G247"/>
  <c r="F246"/>
  <c r="E246"/>
  <c r="G245"/>
  <c r="G244"/>
  <c r="F243"/>
  <c r="E243"/>
  <c r="G242"/>
  <c r="G241"/>
  <c r="F240"/>
  <c r="E240"/>
  <c r="G239"/>
  <c r="G238"/>
  <c r="F237"/>
  <c r="E237"/>
  <c r="G236"/>
  <c r="G235"/>
  <c r="F234"/>
  <c r="E234"/>
  <c r="G233"/>
  <c r="G232"/>
  <c r="F231"/>
  <c r="E231"/>
  <c r="G230"/>
  <c r="G229"/>
  <c r="F228"/>
  <c r="E228"/>
  <c r="G227"/>
  <c r="G226"/>
  <c r="F225"/>
  <c r="E225"/>
  <c r="G224"/>
  <c r="G223"/>
  <c r="F222"/>
  <c r="E222"/>
  <c r="G221"/>
  <c r="G220"/>
  <c r="F219"/>
  <c r="E219"/>
  <c r="G218"/>
  <c r="G217"/>
  <c r="F216"/>
  <c r="E216"/>
  <c r="G215"/>
  <c r="G214"/>
  <c r="F213"/>
  <c r="E213"/>
  <c r="G212"/>
  <c r="G211"/>
  <c r="F210"/>
  <c r="E210"/>
  <c r="G209"/>
  <c r="G208"/>
  <c r="F207"/>
  <c r="E207"/>
  <c r="G206"/>
  <c r="G205"/>
  <c r="F204"/>
  <c r="E204"/>
  <c r="G203"/>
  <c r="G202"/>
  <c r="F201"/>
  <c r="E201"/>
  <c r="G200"/>
  <c r="G199"/>
  <c r="F198"/>
  <c r="E198"/>
  <c r="G197"/>
  <c r="G196"/>
  <c r="F195"/>
  <c r="E195"/>
  <c r="G194"/>
  <c r="G193"/>
  <c r="F192"/>
  <c r="E192"/>
  <c r="G191"/>
  <c r="G190"/>
  <c r="F189"/>
  <c r="E189"/>
  <c r="G188"/>
  <c r="G187"/>
  <c r="F186"/>
  <c r="E186"/>
  <c r="G185"/>
  <c r="G184"/>
  <c r="F183"/>
  <c r="E183"/>
  <c r="G182"/>
  <c r="G181"/>
  <c r="F180"/>
  <c r="E180"/>
  <c r="G179"/>
  <c r="G178"/>
  <c r="F177"/>
  <c r="E177"/>
  <c r="G176"/>
  <c r="G175"/>
  <c r="F174"/>
  <c r="E174"/>
  <c r="G173"/>
  <c r="G172"/>
  <c r="F171"/>
  <c r="E171"/>
  <c r="G170"/>
  <c r="G169"/>
  <c r="F168"/>
  <c r="E168"/>
  <c r="G167"/>
  <c r="G166"/>
  <c r="F165"/>
  <c r="E165"/>
  <c r="G164"/>
  <c r="G163"/>
  <c r="F162"/>
  <c r="E162"/>
  <c r="G161"/>
  <c r="G160"/>
  <c r="F159"/>
  <c r="E159"/>
  <c r="G158"/>
  <c r="G157"/>
  <c r="F156"/>
  <c r="E156"/>
  <c r="G155"/>
  <c r="G154"/>
  <c r="F153"/>
  <c r="E153"/>
  <c r="G152"/>
  <c r="G151"/>
  <c r="F150"/>
  <c r="E150"/>
  <c r="G149"/>
  <c r="G148"/>
  <c r="F147"/>
  <c r="E147"/>
  <c r="G146"/>
  <c r="G145"/>
  <c r="F144"/>
  <c r="E144"/>
  <c r="G143"/>
  <c r="G142"/>
  <c r="F141"/>
  <c r="E141"/>
  <c r="G140"/>
  <c r="G139"/>
  <c r="F138"/>
  <c r="E138"/>
  <c r="G137"/>
  <c r="G136"/>
  <c r="F135"/>
  <c r="E135"/>
  <c r="G134"/>
  <c r="G133"/>
  <c r="F132"/>
  <c r="E132"/>
  <c r="G131"/>
  <c r="G130"/>
  <c r="F129"/>
  <c r="E129"/>
  <c r="G128"/>
  <c r="G127"/>
  <c r="F126"/>
  <c r="E126"/>
  <c r="G125"/>
  <c r="G124"/>
  <c r="F123"/>
  <c r="E123"/>
  <c r="G122"/>
  <c r="G121"/>
  <c r="F120"/>
  <c r="E120"/>
  <c r="G119"/>
  <c r="G118"/>
  <c r="F117"/>
  <c r="E117"/>
  <c r="G116"/>
  <c r="G115"/>
  <c r="F114"/>
  <c r="E114"/>
  <c r="G113"/>
  <c r="G112"/>
  <c r="F111"/>
  <c r="E111"/>
  <c r="G110"/>
  <c r="G109"/>
  <c r="F108"/>
  <c r="E108"/>
  <c r="G107"/>
  <c r="G106"/>
  <c r="F105"/>
  <c r="E105"/>
  <c r="G104"/>
  <c r="G103"/>
  <c r="F102"/>
  <c r="E102"/>
  <c r="G101"/>
  <c r="G100"/>
  <c r="F99"/>
  <c r="E99"/>
  <c r="G98"/>
  <c r="G97"/>
  <c r="F96"/>
  <c r="E96"/>
  <c r="G95"/>
  <c r="G94"/>
  <c r="F93"/>
  <c r="E93"/>
  <c r="G92"/>
  <c r="G91"/>
  <c r="F90"/>
  <c r="E90"/>
  <c r="G89"/>
  <c r="G88"/>
  <c r="F87"/>
  <c r="E87"/>
  <c r="G86"/>
  <c r="G85"/>
  <c r="F84"/>
  <c r="E84"/>
  <c r="G83"/>
  <c r="G82"/>
  <c r="F81"/>
  <c r="E81"/>
  <c r="G80"/>
  <c r="G79"/>
  <c r="F78"/>
  <c r="E78"/>
  <c r="G77"/>
  <c r="G76"/>
  <c r="F75"/>
  <c r="E75"/>
  <c r="G74"/>
  <c r="G73"/>
  <c r="F72"/>
  <c r="E72"/>
  <c r="G71"/>
  <c r="G70"/>
  <c r="F69"/>
  <c r="E69"/>
  <c r="G68"/>
  <c r="G67"/>
  <c r="F66"/>
  <c r="E66"/>
  <c r="G65"/>
  <c r="G64"/>
  <c r="F63"/>
  <c r="E63"/>
  <c r="G62"/>
  <c r="G61"/>
  <c r="F60"/>
  <c r="E60"/>
  <c r="G59"/>
  <c r="G58"/>
  <c r="F57"/>
  <c r="E57"/>
  <c r="G56"/>
  <c r="G55"/>
  <c r="F54"/>
  <c r="E54"/>
  <c r="G52"/>
  <c r="G51"/>
  <c r="F50"/>
  <c r="E50"/>
  <c r="G49"/>
  <c r="G48"/>
  <c r="F47"/>
  <c r="E47"/>
  <c r="G46"/>
  <c r="G45"/>
  <c r="F44"/>
  <c r="E44"/>
  <c r="G43"/>
  <c r="G42"/>
  <c r="F41"/>
  <c r="E41"/>
  <c r="G40"/>
  <c r="G39"/>
  <c r="F38"/>
  <c r="E38"/>
  <c r="G37"/>
  <c r="G36"/>
  <c r="F35"/>
  <c r="E35"/>
  <c r="G34"/>
  <c r="G33"/>
  <c r="F32"/>
  <c r="E32"/>
  <c r="G30"/>
  <c r="G29"/>
  <c r="F28"/>
  <c r="E28"/>
  <c r="G27"/>
  <c r="G26"/>
  <c r="F25"/>
  <c r="E25"/>
  <c r="G24"/>
  <c r="G23"/>
  <c r="F22"/>
  <c r="E22"/>
  <c r="G21"/>
  <c r="G20"/>
  <c r="F19"/>
  <c r="E19"/>
  <c r="G18"/>
  <c r="G17"/>
  <c r="F16"/>
  <c r="E16"/>
  <c r="G15"/>
  <c r="G14"/>
  <c r="F13"/>
  <c r="E13"/>
  <c r="E12" s="1"/>
  <c r="G335" l="1"/>
  <c r="G361"/>
  <c r="G382"/>
  <c r="I12"/>
  <c r="F12"/>
  <c r="G12" s="1"/>
  <c r="J537"/>
  <c r="M237"/>
  <c r="V105"/>
  <c r="J531"/>
  <c r="P44"/>
  <c r="V144"/>
  <c r="O31"/>
  <c r="S84"/>
  <c r="S195"/>
  <c r="S276"/>
  <c r="P141"/>
  <c r="P240"/>
  <c r="M41"/>
  <c r="M96"/>
  <c r="M141"/>
  <c r="M144"/>
  <c r="M165"/>
  <c r="M168"/>
  <c r="M177"/>
  <c r="M180"/>
  <c r="M189"/>
  <c r="M192"/>
  <c r="M537"/>
  <c r="V297"/>
  <c r="G537"/>
  <c r="P189"/>
  <c r="P216"/>
  <c r="P228"/>
  <c r="P234"/>
  <c r="S132"/>
  <c r="S156"/>
  <c r="S165"/>
  <c r="S171"/>
  <c r="V201"/>
  <c r="V249"/>
  <c r="J524"/>
  <c r="P25"/>
  <c r="P41"/>
  <c r="S291"/>
  <c r="S524"/>
  <c r="V44"/>
  <c r="V57"/>
  <c r="V72"/>
  <c r="V81"/>
  <c r="V84"/>
  <c r="V87"/>
  <c r="V90"/>
  <c r="V93"/>
  <c r="V96"/>
  <c r="P144"/>
  <c r="P192"/>
  <c r="P213"/>
  <c r="P225"/>
  <c r="P231"/>
  <c r="P237"/>
  <c r="S99"/>
  <c r="S147"/>
  <c r="S159"/>
  <c r="S162"/>
  <c r="S168"/>
  <c r="S180"/>
  <c r="V240"/>
  <c r="V264"/>
  <c r="G499"/>
  <c r="M288"/>
  <c r="V537"/>
  <c r="M44"/>
  <c r="M69"/>
  <c r="M72"/>
  <c r="M81"/>
  <c r="M84"/>
  <c r="M93"/>
  <c r="M261"/>
  <c r="M273"/>
  <c r="V168"/>
  <c r="V180"/>
  <c r="V186"/>
  <c r="V192"/>
  <c r="P93"/>
  <c r="P96"/>
  <c r="P117"/>
  <c r="P120"/>
  <c r="P129"/>
  <c r="P132"/>
  <c r="P285"/>
  <c r="P288"/>
  <c r="S32"/>
  <c r="S35"/>
  <c r="S60"/>
  <c r="S63"/>
  <c r="S66"/>
  <c r="S69"/>
  <c r="S72"/>
  <c r="S75"/>
  <c r="S228"/>
  <c r="S243"/>
  <c r="S252"/>
  <c r="S255"/>
  <c r="S258"/>
  <c r="S261"/>
  <c r="S264"/>
  <c r="G475"/>
  <c r="M240"/>
  <c r="M264"/>
  <c r="M276"/>
  <c r="M285"/>
  <c r="P531"/>
  <c r="V153"/>
  <c r="V177"/>
  <c r="V183"/>
  <c r="V189"/>
  <c r="M531"/>
  <c r="V273"/>
  <c r="V288"/>
  <c r="P69"/>
  <c r="P81"/>
  <c r="P84"/>
  <c r="P168"/>
  <c r="P177"/>
  <c r="P180"/>
  <c r="P186"/>
  <c r="P264"/>
  <c r="P276"/>
  <c r="P282"/>
  <c r="S16"/>
  <c r="S22"/>
  <c r="S25"/>
  <c r="S111"/>
  <c r="S117"/>
  <c r="S123"/>
  <c r="S207"/>
  <c r="S210"/>
  <c r="S216"/>
  <c r="S300"/>
  <c r="S306"/>
  <c r="L31"/>
  <c r="P28"/>
  <c r="P32"/>
  <c r="S267"/>
  <c r="U53"/>
  <c r="M524"/>
  <c r="P72"/>
  <c r="P165"/>
  <c r="P183"/>
  <c r="P261"/>
  <c r="P273"/>
  <c r="P279"/>
  <c r="P537"/>
  <c r="S19"/>
  <c r="S28"/>
  <c r="S108"/>
  <c r="S114"/>
  <c r="S120"/>
  <c r="S204"/>
  <c r="S213"/>
  <c r="S219"/>
  <c r="S303"/>
  <c r="S531"/>
  <c r="G303"/>
  <c r="G306"/>
  <c r="G407"/>
  <c r="G410"/>
  <c r="G418"/>
  <c r="M25"/>
  <c r="M28"/>
  <c r="M32"/>
  <c r="M117"/>
  <c r="M120"/>
  <c r="M129"/>
  <c r="M132"/>
  <c r="M213"/>
  <c r="M216"/>
  <c r="M225"/>
  <c r="M228"/>
  <c r="R31"/>
  <c r="V13"/>
  <c r="V16"/>
  <c r="V22"/>
  <c r="V25"/>
  <c r="V28"/>
  <c r="V32"/>
  <c r="V35"/>
  <c r="V38"/>
  <c r="V41"/>
  <c r="V120"/>
  <c r="V129"/>
  <c r="V132"/>
  <c r="V135"/>
  <c r="V138"/>
  <c r="V141"/>
  <c r="V216"/>
  <c r="V225"/>
  <c r="V228"/>
  <c r="V231"/>
  <c r="V234"/>
  <c r="V237"/>
  <c r="V531"/>
  <c r="G424"/>
  <c r="G455"/>
  <c r="M16"/>
  <c r="M57"/>
  <c r="M105"/>
  <c r="M156"/>
  <c r="M204"/>
  <c r="M252"/>
  <c r="M300"/>
  <c r="P16"/>
  <c r="P60"/>
  <c r="P105"/>
  <c r="P153"/>
  <c r="P201"/>
  <c r="P210"/>
  <c r="P252"/>
  <c r="P258"/>
  <c r="P300"/>
  <c r="P306"/>
  <c r="S44"/>
  <c r="S50"/>
  <c r="V63"/>
  <c r="V69"/>
  <c r="V111"/>
  <c r="V117"/>
  <c r="V156"/>
  <c r="V162"/>
  <c r="V204"/>
  <c r="V210"/>
  <c r="V252"/>
  <c r="V258"/>
  <c r="V303"/>
  <c r="G345"/>
  <c r="F463"/>
  <c r="G463" s="1"/>
  <c r="F523"/>
  <c r="G531"/>
  <c r="R12"/>
  <c r="S87"/>
  <c r="S90"/>
  <c r="S93"/>
  <c r="S96"/>
  <c r="S135"/>
  <c r="S138"/>
  <c r="S141"/>
  <c r="S144"/>
  <c r="S183"/>
  <c r="S186"/>
  <c r="S189"/>
  <c r="S192"/>
  <c r="S231"/>
  <c r="S234"/>
  <c r="S237"/>
  <c r="S240"/>
  <c r="S279"/>
  <c r="S282"/>
  <c r="S285"/>
  <c r="S288"/>
  <c r="U31"/>
  <c r="U367"/>
  <c r="T12"/>
  <c r="G32"/>
  <c r="M13"/>
  <c r="M60"/>
  <c r="M108"/>
  <c r="M153"/>
  <c r="M201"/>
  <c r="M249"/>
  <c r="M297"/>
  <c r="P13"/>
  <c r="P57"/>
  <c r="P108"/>
  <c r="P156"/>
  <c r="P204"/>
  <c r="P207"/>
  <c r="P249"/>
  <c r="P255"/>
  <c r="P297"/>
  <c r="P303"/>
  <c r="S47"/>
  <c r="S537"/>
  <c r="V60"/>
  <c r="V66"/>
  <c r="V108"/>
  <c r="V114"/>
  <c r="V159"/>
  <c r="V165"/>
  <c r="V207"/>
  <c r="V213"/>
  <c r="V255"/>
  <c r="V261"/>
  <c r="V300"/>
  <c r="V306"/>
  <c r="V276"/>
  <c r="V279"/>
  <c r="V282"/>
  <c r="V285"/>
  <c r="G368"/>
  <c r="M47"/>
  <c r="M54"/>
  <c r="M78"/>
  <c r="M99"/>
  <c r="M126"/>
  <c r="M147"/>
  <c r="M174"/>
  <c r="M198"/>
  <c r="M219"/>
  <c r="M243"/>
  <c r="M270"/>
  <c r="M294"/>
  <c r="P50"/>
  <c r="P78"/>
  <c r="P99"/>
  <c r="P123"/>
  <c r="P147"/>
  <c r="P171"/>
  <c r="P195"/>
  <c r="P219"/>
  <c r="P243"/>
  <c r="P267"/>
  <c r="P294"/>
  <c r="S38"/>
  <c r="R53"/>
  <c r="G459"/>
  <c r="G527"/>
  <c r="H31"/>
  <c r="L12"/>
  <c r="O12"/>
  <c r="O367"/>
  <c r="Q12"/>
  <c r="S54"/>
  <c r="S57"/>
  <c r="S78"/>
  <c r="S81"/>
  <c r="S102"/>
  <c r="S105"/>
  <c r="S126"/>
  <c r="S129"/>
  <c r="S150"/>
  <c r="S153"/>
  <c r="S174"/>
  <c r="S177"/>
  <c r="S198"/>
  <c r="S201"/>
  <c r="S222"/>
  <c r="S225"/>
  <c r="S246"/>
  <c r="S249"/>
  <c r="S270"/>
  <c r="S273"/>
  <c r="S294"/>
  <c r="S297"/>
  <c r="V47"/>
  <c r="V50"/>
  <c r="V54"/>
  <c r="V75"/>
  <c r="V78"/>
  <c r="V99"/>
  <c r="V102"/>
  <c r="V123"/>
  <c r="V126"/>
  <c r="V147"/>
  <c r="V150"/>
  <c r="V171"/>
  <c r="V174"/>
  <c r="V195"/>
  <c r="V198"/>
  <c r="V219"/>
  <c r="V222"/>
  <c r="V243"/>
  <c r="V246"/>
  <c r="V267"/>
  <c r="V270"/>
  <c r="V291"/>
  <c r="V294"/>
  <c r="V524"/>
  <c r="G391"/>
  <c r="G401"/>
  <c r="M50"/>
  <c r="M75"/>
  <c r="M102"/>
  <c r="M123"/>
  <c r="M150"/>
  <c r="M171"/>
  <c r="M195"/>
  <c r="M222"/>
  <c r="M246"/>
  <c r="M267"/>
  <c r="M291"/>
  <c r="L367"/>
  <c r="P47"/>
  <c r="P54"/>
  <c r="P75"/>
  <c r="P102"/>
  <c r="P126"/>
  <c r="P150"/>
  <c r="P174"/>
  <c r="P198"/>
  <c r="P222"/>
  <c r="P246"/>
  <c r="P270"/>
  <c r="P291"/>
  <c r="P524"/>
  <c r="S41"/>
  <c r="G319"/>
  <c r="H523"/>
  <c r="K12"/>
  <c r="M22"/>
  <c r="M35"/>
  <c r="M38"/>
  <c r="L53"/>
  <c r="M63"/>
  <c r="M66"/>
  <c r="M87"/>
  <c r="M90"/>
  <c r="M111"/>
  <c r="M114"/>
  <c r="M135"/>
  <c r="M138"/>
  <c r="M159"/>
  <c r="M162"/>
  <c r="M183"/>
  <c r="M186"/>
  <c r="M207"/>
  <c r="M210"/>
  <c r="M231"/>
  <c r="M234"/>
  <c r="M255"/>
  <c r="M258"/>
  <c r="M279"/>
  <c r="M282"/>
  <c r="M303"/>
  <c r="M306"/>
  <c r="N12"/>
  <c r="P22"/>
  <c r="P35"/>
  <c r="P38"/>
  <c r="O53"/>
  <c r="P63"/>
  <c r="P66"/>
  <c r="P87"/>
  <c r="P90"/>
  <c r="P111"/>
  <c r="P114"/>
  <c r="P135"/>
  <c r="P138"/>
  <c r="P159"/>
  <c r="P162"/>
  <c r="Q53"/>
  <c r="U12"/>
  <c r="T31"/>
  <c r="V19"/>
  <c r="T53"/>
  <c r="R367"/>
  <c r="S13"/>
  <c r="Q31"/>
  <c r="N31"/>
  <c r="P19"/>
  <c r="N53"/>
  <c r="M19"/>
  <c r="K53"/>
  <c r="K31"/>
  <c r="I53"/>
  <c r="G35"/>
  <c r="G38"/>
  <c r="G41"/>
  <c r="G66"/>
  <c r="G147"/>
  <c r="G171"/>
  <c r="G180"/>
  <c r="G192"/>
  <c r="G204"/>
  <c r="G216"/>
  <c r="G228"/>
  <c r="G240"/>
  <c r="G252"/>
  <c r="G273"/>
  <c r="G276"/>
  <c r="G285"/>
  <c r="I31"/>
  <c r="H53"/>
  <c r="I352"/>
  <c r="I367"/>
  <c r="H12"/>
  <c r="J12" s="1"/>
  <c r="G297"/>
  <c r="G28"/>
  <c r="G437"/>
  <c r="G440"/>
  <c r="G443"/>
  <c r="G19"/>
  <c r="F31"/>
  <c r="F53"/>
  <c r="G75"/>
  <c r="G78"/>
  <c r="G81"/>
  <c r="G90"/>
  <c r="G96"/>
  <c r="G99"/>
  <c r="G165"/>
  <c r="G168"/>
  <c r="G294"/>
  <c r="G434"/>
  <c r="G153"/>
  <c r="G264"/>
  <c r="G288"/>
  <c r="G300"/>
  <c r="F316"/>
  <c r="F314" s="1"/>
  <c r="E317"/>
  <c r="G317" s="1"/>
  <c r="E333"/>
  <c r="E331" s="1"/>
  <c r="F334"/>
  <c r="F333" s="1"/>
  <c r="F331" s="1"/>
  <c r="F330" s="1"/>
  <c r="F329" s="1"/>
  <c r="G495"/>
  <c r="G13"/>
  <c r="G16"/>
  <c r="G22"/>
  <c r="G25"/>
  <c r="G69"/>
  <c r="G72"/>
  <c r="G84"/>
  <c r="G87"/>
  <c r="G93"/>
  <c r="G141"/>
  <c r="G144"/>
  <c r="G270"/>
  <c r="G282"/>
  <c r="G342"/>
  <c r="G427"/>
  <c r="G503"/>
  <c r="G159"/>
  <c r="G162"/>
  <c r="G267"/>
  <c r="G279"/>
  <c r="G291"/>
  <c r="E314"/>
  <c r="G323"/>
  <c r="G404"/>
  <c r="G489"/>
  <c r="G311"/>
  <c r="G44"/>
  <c r="G47"/>
  <c r="G50"/>
  <c r="G54"/>
  <c r="G105"/>
  <c r="G108"/>
  <c r="G111"/>
  <c r="G114"/>
  <c r="G123"/>
  <c r="G126"/>
  <c r="G135"/>
  <c r="G138"/>
  <c r="G150"/>
  <c r="G207"/>
  <c r="G219"/>
  <c r="G231"/>
  <c r="G243"/>
  <c r="G255"/>
  <c r="E31"/>
  <c r="G177"/>
  <c r="G189"/>
  <c r="G201"/>
  <c r="G213"/>
  <c r="G225"/>
  <c r="G237"/>
  <c r="G249"/>
  <c r="G261"/>
  <c r="E359"/>
  <c r="F360"/>
  <c r="G57"/>
  <c r="G60"/>
  <c r="G102"/>
  <c r="G117"/>
  <c r="G120"/>
  <c r="G129"/>
  <c r="G132"/>
  <c r="G183"/>
  <c r="G195"/>
  <c r="E53"/>
  <c r="G63"/>
  <c r="G156"/>
  <c r="G174"/>
  <c r="G186"/>
  <c r="G198"/>
  <c r="G210"/>
  <c r="G222"/>
  <c r="G234"/>
  <c r="G246"/>
  <c r="G258"/>
  <c r="F322"/>
  <c r="F320" s="1"/>
  <c r="G320" s="1"/>
  <c r="F381"/>
  <c r="E380"/>
  <c r="E430"/>
  <c r="G430" s="1"/>
  <c r="G431"/>
  <c r="F414"/>
  <c r="F413" s="1"/>
  <c r="F396" s="1"/>
  <c r="G415"/>
  <c r="E414"/>
  <c r="G421"/>
  <c r="G398"/>
  <c r="E397"/>
  <c r="G449"/>
  <c r="E448"/>
  <c r="G394"/>
  <c r="F513"/>
  <c r="G514"/>
  <c r="G524"/>
  <c r="E523"/>
  <c r="G483"/>
  <c r="E479"/>
  <c r="G479" s="1"/>
  <c r="G468"/>
  <c r="F466"/>
  <c r="G452"/>
  <c r="G472"/>
  <c r="G506"/>
  <c r="J31" l="1"/>
  <c r="J53"/>
  <c r="L335"/>
  <c r="M335" s="1"/>
  <c r="K333"/>
  <c r="L361"/>
  <c r="N361" s="1"/>
  <c r="G360"/>
  <c r="K360"/>
  <c r="L382"/>
  <c r="N382" s="1"/>
  <c r="G381"/>
  <c r="K381"/>
  <c r="P31"/>
  <c r="M12"/>
  <c r="V53"/>
  <c r="P53"/>
  <c r="S31"/>
  <c r="S12"/>
  <c r="P12"/>
  <c r="R11"/>
  <c r="R10" s="1"/>
  <c r="R9" s="1"/>
  <c r="R8" s="1"/>
  <c r="R7" s="1"/>
  <c r="R6" s="1"/>
  <c r="V31"/>
  <c r="S53"/>
  <c r="L11"/>
  <c r="L10" s="1"/>
  <c r="L9" s="1"/>
  <c r="L8" s="1"/>
  <c r="F447"/>
  <c r="F446" s="1"/>
  <c r="M31"/>
  <c r="U11"/>
  <c r="G523"/>
  <c r="G333"/>
  <c r="V12"/>
  <c r="O11"/>
  <c r="O10" s="1"/>
  <c r="O9" s="1"/>
  <c r="O8" s="1"/>
  <c r="K11"/>
  <c r="K10" s="1"/>
  <c r="E310"/>
  <c r="G316"/>
  <c r="M53"/>
  <c r="T11"/>
  <c r="Q11"/>
  <c r="N352"/>
  <c r="P352" s="1"/>
  <c r="N11"/>
  <c r="I11"/>
  <c r="F11"/>
  <c r="H11"/>
  <c r="H510"/>
  <c r="G314"/>
  <c r="G334"/>
  <c r="G53"/>
  <c r="F310"/>
  <c r="G448"/>
  <c r="E447"/>
  <c r="E377"/>
  <c r="E413"/>
  <c r="G413" s="1"/>
  <c r="G414"/>
  <c r="G331"/>
  <c r="E330"/>
  <c r="E11"/>
  <c r="G31"/>
  <c r="G397"/>
  <c r="F359"/>
  <c r="G359" s="1"/>
  <c r="G466"/>
  <c r="F510"/>
  <c r="G513"/>
  <c r="F380"/>
  <c r="F377" s="1"/>
  <c r="F376" s="1"/>
  <c r="F375" s="1"/>
  <c r="F367" s="1"/>
  <c r="E357"/>
  <c r="G322"/>
  <c r="J11" l="1"/>
  <c r="M382"/>
  <c r="M361"/>
  <c r="N335"/>
  <c r="L333"/>
  <c r="L331" s="1"/>
  <c r="K331"/>
  <c r="O361"/>
  <c r="Q361" s="1"/>
  <c r="L360"/>
  <c r="M360" s="1"/>
  <c r="K359"/>
  <c r="O382"/>
  <c r="Q382" s="1"/>
  <c r="K380"/>
  <c r="L381"/>
  <c r="M381" s="1"/>
  <c r="H10"/>
  <c r="U10"/>
  <c r="O7"/>
  <c r="O6" s="1"/>
  <c r="L7"/>
  <c r="L6" s="1"/>
  <c r="F10"/>
  <c r="F9" s="1"/>
  <c r="M11"/>
  <c r="I10"/>
  <c r="I9" s="1"/>
  <c r="I8" s="1"/>
  <c r="I7" s="1"/>
  <c r="I6" s="1"/>
  <c r="G310"/>
  <c r="K352"/>
  <c r="M352" s="1"/>
  <c r="Q352"/>
  <c r="S352" s="1"/>
  <c r="V11"/>
  <c r="T10"/>
  <c r="Q10"/>
  <c r="S11"/>
  <c r="N10"/>
  <c r="P11"/>
  <c r="M10"/>
  <c r="K9"/>
  <c r="H509"/>
  <c r="E446"/>
  <c r="G446" s="1"/>
  <c r="G447"/>
  <c r="E376"/>
  <c r="G377"/>
  <c r="E10"/>
  <c r="G11"/>
  <c r="G330"/>
  <c r="E329"/>
  <c r="G329" s="1"/>
  <c r="E396"/>
  <c r="G396" s="1"/>
  <c r="G380"/>
  <c r="E356"/>
  <c r="F509"/>
  <c r="G509" s="1"/>
  <c r="G510"/>
  <c r="F357"/>
  <c r="F356" s="1"/>
  <c r="F355" s="1"/>
  <c r="F352" s="1"/>
  <c r="P361" l="1"/>
  <c r="O335"/>
  <c r="P335" s="1"/>
  <c r="N333"/>
  <c r="M331"/>
  <c r="M333"/>
  <c r="R361"/>
  <c r="T361" s="1"/>
  <c r="K357"/>
  <c r="N360"/>
  <c r="L359"/>
  <c r="L357" s="1"/>
  <c r="R382"/>
  <c r="T382" s="1"/>
  <c r="P382"/>
  <c r="K377"/>
  <c r="L380"/>
  <c r="L377" s="1"/>
  <c r="N381"/>
  <c r="U9"/>
  <c r="U8" s="1"/>
  <c r="U7" s="1"/>
  <c r="U6" s="1"/>
  <c r="J10"/>
  <c r="F8"/>
  <c r="F7" s="1"/>
  <c r="F6" s="1"/>
  <c r="T352"/>
  <c r="V352" s="1"/>
  <c r="V10"/>
  <c r="T9"/>
  <c r="T367"/>
  <c r="V367" s="1"/>
  <c r="S10"/>
  <c r="Q9"/>
  <c r="Q367"/>
  <c r="S367" s="1"/>
  <c r="P10"/>
  <c r="N9"/>
  <c r="N367"/>
  <c r="P367" s="1"/>
  <c r="M9"/>
  <c r="K367"/>
  <c r="M367" s="1"/>
  <c r="G10"/>
  <c r="E9"/>
  <c r="G376"/>
  <c r="E375"/>
  <c r="G357"/>
  <c r="E355"/>
  <c r="G356"/>
  <c r="S361" l="1"/>
  <c r="M377"/>
  <c r="Q335"/>
  <c r="O333"/>
  <c r="O331" s="1"/>
  <c r="N331"/>
  <c r="U361"/>
  <c r="V361" s="1"/>
  <c r="M357"/>
  <c r="M359"/>
  <c r="O360"/>
  <c r="N359"/>
  <c r="S382"/>
  <c r="U382"/>
  <c r="V382" s="1"/>
  <c r="M380"/>
  <c r="O381"/>
  <c r="N380"/>
  <c r="F5"/>
  <c r="F545" s="1"/>
  <c r="H9"/>
  <c r="J9" s="1"/>
  <c r="T8"/>
  <c r="V9"/>
  <c r="Q8"/>
  <c r="S9"/>
  <c r="N8"/>
  <c r="P9"/>
  <c r="K8"/>
  <c r="H352"/>
  <c r="J352" s="1"/>
  <c r="H367"/>
  <c r="J367" s="1"/>
  <c r="G375"/>
  <c r="E367"/>
  <c r="G367" s="1"/>
  <c r="G9"/>
  <c r="E352"/>
  <c r="G352" s="1"/>
  <c r="G355"/>
  <c r="R335" l="1"/>
  <c r="S335" s="1"/>
  <c r="Q333"/>
  <c r="P331"/>
  <c r="P333"/>
  <c r="Q360"/>
  <c r="O359"/>
  <c r="O357" s="1"/>
  <c r="P360"/>
  <c r="N357"/>
  <c r="N377"/>
  <c r="Q381"/>
  <c r="O380"/>
  <c r="O377" s="1"/>
  <c r="P381"/>
  <c r="T7"/>
  <c r="V8"/>
  <c r="Q7"/>
  <c r="S8"/>
  <c r="N7"/>
  <c r="P8"/>
  <c r="K7"/>
  <c r="M8"/>
  <c r="H8"/>
  <c r="J8" s="1"/>
  <c r="E8"/>
  <c r="P377" l="1"/>
  <c r="P380"/>
  <c r="P359"/>
  <c r="Q331"/>
  <c r="S331" s="1"/>
  <c r="T335"/>
  <c r="R333"/>
  <c r="R331" s="1"/>
  <c r="R360"/>
  <c r="S360" s="1"/>
  <c r="Q359"/>
  <c r="P357"/>
  <c r="Q380"/>
  <c r="R381"/>
  <c r="S381" s="1"/>
  <c r="V7"/>
  <c r="T6"/>
  <c r="S7"/>
  <c r="Q6"/>
  <c r="P7"/>
  <c r="N6"/>
  <c r="M7"/>
  <c r="K6"/>
  <c r="H7"/>
  <c r="E7"/>
  <c r="G8"/>
  <c r="S333" l="1"/>
  <c r="U335"/>
  <c r="T333"/>
  <c r="T360"/>
  <c r="R359"/>
  <c r="R357" s="1"/>
  <c r="Q357"/>
  <c r="Q377"/>
  <c r="S380"/>
  <c r="T381"/>
  <c r="R380"/>
  <c r="R377" s="1"/>
  <c r="H6"/>
  <c r="H5" s="1"/>
  <c r="H549" s="1"/>
  <c r="H552" s="1"/>
  <c r="H553" s="1"/>
  <c r="J7"/>
  <c r="V6"/>
  <c r="S6"/>
  <c r="P6"/>
  <c r="M6"/>
  <c r="E6"/>
  <c r="G7"/>
  <c r="S377" l="1"/>
  <c r="T331"/>
  <c r="V335"/>
  <c r="U333"/>
  <c r="U331" s="1"/>
  <c r="S357"/>
  <c r="U360"/>
  <c r="U359" s="1"/>
  <c r="U357" s="1"/>
  <c r="T359"/>
  <c r="S359"/>
  <c r="U381"/>
  <c r="U380" s="1"/>
  <c r="U377" s="1"/>
  <c r="T380"/>
  <c r="J6"/>
  <c r="G6"/>
  <c r="E5"/>
  <c r="G5" s="1"/>
  <c r="V333" l="1"/>
  <c r="V331"/>
  <c r="T357"/>
  <c r="V357" s="1"/>
  <c r="V359"/>
  <c r="V360"/>
  <c r="V381"/>
  <c r="V380"/>
  <c r="T377"/>
  <c r="V377" s="1"/>
  <c r="H545"/>
  <c r="E545"/>
  <c r="H554" l="1"/>
  <c r="R5" i="88"/>
  <c r="U2" i="84"/>
  <c r="O19" i="83"/>
  <c r="O17"/>
  <c r="Y3"/>
  <c r="Y4" s="1"/>
  <c r="Q2"/>
  <c r="L473" i="28" l="1"/>
  <c r="G21" i="32" s="1"/>
  <c r="R24" i="88"/>
  <c r="R23"/>
  <c r="L559" i="28" s="1"/>
  <c r="Q23" i="83"/>
  <c r="L272" i="28" s="1"/>
  <c r="Q20" i="83"/>
  <c r="L260" i="28" s="1"/>
  <c r="Q18" i="83"/>
  <c r="L252" i="28" s="1"/>
  <c r="U7" i="84"/>
  <c r="L485" i="28" s="1"/>
  <c r="Y294" i="121" s="1"/>
  <c r="U10" i="84"/>
  <c r="L493" i="28" s="1"/>
  <c r="Y296" i="121" s="1"/>
  <c r="U6" i="84"/>
  <c r="L481" i="28" s="1"/>
  <c r="Y293" i="121" s="1"/>
  <c r="U8" i="84"/>
  <c r="L489" i="28" s="1"/>
  <c r="Y295" i="121" s="1"/>
  <c r="V7" i="84"/>
  <c r="M485" i="28" s="1"/>
  <c r="AB294" i="121" s="1"/>
  <c r="U5" i="84"/>
  <c r="L477" i="28" s="1"/>
  <c r="Y292" i="121" s="1"/>
  <c r="K91" i="99"/>
  <c r="R2" i="83"/>
  <c r="R24" s="1"/>
  <c r="L268" i="28"/>
  <c r="L264"/>
  <c r="M272"/>
  <c r="M260"/>
  <c r="L224"/>
  <c r="S5" i="88"/>
  <c r="S24" s="1"/>
  <c r="M563" i="28" s="1"/>
  <c r="V2" i="84"/>
  <c r="M477" i="28" s="1"/>
  <c r="AB292" i="121" s="1"/>
  <c r="H489" i="28"/>
  <c r="G166" i="64"/>
  <c r="D21" i="28"/>
  <c r="H563" l="1"/>
  <c r="M561"/>
  <c r="AB308" i="121" s="1"/>
  <c r="AB305" s="1"/>
  <c r="V19" i="84"/>
  <c r="M525" i="28" s="1"/>
  <c r="AB303" i="121" s="1"/>
  <c r="L483" i="28"/>
  <c r="Y293" i="111"/>
  <c r="R25" i="83"/>
  <c r="Y292" i="111"/>
  <c r="L479" i="28"/>
  <c r="Y296" i="111"/>
  <c r="L495" i="28"/>
  <c r="K96" i="99"/>
  <c r="L254" i="28"/>
  <c r="S571" i="92"/>
  <c r="K51" i="99"/>
  <c r="M487" i="28"/>
  <c r="AB294" i="111"/>
  <c r="L94" i="99"/>
  <c r="Y94" s="1"/>
  <c r="Y294" i="111"/>
  <c r="AE294" s="1"/>
  <c r="L487" i="28"/>
  <c r="K94" i="99"/>
  <c r="X94" s="1"/>
  <c r="S573" i="92"/>
  <c r="L262" i="28"/>
  <c r="K53" i="99"/>
  <c r="L491" i="28"/>
  <c r="H491" s="1"/>
  <c r="G491" s="1"/>
  <c r="Y295" i="111"/>
  <c r="AE295" s="1"/>
  <c r="K95" i="99"/>
  <c r="S576" i="92"/>
  <c r="L274" i="28"/>
  <c r="K56" i="99"/>
  <c r="S564" i="92"/>
  <c r="V573"/>
  <c r="V576"/>
  <c r="S575"/>
  <c r="S574"/>
  <c r="AB292" i="111"/>
  <c r="AE292" s="1"/>
  <c r="M479" i="28"/>
  <c r="L92" i="99"/>
  <c r="Y92" s="1"/>
  <c r="M262" i="28"/>
  <c r="L53" i="99"/>
  <c r="Y53" s="1"/>
  <c r="L270" i="28"/>
  <c r="K55" i="99"/>
  <c r="M513" i="28"/>
  <c r="AB300" i="121" s="1"/>
  <c r="M274" i="28"/>
  <c r="L56" i="99"/>
  <c r="Y56" s="1"/>
  <c r="V12" i="84"/>
  <c r="M501" i="28" s="1"/>
  <c r="AB298" i="121" s="1"/>
  <c r="M497" i="28"/>
  <c r="AB297" i="121" s="1"/>
  <c r="L266" i="28"/>
  <c r="K54" i="99"/>
  <c r="X91"/>
  <c r="V20" i="84"/>
  <c r="M529" i="28" s="1"/>
  <c r="AB304" i="121" s="1"/>
  <c r="M493" i="28"/>
  <c r="AB296" i="121" s="1"/>
  <c r="L226" i="28"/>
  <c r="K44" i="99"/>
  <c r="G20" i="32"/>
  <c r="G31" s="1"/>
  <c r="G32"/>
  <c r="M481" i="28"/>
  <c r="AB293" i="121" s="1"/>
  <c r="G489" i="28"/>
  <c r="G95" i="99"/>
  <c r="D158" i="28"/>
  <c r="AB291" i="121" l="1"/>
  <c r="AB290" s="1"/>
  <c r="M527" i="28"/>
  <c r="AB303" i="111"/>
  <c r="L104" i="99"/>
  <c r="Y104" s="1"/>
  <c r="X56"/>
  <c r="AD56"/>
  <c r="X95"/>
  <c r="AD95"/>
  <c r="X53"/>
  <c r="AD53"/>
  <c r="X51"/>
  <c r="AD51"/>
  <c r="AD96"/>
  <c r="X96"/>
  <c r="AB308" i="111"/>
  <c r="L109" i="99"/>
  <c r="Y109" s="1"/>
  <c r="G563" i="28"/>
  <c r="G561" s="1"/>
  <c r="F109" i="99" s="1"/>
  <c r="H561" i="28"/>
  <c r="G109" i="99" s="1"/>
  <c r="AB298" i="111"/>
  <c r="AE298" s="1"/>
  <c r="AB304"/>
  <c r="AE304" s="1"/>
  <c r="AB297"/>
  <c r="AE297" s="1"/>
  <c r="AB300"/>
  <c r="AE300" s="1"/>
  <c r="AB293"/>
  <c r="AE293" s="1"/>
  <c r="AB296"/>
  <c r="M483" i="28"/>
  <c r="H16" i="32"/>
  <c r="M469" i="28"/>
  <c r="M503"/>
  <c r="L98" i="99"/>
  <c r="Y98" s="1"/>
  <c r="M515" i="28"/>
  <c r="L101" i="99"/>
  <c r="Y101" s="1"/>
  <c r="M531" i="28"/>
  <c r="L105" i="99"/>
  <c r="Y105" s="1"/>
  <c r="X55"/>
  <c r="M495" i="28"/>
  <c r="L96" i="99"/>
  <c r="Y96" s="1"/>
  <c r="X54"/>
  <c r="X44"/>
  <c r="L93"/>
  <c r="Y93" s="1"/>
  <c r="M499" i="28"/>
  <c r="L97" i="99"/>
  <c r="Y97" s="1"/>
  <c r="F95"/>
  <c r="C152" i="28"/>
  <c r="B32" i="99" s="1"/>
  <c r="AB305" i="111" l="1"/>
  <c r="AE308"/>
  <c r="AE296"/>
  <c r="AB291"/>
  <c r="M471" i="28"/>
  <c r="H102" i="64"/>
  <c r="I102"/>
  <c r="J102"/>
  <c r="K102"/>
  <c r="I103"/>
  <c r="J103"/>
  <c r="K103"/>
  <c r="I308" i="28"/>
  <c r="H101" i="64"/>
  <c r="I101"/>
  <c r="J101"/>
  <c r="K101"/>
  <c r="H183"/>
  <c r="I183"/>
  <c r="J183"/>
  <c r="K183"/>
  <c r="H184"/>
  <c r="I184"/>
  <c r="K184"/>
  <c r="H185"/>
  <c r="I185"/>
  <c r="J185"/>
  <c r="K185"/>
  <c r="G184"/>
  <c r="G185"/>
  <c r="H556" i="28"/>
  <c r="H473"/>
  <c r="D476"/>
  <c r="D475"/>
  <c r="D474"/>
  <c r="C453"/>
  <c r="B90" i="99" s="1"/>
  <c r="D563" i="28"/>
  <c r="D564"/>
  <c r="D562"/>
  <c r="D559"/>
  <c r="D560"/>
  <c r="D558"/>
  <c r="D555"/>
  <c r="D556"/>
  <c r="D554"/>
  <c r="D535"/>
  <c r="D536"/>
  <c r="D534"/>
  <c r="D531"/>
  <c r="D532"/>
  <c r="D530"/>
  <c r="D527"/>
  <c r="D528"/>
  <c r="D526"/>
  <c r="D523"/>
  <c r="D524"/>
  <c r="D522"/>
  <c r="D519"/>
  <c r="D520"/>
  <c r="D518"/>
  <c r="D515"/>
  <c r="D516"/>
  <c r="D514"/>
  <c r="D511"/>
  <c r="D512"/>
  <c r="D510"/>
  <c r="D507"/>
  <c r="D508"/>
  <c r="D506"/>
  <c r="D503"/>
  <c r="D504"/>
  <c r="D502"/>
  <c r="D499"/>
  <c r="D500"/>
  <c r="D498"/>
  <c r="D495"/>
  <c r="D496"/>
  <c r="D494"/>
  <c r="D487"/>
  <c r="D488"/>
  <c r="D486"/>
  <c r="D483"/>
  <c r="D484"/>
  <c r="D482"/>
  <c r="D479"/>
  <c r="D480"/>
  <c r="D478"/>
  <c r="D286"/>
  <c r="D287"/>
  <c r="D285"/>
  <c r="D282"/>
  <c r="D283"/>
  <c r="D281"/>
  <c r="D278"/>
  <c r="D279"/>
  <c r="D277"/>
  <c r="D274"/>
  <c r="D275"/>
  <c r="D273"/>
  <c r="D270"/>
  <c r="D271"/>
  <c r="D269"/>
  <c r="D266"/>
  <c r="D267"/>
  <c r="D265"/>
  <c r="D262"/>
  <c r="D263"/>
  <c r="D261"/>
  <c r="D258"/>
  <c r="D259"/>
  <c r="D257"/>
  <c r="D254"/>
  <c r="D255"/>
  <c r="D253"/>
  <c r="D250"/>
  <c r="D251"/>
  <c r="D249"/>
  <c r="D246"/>
  <c r="D247"/>
  <c r="D245"/>
  <c r="D242"/>
  <c r="D243"/>
  <c r="D241"/>
  <c r="D238"/>
  <c r="D239"/>
  <c r="D237"/>
  <c r="D234"/>
  <c r="D235"/>
  <c r="D233"/>
  <c r="D230"/>
  <c r="D231"/>
  <c r="D229"/>
  <c r="D227"/>
  <c r="D226"/>
  <c r="D225"/>
  <c r="D223"/>
  <c r="D222"/>
  <c r="D221"/>
  <c r="D219"/>
  <c r="D218"/>
  <c r="D217"/>
  <c r="D215"/>
  <c r="D214"/>
  <c r="D213"/>
  <c r="D211"/>
  <c r="D210"/>
  <c r="D209"/>
  <c r="D207"/>
  <c r="D206"/>
  <c r="D203"/>
  <c r="D202"/>
  <c r="D201"/>
  <c r="D199"/>
  <c r="D198"/>
  <c r="D197"/>
  <c r="D195"/>
  <c r="D194"/>
  <c r="D193"/>
  <c r="D191"/>
  <c r="D190"/>
  <c r="D189"/>
  <c r="D163"/>
  <c r="D162"/>
  <c r="D161"/>
  <c r="D159"/>
  <c r="D315"/>
  <c r="D314"/>
  <c r="D313"/>
  <c r="D311"/>
  <c r="D310"/>
  <c r="D309"/>
  <c r="D307"/>
  <c r="D306"/>
  <c r="D305"/>
  <c r="D456"/>
  <c r="D455"/>
  <c r="D454"/>
  <c r="D452"/>
  <c r="D451"/>
  <c r="D450"/>
  <c r="H308" l="1"/>
  <c r="J582" i="92"/>
  <c r="I518" s="1"/>
  <c r="K518" s="1"/>
  <c r="L518" s="1"/>
  <c r="N518" s="1"/>
  <c r="AB290" i="111"/>
  <c r="H61" i="99"/>
  <c r="G91"/>
  <c r="I310" i="28"/>
  <c r="H310" s="1"/>
  <c r="G310" s="1"/>
  <c r="G102" i="64"/>
  <c r="H182"/>
  <c r="I182"/>
  <c r="K182"/>
  <c r="O518" i="92" l="1"/>
  <c r="Q518" s="1"/>
  <c r="Y582"/>
  <c r="M518"/>
  <c r="J518"/>
  <c r="G308" i="28"/>
  <c r="G61" i="99"/>
  <c r="H132" i="64"/>
  <c r="I132"/>
  <c r="K132"/>
  <c r="G132"/>
  <c r="J132"/>
  <c r="B123"/>
  <c r="I123"/>
  <c r="R518" i="92" l="1"/>
  <c r="T518" s="1"/>
  <c r="P518"/>
  <c r="F61" i="99"/>
  <c r="C389" i="28"/>
  <c r="B81" i="99" s="1"/>
  <c r="E361" i="28"/>
  <c r="D74" i="99" s="1"/>
  <c r="F425" i="28"/>
  <c r="F426"/>
  <c r="F326" s="1"/>
  <c r="F427"/>
  <c r="F327" s="1"/>
  <c r="F428"/>
  <c r="F328" s="1"/>
  <c r="I426"/>
  <c r="J426"/>
  <c r="K426"/>
  <c r="L426"/>
  <c r="L326" s="1"/>
  <c r="M426"/>
  <c r="M326" s="1"/>
  <c r="I427"/>
  <c r="K427"/>
  <c r="L427"/>
  <c r="M427"/>
  <c r="I428"/>
  <c r="K428"/>
  <c r="L428"/>
  <c r="M428"/>
  <c r="I140" i="64"/>
  <c r="I389" i="28"/>
  <c r="H81" i="99" s="1"/>
  <c r="U81" s="1"/>
  <c r="K389" i="28"/>
  <c r="J81" i="99" s="1"/>
  <c r="W81" s="1"/>
  <c r="H137" i="28"/>
  <c r="G137" s="1"/>
  <c r="M136"/>
  <c r="L30" i="99" s="1"/>
  <c r="Y30" s="1"/>
  <c r="L136" i="28"/>
  <c r="K30" i="99" s="1"/>
  <c r="X30" s="1"/>
  <c r="K136" i="28"/>
  <c r="J30" i="99" s="1"/>
  <c r="W30" s="1"/>
  <c r="I136" i="28"/>
  <c r="H30" i="99" s="1"/>
  <c r="U30" s="1"/>
  <c r="S518" i="92" l="1"/>
  <c r="U518"/>
  <c r="V518" s="1"/>
  <c r="G50" i="64"/>
  <c r="K50"/>
  <c r="J50"/>
  <c r="G122"/>
  <c r="I50"/>
  <c r="I122"/>
  <c r="H138" i="28" l="1"/>
  <c r="G138" s="1"/>
  <c r="H139" l="1"/>
  <c r="G139" s="1"/>
  <c r="J136"/>
  <c r="J389"/>
  <c r="I81" i="99" s="1"/>
  <c r="I30" l="1"/>
  <c r="H50" i="64"/>
  <c r="H136" i="28"/>
  <c r="AB81" i="99"/>
  <c r="AC81" s="1"/>
  <c r="AD81" s="1"/>
  <c r="V81"/>
  <c r="H122" i="64"/>
  <c r="G136" i="28" l="1"/>
  <c r="F30" i="99" s="1"/>
  <c r="G30"/>
  <c r="AB30"/>
  <c r="AC30" s="1"/>
  <c r="AD30" s="1"/>
  <c r="V30"/>
  <c r="AY17" i="90"/>
  <c r="AM100"/>
  <c r="AC100"/>
  <c r="AZ20" s="1"/>
  <c r="T100"/>
  <c r="N100"/>
  <c r="F100"/>
  <c r="S20" s="1"/>
  <c r="AL98"/>
  <c r="AL100" s="1"/>
  <c r="AK98"/>
  <c r="AK100" s="1"/>
  <c r="F77"/>
  <c r="F76"/>
  <c r="F75"/>
  <c r="F74"/>
  <c r="F73"/>
  <c r="F72"/>
  <c r="F71"/>
  <c r="AC67"/>
  <c r="F67"/>
  <c r="AC66"/>
  <c r="F66"/>
  <c r="AC65"/>
  <c r="G65"/>
  <c r="F65"/>
  <c r="AC64"/>
  <c r="F64"/>
  <c r="AC63"/>
  <c r="F63"/>
  <c r="AC62"/>
  <c r="F62"/>
  <c r="AC61"/>
  <c r="F61"/>
  <c r="AC60"/>
  <c r="F60"/>
  <c r="AO59"/>
  <c r="T59"/>
  <c r="G59"/>
  <c r="AW45"/>
  <c r="AW43" s="1"/>
  <c r="AV45"/>
  <c r="AV43" s="1"/>
  <c r="AU45"/>
  <c r="AD45"/>
  <c r="T45"/>
  <c r="T43" s="1"/>
  <c r="G45"/>
  <c r="F45" s="1"/>
  <c r="AZ43"/>
  <c r="AY43"/>
  <c r="AX43"/>
  <c r="AT43"/>
  <c r="AS43"/>
  <c r="AR43"/>
  <c r="AQ43"/>
  <c r="AP43"/>
  <c r="AL43"/>
  <c r="AK43"/>
  <c r="AJ43"/>
  <c r="AI43"/>
  <c r="AH43"/>
  <c r="AG43"/>
  <c r="AF43"/>
  <c r="AE43"/>
  <c r="AD43"/>
  <c r="AB43"/>
  <c r="AA43"/>
  <c r="Z43"/>
  <c r="Y43"/>
  <c r="X43"/>
  <c r="W43"/>
  <c r="V43"/>
  <c r="U43"/>
  <c r="P43"/>
  <c r="O43"/>
  <c r="N43"/>
  <c r="M43"/>
  <c r="L43"/>
  <c r="K43"/>
  <c r="J43"/>
  <c r="I43"/>
  <c r="H43"/>
  <c r="G43"/>
  <c r="AX40"/>
  <c r="AX41" s="1"/>
  <c r="AX36" s="1"/>
  <c r="AX42" s="1"/>
  <c r="AW40"/>
  <c r="AW41" s="1"/>
  <c r="AU40"/>
  <c r="AU41" s="1"/>
  <c r="AU36" s="1"/>
  <c r="AU42" s="1"/>
  <c r="AT40"/>
  <c r="AT41" s="1"/>
  <c r="AS40"/>
  <c r="AS41" s="1"/>
  <c r="AR40"/>
  <c r="AR41" s="1"/>
  <c r="AQ40"/>
  <c r="AQ41" s="1"/>
  <c r="AQ36" s="1"/>
  <c r="AQ42" s="1"/>
  <c r="AP40"/>
  <c r="AP41" s="1"/>
  <c r="AL40"/>
  <c r="AL41" s="1"/>
  <c r="AK40"/>
  <c r="AK41" s="1"/>
  <c r="AK36" s="1"/>
  <c r="AK42" s="1"/>
  <c r="AJ40"/>
  <c r="AJ41" s="1"/>
  <c r="AI40"/>
  <c r="AI41" s="1"/>
  <c r="AH40"/>
  <c r="AH41" s="1"/>
  <c r="AG40"/>
  <c r="AG41" s="1"/>
  <c r="AG36" s="1"/>
  <c r="AG42" s="1"/>
  <c r="AF40"/>
  <c r="AF41" s="1"/>
  <c r="AE40"/>
  <c r="AE41" s="1"/>
  <c r="AE36" s="1"/>
  <c r="AE42" s="1"/>
  <c r="Z40"/>
  <c r="Z41" s="1"/>
  <c r="Y40"/>
  <c r="Y41" s="1"/>
  <c r="X40"/>
  <c r="X41" s="1"/>
  <c r="X36" s="1"/>
  <c r="X42" s="1"/>
  <c r="W40"/>
  <c r="W41" s="1"/>
  <c r="V40"/>
  <c r="V41" s="1"/>
  <c r="U40"/>
  <c r="U41" s="1"/>
  <c r="Q40"/>
  <c r="Q41" s="1"/>
  <c r="Q36" s="1"/>
  <c r="O40"/>
  <c r="O41" s="1"/>
  <c r="N40"/>
  <c r="N41" s="1"/>
  <c r="M40"/>
  <c r="M41" s="1"/>
  <c r="L40"/>
  <c r="L41" s="1"/>
  <c r="L36" s="1"/>
  <c r="L42" s="1"/>
  <c r="K40"/>
  <c r="K41" s="1"/>
  <c r="J40"/>
  <c r="J41" s="1"/>
  <c r="I40"/>
  <c r="I41" s="1"/>
  <c r="H40"/>
  <c r="H41" s="1"/>
  <c r="H36" s="1"/>
  <c r="H42" s="1"/>
  <c r="AO39"/>
  <c r="AD39"/>
  <c r="T39"/>
  <c r="G39"/>
  <c r="AZ38"/>
  <c r="AY38"/>
  <c r="AD38"/>
  <c r="T38"/>
  <c r="S38"/>
  <c r="R38"/>
  <c r="AZ37"/>
  <c r="AY37"/>
  <c r="AD37"/>
  <c r="AD40" s="1"/>
  <c r="AD41" s="1"/>
  <c r="T37"/>
  <c r="S37"/>
  <c r="R37"/>
  <c r="G37" s="1"/>
  <c r="AS35"/>
  <c r="AO35"/>
  <c r="AH35"/>
  <c r="AD35"/>
  <c r="AC35" s="1"/>
  <c r="X35"/>
  <c r="T35"/>
  <c r="G35"/>
  <c r="F35" s="1"/>
  <c r="AO34"/>
  <c r="AD34"/>
  <c r="T34"/>
  <c r="G34"/>
  <c r="AS33"/>
  <c r="AO33"/>
  <c r="AH33"/>
  <c r="AD33"/>
  <c r="X33"/>
  <c r="T33"/>
  <c r="G33"/>
  <c r="AO32"/>
  <c r="AD32"/>
  <c r="T32"/>
  <c r="G32"/>
  <c r="AS31"/>
  <c r="AS32" s="1"/>
  <c r="AO31"/>
  <c r="AH31"/>
  <c r="AH32" s="1"/>
  <c r="AD31"/>
  <c r="X31"/>
  <c r="X32" s="1"/>
  <c r="T31"/>
  <c r="G31"/>
  <c r="AD30"/>
  <c r="G30"/>
  <c r="AO29"/>
  <c r="AD29"/>
  <c r="T29"/>
  <c r="G29"/>
  <c r="F29" s="1"/>
  <c r="AO28"/>
  <c r="AD28"/>
  <c r="AO27"/>
  <c r="AD27"/>
  <c r="AC27" s="1"/>
  <c r="T27"/>
  <c r="G27"/>
  <c r="T26"/>
  <c r="AW25"/>
  <c r="AU25"/>
  <c r="AT25"/>
  <c r="AS25"/>
  <c r="AR25"/>
  <c r="AQ25"/>
  <c r="AP25"/>
  <c r="AL25"/>
  <c r="AK25"/>
  <c r="AJ25"/>
  <c r="AI25"/>
  <c r="AH25"/>
  <c r="AG25"/>
  <c r="AF25"/>
  <c r="Z25"/>
  <c r="T25" s="1"/>
  <c r="Y25"/>
  <c r="X25"/>
  <c r="W25"/>
  <c r="V25"/>
  <c r="U25"/>
  <c r="O25"/>
  <c r="N25"/>
  <c r="M25"/>
  <c r="L25"/>
  <c r="K25"/>
  <c r="J25"/>
  <c r="I25"/>
  <c r="AU23"/>
  <c r="AT23"/>
  <c r="AS23"/>
  <c r="AR23"/>
  <c r="AQ23"/>
  <c r="AP23"/>
  <c r="AK23"/>
  <c r="AJ23"/>
  <c r="AI23"/>
  <c r="AH23"/>
  <c r="AG23"/>
  <c r="AF23"/>
  <c r="Z23"/>
  <c r="Y23"/>
  <c r="X23"/>
  <c r="W23"/>
  <c r="V23"/>
  <c r="U23"/>
  <c r="T23"/>
  <c r="N23"/>
  <c r="G23" s="1"/>
  <c r="M23"/>
  <c r="L23"/>
  <c r="K23"/>
  <c r="J23"/>
  <c r="I23"/>
  <c r="AZ22"/>
  <c r="AY22"/>
  <c r="AX22"/>
  <c r="AX16" s="1"/>
  <c r="AE22"/>
  <c r="AE16" s="1"/>
  <c r="P22"/>
  <c r="H22"/>
  <c r="H16" s="1"/>
  <c r="H46" s="1"/>
  <c r="H14" s="1"/>
  <c r="AY20"/>
  <c r="AY40" s="1"/>
  <c r="AY41" s="1"/>
  <c r="AY36" s="1"/>
  <c r="AY42" s="1"/>
  <c r="AV20"/>
  <c r="AV40" s="1"/>
  <c r="AV41" s="1"/>
  <c r="AB20"/>
  <c r="AB40" s="1"/>
  <c r="AB41" s="1"/>
  <c r="AB36" s="1"/>
  <c r="AB42" s="1"/>
  <c r="AA20"/>
  <c r="AA16" s="1"/>
  <c r="P20"/>
  <c r="AD19"/>
  <c r="T19"/>
  <c r="G19"/>
  <c r="AD18"/>
  <c r="T18"/>
  <c r="G18"/>
  <c r="AO17"/>
  <c r="AD17" s="1"/>
  <c r="T17"/>
  <c r="R17"/>
  <c r="G17" s="1"/>
  <c r="AY16"/>
  <c r="AY46" s="1"/>
  <c r="AY14" s="1"/>
  <c r="AY15" s="1"/>
  <c r="Z16"/>
  <c r="Z46" s="1"/>
  <c r="Q16"/>
  <c r="Q46" s="1"/>
  <c r="Q14" s="1"/>
  <c r="Q15" s="1"/>
  <c r="F32" l="1"/>
  <c r="G38"/>
  <c r="AD23"/>
  <c r="F27"/>
  <c r="AC28"/>
  <c r="T28" s="1"/>
  <c r="G28" s="1"/>
  <c r="F28" s="1"/>
  <c r="E28" s="1"/>
  <c r="AC29"/>
  <c r="F31"/>
  <c r="X30"/>
  <c r="T30" s="1"/>
  <c r="AS30"/>
  <c r="AO30" s="1"/>
  <c r="AC31"/>
  <c r="F59"/>
  <c r="AC33"/>
  <c r="AB16"/>
  <c r="AB46" s="1"/>
  <c r="AB14" s="1"/>
  <c r="AB15" s="1"/>
  <c r="AD25"/>
  <c r="AC32"/>
  <c r="AH36"/>
  <c r="AH42" s="1"/>
  <c r="AH24"/>
  <c r="AL24"/>
  <c r="AL36"/>
  <c r="AL42" s="1"/>
  <c r="AO20"/>
  <c r="AZ16"/>
  <c r="AZ46" s="1"/>
  <c r="AZ14" s="1"/>
  <c r="AZ15" s="1"/>
  <c r="AZ40"/>
  <c r="AZ41" s="1"/>
  <c r="I36"/>
  <c r="I42" s="1"/>
  <c r="I24"/>
  <c r="M36"/>
  <c r="M42" s="1"/>
  <c r="M24"/>
  <c r="M26" s="1"/>
  <c r="M22" s="1"/>
  <c r="M16" s="1"/>
  <c r="U36"/>
  <c r="U42" s="1"/>
  <c r="U24"/>
  <c r="Y36"/>
  <c r="Y42" s="1"/>
  <c r="Y24"/>
  <c r="Y26" s="1"/>
  <c r="Y22" s="1"/>
  <c r="Y16" s="1"/>
  <c r="AR36"/>
  <c r="AR42" s="1"/>
  <c r="AR24"/>
  <c r="E27"/>
  <c r="AC34"/>
  <c r="AO45"/>
  <c r="AO43" s="1"/>
  <c r="U26"/>
  <c r="U27" s="1"/>
  <c r="U22" s="1"/>
  <c r="U16" s="1"/>
  <c r="F30"/>
  <c r="F34"/>
  <c r="AC17"/>
  <c r="J386" i="28" s="1"/>
  <c r="AH26" i="90"/>
  <c r="AH22" s="1"/>
  <c r="AH16" s="1"/>
  <c r="AH46" s="1"/>
  <c r="AH14" s="1"/>
  <c r="AC30"/>
  <c r="F33"/>
  <c r="AO38"/>
  <c r="Z14"/>
  <c r="Z15" s="1"/>
  <c r="AV24"/>
  <c r="AV36"/>
  <c r="AV42" s="1"/>
  <c r="K36"/>
  <c r="K42" s="1"/>
  <c r="K24"/>
  <c r="K26" s="1"/>
  <c r="O24"/>
  <c r="O36"/>
  <c r="O42" s="1"/>
  <c r="W36"/>
  <c r="W42" s="1"/>
  <c r="W24"/>
  <c r="AI36"/>
  <c r="AI42" s="1"/>
  <c r="AI24"/>
  <c r="AP36"/>
  <c r="AP42" s="1"/>
  <c r="AP24"/>
  <c r="J24"/>
  <c r="J36"/>
  <c r="J42" s="1"/>
  <c r="N24"/>
  <c r="N36"/>
  <c r="N42" s="1"/>
  <c r="V24"/>
  <c r="V36"/>
  <c r="V42" s="1"/>
  <c r="Z24"/>
  <c r="T24" s="1"/>
  <c r="Z36"/>
  <c r="Z42" s="1"/>
  <c r="AS36"/>
  <c r="AS42" s="1"/>
  <c r="AS24"/>
  <c r="S16"/>
  <c r="S40"/>
  <c r="S41" s="1"/>
  <c r="S36" s="1"/>
  <c r="AX46"/>
  <c r="AX14" s="1"/>
  <c r="AX15" s="1"/>
  <c r="F23"/>
  <c r="AW36"/>
  <c r="AW42" s="1"/>
  <c r="AW24"/>
  <c r="F43"/>
  <c r="H15"/>
  <c r="H57"/>
  <c r="AA46"/>
  <c r="AA14" s="1"/>
  <c r="AA15" s="1"/>
  <c r="AE14"/>
  <c r="AE46"/>
  <c r="AF36"/>
  <c r="AF42" s="1"/>
  <c r="AF24"/>
  <c r="AF26" s="1"/>
  <c r="AJ36"/>
  <c r="AJ42" s="1"/>
  <c r="AJ24"/>
  <c r="T22"/>
  <c r="AJ26"/>
  <c r="E30"/>
  <c r="E29"/>
  <c r="AZ36"/>
  <c r="AZ42" s="1"/>
  <c r="AT36"/>
  <c r="AT42" s="1"/>
  <c r="AT24"/>
  <c r="AT26" s="1"/>
  <c r="P16"/>
  <c r="G25"/>
  <c r="F25" s="1"/>
  <c r="I26"/>
  <c r="I27" s="1"/>
  <c r="AR26"/>
  <c r="AR22" s="1"/>
  <c r="AR16" s="1"/>
  <c r="AD36"/>
  <c r="AD42" s="1"/>
  <c r="AU43"/>
  <c r="R20"/>
  <c r="L24"/>
  <c r="L26" s="1"/>
  <c r="X24"/>
  <c r="AI26"/>
  <c r="AI22" s="1"/>
  <c r="AI16" s="1"/>
  <c r="AO37"/>
  <c r="AO40" s="1"/>
  <c r="AO41" s="1"/>
  <c r="P40"/>
  <c r="P41" s="1"/>
  <c r="P36" s="1"/>
  <c r="P42" s="1"/>
  <c r="AA40"/>
  <c r="AA41" s="1"/>
  <c r="AA36" s="1"/>
  <c r="AA42" s="1"/>
  <c r="F17"/>
  <c r="J73" i="28" s="1"/>
  <c r="T20" i="90"/>
  <c r="T40" s="1"/>
  <c r="T41" s="1"/>
  <c r="T36" s="1"/>
  <c r="T42" s="1"/>
  <c r="AV23"/>
  <c r="AG24"/>
  <c r="AK24"/>
  <c r="AQ24"/>
  <c r="AQ26" s="1"/>
  <c r="AU24"/>
  <c r="AU26" s="1"/>
  <c r="AV25"/>
  <c r="AO25" s="1"/>
  <c r="AC25" s="1"/>
  <c r="K22" l="1"/>
  <c r="K16" s="1"/>
  <c r="Z57"/>
  <c r="AC45"/>
  <c r="Y46"/>
  <c r="Y14" s="1"/>
  <c r="AL26"/>
  <c r="AL22" s="1"/>
  <c r="AL16" s="1"/>
  <c r="T16"/>
  <c r="AC20"/>
  <c r="J387" i="28"/>
  <c r="AI46" i="90"/>
  <c r="AI14" s="1"/>
  <c r="AH57"/>
  <c r="AH15"/>
  <c r="AR46"/>
  <c r="AR14" s="1"/>
  <c r="K46"/>
  <c r="K14" s="1"/>
  <c r="AD24"/>
  <c r="AJ22"/>
  <c r="AJ16" s="1"/>
  <c r="AK26"/>
  <c r="AD26" s="1"/>
  <c r="AC26" s="1"/>
  <c r="AE57"/>
  <c r="AE15"/>
  <c r="AW26"/>
  <c r="AW22" s="1"/>
  <c r="AW16" s="1"/>
  <c r="AO24"/>
  <c r="AU22"/>
  <c r="AU16" s="1"/>
  <c r="AO23"/>
  <c r="R40"/>
  <c r="R41" s="1"/>
  <c r="R36" s="1"/>
  <c r="R16"/>
  <c r="V26"/>
  <c r="J26"/>
  <c r="J22" s="1"/>
  <c r="J16" s="1"/>
  <c r="E25"/>
  <c r="L22"/>
  <c r="L16" s="1"/>
  <c r="AQ22"/>
  <c r="AQ16" s="1"/>
  <c r="AT22"/>
  <c r="AT16" s="1"/>
  <c r="X26"/>
  <c r="X22" s="1"/>
  <c r="X16" s="1"/>
  <c r="W26"/>
  <c r="W22" s="1"/>
  <c r="W16" s="1"/>
  <c r="I22"/>
  <c r="I16" s="1"/>
  <c r="AP26"/>
  <c r="AP22" s="1"/>
  <c r="AP16" s="1"/>
  <c r="G20"/>
  <c r="AG26"/>
  <c r="AG22" s="1"/>
  <c r="AG16" s="1"/>
  <c r="E17"/>
  <c r="T46"/>
  <c r="T14"/>
  <c r="U14"/>
  <c r="U46"/>
  <c r="AS26"/>
  <c r="AS22" s="1"/>
  <c r="AS16" s="1"/>
  <c r="S46"/>
  <c r="S14" s="1"/>
  <c r="S15" s="1"/>
  <c r="N26"/>
  <c r="N22" s="1"/>
  <c r="N16" s="1"/>
  <c r="G24"/>
  <c r="O26"/>
  <c r="O22" s="1"/>
  <c r="O16" s="1"/>
  <c r="M46"/>
  <c r="M14" s="1"/>
  <c r="M15" s="1"/>
  <c r="P46"/>
  <c r="P14" s="1"/>
  <c r="P15" s="1"/>
  <c r="AF27"/>
  <c r="AF22" s="1"/>
  <c r="AF16" s="1"/>
  <c r="AV26"/>
  <c r="AV22" s="1"/>
  <c r="AV16" s="1"/>
  <c r="AO36"/>
  <c r="AO42" s="1"/>
  <c r="Y57" l="1"/>
  <c r="Y15"/>
  <c r="AC43"/>
  <c r="E43" s="1"/>
  <c r="E45"/>
  <c r="AL46"/>
  <c r="AL14"/>
  <c r="AL15" s="1"/>
  <c r="V27"/>
  <c r="V22" s="1"/>
  <c r="V16" s="1"/>
  <c r="V46" s="1"/>
  <c r="V14" s="1"/>
  <c r="AP46"/>
  <c r="AP14" s="1"/>
  <c r="J46"/>
  <c r="J14" s="1"/>
  <c r="AS46"/>
  <c r="AS14" s="1"/>
  <c r="K57"/>
  <c r="K15"/>
  <c r="W46"/>
  <c r="W14" s="1"/>
  <c r="AF46"/>
  <c r="AF14" s="1"/>
  <c r="O46"/>
  <c r="O14" s="1"/>
  <c r="O15" s="1"/>
  <c r="AG46"/>
  <c r="AG14" s="1"/>
  <c r="AI57"/>
  <c r="AI15"/>
  <c r="N46"/>
  <c r="N14" s="1"/>
  <c r="N15" s="1"/>
  <c r="AT46"/>
  <c r="AT14" s="1"/>
  <c r="R46"/>
  <c r="R14" s="1"/>
  <c r="R15" s="1"/>
  <c r="AU46"/>
  <c r="AU14" s="1"/>
  <c r="AU15" s="1"/>
  <c r="F24"/>
  <c r="E24" s="1"/>
  <c r="U57"/>
  <c r="U15"/>
  <c r="F20"/>
  <c r="J74" i="28" s="1"/>
  <c r="G40" i="90"/>
  <c r="G41" s="1"/>
  <c r="G36" s="1"/>
  <c r="G42" s="1"/>
  <c r="L46"/>
  <c r="L14" s="1"/>
  <c r="AV46"/>
  <c r="AV14" s="1"/>
  <c r="AW46"/>
  <c r="AW14" s="1"/>
  <c r="AW15" s="1"/>
  <c r="AR15"/>
  <c r="AR57"/>
  <c r="AO22"/>
  <c r="AO16" s="1"/>
  <c r="AC23"/>
  <c r="E23" s="1"/>
  <c r="AJ46"/>
  <c r="AJ14" s="1"/>
  <c r="I46"/>
  <c r="I14" s="1"/>
  <c r="AQ46"/>
  <c r="AQ14" s="1"/>
  <c r="AK22"/>
  <c r="AK16" s="1"/>
  <c r="G26"/>
  <c r="F26" s="1"/>
  <c r="E26" s="1"/>
  <c r="T57"/>
  <c r="T15"/>
  <c r="X46"/>
  <c r="X14" s="1"/>
  <c r="AD22"/>
  <c r="G22" l="1"/>
  <c r="F22" s="1"/>
  <c r="AQ57"/>
  <c r="AQ15"/>
  <c r="L15"/>
  <c r="L57"/>
  <c r="AF15"/>
  <c r="AF57"/>
  <c r="AS57"/>
  <c r="AS15"/>
  <c r="X57"/>
  <c r="X15"/>
  <c r="V57"/>
  <c r="V15"/>
  <c r="AJ15"/>
  <c r="AJ57"/>
  <c r="AG15"/>
  <c r="AG57"/>
  <c r="I15"/>
  <c r="I57"/>
  <c r="W57"/>
  <c r="W15"/>
  <c r="J57"/>
  <c r="J15"/>
  <c r="AC22"/>
  <c r="AC16" s="1"/>
  <c r="AD16"/>
  <c r="AT57"/>
  <c r="AT15"/>
  <c r="AP57"/>
  <c r="AP15"/>
  <c r="E20"/>
  <c r="F16"/>
  <c r="AK46"/>
  <c r="AK14" s="1"/>
  <c r="AK15" s="1"/>
  <c r="AO46"/>
  <c r="G16"/>
  <c r="AV57"/>
  <c r="AV15"/>
  <c r="E22" l="1"/>
  <c r="AC46"/>
  <c r="AC14" s="1"/>
  <c r="AC15" s="1"/>
  <c r="AC78" s="1"/>
  <c r="J388" i="28"/>
  <c r="AO14" i="90"/>
  <c r="AO15" s="1"/>
  <c r="E16"/>
  <c r="G46"/>
  <c r="AD46"/>
  <c r="AD14" s="1"/>
  <c r="F46" l="1"/>
  <c r="E46" s="1"/>
  <c r="E14" s="1"/>
  <c r="E15" s="1"/>
  <c r="J75" i="28"/>
  <c r="AO57" i="90"/>
  <c r="G14"/>
  <c r="G57" s="1"/>
  <c r="F57" s="1"/>
  <c r="AD15"/>
  <c r="AD57"/>
  <c r="F14"/>
  <c r="F15" s="1"/>
  <c r="F78" s="1"/>
  <c r="AC57" l="1"/>
  <c r="E57" s="1"/>
  <c r="G15"/>
  <c r="D436" i="28"/>
  <c r="D435"/>
  <c r="D434"/>
  <c r="D123" i="64"/>
  <c r="E362" i="28"/>
  <c r="E439"/>
  <c r="E440"/>
  <c r="E438"/>
  <c r="D440"/>
  <c r="D439"/>
  <c r="D438"/>
  <c r="G82"/>
  <c r="H350"/>
  <c r="G350" s="1"/>
  <c r="H414"/>
  <c r="H390"/>
  <c r="G390" s="1"/>
  <c r="H391"/>
  <c r="G391" s="1"/>
  <c r="H392"/>
  <c r="G392" s="1"/>
  <c r="H394"/>
  <c r="G394" s="1"/>
  <c r="H395"/>
  <c r="G395" s="1"/>
  <c r="H396"/>
  <c r="G396" s="1"/>
  <c r="H387"/>
  <c r="G387" s="1"/>
  <c r="H388"/>
  <c r="G388" s="1"/>
  <c r="H378"/>
  <c r="G378" s="1"/>
  <c r="H379"/>
  <c r="G379" s="1"/>
  <c r="H380"/>
  <c r="G380" s="1"/>
  <c r="H382"/>
  <c r="G382" s="1"/>
  <c r="H383"/>
  <c r="G383" s="1"/>
  <c r="H384"/>
  <c r="G384" s="1"/>
  <c r="H386"/>
  <c r="G386" s="1"/>
  <c r="H362"/>
  <c r="G362" s="1"/>
  <c r="H363"/>
  <c r="G363" s="1"/>
  <c r="H364"/>
  <c r="G364" s="1"/>
  <c r="H366"/>
  <c r="G366" s="1"/>
  <c r="H351"/>
  <c r="G351" s="1"/>
  <c r="H352"/>
  <c r="G352" s="1"/>
  <c r="H342"/>
  <c r="G342" s="1"/>
  <c r="H205" l="1"/>
  <c r="H207"/>
  <c r="H209"/>
  <c r="H211"/>
  <c r="H213"/>
  <c r="H215"/>
  <c r="H217"/>
  <c r="H219"/>
  <c r="H221"/>
  <c r="H223"/>
  <c r="H225"/>
  <c r="H227"/>
  <c r="H229"/>
  <c r="H231"/>
  <c r="H233"/>
  <c r="H235"/>
  <c r="H237"/>
  <c r="H239"/>
  <c r="H241"/>
  <c r="H243"/>
  <c r="H245"/>
  <c r="H247"/>
  <c r="H249"/>
  <c r="H251"/>
  <c r="H253"/>
  <c r="H255"/>
  <c r="H257"/>
  <c r="H259"/>
  <c r="H261"/>
  <c r="H263"/>
  <c r="H265"/>
  <c r="H267"/>
  <c r="H269"/>
  <c r="H271"/>
  <c r="H273"/>
  <c r="H275"/>
  <c r="H277"/>
  <c r="H279"/>
  <c r="H281"/>
  <c r="H283"/>
  <c r="H285"/>
  <c r="H287"/>
  <c r="B46" i="64"/>
  <c r="I188" i="28"/>
  <c r="D10" i="32" s="1"/>
  <c r="H174" i="64"/>
  <c r="I174"/>
  <c r="K174"/>
  <c r="G174"/>
  <c r="H175"/>
  <c r="I175"/>
  <c r="K175"/>
  <c r="H176"/>
  <c r="J176"/>
  <c r="K176"/>
  <c r="H177"/>
  <c r="I177"/>
  <c r="J177"/>
  <c r="K177"/>
  <c r="G176"/>
  <c r="G175"/>
  <c r="B177"/>
  <c r="B176"/>
  <c r="B175"/>
  <c r="H173"/>
  <c r="K173"/>
  <c r="G173"/>
  <c r="I172"/>
  <c r="J172"/>
  <c r="K172"/>
  <c r="G172"/>
  <c r="H170"/>
  <c r="I170"/>
  <c r="J170"/>
  <c r="K170"/>
  <c r="H171"/>
  <c r="I171"/>
  <c r="J171"/>
  <c r="K171"/>
  <c r="I169"/>
  <c r="J169"/>
  <c r="K169"/>
  <c r="G169"/>
  <c r="H167"/>
  <c r="I167"/>
  <c r="J167"/>
  <c r="K167"/>
  <c r="H164"/>
  <c r="I164"/>
  <c r="K164"/>
  <c r="G164"/>
  <c r="H163"/>
  <c r="I163"/>
  <c r="K163"/>
  <c r="G163"/>
  <c r="H162"/>
  <c r="I162"/>
  <c r="J162"/>
  <c r="K162"/>
  <c r="G162"/>
  <c r="I533" i="28"/>
  <c r="L525"/>
  <c r="Y303" i="121" s="1"/>
  <c r="I509" i="28"/>
  <c r="H168" i="64"/>
  <c r="J168"/>
  <c r="K168"/>
  <c r="G168"/>
  <c r="H165"/>
  <c r="I165"/>
  <c r="J165"/>
  <c r="K165"/>
  <c r="H486" i="28"/>
  <c r="G486" s="1"/>
  <c r="H488"/>
  <c r="G488" s="1"/>
  <c r="H494"/>
  <c r="G494" s="1"/>
  <c r="H496"/>
  <c r="G496" s="1"/>
  <c r="H498"/>
  <c r="G498" s="1"/>
  <c r="H500"/>
  <c r="G500" s="1"/>
  <c r="H502"/>
  <c r="G502" s="1"/>
  <c r="H504"/>
  <c r="G504" s="1"/>
  <c r="H506"/>
  <c r="G506" s="1"/>
  <c r="H508"/>
  <c r="G508" s="1"/>
  <c r="H510"/>
  <c r="G510" s="1"/>
  <c r="H512"/>
  <c r="G512" s="1"/>
  <c r="H514"/>
  <c r="G514" s="1"/>
  <c r="H516"/>
  <c r="G516" s="1"/>
  <c r="H518"/>
  <c r="G518" s="1"/>
  <c r="H520"/>
  <c r="G520" s="1"/>
  <c r="H522"/>
  <c r="G522" s="1"/>
  <c r="H524"/>
  <c r="G524" s="1"/>
  <c r="H526"/>
  <c r="G526" s="1"/>
  <c r="H528"/>
  <c r="G528" s="1"/>
  <c r="H530"/>
  <c r="G530" s="1"/>
  <c r="H532"/>
  <c r="G532" s="1"/>
  <c r="H534"/>
  <c r="G534" s="1"/>
  <c r="H536"/>
  <c r="G536" s="1"/>
  <c r="G473"/>
  <c r="H474"/>
  <c r="H475"/>
  <c r="G475" s="1"/>
  <c r="H476"/>
  <c r="H478"/>
  <c r="G478" s="1"/>
  <c r="H480"/>
  <c r="G480" s="1"/>
  <c r="H482"/>
  <c r="G482" s="1"/>
  <c r="H484"/>
  <c r="G484" s="1"/>
  <c r="Y303" i="111" l="1"/>
  <c r="AE303" s="1"/>
  <c r="D21" i="32"/>
  <c r="D20" s="1"/>
  <c r="D31" s="1"/>
  <c r="D30"/>
  <c r="I469" i="28"/>
  <c r="H472"/>
  <c r="H470"/>
  <c r="H100" i="99"/>
  <c r="AA100" s="1"/>
  <c r="K104"/>
  <c r="X104" s="1"/>
  <c r="J97"/>
  <c r="W97" s="1"/>
  <c r="K92"/>
  <c r="AD92" s="1"/>
  <c r="J105"/>
  <c r="H99"/>
  <c r="U99" s="1"/>
  <c r="H106"/>
  <c r="AA106" s="1"/>
  <c r="F91"/>
  <c r="H35"/>
  <c r="G71" i="64"/>
  <c r="G474" i="28"/>
  <c r="G470" s="1"/>
  <c r="G476"/>
  <c r="G472" s="1"/>
  <c r="H477"/>
  <c r="H529"/>
  <c r="H505"/>
  <c r="G171" i="64"/>
  <c r="L527" i="28"/>
  <c r="H527" s="1"/>
  <c r="G527" s="1"/>
  <c r="H533"/>
  <c r="H509"/>
  <c r="G170" i="64"/>
  <c r="H525" i="28"/>
  <c r="G177" i="64"/>
  <c r="H531" i="28"/>
  <c r="G531" s="1"/>
  <c r="I168" i="64"/>
  <c r="J175"/>
  <c r="J163"/>
  <c r="H497" i="28"/>
  <c r="I176" i="64"/>
  <c r="I511" i="28"/>
  <c r="H511" s="1"/>
  <c r="G511" s="1"/>
  <c r="I535"/>
  <c r="H535" s="1"/>
  <c r="G535" s="1"/>
  <c r="G197"/>
  <c r="G198"/>
  <c r="G199"/>
  <c r="G202"/>
  <c r="G203"/>
  <c r="G205"/>
  <c r="G207"/>
  <c r="G209"/>
  <c r="G211"/>
  <c r="G213"/>
  <c r="G215"/>
  <c r="G217"/>
  <c r="G219"/>
  <c r="G221"/>
  <c r="G223"/>
  <c r="G225"/>
  <c r="G227"/>
  <c r="G229"/>
  <c r="G231"/>
  <c r="G233"/>
  <c r="G235"/>
  <c r="G237"/>
  <c r="G239"/>
  <c r="G241"/>
  <c r="G243"/>
  <c r="G245"/>
  <c r="G247"/>
  <c r="G249"/>
  <c r="G251"/>
  <c r="G253"/>
  <c r="G255"/>
  <c r="G257"/>
  <c r="G259"/>
  <c r="G261"/>
  <c r="G263"/>
  <c r="G265"/>
  <c r="G267"/>
  <c r="G269"/>
  <c r="G271"/>
  <c r="G273"/>
  <c r="G275"/>
  <c r="G277"/>
  <c r="G279"/>
  <c r="G281"/>
  <c r="G283"/>
  <c r="G285"/>
  <c r="G287"/>
  <c r="L160"/>
  <c r="H157"/>
  <c r="G157" s="1"/>
  <c r="H159"/>
  <c r="G159" s="1"/>
  <c r="H161"/>
  <c r="G161" s="1"/>
  <c r="H163"/>
  <c r="G163" s="1"/>
  <c r="H155"/>
  <c r="H92" i="64"/>
  <c r="J92"/>
  <c r="K92"/>
  <c r="H93"/>
  <c r="J93"/>
  <c r="H94"/>
  <c r="I94"/>
  <c r="J94"/>
  <c r="H95"/>
  <c r="I95"/>
  <c r="J95"/>
  <c r="K95"/>
  <c r="G93"/>
  <c r="G92"/>
  <c r="I86"/>
  <c r="J86"/>
  <c r="K86"/>
  <c r="H87"/>
  <c r="I87"/>
  <c r="J87"/>
  <c r="K87"/>
  <c r="I88"/>
  <c r="J88"/>
  <c r="K88"/>
  <c r="I89"/>
  <c r="J89"/>
  <c r="K89"/>
  <c r="H90"/>
  <c r="J90"/>
  <c r="K90"/>
  <c r="H91"/>
  <c r="J91"/>
  <c r="K91"/>
  <c r="G91"/>
  <c r="G90"/>
  <c r="G89"/>
  <c r="G88"/>
  <c r="G86"/>
  <c r="H85"/>
  <c r="I85"/>
  <c r="J85"/>
  <c r="K85"/>
  <c r="H83"/>
  <c r="I83"/>
  <c r="J83"/>
  <c r="K83"/>
  <c r="I84"/>
  <c r="J84"/>
  <c r="K84"/>
  <c r="G84"/>
  <c r="H82"/>
  <c r="I82"/>
  <c r="J82"/>
  <c r="K82"/>
  <c r="G81"/>
  <c r="H80"/>
  <c r="J80"/>
  <c r="K80"/>
  <c r="I81"/>
  <c r="J81"/>
  <c r="K81"/>
  <c r="G80"/>
  <c r="H75"/>
  <c r="I75"/>
  <c r="J75"/>
  <c r="H76"/>
  <c r="I76"/>
  <c r="J76"/>
  <c r="K76"/>
  <c r="K77"/>
  <c r="I78"/>
  <c r="J78"/>
  <c r="K78"/>
  <c r="H79"/>
  <c r="I79"/>
  <c r="J79"/>
  <c r="K79"/>
  <c r="G78"/>
  <c r="G77"/>
  <c r="J216" i="28"/>
  <c r="J228"/>
  <c r="J240"/>
  <c r="J248"/>
  <c r="J256"/>
  <c r="I204"/>
  <c r="J188"/>
  <c r="C185"/>
  <c r="E185"/>
  <c r="F185"/>
  <c r="C186"/>
  <c r="D186"/>
  <c r="E186"/>
  <c r="F186"/>
  <c r="C187"/>
  <c r="D187"/>
  <c r="E187"/>
  <c r="F187"/>
  <c r="D184"/>
  <c r="E184"/>
  <c r="F184"/>
  <c r="C184"/>
  <c r="D188" i="64"/>
  <c r="D190" s="1"/>
  <c r="E188"/>
  <c r="C179"/>
  <c r="C150"/>
  <c r="C445" i="28"/>
  <c r="C441" s="1"/>
  <c r="C99" i="64"/>
  <c r="C17"/>
  <c r="M570" i="92" l="1"/>
  <c r="Y570" s="1"/>
  <c r="M572"/>
  <c r="Y572" s="1"/>
  <c r="M568"/>
  <c r="Y568" s="1"/>
  <c r="S585"/>
  <c r="Y585" s="1"/>
  <c r="M562"/>
  <c r="M565"/>
  <c r="Y565" s="1"/>
  <c r="J559"/>
  <c r="C21" i="32"/>
  <c r="C32" s="1"/>
  <c r="D32"/>
  <c r="U100" i="99"/>
  <c r="AB100"/>
  <c r="AC100" s="1"/>
  <c r="AD100" s="1"/>
  <c r="U106"/>
  <c r="H499" i="28"/>
  <c r="G499" s="1"/>
  <c r="H507"/>
  <c r="G507" s="1"/>
  <c r="I471"/>
  <c r="H39" i="99"/>
  <c r="K34"/>
  <c r="I42"/>
  <c r="AB42" s="1"/>
  <c r="AC42" s="1"/>
  <c r="AD42" s="1"/>
  <c r="J56"/>
  <c r="W56" s="1"/>
  <c r="Y576" i="92"/>
  <c r="J55" i="99"/>
  <c r="W55" s="1"/>
  <c r="Y575" i="92"/>
  <c r="J54" i="99"/>
  <c r="W54" s="1"/>
  <c r="Y574" i="92"/>
  <c r="X92" i="99"/>
  <c r="W105"/>
  <c r="Y573" i="92"/>
  <c r="G92" i="99"/>
  <c r="AB106"/>
  <c r="AC106" s="1"/>
  <c r="AD106" s="1"/>
  <c r="AA35"/>
  <c r="AB35" s="1"/>
  <c r="AC35" s="1"/>
  <c r="AD35" s="1"/>
  <c r="U35"/>
  <c r="I48"/>
  <c r="V48" s="1"/>
  <c r="I52"/>
  <c r="A108"/>
  <c r="I50"/>
  <c r="AB50" s="1"/>
  <c r="I53"/>
  <c r="I45"/>
  <c r="I35"/>
  <c r="V35" s="1"/>
  <c r="G525" i="28"/>
  <c r="G104" i="99"/>
  <c r="G533" i="28"/>
  <c r="G106" i="99"/>
  <c r="G529" i="28"/>
  <c r="G105" i="99"/>
  <c r="G497" i="28"/>
  <c r="G97" i="99"/>
  <c r="G505" i="28"/>
  <c r="G99" i="99"/>
  <c r="G509" i="28"/>
  <c r="G100" i="99"/>
  <c r="H71" i="64"/>
  <c r="H479" i="28"/>
  <c r="G477"/>
  <c r="G75" i="64"/>
  <c r="I91"/>
  <c r="H78"/>
  <c r="I92"/>
  <c r="H272" i="28"/>
  <c r="H274"/>
  <c r="G274" s="1"/>
  <c r="H160"/>
  <c r="L162"/>
  <c r="H162" s="1"/>
  <c r="G162" s="1"/>
  <c r="I90" i="64"/>
  <c r="H266" i="28"/>
  <c r="G266" s="1"/>
  <c r="H264"/>
  <c r="H86" i="64"/>
  <c r="H248" i="28"/>
  <c r="J250"/>
  <c r="H250" s="1"/>
  <c r="G250" s="1"/>
  <c r="H81" i="64"/>
  <c r="H228" i="28"/>
  <c r="J230"/>
  <c r="H230" s="1"/>
  <c r="G230" s="1"/>
  <c r="H88" i="64"/>
  <c r="H256" i="28"/>
  <c r="J258"/>
  <c r="H258" s="1"/>
  <c r="G258" s="1"/>
  <c r="H84" i="64"/>
  <c r="H240" i="28"/>
  <c r="J242"/>
  <c r="H242" s="1"/>
  <c r="G242" s="1"/>
  <c r="H89" i="64"/>
  <c r="H260" i="28"/>
  <c r="H262"/>
  <c r="G262" s="1"/>
  <c r="I206"/>
  <c r="H268"/>
  <c r="H270"/>
  <c r="G270" s="1"/>
  <c r="H216"/>
  <c r="J218"/>
  <c r="C96" i="64"/>
  <c r="C61"/>
  <c r="C148" i="28"/>
  <c r="C149"/>
  <c r="C150"/>
  <c r="C151"/>
  <c r="F148"/>
  <c r="E143"/>
  <c r="E142"/>
  <c r="E141"/>
  <c r="D143"/>
  <c r="D142"/>
  <c r="D43"/>
  <c r="D42"/>
  <c r="C549"/>
  <c r="E549"/>
  <c r="C550"/>
  <c r="E550"/>
  <c r="C551"/>
  <c r="E551"/>
  <c r="C552"/>
  <c r="E552"/>
  <c r="F550"/>
  <c r="J550"/>
  <c r="K550"/>
  <c r="L550"/>
  <c r="M550"/>
  <c r="F551"/>
  <c r="J551"/>
  <c r="K551"/>
  <c r="M551"/>
  <c r="F552"/>
  <c r="G552"/>
  <c r="H552"/>
  <c r="I552"/>
  <c r="J552"/>
  <c r="K552"/>
  <c r="L552"/>
  <c r="M552"/>
  <c r="J549"/>
  <c r="K549"/>
  <c r="M549"/>
  <c r="F549"/>
  <c r="B304"/>
  <c r="B553"/>
  <c r="V52" i="99" l="1"/>
  <c r="AB52"/>
  <c r="AC52" s="1"/>
  <c r="AD52" s="1"/>
  <c r="C20" i="32"/>
  <c r="C31" s="1"/>
  <c r="Y562" i="92"/>
  <c r="X34" i="99"/>
  <c r="U39"/>
  <c r="A107"/>
  <c r="V42"/>
  <c r="AC50"/>
  <c r="AD50" s="1"/>
  <c r="V50"/>
  <c r="V45"/>
  <c r="V53"/>
  <c r="AD48"/>
  <c r="A109"/>
  <c r="C581" i="92"/>
  <c r="A60" i="99"/>
  <c r="G240" i="28"/>
  <c r="G48" i="99"/>
  <c r="G160" i="28"/>
  <c r="G34" i="99"/>
  <c r="F99"/>
  <c r="F105"/>
  <c r="F106"/>
  <c r="G268" i="28"/>
  <c r="G55" i="99"/>
  <c r="G256" i="28"/>
  <c r="G52" i="99"/>
  <c r="G228" i="28"/>
  <c r="G45" i="99"/>
  <c r="G248" i="28"/>
  <c r="G50" i="99"/>
  <c r="F92"/>
  <c r="F100"/>
  <c r="F97"/>
  <c r="F104"/>
  <c r="G264" i="28"/>
  <c r="G54" i="99"/>
  <c r="G272" i="28"/>
  <c r="G56" i="99"/>
  <c r="G216" i="28"/>
  <c r="G42" i="99"/>
  <c r="G260" i="28"/>
  <c r="G53" i="99"/>
  <c r="G479" i="28"/>
  <c r="H218"/>
  <c r="G218" s="1"/>
  <c r="F42" i="99" l="1"/>
  <c r="F54"/>
  <c r="F52"/>
  <c r="F55"/>
  <c r="F34"/>
  <c r="F53"/>
  <c r="F56"/>
  <c r="F50"/>
  <c r="F45"/>
  <c r="F48"/>
  <c r="F138" i="64"/>
  <c r="I139"/>
  <c r="B312" i="28"/>
  <c r="A62" i="99" s="1"/>
  <c r="H56" i="64"/>
  <c r="I56"/>
  <c r="J56"/>
  <c r="K56"/>
  <c r="G56"/>
  <c r="G55"/>
  <c r="F96"/>
  <c r="F70"/>
  <c r="B52"/>
  <c r="I24" i="28"/>
  <c r="F149"/>
  <c r="I149"/>
  <c r="J149"/>
  <c r="K149"/>
  <c r="L149"/>
  <c r="M149"/>
  <c r="F150"/>
  <c r="I150"/>
  <c r="F151"/>
  <c r="I151"/>
  <c r="J151"/>
  <c r="K151"/>
  <c r="L151"/>
  <c r="M151"/>
  <c r="F144"/>
  <c r="F129"/>
  <c r="J129"/>
  <c r="K129"/>
  <c r="L129"/>
  <c r="M129"/>
  <c r="F130"/>
  <c r="J130"/>
  <c r="K130"/>
  <c r="L130"/>
  <c r="M130"/>
  <c r="F131"/>
  <c r="J131"/>
  <c r="K131"/>
  <c r="L131"/>
  <c r="M131"/>
  <c r="F128"/>
  <c r="F93"/>
  <c r="I93"/>
  <c r="J93"/>
  <c r="K93"/>
  <c r="L93"/>
  <c r="M93"/>
  <c r="F94"/>
  <c r="I94"/>
  <c r="K94"/>
  <c r="L94"/>
  <c r="M94"/>
  <c r="F95"/>
  <c r="I95"/>
  <c r="K95"/>
  <c r="L95"/>
  <c r="M95"/>
  <c r="F92"/>
  <c r="K111"/>
  <c r="K103" s="1"/>
  <c r="F123" i="64"/>
  <c r="F144"/>
  <c r="F143" s="1"/>
  <c r="F48"/>
  <c r="F58"/>
  <c r="F52" s="1"/>
  <c r="G62"/>
  <c r="H62"/>
  <c r="I62"/>
  <c r="J62"/>
  <c r="K62"/>
  <c r="F62"/>
  <c r="G67"/>
  <c r="H67"/>
  <c r="I67"/>
  <c r="J67"/>
  <c r="K67"/>
  <c r="F67"/>
  <c r="I99"/>
  <c r="J99"/>
  <c r="K99"/>
  <c r="F99"/>
  <c r="G96"/>
  <c r="H96"/>
  <c r="I96"/>
  <c r="J96"/>
  <c r="K96"/>
  <c r="D17"/>
  <c r="J120" i="28"/>
  <c r="I27" i="99" s="1"/>
  <c r="J76" i="28"/>
  <c r="I19" i="99" s="1"/>
  <c r="H6" l="1"/>
  <c r="U6" s="1"/>
  <c r="H45" i="64"/>
  <c r="H28"/>
  <c r="H61"/>
  <c r="F61"/>
  <c r="K61"/>
  <c r="G61"/>
  <c r="I61"/>
  <c r="J61"/>
  <c r="J132" i="28"/>
  <c r="I29" i="99" s="1"/>
  <c r="V29" s="1"/>
  <c r="K132" i="28"/>
  <c r="J29" i="99" s="1"/>
  <c r="W29" s="1"/>
  <c r="L132" i="28"/>
  <c r="K29" i="99" s="1"/>
  <c r="X29" s="1"/>
  <c r="M132" i="28"/>
  <c r="L29" i="99" s="1"/>
  <c r="Y29" s="1"/>
  <c r="H53" i="28"/>
  <c r="G53" s="1"/>
  <c r="K128" l="1"/>
  <c r="L128"/>
  <c r="M128"/>
  <c r="J128"/>
  <c r="I49" i="64"/>
  <c r="I48" s="1"/>
  <c r="J49"/>
  <c r="J48" s="1"/>
  <c r="K49"/>
  <c r="K48" s="1"/>
  <c r="H49"/>
  <c r="H48" s="1"/>
  <c r="H79" i="28" l="1"/>
  <c r="G79" s="1"/>
  <c r="H78"/>
  <c r="G78" s="1"/>
  <c r="D31"/>
  <c r="D30"/>
  <c r="D29"/>
  <c r="D27"/>
  <c r="D26"/>
  <c r="D25"/>
  <c r="F51" i="76"/>
  <c r="F50"/>
  <c r="I359" i="28" s="1"/>
  <c r="H359" s="1"/>
  <c r="G359" s="1"/>
  <c r="K416"/>
  <c r="K408" s="1"/>
  <c r="K415"/>
  <c r="K356"/>
  <c r="H356" s="1"/>
  <c r="G356" s="1"/>
  <c r="K355"/>
  <c r="H355" s="1"/>
  <c r="G355" s="1"/>
  <c r="K354"/>
  <c r="K330" s="1"/>
  <c r="K110"/>
  <c r="K102" s="1"/>
  <c r="B18" i="64"/>
  <c r="D346" i="28"/>
  <c r="D105"/>
  <c r="B118" i="64"/>
  <c r="H415" i="28" l="1"/>
  <c r="K407"/>
  <c r="H354"/>
  <c r="G354" s="1"/>
  <c r="K326"/>
  <c r="F341"/>
  <c r="E69" i="99" s="1"/>
  <c r="C337" i="28"/>
  <c r="B68" i="99" s="1"/>
  <c r="E410" i="28"/>
  <c r="E411" s="1"/>
  <c r="E412" s="1"/>
  <c r="E342"/>
  <c r="E343" s="1"/>
  <c r="E344" s="1"/>
  <c r="E14" i="64"/>
  <c r="D14"/>
  <c r="W16" i="85" l="1"/>
  <c r="AC6" i="89"/>
  <c r="AC7"/>
  <c r="AB5"/>
  <c r="AB7"/>
  <c r="AB21"/>
  <c r="AB17"/>
  <c r="AB10"/>
  <c r="O6"/>
  <c r="AB6" s="1"/>
  <c r="O14"/>
  <c r="AB14" s="1"/>
  <c r="AC14" s="1"/>
  <c r="J8" i="85"/>
  <c r="L17" l="1"/>
  <c r="J18"/>
  <c r="J17"/>
  <c r="B18"/>
  <c r="B17"/>
  <c r="S122"/>
  <c r="P122"/>
  <c r="Q122"/>
  <c r="R122"/>
  <c r="Q123"/>
  <c r="R123"/>
  <c r="S123"/>
  <c r="P123"/>
  <c r="S71"/>
  <c r="P72"/>
  <c r="L11"/>
  <c r="L10"/>
  <c r="I11"/>
  <c r="F11"/>
  <c r="D11"/>
  <c r="I10"/>
  <c r="F10"/>
  <c r="D10"/>
  <c r="C10"/>
  <c r="J11" l="1"/>
  <c r="W11"/>
  <c r="W10"/>
  <c r="X10"/>
  <c r="X11" s="1"/>
  <c r="J10"/>
  <c r="I12"/>
  <c r="W17"/>
  <c r="X17" s="1"/>
  <c r="W18"/>
  <c r="X18" s="1"/>
  <c r="L19"/>
  <c r="L12"/>
  <c r="C12"/>
  <c r="D12"/>
  <c r="F12"/>
  <c r="E386" i="28"/>
  <c r="E27" i="83"/>
  <c r="E29" s="1"/>
  <c r="J14"/>
  <c r="M27" i="99"/>
  <c r="N108" i="28"/>
  <c r="M24" i="99" s="1"/>
  <c r="N104" i="28"/>
  <c r="M23" i="99" s="1"/>
  <c r="N84" i="28"/>
  <c r="M21" i="99" s="1"/>
  <c r="N72" i="28"/>
  <c r="M18" i="99" s="1"/>
  <c r="N68" i="28"/>
  <c r="M17" i="99" s="1"/>
  <c r="I305" i="28" l="1"/>
  <c r="H305" s="1"/>
  <c r="J581" i="92"/>
  <c r="J580" s="1"/>
  <c r="H60" i="99"/>
  <c r="I312" i="28"/>
  <c r="D6" i="32" s="1"/>
  <c r="D41" s="1"/>
  <c r="H304" i="28"/>
  <c r="G101" i="64"/>
  <c r="B143"/>
  <c r="C122"/>
  <c r="D122"/>
  <c r="E122"/>
  <c r="B122"/>
  <c r="C116"/>
  <c r="B51"/>
  <c r="D51"/>
  <c r="E51"/>
  <c r="A51"/>
  <c r="E138" i="28"/>
  <c r="E139"/>
  <c r="D139"/>
  <c r="D138"/>
  <c r="E137"/>
  <c r="D141"/>
  <c r="F365"/>
  <c r="E75" i="99" s="1"/>
  <c r="E365" i="28"/>
  <c r="D75" i="99" s="1"/>
  <c r="F369" i="28"/>
  <c r="E76" i="99" s="1"/>
  <c r="E370" i="28"/>
  <c r="E371"/>
  <c r="E372"/>
  <c r="D372"/>
  <c r="D371"/>
  <c r="D370"/>
  <c r="F373"/>
  <c r="F377"/>
  <c r="E78" i="99" s="1"/>
  <c r="F381" i="28"/>
  <c r="E79" i="99" s="1"/>
  <c r="C381" i="28"/>
  <c r="B79" i="99" s="1"/>
  <c r="F389" i="28"/>
  <c r="F385"/>
  <c r="E80" i="99" s="1"/>
  <c r="E392" i="28"/>
  <c r="D392"/>
  <c r="E391"/>
  <c r="E390"/>
  <c r="F409"/>
  <c r="C48" i="64"/>
  <c r="F46"/>
  <c r="F40" s="1"/>
  <c r="D46"/>
  <c r="F52" i="87"/>
  <c r="E51"/>
  <c r="F51" s="1"/>
  <c r="E50"/>
  <c r="E49"/>
  <c r="F49" s="1"/>
  <c r="I301" i="28" l="1"/>
  <c r="G305"/>
  <c r="G301" s="1"/>
  <c r="H301"/>
  <c r="D26" i="32"/>
  <c r="J312" i="28"/>
  <c r="E6" i="32" s="1"/>
  <c r="I300" i="28"/>
  <c r="Y580" i="92"/>
  <c r="U60" i="99"/>
  <c r="I62"/>
  <c r="W62" s="1"/>
  <c r="H62"/>
  <c r="V62" s="1"/>
  <c r="I314" i="28"/>
  <c r="G103" i="64"/>
  <c r="G99" s="1"/>
  <c r="F129"/>
  <c r="E82" i="99"/>
  <c r="F122" i="64"/>
  <c r="E81" i="99"/>
  <c r="F118" i="64"/>
  <c r="E77" i="99"/>
  <c r="G60"/>
  <c r="Y581" i="92"/>
  <c r="H306" i="28"/>
  <c r="G304"/>
  <c r="E53" i="87"/>
  <c r="F53" s="1"/>
  <c r="F50"/>
  <c r="E26" i="32" l="1"/>
  <c r="E41"/>
  <c r="J314" i="28"/>
  <c r="J302" s="1"/>
  <c r="H312"/>
  <c r="H300" s="1"/>
  <c r="H103" i="64"/>
  <c r="H99" s="1"/>
  <c r="J300" i="28"/>
  <c r="C6" i="32"/>
  <c r="I302" i="28"/>
  <c r="F60" i="99"/>
  <c r="G306" i="28"/>
  <c r="B15" i="99"/>
  <c r="C26" i="32" l="1"/>
  <c r="C41"/>
  <c r="G62" i="99"/>
  <c r="G312" i="28"/>
  <c r="F62" i="99" s="1"/>
  <c r="H314" i="28"/>
  <c r="G314" s="1"/>
  <c r="G302" s="1"/>
  <c r="F421"/>
  <c r="F417"/>
  <c r="K361"/>
  <c r="J74" i="99" s="1"/>
  <c r="W74" s="1"/>
  <c r="K322" i="28"/>
  <c r="N413"/>
  <c r="M83" i="99" s="1"/>
  <c r="K413" i="28"/>
  <c r="J83" i="99" s="1"/>
  <c r="L413" i="28"/>
  <c r="K83" i="99" s="1"/>
  <c r="X83" s="1"/>
  <c r="M413" i="28"/>
  <c r="L83" i="99" s="1"/>
  <c r="Y83" s="1"/>
  <c r="B174" i="64"/>
  <c r="D174"/>
  <c r="B173"/>
  <c r="D173"/>
  <c r="B172"/>
  <c r="D172"/>
  <c r="B171"/>
  <c r="D171"/>
  <c r="B170"/>
  <c r="D170"/>
  <c r="B169"/>
  <c r="D169"/>
  <c r="B168"/>
  <c r="D168"/>
  <c r="B167"/>
  <c r="D167"/>
  <c r="B185"/>
  <c r="C185"/>
  <c r="D185"/>
  <c r="A185"/>
  <c r="B184"/>
  <c r="C184"/>
  <c r="D184"/>
  <c r="M184"/>
  <c r="A184"/>
  <c r="B183"/>
  <c r="D183"/>
  <c r="A183"/>
  <c r="B179"/>
  <c r="A179"/>
  <c r="B150"/>
  <c r="A150"/>
  <c r="A143"/>
  <c r="B106"/>
  <c r="A106"/>
  <c r="B61"/>
  <c r="A61"/>
  <c r="A52"/>
  <c r="B182"/>
  <c r="A182"/>
  <c r="B165"/>
  <c r="D165"/>
  <c r="A165"/>
  <c r="B164"/>
  <c r="D164"/>
  <c r="A164"/>
  <c r="B163"/>
  <c r="D163"/>
  <c r="A163"/>
  <c r="B162"/>
  <c r="D162"/>
  <c r="A162"/>
  <c r="B146"/>
  <c r="C146"/>
  <c r="D146"/>
  <c r="A146"/>
  <c r="B145"/>
  <c r="C145"/>
  <c r="C144" s="1"/>
  <c r="C143" s="1"/>
  <c r="D145"/>
  <c r="A145"/>
  <c r="B141"/>
  <c r="D141"/>
  <c r="E141"/>
  <c r="A141"/>
  <c r="B140"/>
  <c r="A140"/>
  <c r="B139"/>
  <c r="C139"/>
  <c r="D139"/>
  <c r="E139"/>
  <c r="A139"/>
  <c r="A133"/>
  <c r="B132"/>
  <c r="D132"/>
  <c r="E132"/>
  <c r="A132"/>
  <c r="B131"/>
  <c r="E131"/>
  <c r="A131"/>
  <c r="B130"/>
  <c r="C130"/>
  <c r="D130"/>
  <c r="E130"/>
  <c r="A130"/>
  <c r="C129"/>
  <c r="D129"/>
  <c r="E129"/>
  <c r="B129"/>
  <c r="G300" i="28" l="1"/>
  <c r="F405"/>
  <c r="H302"/>
  <c r="AC83" i="99"/>
  <c r="AD83" s="1"/>
  <c r="W83"/>
  <c r="F132" i="64"/>
  <c r="E85" i="99"/>
  <c r="F131" i="64"/>
  <c r="E84" i="99"/>
  <c r="I130" i="64"/>
  <c r="K130"/>
  <c r="J130"/>
  <c r="I115"/>
  <c r="C182"/>
  <c r="I453" i="28"/>
  <c r="H90" i="99" s="1"/>
  <c r="U90" s="1"/>
  <c r="J453" i="28"/>
  <c r="I90" i="99" s="1"/>
  <c r="V90" s="1"/>
  <c r="K453" i="28"/>
  <c r="J90" i="99" s="1"/>
  <c r="W90" s="1"/>
  <c r="M453" i="28"/>
  <c r="L90" i="99" s="1"/>
  <c r="Y90" s="1"/>
  <c r="L453" i="28"/>
  <c r="K90" i="99" s="1"/>
  <c r="X90" s="1"/>
  <c r="I449" i="28"/>
  <c r="J449"/>
  <c r="K449"/>
  <c r="M449"/>
  <c r="H456"/>
  <c r="G456" s="1"/>
  <c r="H455"/>
  <c r="G455" s="1"/>
  <c r="H454"/>
  <c r="G454" s="1"/>
  <c r="H452"/>
  <c r="H451"/>
  <c r="H450"/>
  <c r="L449"/>
  <c r="D140" i="64"/>
  <c r="E433" i="28"/>
  <c r="D87" i="99" s="1"/>
  <c r="J418" i="28"/>
  <c r="J406" s="1"/>
  <c r="J419"/>
  <c r="J407" s="1"/>
  <c r="J420"/>
  <c r="J408" s="1"/>
  <c r="H448" l="1"/>
  <c r="H444" s="1"/>
  <c r="H447"/>
  <c r="H443" s="1"/>
  <c r="I89" i="99"/>
  <c r="V89" s="1"/>
  <c r="J445" i="28"/>
  <c r="J441" s="1"/>
  <c r="H446"/>
  <c r="H442" s="1"/>
  <c r="K89" i="99"/>
  <c r="X89" s="1"/>
  <c r="L445" i="28"/>
  <c r="L441" s="1"/>
  <c r="J89" i="99"/>
  <c r="W89" s="1"/>
  <c r="K445" i="28"/>
  <c r="K441" s="1"/>
  <c r="L89" i="99"/>
  <c r="Y89" s="1"/>
  <c r="M445" i="28"/>
  <c r="M441" s="1"/>
  <c r="H89" i="99"/>
  <c r="U89" s="1"/>
  <c r="I445" i="28"/>
  <c r="I441" s="1"/>
  <c r="F128" i="64"/>
  <c r="K145"/>
  <c r="G146"/>
  <c r="G145"/>
  <c r="H145"/>
  <c r="I146"/>
  <c r="J146"/>
  <c r="H146"/>
  <c r="J145"/>
  <c r="I145"/>
  <c r="K146"/>
  <c r="J417" i="28"/>
  <c r="H418"/>
  <c r="G418" s="1"/>
  <c r="E140" i="64"/>
  <c r="E434" i="28"/>
  <c r="E435"/>
  <c r="E436"/>
  <c r="G450"/>
  <c r="G446" s="1"/>
  <c r="G442" s="1"/>
  <c r="G452"/>
  <c r="G448" s="1"/>
  <c r="G444" s="1"/>
  <c r="G451"/>
  <c r="G447" s="1"/>
  <c r="G443" s="1"/>
  <c r="H453"/>
  <c r="H449"/>
  <c r="C417"/>
  <c r="C405" s="1"/>
  <c r="N409"/>
  <c r="M82" i="99" s="1"/>
  <c r="D410" i="28"/>
  <c r="D411" s="1"/>
  <c r="D412" s="1"/>
  <c r="AD89" i="99" l="1"/>
  <c r="G89"/>
  <c r="H445" i="28"/>
  <c r="H441" s="1"/>
  <c r="J144" i="64"/>
  <c r="J143" s="1"/>
  <c r="C131"/>
  <c r="B84" i="99"/>
  <c r="I84"/>
  <c r="G453" i="28"/>
  <c r="G90" i="99"/>
  <c r="H144" i="64"/>
  <c r="H143" s="1"/>
  <c r="G144"/>
  <c r="G143" s="1"/>
  <c r="K144"/>
  <c r="K143" s="1"/>
  <c r="I144"/>
  <c r="I143" s="1"/>
  <c r="G449" i="28"/>
  <c r="D131" i="64"/>
  <c r="E414" i="28"/>
  <c r="E415" s="1"/>
  <c r="E416" s="1"/>
  <c r="D414"/>
  <c r="D415" s="1"/>
  <c r="D416" s="1"/>
  <c r="F89" i="99" l="1"/>
  <c r="G445" i="28"/>
  <c r="G441" s="1"/>
  <c r="AB84" i="99"/>
  <c r="AC84" s="1"/>
  <c r="AD84" s="1"/>
  <c r="V84"/>
  <c r="F90"/>
  <c r="B103" i="64"/>
  <c r="D103"/>
  <c r="A103"/>
  <c r="B102"/>
  <c r="D102"/>
  <c r="A102"/>
  <c r="B101"/>
  <c r="D101"/>
  <c r="A101"/>
  <c r="B94" l="1"/>
  <c r="O94"/>
  <c r="D94"/>
  <c r="B95"/>
  <c r="O95"/>
  <c r="D95"/>
  <c r="A95"/>
  <c r="A94"/>
  <c r="B93"/>
  <c r="O93"/>
  <c r="D93"/>
  <c r="A93"/>
  <c r="B92"/>
  <c r="O92"/>
  <c r="D92"/>
  <c r="A92"/>
  <c r="B91"/>
  <c r="O91"/>
  <c r="D91"/>
  <c r="A91"/>
  <c r="B90"/>
  <c r="O90"/>
  <c r="D90"/>
  <c r="A90"/>
  <c r="B89"/>
  <c r="O89"/>
  <c r="D89"/>
  <c r="A89"/>
  <c r="B88"/>
  <c r="O88"/>
  <c r="D88"/>
  <c r="A88"/>
  <c r="B87"/>
  <c r="O87"/>
  <c r="D87"/>
  <c r="A87"/>
  <c r="B86"/>
  <c r="O86"/>
  <c r="D86"/>
  <c r="A86"/>
  <c r="B85"/>
  <c r="O85"/>
  <c r="D85"/>
  <c r="A85"/>
  <c r="B84"/>
  <c r="O84"/>
  <c r="D84"/>
  <c r="A84"/>
  <c r="B83"/>
  <c r="O83"/>
  <c r="D83"/>
  <c r="A83"/>
  <c r="B82"/>
  <c r="O82"/>
  <c r="D82"/>
  <c r="A82"/>
  <c r="B81"/>
  <c r="O81"/>
  <c r="D81"/>
  <c r="A81"/>
  <c r="B80"/>
  <c r="O80"/>
  <c r="D80"/>
  <c r="A80"/>
  <c r="B79"/>
  <c r="O79"/>
  <c r="D79"/>
  <c r="A79"/>
  <c r="B78"/>
  <c r="O78"/>
  <c r="D78"/>
  <c r="A78"/>
  <c r="O77"/>
  <c r="D77"/>
  <c r="A77"/>
  <c r="B76"/>
  <c r="O76"/>
  <c r="D76"/>
  <c r="A76"/>
  <c r="O75"/>
  <c r="D75"/>
  <c r="A75"/>
  <c r="D205" i="28" l="1"/>
  <c r="D185" s="1"/>
  <c r="D12" i="63"/>
  <c r="D11"/>
  <c r="B74" i="64"/>
  <c r="D74"/>
  <c r="A74"/>
  <c r="B73" l="1"/>
  <c r="D73"/>
  <c r="A73"/>
  <c r="B72"/>
  <c r="D72"/>
  <c r="A72"/>
  <c r="B71"/>
  <c r="D71"/>
  <c r="A71"/>
  <c r="B56"/>
  <c r="C56"/>
  <c r="D56"/>
  <c r="A56"/>
  <c r="B55"/>
  <c r="C55"/>
  <c r="D55"/>
  <c r="A55"/>
  <c r="E124" i="28"/>
  <c r="S25" i="88"/>
  <c r="R25"/>
  <c r="I553" i="28"/>
  <c r="P306" i="121" s="1"/>
  <c r="P305" s="1"/>
  <c r="O24" i="88"/>
  <c r="M24"/>
  <c r="J24"/>
  <c r="S23"/>
  <c r="M23"/>
  <c r="N23" s="1"/>
  <c r="I23"/>
  <c r="J23" s="1"/>
  <c r="S20"/>
  <c r="Q20"/>
  <c r="P20"/>
  <c r="S17"/>
  <c r="R17"/>
  <c r="S16"/>
  <c r="Q16"/>
  <c r="O16"/>
  <c r="M16"/>
  <c r="N16" s="1"/>
  <c r="I16"/>
  <c r="J16" s="1"/>
  <c r="S14"/>
  <c r="R14"/>
  <c r="Q14"/>
  <c r="K14"/>
  <c r="I14"/>
  <c r="J14" s="1"/>
  <c r="O13"/>
  <c r="M13"/>
  <c r="I13"/>
  <c r="K13" s="1"/>
  <c r="P290" i="121" l="1"/>
  <c r="P306" i="111"/>
  <c r="H559" i="28"/>
  <c r="L557"/>
  <c r="Y307" i="121" s="1"/>
  <c r="Y305" s="1"/>
  <c r="AE305" s="1"/>
  <c r="L551" i="28"/>
  <c r="I554"/>
  <c r="D16" i="32"/>
  <c r="J13" i="88"/>
  <c r="H107" i="99"/>
  <c r="E46" i="64"/>
  <c r="D28" i="99"/>
  <c r="G183" i="64"/>
  <c r="G182" s="1"/>
  <c r="H553" i="28"/>
  <c r="G107" i="99" s="1"/>
  <c r="I549" i="28"/>
  <c r="N24" i="88"/>
  <c r="J156" i="28"/>
  <c r="N13" i="88"/>
  <c r="O288" i="121" l="1"/>
  <c r="Y307" i="111"/>
  <c r="M584" i="92"/>
  <c r="AE306" i="111"/>
  <c r="P305"/>
  <c r="P290" s="1"/>
  <c r="O288" s="1"/>
  <c r="O248" s="1"/>
  <c r="G559" i="28"/>
  <c r="G557" s="1"/>
  <c r="F108" i="99" s="1"/>
  <c r="H557" i="28"/>
  <c r="G108" i="99" s="1"/>
  <c r="K108"/>
  <c r="J184" i="64"/>
  <c r="J182" s="1"/>
  <c r="L549" i="28"/>
  <c r="U107" i="99"/>
  <c r="H554" i="28"/>
  <c r="I550"/>
  <c r="I33" i="99"/>
  <c r="V33" s="1"/>
  <c r="G553" i="28"/>
  <c r="H555"/>
  <c r="I551"/>
  <c r="J158"/>
  <c r="H55" i="64"/>
  <c r="N14" i="88"/>
  <c r="O243" i="111" l="1"/>
  <c r="O258"/>
  <c r="AL257" i="118" s="1"/>
  <c r="AM257" s="1"/>
  <c r="AL247"/>
  <c r="AM247" s="1"/>
  <c r="O242" i="121"/>
  <c r="O248"/>
  <c r="P288"/>
  <c r="Q288"/>
  <c r="X108" i="99"/>
  <c r="AA108"/>
  <c r="AB108" s="1"/>
  <c r="AC108" s="1"/>
  <c r="AD108" s="1"/>
  <c r="Q288" i="111"/>
  <c r="P288"/>
  <c r="Y305"/>
  <c r="AE307"/>
  <c r="H549" i="28"/>
  <c r="H550"/>
  <c r="G554"/>
  <c r="G550" s="1"/>
  <c r="M583" i="92"/>
  <c r="F107" i="99"/>
  <c r="G549" i="28"/>
  <c r="G555"/>
  <c r="G551" s="1"/>
  <c r="H551"/>
  <c r="L156"/>
  <c r="K156"/>
  <c r="J150"/>
  <c r="M156"/>
  <c r="B54" i="64"/>
  <c r="C54"/>
  <c r="D54"/>
  <c r="A54"/>
  <c r="B50"/>
  <c r="A50"/>
  <c r="D137" i="28"/>
  <c r="E50" i="64"/>
  <c r="B49"/>
  <c r="A49"/>
  <c r="E45"/>
  <c r="A46"/>
  <c r="B45"/>
  <c r="C45"/>
  <c r="D45"/>
  <c r="A45"/>
  <c r="B44"/>
  <c r="D44"/>
  <c r="E44"/>
  <c r="A44"/>
  <c r="E42"/>
  <c r="E43"/>
  <c r="B43"/>
  <c r="D43"/>
  <c r="A43"/>
  <c r="F112" i="28"/>
  <c r="E113"/>
  <c r="E114" s="1"/>
  <c r="D113"/>
  <c r="D115" s="1"/>
  <c r="F65" i="87"/>
  <c r="F64"/>
  <c r="F63"/>
  <c r="F62"/>
  <c r="F61"/>
  <c r="F60"/>
  <c r="E59"/>
  <c r="F59" s="1"/>
  <c r="F58"/>
  <c r="F57"/>
  <c r="F45" s="1"/>
  <c r="F56"/>
  <c r="F55"/>
  <c r="F46"/>
  <c r="J48"/>
  <c r="I48"/>
  <c r="H48"/>
  <c r="G48"/>
  <c r="J47"/>
  <c r="I47"/>
  <c r="H47"/>
  <c r="G47"/>
  <c r="J46"/>
  <c r="I46"/>
  <c r="H46"/>
  <c r="G46"/>
  <c r="E46"/>
  <c r="J45"/>
  <c r="I45"/>
  <c r="H45"/>
  <c r="G45"/>
  <c r="E45"/>
  <c r="J44"/>
  <c r="I44"/>
  <c r="H44"/>
  <c r="G44"/>
  <c r="E44"/>
  <c r="J43"/>
  <c r="I43"/>
  <c r="H43"/>
  <c r="G43"/>
  <c r="E43"/>
  <c r="F41"/>
  <c r="F40"/>
  <c r="F39"/>
  <c r="F38"/>
  <c r="F37"/>
  <c r="E36"/>
  <c r="F36" s="1"/>
  <c r="E35"/>
  <c r="E30" s="1"/>
  <c r="F34"/>
  <c r="F33"/>
  <c r="F32"/>
  <c r="F31"/>
  <c r="E29"/>
  <c r="F28"/>
  <c r="F27"/>
  <c r="F26"/>
  <c r="F25"/>
  <c r="J24"/>
  <c r="I24"/>
  <c r="H24"/>
  <c r="G24"/>
  <c r="J23"/>
  <c r="I23"/>
  <c r="H23"/>
  <c r="G23"/>
  <c r="J22"/>
  <c r="I22"/>
  <c r="H22"/>
  <c r="G22"/>
  <c r="F22"/>
  <c r="E22"/>
  <c r="J21"/>
  <c r="I21"/>
  <c r="H21"/>
  <c r="G21"/>
  <c r="F21"/>
  <c r="E21"/>
  <c r="J20"/>
  <c r="I20"/>
  <c r="H20"/>
  <c r="G20"/>
  <c r="F20"/>
  <c r="E20"/>
  <c r="J19"/>
  <c r="J18" s="1"/>
  <c r="I19"/>
  <c r="H19"/>
  <c r="G19"/>
  <c r="E19"/>
  <c r="I18"/>
  <c r="I17"/>
  <c r="H17"/>
  <c r="G17"/>
  <c r="J16"/>
  <c r="I16"/>
  <c r="G16"/>
  <c r="E16"/>
  <c r="I15"/>
  <c r="H15"/>
  <c r="G15"/>
  <c r="E15"/>
  <c r="J14"/>
  <c r="I14"/>
  <c r="G14"/>
  <c r="E14"/>
  <c r="I13"/>
  <c r="H13"/>
  <c r="G13"/>
  <c r="E13"/>
  <c r="H5"/>
  <c r="G3"/>
  <c r="F65" i="86"/>
  <c r="F64"/>
  <c r="F63"/>
  <c r="F62"/>
  <c r="F61"/>
  <c r="F60"/>
  <c r="E59"/>
  <c r="E54" s="1"/>
  <c r="F54" s="1"/>
  <c r="F58"/>
  <c r="F46" s="1"/>
  <c r="F57"/>
  <c r="F56"/>
  <c r="F55"/>
  <c r="E53"/>
  <c r="F53" s="1"/>
  <c r="I368" i="28" s="1"/>
  <c r="H368" s="1"/>
  <c r="G368" s="1"/>
  <c r="F50" i="86"/>
  <c r="F49"/>
  <c r="J48"/>
  <c r="I48"/>
  <c r="H48"/>
  <c r="G48"/>
  <c r="J47"/>
  <c r="I47"/>
  <c r="H47"/>
  <c r="G47"/>
  <c r="J46"/>
  <c r="I46"/>
  <c r="H46"/>
  <c r="G46"/>
  <c r="E46"/>
  <c r="J45"/>
  <c r="I45"/>
  <c r="H45"/>
  <c r="G45"/>
  <c r="F45"/>
  <c r="E45"/>
  <c r="J44"/>
  <c r="I44"/>
  <c r="H44"/>
  <c r="H42" s="1"/>
  <c r="G44"/>
  <c r="E44"/>
  <c r="J43"/>
  <c r="I43"/>
  <c r="H43"/>
  <c r="G43"/>
  <c r="F43"/>
  <c r="E43"/>
  <c r="F41"/>
  <c r="F40"/>
  <c r="F39"/>
  <c r="F38"/>
  <c r="F37"/>
  <c r="E36"/>
  <c r="F36" s="1"/>
  <c r="E35"/>
  <c r="E30" s="1"/>
  <c r="F34"/>
  <c r="F33"/>
  <c r="F32"/>
  <c r="I134" i="28" s="1"/>
  <c r="F31" i="86"/>
  <c r="I133" i="28" s="1"/>
  <c r="E29" i="86"/>
  <c r="F29" s="1"/>
  <c r="I55" i="28" s="1"/>
  <c r="H55" s="1"/>
  <c r="G55" s="1"/>
  <c r="F26" i="86"/>
  <c r="F25"/>
  <c r="J24"/>
  <c r="I24"/>
  <c r="H24"/>
  <c r="G24"/>
  <c r="J23"/>
  <c r="J17" s="1"/>
  <c r="I23"/>
  <c r="H23"/>
  <c r="G23"/>
  <c r="J22"/>
  <c r="I22"/>
  <c r="I16" s="1"/>
  <c r="H22"/>
  <c r="G22"/>
  <c r="E22"/>
  <c r="J21"/>
  <c r="J15" s="1"/>
  <c r="I21"/>
  <c r="H21"/>
  <c r="G21"/>
  <c r="F21"/>
  <c r="F15" s="1"/>
  <c r="E21"/>
  <c r="J20"/>
  <c r="I20"/>
  <c r="H20"/>
  <c r="H18" s="1"/>
  <c r="G20"/>
  <c r="E20"/>
  <c r="E14" s="1"/>
  <c r="J19"/>
  <c r="I19"/>
  <c r="I18" s="1"/>
  <c r="H19"/>
  <c r="G19"/>
  <c r="F19"/>
  <c r="F13" s="1"/>
  <c r="E19"/>
  <c r="H17"/>
  <c r="G17"/>
  <c r="J16"/>
  <c r="H16"/>
  <c r="E16"/>
  <c r="H15"/>
  <c r="G15"/>
  <c r="J14"/>
  <c r="I14"/>
  <c r="J13"/>
  <c r="H13"/>
  <c r="G13"/>
  <c r="H5"/>
  <c r="G3"/>
  <c r="H14" l="1"/>
  <c r="O239" i="121"/>
  <c r="P242"/>
  <c r="Q242"/>
  <c r="Q248"/>
  <c r="R288"/>
  <c r="O258"/>
  <c r="O243"/>
  <c r="P243" s="1"/>
  <c r="P248"/>
  <c r="O242" i="111"/>
  <c r="AL241" i="118" s="1"/>
  <c r="AM241" s="1"/>
  <c r="AL242"/>
  <c r="AM242" s="1"/>
  <c r="Q248" i="111"/>
  <c r="Q242"/>
  <c r="H42" i="87"/>
  <c r="J42" i="86"/>
  <c r="G42"/>
  <c r="G18"/>
  <c r="J42" i="87"/>
  <c r="H12" i="86"/>
  <c r="G42" i="87"/>
  <c r="P248" i="111"/>
  <c r="R288"/>
  <c r="AE305"/>
  <c r="V584" i="92"/>
  <c r="S584"/>
  <c r="S583" s="1"/>
  <c r="P584"/>
  <c r="E47" i="86"/>
  <c r="H18" i="87"/>
  <c r="F22" i="86"/>
  <c r="F16" s="1"/>
  <c r="F19" i="87"/>
  <c r="E23"/>
  <c r="I42"/>
  <c r="K33" i="99"/>
  <c r="X33" s="1"/>
  <c r="J33"/>
  <c r="W33" s="1"/>
  <c r="L33"/>
  <c r="Y33" s="1"/>
  <c r="J18" i="86"/>
  <c r="J12" s="1"/>
  <c r="I129" i="28"/>
  <c r="H133"/>
  <c r="H12" i="87"/>
  <c r="G12" i="86"/>
  <c r="I130" i="28"/>
  <c r="H134"/>
  <c r="F20" i="86"/>
  <c r="I54" i="28"/>
  <c r="I42" i="86"/>
  <c r="F44"/>
  <c r="I367" i="28"/>
  <c r="H367" s="1"/>
  <c r="G367" s="1"/>
  <c r="F44" i="87"/>
  <c r="G18"/>
  <c r="F100" i="28"/>
  <c r="E25" i="99"/>
  <c r="L158" i="28"/>
  <c r="L150" s="1"/>
  <c r="J55" i="64"/>
  <c r="M158" i="28"/>
  <c r="M150" s="1"/>
  <c r="K55" i="64"/>
  <c r="K158" i="28"/>
  <c r="I55" i="64"/>
  <c r="H156" i="28"/>
  <c r="C53" i="64"/>
  <c r="C52" s="1"/>
  <c r="G14" i="86"/>
  <c r="E15"/>
  <c r="I15"/>
  <c r="H16" i="87"/>
  <c r="E54"/>
  <c r="F54" s="1"/>
  <c r="E13" i="86"/>
  <c r="I12"/>
  <c r="G12" i="87"/>
  <c r="I12"/>
  <c r="H14"/>
  <c r="F15"/>
  <c r="J15"/>
  <c r="I17" i="86"/>
  <c r="F59"/>
  <c r="F47" s="1"/>
  <c r="F42" s="1"/>
  <c r="J12" i="87"/>
  <c r="J17"/>
  <c r="F14"/>
  <c r="E24" i="86"/>
  <c r="F24" s="1"/>
  <c r="G16"/>
  <c r="F16" i="87"/>
  <c r="D114" i="28"/>
  <c r="E115"/>
  <c r="D50" i="64"/>
  <c r="E18" i="87"/>
  <c r="E48"/>
  <c r="E47"/>
  <c r="E42" s="1"/>
  <c r="F47"/>
  <c r="F29"/>
  <c r="F35"/>
  <c r="F30" s="1"/>
  <c r="J13"/>
  <c r="E24"/>
  <c r="F48" i="86"/>
  <c r="F35"/>
  <c r="E42"/>
  <c r="E48"/>
  <c r="N54" s="1"/>
  <c r="I13"/>
  <c r="E23"/>
  <c r="Q239" i="121" l="1"/>
  <c r="O256"/>
  <c r="P258"/>
  <c r="S288"/>
  <c r="R242"/>
  <c r="R239" s="1"/>
  <c r="R238" s="1"/>
  <c r="R6" s="1"/>
  <c r="T288"/>
  <c r="R248"/>
  <c r="O238"/>
  <c r="P239"/>
  <c r="Q258"/>
  <c r="Q243"/>
  <c r="S288" i="111"/>
  <c r="R242"/>
  <c r="R239" s="1"/>
  <c r="R248"/>
  <c r="S248" s="1"/>
  <c r="Q258"/>
  <c r="Q243"/>
  <c r="Q239"/>
  <c r="O256"/>
  <c r="AL255" i="118" s="1"/>
  <c r="AM255" s="1"/>
  <c r="P258" i="111"/>
  <c r="P243"/>
  <c r="T288"/>
  <c r="V583" i="92"/>
  <c r="H130" i="28"/>
  <c r="G134"/>
  <c r="G130" s="1"/>
  <c r="H129"/>
  <c r="G133"/>
  <c r="G129" s="1"/>
  <c r="H54"/>
  <c r="G54" s="1"/>
  <c r="I52"/>
  <c r="F23" i="86"/>
  <c r="F17" s="1"/>
  <c r="I135" i="28"/>
  <c r="F14" i="86"/>
  <c r="G156" i="28"/>
  <c r="G33" i="99"/>
  <c r="Y584" i="92"/>
  <c r="P583"/>
  <c r="K150" i="28"/>
  <c r="H158"/>
  <c r="G158" s="1"/>
  <c r="F8" i="86"/>
  <c r="F5" s="1"/>
  <c r="F7"/>
  <c r="F6"/>
  <c r="F30"/>
  <c r="F23" i="87"/>
  <c r="E17"/>
  <c r="F43"/>
  <c r="F48"/>
  <c r="N54"/>
  <c r="N48"/>
  <c r="E12"/>
  <c r="F18" i="86"/>
  <c r="E17"/>
  <c r="E18"/>
  <c r="E12" s="1"/>
  <c r="R258" i="121" l="1"/>
  <c r="R256" s="1"/>
  <c r="R252" s="1"/>
  <c r="R243"/>
  <c r="S243" s="1"/>
  <c r="Q256"/>
  <c r="T242"/>
  <c r="T248"/>
  <c r="O252"/>
  <c r="P252" s="1"/>
  <c r="P256"/>
  <c r="R274"/>
  <c r="R282"/>
  <c r="S242"/>
  <c r="S248"/>
  <c r="P238"/>
  <c r="O6"/>
  <c r="Q238"/>
  <c r="S239"/>
  <c r="R238" i="111"/>
  <c r="T242"/>
  <c r="T248"/>
  <c r="R258"/>
  <c r="R256" s="1"/>
  <c r="R252" s="1"/>
  <c r="R243"/>
  <c r="S243" s="1"/>
  <c r="Q238"/>
  <c r="Q6" s="1"/>
  <c r="S239"/>
  <c r="Q256"/>
  <c r="S242"/>
  <c r="P242"/>
  <c r="O239"/>
  <c r="O252"/>
  <c r="P256"/>
  <c r="Y583" i="92"/>
  <c r="I131" i="28"/>
  <c r="H135"/>
  <c r="I132"/>
  <c r="H13" i="99"/>
  <c r="G22" i="64"/>
  <c r="F33" i="99"/>
  <c r="F42" i="87"/>
  <c r="F13"/>
  <c r="F17"/>
  <c r="F18"/>
  <c r="E7" i="86"/>
  <c r="E8"/>
  <c r="E6"/>
  <c r="F12"/>
  <c r="O274" i="121" l="1"/>
  <c r="O282"/>
  <c r="P6"/>
  <c r="R285"/>
  <c r="R286" s="1"/>
  <c r="R283"/>
  <c r="S256"/>
  <c r="Q252"/>
  <c r="S252" s="1"/>
  <c r="T258"/>
  <c r="T243"/>
  <c r="T239"/>
  <c r="S238"/>
  <c r="Q6"/>
  <c r="S258"/>
  <c r="AL238" i="118"/>
  <c r="AM238" s="1"/>
  <c r="R6" i="111"/>
  <c r="P252"/>
  <c r="AL251" i="118"/>
  <c r="AM251" s="1"/>
  <c r="S256" i="111"/>
  <c r="Q252"/>
  <c r="S252" s="1"/>
  <c r="T239"/>
  <c r="T258"/>
  <c r="T243"/>
  <c r="S238"/>
  <c r="S258"/>
  <c r="P239"/>
  <c r="O238"/>
  <c r="AA13" i="99"/>
  <c r="AB13" s="1"/>
  <c r="AC13" s="1"/>
  <c r="AD13" s="1"/>
  <c r="U13"/>
  <c r="H29"/>
  <c r="I128" i="28"/>
  <c r="H132"/>
  <c r="G49" i="64"/>
  <c r="G48" s="1"/>
  <c r="H131" i="28"/>
  <c r="G135"/>
  <c r="G131" s="1"/>
  <c r="E5" i="86"/>
  <c r="F8" i="87"/>
  <c r="F6"/>
  <c r="F7"/>
  <c r="E8"/>
  <c r="E7"/>
  <c r="E6"/>
  <c r="F12"/>
  <c r="T256" i="121" l="1"/>
  <c r="T286"/>
  <c r="T238"/>
  <c r="Q274"/>
  <c r="Q282"/>
  <c r="S282" s="1"/>
  <c r="S6"/>
  <c r="P282"/>
  <c r="O283"/>
  <c r="O285"/>
  <c r="T283"/>
  <c r="T284" s="1"/>
  <c r="AL237" i="118"/>
  <c r="AM237" s="1"/>
  <c r="R282" i="111"/>
  <c r="R283" s="1"/>
  <c r="S6"/>
  <c r="T238"/>
  <c r="T256"/>
  <c r="O6"/>
  <c r="O273" s="1"/>
  <c r="P238"/>
  <c r="AA29" i="99"/>
  <c r="AB29" s="1"/>
  <c r="AC29" s="1"/>
  <c r="AD29" s="1"/>
  <c r="U29"/>
  <c r="H128" i="28"/>
  <c r="G29" i="99"/>
  <c r="G132" i="28"/>
  <c r="E5" i="87"/>
  <c r="F5"/>
  <c r="O286" i="121" l="1"/>
  <c r="P285"/>
  <c r="T287"/>
  <c r="T285"/>
  <c r="O284"/>
  <c r="Q283"/>
  <c r="T6"/>
  <c r="T252"/>
  <c r="P273" i="111"/>
  <c r="AL272" i="118"/>
  <c r="AM272" s="1"/>
  <c r="Q273" i="111"/>
  <c r="R285"/>
  <c r="R286" s="1"/>
  <c r="T286" s="1"/>
  <c r="O282"/>
  <c r="AL5" i="118"/>
  <c r="AM5" s="1"/>
  <c r="T252" i="111"/>
  <c r="T6"/>
  <c r="T283"/>
  <c r="T284" s="1"/>
  <c r="P6"/>
  <c r="F29" i="99"/>
  <c r="G128" i="28"/>
  <c r="A122" i="64"/>
  <c r="T274" i="121" l="1"/>
  <c r="T282"/>
  <c r="Q284"/>
  <c r="R284"/>
  <c r="Q286"/>
  <c r="O287"/>
  <c r="R273" i="111"/>
  <c r="S273" s="1"/>
  <c r="Q274"/>
  <c r="O285"/>
  <c r="O286" s="1"/>
  <c r="O283"/>
  <c r="AL273" i="118"/>
  <c r="AM273" s="1"/>
  <c r="T287" i="111"/>
  <c r="T285"/>
  <c r="Q282"/>
  <c r="P282"/>
  <c r="B121" i="64"/>
  <c r="C121"/>
  <c r="D121"/>
  <c r="E121"/>
  <c r="F121"/>
  <c r="A121"/>
  <c r="B120"/>
  <c r="C120"/>
  <c r="D120"/>
  <c r="E120"/>
  <c r="A120"/>
  <c r="D119"/>
  <c r="E119"/>
  <c r="B119"/>
  <c r="A119"/>
  <c r="C118"/>
  <c r="D118"/>
  <c r="E118"/>
  <c r="A118"/>
  <c r="F117"/>
  <c r="B117"/>
  <c r="C117"/>
  <c r="D117"/>
  <c r="E117"/>
  <c r="A117"/>
  <c r="F115"/>
  <c r="D116"/>
  <c r="E116"/>
  <c r="D115"/>
  <c r="E115"/>
  <c r="D111"/>
  <c r="E111"/>
  <c r="D110"/>
  <c r="E110"/>
  <c r="F110"/>
  <c r="D109"/>
  <c r="E109"/>
  <c r="C109"/>
  <c r="D108"/>
  <c r="D30"/>
  <c r="D29"/>
  <c r="D28"/>
  <c r="D27"/>
  <c r="D26"/>
  <c r="D25"/>
  <c r="D24"/>
  <c r="E24"/>
  <c r="D15"/>
  <c r="D16"/>
  <c r="D18"/>
  <c r="E18"/>
  <c r="D19"/>
  <c r="E19"/>
  <c r="D20"/>
  <c r="E20"/>
  <c r="D21"/>
  <c r="D23"/>
  <c r="B116"/>
  <c r="A116"/>
  <c r="A115"/>
  <c r="C115"/>
  <c r="B115"/>
  <c r="E114"/>
  <c r="D114"/>
  <c r="C114"/>
  <c r="B114"/>
  <c r="D113"/>
  <c r="E113"/>
  <c r="C113"/>
  <c r="B113"/>
  <c r="F112"/>
  <c r="E112"/>
  <c r="D112"/>
  <c r="C112"/>
  <c r="B112"/>
  <c r="F111"/>
  <c r="C111"/>
  <c r="B111"/>
  <c r="A111"/>
  <c r="C110"/>
  <c r="B110"/>
  <c r="A110"/>
  <c r="D42"/>
  <c r="Q285" i="121" l="1"/>
  <c r="S285" s="1"/>
  <c r="Q287"/>
  <c r="R287"/>
  <c r="T273" i="111"/>
  <c r="R274"/>
  <c r="S282"/>
  <c r="O284"/>
  <c r="Q283"/>
  <c r="P285"/>
  <c r="A30" i="64"/>
  <c r="A29"/>
  <c r="C76" i="28"/>
  <c r="B19" i="99" s="1"/>
  <c r="A28" i="64"/>
  <c r="A27"/>
  <c r="B27"/>
  <c r="B26"/>
  <c r="A26"/>
  <c r="B25"/>
  <c r="A25"/>
  <c r="B24"/>
  <c r="A24"/>
  <c r="B23"/>
  <c r="A23"/>
  <c r="D22"/>
  <c r="B22"/>
  <c r="A22"/>
  <c r="U273" i="111" l="1"/>
  <c r="W273" s="1"/>
  <c r="T274"/>
  <c r="T282"/>
  <c r="Q284"/>
  <c r="R284"/>
  <c r="O287"/>
  <c r="Q286"/>
  <c r="D127" i="28"/>
  <c r="D126"/>
  <c r="D125"/>
  <c r="X273" i="111" l="1"/>
  <c r="Z273" s="1"/>
  <c r="AA273" s="1"/>
  <c r="AB273" s="1"/>
  <c r="V273"/>
  <c r="Q285"/>
  <c r="Q287"/>
  <c r="R287"/>
  <c r="I236" i="28"/>
  <c r="Y273" i="111" l="1"/>
  <c r="S285"/>
  <c r="J567" i="92"/>
  <c r="Y567" s="1"/>
  <c r="H47" i="99"/>
  <c r="AC47" s="1"/>
  <c r="AD47" s="1"/>
  <c r="G83" i="64"/>
  <c r="H236" i="28"/>
  <c r="I238"/>
  <c r="D135"/>
  <c r="D49" i="64"/>
  <c r="E133" i="28"/>
  <c r="E134" s="1"/>
  <c r="E135" s="1"/>
  <c r="E49" i="64"/>
  <c r="D133" i="28"/>
  <c r="D134"/>
  <c r="U47" i="99" l="1"/>
  <c r="G236" i="28"/>
  <c r="G47" i="99"/>
  <c r="H238" i="28"/>
  <c r="G238" s="1"/>
  <c r="N429"/>
  <c r="M86" i="99" s="1"/>
  <c r="E430" i="28"/>
  <c r="E431" s="1"/>
  <c r="E432" s="1"/>
  <c r="D430"/>
  <c r="D431" s="1"/>
  <c r="D432" s="1"/>
  <c r="K417"/>
  <c r="K409"/>
  <c r="N385"/>
  <c r="M80" i="99" s="1"/>
  <c r="N349" i="28"/>
  <c r="M71" i="99" s="1"/>
  <c r="N345" i="28"/>
  <c r="M70" i="99" s="1"/>
  <c r="K337" i="28"/>
  <c r="H154"/>
  <c r="H153"/>
  <c r="I152"/>
  <c r="J152"/>
  <c r="K152"/>
  <c r="M152"/>
  <c r="L152"/>
  <c r="L140" i="69"/>
  <c r="J139"/>
  <c r="J138"/>
  <c r="P137"/>
  <c r="J137"/>
  <c r="P136"/>
  <c r="J136"/>
  <c r="J135"/>
  <c r="J134"/>
  <c r="P133"/>
  <c r="J133"/>
  <c r="J132"/>
  <c r="P131"/>
  <c r="P130"/>
  <c r="J130"/>
  <c r="P129"/>
  <c r="J129"/>
  <c r="P128"/>
  <c r="J128"/>
  <c r="I128"/>
  <c r="H128"/>
  <c r="G128"/>
  <c r="F128"/>
  <c r="P127"/>
  <c r="J127"/>
  <c r="I127"/>
  <c r="H127"/>
  <c r="G127"/>
  <c r="F127"/>
  <c r="E127"/>
  <c r="J126"/>
  <c r="J125"/>
  <c r="P124"/>
  <c r="J124"/>
  <c r="P123"/>
  <c r="P122"/>
  <c r="C121"/>
  <c r="P120"/>
  <c r="J120"/>
  <c r="P119"/>
  <c r="J119"/>
  <c r="J118"/>
  <c r="P117"/>
  <c r="J117"/>
  <c r="P116"/>
  <c r="J115"/>
  <c r="J114"/>
  <c r="J113"/>
  <c r="P112"/>
  <c r="J112"/>
  <c r="P111"/>
  <c r="J111"/>
  <c r="J110"/>
  <c r="P109"/>
  <c r="J109"/>
  <c r="P108"/>
  <c r="J108"/>
  <c r="J107"/>
  <c r="P106"/>
  <c r="J106"/>
  <c r="J105"/>
  <c r="J104"/>
  <c r="P103"/>
  <c r="J103"/>
  <c r="P102"/>
  <c r="J102"/>
  <c r="P101"/>
  <c r="J101"/>
  <c r="P100"/>
  <c r="J100"/>
  <c r="P99"/>
  <c r="J99"/>
  <c r="J98"/>
  <c r="J97"/>
  <c r="J96"/>
  <c r="J95"/>
  <c r="P94"/>
  <c r="P92"/>
  <c r="J92"/>
  <c r="P91"/>
  <c r="J91"/>
  <c r="P90"/>
  <c r="J90"/>
  <c r="P89"/>
  <c r="J89"/>
  <c r="J88"/>
  <c r="P87"/>
  <c r="P86"/>
  <c r="J86"/>
  <c r="J85"/>
  <c r="P84"/>
  <c r="J83"/>
  <c r="P82"/>
  <c r="O82"/>
  <c r="N82"/>
  <c r="J82"/>
  <c r="P81"/>
  <c r="O81"/>
  <c r="O140" s="1"/>
  <c r="N81"/>
  <c r="J81"/>
  <c r="P80"/>
  <c r="J80"/>
  <c r="P79"/>
  <c r="J79"/>
  <c r="P78"/>
  <c r="J78"/>
  <c r="J77"/>
  <c r="J76"/>
  <c r="J75"/>
  <c r="P74"/>
  <c r="J74"/>
  <c r="P73"/>
  <c r="P72"/>
  <c r="J72"/>
  <c r="J71"/>
  <c r="J70"/>
  <c r="J69"/>
  <c r="P68"/>
  <c r="J68"/>
  <c r="J66"/>
  <c r="J65"/>
  <c r="P64"/>
  <c r="J64"/>
  <c r="P63"/>
  <c r="P62"/>
  <c r="J61"/>
  <c r="J60"/>
  <c r="D60"/>
  <c r="P59"/>
  <c r="J59"/>
  <c r="D59"/>
  <c r="J58"/>
  <c r="D58"/>
  <c r="J57"/>
  <c r="D57"/>
  <c r="J56"/>
  <c r="D56"/>
  <c r="P55"/>
  <c r="J55"/>
  <c r="D55"/>
  <c r="J54"/>
  <c r="D54"/>
  <c r="J53"/>
  <c r="J52"/>
  <c r="P51"/>
  <c r="P50"/>
  <c r="J50"/>
  <c r="P49"/>
  <c r="J49"/>
  <c r="J48"/>
  <c r="P47"/>
  <c r="J47"/>
  <c r="J46"/>
  <c r="P45"/>
  <c r="J45"/>
  <c r="P44"/>
  <c r="P43"/>
  <c r="P42"/>
  <c r="P41"/>
  <c r="P40"/>
  <c r="P39"/>
  <c r="J38"/>
  <c r="J37"/>
  <c r="J36"/>
  <c r="J35"/>
  <c r="P34"/>
  <c r="P33"/>
  <c r="J33"/>
  <c r="J32"/>
  <c r="J31"/>
  <c r="J30"/>
  <c r="J29"/>
  <c r="J28"/>
  <c r="P27"/>
  <c r="J27"/>
  <c r="P26"/>
  <c r="J26"/>
  <c r="P25"/>
  <c r="J24"/>
  <c r="J23"/>
  <c r="J22"/>
  <c r="J21"/>
  <c r="P20"/>
  <c r="J19"/>
  <c r="J18"/>
  <c r="J17"/>
  <c r="P16"/>
  <c r="J16"/>
  <c r="P15"/>
  <c r="J15"/>
  <c r="P14"/>
  <c r="J13"/>
  <c r="P12"/>
  <c r="J11"/>
  <c r="P10"/>
  <c r="J10"/>
  <c r="P9"/>
  <c r="J9"/>
  <c r="D9"/>
  <c r="J8"/>
  <c r="D8"/>
  <c r="P7"/>
  <c r="J7"/>
  <c r="D7"/>
  <c r="J6"/>
  <c r="P5"/>
  <c r="J5"/>
  <c r="D5"/>
  <c r="J82" i="99" l="1"/>
  <c r="W82" s="1"/>
  <c r="K405" i="28"/>
  <c r="J68" i="99"/>
  <c r="W68" s="1"/>
  <c r="I140" i="69"/>
  <c r="F20" i="28" s="1"/>
  <c r="L32" i="99"/>
  <c r="Y32" s="1"/>
  <c r="J32"/>
  <c r="W32" s="1"/>
  <c r="F47"/>
  <c r="K32"/>
  <c r="H32"/>
  <c r="U32" s="1"/>
  <c r="J84"/>
  <c r="W84" s="1"/>
  <c r="I32"/>
  <c r="V32" s="1"/>
  <c r="I129" i="64"/>
  <c r="F140" i="69"/>
  <c r="F144" s="1"/>
  <c r="J140"/>
  <c r="I20" i="28" s="1"/>
  <c r="I109" i="64"/>
  <c r="I131"/>
  <c r="K148" i="28"/>
  <c r="I54" i="64"/>
  <c r="I53" s="1"/>
  <c r="M148" i="28"/>
  <c r="K54" i="64"/>
  <c r="K53" s="1"/>
  <c r="L148" i="28"/>
  <c r="J54" i="64"/>
  <c r="I148" i="28"/>
  <c r="G54" i="64"/>
  <c r="G53" s="1"/>
  <c r="J148" i="28"/>
  <c r="H54" i="64"/>
  <c r="H53" s="1"/>
  <c r="G154" i="28"/>
  <c r="G150" s="1"/>
  <c r="H150"/>
  <c r="G153"/>
  <c r="G149" s="1"/>
  <c r="H149"/>
  <c r="G155"/>
  <c r="G151" s="1"/>
  <c r="H151"/>
  <c r="L144" i="69"/>
  <c r="C333" i="28"/>
  <c r="F11" i="63"/>
  <c r="F30" s="1"/>
  <c r="F333" i="28"/>
  <c r="G140" i="69"/>
  <c r="H140"/>
  <c r="P140"/>
  <c r="H152" i="28"/>
  <c r="G32" i="99" s="1"/>
  <c r="C329" i="28" l="1"/>
  <c r="C325" s="1"/>
  <c r="E67" i="99"/>
  <c r="E5"/>
  <c r="H5"/>
  <c r="D9" i="32"/>
  <c r="F14" i="64"/>
  <c r="E11" i="63"/>
  <c r="E30" s="1"/>
  <c r="C20" i="28"/>
  <c r="AD32" i="99"/>
  <c r="X32"/>
  <c r="B67"/>
  <c r="I22" i="28"/>
  <c r="J20"/>
  <c r="I23"/>
  <c r="C14" i="64"/>
  <c r="J53"/>
  <c r="J52" s="1"/>
  <c r="H148" i="28"/>
  <c r="G152"/>
  <c r="F32" i="99" s="1"/>
  <c r="I333" i="28"/>
  <c r="C108" i="64"/>
  <c r="F108"/>
  <c r="J141" i="69"/>
  <c r="P141"/>
  <c r="K385" i="28"/>
  <c r="J80" i="99" s="1"/>
  <c r="W80" s="1"/>
  <c r="D388" i="28"/>
  <c r="B5" i="99" l="1"/>
  <c r="E9" i="32"/>
  <c r="U5" i="99"/>
  <c r="AA5"/>
  <c r="H67"/>
  <c r="AA67" s="1"/>
  <c r="D18" i="32"/>
  <c r="I5" i="99"/>
  <c r="V5" s="1"/>
  <c r="K20" i="28"/>
  <c r="J22"/>
  <c r="H14" i="64"/>
  <c r="J23" i="28"/>
  <c r="G148"/>
  <c r="I121" i="64"/>
  <c r="I336" i="28"/>
  <c r="I335"/>
  <c r="G108" i="64"/>
  <c r="J333" i="28"/>
  <c r="K381"/>
  <c r="J79" i="99" s="1"/>
  <c r="W79" s="1"/>
  <c r="L381" i="28"/>
  <c r="K79" i="99" s="1"/>
  <c r="X79" s="1"/>
  <c r="N381" i="28"/>
  <c r="M79" i="99" s="1"/>
  <c r="F120" i="64"/>
  <c r="E378" i="28"/>
  <c r="E379" s="1"/>
  <c r="E380" s="1"/>
  <c r="D378"/>
  <c r="D379" s="1"/>
  <c r="D380" s="1"/>
  <c r="F119" i="64"/>
  <c r="K377" i="28"/>
  <c r="J78" i="99" s="1"/>
  <c r="W78" s="1"/>
  <c r="K373" i="28"/>
  <c r="J77" i="99" s="1"/>
  <c r="W77" s="1"/>
  <c r="K369" i="28"/>
  <c r="J76" i="99" s="1"/>
  <c r="W76" s="1"/>
  <c r="E367" i="28"/>
  <c r="E366"/>
  <c r="E368" s="1"/>
  <c r="K365"/>
  <c r="J75" i="99" s="1"/>
  <c r="W75" s="1"/>
  <c r="N365" i="28"/>
  <c r="M75" i="99" s="1"/>
  <c r="F116" i="64"/>
  <c r="E18" i="32" l="1"/>
  <c r="E29" s="1"/>
  <c r="AB5" i="99"/>
  <c r="D29" i="32"/>
  <c r="U67" i="99"/>
  <c r="J5"/>
  <c r="W5" s="1"/>
  <c r="F9" i="32"/>
  <c r="I67" i="99"/>
  <c r="L20" i="28"/>
  <c r="K22"/>
  <c r="I14" i="64"/>
  <c r="K23" i="28"/>
  <c r="K19" s="1"/>
  <c r="J120" i="64"/>
  <c r="I117"/>
  <c r="I119"/>
  <c r="I116"/>
  <c r="I118"/>
  <c r="I120"/>
  <c r="J336" i="28"/>
  <c r="J335"/>
  <c r="H108" i="64"/>
  <c r="K333" i="28"/>
  <c r="C119" i="64"/>
  <c r="C107" s="1"/>
  <c r="N357" i="28"/>
  <c r="M73" i="99" s="1"/>
  <c r="F357" i="28"/>
  <c r="F18" i="32" l="1"/>
  <c r="F29" s="1"/>
  <c r="G9"/>
  <c r="AC5" i="99"/>
  <c r="AB67"/>
  <c r="V67"/>
  <c r="F114" i="64"/>
  <c r="E73" i="99"/>
  <c r="J67"/>
  <c r="K5"/>
  <c r="X5" s="1"/>
  <c r="J14" i="64"/>
  <c r="L22" i="28"/>
  <c r="L18" s="1"/>
  <c r="M20"/>
  <c r="L23"/>
  <c r="L19" s="1"/>
  <c r="K336"/>
  <c r="K332" s="1"/>
  <c r="K335"/>
  <c r="K331" s="1"/>
  <c r="I108" i="64"/>
  <c r="L333" i="28"/>
  <c r="K345"/>
  <c r="J70" i="99" s="1"/>
  <c r="W70" s="1"/>
  <c r="K341" i="28"/>
  <c r="N341"/>
  <c r="M69" i="99" s="1"/>
  <c r="N337" i="28"/>
  <c r="M68" i="99" s="1"/>
  <c r="G18" i="32" l="1"/>
  <c r="G29" s="1"/>
  <c r="H9"/>
  <c r="C9" s="1"/>
  <c r="AD5" i="99"/>
  <c r="J69"/>
  <c r="W69" s="1"/>
  <c r="AC67"/>
  <c r="W67"/>
  <c r="K67"/>
  <c r="L5"/>
  <c r="Y5" s="1"/>
  <c r="K14" i="64"/>
  <c r="H20" i="28"/>
  <c r="M23"/>
  <c r="M19" s="1"/>
  <c r="M22"/>
  <c r="M18" s="1"/>
  <c r="I111" i="64"/>
  <c r="I110"/>
  <c r="K327" i="28"/>
  <c r="L335"/>
  <c r="L336"/>
  <c r="L332" s="1"/>
  <c r="J108" i="64"/>
  <c r="M333" i="28"/>
  <c r="B109" i="64"/>
  <c r="E354" i="28"/>
  <c r="E355" s="1"/>
  <c r="E356" s="1"/>
  <c r="D355"/>
  <c r="D356" s="1"/>
  <c r="F353"/>
  <c r="F329" s="1"/>
  <c r="K353"/>
  <c r="J72" i="99" s="1"/>
  <c r="N353" i="28"/>
  <c r="M72" i="99" s="1"/>
  <c r="J288" i="28"/>
  <c r="K288"/>
  <c r="L288"/>
  <c r="M196"/>
  <c r="L196"/>
  <c r="K196"/>
  <c r="J196"/>
  <c r="J192"/>
  <c r="K192"/>
  <c r="L192"/>
  <c r="K188"/>
  <c r="L331" l="1"/>
  <c r="L327" s="1"/>
  <c r="H18" i="32"/>
  <c r="C18" s="1"/>
  <c r="K328" i="28"/>
  <c r="K324" s="1"/>
  <c r="F10" i="32"/>
  <c r="F30" s="1"/>
  <c r="AD67" i="99"/>
  <c r="X67"/>
  <c r="AC72"/>
  <c r="AD72" s="1"/>
  <c r="W72"/>
  <c r="F325" i="28"/>
  <c r="E72" i="99"/>
  <c r="J36"/>
  <c r="W36" s="1"/>
  <c r="L67"/>
  <c r="Y67" s="1"/>
  <c r="K36"/>
  <c r="X36" s="1"/>
  <c r="I37"/>
  <c r="V37" s="1"/>
  <c r="I36"/>
  <c r="V36" s="1"/>
  <c r="K37"/>
  <c r="X37" s="1"/>
  <c r="J37"/>
  <c r="W37" s="1"/>
  <c r="J35"/>
  <c r="W35" s="1"/>
  <c r="L37"/>
  <c r="Y37" s="1"/>
  <c r="G20" i="28"/>
  <c r="G5" i="99"/>
  <c r="I113" i="64"/>
  <c r="L328" i="28"/>
  <c r="I71" i="64"/>
  <c r="J73"/>
  <c r="H72"/>
  <c r="I73"/>
  <c r="I72"/>
  <c r="H73"/>
  <c r="J72"/>
  <c r="G73"/>
  <c r="K73"/>
  <c r="M336" i="28"/>
  <c r="M332" s="1"/>
  <c r="H333"/>
  <c r="M335"/>
  <c r="K108" i="64"/>
  <c r="F113"/>
  <c r="H196" i="28"/>
  <c r="N361"/>
  <c r="M74" i="99" s="1"/>
  <c r="K357" i="28"/>
  <c r="J73" i="99" s="1"/>
  <c r="W73" s="1"/>
  <c r="D352" i="28"/>
  <c r="K349"/>
  <c r="N333"/>
  <c r="M67" i="99" s="1"/>
  <c r="H29" i="32" l="1"/>
  <c r="K329" i="28"/>
  <c r="F17" i="32"/>
  <c r="M331" i="28"/>
  <c r="M327" s="1"/>
  <c r="G67" i="99"/>
  <c r="C29" i="32"/>
  <c r="J71" i="99"/>
  <c r="W71" s="1"/>
  <c r="G196" i="28"/>
  <c r="G37" i="99"/>
  <c r="F5"/>
  <c r="I114" i="64"/>
  <c r="H336" i="28"/>
  <c r="M328"/>
  <c r="G333"/>
  <c r="N558" i="92"/>
  <c r="N557" s="1"/>
  <c r="O558"/>
  <c r="O557" s="1"/>
  <c r="K558"/>
  <c r="K557" s="1"/>
  <c r="L558"/>
  <c r="L557" s="1"/>
  <c r="H335" i="28"/>
  <c r="F107" i="64"/>
  <c r="F106" s="1"/>
  <c r="F105" s="1"/>
  <c r="I112"/>
  <c r="D340" i="28"/>
  <c r="D339"/>
  <c r="D338"/>
  <c r="E340"/>
  <c r="I288"/>
  <c r="C288"/>
  <c r="D288"/>
  <c r="E288"/>
  <c r="F288"/>
  <c r="G288"/>
  <c r="H288"/>
  <c r="C289"/>
  <c r="D289"/>
  <c r="E289"/>
  <c r="F289"/>
  <c r="G289"/>
  <c r="H289"/>
  <c r="M288"/>
  <c r="I289"/>
  <c r="J289"/>
  <c r="L289"/>
  <c r="M289"/>
  <c r="F67" i="99" l="1"/>
  <c r="F37"/>
  <c r="I107" i="64"/>
  <c r="G336" i="28"/>
  <c r="G335"/>
  <c r="A63" i="64"/>
  <c r="G24" i="84"/>
  <c r="AA23"/>
  <c r="Z23"/>
  <c r="Y23"/>
  <c r="X23"/>
  <c r="W23"/>
  <c r="V23"/>
  <c r="U23"/>
  <c r="T23"/>
  <c r="R23"/>
  <c r="AA21"/>
  <c r="Z21"/>
  <c r="Y21"/>
  <c r="X21"/>
  <c r="W21"/>
  <c r="V21"/>
  <c r="U21"/>
  <c r="T21"/>
  <c r="S21"/>
  <c r="AA20"/>
  <c r="Z20"/>
  <c r="Y20"/>
  <c r="X20"/>
  <c r="W20"/>
  <c r="S20"/>
  <c r="R20"/>
  <c r="P20"/>
  <c r="J20"/>
  <c r="AA19"/>
  <c r="Z19"/>
  <c r="Y19"/>
  <c r="X19"/>
  <c r="W19"/>
  <c r="R19"/>
  <c r="P19"/>
  <c r="N19"/>
  <c r="O19" s="1"/>
  <c r="J19"/>
  <c r="AA18"/>
  <c r="Z18"/>
  <c r="Y18"/>
  <c r="X18"/>
  <c r="W18"/>
  <c r="V18"/>
  <c r="R18"/>
  <c r="L521" i="28"/>
  <c r="Y302" i="121" s="1"/>
  <c r="N18" i="84"/>
  <c r="O18" s="1"/>
  <c r="AA17"/>
  <c r="Z17"/>
  <c r="Y17"/>
  <c r="X17"/>
  <c r="W17"/>
  <c r="S17"/>
  <c r="R17"/>
  <c r="P17"/>
  <c r="N17"/>
  <c r="O17" s="1"/>
  <c r="AA16"/>
  <c r="Z16"/>
  <c r="Y16"/>
  <c r="X16"/>
  <c r="W16"/>
  <c r="U16"/>
  <c r="N16"/>
  <c r="O16" s="1"/>
  <c r="AA14"/>
  <c r="Z14"/>
  <c r="Y14"/>
  <c r="X14"/>
  <c r="W14"/>
  <c r="V14"/>
  <c r="U14"/>
  <c r="T14"/>
  <c r="S14"/>
  <c r="J14"/>
  <c r="AA13"/>
  <c r="Z13"/>
  <c r="Y13"/>
  <c r="X13"/>
  <c r="W13"/>
  <c r="N13"/>
  <c r="N14" s="1"/>
  <c r="O14" s="1"/>
  <c r="J13"/>
  <c r="AA12"/>
  <c r="Z12"/>
  <c r="Y12"/>
  <c r="X12"/>
  <c r="W12"/>
  <c r="U12"/>
  <c r="T12"/>
  <c r="R12"/>
  <c r="N12"/>
  <c r="O12" s="1"/>
  <c r="J12"/>
  <c r="AA11"/>
  <c r="Z11"/>
  <c r="Y11"/>
  <c r="X11"/>
  <c r="W11"/>
  <c r="U11"/>
  <c r="S11"/>
  <c r="N11"/>
  <c r="O11" s="1"/>
  <c r="J11"/>
  <c r="AA10"/>
  <c r="Z10"/>
  <c r="Y10"/>
  <c r="X10"/>
  <c r="W10"/>
  <c r="P10"/>
  <c r="N10"/>
  <c r="O10" s="1"/>
  <c r="J10"/>
  <c r="AA8"/>
  <c r="Z8"/>
  <c r="Y8"/>
  <c r="X8"/>
  <c r="W8"/>
  <c r="V8"/>
  <c r="P8"/>
  <c r="J8"/>
  <c r="AA7"/>
  <c r="Z7"/>
  <c r="Y7"/>
  <c r="X7"/>
  <c r="W7"/>
  <c r="P7"/>
  <c r="N7"/>
  <c r="O7" s="1"/>
  <c r="J7"/>
  <c r="AA6"/>
  <c r="Z6"/>
  <c r="Y6"/>
  <c r="X6"/>
  <c r="W6"/>
  <c r="T6"/>
  <c r="R6"/>
  <c r="N6"/>
  <c r="O6" s="1"/>
  <c r="J6"/>
  <c r="AA5"/>
  <c r="Z5"/>
  <c r="Y5"/>
  <c r="X5"/>
  <c r="W5"/>
  <c r="T5"/>
  <c r="R5"/>
  <c r="P5"/>
  <c r="N5"/>
  <c r="O5" s="1"/>
  <c r="J5"/>
  <c r="R26" i="83"/>
  <c r="Q26"/>
  <c r="P26"/>
  <c r="I284" i="28"/>
  <c r="J26" i="83"/>
  <c r="M280" i="28"/>
  <c r="L25" i="83"/>
  <c r="J25"/>
  <c r="H25"/>
  <c r="I25" s="1"/>
  <c r="M276" i="28"/>
  <c r="O24" i="83"/>
  <c r="N24"/>
  <c r="L24"/>
  <c r="U24"/>
  <c r="H24"/>
  <c r="I24" s="1"/>
  <c r="O23"/>
  <c r="N23"/>
  <c r="L23"/>
  <c r="U23"/>
  <c r="H23"/>
  <c r="I23" s="1"/>
  <c r="R22"/>
  <c r="M26"/>
  <c r="T22"/>
  <c r="H22"/>
  <c r="I22" s="1"/>
  <c r="R21"/>
  <c r="L21"/>
  <c r="J21"/>
  <c r="V21" s="1"/>
  <c r="H21"/>
  <c r="I21" s="1"/>
  <c r="P20"/>
  <c r="N20"/>
  <c r="L20"/>
  <c r="H20"/>
  <c r="I20" s="1"/>
  <c r="R19"/>
  <c r="Q19"/>
  <c r="P19"/>
  <c r="N19"/>
  <c r="L19"/>
  <c r="H19"/>
  <c r="I19" s="1"/>
  <c r="A19"/>
  <c r="A20" s="1"/>
  <c r="A24" s="1"/>
  <c r="A26" s="1"/>
  <c r="R18"/>
  <c r="H18"/>
  <c r="I18" s="1"/>
  <c r="W17"/>
  <c r="V17"/>
  <c r="U17"/>
  <c r="T17"/>
  <c r="S17"/>
  <c r="R17"/>
  <c r="Q17"/>
  <c r="P17"/>
  <c r="N17"/>
  <c r="L17"/>
  <c r="M17" s="1"/>
  <c r="H17"/>
  <c r="I17" s="1"/>
  <c r="A17"/>
  <c r="R16"/>
  <c r="Q16"/>
  <c r="P16"/>
  <c r="L16"/>
  <c r="H16"/>
  <c r="I16" s="1"/>
  <c r="R15"/>
  <c r="Q15"/>
  <c r="N15"/>
  <c r="L15"/>
  <c r="J15"/>
  <c r="H15"/>
  <c r="I15" s="1"/>
  <c r="R14"/>
  <c r="Q14"/>
  <c r="L14"/>
  <c r="T14"/>
  <c r="H14"/>
  <c r="I14" s="1"/>
  <c r="W13"/>
  <c r="V13"/>
  <c r="U13"/>
  <c r="T13"/>
  <c r="S13"/>
  <c r="Q13"/>
  <c r="P13"/>
  <c r="N13"/>
  <c r="R12"/>
  <c r="Q12"/>
  <c r="L12"/>
  <c r="W12"/>
  <c r="H12"/>
  <c r="I12" s="1"/>
  <c r="R11"/>
  <c r="Q11"/>
  <c r="L11"/>
  <c r="H11"/>
  <c r="I11" s="1"/>
  <c r="R10"/>
  <c r="O10"/>
  <c r="N10"/>
  <c r="L10"/>
  <c r="J10"/>
  <c r="U10" s="1"/>
  <c r="H10"/>
  <c r="I10" s="1"/>
  <c r="R9"/>
  <c r="Q9"/>
  <c r="L9"/>
  <c r="W9"/>
  <c r="H9"/>
  <c r="I9" s="1"/>
  <c r="R8"/>
  <c r="Q8"/>
  <c r="N8"/>
  <c r="L8"/>
  <c r="J8"/>
  <c r="R7"/>
  <c r="N7"/>
  <c r="L7"/>
  <c r="K7"/>
  <c r="J7"/>
  <c r="J19" s="1"/>
  <c r="J20" s="1"/>
  <c r="H7"/>
  <c r="I7" s="1"/>
  <c r="R6"/>
  <c r="Q6"/>
  <c r="L6"/>
  <c r="J6"/>
  <c r="I208" i="28" s="1"/>
  <c r="H6" i="83"/>
  <c r="H8" s="1"/>
  <c r="I8" s="1"/>
  <c r="M204" i="28"/>
  <c r="H204" s="1"/>
  <c r="L5" i="83"/>
  <c r="J5"/>
  <c r="T5" s="1"/>
  <c r="A6"/>
  <c r="A7" s="1"/>
  <c r="A8" s="1"/>
  <c r="A9" s="1"/>
  <c r="A10" s="1"/>
  <c r="A11" s="1"/>
  <c r="A12" s="1"/>
  <c r="I5"/>
  <c r="L212" i="28" l="1"/>
  <c r="O7" i="83"/>
  <c r="J212" i="28" s="1"/>
  <c r="Y302" i="111"/>
  <c r="AE302" s="1"/>
  <c r="S561" i="92"/>
  <c r="J579"/>
  <c r="Y579" s="1"/>
  <c r="M282" i="28"/>
  <c r="V578" i="92"/>
  <c r="L58" i="99"/>
  <c r="Y58" s="1"/>
  <c r="K94" i="64"/>
  <c r="M278" i="28"/>
  <c r="V577" i="92"/>
  <c r="L57" i="99"/>
  <c r="Y57" s="1"/>
  <c r="K93" i="64"/>
  <c r="G39" i="99"/>
  <c r="G204" i="28"/>
  <c r="F39" i="99" s="1"/>
  <c r="M206" i="28"/>
  <c r="V559" i="92"/>
  <c r="Y559" s="1"/>
  <c r="L39" i="99"/>
  <c r="Y39" s="1"/>
  <c r="K75" i="64"/>
  <c r="H7" i="32"/>
  <c r="J560" i="92"/>
  <c r="L214" i="28"/>
  <c r="L186" s="1"/>
  <c r="K41" i="99"/>
  <c r="J77" i="64"/>
  <c r="G7" i="32"/>
  <c r="H40" i="99"/>
  <c r="K103"/>
  <c r="K93"/>
  <c r="AD93" s="1"/>
  <c r="J41"/>
  <c r="I77" i="64"/>
  <c r="H212" i="28"/>
  <c r="H59" i="99"/>
  <c r="AA59" s="1"/>
  <c r="AB59" s="1"/>
  <c r="AC59" s="1"/>
  <c r="AD59" s="1"/>
  <c r="N27" i="83"/>
  <c r="H521" i="28"/>
  <c r="J174" i="64"/>
  <c r="L523" i="28"/>
  <c r="H523" s="1"/>
  <c r="G523" s="1"/>
  <c r="I286"/>
  <c r="H286" s="1"/>
  <c r="G286" s="1"/>
  <c r="G95" i="64"/>
  <c r="H284" i="28"/>
  <c r="I210"/>
  <c r="H208"/>
  <c r="G76" i="64"/>
  <c r="H481" i="28"/>
  <c r="J164" i="64"/>
  <c r="P16" i="84"/>
  <c r="S7" i="83"/>
  <c r="P11" i="84"/>
  <c r="P21" s="1"/>
  <c r="P12"/>
  <c r="P13"/>
  <c r="P14" s="1"/>
  <c r="S9" i="83"/>
  <c r="N8" i="84"/>
  <c r="O8" s="1"/>
  <c r="Z24"/>
  <c r="N21"/>
  <c r="O21" s="1"/>
  <c r="Y24"/>
  <c r="O13"/>
  <c r="AA24"/>
  <c r="X24"/>
  <c r="W24"/>
  <c r="M6" i="83"/>
  <c r="W7"/>
  <c r="T12"/>
  <c r="V22"/>
  <c r="M10"/>
  <c r="J23"/>
  <c r="U19"/>
  <c r="J17"/>
  <c r="J11"/>
  <c r="U12"/>
  <c r="I220" i="28"/>
  <c r="I232"/>
  <c r="J16" i="83"/>
  <c r="M23"/>
  <c r="M7"/>
  <c r="M9"/>
  <c r="M12"/>
  <c r="V12"/>
  <c r="J18"/>
  <c r="M18" s="1"/>
  <c r="M21"/>
  <c r="T21"/>
  <c r="M22"/>
  <c r="M24"/>
  <c r="S14"/>
  <c r="R27"/>
  <c r="N23" i="84"/>
  <c r="O23" s="1"/>
  <c r="U8" i="83"/>
  <c r="T8"/>
  <c r="V8"/>
  <c r="S8"/>
  <c r="W8"/>
  <c r="S5"/>
  <c r="M8"/>
  <c r="U15"/>
  <c r="T15"/>
  <c r="V15"/>
  <c r="U16"/>
  <c r="T16"/>
  <c r="V16"/>
  <c r="I244" i="28"/>
  <c r="U5" i="83"/>
  <c r="I6"/>
  <c r="H13"/>
  <c r="I13" s="1"/>
  <c r="M15"/>
  <c r="W15"/>
  <c r="M16"/>
  <c r="M5"/>
  <c r="V5"/>
  <c r="W6"/>
  <c r="S6"/>
  <c r="V6"/>
  <c r="T6"/>
  <c r="V14"/>
  <c r="U14"/>
  <c r="W14"/>
  <c r="S16"/>
  <c r="T25"/>
  <c r="W25"/>
  <c r="S25"/>
  <c r="V25"/>
  <c r="I280" i="28"/>
  <c r="U25" i="83"/>
  <c r="M25"/>
  <c r="Q27"/>
  <c r="W5"/>
  <c r="U6"/>
  <c r="V7"/>
  <c r="U7"/>
  <c r="T7"/>
  <c r="U9"/>
  <c r="T9"/>
  <c r="V9"/>
  <c r="T10"/>
  <c r="W10"/>
  <c r="S10"/>
  <c r="V10"/>
  <c r="M14"/>
  <c r="S15"/>
  <c r="W16"/>
  <c r="M19"/>
  <c r="S21"/>
  <c r="W21"/>
  <c r="U22"/>
  <c r="V23"/>
  <c r="V24"/>
  <c r="I26"/>
  <c r="S23"/>
  <c r="W23"/>
  <c r="S24"/>
  <c r="W24"/>
  <c r="S22"/>
  <c r="W22"/>
  <c r="T23"/>
  <c r="K276" i="28"/>
  <c r="T24" i="83"/>
  <c r="U21"/>
  <c r="S12"/>
  <c r="J214" i="28" l="1"/>
  <c r="J186" s="1"/>
  <c r="M561" i="92"/>
  <c r="Y561" s="1"/>
  <c r="I41" i="99"/>
  <c r="H77" i="64"/>
  <c r="E7" i="32"/>
  <c r="J566" i="92"/>
  <c r="M186" i="28"/>
  <c r="H206"/>
  <c r="G206" s="1"/>
  <c r="P577" i="92"/>
  <c r="Y577" s="1"/>
  <c r="J578"/>
  <c r="J569"/>
  <c r="Y569" s="1"/>
  <c r="J563"/>
  <c r="Y563" s="1"/>
  <c r="X93" i="99"/>
  <c r="H214" i="28"/>
  <c r="G214" s="1"/>
  <c r="X41" i="99"/>
  <c r="Y560" i="92"/>
  <c r="X103" i="99"/>
  <c r="U40"/>
  <c r="J57"/>
  <c r="W57" s="1"/>
  <c r="I98"/>
  <c r="V98" s="1"/>
  <c r="I101"/>
  <c r="V101" s="1"/>
  <c r="H96"/>
  <c r="U96" s="1"/>
  <c r="G93"/>
  <c r="G41"/>
  <c r="G212" i="28"/>
  <c r="F41" i="99" s="1"/>
  <c r="W41"/>
  <c r="U59"/>
  <c r="Y578" i="92"/>
  <c r="H58" i="99"/>
  <c r="H43"/>
  <c r="Y566" i="92"/>
  <c r="H46" i="99"/>
  <c r="AC46" s="1"/>
  <c r="AD46" s="1"/>
  <c r="H49"/>
  <c r="G521" i="28"/>
  <c r="G103" i="99"/>
  <c r="G284" i="28"/>
  <c r="G59" i="99"/>
  <c r="G208" i="28"/>
  <c r="G40" i="99"/>
  <c r="I27" i="83"/>
  <c r="G481" i="28"/>
  <c r="H495"/>
  <c r="G495" s="1"/>
  <c r="H503"/>
  <c r="G503" s="1"/>
  <c r="V24" i="84"/>
  <c r="G85" i="64"/>
  <c r="H244" i="28"/>
  <c r="I246"/>
  <c r="H246" s="1"/>
  <c r="G246" s="1"/>
  <c r="I234"/>
  <c r="H234" s="1"/>
  <c r="G234" s="1"/>
  <c r="G82" i="64"/>
  <c r="H232" i="28"/>
  <c r="G94" i="64"/>
  <c r="H280" i="28"/>
  <c r="I282"/>
  <c r="H282" s="1"/>
  <c r="G282" s="1"/>
  <c r="H210"/>
  <c r="G210" s="1"/>
  <c r="H220"/>
  <c r="G79" i="64"/>
  <c r="I222" i="28"/>
  <c r="H222" s="1"/>
  <c r="G222" s="1"/>
  <c r="L517"/>
  <c r="Y301" i="121" s="1"/>
  <c r="Y291" s="1"/>
  <c r="Y290" s="1"/>
  <c r="K517" i="28"/>
  <c r="V301" i="121" s="1"/>
  <c r="V291" s="1"/>
  <c r="H172" i="64"/>
  <c r="H515" i="28"/>
  <c r="G515" s="1"/>
  <c r="H276"/>
  <c r="K278"/>
  <c r="H483"/>
  <c r="H501"/>
  <c r="H169" i="64"/>
  <c r="H493" i="28"/>
  <c r="G167" i="64"/>
  <c r="Q24" i="84"/>
  <c r="H513" i="28"/>
  <c r="G101" i="99" s="1"/>
  <c r="H94"/>
  <c r="I93" i="64"/>
  <c r="W20" i="83"/>
  <c r="U18"/>
  <c r="V11"/>
  <c r="S19"/>
  <c r="P27"/>
  <c r="W19"/>
  <c r="T18"/>
  <c r="S18"/>
  <c r="V19"/>
  <c r="W18"/>
  <c r="V18"/>
  <c r="M11"/>
  <c r="T19"/>
  <c r="U11"/>
  <c r="W11"/>
  <c r="S24" i="84"/>
  <c r="V290" i="121" l="1"/>
  <c r="AE291"/>
  <c r="V41" i="99"/>
  <c r="AB41"/>
  <c r="AC41" s="1"/>
  <c r="AD41" s="1"/>
  <c r="G16" i="32"/>
  <c r="Y301" i="111"/>
  <c r="Y291" s="1"/>
  <c r="Y290" s="1"/>
  <c r="F16" i="32"/>
  <c r="V301" i="111"/>
  <c r="L469" i="28"/>
  <c r="K469"/>
  <c r="K102" i="99"/>
  <c r="J102"/>
  <c r="E27" i="32"/>
  <c r="H27"/>
  <c r="U58" i="99"/>
  <c r="U94"/>
  <c r="U49"/>
  <c r="U43"/>
  <c r="U46"/>
  <c r="G280" i="28"/>
  <c r="G58" i="99"/>
  <c r="F40"/>
  <c r="F103"/>
  <c r="G493" i="28"/>
  <c r="G96" i="99"/>
  <c r="G232" i="28"/>
  <c r="G46" i="99"/>
  <c r="G244" i="28"/>
  <c r="G49" i="99"/>
  <c r="F93"/>
  <c r="F59"/>
  <c r="G501" i="28"/>
  <c r="G98" i="99"/>
  <c r="G276" i="28"/>
  <c r="G57" i="99"/>
  <c r="G220" i="28"/>
  <c r="G43" i="99"/>
  <c r="K161" i="64"/>
  <c r="I252" i="28"/>
  <c r="H161" i="64"/>
  <c r="T24" i="84"/>
  <c r="L519" i="28"/>
  <c r="L471" s="1"/>
  <c r="J173" i="64"/>
  <c r="H517" i="28"/>
  <c r="K519"/>
  <c r="K471" s="1"/>
  <c r="I173" i="64"/>
  <c r="H485" i="28"/>
  <c r="G165" i="64"/>
  <c r="G161" s="1"/>
  <c r="H278" i="28"/>
  <c r="G278" s="1"/>
  <c r="G483"/>
  <c r="G513"/>
  <c r="K27" i="83"/>
  <c r="S11"/>
  <c r="T11"/>
  <c r="U20"/>
  <c r="U27" s="1"/>
  <c r="T20"/>
  <c r="O27"/>
  <c r="V20"/>
  <c r="V27" s="1"/>
  <c r="S20"/>
  <c r="M20"/>
  <c r="W27"/>
  <c r="R24" i="84"/>
  <c r="N20"/>
  <c r="O20" s="1"/>
  <c r="O24" s="1"/>
  <c r="U288" i="121" l="1"/>
  <c r="AE290"/>
  <c r="C16" i="32"/>
  <c r="AE301" i="111"/>
  <c r="V291"/>
  <c r="J571" i="92"/>
  <c r="H469" i="28"/>
  <c r="H51" i="99"/>
  <c r="U51" s="1"/>
  <c r="D7" i="32"/>
  <c r="Y102" i="99"/>
  <c r="F14" i="32"/>
  <c r="G27"/>
  <c r="G94" i="99"/>
  <c r="F101"/>
  <c r="G517" i="28"/>
  <c r="G102" i="99"/>
  <c r="F57"/>
  <c r="F46"/>
  <c r="F58"/>
  <c r="V25" i="84"/>
  <c r="V26" s="1"/>
  <c r="S25"/>
  <c r="S26" s="1"/>
  <c r="F43" i="99"/>
  <c r="F98"/>
  <c r="F49"/>
  <c r="F96"/>
  <c r="R25" i="84"/>
  <c r="R26" s="1"/>
  <c r="I184" i="28"/>
  <c r="I254"/>
  <c r="I186" s="1"/>
  <c r="H252"/>
  <c r="G87" i="64"/>
  <c r="G70" s="1"/>
  <c r="J161"/>
  <c r="I161"/>
  <c r="K323" i="28"/>
  <c r="U24" i="84"/>
  <c r="H519" i="28"/>
  <c r="G519" s="1"/>
  <c r="H487"/>
  <c r="G485"/>
  <c r="T27" i="83"/>
  <c r="S27"/>
  <c r="W288" i="121" l="1"/>
  <c r="U242"/>
  <c r="U248"/>
  <c r="V288"/>
  <c r="I517" i="92"/>
  <c r="K517" s="1"/>
  <c r="L517" s="1"/>
  <c r="L514" s="1"/>
  <c r="L529" s="1"/>
  <c r="J558"/>
  <c r="J557" s="1"/>
  <c r="I555" s="1"/>
  <c r="V290" i="111"/>
  <c r="AE291"/>
  <c r="D27" i="32"/>
  <c r="H471" i="28"/>
  <c r="G469"/>
  <c r="F94" i="99"/>
  <c r="F102"/>
  <c r="G252" i="28"/>
  <c r="G51" i="99"/>
  <c r="U25" i="84"/>
  <c r="U26" s="1"/>
  <c r="T25"/>
  <c r="T26" s="1"/>
  <c r="Y571" i="92"/>
  <c r="H254" i="28"/>
  <c r="G254" s="1"/>
  <c r="G487"/>
  <c r="G471" s="1"/>
  <c r="M26" i="99"/>
  <c r="I56" i="28"/>
  <c r="H14" i="99" s="1"/>
  <c r="J56" i="28"/>
  <c r="I14" i="99" s="1"/>
  <c r="V14" s="1"/>
  <c r="L32" i="28"/>
  <c r="K8" i="99" s="1"/>
  <c r="X8" s="1"/>
  <c r="L36" i="28"/>
  <c r="K9" i="99" s="1"/>
  <c r="X9" s="1"/>
  <c r="N28" i="28"/>
  <c r="M7" i="99" s="1"/>
  <c r="E333" i="28"/>
  <c r="U243" i="121" l="1"/>
  <c r="V243" s="1"/>
  <c r="U258"/>
  <c r="V248"/>
  <c r="U239"/>
  <c r="V242"/>
  <c r="W242"/>
  <c r="W248"/>
  <c r="Y288"/>
  <c r="X288"/>
  <c r="N517" i="92"/>
  <c r="N514" s="1"/>
  <c r="AE290" i="111"/>
  <c r="U288"/>
  <c r="K555" i="92"/>
  <c r="J517"/>
  <c r="I514"/>
  <c r="I529" s="1"/>
  <c r="K514"/>
  <c r="M517"/>
  <c r="AA14" i="99"/>
  <c r="AB14" s="1"/>
  <c r="AC14" s="1"/>
  <c r="AD14" s="1"/>
  <c r="U14"/>
  <c r="F51"/>
  <c r="Q25" i="84"/>
  <c r="Q26" s="1"/>
  <c r="E108" i="64"/>
  <c r="D67" i="99"/>
  <c r="G23" i="64"/>
  <c r="J18"/>
  <c r="H23"/>
  <c r="J17"/>
  <c r="C144" i="28"/>
  <c r="D144"/>
  <c r="E144"/>
  <c r="E121"/>
  <c r="E122" s="1"/>
  <c r="E123" s="1"/>
  <c r="D123"/>
  <c r="D117"/>
  <c r="D118" s="1"/>
  <c r="D119" s="1"/>
  <c r="C42" i="64"/>
  <c r="B42"/>
  <c r="E41"/>
  <c r="D41"/>
  <c r="C41"/>
  <c r="B41"/>
  <c r="O107" i="28"/>
  <c r="O106"/>
  <c r="J106"/>
  <c r="E105"/>
  <c r="E106" s="1"/>
  <c r="E107" s="1"/>
  <c r="D107"/>
  <c r="D106"/>
  <c r="U238" i="121" l="1"/>
  <c r="V239"/>
  <c r="W243"/>
  <c r="W258"/>
  <c r="W239"/>
  <c r="U256"/>
  <c r="V258"/>
  <c r="X248"/>
  <c r="Y248" s="1"/>
  <c r="Z288"/>
  <c r="X242"/>
  <c r="X239" s="1"/>
  <c r="X238" s="1"/>
  <c r="X6" s="1"/>
  <c r="U242" i="111"/>
  <c r="U248"/>
  <c r="W288"/>
  <c r="V288"/>
  <c r="J555" i="92"/>
  <c r="I513"/>
  <c r="J513" s="1"/>
  <c r="K513"/>
  <c r="K510" s="1"/>
  <c r="K509" s="1"/>
  <c r="K5" s="1"/>
  <c r="N529"/>
  <c r="K529"/>
  <c r="K527" s="1"/>
  <c r="M514"/>
  <c r="J514"/>
  <c r="J529"/>
  <c r="C40" i="64"/>
  <c r="J104" i="28"/>
  <c r="E11" i="32" s="1"/>
  <c r="J52" i="28"/>
  <c r="I13" i="99" s="1"/>
  <c r="V13" s="1"/>
  <c r="M52" i="28"/>
  <c r="L13" i="99" s="1"/>
  <c r="Y13" s="1"/>
  <c r="L52" i="28"/>
  <c r="K13" i="99" s="1"/>
  <c r="X13" s="1"/>
  <c r="K52" i="28"/>
  <c r="J13" i="99" s="1"/>
  <c r="W13" s="1"/>
  <c r="N52" i="28"/>
  <c r="M13" i="99" s="1"/>
  <c r="D55" i="28"/>
  <c r="D54"/>
  <c r="D53"/>
  <c r="F52"/>
  <c r="E13" i="99" s="1"/>
  <c r="E52" i="28"/>
  <c r="D13" i="99" s="1"/>
  <c r="M19"/>
  <c r="X282" i="121" l="1"/>
  <c r="X274"/>
  <c r="U252"/>
  <c r="V252" s="1"/>
  <c r="V256"/>
  <c r="Z242"/>
  <c r="Z248"/>
  <c r="AA288"/>
  <c r="Y242"/>
  <c r="X243"/>
  <c r="Y243" s="1"/>
  <c r="X258"/>
  <c r="X256" s="1"/>
  <c r="X252" s="1"/>
  <c r="W238"/>
  <c r="Y239"/>
  <c r="W256"/>
  <c r="Y258"/>
  <c r="U6"/>
  <c r="V238"/>
  <c r="U239" i="111"/>
  <c r="V242"/>
  <c r="U258"/>
  <c r="U243"/>
  <c r="V243" s="1"/>
  <c r="V248"/>
  <c r="X288"/>
  <c r="Z288" s="1"/>
  <c r="W242"/>
  <c r="W248"/>
  <c r="I510" i="92"/>
  <c r="J510" s="1"/>
  <c r="I527"/>
  <c r="I523" s="1"/>
  <c r="J523" s="1"/>
  <c r="K523"/>
  <c r="I23" i="99"/>
  <c r="J22" i="64"/>
  <c r="I22"/>
  <c r="H22"/>
  <c r="K22"/>
  <c r="K549" i="92"/>
  <c r="H41" i="64"/>
  <c r="E22"/>
  <c r="E53" i="28"/>
  <c r="E54" s="1"/>
  <c r="E55" s="1"/>
  <c r="H52"/>
  <c r="F65" i="81"/>
  <c r="F64"/>
  <c r="F63"/>
  <c r="F45" s="1"/>
  <c r="F62"/>
  <c r="F61"/>
  <c r="F60"/>
  <c r="E59"/>
  <c r="F59" s="1"/>
  <c r="F58"/>
  <c r="F57"/>
  <c r="F56"/>
  <c r="F55"/>
  <c r="E53"/>
  <c r="F50"/>
  <c r="F49"/>
  <c r="J48"/>
  <c r="I48"/>
  <c r="H48"/>
  <c r="G48"/>
  <c r="J47"/>
  <c r="I47"/>
  <c r="H47"/>
  <c r="G47"/>
  <c r="J46"/>
  <c r="I46"/>
  <c r="H46"/>
  <c r="G46"/>
  <c r="E46"/>
  <c r="J45"/>
  <c r="I45"/>
  <c r="H45"/>
  <c r="G45"/>
  <c r="E45"/>
  <c r="J44"/>
  <c r="I44"/>
  <c r="H44"/>
  <c r="G44"/>
  <c r="E44"/>
  <c r="J43"/>
  <c r="I43"/>
  <c r="H43"/>
  <c r="G43"/>
  <c r="F43"/>
  <c r="E43"/>
  <c r="F41"/>
  <c r="F40"/>
  <c r="F39"/>
  <c r="F38"/>
  <c r="F37"/>
  <c r="E36"/>
  <c r="F36" s="1"/>
  <c r="E35"/>
  <c r="F35" s="1"/>
  <c r="F34"/>
  <c r="F33"/>
  <c r="F32"/>
  <c r="F31"/>
  <c r="E29"/>
  <c r="F29" s="1"/>
  <c r="F26"/>
  <c r="F25"/>
  <c r="J24"/>
  <c r="I24"/>
  <c r="H24"/>
  <c r="G24"/>
  <c r="J23"/>
  <c r="I23"/>
  <c r="H23"/>
  <c r="G23"/>
  <c r="J22"/>
  <c r="J16" s="1"/>
  <c r="I22"/>
  <c r="H22"/>
  <c r="G22"/>
  <c r="F22"/>
  <c r="E22"/>
  <c r="J21"/>
  <c r="I21"/>
  <c r="H21"/>
  <c r="H15" s="1"/>
  <c r="G21"/>
  <c r="E21"/>
  <c r="J20"/>
  <c r="J14" s="1"/>
  <c r="I20"/>
  <c r="I18" s="1"/>
  <c r="H20"/>
  <c r="G20"/>
  <c r="F20"/>
  <c r="E20"/>
  <c r="J19"/>
  <c r="I19"/>
  <c r="H19"/>
  <c r="H18" s="1"/>
  <c r="G19"/>
  <c r="G18" s="1"/>
  <c r="E19"/>
  <c r="E13" s="1"/>
  <c r="I17"/>
  <c r="H17"/>
  <c r="G17"/>
  <c r="I16"/>
  <c r="G16"/>
  <c r="I15"/>
  <c r="G15"/>
  <c r="E15"/>
  <c r="G14"/>
  <c r="E14"/>
  <c r="I13"/>
  <c r="G13"/>
  <c r="H5"/>
  <c r="G3"/>
  <c r="F65" i="80"/>
  <c r="F64"/>
  <c r="F63"/>
  <c r="F62"/>
  <c r="F61"/>
  <c r="F60"/>
  <c r="E59"/>
  <c r="F58"/>
  <c r="F57"/>
  <c r="F56"/>
  <c r="F55"/>
  <c r="F53"/>
  <c r="E53"/>
  <c r="E48" s="1"/>
  <c r="F50"/>
  <c r="N49"/>
  <c r="F49"/>
  <c r="N48"/>
  <c r="J48"/>
  <c r="I48"/>
  <c r="H48"/>
  <c r="G48"/>
  <c r="J47"/>
  <c r="I47"/>
  <c r="H47"/>
  <c r="G47"/>
  <c r="J46"/>
  <c r="I46"/>
  <c r="H46"/>
  <c r="G46"/>
  <c r="J45"/>
  <c r="I45"/>
  <c r="H45"/>
  <c r="G45"/>
  <c r="F45"/>
  <c r="J44"/>
  <c r="I44"/>
  <c r="H44"/>
  <c r="G44"/>
  <c r="E44"/>
  <c r="J43"/>
  <c r="I43"/>
  <c r="H43"/>
  <c r="G43"/>
  <c r="E43"/>
  <c r="F41"/>
  <c r="F40"/>
  <c r="F39"/>
  <c r="F38"/>
  <c r="F37"/>
  <c r="E36"/>
  <c r="F36" s="1"/>
  <c r="E35"/>
  <c r="F35" s="1"/>
  <c r="F34"/>
  <c r="F33"/>
  <c r="F32"/>
  <c r="F31"/>
  <c r="E30"/>
  <c r="E29"/>
  <c r="F29" s="1"/>
  <c r="F26"/>
  <c r="N25"/>
  <c r="F25"/>
  <c r="N24"/>
  <c r="N26" s="1"/>
  <c r="J24"/>
  <c r="I24"/>
  <c r="H24"/>
  <c r="G24"/>
  <c r="E24"/>
  <c r="F24" s="1"/>
  <c r="J23"/>
  <c r="I23"/>
  <c r="H23"/>
  <c r="G23"/>
  <c r="E23"/>
  <c r="J22"/>
  <c r="I22"/>
  <c r="H22"/>
  <c r="G22"/>
  <c r="E22"/>
  <c r="J21"/>
  <c r="I21"/>
  <c r="I15" s="1"/>
  <c r="H21"/>
  <c r="G21"/>
  <c r="E21"/>
  <c r="J20"/>
  <c r="J14" s="1"/>
  <c r="I20"/>
  <c r="H20"/>
  <c r="G20"/>
  <c r="F20"/>
  <c r="E20"/>
  <c r="J19"/>
  <c r="I19"/>
  <c r="H19"/>
  <c r="H18" s="1"/>
  <c r="G19"/>
  <c r="F19"/>
  <c r="E19"/>
  <c r="E18" s="1"/>
  <c r="J18"/>
  <c r="I17"/>
  <c r="H17"/>
  <c r="J16"/>
  <c r="G16"/>
  <c r="E16"/>
  <c r="H15"/>
  <c r="G15"/>
  <c r="E15"/>
  <c r="I14"/>
  <c r="H14"/>
  <c r="E14"/>
  <c r="J13"/>
  <c r="I13"/>
  <c r="G13"/>
  <c r="E13"/>
  <c r="H5"/>
  <c r="G3"/>
  <c r="F65" i="79"/>
  <c r="F64"/>
  <c r="F63"/>
  <c r="F62"/>
  <c r="F61"/>
  <c r="F60"/>
  <c r="E59"/>
  <c r="F59" s="1"/>
  <c r="F58"/>
  <c r="F57"/>
  <c r="F56"/>
  <c r="F55"/>
  <c r="E53"/>
  <c r="F53" s="1"/>
  <c r="H376" i="28" s="1"/>
  <c r="G376" s="1"/>
  <c r="F50" i="79"/>
  <c r="H375" i="28" s="1"/>
  <c r="G375" s="1"/>
  <c r="F49" i="79"/>
  <c r="J48"/>
  <c r="I48"/>
  <c r="H48"/>
  <c r="G48"/>
  <c r="J47"/>
  <c r="I47"/>
  <c r="H47"/>
  <c r="G47"/>
  <c r="E47"/>
  <c r="J46"/>
  <c r="I46"/>
  <c r="H46"/>
  <c r="G46"/>
  <c r="F46"/>
  <c r="E46"/>
  <c r="J45"/>
  <c r="I45"/>
  <c r="H45"/>
  <c r="H42" s="1"/>
  <c r="G45"/>
  <c r="E45"/>
  <c r="J44"/>
  <c r="I44"/>
  <c r="H44"/>
  <c r="G44"/>
  <c r="E44"/>
  <c r="J43"/>
  <c r="I43"/>
  <c r="H43"/>
  <c r="G43"/>
  <c r="G42" s="1"/>
  <c r="E43"/>
  <c r="F41"/>
  <c r="F40"/>
  <c r="F39"/>
  <c r="F21" s="1"/>
  <c r="F38"/>
  <c r="F37"/>
  <c r="E36"/>
  <c r="F36" s="1"/>
  <c r="E35"/>
  <c r="F35" s="1"/>
  <c r="F34"/>
  <c r="F33"/>
  <c r="F32"/>
  <c r="F31"/>
  <c r="E29"/>
  <c r="F29" s="1"/>
  <c r="F26"/>
  <c r="F25"/>
  <c r="J24"/>
  <c r="I24"/>
  <c r="H24"/>
  <c r="G24"/>
  <c r="J23"/>
  <c r="J17" s="1"/>
  <c r="I23"/>
  <c r="I17" s="1"/>
  <c r="H23"/>
  <c r="G23"/>
  <c r="J22"/>
  <c r="J16" s="1"/>
  <c r="I22"/>
  <c r="H22"/>
  <c r="G22"/>
  <c r="E22"/>
  <c r="E16" s="1"/>
  <c r="J21"/>
  <c r="I21"/>
  <c r="H21"/>
  <c r="G21"/>
  <c r="G15" s="1"/>
  <c r="E21"/>
  <c r="J20"/>
  <c r="I20"/>
  <c r="H20"/>
  <c r="H14" s="1"/>
  <c r="G20"/>
  <c r="G14" s="1"/>
  <c r="E20"/>
  <c r="J19"/>
  <c r="I19"/>
  <c r="H19"/>
  <c r="H13" s="1"/>
  <c r="G19"/>
  <c r="F19"/>
  <c r="E19"/>
  <c r="E13" s="1"/>
  <c r="H17"/>
  <c r="G17"/>
  <c r="I16"/>
  <c r="H16"/>
  <c r="J15"/>
  <c r="I15"/>
  <c r="H15"/>
  <c r="E15"/>
  <c r="I14"/>
  <c r="H5"/>
  <c r="G3"/>
  <c r="F65" i="78"/>
  <c r="F64"/>
  <c r="F63"/>
  <c r="F62"/>
  <c r="F61"/>
  <c r="F60"/>
  <c r="E59"/>
  <c r="F59" s="1"/>
  <c r="F58"/>
  <c r="F57"/>
  <c r="F56"/>
  <c r="F55"/>
  <c r="E53"/>
  <c r="E48" s="1"/>
  <c r="F50"/>
  <c r="F49"/>
  <c r="I370" i="28" s="1"/>
  <c r="H370" s="1"/>
  <c r="G370" s="1"/>
  <c r="J48" i="78"/>
  <c r="I48"/>
  <c r="H48"/>
  <c r="G48"/>
  <c r="J47"/>
  <c r="I47"/>
  <c r="H47"/>
  <c r="G47"/>
  <c r="J46"/>
  <c r="I46"/>
  <c r="H46"/>
  <c r="G46"/>
  <c r="E46"/>
  <c r="J45"/>
  <c r="I45"/>
  <c r="H45"/>
  <c r="G45"/>
  <c r="F45"/>
  <c r="E45"/>
  <c r="J44"/>
  <c r="I44"/>
  <c r="H44"/>
  <c r="G44"/>
  <c r="E44"/>
  <c r="J43"/>
  <c r="I43"/>
  <c r="H43"/>
  <c r="G43"/>
  <c r="F43"/>
  <c r="E43"/>
  <c r="F41"/>
  <c r="F40"/>
  <c r="F39"/>
  <c r="F38"/>
  <c r="F37"/>
  <c r="E36"/>
  <c r="F36" s="1"/>
  <c r="E35"/>
  <c r="F35" s="1"/>
  <c r="F34"/>
  <c r="F33"/>
  <c r="F32"/>
  <c r="F31"/>
  <c r="E29"/>
  <c r="F29" s="1"/>
  <c r="F26"/>
  <c r="F25"/>
  <c r="J24"/>
  <c r="I24"/>
  <c r="H24"/>
  <c r="G24"/>
  <c r="J23"/>
  <c r="J17" s="1"/>
  <c r="I23"/>
  <c r="H23"/>
  <c r="G23"/>
  <c r="G17" s="1"/>
  <c r="J22"/>
  <c r="I22"/>
  <c r="H22"/>
  <c r="G22"/>
  <c r="F22"/>
  <c r="E22"/>
  <c r="J21"/>
  <c r="I21"/>
  <c r="H21"/>
  <c r="H15" s="1"/>
  <c r="G21"/>
  <c r="E21"/>
  <c r="J20"/>
  <c r="I20"/>
  <c r="I14" s="1"/>
  <c r="H20"/>
  <c r="G20"/>
  <c r="E20"/>
  <c r="E14" s="1"/>
  <c r="J19"/>
  <c r="J18" s="1"/>
  <c r="I19"/>
  <c r="H19"/>
  <c r="G19"/>
  <c r="E19"/>
  <c r="H17"/>
  <c r="I16"/>
  <c r="H16"/>
  <c r="J15"/>
  <c r="J14"/>
  <c r="H14"/>
  <c r="H13"/>
  <c r="G13"/>
  <c r="H5"/>
  <c r="G3"/>
  <c r="F65" i="77"/>
  <c r="F64"/>
  <c r="F63"/>
  <c r="F62"/>
  <c r="F61"/>
  <c r="F60"/>
  <c r="F59"/>
  <c r="F58"/>
  <c r="F57"/>
  <c r="F56"/>
  <c r="F55"/>
  <c r="E54"/>
  <c r="F54" s="1"/>
  <c r="E53"/>
  <c r="E48" s="1"/>
  <c r="F52"/>
  <c r="F51"/>
  <c r="F50"/>
  <c r="F49"/>
  <c r="J48"/>
  <c r="I48"/>
  <c r="H48"/>
  <c r="G48"/>
  <c r="J47"/>
  <c r="I47"/>
  <c r="H47"/>
  <c r="G47"/>
  <c r="J46"/>
  <c r="I46"/>
  <c r="H46"/>
  <c r="G46"/>
  <c r="E46"/>
  <c r="J45"/>
  <c r="I45"/>
  <c r="H45"/>
  <c r="G45"/>
  <c r="E45"/>
  <c r="J44"/>
  <c r="I44"/>
  <c r="H44"/>
  <c r="G44"/>
  <c r="E44"/>
  <c r="J43"/>
  <c r="I43"/>
  <c r="H43"/>
  <c r="G43"/>
  <c r="E43"/>
  <c r="D42"/>
  <c r="C42"/>
  <c r="F41"/>
  <c r="F40"/>
  <c r="F39"/>
  <c r="F38"/>
  <c r="F37"/>
  <c r="E36"/>
  <c r="F36" s="1"/>
  <c r="F35"/>
  <c r="F34"/>
  <c r="F33"/>
  <c r="F32"/>
  <c r="F31"/>
  <c r="E30"/>
  <c r="E29"/>
  <c r="F29" s="1"/>
  <c r="F28"/>
  <c r="F27"/>
  <c r="F21" s="1"/>
  <c r="F26"/>
  <c r="F25"/>
  <c r="J24"/>
  <c r="I24"/>
  <c r="H24"/>
  <c r="G24"/>
  <c r="J23"/>
  <c r="I23"/>
  <c r="I17" s="1"/>
  <c r="H23"/>
  <c r="H17" s="1"/>
  <c r="G23"/>
  <c r="J22"/>
  <c r="I22"/>
  <c r="H22"/>
  <c r="G22"/>
  <c r="G16" s="1"/>
  <c r="E22"/>
  <c r="E16" s="1"/>
  <c r="J21"/>
  <c r="J15" s="1"/>
  <c r="I21"/>
  <c r="I15" s="1"/>
  <c r="H21"/>
  <c r="H15" s="1"/>
  <c r="G21"/>
  <c r="E21"/>
  <c r="E15" s="1"/>
  <c r="J20"/>
  <c r="J14" s="1"/>
  <c r="I20"/>
  <c r="I14" s="1"/>
  <c r="H20"/>
  <c r="G20"/>
  <c r="G14" s="1"/>
  <c r="F20"/>
  <c r="E20"/>
  <c r="E14" s="1"/>
  <c r="J19"/>
  <c r="I19"/>
  <c r="H19"/>
  <c r="H18" s="1"/>
  <c r="G19"/>
  <c r="G13" s="1"/>
  <c r="E19"/>
  <c r="J18"/>
  <c r="D18"/>
  <c r="C18"/>
  <c r="G17"/>
  <c r="I16"/>
  <c r="H16"/>
  <c r="G15"/>
  <c r="J13"/>
  <c r="H5"/>
  <c r="G3"/>
  <c r="D51" i="28"/>
  <c r="D50"/>
  <c r="D49"/>
  <c r="F65" i="76"/>
  <c r="F64"/>
  <c r="F63"/>
  <c r="F62"/>
  <c r="F61"/>
  <c r="F60"/>
  <c r="E59"/>
  <c r="F59" s="1"/>
  <c r="F58"/>
  <c r="F57"/>
  <c r="F56"/>
  <c r="F55"/>
  <c r="E53"/>
  <c r="F53" s="1"/>
  <c r="I360" i="28" s="1"/>
  <c r="F49" i="76"/>
  <c r="I358" i="28" s="1"/>
  <c r="I330" s="1"/>
  <c r="J48" i="76"/>
  <c r="I48"/>
  <c r="H48"/>
  <c r="G48"/>
  <c r="J47"/>
  <c r="I47"/>
  <c r="H47"/>
  <c r="G47"/>
  <c r="J46"/>
  <c r="I46"/>
  <c r="H46"/>
  <c r="G46"/>
  <c r="E46"/>
  <c r="J45"/>
  <c r="I45"/>
  <c r="H45"/>
  <c r="G45"/>
  <c r="F45"/>
  <c r="E45"/>
  <c r="J44"/>
  <c r="I44"/>
  <c r="H44"/>
  <c r="G44"/>
  <c r="E44"/>
  <c r="J43"/>
  <c r="I43"/>
  <c r="H43"/>
  <c r="G43"/>
  <c r="E43"/>
  <c r="F41"/>
  <c r="F40"/>
  <c r="F39"/>
  <c r="F38"/>
  <c r="F37"/>
  <c r="E36"/>
  <c r="F36" s="1"/>
  <c r="E35"/>
  <c r="E30" s="1"/>
  <c r="F34"/>
  <c r="F33"/>
  <c r="F32"/>
  <c r="I118" i="28" s="1"/>
  <c r="I102" s="1"/>
  <c r="F31" i="76"/>
  <c r="E29"/>
  <c r="E24" s="1"/>
  <c r="F24" s="1"/>
  <c r="F27"/>
  <c r="F26"/>
  <c r="F20" s="1"/>
  <c r="F25"/>
  <c r="F19" s="1"/>
  <c r="J24"/>
  <c r="I24"/>
  <c r="H24"/>
  <c r="G24"/>
  <c r="J23"/>
  <c r="I23"/>
  <c r="H23"/>
  <c r="H17" s="1"/>
  <c r="G23"/>
  <c r="J22"/>
  <c r="I22"/>
  <c r="H22"/>
  <c r="G22"/>
  <c r="E22"/>
  <c r="J21"/>
  <c r="I21"/>
  <c r="H21"/>
  <c r="H15" s="1"/>
  <c r="G21"/>
  <c r="E21"/>
  <c r="E15" s="1"/>
  <c r="J20"/>
  <c r="I20"/>
  <c r="H20"/>
  <c r="G20"/>
  <c r="E20"/>
  <c r="J19"/>
  <c r="I19"/>
  <c r="I13" s="1"/>
  <c r="H19"/>
  <c r="G19"/>
  <c r="E19"/>
  <c r="E13" s="1"/>
  <c r="I17"/>
  <c r="J16"/>
  <c r="I16"/>
  <c r="E16"/>
  <c r="I15"/>
  <c r="G15"/>
  <c r="I14"/>
  <c r="G14"/>
  <c r="H13"/>
  <c r="H5"/>
  <c r="G3"/>
  <c r="F65" i="75"/>
  <c r="F64"/>
  <c r="F63"/>
  <c r="F62"/>
  <c r="F61"/>
  <c r="F60"/>
  <c r="E59"/>
  <c r="F59" s="1"/>
  <c r="F58"/>
  <c r="F57"/>
  <c r="F56"/>
  <c r="F55"/>
  <c r="E53"/>
  <c r="E48" s="1"/>
  <c r="F50"/>
  <c r="F49"/>
  <c r="J48"/>
  <c r="I48"/>
  <c r="H48"/>
  <c r="G48"/>
  <c r="J47"/>
  <c r="I47"/>
  <c r="H47"/>
  <c r="G47"/>
  <c r="J46"/>
  <c r="I46"/>
  <c r="H46"/>
  <c r="G46"/>
  <c r="E46"/>
  <c r="J45"/>
  <c r="I45"/>
  <c r="H45"/>
  <c r="G45"/>
  <c r="F45"/>
  <c r="E45"/>
  <c r="J44"/>
  <c r="I44"/>
  <c r="H44"/>
  <c r="G44"/>
  <c r="E44"/>
  <c r="J43"/>
  <c r="I43"/>
  <c r="H43"/>
  <c r="G43"/>
  <c r="E43"/>
  <c r="F41"/>
  <c r="F40"/>
  <c r="F39"/>
  <c r="F38"/>
  <c r="F37"/>
  <c r="E36"/>
  <c r="F36" s="1"/>
  <c r="E35"/>
  <c r="F35" s="1"/>
  <c r="F34"/>
  <c r="F22" s="1"/>
  <c r="F33"/>
  <c r="F32"/>
  <c r="F31"/>
  <c r="E29"/>
  <c r="F29" s="1"/>
  <c r="F27"/>
  <c r="F26"/>
  <c r="F25"/>
  <c r="J24"/>
  <c r="I24"/>
  <c r="H24"/>
  <c r="G24"/>
  <c r="E24"/>
  <c r="F24" s="1"/>
  <c r="J23"/>
  <c r="I23"/>
  <c r="H23"/>
  <c r="G23"/>
  <c r="J22"/>
  <c r="I22"/>
  <c r="H22"/>
  <c r="H16" s="1"/>
  <c r="G22"/>
  <c r="E22"/>
  <c r="J21"/>
  <c r="I21"/>
  <c r="H21"/>
  <c r="G21"/>
  <c r="E21"/>
  <c r="E15" s="1"/>
  <c r="J20"/>
  <c r="I20"/>
  <c r="I18" s="1"/>
  <c r="H20"/>
  <c r="G20"/>
  <c r="G14" s="1"/>
  <c r="E20"/>
  <c r="J19"/>
  <c r="I19"/>
  <c r="H19"/>
  <c r="H18" s="1"/>
  <c r="G19"/>
  <c r="E19"/>
  <c r="E13" s="1"/>
  <c r="J17"/>
  <c r="I17"/>
  <c r="I16"/>
  <c r="E16"/>
  <c r="J15"/>
  <c r="G15"/>
  <c r="I14"/>
  <c r="H14"/>
  <c r="E14"/>
  <c r="J13"/>
  <c r="G13"/>
  <c r="H5"/>
  <c r="G3"/>
  <c r="F65" i="74"/>
  <c r="F64"/>
  <c r="F63"/>
  <c r="F62"/>
  <c r="F61"/>
  <c r="F60"/>
  <c r="F59"/>
  <c r="F47" s="1"/>
  <c r="F58"/>
  <c r="F57"/>
  <c r="F56"/>
  <c r="F55"/>
  <c r="F43" s="1"/>
  <c r="E54"/>
  <c r="F53"/>
  <c r="F52"/>
  <c r="F51"/>
  <c r="F45" s="1"/>
  <c r="F50"/>
  <c r="F49"/>
  <c r="J48"/>
  <c r="I48"/>
  <c r="H48"/>
  <c r="G48"/>
  <c r="E48"/>
  <c r="M48" s="1"/>
  <c r="C48"/>
  <c r="C42" s="1"/>
  <c r="J47"/>
  <c r="I47"/>
  <c r="H47"/>
  <c r="G47"/>
  <c r="E47"/>
  <c r="J46"/>
  <c r="I46"/>
  <c r="H46"/>
  <c r="G46"/>
  <c r="F46"/>
  <c r="E46"/>
  <c r="J45"/>
  <c r="I45"/>
  <c r="H45"/>
  <c r="G45"/>
  <c r="E45"/>
  <c r="J44"/>
  <c r="I44"/>
  <c r="H44"/>
  <c r="G44"/>
  <c r="F44"/>
  <c r="E44"/>
  <c r="J43"/>
  <c r="I43"/>
  <c r="H43"/>
  <c r="G43"/>
  <c r="E43"/>
  <c r="D42"/>
  <c r="F41"/>
  <c r="F40"/>
  <c r="F39"/>
  <c r="F38"/>
  <c r="F37"/>
  <c r="E36"/>
  <c r="F36" s="1"/>
  <c r="F35"/>
  <c r="F34"/>
  <c r="F33"/>
  <c r="F32"/>
  <c r="F31"/>
  <c r="E30"/>
  <c r="M30" s="1"/>
  <c r="F29"/>
  <c r="F28"/>
  <c r="E27"/>
  <c r="K42" i="28" s="1"/>
  <c r="K18" s="1"/>
  <c r="F26" i="74"/>
  <c r="F25"/>
  <c r="J24"/>
  <c r="I24"/>
  <c r="H24"/>
  <c r="G24"/>
  <c r="C24"/>
  <c r="J23"/>
  <c r="J17" s="1"/>
  <c r="I23"/>
  <c r="I17" s="1"/>
  <c r="H23"/>
  <c r="G23"/>
  <c r="G17" s="1"/>
  <c r="E23"/>
  <c r="E17" s="1"/>
  <c r="J22"/>
  <c r="I22"/>
  <c r="H22"/>
  <c r="H16" s="1"/>
  <c r="G22"/>
  <c r="G16" s="1"/>
  <c r="E22"/>
  <c r="J21"/>
  <c r="J15" s="1"/>
  <c r="I21"/>
  <c r="I15" s="1"/>
  <c r="H21"/>
  <c r="H15" s="1"/>
  <c r="G21"/>
  <c r="E21"/>
  <c r="E15" s="1"/>
  <c r="J20"/>
  <c r="J14" s="1"/>
  <c r="I20"/>
  <c r="H20"/>
  <c r="H14" s="1"/>
  <c r="G20"/>
  <c r="G14" s="1"/>
  <c r="E20"/>
  <c r="E14" s="1"/>
  <c r="J19"/>
  <c r="I19"/>
  <c r="I13" s="1"/>
  <c r="H19"/>
  <c r="G19"/>
  <c r="G18" s="1"/>
  <c r="F19"/>
  <c r="E19"/>
  <c r="D18"/>
  <c r="C18"/>
  <c r="H17"/>
  <c r="J16"/>
  <c r="E16"/>
  <c r="I14"/>
  <c r="H13"/>
  <c r="H5"/>
  <c r="F5"/>
  <c r="G3"/>
  <c r="F65" i="73"/>
  <c r="F64"/>
  <c r="F63"/>
  <c r="F62"/>
  <c r="F61"/>
  <c r="E60"/>
  <c r="F60" s="1"/>
  <c r="F59"/>
  <c r="F58"/>
  <c r="F57"/>
  <c r="F56"/>
  <c r="F55"/>
  <c r="E54"/>
  <c r="F54" s="1"/>
  <c r="F53"/>
  <c r="F52"/>
  <c r="F51"/>
  <c r="F50"/>
  <c r="F44" s="1"/>
  <c r="F49"/>
  <c r="J48"/>
  <c r="I48"/>
  <c r="H48"/>
  <c r="G48"/>
  <c r="E48"/>
  <c r="M48" s="1"/>
  <c r="J47"/>
  <c r="I47"/>
  <c r="H47"/>
  <c r="G47"/>
  <c r="F47"/>
  <c r="E47"/>
  <c r="J46"/>
  <c r="I46"/>
  <c r="H46"/>
  <c r="G46"/>
  <c r="E46"/>
  <c r="J45"/>
  <c r="I45"/>
  <c r="H45"/>
  <c r="G45"/>
  <c r="F45"/>
  <c r="E45"/>
  <c r="J44"/>
  <c r="I44"/>
  <c r="H44"/>
  <c r="G44"/>
  <c r="E44"/>
  <c r="J43"/>
  <c r="I43"/>
  <c r="H43"/>
  <c r="G43"/>
  <c r="G42" s="1"/>
  <c r="F43"/>
  <c r="E43"/>
  <c r="D42"/>
  <c r="C42"/>
  <c r="F41"/>
  <c r="F40"/>
  <c r="F39"/>
  <c r="F38"/>
  <c r="F37"/>
  <c r="E36"/>
  <c r="F36" s="1"/>
  <c r="F35"/>
  <c r="F34"/>
  <c r="F33"/>
  <c r="F32"/>
  <c r="F31"/>
  <c r="E30"/>
  <c r="F29"/>
  <c r="F23" s="1"/>
  <c r="F17" s="1"/>
  <c r="F28"/>
  <c r="F27"/>
  <c r="F26"/>
  <c r="F25"/>
  <c r="J24"/>
  <c r="I24"/>
  <c r="H24"/>
  <c r="G24"/>
  <c r="E24"/>
  <c r="N24" s="1"/>
  <c r="C24"/>
  <c r="C18" s="1"/>
  <c r="J23"/>
  <c r="J17" s="1"/>
  <c r="I23"/>
  <c r="H23"/>
  <c r="G23"/>
  <c r="G17" s="1"/>
  <c r="E23"/>
  <c r="E17" s="1"/>
  <c r="J22"/>
  <c r="I22"/>
  <c r="I16" s="1"/>
  <c r="H22"/>
  <c r="G22"/>
  <c r="G16" s="1"/>
  <c r="E22"/>
  <c r="E16" s="1"/>
  <c r="J21"/>
  <c r="I21"/>
  <c r="I15" s="1"/>
  <c r="H21"/>
  <c r="G21"/>
  <c r="G15" s="1"/>
  <c r="E21"/>
  <c r="E15" s="1"/>
  <c r="J20"/>
  <c r="J14" s="1"/>
  <c r="I20"/>
  <c r="I14" s="1"/>
  <c r="H20"/>
  <c r="H18" s="1"/>
  <c r="G20"/>
  <c r="F20"/>
  <c r="E20"/>
  <c r="J19"/>
  <c r="J13" s="1"/>
  <c r="I19"/>
  <c r="H19"/>
  <c r="H13" s="1"/>
  <c r="G19"/>
  <c r="F19"/>
  <c r="E19"/>
  <c r="D18"/>
  <c r="H17"/>
  <c r="J16"/>
  <c r="H16"/>
  <c r="J15"/>
  <c r="H14"/>
  <c r="G14"/>
  <c r="I13"/>
  <c r="E13"/>
  <c r="H5"/>
  <c r="F5"/>
  <c r="G3"/>
  <c r="F65" i="72"/>
  <c r="F64"/>
  <c r="F63"/>
  <c r="F62"/>
  <c r="F61"/>
  <c r="F60"/>
  <c r="E59"/>
  <c r="E54" s="1"/>
  <c r="F58"/>
  <c r="F57"/>
  <c r="F56"/>
  <c r="F55"/>
  <c r="F53"/>
  <c r="J348" i="28" s="1"/>
  <c r="H348" s="1"/>
  <c r="G348" s="1"/>
  <c r="F52" i="72"/>
  <c r="F51"/>
  <c r="F50"/>
  <c r="J347" i="28" s="1"/>
  <c r="H347" s="1"/>
  <c r="G347" s="1"/>
  <c r="F49" i="72"/>
  <c r="J346" i="28" s="1"/>
  <c r="J330" s="1"/>
  <c r="J48" i="72"/>
  <c r="I48"/>
  <c r="H48"/>
  <c r="G48"/>
  <c r="E48"/>
  <c r="J47"/>
  <c r="I47"/>
  <c r="H47"/>
  <c r="G47"/>
  <c r="E47"/>
  <c r="J46"/>
  <c r="I46"/>
  <c r="H46"/>
  <c r="G46"/>
  <c r="F46"/>
  <c r="E46"/>
  <c r="J45"/>
  <c r="I45"/>
  <c r="H45"/>
  <c r="G45"/>
  <c r="F45"/>
  <c r="E45"/>
  <c r="J44"/>
  <c r="I44"/>
  <c r="H44"/>
  <c r="G44"/>
  <c r="F44"/>
  <c r="E44"/>
  <c r="J43"/>
  <c r="I43"/>
  <c r="H43"/>
  <c r="G43"/>
  <c r="F43"/>
  <c r="E43"/>
  <c r="D42"/>
  <c r="C42"/>
  <c r="F41"/>
  <c r="F40"/>
  <c r="F39"/>
  <c r="F38"/>
  <c r="F37"/>
  <c r="E36"/>
  <c r="F36" s="1"/>
  <c r="F35"/>
  <c r="F34"/>
  <c r="F33"/>
  <c r="F32"/>
  <c r="F31"/>
  <c r="E30"/>
  <c r="F29"/>
  <c r="F28"/>
  <c r="F27"/>
  <c r="F21" s="1"/>
  <c r="F15" s="1"/>
  <c r="F26"/>
  <c r="F25"/>
  <c r="J24"/>
  <c r="I24"/>
  <c r="H24"/>
  <c r="G24"/>
  <c r="E24"/>
  <c r="J23"/>
  <c r="J17" s="1"/>
  <c r="I23"/>
  <c r="H23"/>
  <c r="H17" s="1"/>
  <c r="G23"/>
  <c r="E23"/>
  <c r="E17" s="1"/>
  <c r="J22"/>
  <c r="I22"/>
  <c r="H22"/>
  <c r="G22"/>
  <c r="G16" s="1"/>
  <c r="F22"/>
  <c r="E22"/>
  <c r="J21"/>
  <c r="I21"/>
  <c r="I15" s="1"/>
  <c r="H21"/>
  <c r="G21"/>
  <c r="G15" s="1"/>
  <c r="E21"/>
  <c r="E15" s="1"/>
  <c r="J20"/>
  <c r="J14" s="1"/>
  <c r="I20"/>
  <c r="I14" s="1"/>
  <c r="H20"/>
  <c r="G20"/>
  <c r="G14" s="1"/>
  <c r="F20"/>
  <c r="F14" s="1"/>
  <c r="E20"/>
  <c r="J19"/>
  <c r="I19"/>
  <c r="H19"/>
  <c r="G19"/>
  <c r="E19"/>
  <c r="D18"/>
  <c r="C18"/>
  <c r="G17"/>
  <c r="I16"/>
  <c r="E16"/>
  <c r="H14"/>
  <c r="E14"/>
  <c r="J13"/>
  <c r="I13"/>
  <c r="E13"/>
  <c r="H5"/>
  <c r="F5"/>
  <c r="G3"/>
  <c r="F65" i="71"/>
  <c r="F64"/>
  <c r="F63"/>
  <c r="F62"/>
  <c r="F61"/>
  <c r="F60"/>
  <c r="F59"/>
  <c r="F58"/>
  <c r="F57"/>
  <c r="F56"/>
  <c r="F55"/>
  <c r="E54"/>
  <c r="F54" s="1"/>
  <c r="F53"/>
  <c r="F47" s="1"/>
  <c r="F52"/>
  <c r="F51"/>
  <c r="F50"/>
  <c r="F49"/>
  <c r="F43" s="1"/>
  <c r="J48"/>
  <c r="I48"/>
  <c r="H48"/>
  <c r="G48"/>
  <c r="E48"/>
  <c r="J47"/>
  <c r="I47"/>
  <c r="H47"/>
  <c r="G47"/>
  <c r="E47"/>
  <c r="J46"/>
  <c r="I46"/>
  <c r="H46"/>
  <c r="G46"/>
  <c r="E46"/>
  <c r="J45"/>
  <c r="I45"/>
  <c r="H45"/>
  <c r="G45"/>
  <c r="E45"/>
  <c r="J44"/>
  <c r="I44"/>
  <c r="H44"/>
  <c r="G44"/>
  <c r="E44"/>
  <c r="J43"/>
  <c r="I43"/>
  <c r="H43"/>
  <c r="G43"/>
  <c r="E43"/>
  <c r="D42"/>
  <c r="C42"/>
  <c r="F41"/>
  <c r="F40"/>
  <c r="F39"/>
  <c r="F38"/>
  <c r="F37"/>
  <c r="E36"/>
  <c r="F36" s="1"/>
  <c r="F35"/>
  <c r="F34"/>
  <c r="F33"/>
  <c r="F32"/>
  <c r="F31"/>
  <c r="E30"/>
  <c r="F29"/>
  <c r="F23" s="1"/>
  <c r="F28"/>
  <c r="F27"/>
  <c r="F26"/>
  <c r="F25"/>
  <c r="J24"/>
  <c r="I24"/>
  <c r="H24"/>
  <c r="G24"/>
  <c r="E24"/>
  <c r="J23"/>
  <c r="I23"/>
  <c r="I17" s="1"/>
  <c r="H23"/>
  <c r="H17" s="1"/>
  <c r="G23"/>
  <c r="E23"/>
  <c r="E17" s="1"/>
  <c r="J22"/>
  <c r="I22"/>
  <c r="I16" s="1"/>
  <c r="H22"/>
  <c r="G22"/>
  <c r="G16" s="1"/>
  <c r="E22"/>
  <c r="J21"/>
  <c r="I21"/>
  <c r="H21"/>
  <c r="H15" s="1"/>
  <c r="G21"/>
  <c r="E21"/>
  <c r="E15" s="1"/>
  <c r="J20"/>
  <c r="I20"/>
  <c r="I14" s="1"/>
  <c r="H20"/>
  <c r="G20"/>
  <c r="G14" s="1"/>
  <c r="E20"/>
  <c r="J19"/>
  <c r="I19"/>
  <c r="H19"/>
  <c r="H13" s="1"/>
  <c r="G19"/>
  <c r="E19"/>
  <c r="D18"/>
  <c r="C18"/>
  <c r="G17"/>
  <c r="E16"/>
  <c r="G13"/>
  <c r="H5"/>
  <c r="F5"/>
  <c r="E5"/>
  <c r="G3"/>
  <c r="F65" i="70"/>
  <c r="F64"/>
  <c r="F63"/>
  <c r="F62"/>
  <c r="F61"/>
  <c r="F60"/>
  <c r="F59"/>
  <c r="F58"/>
  <c r="M58" s="1"/>
  <c r="F57"/>
  <c r="F56"/>
  <c r="F55"/>
  <c r="E54"/>
  <c r="F54" s="1"/>
  <c r="F53"/>
  <c r="J340" i="28" s="1"/>
  <c r="H340" s="1"/>
  <c r="F52" i="70"/>
  <c r="M52" s="1"/>
  <c r="F51"/>
  <c r="F50"/>
  <c r="J339" i="28" s="1"/>
  <c r="F49" i="70"/>
  <c r="J48"/>
  <c r="I48"/>
  <c r="H48"/>
  <c r="G48"/>
  <c r="E48"/>
  <c r="J47"/>
  <c r="I47"/>
  <c r="H47"/>
  <c r="G47"/>
  <c r="E47"/>
  <c r="J46"/>
  <c r="I46"/>
  <c r="H46"/>
  <c r="G46"/>
  <c r="E46"/>
  <c r="J45"/>
  <c r="I45"/>
  <c r="H45"/>
  <c r="G45"/>
  <c r="E45"/>
  <c r="J44"/>
  <c r="I44"/>
  <c r="H44"/>
  <c r="G44"/>
  <c r="E44"/>
  <c r="J43"/>
  <c r="I43"/>
  <c r="I42" s="1"/>
  <c r="H43"/>
  <c r="G43"/>
  <c r="E43"/>
  <c r="J42"/>
  <c r="D42"/>
  <c r="C42"/>
  <c r="F41"/>
  <c r="F40"/>
  <c r="F39"/>
  <c r="F38"/>
  <c r="F37"/>
  <c r="E36"/>
  <c r="F36" s="1"/>
  <c r="E35"/>
  <c r="E23" s="1"/>
  <c r="E34"/>
  <c r="F34" s="1"/>
  <c r="F33"/>
  <c r="M33" s="1"/>
  <c r="N33" s="1"/>
  <c r="E32"/>
  <c r="F32" s="1"/>
  <c r="J98" i="28" s="1"/>
  <c r="J94" s="1"/>
  <c r="F31" i="70"/>
  <c r="F29"/>
  <c r="J27" i="28" s="1"/>
  <c r="F28" i="70"/>
  <c r="F27"/>
  <c r="F21" s="1"/>
  <c r="F26"/>
  <c r="J26" i="28" s="1"/>
  <c r="F25" i="70"/>
  <c r="J25" i="28" s="1"/>
  <c r="J24" i="70"/>
  <c r="I24"/>
  <c r="H24"/>
  <c r="G24"/>
  <c r="E24"/>
  <c r="J23"/>
  <c r="J17" s="1"/>
  <c r="I23"/>
  <c r="H23"/>
  <c r="H17" s="1"/>
  <c r="G23"/>
  <c r="J22"/>
  <c r="J16" s="1"/>
  <c r="I22"/>
  <c r="I16" s="1"/>
  <c r="H22"/>
  <c r="G22"/>
  <c r="E22"/>
  <c r="E16" s="1"/>
  <c r="J21"/>
  <c r="I21"/>
  <c r="H21"/>
  <c r="G21"/>
  <c r="G15" s="1"/>
  <c r="E21"/>
  <c r="J20"/>
  <c r="J14" s="1"/>
  <c r="I20"/>
  <c r="H20"/>
  <c r="H14" s="1"/>
  <c r="G20"/>
  <c r="G14" s="1"/>
  <c r="J19"/>
  <c r="J18" s="1"/>
  <c r="J12" s="1"/>
  <c r="I19"/>
  <c r="I13" s="1"/>
  <c r="H19"/>
  <c r="G19"/>
  <c r="E19"/>
  <c r="D18"/>
  <c r="C18"/>
  <c r="G16"/>
  <c r="I15"/>
  <c r="J13"/>
  <c r="E13"/>
  <c r="H5"/>
  <c r="G3"/>
  <c r="H42" i="74" l="1"/>
  <c r="F21" i="78"/>
  <c r="F15" s="1"/>
  <c r="J42"/>
  <c r="F44" i="75"/>
  <c r="F21" i="73"/>
  <c r="F15" s="1"/>
  <c r="F22" i="77"/>
  <c r="H42" i="81"/>
  <c r="G15" i="71"/>
  <c r="J16"/>
  <c r="H15" i="73"/>
  <c r="I17"/>
  <c r="J42" i="74"/>
  <c r="G15"/>
  <c r="I16"/>
  <c r="H42" i="75"/>
  <c r="I15"/>
  <c r="E54" i="76"/>
  <c r="F54" s="1"/>
  <c r="F23" i="78"/>
  <c r="F44" i="81"/>
  <c r="U282" i="121"/>
  <c r="U274"/>
  <c r="V6"/>
  <c r="Y238"/>
  <c r="W6"/>
  <c r="AB288"/>
  <c r="AA242"/>
  <c r="AA239" s="1"/>
  <c r="AA238" s="1"/>
  <c r="AA6" s="1"/>
  <c r="AA248"/>
  <c r="E15" i="70"/>
  <c r="J15"/>
  <c r="F22" i="71"/>
  <c r="F20"/>
  <c r="J18" i="72"/>
  <c r="J15"/>
  <c r="F22" i="74"/>
  <c r="F16" s="1"/>
  <c r="G42"/>
  <c r="I13" i="75"/>
  <c r="G15" i="78"/>
  <c r="E16"/>
  <c r="J16"/>
  <c r="E14" i="79"/>
  <c r="J14"/>
  <c r="G16"/>
  <c r="G18" i="80"/>
  <c r="G14"/>
  <c r="Z258" i="121"/>
  <c r="Z243"/>
  <c r="I17" i="70"/>
  <c r="G42" i="71"/>
  <c r="F22" i="73"/>
  <c r="F19" i="75"/>
  <c r="E30"/>
  <c r="G13" i="76"/>
  <c r="E14"/>
  <c r="J14"/>
  <c r="G16"/>
  <c r="G17"/>
  <c r="H14" i="77"/>
  <c r="J17"/>
  <c r="F20" i="78"/>
  <c r="J18" i="79"/>
  <c r="E16" i="81"/>
  <c r="Y288" i="111"/>
  <c r="W252" i="121"/>
  <c r="Y252" s="1"/>
  <c r="Y256"/>
  <c r="Z239"/>
  <c r="AB242"/>
  <c r="I17" i="72"/>
  <c r="J42" i="75"/>
  <c r="G16"/>
  <c r="G17"/>
  <c r="F46"/>
  <c r="F22" i="76"/>
  <c r="H18" i="78"/>
  <c r="F21" i="81"/>
  <c r="I14"/>
  <c r="X285" i="121"/>
  <c r="X286" s="1"/>
  <c r="X283"/>
  <c r="Z242" i="111"/>
  <c r="Z248"/>
  <c r="U238"/>
  <c r="V239"/>
  <c r="Y242"/>
  <c r="W239"/>
  <c r="U256"/>
  <c r="V258"/>
  <c r="X248"/>
  <c r="X242"/>
  <c r="X239" s="1"/>
  <c r="X238" s="1"/>
  <c r="X6" s="1"/>
  <c r="X274" s="1"/>
  <c r="W258"/>
  <c r="W243"/>
  <c r="Y248"/>
  <c r="F42" i="74"/>
  <c r="G12"/>
  <c r="H15" i="70"/>
  <c r="G17"/>
  <c r="F48"/>
  <c r="H16" i="72"/>
  <c r="E42"/>
  <c r="E18" i="73"/>
  <c r="I18"/>
  <c r="G18" i="77"/>
  <c r="J16"/>
  <c r="J13" i="79"/>
  <c r="J17" i="28"/>
  <c r="F17" i="71"/>
  <c r="I42" i="75"/>
  <c r="I12" s="1"/>
  <c r="E20" i="70"/>
  <c r="E14" s="1"/>
  <c r="H16"/>
  <c r="J18" i="71"/>
  <c r="F45"/>
  <c r="J42" i="72"/>
  <c r="J18" i="73"/>
  <c r="I42"/>
  <c r="G42" i="75"/>
  <c r="F46" i="76"/>
  <c r="I18" i="77"/>
  <c r="F19"/>
  <c r="F23"/>
  <c r="G42"/>
  <c r="G12" s="1"/>
  <c r="F44"/>
  <c r="F14" s="1"/>
  <c r="J13" i="78"/>
  <c r="G18"/>
  <c r="I18"/>
  <c r="F22" i="80"/>
  <c r="F16" s="1"/>
  <c r="F48"/>
  <c r="F46"/>
  <c r="F44"/>
  <c r="H13" i="81"/>
  <c r="F46" i="70"/>
  <c r="F44"/>
  <c r="M50"/>
  <c r="N50" s="1"/>
  <c r="E14" i="71"/>
  <c r="J14"/>
  <c r="I15"/>
  <c r="H42"/>
  <c r="G18" i="72"/>
  <c r="E18"/>
  <c r="H15"/>
  <c r="F16"/>
  <c r="J16"/>
  <c r="G18" i="73"/>
  <c r="G12" s="1"/>
  <c r="E14"/>
  <c r="F43" i="76"/>
  <c r="H42" i="77"/>
  <c r="G13" i="79"/>
  <c r="E42"/>
  <c r="J42"/>
  <c r="J12" s="1"/>
  <c r="G42" i="80"/>
  <c r="F23" i="81"/>
  <c r="I42"/>
  <c r="F46"/>
  <c r="J19" i="28"/>
  <c r="AA288" i="111"/>
  <c r="I509" i="92"/>
  <c r="J527"/>
  <c r="E47" i="78"/>
  <c r="H18" i="71"/>
  <c r="F30" i="75"/>
  <c r="J18" i="76"/>
  <c r="F21"/>
  <c r="H42"/>
  <c r="E47"/>
  <c r="G42" i="78"/>
  <c r="E54"/>
  <c r="F54" s="1"/>
  <c r="G42" i="72"/>
  <c r="E42" i="73"/>
  <c r="N42" s="1"/>
  <c r="H42"/>
  <c r="H12" s="1"/>
  <c r="E18" i="74"/>
  <c r="E42" i="71"/>
  <c r="F21" i="75"/>
  <c r="F15" s="1"/>
  <c r="J101" i="28"/>
  <c r="I117"/>
  <c r="I101" s="1"/>
  <c r="H42" i="78"/>
  <c r="H12" s="1"/>
  <c r="F47" i="79"/>
  <c r="H42" i="80"/>
  <c r="H12" s="1"/>
  <c r="H25" i="28"/>
  <c r="G12" i="72"/>
  <c r="F19"/>
  <c r="F23"/>
  <c r="H42"/>
  <c r="M42" i="73"/>
  <c r="F54" i="74"/>
  <c r="M54"/>
  <c r="G42" i="76"/>
  <c r="E48"/>
  <c r="N54" s="1"/>
  <c r="J42" i="77"/>
  <c r="E47"/>
  <c r="E42" s="1"/>
  <c r="F44" i="78"/>
  <c r="I371" i="28"/>
  <c r="I331" s="1"/>
  <c r="I18" i="79"/>
  <c r="I42"/>
  <c r="J18" i="81"/>
  <c r="M26" i="70"/>
  <c r="N26" s="1"/>
  <c r="H42"/>
  <c r="N59"/>
  <c r="J344" i="28"/>
  <c r="J332" s="1"/>
  <c r="G18" i="71"/>
  <c r="G12" s="1"/>
  <c r="F48"/>
  <c r="G13" i="72"/>
  <c r="I42"/>
  <c r="F59"/>
  <c r="J432" i="28" s="1"/>
  <c r="J428" s="1"/>
  <c r="F18" i="73"/>
  <c r="G13" i="74"/>
  <c r="J18"/>
  <c r="J12" s="1"/>
  <c r="H18"/>
  <c r="F20"/>
  <c r="F14" s="1"/>
  <c r="E47" i="75"/>
  <c r="I18" i="76"/>
  <c r="I46" i="28"/>
  <c r="I18" s="1"/>
  <c r="J102"/>
  <c r="E42" i="76"/>
  <c r="I42"/>
  <c r="I326" i="28"/>
  <c r="H358"/>
  <c r="G358" s="1"/>
  <c r="F30" i="80"/>
  <c r="H339" i="28"/>
  <c r="M56" i="70"/>
  <c r="N56" s="1"/>
  <c r="J343" i="28"/>
  <c r="H12" i="71"/>
  <c r="J12" i="72"/>
  <c r="F54"/>
  <c r="J431" i="28"/>
  <c r="N48" i="74"/>
  <c r="H360" i="28"/>
  <c r="G360" s="1"/>
  <c r="H12" i="77"/>
  <c r="G12" i="80"/>
  <c r="I12" i="81"/>
  <c r="E47"/>
  <c r="G18" i="70"/>
  <c r="F24"/>
  <c r="H18"/>
  <c r="H12" s="1"/>
  <c r="M28"/>
  <c r="E42"/>
  <c r="I18" i="71"/>
  <c r="I42"/>
  <c r="F46"/>
  <c r="F24" i="72"/>
  <c r="H346" i="28"/>
  <c r="G346" s="1"/>
  <c r="J345"/>
  <c r="I70" i="99" s="1"/>
  <c r="E24" i="74"/>
  <c r="M24" s="1"/>
  <c r="N24" s="1"/>
  <c r="F27"/>
  <c r="F21" s="1"/>
  <c r="F15" s="1"/>
  <c r="F30"/>
  <c r="E42"/>
  <c r="E12" s="1"/>
  <c r="I42"/>
  <c r="J18" i="75"/>
  <c r="J12" s="1"/>
  <c r="J12" i="77"/>
  <c r="I42"/>
  <c r="I12" s="1"/>
  <c r="E24" i="78"/>
  <c r="F24" s="1"/>
  <c r="F30"/>
  <c r="I13" i="79"/>
  <c r="H18"/>
  <c r="H12" s="1"/>
  <c r="F20"/>
  <c r="J18" i="28"/>
  <c r="F43" i="79"/>
  <c r="H374" i="28"/>
  <c r="G374" s="1"/>
  <c r="F21" i="80"/>
  <c r="N50"/>
  <c r="E24" i="81"/>
  <c r="F24" s="1"/>
  <c r="E54"/>
  <c r="F54" s="1"/>
  <c r="AB23" i="99"/>
  <c r="AC23" s="1"/>
  <c r="AD23" s="1"/>
  <c r="V23"/>
  <c r="G52" i="28"/>
  <c r="G13" i="99"/>
  <c r="K545" i="92"/>
  <c r="F15" i="76"/>
  <c r="F23" i="80"/>
  <c r="F16" i="71"/>
  <c r="F19" i="70"/>
  <c r="F47"/>
  <c r="I12" i="71"/>
  <c r="F24"/>
  <c r="J13"/>
  <c r="I12" i="73"/>
  <c r="F30"/>
  <c r="F46"/>
  <c r="F16" s="1"/>
  <c r="F23" i="74"/>
  <c r="F17" s="1"/>
  <c r="H12" i="75"/>
  <c r="J14"/>
  <c r="H15"/>
  <c r="F16"/>
  <c r="J16"/>
  <c r="H16" i="76"/>
  <c r="F16"/>
  <c r="E13" i="78"/>
  <c r="I13"/>
  <c r="I17"/>
  <c r="F14"/>
  <c r="I12" i="79"/>
  <c r="E54"/>
  <c r="F54" s="1"/>
  <c r="I16" i="80"/>
  <c r="F14"/>
  <c r="H14" i="81"/>
  <c r="F15"/>
  <c r="J15"/>
  <c r="F14"/>
  <c r="G42" i="70"/>
  <c r="F43"/>
  <c r="F45"/>
  <c r="E18" i="71"/>
  <c r="E12" s="1"/>
  <c r="H18" i="72"/>
  <c r="H12" s="1"/>
  <c r="F13" i="73"/>
  <c r="F24"/>
  <c r="J42"/>
  <c r="F48"/>
  <c r="M24" i="75"/>
  <c r="I12" i="76"/>
  <c r="H14"/>
  <c r="J15"/>
  <c r="F45" i="77"/>
  <c r="F15" s="1"/>
  <c r="J12" i="78"/>
  <c r="E42"/>
  <c r="I18" i="80"/>
  <c r="J42"/>
  <c r="J12" s="1"/>
  <c r="J17"/>
  <c r="E47"/>
  <c r="E17" s="1"/>
  <c r="J13" i="81"/>
  <c r="J17"/>
  <c r="E42"/>
  <c r="I18" i="70"/>
  <c r="I12" s="1"/>
  <c r="F21" i="71"/>
  <c r="F15" s="1"/>
  <c r="I18" i="72"/>
  <c r="I12" s="1"/>
  <c r="F30"/>
  <c r="F48"/>
  <c r="E12" i="73"/>
  <c r="F14"/>
  <c r="F48" i="74"/>
  <c r="G18" i="75"/>
  <c r="G12" s="1"/>
  <c r="E23"/>
  <c r="E18" s="1"/>
  <c r="H17"/>
  <c r="F53"/>
  <c r="F47" s="1"/>
  <c r="G18" i="76"/>
  <c r="G12" s="1"/>
  <c r="J42"/>
  <c r="J12" s="1"/>
  <c r="F44"/>
  <c r="F14" s="1"/>
  <c r="F46" i="77"/>
  <c r="F16" s="1"/>
  <c r="G16" i="78"/>
  <c r="F22" i="79"/>
  <c r="F16" s="1"/>
  <c r="F44"/>
  <c r="F14" s="1"/>
  <c r="F45"/>
  <c r="F15" s="1"/>
  <c r="H13" i="80"/>
  <c r="I42"/>
  <c r="I12" s="1"/>
  <c r="G17"/>
  <c r="H12" i="81"/>
  <c r="G42"/>
  <c r="G12" s="1"/>
  <c r="E48"/>
  <c r="N54" s="1"/>
  <c r="H14" i="71"/>
  <c r="J15"/>
  <c r="H16"/>
  <c r="J17"/>
  <c r="E12" i="72"/>
  <c r="F43" i="75"/>
  <c r="H18" i="76"/>
  <c r="H12" s="1"/>
  <c r="J17"/>
  <c r="F47"/>
  <c r="F42" s="1"/>
  <c r="F30" i="77"/>
  <c r="F43"/>
  <c r="F13" s="1"/>
  <c r="I42" i="78"/>
  <c r="I12" s="1"/>
  <c r="G14"/>
  <c r="E15"/>
  <c r="I15"/>
  <c r="F46"/>
  <c r="F16" s="1"/>
  <c r="G18" i="79"/>
  <c r="G12" s="1"/>
  <c r="E24"/>
  <c r="F24" s="1"/>
  <c r="F30"/>
  <c r="E48"/>
  <c r="N54" s="1"/>
  <c r="H16" i="80"/>
  <c r="F30" i="81"/>
  <c r="H16"/>
  <c r="F16"/>
  <c r="E23"/>
  <c r="E30"/>
  <c r="J42"/>
  <c r="J12" s="1"/>
  <c r="F53"/>
  <c r="F47" s="1"/>
  <c r="F42" s="1"/>
  <c r="F6" s="1"/>
  <c r="F19"/>
  <c r="F18" i="80"/>
  <c r="F15"/>
  <c r="J15"/>
  <c r="F43"/>
  <c r="E54"/>
  <c r="F54" s="1"/>
  <c r="F59"/>
  <c r="F47" s="1"/>
  <c r="F17" s="1"/>
  <c r="F13" i="79"/>
  <c r="F42"/>
  <c r="F23"/>
  <c r="F17" s="1"/>
  <c r="E23"/>
  <c r="E30"/>
  <c r="F48"/>
  <c r="G12" i="78"/>
  <c r="E23"/>
  <c r="E30"/>
  <c r="F53"/>
  <c r="F19"/>
  <c r="F18" i="77"/>
  <c r="E13"/>
  <c r="I13"/>
  <c r="E24"/>
  <c r="E23"/>
  <c r="E17" s="1"/>
  <c r="F53"/>
  <c r="F47" s="1"/>
  <c r="F17" s="1"/>
  <c r="H13"/>
  <c r="F13" i="76"/>
  <c r="F48"/>
  <c r="E23"/>
  <c r="F29"/>
  <c r="I47" i="28" s="1"/>
  <c r="I19" s="1"/>
  <c r="F35" i="76"/>
  <c r="J13"/>
  <c r="F23" i="75"/>
  <c r="F17" s="1"/>
  <c r="F13"/>
  <c r="F42"/>
  <c r="E42"/>
  <c r="E17"/>
  <c r="H13"/>
  <c r="F20"/>
  <c r="F14" s="1"/>
  <c r="E54"/>
  <c r="F54" s="1"/>
  <c r="F18" i="74"/>
  <c r="F12" s="1"/>
  <c r="H12"/>
  <c r="E13"/>
  <c r="I18"/>
  <c r="I12" s="1"/>
  <c r="F13"/>
  <c r="J13"/>
  <c r="F42" i="73"/>
  <c r="F12" s="1"/>
  <c r="J12"/>
  <c r="G13"/>
  <c r="F18" i="72"/>
  <c r="F13"/>
  <c r="H13"/>
  <c r="F19" i="71"/>
  <c r="E13"/>
  <c r="I13"/>
  <c r="F30"/>
  <c r="J42"/>
  <c r="J12" s="1"/>
  <c r="F44"/>
  <c r="F14" s="1"/>
  <c r="F13" i="70"/>
  <c r="F20"/>
  <c r="F14" s="1"/>
  <c r="M32"/>
  <c r="N32" s="1"/>
  <c r="F42"/>
  <c r="M34"/>
  <c r="F22"/>
  <c r="F16" s="1"/>
  <c r="G12"/>
  <c r="F15"/>
  <c r="E17"/>
  <c r="E18"/>
  <c r="E12" s="1"/>
  <c r="F35"/>
  <c r="G13"/>
  <c r="I14"/>
  <c r="N53"/>
  <c r="N29"/>
  <c r="H13"/>
  <c r="E30"/>
  <c r="AB248" i="121" l="1"/>
  <c r="AA258"/>
  <c r="AA256" s="1"/>
  <c r="AA252" s="1"/>
  <c r="AA243"/>
  <c r="AB243" s="1"/>
  <c r="AA274"/>
  <c r="AA282"/>
  <c r="Z283"/>
  <c r="Z284" s="1"/>
  <c r="AB239"/>
  <c r="Z238"/>
  <c r="Z256"/>
  <c r="AB258"/>
  <c r="E12" i="75"/>
  <c r="M12" s="1"/>
  <c r="Z286" i="121"/>
  <c r="W282"/>
  <c r="Y282" s="1"/>
  <c r="W274"/>
  <c r="Y6"/>
  <c r="U283"/>
  <c r="U285"/>
  <c r="V282"/>
  <c r="X243" i="111"/>
  <c r="Y243" s="1"/>
  <c r="X258"/>
  <c r="X256" s="1"/>
  <c r="X252" s="1"/>
  <c r="Z239"/>
  <c r="W238"/>
  <c r="Y239"/>
  <c r="Z258"/>
  <c r="Z243"/>
  <c r="AA248"/>
  <c r="AB248" s="1"/>
  <c r="AA242"/>
  <c r="AA239" s="1"/>
  <c r="AA238" s="1"/>
  <c r="AA6" s="1"/>
  <c r="AA274" s="1"/>
  <c r="Y258"/>
  <c r="W256"/>
  <c r="U252"/>
  <c r="V252" s="1"/>
  <c r="V256"/>
  <c r="U6"/>
  <c r="V238"/>
  <c r="I5" i="92"/>
  <c r="I549" s="1"/>
  <c r="I552" s="1"/>
  <c r="I553" s="1"/>
  <c r="E42" i="80"/>
  <c r="E12" s="1"/>
  <c r="H343" i="28"/>
  <c r="G343" s="1"/>
  <c r="J331"/>
  <c r="G25"/>
  <c r="AB288" i="111"/>
  <c r="X282"/>
  <c r="J509" i="92"/>
  <c r="J103" i="28"/>
  <c r="I119"/>
  <c r="I103" s="1"/>
  <c r="N54" i="78"/>
  <c r="G339" i="28"/>
  <c r="F47" i="72"/>
  <c r="F30" i="76"/>
  <c r="AB70" i="99"/>
  <c r="AC70" s="1"/>
  <c r="AD70" s="1"/>
  <c r="V70"/>
  <c r="J427" i="28"/>
  <c r="J429"/>
  <c r="H344"/>
  <c r="J328"/>
  <c r="H371"/>
  <c r="G371" s="1"/>
  <c r="I327"/>
  <c r="N35" i="70"/>
  <c r="J99" i="28"/>
  <c r="J95" s="1"/>
  <c r="F42" i="77"/>
  <c r="F47" i="78"/>
  <c r="F42" s="1"/>
  <c r="F6" s="1"/>
  <c r="I372" i="28"/>
  <c r="I332" s="1"/>
  <c r="F24" i="74"/>
  <c r="J326" i="28"/>
  <c r="H338"/>
  <c r="G338" s="1"/>
  <c r="F13" i="99"/>
  <c r="F6" i="76"/>
  <c r="F7"/>
  <c r="F5" s="1"/>
  <c r="F8"/>
  <c r="F42" i="71"/>
  <c r="F48" i="77"/>
  <c r="F48" i="75"/>
  <c r="F7" i="81"/>
  <c r="F8"/>
  <c r="F48"/>
  <c r="F17"/>
  <c r="F18"/>
  <c r="F13"/>
  <c r="E18"/>
  <c r="E12" s="1"/>
  <c r="E17"/>
  <c r="E6" i="80"/>
  <c r="E7"/>
  <c r="E8"/>
  <c r="F42"/>
  <c r="F13"/>
  <c r="N54"/>
  <c r="E18" i="79"/>
  <c r="E12" s="1"/>
  <c r="E17"/>
  <c r="F7"/>
  <c r="F8"/>
  <c r="F6"/>
  <c r="F18"/>
  <c r="F8" i="78"/>
  <c r="F7"/>
  <c r="F17"/>
  <c r="E18"/>
  <c r="E12" s="1"/>
  <c r="E17"/>
  <c r="F48"/>
  <c r="F18"/>
  <c r="F13"/>
  <c r="F8" i="77"/>
  <c r="F7"/>
  <c r="F6"/>
  <c r="F12"/>
  <c r="E7"/>
  <c r="E8"/>
  <c r="E6"/>
  <c r="E18"/>
  <c r="E12" s="1"/>
  <c r="F23" i="76"/>
  <c r="E18"/>
  <c r="E12" s="1"/>
  <c r="E17"/>
  <c r="F8" i="75"/>
  <c r="F6"/>
  <c r="F7"/>
  <c r="N54"/>
  <c r="F18"/>
  <c r="F18" i="71"/>
  <c r="F13"/>
  <c r="F30" i="70"/>
  <c r="F23"/>
  <c r="F17" s="1"/>
  <c r="U286" i="121" l="1"/>
  <c r="V285"/>
  <c r="W283"/>
  <c r="U284"/>
  <c r="AB256"/>
  <c r="Z252"/>
  <c r="AB252" s="1"/>
  <c r="Z285"/>
  <c r="Z287"/>
  <c r="AB238"/>
  <c r="Z6"/>
  <c r="AA285"/>
  <c r="AA286" s="1"/>
  <c r="AA287" s="1"/>
  <c r="AA283"/>
  <c r="AA284" s="1"/>
  <c r="W252" i="111"/>
  <c r="Y252" s="1"/>
  <c r="Y256"/>
  <c r="Y238"/>
  <c r="W6"/>
  <c r="AA243"/>
  <c r="AB243" s="1"/>
  <c r="AA258"/>
  <c r="AA256" s="1"/>
  <c r="AA252" s="1"/>
  <c r="Z256"/>
  <c r="AB242"/>
  <c r="U274"/>
  <c r="V6"/>
  <c r="AB239"/>
  <c r="Z238"/>
  <c r="I545" i="92"/>
  <c r="J5"/>
  <c r="F12" i="71"/>
  <c r="F5" i="81"/>
  <c r="G331" i="28"/>
  <c r="H331"/>
  <c r="AA282" i="111"/>
  <c r="X285"/>
  <c r="X286" s="1"/>
  <c r="X283"/>
  <c r="I554" i="92"/>
  <c r="I550"/>
  <c r="J549"/>
  <c r="J327" i="28"/>
  <c r="E5" i="77"/>
  <c r="F5"/>
  <c r="F42" i="72"/>
  <c r="F12" s="1"/>
  <c r="F17"/>
  <c r="H372" i="28"/>
  <c r="G372" s="1"/>
  <c r="I328"/>
  <c r="G344"/>
  <c r="H139" i="64"/>
  <c r="I86" i="99"/>
  <c r="F5" i="75"/>
  <c r="F12" i="81"/>
  <c r="E7"/>
  <c r="E8"/>
  <c r="E6"/>
  <c r="E5" i="80"/>
  <c r="F7"/>
  <c r="F8"/>
  <c r="F6"/>
  <c r="F12"/>
  <c r="F12" i="79"/>
  <c r="E7"/>
  <c r="E8"/>
  <c r="E6"/>
  <c r="F5"/>
  <c r="F5" i="78"/>
  <c r="F12"/>
  <c r="E7"/>
  <c r="E8"/>
  <c r="E6"/>
  <c r="F17" i="76"/>
  <c r="F18"/>
  <c r="E7" i="75"/>
  <c r="F12"/>
  <c r="E8"/>
  <c r="E6"/>
  <c r="F18" i="70"/>
  <c r="F12" s="1"/>
  <c r="AB258" i="111" l="1"/>
  <c r="AB285" i="121"/>
  <c r="W284"/>
  <c r="X284"/>
  <c r="Z282"/>
  <c r="AB282" s="1"/>
  <c r="Z274"/>
  <c r="AB6"/>
  <c r="W286"/>
  <c r="U287"/>
  <c r="Y6" i="111"/>
  <c r="W274"/>
  <c r="AB238"/>
  <c r="Z6"/>
  <c r="Z252"/>
  <c r="AB252" s="1"/>
  <c r="AB256"/>
  <c r="H332" i="28"/>
  <c r="Z286" i="111"/>
  <c r="AA283"/>
  <c r="AA285"/>
  <c r="AA286" s="1"/>
  <c r="Z283"/>
  <c r="Z284" s="1"/>
  <c r="K550" i="92"/>
  <c r="K551" s="1"/>
  <c r="I551"/>
  <c r="J552"/>
  <c r="AB86" i="99"/>
  <c r="AC86" s="1"/>
  <c r="AD86" s="1"/>
  <c r="V86"/>
  <c r="E5" i="81"/>
  <c r="F5" i="80"/>
  <c r="E5" i="79"/>
  <c r="E5" i="78"/>
  <c r="E8" i="76"/>
  <c r="F12"/>
  <c r="E7"/>
  <c r="E6"/>
  <c r="E5" i="75"/>
  <c r="F6" i="70"/>
  <c r="F8"/>
  <c r="F7"/>
  <c r="W285" i="121" l="1"/>
  <c r="Y285" s="1"/>
  <c r="W287"/>
  <c r="X287"/>
  <c r="Z274" i="111"/>
  <c r="AB6"/>
  <c r="AA287"/>
  <c r="AA284"/>
  <c r="U282"/>
  <c r="Z285"/>
  <c r="AB285" s="1"/>
  <c r="Z287"/>
  <c r="K553" i="92"/>
  <c r="E5" i="76"/>
  <c r="F5" i="70"/>
  <c r="W282" i="111" l="1"/>
  <c r="Y282" s="1"/>
  <c r="U285"/>
  <c r="U283"/>
  <c r="V282"/>
  <c r="K554" i="92"/>
  <c r="K552"/>
  <c r="H179" i="28"/>
  <c r="G179" s="1"/>
  <c r="M176"/>
  <c r="L176"/>
  <c r="K176"/>
  <c r="J176"/>
  <c r="I176"/>
  <c r="H178"/>
  <c r="G178" s="1"/>
  <c r="H177"/>
  <c r="G177" s="1"/>
  <c r="K168"/>
  <c r="L168"/>
  <c r="K169"/>
  <c r="L169"/>
  <c r="K170"/>
  <c r="L170"/>
  <c r="K171"/>
  <c r="L171"/>
  <c r="K144"/>
  <c r="L144"/>
  <c r="K145"/>
  <c r="L145"/>
  <c r="K146"/>
  <c r="L146"/>
  <c r="K147"/>
  <c r="L147"/>
  <c r="W283" i="111" l="1"/>
  <c r="U284"/>
  <c r="Z282"/>
  <c r="AB282" s="1"/>
  <c r="U286"/>
  <c r="V285"/>
  <c r="H176" i="28"/>
  <c r="G176" s="1"/>
  <c r="K120"/>
  <c r="J27" i="99" s="1"/>
  <c r="W27" s="1"/>
  <c r="L120" i="28"/>
  <c r="K27" i="99" s="1"/>
  <c r="X27" s="1"/>
  <c r="K108" i="28"/>
  <c r="J24" i="99" s="1"/>
  <c r="L108" i="28"/>
  <c r="K24" i="99" s="1"/>
  <c r="X24" s="1"/>
  <c r="K104" i="28"/>
  <c r="F11" i="32" s="1"/>
  <c r="L104" i="28"/>
  <c r="G11" i="32" s="1"/>
  <c r="K13" i="28"/>
  <c r="L13"/>
  <c r="L9" s="1"/>
  <c r="L14"/>
  <c r="K15"/>
  <c r="K11" s="1"/>
  <c r="L15"/>
  <c r="K48"/>
  <c r="J12" i="99" s="1"/>
  <c r="W12" s="1"/>
  <c r="K96" i="28"/>
  <c r="N96"/>
  <c r="M22" i="99" s="1"/>
  <c r="E36" i="64"/>
  <c r="D36"/>
  <c r="A36"/>
  <c r="B36"/>
  <c r="K72" i="28"/>
  <c r="J18" i="99" s="1"/>
  <c r="W18" s="1"/>
  <c r="L72" i="28"/>
  <c r="K18" i="99" s="1"/>
  <c r="X18" s="1"/>
  <c r="K56" i="28"/>
  <c r="J14" i="99" s="1"/>
  <c r="W14" s="1"/>
  <c r="H30" i="28"/>
  <c r="G30" s="1"/>
  <c r="H31"/>
  <c r="G31" s="1"/>
  <c r="U287" i="111" l="1"/>
  <c r="W286"/>
  <c r="W284"/>
  <c r="X284"/>
  <c r="AC24" i="99"/>
  <c r="AD24" s="1"/>
  <c r="W24"/>
  <c r="J22"/>
  <c r="W22" s="1"/>
  <c r="J23"/>
  <c r="W23" s="1"/>
  <c r="K23"/>
  <c r="X23" s="1"/>
  <c r="I27" i="64"/>
  <c r="I42"/>
  <c r="J27"/>
  <c r="I21"/>
  <c r="J42"/>
  <c r="I23"/>
  <c r="I45"/>
  <c r="J45"/>
  <c r="K9" i="28"/>
  <c r="K570" s="1"/>
  <c r="I36" i="64"/>
  <c r="I35" s="1"/>
  <c r="K92" i="28"/>
  <c r="I41" i="64"/>
  <c r="J41"/>
  <c r="K14" i="28"/>
  <c r="K112"/>
  <c r="J25" i="99" s="1"/>
  <c r="W25" s="1"/>
  <c r="C30" i="64"/>
  <c r="C29"/>
  <c r="C28"/>
  <c r="C23"/>
  <c r="C25"/>
  <c r="C26"/>
  <c r="C27"/>
  <c r="B30"/>
  <c r="B29"/>
  <c r="B28"/>
  <c r="E39" i="28"/>
  <c r="F84"/>
  <c r="E21" i="99" s="1"/>
  <c r="E84" i="28"/>
  <c r="N80"/>
  <c r="M20" i="99" s="1"/>
  <c r="K80" i="28"/>
  <c r="I29" i="64" s="1"/>
  <c r="D81" i="28"/>
  <c r="D82" s="1"/>
  <c r="F80"/>
  <c r="E20" i="99" s="1"/>
  <c r="E80" i="28"/>
  <c r="F76"/>
  <c r="E19" i="99" s="1"/>
  <c r="E76" i="28"/>
  <c r="D19" i="99" s="1"/>
  <c r="W285" i="111" l="1"/>
  <c r="Y285" s="1"/>
  <c r="W287"/>
  <c r="X287"/>
  <c r="E30" i="64"/>
  <c r="D21" i="99"/>
  <c r="E81" i="28"/>
  <c r="E82" s="1"/>
  <c r="D20" i="99"/>
  <c r="J20"/>
  <c r="I43" i="64"/>
  <c r="E77" i="28"/>
  <c r="E78" s="1"/>
  <c r="E79" s="1"/>
  <c r="E28" i="64"/>
  <c r="D83" i="28"/>
  <c r="E83" l="1"/>
  <c r="D73"/>
  <c r="F72"/>
  <c r="E18" i="99" s="1"/>
  <c r="E72" i="28"/>
  <c r="F68"/>
  <c r="E17" i="99" s="1"/>
  <c r="K68" i="28"/>
  <c r="J17" i="99" s="1"/>
  <c r="W17" s="1"/>
  <c r="E27" i="64" l="1"/>
  <c r="D18" i="99"/>
  <c r="I26" i="64"/>
  <c r="D74" i="28"/>
  <c r="D75"/>
  <c r="E68" l="1"/>
  <c r="D17" i="99" s="1"/>
  <c r="K60" i="28"/>
  <c r="J15" i="99" s="1"/>
  <c r="W15" s="1"/>
  <c r="K64" i="28"/>
  <c r="J16" i="99" s="1"/>
  <c r="W16" s="1"/>
  <c r="F64" i="28"/>
  <c r="E16" i="99" s="1"/>
  <c r="E64" i="28"/>
  <c r="N60"/>
  <c r="M15" i="99" s="1"/>
  <c r="E15"/>
  <c r="C24" i="64"/>
  <c r="F56" i="28"/>
  <c r="E14" i="99" s="1"/>
  <c r="D57" i="28"/>
  <c r="D59" s="1"/>
  <c r="E56"/>
  <c r="C21" i="64"/>
  <c r="B21"/>
  <c r="C20"/>
  <c r="B20"/>
  <c r="N48" i="28"/>
  <c r="M12" i="99" s="1"/>
  <c r="F48" i="28"/>
  <c r="E12" i="99" s="1"/>
  <c r="E48" i="28"/>
  <c r="N44"/>
  <c r="M11" i="99" s="1"/>
  <c r="K44" i="28"/>
  <c r="J11" i="99" s="1"/>
  <c r="W11" s="1"/>
  <c r="F44" i="28"/>
  <c r="E11" i="99" s="1"/>
  <c r="B19" i="64"/>
  <c r="C16"/>
  <c r="B16"/>
  <c r="B17"/>
  <c r="C40" i="28"/>
  <c r="F40"/>
  <c r="E10" i="99" s="1"/>
  <c r="N36" i="28"/>
  <c r="M9" i="99" s="1"/>
  <c r="I32" i="28"/>
  <c r="H8" i="99" s="1"/>
  <c r="U8" s="1"/>
  <c r="N32" i="28"/>
  <c r="M8" i="99" s="1"/>
  <c r="F32" i="28"/>
  <c r="E8" i="99" s="1"/>
  <c r="E32" i="28"/>
  <c r="D8" i="99" s="1"/>
  <c r="D35" i="28"/>
  <c r="F36"/>
  <c r="E9" i="99" s="1"/>
  <c r="C36" i="28"/>
  <c r="F28"/>
  <c r="E7" i="99" s="1"/>
  <c r="E16" i="64"/>
  <c r="C19" l="1"/>
  <c r="B10" i="99"/>
  <c r="E49" i="28"/>
  <c r="E50" s="1"/>
  <c r="E51" s="1"/>
  <c r="D12" i="99"/>
  <c r="C18" i="64"/>
  <c r="B9" i="99"/>
  <c r="E23" i="64"/>
  <c r="D14" i="99"/>
  <c r="E25" i="64"/>
  <c r="D16" i="99"/>
  <c r="I25" i="64"/>
  <c r="I20"/>
  <c r="G17"/>
  <c r="I24"/>
  <c r="E35" i="28"/>
  <c r="E17" i="64"/>
  <c r="E21"/>
  <c r="E69" i="28"/>
  <c r="E70" s="1"/>
  <c r="E71" s="1"/>
  <c r="E26" i="64"/>
  <c r="E117" i="28"/>
  <c r="E118" s="1"/>
  <c r="E119" s="1"/>
  <c r="E34"/>
  <c r="N20"/>
  <c r="M5" i="99" s="1"/>
  <c r="N24" i="28"/>
  <c r="M6" i="99" s="1"/>
  <c r="C24" i="28"/>
  <c r="C16" s="1"/>
  <c r="F24"/>
  <c r="F16" s="1"/>
  <c r="E33"/>
  <c r="D33"/>
  <c r="D34" s="1"/>
  <c r="B15" i="64"/>
  <c r="F25"/>
  <c r="F26"/>
  <c r="F27"/>
  <c r="F28"/>
  <c r="F29"/>
  <c r="F30"/>
  <c r="F16"/>
  <c r="F17"/>
  <c r="F18"/>
  <c r="F19"/>
  <c r="F20"/>
  <c r="F21"/>
  <c r="F22"/>
  <c r="F23"/>
  <c r="F24"/>
  <c r="F15"/>
  <c r="E29"/>
  <c r="E6" i="99" l="1"/>
  <c r="B6"/>
  <c r="F13" i="64"/>
  <c r="C15"/>
  <c r="C13" s="1"/>
  <c r="K437" i="28" l="1"/>
  <c r="F22" i="32" s="1"/>
  <c r="F13" s="1"/>
  <c r="K572" i="28"/>
  <c r="F33" i="32" l="1"/>
  <c r="J88" i="99"/>
  <c r="W88" s="1"/>
  <c r="W66" s="1"/>
  <c r="I141" i="64"/>
  <c r="I138" s="1"/>
  <c r="K425" i="28"/>
  <c r="K325" s="1"/>
  <c r="A181" i="64"/>
  <c r="A180"/>
  <c r="A161"/>
  <c r="A158"/>
  <c r="A151"/>
  <c r="A144"/>
  <c r="A142"/>
  <c r="A138"/>
  <c r="A136"/>
  <c r="A135"/>
  <c r="A134"/>
  <c r="A129"/>
  <c r="I128"/>
  <c r="A128"/>
  <c r="A124"/>
  <c r="A114"/>
  <c r="A113"/>
  <c r="A112"/>
  <c r="A109"/>
  <c r="A108"/>
  <c r="A107"/>
  <c r="A70"/>
  <c r="A67"/>
  <c r="A62"/>
  <c r="K58"/>
  <c r="K52" s="1"/>
  <c r="I58"/>
  <c r="I52" s="1"/>
  <c r="H58"/>
  <c r="H52" s="1"/>
  <c r="G58"/>
  <c r="G52" s="1"/>
  <c r="A58"/>
  <c r="A53"/>
  <c r="A48"/>
  <c r="A42"/>
  <c r="A41"/>
  <c r="M40"/>
  <c r="A40"/>
  <c r="F36"/>
  <c r="F35" s="1"/>
  <c r="M35"/>
  <c r="E35"/>
  <c r="D35"/>
  <c r="C35"/>
  <c r="C12" s="1"/>
  <c r="C11" s="1"/>
  <c r="A35"/>
  <c r="A21"/>
  <c r="A20"/>
  <c r="A19"/>
  <c r="A18"/>
  <c r="A17"/>
  <c r="A16"/>
  <c r="A15"/>
  <c r="A14"/>
  <c r="M13"/>
  <c r="A13"/>
  <c r="M10"/>
  <c r="F10"/>
  <c r="E10"/>
  <c r="D10"/>
  <c r="K116" i="28"/>
  <c r="J26" i="99" s="1"/>
  <c r="W26" s="1"/>
  <c r="K84" i="28"/>
  <c r="J21" i="99" s="1"/>
  <c r="W21" s="1"/>
  <c r="K76" i="28"/>
  <c r="J19" i="99" s="1"/>
  <c r="W19" s="1"/>
  <c r="D46" i="28"/>
  <c r="D45"/>
  <c r="D47" s="1"/>
  <c r="K24"/>
  <c r="K28"/>
  <c r="J7" i="99" s="1"/>
  <c r="W7" s="1"/>
  <c r="J32" i="28"/>
  <c r="I8" i="99" s="1"/>
  <c r="V8" s="1"/>
  <c r="K32" i="28"/>
  <c r="J36"/>
  <c r="I9" i="99" s="1"/>
  <c r="K36" i="28"/>
  <c r="J9" i="99" s="1"/>
  <c r="W9" s="1"/>
  <c r="I40" i="28"/>
  <c r="H10" i="99" s="1"/>
  <c r="U10" s="1"/>
  <c r="J40" i="28"/>
  <c r="I10" i="99" s="1"/>
  <c r="V10" s="1"/>
  <c r="K40" i="28"/>
  <c r="H34"/>
  <c r="G34" s="1"/>
  <c r="J24"/>
  <c r="H21"/>
  <c r="F8" i="32" l="1"/>
  <c r="J10" i="99"/>
  <c r="W10" s="1"/>
  <c r="K16" i="28"/>
  <c r="J66" i="99"/>
  <c r="AB8"/>
  <c r="AC8" s="1"/>
  <c r="AD8" s="1"/>
  <c r="AB9"/>
  <c r="V9"/>
  <c r="I106" i="64"/>
  <c r="I105" s="1"/>
  <c r="J8" i="99"/>
  <c r="W8" s="1"/>
  <c r="I6"/>
  <c r="J6"/>
  <c r="W6" s="1"/>
  <c r="I16" i="64"/>
  <c r="H17"/>
  <c r="I18"/>
  <c r="I28"/>
  <c r="G19"/>
  <c r="H19"/>
  <c r="I17"/>
  <c r="K100" i="28"/>
  <c r="I19" i="64"/>
  <c r="H18"/>
  <c r="I30"/>
  <c r="G21" i="28"/>
  <c r="K321"/>
  <c r="F12" i="64"/>
  <c r="F11" s="1"/>
  <c r="I15"/>
  <c r="I44"/>
  <c r="I40" s="1"/>
  <c r="H15"/>
  <c r="E128"/>
  <c r="M128"/>
  <c r="D128"/>
  <c r="C128"/>
  <c r="C106" s="1"/>
  <c r="M107"/>
  <c r="AC10" i="99" l="1"/>
  <c r="AD10" s="1"/>
  <c r="F28" i="32"/>
  <c r="AB6" i="99"/>
  <c r="V6"/>
  <c r="AC9"/>
  <c r="AD9" s="1"/>
  <c r="C105" i="64"/>
  <c r="C188" s="1"/>
  <c r="F188"/>
  <c r="K12" i="28"/>
  <c r="M105" i="64"/>
  <c r="AC6" i="99" l="1"/>
  <c r="AD6" l="1"/>
  <c r="E127" i="28"/>
  <c r="E126"/>
  <c r="E125"/>
  <c r="E75"/>
  <c r="E74"/>
  <c r="E73"/>
  <c r="D37" l="1"/>
  <c r="E338"/>
  <c r="E339" s="1"/>
  <c r="E41"/>
  <c r="E42" s="1"/>
  <c r="E43" s="1"/>
  <c r="E37"/>
  <c r="E38" s="1"/>
  <c r="E31"/>
  <c r="E30"/>
  <c r="E29"/>
  <c r="E22"/>
  <c r="E21"/>
  <c r="E23" s="1"/>
  <c r="E360"/>
  <c r="E359"/>
  <c r="E358"/>
  <c r="D360"/>
  <c r="D359"/>
  <c r="D358"/>
  <c r="E47"/>
  <c r="E46"/>
  <c r="E45"/>
  <c r="E351"/>
  <c r="E352" s="1"/>
  <c r="E350"/>
  <c r="D351"/>
  <c r="D350"/>
  <c r="E336"/>
  <c r="E335"/>
  <c r="E334"/>
  <c r="E424"/>
  <c r="E423"/>
  <c r="E422"/>
  <c r="D424"/>
  <c r="D423"/>
  <c r="D422"/>
  <c r="D348"/>
  <c r="D347"/>
  <c r="E348"/>
  <c r="E347"/>
  <c r="E346"/>
  <c r="E111"/>
  <c r="E110"/>
  <c r="E109"/>
  <c r="M365"/>
  <c r="L75" i="99" s="1"/>
  <c r="Y75" s="1"/>
  <c r="L365" i="28"/>
  <c r="K75" i="99" s="1"/>
  <c r="X75" s="1"/>
  <c r="J365" i="28"/>
  <c r="I75" i="99" s="1"/>
  <c r="V75" s="1"/>
  <c r="I365" i="28"/>
  <c r="H75" i="99" l="1"/>
  <c r="H116" i="64"/>
  <c r="J116"/>
  <c r="K116"/>
  <c r="G116"/>
  <c r="H365" i="28"/>
  <c r="D38"/>
  <c r="D39"/>
  <c r="AA75" i="99" l="1"/>
  <c r="AB75" s="1"/>
  <c r="AC75" s="1"/>
  <c r="AD75" s="1"/>
  <c r="U75"/>
  <c r="G365" i="28"/>
  <c r="G75" i="99"/>
  <c r="E418" i="28"/>
  <c r="E363"/>
  <c r="E364"/>
  <c r="F75" i="99" l="1"/>
  <c r="E420" i="28"/>
  <c r="E419"/>
  <c r="M15"/>
  <c r="J15"/>
  <c r="I15"/>
  <c r="M14"/>
  <c r="J14"/>
  <c r="I14"/>
  <c r="M13"/>
  <c r="J13"/>
  <c r="I13"/>
  <c r="C92"/>
  <c r="H436"/>
  <c r="G436" s="1"/>
  <c r="H435"/>
  <c r="G435" s="1"/>
  <c r="M433"/>
  <c r="J433"/>
  <c r="I433"/>
  <c r="H434"/>
  <c r="G434" s="1"/>
  <c r="M417"/>
  <c r="L84" i="99" s="1"/>
  <c r="Y84" s="1"/>
  <c r="L417" i="28"/>
  <c r="K84" i="99" s="1"/>
  <c r="X84" s="1"/>
  <c r="H131" i="64"/>
  <c r="I417" i="28"/>
  <c r="H420"/>
  <c r="G420" s="1"/>
  <c r="H419"/>
  <c r="G419" s="1"/>
  <c r="J413"/>
  <c r="I83" i="99" s="1"/>
  <c r="V83" s="1"/>
  <c r="I413" i="28"/>
  <c r="H416"/>
  <c r="G416" s="1"/>
  <c r="G415"/>
  <c r="G414"/>
  <c r="M409"/>
  <c r="L409"/>
  <c r="J409"/>
  <c r="I409"/>
  <c r="H412"/>
  <c r="H411"/>
  <c r="H410"/>
  <c r="M377"/>
  <c r="L78" i="99" s="1"/>
  <c r="Y78" s="1"/>
  <c r="L377" i="28"/>
  <c r="K78" i="99" s="1"/>
  <c r="X78" s="1"/>
  <c r="J377" i="28"/>
  <c r="I78" i="99" s="1"/>
  <c r="V78" s="1"/>
  <c r="I377" i="28"/>
  <c r="M369"/>
  <c r="L76" i="99" s="1"/>
  <c r="Y76" s="1"/>
  <c r="L369" i="28"/>
  <c r="K76" i="99" s="1"/>
  <c r="X76" s="1"/>
  <c r="J369" i="28"/>
  <c r="I76" i="99" s="1"/>
  <c r="V76" s="1"/>
  <c r="I369" i="28"/>
  <c r="M361"/>
  <c r="L74" i="99" s="1"/>
  <c r="Y74" s="1"/>
  <c r="L361" i="28"/>
  <c r="K74" i="99" s="1"/>
  <c r="X74" s="1"/>
  <c r="J361" i="28"/>
  <c r="I74" i="99" s="1"/>
  <c r="V74" s="1"/>
  <c r="I361" i="28"/>
  <c r="M353"/>
  <c r="L72" i="99" s="1"/>
  <c r="Y72" s="1"/>
  <c r="L353" i="28"/>
  <c r="K72" i="99" s="1"/>
  <c r="X72" s="1"/>
  <c r="J353" i="28"/>
  <c r="I72" i="99" s="1"/>
  <c r="V72" s="1"/>
  <c r="M341" i="28"/>
  <c r="L69" i="99" s="1"/>
  <c r="Y69" s="1"/>
  <c r="L341" i="28"/>
  <c r="K69" i="99" s="1"/>
  <c r="X69" s="1"/>
  <c r="J341" i="28"/>
  <c r="I69" i="99" s="1"/>
  <c r="I341" i="28"/>
  <c r="H127"/>
  <c r="G127" s="1"/>
  <c r="H126"/>
  <c r="G126" s="1"/>
  <c r="G125"/>
  <c r="M120"/>
  <c r="L27" i="99" s="1"/>
  <c r="Y27" s="1"/>
  <c r="I120" i="28"/>
  <c r="H27" i="99" s="1"/>
  <c r="V27" s="1"/>
  <c r="H123" i="28"/>
  <c r="G123" s="1"/>
  <c r="H122"/>
  <c r="G122" s="1"/>
  <c r="H121"/>
  <c r="G121" s="1"/>
  <c r="M116"/>
  <c r="L26" i="99" s="1"/>
  <c r="Y26" s="1"/>
  <c r="L116" i="28"/>
  <c r="K26" i="99" s="1"/>
  <c r="X26" s="1"/>
  <c r="J116" i="28"/>
  <c r="I26" i="99" s="1"/>
  <c r="I116" i="28"/>
  <c r="H26" i="99" s="1"/>
  <c r="H119" i="28"/>
  <c r="G119" s="1"/>
  <c r="H118"/>
  <c r="G118" s="1"/>
  <c r="H117"/>
  <c r="G117" s="1"/>
  <c r="M112"/>
  <c r="L112"/>
  <c r="J112"/>
  <c r="I25" i="99" s="1"/>
  <c r="I112" i="28"/>
  <c r="H25" i="99" s="1"/>
  <c r="U25" s="1"/>
  <c r="H115" i="28"/>
  <c r="G115" s="1"/>
  <c r="H114"/>
  <c r="G114" s="1"/>
  <c r="H113"/>
  <c r="G113" s="1"/>
  <c r="M108"/>
  <c r="J108"/>
  <c r="I108"/>
  <c r="H24" i="99" s="1"/>
  <c r="U24" s="1"/>
  <c r="H111" i="28"/>
  <c r="G111" s="1"/>
  <c r="H110"/>
  <c r="G110" s="1"/>
  <c r="H109"/>
  <c r="G109" s="1"/>
  <c r="M104"/>
  <c r="H11" i="32" s="1"/>
  <c r="I104" i="28"/>
  <c r="D11" i="32" s="1"/>
  <c r="H107" i="28"/>
  <c r="H106"/>
  <c r="H105"/>
  <c r="M76"/>
  <c r="L19" i="99" s="1"/>
  <c r="Y19" s="1"/>
  <c r="L76" i="28"/>
  <c r="K19" i="99" s="1"/>
  <c r="X19" s="1"/>
  <c r="I76" i="28"/>
  <c r="H19" i="99" s="1"/>
  <c r="H77" i="28"/>
  <c r="G77" s="1"/>
  <c r="M72"/>
  <c r="L18" i="99" s="1"/>
  <c r="Y18" s="1"/>
  <c r="J72" i="28"/>
  <c r="I18" i="99" s="1"/>
  <c r="I72" i="28"/>
  <c r="H18" i="99" s="1"/>
  <c r="U18" s="1"/>
  <c r="H75" i="28"/>
  <c r="G75" s="1"/>
  <c r="H74"/>
  <c r="G74" s="1"/>
  <c r="H73"/>
  <c r="G73" s="1"/>
  <c r="L82" i="99" l="1"/>
  <c r="Y82" s="1"/>
  <c r="M405" i="28"/>
  <c r="G411"/>
  <c r="K82" i="99"/>
  <c r="X82" s="1"/>
  <c r="L405" i="28"/>
  <c r="G410"/>
  <c r="J405"/>
  <c r="G412"/>
  <c r="H82" i="99"/>
  <c r="U82" s="1"/>
  <c r="I405" i="28"/>
  <c r="C11" i="32"/>
  <c r="U26" i="99"/>
  <c r="AA26"/>
  <c r="AB26" s="1"/>
  <c r="AC26" s="1"/>
  <c r="AD26" s="1"/>
  <c r="V19"/>
  <c r="AB19"/>
  <c r="AC19" s="1"/>
  <c r="AD19" s="1"/>
  <c r="V25"/>
  <c r="AB25"/>
  <c r="AC25" s="1"/>
  <c r="AD25" s="1"/>
  <c r="AB27"/>
  <c r="AC27" s="1"/>
  <c r="AD27" s="1"/>
  <c r="AB18"/>
  <c r="AC18" s="1"/>
  <c r="AD18" s="1"/>
  <c r="V18"/>
  <c r="V26"/>
  <c r="AB69"/>
  <c r="AC69" s="1"/>
  <c r="AD69" s="1"/>
  <c r="V69"/>
  <c r="L24"/>
  <c r="Y24" s="1"/>
  <c r="H84"/>
  <c r="U84" s="1"/>
  <c r="I24"/>
  <c r="V24" s="1"/>
  <c r="L25"/>
  <c r="Y25" s="1"/>
  <c r="H69"/>
  <c r="U69" s="1"/>
  <c r="L87"/>
  <c r="Y87" s="1"/>
  <c r="L23"/>
  <c r="Y23" s="1"/>
  <c r="K25"/>
  <c r="X25" s="1"/>
  <c r="H74"/>
  <c r="H76"/>
  <c r="H78"/>
  <c r="I82"/>
  <c r="V82" s="1"/>
  <c r="I87"/>
  <c r="H83"/>
  <c r="U83" s="1"/>
  <c r="H23"/>
  <c r="U23" s="1"/>
  <c r="H87"/>
  <c r="U87" s="1"/>
  <c r="G129" i="64"/>
  <c r="K129"/>
  <c r="J129"/>
  <c r="H130"/>
  <c r="J131"/>
  <c r="K131"/>
  <c r="K128" s="1"/>
  <c r="K44"/>
  <c r="G45"/>
  <c r="K110"/>
  <c r="K28"/>
  <c r="H43"/>
  <c r="J44"/>
  <c r="K115"/>
  <c r="H27"/>
  <c r="J28"/>
  <c r="G43"/>
  <c r="H44"/>
  <c r="H110"/>
  <c r="J113"/>
  <c r="J115"/>
  <c r="J117"/>
  <c r="J119"/>
  <c r="G42"/>
  <c r="K27"/>
  <c r="J110"/>
  <c r="K113"/>
  <c r="K117"/>
  <c r="K119"/>
  <c r="G27"/>
  <c r="G28"/>
  <c r="G44"/>
  <c r="K45"/>
  <c r="H113"/>
  <c r="H115"/>
  <c r="H117"/>
  <c r="H119"/>
  <c r="L100" i="28"/>
  <c r="M100"/>
  <c r="G107"/>
  <c r="G103" s="1"/>
  <c r="H103"/>
  <c r="G106"/>
  <c r="G102" s="1"/>
  <c r="H102"/>
  <c r="J100"/>
  <c r="G105"/>
  <c r="G101" s="1"/>
  <c r="H101"/>
  <c r="I100"/>
  <c r="K140" i="64"/>
  <c r="H140"/>
  <c r="G140"/>
  <c r="G130"/>
  <c r="H413" i="28"/>
  <c r="G131" i="64"/>
  <c r="H417" i="28"/>
  <c r="H341"/>
  <c r="G69" i="99" s="1"/>
  <c r="G113" i="64"/>
  <c r="H353" i="28"/>
  <c r="G115" i="64"/>
  <c r="H361" i="28"/>
  <c r="G119" i="64"/>
  <c r="H377" i="28"/>
  <c r="G110" i="64"/>
  <c r="G117"/>
  <c r="H369" i="28"/>
  <c r="H129" i="64"/>
  <c r="G41"/>
  <c r="K41"/>
  <c r="J43"/>
  <c r="K43"/>
  <c r="K42"/>
  <c r="H42"/>
  <c r="H124" i="28"/>
  <c r="H112"/>
  <c r="L433"/>
  <c r="H409"/>
  <c r="H120"/>
  <c r="H116"/>
  <c r="H108"/>
  <c r="H104"/>
  <c r="H76"/>
  <c r="H72"/>
  <c r="M60"/>
  <c r="L15" i="99" s="1"/>
  <c r="Y15" s="1"/>
  <c r="L60" i="28"/>
  <c r="K15" i="99" s="1"/>
  <c r="X15" s="1"/>
  <c r="J60" i="28"/>
  <c r="I60"/>
  <c r="H15" i="99" s="1"/>
  <c r="U15" s="1"/>
  <c r="H63" i="28"/>
  <c r="G63" s="1"/>
  <c r="H62"/>
  <c r="G62" s="1"/>
  <c r="H61"/>
  <c r="G61" s="1"/>
  <c r="M48"/>
  <c r="L12" i="99" s="1"/>
  <c r="Y12" s="1"/>
  <c r="L48" i="28"/>
  <c r="K12" i="99" s="1"/>
  <c r="X12" s="1"/>
  <c r="J48" i="28"/>
  <c r="I12" i="99" s="1"/>
  <c r="V12" s="1"/>
  <c r="I48" i="28"/>
  <c r="H12" i="99" s="1"/>
  <c r="H51" i="28"/>
  <c r="G51" s="1"/>
  <c r="H50"/>
  <c r="G50" s="1"/>
  <c r="H49"/>
  <c r="G49" s="1"/>
  <c r="I15" i="99" l="1"/>
  <c r="V15" s="1"/>
  <c r="AA82"/>
  <c r="AB82" s="1"/>
  <c r="AC82" s="1"/>
  <c r="AD82" s="1"/>
  <c r="G82"/>
  <c r="G23"/>
  <c r="AB87"/>
  <c r="AC87" s="1"/>
  <c r="AD87" s="1"/>
  <c r="V87"/>
  <c r="G341" i="28"/>
  <c r="F69" i="99" s="1"/>
  <c r="AA74"/>
  <c r="AB74" s="1"/>
  <c r="AC74" s="1"/>
  <c r="AD74" s="1"/>
  <c r="U74"/>
  <c r="AA76"/>
  <c r="AB76" s="1"/>
  <c r="AC76" s="1"/>
  <c r="AD76" s="1"/>
  <c r="U76"/>
  <c r="AA78"/>
  <c r="AB78" s="1"/>
  <c r="AC78" s="1"/>
  <c r="AD78" s="1"/>
  <c r="U78"/>
  <c r="AA12"/>
  <c r="AB12" s="1"/>
  <c r="AC12" s="1"/>
  <c r="AD12" s="1"/>
  <c r="U12"/>
  <c r="G120" i="28"/>
  <c r="G27" i="99"/>
  <c r="K87"/>
  <c r="X87" s="1"/>
  <c r="G124" i="28"/>
  <c r="G28" i="99"/>
  <c r="G369" i="28"/>
  <c r="G76" i="99"/>
  <c r="G353" i="28"/>
  <c r="G72" i="99"/>
  <c r="G116" i="28"/>
  <c r="G26" i="99"/>
  <c r="G112" i="28"/>
  <c r="G25" i="99"/>
  <c r="G417" i="28"/>
  <c r="G84" i="99"/>
  <c r="G108" i="28"/>
  <c r="G24" i="99"/>
  <c r="G361" i="28"/>
  <c r="G74" i="99"/>
  <c r="G409" i="28"/>
  <c r="G413"/>
  <c r="G83" i="99"/>
  <c r="G377" i="28"/>
  <c r="G78" i="99"/>
  <c r="G72" i="28"/>
  <c r="G18" i="99"/>
  <c r="G76" i="28"/>
  <c r="G19" i="99"/>
  <c r="H128" i="64"/>
  <c r="J40"/>
  <c r="K21"/>
  <c r="G24"/>
  <c r="J21"/>
  <c r="K24"/>
  <c r="G40"/>
  <c r="G21"/>
  <c r="H24"/>
  <c r="H21"/>
  <c r="J24"/>
  <c r="H40"/>
  <c r="H100" i="28"/>
  <c r="J140" i="64"/>
  <c r="G128"/>
  <c r="H433" i="28"/>
  <c r="G87" i="99" s="1"/>
  <c r="K40" i="64"/>
  <c r="G104" i="28"/>
  <c r="F23" i="99" s="1"/>
  <c r="H60" i="28"/>
  <c r="H48"/>
  <c r="M32"/>
  <c r="L8" i="99" s="1"/>
  <c r="Y8" s="1"/>
  <c r="M36" i="28"/>
  <c r="L9" i="99" s="1"/>
  <c r="Y9" s="1"/>
  <c r="H35" i="28"/>
  <c r="G35" s="1"/>
  <c r="H33"/>
  <c r="G33" s="1"/>
  <c r="AB15" i="99" l="1"/>
  <c r="AC15" s="1"/>
  <c r="AD15" s="1"/>
  <c r="F83"/>
  <c r="F24"/>
  <c r="F25"/>
  <c r="F72"/>
  <c r="F28"/>
  <c r="F27"/>
  <c r="F78"/>
  <c r="F82"/>
  <c r="F84"/>
  <c r="F26"/>
  <c r="F76"/>
  <c r="F74"/>
  <c r="G48" i="28"/>
  <c r="G12" i="99"/>
  <c r="F18"/>
  <c r="G60" i="28"/>
  <c r="G15" i="99"/>
  <c r="F19"/>
  <c r="K18" i="64"/>
  <c r="G100" i="28"/>
  <c r="K17" i="64"/>
  <c r="G433" i="28"/>
  <c r="H32"/>
  <c r="F87" i="99" l="1"/>
  <c r="G32" i="28"/>
  <c r="G8" i="99"/>
  <c r="F15"/>
  <c r="F12"/>
  <c r="L24" i="28"/>
  <c r="M24"/>
  <c r="L6" i="99" l="1"/>
  <c r="Y6" s="1"/>
  <c r="F8"/>
  <c r="K6"/>
  <c r="X6" s="1"/>
  <c r="J15" i="64"/>
  <c r="K15"/>
  <c r="H97" i="28"/>
  <c r="H93" l="1"/>
  <c r="G97"/>
  <c r="I393" l="1"/>
  <c r="J393"/>
  <c r="M393"/>
  <c r="H123" i="64" l="1"/>
  <c r="G123"/>
  <c r="K123"/>
  <c r="H393" i="28" l="1"/>
  <c r="J123" i="64"/>
  <c r="G393" i="28" l="1"/>
  <c r="J373" l="1"/>
  <c r="L373"/>
  <c r="M373"/>
  <c r="H438"/>
  <c r="L437"/>
  <c r="G22" i="32" s="1"/>
  <c r="G33" s="1"/>
  <c r="M437" i="28"/>
  <c r="H22" i="32" s="1"/>
  <c r="H33" s="1"/>
  <c r="I437" i="28"/>
  <c r="D22" i="32" s="1"/>
  <c r="D33" l="1"/>
  <c r="L88" i="99"/>
  <c r="Y88" s="1"/>
  <c r="K77"/>
  <c r="X77" s="1"/>
  <c r="H88"/>
  <c r="U88" s="1"/>
  <c r="L77"/>
  <c r="Y77" s="1"/>
  <c r="K88"/>
  <c r="X88" s="1"/>
  <c r="I77"/>
  <c r="K141" i="64"/>
  <c r="G141"/>
  <c r="J141"/>
  <c r="H118"/>
  <c r="J118"/>
  <c r="K118"/>
  <c r="J437" i="28"/>
  <c r="E22" i="32" s="1"/>
  <c r="E33" s="1"/>
  <c r="C22" l="1"/>
  <c r="I88" i="99"/>
  <c r="V88" s="1"/>
  <c r="AB77"/>
  <c r="AC77" s="1"/>
  <c r="AD77" s="1"/>
  <c r="V77"/>
  <c r="H141" i="64"/>
  <c r="H138" s="1"/>
  <c r="J425" i="28"/>
  <c r="AB88" i="99" l="1"/>
  <c r="AC88" s="1"/>
  <c r="AD88" s="1"/>
  <c r="D382" i="28"/>
  <c r="D383" s="1"/>
  <c r="D384" s="1"/>
  <c r="E382"/>
  <c r="E383" s="1"/>
  <c r="E384" s="1"/>
  <c r="J64" l="1"/>
  <c r="I16" i="99" s="1"/>
  <c r="V16" s="1"/>
  <c r="L64" i="28"/>
  <c r="K16" i="99" s="1"/>
  <c r="X16" s="1"/>
  <c r="M64" i="28"/>
  <c r="L16" i="99" s="1"/>
  <c r="Y16" s="1"/>
  <c r="H25" i="64" l="1"/>
  <c r="K25"/>
  <c r="J25"/>
  <c r="E65" i="28"/>
  <c r="E66" l="1"/>
  <c r="E67"/>
  <c r="H421" l="1"/>
  <c r="H405" s="1"/>
  <c r="G421" l="1"/>
  <c r="G405" s="1"/>
  <c r="G85" i="99"/>
  <c r="D334" i="28"/>
  <c r="F85" i="99" l="1"/>
  <c r="D22" i="28"/>
  <c r="D23" s="1"/>
  <c r="D335"/>
  <c r="D336" s="1"/>
  <c r="H430" l="1"/>
  <c r="H426" s="1"/>
  <c r="G438"/>
  <c r="H439"/>
  <c r="G439" s="1"/>
  <c r="H440"/>
  <c r="G440" s="1"/>
  <c r="H422"/>
  <c r="H423"/>
  <c r="H424"/>
  <c r="H334"/>
  <c r="H330" s="1"/>
  <c r="H189"/>
  <c r="H190"/>
  <c r="H191"/>
  <c r="H193"/>
  <c r="G193" s="1"/>
  <c r="H194"/>
  <c r="G194" s="1"/>
  <c r="H195"/>
  <c r="G195" s="1"/>
  <c r="L188"/>
  <c r="G10" i="32" s="1"/>
  <c r="G30" s="1"/>
  <c r="M192" i="28"/>
  <c r="M188"/>
  <c r="G144"/>
  <c r="H22"/>
  <c r="H23"/>
  <c r="H26"/>
  <c r="G26" s="1"/>
  <c r="H27"/>
  <c r="G27" s="1"/>
  <c r="H29"/>
  <c r="H37"/>
  <c r="G37" s="1"/>
  <c r="H38"/>
  <c r="G38" s="1"/>
  <c r="H39"/>
  <c r="G39" s="1"/>
  <c r="H45"/>
  <c r="G45" s="1"/>
  <c r="H46"/>
  <c r="G46" s="1"/>
  <c r="H47"/>
  <c r="G47" s="1"/>
  <c r="H57"/>
  <c r="G57" s="1"/>
  <c r="H58"/>
  <c r="G58" s="1"/>
  <c r="H59"/>
  <c r="G59" s="1"/>
  <c r="H65"/>
  <c r="G65" s="1"/>
  <c r="H66"/>
  <c r="G66" s="1"/>
  <c r="H67"/>
  <c r="G67" s="1"/>
  <c r="H69"/>
  <c r="G69" s="1"/>
  <c r="H81"/>
  <c r="G81" s="1"/>
  <c r="H83"/>
  <c r="G83" s="1"/>
  <c r="H85"/>
  <c r="G85" s="1"/>
  <c r="H86"/>
  <c r="G86" s="1"/>
  <c r="H87"/>
  <c r="G87" s="1"/>
  <c r="G537"/>
  <c r="H537"/>
  <c r="G538"/>
  <c r="H538"/>
  <c r="G539"/>
  <c r="H539"/>
  <c r="G540"/>
  <c r="H540"/>
  <c r="G457"/>
  <c r="H457"/>
  <c r="G458"/>
  <c r="H458"/>
  <c r="G459"/>
  <c r="H459"/>
  <c r="G460"/>
  <c r="H460"/>
  <c r="G290"/>
  <c r="H290"/>
  <c r="G291"/>
  <c r="H291"/>
  <c r="G168"/>
  <c r="H168"/>
  <c r="G169"/>
  <c r="H169"/>
  <c r="G170"/>
  <c r="H170"/>
  <c r="G171"/>
  <c r="H171"/>
  <c r="G145"/>
  <c r="H145"/>
  <c r="G146"/>
  <c r="H146"/>
  <c r="G147"/>
  <c r="H147"/>
  <c r="G422" l="1"/>
  <c r="G406" s="1"/>
  <c r="H406"/>
  <c r="G423"/>
  <c r="G407" s="1"/>
  <c r="H407"/>
  <c r="G424"/>
  <c r="G408" s="1"/>
  <c r="H408"/>
  <c r="H10" i="32"/>
  <c r="H30" s="1"/>
  <c r="K35" i="99"/>
  <c r="X35" s="1"/>
  <c r="L36"/>
  <c r="Y36" s="1"/>
  <c r="L35"/>
  <c r="Y35" s="1"/>
  <c r="J71" i="64"/>
  <c r="J70" s="1"/>
  <c r="G334" i="28"/>
  <c r="G330" s="1"/>
  <c r="G29"/>
  <c r="G22"/>
  <c r="G23"/>
  <c r="G191"/>
  <c r="G187" s="1"/>
  <c r="H187"/>
  <c r="K72" i="64"/>
  <c r="K71"/>
  <c r="U558" i="92"/>
  <c r="U557" s="1"/>
  <c r="L184" i="28"/>
  <c r="G190"/>
  <c r="M184"/>
  <c r="G189"/>
  <c r="H192"/>
  <c r="G340"/>
  <c r="G332" s="1"/>
  <c r="G93"/>
  <c r="G430"/>
  <c r="G426" s="1"/>
  <c r="H144"/>
  <c r="G326" l="1"/>
  <c r="H326"/>
  <c r="G192"/>
  <c r="G36" i="99"/>
  <c r="V558" i="92"/>
  <c r="V557" s="1"/>
  <c r="K70" i="64"/>
  <c r="T558" i="92"/>
  <c r="T557" s="1"/>
  <c r="S558"/>
  <c r="S557" s="1"/>
  <c r="H111" i="64"/>
  <c r="L345" i="28"/>
  <c r="K70" i="99" s="1"/>
  <c r="X70" s="1"/>
  <c r="M345" i="28"/>
  <c r="L70" i="99" s="1"/>
  <c r="Y70" s="1"/>
  <c r="F36" l="1"/>
  <c r="J111" i="64"/>
  <c r="K111"/>
  <c r="Q558" i="92"/>
  <c r="Q557" s="1"/>
  <c r="W558"/>
  <c r="W557" s="1"/>
  <c r="R558"/>
  <c r="R557" s="1"/>
  <c r="X558"/>
  <c r="X557" s="1"/>
  <c r="D58" i="28"/>
  <c r="D65" l="1"/>
  <c r="D66" l="1"/>
  <c r="D67"/>
  <c r="L429" l="1"/>
  <c r="K86" i="99" s="1"/>
  <c r="X86" s="1"/>
  <c r="M429" i="28"/>
  <c r="L86" i="99" s="1"/>
  <c r="Y86" s="1"/>
  <c r="M40" i="28"/>
  <c r="L10" i="99" l="1"/>
  <c r="Y10" s="1"/>
  <c r="M425" i="28"/>
  <c r="L425"/>
  <c r="K139" i="64"/>
  <c r="K138" s="1"/>
  <c r="J139"/>
  <c r="J138" s="1"/>
  <c r="K19"/>
  <c r="H431" i="28"/>
  <c r="H427" s="1"/>
  <c r="H327" s="1"/>
  <c r="H432"/>
  <c r="H428" s="1"/>
  <c r="H328" s="1"/>
  <c r="W545" i="92" l="1"/>
  <c r="G431" i="28"/>
  <c r="G427" s="1"/>
  <c r="G327" s="1"/>
  <c r="G432"/>
  <c r="G428" s="1"/>
  <c r="G328" s="1"/>
  <c r="D537" l="1"/>
  <c r="E537"/>
  <c r="D538"/>
  <c r="E538"/>
  <c r="D539"/>
  <c r="E539"/>
  <c r="D540"/>
  <c r="E540"/>
  <c r="D457"/>
  <c r="E457"/>
  <c r="D458"/>
  <c r="E458"/>
  <c r="D459"/>
  <c r="E459"/>
  <c r="D460"/>
  <c r="E460"/>
  <c r="D290"/>
  <c r="E290"/>
  <c r="D291"/>
  <c r="E291"/>
  <c r="D168"/>
  <c r="E168"/>
  <c r="D145"/>
  <c r="E145"/>
  <c r="D146"/>
  <c r="E146"/>
  <c r="D147"/>
  <c r="E147"/>
  <c r="I13" i="64" l="1"/>
  <c r="G14"/>
  <c r="I12" l="1"/>
  <c r="H99" i="28" l="1"/>
  <c r="H98"/>
  <c r="H95" l="1"/>
  <c r="G99"/>
  <c r="G95" s="1"/>
  <c r="H94"/>
  <c r="G98"/>
  <c r="G94" s="1"/>
  <c r="D390"/>
  <c r="D391" s="1"/>
  <c r="M389"/>
  <c r="L81" i="99" s="1"/>
  <c r="Y81" s="1"/>
  <c r="L389" i="28"/>
  <c r="K81" i="99" s="1"/>
  <c r="X81" s="1"/>
  <c r="E387" i="28"/>
  <c r="E388" s="1"/>
  <c r="D386"/>
  <c r="D387" s="1"/>
  <c r="M385"/>
  <c r="L80" i="99" s="1"/>
  <c r="Y80" s="1"/>
  <c r="L385" i="28"/>
  <c r="K80" i="99" s="1"/>
  <c r="X80" s="1"/>
  <c r="K122" i="64" l="1"/>
  <c r="J121"/>
  <c r="J122"/>
  <c r="K121"/>
  <c r="H389" i="28"/>
  <c r="I385"/>
  <c r="J385"/>
  <c r="I80" i="99" s="1"/>
  <c r="AB80" l="1"/>
  <c r="AC80" s="1"/>
  <c r="AD80" s="1"/>
  <c r="V80"/>
  <c r="G389" i="28"/>
  <c r="G81" i="99"/>
  <c r="H80"/>
  <c r="U80" s="1"/>
  <c r="H121" i="64"/>
  <c r="G121"/>
  <c r="H385" i="28"/>
  <c r="G385" l="1"/>
  <c r="G80" i="99"/>
  <c r="F81"/>
  <c r="D69" i="28"/>
  <c r="M68"/>
  <c r="L17" i="99" s="1"/>
  <c r="Y17" s="1"/>
  <c r="L68" i="28"/>
  <c r="K17" i="99" s="1"/>
  <c r="X17" s="1"/>
  <c r="F80" l="1"/>
  <c r="K26" i="64"/>
  <c r="J26"/>
  <c r="H70" i="28"/>
  <c r="G70" s="1"/>
  <c r="H71"/>
  <c r="G71" s="1"/>
  <c r="D70"/>
  <c r="D71" s="1"/>
  <c r="I68"/>
  <c r="H17" i="99" s="1"/>
  <c r="U17" s="1"/>
  <c r="J68" i="28"/>
  <c r="I17" i="99" s="1"/>
  <c r="V17" s="1"/>
  <c r="AB17" l="1"/>
  <c r="AC17" s="1"/>
  <c r="AD17" s="1"/>
  <c r="G26" i="64"/>
  <c r="H26"/>
  <c r="H68" i="28"/>
  <c r="G68" l="1"/>
  <c r="G17" i="99"/>
  <c r="M381" i="28"/>
  <c r="L79" i="99" s="1"/>
  <c r="Y79" s="1"/>
  <c r="J381" i="28"/>
  <c r="I79" i="99" s="1"/>
  <c r="I381" i="28"/>
  <c r="E85"/>
  <c r="D85"/>
  <c r="D87" s="1"/>
  <c r="M84"/>
  <c r="L21" i="99" s="1"/>
  <c r="Y21" s="1"/>
  <c r="L84" i="28"/>
  <c r="K21" i="99" s="1"/>
  <c r="X21" s="1"/>
  <c r="J84" i="28"/>
  <c r="I84"/>
  <c r="H21" i="99" s="1"/>
  <c r="U21" s="1"/>
  <c r="I21" l="1"/>
  <c r="V21" s="1"/>
  <c r="AB79"/>
  <c r="AC79" s="1"/>
  <c r="AD79" s="1"/>
  <c r="V79"/>
  <c r="H79"/>
  <c r="U79" s="1"/>
  <c r="F17"/>
  <c r="G30" i="64"/>
  <c r="K120"/>
  <c r="K30"/>
  <c r="H120"/>
  <c r="J30"/>
  <c r="H30"/>
  <c r="G120"/>
  <c r="H381" i="28"/>
  <c r="E86"/>
  <c r="E87"/>
  <c r="D86"/>
  <c r="H84"/>
  <c r="AB21" i="99" l="1"/>
  <c r="AC21" s="1"/>
  <c r="AD21" s="1"/>
  <c r="G381" i="28"/>
  <c r="G79" i="99"/>
  <c r="G84" i="28"/>
  <c r="G21" i="99"/>
  <c r="F79" l="1"/>
  <c r="F21"/>
  <c r="J357" i="28" l="1"/>
  <c r="M357"/>
  <c r="J96"/>
  <c r="L96"/>
  <c r="M96"/>
  <c r="L56"/>
  <c r="K14" i="99" s="1"/>
  <c r="X14" s="1"/>
  <c r="M56" i="28"/>
  <c r="L14" i="99" s="1"/>
  <c r="Y14" s="1"/>
  <c r="K22" l="1"/>
  <c r="X22" s="1"/>
  <c r="L22"/>
  <c r="Y22" s="1"/>
  <c r="I73"/>
  <c r="V73" s="1"/>
  <c r="L73"/>
  <c r="Y73" s="1"/>
  <c r="I22"/>
  <c r="J23" i="64"/>
  <c r="K23"/>
  <c r="J36"/>
  <c r="J35" s="1"/>
  <c r="L92" i="28"/>
  <c r="K36" i="64"/>
  <c r="K35" s="1"/>
  <c r="M92" i="28"/>
  <c r="H36" i="64"/>
  <c r="H35" s="1"/>
  <c r="J92" i="28"/>
  <c r="J114" i="64"/>
  <c r="K114"/>
  <c r="H114"/>
  <c r="H56" i="28"/>
  <c r="AB22" i="99" l="1"/>
  <c r="AC22" s="1"/>
  <c r="AD22" s="1"/>
  <c r="V22"/>
  <c r="G56" i="28"/>
  <c r="G14" i="99"/>
  <c r="J80" i="28"/>
  <c r="H29" i="64" s="1"/>
  <c r="L80" i="28"/>
  <c r="J29" i="64" s="1"/>
  <c r="M80" i="28"/>
  <c r="K29" i="64" s="1"/>
  <c r="K20" i="99" l="1"/>
  <c r="L20"/>
  <c r="F14"/>
  <c r="I20"/>
  <c r="J537" i="28"/>
  <c r="L537"/>
  <c r="M537"/>
  <c r="J538"/>
  <c r="L538"/>
  <c r="M538"/>
  <c r="J539"/>
  <c r="L539"/>
  <c r="M539"/>
  <c r="J540"/>
  <c r="L540"/>
  <c r="M540"/>
  <c r="J290"/>
  <c r="L290"/>
  <c r="L10" s="1"/>
  <c r="M290"/>
  <c r="J291"/>
  <c r="L291"/>
  <c r="L11" s="1"/>
  <c r="M291"/>
  <c r="J168"/>
  <c r="M168"/>
  <c r="J169"/>
  <c r="M169"/>
  <c r="J170"/>
  <c r="M170"/>
  <c r="J171"/>
  <c r="M171"/>
  <c r="J144"/>
  <c r="M144"/>
  <c r="J145"/>
  <c r="M145"/>
  <c r="M9" s="1"/>
  <c r="J146"/>
  <c r="M146"/>
  <c r="J147"/>
  <c r="M147"/>
  <c r="J457"/>
  <c r="L457"/>
  <c r="M457"/>
  <c r="J458"/>
  <c r="L458"/>
  <c r="M458"/>
  <c r="J459"/>
  <c r="L459"/>
  <c r="M459"/>
  <c r="J460"/>
  <c r="L460"/>
  <c r="M460"/>
  <c r="M11" l="1"/>
  <c r="J323"/>
  <c r="J322"/>
  <c r="M323"/>
  <c r="M10"/>
  <c r="J11"/>
  <c r="J324"/>
  <c r="L324"/>
  <c r="L323"/>
  <c r="L571" s="1"/>
  <c r="M324"/>
  <c r="L322"/>
  <c r="L570" s="1"/>
  <c r="J10"/>
  <c r="M322"/>
  <c r="M571" l="1"/>
  <c r="M570"/>
  <c r="M572"/>
  <c r="J571"/>
  <c r="H322" l="1"/>
  <c r="H323"/>
  <c r="J28"/>
  <c r="L28"/>
  <c r="M28"/>
  <c r="J337"/>
  <c r="L337"/>
  <c r="M337"/>
  <c r="I68" i="99" l="1"/>
  <c r="K68"/>
  <c r="X68" s="1"/>
  <c r="L68"/>
  <c r="Y68" s="1"/>
  <c r="K7"/>
  <c r="X7" s="1"/>
  <c r="L7"/>
  <c r="Y7" s="1"/>
  <c r="I7"/>
  <c r="V7" s="1"/>
  <c r="L572" i="28"/>
  <c r="H109" i="64"/>
  <c r="J109"/>
  <c r="K109"/>
  <c r="H16"/>
  <c r="J16"/>
  <c r="K16"/>
  <c r="G322" i="28"/>
  <c r="G323"/>
  <c r="AB68" i="99" l="1"/>
  <c r="AC68" s="1"/>
  <c r="AD68" s="1"/>
  <c r="V68"/>
  <c r="J349" i="28"/>
  <c r="L349"/>
  <c r="M349"/>
  <c r="M329" l="1"/>
  <c r="M325" s="1"/>
  <c r="H17" i="32"/>
  <c r="H14" s="1"/>
  <c r="H13" s="1"/>
  <c r="J329" i="28"/>
  <c r="J325" s="1"/>
  <c r="E17" i="32"/>
  <c r="E14" s="1"/>
  <c r="E13" s="1"/>
  <c r="L329" i="28"/>
  <c r="L325" s="1"/>
  <c r="G17" i="32"/>
  <c r="G14" s="1"/>
  <c r="G13" s="1"/>
  <c r="K71" i="99"/>
  <c r="X71" s="1"/>
  <c r="X66" s="1"/>
  <c r="I71"/>
  <c r="L71"/>
  <c r="Y71" s="1"/>
  <c r="Y66" s="1"/>
  <c r="K112" i="64"/>
  <c r="K107" s="1"/>
  <c r="H112"/>
  <c r="H107" s="1"/>
  <c r="H106" s="1"/>
  <c r="H105" s="1"/>
  <c r="J112"/>
  <c r="J107" s="1"/>
  <c r="J106" s="1"/>
  <c r="J105" s="1"/>
  <c r="L44" i="28"/>
  <c r="K11" i="99" s="1"/>
  <c r="X11" s="1"/>
  <c r="J44" i="28"/>
  <c r="M44"/>
  <c r="I44"/>
  <c r="H8" i="32" l="1"/>
  <c r="H5" s="1"/>
  <c r="H4" s="1"/>
  <c r="M16" i="28"/>
  <c r="M12" s="1"/>
  <c r="M8" s="1"/>
  <c r="J16"/>
  <c r="J12" s="1"/>
  <c r="E8" i="32"/>
  <c r="I11" i="99"/>
  <c r="V11" s="1"/>
  <c r="L11"/>
  <c r="Y11" s="1"/>
  <c r="AB71"/>
  <c r="AC71" s="1"/>
  <c r="AD71" s="1"/>
  <c r="V71"/>
  <c r="V66" s="1"/>
  <c r="L66"/>
  <c r="K66"/>
  <c r="I66"/>
  <c r="M321" i="28"/>
  <c r="J321"/>
  <c r="L321"/>
  <c r="H11" i="99"/>
  <c r="AA11" s="1"/>
  <c r="J20" i="64"/>
  <c r="K106"/>
  <c r="K105" s="1"/>
  <c r="K20"/>
  <c r="K13" s="1"/>
  <c r="H20"/>
  <c r="H13" s="1"/>
  <c r="G20"/>
  <c r="H44" i="28"/>
  <c r="H25" i="32" l="1"/>
  <c r="H28"/>
  <c r="L4" i="99"/>
  <c r="E28" i="32"/>
  <c r="AB11" i="99"/>
  <c r="AC11" s="1"/>
  <c r="AD11" s="1"/>
  <c r="U11"/>
  <c r="G44" i="28"/>
  <c r="G11" i="99"/>
  <c r="M569" i="28"/>
  <c r="H24" i="32"/>
  <c r="H12" i="64"/>
  <c r="K12"/>
  <c r="K11" s="1"/>
  <c r="F11" i="99" l="1"/>
  <c r="K189" i="64"/>
  <c r="K188"/>
  <c r="K190" l="1"/>
  <c r="C13" i="28"/>
  <c r="F13"/>
  <c r="C14"/>
  <c r="F14"/>
  <c r="C15"/>
  <c r="F15"/>
  <c r="N29" i="83" l="1"/>
  <c r="H188" i="28" l="1"/>
  <c r="G35" i="99" l="1"/>
  <c r="G188" i="28"/>
  <c r="F35" i="99" s="1"/>
  <c r="H437" i="28" l="1"/>
  <c r="C33" i="32" s="1"/>
  <c r="G88" i="99" l="1"/>
  <c r="G437" i="28"/>
  <c r="F88" i="99" s="1"/>
  <c r="I80" i="28"/>
  <c r="G29" i="64" l="1"/>
  <c r="H20" i="99"/>
  <c r="H80" i="28"/>
  <c r="AA20" i="99" l="1"/>
  <c r="AB20" s="1"/>
  <c r="AC20" s="1"/>
  <c r="AD20" s="1"/>
  <c r="U20"/>
  <c r="V20" s="1"/>
  <c r="W20" s="1"/>
  <c r="G80" i="28"/>
  <c r="G20" i="99"/>
  <c r="I64" i="28"/>
  <c r="H16" i="99" s="1"/>
  <c r="X20" l="1"/>
  <c r="Y20" s="1"/>
  <c r="Y4" s="1"/>
  <c r="AA16"/>
  <c r="AB16" s="1"/>
  <c r="AC16" s="1"/>
  <c r="AD16" s="1"/>
  <c r="U16"/>
  <c r="F20"/>
  <c r="G25" i="64"/>
  <c r="H64" i="28"/>
  <c r="G64" l="1"/>
  <c r="G16" i="99"/>
  <c r="C168" i="28"/>
  <c r="F16" i="99" l="1"/>
  <c r="I357" i="28"/>
  <c r="H73" i="99" s="1"/>
  <c r="AA73" l="1"/>
  <c r="AA66" s="1"/>
  <c r="U73"/>
  <c r="G114" i="64"/>
  <c r="H357" i="28"/>
  <c r="I96"/>
  <c r="AB73" i="99" l="1"/>
  <c r="AB66" s="1"/>
  <c r="H22"/>
  <c r="U22" s="1"/>
  <c r="G357" i="28"/>
  <c r="G73" i="99"/>
  <c r="G36" i="64"/>
  <c r="G35" s="1"/>
  <c r="I92" i="28"/>
  <c r="H96"/>
  <c r="G22" i="99" s="1"/>
  <c r="D97" i="28"/>
  <c r="E97"/>
  <c r="E57"/>
  <c r="E59" s="1"/>
  <c r="AC73" i="99" l="1"/>
  <c r="AC66" s="1"/>
  <c r="F73"/>
  <c r="H92" i="28"/>
  <c r="G96"/>
  <c r="F22" i="99" s="1"/>
  <c r="D98" i="28"/>
  <c r="D99"/>
  <c r="E98"/>
  <c r="E99"/>
  <c r="E58"/>
  <c r="AD73" i="99" l="1"/>
  <c r="AD66" s="1"/>
  <c r="G92" i="28"/>
  <c r="I349"/>
  <c r="H71" i="99" l="1"/>
  <c r="U71" s="1"/>
  <c r="G112" i="64"/>
  <c r="H349" i="28"/>
  <c r="I345"/>
  <c r="G349" l="1"/>
  <c r="G71" i="99"/>
  <c r="H70"/>
  <c r="U70" s="1"/>
  <c r="G111" i="64"/>
  <c r="H345" i="28"/>
  <c r="G345" l="1"/>
  <c r="G70" i="99"/>
  <c r="F71"/>
  <c r="J572" i="28"/>
  <c r="F70" i="99" l="1"/>
  <c r="I36" i="28"/>
  <c r="H9" i="99" s="1"/>
  <c r="U9" s="1"/>
  <c r="G18" i="64" l="1"/>
  <c r="H36" i="28"/>
  <c r="G36" l="1"/>
  <c r="G9" i="99"/>
  <c r="C12" i="28"/>
  <c r="C8" s="1"/>
  <c r="F9" i="99" l="1"/>
  <c r="E322" i="28"/>
  <c r="E323"/>
  <c r="E324"/>
  <c r="E12" l="1"/>
  <c r="E8" s="1"/>
  <c r="E15"/>
  <c r="E11" s="1"/>
  <c r="E13"/>
  <c r="E9" s="1"/>
  <c r="E14"/>
  <c r="E10" s="1"/>
  <c r="E321"/>
  <c r="I541" l="1"/>
  <c r="F541"/>
  <c r="C541"/>
  <c r="I540"/>
  <c r="F540"/>
  <c r="C540"/>
  <c r="I539"/>
  <c r="F539"/>
  <c r="C539"/>
  <c r="I538"/>
  <c r="F538"/>
  <c r="C538"/>
  <c r="I460"/>
  <c r="F460"/>
  <c r="C460"/>
  <c r="I459"/>
  <c r="F459"/>
  <c r="C459"/>
  <c r="I458"/>
  <c r="F458"/>
  <c r="C458"/>
  <c r="I457"/>
  <c r="F457"/>
  <c r="C457"/>
  <c r="I429"/>
  <c r="H86" i="99" s="1"/>
  <c r="U86" s="1"/>
  <c r="I337" i="28"/>
  <c r="I291"/>
  <c r="F291"/>
  <c r="C291"/>
  <c r="I290"/>
  <c r="F290"/>
  <c r="C290"/>
  <c r="I171"/>
  <c r="F171"/>
  <c r="I170"/>
  <c r="F170"/>
  <c r="I169"/>
  <c r="F169"/>
  <c r="I168"/>
  <c r="M61" i="64"/>
  <c r="F168" i="28"/>
  <c r="I147"/>
  <c r="F147"/>
  <c r="C147"/>
  <c r="I146"/>
  <c r="F146"/>
  <c r="C146"/>
  <c r="I145"/>
  <c r="F145"/>
  <c r="C145"/>
  <c r="C9" s="1"/>
  <c r="I144"/>
  <c r="I28"/>
  <c r="D8" i="32" l="1"/>
  <c r="D5" s="1"/>
  <c r="D4" s="1"/>
  <c r="I16" i="28"/>
  <c r="C324"/>
  <c r="H68" i="99"/>
  <c r="U68" s="1"/>
  <c r="H7"/>
  <c r="I425" i="28"/>
  <c r="G16" i="64"/>
  <c r="I9" i="28"/>
  <c r="I324"/>
  <c r="C11"/>
  <c r="I323"/>
  <c r="I322"/>
  <c r="F9"/>
  <c r="I10"/>
  <c r="F10"/>
  <c r="I11"/>
  <c r="C10"/>
  <c r="F11"/>
  <c r="H337"/>
  <c r="G139" i="64"/>
  <c r="G138" s="1"/>
  <c r="G109"/>
  <c r="I537" i="28"/>
  <c r="H28"/>
  <c r="H429"/>
  <c r="F537"/>
  <c r="C537"/>
  <c r="F322"/>
  <c r="C323"/>
  <c r="F323"/>
  <c r="F324"/>
  <c r="C322"/>
  <c r="G68" i="99" l="1"/>
  <c r="AA7"/>
  <c r="AA4" s="1"/>
  <c r="AA3" s="1"/>
  <c r="U7"/>
  <c r="U4" s="1"/>
  <c r="U3" s="1"/>
  <c r="H4"/>
  <c r="H425" i="28"/>
  <c r="G86" i="99"/>
  <c r="G28" i="28"/>
  <c r="G7" i="99"/>
  <c r="F321" i="28"/>
  <c r="C321"/>
  <c r="C569" s="1"/>
  <c r="G337"/>
  <c r="C570"/>
  <c r="F570"/>
  <c r="I571"/>
  <c r="I570"/>
  <c r="C572"/>
  <c r="F572"/>
  <c r="C571"/>
  <c r="F571"/>
  <c r="I12"/>
  <c r="G15" i="64"/>
  <c r="H24" i="28"/>
  <c r="G429"/>
  <c r="F86" i="99" l="1"/>
  <c r="G425" i="28"/>
  <c r="AH3" i="99"/>
  <c r="G6"/>
  <c r="AB7"/>
  <c r="F68"/>
  <c r="F7"/>
  <c r="C189" i="64"/>
  <c r="C190" s="1"/>
  <c r="G24" i="28"/>
  <c r="I8"/>
  <c r="G13" i="64"/>
  <c r="AC7" i="99" l="1"/>
  <c r="AB4"/>
  <c r="AB3" s="1"/>
  <c r="F6"/>
  <c r="G12" i="64"/>
  <c r="G11" s="1"/>
  <c r="AD7" i="99" l="1"/>
  <c r="D12" i="28"/>
  <c r="D8" s="1"/>
  <c r="D13"/>
  <c r="D9" s="1"/>
  <c r="D322"/>
  <c r="D323"/>
  <c r="D324"/>
  <c r="D321" l="1"/>
  <c r="H324" l="1"/>
  <c r="I373"/>
  <c r="I329" l="1"/>
  <c r="I325" s="1"/>
  <c r="D17" i="32"/>
  <c r="H77" i="99"/>
  <c r="U77" s="1"/>
  <c r="U66" s="1"/>
  <c r="Z66"/>
  <c r="Z65" s="1"/>
  <c r="AA65" s="1"/>
  <c r="AB65" s="1"/>
  <c r="AC65" s="1"/>
  <c r="AD65" s="1"/>
  <c r="H373" i="28"/>
  <c r="H329" s="1"/>
  <c r="G118" i="64"/>
  <c r="G107" s="1"/>
  <c r="G324" i="28"/>
  <c r="U65" i="99" l="1"/>
  <c r="D14" i="32"/>
  <c r="D25" s="1"/>
  <c r="C17"/>
  <c r="H66" i="99"/>
  <c r="D28" i="32"/>
  <c r="G77" i="99"/>
  <c r="G66" s="1"/>
  <c r="I321" i="28"/>
  <c r="I569" s="1"/>
  <c r="G373"/>
  <c r="H325"/>
  <c r="G106" i="64"/>
  <c r="F77" i="99" l="1"/>
  <c r="F66" s="1"/>
  <c r="G329" i="28"/>
  <c r="G325" s="1"/>
  <c r="V65" i="99"/>
  <c r="W65" s="1"/>
  <c r="X65" s="1"/>
  <c r="Y65" s="1"/>
  <c r="AH65"/>
  <c r="D13" i="32"/>
  <c r="D24" s="1"/>
  <c r="C14"/>
  <c r="C13" s="1"/>
  <c r="G105" i="64"/>
  <c r="G188" s="1"/>
  <c r="G189"/>
  <c r="H321" i="28"/>
  <c r="AI65" i="99" l="1"/>
  <c r="AJ65"/>
  <c r="G190" i="64"/>
  <c r="G321" i="28"/>
  <c r="I572"/>
  <c r="D14" l="1"/>
  <c r="D10" s="1"/>
  <c r="AL65" i="99" l="1"/>
  <c r="AK65"/>
  <c r="D15" i="28"/>
  <c r="D11" s="1"/>
  <c r="M106" i="64" l="1"/>
  <c r="H43" i="28" l="1"/>
  <c r="H19" s="1"/>
  <c r="H41"/>
  <c r="H17" s="1"/>
  <c r="H42"/>
  <c r="H18" s="1"/>
  <c r="L40"/>
  <c r="G8" i="32" l="1"/>
  <c r="L16" i="28"/>
  <c r="L12" s="1"/>
  <c r="L8" s="1"/>
  <c r="K10" i="99"/>
  <c r="X10" s="1"/>
  <c r="X4" s="1"/>
  <c r="G43" i="28"/>
  <c r="G19" s="1"/>
  <c r="H15"/>
  <c r="G41"/>
  <c r="G17" s="1"/>
  <c r="H13"/>
  <c r="G42"/>
  <c r="G18" s="1"/>
  <c r="H14"/>
  <c r="J19" i="64"/>
  <c r="H40" i="28"/>
  <c r="H16" s="1"/>
  <c r="G5" i="32" l="1"/>
  <c r="G4" s="1"/>
  <c r="G24" s="1"/>
  <c r="C8"/>
  <c r="K4" i="99"/>
  <c r="G28" i="32"/>
  <c r="G10" i="99"/>
  <c r="G40" i="28"/>
  <c r="H12"/>
  <c r="H11"/>
  <c r="H572" s="1"/>
  <c r="L569"/>
  <c r="G14"/>
  <c r="G15"/>
  <c r="G11" s="1"/>
  <c r="G13"/>
  <c r="J13" i="64"/>
  <c r="F10" i="99" l="1"/>
  <c r="G16" i="28"/>
  <c r="G12" s="1"/>
  <c r="G25" i="32"/>
  <c r="C28"/>
  <c r="J189" i="64"/>
  <c r="G572" i="28"/>
  <c r="J12" i="64"/>
  <c r="J11" s="1"/>
  <c r="J188" l="1"/>
  <c r="J190" l="1"/>
  <c r="F12" i="28" l="1"/>
  <c r="F8" l="1"/>
  <c r="F569" s="1"/>
  <c r="E26"/>
  <c r="E25"/>
  <c r="E27"/>
  <c r="E15" i="64"/>
  <c r="J185" i="28"/>
  <c r="J9" s="1"/>
  <c r="J570" s="1"/>
  <c r="H201"/>
  <c r="H185" s="1"/>
  <c r="H9" s="1"/>
  <c r="H570" s="1"/>
  <c r="J200"/>
  <c r="E10" i="32" s="1"/>
  <c r="C10" s="1"/>
  <c r="E30" l="1"/>
  <c r="E5"/>
  <c r="E4" s="1"/>
  <c r="M558" i="92"/>
  <c r="M557" s="1"/>
  <c r="L555" s="1"/>
  <c r="H200" i="28"/>
  <c r="H74" i="64"/>
  <c r="H70" s="1"/>
  <c r="H11" s="1"/>
  <c r="H188" s="1"/>
  <c r="I38" i="99"/>
  <c r="G201" i="28"/>
  <c r="G185" s="1"/>
  <c r="G9" s="1"/>
  <c r="G570" s="1"/>
  <c r="F189" i="64"/>
  <c r="F190" s="1"/>
  <c r="J184" i="28"/>
  <c r="N555" i="92" l="1"/>
  <c r="M555"/>
  <c r="E25" i="32"/>
  <c r="G38" i="99"/>
  <c r="V4"/>
  <c r="V3" s="1"/>
  <c r="G200" i="28"/>
  <c r="F38" i="99" s="1"/>
  <c r="I4"/>
  <c r="J8" i="28"/>
  <c r="O29" i="83"/>
  <c r="L513" i="92" l="1"/>
  <c r="N513"/>
  <c r="C30" i="32"/>
  <c r="J569" i="28"/>
  <c r="E24" i="32"/>
  <c r="N527" i="92" l="1"/>
  <c r="L527"/>
  <c r="M529"/>
  <c r="L510"/>
  <c r="AI3" i="99"/>
  <c r="H189" i="64"/>
  <c r="H190" s="1"/>
  <c r="N510" i="92"/>
  <c r="L523" l="1"/>
  <c r="M523" s="1"/>
  <c r="M527"/>
  <c r="N523"/>
  <c r="M513"/>
  <c r="N509"/>
  <c r="N5" s="1"/>
  <c r="M510"/>
  <c r="L509"/>
  <c r="L5" s="1"/>
  <c r="L549" l="1"/>
  <c r="M509"/>
  <c r="N549"/>
  <c r="L550" l="1"/>
  <c r="M549"/>
  <c r="L552"/>
  <c r="M5"/>
  <c r="L545"/>
  <c r="N545"/>
  <c r="L551" l="1"/>
  <c r="N550"/>
  <c r="M552"/>
  <c r="L553"/>
  <c r="L554" l="1"/>
  <c r="N553"/>
  <c r="N551"/>
  <c r="N554" l="1"/>
  <c r="N552"/>
  <c r="K186" i="28" l="1"/>
  <c r="K10" s="1"/>
  <c r="K571" s="1"/>
  <c r="J44" i="99"/>
  <c r="F7" i="32"/>
  <c r="F27" s="1"/>
  <c r="K184" i="28"/>
  <c r="P29" i="83" s="1"/>
  <c r="K29" s="1"/>
  <c r="K30" s="1"/>
  <c r="H226" i="28"/>
  <c r="H186" s="1"/>
  <c r="H10" s="1"/>
  <c r="H571" s="1"/>
  <c r="H224"/>
  <c r="G44" i="99" s="1"/>
  <c r="G4" s="1"/>
  <c r="I80" i="64"/>
  <c r="I70" s="1"/>
  <c r="I11" s="1"/>
  <c r="I188" s="1"/>
  <c r="P564" i="92"/>
  <c r="Y564" s="1"/>
  <c r="J4" i="99" l="1"/>
  <c r="AC44"/>
  <c r="K8" i="28"/>
  <c r="K569" s="1"/>
  <c r="I189" i="64" s="1"/>
  <c r="I190" s="1"/>
  <c r="G224" i="28"/>
  <c r="H184"/>
  <c r="H8" s="1"/>
  <c r="H569" s="1"/>
  <c r="G226"/>
  <c r="G186" s="1"/>
  <c r="G10" s="1"/>
  <c r="G571" s="1"/>
  <c r="L188" i="64"/>
  <c r="P558" i="92"/>
  <c r="W44" i="99"/>
  <c r="W4" s="1"/>
  <c r="W3" s="1"/>
  <c r="O517" i="92"/>
  <c r="C7" i="32"/>
  <c r="F5"/>
  <c r="AD44" i="99" l="1"/>
  <c r="AD4" s="1"/>
  <c r="AC4"/>
  <c r="AC3" s="1"/>
  <c r="G184" i="28"/>
  <c r="G8" s="1"/>
  <c r="G569" s="1"/>
  <c r="F44" i="99"/>
  <c r="F4" s="1"/>
  <c r="F25" i="32"/>
  <c r="F4"/>
  <c r="F24" s="1"/>
  <c r="Y558" i="92"/>
  <c r="Y557" s="1"/>
  <c r="Z557" s="1"/>
  <c r="P557"/>
  <c r="O555" s="1"/>
  <c r="AJ3" i="99"/>
  <c r="X3"/>
  <c r="P517" i="92"/>
  <c r="Q517"/>
  <c r="O514"/>
  <c r="C5" i="32"/>
  <c r="C27"/>
  <c r="AD3" i="99" l="1"/>
  <c r="C4" i="32"/>
  <c r="C24" s="1"/>
  <c r="C25"/>
  <c r="Q514" i="92"/>
  <c r="R517"/>
  <c r="P555"/>
  <c r="Q555"/>
  <c r="O513"/>
  <c r="P514"/>
  <c r="O529"/>
  <c r="AK3" i="99"/>
  <c r="Y3"/>
  <c r="AL3" l="1"/>
  <c r="R514" i="92"/>
  <c r="R529" s="1"/>
  <c r="R527" s="1"/>
  <c r="R523" s="1"/>
  <c r="T517"/>
  <c r="P529"/>
  <c r="O527"/>
  <c r="Q513"/>
  <c r="R555"/>
  <c r="P513"/>
  <c r="O510"/>
  <c r="Q529"/>
  <c r="S517"/>
  <c r="S514" l="1"/>
  <c r="Q510"/>
  <c r="Q527"/>
  <c r="S529"/>
  <c r="R513"/>
  <c r="R510" s="1"/>
  <c r="R509" s="1"/>
  <c r="R5" s="1"/>
  <c r="T555"/>
  <c r="O523"/>
  <c r="P523" s="1"/>
  <c r="P527"/>
  <c r="T514"/>
  <c r="U517"/>
  <c r="U514" s="1"/>
  <c r="U529" s="1"/>
  <c r="U527" s="1"/>
  <c r="U523" s="1"/>
  <c r="P510"/>
  <c r="O509"/>
  <c r="O5" s="1"/>
  <c r="S555"/>
  <c r="R549" l="1"/>
  <c r="R545"/>
  <c r="Q523"/>
  <c r="S523" s="1"/>
  <c r="S527"/>
  <c r="U555"/>
  <c r="U513" s="1"/>
  <c r="U510" s="1"/>
  <c r="U509" s="1"/>
  <c r="U5" s="1"/>
  <c r="T513"/>
  <c r="S510"/>
  <c r="Q509"/>
  <c r="Q5" s="1"/>
  <c r="P509"/>
  <c r="V514"/>
  <c r="T529"/>
  <c r="S513"/>
  <c r="V517"/>
  <c r="T527" l="1"/>
  <c r="V529"/>
  <c r="S509"/>
  <c r="U545"/>
  <c r="U549"/>
  <c r="R552"/>
  <c r="R553" s="1"/>
  <c r="R550"/>
  <c r="P5"/>
  <c r="O545"/>
  <c r="O549"/>
  <c r="T510"/>
  <c r="V513"/>
  <c r="V555"/>
  <c r="U552" l="1"/>
  <c r="U553" s="1"/>
  <c r="U550"/>
  <c r="O550"/>
  <c r="O552"/>
  <c r="P549"/>
  <c r="T553"/>
  <c r="T509"/>
  <c r="T5" s="1"/>
  <c r="V510"/>
  <c r="T550"/>
  <c r="T551" s="1"/>
  <c r="Q545"/>
  <c r="S5"/>
  <c r="Q549"/>
  <c r="S549" s="1"/>
  <c r="V527"/>
  <c r="T523"/>
  <c r="V523" s="1"/>
  <c r="Q550" l="1"/>
  <c r="O551"/>
  <c r="T552"/>
  <c r="V552" s="1"/>
  <c r="T554"/>
  <c r="O553"/>
  <c r="P552"/>
  <c r="V509"/>
  <c r="U554"/>
  <c r="U551"/>
  <c r="T549" l="1"/>
  <c r="V549" s="1"/>
  <c r="T545"/>
  <c r="V5"/>
  <c r="Q553"/>
  <c r="O554"/>
  <c r="Q551"/>
  <c r="R551"/>
  <c r="Q552" l="1"/>
  <c r="S552" s="1"/>
  <c r="Q554"/>
  <c r="R554"/>
</calcChain>
</file>

<file path=xl/comments1.xml><?xml version="1.0" encoding="utf-8"?>
<comments xmlns="http://schemas.openxmlformats.org/spreadsheetml/2006/main">
  <authors>
    <author/>
    <author>a.knyazkina</author>
  </authors>
  <commentList>
    <comment ref="B5" authorId="0">
      <text>
        <r>
          <rPr>
            <sz val="9"/>
            <color indexed="81"/>
            <rFont val="Tahoma"/>
            <family val="2"/>
            <charset val="204"/>
          </rPr>
          <t>#6. #5. #13.</t>
        </r>
      </text>
    </comment>
    <comment ref="B6" authorId="0">
      <text>
        <r>
          <rPr>
            <sz val="9"/>
            <color indexed="81"/>
            <rFont val="Tahoma"/>
            <family val="2"/>
            <charset val="204"/>
          </rPr>
          <t>#3. #15. #8.</t>
        </r>
      </text>
    </comment>
    <comment ref="B7" authorId="0">
      <text>
        <r>
          <rPr>
            <sz val="9"/>
            <color indexed="81"/>
            <rFont val="Tahoma"/>
            <family val="2"/>
            <charset val="204"/>
          </rPr>
          <t>#1. #1. #</t>
        </r>
      </text>
    </comment>
    <comment ref="B8" authorId="0">
      <text>
        <r>
          <rPr>
            <sz val="9"/>
            <color indexed="81"/>
            <rFont val="Tahoma"/>
            <family val="2"/>
            <charset val="204"/>
          </rPr>
          <t>#1.1. #1.1. #</t>
        </r>
      </text>
    </comment>
    <comment ref="B9" authorId="0">
      <text>
        <r>
          <rPr>
            <sz val="9"/>
            <color indexed="81"/>
            <rFont val="Tahoma"/>
            <family val="2"/>
            <charset val="204"/>
          </rPr>
          <t>#1.1.1 #1.1.1 #1</t>
        </r>
      </text>
    </comment>
    <comment ref="B10" authorId="0">
      <text>
        <r>
          <rPr>
            <sz val="9"/>
            <color indexed="81"/>
            <rFont val="Tahoma"/>
            <family val="2"/>
            <charset val="204"/>
          </rPr>
          <t>#1.1.1.1 #1.1.1.1 #1.1</t>
        </r>
      </text>
    </comment>
    <comment ref="B11" authorId="0">
      <text>
        <r>
          <rPr>
            <sz val="9"/>
            <color indexed="81"/>
            <rFont val="Tahoma"/>
            <family val="2"/>
            <charset val="204"/>
          </rPr>
          <t># #1.1.1.1.2 #</t>
        </r>
      </text>
    </comment>
    <comment ref="B12" authorId="0">
      <text>
        <r>
          <rPr>
            <sz val="9"/>
            <color indexed="81"/>
            <rFont val="Tahoma"/>
            <family val="2"/>
            <charset val="204"/>
          </rPr>
          <t># #1.1.1.1.2.1 #</t>
        </r>
      </text>
    </comment>
    <comment ref="B13" authorId="0">
      <text>
        <r>
          <rPr>
            <sz val="9"/>
            <color indexed="81"/>
            <rFont val="Tahoma"/>
            <family val="2"/>
            <charset val="204"/>
          </rPr>
          <t># #1.1.1.1.2.1.1 #</t>
        </r>
      </text>
    </comment>
    <comment ref="B14" authorId="0">
      <text>
        <r>
          <rPr>
            <sz val="9"/>
            <color indexed="81"/>
            <rFont val="Tahoma"/>
            <family val="2"/>
            <charset val="204"/>
          </rPr>
          <t># #1.1.1.1.2.1.2 #</t>
        </r>
      </text>
    </comment>
    <comment ref="B15" authorId="0">
      <text>
        <r>
          <rPr>
            <sz val="9"/>
            <color indexed="81"/>
            <rFont val="Tahoma"/>
            <family val="2"/>
            <charset val="204"/>
          </rPr>
          <t># #1.1.1.1.2.2 #</t>
        </r>
      </text>
    </comment>
    <comment ref="B16" authorId="0">
      <text>
        <r>
          <rPr>
            <sz val="9"/>
            <color indexed="81"/>
            <rFont val="Tahoma"/>
            <family val="2"/>
            <charset val="204"/>
          </rPr>
          <t># #1.1.1.1.2.2.1 #</t>
        </r>
      </text>
    </comment>
    <comment ref="B17" authorId="0">
      <text>
        <r>
          <rPr>
            <sz val="9"/>
            <color indexed="81"/>
            <rFont val="Tahoma"/>
            <family val="2"/>
            <charset val="204"/>
          </rPr>
          <t># #1.1.1.1.2.2.2 #</t>
        </r>
      </text>
    </comment>
    <comment ref="B18" authorId="0">
      <text>
        <r>
          <rPr>
            <sz val="9"/>
            <color indexed="81"/>
            <rFont val="Tahoma"/>
            <family val="2"/>
            <charset val="204"/>
          </rPr>
          <t># #1.1.1.1.2.3 #</t>
        </r>
      </text>
    </comment>
    <comment ref="B19" authorId="0">
      <text>
        <r>
          <rPr>
            <sz val="9"/>
            <color indexed="81"/>
            <rFont val="Tahoma"/>
            <family val="2"/>
            <charset val="204"/>
          </rPr>
          <t># #1.1.1.1.2.3.1 #</t>
        </r>
      </text>
    </comment>
    <comment ref="B20" authorId="0">
      <text>
        <r>
          <rPr>
            <sz val="9"/>
            <color indexed="81"/>
            <rFont val="Tahoma"/>
            <family val="2"/>
            <charset val="204"/>
          </rPr>
          <t># #1.1.1.1.2.3.2 #</t>
        </r>
      </text>
    </comment>
    <comment ref="B21" authorId="0">
      <text>
        <r>
          <rPr>
            <sz val="9"/>
            <color indexed="81"/>
            <rFont val="Tahoma"/>
            <family val="2"/>
            <charset val="204"/>
          </rPr>
          <t># #1.1.1.1.2.4 #</t>
        </r>
      </text>
    </comment>
    <comment ref="B22" authorId="0">
      <text>
        <r>
          <rPr>
            <sz val="9"/>
            <color indexed="81"/>
            <rFont val="Tahoma"/>
            <family val="2"/>
            <charset val="204"/>
          </rPr>
          <t># #1.1.1.1.2.4.1 #</t>
        </r>
      </text>
    </comment>
    <comment ref="B23" authorId="0">
      <text>
        <r>
          <rPr>
            <sz val="9"/>
            <color indexed="81"/>
            <rFont val="Tahoma"/>
            <family val="2"/>
            <charset val="204"/>
          </rPr>
          <t># #1.1.1.1.2.4.2 #</t>
        </r>
      </text>
    </comment>
    <comment ref="B24" authorId="0">
      <text>
        <r>
          <rPr>
            <sz val="9"/>
            <color indexed="81"/>
            <rFont val="Tahoma"/>
            <family val="2"/>
            <charset val="204"/>
          </rPr>
          <t># #1.1.1.1.2.5 #</t>
        </r>
      </text>
    </comment>
    <comment ref="B25" authorId="0">
      <text>
        <r>
          <rPr>
            <sz val="9"/>
            <color indexed="81"/>
            <rFont val="Tahoma"/>
            <family val="2"/>
            <charset val="204"/>
          </rPr>
          <t># #1.1.1.1.2.5.1 #</t>
        </r>
      </text>
    </comment>
    <comment ref="B26" authorId="0">
      <text>
        <r>
          <rPr>
            <sz val="9"/>
            <color indexed="81"/>
            <rFont val="Tahoma"/>
            <family val="2"/>
            <charset val="204"/>
          </rPr>
          <t># #1.1.1.1.2.5.2 #</t>
        </r>
      </text>
    </comment>
    <comment ref="B27" authorId="0">
      <text>
        <r>
          <rPr>
            <sz val="9"/>
            <color indexed="81"/>
            <rFont val="Tahoma"/>
            <family val="2"/>
            <charset val="204"/>
          </rPr>
          <t>#1.1.1.1.2 #1.1.1.1.2.6 #1.1.2</t>
        </r>
      </text>
    </comment>
    <comment ref="B28" authorId="0">
      <text>
        <r>
          <rPr>
            <sz val="9"/>
            <color indexed="81"/>
            <rFont val="Tahoma"/>
            <family val="2"/>
            <charset val="204"/>
          </rPr>
          <t>#1.1.1.1.3 #1.1.1.1.3 #1.1.3</t>
        </r>
      </text>
    </comment>
    <comment ref="B29" authorId="0">
      <text>
        <r>
          <rPr>
            <sz val="9"/>
            <color indexed="81"/>
            <rFont val="Tahoma"/>
            <family val="2"/>
            <charset val="204"/>
          </rPr>
          <t>#1.1.1.2 #1.1.1.2 #1.3</t>
        </r>
      </text>
    </comment>
    <comment ref="Q2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ремонт асфальтового покрытия, без 26счета</t>
        </r>
      </text>
    </comment>
    <comment ref="T2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ремонт асфальтового покрытия, без 26счета</t>
        </r>
      </text>
    </comment>
    <comment ref="B30" authorId="0">
      <text>
        <r>
          <rPr>
            <sz val="9"/>
            <color indexed="81"/>
            <rFont val="Tahoma"/>
            <family val="2"/>
            <charset val="204"/>
          </rPr>
          <t>#1.1.1.3 #1.1.1.3 #1.4</t>
        </r>
      </text>
    </comment>
    <comment ref="B31" authorId="0">
      <text>
        <r>
          <rPr>
            <sz val="9"/>
            <color indexed="81"/>
            <rFont val="Tahoma"/>
            <family val="2"/>
            <charset val="204"/>
          </rPr>
          <t>#1.1.1.3.1 #1.1.1.3.1 #1.4.1</t>
        </r>
      </text>
    </comment>
    <comment ref="B32" authorId="0">
      <text>
        <r>
          <rPr>
            <sz val="9"/>
            <color indexed="81"/>
            <rFont val="Tahoma"/>
            <family val="2"/>
            <charset val="204"/>
          </rPr>
          <t># #1.1.1.3.1.2 #</t>
        </r>
      </text>
    </comment>
    <comment ref="B33" authorId="0">
      <text>
        <r>
          <rPr>
            <sz val="9"/>
            <color indexed="81"/>
            <rFont val="Tahoma"/>
            <family val="2"/>
            <charset val="204"/>
          </rPr>
          <t># #1.1.1.3.1.2.5 #</t>
        </r>
      </text>
    </comment>
    <comment ref="B34" authorId="0">
      <text>
        <r>
          <rPr>
            <sz val="9"/>
            <color indexed="81"/>
            <rFont val="Tahoma"/>
            <family val="2"/>
            <charset val="204"/>
          </rPr>
          <t>#1.1.1.3.1.2.1 # #</t>
        </r>
      </text>
    </comment>
    <comment ref="B35" authorId="0">
      <text>
        <r>
          <rPr>
            <sz val="9"/>
            <color indexed="81"/>
            <rFont val="Tahoma"/>
            <family val="2"/>
            <charset val="204"/>
          </rPr>
          <t># #1.1.1.3.1.2.1.1 #</t>
        </r>
      </text>
    </comment>
    <comment ref="B36" authorId="0">
      <text>
        <r>
          <rPr>
            <sz val="9"/>
            <color indexed="81"/>
            <rFont val="Tahoma"/>
            <family val="2"/>
            <charset val="204"/>
          </rPr>
          <t># #1.1.1.3.1.2.2.2 #</t>
        </r>
      </text>
    </comment>
    <comment ref="B37" authorId="0">
      <text>
        <r>
          <rPr>
            <sz val="9"/>
            <color indexed="81"/>
            <rFont val="Tahoma"/>
            <family val="2"/>
            <charset val="204"/>
          </rPr>
          <t># #1.1.1.3.1.2.2 #</t>
        </r>
      </text>
    </comment>
    <comment ref="B38" authorId="0">
      <text>
        <r>
          <rPr>
            <sz val="9"/>
            <color indexed="81"/>
            <rFont val="Tahoma"/>
            <family val="2"/>
            <charset val="204"/>
          </rPr>
          <t># #1.1.1.3.1.2.3 #</t>
        </r>
      </text>
    </comment>
    <comment ref="B39" authorId="0">
      <text>
        <r>
          <rPr>
            <sz val="9"/>
            <color indexed="81"/>
            <rFont val="Tahoma"/>
            <family val="2"/>
            <charset val="204"/>
          </rPr>
          <t># #1.1.1.3.1.2.4 #</t>
        </r>
      </text>
    </comment>
    <comment ref="B40" authorId="0">
      <text>
        <r>
          <rPr>
            <sz val="9"/>
            <color indexed="81"/>
            <rFont val="Tahoma"/>
            <family val="2"/>
            <charset val="204"/>
          </rPr>
          <t>#31. #1.1.1.3.1.1 #31.</t>
        </r>
      </text>
    </comment>
    <comment ref="B41" authorId="0">
      <text>
        <r>
          <rPr>
            <sz val="9"/>
            <color indexed="81"/>
            <rFont val="Tahoma"/>
            <family val="2"/>
            <charset val="204"/>
          </rPr>
          <t>#1.1.1.3.2 #1.1.1.3.2 #1.4.2</t>
        </r>
      </text>
    </comment>
    <comment ref="E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O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42" authorId="0">
      <text>
        <r>
          <rPr>
            <sz val="9"/>
            <color indexed="81"/>
            <rFont val="Tahoma"/>
            <family val="2"/>
            <charset val="204"/>
          </rPr>
          <t>#1.1.1.4 #1.1.1.4 #</t>
        </r>
      </text>
    </comment>
    <comment ref="B43" authorId="0">
      <text>
        <r>
          <rPr>
            <sz val="9"/>
            <color indexed="81"/>
            <rFont val="Tahoma"/>
            <family val="2"/>
            <charset val="204"/>
          </rPr>
          <t>#1.1.1.5 #1.1.1.5 #1.6</t>
        </r>
      </text>
    </comment>
    <comment ref="B44" authorId="0">
      <text>
        <r>
          <rPr>
            <sz val="9"/>
            <color indexed="81"/>
            <rFont val="Tahoma"/>
            <family val="2"/>
            <charset val="204"/>
          </rPr>
          <t># #1.1.1.5.1 #</t>
        </r>
      </text>
    </comment>
    <comment ref="B45" authorId="0">
      <text>
        <r>
          <rPr>
            <sz val="9"/>
            <color indexed="81"/>
            <rFont val="Tahoma"/>
            <family val="2"/>
            <charset val="204"/>
          </rPr>
          <t>#1.1.1.5 #1.1.1.5.2 #1.6</t>
        </r>
      </text>
    </comment>
    <comment ref="B46" authorId="0">
      <text>
        <r>
          <rPr>
            <sz val="9"/>
            <color indexed="81"/>
            <rFont val="Tahoma"/>
            <family val="2"/>
            <charset val="204"/>
          </rPr>
          <t>#1.1.1.6 #1.1.1.6 #1.7</t>
        </r>
      </text>
    </comment>
    <comment ref="B47" authorId="0">
      <text>
        <r>
          <rPr>
            <sz val="9"/>
            <color indexed="81"/>
            <rFont val="Tahoma"/>
            <family val="2"/>
            <charset val="204"/>
          </rPr>
          <t>#1.1.1.6.1 #1.1.1.6.1 #1.7.2</t>
        </r>
      </text>
    </comment>
    <comment ref="B48" authorId="0">
      <text>
        <r>
          <rPr>
            <sz val="9"/>
            <color indexed="81"/>
            <rFont val="Tahoma"/>
            <family val="2"/>
            <charset val="204"/>
          </rPr>
          <t>#1.1.1.6.2 #1.1.1.6.2 #1.7.1</t>
        </r>
      </text>
    </comment>
    <comment ref="B49" authorId="0">
      <text>
        <r>
          <rPr>
            <sz val="9"/>
            <color indexed="81"/>
            <rFont val="Tahoma"/>
            <family val="2"/>
            <charset val="204"/>
          </rPr>
          <t>#1.1.1.6.3 #1.1.1.6.3 #</t>
        </r>
      </text>
    </comment>
    <comment ref="B50" authorId="0">
      <text>
        <r>
          <rPr>
            <sz val="9"/>
            <color indexed="81"/>
            <rFont val="Tahoma"/>
            <family val="2"/>
            <charset val="204"/>
          </rPr>
          <t>#1.1.1.6.4 #1.1.1.6.4 #</t>
        </r>
      </text>
    </comment>
    <comment ref="B51" authorId="0">
      <text>
        <r>
          <rPr>
            <sz val="9"/>
            <color indexed="81"/>
            <rFont val="Tahoma"/>
            <family val="2"/>
            <charset val="204"/>
          </rPr>
          <t>#1.1.1.6.5 #1.1.1.6.5 #1.7.3</t>
        </r>
      </text>
    </comment>
    <comment ref="B52" authorId="0">
      <text>
        <r>
          <rPr>
            <sz val="9"/>
            <color indexed="81"/>
            <rFont val="Tahoma"/>
            <family val="2"/>
            <charset val="204"/>
          </rPr>
          <t>#1.1.1.6.6 #1.1.1.6.6 #1.7.4</t>
        </r>
      </text>
    </comment>
    <comment ref="B53" authorId="0">
      <text>
        <r>
          <rPr>
            <sz val="9"/>
            <color indexed="81"/>
            <rFont val="Tahoma"/>
            <family val="2"/>
            <charset val="204"/>
          </rPr>
          <t>#1.1.2 #1.1.2 #2</t>
        </r>
      </text>
    </comment>
    <comment ref="B54" authorId="0">
      <text>
        <r>
          <rPr>
            <sz val="9"/>
            <color indexed="81"/>
            <rFont val="Tahoma"/>
            <family val="2"/>
            <charset val="204"/>
          </rPr>
          <t>#1.1.2.1 #1.1.2.1 #2.1</t>
        </r>
      </text>
    </comment>
    <comment ref="B55" authorId="0">
      <text>
        <r>
          <rPr>
            <sz val="9"/>
            <color indexed="81"/>
            <rFont val="Tahoma"/>
            <family val="2"/>
            <charset val="204"/>
          </rPr>
          <t>#1.1.2.2 #1.1.2.2 #2.2</t>
        </r>
      </text>
    </comment>
    <comment ref="B56" authorId="0">
      <text>
        <r>
          <rPr>
            <sz val="9"/>
            <color indexed="81"/>
            <rFont val="Tahoma"/>
            <family val="2"/>
            <charset val="204"/>
          </rPr>
          <t>#1.1.2.3 #1.1.2.3 #2.3</t>
        </r>
      </text>
    </comment>
    <comment ref="B57" authorId="0">
      <text>
        <r>
          <rPr>
            <sz val="9"/>
            <color indexed="81"/>
            <rFont val="Tahoma"/>
            <family val="2"/>
            <charset val="204"/>
          </rPr>
          <t>#1.1.2.3.1 #1.1.2.3.1 #2.3.1</t>
        </r>
      </text>
    </comment>
    <comment ref="B58" authorId="0">
      <text>
        <r>
          <rPr>
            <sz val="9"/>
            <color indexed="81"/>
            <rFont val="Tahoma"/>
            <family val="2"/>
            <charset val="204"/>
          </rPr>
          <t># #1.1.2.3.1.1 #</t>
        </r>
      </text>
    </comment>
    <comment ref="B59" authorId="0">
      <text>
        <r>
          <rPr>
            <sz val="9"/>
            <color indexed="81"/>
            <rFont val="Tahoma"/>
            <family val="2"/>
            <charset val="204"/>
          </rPr>
          <t># #1.1.2.3.1.1.5 #</t>
        </r>
      </text>
    </comment>
    <comment ref="B60" authorId="0">
      <text>
        <r>
          <rPr>
            <sz val="9"/>
            <color indexed="81"/>
            <rFont val="Tahoma"/>
            <family val="2"/>
            <charset val="204"/>
          </rPr>
          <t># #1.1.2.3.1.1.1 #</t>
        </r>
      </text>
    </comment>
    <comment ref="B61" authorId="0">
      <text>
        <r>
          <rPr>
            <sz val="9"/>
            <color indexed="81"/>
            <rFont val="Tahoma"/>
            <family val="2"/>
            <charset val="204"/>
          </rPr>
          <t># #1.1.2.3.1.1.1.1 #</t>
        </r>
      </text>
    </comment>
    <comment ref="B62" authorId="0">
      <text>
        <r>
          <rPr>
            <sz val="9"/>
            <color indexed="81"/>
            <rFont val="Tahoma"/>
            <family val="2"/>
            <charset val="204"/>
          </rPr>
          <t># #1.1.2.3.1.1.1.2 #</t>
        </r>
      </text>
    </comment>
    <comment ref="B63" authorId="0">
      <text>
        <r>
          <rPr>
            <sz val="9"/>
            <color indexed="81"/>
            <rFont val="Tahoma"/>
            <family val="2"/>
            <charset val="204"/>
          </rPr>
          <t># #1.1.2.3.1.1.2 #</t>
        </r>
      </text>
    </comment>
    <comment ref="B64" authorId="0">
      <text>
        <r>
          <rPr>
            <sz val="9"/>
            <color indexed="81"/>
            <rFont val="Tahoma"/>
            <family val="2"/>
            <charset val="204"/>
          </rPr>
          <t># #1.1.2.3.1.1.3 #</t>
        </r>
      </text>
    </comment>
    <comment ref="B65" authorId="0">
      <text>
        <r>
          <rPr>
            <sz val="9"/>
            <color indexed="81"/>
            <rFont val="Tahoma"/>
            <family val="2"/>
            <charset val="204"/>
          </rPr>
          <t># #1.1.2.3.1.1.4 #</t>
        </r>
      </text>
    </comment>
    <comment ref="B66" authorId="0">
      <text>
        <r>
          <rPr>
            <sz val="9"/>
            <color indexed="81"/>
            <rFont val="Tahoma"/>
            <family val="2"/>
            <charset val="204"/>
          </rPr>
          <t>#32. #1.1.2.3.1.2 #32.</t>
        </r>
      </text>
    </comment>
    <comment ref="B67" authorId="0">
      <text>
        <r>
          <rPr>
            <sz val="9"/>
            <color indexed="81"/>
            <rFont val="Tahoma"/>
            <family val="2"/>
            <charset val="204"/>
          </rPr>
          <t>#1.1.2.3.2 #1.1.2.3.2 #2.3.2</t>
        </r>
      </text>
    </comment>
    <comment ref="E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O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AB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68" authorId="0">
      <text>
        <r>
          <rPr>
            <sz val="9"/>
            <color indexed="81"/>
            <rFont val="Tahoma"/>
            <family val="2"/>
            <charset val="204"/>
          </rPr>
          <t>#1.1.3 #1.1.3 #3</t>
        </r>
      </text>
    </comment>
    <comment ref="B69" authorId="0">
      <text>
        <r>
          <rPr>
            <sz val="9"/>
            <color indexed="81"/>
            <rFont val="Tahoma"/>
            <family val="2"/>
            <charset val="204"/>
          </rPr>
          <t>#1.1.3.1 #1.1.3.1 #3.1</t>
        </r>
      </text>
    </comment>
    <comment ref="T69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69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70" authorId="0">
      <text>
        <r>
          <rPr>
            <sz val="9"/>
            <color indexed="81"/>
            <rFont val="Tahoma"/>
            <family val="2"/>
            <charset val="204"/>
          </rPr>
          <t>#1.1.3.1.1 #1.1.3.1.1 #3.1.1</t>
        </r>
      </text>
    </comment>
    <comment ref="B71" authorId="0">
      <text>
        <r>
          <rPr>
            <sz val="9"/>
            <color indexed="81"/>
            <rFont val="Tahoma"/>
            <family val="2"/>
            <charset val="204"/>
          </rPr>
          <t>#1.1.3.1.2 #1.1.3.1.2 #3.1.2</t>
        </r>
      </text>
    </comment>
    <comment ref="B72" authorId="0">
      <text>
        <r>
          <rPr>
            <sz val="9"/>
            <color indexed="81"/>
            <rFont val="Tahoma"/>
            <family val="2"/>
            <charset val="204"/>
          </rPr>
          <t>#1.1.3.1.3 #1.1.3.1.3 #3.1.3</t>
        </r>
      </text>
    </comment>
    <comment ref="B73" authorId="0">
      <text>
        <r>
          <rPr>
            <sz val="9"/>
            <color indexed="81"/>
            <rFont val="Tahoma"/>
            <family val="2"/>
            <charset val="204"/>
          </rPr>
          <t>#1.1.3.1.4 #1.1.3.1.4 #3.1.4</t>
        </r>
      </text>
    </comment>
    <comment ref="B74" authorId="0">
      <text>
        <r>
          <rPr>
            <sz val="9"/>
            <color indexed="81"/>
            <rFont val="Tahoma"/>
            <family val="2"/>
            <charset val="204"/>
          </rPr>
          <t>#1.1.3.1.5 #1.1.3.1.5 #3.1.5</t>
        </r>
      </text>
    </comment>
    <comment ref="Q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T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W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Z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B75" authorId="0">
      <text>
        <r>
          <rPr>
            <sz val="9"/>
            <color indexed="81"/>
            <rFont val="Tahoma"/>
            <family val="2"/>
            <charset val="204"/>
          </rPr>
          <t>#1.1.3.1.6 #1.1.3.1.6 #3.1.6</t>
        </r>
      </text>
    </comment>
    <comment ref="B76" authorId="0">
      <text>
        <r>
          <rPr>
            <sz val="9"/>
            <color indexed="81"/>
            <rFont val="Tahoma"/>
            <family val="2"/>
            <charset val="204"/>
          </rPr>
          <t>#1.1.3.2 #1.1.3.2 #3.2</t>
        </r>
      </text>
    </comment>
    <comment ref="T76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76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77" authorId="0">
      <text>
        <r>
          <rPr>
            <sz val="9"/>
            <color indexed="81"/>
            <rFont val="Tahoma"/>
            <family val="2"/>
            <charset val="204"/>
          </rPr>
          <t>#1.1.3.2.1 #1.1.3.2.1 #3.2.1</t>
        </r>
      </text>
    </comment>
    <comment ref="B78" authorId="0">
      <text>
        <r>
          <rPr>
            <sz val="9"/>
            <color indexed="81"/>
            <rFont val="Tahoma"/>
            <family val="2"/>
            <charset val="204"/>
          </rPr>
          <t># #1.1.3.2.1.1 #</t>
        </r>
      </text>
    </comment>
    <comment ref="B79" authorId="0">
      <text>
        <r>
          <rPr>
            <sz val="9"/>
            <color indexed="81"/>
            <rFont val="Tahoma"/>
            <family val="2"/>
            <charset val="204"/>
          </rPr>
          <t># #1.1.3.2.1.1.2 #</t>
        </r>
      </text>
    </comment>
    <comment ref="B80" authorId="0">
      <text>
        <r>
          <rPr>
            <sz val="9"/>
            <color indexed="81"/>
            <rFont val="Tahoma"/>
            <family val="2"/>
            <charset val="204"/>
          </rPr>
          <t># #1.1.3.2.1.1.5 #</t>
        </r>
      </text>
    </comment>
    <comment ref="B81" authorId="0">
      <text>
        <r>
          <rPr>
            <sz val="9"/>
            <color indexed="81"/>
            <rFont val="Tahoma"/>
            <family val="2"/>
            <charset val="204"/>
          </rPr>
          <t># #1.1.3.2.1.1.1 #</t>
        </r>
      </text>
    </comment>
    <comment ref="B82" authorId="0">
      <text>
        <r>
          <rPr>
            <sz val="9"/>
            <color indexed="81"/>
            <rFont val="Tahoma"/>
            <family val="2"/>
            <charset val="204"/>
          </rPr>
          <t># #1.1.3.2.1.1.1.1 #</t>
        </r>
      </text>
    </comment>
    <comment ref="B83" authorId="0">
      <text>
        <r>
          <rPr>
            <sz val="9"/>
            <color indexed="81"/>
            <rFont val="Tahoma"/>
            <family val="2"/>
            <charset val="204"/>
          </rPr>
          <t># #1.1.3.2.1.1.1.2 #</t>
        </r>
      </text>
    </comment>
    <comment ref="B84" authorId="0">
      <text>
        <r>
          <rPr>
            <sz val="9"/>
            <color indexed="81"/>
            <rFont val="Tahoma"/>
            <family val="2"/>
            <charset val="204"/>
          </rPr>
          <t># #1.1.3.2.1.1.3 #</t>
        </r>
      </text>
    </comment>
    <comment ref="B85" authorId="0">
      <text>
        <r>
          <rPr>
            <sz val="9"/>
            <color indexed="81"/>
            <rFont val="Tahoma"/>
            <family val="2"/>
            <charset val="204"/>
          </rPr>
          <t># #1.1.3.2.1.1.4 #</t>
        </r>
      </text>
    </comment>
    <comment ref="B86" authorId="0">
      <text>
        <r>
          <rPr>
            <sz val="9"/>
            <color indexed="81"/>
            <rFont val="Tahoma"/>
            <family val="2"/>
            <charset val="204"/>
          </rPr>
          <t>#33. #1.1.3.2.1.2 #33.</t>
        </r>
      </text>
    </comment>
    <comment ref="B87" authorId="0">
      <text>
        <r>
          <rPr>
            <sz val="9"/>
            <color indexed="81"/>
            <rFont val="Tahoma"/>
            <family val="2"/>
            <charset val="204"/>
          </rPr>
          <t>#1.1.3.2.2 #1.1.3.2.2 #3.2.2</t>
        </r>
      </text>
    </comment>
    <comment ref="E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O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P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AB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88" authorId="0">
      <text>
        <r>
          <rPr>
            <sz val="9"/>
            <color indexed="81"/>
            <rFont val="Tahoma"/>
            <family val="2"/>
            <charset val="204"/>
          </rPr>
          <t>#1.1.3.3 #1.1.3.3 #3.3</t>
        </r>
      </text>
    </comment>
    <comment ref="B89" authorId="0">
      <text>
        <r>
          <rPr>
            <sz val="9"/>
            <color indexed="81"/>
            <rFont val="Tahoma"/>
            <family val="2"/>
            <charset val="204"/>
          </rPr>
          <t>#1.1.3.4 #1.1.3.4 #3.4</t>
        </r>
      </text>
    </comment>
    <comment ref="B90" authorId="0">
      <text>
        <r>
          <rPr>
            <sz val="9"/>
            <color indexed="81"/>
            <rFont val="Tahoma"/>
            <family val="2"/>
            <charset val="204"/>
          </rPr>
          <t>#1.1.3.5 #1.1.3.5 #3.5</t>
        </r>
      </text>
    </comment>
    <comment ref="B91" authorId="0">
      <text>
        <r>
          <rPr>
            <sz val="9"/>
            <color indexed="81"/>
            <rFont val="Tahoma"/>
            <family val="2"/>
            <charset val="204"/>
          </rPr>
          <t>#1.1.3.6 #1.1.3.6 #3.6</t>
        </r>
      </text>
    </comment>
    <comment ref="B92" authorId="0">
      <text>
        <r>
          <rPr>
            <sz val="9"/>
            <color indexed="81"/>
            <rFont val="Tahoma"/>
            <family val="2"/>
            <charset val="204"/>
          </rPr>
          <t>#1.1.3.7 #1.1.3.7 #3.7</t>
        </r>
      </text>
    </comment>
    <comment ref="B93" authorId="0">
      <text>
        <r>
          <rPr>
            <sz val="9"/>
            <color indexed="81"/>
            <rFont val="Tahoma"/>
            <family val="2"/>
            <charset val="204"/>
          </rPr>
          <t>#1.1.3.7.1 #1.1.3.7.1 #3.7.1</t>
        </r>
      </text>
    </comment>
    <comment ref="B94" authorId="0">
      <text>
        <r>
          <rPr>
            <sz val="9"/>
            <color indexed="81"/>
            <rFont val="Tahoma"/>
            <family val="2"/>
            <charset val="204"/>
          </rPr>
          <t>#1.1.3.7.2 #1.1.3.7.2 #3.7.2</t>
        </r>
      </text>
    </comment>
    <comment ref="B95" authorId="0">
      <text>
        <r>
          <rPr>
            <sz val="9"/>
            <color indexed="81"/>
            <rFont val="Tahoma"/>
            <family val="2"/>
            <charset val="204"/>
          </rPr>
          <t>#1.1.4 #1.1.4 #4.</t>
        </r>
      </text>
    </comment>
    <comment ref="B96" authorId="0">
      <text>
        <r>
          <rPr>
            <sz val="9"/>
            <color indexed="81"/>
            <rFont val="Tahoma"/>
            <family val="2"/>
            <charset val="204"/>
          </rPr>
          <t>#1.1.4.2 #1.1.4.2 #1.1.4.2</t>
        </r>
      </text>
    </comment>
    <comment ref="B97" authorId="0">
      <text>
        <r>
          <rPr>
            <sz val="9"/>
            <color indexed="81"/>
            <rFont val="Tahoma"/>
            <family val="2"/>
            <charset val="204"/>
          </rPr>
          <t>#1.1.4.3 #1.1.4.3 #1.1.4.3</t>
        </r>
      </text>
    </comment>
    <comment ref="B98" authorId="0">
      <text>
        <r>
          <rPr>
            <sz val="9"/>
            <color indexed="81"/>
            <rFont val="Tahoma"/>
            <family val="2"/>
            <charset val="204"/>
          </rPr>
          <t>#1.1.4.3.1 #1.1.4.3.1 #1.1.4.3.1</t>
        </r>
      </text>
    </comment>
    <comment ref="B99" authorId="0">
      <text>
        <r>
          <rPr>
            <sz val="9"/>
            <color indexed="81"/>
            <rFont val="Tahoma"/>
            <family val="2"/>
            <charset val="204"/>
          </rPr>
          <t>#1.1.4.3.2 #1.1.4.3.2 #1.1.4.3.2</t>
        </r>
      </text>
    </comment>
    <comment ref="B100" authorId="0">
      <text>
        <r>
          <rPr>
            <sz val="9"/>
            <color indexed="81"/>
            <rFont val="Tahoma"/>
            <family val="2"/>
            <charset val="204"/>
          </rPr>
          <t>#1.1.4.3.3 #1.1.4.3.3 #1.1.4.3.3</t>
        </r>
      </text>
    </comment>
    <comment ref="B101" authorId="0">
      <text>
        <r>
          <rPr>
            <sz val="9"/>
            <color indexed="81"/>
            <rFont val="Tahoma"/>
            <family val="2"/>
            <charset val="204"/>
          </rPr>
          <t>#1.1.4.4 #1.1.4.4 #1.1.4.4</t>
        </r>
      </text>
    </comment>
    <comment ref="B102" authorId="0">
      <text>
        <r>
          <rPr>
            <sz val="9"/>
            <color indexed="81"/>
            <rFont val="Tahoma"/>
            <family val="2"/>
            <charset val="204"/>
          </rPr>
          <t>#1.1.4.5 #1.1.4.5 #1.1.4.5</t>
        </r>
      </text>
    </comment>
    <comment ref="B103" authorId="0">
      <text>
        <r>
          <rPr>
            <sz val="9"/>
            <color indexed="81"/>
            <rFont val="Tahoma"/>
            <family val="2"/>
            <charset val="204"/>
          </rPr>
          <t>#1.1.4.6 #1.1.4.6 #1.1.4.6</t>
        </r>
      </text>
    </comment>
    <comment ref="B104" authorId="0">
      <text>
        <r>
          <rPr>
            <sz val="9"/>
            <color indexed="81"/>
            <rFont val="Tahoma"/>
            <family val="2"/>
            <charset val="204"/>
          </rPr>
          <t>#1.1.4.7 #1.1.4.7 #1.1.4.7</t>
        </r>
      </text>
    </comment>
    <comment ref="B105" authorId="0">
      <text>
        <r>
          <rPr>
            <sz val="9"/>
            <color indexed="81"/>
            <rFont val="Tahoma"/>
            <family val="2"/>
            <charset val="204"/>
          </rPr>
          <t>#1.1.4.7.1 #1.1.4.7.1 #1.1.4.7.1</t>
        </r>
      </text>
    </comment>
    <comment ref="B106" authorId="0">
      <text>
        <r>
          <rPr>
            <sz val="9"/>
            <color indexed="81"/>
            <rFont val="Tahoma"/>
            <family val="2"/>
            <charset val="204"/>
          </rPr>
          <t>#1.1.4.7.2 #1.1.4.7.2 #1.1.4.7.2</t>
        </r>
      </text>
    </comment>
    <comment ref="B107" authorId="0">
      <text>
        <r>
          <rPr>
            <sz val="9"/>
            <color indexed="81"/>
            <rFont val="Tahoma"/>
            <family val="2"/>
            <charset val="204"/>
          </rPr>
          <t>#1.1.4.7.3 #1.1.4.7.3 #1.1.4.7.3</t>
        </r>
      </text>
    </comment>
    <comment ref="B108" authorId="0">
      <text>
        <r>
          <rPr>
            <sz val="9"/>
            <color indexed="81"/>
            <rFont val="Tahoma"/>
            <family val="2"/>
            <charset val="204"/>
          </rPr>
          <t>#1.1.4.7.4 #1.1.4.7.4 #1.1.4.7.4</t>
        </r>
      </text>
    </comment>
    <comment ref="B109" authorId="0">
      <text>
        <r>
          <rPr>
            <sz val="9"/>
            <color indexed="81"/>
            <rFont val="Tahoma"/>
            <family val="2"/>
            <charset val="204"/>
          </rPr>
          <t>#1.1.4.7.6 #1.1.4.7.6 #1.1.4.7.6</t>
        </r>
      </text>
    </comment>
    <comment ref="B110" authorId="0">
      <text>
        <r>
          <rPr>
            <sz val="9"/>
            <color indexed="81"/>
            <rFont val="Tahoma"/>
            <family val="2"/>
            <charset val="204"/>
          </rPr>
          <t>#1.1.4.7.7 #1.1.4.7.7 #1.1.4.7.7</t>
        </r>
      </text>
    </comment>
    <comment ref="B111" authorId="0">
      <text>
        <r>
          <rPr>
            <sz val="9"/>
            <color indexed="81"/>
            <rFont val="Tahoma"/>
            <family val="2"/>
            <charset val="204"/>
          </rPr>
          <t>#1.1.4.7.5 #1.1.4.7.5 #1.1.4.7.5</t>
        </r>
      </text>
    </comment>
    <comment ref="B112" authorId="0">
      <text>
        <r>
          <rPr>
            <sz val="9"/>
            <color indexed="81"/>
            <rFont val="Tahoma"/>
            <family val="2"/>
            <charset val="204"/>
          </rPr>
          <t>#1.1.4.8 #1.1.4.8 #1.1.4.8</t>
        </r>
      </text>
    </comment>
    <comment ref="T112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U112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13" authorId="0">
      <text>
        <r>
          <rPr>
            <sz val="9"/>
            <color indexed="81"/>
            <rFont val="Tahoma"/>
            <family val="2"/>
            <charset val="204"/>
          </rPr>
          <t>#1.1.4.8.1 #1.1.4.8.1 #1.1.4.8.1</t>
        </r>
      </text>
    </comment>
    <comment ref="B114" authorId="0">
      <text>
        <r>
          <rPr>
            <sz val="9"/>
            <color indexed="81"/>
            <rFont val="Tahoma"/>
            <family val="2"/>
            <charset val="204"/>
          </rPr>
          <t>#1.1.4.8.1.1 #1.1.4.8.1.1 #1.1.4.8.1.1</t>
        </r>
      </text>
    </comment>
    <comment ref="B115" authorId="0">
      <text>
        <r>
          <rPr>
            <sz val="9"/>
            <color indexed="81"/>
            <rFont val="Tahoma"/>
            <family val="2"/>
            <charset val="204"/>
          </rPr>
          <t># #1.1.4.8.1.1.2 #</t>
        </r>
      </text>
    </comment>
    <comment ref="B116" authorId="0">
      <text>
        <r>
          <rPr>
            <sz val="9"/>
            <color indexed="81"/>
            <rFont val="Tahoma"/>
            <family val="2"/>
            <charset val="204"/>
          </rPr>
          <t>#1.1.4.8.1.1.5 #1.1.4.8.1.1.5 #1.1.4.8.1.1.5</t>
        </r>
      </text>
    </comment>
    <comment ref="B117" authorId="0">
      <text>
        <r>
          <rPr>
            <sz val="9"/>
            <color indexed="81"/>
            <rFont val="Tahoma"/>
            <family val="2"/>
            <charset val="204"/>
          </rPr>
          <t>#1.1.4.8.1.1.1 #1.1.4.8.1.1.1 #1.1.4.8.1.1.1</t>
        </r>
      </text>
    </comment>
    <comment ref="B118" authorId="0">
      <text>
        <r>
          <rPr>
            <sz val="9"/>
            <color indexed="81"/>
            <rFont val="Tahoma"/>
            <family val="2"/>
            <charset val="204"/>
          </rPr>
          <t>#1.1.4.8.1.1.1.1 #1.1.4.8.1.1.1.1 #1.1.4.8.1.1.1.1</t>
        </r>
      </text>
    </comment>
    <comment ref="B119" authorId="0">
      <text>
        <r>
          <rPr>
            <sz val="9"/>
            <color indexed="81"/>
            <rFont val="Tahoma"/>
            <family val="2"/>
            <charset val="204"/>
          </rPr>
          <t>#1.1.4.8.1.1.1.2 #1.1.4.8.1.1.1.2 #1.1.4.8.1.1.1.2</t>
        </r>
      </text>
    </comment>
    <comment ref="B120" authorId="0">
      <text>
        <r>
          <rPr>
            <sz val="9"/>
            <color indexed="81"/>
            <rFont val="Tahoma"/>
            <family val="2"/>
            <charset val="204"/>
          </rPr>
          <t>#1.1.4.8.1.9 #1.1.4.8.1.9 #1.1.4.8.1.9</t>
        </r>
      </text>
    </comment>
    <comment ref="B121" authorId="0">
      <text>
        <r>
          <rPr>
            <sz val="9"/>
            <color indexed="81"/>
            <rFont val="Tahoma"/>
            <family val="2"/>
            <charset val="204"/>
          </rPr>
          <t>#1.1.4.8.1.10 #1.1.4.8.1.10 #1.1.4.8.1.10</t>
        </r>
      </text>
    </comment>
    <comment ref="B122" authorId="0">
      <text>
        <r>
          <rPr>
            <sz val="9"/>
            <color indexed="81"/>
            <rFont val="Tahoma"/>
            <family val="2"/>
            <charset val="204"/>
          </rPr>
          <t>#1.1.4.8.1.2 #1.1.4.8.1.2 #1.1.4.8.1.2</t>
        </r>
      </text>
    </comment>
    <comment ref="B123" authorId="0">
      <text>
        <r>
          <rPr>
            <sz val="9"/>
            <color indexed="81"/>
            <rFont val="Tahoma"/>
            <family val="2"/>
            <charset val="204"/>
          </rPr>
          <t>#1.1.4.8.2 #1.1.4.8.2 #1.1.4.8.2</t>
        </r>
      </text>
    </comment>
    <comment ref="E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F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H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I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K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L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N123" authorId="0">
      <text>
        <r>
          <rPr>
            <sz val="9"/>
            <color indexed="81"/>
            <rFont val="Tahoma"/>
            <family val="2"/>
            <charset val="204"/>
          </rPr>
          <t>Расчет по формуле: Поле0*Поле1/100</t>
        </r>
      </text>
    </comment>
    <comment ref="O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Q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R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T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U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24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5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6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7" authorId="0">
      <text>
        <r>
          <rPr>
            <sz val="9"/>
            <color indexed="81"/>
            <rFont val="Tahoma"/>
            <family val="2"/>
            <charset val="204"/>
          </rPr>
          <t>#30. #20.3 #30.</t>
        </r>
      </text>
    </comment>
    <comment ref="B128" authorId="0">
      <text>
        <r>
          <rPr>
            <sz val="9"/>
            <color indexed="81"/>
            <rFont val="Tahoma"/>
            <family val="2"/>
            <charset val="204"/>
          </rPr>
          <t>#26. #20.4 #26.</t>
        </r>
      </text>
    </comment>
    <comment ref="B12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0" authorId="0">
      <text>
        <r>
          <rPr>
            <sz val="9"/>
            <color indexed="81"/>
            <rFont val="Tahoma"/>
            <family val="2"/>
            <charset val="204"/>
          </rPr>
          <t>#3.1.2 #20.5 #</t>
        </r>
      </text>
    </comment>
    <comment ref="B131" authorId="0">
      <text>
        <r>
          <rPr>
            <sz val="9"/>
            <color indexed="81"/>
            <rFont val="Tahoma"/>
            <family val="2"/>
            <charset val="204"/>
          </rPr>
          <t>#5.3 #20.6 #</t>
        </r>
      </text>
    </comment>
    <comment ref="B13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3" authorId="0">
      <text>
        <r>
          <rPr>
            <sz val="9"/>
            <color indexed="81"/>
            <rFont val="Tahoma"/>
            <family val="2"/>
            <charset val="204"/>
          </rPr>
          <t>#3.1.3 #20.7 #</t>
        </r>
      </text>
    </comment>
    <comment ref="B134" authorId="0">
      <text>
        <r>
          <rPr>
            <sz val="9"/>
            <color indexed="81"/>
            <rFont val="Tahoma"/>
            <family val="2"/>
            <charset val="204"/>
          </rPr>
          <t>#5.4 #20.8 #</t>
        </r>
      </text>
    </comment>
    <comment ref="B13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6" authorId="0">
      <text>
        <r>
          <rPr>
            <sz val="9"/>
            <color indexed="81"/>
            <rFont val="Tahoma"/>
            <family val="2"/>
            <charset val="204"/>
          </rPr>
          <t>#3.1.4 #20.9 #</t>
        </r>
      </text>
    </comment>
    <comment ref="B137" authorId="0">
      <text>
        <r>
          <rPr>
            <sz val="9"/>
            <color indexed="81"/>
            <rFont val="Tahoma"/>
            <family val="2"/>
            <charset val="204"/>
          </rPr>
          <t>#5.5 #20.11 #</t>
        </r>
      </text>
    </comment>
    <comment ref="B13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9" authorId="0">
      <text>
        <r>
          <rPr>
            <sz val="9"/>
            <color indexed="81"/>
            <rFont val="Tahoma"/>
            <family val="2"/>
            <charset val="204"/>
          </rPr>
          <t>#3.1.5 #20.12 #</t>
        </r>
      </text>
    </comment>
    <comment ref="B140" authorId="0">
      <text>
        <r>
          <rPr>
            <sz val="9"/>
            <color indexed="81"/>
            <rFont val="Tahoma"/>
            <family val="2"/>
            <charset val="204"/>
          </rPr>
          <t>#6 #20.13 #</t>
        </r>
      </text>
    </comment>
    <comment ref="B14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4" authorId="0">
      <text>
        <r>
          <rPr>
            <sz val="9"/>
            <color indexed="81"/>
            <rFont val="Tahoma"/>
            <family val="2"/>
            <charset val="204"/>
          </rPr>
          <t># #20.14 #</t>
        </r>
      </text>
    </comment>
    <comment ref="B145" authorId="0">
      <text>
        <r>
          <rPr>
            <sz val="9"/>
            <color indexed="81"/>
            <rFont val="Tahoma"/>
            <family val="2"/>
            <charset val="204"/>
          </rPr>
          <t># #20.15 #</t>
        </r>
      </text>
    </comment>
    <comment ref="B14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7" authorId="0">
      <text>
        <r>
          <rPr>
            <sz val="9"/>
            <color indexed="81"/>
            <rFont val="Tahoma"/>
            <family val="2"/>
            <charset val="204"/>
          </rPr>
          <t># #20.16 #</t>
        </r>
      </text>
    </comment>
    <comment ref="B148" authorId="0">
      <text>
        <r>
          <rPr>
            <sz val="9"/>
            <color indexed="81"/>
            <rFont val="Tahoma"/>
            <family val="2"/>
            <charset val="204"/>
          </rPr>
          <t># #20.17 #</t>
        </r>
      </text>
    </comment>
    <comment ref="B14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0" authorId="0">
      <text>
        <r>
          <rPr>
            <sz val="9"/>
            <color indexed="81"/>
            <rFont val="Tahoma"/>
            <family val="2"/>
            <charset val="204"/>
          </rPr>
          <t># #20.18 #</t>
        </r>
      </text>
    </comment>
    <comment ref="B151" authorId="0">
      <text>
        <r>
          <rPr>
            <sz val="9"/>
            <color indexed="81"/>
            <rFont val="Tahoma"/>
            <family val="2"/>
            <charset val="204"/>
          </rPr>
          <t># #20.19 #</t>
        </r>
      </text>
    </comment>
    <comment ref="B15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3" authorId="0">
      <text>
        <r>
          <rPr>
            <sz val="9"/>
            <color indexed="81"/>
            <rFont val="Tahoma"/>
            <family val="2"/>
            <charset val="204"/>
          </rPr>
          <t># #30.1 #</t>
        </r>
      </text>
    </comment>
    <comment ref="B154" authorId="0">
      <text>
        <r>
          <rPr>
            <sz val="9"/>
            <color indexed="81"/>
            <rFont val="Tahoma"/>
            <family val="2"/>
            <charset val="204"/>
          </rPr>
          <t># #30.2 #</t>
        </r>
      </text>
    </comment>
    <comment ref="B15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6" authorId="0">
      <text>
        <r>
          <rPr>
            <sz val="9"/>
            <color indexed="81"/>
            <rFont val="Tahoma"/>
            <family val="2"/>
            <charset val="204"/>
          </rPr>
          <t># #30.3 #</t>
        </r>
      </text>
    </comment>
    <comment ref="B157" authorId="0">
      <text>
        <r>
          <rPr>
            <sz val="9"/>
            <color indexed="81"/>
            <rFont val="Tahoma"/>
            <family val="2"/>
            <charset val="204"/>
          </rPr>
          <t># #30.4 #</t>
        </r>
      </text>
    </comment>
    <comment ref="B15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0" authorId="0">
      <text>
        <r>
          <rPr>
            <sz val="9"/>
            <color indexed="81"/>
            <rFont val="Tahoma"/>
            <family val="2"/>
            <charset val="204"/>
          </rPr>
          <t># #30.5 #</t>
        </r>
      </text>
    </comment>
    <comment ref="B161" authorId="0">
      <text>
        <r>
          <rPr>
            <sz val="9"/>
            <color indexed="81"/>
            <rFont val="Tahoma"/>
            <family val="2"/>
            <charset val="204"/>
          </rPr>
          <t># #30.6 #</t>
        </r>
      </text>
    </comment>
    <comment ref="B16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3" authorId="0">
      <text>
        <r>
          <rPr>
            <sz val="9"/>
            <color indexed="81"/>
            <rFont val="Tahoma"/>
            <family val="2"/>
            <charset val="204"/>
          </rPr>
          <t># #30.7 #</t>
        </r>
      </text>
    </comment>
    <comment ref="B164" authorId="0">
      <text>
        <r>
          <rPr>
            <sz val="9"/>
            <color indexed="81"/>
            <rFont val="Tahoma"/>
            <family val="2"/>
            <charset val="204"/>
          </rPr>
          <t># #30.8 #</t>
        </r>
      </text>
    </comment>
    <comment ref="B16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6" authorId="0">
      <text>
        <r>
          <rPr>
            <sz val="9"/>
            <color indexed="81"/>
            <rFont val="Tahoma"/>
            <family val="2"/>
            <charset val="204"/>
          </rPr>
          <t># #30.9 #</t>
        </r>
      </text>
    </comment>
    <comment ref="B167" authorId="0">
      <text>
        <r>
          <rPr>
            <sz val="9"/>
            <color indexed="81"/>
            <rFont val="Tahoma"/>
            <family val="2"/>
            <charset val="204"/>
          </rPr>
          <t># #30.11 #</t>
        </r>
      </text>
    </comment>
    <comment ref="B16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9" authorId="0">
      <text>
        <r>
          <rPr>
            <sz val="9"/>
            <color indexed="81"/>
            <rFont val="Tahoma"/>
            <family val="2"/>
            <charset val="204"/>
          </rPr>
          <t># #30.12 #</t>
        </r>
      </text>
    </comment>
    <comment ref="B170" authorId="0">
      <text>
        <r>
          <rPr>
            <sz val="9"/>
            <color indexed="81"/>
            <rFont val="Tahoma"/>
            <family val="2"/>
            <charset val="204"/>
          </rPr>
          <t># #30.13 #</t>
        </r>
      </text>
    </comment>
    <comment ref="B17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72" authorId="0">
      <text>
        <r>
          <rPr>
            <sz val="9"/>
            <color indexed="81"/>
            <rFont val="Tahoma"/>
            <family val="2"/>
            <charset val="204"/>
          </rPr>
          <t># #30.14 #</t>
        </r>
      </text>
    </comment>
    <comment ref="B173" authorId="0">
      <text>
        <r>
          <rPr>
            <sz val="9"/>
            <color indexed="81"/>
            <rFont val="Tahoma"/>
            <family val="2"/>
            <charset val="204"/>
          </rPr>
          <t># #30.15 #</t>
        </r>
      </text>
    </comment>
    <comment ref="B174" authorId="0">
      <text>
        <r>
          <rPr>
            <sz val="9"/>
            <color indexed="81"/>
            <rFont val="Tahoma"/>
            <family val="2"/>
            <charset val="204"/>
          </rPr>
          <t>#1.3 #1.3 #</t>
        </r>
      </text>
    </comment>
    <comment ref="B175" authorId="0">
      <text>
        <r>
          <rPr>
            <sz val="9"/>
            <color indexed="81"/>
            <rFont val="Tahoma"/>
            <family val="2"/>
            <charset val="204"/>
          </rPr>
          <t>#1.3.1 #1.3.1 #1.2</t>
        </r>
      </text>
    </comment>
    <comment ref="B176" authorId="0">
      <text>
        <r>
          <rPr>
            <sz val="9"/>
            <color indexed="81"/>
            <rFont val="Tahoma"/>
            <family val="2"/>
            <charset val="204"/>
          </rPr>
          <t># #1.3.1.3 #</t>
        </r>
      </text>
    </comment>
    <comment ref="B177" authorId="0">
      <text>
        <r>
          <rPr>
            <sz val="9"/>
            <color indexed="81"/>
            <rFont val="Tahoma"/>
            <family val="2"/>
            <charset val="204"/>
          </rPr>
          <t># #1.3.1.3.1 #</t>
        </r>
      </text>
    </comment>
    <comment ref="B178" authorId="0">
      <text>
        <r>
          <rPr>
            <sz val="9"/>
            <color indexed="81"/>
            <rFont val="Tahoma"/>
            <family val="2"/>
            <charset val="204"/>
          </rPr>
          <t># #1.3.1.3.1.1 #</t>
        </r>
      </text>
    </comment>
    <comment ref="B179" authorId="0">
      <text>
        <r>
          <rPr>
            <sz val="9"/>
            <color indexed="81"/>
            <rFont val="Tahoma"/>
            <family val="2"/>
            <charset val="204"/>
          </rPr>
          <t># #1.3.1.3.1.2 #</t>
        </r>
      </text>
    </comment>
    <comment ref="Q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0" authorId="0">
      <text>
        <r>
          <rPr>
            <sz val="9"/>
            <color indexed="81"/>
            <rFont val="Tahoma"/>
            <family val="2"/>
            <charset val="204"/>
          </rPr>
          <t># #1.3.1.3.2 #</t>
        </r>
      </text>
    </comment>
    <comment ref="B181" authorId="0">
      <text>
        <r>
          <rPr>
            <sz val="9"/>
            <color indexed="81"/>
            <rFont val="Tahoma"/>
            <family val="2"/>
            <charset val="204"/>
          </rPr>
          <t># #1.3.1.3.2.1 #</t>
        </r>
      </text>
    </comment>
    <comment ref="B182" authorId="0">
      <text>
        <r>
          <rPr>
            <sz val="9"/>
            <color indexed="81"/>
            <rFont val="Tahoma"/>
            <family val="2"/>
            <charset val="204"/>
          </rPr>
          <t># #1.3.1.3.2.2 #</t>
        </r>
      </text>
    </comment>
    <comment ref="T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3" authorId="0">
      <text>
        <r>
          <rPr>
            <sz val="9"/>
            <color indexed="81"/>
            <rFont val="Tahoma"/>
            <family val="2"/>
            <charset val="204"/>
          </rPr>
          <t># #1.3.1.3.3 #</t>
        </r>
      </text>
    </comment>
    <comment ref="B184" authorId="0">
      <text>
        <r>
          <rPr>
            <sz val="9"/>
            <color indexed="81"/>
            <rFont val="Tahoma"/>
            <family val="2"/>
            <charset val="204"/>
          </rPr>
          <t># #1.3.1.3.3.1 #</t>
        </r>
      </text>
    </comment>
    <comment ref="B185" authorId="0">
      <text>
        <r>
          <rPr>
            <sz val="9"/>
            <color indexed="81"/>
            <rFont val="Tahoma"/>
            <family val="2"/>
            <charset val="204"/>
          </rPr>
          <t># #1.3.1.3.3.2 #</t>
        </r>
      </text>
    </comment>
    <comment ref="B186" authorId="0">
      <text>
        <r>
          <rPr>
            <sz val="9"/>
            <color indexed="81"/>
            <rFont val="Tahoma"/>
            <family val="2"/>
            <charset val="204"/>
          </rPr>
          <t>#1.3.1.3 #1.3.1.3.4 #1.2.4</t>
        </r>
      </text>
    </comment>
    <comment ref="B187" authorId="0">
      <text>
        <r>
          <rPr>
            <sz val="9"/>
            <color indexed="81"/>
            <rFont val="Tahoma"/>
            <family val="2"/>
            <charset val="204"/>
          </rPr>
          <t>#1.3.1.1 #1.3.1.1 #1.2.2</t>
        </r>
      </text>
    </comment>
    <comment ref="B188" authorId="0">
      <text>
        <r>
          <rPr>
            <sz val="9"/>
            <color indexed="81"/>
            <rFont val="Tahoma"/>
            <family val="2"/>
            <charset val="204"/>
          </rPr>
          <t>#44. #30.16 #44.</t>
        </r>
      </text>
    </comment>
    <comment ref="B189" authorId="0">
      <text>
        <r>
          <rPr>
            <sz val="9"/>
            <color indexed="81"/>
            <rFont val="Tahoma"/>
            <family val="2"/>
            <charset val="204"/>
          </rPr>
          <t>#43. #30.17 #43.</t>
        </r>
      </text>
    </comment>
    <comment ref="Q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</t>
        </r>
      </text>
    </comment>
    <comment ref="T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0" authorId="0">
      <text>
        <r>
          <rPr>
            <sz val="9"/>
            <color indexed="81"/>
            <rFont val="Tahoma"/>
            <family val="2"/>
            <charset val="204"/>
          </rPr>
          <t>#1.3.1.2 #1.3.1.2 #1.2.3</t>
        </r>
      </text>
    </comment>
    <comment ref="B191" authorId="0">
      <text>
        <r>
          <rPr>
            <sz val="9"/>
            <color indexed="81"/>
            <rFont val="Tahoma"/>
            <family val="2"/>
            <charset val="204"/>
          </rPr>
          <t>#1.3.1.4 #1.3.1.4 #</t>
        </r>
      </text>
    </comment>
    <comment ref="B192" authorId="0">
      <text>
        <r>
          <rPr>
            <sz val="9"/>
            <color indexed="81"/>
            <rFont val="Tahoma"/>
            <family val="2"/>
            <charset val="204"/>
          </rPr>
          <t>#38. #1.3.1.4.1 #</t>
        </r>
      </text>
    </comment>
    <comment ref="Q192" authorId="1">
      <text>
        <r>
          <rPr>
            <b/>
            <sz val="9"/>
            <color indexed="81"/>
            <rFont val="Tahoma"/>
            <family val="2"/>
            <charset val="204"/>
          </rPr>
          <t>a.knyazkina
объем РЖД ушел с конца 2022г</t>
        </r>
      </text>
    </comment>
    <comment ref="T192" authorId="1">
      <text>
        <r>
          <rPr>
            <b/>
            <sz val="9"/>
            <color indexed="81"/>
            <rFont val="Tahoma"/>
            <family val="2"/>
            <charset val="204"/>
          </rPr>
          <t>a.knyazkina
объем РЖД ушел с конца 2022г</t>
        </r>
      </text>
    </comment>
    <comment ref="B193" authorId="0">
      <text>
        <r>
          <rPr>
            <sz val="9"/>
            <color indexed="81"/>
            <rFont val="Tahoma"/>
            <family val="2"/>
            <charset val="204"/>
          </rPr>
          <t>#37. #1.3.1.4.2 #</t>
        </r>
      </text>
    </comment>
    <comment ref="W19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4" authorId="0">
      <text>
        <r>
          <rPr>
            <sz val="9"/>
            <color indexed="81"/>
            <rFont val="Tahoma"/>
            <family val="2"/>
            <charset val="204"/>
          </rPr>
          <t>#1.3.1.5 #1.3.1.5 #1.2.5</t>
        </r>
      </text>
    </comment>
    <comment ref="B195" authorId="0">
      <text>
        <r>
          <rPr>
            <sz val="9"/>
            <color indexed="81"/>
            <rFont val="Tahoma"/>
            <family val="2"/>
            <charset val="204"/>
          </rPr>
          <t>#46. #1.2.5.2 #46.</t>
        </r>
      </text>
    </comment>
    <comment ref="B196" authorId="0">
      <text>
        <r>
          <rPr>
            <sz val="9"/>
            <color indexed="81"/>
            <rFont val="Tahoma"/>
            <family val="2"/>
            <charset val="204"/>
          </rPr>
          <t>#45. #1.2.5.1 #45.</t>
        </r>
      </text>
    </comment>
    <comment ref="W19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7" authorId="0">
      <text>
        <r>
          <rPr>
            <sz val="9"/>
            <color indexed="81"/>
            <rFont val="Tahoma"/>
            <family val="2"/>
            <charset val="204"/>
          </rPr>
          <t>#1.3.1.8 #1.3.1.7 #</t>
        </r>
      </text>
    </comment>
    <comment ref="B198" authorId="0">
      <text>
        <r>
          <rPr>
            <sz val="9"/>
            <color indexed="81"/>
            <rFont val="Tahoma"/>
            <family val="2"/>
            <charset val="204"/>
          </rPr>
          <t>#1.3.1.9 #1.3.1.8 #</t>
        </r>
      </text>
    </comment>
    <comment ref="B199" authorId="0">
      <text>
        <r>
          <rPr>
            <sz val="9"/>
            <color indexed="81"/>
            <rFont val="Tahoma"/>
            <family val="2"/>
            <charset val="204"/>
          </rPr>
          <t>#1.3.1.10 #1.3.1.9 #</t>
        </r>
      </text>
    </comment>
    <comment ref="B200" authorId="0">
      <text>
        <r>
          <rPr>
            <sz val="9"/>
            <color indexed="81"/>
            <rFont val="Tahoma"/>
            <family val="2"/>
            <charset val="204"/>
          </rPr>
          <t>#1.3.1.11 #1.3.1.11 #</t>
        </r>
      </text>
    </comment>
    <comment ref="B201" authorId="0">
      <text>
        <r>
          <rPr>
            <sz val="9"/>
            <color indexed="81"/>
            <rFont val="Tahoma"/>
            <family val="2"/>
            <charset val="204"/>
          </rPr>
          <t>#42. #1.3.1.11.1 #42.</t>
        </r>
      </text>
    </comment>
    <comment ref="B202" authorId="0">
      <text>
        <r>
          <rPr>
            <sz val="9"/>
            <color indexed="81"/>
            <rFont val="Tahoma"/>
            <family val="2"/>
            <charset val="204"/>
          </rPr>
          <t>#41. #1.3.1.11.2 #41.</t>
        </r>
      </text>
    </comment>
    <comment ref="T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3" authorId="0">
      <text>
        <r>
          <rPr>
            <sz val="9"/>
            <color indexed="81"/>
            <rFont val="Tahoma"/>
            <family val="2"/>
            <charset val="204"/>
          </rPr>
          <t>#1.3.1.12 #1.3.1.12 #</t>
        </r>
      </text>
    </comment>
    <comment ref="B204" authorId="0">
      <text>
        <r>
          <rPr>
            <sz val="9"/>
            <color indexed="81"/>
            <rFont val="Tahoma"/>
            <family val="2"/>
            <charset val="204"/>
          </rPr>
          <t>#40. #1.3.1.12.1 #</t>
        </r>
      </text>
    </comment>
    <comment ref="B205" authorId="0">
      <text>
        <r>
          <rPr>
            <sz val="9"/>
            <color indexed="81"/>
            <rFont val="Tahoma"/>
            <family val="2"/>
            <charset val="204"/>
          </rPr>
          <t>#39. #1.3.1.12.2 #</t>
        </r>
      </text>
    </comment>
    <comment ref="W205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5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7" authorId="0">
      <text>
        <r>
          <rPr>
            <sz val="9"/>
            <color indexed="81"/>
            <rFont val="Tahoma"/>
            <family val="2"/>
            <charset val="204"/>
          </rPr>
          <t>#1.3.2 #1.3.2 #7.</t>
        </r>
      </text>
    </comment>
    <comment ref="B208" authorId="0">
      <text>
        <r>
          <rPr>
            <sz val="9"/>
            <color indexed="81"/>
            <rFont val="Tahoma"/>
            <family val="2"/>
            <charset val="204"/>
          </rPr>
          <t>#1.3.2.1 #1.3.2.1 #7.1</t>
        </r>
      </text>
    </comment>
    <comment ref="B209" authorId="0">
      <text>
        <r>
          <rPr>
            <sz val="9"/>
            <color indexed="81"/>
            <rFont val="Tahoma"/>
            <family val="2"/>
            <charset val="204"/>
          </rPr>
          <t>#1.3.2.2 #1.3.2.2 #7.2</t>
        </r>
      </text>
    </comment>
    <comment ref="B210" authorId="0">
      <text>
        <r>
          <rPr>
            <sz val="9"/>
            <color indexed="81"/>
            <rFont val="Tahoma"/>
            <family val="2"/>
            <charset val="204"/>
          </rPr>
          <t>#1.3.2.3 #1.3.2.3 #7.5</t>
        </r>
      </text>
    </comment>
    <comment ref="B211" authorId="0">
      <text>
        <r>
          <rPr>
            <sz val="9"/>
            <color indexed="81"/>
            <rFont val="Tahoma"/>
            <family val="2"/>
            <charset val="204"/>
          </rPr>
          <t>#1.3.2.4 #1.3.2.4 #7.4</t>
        </r>
      </text>
    </comment>
    <comment ref="B212" authorId="0">
      <text>
        <r>
          <rPr>
            <sz val="9"/>
            <color indexed="81"/>
            <rFont val="Tahoma"/>
            <family val="2"/>
            <charset val="204"/>
          </rPr>
          <t>#1.3.2.4.1 #1.3.2.4.1 #7.4</t>
        </r>
      </text>
    </comment>
    <comment ref="B213" authorId="0">
      <text>
        <r>
          <rPr>
            <sz val="9"/>
            <color indexed="81"/>
            <rFont val="Tahoma"/>
            <family val="2"/>
            <charset val="204"/>
          </rPr>
          <t>#1.3.2.5 #1.3.2.4.2 #</t>
        </r>
      </text>
    </comment>
    <comment ref="B214" authorId="0">
      <text>
        <r>
          <rPr>
            <sz val="9"/>
            <color indexed="81"/>
            <rFont val="Tahoma"/>
            <family val="2"/>
            <charset val="204"/>
          </rPr>
          <t>#1.3.2.6 #1.3.2.6 #7.6</t>
        </r>
      </text>
    </comment>
    <comment ref="B215" authorId="0">
      <text>
        <r>
          <rPr>
            <sz val="9"/>
            <color indexed="81"/>
            <rFont val="Tahoma"/>
            <family val="2"/>
            <charset val="204"/>
          </rPr>
          <t>#1.3.2.7 #1.3.2.7 #7.3</t>
        </r>
      </text>
    </comment>
    <comment ref="B216" authorId="0">
      <text>
        <r>
          <rPr>
            <sz val="9"/>
            <color indexed="81"/>
            <rFont val="Tahoma"/>
            <family val="2"/>
            <charset val="204"/>
          </rPr>
          <t>#1.3.2.8 #1.3.2.8 #7.7</t>
        </r>
      </text>
    </comment>
    <comment ref="B217" authorId="0">
      <text>
        <r>
          <rPr>
            <sz val="9"/>
            <color indexed="81"/>
            <rFont val="Tahoma"/>
            <family val="2"/>
            <charset val="204"/>
          </rPr>
          <t>#1.3.3 #1.3.3 #6.</t>
        </r>
      </text>
    </comment>
    <comment ref="B218" authorId="0">
      <text>
        <r>
          <rPr>
            <sz val="9"/>
            <color indexed="81"/>
            <rFont val="Tahoma"/>
            <family val="2"/>
            <charset val="204"/>
          </rPr>
          <t>#1.3.3 #1.3.3 #6.1</t>
        </r>
      </text>
    </comment>
    <comment ref="B219" authorId="0">
      <text>
        <r>
          <rPr>
            <sz val="9"/>
            <color indexed="81"/>
            <rFont val="Tahoma"/>
            <family val="2"/>
            <charset val="204"/>
          </rPr>
          <t># # #6.2</t>
        </r>
      </text>
    </comment>
    <comment ref="B220" authorId="0">
      <text>
        <r>
          <rPr>
            <sz val="9"/>
            <color indexed="81"/>
            <rFont val="Tahoma"/>
            <family val="2"/>
            <charset val="204"/>
          </rPr>
          <t># # #6.3</t>
        </r>
      </text>
    </comment>
    <comment ref="B221" authorId="0">
      <text>
        <r>
          <rPr>
            <sz val="9"/>
            <color indexed="81"/>
            <rFont val="Tahoma"/>
            <family val="2"/>
            <charset val="204"/>
          </rPr>
          <t># # #6.4</t>
        </r>
      </text>
    </comment>
    <comment ref="B22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3" authorId="0">
      <text>
        <r>
          <rPr>
            <sz val="9"/>
            <color indexed="81"/>
            <rFont val="Tahoma"/>
            <family val="2"/>
            <charset val="204"/>
          </rPr>
          <t>#1.3.6 #1.3.6 #</t>
        </r>
      </text>
    </comment>
    <comment ref="B224" authorId="0">
      <text>
        <r>
          <rPr>
            <sz val="9"/>
            <color indexed="81"/>
            <rFont val="Tahoma"/>
            <family val="2"/>
            <charset val="204"/>
          </rPr>
          <t>#1.3.7 #1.3.7 #</t>
        </r>
      </text>
    </comment>
    <comment ref="B225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226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22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9" authorId="0">
      <text>
        <r>
          <rPr>
            <sz val="9"/>
            <color indexed="81"/>
            <rFont val="Tahoma"/>
            <family val="2"/>
            <charset val="204"/>
          </rPr>
          <t>#1.3.9 #1.3.9 #</t>
        </r>
      </text>
    </comment>
    <comment ref="B230" authorId="0">
      <text>
        <r>
          <rPr>
            <sz val="9"/>
            <color indexed="81"/>
            <rFont val="Tahoma"/>
            <family val="2"/>
            <charset val="204"/>
          </rPr>
          <t>#1.3.9.1 #1.3.9.1 #</t>
        </r>
      </text>
    </comment>
    <comment ref="B231" authorId="0">
      <text>
        <r>
          <rPr>
            <sz val="9"/>
            <color indexed="81"/>
            <rFont val="Tahoma"/>
            <family val="2"/>
            <charset val="204"/>
          </rPr>
          <t>#1.3.9.2 #1.3.9.2 #</t>
        </r>
      </text>
    </comment>
    <comment ref="B235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236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237" authorId="0">
      <text>
        <r>
          <rPr>
            <sz val="9"/>
            <color indexed="81"/>
            <rFont val="Tahoma"/>
            <family val="2"/>
            <charset val="204"/>
          </rPr>
          <t>#25. #25. #25.</t>
        </r>
      </text>
    </comment>
    <comment ref="B238" authorId="0">
      <text>
        <r>
          <rPr>
            <sz val="9"/>
            <color indexed="81"/>
            <rFont val="Tahoma"/>
            <family val="2"/>
            <charset val="204"/>
          </rPr>
          <t>#4. #3. #9.</t>
        </r>
      </text>
    </comment>
    <comment ref="B239" authorId="0">
      <text>
        <r>
          <rPr>
            <sz val="9"/>
            <color indexed="81"/>
            <rFont val="Tahoma"/>
            <family val="2"/>
            <charset val="204"/>
          </rPr>
          <t>#4.2 #3.2 #9.3</t>
        </r>
      </text>
    </comment>
    <comment ref="B240" authorId="0">
      <text>
        <r>
          <rPr>
            <sz val="9"/>
            <color indexed="81"/>
            <rFont val="Tahoma"/>
            <family val="2"/>
            <charset val="204"/>
          </rPr>
          <t># # #9.1</t>
        </r>
      </text>
    </comment>
    <comment ref="B241" authorId="0">
      <text>
        <r>
          <rPr>
            <sz val="9"/>
            <color indexed="81"/>
            <rFont val="Tahoma"/>
            <family val="2"/>
            <charset val="204"/>
          </rPr>
          <t>#4.1 #3.1 #9.2</t>
        </r>
      </text>
    </comment>
    <comment ref="B24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7" authorId="0">
      <text>
        <r>
          <rPr>
            <sz val="9"/>
            <color indexed="81"/>
            <rFont val="Tahoma"/>
            <family val="2"/>
            <charset val="204"/>
          </rPr>
          <t># #40.9 #</t>
        </r>
      </text>
    </comment>
    <comment ref="B248" authorId="0">
      <text>
        <r>
          <rPr>
            <sz val="9"/>
            <color indexed="81"/>
            <rFont val="Tahoma"/>
            <family val="2"/>
            <charset val="204"/>
          </rPr>
          <t># #40.11 #</t>
        </r>
      </text>
    </comment>
    <comment ref="B249" authorId="0">
      <text>
        <r>
          <rPr>
            <sz val="9"/>
            <color indexed="81"/>
            <rFont val="Tahoma"/>
            <family val="2"/>
            <charset val="204"/>
          </rPr>
          <t># #40.12 #</t>
        </r>
      </text>
    </comment>
    <comment ref="B250" authorId="0">
      <text>
        <r>
          <rPr>
            <sz val="9"/>
            <color indexed="81"/>
            <rFont val="Tahoma"/>
            <family val="2"/>
            <charset val="204"/>
          </rPr>
          <t># #40.13 #</t>
        </r>
      </text>
    </comment>
    <comment ref="B25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9" authorId="0">
      <text>
        <r>
          <rPr>
            <sz val="9"/>
            <color indexed="81"/>
            <rFont val="Tahoma"/>
            <family val="2"/>
            <charset val="204"/>
          </rPr>
          <t>#5. #4. #10.</t>
        </r>
      </text>
    </comment>
  </commentList>
</comments>
</file>

<file path=xl/comments10.xml><?xml version="1.0" encoding="utf-8"?>
<comments xmlns="http://schemas.openxmlformats.org/spreadsheetml/2006/main">
  <authors>
    <author>a.knyazkina</author>
    <author>Гришечкина Татьяна Михайловна</author>
  </authors>
  <commentList>
    <comment ref="P5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ул.Старый Торг</t>
        </r>
      </text>
    </comment>
    <comment ref="P7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АИРКО Пучково</t>
        </r>
      </text>
    </comment>
    <comment ref="P8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АИРКО Пучково</t>
        </r>
      </text>
    </comment>
    <comment ref="N13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Д=500</t>
        </r>
      </text>
    </comment>
    <comment ref="P17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СМР Пучково Д=225 мм
</t>
        </r>
      </text>
    </comment>
    <comment ref="P18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ул.Старый Торг</t>
        </r>
      </text>
    </comment>
    <comment ref="P19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ул.Старый Торг</t>
        </r>
      </text>
    </comment>
    <comment ref="P20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АИРКО Пучково</t>
        </r>
      </text>
    </comment>
  </commentList>
</comments>
</file>

<file path=xl/comments11.xml><?xml version="1.0" encoding="utf-8"?>
<comments xmlns="http://schemas.openxmlformats.org/spreadsheetml/2006/main">
  <authors>
    <author>Гришечкина Татьяна Михайловна</author>
    <author>n.smirnova</author>
  </authors>
  <commentList>
    <comment ref="K16" authorId="0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ПЗП Про Школа Байконуровская</t>
        </r>
      </text>
    </comment>
    <comment ref="L21" authorId="1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ПИР+
СМР?</t>
        </r>
      </text>
    </comment>
    <comment ref="K23" authorId="0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ПЗП Ул.Ермоловская</t>
        </r>
      </text>
    </comment>
  </commentList>
</comments>
</file>

<file path=xl/comments12.xml><?xml version="1.0" encoding="utf-8"?>
<comments xmlns="http://schemas.openxmlformats.org/spreadsheetml/2006/main">
  <authors>
    <author>n.smirnova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ДНП не заклювен</t>
        </r>
      </text>
    </comment>
    <comment ref="D2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ДНП не заключен</t>
        </r>
      </text>
    </comment>
  </commentList>
</comments>
</file>

<file path=xl/comments2.xml><?xml version="1.0" encoding="utf-8"?>
<comments xmlns="http://schemas.openxmlformats.org/spreadsheetml/2006/main">
  <authors>
    <author/>
    <author>a.knyazkina</author>
  </authors>
  <commentList>
    <comment ref="B5" authorId="0">
      <text>
        <r>
          <rPr>
            <sz val="9"/>
            <color indexed="81"/>
            <rFont val="Tahoma"/>
            <family val="2"/>
            <charset val="204"/>
          </rPr>
          <t>#6. #5. #13.</t>
        </r>
      </text>
    </comment>
    <comment ref="B6" authorId="0">
      <text>
        <r>
          <rPr>
            <sz val="9"/>
            <color indexed="81"/>
            <rFont val="Tahoma"/>
            <family val="2"/>
            <charset val="204"/>
          </rPr>
          <t>#3. #15. #8.</t>
        </r>
      </text>
    </comment>
    <comment ref="B7" authorId="0">
      <text>
        <r>
          <rPr>
            <sz val="9"/>
            <color indexed="81"/>
            <rFont val="Tahoma"/>
            <family val="2"/>
            <charset val="204"/>
          </rPr>
          <t>#1. #1. #</t>
        </r>
      </text>
    </comment>
    <comment ref="B8" authorId="0">
      <text>
        <r>
          <rPr>
            <sz val="9"/>
            <color indexed="81"/>
            <rFont val="Tahoma"/>
            <family val="2"/>
            <charset val="204"/>
          </rPr>
          <t>#1.1. #1.1. #</t>
        </r>
      </text>
    </comment>
    <comment ref="B9" authorId="0">
      <text>
        <r>
          <rPr>
            <sz val="9"/>
            <color indexed="81"/>
            <rFont val="Tahoma"/>
            <family val="2"/>
            <charset val="204"/>
          </rPr>
          <t>#1.1.1 #1.1.1 #1</t>
        </r>
      </text>
    </comment>
    <comment ref="B10" authorId="0">
      <text>
        <r>
          <rPr>
            <sz val="9"/>
            <color indexed="81"/>
            <rFont val="Tahoma"/>
            <family val="2"/>
            <charset val="204"/>
          </rPr>
          <t>#1.1.1.1 #1.1.1.1 #1.1</t>
        </r>
      </text>
    </comment>
    <comment ref="B11" authorId="0">
      <text>
        <r>
          <rPr>
            <sz val="9"/>
            <color indexed="81"/>
            <rFont val="Tahoma"/>
            <family val="2"/>
            <charset val="204"/>
          </rPr>
          <t># #1.1.1.1.2 #</t>
        </r>
      </text>
    </comment>
    <comment ref="B12" authorId="0">
      <text>
        <r>
          <rPr>
            <sz val="9"/>
            <color indexed="81"/>
            <rFont val="Tahoma"/>
            <family val="2"/>
            <charset val="204"/>
          </rPr>
          <t># #1.1.1.1.2.1 #</t>
        </r>
      </text>
    </comment>
    <comment ref="B13" authorId="0">
      <text>
        <r>
          <rPr>
            <sz val="9"/>
            <color indexed="81"/>
            <rFont val="Tahoma"/>
            <family val="2"/>
            <charset val="204"/>
          </rPr>
          <t># #1.1.1.1.2.1.1 #</t>
        </r>
      </text>
    </comment>
    <comment ref="B14" authorId="0">
      <text>
        <r>
          <rPr>
            <sz val="9"/>
            <color indexed="81"/>
            <rFont val="Tahoma"/>
            <family val="2"/>
            <charset val="204"/>
          </rPr>
          <t># #1.1.1.1.2.1.2 #</t>
        </r>
      </text>
    </comment>
    <comment ref="B15" authorId="0">
      <text>
        <r>
          <rPr>
            <sz val="9"/>
            <color indexed="81"/>
            <rFont val="Tahoma"/>
            <family val="2"/>
            <charset val="204"/>
          </rPr>
          <t># #1.1.1.1.2.2 #</t>
        </r>
      </text>
    </comment>
    <comment ref="B16" authorId="0">
      <text>
        <r>
          <rPr>
            <sz val="9"/>
            <color indexed="81"/>
            <rFont val="Tahoma"/>
            <family val="2"/>
            <charset val="204"/>
          </rPr>
          <t># #1.1.1.1.2.2.1 #</t>
        </r>
      </text>
    </comment>
    <comment ref="B17" authorId="0">
      <text>
        <r>
          <rPr>
            <sz val="9"/>
            <color indexed="81"/>
            <rFont val="Tahoma"/>
            <family val="2"/>
            <charset val="204"/>
          </rPr>
          <t># #1.1.1.1.2.2.2 #</t>
        </r>
      </text>
    </comment>
    <comment ref="B18" authorId="0">
      <text>
        <r>
          <rPr>
            <sz val="9"/>
            <color indexed="81"/>
            <rFont val="Tahoma"/>
            <family val="2"/>
            <charset val="204"/>
          </rPr>
          <t># #1.1.1.1.2.3 #</t>
        </r>
      </text>
    </comment>
    <comment ref="B19" authorId="0">
      <text>
        <r>
          <rPr>
            <sz val="9"/>
            <color indexed="81"/>
            <rFont val="Tahoma"/>
            <family val="2"/>
            <charset val="204"/>
          </rPr>
          <t># #1.1.1.1.2.3.1 #</t>
        </r>
      </text>
    </comment>
    <comment ref="B20" authorId="0">
      <text>
        <r>
          <rPr>
            <sz val="9"/>
            <color indexed="81"/>
            <rFont val="Tahoma"/>
            <family val="2"/>
            <charset val="204"/>
          </rPr>
          <t># #1.1.1.1.2.3.2 #</t>
        </r>
      </text>
    </comment>
    <comment ref="B21" authorId="0">
      <text>
        <r>
          <rPr>
            <sz val="9"/>
            <color indexed="81"/>
            <rFont val="Tahoma"/>
            <family val="2"/>
            <charset val="204"/>
          </rPr>
          <t># #1.1.1.1.2.4 #</t>
        </r>
      </text>
    </comment>
    <comment ref="B22" authorId="0">
      <text>
        <r>
          <rPr>
            <sz val="9"/>
            <color indexed="81"/>
            <rFont val="Tahoma"/>
            <family val="2"/>
            <charset val="204"/>
          </rPr>
          <t># #1.1.1.1.2.4.1 #</t>
        </r>
      </text>
    </comment>
    <comment ref="B23" authorId="0">
      <text>
        <r>
          <rPr>
            <sz val="9"/>
            <color indexed="81"/>
            <rFont val="Tahoma"/>
            <family val="2"/>
            <charset val="204"/>
          </rPr>
          <t># #1.1.1.1.2.4.2 #</t>
        </r>
      </text>
    </comment>
    <comment ref="B24" authorId="0">
      <text>
        <r>
          <rPr>
            <sz val="9"/>
            <color indexed="81"/>
            <rFont val="Tahoma"/>
            <family val="2"/>
            <charset val="204"/>
          </rPr>
          <t># #1.1.1.1.2.5 #</t>
        </r>
      </text>
    </comment>
    <comment ref="B25" authorId="0">
      <text>
        <r>
          <rPr>
            <sz val="9"/>
            <color indexed="81"/>
            <rFont val="Tahoma"/>
            <family val="2"/>
            <charset val="204"/>
          </rPr>
          <t># #1.1.1.1.2.5.1 #</t>
        </r>
      </text>
    </comment>
    <comment ref="B26" authorId="0">
      <text>
        <r>
          <rPr>
            <sz val="9"/>
            <color indexed="81"/>
            <rFont val="Tahoma"/>
            <family val="2"/>
            <charset val="204"/>
          </rPr>
          <t># #1.1.1.1.2.5.2 #</t>
        </r>
      </text>
    </comment>
    <comment ref="B27" authorId="0">
      <text>
        <r>
          <rPr>
            <sz val="9"/>
            <color indexed="81"/>
            <rFont val="Tahoma"/>
            <family val="2"/>
            <charset val="204"/>
          </rPr>
          <t>#1.1.1.1.2 #1.1.1.1.2.6 #1.1.2</t>
        </r>
      </text>
    </comment>
    <comment ref="B28" authorId="0">
      <text>
        <r>
          <rPr>
            <sz val="9"/>
            <color indexed="81"/>
            <rFont val="Tahoma"/>
            <family val="2"/>
            <charset val="204"/>
          </rPr>
          <t>#1.1.1.1.3 #1.1.1.1.3 #1.1.3</t>
        </r>
      </text>
    </comment>
    <comment ref="B29" authorId="0">
      <text>
        <r>
          <rPr>
            <sz val="9"/>
            <color indexed="81"/>
            <rFont val="Tahoma"/>
            <family val="2"/>
            <charset val="204"/>
          </rPr>
          <t>#1.1.1.2 #1.1.1.2 #1.3</t>
        </r>
      </text>
    </comment>
    <comment ref="Q2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ремонт асфальтового покрытия, без 26счета</t>
        </r>
      </text>
    </comment>
    <comment ref="T2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ремонт асфальтового покрытия, без 26счета</t>
        </r>
      </text>
    </comment>
    <comment ref="B30" authorId="0">
      <text>
        <r>
          <rPr>
            <sz val="9"/>
            <color indexed="81"/>
            <rFont val="Tahoma"/>
            <family val="2"/>
            <charset val="204"/>
          </rPr>
          <t>#1.1.1.3 #1.1.1.3 #1.4</t>
        </r>
      </text>
    </comment>
    <comment ref="B31" authorId="0">
      <text>
        <r>
          <rPr>
            <sz val="9"/>
            <color indexed="81"/>
            <rFont val="Tahoma"/>
            <family val="2"/>
            <charset val="204"/>
          </rPr>
          <t>#1.1.1.3.1 #1.1.1.3.1 #1.4.1</t>
        </r>
      </text>
    </comment>
    <comment ref="B32" authorId="0">
      <text>
        <r>
          <rPr>
            <sz val="9"/>
            <color indexed="81"/>
            <rFont val="Tahoma"/>
            <family val="2"/>
            <charset val="204"/>
          </rPr>
          <t># #1.1.1.3.1.2 #</t>
        </r>
      </text>
    </comment>
    <comment ref="B33" authorId="0">
      <text>
        <r>
          <rPr>
            <sz val="9"/>
            <color indexed="81"/>
            <rFont val="Tahoma"/>
            <family val="2"/>
            <charset val="204"/>
          </rPr>
          <t># #1.1.1.3.1.2.5 #</t>
        </r>
      </text>
    </comment>
    <comment ref="B34" authorId="0">
      <text>
        <r>
          <rPr>
            <sz val="9"/>
            <color indexed="81"/>
            <rFont val="Tahoma"/>
            <family val="2"/>
            <charset val="204"/>
          </rPr>
          <t>#1.1.1.3.1.2.1 # #</t>
        </r>
      </text>
    </comment>
    <comment ref="B35" authorId="0">
      <text>
        <r>
          <rPr>
            <sz val="9"/>
            <color indexed="81"/>
            <rFont val="Tahoma"/>
            <family val="2"/>
            <charset val="204"/>
          </rPr>
          <t># #1.1.1.3.1.2.1.1 #</t>
        </r>
      </text>
    </comment>
    <comment ref="B36" authorId="0">
      <text>
        <r>
          <rPr>
            <sz val="9"/>
            <color indexed="81"/>
            <rFont val="Tahoma"/>
            <family val="2"/>
            <charset val="204"/>
          </rPr>
          <t># #1.1.1.3.1.2.2.2 #</t>
        </r>
      </text>
    </comment>
    <comment ref="B37" authorId="0">
      <text>
        <r>
          <rPr>
            <sz val="9"/>
            <color indexed="81"/>
            <rFont val="Tahoma"/>
            <family val="2"/>
            <charset val="204"/>
          </rPr>
          <t># #1.1.1.3.1.2.2 #</t>
        </r>
      </text>
    </comment>
    <comment ref="B38" authorId="0">
      <text>
        <r>
          <rPr>
            <sz val="9"/>
            <color indexed="81"/>
            <rFont val="Tahoma"/>
            <family val="2"/>
            <charset val="204"/>
          </rPr>
          <t># #1.1.1.3.1.2.3 #</t>
        </r>
      </text>
    </comment>
    <comment ref="B39" authorId="0">
      <text>
        <r>
          <rPr>
            <sz val="9"/>
            <color indexed="81"/>
            <rFont val="Tahoma"/>
            <family val="2"/>
            <charset val="204"/>
          </rPr>
          <t># #1.1.1.3.1.2.4 #</t>
        </r>
      </text>
    </comment>
    <comment ref="B40" authorId="0">
      <text>
        <r>
          <rPr>
            <sz val="9"/>
            <color indexed="81"/>
            <rFont val="Tahoma"/>
            <family val="2"/>
            <charset val="204"/>
          </rPr>
          <t>#31. #1.1.1.3.1.1 #31.</t>
        </r>
      </text>
    </comment>
    <comment ref="B41" authorId="0">
      <text>
        <r>
          <rPr>
            <sz val="9"/>
            <color indexed="81"/>
            <rFont val="Tahoma"/>
            <family val="2"/>
            <charset val="204"/>
          </rPr>
          <t>#1.1.1.3.2 #1.1.1.3.2 #1.4.2</t>
        </r>
      </text>
    </comment>
    <comment ref="E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O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42" authorId="0">
      <text>
        <r>
          <rPr>
            <sz val="9"/>
            <color indexed="81"/>
            <rFont val="Tahoma"/>
            <family val="2"/>
            <charset val="204"/>
          </rPr>
          <t>#1.1.1.4 #1.1.1.4 #</t>
        </r>
      </text>
    </comment>
    <comment ref="B43" authorId="0">
      <text>
        <r>
          <rPr>
            <sz val="9"/>
            <color indexed="81"/>
            <rFont val="Tahoma"/>
            <family val="2"/>
            <charset val="204"/>
          </rPr>
          <t>#1.1.1.5 #1.1.1.5 #1.6</t>
        </r>
      </text>
    </comment>
    <comment ref="B44" authorId="0">
      <text>
        <r>
          <rPr>
            <sz val="9"/>
            <color indexed="81"/>
            <rFont val="Tahoma"/>
            <family val="2"/>
            <charset val="204"/>
          </rPr>
          <t># #1.1.1.5.1 #</t>
        </r>
      </text>
    </comment>
    <comment ref="B45" authorId="0">
      <text>
        <r>
          <rPr>
            <sz val="9"/>
            <color indexed="81"/>
            <rFont val="Tahoma"/>
            <family val="2"/>
            <charset val="204"/>
          </rPr>
          <t>#1.1.1.5 #1.1.1.5.2 #1.6</t>
        </r>
      </text>
    </comment>
    <comment ref="B46" authorId="0">
      <text>
        <r>
          <rPr>
            <sz val="9"/>
            <color indexed="81"/>
            <rFont val="Tahoma"/>
            <family val="2"/>
            <charset val="204"/>
          </rPr>
          <t>#1.1.1.6 #1.1.1.6 #1.7</t>
        </r>
      </text>
    </comment>
    <comment ref="B47" authorId="0">
      <text>
        <r>
          <rPr>
            <sz val="9"/>
            <color indexed="81"/>
            <rFont val="Tahoma"/>
            <family val="2"/>
            <charset val="204"/>
          </rPr>
          <t>#1.1.1.6.1 #1.1.1.6.1 #1.7.2</t>
        </r>
      </text>
    </comment>
    <comment ref="B48" authorId="0">
      <text>
        <r>
          <rPr>
            <sz val="9"/>
            <color indexed="81"/>
            <rFont val="Tahoma"/>
            <family val="2"/>
            <charset val="204"/>
          </rPr>
          <t>#1.1.1.6.2 #1.1.1.6.2 #1.7.1</t>
        </r>
      </text>
    </comment>
    <comment ref="B49" authorId="0">
      <text>
        <r>
          <rPr>
            <sz val="9"/>
            <color indexed="81"/>
            <rFont val="Tahoma"/>
            <family val="2"/>
            <charset val="204"/>
          </rPr>
          <t>#1.1.1.6.3 #1.1.1.6.3 #</t>
        </r>
      </text>
    </comment>
    <comment ref="B50" authorId="0">
      <text>
        <r>
          <rPr>
            <sz val="9"/>
            <color indexed="81"/>
            <rFont val="Tahoma"/>
            <family val="2"/>
            <charset val="204"/>
          </rPr>
          <t>#1.1.1.6.4 #1.1.1.6.4 #</t>
        </r>
      </text>
    </comment>
    <comment ref="B51" authorId="0">
      <text>
        <r>
          <rPr>
            <sz val="9"/>
            <color indexed="81"/>
            <rFont val="Tahoma"/>
            <family val="2"/>
            <charset val="204"/>
          </rPr>
          <t>#1.1.1.6.5 #1.1.1.6.5 #1.7.3</t>
        </r>
      </text>
    </comment>
    <comment ref="B52" authorId="0">
      <text>
        <r>
          <rPr>
            <sz val="9"/>
            <color indexed="81"/>
            <rFont val="Tahoma"/>
            <family val="2"/>
            <charset val="204"/>
          </rPr>
          <t>#1.1.1.6.6 #1.1.1.6.6 #1.7.4</t>
        </r>
      </text>
    </comment>
    <comment ref="B53" authorId="0">
      <text>
        <r>
          <rPr>
            <sz val="9"/>
            <color indexed="81"/>
            <rFont val="Tahoma"/>
            <family val="2"/>
            <charset val="204"/>
          </rPr>
          <t>#1.1.2 #1.1.2 #2</t>
        </r>
      </text>
    </comment>
    <comment ref="B54" authorId="0">
      <text>
        <r>
          <rPr>
            <sz val="9"/>
            <color indexed="81"/>
            <rFont val="Tahoma"/>
            <family val="2"/>
            <charset val="204"/>
          </rPr>
          <t>#1.1.2.1 #1.1.2.1 #2.1</t>
        </r>
      </text>
    </comment>
    <comment ref="B55" authorId="0">
      <text>
        <r>
          <rPr>
            <sz val="9"/>
            <color indexed="81"/>
            <rFont val="Tahoma"/>
            <family val="2"/>
            <charset val="204"/>
          </rPr>
          <t>#1.1.2.2 #1.1.2.2 #2.2</t>
        </r>
      </text>
    </comment>
    <comment ref="B56" authorId="0">
      <text>
        <r>
          <rPr>
            <sz val="9"/>
            <color indexed="81"/>
            <rFont val="Tahoma"/>
            <family val="2"/>
            <charset val="204"/>
          </rPr>
          <t>#1.1.2.3 #1.1.2.3 #2.3</t>
        </r>
      </text>
    </comment>
    <comment ref="B57" authorId="0">
      <text>
        <r>
          <rPr>
            <sz val="9"/>
            <color indexed="81"/>
            <rFont val="Tahoma"/>
            <family val="2"/>
            <charset val="204"/>
          </rPr>
          <t>#1.1.2.3.1 #1.1.2.3.1 #2.3.1</t>
        </r>
      </text>
    </comment>
    <comment ref="B58" authorId="0">
      <text>
        <r>
          <rPr>
            <sz val="9"/>
            <color indexed="81"/>
            <rFont val="Tahoma"/>
            <family val="2"/>
            <charset val="204"/>
          </rPr>
          <t># #1.1.2.3.1.1 #</t>
        </r>
      </text>
    </comment>
    <comment ref="B59" authorId="0">
      <text>
        <r>
          <rPr>
            <sz val="9"/>
            <color indexed="81"/>
            <rFont val="Tahoma"/>
            <family val="2"/>
            <charset val="204"/>
          </rPr>
          <t># #1.1.2.3.1.1.5 #</t>
        </r>
      </text>
    </comment>
    <comment ref="B60" authorId="0">
      <text>
        <r>
          <rPr>
            <sz val="9"/>
            <color indexed="81"/>
            <rFont val="Tahoma"/>
            <family val="2"/>
            <charset val="204"/>
          </rPr>
          <t># #1.1.2.3.1.1.1 #</t>
        </r>
      </text>
    </comment>
    <comment ref="B61" authorId="0">
      <text>
        <r>
          <rPr>
            <sz val="9"/>
            <color indexed="81"/>
            <rFont val="Tahoma"/>
            <family val="2"/>
            <charset val="204"/>
          </rPr>
          <t># #1.1.2.3.1.1.1.1 #</t>
        </r>
      </text>
    </comment>
    <comment ref="B62" authorId="0">
      <text>
        <r>
          <rPr>
            <sz val="9"/>
            <color indexed="81"/>
            <rFont val="Tahoma"/>
            <family val="2"/>
            <charset val="204"/>
          </rPr>
          <t># #1.1.2.3.1.1.1.2 #</t>
        </r>
      </text>
    </comment>
    <comment ref="B63" authorId="0">
      <text>
        <r>
          <rPr>
            <sz val="9"/>
            <color indexed="81"/>
            <rFont val="Tahoma"/>
            <family val="2"/>
            <charset val="204"/>
          </rPr>
          <t># #1.1.2.3.1.1.2 #</t>
        </r>
      </text>
    </comment>
    <comment ref="B64" authorId="0">
      <text>
        <r>
          <rPr>
            <sz val="9"/>
            <color indexed="81"/>
            <rFont val="Tahoma"/>
            <family val="2"/>
            <charset val="204"/>
          </rPr>
          <t># #1.1.2.3.1.1.3 #</t>
        </r>
      </text>
    </comment>
    <comment ref="B65" authorId="0">
      <text>
        <r>
          <rPr>
            <sz val="9"/>
            <color indexed="81"/>
            <rFont val="Tahoma"/>
            <family val="2"/>
            <charset val="204"/>
          </rPr>
          <t># #1.1.2.3.1.1.4 #</t>
        </r>
      </text>
    </comment>
    <comment ref="B66" authorId="0">
      <text>
        <r>
          <rPr>
            <sz val="9"/>
            <color indexed="81"/>
            <rFont val="Tahoma"/>
            <family val="2"/>
            <charset val="204"/>
          </rPr>
          <t>#32. #1.1.2.3.1.2 #32.</t>
        </r>
      </text>
    </comment>
    <comment ref="B67" authorId="0">
      <text>
        <r>
          <rPr>
            <sz val="9"/>
            <color indexed="81"/>
            <rFont val="Tahoma"/>
            <family val="2"/>
            <charset val="204"/>
          </rPr>
          <t>#1.1.2.3.2 #1.1.2.3.2 #2.3.2</t>
        </r>
      </text>
    </comment>
    <comment ref="E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O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AB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68" authorId="0">
      <text>
        <r>
          <rPr>
            <sz val="9"/>
            <color indexed="81"/>
            <rFont val="Tahoma"/>
            <family val="2"/>
            <charset val="204"/>
          </rPr>
          <t>#1.1.3 #1.1.3 #3</t>
        </r>
      </text>
    </comment>
    <comment ref="B69" authorId="0">
      <text>
        <r>
          <rPr>
            <sz val="9"/>
            <color indexed="81"/>
            <rFont val="Tahoma"/>
            <family val="2"/>
            <charset val="204"/>
          </rPr>
          <t>#1.1.3.1 #1.1.3.1 #3.1</t>
        </r>
      </text>
    </comment>
    <comment ref="T69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69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70" authorId="0">
      <text>
        <r>
          <rPr>
            <sz val="9"/>
            <color indexed="81"/>
            <rFont val="Tahoma"/>
            <family val="2"/>
            <charset val="204"/>
          </rPr>
          <t>#1.1.3.1.1 #1.1.3.1.1 #3.1.1</t>
        </r>
      </text>
    </comment>
    <comment ref="B71" authorId="0">
      <text>
        <r>
          <rPr>
            <sz val="9"/>
            <color indexed="81"/>
            <rFont val="Tahoma"/>
            <family val="2"/>
            <charset val="204"/>
          </rPr>
          <t>#1.1.3.1.2 #1.1.3.1.2 #3.1.2</t>
        </r>
      </text>
    </comment>
    <comment ref="B72" authorId="0">
      <text>
        <r>
          <rPr>
            <sz val="9"/>
            <color indexed="81"/>
            <rFont val="Tahoma"/>
            <family val="2"/>
            <charset val="204"/>
          </rPr>
          <t>#1.1.3.1.3 #1.1.3.1.3 #3.1.3</t>
        </r>
      </text>
    </comment>
    <comment ref="B73" authorId="0">
      <text>
        <r>
          <rPr>
            <sz val="9"/>
            <color indexed="81"/>
            <rFont val="Tahoma"/>
            <family val="2"/>
            <charset val="204"/>
          </rPr>
          <t>#1.1.3.1.4 #1.1.3.1.4 #3.1.4</t>
        </r>
      </text>
    </comment>
    <comment ref="B74" authorId="0">
      <text>
        <r>
          <rPr>
            <sz val="9"/>
            <color indexed="81"/>
            <rFont val="Tahoma"/>
            <family val="2"/>
            <charset val="204"/>
          </rPr>
          <t>#1.1.3.1.5 #1.1.3.1.5 #3.1.5</t>
        </r>
      </text>
    </comment>
    <comment ref="Q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T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W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Z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B75" authorId="0">
      <text>
        <r>
          <rPr>
            <sz val="9"/>
            <color indexed="81"/>
            <rFont val="Tahoma"/>
            <family val="2"/>
            <charset val="204"/>
          </rPr>
          <t>#1.1.3.1.6 #1.1.3.1.6 #3.1.6</t>
        </r>
      </text>
    </comment>
    <comment ref="B76" authorId="0">
      <text>
        <r>
          <rPr>
            <sz val="9"/>
            <color indexed="81"/>
            <rFont val="Tahoma"/>
            <family val="2"/>
            <charset val="204"/>
          </rPr>
          <t>#1.1.3.2 #1.1.3.2 #3.2</t>
        </r>
      </text>
    </comment>
    <comment ref="T76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76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77" authorId="0">
      <text>
        <r>
          <rPr>
            <sz val="9"/>
            <color indexed="81"/>
            <rFont val="Tahoma"/>
            <family val="2"/>
            <charset val="204"/>
          </rPr>
          <t>#1.1.3.2.1 #1.1.3.2.1 #3.2.1</t>
        </r>
      </text>
    </comment>
    <comment ref="B78" authorId="0">
      <text>
        <r>
          <rPr>
            <sz val="9"/>
            <color indexed="81"/>
            <rFont val="Tahoma"/>
            <family val="2"/>
            <charset val="204"/>
          </rPr>
          <t># #1.1.3.2.1.1 #</t>
        </r>
      </text>
    </comment>
    <comment ref="B79" authorId="0">
      <text>
        <r>
          <rPr>
            <sz val="9"/>
            <color indexed="81"/>
            <rFont val="Tahoma"/>
            <family val="2"/>
            <charset val="204"/>
          </rPr>
          <t># #1.1.3.2.1.1.2 #</t>
        </r>
      </text>
    </comment>
    <comment ref="B80" authorId="0">
      <text>
        <r>
          <rPr>
            <sz val="9"/>
            <color indexed="81"/>
            <rFont val="Tahoma"/>
            <family val="2"/>
            <charset val="204"/>
          </rPr>
          <t># #1.1.3.2.1.1.5 #</t>
        </r>
      </text>
    </comment>
    <comment ref="B81" authorId="0">
      <text>
        <r>
          <rPr>
            <sz val="9"/>
            <color indexed="81"/>
            <rFont val="Tahoma"/>
            <family val="2"/>
            <charset val="204"/>
          </rPr>
          <t># #1.1.3.2.1.1.1 #</t>
        </r>
      </text>
    </comment>
    <comment ref="B82" authorId="0">
      <text>
        <r>
          <rPr>
            <sz val="9"/>
            <color indexed="81"/>
            <rFont val="Tahoma"/>
            <family val="2"/>
            <charset val="204"/>
          </rPr>
          <t># #1.1.3.2.1.1.1.1 #</t>
        </r>
      </text>
    </comment>
    <comment ref="B83" authorId="0">
      <text>
        <r>
          <rPr>
            <sz val="9"/>
            <color indexed="81"/>
            <rFont val="Tahoma"/>
            <family val="2"/>
            <charset val="204"/>
          </rPr>
          <t># #1.1.3.2.1.1.1.2 #</t>
        </r>
      </text>
    </comment>
    <comment ref="B84" authorId="0">
      <text>
        <r>
          <rPr>
            <sz val="9"/>
            <color indexed="81"/>
            <rFont val="Tahoma"/>
            <family val="2"/>
            <charset val="204"/>
          </rPr>
          <t># #1.1.3.2.1.1.3 #</t>
        </r>
      </text>
    </comment>
    <comment ref="B85" authorId="0">
      <text>
        <r>
          <rPr>
            <sz val="9"/>
            <color indexed="81"/>
            <rFont val="Tahoma"/>
            <family val="2"/>
            <charset val="204"/>
          </rPr>
          <t># #1.1.3.2.1.1.4 #</t>
        </r>
      </text>
    </comment>
    <comment ref="B86" authorId="0">
      <text>
        <r>
          <rPr>
            <sz val="9"/>
            <color indexed="81"/>
            <rFont val="Tahoma"/>
            <family val="2"/>
            <charset val="204"/>
          </rPr>
          <t>#33. #1.1.3.2.1.2 #33.</t>
        </r>
      </text>
    </comment>
    <comment ref="B87" authorId="0">
      <text>
        <r>
          <rPr>
            <sz val="9"/>
            <color indexed="81"/>
            <rFont val="Tahoma"/>
            <family val="2"/>
            <charset val="204"/>
          </rPr>
          <t>#1.1.3.2.2 #1.1.3.2.2 #3.2.2</t>
        </r>
      </text>
    </comment>
    <comment ref="E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O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P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AB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88" authorId="0">
      <text>
        <r>
          <rPr>
            <sz val="9"/>
            <color indexed="81"/>
            <rFont val="Tahoma"/>
            <family val="2"/>
            <charset val="204"/>
          </rPr>
          <t>#1.1.3.3 #1.1.3.3 #3.3</t>
        </r>
      </text>
    </comment>
    <comment ref="B89" authorId="0">
      <text>
        <r>
          <rPr>
            <sz val="9"/>
            <color indexed="81"/>
            <rFont val="Tahoma"/>
            <family val="2"/>
            <charset val="204"/>
          </rPr>
          <t>#1.1.3.4 #1.1.3.4 #3.4</t>
        </r>
      </text>
    </comment>
    <comment ref="B90" authorId="0">
      <text>
        <r>
          <rPr>
            <sz val="9"/>
            <color indexed="81"/>
            <rFont val="Tahoma"/>
            <family val="2"/>
            <charset val="204"/>
          </rPr>
          <t>#1.1.3.5 #1.1.3.5 #3.5</t>
        </r>
      </text>
    </comment>
    <comment ref="B91" authorId="0">
      <text>
        <r>
          <rPr>
            <sz val="9"/>
            <color indexed="81"/>
            <rFont val="Tahoma"/>
            <family val="2"/>
            <charset val="204"/>
          </rPr>
          <t>#1.1.3.6 #1.1.3.6 #3.6</t>
        </r>
      </text>
    </comment>
    <comment ref="B92" authorId="0">
      <text>
        <r>
          <rPr>
            <sz val="9"/>
            <color indexed="81"/>
            <rFont val="Tahoma"/>
            <family val="2"/>
            <charset val="204"/>
          </rPr>
          <t>#1.1.3.7 #1.1.3.7 #3.7</t>
        </r>
      </text>
    </comment>
    <comment ref="B93" authorId="0">
      <text>
        <r>
          <rPr>
            <sz val="9"/>
            <color indexed="81"/>
            <rFont val="Tahoma"/>
            <family val="2"/>
            <charset val="204"/>
          </rPr>
          <t>#1.1.3.7.1 #1.1.3.7.1 #3.7.1</t>
        </r>
      </text>
    </comment>
    <comment ref="B94" authorId="0">
      <text>
        <r>
          <rPr>
            <sz val="9"/>
            <color indexed="81"/>
            <rFont val="Tahoma"/>
            <family val="2"/>
            <charset val="204"/>
          </rPr>
          <t>#1.1.3.7.2 #1.1.3.7.2 #3.7.2</t>
        </r>
      </text>
    </comment>
    <comment ref="B95" authorId="0">
      <text>
        <r>
          <rPr>
            <sz val="9"/>
            <color indexed="81"/>
            <rFont val="Tahoma"/>
            <family val="2"/>
            <charset val="204"/>
          </rPr>
          <t>#1.1.4 #1.1.4 #4.</t>
        </r>
      </text>
    </comment>
    <comment ref="B96" authorId="0">
      <text>
        <r>
          <rPr>
            <sz val="9"/>
            <color indexed="81"/>
            <rFont val="Tahoma"/>
            <family val="2"/>
            <charset val="204"/>
          </rPr>
          <t>#1.1.4.2 #1.1.4.2 #1.1.4.2</t>
        </r>
      </text>
    </comment>
    <comment ref="B97" authorId="0">
      <text>
        <r>
          <rPr>
            <sz val="9"/>
            <color indexed="81"/>
            <rFont val="Tahoma"/>
            <family val="2"/>
            <charset val="204"/>
          </rPr>
          <t>#1.1.4.3 #1.1.4.3 #1.1.4.3</t>
        </r>
      </text>
    </comment>
    <comment ref="B98" authorId="0">
      <text>
        <r>
          <rPr>
            <sz val="9"/>
            <color indexed="81"/>
            <rFont val="Tahoma"/>
            <family val="2"/>
            <charset val="204"/>
          </rPr>
          <t>#1.1.4.3.1 #1.1.4.3.1 #1.1.4.3.1</t>
        </r>
      </text>
    </comment>
    <comment ref="B99" authorId="0">
      <text>
        <r>
          <rPr>
            <sz val="9"/>
            <color indexed="81"/>
            <rFont val="Tahoma"/>
            <family val="2"/>
            <charset val="204"/>
          </rPr>
          <t>#1.1.4.3.2 #1.1.4.3.2 #1.1.4.3.2</t>
        </r>
      </text>
    </comment>
    <comment ref="B100" authorId="0">
      <text>
        <r>
          <rPr>
            <sz val="9"/>
            <color indexed="81"/>
            <rFont val="Tahoma"/>
            <family val="2"/>
            <charset val="204"/>
          </rPr>
          <t>#1.1.4.3.3 #1.1.4.3.3 #1.1.4.3.3</t>
        </r>
      </text>
    </comment>
    <comment ref="B101" authorId="0">
      <text>
        <r>
          <rPr>
            <sz val="9"/>
            <color indexed="81"/>
            <rFont val="Tahoma"/>
            <family val="2"/>
            <charset val="204"/>
          </rPr>
          <t>#1.1.4.4 #1.1.4.4 #1.1.4.4</t>
        </r>
      </text>
    </comment>
    <comment ref="B102" authorId="0">
      <text>
        <r>
          <rPr>
            <sz val="9"/>
            <color indexed="81"/>
            <rFont val="Tahoma"/>
            <family val="2"/>
            <charset val="204"/>
          </rPr>
          <t>#1.1.4.5 #1.1.4.5 #1.1.4.5</t>
        </r>
      </text>
    </comment>
    <comment ref="B103" authorId="0">
      <text>
        <r>
          <rPr>
            <sz val="9"/>
            <color indexed="81"/>
            <rFont val="Tahoma"/>
            <family val="2"/>
            <charset val="204"/>
          </rPr>
          <t>#1.1.4.6 #1.1.4.6 #1.1.4.6</t>
        </r>
      </text>
    </comment>
    <comment ref="B104" authorId="0">
      <text>
        <r>
          <rPr>
            <sz val="9"/>
            <color indexed="81"/>
            <rFont val="Tahoma"/>
            <family val="2"/>
            <charset val="204"/>
          </rPr>
          <t>#1.1.4.7 #1.1.4.7 #1.1.4.7</t>
        </r>
      </text>
    </comment>
    <comment ref="B105" authorId="0">
      <text>
        <r>
          <rPr>
            <sz val="9"/>
            <color indexed="81"/>
            <rFont val="Tahoma"/>
            <family val="2"/>
            <charset val="204"/>
          </rPr>
          <t>#1.1.4.7.1 #1.1.4.7.1 #1.1.4.7.1</t>
        </r>
      </text>
    </comment>
    <comment ref="B106" authorId="0">
      <text>
        <r>
          <rPr>
            <sz val="9"/>
            <color indexed="81"/>
            <rFont val="Tahoma"/>
            <family val="2"/>
            <charset val="204"/>
          </rPr>
          <t>#1.1.4.7.2 #1.1.4.7.2 #1.1.4.7.2</t>
        </r>
      </text>
    </comment>
    <comment ref="B107" authorId="0">
      <text>
        <r>
          <rPr>
            <sz val="9"/>
            <color indexed="81"/>
            <rFont val="Tahoma"/>
            <family val="2"/>
            <charset val="204"/>
          </rPr>
          <t>#1.1.4.7.3 #1.1.4.7.3 #1.1.4.7.3</t>
        </r>
      </text>
    </comment>
    <comment ref="B108" authorId="0">
      <text>
        <r>
          <rPr>
            <sz val="9"/>
            <color indexed="81"/>
            <rFont val="Tahoma"/>
            <family val="2"/>
            <charset val="204"/>
          </rPr>
          <t>#1.1.4.7.4 #1.1.4.7.4 #1.1.4.7.4</t>
        </r>
      </text>
    </comment>
    <comment ref="B109" authorId="0">
      <text>
        <r>
          <rPr>
            <sz val="9"/>
            <color indexed="81"/>
            <rFont val="Tahoma"/>
            <family val="2"/>
            <charset val="204"/>
          </rPr>
          <t>#1.1.4.7.6 #1.1.4.7.6 #1.1.4.7.6</t>
        </r>
      </text>
    </comment>
    <comment ref="B110" authorId="0">
      <text>
        <r>
          <rPr>
            <sz val="9"/>
            <color indexed="81"/>
            <rFont val="Tahoma"/>
            <family val="2"/>
            <charset val="204"/>
          </rPr>
          <t>#1.1.4.7.7 #1.1.4.7.7 #1.1.4.7.7</t>
        </r>
      </text>
    </comment>
    <comment ref="B111" authorId="0">
      <text>
        <r>
          <rPr>
            <sz val="9"/>
            <color indexed="81"/>
            <rFont val="Tahoma"/>
            <family val="2"/>
            <charset val="204"/>
          </rPr>
          <t>#1.1.4.7.5 #1.1.4.7.5 #1.1.4.7.5</t>
        </r>
      </text>
    </comment>
    <comment ref="B112" authorId="0">
      <text>
        <r>
          <rPr>
            <sz val="9"/>
            <color indexed="81"/>
            <rFont val="Tahoma"/>
            <family val="2"/>
            <charset val="204"/>
          </rPr>
          <t>#1.1.4.8 #1.1.4.8 #1.1.4.8</t>
        </r>
      </text>
    </comment>
    <comment ref="B113" authorId="0">
      <text>
        <r>
          <rPr>
            <sz val="9"/>
            <color indexed="81"/>
            <rFont val="Tahoma"/>
            <family val="2"/>
            <charset val="204"/>
          </rPr>
          <t>#1.1.4.8.1 #1.1.4.8.1 #1.1.4.8.1</t>
        </r>
      </text>
    </comment>
    <comment ref="B114" authorId="0">
      <text>
        <r>
          <rPr>
            <sz val="9"/>
            <color indexed="81"/>
            <rFont val="Tahoma"/>
            <family val="2"/>
            <charset val="204"/>
          </rPr>
          <t>#1.1.4.8.1.1 #1.1.4.8.1.1 #1.1.4.8.1.1</t>
        </r>
      </text>
    </comment>
    <comment ref="B115" authorId="0">
      <text>
        <r>
          <rPr>
            <sz val="9"/>
            <color indexed="81"/>
            <rFont val="Tahoma"/>
            <family val="2"/>
            <charset val="204"/>
          </rPr>
          <t># #1.1.4.8.1.1.2 #</t>
        </r>
      </text>
    </comment>
    <comment ref="B116" authorId="0">
      <text>
        <r>
          <rPr>
            <sz val="9"/>
            <color indexed="81"/>
            <rFont val="Tahoma"/>
            <family val="2"/>
            <charset val="204"/>
          </rPr>
          <t>#1.1.4.8.1.1.5 #1.1.4.8.1.1.5 #1.1.4.8.1.1.5</t>
        </r>
      </text>
    </comment>
    <comment ref="B117" authorId="0">
      <text>
        <r>
          <rPr>
            <sz val="9"/>
            <color indexed="81"/>
            <rFont val="Tahoma"/>
            <family val="2"/>
            <charset val="204"/>
          </rPr>
          <t>#1.1.4.8.1.1.1 #1.1.4.8.1.1.1 #1.1.4.8.1.1.1</t>
        </r>
      </text>
    </comment>
    <comment ref="B118" authorId="0">
      <text>
        <r>
          <rPr>
            <sz val="9"/>
            <color indexed="81"/>
            <rFont val="Tahoma"/>
            <family val="2"/>
            <charset val="204"/>
          </rPr>
          <t>#1.1.4.8.1.1.1.1 #1.1.4.8.1.1.1.1 #1.1.4.8.1.1.1.1</t>
        </r>
      </text>
    </comment>
    <comment ref="B119" authorId="0">
      <text>
        <r>
          <rPr>
            <sz val="9"/>
            <color indexed="81"/>
            <rFont val="Tahoma"/>
            <family val="2"/>
            <charset val="204"/>
          </rPr>
          <t>#1.1.4.8.1.1.1.2 #1.1.4.8.1.1.1.2 #1.1.4.8.1.1.1.2</t>
        </r>
      </text>
    </comment>
    <comment ref="B120" authorId="0">
      <text>
        <r>
          <rPr>
            <sz val="9"/>
            <color indexed="81"/>
            <rFont val="Tahoma"/>
            <family val="2"/>
            <charset val="204"/>
          </rPr>
          <t>#1.1.4.8.1.9 #1.1.4.8.1.9 #1.1.4.8.1.9</t>
        </r>
      </text>
    </comment>
    <comment ref="B121" authorId="0">
      <text>
        <r>
          <rPr>
            <sz val="9"/>
            <color indexed="81"/>
            <rFont val="Tahoma"/>
            <family val="2"/>
            <charset val="204"/>
          </rPr>
          <t>#1.1.4.8.1.10 #1.1.4.8.1.10 #1.1.4.8.1.10</t>
        </r>
      </text>
    </comment>
    <comment ref="B122" authorId="0">
      <text>
        <r>
          <rPr>
            <sz val="9"/>
            <color indexed="81"/>
            <rFont val="Tahoma"/>
            <family val="2"/>
            <charset val="204"/>
          </rPr>
          <t>#1.1.4.8.1.2 #1.1.4.8.1.2 #1.1.4.8.1.2</t>
        </r>
      </text>
    </comment>
    <comment ref="B123" authorId="0">
      <text>
        <r>
          <rPr>
            <sz val="9"/>
            <color indexed="81"/>
            <rFont val="Tahoma"/>
            <family val="2"/>
            <charset val="204"/>
          </rPr>
          <t>#1.1.4.8.2 #1.1.4.8.2 #1.1.4.8.2</t>
        </r>
      </text>
    </comment>
    <comment ref="E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F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H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I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K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L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N123" authorId="0">
      <text>
        <r>
          <rPr>
            <sz val="9"/>
            <color indexed="81"/>
            <rFont val="Tahoma"/>
            <family val="2"/>
            <charset val="204"/>
          </rPr>
          <t>Расчет по формуле: Поле0*Поле1/100</t>
        </r>
      </text>
    </comment>
    <comment ref="O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Q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R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T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U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24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5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6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7" authorId="0">
      <text>
        <r>
          <rPr>
            <sz val="9"/>
            <color indexed="81"/>
            <rFont val="Tahoma"/>
            <family val="2"/>
            <charset val="204"/>
          </rPr>
          <t>#30. #20.3 #30.</t>
        </r>
      </text>
    </comment>
    <comment ref="B128" authorId="0">
      <text>
        <r>
          <rPr>
            <sz val="9"/>
            <color indexed="81"/>
            <rFont val="Tahoma"/>
            <family val="2"/>
            <charset val="204"/>
          </rPr>
          <t>#26. #20.4 #26.</t>
        </r>
      </text>
    </comment>
    <comment ref="B12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0" authorId="0">
      <text>
        <r>
          <rPr>
            <sz val="9"/>
            <color indexed="81"/>
            <rFont val="Tahoma"/>
            <family val="2"/>
            <charset val="204"/>
          </rPr>
          <t>#3.1.2 #20.5 #</t>
        </r>
      </text>
    </comment>
    <comment ref="B131" authorId="0">
      <text>
        <r>
          <rPr>
            <sz val="9"/>
            <color indexed="81"/>
            <rFont val="Tahoma"/>
            <family val="2"/>
            <charset val="204"/>
          </rPr>
          <t>#5.3 #20.6 #</t>
        </r>
      </text>
    </comment>
    <comment ref="B13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3" authorId="0">
      <text>
        <r>
          <rPr>
            <sz val="9"/>
            <color indexed="81"/>
            <rFont val="Tahoma"/>
            <family val="2"/>
            <charset val="204"/>
          </rPr>
          <t>#3.1.3 #20.7 #</t>
        </r>
      </text>
    </comment>
    <comment ref="B134" authorId="0">
      <text>
        <r>
          <rPr>
            <sz val="9"/>
            <color indexed="81"/>
            <rFont val="Tahoma"/>
            <family val="2"/>
            <charset val="204"/>
          </rPr>
          <t>#5.4 #20.8 #</t>
        </r>
      </text>
    </comment>
    <comment ref="B13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6" authorId="0">
      <text>
        <r>
          <rPr>
            <sz val="9"/>
            <color indexed="81"/>
            <rFont val="Tahoma"/>
            <family val="2"/>
            <charset val="204"/>
          </rPr>
          <t>#3.1.4 #20.9 #</t>
        </r>
      </text>
    </comment>
    <comment ref="B137" authorId="0">
      <text>
        <r>
          <rPr>
            <sz val="9"/>
            <color indexed="81"/>
            <rFont val="Tahoma"/>
            <family val="2"/>
            <charset val="204"/>
          </rPr>
          <t>#5.5 #20.11 #</t>
        </r>
      </text>
    </comment>
    <comment ref="B13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9" authorId="0">
      <text>
        <r>
          <rPr>
            <sz val="9"/>
            <color indexed="81"/>
            <rFont val="Tahoma"/>
            <family val="2"/>
            <charset val="204"/>
          </rPr>
          <t>#3.1.5 #20.12 #</t>
        </r>
      </text>
    </comment>
    <comment ref="B140" authorId="0">
      <text>
        <r>
          <rPr>
            <sz val="9"/>
            <color indexed="81"/>
            <rFont val="Tahoma"/>
            <family val="2"/>
            <charset val="204"/>
          </rPr>
          <t>#6 #20.13 #</t>
        </r>
      </text>
    </comment>
    <comment ref="B14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4" authorId="0">
      <text>
        <r>
          <rPr>
            <sz val="9"/>
            <color indexed="81"/>
            <rFont val="Tahoma"/>
            <family val="2"/>
            <charset val="204"/>
          </rPr>
          <t># #20.14 #</t>
        </r>
      </text>
    </comment>
    <comment ref="B145" authorId="0">
      <text>
        <r>
          <rPr>
            <sz val="9"/>
            <color indexed="81"/>
            <rFont val="Tahoma"/>
            <family val="2"/>
            <charset val="204"/>
          </rPr>
          <t># #20.15 #</t>
        </r>
      </text>
    </comment>
    <comment ref="B14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7" authorId="0">
      <text>
        <r>
          <rPr>
            <sz val="9"/>
            <color indexed="81"/>
            <rFont val="Tahoma"/>
            <family val="2"/>
            <charset val="204"/>
          </rPr>
          <t># #20.16 #</t>
        </r>
      </text>
    </comment>
    <comment ref="B148" authorId="0">
      <text>
        <r>
          <rPr>
            <sz val="9"/>
            <color indexed="81"/>
            <rFont val="Tahoma"/>
            <family val="2"/>
            <charset val="204"/>
          </rPr>
          <t># #20.17 #</t>
        </r>
      </text>
    </comment>
    <comment ref="B14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0" authorId="0">
      <text>
        <r>
          <rPr>
            <sz val="9"/>
            <color indexed="81"/>
            <rFont val="Tahoma"/>
            <family val="2"/>
            <charset val="204"/>
          </rPr>
          <t># #20.18 #</t>
        </r>
      </text>
    </comment>
    <comment ref="B151" authorId="0">
      <text>
        <r>
          <rPr>
            <sz val="9"/>
            <color indexed="81"/>
            <rFont val="Tahoma"/>
            <family val="2"/>
            <charset val="204"/>
          </rPr>
          <t># #20.19 #</t>
        </r>
      </text>
    </comment>
    <comment ref="B15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3" authorId="0">
      <text>
        <r>
          <rPr>
            <sz val="9"/>
            <color indexed="81"/>
            <rFont val="Tahoma"/>
            <family val="2"/>
            <charset val="204"/>
          </rPr>
          <t># #30.1 #</t>
        </r>
      </text>
    </comment>
    <comment ref="B154" authorId="0">
      <text>
        <r>
          <rPr>
            <sz val="9"/>
            <color indexed="81"/>
            <rFont val="Tahoma"/>
            <family val="2"/>
            <charset val="204"/>
          </rPr>
          <t># #30.2 #</t>
        </r>
      </text>
    </comment>
    <comment ref="B15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6" authorId="0">
      <text>
        <r>
          <rPr>
            <sz val="9"/>
            <color indexed="81"/>
            <rFont val="Tahoma"/>
            <family val="2"/>
            <charset val="204"/>
          </rPr>
          <t># #30.3 #</t>
        </r>
      </text>
    </comment>
    <comment ref="B157" authorId="0">
      <text>
        <r>
          <rPr>
            <sz val="9"/>
            <color indexed="81"/>
            <rFont val="Tahoma"/>
            <family val="2"/>
            <charset val="204"/>
          </rPr>
          <t># #30.4 #</t>
        </r>
      </text>
    </comment>
    <comment ref="B15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0" authorId="0">
      <text>
        <r>
          <rPr>
            <sz val="9"/>
            <color indexed="81"/>
            <rFont val="Tahoma"/>
            <family val="2"/>
            <charset val="204"/>
          </rPr>
          <t># #30.5 #</t>
        </r>
      </text>
    </comment>
    <comment ref="B161" authorId="0">
      <text>
        <r>
          <rPr>
            <sz val="9"/>
            <color indexed="81"/>
            <rFont val="Tahoma"/>
            <family val="2"/>
            <charset val="204"/>
          </rPr>
          <t># #30.6 #</t>
        </r>
      </text>
    </comment>
    <comment ref="B16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3" authorId="0">
      <text>
        <r>
          <rPr>
            <sz val="9"/>
            <color indexed="81"/>
            <rFont val="Tahoma"/>
            <family val="2"/>
            <charset val="204"/>
          </rPr>
          <t># #30.7 #</t>
        </r>
      </text>
    </comment>
    <comment ref="B164" authorId="0">
      <text>
        <r>
          <rPr>
            <sz val="9"/>
            <color indexed="81"/>
            <rFont val="Tahoma"/>
            <family val="2"/>
            <charset val="204"/>
          </rPr>
          <t># #30.8 #</t>
        </r>
      </text>
    </comment>
    <comment ref="B16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6" authorId="0">
      <text>
        <r>
          <rPr>
            <sz val="9"/>
            <color indexed="81"/>
            <rFont val="Tahoma"/>
            <family val="2"/>
            <charset val="204"/>
          </rPr>
          <t># #30.9 #</t>
        </r>
      </text>
    </comment>
    <comment ref="B167" authorId="0">
      <text>
        <r>
          <rPr>
            <sz val="9"/>
            <color indexed="81"/>
            <rFont val="Tahoma"/>
            <family val="2"/>
            <charset val="204"/>
          </rPr>
          <t># #30.11 #</t>
        </r>
      </text>
    </comment>
    <comment ref="B16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9" authorId="0">
      <text>
        <r>
          <rPr>
            <sz val="9"/>
            <color indexed="81"/>
            <rFont val="Tahoma"/>
            <family val="2"/>
            <charset val="204"/>
          </rPr>
          <t># #30.12 #</t>
        </r>
      </text>
    </comment>
    <comment ref="B170" authorId="0">
      <text>
        <r>
          <rPr>
            <sz val="9"/>
            <color indexed="81"/>
            <rFont val="Tahoma"/>
            <family val="2"/>
            <charset val="204"/>
          </rPr>
          <t># #30.13 #</t>
        </r>
      </text>
    </comment>
    <comment ref="B17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72" authorId="0">
      <text>
        <r>
          <rPr>
            <sz val="9"/>
            <color indexed="81"/>
            <rFont val="Tahoma"/>
            <family val="2"/>
            <charset val="204"/>
          </rPr>
          <t># #30.14 #</t>
        </r>
      </text>
    </comment>
    <comment ref="B173" authorId="0">
      <text>
        <r>
          <rPr>
            <sz val="9"/>
            <color indexed="81"/>
            <rFont val="Tahoma"/>
            <family val="2"/>
            <charset val="204"/>
          </rPr>
          <t># #30.15 #</t>
        </r>
      </text>
    </comment>
    <comment ref="B174" authorId="0">
      <text>
        <r>
          <rPr>
            <sz val="9"/>
            <color indexed="81"/>
            <rFont val="Tahoma"/>
            <family val="2"/>
            <charset val="204"/>
          </rPr>
          <t>#1.3 #1.3 #</t>
        </r>
      </text>
    </comment>
    <comment ref="B175" authorId="0">
      <text>
        <r>
          <rPr>
            <sz val="9"/>
            <color indexed="81"/>
            <rFont val="Tahoma"/>
            <family val="2"/>
            <charset val="204"/>
          </rPr>
          <t>#1.3.1 #1.3.1 #1.2</t>
        </r>
      </text>
    </comment>
    <comment ref="B176" authorId="0">
      <text>
        <r>
          <rPr>
            <sz val="9"/>
            <color indexed="81"/>
            <rFont val="Tahoma"/>
            <family val="2"/>
            <charset val="204"/>
          </rPr>
          <t># #1.3.1.3 #</t>
        </r>
      </text>
    </comment>
    <comment ref="B177" authorId="0">
      <text>
        <r>
          <rPr>
            <sz val="9"/>
            <color indexed="81"/>
            <rFont val="Tahoma"/>
            <family val="2"/>
            <charset val="204"/>
          </rPr>
          <t># #1.3.1.3.1 #</t>
        </r>
      </text>
    </comment>
    <comment ref="B178" authorId="0">
      <text>
        <r>
          <rPr>
            <sz val="9"/>
            <color indexed="81"/>
            <rFont val="Tahoma"/>
            <family val="2"/>
            <charset val="204"/>
          </rPr>
          <t># #1.3.1.3.1.1 #</t>
        </r>
      </text>
    </comment>
    <comment ref="B179" authorId="0">
      <text>
        <r>
          <rPr>
            <sz val="9"/>
            <color indexed="81"/>
            <rFont val="Tahoma"/>
            <family val="2"/>
            <charset val="204"/>
          </rPr>
          <t># #1.3.1.3.1.2 #</t>
        </r>
      </text>
    </comment>
    <comment ref="Q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0" authorId="0">
      <text>
        <r>
          <rPr>
            <sz val="9"/>
            <color indexed="81"/>
            <rFont val="Tahoma"/>
            <family val="2"/>
            <charset val="204"/>
          </rPr>
          <t># #1.3.1.3.2 #</t>
        </r>
      </text>
    </comment>
    <comment ref="B181" authorId="0">
      <text>
        <r>
          <rPr>
            <sz val="9"/>
            <color indexed="81"/>
            <rFont val="Tahoma"/>
            <family val="2"/>
            <charset val="204"/>
          </rPr>
          <t># #1.3.1.3.2.1 #</t>
        </r>
      </text>
    </comment>
    <comment ref="B182" authorId="0">
      <text>
        <r>
          <rPr>
            <sz val="9"/>
            <color indexed="81"/>
            <rFont val="Tahoma"/>
            <family val="2"/>
            <charset val="204"/>
          </rPr>
          <t># #1.3.1.3.2.2 #</t>
        </r>
      </text>
    </comment>
    <comment ref="T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3" authorId="0">
      <text>
        <r>
          <rPr>
            <sz val="9"/>
            <color indexed="81"/>
            <rFont val="Tahoma"/>
            <family val="2"/>
            <charset val="204"/>
          </rPr>
          <t># #1.3.1.3.3 #</t>
        </r>
      </text>
    </comment>
    <comment ref="B184" authorId="0">
      <text>
        <r>
          <rPr>
            <sz val="9"/>
            <color indexed="81"/>
            <rFont val="Tahoma"/>
            <family val="2"/>
            <charset val="204"/>
          </rPr>
          <t># #1.3.1.3.3.1 #</t>
        </r>
      </text>
    </comment>
    <comment ref="B185" authorId="0">
      <text>
        <r>
          <rPr>
            <sz val="9"/>
            <color indexed="81"/>
            <rFont val="Tahoma"/>
            <family val="2"/>
            <charset val="204"/>
          </rPr>
          <t># #1.3.1.3.3.2 #</t>
        </r>
      </text>
    </comment>
    <comment ref="B186" authorId="0">
      <text>
        <r>
          <rPr>
            <sz val="9"/>
            <color indexed="81"/>
            <rFont val="Tahoma"/>
            <family val="2"/>
            <charset val="204"/>
          </rPr>
          <t>#1.3.1.3 #1.3.1.3.4 #1.2.4</t>
        </r>
      </text>
    </comment>
    <comment ref="B187" authorId="0">
      <text>
        <r>
          <rPr>
            <sz val="9"/>
            <color indexed="81"/>
            <rFont val="Tahoma"/>
            <family val="2"/>
            <charset val="204"/>
          </rPr>
          <t>#1.3.1.1 #1.3.1.1 #1.2.2</t>
        </r>
      </text>
    </comment>
    <comment ref="B188" authorId="0">
      <text>
        <r>
          <rPr>
            <sz val="9"/>
            <color indexed="81"/>
            <rFont val="Tahoma"/>
            <family val="2"/>
            <charset val="204"/>
          </rPr>
          <t>#44. #30.16 #44.</t>
        </r>
      </text>
    </comment>
    <comment ref="B189" authorId="0">
      <text>
        <r>
          <rPr>
            <sz val="9"/>
            <color indexed="81"/>
            <rFont val="Tahoma"/>
            <family val="2"/>
            <charset val="204"/>
          </rPr>
          <t>#43. #30.17 #43.</t>
        </r>
      </text>
    </comment>
    <comment ref="Q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</t>
        </r>
      </text>
    </comment>
    <comment ref="T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0" authorId="0">
      <text>
        <r>
          <rPr>
            <sz val="9"/>
            <color indexed="81"/>
            <rFont val="Tahoma"/>
            <family val="2"/>
            <charset val="204"/>
          </rPr>
          <t>#1.3.1.2 #1.3.1.2 #1.2.3</t>
        </r>
      </text>
    </comment>
    <comment ref="B191" authorId="0">
      <text>
        <r>
          <rPr>
            <sz val="9"/>
            <color indexed="81"/>
            <rFont val="Tahoma"/>
            <family val="2"/>
            <charset val="204"/>
          </rPr>
          <t>#1.3.1.4 #1.3.1.4 #</t>
        </r>
      </text>
    </comment>
    <comment ref="B192" authorId="0">
      <text>
        <r>
          <rPr>
            <sz val="9"/>
            <color indexed="81"/>
            <rFont val="Tahoma"/>
            <family val="2"/>
            <charset val="204"/>
          </rPr>
          <t>#38. #1.3.1.4.1 #</t>
        </r>
      </text>
    </comment>
    <comment ref="Q192" authorId="1">
      <text>
        <r>
          <rPr>
            <b/>
            <sz val="9"/>
            <color indexed="81"/>
            <rFont val="Tahoma"/>
            <family val="2"/>
            <charset val="204"/>
          </rPr>
          <t>a.knyazkina
объем РЖД ушел с конца 2022г</t>
        </r>
      </text>
    </comment>
    <comment ref="T192" authorId="1">
      <text>
        <r>
          <rPr>
            <b/>
            <sz val="9"/>
            <color indexed="81"/>
            <rFont val="Tahoma"/>
            <family val="2"/>
            <charset val="204"/>
          </rPr>
          <t>a.knyazkina
объем РЖД ушел с конца 2022г</t>
        </r>
      </text>
    </comment>
    <comment ref="B193" authorId="0">
      <text>
        <r>
          <rPr>
            <sz val="9"/>
            <color indexed="81"/>
            <rFont val="Tahoma"/>
            <family val="2"/>
            <charset val="204"/>
          </rPr>
          <t>#37. #1.3.1.4.2 #</t>
        </r>
      </text>
    </comment>
    <comment ref="W19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4" authorId="0">
      <text>
        <r>
          <rPr>
            <sz val="9"/>
            <color indexed="81"/>
            <rFont val="Tahoma"/>
            <family val="2"/>
            <charset val="204"/>
          </rPr>
          <t>#1.3.1.5 #1.3.1.5 #1.2.5</t>
        </r>
      </text>
    </comment>
    <comment ref="B195" authorId="0">
      <text>
        <r>
          <rPr>
            <sz val="9"/>
            <color indexed="81"/>
            <rFont val="Tahoma"/>
            <family val="2"/>
            <charset val="204"/>
          </rPr>
          <t>#46. #1.2.5.2 #46.</t>
        </r>
      </text>
    </comment>
    <comment ref="B196" authorId="0">
      <text>
        <r>
          <rPr>
            <sz val="9"/>
            <color indexed="81"/>
            <rFont val="Tahoma"/>
            <family val="2"/>
            <charset val="204"/>
          </rPr>
          <t>#45. #1.2.5.1 #45.</t>
        </r>
      </text>
    </comment>
    <comment ref="W19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7" authorId="0">
      <text>
        <r>
          <rPr>
            <sz val="9"/>
            <color indexed="81"/>
            <rFont val="Tahoma"/>
            <family val="2"/>
            <charset val="204"/>
          </rPr>
          <t>#1.3.1.8 #1.3.1.7 #</t>
        </r>
      </text>
    </comment>
    <comment ref="B198" authorId="0">
      <text>
        <r>
          <rPr>
            <sz val="9"/>
            <color indexed="81"/>
            <rFont val="Tahoma"/>
            <family val="2"/>
            <charset val="204"/>
          </rPr>
          <t>#1.3.1.9 #1.3.1.8 #</t>
        </r>
      </text>
    </comment>
    <comment ref="B199" authorId="0">
      <text>
        <r>
          <rPr>
            <sz val="9"/>
            <color indexed="81"/>
            <rFont val="Tahoma"/>
            <family val="2"/>
            <charset val="204"/>
          </rPr>
          <t>#1.3.1.10 #1.3.1.9 #</t>
        </r>
      </text>
    </comment>
    <comment ref="B200" authorId="0">
      <text>
        <r>
          <rPr>
            <sz val="9"/>
            <color indexed="81"/>
            <rFont val="Tahoma"/>
            <family val="2"/>
            <charset val="204"/>
          </rPr>
          <t>#1.3.1.11 #1.3.1.11 #</t>
        </r>
      </text>
    </comment>
    <comment ref="B201" authorId="0">
      <text>
        <r>
          <rPr>
            <sz val="9"/>
            <color indexed="81"/>
            <rFont val="Tahoma"/>
            <family val="2"/>
            <charset val="204"/>
          </rPr>
          <t>#42. #1.3.1.11.1 #42.</t>
        </r>
      </text>
    </comment>
    <comment ref="B202" authorId="0">
      <text>
        <r>
          <rPr>
            <sz val="9"/>
            <color indexed="81"/>
            <rFont val="Tahoma"/>
            <family val="2"/>
            <charset val="204"/>
          </rPr>
          <t>#41. #1.3.1.11.2 #41.</t>
        </r>
      </text>
    </comment>
    <comment ref="T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3" authorId="0">
      <text>
        <r>
          <rPr>
            <sz val="9"/>
            <color indexed="81"/>
            <rFont val="Tahoma"/>
            <family val="2"/>
            <charset val="204"/>
          </rPr>
          <t>#1.3.1.12 #1.3.1.12 #</t>
        </r>
      </text>
    </comment>
    <comment ref="B204" authorId="0">
      <text>
        <r>
          <rPr>
            <sz val="9"/>
            <color indexed="81"/>
            <rFont val="Tahoma"/>
            <family val="2"/>
            <charset val="204"/>
          </rPr>
          <t>#40. #1.3.1.12.1 #</t>
        </r>
      </text>
    </comment>
    <comment ref="B205" authorId="0">
      <text>
        <r>
          <rPr>
            <sz val="9"/>
            <color indexed="81"/>
            <rFont val="Tahoma"/>
            <family val="2"/>
            <charset val="204"/>
          </rPr>
          <t>#39. #1.3.1.12.2 #</t>
        </r>
      </text>
    </comment>
    <comment ref="W205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5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7" authorId="0">
      <text>
        <r>
          <rPr>
            <sz val="9"/>
            <color indexed="81"/>
            <rFont val="Tahoma"/>
            <family val="2"/>
            <charset val="204"/>
          </rPr>
          <t>#1.3.2 #1.3.2 #7.</t>
        </r>
      </text>
    </comment>
    <comment ref="B208" authorId="0">
      <text>
        <r>
          <rPr>
            <sz val="9"/>
            <color indexed="81"/>
            <rFont val="Tahoma"/>
            <family val="2"/>
            <charset val="204"/>
          </rPr>
          <t>#1.3.2.1 #1.3.2.1 #7.1</t>
        </r>
      </text>
    </comment>
    <comment ref="B209" authorId="0">
      <text>
        <r>
          <rPr>
            <sz val="9"/>
            <color indexed="81"/>
            <rFont val="Tahoma"/>
            <family val="2"/>
            <charset val="204"/>
          </rPr>
          <t>#1.3.2.2 #1.3.2.2 #7.2</t>
        </r>
      </text>
    </comment>
    <comment ref="B210" authorId="0">
      <text>
        <r>
          <rPr>
            <sz val="9"/>
            <color indexed="81"/>
            <rFont val="Tahoma"/>
            <family val="2"/>
            <charset val="204"/>
          </rPr>
          <t>#1.3.2.3 #1.3.2.3 #7.5</t>
        </r>
      </text>
    </comment>
    <comment ref="B211" authorId="0">
      <text>
        <r>
          <rPr>
            <sz val="9"/>
            <color indexed="81"/>
            <rFont val="Tahoma"/>
            <family val="2"/>
            <charset val="204"/>
          </rPr>
          <t>#1.3.2.4 #1.3.2.4 #7.4</t>
        </r>
      </text>
    </comment>
    <comment ref="B212" authorId="0">
      <text>
        <r>
          <rPr>
            <sz val="9"/>
            <color indexed="81"/>
            <rFont val="Tahoma"/>
            <family val="2"/>
            <charset val="204"/>
          </rPr>
          <t>#1.3.2.4.1 #1.3.2.4.1 #7.4</t>
        </r>
      </text>
    </comment>
    <comment ref="B213" authorId="0">
      <text>
        <r>
          <rPr>
            <sz val="9"/>
            <color indexed="81"/>
            <rFont val="Tahoma"/>
            <family val="2"/>
            <charset val="204"/>
          </rPr>
          <t>#1.3.2.5 #1.3.2.4.2 #</t>
        </r>
      </text>
    </comment>
    <comment ref="B214" authorId="0">
      <text>
        <r>
          <rPr>
            <sz val="9"/>
            <color indexed="81"/>
            <rFont val="Tahoma"/>
            <family val="2"/>
            <charset val="204"/>
          </rPr>
          <t>#1.3.2.6 #1.3.2.6 #7.6</t>
        </r>
      </text>
    </comment>
    <comment ref="B215" authorId="0">
      <text>
        <r>
          <rPr>
            <sz val="9"/>
            <color indexed="81"/>
            <rFont val="Tahoma"/>
            <family val="2"/>
            <charset val="204"/>
          </rPr>
          <t>#1.3.2.7 #1.3.2.7 #7.3</t>
        </r>
      </text>
    </comment>
    <comment ref="B216" authorId="0">
      <text>
        <r>
          <rPr>
            <sz val="9"/>
            <color indexed="81"/>
            <rFont val="Tahoma"/>
            <family val="2"/>
            <charset val="204"/>
          </rPr>
          <t>#1.3.2.8 #1.3.2.8 #7.7</t>
        </r>
      </text>
    </comment>
    <comment ref="B217" authorId="0">
      <text>
        <r>
          <rPr>
            <sz val="9"/>
            <color indexed="81"/>
            <rFont val="Tahoma"/>
            <family val="2"/>
            <charset val="204"/>
          </rPr>
          <t>#1.3.3 #1.3.3 #6.</t>
        </r>
      </text>
    </comment>
    <comment ref="B218" authorId="0">
      <text>
        <r>
          <rPr>
            <sz val="9"/>
            <color indexed="81"/>
            <rFont val="Tahoma"/>
            <family val="2"/>
            <charset val="204"/>
          </rPr>
          <t>#1.3.3 #1.3.3 #6.1</t>
        </r>
      </text>
    </comment>
    <comment ref="B219" authorId="0">
      <text>
        <r>
          <rPr>
            <sz val="9"/>
            <color indexed="81"/>
            <rFont val="Tahoma"/>
            <family val="2"/>
            <charset val="204"/>
          </rPr>
          <t># # #6.2</t>
        </r>
      </text>
    </comment>
    <comment ref="B220" authorId="0">
      <text>
        <r>
          <rPr>
            <sz val="9"/>
            <color indexed="81"/>
            <rFont val="Tahoma"/>
            <family val="2"/>
            <charset val="204"/>
          </rPr>
          <t># # #6.3</t>
        </r>
      </text>
    </comment>
    <comment ref="B221" authorId="0">
      <text>
        <r>
          <rPr>
            <sz val="9"/>
            <color indexed="81"/>
            <rFont val="Tahoma"/>
            <family val="2"/>
            <charset val="204"/>
          </rPr>
          <t># # #6.4</t>
        </r>
      </text>
    </comment>
    <comment ref="B22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3" authorId="0">
      <text>
        <r>
          <rPr>
            <sz val="9"/>
            <color indexed="81"/>
            <rFont val="Tahoma"/>
            <family val="2"/>
            <charset val="204"/>
          </rPr>
          <t>#1.3.6 #1.3.6 #</t>
        </r>
      </text>
    </comment>
    <comment ref="B224" authorId="0">
      <text>
        <r>
          <rPr>
            <sz val="9"/>
            <color indexed="81"/>
            <rFont val="Tahoma"/>
            <family val="2"/>
            <charset val="204"/>
          </rPr>
          <t>#1.3.7 #1.3.7 #</t>
        </r>
      </text>
    </comment>
    <comment ref="B225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226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22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9" authorId="0">
      <text>
        <r>
          <rPr>
            <sz val="9"/>
            <color indexed="81"/>
            <rFont val="Tahoma"/>
            <family val="2"/>
            <charset val="204"/>
          </rPr>
          <t>#1.3.9 #1.3.9 #</t>
        </r>
      </text>
    </comment>
    <comment ref="B230" authorId="0">
      <text>
        <r>
          <rPr>
            <sz val="9"/>
            <color indexed="81"/>
            <rFont val="Tahoma"/>
            <family val="2"/>
            <charset val="204"/>
          </rPr>
          <t>#1.3.9.1 #1.3.9.1 #</t>
        </r>
      </text>
    </comment>
    <comment ref="B231" authorId="0">
      <text>
        <r>
          <rPr>
            <sz val="9"/>
            <color indexed="81"/>
            <rFont val="Tahoma"/>
            <family val="2"/>
            <charset val="204"/>
          </rPr>
          <t>#1.3.9.2 #1.3.9.2 #</t>
        </r>
      </text>
    </comment>
    <comment ref="B235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236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237" authorId="0">
      <text>
        <r>
          <rPr>
            <sz val="9"/>
            <color indexed="81"/>
            <rFont val="Tahoma"/>
            <family val="2"/>
            <charset val="204"/>
          </rPr>
          <t>#25. #25. #25.</t>
        </r>
      </text>
    </comment>
    <comment ref="B238" authorId="0">
      <text>
        <r>
          <rPr>
            <sz val="9"/>
            <color indexed="81"/>
            <rFont val="Tahoma"/>
            <family val="2"/>
            <charset val="204"/>
          </rPr>
          <t>#4. #3. #9.</t>
        </r>
      </text>
    </comment>
    <comment ref="B239" authorId="0">
      <text>
        <r>
          <rPr>
            <sz val="9"/>
            <color indexed="81"/>
            <rFont val="Tahoma"/>
            <family val="2"/>
            <charset val="204"/>
          </rPr>
          <t>#4.2 #3.2 #9.3</t>
        </r>
      </text>
    </comment>
    <comment ref="B240" authorId="0">
      <text>
        <r>
          <rPr>
            <sz val="9"/>
            <color indexed="81"/>
            <rFont val="Tahoma"/>
            <family val="2"/>
            <charset val="204"/>
          </rPr>
          <t># # #9.1</t>
        </r>
      </text>
    </comment>
    <comment ref="B241" authorId="0">
      <text>
        <r>
          <rPr>
            <sz val="9"/>
            <color indexed="81"/>
            <rFont val="Tahoma"/>
            <family val="2"/>
            <charset val="204"/>
          </rPr>
          <t>#4.1 #3.1 #9.2</t>
        </r>
      </text>
    </comment>
    <comment ref="B24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7" authorId="0">
      <text>
        <r>
          <rPr>
            <sz val="9"/>
            <color indexed="81"/>
            <rFont val="Tahoma"/>
            <family val="2"/>
            <charset val="204"/>
          </rPr>
          <t># #40.9 #</t>
        </r>
      </text>
    </comment>
    <comment ref="B248" authorId="0">
      <text>
        <r>
          <rPr>
            <sz val="9"/>
            <color indexed="81"/>
            <rFont val="Tahoma"/>
            <family val="2"/>
            <charset val="204"/>
          </rPr>
          <t># #40.11 #</t>
        </r>
      </text>
    </comment>
    <comment ref="B249" authorId="0">
      <text>
        <r>
          <rPr>
            <sz val="9"/>
            <color indexed="81"/>
            <rFont val="Tahoma"/>
            <family val="2"/>
            <charset val="204"/>
          </rPr>
          <t># #40.12 #</t>
        </r>
      </text>
    </comment>
    <comment ref="B250" authorId="0">
      <text>
        <r>
          <rPr>
            <sz val="9"/>
            <color indexed="81"/>
            <rFont val="Tahoma"/>
            <family val="2"/>
            <charset val="204"/>
          </rPr>
          <t># #40.13 #</t>
        </r>
      </text>
    </comment>
    <comment ref="B25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9" authorId="0">
      <text>
        <r>
          <rPr>
            <sz val="9"/>
            <color indexed="81"/>
            <rFont val="Tahoma"/>
            <family val="2"/>
            <charset val="204"/>
          </rPr>
          <t>#5. #4. #10.</t>
        </r>
      </text>
    </comment>
  </commentList>
</comments>
</file>

<file path=xl/comments3.xml><?xml version="1.0" encoding="utf-8"?>
<comments xmlns="http://schemas.openxmlformats.org/spreadsheetml/2006/main">
  <authors>
    <author/>
    <author>a.knyazkina</author>
  </authors>
  <commentList>
    <comment ref="B5" authorId="0">
      <text>
        <r>
          <rPr>
            <sz val="9"/>
            <color indexed="81"/>
            <rFont val="Tahoma"/>
            <family val="2"/>
            <charset val="204"/>
          </rPr>
          <t>#6. #5. #13.</t>
        </r>
      </text>
    </comment>
    <comment ref="B6" authorId="0">
      <text>
        <r>
          <rPr>
            <sz val="9"/>
            <color indexed="81"/>
            <rFont val="Tahoma"/>
            <family val="2"/>
            <charset val="204"/>
          </rPr>
          <t>#3. #15. #8.</t>
        </r>
      </text>
    </comment>
    <comment ref="B7" authorId="0">
      <text>
        <r>
          <rPr>
            <sz val="9"/>
            <color indexed="81"/>
            <rFont val="Tahoma"/>
            <family val="2"/>
            <charset val="204"/>
          </rPr>
          <t>#1. #1. #</t>
        </r>
      </text>
    </comment>
    <comment ref="B8" authorId="0">
      <text>
        <r>
          <rPr>
            <sz val="9"/>
            <color indexed="81"/>
            <rFont val="Tahoma"/>
            <family val="2"/>
            <charset val="204"/>
          </rPr>
          <t>#1.1. #1.1. #</t>
        </r>
      </text>
    </comment>
    <comment ref="B9" authorId="0">
      <text>
        <r>
          <rPr>
            <sz val="9"/>
            <color indexed="81"/>
            <rFont val="Tahoma"/>
            <family val="2"/>
            <charset val="204"/>
          </rPr>
          <t>#1.1.1 #1.1.1 #1</t>
        </r>
      </text>
    </comment>
    <comment ref="B10" authorId="0">
      <text>
        <r>
          <rPr>
            <sz val="9"/>
            <color indexed="81"/>
            <rFont val="Tahoma"/>
            <family val="2"/>
            <charset val="204"/>
          </rPr>
          <t>#1.1.1.1 #1.1.1.1 #1.1</t>
        </r>
      </text>
    </comment>
    <comment ref="B11" authorId="0">
      <text>
        <r>
          <rPr>
            <sz val="9"/>
            <color indexed="81"/>
            <rFont val="Tahoma"/>
            <family val="2"/>
            <charset val="204"/>
          </rPr>
          <t># #1.1.1.1.2 #</t>
        </r>
      </text>
    </comment>
    <comment ref="B12" authorId="0">
      <text>
        <r>
          <rPr>
            <sz val="9"/>
            <color indexed="81"/>
            <rFont val="Tahoma"/>
            <family val="2"/>
            <charset val="204"/>
          </rPr>
          <t># #1.1.1.1.2.1 #</t>
        </r>
      </text>
    </comment>
    <comment ref="B13" authorId="0">
      <text>
        <r>
          <rPr>
            <sz val="9"/>
            <color indexed="81"/>
            <rFont val="Tahoma"/>
            <family val="2"/>
            <charset val="204"/>
          </rPr>
          <t># #1.1.1.1.2.1.1 #</t>
        </r>
      </text>
    </comment>
    <comment ref="B14" authorId="0">
      <text>
        <r>
          <rPr>
            <sz val="9"/>
            <color indexed="81"/>
            <rFont val="Tahoma"/>
            <family val="2"/>
            <charset val="204"/>
          </rPr>
          <t># #1.1.1.1.2.1.2 #</t>
        </r>
      </text>
    </comment>
    <comment ref="B15" authorId="0">
      <text>
        <r>
          <rPr>
            <sz val="9"/>
            <color indexed="81"/>
            <rFont val="Tahoma"/>
            <family val="2"/>
            <charset val="204"/>
          </rPr>
          <t># #1.1.1.1.2.2 #</t>
        </r>
      </text>
    </comment>
    <comment ref="B16" authorId="0">
      <text>
        <r>
          <rPr>
            <sz val="9"/>
            <color indexed="81"/>
            <rFont val="Tahoma"/>
            <family val="2"/>
            <charset val="204"/>
          </rPr>
          <t># #1.1.1.1.2.2.1 #</t>
        </r>
      </text>
    </comment>
    <comment ref="B17" authorId="0">
      <text>
        <r>
          <rPr>
            <sz val="9"/>
            <color indexed="81"/>
            <rFont val="Tahoma"/>
            <family val="2"/>
            <charset val="204"/>
          </rPr>
          <t># #1.1.1.1.2.2.2 #</t>
        </r>
      </text>
    </comment>
    <comment ref="B18" authorId="0">
      <text>
        <r>
          <rPr>
            <sz val="9"/>
            <color indexed="81"/>
            <rFont val="Tahoma"/>
            <family val="2"/>
            <charset val="204"/>
          </rPr>
          <t># #1.1.1.1.2.3 #</t>
        </r>
      </text>
    </comment>
    <comment ref="B19" authorId="0">
      <text>
        <r>
          <rPr>
            <sz val="9"/>
            <color indexed="81"/>
            <rFont val="Tahoma"/>
            <family val="2"/>
            <charset val="204"/>
          </rPr>
          <t># #1.1.1.1.2.3.1 #</t>
        </r>
      </text>
    </comment>
    <comment ref="B20" authorId="0">
      <text>
        <r>
          <rPr>
            <sz val="9"/>
            <color indexed="81"/>
            <rFont val="Tahoma"/>
            <family val="2"/>
            <charset val="204"/>
          </rPr>
          <t># #1.1.1.1.2.3.2 #</t>
        </r>
      </text>
    </comment>
    <comment ref="B21" authorId="0">
      <text>
        <r>
          <rPr>
            <sz val="9"/>
            <color indexed="81"/>
            <rFont val="Tahoma"/>
            <family val="2"/>
            <charset val="204"/>
          </rPr>
          <t># #1.1.1.1.2.4 #</t>
        </r>
      </text>
    </comment>
    <comment ref="B22" authorId="0">
      <text>
        <r>
          <rPr>
            <sz val="9"/>
            <color indexed="81"/>
            <rFont val="Tahoma"/>
            <family val="2"/>
            <charset val="204"/>
          </rPr>
          <t># #1.1.1.1.2.4.1 #</t>
        </r>
      </text>
    </comment>
    <comment ref="B23" authorId="0">
      <text>
        <r>
          <rPr>
            <sz val="9"/>
            <color indexed="81"/>
            <rFont val="Tahoma"/>
            <family val="2"/>
            <charset val="204"/>
          </rPr>
          <t># #1.1.1.1.2.4.2 #</t>
        </r>
      </text>
    </comment>
    <comment ref="B24" authorId="0">
      <text>
        <r>
          <rPr>
            <sz val="9"/>
            <color indexed="81"/>
            <rFont val="Tahoma"/>
            <family val="2"/>
            <charset val="204"/>
          </rPr>
          <t># #1.1.1.1.2.5 #</t>
        </r>
      </text>
    </comment>
    <comment ref="B25" authorId="0">
      <text>
        <r>
          <rPr>
            <sz val="9"/>
            <color indexed="81"/>
            <rFont val="Tahoma"/>
            <family val="2"/>
            <charset val="204"/>
          </rPr>
          <t># #1.1.1.1.2.5.1 #</t>
        </r>
      </text>
    </comment>
    <comment ref="B26" authorId="0">
      <text>
        <r>
          <rPr>
            <sz val="9"/>
            <color indexed="81"/>
            <rFont val="Tahoma"/>
            <family val="2"/>
            <charset val="204"/>
          </rPr>
          <t># #1.1.1.1.2.5.2 #</t>
        </r>
      </text>
    </comment>
    <comment ref="B27" authorId="0">
      <text>
        <r>
          <rPr>
            <sz val="9"/>
            <color indexed="81"/>
            <rFont val="Tahoma"/>
            <family val="2"/>
            <charset val="204"/>
          </rPr>
          <t>#1.1.1.1.2 #1.1.1.1.2.6 #1.1.2</t>
        </r>
      </text>
    </comment>
    <comment ref="B28" authorId="0">
      <text>
        <r>
          <rPr>
            <sz val="9"/>
            <color indexed="81"/>
            <rFont val="Tahoma"/>
            <family val="2"/>
            <charset val="204"/>
          </rPr>
          <t>#1.1.1.1.3 #1.1.1.1.3 #1.1.3</t>
        </r>
      </text>
    </comment>
    <comment ref="B29" authorId="0">
      <text>
        <r>
          <rPr>
            <sz val="9"/>
            <color indexed="81"/>
            <rFont val="Tahoma"/>
            <family val="2"/>
            <charset val="204"/>
          </rPr>
          <t>#1.1.1.2 #1.1.1.2 #1.3</t>
        </r>
      </text>
    </comment>
    <comment ref="Q2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ремонт асфальтового покрытия, без 26счета</t>
        </r>
      </text>
    </comment>
    <comment ref="T2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ремонт асфальтового покрытия, без 26счета</t>
        </r>
      </text>
    </comment>
    <comment ref="B30" authorId="0">
      <text>
        <r>
          <rPr>
            <sz val="9"/>
            <color indexed="81"/>
            <rFont val="Tahoma"/>
            <family val="2"/>
            <charset val="204"/>
          </rPr>
          <t>#1.1.1.3 #1.1.1.3 #1.4</t>
        </r>
      </text>
    </comment>
    <comment ref="B31" authorId="0">
      <text>
        <r>
          <rPr>
            <sz val="9"/>
            <color indexed="81"/>
            <rFont val="Tahoma"/>
            <family val="2"/>
            <charset val="204"/>
          </rPr>
          <t>#1.1.1.3.1 #1.1.1.3.1 #1.4.1</t>
        </r>
      </text>
    </comment>
    <comment ref="B32" authorId="0">
      <text>
        <r>
          <rPr>
            <sz val="9"/>
            <color indexed="81"/>
            <rFont val="Tahoma"/>
            <family val="2"/>
            <charset val="204"/>
          </rPr>
          <t># #1.1.1.3.1.2 #</t>
        </r>
      </text>
    </comment>
    <comment ref="B33" authorId="0">
      <text>
        <r>
          <rPr>
            <sz val="9"/>
            <color indexed="81"/>
            <rFont val="Tahoma"/>
            <family val="2"/>
            <charset val="204"/>
          </rPr>
          <t># #1.1.1.3.1.2.5 #</t>
        </r>
      </text>
    </comment>
    <comment ref="B34" authorId="0">
      <text>
        <r>
          <rPr>
            <sz val="9"/>
            <color indexed="81"/>
            <rFont val="Tahoma"/>
            <family val="2"/>
            <charset val="204"/>
          </rPr>
          <t>#1.1.1.3.1.2.1 # #</t>
        </r>
      </text>
    </comment>
    <comment ref="B35" authorId="0">
      <text>
        <r>
          <rPr>
            <sz val="9"/>
            <color indexed="81"/>
            <rFont val="Tahoma"/>
            <family val="2"/>
            <charset val="204"/>
          </rPr>
          <t># #1.1.1.3.1.2.1.1 #</t>
        </r>
      </text>
    </comment>
    <comment ref="B36" authorId="0">
      <text>
        <r>
          <rPr>
            <sz val="9"/>
            <color indexed="81"/>
            <rFont val="Tahoma"/>
            <family val="2"/>
            <charset val="204"/>
          </rPr>
          <t># #1.1.1.3.1.2.2.2 #</t>
        </r>
      </text>
    </comment>
    <comment ref="B37" authorId="0">
      <text>
        <r>
          <rPr>
            <sz val="9"/>
            <color indexed="81"/>
            <rFont val="Tahoma"/>
            <family val="2"/>
            <charset val="204"/>
          </rPr>
          <t># #1.1.1.3.1.2.2 #</t>
        </r>
      </text>
    </comment>
    <comment ref="B38" authorId="0">
      <text>
        <r>
          <rPr>
            <sz val="9"/>
            <color indexed="81"/>
            <rFont val="Tahoma"/>
            <family val="2"/>
            <charset val="204"/>
          </rPr>
          <t># #1.1.1.3.1.2.3 #</t>
        </r>
      </text>
    </comment>
    <comment ref="B39" authorId="0">
      <text>
        <r>
          <rPr>
            <sz val="9"/>
            <color indexed="81"/>
            <rFont val="Tahoma"/>
            <family val="2"/>
            <charset val="204"/>
          </rPr>
          <t># #1.1.1.3.1.2.4 #</t>
        </r>
      </text>
    </comment>
    <comment ref="B40" authorId="0">
      <text>
        <r>
          <rPr>
            <sz val="9"/>
            <color indexed="81"/>
            <rFont val="Tahoma"/>
            <family val="2"/>
            <charset val="204"/>
          </rPr>
          <t>#31. #1.1.1.3.1.1 #31.</t>
        </r>
      </text>
    </comment>
    <comment ref="B41" authorId="0">
      <text>
        <r>
          <rPr>
            <sz val="9"/>
            <color indexed="81"/>
            <rFont val="Tahoma"/>
            <family val="2"/>
            <charset val="204"/>
          </rPr>
          <t>#1.1.1.3.2 #1.1.1.3.2 #1.4.2</t>
        </r>
      </text>
    </comment>
    <comment ref="E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O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41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41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42" authorId="0">
      <text>
        <r>
          <rPr>
            <sz val="9"/>
            <color indexed="81"/>
            <rFont val="Tahoma"/>
            <family val="2"/>
            <charset val="204"/>
          </rPr>
          <t>#1.1.1.4 #1.1.1.4 #</t>
        </r>
      </text>
    </comment>
    <comment ref="B43" authorId="0">
      <text>
        <r>
          <rPr>
            <sz val="9"/>
            <color indexed="81"/>
            <rFont val="Tahoma"/>
            <family val="2"/>
            <charset val="204"/>
          </rPr>
          <t>#1.1.1.5 #1.1.1.5 #1.6</t>
        </r>
      </text>
    </comment>
    <comment ref="B44" authorId="0">
      <text>
        <r>
          <rPr>
            <sz val="9"/>
            <color indexed="81"/>
            <rFont val="Tahoma"/>
            <family val="2"/>
            <charset val="204"/>
          </rPr>
          <t># #1.1.1.5.1 #</t>
        </r>
      </text>
    </comment>
    <comment ref="B45" authorId="0">
      <text>
        <r>
          <rPr>
            <sz val="9"/>
            <color indexed="81"/>
            <rFont val="Tahoma"/>
            <family val="2"/>
            <charset val="204"/>
          </rPr>
          <t>#1.1.1.5 #1.1.1.5.2 #1.6</t>
        </r>
      </text>
    </comment>
    <comment ref="B46" authorId="0">
      <text>
        <r>
          <rPr>
            <sz val="9"/>
            <color indexed="81"/>
            <rFont val="Tahoma"/>
            <family val="2"/>
            <charset val="204"/>
          </rPr>
          <t>#1.1.1.6 #1.1.1.6 #1.7</t>
        </r>
      </text>
    </comment>
    <comment ref="B47" authorId="0">
      <text>
        <r>
          <rPr>
            <sz val="9"/>
            <color indexed="81"/>
            <rFont val="Tahoma"/>
            <family val="2"/>
            <charset val="204"/>
          </rPr>
          <t>#1.1.1.6.1 #1.1.1.6.1 #1.7.2</t>
        </r>
      </text>
    </comment>
    <comment ref="B48" authorId="0">
      <text>
        <r>
          <rPr>
            <sz val="9"/>
            <color indexed="81"/>
            <rFont val="Tahoma"/>
            <family val="2"/>
            <charset val="204"/>
          </rPr>
          <t>#1.1.1.6.2 #1.1.1.6.2 #1.7.1</t>
        </r>
      </text>
    </comment>
    <comment ref="B49" authorId="0">
      <text>
        <r>
          <rPr>
            <sz val="9"/>
            <color indexed="81"/>
            <rFont val="Tahoma"/>
            <family val="2"/>
            <charset val="204"/>
          </rPr>
          <t>#1.1.1.6.3 #1.1.1.6.3 #</t>
        </r>
      </text>
    </comment>
    <comment ref="B50" authorId="0">
      <text>
        <r>
          <rPr>
            <sz val="9"/>
            <color indexed="81"/>
            <rFont val="Tahoma"/>
            <family val="2"/>
            <charset val="204"/>
          </rPr>
          <t>#1.1.1.6.4 #1.1.1.6.4 #</t>
        </r>
      </text>
    </comment>
    <comment ref="B51" authorId="0">
      <text>
        <r>
          <rPr>
            <sz val="9"/>
            <color indexed="81"/>
            <rFont val="Tahoma"/>
            <family val="2"/>
            <charset val="204"/>
          </rPr>
          <t>#1.1.1.6.5 #1.1.1.6.5 #1.7.3</t>
        </r>
      </text>
    </comment>
    <comment ref="B52" authorId="0">
      <text>
        <r>
          <rPr>
            <sz val="9"/>
            <color indexed="81"/>
            <rFont val="Tahoma"/>
            <family val="2"/>
            <charset val="204"/>
          </rPr>
          <t>#1.1.1.6.6 #1.1.1.6.6 #1.7.4</t>
        </r>
      </text>
    </comment>
    <comment ref="B53" authorId="0">
      <text>
        <r>
          <rPr>
            <sz val="9"/>
            <color indexed="81"/>
            <rFont val="Tahoma"/>
            <family val="2"/>
            <charset val="204"/>
          </rPr>
          <t>#1.1.2 #1.1.2 #2</t>
        </r>
      </text>
    </comment>
    <comment ref="B54" authorId="0">
      <text>
        <r>
          <rPr>
            <sz val="9"/>
            <color indexed="81"/>
            <rFont val="Tahoma"/>
            <family val="2"/>
            <charset val="204"/>
          </rPr>
          <t>#1.1.2.1 #1.1.2.1 #2.1</t>
        </r>
      </text>
    </comment>
    <comment ref="B55" authorId="0">
      <text>
        <r>
          <rPr>
            <sz val="9"/>
            <color indexed="81"/>
            <rFont val="Tahoma"/>
            <family val="2"/>
            <charset val="204"/>
          </rPr>
          <t>#1.1.2.2 #1.1.2.2 #2.2</t>
        </r>
      </text>
    </comment>
    <comment ref="B56" authorId="0">
      <text>
        <r>
          <rPr>
            <sz val="9"/>
            <color indexed="81"/>
            <rFont val="Tahoma"/>
            <family val="2"/>
            <charset val="204"/>
          </rPr>
          <t>#1.1.2.3 #1.1.2.3 #2.3</t>
        </r>
      </text>
    </comment>
    <comment ref="B57" authorId="0">
      <text>
        <r>
          <rPr>
            <sz val="9"/>
            <color indexed="81"/>
            <rFont val="Tahoma"/>
            <family val="2"/>
            <charset val="204"/>
          </rPr>
          <t>#1.1.2.3.1 #1.1.2.3.1 #2.3.1</t>
        </r>
      </text>
    </comment>
    <comment ref="B58" authorId="0">
      <text>
        <r>
          <rPr>
            <sz val="9"/>
            <color indexed="81"/>
            <rFont val="Tahoma"/>
            <family val="2"/>
            <charset val="204"/>
          </rPr>
          <t># #1.1.2.3.1.1 #</t>
        </r>
      </text>
    </comment>
    <comment ref="B59" authorId="0">
      <text>
        <r>
          <rPr>
            <sz val="9"/>
            <color indexed="81"/>
            <rFont val="Tahoma"/>
            <family val="2"/>
            <charset val="204"/>
          </rPr>
          <t># #1.1.2.3.1.1.5 #</t>
        </r>
      </text>
    </comment>
    <comment ref="B60" authorId="0">
      <text>
        <r>
          <rPr>
            <sz val="9"/>
            <color indexed="81"/>
            <rFont val="Tahoma"/>
            <family val="2"/>
            <charset val="204"/>
          </rPr>
          <t># #1.1.2.3.1.1.1 #</t>
        </r>
      </text>
    </comment>
    <comment ref="B61" authorId="0">
      <text>
        <r>
          <rPr>
            <sz val="9"/>
            <color indexed="81"/>
            <rFont val="Tahoma"/>
            <family val="2"/>
            <charset val="204"/>
          </rPr>
          <t># #1.1.2.3.1.1.1.1 #</t>
        </r>
      </text>
    </comment>
    <comment ref="B62" authorId="0">
      <text>
        <r>
          <rPr>
            <sz val="9"/>
            <color indexed="81"/>
            <rFont val="Tahoma"/>
            <family val="2"/>
            <charset val="204"/>
          </rPr>
          <t># #1.1.2.3.1.1.1.2 #</t>
        </r>
      </text>
    </comment>
    <comment ref="B63" authorId="0">
      <text>
        <r>
          <rPr>
            <sz val="9"/>
            <color indexed="81"/>
            <rFont val="Tahoma"/>
            <family val="2"/>
            <charset val="204"/>
          </rPr>
          <t># #1.1.2.3.1.1.2 #</t>
        </r>
      </text>
    </comment>
    <comment ref="B64" authorId="0">
      <text>
        <r>
          <rPr>
            <sz val="9"/>
            <color indexed="81"/>
            <rFont val="Tahoma"/>
            <family val="2"/>
            <charset val="204"/>
          </rPr>
          <t># #1.1.2.3.1.1.3 #</t>
        </r>
      </text>
    </comment>
    <comment ref="B65" authorId="0">
      <text>
        <r>
          <rPr>
            <sz val="9"/>
            <color indexed="81"/>
            <rFont val="Tahoma"/>
            <family val="2"/>
            <charset val="204"/>
          </rPr>
          <t># #1.1.2.3.1.1.4 #</t>
        </r>
      </text>
    </comment>
    <comment ref="B66" authorId="0">
      <text>
        <r>
          <rPr>
            <sz val="9"/>
            <color indexed="81"/>
            <rFont val="Tahoma"/>
            <family val="2"/>
            <charset val="204"/>
          </rPr>
          <t>#32. #1.1.2.3.1.2 #32.</t>
        </r>
      </text>
    </comment>
    <comment ref="B67" authorId="0">
      <text>
        <r>
          <rPr>
            <sz val="9"/>
            <color indexed="81"/>
            <rFont val="Tahoma"/>
            <family val="2"/>
            <charset val="204"/>
          </rPr>
          <t>#1.1.2.3.2 #1.1.2.3.2 #2.3.2</t>
        </r>
      </text>
    </comment>
    <comment ref="E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O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6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AB6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68" authorId="0">
      <text>
        <r>
          <rPr>
            <sz val="9"/>
            <color indexed="81"/>
            <rFont val="Tahoma"/>
            <family val="2"/>
            <charset val="204"/>
          </rPr>
          <t>#1.1.3 #1.1.3 #3</t>
        </r>
      </text>
    </comment>
    <comment ref="B69" authorId="0">
      <text>
        <r>
          <rPr>
            <sz val="9"/>
            <color indexed="81"/>
            <rFont val="Tahoma"/>
            <family val="2"/>
            <charset val="204"/>
          </rPr>
          <t>#1.1.3.1 #1.1.3.1 #3.1</t>
        </r>
      </text>
    </comment>
    <comment ref="T69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69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70" authorId="0">
      <text>
        <r>
          <rPr>
            <sz val="9"/>
            <color indexed="81"/>
            <rFont val="Tahoma"/>
            <family val="2"/>
            <charset val="204"/>
          </rPr>
          <t>#1.1.3.1.1 #1.1.3.1.1 #3.1.1</t>
        </r>
      </text>
    </comment>
    <comment ref="B71" authorId="0">
      <text>
        <r>
          <rPr>
            <sz val="9"/>
            <color indexed="81"/>
            <rFont val="Tahoma"/>
            <family val="2"/>
            <charset val="204"/>
          </rPr>
          <t>#1.1.3.1.2 #1.1.3.1.2 #3.1.2</t>
        </r>
      </text>
    </comment>
    <comment ref="B72" authorId="0">
      <text>
        <r>
          <rPr>
            <sz val="9"/>
            <color indexed="81"/>
            <rFont val="Tahoma"/>
            <family val="2"/>
            <charset val="204"/>
          </rPr>
          <t>#1.1.3.1.3 #1.1.3.1.3 #3.1.3</t>
        </r>
      </text>
    </comment>
    <comment ref="B73" authorId="0">
      <text>
        <r>
          <rPr>
            <sz val="9"/>
            <color indexed="81"/>
            <rFont val="Tahoma"/>
            <family val="2"/>
            <charset val="204"/>
          </rPr>
          <t>#1.1.3.1.4 #1.1.3.1.4 #3.1.4</t>
        </r>
      </text>
    </comment>
    <comment ref="B74" authorId="0">
      <text>
        <r>
          <rPr>
            <sz val="9"/>
            <color indexed="81"/>
            <rFont val="Tahoma"/>
            <family val="2"/>
            <charset val="204"/>
          </rPr>
          <t>#1.1.3.1.5 #1.1.3.1.5 #3.1.5</t>
        </r>
      </text>
    </comment>
    <comment ref="Q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T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W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Z74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B75" authorId="0">
      <text>
        <r>
          <rPr>
            <sz val="9"/>
            <color indexed="81"/>
            <rFont val="Tahoma"/>
            <family val="2"/>
            <charset val="204"/>
          </rPr>
          <t>#1.1.3.1.6 #1.1.3.1.6 #3.1.6</t>
        </r>
      </text>
    </comment>
    <comment ref="B76" authorId="0">
      <text>
        <r>
          <rPr>
            <sz val="9"/>
            <color indexed="81"/>
            <rFont val="Tahoma"/>
            <family val="2"/>
            <charset val="204"/>
          </rPr>
          <t>#1.1.3.2 #1.1.3.2 #3.2</t>
        </r>
      </text>
    </comment>
    <comment ref="T76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76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77" authorId="0">
      <text>
        <r>
          <rPr>
            <sz val="9"/>
            <color indexed="81"/>
            <rFont val="Tahoma"/>
            <family val="2"/>
            <charset val="204"/>
          </rPr>
          <t>#1.1.3.2.1 #1.1.3.2.1 #3.2.1</t>
        </r>
      </text>
    </comment>
    <comment ref="B78" authorId="0">
      <text>
        <r>
          <rPr>
            <sz val="9"/>
            <color indexed="81"/>
            <rFont val="Tahoma"/>
            <family val="2"/>
            <charset val="204"/>
          </rPr>
          <t># #1.1.3.2.1.1 #</t>
        </r>
      </text>
    </comment>
    <comment ref="B79" authorId="0">
      <text>
        <r>
          <rPr>
            <sz val="9"/>
            <color indexed="81"/>
            <rFont val="Tahoma"/>
            <family val="2"/>
            <charset val="204"/>
          </rPr>
          <t># #1.1.3.2.1.1.2 #</t>
        </r>
      </text>
    </comment>
    <comment ref="B80" authorId="0">
      <text>
        <r>
          <rPr>
            <sz val="9"/>
            <color indexed="81"/>
            <rFont val="Tahoma"/>
            <family val="2"/>
            <charset val="204"/>
          </rPr>
          <t># #1.1.3.2.1.1.5 #</t>
        </r>
      </text>
    </comment>
    <comment ref="B81" authorId="0">
      <text>
        <r>
          <rPr>
            <sz val="9"/>
            <color indexed="81"/>
            <rFont val="Tahoma"/>
            <family val="2"/>
            <charset val="204"/>
          </rPr>
          <t># #1.1.3.2.1.1.1 #</t>
        </r>
      </text>
    </comment>
    <comment ref="B82" authorId="0">
      <text>
        <r>
          <rPr>
            <sz val="9"/>
            <color indexed="81"/>
            <rFont val="Tahoma"/>
            <family val="2"/>
            <charset val="204"/>
          </rPr>
          <t># #1.1.3.2.1.1.1.1 #</t>
        </r>
      </text>
    </comment>
    <comment ref="B83" authorId="0">
      <text>
        <r>
          <rPr>
            <sz val="9"/>
            <color indexed="81"/>
            <rFont val="Tahoma"/>
            <family val="2"/>
            <charset val="204"/>
          </rPr>
          <t># #1.1.3.2.1.1.1.2 #</t>
        </r>
      </text>
    </comment>
    <comment ref="B84" authorId="0">
      <text>
        <r>
          <rPr>
            <sz val="9"/>
            <color indexed="81"/>
            <rFont val="Tahoma"/>
            <family val="2"/>
            <charset val="204"/>
          </rPr>
          <t># #1.1.3.2.1.1.3 #</t>
        </r>
      </text>
    </comment>
    <comment ref="B85" authorId="0">
      <text>
        <r>
          <rPr>
            <sz val="9"/>
            <color indexed="81"/>
            <rFont val="Tahoma"/>
            <family val="2"/>
            <charset val="204"/>
          </rPr>
          <t># #1.1.3.2.1.1.4 #</t>
        </r>
      </text>
    </comment>
    <comment ref="B86" authorId="0">
      <text>
        <r>
          <rPr>
            <sz val="9"/>
            <color indexed="81"/>
            <rFont val="Tahoma"/>
            <family val="2"/>
            <charset val="204"/>
          </rPr>
          <t>#33. #1.1.3.2.1.2 #33.</t>
        </r>
      </text>
    </comment>
    <comment ref="B87" authorId="0">
      <text>
        <r>
          <rPr>
            <sz val="9"/>
            <color indexed="81"/>
            <rFont val="Tahoma"/>
            <family val="2"/>
            <charset val="204"/>
          </rPr>
          <t>#1.1.3.2.2 #1.1.3.2.2 #3.2.2</t>
        </r>
      </text>
    </comment>
    <comment ref="E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O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P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Q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T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87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AB87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88" authorId="0">
      <text>
        <r>
          <rPr>
            <sz val="9"/>
            <color indexed="81"/>
            <rFont val="Tahoma"/>
            <family val="2"/>
            <charset val="204"/>
          </rPr>
          <t>#1.1.3.3 #1.1.3.3 #3.3</t>
        </r>
      </text>
    </comment>
    <comment ref="B89" authorId="0">
      <text>
        <r>
          <rPr>
            <sz val="9"/>
            <color indexed="81"/>
            <rFont val="Tahoma"/>
            <family val="2"/>
            <charset val="204"/>
          </rPr>
          <t>#1.1.3.4 #1.1.3.4 #3.4</t>
        </r>
      </text>
    </comment>
    <comment ref="B90" authorId="0">
      <text>
        <r>
          <rPr>
            <sz val="9"/>
            <color indexed="81"/>
            <rFont val="Tahoma"/>
            <family val="2"/>
            <charset val="204"/>
          </rPr>
          <t>#1.1.3.5 #1.1.3.5 #3.5</t>
        </r>
      </text>
    </comment>
    <comment ref="B91" authorId="0">
      <text>
        <r>
          <rPr>
            <sz val="9"/>
            <color indexed="81"/>
            <rFont val="Tahoma"/>
            <family val="2"/>
            <charset val="204"/>
          </rPr>
          <t>#1.1.3.6 #1.1.3.6 #3.6</t>
        </r>
      </text>
    </comment>
    <comment ref="B92" authorId="0">
      <text>
        <r>
          <rPr>
            <sz val="9"/>
            <color indexed="81"/>
            <rFont val="Tahoma"/>
            <family val="2"/>
            <charset val="204"/>
          </rPr>
          <t>#1.1.3.7 #1.1.3.7 #3.7</t>
        </r>
      </text>
    </comment>
    <comment ref="B93" authorId="0">
      <text>
        <r>
          <rPr>
            <sz val="9"/>
            <color indexed="81"/>
            <rFont val="Tahoma"/>
            <family val="2"/>
            <charset val="204"/>
          </rPr>
          <t>#1.1.3.7.1 #1.1.3.7.1 #3.7.1</t>
        </r>
      </text>
    </comment>
    <comment ref="B94" authorId="0">
      <text>
        <r>
          <rPr>
            <sz val="9"/>
            <color indexed="81"/>
            <rFont val="Tahoma"/>
            <family val="2"/>
            <charset val="204"/>
          </rPr>
          <t>#1.1.3.7.2 #1.1.3.7.2 #3.7.2</t>
        </r>
      </text>
    </comment>
    <comment ref="B95" authorId="0">
      <text>
        <r>
          <rPr>
            <sz val="9"/>
            <color indexed="81"/>
            <rFont val="Tahoma"/>
            <family val="2"/>
            <charset val="204"/>
          </rPr>
          <t>#1.1.4 #1.1.4 #4.</t>
        </r>
      </text>
    </comment>
    <comment ref="B96" authorId="0">
      <text>
        <r>
          <rPr>
            <sz val="9"/>
            <color indexed="81"/>
            <rFont val="Tahoma"/>
            <family val="2"/>
            <charset val="204"/>
          </rPr>
          <t>#1.1.4.2 #1.1.4.2 #1.1.4.2</t>
        </r>
      </text>
    </comment>
    <comment ref="B97" authorId="0">
      <text>
        <r>
          <rPr>
            <sz val="9"/>
            <color indexed="81"/>
            <rFont val="Tahoma"/>
            <family val="2"/>
            <charset val="204"/>
          </rPr>
          <t>#1.1.4.3 #1.1.4.3 #1.1.4.3</t>
        </r>
      </text>
    </comment>
    <comment ref="B98" authorId="0">
      <text>
        <r>
          <rPr>
            <sz val="9"/>
            <color indexed="81"/>
            <rFont val="Tahoma"/>
            <family val="2"/>
            <charset val="204"/>
          </rPr>
          <t>#1.1.4.3.1 #1.1.4.3.1 #1.1.4.3.1</t>
        </r>
      </text>
    </comment>
    <comment ref="B99" authorId="0">
      <text>
        <r>
          <rPr>
            <sz val="9"/>
            <color indexed="81"/>
            <rFont val="Tahoma"/>
            <family val="2"/>
            <charset val="204"/>
          </rPr>
          <t>#1.1.4.3.2 #1.1.4.3.2 #1.1.4.3.2</t>
        </r>
      </text>
    </comment>
    <comment ref="B100" authorId="0">
      <text>
        <r>
          <rPr>
            <sz val="9"/>
            <color indexed="81"/>
            <rFont val="Tahoma"/>
            <family val="2"/>
            <charset val="204"/>
          </rPr>
          <t>#1.1.4.3.3 #1.1.4.3.3 #1.1.4.3.3</t>
        </r>
      </text>
    </comment>
    <comment ref="B101" authorId="0">
      <text>
        <r>
          <rPr>
            <sz val="9"/>
            <color indexed="81"/>
            <rFont val="Tahoma"/>
            <family val="2"/>
            <charset val="204"/>
          </rPr>
          <t>#1.1.4.4 #1.1.4.4 #1.1.4.4</t>
        </r>
      </text>
    </comment>
    <comment ref="B102" authorId="0">
      <text>
        <r>
          <rPr>
            <sz val="9"/>
            <color indexed="81"/>
            <rFont val="Tahoma"/>
            <family val="2"/>
            <charset val="204"/>
          </rPr>
          <t>#1.1.4.5 #1.1.4.5 #1.1.4.5</t>
        </r>
      </text>
    </comment>
    <comment ref="B103" authorId="0">
      <text>
        <r>
          <rPr>
            <sz val="9"/>
            <color indexed="81"/>
            <rFont val="Tahoma"/>
            <family val="2"/>
            <charset val="204"/>
          </rPr>
          <t>#1.1.4.6 #1.1.4.6 #1.1.4.6</t>
        </r>
      </text>
    </comment>
    <comment ref="B104" authorId="0">
      <text>
        <r>
          <rPr>
            <sz val="9"/>
            <color indexed="81"/>
            <rFont val="Tahoma"/>
            <family val="2"/>
            <charset val="204"/>
          </rPr>
          <t>#1.1.4.7 #1.1.4.7 #1.1.4.7</t>
        </r>
      </text>
    </comment>
    <comment ref="B105" authorId="0">
      <text>
        <r>
          <rPr>
            <sz val="9"/>
            <color indexed="81"/>
            <rFont val="Tahoma"/>
            <family val="2"/>
            <charset val="204"/>
          </rPr>
          <t>#1.1.4.7.1 #1.1.4.7.1 #1.1.4.7.1</t>
        </r>
      </text>
    </comment>
    <comment ref="B106" authorId="0">
      <text>
        <r>
          <rPr>
            <sz val="9"/>
            <color indexed="81"/>
            <rFont val="Tahoma"/>
            <family val="2"/>
            <charset val="204"/>
          </rPr>
          <t>#1.1.4.7.2 #1.1.4.7.2 #1.1.4.7.2</t>
        </r>
      </text>
    </comment>
    <comment ref="B107" authorId="0">
      <text>
        <r>
          <rPr>
            <sz val="9"/>
            <color indexed="81"/>
            <rFont val="Tahoma"/>
            <family val="2"/>
            <charset val="204"/>
          </rPr>
          <t>#1.1.4.7.3 #1.1.4.7.3 #1.1.4.7.3</t>
        </r>
      </text>
    </comment>
    <comment ref="B108" authorId="0">
      <text>
        <r>
          <rPr>
            <sz val="9"/>
            <color indexed="81"/>
            <rFont val="Tahoma"/>
            <family val="2"/>
            <charset val="204"/>
          </rPr>
          <t>#1.1.4.7.4 #1.1.4.7.4 #1.1.4.7.4</t>
        </r>
      </text>
    </comment>
    <comment ref="B109" authorId="0">
      <text>
        <r>
          <rPr>
            <sz val="9"/>
            <color indexed="81"/>
            <rFont val="Tahoma"/>
            <family val="2"/>
            <charset val="204"/>
          </rPr>
          <t>#1.1.4.7.6 #1.1.4.7.6 #1.1.4.7.6</t>
        </r>
      </text>
    </comment>
    <comment ref="B110" authorId="0">
      <text>
        <r>
          <rPr>
            <sz val="9"/>
            <color indexed="81"/>
            <rFont val="Tahoma"/>
            <family val="2"/>
            <charset val="204"/>
          </rPr>
          <t>#1.1.4.7.7 #1.1.4.7.7 #1.1.4.7.7</t>
        </r>
      </text>
    </comment>
    <comment ref="B111" authorId="0">
      <text>
        <r>
          <rPr>
            <sz val="9"/>
            <color indexed="81"/>
            <rFont val="Tahoma"/>
            <family val="2"/>
            <charset val="204"/>
          </rPr>
          <t>#1.1.4.7.5 #1.1.4.7.5 #1.1.4.7.5</t>
        </r>
      </text>
    </comment>
    <comment ref="B112" authorId="0">
      <text>
        <r>
          <rPr>
            <sz val="9"/>
            <color indexed="81"/>
            <rFont val="Tahoma"/>
            <family val="2"/>
            <charset val="204"/>
          </rPr>
          <t>#1.1.4.8 #1.1.4.8 #1.1.4.8</t>
        </r>
      </text>
    </comment>
    <comment ref="T112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U112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13" authorId="0">
      <text>
        <r>
          <rPr>
            <sz val="9"/>
            <color indexed="81"/>
            <rFont val="Tahoma"/>
            <family val="2"/>
            <charset val="204"/>
          </rPr>
          <t>#1.1.4.8.1 #1.1.4.8.1 #1.1.4.8.1</t>
        </r>
      </text>
    </comment>
    <comment ref="B114" authorId="0">
      <text>
        <r>
          <rPr>
            <sz val="9"/>
            <color indexed="81"/>
            <rFont val="Tahoma"/>
            <family val="2"/>
            <charset val="204"/>
          </rPr>
          <t>#1.1.4.8.1.1 #1.1.4.8.1.1 #1.1.4.8.1.1</t>
        </r>
      </text>
    </comment>
    <comment ref="B115" authorId="0">
      <text>
        <r>
          <rPr>
            <sz val="9"/>
            <color indexed="81"/>
            <rFont val="Tahoma"/>
            <family val="2"/>
            <charset val="204"/>
          </rPr>
          <t># #1.1.4.8.1.1.2 #</t>
        </r>
      </text>
    </comment>
    <comment ref="B116" authorId="0">
      <text>
        <r>
          <rPr>
            <sz val="9"/>
            <color indexed="81"/>
            <rFont val="Tahoma"/>
            <family val="2"/>
            <charset val="204"/>
          </rPr>
          <t>#1.1.4.8.1.1.5 #1.1.4.8.1.1.5 #1.1.4.8.1.1.5</t>
        </r>
      </text>
    </comment>
    <comment ref="B117" authorId="0">
      <text>
        <r>
          <rPr>
            <sz val="9"/>
            <color indexed="81"/>
            <rFont val="Tahoma"/>
            <family val="2"/>
            <charset val="204"/>
          </rPr>
          <t>#1.1.4.8.1.1.1 #1.1.4.8.1.1.1 #1.1.4.8.1.1.1</t>
        </r>
      </text>
    </comment>
    <comment ref="B118" authorId="0">
      <text>
        <r>
          <rPr>
            <sz val="9"/>
            <color indexed="81"/>
            <rFont val="Tahoma"/>
            <family val="2"/>
            <charset val="204"/>
          </rPr>
          <t>#1.1.4.8.1.1.1.1 #1.1.4.8.1.1.1.1 #1.1.4.8.1.1.1.1</t>
        </r>
      </text>
    </comment>
    <comment ref="B119" authorId="0">
      <text>
        <r>
          <rPr>
            <sz val="9"/>
            <color indexed="81"/>
            <rFont val="Tahoma"/>
            <family val="2"/>
            <charset val="204"/>
          </rPr>
          <t>#1.1.4.8.1.1.1.2 #1.1.4.8.1.1.1.2 #1.1.4.8.1.1.1.2</t>
        </r>
      </text>
    </comment>
    <comment ref="B120" authorId="0">
      <text>
        <r>
          <rPr>
            <sz val="9"/>
            <color indexed="81"/>
            <rFont val="Tahoma"/>
            <family val="2"/>
            <charset val="204"/>
          </rPr>
          <t>#1.1.4.8.1.9 #1.1.4.8.1.9 #1.1.4.8.1.9</t>
        </r>
      </text>
    </comment>
    <comment ref="B121" authorId="0">
      <text>
        <r>
          <rPr>
            <sz val="9"/>
            <color indexed="81"/>
            <rFont val="Tahoma"/>
            <family val="2"/>
            <charset val="204"/>
          </rPr>
          <t>#1.1.4.8.1.10 #1.1.4.8.1.10 #1.1.4.8.1.10</t>
        </r>
      </text>
    </comment>
    <comment ref="B122" authorId="0">
      <text>
        <r>
          <rPr>
            <sz val="9"/>
            <color indexed="81"/>
            <rFont val="Tahoma"/>
            <family val="2"/>
            <charset val="204"/>
          </rPr>
          <t>#1.1.4.8.1.2 #1.1.4.8.1.2 #1.1.4.8.1.2</t>
        </r>
      </text>
    </comment>
    <comment ref="B123" authorId="0">
      <text>
        <r>
          <rPr>
            <sz val="9"/>
            <color indexed="81"/>
            <rFont val="Tahoma"/>
            <family val="2"/>
            <charset val="204"/>
          </rPr>
          <t>#1.1.4.8.2 #1.1.4.8.2 #1.1.4.8.2</t>
        </r>
      </text>
    </comment>
    <comment ref="E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F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H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I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K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L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N123" authorId="0">
      <text>
        <r>
          <rPr>
            <sz val="9"/>
            <color indexed="81"/>
            <rFont val="Tahoma"/>
            <family val="2"/>
            <charset val="204"/>
          </rPr>
          <t>Расчет по формуле: Поле0*Поле1/100</t>
        </r>
      </text>
    </comment>
    <comment ref="O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Q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R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T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U123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24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5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6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127" authorId="0">
      <text>
        <r>
          <rPr>
            <sz val="9"/>
            <color indexed="81"/>
            <rFont val="Tahoma"/>
            <family val="2"/>
            <charset val="204"/>
          </rPr>
          <t>#30. #20.3 #30.</t>
        </r>
      </text>
    </comment>
    <comment ref="B128" authorId="0">
      <text>
        <r>
          <rPr>
            <sz val="9"/>
            <color indexed="81"/>
            <rFont val="Tahoma"/>
            <family val="2"/>
            <charset val="204"/>
          </rPr>
          <t>#26. #20.4 #26.</t>
        </r>
      </text>
    </comment>
    <comment ref="B12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0" authorId="0">
      <text>
        <r>
          <rPr>
            <sz val="9"/>
            <color indexed="81"/>
            <rFont val="Tahoma"/>
            <family val="2"/>
            <charset val="204"/>
          </rPr>
          <t>#3.1.2 #20.5 #</t>
        </r>
      </text>
    </comment>
    <comment ref="B131" authorId="0">
      <text>
        <r>
          <rPr>
            <sz val="9"/>
            <color indexed="81"/>
            <rFont val="Tahoma"/>
            <family val="2"/>
            <charset val="204"/>
          </rPr>
          <t>#5.3 #20.6 #</t>
        </r>
      </text>
    </comment>
    <comment ref="B13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3" authorId="0">
      <text>
        <r>
          <rPr>
            <sz val="9"/>
            <color indexed="81"/>
            <rFont val="Tahoma"/>
            <family val="2"/>
            <charset val="204"/>
          </rPr>
          <t>#3.1.3 #20.7 #</t>
        </r>
      </text>
    </comment>
    <comment ref="B134" authorId="0">
      <text>
        <r>
          <rPr>
            <sz val="9"/>
            <color indexed="81"/>
            <rFont val="Tahoma"/>
            <family val="2"/>
            <charset val="204"/>
          </rPr>
          <t>#5.4 #20.8 #</t>
        </r>
      </text>
    </comment>
    <comment ref="B13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6" authorId="0">
      <text>
        <r>
          <rPr>
            <sz val="9"/>
            <color indexed="81"/>
            <rFont val="Tahoma"/>
            <family val="2"/>
            <charset val="204"/>
          </rPr>
          <t>#3.1.4 #20.9 #</t>
        </r>
      </text>
    </comment>
    <comment ref="B137" authorId="0">
      <text>
        <r>
          <rPr>
            <sz val="9"/>
            <color indexed="81"/>
            <rFont val="Tahoma"/>
            <family val="2"/>
            <charset val="204"/>
          </rPr>
          <t>#5.5 #20.11 #</t>
        </r>
      </text>
    </comment>
    <comment ref="B13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39" authorId="0">
      <text>
        <r>
          <rPr>
            <sz val="9"/>
            <color indexed="81"/>
            <rFont val="Tahoma"/>
            <family val="2"/>
            <charset val="204"/>
          </rPr>
          <t>#3.1.5 #20.12 #</t>
        </r>
      </text>
    </comment>
    <comment ref="B140" authorId="0">
      <text>
        <r>
          <rPr>
            <sz val="9"/>
            <color indexed="81"/>
            <rFont val="Tahoma"/>
            <family val="2"/>
            <charset val="204"/>
          </rPr>
          <t>#6 #20.13 #</t>
        </r>
      </text>
    </comment>
    <comment ref="B14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4" authorId="0">
      <text>
        <r>
          <rPr>
            <sz val="9"/>
            <color indexed="81"/>
            <rFont val="Tahoma"/>
            <family val="2"/>
            <charset val="204"/>
          </rPr>
          <t># #20.14 #</t>
        </r>
      </text>
    </comment>
    <comment ref="B145" authorId="0">
      <text>
        <r>
          <rPr>
            <sz val="9"/>
            <color indexed="81"/>
            <rFont val="Tahoma"/>
            <family val="2"/>
            <charset val="204"/>
          </rPr>
          <t># #20.15 #</t>
        </r>
      </text>
    </comment>
    <comment ref="B14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47" authorId="0">
      <text>
        <r>
          <rPr>
            <sz val="9"/>
            <color indexed="81"/>
            <rFont val="Tahoma"/>
            <family val="2"/>
            <charset val="204"/>
          </rPr>
          <t># #20.16 #</t>
        </r>
      </text>
    </comment>
    <comment ref="B148" authorId="0">
      <text>
        <r>
          <rPr>
            <sz val="9"/>
            <color indexed="81"/>
            <rFont val="Tahoma"/>
            <family val="2"/>
            <charset val="204"/>
          </rPr>
          <t># #20.17 #</t>
        </r>
      </text>
    </comment>
    <comment ref="B14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0" authorId="0">
      <text>
        <r>
          <rPr>
            <sz val="9"/>
            <color indexed="81"/>
            <rFont val="Tahoma"/>
            <family val="2"/>
            <charset val="204"/>
          </rPr>
          <t># #20.18 #</t>
        </r>
      </text>
    </comment>
    <comment ref="B151" authorId="0">
      <text>
        <r>
          <rPr>
            <sz val="9"/>
            <color indexed="81"/>
            <rFont val="Tahoma"/>
            <family val="2"/>
            <charset val="204"/>
          </rPr>
          <t># #20.19 #</t>
        </r>
      </text>
    </comment>
    <comment ref="B15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3" authorId="0">
      <text>
        <r>
          <rPr>
            <sz val="9"/>
            <color indexed="81"/>
            <rFont val="Tahoma"/>
            <family val="2"/>
            <charset val="204"/>
          </rPr>
          <t># #30.1 #</t>
        </r>
      </text>
    </comment>
    <comment ref="B154" authorId="0">
      <text>
        <r>
          <rPr>
            <sz val="9"/>
            <color indexed="81"/>
            <rFont val="Tahoma"/>
            <family val="2"/>
            <charset val="204"/>
          </rPr>
          <t># #30.2 #</t>
        </r>
      </text>
    </comment>
    <comment ref="B15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6" authorId="0">
      <text>
        <r>
          <rPr>
            <sz val="9"/>
            <color indexed="81"/>
            <rFont val="Tahoma"/>
            <family val="2"/>
            <charset val="204"/>
          </rPr>
          <t># #30.3 #</t>
        </r>
      </text>
    </comment>
    <comment ref="B157" authorId="0">
      <text>
        <r>
          <rPr>
            <sz val="9"/>
            <color indexed="81"/>
            <rFont val="Tahoma"/>
            <family val="2"/>
            <charset val="204"/>
          </rPr>
          <t># #30.4 #</t>
        </r>
      </text>
    </comment>
    <comment ref="B15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5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0" authorId="0">
      <text>
        <r>
          <rPr>
            <sz val="9"/>
            <color indexed="81"/>
            <rFont val="Tahoma"/>
            <family val="2"/>
            <charset val="204"/>
          </rPr>
          <t># #30.5 #</t>
        </r>
      </text>
    </comment>
    <comment ref="B161" authorId="0">
      <text>
        <r>
          <rPr>
            <sz val="9"/>
            <color indexed="81"/>
            <rFont val="Tahoma"/>
            <family val="2"/>
            <charset val="204"/>
          </rPr>
          <t># #30.6 #</t>
        </r>
      </text>
    </comment>
    <comment ref="B16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3" authorId="0">
      <text>
        <r>
          <rPr>
            <sz val="9"/>
            <color indexed="81"/>
            <rFont val="Tahoma"/>
            <family val="2"/>
            <charset val="204"/>
          </rPr>
          <t># #30.7 #</t>
        </r>
      </text>
    </comment>
    <comment ref="B164" authorId="0">
      <text>
        <r>
          <rPr>
            <sz val="9"/>
            <color indexed="81"/>
            <rFont val="Tahoma"/>
            <family val="2"/>
            <charset val="204"/>
          </rPr>
          <t># #30.8 #</t>
        </r>
      </text>
    </comment>
    <comment ref="B16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6" authorId="0">
      <text>
        <r>
          <rPr>
            <sz val="9"/>
            <color indexed="81"/>
            <rFont val="Tahoma"/>
            <family val="2"/>
            <charset val="204"/>
          </rPr>
          <t># #30.9 #</t>
        </r>
      </text>
    </comment>
    <comment ref="B167" authorId="0">
      <text>
        <r>
          <rPr>
            <sz val="9"/>
            <color indexed="81"/>
            <rFont val="Tahoma"/>
            <family val="2"/>
            <charset val="204"/>
          </rPr>
          <t># #30.11 #</t>
        </r>
      </text>
    </comment>
    <comment ref="B16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69" authorId="0">
      <text>
        <r>
          <rPr>
            <sz val="9"/>
            <color indexed="81"/>
            <rFont val="Tahoma"/>
            <family val="2"/>
            <charset val="204"/>
          </rPr>
          <t># #30.12 #</t>
        </r>
      </text>
    </comment>
    <comment ref="B170" authorId="0">
      <text>
        <r>
          <rPr>
            <sz val="9"/>
            <color indexed="81"/>
            <rFont val="Tahoma"/>
            <family val="2"/>
            <charset val="204"/>
          </rPr>
          <t># #30.13 #</t>
        </r>
      </text>
    </comment>
    <comment ref="B17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172" authorId="0">
      <text>
        <r>
          <rPr>
            <sz val="9"/>
            <color indexed="81"/>
            <rFont val="Tahoma"/>
            <family val="2"/>
            <charset val="204"/>
          </rPr>
          <t># #30.14 #</t>
        </r>
      </text>
    </comment>
    <comment ref="B173" authorId="0">
      <text>
        <r>
          <rPr>
            <sz val="9"/>
            <color indexed="81"/>
            <rFont val="Tahoma"/>
            <family val="2"/>
            <charset val="204"/>
          </rPr>
          <t># #30.15 #</t>
        </r>
      </text>
    </comment>
    <comment ref="B174" authorId="0">
      <text>
        <r>
          <rPr>
            <sz val="9"/>
            <color indexed="81"/>
            <rFont val="Tahoma"/>
            <family val="2"/>
            <charset val="204"/>
          </rPr>
          <t>#1.3 #1.3 #</t>
        </r>
      </text>
    </comment>
    <comment ref="B175" authorId="0">
      <text>
        <r>
          <rPr>
            <sz val="9"/>
            <color indexed="81"/>
            <rFont val="Tahoma"/>
            <family val="2"/>
            <charset val="204"/>
          </rPr>
          <t>#1.3.1 #1.3.1 #1.2</t>
        </r>
      </text>
    </comment>
    <comment ref="B176" authorId="0">
      <text>
        <r>
          <rPr>
            <sz val="9"/>
            <color indexed="81"/>
            <rFont val="Tahoma"/>
            <family val="2"/>
            <charset val="204"/>
          </rPr>
          <t># #1.3.1.3 #</t>
        </r>
      </text>
    </comment>
    <comment ref="B177" authorId="0">
      <text>
        <r>
          <rPr>
            <sz val="9"/>
            <color indexed="81"/>
            <rFont val="Tahoma"/>
            <family val="2"/>
            <charset val="204"/>
          </rPr>
          <t># #1.3.1.3.1 #</t>
        </r>
      </text>
    </comment>
    <comment ref="B178" authorId="0">
      <text>
        <r>
          <rPr>
            <sz val="9"/>
            <color indexed="81"/>
            <rFont val="Tahoma"/>
            <family val="2"/>
            <charset val="204"/>
          </rPr>
          <t># #1.3.1.3.1.1 #</t>
        </r>
      </text>
    </comment>
    <comment ref="B179" authorId="0">
      <text>
        <r>
          <rPr>
            <sz val="9"/>
            <color indexed="81"/>
            <rFont val="Tahoma"/>
            <family val="2"/>
            <charset val="204"/>
          </rPr>
          <t># #1.3.1.3.1.2 #</t>
        </r>
      </text>
    </comment>
    <comment ref="Q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7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0" authorId="0">
      <text>
        <r>
          <rPr>
            <sz val="9"/>
            <color indexed="81"/>
            <rFont val="Tahoma"/>
            <family val="2"/>
            <charset val="204"/>
          </rPr>
          <t># #1.3.1.3.2 #</t>
        </r>
      </text>
    </comment>
    <comment ref="B181" authorId="0">
      <text>
        <r>
          <rPr>
            <sz val="9"/>
            <color indexed="81"/>
            <rFont val="Tahoma"/>
            <family val="2"/>
            <charset val="204"/>
          </rPr>
          <t># #1.3.1.3.2.1 #</t>
        </r>
      </text>
    </comment>
    <comment ref="B182" authorId="0">
      <text>
        <r>
          <rPr>
            <sz val="9"/>
            <color indexed="81"/>
            <rFont val="Tahoma"/>
            <family val="2"/>
            <charset val="204"/>
          </rPr>
          <t># #1.3.1.3.2.2 #</t>
        </r>
      </text>
    </comment>
    <comment ref="T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3" authorId="0">
      <text>
        <r>
          <rPr>
            <sz val="9"/>
            <color indexed="81"/>
            <rFont val="Tahoma"/>
            <family val="2"/>
            <charset val="204"/>
          </rPr>
          <t># #1.3.1.3.3 #</t>
        </r>
      </text>
    </comment>
    <comment ref="B184" authorId="0">
      <text>
        <r>
          <rPr>
            <sz val="9"/>
            <color indexed="81"/>
            <rFont val="Tahoma"/>
            <family val="2"/>
            <charset val="204"/>
          </rPr>
          <t># #1.3.1.3.3.1 #</t>
        </r>
      </text>
    </comment>
    <comment ref="B185" authorId="0">
      <text>
        <r>
          <rPr>
            <sz val="9"/>
            <color indexed="81"/>
            <rFont val="Tahoma"/>
            <family val="2"/>
            <charset val="204"/>
          </rPr>
          <t># #1.3.1.3.3.2 #</t>
        </r>
      </text>
    </comment>
    <comment ref="B186" authorId="0">
      <text>
        <r>
          <rPr>
            <sz val="9"/>
            <color indexed="81"/>
            <rFont val="Tahoma"/>
            <family val="2"/>
            <charset val="204"/>
          </rPr>
          <t>#1.3.1.3 #1.3.1.3.4 #1.2.4</t>
        </r>
      </text>
    </comment>
    <comment ref="B187" authorId="0">
      <text>
        <r>
          <rPr>
            <sz val="9"/>
            <color indexed="81"/>
            <rFont val="Tahoma"/>
            <family val="2"/>
            <charset val="204"/>
          </rPr>
          <t>#1.3.1.1 #1.3.1.1 #1.2.2</t>
        </r>
      </text>
    </comment>
    <comment ref="B188" authorId="0">
      <text>
        <r>
          <rPr>
            <sz val="9"/>
            <color indexed="81"/>
            <rFont val="Tahoma"/>
            <family val="2"/>
            <charset val="204"/>
          </rPr>
          <t>#44. #30.16 #44.</t>
        </r>
      </text>
    </comment>
    <comment ref="B189" authorId="0">
      <text>
        <r>
          <rPr>
            <sz val="9"/>
            <color indexed="81"/>
            <rFont val="Tahoma"/>
            <family val="2"/>
            <charset val="204"/>
          </rPr>
          <t>#43. #30.17 #43.</t>
        </r>
      </text>
    </comment>
    <comment ref="Q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</t>
        </r>
      </text>
    </comment>
    <comment ref="T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9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0" authorId="0">
      <text>
        <r>
          <rPr>
            <sz val="9"/>
            <color indexed="81"/>
            <rFont val="Tahoma"/>
            <family val="2"/>
            <charset val="204"/>
          </rPr>
          <t>#1.3.1.2 #1.3.1.2 #1.2.3</t>
        </r>
      </text>
    </comment>
    <comment ref="B191" authorId="0">
      <text>
        <r>
          <rPr>
            <sz val="9"/>
            <color indexed="81"/>
            <rFont val="Tahoma"/>
            <family val="2"/>
            <charset val="204"/>
          </rPr>
          <t>#1.3.1.4 #1.3.1.4 #</t>
        </r>
      </text>
    </comment>
    <comment ref="B192" authorId="0">
      <text>
        <r>
          <rPr>
            <sz val="9"/>
            <color indexed="81"/>
            <rFont val="Tahoma"/>
            <family val="2"/>
            <charset val="204"/>
          </rPr>
          <t>#38. #1.3.1.4.1 #</t>
        </r>
      </text>
    </comment>
    <comment ref="Q192" authorId="1">
      <text>
        <r>
          <rPr>
            <b/>
            <sz val="9"/>
            <color indexed="81"/>
            <rFont val="Tahoma"/>
            <family val="2"/>
            <charset val="204"/>
          </rPr>
          <t>a.knyazkina
объем РЖД ушел с конца 2022г</t>
        </r>
      </text>
    </comment>
    <comment ref="T192" authorId="1">
      <text>
        <r>
          <rPr>
            <b/>
            <sz val="9"/>
            <color indexed="81"/>
            <rFont val="Tahoma"/>
            <family val="2"/>
            <charset val="204"/>
          </rPr>
          <t>a.knyazkina
объем РЖД ушел с конца 2022г</t>
        </r>
      </text>
    </comment>
    <comment ref="B193" authorId="0">
      <text>
        <r>
          <rPr>
            <sz val="9"/>
            <color indexed="81"/>
            <rFont val="Tahoma"/>
            <family val="2"/>
            <charset val="204"/>
          </rPr>
          <t>#37. #1.3.1.4.2 #</t>
        </r>
      </text>
    </comment>
    <comment ref="W19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4" authorId="0">
      <text>
        <r>
          <rPr>
            <sz val="9"/>
            <color indexed="81"/>
            <rFont val="Tahoma"/>
            <family val="2"/>
            <charset val="204"/>
          </rPr>
          <t>#1.3.1.5 #1.3.1.5 #1.2.5</t>
        </r>
      </text>
    </comment>
    <comment ref="B195" authorId="0">
      <text>
        <r>
          <rPr>
            <sz val="9"/>
            <color indexed="81"/>
            <rFont val="Tahoma"/>
            <family val="2"/>
            <charset val="204"/>
          </rPr>
          <t>#46. #1.2.5.2 #46.</t>
        </r>
      </text>
    </comment>
    <comment ref="B196" authorId="0">
      <text>
        <r>
          <rPr>
            <sz val="9"/>
            <color indexed="81"/>
            <rFont val="Tahoma"/>
            <family val="2"/>
            <charset val="204"/>
          </rPr>
          <t>#45. #1.2.5.1 #45.</t>
        </r>
      </text>
    </comment>
    <comment ref="W19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7" authorId="0">
      <text>
        <r>
          <rPr>
            <sz val="9"/>
            <color indexed="81"/>
            <rFont val="Tahoma"/>
            <family val="2"/>
            <charset val="204"/>
          </rPr>
          <t>#1.3.1.8 #1.3.1.7 #</t>
        </r>
      </text>
    </comment>
    <comment ref="B198" authorId="0">
      <text>
        <r>
          <rPr>
            <sz val="9"/>
            <color indexed="81"/>
            <rFont val="Tahoma"/>
            <family val="2"/>
            <charset val="204"/>
          </rPr>
          <t>#1.3.1.9 #1.3.1.8 #</t>
        </r>
      </text>
    </comment>
    <comment ref="B199" authorId="0">
      <text>
        <r>
          <rPr>
            <sz val="9"/>
            <color indexed="81"/>
            <rFont val="Tahoma"/>
            <family val="2"/>
            <charset val="204"/>
          </rPr>
          <t>#1.3.1.10 #1.3.1.9 #</t>
        </r>
      </text>
    </comment>
    <comment ref="B200" authorId="0">
      <text>
        <r>
          <rPr>
            <sz val="9"/>
            <color indexed="81"/>
            <rFont val="Tahoma"/>
            <family val="2"/>
            <charset val="204"/>
          </rPr>
          <t>#1.3.1.11 #1.3.1.11 #</t>
        </r>
      </text>
    </comment>
    <comment ref="B201" authorId="0">
      <text>
        <r>
          <rPr>
            <sz val="9"/>
            <color indexed="81"/>
            <rFont val="Tahoma"/>
            <family val="2"/>
            <charset val="204"/>
          </rPr>
          <t>#42. #1.3.1.11.1 #42.</t>
        </r>
      </text>
    </comment>
    <comment ref="B202" authorId="0">
      <text>
        <r>
          <rPr>
            <sz val="9"/>
            <color indexed="81"/>
            <rFont val="Tahoma"/>
            <family val="2"/>
            <charset val="204"/>
          </rPr>
          <t>#41. #1.3.1.11.2 #41.</t>
        </r>
      </text>
    </comment>
    <comment ref="T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2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3" authorId="0">
      <text>
        <r>
          <rPr>
            <sz val="9"/>
            <color indexed="81"/>
            <rFont val="Tahoma"/>
            <family val="2"/>
            <charset val="204"/>
          </rPr>
          <t>#1.3.1.12 #1.3.1.12 #</t>
        </r>
      </text>
    </comment>
    <comment ref="B204" authorId="0">
      <text>
        <r>
          <rPr>
            <sz val="9"/>
            <color indexed="81"/>
            <rFont val="Tahoma"/>
            <family val="2"/>
            <charset val="204"/>
          </rPr>
          <t>#40. #1.3.1.12.1 #</t>
        </r>
      </text>
    </comment>
    <comment ref="B205" authorId="0">
      <text>
        <r>
          <rPr>
            <sz val="9"/>
            <color indexed="81"/>
            <rFont val="Tahoma"/>
            <family val="2"/>
            <charset val="204"/>
          </rPr>
          <t>#39. #1.3.1.12.2 #</t>
        </r>
      </text>
    </comment>
    <comment ref="W205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5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7" authorId="0">
      <text>
        <r>
          <rPr>
            <sz val="9"/>
            <color indexed="81"/>
            <rFont val="Tahoma"/>
            <family val="2"/>
            <charset val="204"/>
          </rPr>
          <t>#1.3.2 #1.3.2 #7.</t>
        </r>
      </text>
    </comment>
    <comment ref="B208" authorId="0">
      <text>
        <r>
          <rPr>
            <sz val="9"/>
            <color indexed="81"/>
            <rFont val="Tahoma"/>
            <family val="2"/>
            <charset val="204"/>
          </rPr>
          <t>#1.3.2.1 #1.3.2.1 #7.1</t>
        </r>
      </text>
    </comment>
    <comment ref="B209" authorId="0">
      <text>
        <r>
          <rPr>
            <sz val="9"/>
            <color indexed="81"/>
            <rFont val="Tahoma"/>
            <family val="2"/>
            <charset val="204"/>
          </rPr>
          <t>#1.3.2.2 #1.3.2.2 #7.2</t>
        </r>
      </text>
    </comment>
    <comment ref="B210" authorId="0">
      <text>
        <r>
          <rPr>
            <sz val="9"/>
            <color indexed="81"/>
            <rFont val="Tahoma"/>
            <family val="2"/>
            <charset val="204"/>
          </rPr>
          <t>#1.3.2.3 #1.3.2.3 #7.5</t>
        </r>
      </text>
    </comment>
    <comment ref="B211" authorId="0">
      <text>
        <r>
          <rPr>
            <sz val="9"/>
            <color indexed="81"/>
            <rFont val="Tahoma"/>
            <family val="2"/>
            <charset val="204"/>
          </rPr>
          <t>#1.3.2.4 #1.3.2.4 #7.4</t>
        </r>
      </text>
    </comment>
    <comment ref="B212" authorId="0">
      <text>
        <r>
          <rPr>
            <sz val="9"/>
            <color indexed="81"/>
            <rFont val="Tahoma"/>
            <family val="2"/>
            <charset val="204"/>
          </rPr>
          <t>#1.3.2.4.1 #1.3.2.4.1 #7.4</t>
        </r>
      </text>
    </comment>
    <comment ref="B213" authorId="0">
      <text>
        <r>
          <rPr>
            <sz val="9"/>
            <color indexed="81"/>
            <rFont val="Tahoma"/>
            <family val="2"/>
            <charset val="204"/>
          </rPr>
          <t>#1.3.2.5 #1.3.2.4.2 #</t>
        </r>
      </text>
    </comment>
    <comment ref="B214" authorId="0">
      <text>
        <r>
          <rPr>
            <sz val="9"/>
            <color indexed="81"/>
            <rFont val="Tahoma"/>
            <family val="2"/>
            <charset val="204"/>
          </rPr>
          <t>#1.3.2.6 #1.3.2.6 #7.6</t>
        </r>
      </text>
    </comment>
    <comment ref="B215" authorId="0">
      <text>
        <r>
          <rPr>
            <sz val="9"/>
            <color indexed="81"/>
            <rFont val="Tahoma"/>
            <family val="2"/>
            <charset val="204"/>
          </rPr>
          <t>#1.3.2.7 #1.3.2.7 #7.3</t>
        </r>
      </text>
    </comment>
    <comment ref="B216" authorId="0">
      <text>
        <r>
          <rPr>
            <sz val="9"/>
            <color indexed="81"/>
            <rFont val="Tahoma"/>
            <family val="2"/>
            <charset val="204"/>
          </rPr>
          <t>#1.3.2.8 #1.3.2.8 #7.7</t>
        </r>
      </text>
    </comment>
    <comment ref="B217" authorId="0">
      <text>
        <r>
          <rPr>
            <sz val="9"/>
            <color indexed="81"/>
            <rFont val="Tahoma"/>
            <family val="2"/>
            <charset val="204"/>
          </rPr>
          <t>#1.3.3 #1.3.3 #6.</t>
        </r>
      </text>
    </comment>
    <comment ref="B218" authorId="0">
      <text>
        <r>
          <rPr>
            <sz val="9"/>
            <color indexed="81"/>
            <rFont val="Tahoma"/>
            <family val="2"/>
            <charset val="204"/>
          </rPr>
          <t>#1.3.3 #1.3.3 #6.1</t>
        </r>
      </text>
    </comment>
    <comment ref="B219" authorId="0">
      <text>
        <r>
          <rPr>
            <sz val="9"/>
            <color indexed="81"/>
            <rFont val="Tahoma"/>
            <family val="2"/>
            <charset val="204"/>
          </rPr>
          <t># # #6.2</t>
        </r>
      </text>
    </comment>
    <comment ref="B220" authorId="0">
      <text>
        <r>
          <rPr>
            <sz val="9"/>
            <color indexed="81"/>
            <rFont val="Tahoma"/>
            <family val="2"/>
            <charset val="204"/>
          </rPr>
          <t># # #6.3</t>
        </r>
      </text>
    </comment>
    <comment ref="B221" authorId="0">
      <text>
        <r>
          <rPr>
            <sz val="9"/>
            <color indexed="81"/>
            <rFont val="Tahoma"/>
            <family val="2"/>
            <charset val="204"/>
          </rPr>
          <t># # #6.4</t>
        </r>
      </text>
    </comment>
    <comment ref="B22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3" authorId="0">
      <text>
        <r>
          <rPr>
            <sz val="9"/>
            <color indexed="81"/>
            <rFont val="Tahoma"/>
            <family val="2"/>
            <charset val="204"/>
          </rPr>
          <t>#1.3.6 #1.3.6 #</t>
        </r>
      </text>
    </comment>
    <comment ref="B224" authorId="0">
      <text>
        <r>
          <rPr>
            <sz val="9"/>
            <color indexed="81"/>
            <rFont val="Tahoma"/>
            <family val="2"/>
            <charset val="204"/>
          </rPr>
          <t>#1.3.7 #1.3.7 #</t>
        </r>
      </text>
    </comment>
    <comment ref="B225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226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22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29" authorId="0">
      <text>
        <r>
          <rPr>
            <sz val="9"/>
            <color indexed="81"/>
            <rFont val="Tahoma"/>
            <family val="2"/>
            <charset val="204"/>
          </rPr>
          <t>#1.3.9 #1.3.9 #</t>
        </r>
      </text>
    </comment>
    <comment ref="B230" authorId="0">
      <text>
        <r>
          <rPr>
            <sz val="9"/>
            <color indexed="81"/>
            <rFont val="Tahoma"/>
            <family val="2"/>
            <charset val="204"/>
          </rPr>
          <t>#1.3.9.1 #1.3.9.1 #</t>
        </r>
      </text>
    </comment>
    <comment ref="B231" authorId="0">
      <text>
        <r>
          <rPr>
            <sz val="9"/>
            <color indexed="81"/>
            <rFont val="Tahoma"/>
            <family val="2"/>
            <charset val="204"/>
          </rPr>
          <t>#1.3.9.2 #1.3.9.2 #</t>
        </r>
      </text>
    </comment>
    <comment ref="B235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236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237" authorId="0">
      <text>
        <r>
          <rPr>
            <sz val="9"/>
            <color indexed="81"/>
            <rFont val="Tahoma"/>
            <family val="2"/>
            <charset val="204"/>
          </rPr>
          <t>#25. #25. #25.</t>
        </r>
      </text>
    </comment>
    <comment ref="B238" authorId="0">
      <text>
        <r>
          <rPr>
            <sz val="9"/>
            <color indexed="81"/>
            <rFont val="Tahoma"/>
            <family val="2"/>
            <charset val="204"/>
          </rPr>
          <t>#4. #3. #9.</t>
        </r>
      </text>
    </comment>
    <comment ref="B239" authorId="0">
      <text>
        <r>
          <rPr>
            <sz val="9"/>
            <color indexed="81"/>
            <rFont val="Tahoma"/>
            <family val="2"/>
            <charset val="204"/>
          </rPr>
          <t>#4.2 #3.2 #9.3</t>
        </r>
      </text>
    </comment>
    <comment ref="B240" authorId="0">
      <text>
        <r>
          <rPr>
            <sz val="9"/>
            <color indexed="81"/>
            <rFont val="Tahoma"/>
            <family val="2"/>
            <charset val="204"/>
          </rPr>
          <t># # #9.1</t>
        </r>
      </text>
    </comment>
    <comment ref="B241" authorId="0">
      <text>
        <r>
          <rPr>
            <sz val="9"/>
            <color indexed="81"/>
            <rFont val="Tahoma"/>
            <family val="2"/>
            <charset val="204"/>
          </rPr>
          <t>#4.1 #3.1 #9.2</t>
        </r>
      </text>
    </comment>
    <comment ref="B24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47" authorId="0">
      <text>
        <r>
          <rPr>
            <sz val="9"/>
            <color indexed="81"/>
            <rFont val="Tahoma"/>
            <family val="2"/>
            <charset val="204"/>
          </rPr>
          <t># #40.9 #</t>
        </r>
      </text>
    </comment>
    <comment ref="B248" authorId="0">
      <text>
        <r>
          <rPr>
            <sz val="9"/>
            <color indexed="81"/>
            <rFont val="Tahoma"/>
            <family val="2"/>
            <charset val="204"/>
          </rPr>
          <t># #40.11 #</t>
        </r>
      </text>
    </comment>
    <comment ref="B249" authorId="0">
      <text>
        <r>
          <rPr>
            <sz val="9"/>
            <color indexed="81"/>
            <rFont val="Tahoma"/>
            <family val="2"/>
            <charset val="204"/>
          </rPr>
          <t># #40.12 #</t>
        </r>
      </text>
    </comment>
    <comment ref="B250" authorId="0">
      <text>
        <r>
          <rPr>
            <sz val="9"/>
            <color indexed="81"/>
            <rFont val="Tahoma"/>
            <family val="2"/>
            <charset val="204"/>
          </rPr>
          <t># #40.13 #</t>
        </r>
      </text>
    </comment>
    <comment ref="B25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5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269" authorId="0">
      <text>
        <r>
          <rPr>
            <sz val="9"/>
            <color indexed="81"/>
            <rFont val="Tahoma"/>
            <family val="2"/>
            <charset val="204"/>
          </rPr>
          <t>#5. #4. #10.</t>
        </r>
      </text>
    </comment>
  </commentList>
</comments>
</file>

<file path=xl/comments4.xml><?xml version="1.0" encoding="utf-8"?>
<comments xmlns="http://schemas.openxmlformats.org/spreadsheetml/2006/main">
  <authors>
    <author>n.smirnova</author>
  </authors>
  <commentList>
    <comment ref="U3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  <comment ref="V3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  <comment ref="W3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  <comment ref="X3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реконструируемых объектов на конец периода</t>
        </r>
      </text>
    </comment>
    <comment ref="Y3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реконструируемых объектов на конец периода</t>
        </r>
      </text>
    </comment>
    <comment ref="U65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  <comment ref="V65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  <comment ref="W65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  <comment ref="X65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  <comment ref="Y65" authorId="0">
      <text>
        <r>
          <rPr>
            <b/>
            <sz val="9"/>
            <color indexed="81"/>
            <rFont val="Tahoma"/>
            <family val="2"/>
            <charset val="204"/>
          </rPr>
          <t>n.smirnova:</t>
        </r>
        <r>
          <rPr>
            <sz val="9"/>
            <color indexed="81"/>
            <rFont val="Tahoma"/>
            <family val="2"/>
            <charset val="204"/>
          </rPr>
          <t xml:space="preserve">
за исключением стоимости на конец периода реконструируемых объектов</t>
        </r>
      </text>
    </comment>
  </commentList>
</comments>
</file>

<file path=xl/comments5.xml><?xml version="1.0" encoding="utf-8"?>
<comments xmlns="http://schemas.openxmlformats.org/spreadsheetml/2006/main">
  <authors>
    <author>Автор</author>
    <author>a.knyazkina</author>
    <author/>
  </authors>
  <commentList>
    <comment ref="B5" authorId="0">
      <text>
        <r>
          <rPr>
            <sz val="9"/>
            <color indexed="81"/>
            <rFont val="Tahoma"/>
            <family val="2"/>
            <charset val="204"/>
          </rPr>
          <t>#6. #5. #13.</t>
        </r>
      </text>
    </comment>
    <comment ref="B6" authorId="0">
      <text>
        <r>
          <rPr>
            <sz val="9"/>
            <color indexed="81"/>
            <rFont val="Tahoma"/>
            <family val="2"/>
            <charset val="204"/>
          </rPr>
          <t>#3. #15. #8.</t>
        </r>
      </text>
    </comment>
    <comment ref="B7" authorId="0">
      <text>
        <r>
          <rPr>
            <sz val="9"/>
            <color indexed="81"/>
            <rFont val="Tahoma"/>
            <family val="2"/>
            <charset val="204"/>
          </rPr>
          <t>#1. #1. #</t>
        </r>
      </text>
    </comment>
    <comment ref="B8" authorId="0">
      <text>
        <r>
          <rPr>
            <sz val="9"/>
            <color indexed="81"/>
            <rFont val="Tahoma"/>
            <family val="2"/>
            <charset val="204"/>
          </rPr>
          <t>#1.1. #1.1. #</t>
        </r>
      </text>
    </comment>
    <comment ref="B9" authorId="0">
      <text>
        <r>
          <rPr>
            <sz val="9"/>
            <color indexed="81"/>
            <rFont val="Tahoma"/>
            <family val="2"/>
            <charset val="204"/>
          </rPr>
          <t>#1.1.1 #1.1.1 #1</t>
        </r>
      </text>
    </comment>
    <comment ref="B10" authorId="0">
      <text>
        <r>
          <rPr>
            <sz val="9"/>
            <color indexed="81"/>
            <rFont val="Tahoma"/>
            <family val="2"/>
            <charset val="204"/>
          </rPr>
          <t>#1.1.1.1 #1.1.1.1 #1.1</t>
        </r>
      </text>
    </comment>
    <comment ref="B11" authorId="0">
      <text>
        <r>
          <rPr>
            <sz val="9"/>
            <color indexed="81"/>
            <rFont val="Tahoma"/>
            <family val="2"/>
            <charset val="204"/>
          </rPr>
          <t># #1.1.1.1.1 #</t>
        </r>
      </text>
    </comment>
    <comment ref="B12" authorId="0">
      <text>
        <r>
          <rPr>
            <sz val="9"/>
            <color indexed="81"/>
            <rFont val="Tahoma"/>
            <family val="2"/>
            <charset val="204"/>
          </rPr>
          <t># #1.1.1.1.1.1 #</t>
        </r>
      </text>
    </comment>
    <comment ref="B13" authorId="0">
      <text>
        <r>
          <rPr>
            <sz val="9"/>
            <color indexed="81"/>
            <rFont val="Tahoma"/>
            <family val="2"/>
            <charset val="204"/>
          </rPr>
          <t># #1.1.1.1.1.1.1 #</t>
        </r>
      </text>
    </comment>
    <comment ref="B14" authorId="0">
      <text>
        <r>
          <rPr>
            <sz val="9"/>
            <color indexed="81"/>
            <rFont val="Tahoma"/>
            <family val="2"/>
            <charset val="204"/>
          </rPr>
          <t># #1.1.1.1.1.1.1.1 #</t>
        </r>
      </text>
    </comment>
    <comment ref="B15" authorId="0">
      <text>
        <r>
          <rPr>
            <sz val="9"/>
            <color indexed="81"/>
            <rFont val="Tahoma"/>
            <family val="2"/>
            <charset val="204"/>
          </rPr>
          <t># #1.1.1.1.1.1.1.2 #</t>
        </r>
      </text>
    </comment>
    <comment ref="B16" authorId="0">
      <text>
        <r>
          <rPr>
            <sz val="9"/>
            <color indexed="81"/>
            <rFont val="Tahoma"/>
            <family val="2"/>
            <charset val="204"/>
          </rPr>
          <t># #1.1.1.1.1.1.2 #</t>
        </r>
      </text>
    </comment>
    <comment ref="B17" authorId="0">
      <text>
        <r>
          <rPr>
            <sz val="9"/>
            <color indexed="81"/>
            <rFont val="Tahoma"/>
            <family val="2"/>
            <charset val="204"/>
          </rPr>
          <t># #1.1.1.1.1.1.2.2 #</t>
        </r>
      </text>
    </comment>
    <comment ref="B18" authorId="0">
      <text>
        <r>
          <rPr>
            <sz val="9"/>
            <color indexed="81"/>
            <rFont val="Tahoma"/>
            <family val="2"/>
            <charset val="204"/>
          </rPr>
          <t># #1.1.1.1.1.1.2.1 #</t>
        </r>
      </text>
    </comment>
    <comment ref="B19" authorId="0">
      <text>
        <r>
          <rPr>
            <sz val="9"/>
            <color indexed="81"/>
            <rFont val="Tahoma"/>
            <family val="2"/>
            <charset val="204"/>
          </rPr>
          <t># #1.1.1.1.1.1.3 #</t>
        </r>
      </text>
    </comment>
    <comment ref="B20" authorId="0">
      <text>
        <r>
          <rPr>
            <sz val="9"/>
            <color indexed="81"/>
            <rFont val="Tahoma"/>
            <family val="2"/>
            <charset val="204"/>
          </rPr>
          <t># #1.1.1.1.1.1.3.2 #</t>
        </r>
      </text>
    </comment>
    <comment ref="B21" authorId="0">
      <text>
        <r>
          <rPr>
            <sz val="9"/>
            <color indexed="81"/>
            <rFont val="Tahoma"/>
            <family val="2"/>
            <charset val="204"/>
          </rPr>
          <t># #1.1.1.1.1.1.3.1 #</t>
        </r>
      </text>
    </comment>
    <comment ref="B22" authorId="0">
      <text>
        <r>
          <rPr>
            <sz val="9"/>
            <color indexed="81"/>
            <rFont val="Tahoma"/>
            <family val="2"/>
            <charset val="204"/>
          </rPr>
          <t># #1.1.1.1.1.1.4 #</t>
        </r>
      </text>
    </comment>
    <comment ref="B23" authorId="0">
      <text>
        <r>
          <rPr>
            <sz val="9"/>
            <color indexed="81"/>
            <rFont val="Tahoma"/>
            <family val="2"/>
            <charset val="204"/>
          </rPr>
          <t># #1.1.1.1.1.1.4.2 #</t>
        </r>
      </text>
    </comment>
    <comment ref="B24" authorId="0">
      <text>
        <r>
          <rPr>
            <sz val="9"/>
            <color indexed="81"/>
            <rFont val="Tahoma"/>
            <family val="2"/>
            <charset val="204"/>
          </rPr>
          <t># #1.1.1.1.1.1.4.1 #</t>
        </r>
      </text>
    </comment>
    <comment ref="B25" authorId="0">
      <text>
        <r>
          <rPr>
            <sz val="9"/>
            <color indexed="81"/>
            <rFont val="Tahoma"/>
            <family val="2"/>
            <charset val="204"/>
          </rPr>
          <t># #1.1.1.1.1.1.5 #</t>
        </r>
      </text>
    </comment>
    <comment ref="B26" authorId="0">
      <text>
        <r>
          <rPr>
            <sz val="9"/>
            <color indexed="81"/>
            <rFont val="Tahoma"/>
            <family val="2"/>
            <charset val="204"/>
          </rPr>
          <t># #1.1.1.1.1.1.5.2 #</t>
        </r>
      </text>
    </comment>
    <comment ref="B27" authorId="0">
      <text>
        <r>
          <rPr>
            <sz val="9"/>
            <color indexed="81"/>
            <rFont val="Tahoma"/>
            <family val="2"/>
            <charset val="204"/>
          </rPr>
          <t># #1.1.1.1.1.1.5.1 #</t>
        </r>
      </text>
    </comment>
    <comment ref="B28" authorId="0">
      <text>
        <r>
          <rPr>
            <sz val="9"/>
            <color indexed="81"/>
            <rFont val="Tahoma"/>
            <family val="2"/>
            <charset val="204"/>
          </rPr>
          <t># #1.1.1.1.1.1.5.6 #</t>
        </r>
      </text>
    </comment>
    <comment ref="B29" authorId="0">
      <text>
        <r>
          <rPr>
            <sz val="9"/>
            <color indexed="81"/>
            <rFont val="Tahoma"/>
            <family val="2"/>
            <charset val="204"/>
          </rPr>
          <t># #1.1.1.1.1.1.6.1 #</t>
        </r>
      </text>
    </comment>
    <comment ref="B30" authorId="0">
      <text>
        <r>
          <rPr>
            <sz val="9"/>
            <color indexed="81"/>
            <rFont val="Tahoma"/>
            <family val="2"/>
            <charset val="204"/>
          </rPr>
          <t># #1.1.1.1.1.1.6.2 #</t>
        </r>
      </text>
    </comment>
    <comment ref="B31" authorId="0">
      <text>
        <r>
          <rPr>
            <sz val="9"/>
            <color indexed="81"/>
            <rFont val="Tahoma"/>
            <family val="2"/>
            <charset val="204"/>
          </rPr>
          <t># #1.1.1.1.1.2 #</t>
        </r>
      </text>
    </comment>
    <comment ref="B32" authorId="0">
      <text>
        <r>
          <rPr>
            <sz val="9"/>
            <color indexed="81"/>
            <rFont val="Tahoma"/>
            <family val="2"/>
            <charset val="204"/>
          </rPr>
          <t># #1.1.1.1.1.2.1 #</t>
        </r>
      </text>
    </comment>
    <comment ref="B33" authorId="0">
      <text>
        <r>
          <rPr>
            <sz val="9"/>
            <color indexed="81"/>
            <rFont val="Tahoma"/>
            <family val="2"/>
            <charset val="204"/>
          </rPr>
          <t># #1.1.1.1.1.2.1.2 #</t>
        </r>
      </text>
    </comment>
    <comment ref="B34" authorId="0">
      <text>
        <r>
          <rPr>
            <sz val="9"/>
            <color indexed="81"/>
            <rFont val="Tahoma"/>
            <family val="2"/>
            <charset val="204"/>
          </rPr>
          <t># #1.1.1.1.1.2.1.1 #</t>
        </r>
      </text>
    </comment>
    <comment ref="B35" authorId="0">
      <text>
        <r>
          <rPr>
            <sz val="9"/>
            <color indexed="81"/>
            <rFont val="Tahoma"/>
            <family val="2"/>
            <charset val="204"/>
          </rPr>
          <t># #1.1.1.1.1.2.2 #</t>
        </r>
      </text>
    </comment>
    <comment ref="B36" authorId="0">
      <text>
        <r>
          <rPr>
            <sz val="9"/>
            <color indexed="81"/>
            <rFont val="Tahoma"/>
            <family val="2"/>
            <charset val="204"/>
          </rPr>
          <t># #1.1.1.1.1.2.2.1 #</t>
        </r>
      </text>
    </comment>
    <comment ref="B37" authorId="0">
      <text>
        <r>
          <rPr>
            <sz val="9"/>
            <color indexed="81"/>
            <rFont val="Tahoma"/>
            <family val="2"/>
            <charset val="204"/>
          </rPr>
          <t># #1.1.1.1.1.2.2.2 #</t>
        </r>
      </text>
    </comment>
    <comment ref="B38" authorId="0">
      <text>
        <r>
          <rPr>
            <sz val="9"/>
            <color indexed="81"/>
            <rFont val="Tahoma"/>
            <family val="2"/>
            <charset val="204"/>
          </rPr>
          <t># #1.1.1.1.1.2.3 #</t>
        </r>
      </text>
    </comment>
    <comment ref="B39" authorId="0">
      <text>
        <r>
          <rPr>
            <sz val="9"/>
            <color indexed="81"/>
            <rFont val="Tahoma"/>
            <family val="2"/>
            <charset val="204"/>
          </rPr>
          <t># #1.1.1.1.1.2.3.1 #</t>
        </r>
      </text>
    </comment>
    <comment ref="B40" authorId="0">
      <text>
        <r>
          <rPr>
            <sz val="9"/>
            <color indexed="81"/>
            <rFont val="Tahoma"/>
            <family val="2"/>
            <charset val="204"/>
          </rPr>
          <t># #1.1.1.1.1.2.3.2 #</t>
        </r>
      </text>
    </comment>
    <comment ref="B41" authorId="0">
      <text>
        <r>
          <rPr>
            <sz val="9"/>
            <color indexed="81"/>
            <rFont val="Tahoma"/>
            <family val="2"/>
            <charset val="204"/>
          </rPr>
          <t># #1.1.1.1.1.2.4 #</t>
        </r>
      </text>
    </comment>
    <comment ref="B42" authorId="0">
      <text>
        <r>
          <rPr>
            <sz val="9"/>
            <color indexed="81"/>
            <rFont val="Tahoma"/>
            <family val="2"/>
            <charset val="204"/>
          </rPr>
          <t># #1.1.1.1.1.2.4.1 #</t>
        </r>
      </text>
    </comment>
    <comment ref="B43" authorId="0">
      <text>
        <r>
          <rPr>
            <sz val="9"/>
            <color indexed="81"/>
            <rFont val="Tahoma"/>
            <family val="2"/>
            <charset val="204"/>
          </rPr>
          <t># #1.1.1.1.1.2.4.2 #</t>
        </r>
      </text>
    </comment>
    <comment ref="B44" authorId="0">
      <text>
        <r>
          <rPr>
            <sz val="9"/>
            <color indexed="81"/>
            <rFont val="Tahoma"/>
            <family val="2"/>
            <charset val="204"/>
          </rPr>
          <t># #1.1.1.1.1.2.5 #</t>
        </r>
      </text>
    </comment>
    <comment ref="B45" authorId="0">
      <text>
        <r>
          <rPr>
            <sz val="9"/>
            <color indexed="81"/>
            <rFont val="Tahoma"/>
            <family val="2"/>
            <charset val="204"/>
          </rPr>
          <t># #1.1.1.1.1.2.5.1 #</t>
        </r>
      </text>
    </comment>
    <comment ref="B46" authorId="0">
      <text>
        <r>
          <rPr>
            <sz val="9"/>
            <color indexed="81"/>
            <rFont val="Tahoma"/>
            <family val="2"/>
            <charset val="204"/>
          </rPr>
          <t># #1.1.1.1.1.2.5.2 #</t>
        </r>
      </text>
    </comment>
    <comment ref="B47" authorId="0">
      <text>
        <r>
          <rPr>
            <sz val="9"/>
            <color indexed="81"/>
            <rFont val="Tahoma"/>
            <family val="2"/>
            <charset val="204"/>
          </rPr>
          <t># #1.1.1.1.1.2.6 #</t>
        </r>
      </text>
    </comment>
    <comment ref="B48" authorId="0">
      <text>
        <r>
          <rPr>
            <sz val="9"/>
            <color indexed="81"/>
            <rFont val="Tahoma"/>
            <family val="2"/>
            <charset val="204"/>
          </rPr>
          <t># #1.1.1.1.1.2.6.1 #</t>
        </r>
      </text>
    </comment>
    <comment ref="B49" authorId="0">
      <text>
        <r>
          <rPr>
            <sz val="9"/>
            <color indexed="81"/>
            <rFont val="Tahoma"/>
            <family val="2"/>
            <charset val="204"/>
          </rPr>
          <t># #1.1.1.1.1.2.6.2 #</t>
        </r>
      </text>
    </comment>
    <comment ref="B50" authorId="0">
      <text>
        <r>
          <rPr>
            <sz val="9"/>
            <color indexed="81"/>
            <rFont val="Tahoma"/>
            <family val="2"/>
            <charset val="204"/>
          </rPr>
          <t># #1.1.1.1.1.2.7 #</t>
        </r>
      </text>
    </comment>
    <comment ref="B51" authorId="0">
      <text>
        <r>
          <rPr>
            <sz val="9"/>
            <color indexed="81"/>
            <rFont val="Tahoma"/>
            <family val="2"/>
            <charset val="204"/>
          </rPr>
          <t># #1.1.1.1.1.2.7.1 #</t>
        </r>
      </text>
    </comment>
    <comment ref="B52" authorId="0">
      <text>
        <r>
          <rPr>
            <sz val="9"/>
            <color indexed="81"/>
            <rFont val="Tahoma"/>
            <family val="2"/>
            <charset val="204"/>
          </rPr>
          <t># #1.1.1.1.1.2.7.2 #</t>
        </r>
      </text>
    </comment>
    <comment ref="B53" authorId="0">
      <text>
        <r>
          <rPr>
            <sz val="9"/>
            <color indexed="81"/>
            <rFont val="Tahoma"/>
            <family val="2"/>
            <charset val="204"/>
          </rPr>
          <t># #1.1.1.1.1.3 #</t>
        </r>
      </text>
    </comment>
    <comment ref="B54" authorId="0">
      <text>
        <r>
          <rPr>
            <sz val="9"/>
            <color indexed="81"/>
            <rFont val="Tahoma"/>
            <family val="2"/>
            <charset val="204"/>
          </rPr>
          <t># #1.1.1.1.1.3.1 #</t>
        </r>
      </text>
    </comment>
    <comment ref="B55" authorId="0">
      <text>
        <r>
          <rPr>
            <sz val="9"/>
            <color indexed="81"/>
            <rFont val="Tahoma"/>
            <family val="2"/>
            <charset val="204"/>
          </rPr>
          <t># #1.1.1.1.1.3.1.1 #</t>
        </r>
      </text>
    </comment>
    <comment ref="B56" authorId="0">
      <text>
        <r>
          <rPr>
            <sz val="9"/>
            <color indexed="81"/>
            <rFont val="Tahoma"/>
            <family val="2"/>
            <charset val="204"/>
          </rPr>
          <t># #1.1.1.1.1.3.1.2 #</t>
        </r>
      </text>
    </comment>
    <comment ref="B57" authorId="0">
      <text>
        <r>
          <rPr>
            <sz val="9"/>
            <color indexed="81"/>
            <rFont val="Tahoma"/>
            <family val="2"/>
            <charset val="204"/>
          </rPr>
          <t># #1.1.1.1.1.3.2 #</t>
        </r>
      </text>
    </comment>
    <comment ref="B58" authorId="0">
      <text>
        <r>
          <rPr>
            <sz val="9"/>
            <color indexed="81"/>
            <rFont val="Tahoma"/>
            <family val="2"/>
            <charset val="204"/>
          </rPr>
          <t># #1.1.1.1.1.3.2.1 #</t>
        </r>
      </text>
    </comment>
    <comment ref="B59" authorId="0">
      <text>
        <r>
          <rPr>
            <sz val="9"/>
            <color indexed="81"/>
            <rFont val="Tahoma"/>
            <family val="2"/>
            <charset val="204"/>
          </rPr>
          <t># #1.1.1.1.1.3.2.2 #</t>
        </r>
      </text>
    </comment>
    <comment ref="B60" authorId="0">
      <text>
        <r>
          <rPr>
            <sz val="9"/>
            <color indexed="81"/>
            <rFont val="Tahoma"/>
            <family val="2"/>
            <charset val="204"/>
          </rPr>
          <t># #1.1.1.1.1.3.3 #</t>
        </r>
      </text>
    </comment>
    <comment ref="B61" authorId="0">
      <text>
        <r>
          <rPr>
            <sz val="9"/>
            <color indexed="81"/>
            <rFont val="Tahoma"/>
            <family val="2"/>
            <charset val="204"/>
          </rPr>
          <t># #1.1.1.1.1.3.3.1 #</t>
        </r>
      </text>
    </comment>
    <comment ref="B62" authorId="0">
      <text>
        <r>
          <rPr>
            <sz val="9"/>
            <color indexed="81"/>
            <rFont val="Tahoma"/>
            <family val="2"/>
            <charset val="204"/>
          </rPr>
          <t># #1.1.1.1.1.3.3.2 #</t>
        </r>
      </text>
    </comment>
    <comment ref="B63" authorId="0">
      <text>
        <r>
          <rPr>
            <sz val="9"/>
            <color indexed="81"/>
            <rFont val="Tahoma"/>
            <family val="2"/>
            <charset val="204"/>
          </rPr>
          <t># #1.1.1.1.1.3.4 #</t>
        </r>
      </text>
    </comment>
    <comment ref="B64" authorId="0">
      <text>
        <r>
          <rPr>
            <sz val="9"/>
            <color indexed="81"/>
            <rFont val="Tahoma"/>
            <family val="2"/>
            <charset val="204"/>
          </rPr>
          <t># #1.1.1.1.1.3.4.1 #</t>
        </r>
      </text>
    </comment>
    <comment ref="B65" authorId="0">
      <text>
        <r>
          <rPr>
            <sz val="9"/>
            <color indexed="81"/>
            <rFont val="Tahoma"/>
            <family val="2"/>
            <charset val="204"/>
          </rPr>
          <t># #1.1.1.1.1.3.4.2 #</t>
        </r>
      </text>
    </comment>
    <comment ref="B66" authorId="0">
      <text>
        <r>
          <rPr>
            <sz val="9"/>
            <color indexed="81"/>
            <rFont val="Tahoma"/>
            <family val="2"/>
            <charset val="204"/>
          </rPr>
          <t># #1.1.1.1.1.3.5 #</t>
        </r>
      </text>
    </comment>
    <comment ref="B67" authorId="0">
      <text>
        <r>
          <rPr>
            <sz val="9"/>
            <color indexed="81"/>
            <rFont val="Tahoma"/>
            <family val="2"/>
            <charset val="204"/>
          </rPr>
          <t># #1.1.1.1.1.3.5.1 #</t>
        </r>
      </text>
    </comment>
    <comment ref="B68" authorId="0">
      <text>
        <r>
          <rPr>
            <sz val="9"/>
            <color indexed="81"/>
            <rFont val="Tahoma"/>
            <family val="2"/>
            <charset val="204"/>
          </rPr>
          <t># #1.1.1.1.1.3.5.2 #</t>
        </r>
      </text>
    </comment>
    <comment ref="B69" authorId="0">
      <text>
        <r>
          <rPr>
            <sz val="9"/>
            <color indexed="81"/>
            <rFont val="Tahoma"/>
            <family val="2"/>
            <charset val="204"/>
          </rPr>
          <t># #1.1.1.1.1.3.6 #</t>
        </r>
      </text>
    </comment>
    <comment ref="B70" authorId="0">
      <text>
        <r>
          <rPr>
            <sz val="9"/>
            <color indexed="81"/>
            <rFont val="Tahoma"/>
            <family val="2"/>
            <charset val="204"/>
          </rPr>
          <t># #1.1.1.1.1.3.6.1 #</t>
        </r>
      </text>
    </comment>
    <comment ref="B71" authorId="0">
      <text>
        <r>
          <rPr>
            <sz val="9"/>
            <color indexed="81"/>
            <rFont val="Tahoma"/>
            <family val="2"/>
            <charset val="204"/>
          </rPr>
          <t># #1.1.1.1.1.3.6.2 #</t>
        </r>
      </text>
    </comment>
    <comment ref="B72" authorId="0">
      <text>
        <r>
          <rPr>
            <sz val="9"/>
            <color indexed="81"/>
            <rFont val="Tahoma"/>
            <family val="2"/>
            <charset val="204"/>
          </rPr>
          <t># #1.1.1.1.1.3.7 #</t>
        </r>
      </text>
    </comment>
    <comment ref="B73" authorId="0">
      <text>
        <r>
          <rPr>
            <sz val="9"/>
            <color indexed="81"/>
            <rFont val="Tahoma"/>
            <family val="2"/>
            <charset val="204"/>
          </rPr>
          <t># #1.1.1.1.1.3.7.1 #</t>
        </r>
      </text>
    </comment>
    <comment ref="B74" authorId="0">
      <text>
        <r>
          <rPr>
            <sz val="9"/>
            <color indexed="81"/>
            <rFont val="Tahoma"/>
            <family val="2"/>
            <charset val="204"/>
          </rPr>
          <t># #1.1.1.1.1.3.7.2 #</t>
        </r>
      </text>
    </comment>
    <comment ref="B75" authorId="0">
      <text>
        <r>
          <rPr>
            <sz val="9"/>
            <color indexed="81"/>
            <rFont val="Tahoma"/>
            <family val="2"/>
            <charset val="204"/>
          </rPr>
          <t># #1.1.1.1.1.3.8 #</t>
        </r>
      </text>
    </comment>
    <comment ref="B76" authorId="0">
      <text>
        <r>
          <rPr>
            <sz val="9"/>
            <color indexed="81"/>
            <rFont val="Tahoma"/>
            <family val="2"/>
            <charset val="204"/>
          </rPr>
          <t># #1.1.1.1.1.3.8.1 #</t>
        </r>
      </text>
    </comment>
    <comment ref="B77" authorId="0">
      <text>
        <r>
          <rPr>
            <sz val="9"/>
            <color indexed="81"/>
            <rFont val="Tahoma"/>
            <family val="2"/>
            <charset val="204"/>
          </rPr>
          <t># #1.1.1.1.1.3.8.2 #</t>
        </r>
      </text>
    </comment>
    <comment ref="B78" authorId="0">
      <text>
        <r>
          <rPr>
            <sz val="9"/>
            <color indexed="81"/>
            <rFont val="Tahoma"/>
            <family val="2"/>
            <charset val="204"/>
          </rPr>
          <t># #1.1.1.1.1.3.9 #</t>
        </r>
      </text>
    </comment>
    <comment ref="B79" authorId="0">
      <text>
        <r>
          <rPr>
            <sz val="9"/>
            <color indexed="81"/>
            <rFont val="Tahoma"/>
            <family val="2"/>
            <charset val="204"/>
          </rPr>
          <t># #1.1.1.1.1.3.9.2 #</t>
        </r>
      </text>
    </comment>
    <comment ref="B80" authorId="0">
      <text>
        <r>
          <rPr>
            <sz val="9"/>
            <color indexed="81"/>
            <rFont val="Tahoma"/>
            <family val="2"/>
            <charset val="204"/>
          </rPr>
          <t># #1.1.1.1.1.3.9.1 #</t>
        </r>
      </text>
    </comment>
    <comment ref="B81" authorId="0">
      <text>
        <r>
          <rPr>
            <sz val="9"/>
            <color indexed="81"/>
            <rFont val="Tahoma"/>
            <family val="2"/>
            <charset val="204"/>
          </rPr>
          <t># #1.1.1.1.1.3.10 #</t>
        </r>
      </text>
    </comment>
    <comment ref="B82" authorId="0">
      <text>
        <r>
          <rPr>
            <sz val="9"/>
            <color indexed="81"/>
            <rFont val="Tahoma"/>
            <family val="2"/>
            <charset val="204"/>
          </rPr>
          <t># #1.1.1.1.1.3.10.1 #</t>
        </r>
      </text>
    </comment>
    <comment ref="B83" authorId="0">
      <text>
        <r>
          <rPr>
            <sz val="9"/>
            <color indexed="81"/>
            <rFont val="Tahoma"/>
            <family val="2"/>
            <charset val="204"/>
          </rPr>
          <t># #1.1.1.1.1.3.10.2 #</t>
        </r>
      </text>
    </comment>
    <comment ref="B84" authorId="0">
      <text>
        <r>
          <rPr>
            <sz val="9"/>
            <color indexed="81"/>
            <rFont val="Tahoma"/>
            <family val="2"/>
            <charset val="204"/>
          </rPr>
          <t># #1.1.1.1.1.3.11 #</t>
        </r>
      </text>
    </comment>
    <comment ref="B85" authorId="0">
      <text>
        <r>
          <rPr>
            <sz val="9"/>
            <color indexed="81"/>
            <rFont val="Tahoma"/>
            <family val="2"/>
            <charset val="204"/>
          </rPr>
          <t># #1.1.1.1.1.3.11.1 #</t>
        </r>
      </text>
    </comment>
    <comment ref="B86" authorId="0">
      <text>
        <r>
          <rPr>
            <sz val="9"/>
            <color indexed="81"/>
            <rFont val="Tahoma"/>
            <family val="2"/>
            <charset val="204"/>
          </rPr>
          <t># #1.1.1.1.1.3.11.2 #</t>
        </r>
      </text>
    </comment>
    <comment ref="B87" authorId="0">
      <text>
        <r>
          <rPr>
            <sz val="9"/>
            <color indexed="81"/>
            <rFont val="Tahoma"/>
            <family val="2"/>
            <charset val="204"/>
          </rPr>
          <t># #1.1.1.1.1.3.12 #</t>
        </r>
      </text>
    </comment>
    <comment ref="B88" authorId="0">
      <text>
        <r>
          <rPr>
            <sz val="9"/>
            <color indexed="81"/>
            <rFont val="Tahoma"/>
            <family val="2"/>
            <charset val="204"/>
          </rPr>
          <t># #1.1.1.1.1.3.12.1 #</t>
        </r>
      </text>
    </comment>
    <comment ref="B89" authorId="0">
      <text>
        <r>
          <rPr>
            <sz val="9"/>
            <color indexed="81"/>
            <rFont val="Tahoma"/>
            <family val="2"/>
            <charset val="204"/>
          </rPr>
          <t># #1.1.1.1.1.3.12.2 #</t>
        </r>
      </text>
    </comment>
    <comment ref="B90" authorId="0">
      <text>
        <r>
          <rPr>
            <sz val="9"/>
            <color indexed="81"/>
            <rFont val="Tahoma"/>
            <family val="2"/>
            <charset val="204"/>
          </rPr>
          <t># #1.1.1.1.1.3.13 #</t>
        </r>
      </text>
    </comment>
    <comment ref="B91" authorId="0">
      <text>
        <r>
          <rPr>
            <sz val="9"/>
            <color indexed="81"/>
            <rFont val="Tahoma"/>
            <family val="2"/>
            <charset val="204"/>
          </rPr>
          <t># #1.1.1.1.1.3.13.1 #</t>
        </r>
      </text>
    </comment>
    <comment ref="B92" authorId="0">
      <text>
        <r>
          <rPr>
            <sz val="9"/>
            <color indexed="81"/>
            <rFont val="Tahoma"/>
            <family val="2"/>
            <charset val="204"/>
          </rPr>
          <t># #1.1.1.1.1.3.13.2 #</t>
        </r>
      </text>
    </comment>
    <comment ref="B93" authorId="0">
      <text>
        <r>
          <rPr>
            <sz val="9"/>
            <color indexed="81"/>
            <rFont val="Tahoma"/>
            <family val="2"/>
            <charset val="204"/>
          </rPr>
          <t># #1.1.1.1.1.3.14 #</t>
        </r>
      </text>
    </comment>
    <comment ref="B94" authorId="0">
      <text>
        <r>
          <rPr>
            <sz val="9"/>
            <color indexed="81"/>
            <rFont val="Tahoma"/>
            <family val="2"/>
            <charset val="204"/>
          </rPr>
          <t># #1.1.1.1.1.3.14.1 #</t>
        </r>
      </text>
    </comment>
    <comment ref="B95" authorId="0">
      <text>
        <r>
          <rPr>
            <sz val="9"/>
            <color indexed="81"/>
            <rFont val="Tahoma"/>
            <family val="2"/>
            <charset val="204"/>
          </rPr>
          <t># #1.1.1.1.1.3.14.2 #</t>
        </r>
      </text>
    </comment>
    <comment ref="B96" authorId="0">
      <text>
        <r>
          <rPr>
            <sz val="9"/>
            <color indexed="81"/>
            <rFont val="Tahoma"/>
            <family val="2"/>
            <charset val="204"/>
          </rPr>
          <t># #1.1.1.1.1.3.15 #</t>
        </r>
      </text>
    </comment>
    <comment ref="B97" authorId="0">
      <text>
        <r>
          <rPr>
            <sz val="9"/>
            <color indexed="81"/>
            <rFont val="Tahoma"/>
            <family val="2"/>
            <charset val="204"/>
          </rPr>
          <t># #1.1.1.1.1.3.15.1 #</t>
        </r>
      </text>
    </comment>
    <comment ref="B98" authorId="0">
      <text>
        <r>
          <rPr>
            <sz val="9"/>
            <color indexed="81"/>
            <rFont val="Tahoma"/>
            <family val="2"/>
            <charset val="204"/>
          </rPr>
          <t># #1.1.1.1.1.3.15.2 #</t>
        </r>
      </text>
    </comment>
    <comment ref="B99" authorId="0">
      <text>
        <r>
          <rPr>
            <sz val="9"/>
            <color indexed="81"/>
            <rFont val="Tahoma"/>
            <family val="2"/>
            <charset val="204"/>
          </rPr>
          <t># #1.1.1.1.1.3.16 #</t>
        </r>
      </text>
    </comment>
    <comment ref="B100" authorId="0">
      <text>
        <r>
          <rPr>
            <sz val="9"/>
            <color indexed="81"/>
            <rFont val="Tahoma"/>
            <family val="2"/>
            <charset val="204"/>
          </rPr>
          <t># #1.1.1.1.1.3.16.1 #</t>
        </r>
      </text>
    </comment>
    <comment ref="B101" authorId="0">
      <text>
        <r>
          <rPr>
            <sz val="9"/>
            <color indexed="81"/>
            <rFont val="Tahoma"/>
            <family val="2"/>
            <charset val="204"/>
          </rPr>
          <t># #1.1.1.1.1.3.16.2 #</t>
        </r>
      </text>
    </comment>
    <comment ref="B102" authorId="0">
      <text>
        <r>
          <rPr>
            <sz val="9"/>
            <color indexed="81"/>
            <rFont val="Tahoma"/>
            <family val="2"/>
            <charset val="204"/>
          </rPr>
          <t># #1.1.1.1.1.3.17 #</t>
        </r>
      </text>
    </comment>
    <comment ref="B103" authorId="0">
      <text>
        <r>
          <rPr>
            <sz val="9"/>
            <color indexed="81"/>
            <rFont val="Tahoma"/>
            <family val="2"/>
            <charset val="204"/>
          </rPr>
          <t># #1.1.1.1.1.3.17.1 #</t>
        </r>
      </text>
    </comment>
    <comment ref="B104" authorId="0">
      <text>
        <r>
          <rPr>
            <sz val="9"/>
            <color indexed="81"/>
            <rFont val="Tahoma"/>
            <family val="2"/>
            <charset val="204"/>
          </rPr>
          <t># #1.1.1.1.1.3.17.2 #</t>
        </r>
      </text>
    </comment>
    <comment ref="B105" authorId="0">
      <text>
        <r>
          <rPr>
            <sz val="9"/>
            <color indexed="81"/>
            <rFont val="Tahoma"/>
            <family val="2"/>
            <charset val="204"/>
          </rPr>
          <t># #1.1.1.1.1.3.18 #</t>
        </r>
      </text>
    </comment>
    <comment ref="B106" authorId="0">
      <text>
        <r>
          <rPr>
            <sz val="9"/>
            <color indexed="81"/>
            <rFont val="Tahoma"/>
            <family val="2"/>
            <charset val="204"/>
          </rPr>
          <t># #1.1.1.1.1.3.18.1 #</t>
        </r>
      </text>
    </comment>
    <comment ref="B107" authorId="0">
      <text>
        <r>
          <rPr>
            <sz val="9"/>
            <color indexed="81"/>
            <rFont val="Tahoma"/>
            <family val="2"/>
            <charset val="204"/>
          </rPr>
          <t># #1.1.1.1.1.3.18.2 #</t>
        </r>
      </text>
    </comment>
    <comment ref="B108" authorId="0">
      <text>
        <r>
          <rPr>
            <sz val="9"/>
            <color indexed="81"/>
            <rFont val="Tahoma"/>
            <family val="2"/>
            <charset val="204"/>
          </rPr>
          <t># #1.1.1.1.1.3.19 #</t>
        </r>
      </text>
    </comment>
    <comment ref="B109" authorId="0">
      <text>
        <r>
          <rPr>
            <sz val="9"/>
            <color indexed="81"/>
            <rFont val="Tahoma"/>
            <family val="2"/>
            <charset val="204"/>
          </rPr>
          <t># #1.1.1.1.1.3.19.1 #</t>
        </r>
      </text>
    </comment>
    <comment ref="B110" authorId="0">
      <text>
        <r>
          <rPr>
            <sz val="9"/>
            <color indexed="81"/>
            <rFont val="Tahoma"/>
            <family val="2"/>
            <charset val="204"/>
          </rPr>
          <t># #1.1.1.1.1.3.19.2 #</t>
        </r>
      </text>
    </comment>
    <comment ref="B111" authorId="0">
      <text>
        <r>
          <rPr>
            <sz val="9"/>
            <color indexed="81"/>
            <rFont val="Tahoma"/>
            <family val="2"/>
            <charset val="204"/>
          </rPr>
          <t># #1.1.1.1.1.3.20 #</t>
        </r>
      </text>
    </comment>
    <comment ref="B112" authorId="0">
      <text>
        <r>
          <rPr>
            <sz val="9"/>
            <color indexed="81"/>
            <rFont val="Tahoma"/>
            <family val="2"/>
            <charset val="204"/>
          </rPr>
          <t># #1.1.1.1.1.3.20.1 #</t>
        </r>
      </text>
    </comment>
    <comment ref="B113" authorId="0">
      <text>
        <r>
          <rPr>
            <sz val="9"/>
            <color indexed="81"/>
            <rFont val="Tahoma"/>
            <family val="2"/>
            <charset val="204"/>
          </rPr>
          <t># #1.1.1.1.1.3.20.2 #</t>
        </r>
      </text>
    </comment>
    <comment ref="B114" authorId="0">
      <text>
        <r>
          <rPr>
            <sz val="9"/>
            <color indexed="81"/>
            <rFont val="Tahoma"/>
            <family val="2"/>
            <charset val="204"/>
          </rPr>
          <t># #1.1.1.1.1.3.21 #</t>
        </r>
      </text>
    </comment>
    <comment ref="B115" authorId="0">
      <text>
        <r>
          <rPr>
            <sz val="9"/>
            <color indexed="81"/>
            <rFont val="Tahoma"/>
            <family val="2"/>
            <charset val="204"/>
          </rPr>
          <t># #1.1.1.1.1.3.21.1 #</t>
        </r>
      </text>
    </comment>
    <comment ref="B116" authorId="0">
      <text>
        <r>
          <rPr>
            <sz val="9"/>
            <color indexed="81"/>
            <rFont val="Tahoma"/>
            <family val="2"/>
            <charset val="204"/>
          </rPr>
          <t># #1.1.1.1.1.3.21.2 #</t>
        </r>
      </text>
    </comment>
    <comment ref="B117" authorId="0">
      <text>
        <r>
          <rPr>
            <sz val="9"/>
            <color indexed="81"/>
            <rFont val="Tahoma"/>
            <family val="2"/>
            <charset val="204"/>
          </rPr>
          <t># #1.1.1.1.1.3.22 #</t>
        </r>
      </text>
    </comment>
    <comment ref="B118" authorId="0">
      <text>
        <r>
          <rPr>
            <sz val="9"/>
            <color indexed="81"/>
            <rFont val="Tahoma"/>
            <family val="2"/>
            <charset val="204"/>
          </rPr>
          <t># #1.1.1.1.1.3.22.1 #</t>
        </r>
      </text>
    </comment>
    <comment ref="B119" authorId="0">
      <text>
        <r>
          <rPr>
            <sz val="9"/>
            <color indexed="81"/>
            <rFont val="Tahoma"/>
            <family val="2"/>
            <charset val="204"/>
          </rPr>
          <t># #1.1.1.1.1.3.22.2 #</t>
        </r>
      </text>
    </comment>
    <comment ref="B120" authorId="0">
      <text>
        <r>
          <rPr>
            <sz val="9"/>
            <color indexed="81"/>
            <rFont val="Tahoma"/>
            <family val="2"/>
            <charset val="204"/>
          </rPr>
          <t># #1.1.1.1.1.3.23 #</t>
        </r>
      </text>
    </comment>
    <comment ref="B121" authorId="0">
      <text>
        <r>
          <rPr>
            <sz val="9"/>
            <color indexed="81"/>
            <rFont val="Tahoma"/>
            <family val="2"/>
            <charset val="204"/>
          </rPr>
          <t># #1.1.1.1.1.3.23.1 #</t>
        </r>
      </text>
    </comment>
    <comment ref="B122" authorId="0">
      <text>
        <r>
          <rPr>
            <sz val="9"/>
            <color indexed="81"/>
            <rFont val="Tahoma"/>
            <family val="2"/>
            <charset val="204"/>
          </rPr>
          <t># #1.1.1.1.1.3.23.2 #</t>
        </r>
      </text>
    </comment>
    <comment ref="B123" authorId="0">
      <text>
        <r>
          <rPr>
            <sz val="9"/>
            <color indexed="81"/>
            <rFont val="Tahoma"/>
            <family val="2"/>
            <charset val="204"/>
          </rPr>
          <t># #1.1.1.1.1.3.24 #</t>
        </r>
      </text>
    </comment>
    <comment ref="B124" authorId="0">
      <text>
        <r>
          <rPr>
            <sz val="9"/>
            <color indexed="81"/>
            <rFont val="Tahoma"/>
            <family val="2"/>
            <charset val="204"/>
          </rPr>
          <t># #1.1.1.1.1.3.24.1 #</t>
        </r>
      </text>
    </comment>
    <comment ref="B125" authorId="0">
      <text>
        <r>
          <rPr>
            <sz val="9"/>
            <color indexed="81"/>
            <rFont val="Tahoma"/>
            <family val="2"/>
            <charset val="204"/>
          </rPr>
          <t># #1.1.1.1.1.3.24.2 #</t>
        </r>
      </text>
    </comment>
    <comment ref="B126" authorId="0">
      <text>
        <r>
          <rPr>
            <sz val="9"/>
            <color indexed="81"/>
            <rFont val="Tahoma"/>
            <family val="2"/>
            <charset val="204"/>
          </rPr>
          <t># #1.1.1.1.1.3.25 #</t>
        </r>
      </text>
    </comment>
    <comment ref="B127" authorId="0">
      <text>
        <r>
          <rPr>
            <sz val="9"/>
            <color indexed="81"/>
            <rFont val="Tahoma"/>
            <family val="2"/>
            <charset val="204"/>
          </rPr>
          <t># #1.1.1.1.1.3.25.1 #</t>
        </r>
      </text>
    </comment>
    <comment ref="B128" authorId="0">
      <text>
        <r>
          <rPr>
            <sz val="9"/>
            <color indexed="81"/>
            <rFont val="Tahoma"/>
            <family val="2"/>
            <charset val="204"/>
          </rPr>
          <t># #1.1.1.1.1.3.25.2 #</t>
        </r>
      </text>
    </comment>
    <comment ref="B129" authorId="0">
      <text>
        <r>
          <rPr>
            <sz val="9"/>
            <color indexed="81"/>
            <rFont val="Tahoma"/>
            <family val="2"/>
            <charset val="204"/>
          </rPr>
          <t># #1.1.1.1.1.3.26 #</t>
        </r>
      </text>
    </comment>
    <comment ref="B130" authorId="0">
      <text>
        <r>
          <rPr>
            <sz val="9"/>
            <color indexed="81"/>
            <rFont val="Tahoma"/>
            <family val="2"/>
            <charset val="204"/>
          </rPr>
          <t># #1.1.1.1.1.3.26.1 #</t>
        </r>
      </text>
    </comment>
    <comment ref="B131" authorId="0">
      <text>
        <r>
          <rPr>
            <sz val="9"/>
            <color indexed="81"/>
            <rFont val="Tahoma"/>
            <family val="2"/>
            <charset val="204"/>
          </rPr>
          <t># #1.1.1.1.1.3.26.2 #</t>
        </r>
      </text>
    </comment>
    <comment ref="B132" authorId="0">
      <text>
        <r>
          <rPr>
            <sz val="9"/>
            <color indexed="81"/>
            <rFont val="Tahoma"/>
            <family val="2"/>
            <charset val="204"/>
          </rPr>
          <t># #1.1.1.1.1.3.27 #</t>
        </r>
      </text>
    </comment>
    <comment ref="B133" authorId="0">
      <text>
        <r>
          <rPr>
            <sz val="9"/>
            <color indexed="81"/>
            <rFont val="Tahoma"/>
            <family val="2"/>
            <charset val="204"/>
          </rPr>
          <t># #1.1.1.1.1.3.27.1 #</t>
        </r>
      </text>
    </comment>
    <comment ref="B134" authorId="0">
      <text>
        <r>
          <rPr>
            <sz val="9"/>
            <color indexed="81"/>
            <rFont val="Tahoma"/>
            <family val="2"/>
            <charset val="204"/>
          </rPr>
          <t># #1.1.1.1.1.3.27.2 #</t>
        </r>
      </text>
    </comment>
    <comment ref="B135" authorId="0">
      <text>
        <r>
          <rPr>
            <sz val="9"/>
            <color indexed="81"/>
            <rFont val="Tahoma"/>
            <family val="2"/>
            <charset val="204"/>
          </rPr>
          <t># #1.1.1.1.1.3.28 #</t>
        </r>
      </text>
    </comment>
    <comment ref="B136" authorId="0">
      <text>
        <r>
          <rPr>
            <sz val="9"/>
            <color indexed="81"/>
            <rFont val="Tahoma"/>
            <family val="2"/>
            <charset val="204"/>
          </rPr>
          <t># #1.1.1.1.1.3.28.1 #</t>
        </r>
      </text>
    </comment>
    <comment ref="B137" authorId="0">
      <text>
        <r>
          <rPr>
            <sz val="9"/>
            <color indexed="81"/>
            <rFont val="Tahoma"/>
            <family val="2"/>
            <charset val="204"/>
          </rPr>
          <t># #1.1.1.1.1.3.28.2 #</t>
        </r>
      </text>
    </comment>
    <comment ref="B138" authorId="0">
      <text>
        <r>
          <rPr>
            <sz val="9"/>
            <color indexed="81"/>
            <rFont val="Tahoma"/>
            <family val="2"/>
            <charset val="204"/>
          </rPr>
          <t># #1.1.1.1.1.3.29 #</t>
        </r>
      </text>
    </comment>
    <comment ref="B139" authorId="0">
      <text>
        <r>
          <rPr>
            <sz val="9"/>
            <color indexed="81"/>
            <rFont val="Tahoma"/>
            <family val="2"/>
            <charset val="204"/>
          </rPr>
          <t># #1.1.1.1.1.3.29.1 #</t>
        </r>
      </text>
    </comment>
    <comment ref="B140" authorId="0">
      <text>
        <r>
          <rPr>
            <sz val="9"/>
            <color indexed="81"/>
            <rFont val="Tahoma"/>
            <family val="2"/>
            <charset val="204"/>
          </rPr>
          <t># #1.1.1.1.1.3.29.2 #</t>
        </r>
      </text>
    </comment>
    <comment ref="B141" authorId="0">
      <text>
        <r>
          <rPr>
            <sz val="9"/>
            <color indexed="81"/>
            <rFont val="Tahoma"/>
            <family val="2"/>
            <charset val="204"/>
          </rPr>
          <t># #1.1.1.1.1.3.30 #</t>
        </r>
      </text>
    </comment>
    <comment ref="B142" authorId="0">
      <text>
        <r>
          <rPr>
            <sz val="9"/>
            <color indexed="81"/>
            <rFont val="Tahoma"/>
            <family val="2"/>
            <charset val="204"/>
          </rPr>
          <t># #1.1.1.1.1.3.30.1 #</t>
        </r>
      </text>
    </comment>
    <comment ref="B143" authorId="0">
      <text>
        <r>
          <rPr>
            <sz val="9"/>
            <color indexed="81"/>
            <rFont val="Tahoma"/>
            <family val="2"/>
            <charset val="204"/>
          </rPr>
          <t># #1.1.1.1.1.3.30.2 #</t>
        </r>
      </text>
    </comment>
    <comment ref="B144" authorId="0">
      <text>
        <r>
          <rPr>
            <sz val="9"/>
            <color indexed="81"/>
            <rFont val="Tahoma"/>
            <family val="2"/>
            <charset val="204"/>
          </rPr>
          <t># #1.1.1.1.1.3.31 #</t>
        </r>
      </text>
    </comment>
    <comment ref="B145" authorId="0">
      <text>
        <r>
          <rPr>
            <sz val="9"/>
            <color indexed="81"/>
            <rFont val="Tahoma"/>
            <family val="2"/>
            <charset val="204"/>
          </rPr>
          <t># #1.1.1.1.1.3.31.1 #</t>
        </r>
      </text>
    </comment>
    <comment ref="B146" authorId="0">
      <text>
        <r>
          <rPr>
            <sz val="9"/>
            <color indexed="81"/>
            <rFont val="Tahoma"/>
            <family val="2"/>
            <charset val="204"/>
          </rPr>
          <t># #1.1.1.1.1.3.31.2 #</t>
        </r>
      </text>
    </comment>
    <comment ref="B147" authorId="0">
      <text>
        <r>
          <rPr>
            <sz val="9"/>
            <color indexed="81"/>
            <rFont val="Tahoma"/>
            <family val="2"/>
            <charset val="204"/>
          </rPr>
          <t># #1.1.1.1.1.3.32 #</t>
        </r>
      </text>
    </comment>
    <comment ref="B148" authorId="0">
      <text>
        <r>
          <rPr>
            <sz val="9"/>
            <color indexed="81"/>
            <rFont val="Tahoma"/>
            <family val="2"/>
            <charset val="204"/>
          </rPr>
          <t># #1.1.1.1.1.3.32.1 #</t>
        </r>
      </text>
    </comment>
    <comment ref="B149" authorId="0">
      <text>
        <r>
          <rPr>
            <sz val="9"/>
            <color indexed="81"/>
            <rFont val="Tahoma"/>
            <family val="2"/>
            <charset val="204"/>
          </rPr>
          <t># #1.1.1.1.1.3.32.2 #</t>
        </r>
      </text>
    </comment>
    <comment ref="B150" authorId="0">
      <text>
        <r>
          <rPr>
            <sz val="9"/>
            <color indexed="81"/>
            <rFont val="Tahoma"/>
            <family val="2"/>
            <charset val="204"/>
          </rPr>
          <t># #1.1.1.1.1.3.33 #</t>
        </r>
      </text>
    </comment>
    <comment ref="B151" authorId="0">
      <text>
        <r>
          <rPr>
            <sz val="9"/>
            <color indexed="81"/>
            <rFont val="Tahoma"/>
            <family val="2"/>
            <charset val="204"/>
          </rPr>
          <t># #1.1.1.1.1.3.33.1 #</t>
        </r>
      </text>
    </comment>
    <comment ref="B152" authorId="0">
      <text>
        <r>
          <rPr>
            <sz val="9"/>
            <color indexed="81"/>
            <rFont val="Tahoma"/>
            <family val="2"/>
            <charset val="204"/>
          </rPr>
          <t># #1.1.1.1.1.3.33.2 #</t>
        </r>
      </text>
    </comment>
    <comment ref="B153" authorId="0">
      <text>
        <r>
          <rPr>
            <sz val="9"/>
            <color indexed="81"/>
            <rFont val="Tahoma"/>
            <family val="2"/>
            <charset val="204"/>
          </rPr>
          <t># #1.1.1.1.1.3.34 #</t>
        </r>
      </text>
    </comment>
    <comment ref="B154" authorId="0">
      <text>
        <r>
          <rPr>
            <sz val="9"/>
            <color indexed="81"/>
            <rFont val="Tahoma"/>
            <family val="2"/>
            <charset val="204"/>
          </rPr>
          <t># #1.1.1.1.1.3.34.1 #</t>
        </r>
      </text>
    </comment>
    <comment ref="B155" authorId="0">
      <text>
        <r>
          <rPr>
            <sz val="9"/>
            <color indexed="81"/>
            <rFont val="Tahoma"/>
            <family val="2"/>
            <charset val="204"/>
          </rPr>
          <t># #1.1.1.1.1.3.34.2 #</t>
        </r>
      </text>
    </comment>
    <comment ref="B156" authorId="0">
      <text>
        <r>
          <rPr>
            <sz val="9"/>
            <color indexed="81"/>
            <rFont val="Tahoma"/>
            <family val="2"/>
            <charset val="204"/>
          </rPr>
          <t># #1.1.1.1.1.3.35 #</t>
        </r>
      </text>
    </comment>
    <comment ref="B157" authorId="0">
      <text>
        <r>
          <rPr>
            <sz val="9"/>
            <color indexed="81"/>
            <rFont val="Tahoma"/>
            <family val="2"/>
            <charset val="204"/>
          </rPr>
          <t># #1.1.1.1.1.3.35.1 #</t>
        </r>
      </text>
    </comment>
    <comment ref="B158" authorId="0">
      <text>
        <r>
          <rPr>
            <sz val="9"/>
            <color indexed="81"/>
            <rFont val="Tahoma"/>
            <family val="2"/>
            <charset val="204"/>
          </rPr>
          <t># #1.1.1.1.1.3.35.2 #</t>
        </r>
      </text>
    </comment>
    <comment ref="B159" authorId="0">
      <text>
        <r>
          <rPr>
            <sz val="9"/>
            <color indexed="81"/>
            <rFont val="Tahoma"/>
            <family val="2"/>
            <charset val="204"/>
          </rPr>
          <t># #1.1.1.1.1.3.37 #</t>
        </r>
      </text>
    </comment>
    <comment ref="B160" authorId="0">
      <text>
        <r>
          <rPr>
            <sz val="9"/>
            <color indexed="81"/>
            <rFont val="Tahoma"/>
            <family val="2"/>
            <charset val="204"/>
          </rPr>
          <t># #1.1.1.1.1.3.37.1 #</t>
        </r>
      </text>
    </comment>
    <comment ref="B161" authorId="0">
      <text>
        <r>
          <rPr>
            <sz val="9"/>
            <color indexed="81"/>
            <rFont val="Tahoma"/>
            <family val="2"/>
            <charset val="204"/>
          </rPr>
          <t># #1.1.1.1.1.3.37.2 #</t>
        </r>
      </text>
    </comment>
    <comment ref="B162" authorId="0">
      <text>
        <r>
          <rPr>
            <sz val="9"/>
            <color indexed="81"/>
            <rFont val="Tahoma"/>
            <family val="2"/>
            <charset val="204"/>
          </rPr>
          <t># #1.1.1.1.1.3.38 #</t>
        </r>
      </text>
    </comment>
    <comment ref="B163" authorId="0">
      <text>
        <r>
          <rPr>
            <sz val="9"/>
            <color indexed="81"/>
            <rFont val="Tahoma"/>
            <family val="2"/>
            <charset val="204"/>
          </rPr>
          <t># #1.1.1.1.1.3.38.1 #</t>
        </r>
      </text>
    </comment>
    <comment ref="B164" authorId="0">
      <text>
        <r>
          <rPr>
            <sz val="9"/>
            <color indexed="81"/>
            <rFont val="Tahoma"/>
            <family val="2"/>
            <charset val="204"/>
          </rPr>
          <t># #1.1.1.1.1.3.38.2 #</t>
        </r>
      </text>
    </comment>
    <comment ref="B165" authorId="0">
      <text>
        <r>
          <rPr>
            <sz val="9"/>
            <color indexed="81"/>
            <rFont val="Tahoma"/>
            <family val="2"/>
            <charset val="204"/>
          </rPr>
          <t># #1.1.1.1.1.3.39 #</t>
        </r>
      </text>
    </comment>
    <comment ref="B166" authorId="0">
      <text>
        <r>
          <rPr>
            <sz val="9"/>
            <color indexed="81"/>
            <rFont val="Tahoma"/>
            <family val="2"/>
            <charset val="204"/>
          </rPr>
          <t># #1.1.1.1.1.3.39.1 #</t>
        </r>
      </text>
    </comment>
    <comment ref="B167" authorId="0">
      <text>
        <r>
          <rPr>
            <sz val="9"/>
            <color indexed="81"/>
            <rFont val="Tahoma"/>
            <family val="2"/>
            <charset val="204"/>
          </rPr>
          <t># #1.1.1.1.1.3.39.2 #</t>
        </r>
      </text>
    </comment>
    <comment ref="B168" authorId="0">
      <text>
        <r>
          <rPr>
            <sz val="9"/>
            <color indexed="81"/>
            <rFont val="Tahoma"/>
            <family val="2"/>
            <charset val="204"/>
          </rPr>
          <t># #1.1.1.1.1.3.40 #</t>
        </r>
      </text>
    </comment>
    <comment ref="B169" authorId="0">
      <text>
        <r>
          <rPr>
            <sz val="9"/>
            <color indexed="81"/>
            <rFont val="Tahoma"/>
            <family val="2"/>
            <charset val="204"/>
          </rPr>
          <t># #1.1.1.1.1.3.40.1 #</t>
        </r>
      </text>
    </comment>
    <comment ref="B170" authorId="0">
      <text>
        <r>
          <rPr>
            <sz val="9"/>
            <color indexed="81"/>
            <rFont val="Tahoma"/>
            <family val="2"/>
            <charset val="204"/>
          </rPr>
          <t># #1.1.1.1.1.3.40.2 #</t>
        </r>
      </text>
    </comment>
    <comment ref="B171" authorId="0">
      <text>
        <r>
          <rPr>
            <sz val="9"/>
            <color indexed="81"/>
            <rFont val="Tahoma"/>
            <family val="2"/>
            <charset val="204"/>
          </rPr>
          <t># #1.1.1.1.1.3.41 #</t>
        </r>
      </text>
    </comment>
    <comment ref="B172" authorId="0">
      <text>
        <r>
          <rPr>
            <sz val="9"/>
            <color indexed="81"/>
            <rFont val="Tahoma"/>
            <family val="2"/>
            <charset val="204"/>
          </rPr>
          <t># #1.1.1.1.1.3.41.1 #</t>
        </r>
      </text>
    </comment>
    <comment ref="B173" authorId="0">
      <text>
        <r>
          <rPr>
            <sz val="9"/>
            <color indexed="81"/>
            <rFont val="Tahoma"/>
            <family val="2"/>
            <charset val="204"/>
          </rPr>
          <t># #1.1.1.1.1.3.41.2 #</t>
        </r>
      </text>
    </comment>
    <comment ref="B174" authorId="0">
      <text>
        <r>
          <rPr>
            <sz val="9"/>
            <color indexed="81"/>
            <rFont val="Tahoma"/>
            <family val="2"/>
            <charset val="204"/>
          </rPr>
          <t># #1.1.1.1.1.3.42 #</t>
        </r>
      </text>
    </comment>
    <comment ref="B175" authorId="0">
      <text>
        <r>
          <rPr>
            <sz val="9"/>
            <color indexed="81"/>
            <rFont val="Tahoma"/>
            <family val="2"/>
            <charset val="204"/>
          </rPr>
          <t># #1.1.1.1.1.3.42.1 #</t>
        </r>
      </text>
    </comment>
    <comment ref="B176" authorId="0">
      <text>
        <r>
          <rPr>
            <sz val="9"/>
            <color indexed="81"/>
            <rFont val="Tahoma"/>
            <family val="2"/>
            <charset val="204"/>
          </rPr>
          <t># #1.1.1.1.1.3.42.2 #</t>
        </r>
      </text>
    </comment>
    <comment ref="B177" authorId="0">
      <text>
        <r>
          <rPr>
            <sz val="9"/>
            <color indexed="81"/>
            <rFont val="Tahoma"/>
            <family val="2"/>
            <charset val="204"/>
          </rPr>
          <t># #1.1.1.1.1.3.43 #</t>
        </r>
      </text>
    </comment>
    <comment ref="B178" authorId="0">
      <text>
        <r>
          <rPr>
            <sz val="9"/>
            <color indexed="81"/>
            <rFont val="Tahoma"/>
            <family val="2"/>
            <charset val="204"/>
          </rPr>
          <t># #1.1.1.1.1.3.43.1 #</t>
        </r>
      </text>
    </comment>
    <comment ref="B179" authorId="0">
      <text>
        <r>
          <rPr>
            <sz val="9"/>
            <color indexed="81"/>
            <rFont val="Tahoma"/>
            <family val="2"/>
            <charset val="204"/>
          </rPr>
          <t># #1.1.1.1.1.3.43.2 #</t>
        </r>
      </text>
    </comment>
    <comment ref="B180" authorId="0">
      <text>
        <r>
          <rPr>
            <sz val="9"/>
            <color indexed="81"/>
            <rFont val="Tahoma"/>
            <family val="2"/>
            <charset val="204"/>
          </rPr>
          <t># #1.1.1.1.1.3.44 #</t>
        </r>
      </text>
    </comment>
    <comment ref="B181" authorId="0">
      <text>
        <r>
          <rPr>
            <sz val="9"/>
            <color indexed="81"/>
            <rFont val="Tahoma"/>
            <family val="2"/>
            <charset val="204"/>
          </rPr>
          <t># #1.1.1.1.1.3.44.1 #</t>
        </r>
      </text>
    </comment>
    <comment ref="B182" authorId="0">
      <text>
        <r>
          <rPr>
            <sz val="9"/>
            <color indexed="81"/>
            <rFont val="Tahoma"/>
            <family val="2"/>
            <charset val="204"/>
          </rPr>
          <t># #1.1.1.1.1.3.44.2 #</t>
        </r>
      </text>
    </comment>
    <comment ref="B183" authorId="0">
      <text>
        <r>
          <rPr>
            <sz val="9"/>
            <color indexed="81"/>
            <rFont val="Tahoma"/>
            <family val="2"/>
            <charset val="204"/>
          </rPr>
          <t># #1.1.1.1.1.3.45 #</t>
        </r>
      </text>
    </comment>
    <comment ref="B184" authorId="0">
      <text>
        <r>
          <rPr>
            <sz val="9"/>
            <color indexed="81"/>
            <rFont val="Tahoma"/>
            <family val="2"/>
            <charset val="204"/>
          </rPr>
          <t># #1.1.1.1.1.3.45.1 #</t>
        </r>
      </text>
    </comment>
    <comment ref="B185" authorId="0">
      <text>
        <r>
          <rPr>
            <sz val="9"/>
            <color indexed="81"/>
            <rFont val="Tahoma"/>
            <family val="2"/>
            <charset val="204"/>
          </rPr>
          <t># #1.1.1.1.1.3.45.2 #</t>
        </r>
      </text>
    </comment>
    <comment ref="B186" authorId="0">
      <text>
        <r>
          <rPr>
            <sz val="9"/>
            <color indexed="81"/>
            <rFont val="Tahoma"/>
            <family val="2"/>
            <charset val="204"/>
          </rPr>
          <t># #1.1.1.1.1.3.46 #</t>
        </r>
      </text>
    </comment>
    <comment ref="B187" authorId="0">
      <text>
        <r>
          <rPr>
            <sz val="9"/>
            <color indexed="81"/>
            <rFont val="Tahoma"/>
            <family val="2"/>
            <charset val="204"/>
          </rPr>
          <t># #1.1.1.1.1.3.46.1 #</t>
        </r>
      </text>
    </comment>
    <comment ref="B188" authorId="0">
      <text>
        <r>
          <rPr>
            <sz val="9"/>
            <color indexed="81"/>
            <rFont val="Tahoma"/>
            <family val="2"/>
            <charset val="204"/>
          </rPr>
          <t># #1.1.1.1.1.3.46.2 #</t>
        </r>
      </text>
    </comment>
    <comment ref="B189" authorId="0">
      <text>
        <r>
          <rPr>
            <sz val="9"/>
            <color indexed="81"/>
            <rFont val="Tahoma"/>
            <family val="2"/>
            <charset val="204"/>
          </rPr>
          <t># #1.1.1.1.1.3.47 #</t>
        </r>
      </text>
    </comment>
    <comment ref="B190" authorId="0">
      <text>
        <r>
          <rPr>
            <sz val="9"/>
            <color indexed="81"/>
            <rFont val="Tahoma"/>
            <family val="2"/>
            <charset val="204"/>
          </rPr>
          <t># #1.1.1.1.1.3.47.1 #</t>
        </r>
      </text>
    </comment>
    <comment ref="B191" authorId="0">
      <text>
        <r>
          <rPr>
            <sz val="9"/>
            <color indexed="81"/>
            <rFont val="Tahoma"/>
            <family val="2"/>
            <charset val="204"/>
          </rPr>
          <t># #1.1.1.1.1.3.47.2 #</t>
        </r>
      </text>
    </comment>
    <comment ref="B192" authorId="0">
      <text>
        <r>
          <rPr>
            <sz val="9"/>
            <color indexed="81"/>
            <rFont val="Tahoma"/>
            <family val="2"/>
            <charset val="204"/>
          </rPr>
          <t># #1.1.1.1.1.3.48 #</t>
        </r>
      </text>
    </comment>
    <comment ref="B193" authorId="0">
      <text>
        <r>
          <rPr>
            <sz val="9"/>
            <color indexed="81"/>
            <rFont val="Tahoma"/>
            <family val="2"/>
            <charset val="204"/>
          </rPr>
          <t># #1.1.1.1.1.3.48.1 #</t>
        </r>
      </text>
    </comment>
    <comment ref="B194" authorId="0">
      <text>
        <r>
          <rPr>
            <sz val="9"/>
            <color indexed="81"/>
            <rFont val="Tahoma"/>
            <family val="2"/>
            <charset val="204"/>
          </rPr>
          <t># #1.1.1.1.1.3.48.2 #</t>
        </r>
      </text>
    </comment>
    <comment ref="B195" authorId="0">
      <text>
        <r>
          <rPr>
            <sz val="9"/>
            <color indexed="81"/>
            <rFont val="Tahoma"/>
            <family val="2"/>
            <charset val="204"/>
          </rPr>
          <t># #1.1.1.1.1.3.49 #</t>
        </r>
      </text>
    </comment>
    <comment ref="B196" authorId="0">
      <text>
        <r>
          <rPr>
            <sz val="9"/>
            <color indexed="81"/>
            <rFont val="Tahoma"/>
            <family val="2"/>
            <charset val="204"/>
          </rPr>
          <t># #1.1.1.1.1.3.49.1 #</t>
        </r>
      </text>
    </comment>
    <comment ref="B197" authorId="0">
      <text>
        <r>
          <rPr>
            <sz val="9"/>
            <color indexed="81"/>
            <rFont val="Tahoma"/>
            <family val="2"/>
            <charset val="204"/>
          </rPr>
          <t># #1.1.1.1.1.3.49.2 #</t>
        </r>
      </text>
    </comment>
    <comment ref="B198" authorId="0">
      <text>
        <r>
          <rPr>
            <sz val="9"/>
            <color indexed="81"/>
            <rFont val="Tahoma"/>
            <family val="2"/>
            <charset val="204"/>
          </rPr>
          <t># #1.1.1.1.1.3.50 #</t>
        </r>
      </text>
    </comment>
    <comment ref="B199" authorId="0">
      <text>
        <r>
          <rPr>
            <sz val="9"/>
            <color indexed="81"/>
            <rFont val="Tahoma"/>
            <family val="2"/>
            <charset val="204"/>
          </rPr>
          <t># #1.1.1.1.1.3.50.1 #</t>
        </r>
      </text>
    </comment>
    <comment ref="B200" authorId="0">
      <text>
        <r>
          <rPr>
            <sz val="9"/>
            <color indexed="81"/>
            <rFont val="Tahoma"/>
            <family val="2"/>
            <charset val="204"/>
          </rPr>
          <t># #1.1.1.1.1.3.50.2 #</t>
        </r>
      </text>
    </comment>
    <comment ref="B201" authorId="0">
      <text>
        <r>
          <rPr>
            <sz val="9"/>
            <color indexed="81"/>
            <rFont val="Tahoma"/>
            <family val="2"/>
            <charset val="204"/>
          </rPr>
          <t># #1.1.1.1.1.3.51 #</t>
        </r>
      </text>
    </comment>
    <comment ref="B202" authorId="0">
      <text>
        <r>
          <rPr>
            <sz val="9"/>
            <color indexed="81"/>
            <rFont val="Tahoma"/>
            <family val="2"/>
            <charset val="204"/>
          </rPr>
          <t># #1.1.1.1.1.3.51.1 #</t>
        </r>
      </text>
    </comment>
    <comment ref="B203" authorId="0">
      <text>
        <r>
          <rPr>
            <sz val="9"/>
            <color indexed="81"/>
            <rFont val="Tahoma"/>
            <family val="2"/>
            <charset val="204"/>
          </rPr>
          <t># #1.1.1.1.1.3.51.2 #</t>
        </r>
      </text>
    </comment>
    <comment ref="B204" authorId="0">
      <text>
        <r>
          <rPr>
            <sz val="9"/>
            <color indexed="81"/>
            <rFont val="Tahoma"/>
            <family val="2"/>
            <charset val="204"/>
          </rPr>
          <t># #1.1.1.1.1.3.52 #</t>
        </r>
      </text>
    </comment>
    <comment ref="B205" authorId="0">
      <text>
        <r>
          <rPr>
            <sz val="9"/>
            <color indexed="81"/>
            <rFont val="Tahoma"/>
            <family val="2"/>
            <charset val="204"/>
          </rPr>
          <t># #1.1.1.1.1.3.52.1 #</t>
        </r>
      </text>
    </comment>
    <comment ref="B206" authorId="0">
      <text>
        <r>
          <rPr>
            <sz val="9"/>
            <color indexed="81"/>
            <rFont val="Tahoma"/>
            <family val="2"/>
            <charset val="204"/>
          </rPr>
          <t># #1.1.1.1.1.3.52.2 #</t>
        </r>
      </text>
    </comment>
    <comment ref="B207" authorId="0">
      <text>
        <r>
          <rPr>
            <sz val="9"/>
            <color indexed="81"/>
            <rFont val="Tahoma"/>
            <family val="2"/>
            <charset val="204"/>
          </rPr>
          <t># #1.1.1.1.1.3.53 #</t>
        </r>
      </text>
    </comment>
    <comment ref="B208" authorId="0">
      <text>
        <r>
          <rPr>
            <sz val="9"/>
            <color indexed="81"/>
            <rFont val="Tahoma"/>
            <family val="2"/>
            <charset val="204"/>
          </rPr>
          <t># #1.1.1.1.1.3.53.1 #</t>
        </r>
      </text>
    </comment>
    <comment ref="B209" authorId="0">
      <text>
        <r>
          <rPr>
            <sz val="9"/>
            <color indexed="81"/>
            <rFont val="Tahoma"/>
            <family val="2"/>
            <charset val="204"/>
          </rPr>
          <t># #1.1.1.1.1.3.53.2 #</t>
        </r>
      </text>
    </comment>
    <comment ref="B210" authorId="0">
      <text>
        <r>
          <rPr>
            <sz val="9"/>
            <color indexed="81"/>
            <rFont val="Tahoma"/>
            <family val="2"/>
            <charset val="204"/>
          </rPr>
          <t># #1.1.1.1.1.3.54 #</t>
        </r>
      </text>
    </comment>
    <comment ref="B211" authorId="0">
      <text>
        <r>
          <rPr>
            <sz val="9"/>
            <color indexed="81"/>
            <rFont val="Tahoma"/>
            <family val="2"/>
            <charset val="204"/>
          </rPr>
          <t># #1.1.1.1.1.3.54.1 #</t>
        </r>
      </text>
    </comment>
    <comment ref="B212" authorId="0">
      <text>
        <r>
          <rPr>
            <sz val="9"/>
            <color indexed="81"/>
            <rFont val="Tahoma"/>
            <family val="2"/>
            <charset val="204"/>
          </rPr>
          <t># #1.1.1.1.1.3.54.2 #</t>
        </r>
      </text>
    </comment>
    <comment ref="B213" authorId="0">
      <text>
        <r>
          <rPr>
            <sz val="9"/>
            <color indexed="81"/>
            <rFont val="Tahoma"/>
            <family val="2"/>
            <charset val="204"/>
          </rPr>
          <t># #1.1.1.1.1.3.55 #</t>
        </r>
      </text>
    </comment>
    <comment ref="B214" authorId="0">
      <text>
        <r>
          <rPr>
            <sz val="9"/>
            <color indexed="81"/>
            <rFont val="Tahoma"/>
            <family val="2"/>
            <charset val="204"/>
          </rPr>
          <t># #1.1.1.1.1.3.55.1 #</t>
        </r>
      </text>
    </comment>
    <comment ref="B215" authorId="0">
      <text>
        <r>
          <rPr>
            <sz val="9"/>
            <color indexed="81"/>
            <rFont val="Tahoma"/>
            <family val="2"/>
            <charset val="204"/>
          </rPr>
          <t># #1.1.1.1.1.3.55.2 #</t>
        </r>
      </text>
    </comment>
    <comment ref="B216" authorId="0">
      <text>
        <r>
          <rPr>
            <sz val="9"/>
            <color indexed="81"/>
            <rFont val="Tahoma"/>
            <family val="2"/>
            <charset val="204"/>
          </rPr>
          <t># #1.1.1.1.1.3.56 #</t>
        </r>
      </text>
    </comment>
    <comment ref="B217" authorId="0">
      <text>
        <r>
          <rPr>
            <sz val="9"/>
            <color indexed="81"/>
            <rFont val="Tahoma"/>
            <family val="2"/>
            <charset val="204"/>
          </rPr>
          <t># #1.1.1.1.1.3.56.1 #</t>
        </r>
      </text>
    </comment>
    <comment ref="B218" authorId="0">
      <text>
        <r>
          <rPr>
            <sz val="9"/>
            <color indexed="81"/>
            <rFont val="Tahoma"/>
            <family val="2"/>
            <charset val="204"/>
          </rPr>
          <t># #1.1.1.1.1.3.56.2 #</t>
        </r>
      </text>
    </comment>
    <comment ref="B219" authorId="0">
      <text>
        <r>
          <rPr>
            <sz val="9"/>
            <color indexed="81"/>
            <rFont val="Tahoma"/>
            <family val="2"/>
            <charset val="204"/>
          </rPr>
          <t># #1.1.1.1.1.3.57 #</t>
        </r>
      </text>
    </comment>
    <comment ref="B220" authorId="0">
      <text>
        <r>
          <rPr>
            <sz val="9"/>
            <color indexed="81"/>
            <rFont val="Tahoma"/>
            <family val="2"/>
            <charset val="204"/>
          </rPr>
          <t># #1.1.1.1.1.3.57.1 #</t>
        </r>
      </text>
    </comment>
    <comment ref="B221" authorId="0">
      <text>
        <r>
          <rPr>
            <sz val="9"/>
            <color indexed="81"/>
            <rFont val="Tahoma"/>
            <family val="2"/>
            <charset val="204"/>
          </rPr>
          <t># #1.1.1.1.1.3.57.2 #</t>
        </r>
      </text>
    </comment>
    <comment ref="B222" authorId="0">
      <text>
        <r>
          <rPr>
            <sz val="9"/>
            <color indexed="81"/>
            <rFont val="Tahoma"/>
            <family val="2"/>
            <charset val="204"/>
          </rPr>
          <t># #1.1.1.1.1.3.58 #</t>
        </r>
      </text>
    </comment>
    <comment ref="B223" authorId="0">
      <text>
        <r>
          <rPr>
            <sz val="9"/>
            <color indexed="81"/>
            <rFont val="Tahoma"/>
            <family val="2"/>
            <charset val="204"/>
          </rPr>
          <t># #1.1.1.1.1.3.58.1 #</t>
        </r>
      </text>
    </comment>
    <comment ref="B224" authorId="0">
      <text>
        <r>
          <rPr>
            <sz val="9"/>
            <color indexed="81"/>
            <rFont val="Tahoma"/>
            <family val="2"/>
            <charset val="204"/>
          </rPr>
          <t># #1.1.1.1.1.3.58.2 #</t>
        </r>
      </text>
    </comment>
    <comment ref="B225" authorId="0">
      <text>
        <r>
          <rPr>
            <sz val="9"/>
            <color indexed="81"/>
            <rFont val="Tahoma"/>
            <family val="2"/>
            <charset val="204"/>
          </rPr>
          <t># #1.1.1.1.1.3.59 #</t>
        </r>
      </text>
    </comment>
    <comment ref="B226" authorId="0">
      <text>
        <r>
          <rPr>
            <sz val="9"/>
            <color indexed="81"/>
            <rFont val="Tahoma"/>
            <family val="2"/>
            <charset val="204"/>
          </rPr>
          <t># #1.1.1.1.1.3.59.1 #</t>
        </r>
      </text>
    </comment>
    <comment ref="B227" authorId="0">
      <text>
        <r>
          <rPr>
            <sz val="9"/>
            <color indexed="81"/>
            <rFont val="Tahoma"/>
            <family val="2"/>
            <charset val="204"/>
          </rPr>
          <t># #1.1.1.1.1.3.59.2 #</t>
        </r>
      </text>
    </comment>
    <comment ref="B228" authorId="0">
      <text>
        <r>
          <rPr>
            <sz val="9"/>
            <color indexed="81"/>
            <rFont val="Tahoma"/>
            <family val="2"/>
            <charset val="204"/>
          </rPr>
          <t># #1.1.1.1.1.3.60 #</t>
        </r>
      </text>
    </comment>
    <comment ref="B229" authorId="0">
      <text>
        <r>
          <rPr>
            <sz val="9"/>
            <color indexed="81"/>
            <rFont val="Tahoma"/>
            <family val="2"/>
            <charset val="204"/>
          </rPr>
          <t># #1.1.1.1.1.3.60.1 #</t>
        </r>
      </text>
    </comment>
    <comment ref="B230" authorId="0">
      <text>
        <r>
          <rPr>
            <sz val="9"/>
            <color indexed="81"/>
            <rFont val="Tahoma"/>
            <family val="2"/>
            <charset val="204"/>
          </rPr>
          <t># #1.1.1.1.1.3.60.2 #</t>
        </r>
      </text>
    </comment>
    <comment ref="B231" authorId="0">
      <text>
        <r>
          <rPr>
            <sz val="9"/>
            <color indexed="81"/>
            <rFont val="Tahoma"/>
            <family val="2"/>
            <charset val="204"/>
          </rPr>
          <t># #1.1.1.1.1.3.61 #</t>
        </r>
      </text>
    </comment>
    <comment ref="B232" authorId="0">
      <text>
        <r>
          <rPr>
            <sz val="9"/>
            <color indexed="81"/>
            <rFont val="Tahoma"/>
            <family val="2"/>
            <charset val="204"/>
          </rPr>
          <t># #1.1.1.1.1.3.61.1 #</t>
        </r>
      </text>
    </comment>
    <comment ref="B233" authorId="0">
      <text>
        <r>
          <rPr>
            <sz val="9"/>
            <color indexed="81"/>
            <rFont val="Tahoma"/>
            <family val="2"/>
            <charset val="204"/>
          </rPr>
          <t># #1.1.1.1.1.3.61.2 #</t>
        </r>
      </text>
    </comment>
    <comment ref="B234" authorId="0">
      <text>
        <r>
          <rPr>
            <sz val="9"/>
            <color indexed="81"/>
            <rFont val="Tahoma"/>
            <family val="2"/>
            <charset val="204"/>
          </rPr>
          <t># #1.1.1.1.1.3.62 #</t>
        </r>
      </text>
    </comment>
    <comment ref="B235" authorId="0">
      <text>
        <r>
          <rPr>
            <sz val="9"/>
            <color indexed="81"/>
            <rFont val="Tahoma"/>
            <family val="2"/>
            <charset val="204"/>
          </rPr>
          <t># #1.1.1.1.1.3.62.1 #</t>
        </r>
      </text>
    </comment>
    <comment ref="B236" authorId="0">
      <text>
        <r>
          <rPr>
            <sz val="9"/>
            <color indexed="81"/>
            <rFont val="Tahoma"/>
            <family val="2"/>
            <charset val="204"/>
          </rPr>
          <t># #1.1.1.1.1.3.62.2 #</t>
        </r>
      </text>
    </comment>
    <comment ref="B237" authorId="0">
      <text>
        <r>
          <rPr>
            <sz val="9"/>
            <color indexed="81"/>
            <rFont val="Tahoma"/>
            <family val="2"/>
            <charset val="204"/>
          </rPr>
          <t># #1.1.1.1.1.3.63 #</t>
        </r>
      </text>
    </comment>
    <comment ref="B238" authorId="0">
      <text>
        <r>
          <rPr>
            <sz val="9"/>
            <color indexed="81"/>
            <rFont val="Tahoma"/>
            <family val="2"/>
            <charset val="204"/>
          </rPr>
          <t># #1.1.1.1.1.3.63.1 #</t>
        </r>
      </text>
    </comment>
    <comment ref="B239" authorId="0">
      <text>
        <r>
          <rPr>
            <sz val="9"/>
            <color indexed="81"/>
            <rFont val="Tahoma"/>
            <family val="2"/>
            <charset val="204"/>
          </rPr>
          <t># #1.1.1.1.1.3.63.2 #</t>
        </r>
      </text>
    </comment>
    <comment ref="B240" authorId="0">
      <text>
        <r>
          <rPr>
            <sz val="9"/>
            <color indexed="81"/>
            <rFont val="Tahoma"/>
            <family val="2"/>
            <charset val="204"/>
          </rPr>
          <t># #1.1.1.1.1.3.64 #</t>
        </r>
      </text>
    </comment>
    <comment ref="B241" authorId="0">
      <text>
        <r>
          <rPr>
            <sz val="9"/>
            <color indexed="81"/>
            <rFont val="Tahoma"/>
            <family val="2"/>
            <charset val="204"/>
          </rPr>
          <t># #1.1.1.1.1.3.64.1 #</t>
        </r>
      </text>
    </comment>
    <comment ref="B242" authorId="0">
      <text>
        <r>
          <rPr>
            <sz val="9"/>
            <color indexed="81"/>
            <rFont val="Tahoma"/>
            <family val="2"/>
            <charset val="204"/>
          </rPr>
          <t># #1.1.1.1.1.3.64.2 #</t>
        </r>
      </text>
    </comment>
    <comment ref="B243" authorId="0">
      <text>
        <r>
          <rPr>
            <sz val="9"/>
            <color indexed="81"/>
            <rFont val="Tahoma"/>
            <family val="2"/>
            <charset val="204"/>
          </rPr>
          <t># #1.1.1.1.1.3.65 #</t>
        </r>
      </text>
    </comment>
    <comment ref="B244" authorId="0">
      <text>
        <r>
          <rPr>
            <sz val="9"/>
            <color indexed="81"/>
            <rFont val="Tahoma"/>
            <family val="2"/>
            <charset val="204"/>
          </rPr>
          <t># #1.1.1.1.1.3.65.1 #</t>
        </r>
      </text>
    </comment>
    <comment ref="B245" authorId="0">
      <text>
        <r>
          <rPr>
            <sz val="9"/>
            <color indexed="81"/>
            <rFont val="Tahoma"/>
            <family val="2"/>
            <charset val="204"/>
          </rPr>
          <t># #1.1.1.1.1.3.65.2 #</t>
        </r>
      </text>
    </comment>
    <comment ref="B246" authorId="0">
      <text>
        <r>
          <rPr>
            <sz val="9"/>
            <color indexed="81"/>
            <rFont val="Tahoma"/>
            <family val="2"/>
            <charset val="204"/>
          </rPr>
          <t># #1.1.1.1.1.3.66 #</t>
        </r>
      </text>
    </comment>
    <comment ref="B247" authorId="0">
      <text>
        <r>
          <rPr>
            <sz val="9"/>
            <color indexed="81"/>
            <rFont val="Tahoma"/>
            <family val="2"/>
            <charset val="204"/>
          </rPr>
          <t># #1.1.1.1.1.3.66.1 #</t>
        </r>
      </text>
    </comment>
    <comment ref="B248" authorId="0">
      <text>
        <r>
          <rPr>
            <sz val="9"/>
            <color indexed="81"/>
            <rFont val="Tahoma"/>
            <family val="2"/>
            <charset val="204"/>
          </rPr>
          <t># #1.1.1.1.1.3.66.2 #</t>
        </r>
      </text>
    </comment>
    <comment ref="B249" authorId="0">
      <text>
        <r>
          <rPr>
            <sz val="9"/>
            <color indexed="81"/>
            <rFont val="Tahoma"/>
            <family val="2"/>
            <charset val="204"/>
          </rPr>
          <t># #1.1.1.1.1.3.67 #</t>
        </r>
      </text>
    </comment>
    <comment ref="B250" authorId="0">
      <text>
        <r>
          <rPr>
            <sz val="9"/>
            <color indexed="81"/>
            <rFont val="Tahoma"/>
            <family val="2"/>
            <charset val="204"/>
          </rPr>
          <t># #1.1.1.1.1.3.67.1 #</t>
        </r>
      </text>
    </comment>
    <comment ref="B251" authorId="0">
      <text>
        <r>
          <rPr>
            <sz val="9"/>
            <color indexed="81"/>
            <rFont val="Tahoma"/>
            <family val="2"/>
            <charset val="204"/>
          </rPr>
          <t># #1.1.1.1.1.3.67.2 #</t>
        </r>
      </text>
    </comment>
    <comment ref="B252" authorId="0">
      <text>
        <r>
          <rPr>
            <sz val="9"/>
            <color indexed="81"/>
            <rFont val="Tahoma"/>
            <family val="2"/>
            <charset val="204"/>
          </rPr>
          <t># #1.1.1.1.1.3.68 #</t>
        </r>
      </text>
    </comment>
    <comment ref="B253" authorId="0">
      <text>
        <r>
          <rPr>
            <sz val="9"/>
            <color indexed="81"/>
            <rFont val="Tahoma"/>
            <family val="2"/>
            <charset val="204"/>
          </rPr>
          <t># #1.1.1.1.1.3.68.1 #</t>
        </r>
      </text>
    </comment>
    <comment ref="B254" authorId="0">
      <text>
        <r>
          <rPr>
            <sz val="9"/>
            <color indexed="81"/>
            <rFont val="Tahoma"/>
            <family val="2"/>
            <charset val="204"/>
          </rPr>
          <t># #1.1.1.1.1.3.68.2 #</t>
        </r>
      </text>
    </comment>
    <comment ref="B255" authorId="0">
      <text>
        <r>
          <rPr>
            <sz val="9"/>
            <color indexed="81"/>
            <rFont val="Tahoma"/>
            <family val="2"/>
            <charset val="204"/>
          </rPr>
          <t># #1.1.1.1.1.3.69 #</t>
        </r>
      </text>
    </comment>
    <comment ref="B256" authorId="0">
      <text>
        <r>
          <rPr>
            <sz val="9"/>
            <color indexed="81"/>
            <rFont val="Tahoma"/>
            <family val="2"/>
            <charset val="204"/>
          </rPr>
          <t># #1.1.1.1.1.3.69.1 #</t>
        </r>
      </text>
    </comment>
    <comment ref="B257" authorId="0">
      <text>
        <r>
          <rPr>
            <sz val="9"/>
            <color indexed="81"/>
            <rFont val="Tahoma"/>
            <family val="2"/>
            <charset val="204"/>
          </rPr>
          <t># #1.1.1.1.1.3.69.2 #</t>
        </r>
      </text>
    </comment>
    <comment ref="B258" authorId="0">
      <text>
        <r>
          <rPr>
            <sz val="9"/>
            <color indexed="81"/>
            <rFont val="Tahoma"/>
            <family val="2"/>
            <charset val="204"/>
          </rPr>
          <t># #1.1.1.1.1.3.70 #</t>
        </r>
      </text>
    </comment>
    <comment ref="B259" authorId="0">
      <text>
        <r>
          <rPr>
            <sz val="9"/>
            <color indexed="81"/>
            <rFont val="Tahoma"/>
            <family val="2"/>
            <charset val="204"/>
          </rPr>
          <t># #1.1.1.1.1.3.70.1 #</t>
        </r>
      </text>
    </comment>
    <comment ref="B260" authorId="0">
      <text>
        <r>
          <rPr>
            <sz val="9"/>
            <color indexed="81"/>
            <rFont val="Tahoma"/>
            <family val="2"/>
            <charset val="204"/>
          </rPr>
          <t># #1.1.1.1.1.3.70.2 #</t>
        </r>
      </text>
    </comment>
    <comment ref="B261" authorId="0">
      <text>
        <r>
          <rPr>
            <sz val="9"/>
            <color indexed="81"/>
            <rFont val="Tahoma"/>
            <family val="2"/>
            <charset val="204"/>
          </rPr>
          <t># #1.1.1.1.1.3.71 #</t>
        </r>
      </text>
    </comment>
    <comment ref="B262" authorId="0">
      <text>
        <r>
          <rPr>
            <sz val="9"/>
            <color indexed="81"/>
            <rFont val="Tahoma"/>
            <family val="2"/>
            <charset val="204"/>
          </rPr>
          <t># #1.1.1.1.1.3.71.1 #</t>
        </r>
      </text>
    </comment>
    <comment ref="B263" authorId="0">
      <text>
        <r>
          <rPr>
            <sz val="9"/>
            <color indexed="81"/>
            <rFont val="Tahoma"/>
            <family val="2"/>
            <charset val="204"/>
          </rPr>
          <t># #1.1.1.1.1.3.71.2 #</t>
        </r>
      </text>
    </comment>
    <comment ref="B264" authorId="0">
      <text>
        <r>
          <rPr>
            <sz val="9"/>
            <color indexed="81"/>
            <rFont val="Tahoma"/>
            <family val="2"/>
            <charset val="204"/>
          </rPr>
          <t># #1.1.1.1.1.3.72 #</t>
        </r>
      </text>
    </comment>
    <comment ref="B265" authorId="0">
      <text>
        <r>
          <rPr>
            <sz val="9"/>
            <color indexed="81"/>
            <rFont val="Tahoma"/>
            <family val="2"/>
            <charset val="204"/>
          </rPr>
          <t># #1.1.1.1.1.3.72.1 #</t>
        </r>
      </text>
    </comment>
    <comment ref="B266" authorId="0">
      <text>
        <r>
          <rPr>
            <sz val="9"/>
            <color indexed="81"/>
            <rFont val="Tahoma"/>
            <family val="2"/>
            <charset val="204"/>
          </rPr>
          <t># #1.1.1.1.1.3.72.2 #</t>
        </r>
      </text>
    </comment>
    <comment ref="B267" authorId="0">
      <text>
        <r>
          <rPr>
            <sz val="9"/>
            <color indexed="81"/>
            <rFont val="Tahoma"/>
            <family val="2"/>
            <charset val="204"/>
          </rPr>
          <t># #1.1.1.1.1.3.73 #</t>
        </r>
      </text>
    </comment>
    <comment ref="B268" authorId="0">
      <text>
        <r>
          <rPr>
            <sz val="9"/>
            <color indexed="81"/>
            <rFont val="Tahoma"/>
            <family val="2"/>
            <charset val="204"/>
          </rPr>
          <t># #1.1.1.1.1.3.73.1 #</t>
        </r>
      </text>
    </comment>
    <comment ref="B269" authorId="0">
      <text>
        <r>
          <rPr>
            <sz val="9"/>
            <color indexed="81"/>
            <rFont val="Tahoma"/>
            <family val="2"/>
            <charset val="204"/>
          </rPr>
          <t># #1.1.1.1.1.3.73.2 #</t>
        </r>
      </text>
    </comment>
    <comment ref="B270" authorId="0">
      <text>
        <r>
          <rPr>
            <sz val="9"/>
            <color indexed="81"/>
            <rFont val="Tahoma"/>
            <family val="2"/>
            <charset val="204"/>
          </rPr>
          <t># #1.1.1.1.1.3.74 #</t>
        </r>
      </text>
    </comment>
    <comment ref="B271" authorId="0">
      <text>
        <r>
          <rPr>
            <sz val="9"/>
            <color indexed="81"/>
            <rFont val="Tahoma"/>
            <family val="2"/>
            <charset val="204"/>
          </rPr>
          <t># #1.1.1.1.1.3.74.1 #</t>
        </r>
      </text>
    </comment>
    <comment ref="B272" authorId="0">
      <text>
        <r>
          <rPr>
            <sz val="9"/>
            <color indexed="81"/>
            <rFont val="Tahoma"/>
            <family val="2"/>
            <charset val="204"/>
          </rPr>
          <t># #1.1.1.1.1.3.74.1 #</t>
        </r>
      </text>
    </comment>
    <comment ref="B273" authorId="0">
      <text>
        <r>
          <rPr>
            <sz val="9"/>
            <color indexed="81"/>
            <rFont val="Tahoma"/>
            <family val="2"/>
            <charset val="204"/>
          </rPr>
          <t># #1.1.1.1.1.3.75 #</t>
        </r>
      </text>
    </comment>
    <comment ref="B274" authorId="0">
      <text>
        <r>
          <rPr>
            <sz val="9"/>
            <color indexed="81"/>
            <rFont val="Tahoma"/>
            <family val="2"/>
            <charset val="204"/>
          </rPr>
          <t># #1.1.1.1.1.3.75.1 #</t>
        </r>
      </text>
    </comment>
    <comment ref="B275" authorId="0">
      <text>
        <r>
          <rPr>
            <sz val="9"/>
            <color indexed="81"/>
            <rFont val="Tahoma"/>
            <family val="2"/>
            <charset val="204"/>
          </rPr>
          <t># #1.1.1.1.1.3.75.2 #</t>
        </r>
      </text>
    </comment>
    <comment ref="B276" authorId="0">
      <text>
        <r>
          <rPr>
            <sz val="9"/>
            <color indexed="81"/>
            <rFont val="Tahoma"/>
            <family val="2"/>
            <charset val="204"/>
          </rPr>
          <t># #1.1.1.1.1.3.76 #</t>
        </r>
      </text>
    </comment>
    <comment ref="B277" authorId="0">
      <text>
        <r>
          <rPr>
            <sz val="9"/>
            <color indexed="81"/>
            <rFont val="Tahoma"/>
            <family val="2"/>
            <charset val="204"/>
          </rPr>
          <t># #1.1.1.1.1.3.76.1 #</t>
        </r>
      </text>
    </comment>
    <comment ref="B278" authorId="0">
      <text>
        <r>
          <rPr>
            <sz val="9"/>
            <color indexed="81"/>
            <rFont val="Tahoma"/>
            <family val="2"/>
            <charset val="204"/>
          </rPr>
          <t># #1.1.1.1.1.3.76.2 #</t>
        </r>
      </text>
    </comment>
    <comment ref="B279" authorId="0">
      <text>
        <r>
          <rPr>
            <sz val="9"/>
            <color indexed="81"/>
            <rFont val="Tahoma"/>
            <family val="2"/>
            <charset val="204"/>
          </rPr>
          <t># #1.1.1.1.1.3.77 #</t>
        </r>
      </text>
    </comment>
    <comment ref="B280" authorId="0">
      <text>
        <r>
          <rPr>
            <sz val="9"/>
            <color indexed="81"/>
            <rFont val="Tahoma"/>
            <family val="2"/>
            <charset val="204"/>
          </rPr>
          <t># #1.1.1.1.1.3.77.1 #</t>
        </r>
      </text>
    </comment>
    <comment ref="B281" authorId="0">
      <text>
        <r>
          <rPr>
            <sz val="9"/>
            <color indexed="81"/>
            <rFont val="Tahoma"/>
            <family val="2"/>
            <charset val="204"/>
          </rPr>
          <t># #1.1.1.1.1.3.77.2 #</t>
        </r>
      </text>
    </comment>
    <comment ref="B282" authorId="0">
      <text>
        <r>
          <rPr>
            <sz val="9"/>
            <color indexed="81"/>
            <rFont val="Tahoma"/>
            <family val="2"/>
            <charset val="204"/>
          </rPr>
          <t># #1.1.1.1.1.3.78 #</t>
        </r>
      </text>
    </comment>
    <comment ref="B283" authorId="0">
      <text>
        <r>
          <rPr>
            <sz val="9"/>
            <color indexed="81"/>
            <rFont val="Tahoma"/>
            <family val="2"/>
            <charset val="204"/>
          </rPr>
          <t># #1.1.1.1.1.3.78.1 #</t>
        </r>
      </text>
    </comment>
    <comment ref="B284" authorId="0">
      <text>
        <r>
          <rPr>
            <sz val="9"/>
            <color indexed="81"/>
            <rFont val="Tahoma"/>
            <family val="2"/>
            <charset val="204"/>
          </rPr>
          <t># #1.1.1.1.1.3.78.2 #</t>
        </r>
      </text>
    </comment>
    <comment ref="B285" authorId="0">
      <text>
        <r>
          <rPr>
            <sz val="9"/>
            <color indexed="81"/>
            <rFont val="Tahoma"/>
            <family val="2"/>
            <charset val="204"/>
          </rPr>
          <t># #1.1.1.1.1.3.79 #</t>
        </r>
      </text>
    </comment>
    <comment ref="B286" authorId="0">
      <text>
        <r>
          <rPr>
            <sz val="9"/>
            <color indexed="81"/>
            <rFont val="Tahoma"/>
            <family val="2"/>
            <charset val="204"/>
          </rPr>
          <t># #1.1.1.1.1.3.79.1 #</t>
        </r>
      </text>
    </comment>
    <comment ref="B287" authorId="0">
      <text>
        <r>
          <rPr>
            <sz val="9"/>
            <color indexed="81"/>
            <rFont val="Tahoma"/>
            <family val="2"/>
            <charset val="204"/>
          </rPr>
          <t># #1.1.1.1.1.3.79.2 #</t>
        </r>
      </text>
    </comment>
    <comment ref="B288" authorId="0">
      <text>
        <r>
          <rPr>
            <sz val="9"/>
            <color indexed="81"/>
            <rFont val="Tahoma"/>
            <family val="2"/>
            <charset val="204"/>
          </rPr>
          <t># #1.1.1.1.1.3.80 #</t>
        </r>
      </text>
    </comment>
    <comment ref="B289" authorId="0">
      <text>
        <r>
          <rPr>
            <sz val="9"/>
            <color indexed="81"/>
            <rFont val="Tahoma"/>
            <family val="2"/>
            <charset val="204"/>
          </rPr>
          <t># #1.1.1.1.1.3.80.1 #</t>
        </r>
      </text>
    </comment>
    <comment ref="B290" authorId="0">
      <text>
        <r>
          <rPr>
            <sz val="9"/>
            <color indexed="81"/>
            <rFont val="Tahoma"/>
            <family val="2"/>
            <charset val="204"/>
          </rPr>
          <t># #1.1.1.1.1.3.80.2 #</t>
        </r>
      </text>
    </comment>
    <comment ref="B291" authorId="0">
      <text>
        <r>
          <rPr>
            <sz val="9"/>
            <color indexed="81"/>
            <rFont val="Tahoma"/>
            <family val="2"/>
            <charset val="204"/>
          </rPr>
          <t># #1.1.1.1.1.3.81 #</t>
        </r>
      </text>
    </comment>
    <comment ref="B292" authorId="0">
      <text>
        <r>
          <rPr>
            <sz val="9"/>
            <color indexed="81"/>
            <rFont val="Tahoma"/>
            <family val="2"/>
            <charset val="204"/>
          </rPr>
          <t># #1.1.1.1.1.3.81.1 #</t>
        </r>
      </text>
    </comment>
    <comment ref="B293" authorId="0">
      <text>
        <r>
          <rPr>
            <sz val="9"/>
            <color indexed="81"/>
            <rFont val="Tahoma"/>
            <family val="2"/>
            <charset val="204"/>
          </rPr>
          <t># #1.1.1.1.1.3.81.2 #</t>
        </r>
      </text>
    </comment>
    <comment ref="B294" authorId="0">
      <text>
        <r>
          <rPr>
            <sz val="9"/>
            <color indexed="81"/>
            <rFont val="Tahoma"/>
            <family val="2"/>
            <charset val="204"/>
          </rPr>
          <t># #1.1.1.1.1.3.82 #</t>
        </r>
      </text>
    </comment>
    <comment ref="B295" authorId="0">
      <text>
        <r>
          <rPr>
            <sz val="9"/>
            <color indexed="81"/>
            <rFont val="Tahoma"/>
            <family val="2"/>
            <charset val="204"/>
          </rPr>
          <t># #1.1.1.1.1.3.82.1 #</t>
        </r>
      </text>
    </comment>
    <comment ref="B296" authorId="0">
      <text>
        <r>
          <rPr>
            <sz val="9"/>
            <color indexed="81"/>
            <rFont val="Tahoma"/>
            <family val="2"/>
            <charset val="204"/>
          </rPr>
          <t># #1.1.1.1.1.3.82.2 #</t>
        </r>
      </text>
    </comment>
    <comment ref="B297" authorId="0">
      <text>
        <r>
          <rPr>
            <sz val="9"/>
            <color indexed="81"/>
            <rFont val="Tahoma"/>
            <family val="2"/>
            <charset val="204"/>
          </rPr>
          <t># #1.1.1.1.1.3.83 #</t>
        </r>
      </text>
    </comment>
    <comment ref="B298" authorId="0">
      <text>
        <r>
          <rPr>
            <sz val="9"/>
            <color indexed="81"/>
            <rFont val="Tahoma"/>
            <family val="2"/>
            <charset val="204"/>
          </rPr>
          <t># #1.1.1.1.1.3.82.1 #</t>
        </r>
      </text>
    </comment>
    <comment ref="B299" authorId="0">
      <text>
        <r>
          <rPr>
            <sz val="9"/>
            <color indexed="81"/>
            <rFont val="Tahoma"/>
            <family val="2"/>
            <charset val="204"/>
          </rPr>
          <t># #1.1.1.1.1.3.82.2 #</t>
        </r>
      </text>
    </comment>
    <comment ref="B300" authorId="0">
      <text>
        <r>
          <rPr>
            <sz val="9"/>
            <color indexed="81"/>
            <rFont val="Tahoma"/>
            <family val="2"/>
            <charset val="204"/>
          </rPr>
          <t># #1.1.1.1.1.3.85 #</t>
        </r>
      </text>
    </comment>
    <comment ref="B301" authorId="0">
      <text>
        <r>
          <rPr>
            <sz val="9"/>
            <color indexed="81"/>
            <rFont val="Tahoma"/>
            <family val="2"/>
            <charset val="204"/>
          </rPr>
          <t># #1.1.1.1.1.3.85.1 #</t>
        </r>
      </text>
    </comment>
    <comment ref="B302" authorId="0">
      <text>
        <r>
          <rPr>
            <sz val="9"/>
            <color indexed="81"/>
            <rFont val="Tahoma"/>
            <family val="2"/>
            <charset val="204"/>
          </rPr>
          <t># #1.1.1.1.1.3.85.2 #</t>
        </r>
      </text>
    </comment>
    <comment ref="B303" authorId="0">
      <text>
        <r>
          <rPr>
            <sz val="9"/>
            <color indexed="81"/>
            <rFont val="Tahoma"/>
            <family val="2"/>
            <charset val="204"/>
          </rPr>
          <t># #1.1.1.1.1.3.86 #</t>
        </r>
      </text>
    </comment>
    <comment ref="B304" authorId="0">
      <text>
        <r>
          <rPr>
            <sz val="9"/>
            <color indexed="81"/>
            <rFont val="Tahoma"/>
            <family val="2"/>
            <charset val="204"/>
          </rPr>
          <t># #1.1.1.1.1.3.86.1 #</t>
        </r>
      </text>
    </comment>
    <comment ref="B305" authorId="0">
      <text>
        <r>
          <rPr>
            <sz val="9"/>
            <color indexed="81"/>
            <rFont val="Tahoma"/>
            <family val="2"/>
            <charset val="204"/>
          </rPr>
          <t># #1.1.1.1.1.3.86.2 #</t>
        </r>
      </text>
    </comment>
    <comment ref="B306" authorId="0">
      <text>
        <r>
          <rPr>
            <sz val="9"/>
            <color indexed="81"/>
            <rFont val="Tahoma"/>
            <family val="2"/>
            <charset val="204"/>
          </rPr>
          <t># #1.1.1.1.1.3.87 #</t>
        </r>
      </text>
    </comment>
    <comment ref="B307" authorId="0">
      <text>
        <r>
          <rPr>
            <sz val="9"/>
            <color indexed="81"/>
            <rFont val="Tahoma"/>
            <family val="2"/>
            <charset val="204"/>
          </rPr>
          <t># #1.1.1.1.1.3.87.1 #</t>
        </r>
      </text>
    </comment>
    <comment ref="B308" authorId="0">
      <text>
        <r>
          <rPr>
            <sz val="9"/>
            <color indexed="81"/>
            <rFont val="Tahoma"/>
            <family val="2"/>
            <charset val="204"/>
          </rPr>
          <t># #1.1.1.1.1.3.87.2 #</t>
        </r>
      </text>
    </comment>
    <comment ref="B309" authorId="0">
      <text>
        <r>
          <rPr>
            <sz val="9"/>
            <color indexed="81"/>
            <rFont val="Tahoma"/>
            <family val="2"/>
            <charset val="204"/>
          </rPr>
          <t>#1.1.1.1.1.3.88 #1.1.1.1.1.3.88 #1.1.1.1.1.3.88</t>
        </r>
      </text>
    </comment>
    <comment ref="B310" authorId="0">
      <text>
        <r>
          <rPr>
            <sz val="9"/>
            <color indexed="81"/>
            <rFont val="Tahoma"/>
            <family val="2"/>
            <charset val="204"/>
          </rPr>
          <t># #1.1.1.1.2 #</t>
        </r>
      </text>
    </comment>
    <comment ref="B311" authorId="0">
      <text>
        <r>
          <rPr>
            <sz val="9"/>
            <color indexed="81"/>
            <rFont val="Tahoma"/>
            <family val="2"/>
            <charset val="204"/>
          </rPr>
          <t># #1.1.1.1.2.1 #</t>
        </r>
      </text>
    </comment>
    <comment ref="B312" authorId="0">
      <text>
        <r>
          <rPr>
            <sz val="9"/>
            <color indexed="81"/>
            <rFont val="Tahoma"/>
            <family val="2"/>
            <charset val="204"/>
          </rPr>
          <t># #1.1.1.1.2.1.1 #</t>
        </r>
      </text>
    </comment>
    <comment ref="B313" authorId="0">
      <text>
        <r>
          <rPr>
            <sz val="9"/>
            <color indexed="81"/>
            <rFont val="Tahoma"/>
            <family val="2"/>
            <charset val="204"/>
          </rPr>
          <t># #1.1.1.1.2.1.2 #</t>
        </r>
      </text>
    </comment>
    <comment ref="B314" authorId="0">
      <text>
        <r>
          <rPr>
            <sz val="9"/>
            <color indexed="81"/>
            <rFont val="Tahoma"/>
            <family val="2"/>
            <charset val="204"/>
          </rPr>
          <t># #1.1.1.1.2.2 #</t>
        </r>
      </text>
    </comment>
    <comment ref="B315" authorId="0">
      <text>
        <r>
          <rPr>
            <sz val="9"/>
            <color indexed="81"/>
            <rFont val="Tahoma"/>
            <family val="2"/>
            <charset val="204"/>
          </rPr>
          <t># #1.1.1.1.2.2.1 #</t>
        </r>
      </text>
    </comment>
    <comment ref="B316" authorId="0">
      <text>
        <r>
          <rPr>
            <sz val="9"/>
            <color indexed="81"/>
            <rFont val="Tahoma"/>
            <family val="2"/>
            <charset val="204"/>
          </rPr>
          <t># #1.1.1.1.2.2.2 #</t>
        </r>
      </text>
    </comment>
    <comment ref="B317" authorId="0">
      <text>
        <r>
          <rPr>
            <sz val="9"/>
            <color indexed="81"/>
            <rFont val="Tahoma"/>
            <family val="2"/>
            <charset val="204"/>
          </rPr>
          <t># #1.1.1.1.2.3 #</t>
        </r>
      </text>
    </comment>
    <comment ref="B318" authorId="0">
      <text>
        <r>
          <rPr>
            <sz val="9"/>
            <color indexed="81"/>
            <rFont val="Tahoma"/>
            <family val="2"/>
            <charset val="204"/>
          </rPr>
          <t># #1.1.1.1.2.3.1 #</t>
        </r>
      </text>
    </comment>
    <comment ref="B319" authorId="0">
      <text>
        <r>
          <rPr>
            <sz val="9"/>
            <color indexed="81"/>
            <rFont val="Tahoma"/>
            <family val="2"/>
            <charset val="204"/>
          </rPr>
          <t># #1.1.1.1.2.3.2 #</t>
        </r>
      </text>
    </comment>
    <comment ref="B320" authorId="0">
      <text>
        <r>
          <rPr>
            <sz val="9"/>
            <color indexed="81"/>
            <rFont val="Tahoma"/>
            <family val="2"/>
            <charset val="204"/>
          </rPr>
          <t># #1.1.1.1.2.4 #</t>
        </r>
      </text>
    </comment>
    <comment ref="B321" authorId="0">
      <text>
        <r>
          <rPr>
            <sz val="9"/>
            <color indexed="81"/>
            <rFont val="Tahoma"/>
            <family val="2"/>
            <charset val="204"/>
          </rPr>
          <t># #1.1.1.1.2.4.1 #</t>
        </r>
      </text>
    </comment>
    <comment ref="B322" authorId="0">
      <text>
        <r>
          <rPr>
            <sz val="9"/>
            <color indexed="81"/>
            <rFont val="Tahoma"/>
            <family val="2"/>
            <charset val="204"/>
          </rPr>
          <t># #1.1.1.1.2.4.2 #</t>
        </r>
      </text>
    </comment>
    <comment ref="B323" authorId="0">
      <text>
        <r>
          <rPr>
            <sz val="9"/>
            <color indexed="81"/>
            <rFont val="Tahoma"/>
            <family val="2"/>
            <charset val="204"/>
          </rPr>
          <t># #1.1.1.1.2.5 #</t>
        </r>
      </text>
    </comment>
    <comment ref="B324" authorId="0">
      <text>
        <r>
          <rPr>
            <sz val="9"/>
            <color indexed="81"/>
            <rFont val="Tahoma"/>
            <family val="2"/>
            <charset val="204"/>
          </rPr>
          <t># #1.1.1.1.2.5.1 #</t>
        </r>
      </text>
    </comment>
    <comment ref="B325" authorId="0">
      <text>
        <r>
          <rPr>
            <sz val="9"/>
            <color indexed="81"/>
            <rFont val="Tahoma"/>
            <family val="2"/>
            <charset val="204"/>
          </rPr>
          <t># #1.1.1.1.2.5.2 #</t>
        </r>
      </text>
    </comment>
    <comment ref="B326" authorId="0">
      <text>
        <r>
          <rPr>
            <sz val="9"/>
            <color indexed="81"/>
            <rFont val="Tahoma"/>
            <family val="2"/>
            <charset val="204"/>
          </rPr>
          <t>#1.1.1.1.2 #1.1.1.1.2.6 #1.1.2</t>
        </r>
      </text>
    </comment>
    <comment ref="B327" authorId="0">
      <text>
        <r>
          <rPr>
            <sz val="9"/>
            <color indexed="81"/>
            <rFont val="Tahoma"/>
            <family val="2"/>
            <charset val="204"/>
          </rPr>
          <t>#1.1.1.1.3 #1.1.1.1.3 #1.1.3</t>
        </r>
      </text>
    </comment>
    <comment ref="B328" authorId="0">
      <text>
        <r>
          <rPr>
            <sz val="9"/>
            <color indexed="81"/>
            <rFont val="Tahoma"/>
            <family val="2"/>
            <charset val="204"/>
          </rPr>
          <t>#1.1.1.2 #1.1.1.2 #1.3</t>
        </r>
      </text>
    </comment>
    <comment ref="H328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ремонт асфальтового покрытия, без 26счета</t>
        </r>
      </text>
    </comment>
    <comment ref="B329" authorId="0">
      <text>
        <r>
          <rPr>
            <sz val="9"/>
            <color indexed="81"/>
            <rFont val="Tahoma"/>
            <family val="2"/>
            <charset val="204"/>
          </rPr>
          <t>#1.1.1.3 #1.1.1.3 #1.4</t>
        </r>
      </text>
    </comment>
    <comment ref="B330" authorId="0">
      <text>
        <r>
          <rPr>
            <sz val="9"/>
            <color indexed="81"/>
            <rFont val="Tahoma"/>
            <family val="2"/>
            <charset val="204"/>
          </rPr>
          <t>#1.1.1.3.1 #1.1.1.3.1 #1.4.1</t>
        </r>
      </text>
    </comment>
    <comment ref="B331" authorId="0">
      <text>
        <r>
          <rPr>
            <sz val="9"/>
            <color indexed="81"/>
            <rFont val="Tahoma"/>
            <family val="2"/>
            <charset val="204"/>
          </rPr>
          <t># #1.1.1.3.1.2 #</t>
        </r>
      </text>
    </comment>
    <comment ref="B332" authorId="0">
      <text>
        <r>
          <rPr>
            <sz val="9"/>
            <color indexed="81"/>
            <rFont val="Tahoma"/>
            <family val="2"/>
            <charset val="204"/>
          </rPr>
          <t># #1.1.1.3.1.2.5 #</t>
        </r>
      </text>
    </comment>
    <comment ref="B333" authorId="0">
      <text>
        <r>
          <rPr>
            <sz val="9"/>
            <color indexed="81"/>
            <rFont val="Tahoma"/>
            <family val="2"/>
            <charset val="204"/>
          </rPr>
          <t>#1.1.1.3.1.2.1 # #</t>
        </r>
      </text>
    </comment>
    <comment ref="B334" authorId="0">
      <text>
        <r>
          <rPr>
            <sz val="9"/>
            <color indexed="81"/>
            <rFont val="Tahoma"/>
            <family val="2"/>
            <charset val="204"/>
          </rPr>
          <t># #1.1.1.3.1.2.1.1 #</t>
        </r>
      </text>
    </comment>
    <comment ref="B335" authorId="0">
      <text>
        <r>
          <rPr>
            <sz val="9"/>
            <color indexed="81"/>
            <rFont val="Tahoma"/>
            <family val="2"/>
            <charset val="204"/>
          </rPr>
          <t># #1.1.1.3.1.2.2.2 #</t>
        </r>
      </text>
    </comment>
    <comment ref="B336" authorId="0">
      <text>
        <r>
          <rPr>
            <sz val="9"/>
            <color indexed="81"/>
            <rFont val="Tahoma"/>
            <family val="2"/>
            <charset val="204"/>
          </rPr>
          <t># #1.1.1.3.1.2.2 #</t>
        </r>
      </text>
    </comment>
    <comment ref="B337" authorId="0">
      <text>
        <r>
          <rPr>
            <sz val="9"/>
            <color indexed="81"/>
            <rFont val="Tahoma"/>
            <family val="2"/>
            <charset val="204"/>
          </rPr>
          <t># #1.1.1.3.1.2.3 #</t>
        </r>
      </text>
    </comment>
    <comment ref="B338" authorId="0">
      <text>
        <r>
          <rPr>
            <sz val="9"/>
            <color indexed="81"/>
            <rFont val="Tahoma"/>
            <family val="2"/>
            <charset val="204"/>
          </rPr>
          <t># #1.1.1.3.1.2.4 #</t>
        </r>
      </text>
    </comment>
    <comment ref="B339" authorId="0">
      <text>
        <r>
          <rPr>
            <sz val="9"/>
            <color indexed="81"/>
            <rFont val="Tahoma"/>
            <family val="2"/>
            <charset val="204"/>
          </rPr>
          <t>#31. #1.1.1.3.1.1 #31.</t>
        </r>
      </text>
    </comment>
    <comment ref="B340" authorId="0">
      <text>
        <r>
          <rPr>
            <sz val="9"/>
            <color indexed="81"/>
            <rFont val="Tahoma"/>
            <family val="2"/>
            <charset val="204"/>
          </rPr>
          <t>#1.1.1.3.2 #1.1.1.3.2 #1.4.2</t>
        </r>
      </text>
    </comment>
    <comment ref="E340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F340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G340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H340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I340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J340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M340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P340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S340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V340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W340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X340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Y340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341" authorId="0">
      <text>
        <r>
          <rPr>
            <sz val="9"/>
            <color indexed="81"/>
            <rFont val="Tahoma"/>
            <family val="2"/>
            <charset val="204"/>
          </rPr>
          <t>#1.1.1.4 #1.1.1.4 #</t>
        </r>
      </text>
    </comment>
    <comment ref="B342" authorId="0">
      <text>
        <r>
          <rPr>
            <sz val="9"/>
            <color indexed="81"/>
            <rFont val="Tahoma"/>
            <family val="2"/>
            <charset val="204"/>
          </rPr>
          <t>#1.1.1.5 #1.1.1.5 #1.6</t>
        </r>
      </text>
    </comment>
    <comment ref="B343" authorId="0">
      <text>
        <r>
          <rPr>
            <sz val="9"/>
            <color indexed="81"/>
            <rFont val="Tahoma"/>
            <family val="2"/>
            <charset val="204"/>
          </rPr>
          <t># #1.1.1.5.1 #</t>
        </r>
      </text>
    </comment>
    <comment ref="B344" authorId="0">
      <text>
        <r>
          <rPr>
            <sz val="9"/>
            <color indexed="81"/>
            <rFont val="Tahoma"/>
            <family val="2"/>
            <charset val="204"/>
          </rPr>
          <t>#1.1.1.5 #1.1.1.5.2 #1.6</t>
        </r>
      </text>
    </comment>
    <comment ref="B345" authorId="0">
      <text>
        <r>
          <rPr>
            <sz val="9"/>
            <color indexed="81"/>
            <rFont val="Tahoma"/>
            <family val="2"/>
            <charset val="204"/>
          </rPr>
          <t>#1.1.1.6 #1.1.1.6 #1.7</t>
        </r>
      </text>
    </comment>
    <comment ref="B346" authorId="0">
      <text>
        <r>
          <rPr>
            <sz val="9"/>
            <color indexed="81"/>
            <rFont val="Tahoma"/>
            <family val="2"/>
            <charset val="204"/>
          </rPr>
          <t>#1.1.1.6.1 #1.1.1.6.1 #1.7.2</t>
        </r>
      </text>
    </comment>
    <comment ref="B347" authorId="0">
      <text>
        <r>
          <rPr>
            <sz val="9"/>
            <color indexed="81"/>
            <rFont val="Tahoma"/>
            <family val="2"/>
            <charset val="204"/>
          </rPr>
          <t>#1.1.1.6.2 #1.1.1.6.2 #1.7.1</t>
        </r>
      </text>
    </comment>
    <comment ref="B348" authorId="0">
      <text>
        <r>
          <rPr>
            <sz val="9"/>
            <color indexed="81"/>
            <rFont val="Tahoma"/>
            <family val="2"/>
            <charset val="204"/>
          </rPr>
          <t>#1.1.1.6.3 #1.1.1.6.3 #</t>
        </r>
      </text>
    </comment>
    <comment ref="B349" authorId="0">
      <text>
        <r>
          <rPr>
            <sz val="9"/>
            <color indexed="81"/>
            <rFont val="Tahoma"/>
            <family val="2"/>
            <charset val="204"/>
          </rPr>
          <t>#1.1.1.6.4 #1.1.1.6.4 #</t>
        </r>
      </text>
    </comment>
    <comment ref="B350" authorId="0">
      <text>
        <r>
          <rPr>
            <sz val="9"/>
            <color indexed="81"/>
            <rFont val="Tahoma"/>
            <family val="2"/>
            <charset val="204"/>
          </rPr>
          <t>#1.1.1.6.5 #1.1.1.6.5 #1.7.3</t>
        </r>
      </text>
    </comment>
    <comment ref="B351" authorId="0">
      <text>
        <r>
          <rPr>
            <sz val="9"/>
            <color indexed="81"/>
            <rFont val="Tahoma"/>
            <family val="2"/>
            <charset val="204"/>
          </rPr>
          <t>#1.1.1.6.6 #1.1.1.6.6 #1.7.4</t>
        </r>
      </text>
    </comment>
    <comment ref="B352" authorId="0">
      <text>
        <r>
          <rPr>
            <sz val="9"/>
            <color indexed="81"/>
            <rFont val="Tahoma"/>
            <family val="2"/>
            <charset val="204"/>
          </rPr>
          <t>#1.1.2 #1.1.2 #2</t>
        </r>
      </text>
    </comment>
    <comment ref="B353" authorId="0">
      <text>
        <r>
          <rPr>
            <sz val="9"/>
            <color indexed="81"/>
            <rFont val="Tahoma"/>
            <family val="2"/>
            <charset val="204"/>
          </rPr>
          <t>#1.1.2.1 #1.1.2.1 #2.1</t>
        </r>
      </text>
    </comment>
    <comment ref="B354" authorId="0">
      <text>
        <r>
          <rPr>
            <sz val="9"/>
            <color indexed="81"/>
            <rFont val="Tahoma"/>
            <family val="2"/>
            <charset val="204"/>
          </rPr>
          <t>#1.1.2.2 #1.1.2.2 #2.2</t>
        </r>
      </text>
    </comment>
    <comment ref="B355" authorId="0">
      <text>
        <r>
          <rPr>
            <sz val="9"/>
            <color indexed="81"/>
            <rFont val="Tahoma"/>
            <family val="2"/>
            <charset val="204"/>
          </rPr>
          <t>#1.1.2.3 #1.1.2.3 #2.3</t>
        </r>
      </text>
    </comment>
    <comment ref="B356" authorId="0">
      <text>
        <r>
          <rPr>
            <sz val="9"/>
            <color indexed="81"/>
            <rFont val="Tahoma"/>
            <family val="2"/>
            <charset val="204"/>
          </rPr>
          <t>#1.1.2.3.1 #1.1.2.3.1 #2.3.1</t>
        </r>
      </text>
    </comment>
    <comment ref="B357" authorId="0">
      <text>
        <r>
          <rPr>
            <sz val="9"/>
            <color indexed="81"/>
            <rFont val="Tahoma"/>
            <family val="2"/>
            <charset val="204"/>
          </rPr>
          <t># #1.1.2.3.1.1 #</t>
        </r>
      </text>
    </comment>
    <comment ref="B358" authorId="0">
      <text>
        <r>
          <rPr>
            <sz val="9"/>
            <color indexed="81"/>
            <rFont val="Tahoma"/>
            <family val="2"/>
            <charset val="204"/>
          </rPr>
          <t># #1.1.2.3.1.1.5 #</t>
        </r>
      </text>
    </comment>
    <comment ref="B359" authorId="0">
      <text>
        <r>
          <rPr>
            <sz val="9"/>
            <color indexed="81"/>
            <rFont val="Tahoma"/>
            <family val="2"/>
            <charset val="204"/>
          </rPr>
          <t># #1.1.2.3.1.1.1 #</t>
        </r>
      </text>
    </comment>
    <comment ref="B360" authorId="0">
      <text>
        <r>
          <rPr>
            <sz val="9"/>
            <color indexed="81"/>
            <rFont val="Tahoma"/>
            <family val="2"/>
            <charset val="204"/>
          </rPr>
          <t># #1.1.2.3.1.1.1.1 #</t>
        </r>
      </text>
    </comment>
    <comment ref="B361" authorId="0">
      <text>
        <r>
          <rPr>
            <sz val="9"/>
            <color indexed="81"/>
            <rFont val="Tahoma"/>
            <family val="2"/>
            <charset val="204"/>
          </rPr>
          <t># #1.1.2.3.1.1.1.2 #</t>
        </r>
      </text>
    </comment>
    <comment ref="B362" authorId="0">
      <text>
        <r>
          <rPr>
            <sz val="9"/>
            <color indexed="81"/>
            <rFont val="Tahoma"/>
            <family val="2"/>
            <charset val="204"/>
          </rPr>
          <t># #1.1.2.3.1.1.2 #</t>
        </r>
      </text>
    </comment>
    <comment ref="B363" authorId="0">
      <text>
        <r>
          <rPr>
            <sz val="9"/>
            <color indexed="81"/>
            <rFont val="Tahoma"/>
            <family val="2"/>
            <charset val="204"/>
          </rPr>
          <t># #1.1.2.3.1.1.3 #</t>
        </r>
      </text>
    </comment>
    <comment ref="B364" authorId="0">
      <text>
        <r>
          <rPr>
            <sz val="9"/>
            <color indexed="81"/>
            <rFont val="Tahoma"/>
            <family val="2"/>
            <charset val="204"/>
          </rPr>
          <t># #1.1.2.3.1.1.4 #</t>
        </r>
      </text>
    </comment>
    <comment ref="B365" authorId="0">
      <text>
        <r>
          <rPr>
            <sz val="9"/>
            <color indexed="81"/>
            <rFont val="Tahoma"/>
            <family val="2"/>
            <charset val="204"/>
          </rPr>
          <t>#32. #1.1.2.3.1.2 #32.</t>
        </r>
      </text>
    </comment>
    <comment ref="B366" authorId="0">
      <text>
        <r>
          <rPr>
            <sz val="9"/>
            <color indexed="81"/>
            <rFont val="Tahoma"/>
            <family val="2"/>
            <charset val="204"/>
          </rPr>
          <t>#1.1.2.3.2 #1.1.2.3.2 #2.3.2</t>
        </r>
      </text>
    </comment>
    <comment ref="E36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F36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G36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H36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I36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J36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M36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P36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S36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V36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W36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X36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Y36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367" authorId="0">
      <text>
        <r>
          <rPr>
            <sz val="9"/>
            <color indexed="81"/>
            <rFont val="Tahoma"/>
            <family val="2"/>
            <charset val="204"/>
          </rPr>
          <t>#1.1.3 #1.1.3 #3</t>
        </r>
      </text>
    </comment>
    <comment ref="B368" authorId="0">
      <text>
        <r>
          <rPr>
            <sz val="9"/>
            <color indexed="81"/>
            <rFont val="Tahoma"/>
            <family val="2"/>
            <charset val="204"/>
          </rPr>
          <t>#1.1.3.1 #1.1.3.1 #3.1</t>
        </r>
      </text>
    </comment>
    <comment ref="B369" authorId="0">
      <text>
        <r>
          <rPr>
            <sz val="9"/>
            <color indexed="81"/>
            <rFont val="Tahoma"/>
            <family val="2"/>
            <charset val="204"/>
          </rPr>
          <t>#1.1.3.1.1 #1.1.3.1.1 #3.1.1</t>
        </r>
      </text>
    </comment>
    <comment ref="B370" authorId="0">
      <text>
        <r>
          <rPr>
            <sz val="9"/>
            <color indexed="81"/>
            <rFont val="Tahoma"/>
            <family val="2"/>
            <charset val="204"/>
          </rPr>
          <t>#1.1.3.1.2 #1.1.3.1.2 #3.1.2</t>
        </r>
      </text>
    </comment>
    <comment ref="B371" authorId="0">
      <text>
        <r>
          <rPr>
            <sz val="9"/>
            <color indexed="81"/>
            <rFont val="Tahoma"/>
            <family val="2"/>
            <charset val="204"/>
          </rPr>
          <t>#1.1.3.1.3 #1.1.3.1.3 #3.1.3</t>
        </r>
      </text>
    </comment>
    <comment ref="B372" authorId="0">
      <text>
        <r>
          <rPr>
            <sz val="9"/>
            <color indexed="81"/>
            <rFont val="Tahoma"/>
            <family val="2"/>
            <charset val="204"/>
          </rPr>
          <t>#1.1.3.1.4 #1.1.3.1.4 #3.1.4</t>
        </r>
      </text>
    </comment>
    <comment ref="B373" authorId="0">
      <text>
        <r>
          <rPr>
            <sz val="9"/>
            <color indexed="81"/>
            <rFont val="Tahoma"/>
            <family val="2"/>
            <charset val="204"/>
          </rPr>
          <t>#1.1.3.1.5 #1.1.3.1.5 #3.1.5</t>
        </r>
      </text>
    </comment>
    <comment ref="H37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данных безопасников</t>
        </r>
      </text>
    </comment>
    <comment ref="B374" authorId="0">
      <text>
        <r>
          <rPr>
            <sz val="9"/>
            <color indexed="81"/>
            <rFont val="Tahoma"/>
            <family val="2"/>
            <charset val="204"/>
          </rPr>
          <t>#1.1.3.1.6 #1.1.3.1.6 #3.1.6</t>
        </r>
      </text>
    </comment>
    <comment ref="B375" authorId="0">
      <text>
        <r>
          <rPr>
            <sz val="9"/>
            <color indexed="81"/>
            <rFont val="Tahoma"/>
            <family val="2"/>
            <charset val="204"/>
          </rPr>
          <t>#1.1.3.2 #1.1.3.2 #3.2</t>
        </r>
      </text>
    </comment>
    <comment ref="B376" authorId="0">
      <text>
        <r>
          <rPr>
            <sz val="9"/>
            <color indexed="81"/>
            <rFont val="Tahoma"/>
            <family val="2"/>
            <charset val="204"/>
          </rPr>
          <t>#1.1.3.2.1 #1.1.3.2.1 #3.2.1</t>
        </r>
      </text>
    </comment>
    <comment ref="B377" authorId="0">
      <text>
        <r>
          <rPr>
            <sz val="9"/>
            <color indexed="81"/>
            <rFont val="Tahoma"/>
            <family val="2"/>
            <charset val="204"/>
          </rPr>
          <t># #1.1.3.2.1.1 #</t>
        </r>
      </text>
    </comment>
    <comment ref="B378" authorId="0">
      <text>
        <r>
          <rPr>
            <sz val="9"/>
            <color indexed="81"/>
            <rFont val="Tahoma"/>
            <family val="2"/>
            <charset val="204"/>
          </rPr>
          <t># #1.1.3.2.1.1.2 #</t>
        </r>
      </text>
    </comment>
    <comment ref="B379" authorId="0">
      <text>
        <r>
          <rPr>
            <sz val="9"/>
            <color indexed="81"/>
            <rFont val="Tahoma"/>
            <family val="2"/>
            <charset val="204"/>
          </rPr>
          <t># #1.1.3.2.1.1.5 #</t>
        </r>
      </text>
    </comment>
    <comment ref="B380" authorId="0">
      <text>
        <r>
          <rPr>
            <sz val="9"/>
            <color indexed="81"/>
            <rFont val="Tahoma"/>
            <family val="2"/>
            <charset val="204"/>
          </rPr>
          <t># #1.1.3.2.1.1.1 #</t>
        </r>
      </text>
    </comment>
    <comment ref="B381" authorId="0">
      <text>
        <r>
          <rPr>
            <sz val="9"/>
            <color indexed="81"/>
            <rFont val="Tahoma"/>
            <family val="2"/>
            <charset val="204"/>
          </rPr>
          <t># #1.1.3.2.1.1.1.1 #</t>
        </r>
      </text>
    </comment>
    <comment ref="B382" authorId="0">
      <text>
        <r>
          <rPr>
            <sz val="9"/>
            <color indexed="81"/>
            <rFont val="Tahoma"/>
            <family val="2"/>
            <charset val="204"/>
          </rPr>
          <t># #1.1.3.2.1.1.1.2 #</t>
        </r>
      </text>
    </comment>
    <comment ref="B383" authorId="0">
      <text>
        <r>
          <rPr>
            <sz val="9"/>
            <color indexed="81"/>
            <rFont val="Tahoma"/>
            <family val="2"/>
            <charset val="204"/>
          </rPr>
          <t># #1.1.3.2.1.1.3 #</t>
        </r>
      </text>
    </comment>
    <comment ref="B384" authorId="0">
      <text>
        <r>
          <rPr>
            <sz val="9"/>
            <color indexed="81"/>
            <rFont val="Tahoma"/>
            <family val="2"/>
            <charset val="204"/>
          </rPr>
          <t># #1.1.3.2.1.1.4 #</t>
        </r>
      </text>
    </comment>
    <comment ref="B385" authorId="0">
      <text>
        <r>
          <rPr>
            <sz val="9"/>
            <color indexed="81"/>
            <rFont val="Tahoma"/>
            <family val="2"/>
            <charset val="204"/>
          </rPr>
          <t>#33. #1.1.3.2.1.2 #33.</t>
        </r>
      </text>
    </comment>
    <comment ref="B386" authorId="0">
      <text>
        <r>
          <rPr>
            <sz val="9"/>
            <color indexed="81"/>
            <rFont val="Tahoma"/>
            <family val="2"/>
            <charset val="204"/>
          </rPr>
          <t>#1.1.3.2.2 #1.1.3.2.2 #3.2.2</t>
        </r>
      </text>
    </comment>
    <comment ref="E38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F38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G38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H38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I38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J38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M38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P38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S38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V386" authorId="2">
      <text>
        <r>
          <rPr>
            <sz val="8"/>
            <color indexed="8"/>
            <rFont val="Arial"/>
            <family val="2"/>
          </rPr>
          <t>30.2*0/100</t>
        </r>
      </text>
    </comment>
    <comment ref="W38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X38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Y386" authorId="0">
      <text>
        <r>
          <rPr>
            <sz val="9"/>
            <color indexed="81"/>
            <rFont val="Tahoma"/>
            <family val="2"/>
            <charset val="204"/>
          </rPr>
          <t>30.2*0/100</t>
        </r>
      </text>
    </comment>
    <comment ref="B387" authorId="0">
      <text>
        <r>
          <rPr>
            <sz val="9"/>
            <color indexed="81"/>
            <rFont val="Tahoma"/>
            <family val="2"/>
            <charset val="204"/>
          </rPr>
          <t>#1.1.3.3 #1.1.3.3 #3.3</t>
        </r>
      </text>
    </comment>
    <comment ref="B388" authorId="0">
      <text>
        <r>
          <rPr>
            <sz val="9"/>
            <color indexed="81"/>
            <rFont val="Tahoma"/>
            <family val="2"/>
            <charset val="204"/>
          </rPr>
          <t>#1.1.3.4 #1.1.3.4 #3.4</t>
        </r>
      </text>
    </comment>
    <comment ref="B389" authorId="0">
      <text>
        <r>
          <rPr>
            <sz val="9"/>
            <color indexed="81"/>
            <rFont val="Tahoma"/>
            <family val="2"/>
            <charset val="204"/>
          </rPr>
          <t>#1.1.3.5 #1.1.3.5 #3.5</t>
        </r>
      </text>
    </comment>
    <comment ref="B390" authorId="0">
      <text>
        <r>
          <rPr>
            <sz val="9"/>
            <color indexed="81"/>
            <rFont val="Tahoma"/>
            <family val="2"/>
            <charset val="204"/>
          </rPr>
          <t>#1.1.3.6 #1.1.3.6 #3.6</t>
        </r>
      </text>
    </comment>
    <comment ref="B391" authorId="0">
      <text>
        <r>
          <rPr>
            <sz val="9"/>
            <color indexed="81"/>
            <rFont val="Tahoma"/>
            <family val="2"/>
            <charset val="204"/>
          </rPr>
          <t>#1.1.3.7 #1.1.3.7 #3.7</t>
        </r>
      </text>
    </comment>
    <comment ref="B392" authorId="0">
      <text>
        <r>
          <rPr>
            <sz val="9"/>
            <color indexed="81"/>
            <rFont val="Tahoma"/>
            <family val="2"/>
            <charset val="204"/>
          </rPr>
          <t>#1.1.3.7.1 #1.1.3.7.1 #3.7.1</t>
        </r>
      </text>
    </comment>
    <comment ref="B393" authorId="0">
      <text>
        <r>
          <rPr>
            <sz val="9"/>
            <color indexed="81"/>
            <rFont val="Tahoma"/>
            <family val="2"/>
            <charset val="204"/>
          </rPr>
          <t>#1.1.3.7.2 #1.1.3.7.2 #3.7.2</t>
        </r>
      </text>
    </comment>
    <comment ref="B394" authorId="0">
      <text>
        <r>
          <rPr>
            <sz val="9"/>
            <color indexed="81"/>
            <rFont val="Tahoma"/>
            <family val="2"/>
            <charset val="204"/>
          </rPr>
          <t>#1.1.4 #1.1.4 #4.</t>
        </r>
      </text>
    </comment>
    <comment ref="B395" authorId="0">
      <text>
        <r>
          <rPr>
            <sz val="9"/>
            <color indexed="81"/>
            <rFont val="Tahoma"/>
            <family val="2"/>
            <charset val="204"/>
          </rPr>
          <t>#1.1.4.1 #1.1.4.1 #</t>
        </r>
      </text>
    </comment>
    <comment ref="B396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397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398" authorId="0">
      <text>
        <r>
          <rPr>
            <sz val="9"/>
            <color indexed="81"/>
            <rFont val="Tahoma"/>
            <family val="2"/>
            <charset val="204"/>
          </rPr>
          <t>#1.2 #1.2 #1.2.1</t>
        </r>
      </text>
    </comment>
    <comment ref="B399" authorId="0">
      <text>
        <r>
          <rPr>
            <sz val="9"/>
            <color indexed="81"/>
            <rFont val="Tahoma"/>
            <family val="2"/>
            <charset val="204"/>
          </rPr>
          <t>#30. #20.3 #30.</t>
        </r>
      </text>
    </comment>
    <comment ref="B400" authorId="0">
      <text>
        <r>
          <rPr>
            <sz val="9"/>
            <color indexed="81"/>
            <rFont val="Tahoma"/>
            <family val="2"/>
            <charset val="204"/>
          </rPr>
          <t>#26. #20.4 #26.</t>
        </r>
      </text>
    </comment>
    <comment ref="B40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02" authorId="0">
      <text>
        <r>
          <rPr>
            <sz val="9"/>
            <color indexed="81"/>
            <rFont val="Tahoma"/>
            <family val="2"/>
            <charset val="204"/>
          </rPr>
          <t>#3.1.2 #20.5 #</t>
        </r>
      </text>
    </comment>
    <comment ref="B403" authorId="0">
      <text>
        <r>
          <rPr>
            <sz val="9"/>
            <color indexed="81"/>
            <rFont val="Tahoma"/>
            <family val="2"/>
            <charset val="204"/>
          </rPr>
          <t>#5.3 #20.6 #</t>
        </r>
      </text>
    </comment>
    <comment ref="B40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05" authorId="0">
      <text>
        <r>
          <rPr>
            <sz val="9"/>
            <color indexed="81"/>
            <rFont val="Tahoma"/>
            <family val="2"/>
            <charset val="204"/>
          </rPr>
          <t>#3.1.3 #20.7 #</t>
        </r>
      </text>
    </comment>
    <comment ref="B406" authorId="0">
      <text>
        <r>
          <rPr>
            <sz val="9"/>
            <color indexed="81"/>
            <rFont val="Tahoma"/>
            <family val="2"/>
            <charset val="204"/>
          </rPr>
          <t>#5.4 #20.8 #</t>
        </r>
      </text>
    </comment>
    <comment ref="B40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08" authorId="0">
      <text>
        <r>
          <rPr>
            <sz val="9"/>
            <color indexed="81"/>
            <rFont val="Tahoma"/>
            <family val="2"/>
            <charset val="204"/>
          </rPr>
          <t>#3.1.4 #20.9 #</t>
        </r>
      </text>
    </comment>
    <comment ref="B409" authorId="0">
      <text>
        <r>
          <rPr>
            <sz val="9"/>
            <color indexed="81"/>
            <rFont val="Tahoma"/>
            <family val="2"/>
            <charset val="204"/>
          </rPr>
          <t>#5.5 #20.11 #</t>
        </r>
      </text>
    </comment>
    <comment ref="B41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11" authorId="0">
      <text>
        <r>
          <rPr>
            <sz val="9"/>
            <color indexed="81"/>
            <rFont val="Tahoma"/>
            <family val="2"/>
            <charset val="204"/>
          </rPr>
          <t>#3.1.5 #20.12 #</t>
        </r>
      </text>
    </comment>
    <comment ref="B412" authorId="0">
      <text>
        <r>
          <rPr>
            <sz val="9"/>
            <color indexed="81"/>
            <rFont val="Tahoma"/>
            <family val="2"/>
            <charset val="204"/>
          </rPr>
          <t>#6 #20.13 #</t>
        </r>
      </text>
    </comment>
    <comment ref="B41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1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1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16" authorId="0">
      <text>
        <r>
          <rPr>
            <sz val="9"/>
            <color indexed="81"/>
            <rFont val="Tahoma"/>
            <family val="2"/>
            <charset val="204"/>
          </rPr>
          <t># #20.14 #</t>
        </r>
      </text>
    </comment>
    <comment ref="B417" authorId="0">
      <text>
        <r>
          <rPr>
            <sz val="9"/>
            <color indexed="81"/>
            <rFont val="Tahoma"/>
            <family val="2"/>
            <charset val="204"/>
          </rPr>
          <t># #20.15 #</t>
        </r>
      </text>
    </comment>
    <comment ref="B41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19" authorId="0">
      <text>
        <r>
          <rPr>
            <sz val="9"/>
            <color indexed="81"/>
            <rFont val="Tahoma"/>
            <family val="2"/>
            <charset val="204"/>
          </rPr>
          <t># #20.16 #</t>
        </r>
      </text>
    </comment>
    <comment ref="B420" authorId="0">
      <text>
        <r>
          <rPr>
            <sz val="9"/>
            <color indexed="81"/>
            <rFont val="Tahoma"/>
            <family val="2"/>
            <charset val="204"/>
          </rPr>
          <t># #20.17 #</t>
        </r>
      </text>
    </comment>
    <comment ref="B42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22" authorId="0">
      <text>
        <r>
          <rPr>
            <sz val="9"/>
            <color indexed="81"/>
            <rFont val="Tahoma"/>
            <family val="2"/>
            <charset val="204"/>
          </rPr>
          <t># #20.18 #</t>
        </r>
      </text>
    </comment>
    <comment ref="B423" authorId="0">
      <text>
        <r>
          <rPr>
            <sz val="9"/>
            <color indexed="81"/>
            <rFont val="Tahoma"/>
            <family val="2"/>
            <charset val="204"/>
          </rPr>
          <t># #20.19 #</t>
        </r>
      </text>
    </comment>
    <comment ref="B42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25" authorId="0">
      <text>
        <r>
          <rPr>
            <sz val="9"/>
            <color indexed="81"/>
            <rFont val="Tahoma"/>
            <family val="2"/>
            <charset val="204"/>
          </rPr>
          <t># #30.1 #</t>
        </r>
      </text>
    </comment>
    <comment ref="B426" authorId="0">
      <text>
        <r>
          <rPr>
            <sz val="9"/>
            <color indexed="81"/>
            <rFont val="Tahoma"/>
            <family val="2"/>
            <charset val="204"/>
          </rPr>
          <t># #30.2 #</t>
        </r>
      </text>
    </comment>
    <comment ref="B42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28" authorId="0">
      <text>
        <r>
          <rPr>
            <sz val="9"/>
            <color indexed="81"/>
            <rFont val="Tahoma"/>
            <family val="2"/>
            <charset val="204"/>
          </rPr>
          <t># #30.3 #</t>
        </r>
      </text>
    </comment>
    <comment ref="B429" authorId="0">
      <text>
        <r>
          <rPr>
            <sz val="9"/>
            <color indexed="81"/>
            <rFont val="Tahoma"/>
            <family val="2"/>
            <charset val="204"/>
          </rPr>
          <t># #30.4 #</t>
        </r>
      </text>
    </comment>
    <comment ref="B43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3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32" authorId="0">
      <text>
        <r>
          <rPr>
            <sz val="9"/>
            <color indexed="81"/>
            <rFont val="Tahoma"/>
            <family val="2"/>
            <charset val="204"/>
          </rPr>
          <t># #30.5 #</t>
        </r>
      </text>
    </comment>
    <comment ref="B433" authorId="0">
      <text>
        <r>
          <rPr>
            <sz val="9"/>
            <color indexed="81"/>
            <rFont val="Tahoma"/>
            <family val="2"/>
            <charset val="204"/>
          </rPr>
          <t># #30.6 #</t>
        </r>
      </text>
    </comment>
    <comment ref="B43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35" authorId="0">
      <text>
        <r>
          <rPr>
            <sz val="9"/>
            <color indexed="81"/>
            <rFont val="Tahoma"/>
            <family val="2"/>
            <charset val="204"/>
          </rPr>
          <t># #30.7 #</t>
        </r>
      </text>
    </comment>
    <comment ref="B436" authorId="0">
      <text>
        <r>
          <rPr>
            <sz val="9"/>
            <color indexed="81"/>
            <rFont val="Tahoma"/>
            <family val="2"/>
            <charset val="204"/>
          </rPr>
          <t># #30.8 #</t>
        </r>
      </text>
    </comment>
    <comment ref="B43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38" authorId="0">
      <text>
        <r>
          <rPr>
            <sz val="9"/>
            <color indexed="81"/>
            <rFont val="Tahoma"/>
            <family val="2"/>
            <charset val="204"/>
          </rPr>
          <t># #30.9 #</t>
        </r>
      </text>
    </comment>
    <comment ref="B439" authorId="0">
      <text>
        <r>
          <rPr>
            <sz val="9"/>
            <color indexed="81"/>
            <rFont val="Tahoma"/>
            <family val="2"/>
            <charset val="204"/>
          </rPr>
          <t># #30.11 #</t>
        </r>
      </text>
    </comment>
    <comment ref="B44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41" authorId="0">
      <text>
        <r>
          <rPr>
            <sz val="9"/>
            <color indexed="81"/>
            <rFont val="Tahoma"/>
            <family val="2"/>
            <charset val="204"/>
          </rPr>
          <t># #30.12 #</t>
        </r>
      </text>
    </comment>
    <comment ref="B442" authorId="0">
      <text>
        <r>
          <rPr>
            <sz val="9"/>
            <color indexed="81"/>
            <rFont val="Tahoma"/>
            <family val="2"/>
            <charset val="204"/>
          </rPr>
          <t># #30.13 #</t>
        </r>
      </text>
    </comment>
    <comment ref="B44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44" authorId="0">
      <text>
        <r>
          <rPr>
            <sz val="9"/>
            <color indexed="81"/>
            <rFont val="Tahoma"/>
            <family val="2"/>
            <charset val="204"/>
          </rPr>
          <t># #30.14 #</t>
        </r>
      </text>
    </comment>
    <comment ref="B445" authorId="0">
      <text>
        <r>
          <rPr>
            <sz val="9"/>
            <color indexed="81"/>
            <rFont val="Tahoma"/>
            <family val="2"/>
            <charset val="204"/>
          </rPr>
          <t># #30.15 #</t>
        </r>
      </text>
    </comment>
    <comment ref="B446" authorId="0">
      <text>
        <r>
          <rPr>
            <sz val="9"/>
            <color indexed="81"/>
            <rFont val="Tahoma"/>
            <family val="2"/>
            <charset val="204"/>
          </rPr>
          <t>#1.3 #1.3 #</t>
        </r>
      </text>
    </comment>
    <comment ref="B447" authorId="0">
      <text>
        <r>
          <rPr>
            <sz val="9"/>
            <color indexed="81"/>
            <rFont val="Tahoma"/>
            <family val="2"/>
            <charset val="204"/>
          </rPr>
          <t>#1.3.1 #1.3.1 #1.2</t>
        </r>
      </text>
    </comment>
    <comment ref="B448" authorId="0">
      <text>
        <r>
          <rPr>
            <sz val="9"/>
            <color indexed="81"/>
            <rFont val="Tahoma"/>
            <family val="2"/>
            <charset val="204"/>
          </rPr>
          <t># #1.3.1.3 #</t>
        </r>
      </text>
    </comment>
    <comment ref="B449" authorId="0">
      <text>
        <r>
          <rPr>
            <sz val="9"/>
            <color indexed="81"/>
            <rFont val="Tahoma"/>
            <family val="2"/>
            <charset val="204"/>
          </rPr>
          <t># #1.3.1.3.1 #</t>
        </r>
      </text>
    </comment>
    <comment ref="B450" authorId="0">
      <text>
        <r>
          <rPr>
            <sz val="9"/>
            <color indexed="81"/>
            <rFont val="Tahoma"/>
            <family val="2"/>
            <charset val="204"/>
          </rPr>
          <t># #1.3.1.3.1.1 #</t>
        </r>
      </text>
    </comment>
    <comment ref="B451" authorId="0">
      <text>
        <r>
          <rPr>
            <sz val="9"/>
            <color indexed="81"/>
            <rFont val="Tahoma"/>
            <family val="2"/>
            <charset val="204"/>
          </rPr>
          <t># #1.3.1.3.1.2 #</t>
        </r>
      </text>
    </comment>
    <comment ref="H451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452" authorId="0">
      <text>
        <r>
          <rPr>
            <sz val="9"/>
            <color indexed="81"/>
            <rFont val="Tahoma"/>
            <family val="2"/>
            <charset val="204"/>
          </rPr>
          <t># #1.3.1.3.2 #</t>
        </r>
      </text>
    </comment>
    <comment ref="B453" authorId="0">
      <text>
        <r>
          <rPr>
            <sz val="9"/>
            <color indexed="81"/>
            <rFont val="Tahoma"/>
            <family val="2"/>
            <charset val="204"/>
          </rPr>
          <t># #1.3.1.3.2.1 #</t>
        </r>
      </text>
    </comment>
    <comment ref="B454" authorId="0">
      <text>
        <r>
          <rPr>
            <sz val="9"/>
            <color indexed="81"/>
            <rFont val="Tahoma"/>
            <family val="2"/>
            <charset val="204"/>
          </rPr>
          <t># #1.3.1.3.2.2 #</t>
        </r>
      </text>
    </comment>
    <comment ref="B455" authorId="0">
      <text>
        <r>
          <rPr>
            <sz val="9"/>
            <color indexed="81"/>
            <rFont val="Tahoma"/>
            <family val="2"/>
            <charset val="204"/>
          </rPr>
          <t># #1.3.1.3.3 #</t>
        </r>
      </text>
    </comment>
    <comment ref="B456" authorId="0">
      <text>
        <r>
          <rPr>
            <sz val="9"/>
            <color indexed="81"/>
            <rFont val="Tahoma"/>
            <family val="2"/>
            <charset val="204"/>
          </rPr>
          <t># #1.3.1.3.3.1 #</t>
        </r>
      </text>
    </comment>
    <comment ref="B457" authorId="0">
      <text>
        <r>
          <rPr>
            <sz val="9"/>
            <color indexed="81"/>
            <rFont val="Tahoma"/>
            <family val="2"/>
            <charset val="204"/>
          </rPr>
          <t># #1.3.1.3.3.2 #</t>
        </r>
      </text>
    </comment>
    <comment ref="B458" authorId="0">
      <text>
        <r>
          <rPr>
            <sz val="9"/>
            <color indexed="81"/>
            <rFont val="Tahoma"/>
            <family val="2"/>
            <charset val="204"/>
          </rPr>
          <t>#1.3.1.3 #1.3.1.3.4 #1.2.4</t>
        </r>
      </text>
    </comment>
    <comment ref="B459" authorId="0">
      <text>
        <r>
          <rPr>
            <sz val="9"/>
            <color indexed="81"/>
            <rFont val="Tahoma"/>
            <family val="2"/>
            <charset val="204"/>
          </rPr>
          <t>#1.3.1.1 #1.3.1.1 #1.2.2</t>
        </r>
      </text>
    </comment>
    <comment ref="B460" authorId="0">
      <text>
        <r>
          <rPr>
            <sz val="9"/>
            <color indexed="81"/>
            <rFont val="Tahoma"/>
            <family val="2"/>
            <charset val="204"/>
          </rPr>
          <t>#44. #30.16 #44.</t>
        </r>
      </text>
    </comment>
    <comment ref="B461" authorId="0">
      <text>
        <r>
          <rPr>
            <sz val="9"/>
            <color indexed="81"/>
            <rFont val="Tahoma"/>
            <family val="2"/>
            <charset val="204"/>
          </rPr>
          <t>#43. #30.17 #43.</t>
        </r>
      </text>
    </comment>
    <comment ref="H461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</t>
        </r>
      </text>
    </comment>
    <comment ref="B462" authorId="0">
      <text>
        <r>
          <rPr>
            <sz val="9"/>
            <color indexed="81"/>
            <rFont val="Tahoma"/>
            <family val="2"/>
            <charset val="204"/>
          </rPr>
          <t>#1.3.1.2 #1.3.1.2 #1.2.3</t>
        </r>
      </text>
    </comment>
    <comment ref="B463" authorId="0">
      <text>
        <r>
          <rPr>
            <sz val="9"/>
            <color indexed="81"/>
            <rFont val="Tahoma"/>
            <family val="2"/>
            <charset val="204"/>
          </rPr>
          <t>#1.3.1.4 #1.3.1.4 #</t>
        </r>
      </text>
    </comment>
    <comment ref="B464" authorId="0">
      <text>
        <r>
          <rPr>
            <sz val="9"/>
            <color indexed="81"/>
            <rFont val="Tahoma"/>
            <family val="2"/>
            <charset val="204"/>
          </rPr>
          <t>#38. #1.3.1.4.1 #</t>
        </r>
      </text>
    </comment>
    <comment ref="H464" authorId="1">
      <text>
        <r>
          <rPr>
            <b/>
            <sz val="9"/>
            <color indexed="81"/>
            <rFont val="Tahoma"/>
            <family val="2"/>
            <charset val="204"/>
          </rPr>
          <t>a.knyazkina
объем РЖД ушел с конца 2022г</t>
        </r>
      </text>
    </comment>
    <comment ref="B465" authorId="0">
      <text>
        <r>
          <rPr>
            <sz val="9"/>
            <color indexed="81"/>
            <rFont val="Tahoma"/>
            <family val="2"/>
            <charset val="204"/>
          </rPr>
          <t>#37. #1.3.1.4.2 #</t>
        </r>
      </text>
    </comment>
    <comment ref="B466" authorId="0">
      <text>
        <r>
          <rPr>
            <sz val="9"/>
            <color indexed="81"/>
            <rFont val="Tahoma"/>
            <family val="2"/>
            <charset val="204"/>
          </rPr>
          <t>#1.3.1.5 #1.3.1.5 #1.2.5</t>
        </r>
      </text>
    </comment>
    <comment ref="B467" authorId="0">
      <text>
        <r>
          <rPr>
            <sz val="9"/>
            <color indexed="81"/>
            <rFont val="Tahoma"/>
            <family val="2"/>
            <charset val="204"/>
          </rPr>
          <t>#46. #1.2.5.2 #46.</t>
        </r>
      </text>
    </comment>
    <comment ref="B468" authorId="0">
      <text>
        <r>
          <rPr>
            <sz val="9"/>
            <color indexed="81"/>
            <rFont val="Tahoma"/>
            <family val="2"/>
            <charset val="204"/>
          </rPr>
          <t>#45. #1.2.5.1 #45.</t>
        </r>
      </text>
    </comment>
    <comment ref="B469" authorId="0">
      <text>
        <r>
          <rPr>
            <sz val="9"/>
            <color indexed="81"/>
            <rFont val="Tahoma"/>
            <family val="2"/>
            <charset val="204"/>
          </rPr>
          <t>#1.3.1.8 #1.3.1.7 #</t>
        </r>
      </text>
    </comment>
    <comment ref="B470" authorId="0">
      <text>
        <r>
          <rPr>
            <sz val="9"/>
            <color indexed="81"/>
            <rFont val="Tahoma"/>
            <family val="2"/>
            <charset val="204"/>
          </rPr>
          <t>#1.3.1.9 #1.3.1.8 #</t>
        </r>
      </text>
    </comment>
    <comment ref="B471" authorId="0">
      <text>
        <r>
          <rPr>
            <sz val="9"/>
            <color indexed="81"/>
            <rFont val="Tahoma"/>
            <family val="2"/>
            <charset val="204"/>
          </rPr>
          <t>#1.3.1.10 #1.3.1.9 #</t>
        </r>
      </text>
    </comment>
    <comment ref="B472" authorId="0">
      <text>
        <r>
          <rPr>
            <sz val="9"/>
            <color indexed="81"/>
            <rFont val="Tahoma"/>
            <family val="2"/>
            <charset val="204"/>
          </rPr>
          <t>#1.3.1.11 #1.3.1.11 #</t>
        </r>
      </text>
    </comment>
    <comment ref="B473" authorId="0">
      <text>
        <r>
          <rPr>
            <sz val="9"/>
            <color indexed="81"/>
            <rFont val="Tahoma"/>
            <family val="2"/>
            <charset val="204"/>
          </rPr>
          <t>#42. #1.3.1.11.1 #42.</t>
        </r>
      </text>
    </comment>
    <comment ref="B474" authorId="0">
      <text>
        <r>
          <rPr>
            <sz val="9"/>
            <color indexed="81"/>
            <rFont val="Tahoma"/>
            <family val="2"/>
            <charset val="204"/>
          </rPr>
          <t>#41. #1.3.1.11.2 #41.</t>
        </r>
      </text>
    </comment>
    <comment ref="B475" authorId="0">
      <text>
        <r>
          <rPr>
            <sz val="9"/>
            <color indexed="81"/>
            <rFont val="Tahoma"/>
            <family val="2"/>
            <charset val="204"/>
          </rPr>
          <t>#1.3.1.12 #1.3.1.12 #</t>
        </r>
      </text>
    </comment>
    <comment ref="B476" authorId="0">
      <text>
        <r>
          <rPr>
            <sz val="9"/>
            <color indexed="81"/>
            <rFont val="Tahoma"/>
            <family val="2"/>
            <charset val="204"/>
          </rPr>
          <t>#40. #1.3.1.12.1 #</t>
        </r>
      </text>
    </comment>
    <comment ref="B477" authorId="0">
      <text>
        <r>
          <rPr>
            <sz val="9"/>
            <color indexed="81"/>
            <rFont val="Tahoma"/>
            <family val="2"/>
            <charset val="204"/>
          </rPr>
          <t>#39. #1.3.1.12.2 #</t>
        </r>
      </text>
    </comment>
    <comment ref="B479" authorId="0">
      <text>
        <r>
          <rPr>
            <sz val="9"/>
            <color indexed="81"/>
            <rFont val="Tahoma"/>
            <family val="2"/>
            <charset val="204"/>
          </rPr>
          <t>#1.3.2 #1.3.2 #7.</t>
        </r>
      </text>
    </comment>
    <comment ref="B480" authorId="0">
      <text>
        <r>
          <rPr>
            <sz val="9"/>
            <color indexed="81"/>
            <rFont val="Tahoma"/>
            <family val="2"/>
            <charset val="204"/>
          </rPr>
          <t>#1.3.2.1 #1.3.2.1 #7.1</t>
        </r>
      </text>
    </comment>
    <comment ref="B481" authorId="0">
      <text>
        <r>
          <rPr>
            <sz val="9"/>
            <color indexed="81"/>
            <rFont val="Tahoma"/>
            <family val="2"/>
            <charset val="204"/>
          </rPr>
          <t>#1.3.2.2 #1.3.2.2 #7.2</t>
        </r>
      </text>
    </comment>
    <comment ref="B482" authorId="0">
      <text>
        <r>
          <rPr>
            <sz val="9"/>
            <color indexed="81"/>
            <rFont val="Tahoma"/>
            <family val="2"/>
            <charset val="204"/>
          </rPr>
          <t>#1.3.2.3 #1.3.2.3 #7.5</t>
        </r>
      </text>
    </comment>
    <comment ref="B483" authorId="0">
      <text>
        <r>
          <rPr>
            <sz val="9"/>
            <color indexed="81"/>
            <rFont val="Tahoma"/>
            <family val="2"/>
            <charset val="204"/>
          </rPr>
          <t>#1.3.2.4 #1.3.2.4 #7.4</t>
        </r>
      </text>
    </comment>
    <comment ref="B484" authorId="0">
      <text>
        <r>
          <rPr>
            <sz val="9"/>
            <color indexed="81"/>
            <rFont val="Tahoma"/>
            <family val="2"/>
            <charset val="204"/>
          </rPr>
          <t>#1.3.2.4.1 #1.3.2.4.1 #7.4</t>
        </r>
      </text>
    </comment>
    <comment ref="B485" authorId="0">
      <text>
        <r>
          <rPr>
            <sz val="9"/>
            <color indexed="81"/>
            <rFont val="Tahoma"/>
            <family val="2"/>
            <charset val="204"/>
          </rPr>
          <t>#1.3.2.5 #1.3.2.4.2 #</t>
        </r>
      </text>
    </comment>
    <comment ref="B486" authorId="0">
      <text>
        <r>
          <rPr>
            <sz val="9"/>
            <color indexed="81"/>
            <rFont val="Tahoma"/>
            <family val="2"/>
            <charset val="204"/>
          </rPr>
          <t>#1.3.2.6 #1.3.2.6 #7.6</t>
        </r>
      </text>
    </comment>
    <comment ref="B487" authorId="0">
      <text>
        <r>
          <rPr>
            <sz val="9"/>
            <color indexed="81"/>
            <rFont val="Tahoma"/>
            <family val="2"/>
            <charset val="204"/>
          </rPr>
          <t>#1.3.2.7 #1.3.2.7 #7.3</t>
        </r>
      </text>
    </comment>
    <comment ref="B488" authorId="0">
      <text>
        <r>
          <rPr>
            <sz val="9"/>
            <color indexed="81"/>
            <rFont val="Tahoma"/>
            <family val="2"/>
            <charset val="204"/>
          </rPr>
          <t>#1.3.2.8 #1.3.2.8 #7.7</t>
        </r>
      </text>
    </comment>
    <comment ref="B489" authorId="0">
      <text>
        <r>
          <rPr>
            <sz val="9"/>
            <color indexed="81"/>
            <rFont val="Tahoma"/>
            <family val="2"/>
            <charset val="204"/>
          </rPr>
          <t>#1.3.3 #1.3.3 #6.</t>
        </r>
      </text>
    </comment>
    <comment ref="B490" authorId="0">
      <text>
        <r>
          <rPr>
            <sz val="9"/>
            <color indexed="81"/>
            <rFont val="Tahoma"/>
            <family val="2"/>
            <charset val="204"/>
          </rPr>
          <t>#1.3.3 #1.3.3 #6.1</t>
        </r>
      </text>
    </comment>
    <comment ref="B491" authorId="0">
      <text>
        <r>
          <rPr>
            <sz val="9"/>
            <color indexed="81"/>
            <rFont val="Tahoma"/>
            <family val="2"/>
            <charset val="204"/>
          </rPr>
          <t># # #6.2</t>
        </r>
      </text>
    </comment>
    <comment ref="B492" authorId="0">
      <text>
        <r>
          <rPr>
            <sz val="9"/>
            <color indexed="81"/>
            <rFont val="Tahoma"/>
            <family val="2"/>
            <charset val="204"/>
          </rPr>
          <t># # #6.3</t>
        </r>
      </text>
    </comment>
    <comment ref="B493" authorId="0">
      <text>
        <r>
          <rPr>
            <sz val="9"/>
            <color indexed="81"/>
            <rFont val="Tahoma"/>
            <family val="2"/>
            <charset val="204"/>
          </rPr>
          <t># # #6.4</t>
        </r>
      </text>
    </comment>
    <comment ref="B49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495" authorId="0">
      <text>
        <r>
          <rPr>
            <sz val="9"/>
            <color indexed="81"/>
            <rFont val="Tahoma"/>
            <family val="2"/>
            <charset val="204"/>
          </rPr>
          <t>#1.3.4 #1.3.4 #</t>
        </r>
      </text>
    </comment>
    <comment ref="B496" authorId="0">
      <text>
        <r>
          <rPr>
            <sz val="9"/>
            <color indexed="81"/>
            <rFont val="Tahoma"/>
            <family val="2"/>
            <charset val="204"/>
          </rPr>
          <t>#1.3.5 #1.3.5 #</t>
        </r>
      </text>
    </comment>
    <comment ref="B497" authorId="0">
      <text>
        <r>
          <rPr>
            <sz val="9"/>
            <color indexed="81"/>
            <rFont val="Tahoma"/>
            <family val="2"/>
            <charset val="204"/>
          </rPr>
          <t>#1.3.6 #1.3.6 #</t>
        </r>
      </text>
    </comment>
    <comment ref="B498" authorId="0">
      <text>
        <r>
          <rPr>
            <sz val="9"/>
            <color indexed="81"/>
            <rFont val="Tahoma"/>
            <family val="2"/>
            <charset val="204"/>
          </rPr>
          <t>#1.3.7 #1.3.7 #</t>
        </r>
      </text>
    </comment>
    <comment ref="B499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500" authorId="0">
      <text>
        <r>
          <rPr>
            <sz val="9"/>
            <color indexed="81"/>
            <rFont val="Tahoma"/>
            <family val="2"/>
            <charset val="204"/>
          </rPr>
          <t>#1.3.8 #1.3.8 #</t>
        </r>
      </text>
    </comment>
    <comment ref="B50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0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03" authorId="0">
      <text>
        <r>
          <rPr>
            <sz val="9"/>
            <color indexed="81"/>
            <rFont val="Tahoma"/>
            <family val="2"/>
            <charset val="204"/>
          </rPr>
          <t>#1.3.9 #1.3.9 #</t>
        </r>
      </text>
    </comment>
    <comment ref="B504" authorId="0">
      <text>
        <r>
          <rPr>
            <sz val="9"/>
            <color indexed="81"/>
            <rFont val="Tahoma"/>
            <family val="2"/>
            <charset val="204"/>
          </rPr>
          <t>#1.3.9.1 #1.3.9.1 #</t>
        </r>
      </text>
    </comment>
    <comment ref="B505" authorId="0">
      <text>
        <r>
          <rPr>
            <sz val="9"/>
            <color indexed="81"/>
            <rFont val="Tahoma"/>
            <family val="2"/>
            <charset val="204"/>
          </rPr>
          <t>#1.3.9.2 #1.3.9.2 #</t>
        </r>
      </text>
    </comment>
    <comment ref="B506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507" authorId="0">
      <text>
        <r>
          <rPr>
            <sz val="9"/>
            <color indexed="81"/>
            <rFont val="Tahoma"/>
            <family val="2"/>
            <charset val="204"/>
          </rPr>
          <t>#2. #2. #5.</t>
        </r>
      </text>
    </comment>
    <comment ref="B509" authorId="0">
      <text>
        <r>
          <rPr>
            <sz val="9"/>
            <color indexed="81"/>
            <rFont val="Tahoma"/>
            <family val="2"/>
            <charset val="204"/>
          </rPr>
          <t>#25. #25. #25.</t>
        </r>
      </text>
    </comment>
    <comment ref="B510" authorId="0">
      <text>
        <r>
          <rPr>
            <sz val="9"/>
            <color indexed="81"/>
            <rFont val="Tahoma"/>
            <family val="2"/>
            <charset val="204"/>
          </rPr>
          <t>#4. #3. #9.</t>
        </r>
      </text>
    </comment>
    <comment ref="B511" authorId="0">
      <text>
        <r>
          <rPr>
            <sz val="9"/>
            <color indexed="81"/>
            <rFont val="Tahoma"/>
            <family val="2"/>
            <charset val="204"/>
          </rPr>
          <t>#4.2 #3.2 #9.3</t>
        </r>
      </text>
    </comment>
    <comment ref="B512" authorId="0">
      <text>
        <r>
          <rPr>
            <sz val="9"/>
            <color indexed="81"/>
            <rFont val="Tahoma"/>
            <family val="2"/>
            <charset val="204"/>
          </rPr>
          <t># # #9.1</t>
        </r>
      </text>
    </comment>
    <comment ref="B513" authorId="0">
      <text>
        <r>
          <rPr>
            <sz val="9"/>
            <color indexed="81"/>
            <rFont val="Tahoma"/>
            <family val="2"/>
            <charset val="204"/>
          </rPr>
          <t>#4.1 #3.1 #9.2</t>
        </r>
      </text>
    </comment>
    <comment ref="B51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1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1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1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1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19" authorId="0">
      <text>
        <r>
          <rPr>
            <sz val="9"/>
            <color indexed="81"/>
            <rFont val="Tahoma"/>
            <family val="2"/>
            <charset val="204"/>
          </rPr>
          <t># #40.9 #</t>
        </r>
      </text>
    </comment>
    <comment ref="B520" authorId="0">
      <text>
        <r>
          <rPr>
            <sz val="9"/>
            <color indexed="81"/>
            <rFont val="Tahoma"/>
            <family val="2"/>
            <charset val="204"/>
          </rPr>
          <t># #40.11 #</t>
        </r>
      </text>
    </comment>
    <comment ref="B521" authorId="0">
      <text>
        <r>
          <rPr>
            <sz val="9"/>
            <color indexed="81"/>
            <rFont val="Tahoma"/>
            <family val="2"/>
            <charset val="204"/>
          </rPr>
          <t># #40.12 #</t>
        </r>
      </text>
    </comment>
    <comment ref="B522" authorId="0">
      <text>
        <r>
          <rPr>
            <sz val="9"/>
            <color indexed="81"/>
            <rFont val="Tahoma"/>
            <family val="2"/>
            <charset val="204"/>
          </rPr>
          <t># #40.13 #</t>
        </r>
      </text>
    </comment>
    <comment ref="B52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2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2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2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2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2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2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1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2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3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4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5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6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7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8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39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40" authorId="0">
      <text>
        <r>
          <rPr>
            <sz val="9"/>
            <color indexed="81"/>
            <rFont val="Tahoma"/>
            <family val="2"/>
            <charset val="204"/>
          </rPr>
          <t># # #</t>
        </r>
      </text>
    </comment>
    <comment ref="B541" authorId="0">
      <text>
        <r>
          <rPr>
            <sz val="9"/>
            <color indexed="81"/>
            <rFont val="Tahoma"/>
            <family val="2"/>
            <charset val="204"/>
          </rPr>
          <t>#5. #4. #10.</t>
        </r>
      </text>
    </comment>
  </commentList>
</comments>
</file>

<file path=xl/comments6.xml><?xml version="1.0" encoding="utf-8"?>
<comments xmlns="http://schemas.openxmlformats.org/spreadsheetml/2006/main">
  <authors>
    <author/>
    <author>a.knyazkina</author>
  </authors>
  <commentList>
    <comment ref="B6" authorId="0">
      <text>
        <r>
          <rPr>
            <sz val="8"/>
            <color indexed="8"/>
            <rFont val="Arial"/>
            <family val="2"/>
          </rPr>
          <t>#6. #5. #13.</t>
        </r>
      </text>
    </comment>
    <comment ref="B7" authorId="0">
      <text>
        <r>
          <rPr>
            <sz val="8"/>
            <color indexed="8"/>
            <rFont val="Arial"/>
            <family val="2"/>
          </rPr>
          <t>#3. #15. #8.</t>
        </r>
      </text>
    </comment>
    <comment ref="B8" authorId="0">
      <text>
        <r>
          <rPr>
            <sz val="8"/>
            <color indexed="8"/>
            <rFont val="Arial"/>
            <family val="2"/>
          </rPr>
          <t>#1. #1. #</t>
        </r>
      </text>
    </comment>
    <comment ref="B9" authorId="0">
      <text>
        <r>
          <rPr>
            <sz val="8"/>
            <color indexed="8"/>
            <rFont val="Arial"/>
            <family val="2"/>
          </rPr>
          <t>#1.1. #1.1. #</t>
        </r>
      </text>
    </comment>
    <comment ref="B10" authorId="0">
      <text>
        <r>
          <rPr>
            <sz val="8"/>
            <color indexed="8"/>
            <rFont val="Arial"/>
            <family val="2"/>
          </rPr>
          <t>#1.1.1 #1.1.1 #1</t>
        </r>
      </text>
    </comment>
    <comment ref="B11" authorId="0">
      <text>
        <r>
          <rPr>
            <sz val="8"/>
            <color indexed="8"/>
            <rFont val="Arial"/>
            <family val="2"/>
          </rPr>
          <t>#1.1.1.1 #1.1.1.1 #1.1</t>
        </r>
      </text>
    </comment>
    <comment ref="B12" authorId="0">
      <text>
        <r>
          <rPr>
            <sz val="8"/>
            <color indexed="8"/>
            <rFont val="Arial"/>
            <family val="2"/>
          </rPr>
          <t># #1.1.1.1.2 #</t>
        </r>
      </text>
    </comment>
    <comment ref="B13" authorId="0">
      <text>
        <r>
          <rPr>
            <sz val="8"/>
            <color indexed="8"/>
            <rFont val="Arial"/>
            <family val="2"/>
          </rPr>
          <t># #1.1.1.1.2.1 #</t>
        </r>
      </text>
    </comment>
    <comment ref="B14" authorId="0">
      <text>
        <r>
          <rPr>
            <sz val="8"/>
            <color indexed="8"/>
            <rFont val="Arial"/>
            <family val="2"/>
          </rPr>
          <t># #1.1.1.1.2.1.1 #</t>
        </r>
      </text>
    </comment>
    <comment ref="B15" authorId="0">
      <text>
        <r>
          <rPr>
            <sz val="8"/>
            <color indexed="8"/>
            <rFont val="Arial"/>
            <family val="2"/>
          </rPr>
          <t># #1.1.1.1.2.1.2 #</t>
        </r>
      </text>
    </comment>
    <comment ref="B16" authorId="0">
      <text>
        <r>
          <rPr>
            <sz val="8"/>
            <color indexed="8"/>
            <rFont val="Arial"/>
            <family val="2"/>
          </rPr>
          <t># #1.1.1.1.2.2 #</t>
        </r>
      </text>
    </comment>
    <comment ref="B17" authorId="0">
      <text>
        <r>
          <rPr>
            <sz val="8"/>
            <color indexed="8"/>
            <rFont val="Arial"/>
            <family val="2"/>
          </rPr>
          <t># #1.1.1.1.2.2.1 #</t>
        </r>
      </text>
    </comment>
    <comment ref="B18" authorId="0">
      <text>
        <r>
          <rPr>
            <sz val="8"/>
            <color indexed="8"/>
            <rFont val="Arial"/>
            <family val="2"/>
          </rPr>
          <t># #1.1.1.1.2.2.2 #</t>
        </r>
      </text>
    </comment>
    <comment ref="B19" authorId="0">
      <text>
        <r>
          <rPr>
            <sz val="8"/>
            <color indexed="8"/>
            <rFont val="Arial"/>
            <family val="2"/>
          </rPr>
          <t># #1.1.1.1.2.3 #</t>
        </r>
      </text>
    </comment>
    <comment ref="B20" authorId="0">
      <text>
        <r>
          <rPr>
            <sz val="8"/>
            <color indexed="8"/>
            <rFont val="Arial"/>
            <family val="2"/>
          </rPr>
          <t># #1.1.1.1.2.3.1 #</t>
        </r>
      </text>
    </comment>
    <comment ref="B21" authorId="0">
      <text>
        <r>
          <rPr>
            <sz val="8"/>
            <color indexed="8"/>
            <rFont val="Arial"/>
            <family val="2"/>
          </rPr>
          <t># #1.1.1.1.2.3.2 #</t>
        </r>
      </text>
    </comment>
    <comment ref="B22" authorId="0">
      <text>
        <r>
          <rPr>
            <sz val="8"/>
            <color indexed="8"/>
            <rFont val="Arial"/>
            <family val="2"/>
          </rPr>
          <t># #1.1.1.1.2.4 #</t>
        </r>
      </text>
    </comment>
    <comment ref="B23" authorId="0">
      <text>
        <r>
          <rPr>
            <sz val="8"/>
            <color indexed="8"/>
            <rFont val="Arial"/>
            <family val="2"/>
          </rPr>
          <t># #1.1.1.1.2.4.1 #</t>
        </r>
      </text>
    </comment>
    <comment ref="B24" authorId="0">
      <text>
        <r>
          <rPr>
            <sz val="8"/>
            <color indexed="8"/>
            <rFont val="Arial"/>
            <family val="2"/>
          </rPr>
          <t># #1.1.1.1.2.4.2 #</t>
        </r>
      </text>
    </comment>
    <comment ref="B25" authorId="0">
      <text>
        <r>
          <rPr>
            <sz val="8"/>
            <color indexed="8"/>
            <rFont val="Arial"/>
            <family val="2"/>
          </rPr>
          <t># #1.1.1.1.2.5 #</t>
        </r>
      </text>
    </comment>
    <comment ref="B26" authorId="0">
      <text>
        <r>
          <rPr>
            <sz val="8"/>
            <color indexed="8"/>
            <rFont val="Arial"/>
            <family val="2"/>
          </rPr>
          <t># #1.1.1.1.2.5.1 #</t>
        </r>
      </text>
    </comment>
    <comment ref="B27" authorId="0">
      <text>
        <r>
          <rPr>
            <sz val="8"/>
            <color indexed="8"/>
            <rFont val="Arial"/>
            <family val="2"/>
          </rPr>
          <t># #1.1.1.1.2.5.2 #</t>
        </r>
      </text>
    </comment>
    <comment ref="B28" authorId="0">
      <text>
        <r>
          <rPr>
            <sz val="8"/>
            <color indexed="8"/>
            <rFont val="Arial"/>
            <family val="2"/>
          </rPr>
          <t>#1.1.1.1.2 #1.1.1.1.2.6 #1.1.2</t>
        </r>
      </text>
    </comment>
    <comment ref="B29" authorId="0">
      <text>
        <r>
          <rPr>
            <sz val="8"/>
            <color indexed="8"/>
            <rFont val="Arial"/>
            <family val="2"/>
          </rPr>
          <t>#1.1.1.1.3 #1.1.1.1.3 #1.1.3</t>
        </r>
      </text>
    </comment>
    <comment ref="B30" authorId="0">
      <text>
        <r>
          <rPr>
            <sz val="8"/>
            <color indexed="8"/>
            <rFont val="Arial"/>
            <family val="2"/>
          </rPr>
          <t>#1.1.1.2 #1.1.1.2 #1.3</t>
        </r>
      </text>
    </comment>
    <comment ref="B31" authorId="0">
      <text>
        <r>
          <rPr>
            <sz val="8"/>
            <color indexed="8"/>
            <rFont val="Arial"/>
            <family val="2"/>
          </rPr>
          <t>#1.1.1.3 #1.1.1.3 #1.4</t>
        </r>
      </text>
    </comment>
    <comment ref="B32" authorId="0">
      <text>
        <r>
          <rPr>
            <sz val="8"/>
            <color indexed="8"/>
            <rFont val="Arial"/>
            <family val="2"/>
          </rPr>
          <t>#1.1.1.3.1 #1.1.1.3.1 #1.4.1</t>
        </r>
      </text>
    </comment>
    <comment ref="B33" authorId="0">
      <text>
        <r>
          <rPr>
            <sz val="8"/>
            <color indexed="8"/>
            <rFont val="Arial"/>
            <family val="2"/>
          </rPr>
          <t># #1.1.1.3.1.2 #</t>
        </r>
      </text>
    </comment>
    <comment ref="B34" authorId="0">
      <text>
        <r>
          <rPr>
            <sz val="8"/>
            <color indexed="8"/>
            <rFont val="Arial"/>
            <family val="2"/>
          </rPr>
          <t># #1.1.1.3.1.2.5 #</t>
        </r>
      </text>
    </comment>
    <comment ref="B35" authorId="0">
      <text>
        <r>
          <rPr>
            <sz val="8"/>
            <color indexed="8"/>
            <rFont val="Arial"/>
            <family val="2"/>
          </rPr>
          <t>#1.1.1.3.1.2.1 # #</t>
        </r>
      </text>
    </comment>
    <comment ref="B36" authorId="0">
      <text>
        <r>
          <rPr>
            <sz val="8"/>
            <color indexed="8"/>
            <rFont val="Arial"/>
            <family val="2"/>
          </rPr>
          <t># #1.1.1.3.1.2.1.1 #</t>
        </r>
      </text>
    </comment>
    <comment ref="B37" authorId="0">
      <text>
        <r>
          <rPr>
            <sz val="8"/>
            <color indexed="8"/>
            <rFont val="Arial"/>
            <family val="2"/>
          </rPr>
          <t># #1.1.1.3.1.2.2.2 #</t>
        </r>
      </text>
    </comment>
    <comment ref="B38" authorId="0">
      <text>
        <r>
          <rPr>
            <sz val="8"/>
            <color indexed="8"/>
            <rFont val="Arial"/>
            <family val="2"/>
          </rPr>
          <t># #1.1.1.3.1.2.2 #</t>
        </r>
      </text>
    </comment>
    <comment ref="B39" authorId="0">
      <text>
        <r>
          <rPr>
            <sz val="8"/>
            <color indexed="8"/>
            <rFont val="Arial"/>
            <family val="2"/>
          </rPr>
          <t># #1.1.1.3.1.2.3 #</t>
        </r>
      </text>
    </comment>
    <comment ref="B40" authorId="0">
      <text>
        <r>
          <rPr>
            <sz val="8"/>
            <color indexed="8"/>
            <rFont val="Arial"/>
            <family val="2"/>
          </rPr>
          <t># #1.1.1.3.1.2.4 #</t>
        </r>
      </text>
    </comment>
    <comment ref="B41" authorId="0">
      <text>
        <r>
          <rPr>
            <sz val="8"/>
            <color indexed="8"/>
            <rFont val="Arial"/>
            <family val="2"/>
          </rPr>
          <t>#31. #1.1.1.3.1.1 #31.</t>
        </r>
      </text>
    </comment>
    <comment ref="B42" authorId="0">
      <text>
        <r>
          <rPr>
            <sz val="8"/>
            <color indexed="8"/>
            <rFont val="Arial"/>
            <family val="2"/>
          </rPr>
          <t>#1.1.1.3.2 #1.1.1.3.2 #1.4.2</t>
        </r>
      </text>
    </comment>
    <comment ref="E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43" authorId="0">
      <text>
        <r>
          <rPr>
            <sz val="8"/>
            <color indexed="8"/>
            <rFont val="Arial"/>
            <family val="2"/>
          </rPr>
          <t>#1.1.1.4 #1.1.1.4 #</t>
        </r>
      </text>
    </comment>
    <comment ref="B44" authorId="0">
      <text>
        <r>
          <rPr>
            <sz val="8"/>
            <color indexed="8"/>
            <rFont val="Arial"/>
            <family val="2"/>
          </rPr>
          <t>#1.1.1.5 #1.1.1.5 #1.6</t>
        </r>
      </text>
    </comment>
    <comment ref="B45" authorId="0">
      <text>
        <r>
          <rPr>
            <sz val="8"/>
            <color indexed="8"/>
            <rFont val="Arial"/>
            <family val="2"/>
          </rPr>
          <t># #1.1.1.5.1 #</t>
        </r>
      </text>
    </comment>
    <comment ref="B46" authorId="0">
      <text>
        <r>
          <rPr>
            <sz val="8"/>
            <color indexed="8"/>
            <rFont val="Arial"/>
            <family val="2"/>
          </rPr>
          <t>#1.1.1.5 #1.1.1.5.2 #1.6</t>
        </r>
      </text>
    </comment>
    <comment ref="B47" authorId="0">
      <text>
        <r>
          <rPr>
            <sz val="8"/>
            <color indexed="8"/>
            <rFont val="Arial"/>
            <family val="2"/>
          </rPr>
          <t>#1.1.1.6 #1.1.1.6 #1.7</t>
        </r>
      </text>
    </comment>
    <comment ref="B48" authorId="0">
      <text>
        <r>
          <rPr>
            <sz val="8"/>
            <color indexed="8"/>
            <rFont val="Arial"/>
            <family val="2"/>
          </rPr>
          <t>#1.1.1.6.1 #1.1.1.6.1 #1.7.2</t>
        </r>
      </text>
    </comment>
    <comment ref="B49" authorId="0">
      <text>
        <r>
          <rPr>
            <sz val="8"/>
            <color indexed="8"/>
            <rFont val="Arial"/>
            <family val="2"/>
          </rPr>
          <t>#1.1.1.6.2 #1.1.1.6.2 #1.7.1</t>
        </r>
      </text>
    </comment>
    <comment ref="B50" authorId="0">
      <text>
        <r>
          <rPr>
            <sz val="8"/>
            <color indexed="8"/>
            <rFont val="Arial"/>
            <family val="2"/>
          </rPr>
          <t>#1.1.1.6.3 #1.1.1.6.3 #</t>
        </r>
      </text>
    </comment>
    <comment ref="B51" authorId="0">
      <text>
        <r>
          <rPr>
            <sz val="8"/>
            <color indexed="8"/>
            <rFont val="Arial"/>
            <family val="2"/>
          </rPr>
          <t>#1.1.1.6.4 #1.1.1.6.4 #</t>
        </r>
      </text>
    </comment>
    <comment ref="B52" authorId="0">
      <text>
        <r>
          <rPr>
            <sz val="8"/>
            <color indexed="8"/>
            <rFont val="Arial"/>
            <family val="2"/>
          </rPr>
          <t>#1.1.1.6.5 #1.1.1.6.5 #1.7.3</t>
        </r>
      </text>
    </comment>
    <comment ref="B53" authorId="0">
      <text>
        <r>
          <rPr>
            <sz val="8"/>
            <color indexed="8"/>
            <rFont val="Arial"/>
            <family val="2"/>
          </rPr>
          <t>#1.1.1.6.6 #1.1.1.6.6 #1.7.4</t>
        </r>
      </text>
    </comment>
    <comment ref="B54" authorId="0">
      <text>
        <r>
          <rPr>
            <sz val="8"/>
            <color indexed="8"/>
            <rFont val="Arial"/>
            <family val="2"/>
          </rPr>
          <t>#1.1.2 #1.1.2 #2</t>
        </r>
      </text>
    </comment>
    <comment ref="B55" authorId="0">
      <text>
        <r>
          <rPr>
            <sz val="8"/>
            <color indexed="8"/>
            <rFont val="Arial"/>
            <family val="2"/>
          </rPr>
          <t>#1.1.2.1 #1.1.2.1 #2.1</t>
        </r>
      </text>
    </comment>
    <comment ref="B56" authorId="0">
      <text>
        <r>
          <rPr>
            <sz val="8"/>
            <color indexed="8"/>
            <rFont val="Arial"/>
            <family val="2"/>
          </rPr>
          <t>#1.1.2.2 #1.1.2.2 #2.2</t>
        </r>
      </text>
    </comment>
    <comment ref="B57" authorId="0">
      <text>
        <r>
          <rPr>
            <sz val="8"/>
            <color indexed="8"/>
            <rFont val="Arial"/>
            <family val="2"/>
          </rPr>
          <t>#1.1.2.3 #1.1.2.3 #2.3</t>
        </r>
      </text>
    </comment>
    <comment ref="B58" authorId="0">
      <text>
        <r>
          <rPr>
            <sz val="8"/>
            <color indexed="8"/>
            <rFont val="Arial"/>
            <family val="2"/>
          </rPr>
          <t>#1.1.2.3.1 #1.1.2.3.1 #2.3.1</t>
        </r>
      </text>
    </comment>
    <comment ref="B59" authorId="0">
      <text>
        <r>
          <rPr>
            <sz val="8"/>
            <color indexed="8"/>
            <rFont val="Arial"/>
            <family val="2"/>
          </rPr>
          <t># #1.1.2.3.1.1 #</t>
        </r>
      </text>
    </comment>
    <comment ref="B60" authorId="0">
      <text>
        <r>
          <rPr>
            <sz val="8"/>
            <color indexed="8"/>
            <rFont val="Arial"/>
            <family val="2"/>
          </rPr>
          <t># #1.1.2.3.1.1.5 #</t>
        </r>
      </text>
    </comment>
    <comment ref="B61" authorId="0">
      <text>
        <r>
          <rPr>
            <sz val="8"/>
            <color indexed="8"/>
            <rFont val="Arial"/>
            <family val="2"/>
          </rPr>
          <t># #1.1.2.3.1.1.1 #</t>
        </r>
      </text>
    </comment>
    <comment ref="B62" authorId="0">
      <text>
        <r>
          <rPr>
            <sz val="8"/>
            <color indexed="8"/>
            <rFont val="Arial"/>
            <family val="2"/>
          </rPr>
          <t># #1.1.2.3.1.1.1.1 #</t>
        </r>
      </text>
    </comment>
    <comment ref="B63" authorId="0">
      <text>
        <r>
          <rPr>
            <sz val="8"/>
            <color indexed="8"/>
            <rFont val="Arial"/>
            <family val="2"/>
          </rPr>
          <t># #1.1.2.3.1.1.1.2 #</t>
        </r>
      </text>
    </comment>
    <comment ref="B64" authorId="0">
      <text>
        <r>
          <rPr>
            <sz val="8"/>
            <color indexed="8"/>
            <rFont val="Arial"/>
            <family val="2"/>
          </rPr>
          <t># #1.1.2.3.1.1.2 #</t>
        </r>
      </text>
    </comment>
    <comment ref="B65" authorId="0">
      <text>
        <r>
          <rPr>
            <sz val="8"/>
            <color indexed="8"/>
            <rFont val="Arial"/>
            <family val="2"/>
          </rPr>
          <t># #1.1.2.3.1.1.3 #</t>
        </r>
      </text>
    </comment>
    <comment ref="B66" authorId="0">
      <text>
        <r>
          <rPr>
            <sz val="8"/>
            <color indexed="8"/>
            <rFont val="Arial"/>
            <family val="2"/>
          </rPr>
          <t># #1.1.2.3.1.1.4 #</t>
        </r>
      </text>
    </comment>
    <comment ref="B67" authorId="0">
      <text>
        <r>
          <rPr>
            <sz val="8"/>
            <color indexed="8"/>
            <rFont val="Arial"/>
            <family val="2"/>
          </rPr>
          <t>#32. #1.1.2.3.1.2 #32.</t>
        </r>
      </text>
    </comment>
    <comment ref="B68" authorId="0">
      <text>
        <r>
          <rPr>
            <sz val="8"/>
            <color indexed="8"/>
            <rFont val="Arial"/>
            <family val="2"/>
          </rPr>
          <t>#1.1.2.3.2 #1.1.2.3.2 #2.3.2</t>
        </r>
      </text>
    </comment>
    <comment ref="E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69" authorId="0">
      <text>
        <r>
          <rPr>
            <sz val="8"/>
            <color indexed="8"/>
            <rFont val="Arial"/>
            <family val="2"/>
          </rPr>
          <t>#1.1.3 #1.1.3 #3</t>
        </r>
      </text>
    </comment>
    <comment ref="B70" authorId="0">
      <text>
        <r>
          <rPr>
            <sz val="8"/>
            <color indexed="8"/>
            <rFont val="Arial"/>
            <family val="2"/>
          </rPr>
          <t>#1.1.3.1 #1.1.3.1 #3.1</t>
        </r>
      </text>
    </comment>
    <comment ref="B71" authorId="0">
      <text>
        <r>
          <rPr>
            <sz val="8"/>
            <color indexed="8"/>
            <rFont val="Arial"/>
            <family val="2"/>
          </rPr>
          <t>#1.1.3.1.1 #1.1.3.1.1 #3.1.1</t>
        </r>
      </text>
    </comment>
    <comment ref="B72" authorId="0">
      <text>
        <r>
          <rPr>
            <sz val="8"/>
            <color indexed="8"/>
            <rFont val="Arial"/>
            <family val="2"/>
          </rPr>
          <t>#1.1.3.1.2 #1.1.3.1.2 #3.1.2</t>
        </r>
      </text>
    </comment>
    <comment ref="B73" authorId="0">
      <text>
        <r>
          <rPr>
            <sz val="8"/>
            <color indexed="8"/>
            <rFont val="Arial"/>
            <family val="2"/>
          </rPr>
          <t>#1.1.3.1.3 #1.1.3.1.3 #3.1.3</t>
        </r>
      </text>
    </comment>
    <comment ref="B74" authorId="0">
      <text>
        <r>
          <rPr>
            <sz val="8"/>
            <color indexed="8"/>
            <rFont val="Arial"/>
            <family val="2"/>
          </rPr>
          <t>#1.1.3.1.4 #1.1.3.1.4 #3.1.4</t>
        </r>
      </text>
    </comment>
    <comment ref="B75" authorId="0">
      <text>
        <r>
          <rPr>
            <sz val="8"/>
            <color indexed="8"/>
            <rFont val="Arial"/>
            <family val="2"/>
          </rPr>
          <t>#1.1.3.1.5 #1.1.3.1.5 #3.1.5</t>
        </r>
      </text>
    </comment>
    <comment ref="B76" authorId="0">
      <text>
        <r>
          <rPr>
            <sz val="8"/>
            <color indexed="8"/>
            <rFont val="Arial"/>
            <family val="2"/>
          </rPr>
          <t>#1.1.3.1.6 #1.1.3.1.6 #3.1.6</t>
        </r>
      </text>
    </comment>
    <comment ref="B77" authorId="0">
      <text>
        <r>
          <rPr>
            <sz val="8"/>
            <color indexed="8"/>
            <rFont val="Arial"/>
            <family val="2"/>
          </rPr>
          <t>#1.1.3.2 #1.1.3.2 #3.2</t>
        </r>
      </text>
    </comment>
    <comment ref="B78" authorId="0">
      <text>
        <r>
          <rPr>
            <sz val="8"/>
            <color indexed="8"/>
            <rFont val="Arial"/>
            <family val="2"/>
          </rPr>
          <t>#1.1.3.2.1 #1.1.3.2.1 #3.2.1</t>
        </r>
      </text>
    </comment>
    <comment ref="B79" authorId="0">
      <text>
        <r>
          <rPr>
            <sz val="8"/>
            <color indexed="8"/>
            <rFont val="Arial"/>
            <family val="2"/>
          </rPr>
          <t># #1.1.3.2.1.1 #</t>
        </r>
      </text>
    </comment>
    <comment ref="B80" authorId="0">
      <text>
        <r>
          <rPr>
            <sz val="8"/>
            <color indexed="8"/>
            <rFont val="Arial"/>
            <family val="2"/>
          </rPr>
          <t># #1.1.3.2.1.1.2 #</t>
        </r>
      </text>
    </comment>
    <comment ref="B81" authorId="0">
      <text>
        <r>
          <rPr>
            <sz val="8"/>
            <color indexed="8"/>
            <rFont val="Arial"/>
            <family val="2"/>
          </rPr>
          <t># #1.1.3.2.1.1.5 #</t>
        </r>
      </text>
    </comment>
    <comment ref="B82" authorId="0">
      <text>
        <r>
          <rPr>
            <sz val="8"/>
            <color indexed="8"/>
            <rFont val="Arial"/>
            <family val="2"/>
          </rPr>
          <t># #1.1.3.2.1.1.1 #</t>
        </r>
      </text>
    </comment>
    <comment ref="B83" authorId="0">
      <text>
        <r>
          <rPr>
            <sz val="8"/>
            <color indexed="8"/>
            <rFont val="Arial"/>
            <family val="2"/>
          </rPr>
          <t># #1.1.3.2.1.1.1.1 #</t>
        </r>
      </text>
    </comment>
    <comment ref="B84" authorId="0">
      <text>
        <r>
          <rPr>
            <sz val="8"/>
            <color indexed="8"/>
            <rFont val="Arial"/>
            <family val="2"/>
          </rPr>
          <t># #1.1.3.2.1.1.1.2 #</t>
        </r>
      </text>
    </comment>
    <comment ref="B85" authorId="0">
      <text>
        <r>
          <rPr>
            <sz val="8"/>
            <color indexed="8"/>
            <rFont val="Arial"/>
            <family val="2"/>
          </rPr>
          <t># #1.1.3.2.1.1.3 #</t>
        </r>
      </text>
    </comment>
    <comment ref="B86" authorId="0">
      <text>
        <r>
          <rPr>
            <sz val="8"/>
            <color indexed="8"/>
            <rFont val="Arial"/>
            <family val="2"/>
          </rPr>
          <t># #1.1.3.2.1.1.4 #</t>
        </r>
      </text>
    </comment>
    <comment ref="B87" authorId="0">
      <text>
        <r>
          <rPr>
            <sz val="8"/>
            <color indexed="8"/>
            <rFont val="Arial"/>
            <family val="2"/>
          </rPr>
          <t>#33. #1.1.3.2.1.2 #33.</t>
        </r>
      </text>
    </comment>
    <comment ref="B88" authorId="0">
      <text>
        <r>
          <rPr>
            <sz val="8"/>
            <color indexed="8"/>
            <rFont val="Arial"/>
            <family val="2"/>
          </rPr>
          <t>#1.1.3.2.2 #1.1.3.2.2 #3.2.2</t>
        </r>
      </text>
    </comment>
    <comment ref="E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89" authorId="0">
      <text>
        <r>
          <rPr>
            <sz val="8"/>
            <color indexed="8"/>
            <rFont val="Arial"/>
            <family val="2"/>
          </rPr>
          <t>#1.1.3.3 #1.1.3.3 #3.3</t>
        </r>
      </text>
    </comment>
    <comment ref="B90" authorId="0">
      <text>
        <r>
          <rPr>
            <sz val="8"/>
            <color indexed="8"/>
            <rFont val="Arial"/>
            <family val="2"/>
          </rPr>
          <t>#1.1.3.4 #1.1.3.4 #3.4</t>
        </r>
      </text>
    </comment>
    <comment ref="B91" authorId="0">
      <text>
        <r>
          <rPr>
            <sz val="8"/>
            <color indexed="8"/>
            <rFont val="Arial"/>
            <family val="2"/>
          </rPr>
          <t>#1.1.3.5 #1.1.3.5 #3.5</t>
        </r>
      </text>
    </comment>
    <comment ref="B92" authorId="0">
      <text>
        <r>
          <rPr>
            <sz val="8"/>
            <color indexed="8"/>
            <rFont val="Arial"/>
            <family val="2"/>
          </rPr>
          <t>#1.1.3.6 #1.1.3.6 #3.6</t>
        </r>
      </text>
    </comment>
    <comment ref="B93" authorId="0">
      <text>
        <r>
          <rPr>
            <sz val="8"/>
            <color indexed="8"/>
            <rFont val="Arial"/>
            <family val="2"/>
          </rPr>
          <t>#1.1.3.7 #1.1.3.7 #3.7</t>
        </r>
      </text>
    </comment>
    <comment ref="B94" authorId="0">
      <text>
        <r>
          <rPr>
            <sz val="8"/>
            <color indexed="8"/>
            <rFont val="Arial"/>
            <family val="2"/>
          </rPr>
          <t>#1.1.3.7.1 #1.1.3.7.1 #3.7.1</t>
        </r>
      </text>
    </comment>
    <comment ref="B95" authorId="0">
      <text>
        <r>
          <rPr>
            <sz val="8"/>
            <color indexed="8"/>
            <rFont val="Arial"/>
            <family val="2"/>
          </rPr>
          <t>#1.1.3.7.2 #1.1.3.7.2 #3.7.2</t>
        </r>
      </text>
    </comment>
    <comment ref="B96" authorId="0">
      <text>
        <r>
          <rPr>
            <sz val="8"/>
            <rFont val="Arial"/>
            <family val="2"/>
            <charset val="204"/>
          </rPr>
          <t>#1.1.4 #1.1.4 #4.</t>
        </r>
      </text>
    </comment>
    <comment ref="B97" authorId="0">
      <text>
        <r>
          <rPr>
            <sz val="8"/>
            <rFont val="Arial"/>
            <family val="2"/>
            <charset val="204"/>
          </rPr>
          <t>#1.1.4.2 #1.1.4.2 #1.1.4.2</t>
        </r>
      </text>
    </comment>
    <comment ref="B98" authorId="0">
      <text>
        <r>
          <rPr>
            <sz val="8"/>
            <rFont val="Arial"/>
            <family val="2"/>
            <charset val="204"/>
          </rPr>
          <t>#1.1.4.3 #1.1.4.3 #1.1.4.3</t>
        </r>
      </text>
    </comment>
    <comment ref="B99" authorId="0">
      <text>
        <r>
          <rPr>
            <sz val="8"/>
            <rFont val="Arial"/>
            <family val="2"/>
            <charset val="204"/>
          </rPr>
          <t>#1.1.4.3.1 #1.1.4.3.1 #1.1.4.3.1</t>
        </r>
      </text>
    </comment>
    <comment ref="B100" authorId="0">
      <text>
        <r>
          <rPr>
            <sz val="8"/>
            <rFont val="Arial"/>
            <family val="2"/>
            <charset val="204"/>
          </rPr>
          <t>#1.1.4.3.2 #1.1.4.3.2 #1.1.4.3.2</t>
        </r>
      </text>
    </comment>
    <comment ref="B101" authorId="0">
      <text>
        <r>
          <rPr>
            <sz val="8"/>
            <rFont val="Arial"/>
            <family val="2"/>
            <charset val="204"/>
          </rPr>
          <t>#1.1.4.3.3 #1.1.4.3.3 #1.1.4.3.3</t>
        </r>
      </text>
    </comment>
    <comment ref="B102" authorId="0">
      <text>
        <r>
          <rPr>
            <sz val="8"/>
            <rFont val="Arial"/>
            <family val="2"/>
            <charset val="204"/>
          </rPr>
          <t>#1.1.4.4 #1.1.4.4 #1.1.4.4</t>
        </r>
      </text>
    </comment>
    <comment ref="B103" authorId="0">
      <text>
        <r>
          <rPr>
            <sz val="8"/>
            <rFont val="Arial"/>
            <family val="2"/>
            <charset val="204"/>
          </rPr>
          <t>#1.1.4.5 #1.1.4.5 #1.1.4.5</t>
        </r>
      </text>
    </comment>
    <comment ref="B104" authorId="0">
      <text>
        <r>
          <rPr>
            <sz val="8"/>
            <rFont val="Arial"/>
            <family val="2"/>
            <charset val="204"/>
          </rPr>
          <t>#1.1.4.6 #1.1.4.6 #1.1.4.6</t>
        </r>
      </text>
    </comment>
    <comment ref="B105" authorId="0">
      <text>
        <r>
          <rPr>
            <sz val="8"/>
            <rFont val="Arial"/>
            <family val="2"/>
            <charset val="204"/>
          </rPr>
          <t>#1.1.4.7 #1.1.4.7 #1.1.4.7</t>
        </r>
      </text>
    </comment>
    <comment ref="B106" authorId="0">
      <text>
        <r>
          <rPr>
            <sz val="8"/>
            <rFont val="Arial"/>
            <family val="2"/>
            <charset val="204"/>
          </rPr>
          <t>#1.1.4.7.1 #1.1.4.7.1 #1.1.4.7.1</t>
        </r>
      </text>
    </comment>
    <comment ref="B107" authorId="0">
      <text>
        <r>
          <rPr>
            <sz val="8"/>
            <rFont val="Arial"/>
            <family val="2"/>
            <charset val="204"/>
          </rPr>
          <t>#1.1.4.7.2 #1.1.4.7.2 #1.1.4.7.2</t>
        </r>
      </text>
    </comment>
    <comment ref="B108" authorId="0">
      <text>
        <r>
          <rPr>
            <sz val="8"/>
            <rFont val="Arial"/>
            <family val="2"/>
            <charset val="204"/>
          </rPr>
          <t>#1.1.4.7.3 #1.1.4.7.3 #1.1.4.7.3</t>
        </r>
      </text>
    </comment>
    <comment ref="B109" authorId="0">
      <text>
        <r>
          <rPr>
            <sz val="8"/>
            <rFont val="Arial"/>
            <family val="2"/>
            <charset val="204"/>
          </rPr>
          <t>#1.1.4.7.4 #1.1.4.7.4 #1.1.4.7.4</t>
        </r>
      </text>
    </comment>
    <comment ref="B110" authorId="0">
      <text>
        <r>
          <rPr>
            <sz val="8"/>
            <rFont val="Arial"/>
            <family val="2"/>
            <charset val="204"/>
          </rPr>
          <t>#1.1.4.7.6 #1.1.4.7.6 #1.1.4.7.6</t>
        </r>
      </text>
    </comment>
    <comment ref="B111" authorId="0">
      <text>
        <r>
          <rPr>
            <sz val="8"/>
            <rFont val="Arial"/>
            <family val="2"/>
            <charset val="204"/>
          </rPr>
          <t>#1.1.4.7.7 #1.1.4.7.7 #1.1.4.7.7</t>
        </r>
      </text>
    </comment>
    <comment ref="B112" authorId="0">
      <text>
        <r>
          <rPr>
            <sz val="8"/>
            <rFont val="Arial"/>
            <family val="2"/>
            <charset val="204"/>
          </rPr>
          <t>#1.1.4.7.5 #1.1.4.7.5 #1.1.4.7.5</t>
        </r>
      </text>
    </comment>
    <comment ref="B113" authorId="0">
      <text>
        <r>
          <rPr>
            <sz val="8"/>
            <rFont val="Arial"/>
            <family val="2"/>
            <charset val="204"/>
          </rPr>
          <t>#1.1.4.8 #1.1.4.8 #1.1.4.8</t>
        </r>
      </text>
    </comment>
    <comment ref="B114" authorId="0">
      <text>
        <r>
          <rPr>
            <sz val="8"/>
            <rFont val="Arial"/>
            <family val="2"/>
            <charset val="204"/>
          </rPr>
          <t>#1.1.4.8.1 #1.1.4.8.1 #1.1.4.8.1</t>
        </r>
      </text>
    </comment>
    <comment ref="B115" authorId="0">
      <text>
        <r>
          <rPr>
            <sz val="8"/>
            <rFont val="Arial"/>
            <family val="2"/>
            <charset val="204"/>
          </rPr>
          <t>#1.1.4.8.1.1 #1.1.4.8.1.1 #1.1.4.8.1.1</t>
        </r>
      </text>
    </comment>
    <comment ref="B116" authorId="0">
      <text>
        <r>
          <rPr>
            <sz val="8"/>
            <rFont val="Arial"/>
            <family val="2"/>
            <charset val="204"/>
          </rPr>
          <t># #1.1.4.8.1.1.2 #</t>
        </r>
      </text>
    </comment>
    <comment ref="B117" authorId="0">
      <text>
        <r>
          <rPr>
            <sz val="8"/>
            <rFont val="Arial"/>
            <family val="2"/>
            <charset val="204"/>
          </rPr>
          <t>#1.1.4.8.1.1.5 #1.1.4.8.1.1.5 #1.1.4.8.1.1.5</t>
        </r>
      </text>
    </comment>
    <comment ref="B118" authorId="0">
      <text>
        <r>
          <rPr>
            <sz val="8"/>
            <rFont val="Arial"/>
            <family val="2"/>
            <charset val="204"/>
          </rPr>
          <t>#1.1.4.8.1.1.1 #1.1.4.8.1.1.1 #1.1.4.8.1.1.1</t>
        </r>
      </text>
    </comment>
    <comment ref="B119" authorId="0">
      <text>
        <r>
          <rPr>
            <sz val="8"/>
            <rFont val="Arial"/>
            <family val="2"/>
            <charset val="204"/>
          </rPr>
          <t>#1.1.4.8.1.1.1.1 #1.1.4.8.1.1.1.1 #1.1.4.8.1.1.1.1</t>
        </r>
      </text>
    </comment>
    <comment ref="B120" authorId="0">
      <text>
        <r>
          <rPr>
            <sz val="8"/>
            <rFont val="Arial"/>
            <family val="2"/>
            <charset val="204"/>
          </rPr>
          <t>#1.1.4.8.1.1.1.2 #1.1.4.8.1.1.1.2 #1.1.4.8.1.1.1.2</t>
        </r>
      </text>
    </comment>
    <comment ref="B121" authorId="0">
      <text>
        <r>
          <rPr>
            <sz val="8"/>
            <rFont val="Arial"/>
            <family val="2"/>
            <charset val="204"/>
          </rPr>
          <t>#1.1.4.8.1.9 #1.1.4.8.1.9 #1.1.4.8.1.9</t>
        </r>
      </text>
    </comment>
    <comment ref="B122" authorId="0">
      <text>
        <r>
          <rPr>
            <sz val="8"/>
            <rFont val="Arial"/>
            <family val="2"/>
            <charset val="204"/>
          </rPr>
          <t>#1.1.4.8.1.10 #1.1.4.8.1.10 #1.1.4.8.1.10</t>
        </r>
      </text>
    </comment>
    <comment ref="B123" authorId="0">
      <text>
        <r>
          <rPr>
            <sz val="8"/>
            <rFont val="Arial"/>
            <family val="2"/>
            <charset val="204"/>
          </rPr>
          <t>#1.1.4.8.1.2 #1.1.4.8.1.2 #1.1.4.8.1.2</t>
        </r>
      </text>
    </comment>
    <comment ref="B124" authorId="0">
      <text>
        <r>
          <rPr>
            <sz val="8"/>
            <rFont val="Arial"/>
            <family val="2"/>
            <charset val="204"/>
          </rPr>
          <t>#1.1.4.8.2 #1.1.4.8.2 #1.1.4.8.2</t>
        </r>
      </text>
    </comment>
    <comment ref="E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F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H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I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K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L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25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6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7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8" authorId="0">
      <text>
        <r>
          <rPr>
            <sz val="8"/>
            <color indexed="8"/>
            <rFont val="Arial"/>
            <family val="2"/>
          </rPr>
          <t>#30. #20.3 #30.</t>
        </r>
      </text>
    </comment>
    <comment ref="B129" authorId="0">
      <text>
        <r>
          <rPr>
            <sz val="8"/>
            <color indexed="8"/>
            <rFont val="Arial"/>
            <family val="2"/>
          </rPr>
          <t>#26. #20.4 #26.</t>
        </r>
      </text>
    </comment>
    <comment ref="B13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1" authorId="0">
      <text>
        <r>
          <rPr>
            <sz val="8"/>
            <color indexed="8"/>
            <rFont val="Arial"/>
            <family val="2"/>
          </rPr>
          <t>#3.1.2 #20.5 #</t>
        </r>
      </text>
    </comment>
    <comment ref="B132" authorId="0">
      <text>
        <r>
          <rPr>
            <sz val="8"/>
            <color indexed="8"/>
            <rFont val="Arial"/>
            <family val="2"/>
          </rPr>
          <t>#5.3 #20.6 #</t>
        </r>
      </text>
    </comment>
    <comment ref="B13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4" authorId="0">
      <text>
        <r>
          <rPr>
            <sz val="8"/>
            <color indexed="8"/>
            <rFont val="Arial"/>
            <family val="2"/>
          </rPr>
          <t>#3.1.3 #20.7 #</t>
        </r>
      </text>
    </comment>
    <comment ref="B135" authorId="0">
      <text>
        <r>
          <rPr>
            <sz val="8"/>
            <color indexed="8"/>
            <rFont val="Arial"/>
            <family val="2"/>
          </rPr>
          <t>#5.4 #20.8 #</t>
        </r>
      </text>
    </comment>
    <comment ref="B13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7" authorId="0">
      <text>
        <r>
          <rPr>
            <sz val="8"/>
            <color indexed="8"/>
            <rFont val="Arial"/>
            <family val="2"/>
          </rPr>
          <t>#3.1.4 #20.9 #</t>
        </r>
      </text>
    </comment>
    <comment ref="B138" authorId="0">
      <text>
        <r>
          <rPr>
            <sz val="8"/>
            <color indexed="8"/>
            <rFont val="Arial"/>
            <family val="2"/>
          </rPr>
          <t>#5.5 #20.11 #</t>
        </r>
      </text>
    </comment>
    <comment ref="B13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0" authorId="0">
      <text>
        <r>
          <rPr>
            <sz val="8"/>
            <color indexed="8"/>
            <rFont val="Arial"/>
            <family val="2"/>
          </rPr>
          <t>#3.1.5 #20.12 #</t>
        </r>
      </text>
    </comment>
    <comment ref="B141" authorId="0">
      <text>
        <r>
          <rPr>
            <sz val="8"/>
            <color indexed="8"/>
            <rFont val="Arial"/>
            <family val="2"/>
          </rPr>
          <t>#6 #20.13 #</t>
        </r>
      </text>
    </comment>
    <comment ref="B14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5" authorId="0">
      <text>
        <r>
          <rPr>
            <sz val="8"/>
            <color indexed="8"/>
            <rFont val="Arial"/>
            <family val="2"/>
          </rPr>
          <t># #20.14 #</t>
        </r>
      </text>
    </comment>
    <comment ref="B146" authorId="0">
      <text>
        <r>
          <rPr>
            <sz val="8"/>
            <color indexed="8"/>
            <rFont val="Arial"/>
            <family val="2"/>
          </rPr>
          <t># #20.15 #</t>
        </r>
      </text>
    </comment>
    <comment ref="B14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8" authorId="0">
      <text>
        <r>
          <rPr>
            <sz val="8"/>
            <color indexed="8"/>
            <rFont val="Arial"/>
            <family val="2"/>
          </rPr>
          <t># #20.16 #</t>
        </r>
      </text>
    </comment>
    <comment ref="B149" authorId="0">
      <text>
        <r>
          <rPr>
            <sz val="8"/>
            <color indexed="8"/>
            <rFont val="Arial"/>
            <family val="2"/>
          </rPr>
          <t># #20.17 #</t>
        </r>
      </text>
    </comment>
    <comment ref="B15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1" authorId="0">
      <text>
        <r>
          <rPr>
            <sz val="8"/>
            <color indexed="8"/>
            <rFont val="Arial"/>
            <family val="2"/>
          </rPr>
          <t># #20.18 #</t>
        </r>
      </text>
    </comment>
    <comment ref="B152" authorId="0">
      <text>
        <r>
          <rPr>
            <sz val="8"/>
            <color indexed="8"/>
            <rFont val="Arial"/>
            <family val="2"/>
          </rPr>
          <t># #20.19 #</t>
        </r>
      </text>
    </comment>
    <comment ref="B15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4" authorId="0">
      <text>
        <r>
          <rPr>
            <sz val="8"/>
            <color indexed="8"/>
            <rFont val="Arial"/>
            <family val="2"/>
          </rPr>
          <t># #30.1 #</t>
        </r>
      </text>
    </comment>
    <comment ref="B155" authorId="0">
      <text>
        <r>
          <rPr>
            <sz val="8"/>
            <color indexed="8"/>
            <rFont val="Arial"/>
            <family val="2"/>
          </rPr>
          <t># #30.2 #</t>
        </r>
      </text>
    </comment>
    <comment ref="B15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7" authorId="0">
      <text>
        <r>
          <rPr>
            <sz val="8"/>
            <color indexed="8"/>
            <rFont val="Arial"/>
            <family val="2"/>
          </rPr>
          <t># #30.3 #</t>
        </r>
      </text>
    </comment>
    <comment ref="B158" authorId="0">
      <text>
        <r>
          <rPr>
            <sz val="8"/>
            <color indexed="8"/>
            <rFont val="Arial"/>
            <family val="2"/>
          </rPr>
          <t># #30.4 #</t>
        </r>
      </text>
    </comment>
    <comment ref="B15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1" authorId="0">
      <text>
        <r>
          <rPr>
            <sz val="8"/>
            <color indexed="8"/>
            <rFont val="Arial"/>
            <family val="2"/>
          </rPr>
          <t># #30.5 #</t>
        </r>
      </text>
    </comment>
    <comment ref="B162" authorId="0">
      <text>
        <r>
          <rPr>
            <sz val="8"/>
            <color indexed="8"/>
            <rFont val="Arial"/>
            <family val="2"/>
          </rPr>
          <t># #30.6 #</t>
        </r>
      </text>
    </comment>
    <comment ref="B16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4" authorId="0">
      <text>
        <r>
          <rPr>
            <sz val="8"/>
            <color indexed="8"/>
            <rFont val="Arial"/>
            <family val="2"/>
          </rPr>
          <t># #30.7 #</t>
        </r>
      </text>
    </comment>
    <comment ref="B165" authorId="0">
      <text>
        <r>
          <rPr>
            <sz val="8"/>
            <color indexed="8"/>
            <rFont val="Arial"/>
            <family val="2"/>
          </rPr>
          <t># #30.8 #</t>
        </r>
      </text>
    </comment>
    <comment ref="B16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7" authorId="0">
      <text>
        <r>
          <rPr>
            <sz val="8"/>
            <color indexed="8"/>
            <rFont val="Arial"/>
            <family val="2"/>
          </rPr>
          <t># #30.9 #</t>
        </r>
      </text>
    </comment>
    <comment ref="B168" authorId="0">
      <text>
        <r>
          <rPr>
            <sz val="8"/>
            <color indexed="8"/>
            <rFont val="Arial"/>
            <family val="2"/>
          </rPr>
          <t># #30.11 #</t>
        </r>
      </text>
    </comment>
    <comment ref="B16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70" authorId="0">
      <text>
        <r>
          <rPr>
            <sz val="8"/>
            <color indexed="8"/>
            <rFont val="Arial"/>
            <family val="2"/>
          </rPr>
          <t># #30.12 #</t>
        </r>
      </text>
    </comment>
    <comment ref="B171" authorId="0">
      <text>
        <r>
          <rPr>
            <sz val="8"/>
            <color indexed="8"/>
            <rFont val="Arial"/>
            <family val="2"/>
          </rPr>
          <t># #30.13 #</t>
        </r>
      </text>
    </comment>
    <comment ref="B17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73" authorId="0">
      <text>
        <r>
          <rPr>
            <sz val="8"/>
            <color indexed="8"/>
            <rFont val="Arial"/>
            <family val="2"/>
          </rPr>
          <t># #30.14 #</t>
        </r>
      </text>
    </comment>
    <comment ref="B174" authorId="0">
      <text>
        <r>
          <rPr>
            <sz val="8"/>
            <color indexed="8"/>
            <rFont val="Arial"/>
            <family val="2"/>
          </rPr>
          <t># #30.15 #</t>
        </r>
      </text>
    </comment>
    <comment ref="B175" authorId="0">
      <text>
        <r>
          <rPr>
            <sz val="8"/>
            <color indexed="8"/>
            <rFont val="Arial"/>
            <family val="2"/>
          </rPr>
          <t>#1.3 #1.3 #</t>
        </r>
      </text>
    </comment>
    <comment ref="B176" authorId="0">
      <text>
        <r>
          <rPr>
            <sz val="8"/>
            <color indexed="8"/>
            <rFont val="Arial"/>
            <family val="2"/>
          </rPr>
          <t>#1.3.1 #1.3.1 #1.2</t>
        </r>
      </text>
    </comment>
    <comment ref="B177" authorId="0">
      <text>
        <r>
          <rPr>
            <sz val="8"/>
            <color indexed="8"/>
            <rFont val="Arial"/>
            <family val="2"/>
          </rPr>
          <t># #1.3.1.3 #</t>
        </r>
      </text>
    </comment>
    <comment ref="B178" authorId="0">
      <text>
        <r>
          <rPr>
            <sz val="8"/>
            <color indexed="8"/>
            <rFont val="Arial"/>
            <family val="2"/>
          </rPr>
          <t># #1.3.1.3.1 #</t>
        </r>
      </text>
    </comment>
    <comment ref="B179" authorId="0">
      <text>
        <r>
          <rPr>
            <sz val="8"/>
            <color indexed="8"/>
            <rFont val="Arial"/>
            <family val="2"/>
          </rPr>
          <t># #1.3.1.3.1.1 #</t>
        </r>
      </text>
    </comment>
    <comment ref="B180" authorId="0">
      <text>
        <r>
          <rPr>
            <sz val="8"/>
            <color indexed="8"/>
            <rFont val="Arial"/>
            <family val="2"/>
          </rPr>
          <t># #1.3.1.3.1.2 #</t>
        </r>
      </text>
    </comment>
    <comment ref="N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Q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1" authorId="0">
      <text>
        <r>
          <rPr>
            <sz val="8"/>
            <color indexed="8"/>
            <rFont val="Arial"/>
            <family val="2"/>
          </rPr>
          <t># #1.3.1.3.2 #</t>
        </r>
      </text>
    </comment>
    <comment ref="B182" authorId="0">
      <text>
        <r>
          <rPr>
            <sz val="8"/>
            <color indexed="8"/>
            <rFont val="Arial"/>
            <family val="2"/>
          </rPr>
          <t># #1.3.1.3.2.1 #</t>
        </r>
      </text>
    </comment>
    <comment ref="B183" authorId="0">
      <text>
        <r>
          <rPr>
            <sz val="8"/>
            <color indexed="8"/>
            <rFont val="Arial"/>
            <family val="2"/>
          </rPr>
          <t># #1.3.1.3.2.2 #</t>
        </r>
      </text>
    </comment>
    <comment ref="B184" authorId="0">
      <text>
        <r>
          <rPr>
            <sz val="8"/>
            <color indexed="8"/>
            <rFont val="Arial"/>
            <family val="2"/>
          </rPr>
          <t># #1.3.1.3.3 #</t>
        </r>
      </text>
    </comment>
    <comment ref="B185" authorId="0">
      <text>
        <r>
          <rPr>
            <sz val="8"/>
            <color indexed="8"/>
            <rFont val="Arial"/>
            <family val="2"/>
          </rPr>
          <t># #1.3.1.3.3.1 #</t>
        </r>
      </text>
    </comment>
    <comment ref="B186" authorId="0">
      <text>
        <r>
          <rPr>
            <sz val="8"/>
            <color indexed="8"/>
            <rFont val="Arial"/>
            <family val="2"/>
          </rPr>
          <t># #1.3.1.3.3.2 #</t>
        </r>
      </text>
    </comment>
    <comment ref="B187" authorId="0">
      <text>
        <r>
          <rPr>
            <sz val="8"/>
            <color indexed="8"/>
            <rFont val="Arial"/>
            <family val="2"/>
          </rPr>
          <t>#1.3.1.3 #1.3.1.3.4 #1.2.4</t>
        </r>
      </text>
    </comment>
    <comment ref="B188" authorId="0">
      <text>
        <r>
          <rPr>
            <sz val="8"/>
            <color indexed="8"/>
            <rFont val="Arial"/>
            <family val="2"/>
          </rPr>
          <t>#1.3.1.1 #1.3.1.1 #1.2.2</t>
        </r>
      </text>
    </comment>
    <comment ref="B189" authorId="0">
      <text>
        <r>
          <rPr>
            <sz val="8"/>
            <color indexed="8"/>
            <rFont val="Arial"/>
            <family val="2"/>
          </rPr>
          <t>#44. #30.16 #44.</t>
        </r>
      </text>
    </comment>
    <comment ref="B190" authorId="0">
      <text>
        <r>
          <rPr>
            <sz val="8"/>
            <color indexed="8"/>
            <rFont val="Arial"/>
            <family val="2"/>
          </rPr>
          <t>#43. #30.17 #43.</t>
        </r>
      </text>
    </comment>
    <comment ref="N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Q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1" authorId="0">
      <text>
        <r>
          <rPr>
            <sz val="8"/>
            <color indexed="8"/>
            <rFont val="Arial"/>
            <family val="2"/>
          </rPr>
          <t>#1.3.1.2 #1.3.1.2 #1.2.3</t>
        </r>
      </text>
    </comment>
    <comment ref="B192" authorId="0">
      <text>
        <r>
          <rPr>
            <sz val="8"/>
            <color indexed="8"/>
            <rFont val="Arial"/>
            <family val="2"/>
          </rPr>
          <t>#1.3.1.4 #1.3.1.4 #</t>
        </r>
      </text>
    </comment>
    <comment ref="B193" authorId="0">
      <text>
        <r>
          <rPr>
            <sz val="8"/>
            <color indexed="8"/>
            <rFont val="Arial"/>
            <family val="2"/>
          </rPr>
          <t>#38. #1.3.1.4.1 #</t>
        </r>
      </text>
    </comment>
    <comment ref="B194" authorId="0">
      <text>
        <r>
          <rPr>
            <sz val="8"/>
            <color indexed="8"/>
            <rFont val="Arial"/>
            <family val="2"/>
          </rPr>
          <t>#37. #1.3.1.4.2 #</t>
        </r>
      </text>
    </comment>
    <comment ref="B195" authorId="0">
      <text>
        <r>
          <rPr>
            <sz val="8"/>
            <color indexed="8"/>
            <rFont val="Arial"/>
            <family val="2"/>
          </rPr>
          <t>#1.3.1.5 #1.3.1.5 #1.2.5</t>
        </r>
      </text>
    </comment>
    <comment ref="B196" authorId="0">
      <text>
        <r>
          <rPr>
            <sz val="8"/>
            <color indexed="8"/>
            <rFont val="Arial"/>
            <family val="2"/>
          </rPr>
          <t>#46. #1.2.5.2 #46.</t>
        </r>
      </text>
    </comment>
    <comment ref="B197" authorId="0">
      <text>
        <r>
          <rPr>
            <sz val="8"/>
            <color indexed="8"/>
            <rFont val="Arial"/>
            <family val="2"/>
          </rPr>
          <t>#45. #1.2.5.1 #45.</t>
        </r>
      </text>
    </comment>
    <comment ref="B198" authorId="0">
      <text>
        <r>
          <rPr>
            <sz val="8"/>
            <color indexed="8"/>
            <rFont val="Arial"/>
            <family val="2"/>
          </rPr>
          <t>#1.3.1.8 #1.3.1.7 #</t>
        </r>
      </text>
    </comment>
    <comment ref="B199" authorId="0">
      <text>
        <r>
          <rPr>
            <sz val="8"/>
            <color indexed="8"/>
            <rFont val="Arial"/>
            <family val="2"/>
          </rPr>
          <t>#1.3.1.9 #1.3.1.8 #</t>
        </r>
      </text>
    </comment>
    <comment ref="B200" authorId="0">
      <text>
        <r>
          <rPr>
            <sz val="8"/>
            <color indexed="8"/>
            <rFont val="Arial"/>
            <family val="2"/>
          </rPr>
          <t>#1.3.1.10 #1.3.1.9 #</t>
        </r>
      </text>
    </comment>
    <comment ref="B201" authorId="0">
      <text>
        <r>
          <rPr>
            <sz val="8"/>
            <color indexed="8"/>
            <rFont val="Arial"/>
            <family val="2"/>
          </rPr>
          <t>#1.3.1.11 #1.3.1.11 #</t>
        </r>
      </text>
    </comment>
    <comment ref="B202" authorId="0">
      <text>
        <r>
          <rPr>
            <sz val="8"/>
            <color indexed="8"/>
            <rFont val="Arial"/>
            <family val="2"/>
          </rPr>
          <t>#42. #1.3.1.11.1 #42.</t>
        </r>
      </text>
    </comment>
    <comment ref="B203" authorId="0">
      <text>
        <r>
          <rPr>
            <sz val="8"/>
            <color indexed="8"/>
            <rFont val="Arial"/>
            <family val="2"/>
          </rPr>
          <t>#41. #1.3.1.11.2 #41.</t>
        </r>
      </text>
    </comment>
    <comment ref="N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Q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4" authorId="0">
      <text>
        <r>
          <rPr>
            <sz val="8"/>
            <color indexed="8"/>
            <rFont val="Arial"/>
            <family val="2"/>
          </rPr>
          <t>#1.3.1.12 #1.3.1.12 #</t>
        </r>
      </text>
    </comment>
    <comment ref="B205" authorId="0">
      <text>
        <r>
          <rPr>
            <sz val="8"/>
            <color indexed="8"/>
            <rFont val="Arial"/>
            <family val="2"/>
          </rPr>
          <t>#40. #1.3.1.12.1 #</t>
        </r>
      </text>
    </comment>
    <comment ref="B206" authorId="0">
      <text>
        <r>
          <rPr>
            <sz val="8"/>
            <color indexed="8"/>
            <rFont val="Arial"/>
            <family val="2"/>
          </rPr>
          <t>#39. #1.3.1.12.2 #</t>
        </r>
      </text>
    </comment>
    <comment ref="Q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8" authorId="0">
      <text>
        <r>
          <rPr>
            <sz val="8"/>
            <color indexed="8"/>
            <rFont val="Arial"/>
            <family val="2"/>
          </rPr>
          <t>#1.3.2 #1.3.2 #7.</t>
        </r>
      </text>
    </comment>
    <comment ref="B209" authorId="0">
      <text>
        <r>
          <rPr>
            <sz val="8"/>
            <color indexed="8"/>
            <rFont val="Arial"/>
            <family val="2"/>
          </rPr>
          <t>#1.3.2.1 #1.3.2.1 #7.1</t>
        </r>
      </text>
    </comment>
    <comment ref="B210" authorId="0">
      <text>
        <r>
          <rPr>
            <sz val="8"/>
            <color indexed="8"/>
            <rFont val="Arial"/>
            <family val="2"/>
          </rPr>
          <t>#1.3.2.2 #1.3.2.2 #7.2</t>
        </r>
      </text>
    </comment>
    <comment ref="B211" authorId="0">
      <text>
        <r>
          <rPr>
            <sz val="8"/>
            <color indexed="8"/>
            <rFont val="Arial"/>
            <family val="2"/>
          </rPr>
          <t>#1.3.2.3 #1.3.2.3 #7.5</t>
        </r>
      </text>
    </comment>
    <comment ref="B212" authorId="0">
      <text>
        <r>
          <rPr>
            <sz val="8"/>
            <color indexed="8"/>
            <rFont val="Arial"/>
            <family val="2"/>
          </rPr>
          <t>#1.3.2.4 #1.3.2.4 #7.4</t>
        </r>
      </text>
    </comment>
    <comment ref="B213" authorId="0">
      <text>
        <r>
          <rPr>
            <sz val="8"/>
            <color indexed="8"/>
            <rFont val="Arial"/>
            <family val="2"/>
          </rPr>
          <t>#1.3.2.4.1 #1.3.2.4.1 #7.4</t>
        </r>
      </text>
    </comment>
    <comment ref="B214" authorId="0">
      <text>
        <r>
          <rPr>
            <sz val="8"/>
            <color indexed="8"/>
            <rFont val="Arial"/>
            <family val="2"/>
          </rPr>
          <t>#1.3.2.5 #1.3.2.4.2 #</t>
        </r>
      </text>
    </comment>
    <comment ref="B215" authorId="0">
      <text>
        <r>
          <rPr>
            <sz val="8"/>
            <color indexed="8"/>
            <rFont val="Arial"/>
            <family val="2"/>
          </rPr>
          <t>#1.3.2.6 #1.3.2.6 #7.6</t>
        </r>
      </text>
    </comment>
    <comment ref="B216" authorId="0">
      <text>
        <r>
          <rPr>
            <sz val="8"/>
            <color indexed="8"/>
            <rFont val="Arial"/>
            <family val="2"/>
          </rPr>
          <t>#1.3.2.7 #1.3.2.7 #7.3</t>
        </r>
      </text>
    </comment>
    <comment ref="B217" authorId="0">
      <text>
        <r>
          <rPr>
            <sz val="8"/>
            <color indexed="8"/>
            <rFont val="Arial"/>
            <family val="2"/>
          </rPr>
          <t>#1.3.2.8 #1.3.2.8 #7.7</t>
        </r>
      </text>
    </comment>
    <comment ref="B218" authorId="0">
      <text>
        <r>
          <rPr>
            <sz val="8"/>
            <color indexed="8"/>
            <rFont val="Arial"/>
            <family val="2"/>
          </rPr>
          <t>#1.3.3 #1.3.3 #6.</t>
        </r>
      </text>
    </comment>
    <comment ref="B219" authorId="0">
      <text>
        <r>
          <rPr>
            <sz val="8"/>
            <color indexed="8"/>
            <rFont val="Arial"/>
            <family val="2"/>
          </rPr>
          <t>#1.3.3 #1.3.3 #6.1</t>
        </r>
      </text>
    </comment>
    <comment ref="B220" authorId="0">
      <text>
        <r>
          <rPr>
            <sz val="8"/>
            <color indexed="8"/>
            <rFont val="Arial"/>
            <family val="2"/>
          </rPr>
          <t># # #6.2</t>
        </r>
      </text>
    </comment>
    <comment ref="B221" authorId="0">
      <text>
        <r>
          <rPr>
            <sz val="8"/>
            <color indexed="8"/>
            <rFont val="Arial"/>
            <family val="2"/>
          </rPr>
          <t># # #6.3</t>
        </r>
      </text>
    </comment>
    <comment ref="B222" authorId="0">
      <text>
        <r>
          <rPr>
            <sz val="8"/>
            <color indexed="8"/>
            <rFont val="Arial"/>
            <family val="2"/>
          </rPr>
          <t># # #6.4</t>
        </r>
      </text>
    </comment>
    <comment ref="B22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24" authorId="0">
      <text>
        <r>
          <rPr>
            <sz val="8"/>
            <color indexed="8"/>
            <rFont val="Arial"/>
            <family val="2"/>
          </rPr>
          <t>#1.3.6 #1.3.6 #</t>
        </r>
      </text>
    </comment>
    <comment ref="B225" authorId="0">
      <text>
        <r>
          <rPr>
            <sz val="8"/>
            <color indexed="8"/>
            <rFont val="Arial"/>
            <family val="2"/>
          </rPr>
          <t>#1.3.7 #1.3.7 #</t>
        </r>
      </text>
    </comment>
    <comment ref="B226" authorId="0">
      <text>
        <r>
          <rPr>
            <sz val="8"/>
            <color indexed="8"/>
            <rFont val="Arial"/>
            <family val="2"/>
          </rPr>
          <t>#1.3.8 #1.3.8 #</t>
        </r>
      </text>
    </comment>
    <comment ref="B227" authorId="0">
      <text>
        <r>
          <rPr>
            <sz val="8"/>
            <color indexed="8"/>
            <rFont val="Arial"/>
            <family val="2"/>
          </rPr>
          <t>#1.3.8 #1.3.8 #</t>
        </r>
      </text>
    </comment>
    <comment ref="B22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2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30" authorId="0">
      <text>
        <r>
          <rPr>
            <sz val="8"/>
            <color indexed="8"/>
            <rFont val="Arial"/>
            <family val="2"/>
          </rPr>
          <t>#1.3.9 #1.3.9 #</t>
        </r>
      </text>
    </comment>
    <comment ref="B231" authorId="0">
      <text>
        <r>
          <rPr>
            <sz val="8"/>
            <color indexed="8"/>
            <rFont val="Arial"/>
            <family val="2"/>
          </rPr>
          <t>#1.3.9.1 #1.3.9.1 #</t>
        </r>
      </text>
    </comment>
    <comment ref="B232" authorId="0">
      <text>
        <r>
          <rPr>
            <sz val="8"/>
            <color indexed="8"/>
            <rFont val="Arial"/>
            <family val="2"/>
          </rPr>
          <t>#1.3.9.2 #1.3.9.2 #</t>
        </r>
      </text>
    </comment>
    <comment ref="B236" authorId="0">
      <text>
        <r>
          <rPr>
            <sz val="8"/>
            <color indexed="8"/>
            <rFont val="Arial"/>
            <family val="2"/>
          </rPr>
          <t>#2. #2. #5.</t>
        </r>
      </text>
    </comment>
    <comment ref="B237" authorId="0">
      <text>
        <r>
          <rPr>
            <sz val="8"/>
            <color indexed="8"/>
            <rFont val="Arial"/>
            <family val="2"/>
          </rPr>
          <t>#2. #2. #5.</t>
        </r>
      </text>
    </comment>
    <comment ref="B238" authorId="0">
      <text>
        <r>
          <rPr>
            <sz val="8"/>
            <color indexed="8"/>
            <rFont val="Arial"/>
            <family val="2"/>
          </rPr>
          <t>#25. #25. #25.</t>
        </r>
      </text>
    </comment>
    <comment ref="B239" authorId="0">
      <text>
        <r>
          <rPr>
            <sz val="8"/>
            <color indexed="8"/>
            <rFont val="Arial"/>
            <family val="2"/>
          </rPr>
          <t>#4. #3. #9.</t>
        </r>
      </text>
    </comment>
    <comment ref="B240" authorId="0">
      <text>
        <r>
          <rPr>
            <sz val="8"/>
            <color indexed="8"/>
            <rFont val="Arial"/>
            <family val="2"/>
          </rPr>
          <t>#4.2 #3.2 #9.3</t>
        </r>
      </text>
    </comment>
    <comment ref="B241" authorId="0">
      <text>
        <r>
          <rPr>
            <sz val="8"/>
            <color indexed="8"/>
            <rFont val="Arial"/>
            <family val="2"/>
          </rPr>
          <t># # #9.1</t>
        </r>
      </text>
    </comment>
    <comment ref="B242" authorId="0">
      <text>
        <r>
          <rPr>
            <sz val="8"/>
            <color indexed="8"/>
            <rFont val="Arial"/>
            <family val="2"/>
          </rPr>
          <t>#4.1 #3.1 #9.2</t>
        </r>
      </text>
    </comment>
    <comment ref="B24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8" authorId="0">
      <text>
        <r>
          <rPr>
            <sz val="8"/>
            <color indexed="8"/>
            <rFont val="Arial"/>
            <family val="2"/>
          </rPr>
          <t># #40.9 #</t>
        </r>
      </text>
    </comment>
    <comment ref="B249" authorId="0">
      <text>
        <r>
          <rPr>
            <sz val="8"/>
            <color indexed="8"/>
            <rFont val="Arial"/>
            <family val="2"/>
          </rPr>
          <t># #40.11 #</t>
        </r>
      </text>
    </comment>
    <comment ref="B250" authorId="0">
      <text>
        <r>
          <rPr>
            <sz val="8"/>
            <color indexed="8"/>
            <rFont val="Arial"/>
            <family val="2"/>
          </rPr>
          <t># #40.12 #</t>
        </r>
      </text>
    </comment>
    <comment ref="B251" authorId="0">
      <text>
        <r>
          <rPr>
            <sz val="8"/>
            <color indexed="8"/>
            <rFont val="Arial"/>
            <family val="2"/>
          </rPr>
          <t># #40.13 #</t>
        </r>
      </text>
    </comment>
    <comment ref="B25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1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70" authorId="0">
      <text>
        <r>
          <rPr>
            <sz val="8"/>
            <color indexed="8"/>
            <rFont val="Arial"/>
            <family val="2"/>
          </rPr>
          <t>#5. #4. #10.</t>
        </r>
      </text>
    </comment>
  </commentList>
</comments>
</file>

<file path=xl/comments7.xml><?xml version="1.0" encoding="utf-8"?>
<comments xmlns="http://schemas.openxmlformats.org/spreadsheetml/2006/main">
  <authors>
    <author/>
    <author>a.knyazkina</author>
  </authors>
  <commentList>
    <comment ref="B6" authorId="0">
      <text>
        <r>
          <rPr>
            <sz val="8"/>
            <color indexed="8"/>
            <rFont val="Arial"/>
            <family val="2"/>
          </rPr>
          <t>#6. #5. #13.</t>
        </r>
      </text>
    </comment>
    <comment ref="B7" authorId="0">
      <text>
        <r>
          <rPr>
            <sz val="8"/>
            <color indexed="8"/>
            <rFont val="Arial"/>
            <family val="2"/>
          </rPr>
          <t>#3. #15. #8.</t>
        </r>
      </text>
    </comment>
    <comment ref="B8" authorId="0">
      <text>
        <r>
          <rPr>
            <sz val="8"/>
            <color indexed="8"/>
            <rFont val="Arial"/>
            <family val="2"/>
          </rPr>
          <t>#1. #1. #</t>
        </r>
      </text>
    </comment>
    <comment ref="B9" authorId="0">
      <text>
        <r>
          <rPr>
            <sz val="8"/>
            <color indexed="8"/>
            <rFont val="Arial"/>
            <family val="2"/>
          </rPr>
          <t>#1.1. #1.1. #</t>
        </r>
      </text>
    </comment>
    <comment ref="B10" authorId="0">
      <text>
        <r>
          <rPr>
            <sz val="8"/>
            <color indexed="8"/>
            <rFont val="Arial"/>
            <family val="2"/>
          </rPr>
          <t>#1.1.1 #1.1.1 #1</t>
        </r>
      </text>
    </comment>
    <comment ref="B11" authorId="0">
      <text>
        <r>
          <rPr>
            <sz val="8"/>
            <color indexed="8"/>
            <rFont val="Arial"/>
            <family val="2"/>
          </rPr>
          <t>#1.1.1.1 #1.1.1.1 #1.1</t>
        </r>
      </text>
    </comment>
    <comment ref="B12" authorId="0">
      <text>
        <r>
          <rPr>
            <sz val="8"/>
            <color indexed="8"/>
            <rFont val="Arial"/>
            <family val="2"/>
          </rPr>
          <t># #1.1.1.1.2 #</t>
        </r>
      </text>
    </comment>
    <comment ref="B13" authorId="0">
      <text>
        <r>
          <rPr>
            <sz val="8"/>
            <color indexed="8"/>
            <rFont val="Arial"/>
            <family val="2"/>
          </rPr>
          <t># #1.1.1.1.2.1 #</t>
        </r>
      </text>
    </comment>
    <comment ref="B14" authorId="0">
      <text>
        <r>
          <rPr>
            <sz val="8"/>
            <color indexed="8"/>
            <rFont val="Arial"/>
            <family val="2"/>
          </rPr>
          <t># #1.1.1.1.2.1.1 #</t>
        </r>
      </text>
    </comment>
    <comment ref="B15" authorId="0">
      <text>
        <r>
          <rPr>
            <sz val="8"/>
            <color indexed="8"/>
            <rFont val="Arial"/>
            <family val="2"/>
          </rPr>
          <t># #1.1.1.1.2.1.2 #</t>
        </r>
      </text>
    </comment>
    <comment ref="B16" authorId="0">
      <text>
        <r>
          <rPr>
            <sz val="8"/>
            <color indexed="8"/>
            <rFont val="Arial"/>
            <family val="2"/>
          </rPr>
          <t># #1.1.1.1.2.2 #</t>
        </r>
      </text>
    </comment>
    <comment ref="B17" authorId="0">
      <text>
        <r>
          <rPr>
            <sz val="8"/>
            <color indexed="8"/>
            <rFont val="Arial"/>
            <family val="2"/>
          </rPr>
          <t># #1.1.1.1.2.2.1 #</t>
        </r>
      </text>
    </comment>
    <comment ref="B18" authorId="0">
      <text>
        <r>
          <rPr>
            <sz val="8"/>
            <color indexed="8"/>
            <rFont val="Arial"/>
            <family val="2"/>
          </rPr>
          <t># #1.1.1.1.2.2.2 #</t>
        </r>
      </text>
    </comment>
    <comment ref="B19" authorId="0">
      <text>
        <r>
          <rPr>
            <sz val="8"/>
            <color indexed="8"/>
            <rFont val="Arial"/>
            <family val="2"/>
          </rPr>
          <t># #1.1.1.1.2.3 #</t>
        </r>
      </text>
    </comment>
    <comment ref="B20" authorId="0">
      <text>
        <r>
          <rPr>
            <sz val="8"/>
            <color indexed="8"/>
            <rFont val="Arial"/>
            <family val="2"/>
          </rPr>
          <t># #1.1.1.1.2.3.1 #</t>
        </r>
      </text>
    </comment>
    <comment ref="B21" authorId="0">
      <text>
        <r>
          <rPr>
            <sz val="8"/>
            <color indexed="8"/>
            <rFont val="Arial"/>
            <family val="2"/>
          </rPr>
          <t># #1.1.1.1.2.3.2 #</t>
        </r>
      </text>
    </comment>
    <comment ref="B22" authorId="0">
      <text>
        <r>
          <rPr>
            <sz val="8"/>
            <color indexed="8"/>
            <rFont val="Arial"/>
            <family val="2"/>
          </rPr>
          <t># #1.1.1.1.2.4 #</t>
        </r>
      </text>
    </comment>
    <comment ref="B23" authorId="0">
      <text>
        <r>
          <rPr>
            <sz val="8"/>
            <color indexed="8"/>
            <rFont val="Arial"/>
            <family val="2"/>
          </rPr>
          <t># #1.1.1.1.2.4.1 #</t>
        </r>
      </text>
    </comment>
    <comment ref="B24" authorId="0">
      <text>
        <r>
          <rPr>
            <sz val="8"/>
            <color indexed="8"/>
            <rFont val="Arial"/>
            <family val="2"/>
          </rPr>
          <t># #1.1.1.1.2.4.2 #</t>
        </r>
      </text>
    </comment>
    <comment ref="B25" authorId="0">
      <text>
        <r>
          <rPr>
            <sz val="8"/>
            <color indexed="8"/>
            <rFont val="Arial"/>
            <family val="2"/>
          </rPr>
          <t># #1.1.1.1.2.5 #</t>
        </r>
      </text>
    </comment>
    <comment ref="B26" authorId="0">
      <text>
        <r>
          <rPr>
            <sz val="8"/>
            <color indexed="8"/>
            <rFont val="Arial"/>
            <family val="2"/>
          </rPr>
          <t># #1.1.1.1.2.5.1 #</t>
        </r>
      </text>
    </comment>
    <comment ref="B27" authorId="0">
      <text>
        <r>
          <rPr>
            <sz val="8"/>
            <color indexed="8"/>
            <rFont val="Arial"/>
            <family val="2"/>
          </rPr>
          <t># #1.1.1.1.2.5.2 #</t>
        </r>
      </text>
    </comment>
    <comment ref="B28" authorId="0">
      <text>
        <r>
          <rPr>
            <sz val="8"/>
            <color indexed="8"/>
            <rFont val="Arial"/>
            <family val="2"/>
          </rPr>
          <t>#1.1.1.1.2 #1.1.1.1.2.6 #1.1.2</t>
        </r>
      </text>
    </comment>
    <comment ref="B29" authorId="0">
      <text>
        <r>
          <rPr>
            <sz val="8"/>
            <color indexed="8"/>
            <rFont val="Arial"/>
            <family val="2"/>
          </rPr>
          <t>#1.1.1.1.3 #1.1.1.1.3 #1.1.3</t>
        </r>
      </text>
    </comment>
    <comment ref="B30" authorId="0">
      <text>
        <r>
          <rPr>
            <sz val="8"/>
            <color indexed="8"/>
            <rFont val="Arial"/>
            <family val="2"/>
          </rPr>
          <t>#1.1.1.2 #1.1.1.2 #1.3</t>
        </r>
      </text>
    </comment>
    <comment ref="B31" authorId="0">
      <text>
        <r>
          <rPr>
            <sz val="8"/>
            <color indexed="8"/>
            <rFont val="Arial"/>
            <family val="2"/>
          </rPr>
          <t>#1.1.1.3 #1.1.1.3 #1.4</t>
        </r>
      </text>
    </comment>
    <comment ref="B32" authorId="0">
      <text>
        <r>
          <rPr>
            <sz val="8"/>
            <color indexed="8"/>
            <rFont val="Arial"/>
            <family val="2"/>
          </rPr>
          <t>#1.1.1.3.1 #1.1.1.3.1 #1.4.1</t>
        </r>
      </text>
    </comment>
    <comment ref="B33" authorId="0">
      <text>
        <r>
          <rPr>
            <sz val="8"/>
            <color indexed="8"/>
            <rFont val="Arial"/>
            <family val="2"/>
          </rPr>
          <t># #1.1.1.3.1.2 #</t>
        </r>
      </text>
    </comment>
    <comment ref="B34" authorId="0">
      <text>
        <r>
          <rPr>
            <sz val="8"/>
            <color indexed="8"/>
            <rFont val="Arial"/>
            <family val="2"/>
          </rPr>
          <t># #1.1.1.3.1.2.5 #</t>
        </r>
      </text>
    </comment>
    <comment ref="B35" authorId="0">
      <text>
        <r>
          <rPr>
            <sz val="8"/>
            <color indexed="8"/>
            <rFont val="Arial"/>
            <family val="2"/>
          </rPr>
          <t>#1.1.1.3.1.2.1 # #</t>
        </r>
      </text>
    </comment>
    <comment ref="B36" authorId="0">
      <text>
        <r>
          <rPr>
            <sz val="8"/>
            <color indexed="8"/>
            <rFont val="Arial"/>
            <family val="2"/>
          </rPr>
          <t># #1.1.1.3.1.2.1.1 #</t>
        </r>
      </text>
    </comment>
    <comment ref="B37" authorId="0">
      <text>
        <r>
          <rPr>
            <sz val="8"/>
            <color indexed="8"/>
            <rFont val="Arial"/>
            <family val="2"/>
          </rPr>
          <t># #1.1.1.3.1.2.2.2 #</t>
        </r>
      </text>
    </comment>
    <comment ref="B38" authorId="0">
      <text>
        <r>
          <rPr>
            <sz val="8"/>
            <color indexed="8"/>
            <rFont val="Arial"/>
            <family val="2"/>
          </rPr>
          <t># #1.1.1.3.1.2.2 #</t>
        </r>
      </text>
    </comment>
    <comment ref="B39" authorId="0">
      <text>
        <r>
          <rPr>
            <sz val="8"/>
            <color indexed="8"/>
            <rFont val="Arial"/>
            <family val="2"/>
          </rPr>
          <t># #1.1.1.3.1.2.3 #</t>
        </r>
      </text>
    </comment>
    <comment ref="B40" authorId="0">
      <text>
        <r>
          <rPr>
            <sz val="8"/>
            <color indexed="8"/>
            <rFont val="Arial"/>
            <family val="2"/>
          </rPr>
          <t># #1.1.1.3.1.2.4 #</t>
        </r>
      </text>
    </comment>
    <comment ref="B41" authorId="0">
      <text>
        <r>
          <rPr>
            <sz val="8"/>
            <color indexed="8"/>
            <rFont val="Arial"/>
            <family val="2"/>
          </rPr>
          <t>#31. #1.1.1.3.1.1 #31.</t>
        </r>
      </text>
    </comment>
    <comment ref="B42" authorId="0">
      <text>
        <r>
          <rPr>
            <sz val="8"/>
            <color indexed="8"/>
            <rFont val="Arial"/>
            <family val="2"/>
          </rPr>
          <t>#1.1.1.3.2 #1.1.1.3.2 #1.4.2</t>
        </r>
      </text>
    </comment>
    <comment ref="E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43" authorId="0">
      <text>
        <r>
          <rPr>
            <sz val="8"/>
            <color indexed="8"/>
            <rFont val="Arial"/>
            <family val="2"/>
          </rPr>
          <t>#1.1.1.4 #1.1.1.4 #</t>
        </r>
      </text>
    </comment>
    <comment ref="B44" authorId="0">
      <text>
        <r>
          <rPr>
            <sz val="8"/>
            <color indexed="8"/>
            <rFont val="Arial"/>
            <family val="2"/>
          </rPr>
          <t>#1.1.1.5 #1.1.1.5 #1.6</t>
        </r>
      </text>
    </comment>
    <comment ref="B45" authorId="0">
      <text>
        <r>
          <rPr>
            <sz val="8"/>
            <color indexed="8"/>
            <rFont val="Arial"/>
            <family val="2"/>
          </rPr>
          <t># #1.1.1.5.1 #</t>
        </r>
      </text>
    </comment>
    <comment ref="B46" authorId="0">
      <text>
        <r>
          <rPr>
            <sz val="8"/>
            <color indexed="8"/>
            <rFont val="Arial"/>
            <family val="2"/>
          </rPr>
          <t>#1.1.1.5 #1.1.1.5.2 #1.6</t>
        </r>
      </text>
    </comment>
    <comment ref="B47" authorId="0">
      <text>
        <r>
          <rPr>
            <sz val="8"/>
            <color indexed="8"/>
            <rFont val="Arial"/>
            <family val="2"/>
          </rPr>
          <t>#1.1.1.6 #1.1.1.6 #1.7</t>
        </r>
      </text>
    </comment>
    <comment ref="B48" authorId="0">
      <text>
        <r>
          <rPr>
            <sz val="8"/>
            <color indexed="8"/>
            <rFont val="Arial"/>
            <family val="2"/>
          </rPr>
          <t>#1.1.1.6.1 #1.1.1.6.1 #1.7.2</t>
        </r>
      </text>
    </comment>
    <comment ref="B49" authorId="0">
      <text>
        <r>
          <rPr>
            <sz val="8"/>
            <color indexed="8"/>
            <rFont val="Arial"/>
            <family val="2"/>
          </rPr>
          <t>#1.1.1.6.2 #1.1.1.6.2 #1.7.1</t>
        </r>
      </text>
    </comment>
    <comment ref="B50" authorId="0">
      <text>
        <r>
          <rPr>
            <sz val="8"/>
            <color indexed="8"/>
            <rFont val="Arial"/>
            <family val="2"/>
          </rPr>
          <t>#1.1.1.6.3 #1.1.1.6.3 #</t>
        </r>
      </text>
    </comment>
    <comment ref="B51" authorId="0">
      <text>
        <r>
          <rPr>
            <sz val="8"/>
            <color indexed="8"/>
            <rFont val="Arial"/>
            <family val="2"/>
          </rPr>
          <t>#1.1.1.6.4 #1.1.1.6.4 #</t>
        </r>
      </text>
    </comment>
    <comment ref="B52" authorId="0">
      <text>
        <r>
          <rPr>
            <sz val="8"/>
            <color indexed="8"/>
            <rFont val="Arial"/>
            <family val="2"/>
          </rPr>
          <t>#1.1.1.6.5 #1.1.1.6.5 #1.7.3</t>
        </r>
      </text>
    </comment>
    <comment ref="B53" authorId="0">
      <text>
        <r>
          <rPr>
            <sz val="8"/>
            <color indexed="8"/>
            <rFont val="Arial"/>
            <family val="2"/>
          </rPr>
          <t>#1.1.1.6.6 #1.1.1.6.6 #1.7.4</t>
        </r>
      </text>
    </comment>
    <comment ref="B54" authorId="0">
      <text>
        <r>
          <rPr>
            <sz val="8"/>
            <color indexed="8"/>
            <rFont val="Arial"/>
            <family val="2"/>
          </rPr>
          <t>#1.1.2 #1.1.2 #2</t>
        </r>
      </text>
    </comment>
    <comment ref="B55" authorId="0">
      <text>
        <r>
          <rPr>
            <sz val="8"/>
            <color indexed="8"/>
            <rFont val="Arial"/>
            <family val="2"/>
          </rPr>
          <t>#1.1.2.1 #1.1.2.1 #2.1</t>
        </r>
      </text>
    </comment>
    <comment ref="B56" authorId="0">
      <text>
        <r>
          <rPr>
            <sz val="8"/>
            <color indexed="8"/>
            <rFont val="Arial"/>
            <family val="2"/>
          </rPr>
          <t>#1.1.2.2 #1.1.2.2 #2.2</t>
        </r>
      </text>
    </comment>
    <comment ref="B57" authorId="0">
      <text>
        <r>
          <rPr>
            <sz val="8"/>
            <color indexed="8"/>
            <rFont val="Arial"/>
            <family val="2"/>
          </rPr>
          <t>#1.1.2.3 #1.1.2.3 #2.3</t>
        </r>
      </text>
    </comment>
    <comment ref="B58" authorId="0">
      <text>
        <r>
          <rPr>
            <sz val="8"/>
            <color indexed="8"/>
            <rFont val="Arial"/>
            <family val="2"/>
          </rPr>
          <t>#1.1.2.3.1 #1.1.2.3.1 #2.3.1</t>
        </r>
      </text>
    </comment>
    <comment ref="B59" authorId="0">
      <text>
        <r>
          <rPr>
            <sz val="8"/>
            <color indexed="8"/>
            <rFont val="Arial"/>
            <family val="2"/>
          </rPr>
          <t># #1.1.2.3.1.1 #</t>
        </r>
      </text>
    </comment>
    <comment ref="B60" authorId="0">
      <text>
        <r>
          <rPr>
            <sz val="8"/>
            <color indexed="8"/>
            <rFont val="Arial"/>
            <family val="2"/>
          </rPr>
          <t># #1.1.2.3.1.1.5 #</t>
        </r>
      </text>
    </comment>
    <comment ref="B61" authorId="0">
      <text>
        <r>
          <rPr>
            <sz val="8"/>
            <color indexed="8"/>
            <rFont val="Arial"/>
            <family val="2"/>
          </rPr>
          <t># #1.1.2.3.1.1.1 #</t>
        </r>
      </text>
    </comment>
    <comment ref="B62" authorId="0">
      <text>
        <r>
          <rPr>
            <sz val="8"/>
            <color indexed="8"/>
            <rFont val="Arial"/>
            <family val="2"/>
          </rPr>
          <t># #1.1.2.3.1.1.1.1 #</t>
        </r>
      </text>
    </comment>
    <comment ref="B63" authorId="0">
      <text>
        <r>
          <rPr>
            <sz val="8"/>
            <color indexed="8"/>
            <rFont val="Arial"/>
            <family val="2"/>
          </rPr>
          <t># #1.1.2.3.1.1.1.2 #</t>
        </r>
      </text>
    </comment>
    <comment ref="B64" authorId="0">
      <text>
        <r>
          <rPr>
            <sz val="8"/>
            <color indexed="8"/>
            <rFont val="Arial"/>
            <family val="2"/>
          </rPr>
          <t># #1.1.2.3.1.1.2 #</t>
        </r>
      </text>
    </comment>
    <comment ref="B65" authorId="0">
      <text>
        <r>
          <rPr>
            <sz val="8"/>
            <color indexed="8"/>
            <rFont val="Arial"/>
            <family val="2"/>
          </rPr>
          <t># #1.1.2.3.1.1.3 #</t>
        </r>
      </text>
    </comment>
    <comment ref="B66" authorId="0">
      <text>
        <r>
          <rPr>
            <sz val="8"/>
            <color indexed="8"/>
            <rFont val="Arial"/>
            <family val="2"/>
          </rPr>
          <t># #1.1.2.3.1.1.4 #</t>
        </r>
      </text>
    </comment>
    <comment ref="B67" authorId="0">
      <text>
        <r>
          <rPr>
            <sz val="8"/>
            <color indexed="8"/>
            <rFont val="Arial"/>
            <family val="2"/>
          </rPr>
          <t>#32. #1.1.2.3.1.2 #32.</t>
        </r>
      </text>
    </comment>
    <comment ref="B68" authorId="0">
      <text>
        <r>
          <rPr>
            <sz val="8"/>
            <color indexed="8"/>
            <rFont val="Arial"/>
            <family val="2"/>
          </rPr>
          <t>#1.1.2.3.2 #1.1.2.3.2 #2.3.2</t>
        </r>
      </text>
    </comment>
    <comment ref="E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69" authorId="0">
      <text>
        <r>
          <rPr>
            <sz val="8"/>
            <color indexed="8"/>
            <rFont val="Arial"/>
            <family val="2"/>
          </rPr>
          <t>#1.1.3 #1.1.3 #3</t>
        </r>
      </text>
    </comment>
    <comment ref="B70" authorId="0">
      <text>
        <r>
          <rPr>
            <sz val="8"/>
            <color indexed="8"/>
            <rFont val="Arial"/>
            <family val="2"/>
          </rPr>
          <t>#1.1.3.1 #1.1.3.1 #3.1</t>
        </r>
      </text>
    </comment>
    <comment ref="B71" authorId="0">
      <text>
        <r>
          <rPr>
            <sz val="8"/>
            <color indexed="8"/>
            <rFont val="Arial"/>
            <family val="2"/>
          </rPr>
          <t>#1.1.3.1.1 #1.1.3.1.1 #3.1.1</t>
        </r>
      </text>
    </comment>
    <comment ref="B72" authorId="0">
      <text>
        <r>
          <rPr>
            <sz val="8"/>
            <color indexed="8"/>
            <rFont val="Arial"/>
            <family val="2"/>
          </rPr>
          <t>#1.1.3.1.2 #1.1.3.1.2 #3.1.2</t>
        </r>
      </text>
    </comment>
    <comment ref="B73" authorId="0">
      <text>
        <r>
          <rPr>
            <sz val="8"/>
            <color indexed="8"/>
            <rFont val="Arial"/>
            <family val="2"/>
          </rPr>
          <t>#1.1.3.1.3 #1.1.3.1.3 #3.1.3</t>
        </r>
      </text>
    </comment>
    <comment ref="B74" authorId="0">
      <text>
        <r>
          <rPr>
            <sz val="8"/>
            <color indexed="8"/>
            <rFont val="Arial"/>
            <family val="2"/>
          </rPr>
          <t>#1.1.3.1.4 #1.1.3.1.4 #3.1.4</t>
        </r>
      </text>
    </comment>
    <comment ref="B75" authorId="0">
      <text>
        <r>
          <rPr>
            <sz val="8"/>
            <color indexed="8"/>
            <rFont val="Arial"/>
            <family val="2"/>
          </rPr>
          <t>#1.1.3.1.5 #1.1.3.1.5 #3.1.5</t>
        </r>
      </text>
    </comment>
    <comment ref="B76" authorId="0">
      <text>
        <r>
          <rPr>
            <sz val="8"/>
            <color indexed="8"/>
            <rFont val="Arial"/>
            <family val="2"/>
          </rPr>
          <t>#1.1.3.1.6 #1.1.3.1.6 #3.1.6</t>
        </r>
      </text>
    </comment>
    <comment ref="B77" authorId="0">
      <text>
        <r>
          <rPr>
            <sz val="8"/>
            <color indexed="8"/>
            <rFont val="Arial"/>
            <family val="2"/>
          </rPr>
          <t>#1.1.3.2 #1.1.3.2 #3.2</t>
        </r>
      </text>
    </comment>
    <comment ref="B78" authorId="0">
      <text>
        <r>
          <rPr>
            <sz val="8"/>
            <color indexed="8"/>
            <rFont val="Arial"/>
            <family val="2"/>
          </rPr>
          <t>#1.1.3.2.1 #1.1.3.2.1 #3.2.1</t>
        </r>
      </text>
    </comment>
    <comment ref="B79" authorId="0">
      <text>
        <r>
          <rPr>
            <sz val="8"/>
            <color indexed="8"/>
            <rFont val="Arial"/>
            <family val="2"/>
          </rPr>
          <t># #1.1.3.2.1.1 #</t>
        </r>
      </text>
    </comment>
    <comment ref="B80" authorId="0">
      <text>
        <r>
          <rPr>
            <sz val="8"/>
            <color indexed="8"/>
            <rFont val="Arial"/>
            <family val="2"/>
          </rPr>
          <t># #1.1.3.2.1.1.2 #</t>
        </r>
      </text>
    </comment>
    <comment ref="B81" authorId="0">
      <text>
        <r>
          <rPr>
            <sz val="8"/>
            <color indexed="8"/>
            <rFont val="Arial"/>
            <family val="2"/>
          </rPr>
          <t># #1.1.3.2.1.1.5 #</t>
        </r>
      </text>
    </comment>
    <comment ref="B82" authorId="0">
      <text>
        <r>
          <rPr>
            <sz val="8"/>
            <color indexed="8"/>
            <rFont val="Arial"/>
            <family val="2"/>
          </rPr>
          <t># #1.1.3.2.1.1.1 #</t>
        </r>
      </text>
    </comment>
    <comment ref="B83" authorId="0">
      <text>
        <r>
          <rPr>
            <sz val="8"/>
            <color indexed="8"/>
            <rFont val="Arial"/>
            <family val="2"/>
          </rPr>
          <t># #1.1.3.2.1.1.1.1 #</t>
        </r>
      </text>
    </comment>
    <comment ref="B84" authorId="0">
      <text>
        <r>
          <rPr>
            <sz val="8"/>
            <color indexed="8"/>
            <rFont val="Arial"/>
            <family val="2"/>
          </rPr>
          <t># #1.1.3.2.1.1.1.2 #</t>
        </r>
      </text>
    </comment>
    <comment ref="B85" authorId="0">
      <text>
        <r>
          <rPr>
            <sz val="8"/>
            <color indexed="8"/>
            <rFont val="Arial"/>
            <family val="2"/>
          </rPr>
          <t># #1.1.3.2.1.1.3 #</t>
        </r>
      </text>
    </comment>
    <comment ref="B86" authorId="0">
      <text>
        <r>
          <rPr>
            <sz val="8"/>
            <color indexed="8"/>
            <rFont val="Arial"/>
            <family val="2"/>
          </rPr>
          <t># #1.1.3.2.1.1.4 #</t>
        </r>
      </text>
    </comment>
    <comment ref="B87" authorId="0">
      <text>
        <r>
          <rPr>
            <sz val="8"/>
            <color indexed="8"/>
            <rFont val="Arial"/>
            <family val="2"/>
          </rPr>
          <t>#33. #1.1.3.2.1.2 #33.</t>
        </r>
      </text>
    </comment>
    <comment ref="B88" authorId="0">
      <text>
        <r>
          <rPr>
            <sz val="8"/>
            <color indexed="8"/>
            <rFont val="Arial"/>
            <family val="2"/>
          </rPr>
          <t>#1.1.3.2.2 #1.1.3.2.2 #3.2.2</t>
        </r>
      </text>
    </comment>
    <comment ref="E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89" authorId="0">
      <text>
        <r>
          <rPr>
            <sz val="8"/>
            <color indexed="8"/>
            <rFont val="Arial"/>
            <family val="2"/>
          </rPr>
          <t>#1.1.3.3 #1.1.3.3 #3.3</t>
        </r>
      </text>
    </comment>
    <comment ref="B90" authorId="0">
      <text>
        <r>
          <rPr>
            <sz val="8"/>
            <color indexed="8"/>
            <rFont val="Arial"/>
            <family val="2"/>
          </rPr>
          <t>#1.1.3.4 #1.1.3.4 #3.4</t>
        </r>
      </text>
    </comment>
    <comment ref="B91" authorId="0">
      <text>
        <r>
          <rPr>
            <sz val="8"/>
            <color indexed="8"/>
            <rFont val="Arial"/>
            <family val="2"/>
          </rPr>
          <t>#1.1.3.5 #1.1.3.5 #3.5</t>
        </r>
      </text>
    </comment>
    <comment ref="B92" authorId="0">
      <text>
        <r>
          <rPr>
            <sz val="8"/>
            <color indexed="8"/>
            <rFont val="Arial"/>
            <family val="2"/>
          </rPr>
          <t>#1.1.3.6 #1.1.3.6 #3.6</t>
        </r>
      </text>
    </comment>
    <comment ref="B93" authorId="0">
      <text>
        <r>
          <rPr>
            <sz val="8"/>
            <color indexed="8"/>
            <rFont val="Arial"/>
            <family val="2"/>
          </rPr>
          <t>#1.1.3.7 #1.1.3.7 #3.7</t>
        </r>
      </text>
    </comment>
    <comment ref="B94" authorId="0">
      <text>
        <r>
          <rPr>
            <sz val="8"/>
            <color indexed="8"/>
            <rFont val="Arial"/>
            <family val="2"/>
          </rPr>
          <t>#1.1.3.7.1 #1.1.3.7.1 #3.7.1</t>
        </r>
      </text>
    </comment>
    <comment ref="B95" authorId="0">
      <text>
        <r>
          <rPr>
            <sz val="8"/>
            <color indexed="8"/>
            <rFont val="Arial"/>
            <family val="2"/>
          </rPr>
          <t>#1.1.3.7.2 #1.1.3.7.2 #3.7.2</t>
        </r>
      </text>
    </comment>
    <comment ref="B96" authorId="0">
      <text>
        <r>
          <rPr>
            <sz val="8"/>
            <rFont val="Arial"/>
            <family val="2"/>
            <charset val="204"/>
          </rPr>
          <t>#1.1.4 #1.1.4 #4.</t>
        </r>
      </text>
    </comment>
    <comment ref="B97" authorId="0">
      <text>
        <r>
          <rPr>
            <sz val="8"/>
            <rFont val="Arial"/>
            <family val="2"/>
            <charset val="204"/>
          </rPr>
          <t>#1.1.4.2 #1.1.4.2 #1.1.4.2</t>
        </r>
      </text>
    </comment>
    <comment ref="B98" authorId="0">
      <text>
        <r>
          <rPr>
            <sz val="8"/>
            <rFont val="Arial"/>
            <family val="2"/>
            <charset val="204"/>
          </rPr>
          <t>#1.1.4.3 #1.1.4.3 #1.1.4.3</t>
        </r>
      </text>
    </comment>
    <comment ref="B99" authorId="0">
      <text>
        <r>
          <rPr>
            <sz val="8"/>
            <rFont val="Arial"/>
            <family val="2"/>
            <charset val="204"/>
          </rPr>
          <t>#1.1.4.3.1 #1.1.4.3.1 #1.1.4.3.1</t>
        </r>
      </text>
    </comment>
    <comment ref="B100" authorId="0">
      <text>
        <r>
          <rPr>
            <sz val="8"/>
            <rFont val="Arial"/>
            <family val="2"/>
            <charset val="204"/>
          </rPr>
          <t>#1.1.4.3.2 #1.1.4.3.2 #1.1.4.3.2</t>
        </r>
      </text>
    </comment>
    <comment ref="B101" authorId="0">
      <text>
        <r>
          <rPr>
            <sz val="8"/>
            <rFont val="Arial"/>
            <family val="2"/>
            <charset val="204"/>
          </rPr>
          <t>#1.1.4.3.3 #1.1.4.3.3 #1.1.4.3.3</t>
        </r>
      </text>
    </comment>
    <comment ref="B102" authorId="0">
      <text>
        <r>
          <rPr>
            <sz val="8"/>
            <rFont val="Arial"/>
            <family val="2"/>
            <charset val="204"/>
          </rPr>
          <t>#1.1.4.4 #1.1.4.4 #1.1.4.4</t>
        </r>
      </text>
    </comment>
    <comment ref="B103" authorId="0">
      <text>
        <r>
          <rPr>
            <sz val="8"/>
            <rFont val="Arial"/>
            <family val="2"/>
            <charset val="204"/>
          </rPr>
          <t>#1.1.4.5 #1.1.4.5 #1.1.4.5</t>
        </r>
      </text>
    </comment>
    <comment ref="B104" authorId="0">
      <text>
        <r>
          <rPr>
            <sz val="8"/>
            <rFont val="Arial"/>
            <family val="2"/>
            <charset val="204"/>
          </rPr>
          <t>#1.1.4.6 #1.1.4.6 #1.1.4.6</t>
        </r>
      </text>
    </comment>
    <comment ref="B105" authorId="0">
      <text>
        <r>
          <rPr>
            <sz val="8"/>
            <rFont val="Arial"/>
            <family val="2"/>
            <charset val="204"/>
          </rPr>
          <t>#1.1.4.7 #1.1.4.7 #1.1.4.7</t>
        </r>
      </text>
    </comment>
    <comment ref="B106" authorId="0">
      <text>
        <r>
          <rPr>
            <sz val="8"/>
            <rFont val="Arial"/>
            <family val="2"/>
            <charset val="204"/>
          </rPr>
          <t>#1.1.4.7.1 #1.1.4.7.1 #1.1.4.7.1</t>
        </r>
      </text>
    </comment>
    <comment ref="B107" authorId="0">
      <text>
        <r>
          <rPr>
            <sz val="8"/>
            <rFont val="Arial"/>
            <family val="2"/>
            <charset val="204"/>
          </rPr>
          <t>#1.1.4.7.2 #1.1.4.7.2 #1.1.4.7.2</t>
        </r>
      </text>
    </comment>
    <comment ref="B108" authorId="0">
      <text>
        <r>
          <rPr>
            <sz val="8"/>
            <rFont val="Arial"/>
            <family val="2"/>
            <charset val="204"/>
          </rPr>
          <t>#1.1.4.7.3 #1.1.4.7.3 #1.1.4.7.3</t>
        </r>
      </text>
    </comment>
    <comment ref="B109" authorId="0">
      <text>
        <r>
          <rPr>
            <sz val="8"/>
            <rFont val="Arial"/>
            <family val="2"/>
            <charset val="204"/>
          </rPr>
          <t>#1.1.4.7.4 #1.1.4.7.4 #1.1.4.7.4</t>
        </r>
      </text>
    </comment>
    <comment ref="B110" authorId="0">
      <text>
        <r>
          <rPr>
            <sz val="8"/>
            <rFont val="Arial"/>
            <family val="2"/>
            <charset val="204"/>
          </rPr>
          <t>#1.1.4.7.6 #1.1.4.7.6 #1.1.4.7.6</t>
        </r>
      </text>
    </comment>
    <comment ref="B111" authorId="0">
      <text>
        <r>
          <rPr>
            <sz val="8"/>
            <rFont val="Arial"/>
            <family val="2"/>
            <charset val="204"/>
          </rPr>
          <t>#1.1.4.7.7 #1.1.4.7.7 #1.1.4.7.7</t>
        </r>
      </text>
    </comment>
    <comment ref="B112" authorId="0">
      <text>
        <r>
          <rPr>
            <sz val="8"/>
            <rFont val="Arial"/>
            <family val="2"/>
            <charset val="204"/>
          </rPr>
          <t>#1.1.4.7.5 #1.1.4.7.5 #1.1.4.7.5</t>
        </r>
      </text>
    </comment>
    <comment ref="B113" authorId="0">
      <text>
        <r>
          <rPr>
            <sz val="8"/>
            <rFont val="Arial"/>
            <family val="2"/>
            <charset val="204"/>
          </rPr>
          <t>#1.1.4.8 #1.1.4.8 #1.1.4.8</t>
        </r>
      </text>
    </comment>
    <comment ref="B114" authorId="0">
      <text>
        <r>
          <rPr>
            <sz val="8"/>
            <rFont val="Arial"/>
            <family val="2"/>
            <charset val="204"/>
          </rPr>
          <t>#1.1.4.8.1 #1.1.4.8.1 #1.1.4.8.1</t>
        </r>
      </text>
    </comment>
    <comment ref="B115" authorId="0">
      <text>
        <r>
          <rPr>
            <sz val="8"/>
            <rFont val="Arial"/>
            <family val="2"/>
            <charset val="204"/>
          </rPr>
          <t>#1.1.4.8.1.1 #1.1.4.8.1.1 #1.1.4.8.1.1</t>
        </r>
      </text>
    </comment>
    <comment ref="B116" authorId="0">
      <text>
        <r>
          <rPr>
            <sz val="8"/>
            <rFont val="Arial"/>
            <family val="2"/>
            <charset val="204"/>
          </rPr>
          <t># #1.1.4.8.1.1.2 #</t>
        </r>
      </text>
    </comment>
    <comment ref="B117" authorId="0">
      <text>
        <r>
          <rPr>
            <sz val="8"/>
            <rFont val="Arial"/>
            <family val="2"/>
            <charset val="204"/>
          </rPr>
          <t>#1.1.4.8.1.1.5 #1.1.4.8.1.1.5 #1.1.4.8.1.1.5</t>
        </r>
      </text>
    </comment>
    <comment ref="B118" authorId="0">
      <text>
        <r>
          <rPr>
            <sz val="8"/>
            <rFont val="Arial"/>
            <family val="2"/>
            <charset val="204"/>
          </rPr>
          <t>#1.1.4.8.1.1.1 #1.1.4.8.1.1.1 #1.1.4.8.1.1.1</t>
        </r>
      </text>
    </comment>
    <comment ref="B119" authorId="0">
      <text>
        <r>
          <rPr>
            <sz val="8"/>
            <rFont val="Arial"/>
            <family val="2"/>
            <charset val="204"/>
          </rPr>
          <t>#1.1.4.8.1.1.1.1 #1.1.4.8.1.1.1.1 #1.1.4.8.1.1.1.1</t>
        </r>
      </text>
    </comment>
    <comment ref="B120" authorId="0">
      <text>
        <r>
          <rPr>
            <sz val="8"/>
            <rFont val="Arial"/>
            <family val="2"/>
            <charset val="204"/>
          </rPr>
          <t>#1.1.4.8.1.1.1.2 #1.1.4.8.1.1.1.2 #1.1.4.8.1.1.1.2</t>
        </r>
      </text>
    </comment>
    <comment ref="B121" authorId="0">
      <text>
        <r>
          <rPr>
            <sz val="8"/>
            <rFont val="Arial"/>
            <family val="2"/>
            <charset val="204"/>
          </rPr>
          <t>#1.1.4.8.1.9 #1.1.4.8.1.9 #1.1.4.8.1.9</t>
        </r>
      </text>
    </comment>
    <comment ref="B122" authorId="0">
      <text>
        <r>
          <rPr>
            <sz val="8"/>
            <rFont val="Arial"/>
            <family val="2"/>
            <charset val="204"/>
          </rPr>
          <t>#1.1.4.8.1.10 #1.1.4.8.1.10 #1.1.4.8.1.10</t>
        </r>
      </text>
    </comment>
    <comment ref="B123" authorId="0">
      <text>
        <r>
          <rPr>
            <sz val="8"/>
            <rFont val="Arial"/>
            <family val="2"/>
            <charset val="204"/>
          </rPr>
          <t>#1.1.4.8.1.2 #1.1.4.8.1.2 #1.1.4.8.1.2</t>
        </r>
      </text>
    </comment>
    <comment ref="B124" authorId="0">
      <text>
        <r>
          <rPr>
            <sz val="8"/>
            <rFont val="Arial"/>
            <family val="2"/>
            <charset val="204"/>
          </rPr>
          <t>#1.1.4.8.2 #1.1.4.8.2 #1.1.4.8.2</t>
        </r>
      </text>
    </comment>
    <comment ref="E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F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H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I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K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L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25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6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7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8" authorId="0">
      <text>
        <r>
          <rPr>
            <sz val="8"/>
            <color indexed="8"/>
            <rFont val="Arial"/>
            <family val="2"/>
          </rPr>
          <t>#30. #20.3 #30.</t>
        </r>
      </text>
    </comment>
    <comment ref="B129" authorId="0">
      <text>
        <r>
          <rPr>
            <sz val="8"/>
            <color indexed="8"/>
            <rFont val="Arial"/>
            <family val="2"/>
          </rPr>
          <t>#26. #20.4 #26.</t>
        </r>
      </text>
    </comment>
    <comment ref="B13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1" authorId="0">
      <text>
        <r>
          <rPr>
            <sz val="8"/>
            <color indexed="8"/>
            <rFont val="Arial"/>
            <family val="2"/>
          </rPr>
          <t>#3.1.2 #20.5 #</t>
        </r>
      </text>
    </comment>
    <comment ref="B132" authorId="0">
      <text>
        <r>
          <rPr>
            <sz val="8"/>
            <color indexed="8"/>
            <rFont val="Arial"/>
            <family val="2"/>
          </rPr>
          <t>#5.3 #20.6 #</t>
        </r>
      </text>
    </comment>
    <comment ref="B13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4" authorId="0">
      <text>
        <r>
          <rPr>
            <sz val="8"/>
            <color indexed="8"/>
            <rFont val="Arial"/>
            <family val="2"/>
          </rPr>
          <t>#3.1.3 #20.7 #</t>
        </r>
      </text>
    </comment>
    <comment ref="B135" authorId="0">
      <text>
        <r>
          <rPr>
            <sz val="8"/>
            <color indexed="8"/>
            <rFont val="Arial"/>
            <family val="2"/>
          </rPr>
          <t>#5.4 #20.8 #</t>
        </r>
      </text>
    </comment>
    <comment ref="B13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7" authorId="0">
      <text>
        <r>
          <rPr>
            <sz val="8"/>
            <color indexed="8"/>
            <rFont val="Arial"/>
            <family val="2"/>
          </rPr>
          <t>#3.1.4 #20.9 #</t>
        </r>
      </text>
    </comment>
    <comment ref="B138" authorId="0">
      <text>
        <r>
          <rPr>
            <sz val="8"/>
            <color indexed="8"/>
            <rFont val="Arial"/>
            <family val="2"/>
          </rPr>
          <t>#5.5 #20.11 #</t>
        </r>
      </text>
    </comment>
    <comment ref="B13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0" authorId="0">
      <text>
        <r>
          <rPr>
            <sz val="8"/>
            <color indexed="8"/>
            <rFont val="Arial"/>
            <family val="2"/>
          </rPr>
          <t>#3.1.5 #20.12 #</t>
        </r>
      </text>
    </comment>
    <comment ref="B141" authorId="0">
      <text>
        <r>
          <rPr>
            <sz val="8"/>
            <color indexed="8"/>
            <rFont val="Arial"/>
            <family val="2"/>
          </rPr>
          <t>#6 #20.13 #</t>
        </r>
      </text>
    </comment>
    <comment ref="B14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5" authorId="0">
      <text>
        <r>
          <rPr>
            <sz val="8"/>
            <color indexed="8"/>
            <rFont val="Arial"/>
            <family val="2"/>
          </rPr>
          <t># #20.14 #</t>
        </r>
      </text>
    </comment>
    <comment ref="B146" authorId="0">
      <text>
        <r>
          <rPr>
            <sz val="8"/>
            <color indexed="8"/>
            <rFont val="Arial"/>
            <family val="2"/>
          </rPr>
          <t># #20.15 #</t>
        </r>
      </text>
    </comment>
    <comment ref="B14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8" authorId="0">
      <text>
        <r>
          <rPr>
            <sz val="8"/>
            <color indexed="8"/>
            <rFont val="Arial"/>
            <family val="2"/>
          </rPr>
          <t># #20.16 #</t>
        </r>
      </text>
    </comment>
    <comment ref="B149" authorId="0">
      <text>
        <r>
          <rPr>
            <sz val="8"/>
            <color indexed="8"/>
            <rFont val="Arial"/>
            <family val="2"/>
          </rPr>
          <t># #20.17 #</t>
        </r>
      </text>
    </comment>
    <comment ref="B15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1" authorId="0">
      <text>
        <r>
          <rPr>
            <sz val="8"/>
            <color indexed="8"/>
            <rFont val="Arial"/>
            <family val="2"/>
          </rPr>
          <t># #20.18 #</t>
        </r>
      </text>
    </comment>
    <comment ref="B152" authorId="0">
      <text>
        <r>
          <rPr>
            <sz val="8"/>
            <color indexed="8"/>
            <rFont val="Arial"/>
            <family val="2"/>
          </rPr>
          <t># #20.19 #</t>
        </r>
      </text>
    </comment>
    <comment ref="B15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4" authorId="0">
      <text>
        <r>
          <rPr>
            <sz val="8"/>
            <color indexed="8"/>
            <rFont val="Arial"/>
            <family val="2"/>
          </rPr>
          <t># #30.1 #</t>
        </r>
      </text>
    </comment>
    <comment ref="B155" authorId="0">
      <text>
        <r>
          <rPr>
            <sz val="8"/>
            <color indexed="8"/>
            <rFont val="Arial"/>
            <family val="2"/>
          </rPr>
          <t># #30.2 #</t>
        </r>
      </text>
    </comment>
    <comment ref="B15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7" authorId="0">
      <text>
        <r>
          <rPr>
            <sz val="8"/>
            <color indexed="8"/>
            <rFont val="Arial"/>
            <family val="2"/>
          </rPr>
          <t># #30.3 #</t>
        </r>
      </text>
    </comment>
    <comment ref="B158" authorId="0">
      <text>
        <r>
          <rPr>
            <sz val="8"/>
            <color indexed="8"/>
            <rFont val="Arial"/>
            <family val="2"/>
          </rPr>
          <t># #30.4 #</t>
        </r>
      </text>
    </comment>
    <comment ref="B15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1" authorId="0">
      <text>
        <r>
          <rPr>
            <sz val="8"/>
            <color indexed="8"/>
            <rFont val="Arial"/>
            <family val="2"/>
          </rPr>
          <t># #30.5 #</t>
        </r>
      </text>
    </comment>
    <comment ref="B162" authorId="0">
      <text>
        <r>
          <rPr>
            <sz val="8"/>
            <color indexed="8"/>
            <rFont val="Arial"/>
            <family val="2"/>
          </rPr>
          <t># #30.6 #</t>
        </r>
      </text>
    </comment>
    <comment ref="B16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4" authorId="0">
      <text>
        <r>
          <rPr>
            <sz val="8"/>
            <color indexed="8"/>
            <rFont val="Arial"/>
            <family val="2"/>
          </rPr>
          <t># #30.7 #</t>
        </r>
      </text>
    </comment>
    <comment ref="B165" authorId="0">
      <text>
        <r>
          <rPr>
            <sz val="8"/>
            <color indexed="8"/>
            <rFont val="Arial"/>
            <family val="2"/>
          </rPr>
          <t># #30.8 #</t>
        </r>
      </text>
    </comment>
    <comment ref="B16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7" authorId="0">
      <text>
        <r>
          <rPr>
            <sz val="8"/>
            <color indexed="8"/>
            <rFont val="Arial"/>
            <family val="2"/>
          </rPr>
          <t># #30.9 #</t>
        </r>
      </text>
    </comment>
    <comment ref="B168" authorId="0">
      <text>
        <r>
          <rPr>
            <sz val="8"/>
            <color indexed="8"/>
            <rFont val="Arial"/>
            <family val="2"/>
          </rPr>
          <t># #30.11 #</t>
        </r>
      </text>
    </comment>
    <comment ref="B16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70" authorId="0">
      <text>
        <r>
          <rPr>
            <sz val="8"/>
            <color indexed="8"/>
            <rFont val="Arial"/>
            <family val="2"/>
          </rPr>
          <t># #30.12 #</t>
        </r>
      </text>
    </comment>
    <comment ref="B171" authorId="0">
      <text>
        <r>
          <rPr>
            <sz val="8"/>
            <color indexed="8"/>
            <rFont val="Arial"/>
            <family val="2"/>
          </rPr>
          <t># #30.13 #</t>
        </r>
      </text>
    </comment>
    <comment ref="B17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73" authorId="0">
      <text>
        <r>
          <rPr>
            <sz val="8"/>
            <color indexed="8"/>
            <rFont val="Arial"/>
            <family val="2"/>
          </rPr>
          <t># #30.14 #</t>
        </r>
      </text>
    </comment>
    <comment ref="B174" authorId="0">
      <text>
        <r>
          <rPr>
            <sz val="8"/>
            <color indexed="8"/>
            <rFont val="Arial"/>
            <family val="2"/>
          </rPr>
          <t># #30.15 #</t>
        </r>
      </text>
    </comment>
    <comment ref="B175" authorId="0">
      <text>
        <r>
          <rPr>
            <sz val="8"/>
            <color indexed="8"/>
            <rFont val="Arial"/>
            <family val="2"/>
          </rPr>
          <t>#1.3 #1.3 #</t>
        </r>
      </text>
    </comment>
    <comment ref="B176" authorId="0">
      <text>
        <r>
          <rPr>
            <sz val="8"/>
            <color indexed="8"/>
            <rFont val="Arial"/>
            <family val="2"/>
          </rPr>
          <t>#1.3.1 #1.3.1 #1.2</t>
        </r>
      </text>
    </comment>
    <comment ref="B177" authorId="0">
      <text>
        <r>
          <rPr>
            <sz val="8"/>
            <color indexed="8"/>
            <rFont val="Arial"/>
            <family val="2"/>
          </rPr>
          <t># #1.3.1.3 #</t>
        </r>
      </text>
    </comment>
    <comment ref="B178" authorId="0">
      <text>
        <r>
          <rPr>
            <sz val="8"/>
            <color indexed="8"/>
            <rFont val="Arial"/>
            <family val="2"/>
          </rPr>
          <t># #1.3.1.3.1 #</t>
        </r>
      </text>
    </comment>
    <comment ref="B179" authorId="0">
      <text>
        <r>
          <rPr>
            <sz val="8"/>
            <color indexed="8"/>
            <rFont val="Arial"/>
            <family val="2"/>
          </rPr>
          <t># #1.3.1.3.1.1 #</t>
        </r>
      </text>
    </comment>
    <comment ref="B180" authorId="0">
      <text>
        <r>
          <rPr>
            <sz val="8"/>
            <color indexed="8"/>
            <rFont val="Arial"/>
            <family val="2"/>
          </rPr>
          <t># #1.3.1.3.1.2 #</t>
        </r>
      </text>
    </comment>
    <comment ref="N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Q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8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1" authorId="0">
      <text>
        <r>
          <rPr>
            <sz val="8"/>
            <color indexed="8"/>
            <rFont val="Arial"/>
            <family val="2"/>
          </rPr>
          <t># #1.3.1.3.2 #</t>
        </r>
      </text>
    </comment>
    <comment ref="B182" authorId="0">
      <text>
        <r>
          <rPr>
            <sz val="8"/>
            <color indexed="8"/>
            <rFont val="Arial"/>
            <family val="2"/>
          </rPr>
          <t># #1.3.1.3.2.1 #</t>
        </r>
      </text>
    </comment>
    <comment ref="B183" authorId="0">
      <text>
        <r>
          <rPr>
            <sz val="8"/>
            <color indexed="8"/>
            <rFont val="Arial"/>
            <family val="2"/>
          </rPr>
          <t># #1.3.1.3.2.2 #</t>
        </r>
      </text>
    </comment>
    <comment ref="B184" authorId="0">
      <text>
        <r>
          <rPr>
            <sz val="8"/>
            <color indexed="8"/>
            <rFont val="Arial"/>
            <family val="2"/>
          </rPr>
          <t># #1.3.1.3.3 #</t>
        </r>
      </text>
    </comment>
    <comment ref="B185" authorId="0">
      <text>
        <r>
          <rPr>
            <sz val="8"/>
            <color indexed="8"/>
            <rFont val="Arial"/>
            <family val="2"/>
          </rPr>
          <t># #1.3.1.3.3.1 #</t>
        </r>
      </text>
    </comment>
    <comment ref="B186" authorId="0">
      <text>
        <r>
          <rPr>
            <sz val="8"/>
            <color indexed="8"/>
            <rFont val="Arial"/>
            <family val="2"/>
          </rPr>
          <t># #1.3.1.3.3.2 #</t>
        </r>
      </text>
    </comment>
    <comment ref="B187" authorId="0">
      <text>
        <r>
          <rPr>
            <sz val="8"/>
            <color indexed="8"/>
            <rFont val="Arial"/>
            <family val="2"/>
          </rPr>
          <t>#1.3.1.3 #1.3.1.3.4 #1.2.4</t>
        </r>
      </text>
    </comment>
    <comment ref="B188" authorId="0">
      <text>
        <r>
          <rPr>
            <sz val="8"/>
            <color indexed="8"/>
            <rFont val="Arial"/>
            <family val="2"/>
          </rPr>
          <t>#1.3.1.1 #1.3.1.1 #1.2.2</t>
        </r>
      </text>
    </comment>
    <comment ref="B189" authorId="0">
      <text>
        <r>
          <rPr>
            <sz val="8"/>
            <color indexed="8"/>
            <rFont val="Arial"/>
            <family val="2"/>
          </rPr>
          <t>#44. #30.16 #44.</t>
        </r>
      </text>
    </comment>
    <comment ref="B190" authorId="0">
      <text>
        <r>
          <rPr>
            <sz val="8"/>
            <color indexed="8"/>
            <rFont val="Arial"/>
            <family val="2"/>
          </rPr>
          <t>#43. #30.17 #43.</t>
        </r>
      </text>
    </comment>
    <comment ref="N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Q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190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91" authorId="0">
      <text>
        <r>
          <rPr>
            <sz val="8"/>
            <color indexed="8"/>
            <rFont val="Arial"/>
            <family val="2"/>
          </rPr>
          <t>#1.3.1.2 #1.3.1.2 #1.2.3</t>
        </r>
      </text>
    </comment>
    <comment ref="B192" authorId="0">
      <text>
        <r>
          <rPr>
            <sz val="8"/>
            <color indexed="8"/>
            <rFont val="Arial"/>
            <family val="2"/>
          </rPr>
          <t>#1.3.1.4 #1.3.1.4 #</t>
        </r>
      </text>
    </comment>
    <comment ref="B193" authorId="0">
      <text>
        <r>
          <rPr>
            <sz val="8"/>
            <color indexed="8"/>
            <rFont val="Arial"/>
            <family val="2"/>
          </rPr>
          <t>#38. #1.3.1.4.1 #</t>
        </r>
      </text>
    </comment>
    <comment ref="B194" authorId="0">
      <text>
        <r>
          <rPr>
            <sz val="8"/>
            <color indexed="8"/>
            <rFont val="Arial"/>
            <family val="2"/>
          </rPr>
          <t>#37. #1.3.1.4.2 #</t>
        </r>
      </text>
    </comment>
    <comment ref="B195" authorId="0">
      <text>
        <r>
          <rPr>
            <sz val="8"/>
            <color indexed="8"/>
            <rFont val="Arial"/>
            <family val="2"/>
          </rPr>
          <t>#1.3.1.5 #1.3.1.5 #1.2.5</t>
        </r>
      </text>
    </comment>
    <comment ref="B196" authorId="0">
      <text>
        <r>
          <rPr>
            <sz val="8"/>
            <color indexed="8"/>
            <rFont val="Arial"/>
            <family val="2"/>
          </rPr>
          <t>#46. #1.2.5.2 #46.</t>
        </r>
      </text>
    </comment>
    <comment ref="B197" authorId="0">
      <text>
        <r>
          <rPr>
            <sz val="8"/>
            <color indexed="8"/>
            <rFont val="Arial"/>
            <family val="2"/>
          </rPr>
          <t>#45. #1.2.5.1 #45.</t>
        </r>
      </text>
    </comment>
    <comment ref="B198" authorId="0">
      <text>
        <r>
          <rPr>
            <sz val="8"/>
            <color indexed="8"/>
            <rFont val="Arial"/>
            <family val="2"/>
          </rPr>
          <t>#1.3.1.8 #1.3.1.7 #</t>
        </r>
      </text>
    </comment>
    <comment ref="B199" authorId="0">
      <text>
        <r>
          <rPr>
            <sz val="8"/>
            <color indexed="8"/>
            <rFont val="Arial"/>
            <family val="2"/>
          </rPr>
          <t>#1.3.1.9 #1.3.1.8 #</t>
        </r>
      </text>
    </comment>
    <comment ref="B200" authorId="0">
      <text>
        <r>
          <rPr>
            <sz val="8"/>
            <color indexed="8"/>
            <rFont val="Arial"/>
            <family val="2"/>
          </rPr>
          <t>#1.3.1.10 #1.3.1.9 #</t>
        </r>
      </text>
    </comment>
    <comment ref="B201" authorId="0">
      <text>
        <r>
          <rPr>
            <sz val="8"/>
            <color indexed="8"/>
            <rFont val="Arial"/>
            <family val="2"/>
          </rPr>
          <t>#1.3.1.11 #1.3.1.11 #</t>
        </r>
      </text>
    </comment>
    <comment ref="B202" authorId="0">
      <text>
        <r>
          <rPr>
            <sz val="8"/>
            <color indexed="8"/>
            <rFont val="Arial"/>
            <family val="2"/>
          </rPr>
          <t>#42. #1.3.1.11.1 #42.</t>
        </r>
      </text>
    </comment>
    <comment ref="B203" authorId="0">
      <text>
        <r>
          <rPr>
            <sz val="8"/>
            <color indexed="8"/>
            <rFont val="Arial"/>
            <family val="2"/>
          </rPr>
          <t>#41. #1.3.1.11.2 #41.</t>
        </r>
      </text>
    </comment>
    <comment ref="N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Q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3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4" authorId="0">
      <text>
        <r>
          <rPr>
            <sz val="8"/>
            <color indexed="8"/>
            <rFont val="Arial"/>
            <family val="2"/>
          </rPr>
          <t>#1.3.1.12 #1.3.1.12 #</t>
        </r>
      </text>
    </comment>
    <comment ref="B205" authorId="0">
      <text>
        <r>
          <rPr>
            <sz val="8"/>
            <color indexed="8"/>
            <rFont val="Arial"/>
            <family val="2"/>
          </rPr>
          <t>#40. #1.3.1.12.1 #</t>
        </r>
      </text>
    </comment>
    <comment ref="B206" authorId="0">
      <text>
        <r>
          <rPr>
            <sz val="8"/>
            <color indexed="8"/>
            <rFont val="Arial"/>
            <family val="2"/>
          </rPr>
          <t>#39. #1.3.1.12.2 #</t>
        </r>
      </text>
    </comment>
    <comment ref="N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Q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T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W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Z206" authorId="1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208" authorId="0">
      <text>
        <r>
          <rPr>
            <sz val="8"/>
            <color indexed="8"/>
            <rFont val="Arial"/>
            <family val="2"/>
          </rPr>
          <t>#1.3.2 #1.3.2 #7.</t>
        </r>
      </text>
    </comment>
    <comment ref="B209" authorId="0">
      <text>
        <r>
          <rPr>
            <sz val="8"/>
            <color indexed="8"/>
            <rFont val="Arial"/>
            <family val="2"/>
          </rPr>
          <t>#1.3.2.1 #1.3.2.1 #7.1</t>
        </r>
      </text>
    </comment>
    <comment ref="B210" authorId="0">
      <text>
        <r>
          <rPr>
            <sz val="8"/>
            <color indexed="8"/>
            <rFont val="Arial"/>
            <family val="2"/>
          </rPr>
          <t>#1.3.2.2 #1.3.2.2 #7.2</t>
        </r>
      </text>
    </comment>
    <comment ref="B211" authorId="0">
      <text>
        <r>
          <rPr>
            <sz val="8"/>
            <color indexed="8"/>
            <rFont val="Arial"/>
            <family val="2"/>
          </rPr>
          <t>#1.3.2.3 #1.3.2.3 #7.5</t>
        </r>
      </text>
    </comment>
    <comment ref="B212" authorId="0">
      <text>
        <r>
          <rPr>
            <sz val="8"/>
            <color indexed="8"/>
            <rFont val="Arial"/>
            <family val="2"/>
          </rPr>
          <t>#1.3.2.4 #1.3.2.4 #7.4</t>
        </r>
      </text>
    </comment>
    <comment ref="B213" authorId="0">
      <text>
        <r>
          <rPr>
            <sz val="8"/>
            <color indexed="8"/>
            <rFont val="Arial"/>
            <family val="2"/>
          </rPr>
          <t>#1.3.2.4.1 #1.3.2.4.1 #7.4</t>
        </r>
      </text>
    </comment>
    <comment ref="B214" authorId="0">
      <text>
        <r>
          <rPr>
            <sz val="8"/>
            <color indexed="8"/>
            <rFont val="Arial"/>
            <family val="2"/>
          </rPr>
          <t>#1.3.2.5 #1.3.2.4.2 #</t>
        </r>
      </text>
    </comment>
    <comment ref="B215" authorId="0">
      <text>
        <r>
          <rPr>
            <sz val="8"/>
            <color indexed="8"/>
            <rFont val="Arial"/>
            <family val="2"/>
          </rPr>
          <t>#1.3.2.6 #1.3.2.6 #7.6</t>
        </r>
      </text>
    </comment>
    <comment ref="B216" authorId="0">
      <text>
        <r>
          <rPr>
            <sz val="8"/>
            <color indexed="8"/>
            <rFont val="Arial"/>
            <family val="2"/>
          </rPr>
          <t>#1.3.2.7 #1.3.2.7 #7.3</t>
        </r>
      </text>
    </comment>
    <comment ref="B217" authorId="0">
      <text>
        <r>
          <rPr>
            <sz val="8"/>
            <color indexed="8"/>
            <rFont val="Arial"/>
            <family val="2"/>
          </rPr>
          <t>#1.3.2.8 #1.3.2.8 #7.7</t>
        </r>
      </text>
    </comment>
    <comment ref="B218" authorId="0">
      <text>
        <r>
          <rPr>
            <sz val="8"/>
            <color indexed="8"/>
            <rFont val="Arial"/>
            <family val="2"/>
          </rPr>
          <t>#1.3.3 #1.3.3 #6.</t>
        </r>
      </text>
    </comment>
    <comment ref="B219" authorId="0">
      <text>
        <r>
          <rPr>
            <sz val="8"/>
            <color indexed="8"/>
            <rFont val="Arial"/>
            <family val="2"/>
          </rPr>
          <t>#1.3.3 #1.3.3 #6.1</t>
        </r>
      </text>
    </comment>
    <comment ref="B220" authorId="0">
      <text>
        <r>
          <rPr>
            <sz val="8"/>
            <color indexed="8"/>
            <rFont val="Arial"/>
            <family val="2"/>
          </rPr>
          <t># # #6.2</t>
        </r>
      </text>
    </comment>
    <comment ref="B221" authorId="0">
      <text>
        <r>
          <rPr>
            <sz val="8"/>
            <color indexed="8"/>
            <rFont val="Arial"/>
            <family val="2"/>
          </rPr>
          <t># # #6.3</t>
        </r>
      </text>
    </comment>
    <comment ref="B222" authorId="0">
      <text>
        <r>
          <rPr>
            <sz val="8"/>
            <color indexed="8"/>
            <rFont val="Arial"/>
            <family val="2"/>
          </rPr>
          <t># # #6.4</t>
        </r>
      </text>
    </comment>
    <comment ref="B22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24" authorId="0">
      <text>
        <r>
          <rPr>
            <sz val="8"/>
            <color indexed="8"/>
            <rFont val="Arial"/>
            <family val="2"/>
          </rPr>
          <t>#1.3.6 #1.3.6 #</t>
        </r>
      </text>
    </comment>
    <comment ref="B225" authorId="0">
      <text>
        <r>
          <rPr>
            <sz val="8"/>
            <color indexed="8"/>
            <rFont val="Arial"/>
            <family val="2"/>
          </rPr>
          <t>#1.3.7 #1.3.7 #</t>
        </r>
      </text>
    </comment>
    <comment ref="B226" authorId="0">
      <text>
        <r>
          <rPr>
            <sz val="8"/>
            <color indexed="8"/>
            <rFont val="Arial"/>
            <family val="2"/>
          </rPr>
          <t>#1.3.8 #1.3.8 #</t>
        </r>
      </text>
    </comment>
    <comment ref="B227" authorId="0">
      <text>
        <r>
          <rPr>
            <sz val="8"/>
            <color indexed="8"/>
            <rFont val="Arial"/>
            <family val="2"/>
          </rPr>
          <t>#1.3.8 #1.3.8 #</t>
        </r>
      </text>
    </comment>
    <comment ref="B22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2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30" authorId="0">
      <text>
        <r>
          <rPr>
            <sz val="8"/>
            <color indexed="8"/>
            <rFont val="Arial"/>
            <family val="2"/>
          </rPr>
          <t>#1.3.9 #1.3.9 #</t>
        </r>
      </text>
    </comment>
    <comment ref="B231" authorId="0">
      <text>
        <r>
          <rPr>
            <sz val="8"/>
            <color indexed="8"/>
            <rFont val="Arial"/>
            <family val="2"/>
          </rPr>
          <t>#1.3.9.1 #1.3.9.1 #</t>
        </r>
      </text>
    </comment>
    <comment ref="B232" authorId="0">
      <text>
        <r>
          <rPr>
            <sz val="8"/>
            <color indexed="8"/>
            <rFont val="Arial"/>
            <family val="2"/>
          </rPr>
          <t>#1.3.9.2 #1.3.9.2 #</t>
        </r>
      </text>
    </comment>
    <comment ref="B236" authorId="0">
      <text>
        <r>
          <rPr>
            <sz val="8"/>
            <color indexed="8"/>
            <rFont val="Arial"/>
            <family val="2"/>
          </rPr>
          <t>#2. #2. #5.</t>
        </r>
      </text>
    </comment>
    <comment ref="B237" authorId="0">
      <text>
        <r>
          <rPr>
            <sz val="8"/>
            <color indexed="8"/>
            <rFont val="Arial"/>
            <family val="2"/>
          </rPr>
          <t>#2. #2. #5.</t>
        </r>
      </text>
    </comment>
    <comment ref="B238" authorId="0">
      <text>
        <r>
          <rPr>
            <sz val="8"/>
            <color indexed="8"/>
            <rFont val="Arial"/>
            <family val="2"/>
          </rPr>
          <t>#25. #25. #25.</t>
        </r>
      </text>
    </comment>
    <comment ref="B239" authorId="0">
      <text>
        <r>
          <rPr>
            <sz val="8"/>
            <color indexed="8"/>
            <rFont val="Arial"/>
            <family val="2"/>
          </rPr>
          <t>#4. #3. #9.</t>
        </r>
      </text>
    </comment>
    <comment ref="B240" authorId="0">
      <text>
        <r>
          <rPr>
            <sz val="8"/>
            <color indexed="8"/>
            <rFont val="Arial"/>
            <family val="2"/>
          </rPr>
          <t>#4.2 #3.2 #9.3</t>
        </r>
      </text>
    </comment>
    <comment ref="B241" authorId="0">
      <text>
        <r>
          <rPr>
            <sz val="8"/>
            <color indexed="8"/>
            <rFont val="Arial"/>
            <family val="2"/>
          </rPr>
          <t># # #9.1</t>
        </r>
      </text>
    </comment>
    <comment ref="B242" authorId="0">
      <text>
        <r>
          <rPr>
            <sz val="8"/>
            <color indexed="8"/>
            <rFont val="Arial"/>
            <family val="2"/>
          </rPr>
          <t>#4.1 #3.1 #9.2</t>
        </r>
      </text>
    </comment>
    <comment ref="B24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8" authorId="0">
      <text>
        <r>
          <rPr>
            <sz val="8"/>
            <color indexed="8"/>
            <rFont val="Arial"/>
            <family val="2"/>
          </rPr>
          <t># #40.9 #</t>
        </r>
      </text>
    </comment>
    <comment ref="B249" authorId="0">
      <text>
        <r>
          <rPr>
            <sz val="8"/>
            <color indexed="8"/>
            <rFont val="Arial"/>
            <family val="2"/>
          </rPr>
          <t># #40.11 #</t>
        </r>
      </text>
    </comment>
    <comment ref="B250" authorId="0">
      <text>
        <r>
          <rPr>
            <sz val="8"/>
            <color indexed="8"/>
            <rFont val="Arial"/>
            <family val="2"/>
          </rPr>
          <t># #40.12 #</t>
        </r>
      </text>
    </comment>
    <comment ref="B251" authorId="0">
      <text>
        <r>
          <rPr>
            <sz val="8"/>
            <color indexed="8"/>
            <rFont val="Arial"/>
            <family val="2"/>
          </rPr>
          <t># #40.13 #</t>
        </r>
      </text>
    </comment>
    <comment ref="B25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1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70" authorId="0">
      <text>
        <r>
          <rPr>
            <sz val="8"/>
            <color indexed="8"/>
            <rFont val="Arial"/>
            <family val="2"/>
          </rPr>
          <t>#5. #4. #10.</t>
        </r>
      </text>
    </comment>
  </commentList>
</comments>
</file>

<file path=xl/comments8.xml><?xml version="1.0" encoding="utf-8"?>
<comments xmlns="http://schemas.openxmlformats.org/spreadsheetml/2006/main">
  <authors>
    <author/>
    <author>Гришечкина Татьяна Михайловна</author>
    <author>a.knyazkina</author>
  </authors>
  <commentList>
    <comment ref="B6" authorId="0">
      <text>
        <r>
          <rPr>
            <sz val="8"/>
            <color indexed="8"/>
            <rFont val="Arial"/>
            <family val="2"/>
          </rPr>
          <t>#6. #5. #13.</t>
        </r>
      </text>
    </comment>
    <comment ref="B7" authorId="0">
      <text>
        <r>
          <rPr>
            <sz val="8"/>
            <color indexed="8"/>
            <rFont val="Arial"/>
            <family val="2"/>
          </rPr>
          <t>#3. #15. #8.</t>
        </r>
      </text>
    </comment>
    <comment ref="B8" authorId="0">
      <text>
        <r>
          <rPr>
            <sz val="8"/>
            <color indexed="8"/>
            <rFont val="Arial"/>
            <family val="2"/>
          </rPr>
          <t>#1. #1. #</t>
        </r>
      </text>
    </comment>
    <comment ref="B9" authorId="0">
      <text>
        <r>
          <rPr>
            <sz val="8"/>
            <color indexed="8"/>
            <rFont val="Arial"/>
            <family val="2"/>
          </rPr>
          <t>#1.1. #1.1. #</t>
        </r>
      </text>
    </comment>
    <comment ref="B10" authorId="0">
      <text>
        <r>
          <rPr>
            <sz val="8"/>
            <color indexed="8"/>
            <rFont val="Arial"/>
            <family val="2"/>
          </rPr>
          <t>#1.1.1 #1.1.1 #1</t>
        </r>
      </text>
    </comment>
    <comment ref="B11" authorId="0">
      <text>
        <r>
          <rPr>
            <sz val="8"/>
            <color indexed="8"/>
            <rFont val="Arial"/>
            <family val="2"/>
          </rPr>
          <t>#1.1.1.1 #1.1.1.1 #1.1</t>
        </r>
      </text>
    </comment>
    <comment ref="B12" authorId="0">
      <text>
        <r>
          <rPr>
            <sz val="8"/>
            <color indexed="8"/>
            <rFont val="Arial"/>
            <family val="2"/>
          </rPr>
          <t># #1.1.1.1.2 #</t>
        </r>
      </text>
    </comment>
    <comment ref="B13" authorId="0">
      <text>
        <r>
          <rPr>
            <sz val="8"/>
            <color indexed="8"/>
            <rFont val="Arial"/>
            <family val="2"/>
          </rPr>
          <t># #1.1.1.1.2.1 #</t>
        </r>
      </text>
    </comment>
    <comment ref="B14" authorId="0">
      <text>
        <r>
          <rPr>
            <sz val="8"/>
            <color indexed="8"/>
            <rFont val="Arial"/>
            <family val="2"/>
          </rPr>
          <t># #1.1.1.1.2.1.1 #</t>
        </r>
      </text>
    </comment>
    <comment ref="B15" authorId="0">
      <text>
        <r>
          <rPr>
            <sz val="8"/>
            <color indexed="8"/>
            <rFont val="Arial"/>
            <family val="2"/>
          </rPr>
          <t># #1.1.1.1.2.1.2 #</t>
        </r>
      </text>
    </comment>
    <comment ref="B16" authorId="0">
      <text>
        <r>
          <rPr>
            <sz val="8"/>
            <color indexed="8"/>
            <rFont val="Arial"/>
            <family val="2"/>
          </rPr>
          <t># #1.1.1.1.2.2 #</t>
        </r>
      </text>
    </comment>
    <comment ref="B17" authorId="0">
      <text>
        <r>
          <rPr>
            <sz val="8"/>
            <color indexed="8"/>
            <rFont val="Arial"/>
            <family val="2"/>
          </rPr>
          <t># #1.1.1.1.2.2.1 #</t>
        </r>
      </text>
    </comment>
    <comment ref="B18" authorId="0">
      <text>
        <r>
          <rPr>
            <sz val="8"/>
            <color indexed="8"/>
            <rFont val="Arial"/>
            <family val="2"/>
          </rPr>
          <t># #1.1.1.1.2.2.2 #</t>
        </r>
      </text>
    </comment>
    <comment ref="B19" authorId="0">
      <text>
        <r>
          <rPr>
            <sz val="8"/>
            <color indexed="8"/>
            <rFont val="Arial"/>
            <family val="2"/>
          </rPr>
          <t># #1.1.1.1.2.3 #</t>
        </r>
      </text>
    </comment>
    <comment ref="B20" authorId="0">
      <text>
        <r>
          <rPr>
            <sz val="8"/>
            <color indexed="8"/>
            <rFont val="Arial"/>
            <family val="2"/>
          </rPr>
          <t># #1.1.1.1.2.3.1 #</t>
        </r>
      </text>
    </comment>
    <comment ref="B21" authorId="0">
      <text>
        <r>
          <rPr>
            <sz val="8"/>
            <color indexed="8"/>
            <rFont val="Arial"/>
            <family val="2"/>
          </rPr>
          <t># #1.1.1.1.2.3.2 #</t>
        </r>
      </text>
    </comment>
    <comment ref="B22" authorId="0">
      <text>
        <r>
          <rPr>
            <sz val="8"/>
            <color indexed="8"/>
            <rFont val="Arial"/>
            <family val="2"/>
          </rPr>
          <t># #1.1.1.1.2.4 #</t>
        </r>
      </text>
    </comment>
    <comment ref="B23" authorId="0">
      <text>
        <r>
          <rPr>
            <sz val="8"/>
            <color indexed="8"/>
            <rFont val="Arial"/>
            <family val="2"/>
          </rPr>
          <t># #1.1.1.1.2.4.1 #</t>
        </r>
      </text>
    </comment>
    <comment ref="B24" authorId="0">
      <text>
        <r>
          <rPr>
            <sz val="8"/>
            <color indexed="8"/>
            <rFont val="Arial"/>
            <family val="2"/>
          </rPr>
          <t># #1.1.1.1.2.4.2 #</t>
        </r>
      </text>
    </comment>
    <comment ref="B25" authorId="0">
      <text>
        <r>
          <rPr>
            <sz val="8"/>
            <color indexed="8"/>
            <rFont val="Arial"/>
            <family val="2"/>
          </rPr>
          <t># #1.1.1.1.2.5 #</t>
        </r>
      </text>
    </comment>
    <comment ref="B26" authorId="0">
      <text>
        <r>
          <rPr>
            <sz val="8"/>
            <color indexed="8"/>
            <rFont val="Arial"/>
            <family val="2"/>
          </rPr>
          <t># #1.1.1.1.2.5.1 #</t>
        </r>
      </text>
    </comment>
    <comment ref="B27" authorId="0">
      <text>
        <r>
          <rPr>
            <sz val="8"/>
            <color indexed="8"/>
            <rFont val="Arial"/>
            <family val="2"/>
          </rPr>
          <t># #1.1.1.1.2.5.2 #</t>
        </r>
      </text>
    </comment>
    <comment ref="B28" authorId="0">
      <text>
        <r>
          <rPr>
            <sz val="8"/>
            <color indexed="8"/>
            <rFont val="Arial"/>
            <family val="2"/>
          </rPr>
          <t>#1.1.1.1.2 #1.1.1.1.2.6 #1.1.2</t>
        </r>
      </text>
    </comment>
    <comment ref="B29" authorId="0">
      <text>
        <r>
          <rPr>
            <sz val="8"/>
            <color indexed="8"/>
            <rFont val="Arial"/>
            <family val="2"/>
          </rPr>
          <t>#1.1.1.1.3 #1.1.1.1.3 #1.1.3</t>
        </r>
      </text>
    </comment>
    <comment ref="B30" authorId="0">
      <text>
        <r>
          <rPr>
            <sz val="8"/>
            <color indexed="8"/>
            <rFont val="Arial"/>
            <family val="2"/>
          </rPr>
          <t>#1.1.1.2 #1.1.1.2 #1.3</t>
        </r>
      </text>
    </comment>
    <comment ref="B31" authorId="0">
      <text>
        <r>
          <rPr>
            <sz val="8"/>
            <color indexed="8"/>
            <rFont val="Arial"/>
            <family val="2"/>
          </rPr>
          <t>#1.1.1.3 #1.1.1.3 #1.4</t>
        </r>
      </text>
    </comment>
    <comment ref="B32" authorId="0">
      <text>
        <r>
          <rPr>
            <sz val="8"/>
            <color indexed="8"/>
            <rFont val="Arial"/>
            <family val="2"/>
          </rPr>
          <t>#1.1.1.3.1 #1.1.1.3.1 #1.4.1</t>
        </r>
      </text>
    </comment>
    <comment ref="B33" authorId="0">
      <text>
        <r>
          <rPr>
            <sz val="8"/>
            <color indexed="8"/>
            <rFont val="Arial"/>
            <family val="2"/>
          </rPr>
          <t># #1.1.1.3.1.2 #</t>
        </r>
      </text>
    </comment>
    <comment ref="B34" authorId="0">
      <text>
        <r>
          <rPr>
            <sz val="8"/>
            <color indexed="8"/>
            <rFont val="Arial"/>
            <family val="2"/>
          </rPr>
          <t># #1.1.1.3.1.2.5 #</t>
        </r>
      </text>
    </comment>
    <comment ref="B35" authorId="0">
      <text>
        <r>
          <rPr>
            <sz val="8"/>
            <color indexed="8"/>
            <rFont val="Arial"/>
            <family val="2"/>
          </rPr>
          <t>#1.1.1.3.1.2.1 # #</t>
        </r>
      </text>
    </comment>
    <comment ref="B36" authorId="0">
      <text>
        <r>
          <rPr>
            <sz val="8"/>
            <color indexed="8"/>
            <rFont val="Arial"/>
            <family val="2"/>
          </rPr>
          <t># #1.1.1.3.1.2.1.1 #</t>
        </r>
      </text>
    </comment>
    <comment ref="B37" authorId="0">
      <text>
        <r>
          <rPr>
            <sz val="8"/>
            <color indexed="8"/>
            <rFont val="Arial"/>
            <family val="2"/>
          </rPr>
          <t># #1.1.1.3.1.2.2.2 #</t>
        </r>
      </text>
    </comment>
    <comment ref="B38" authorId="0">
      <text>
        <r>
          <rPr>
            <sz val="8"/>
            <color indexed="8"/>
            <rFont val="Arial"/>
            <family val="2"/>
          </rPr>
          <t># #1.1.1.3.1.2.2 #</t>
        </r>
      </text>
    </comment>
    <comment ref="B39" authorId="0">
      <text>
        <r>
          <rPr>
            <sz val="8"/>
            <color indexed="8"/>
            <rFont val="Arial"/>
            <family val="2"/>
          </rPr>
          <t># #1.1.1.3.1.2.3 #</t>
        </r>
      </text>
    </comment>
    <comment ref="B40" authorId="0">
      <text>
        <r>
          <rPr>
            <sz val="8"/>
            <color indexed="8"/>
            <rFont val="Arial"/>
            <family val="2"/>
          </rPr>
          <t># #1.1.1.3.1.2.4 #</t>
        </r>
      </text>
    </comment>
    <comment ref="B41" authorId="0">
      <text>
        <r>
          <rPr>
            <sz val="8"/>
            <color indexed="8"/>
            <rFont val="Arial"/>
            <family val="2"/>
          </rPr>
          <t>#31. #1.1.1.3.1.1 #31.</t>
        </r>
      </text>
    </comment>
    <comment ref="B42" authorId="0">
      <text>
        <r>
          <rPr>
            <sz val="8"/>
            <color indexed="8"/>
            <rFont val="Arial"/>
            <family val="2"/>
          </rPr>
          <t>#1.1.1.3.2 #1.1.1.3.2 #1.4.2</t>
        </r>
      </text>
    </comment>
    <comment ref="E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O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Q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T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W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X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Z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A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42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43" authorId="0">
      <text>
        <r>
          <rPr>
            <sz val="8"/>
            <color indexed="8"/>
            <rFont val="Arial"/>
            <family val="2"/>
          </rPr>
          <t>#1.1.1.4 #1.1.1.4 #</t>
        </r>
      </text>
    </comment>
    <comment ref="B44" authorId="0">
      <text>
        <r>
          <rPr>
            <sz val="8"/>
            <color indexed="8"/>
            <rFont val="Arial"/>
            <family val="2"/>
          </rPr>
          <t>#1.1.1.5 #1.1.1.5 #1.6</t>
        </r>
      </text>
    </comment>
    <comment ref="B45" authorId="0">
      <text>
        <r>
          <rPr>
            <sz val="8"/>
            <color indexed="8"/>
            <rFont val="Arial"/>
            <family val="2"/>
          </rPr>
          <t># #1.1.1.5.1 #</t>
        </r>
      </text>
    </comment>
    <comment ref="B46" authorId="0">
      <text>
        <r>
          <rPr>
            <sz val="8"/>
            <color indexed="8"/>
            <rFont val="Arial"/>
            <family val="2"/>
          </rPr>
          <t>#1.1.1.5 #1.1.1.5.2 #1.6</t>
        </r>
      </text>
    </comment>
    <comment ref="B47" authorId="0">
      <text>
        <r>
          <rPr>
            <sz val="8"/>
            <color indexed="8"/>
            <rFont val="Arial"/>
            <family val="2"/>
          </rPr>
          <t>#1.1.1.6 #1.1.1.6 #1.7</t>
        </r>
      </text>
    </comment>
    <comment ref="B48" authorId="0">
      <text>
        <r>
          <rPr>
            <sz val="8"/>
            <color indexed="8"/>
            <rFont val="Arial"/>
            <family val="2"/>
          </rPr>
          <t>#1.1.1.6.1 #1.1.1.6.1 #1.7.2</t>
        </r>
      </text>
    </comment>
    <comment ref="B49" authorId="0">
      <text>
        <r>
          <rPr>
            <sz val="8"/>
            <color indexed="8"/>
            <rFont val="Arial"/>
            <family val="2"/>
          </rPr>
          <t>#1.1.1.6.2 #1.1.1.6.2 #1.7.1</t>
        </r>
      </text>
    </comment>
    <comment ref="B50" authorId="0">
      <text>
        <r>
          <rPr>
            <sz val="8"/>
            <color indexed="8"/>
            <rFont val="Arial"/>
            <family val="2"/>
          </rPr>
          <t>#1.1.1.6.3 #1.1.1.6.3 #</t>
        </r>
      </text>
    </comment>
    <comment ref="B51" authorId="0">
      <text>
        <r>
          <rPr>
            <sz val="8"/>
            <color indexed="8"/>
            <rFont val="Arial"/>
            <family val="2"/>
          </rPr>
          <t>#1.1.1.6.4 #1.1.1.6.4 #</t>
        </r>
      </text>
    </comment>
    <comment ref="B52" authorId="0">
      <text>
        <r>
          <rPr>
            <sz val="8"/>
            <color indexed="8"/>
            <rFont val="Arial"/>
            <family val="2"/>
          </rPr>
          <t>#1.1.1.6.5 #1.1.1.6.5 #1.7.3</t>
        </r>
      </text>
    </comment>
    <comment ref="B53" authorId="0">
      <text>
        <r>
          <rPr>
            <sz val="8"/>
            <color indexed="8"/>
            <rFont val="Arial"/>
            <family val="2"/>
          </rPr>
          <t>#1.1.1.6.6 #1.1.1.6.6 #1.7.4</t>
        </r>
      </text>
    </comment>
    <comment ref="B54" authorId="0">
      <text>
        <r>
          <rPr>
            <sz val="8"/>
            <color indexed="8"/>
            <rFont val="Arial"/>
            <family val="2"/>
          </rPr>
          <t>#1.1.2 #1.1.2 #2</t>
        </r>
      </text>
    </comment>
    <comment ref="B55" authorId="0">
      <text>
        <r>
          <rPr>
            <sz val="8"/>
            <color indexed="8"/>
            <rFont val="Arial"/>
            <family val="2"/>
          </rPr>
          <t>#1.1.2.1 #1.1.2.1 #2.1</t>
        </r>
      </text>
    </comment>
    <comment ref="B56" authorId="0">
      <text>
        <r>
          <rPr>
            <sz val="8"/>
            <color indexed="8"/>
            <rFont val="Arial"/>
            <family val="2"/>
          </rPr>
          <t>#1.1.2.2 #1.1.2.2 #2.2</t>
        </r>
      </text>
    </comment>
    <comment ref="B57" authorId="0">
      <text>
        <r>
          <rPr>
            <sz val="8"/>
            <color indexed="8"/>
            <rFont val="Arial"/>
            <family val="2"/>
          </rPr>
          <t>#1.1.2.3 #1.1.2.3 #2.3</t>
        </r>
      </text>
    </comment>
    <comment ref="B58" authorId="0">
      <text>
        <r>
          <rPr>
            <sz val="8"/>
            <color indexed="8"/>
            <rFont val="Arial"/>
            <family val="2"/>
          </rPr>
          <t>#1.1.2.3.1 #1.1.2.3.1 #2.3.1</t>
        </r>
      </text>
    </comment>
    <comment ref="B59" authorId="0">
      <text>
        <r>
          <rPr>
            <sz val="8"/>
            <color indexed="8"/>
            <rFont val="Arial"/>
            <family val="2"/>
          </rPr>
          <t># #1.1.2.3.1.1 #</t>
        </r>
      </text>
    </comment>
    <comment ref="B60" authorId="0">
      <text>
        <r>
          <rPr>
            <sz val="8"/>
            <color indexed="8"/>
            <rFont val="Arial"/>
            <family val="2"/>
          </rPr>
          <t># #1.1.2.3.1.1.5 #</t>
        </r>
      </text>
    </comment>
    <comment ref="B61" authorId="0">
      <text>
        <r>
          <rPr>
            <sz val="8"/>
            <color indexed="8"/>
            <rFont val="Arial"/>
            <family val="2"/>
          </rPr>
          <t># #1.1.2.3.1.1.1 #</t>
        </r>
      </text>
    </comment>
    <comment ref="B62" authorId="0">
      <text>
        <r>
          <rPr>
            <sz val="8"/>
            <color indexed="8"/>
            <rFont val="Arial"/>
            <family val="2"/>
          </rPr>
          <t># #1.1.2.3.1.1.1.1 #</t>
        </r>
      </text>
    </comment>
    <comment ref="B63" authorId="0">
      <text>
        <r>
          <rPr>
            <sz val="8"/>
            <color indexed="8"/>
            <rFont val="Arial"/>
            <family val="2"/>
          </rPr>
          <t># #1.1.2.3.1.1.1.2 #</t>
        </r>
      </text>
    </comment>
    <comment ref="B64" authorId="0">
      <text>
        <r>
          <rPr>
            <sz val="8"/>
            <color indexed="8"/>
            <rFont val="Arial"/>
            <family val="2"/>
          </rPr>
          <t># #1.1.2.3.1.1.2 #</t>
        </r>
      </text>
    </comment>
    <comment ref="B65" authorId="0">
      <text>
        <r>
          <rPr>
            <sz val="8"/>
            <color indexed="8"/>
            <rFont val="Arial"/>
            <family val="2"/>
          </rPr>
          <t># #1.1.2.3.1.1.3 #</t>
        </r>
      </text>
    </comment>
    <comment ref="B66" authorId="0">
      <text>
        <r>
          <rPr>
            <sz val="8"/>
            <color indexed="8"/>
            <rFont val="Arial"/>
            <family val="2"/>
          </rPr>
          <t># #1.1.2.3.1.1.4 #</t>
        </r>
      </text>
    </comment>
    <comment ref="B67" authorId="0">
      <text>
        <r>
          <rPr>
            <sz val="8"/>
            <color indexed="8"/>
            <rFont val="Arial"/>
            <family val="2"/>
          </rPr>
          <t>#32. #1.1.2.3.1.2 #32.</t>
        </r>
      </text>
    </comment>
    <comment ref="B68" authorId="0">
      <text>
        <r>
          <rPr>
            <sz val="8"/>
            <color indexed="8"/>
            <rFont val="Arial"/>
            <family val="2"/>
          </rPr>
          <t>#1.1.2.3.2 #1.1.2.3.2 #2.3.2</t>
        </r>
      </text>
    </comment>
    <comment ref="E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O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Q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T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W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X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Z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A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6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69" authorId="0">
      <text>
        <r>
          <rPr>
            <sz val="8"/>
            <color indexed="8"/>
            <rFont val="Arial"/>
            <family val="2"/>
          </rPr>
          <t>#1.1.3 #1.1.3 #3</t>
        </r>
      </text>
    </comment>
    <comment ref="B70" authorId="0">
      <text>
        <r>
          <rPr>
            <sz val="8"/>
            <color indexed="8"/>
            <rFont val="Arial"/>
            <family val="2"/>
          </rPr>
          <t>#1.1.3.1 #1.1.3.1 #3.1</t>
        </r>
      </text>
    </comment>
    <comment ref="B71" authorId="0">
      <text>
        <r>
          <rPr>
            <sz val="8"/>
            <color indexed="8"/>
            <rFont val="Arial"/>
            <family val="2"/>
          </rPr>
          <t>#1.1.3.1.1 #1.1.3.1.1 #3.1.1</t>
        </r>
      </text>
    </comment>
    <comment ref="B72" authorId="0">
      <text>
        <r>
          <rPr>
            <sz val="8"/>
            <color indexed="8"/>
            <rFont val="Arial"/>
            <family val="2"/>
          </rPr>
          <t>#1.1.3.1.2 #1.1.3.1.2 #3.1.2</t>
        </r>
      </text>
    </comment>
    <comment ref="B73" authorId="0">
      <text>
        <r>
          <rPr>
            <sz val="8"/>
            <color indexed="8"/>
            <rFont val="Arial"/>
            <family val="2"/>
          </rPr>
          <t>#1.1.3.1.3 #1.1.3.1.3 #3.1.3</t>
        </r>
      </text>
    </comment>
    <comment ref="B74" authorId="0">
      <text>
        <r>
          <rPr>
            <sz val="8"/>
            <color indexed="8"/>
            <rFont val="Arial"/>
            <family val="2"/>
          </rPr>
          <t>#1.1.3.1.4 #1.1.3.1.4 #3.1.4</t>
        </r>
      </text>
    </comment>
    <comment ref="B75" authorId="0">
      <text>
        <r>
          <rPr>
            <sz val="8"/>
            <color indexed="8"/>
            <rFont val="Arial"/>
            <family val="2"/>
          </rPr>
          <t>#1.1.3.1.5 #1.1.3.1.5 #3.1.5</t>
        </r>
      </text>
    </comment>
    <comment ref="B76" authorId="0">
      <text>
        <r>
          <rPr>
            <sz val="8"/>
            <color indexed="8"/>
            <rFont val="Arial"/>
            <family val="2"/>
          </rPr>
          <t>#1.1.3.1.6 #1.1.3.1.6 #3.1.6</t>
        </r>
      </text>
    </comment>
    <comment ref="B77" authorId="0">
      <text>
        <r>
          <rPr>
            <sz val="8"/>
            <color indexed="8"/>
            <rFont val="Arial"/>
            <family val="2"/>
          </rPr>
          <t>#1.1.3.2 #1.1.3.2 #3.2</t>
        </r>
      </text>
    </comment>
    <comment ref="B78" authorId="0">
      <text>
        <r>
          <rPr>
            <sz val="8"/>
            <color indexed="8"/>
            <rFont val="Arial"/>
            <family val="2"/>
          </rPr>
          <t>#1.1.3.2.1 #1.1.3.2.1 #3.2.1</t>
        </r>
      </text>
    </comment>
    <comment ref="B79" authorId="0">
      <text>
        <r>
          <rPr>
            <sz val="8"/>
            <color indexed="8"/>
            <rFont val="Arial"/>
            <family val="2"/>
          </rPr>
          <t># #1.1.3.2.1.1 #</t>
        </r>
      </text>
    </comment>
    <comment ref="B80" authorId="0">
      <text>
        <r>
          <rPr>
            <sz val="8"/>
            <color indexed="8"/>
            <rFont val="Arial"/>
            <family val="2"/>
          </rPr>
          <t># #1.1.3.2.1.1.2 #</t>
        </r>
      </text>
    </comment>
    <comment ref="B81" authorId="0">
      <text>
        <r>
          <rPr>
            <sz val="8"/>
            <color indexed="8"/>
            <rFont val="Arial"/>
            <family val="2"/>
          </rPr>
          <t># #1.1.3.2.1.1.5 #</t>
        </r>
      </text>
    </comment>
    <comment ref="B82" authorId="0">
      <text>
        <r>
          <rPr>
            <sz val="8"/>
            <color indexed="8"/>
            <rFont val="Arial"/>
            <family val="2"/>
          </rPr>
          <t># #1.1.3.2.1.1.1 #</t>
        </r>
      </text>
    </comment>
    <comment ref="B83" authorId="0">
      <text>
        <r>
          <rPr>
            <sz val="8"/>
            <color indexed="8"/>
            <rFont val="Arial"/>
            <family val="2"/>
          </rPr>
          <t># #1.1.3.2.1.1.1.1 #</t>
        </r>
      </text>
    </comment>
    <comment ref="B84" authorId="0">
      <text>
        <r>
          <rPr>
            <sz val="8"/>
            <color indexed="8"/>
            <rFont val="Arial"/>
            <family val="2"/>
          </rPr>
          <t># #1.1.3.2.1.1.1.2 #</t>
        </r>
      </text>
    </comment>
    <comment ref="B85" authorId="0">
      <text>
        <r>
          <rPr>
            <sz val="8"/>
            <color indexed="8"/>
            <rFont val="Arial"/>
            <family val="2"/>
          </rPr>
          <t># #1.1.3.2.1.1.3 #</t>
        </r>
      </text>
    </comment>
    <comment ref="B86" authorId="0">
      <text>
        <r>
          <rPr>
            <sz val="8"/>
            <color indexed="8"/>
            <rFont val="Arial"/>
            <family val="2"/>
          </rPr>
          <t># #1.1.3.2.1.1.4 #</t>
        </r>
      </text>
    </comment>
    <comment ref="B87" authorId="0">
      <text>
        <r>
          <rPr>
            <sz val="8"/>
            <color indexed="8"/>
            <rFont val="Arial"/>
            <family val="2"/>
          </rPr>
          <t>#33. #1.1.3.2.1.2 #33.</t>
        </r>
      </text>
    </comment>
    <comment ref="B88" authorId="0">
      <text>
        <r>
          <rPr>
            <sz val="8"/>
            <color indexed="8"/>
            <rFont val="Arial"/>
            <family val="2"/>
          </rPr>
          <t>#1.1.3.2.2 #1.1.3.2.2 #3.2.2</t>
        </r>
      </text>
    </comment>
    <comment ref="E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F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G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H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I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J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K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L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M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N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O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P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Q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R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S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T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U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V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W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X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Y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Z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A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AB88" authorId="0">
      <text>
        <r>
          <rPr>
            <sz val="8"/>
            <color indexed="8"/>
            <rFont val="Arial"/>
            <family val="2"/>
          </rPr>
          <t>30.2*0/100</t>
        </r>
      </text>
    </comment>
    <comment ref="B89" authorId="0">
      <text>
        <r>
          <rPr>
            <sz val="8"/>
            <color indexed="8"/>
            <rFont val="Arial"/>
            <family val="2"/>
          </rPr>
          <t>#1.1.3.3 #1.1.3.3 #3.3</t>
        </r>
      </text>
    </comment>
    <comment ref="B90" authorId="0">
      <text>
        <r>
          <rPr>
            <sz val="8"/>
            <color indexed="8"/>
            <rFont val="Arial"/>
            <family val="2"/>
          </rPr>
          <t>#1.1.3.4 #1.1.3.4 #3.4</t>
        </r>
      </text>
    </comment>
    <comment ref="B91" authorId="0">
      <text>
        <r>
          <rPr>
            <sz val="8"/>
            <color indexed="8"/>
            <rFont val="Arial"/>
            <family val="2"/>
          </rPr>
          <t>#1.1.3.5 #1.1.3.5 #3.5</t>
        </r>
      </text>
    </comment>
    <comment ref="B92" authorId="0">
      <text>
        <r>
          <rPr>
            <sz val="8"/>
            <color indexed="8"/>
            <rFont val="Arial"/>
            <family val="2"/>
          </rPr>
          <t>#1.1.3.6 #1.1.3.6 #3.6</t>
        </r>
      </text>
    </comment>
    <comment ref="B93" authorId="0">
      <text>
        <r>
          <rPr>
            <sz val="8"/>
            <color indexed="8"/>
            <rFont val="Arial"/>
            <family val="2"/>
          </rPr>
          <t>#1.1.3.7 #1.1.3.7 #3.7</t>
        </r>
      </text>
    </comment>
    <comment ref="B94" authorId="0">
      <text>
        <r>
          <rPr>
            <sz val="8"/>
            <color indexed="8"/>
            <rFont val="Arial"/>
            <family val="2"/>
          </rPr>
          <t>#1.1.3.7.1 #1.1.3.7.1 #3.7.1</t>
        </r>
      </text>
    </comment>
    <comment ref="B95" authorId="0">
      <text>
        <r>
          <rPr>
            <sz val="8"/>
            <color indexed="8"/>
            <rFont val="Arial"/>
            <family val="2"/>
          </rPr>
          <t>#1.1.3.7.2 #1.1.3.7.2 #3.7.2</t>
        </r>
      </text>
    </comment>
    <comment ref="B96" authorId="0">
      <text>
        <r>
          <rPr>
            <sz val="8"/>
            <rFont val="Arial"/>
            <family val="2"/>
            <charset val="204"/>
          </rPr>
          <t>#1.1.4 #1.1.4 #4.</t>
        </r>
      </text>
    </comment>
    <comment ref="B97" authorId="0">
      <text>
        <r>
          <rPr>
            <sz val="8"/>
            <rFont val="Arial"/>
            <family val="2"/>
            <charset val="204"/>
          </rPr>
          <t>#1.1.4.2 #1.1.4.2 #1.1.4.2</t>
        </r>
      </text>
    </comment>
    <comment ref="B98" authorId="0">
      <text>
        <r>
          <rPr>
            <sz val="8"/>
            <rFont val="Arial"/>
            <family val="2"/>
            <charset val="204"/>
          </rPr>
          <t>#1.1.4.3 #1.1.4.3 #1.1.4.3</t>
        </r>
      </text>
    </comment>
    <comment ref="B99" authorId="0">
      <text>
        <r>
          <rPr>
            <sz val="8"/>
            <rFont val="Arial"/>
            <family val="2"/>
            <charset val="204"/>
          </rPr>
          <t>#1.1.4.3.1 #1.1.4.3.1 #1.1.4.3.1</t>
        </r>
      </text>
    </comment>
    <comment ref="B100" authorId="0">
      <text>
        <r>
          <rPr>
            <sz val="8"/>
            <rFont val="Arial"/>
            <family val="2"/>
            <charset val="204"/>
          </rPr>
          <t>#1.1.4.3.2 #1.1.4.3.2 #1.1.4.3.2</t>
        </r>
      </text>
    </comment>
    <comment ref="B101" authorId="0">
      <text>
        <r>
          <rPr>
            <sz val="8"/>
            <rFont val="Arial"/>
            <family val="2"/>
            <charset val="204"/>
          </rPr>
          <t>#1.1.4.3.3 #1.1.4.3.3 #1.1.4.3.3</t>
        </r>
      </text>
    </comment>
    <comment ref="B102" authorId="0">
      <text>
        <r>
          <rPr>
            <sz val="8"/>
            <rFont val="Arial"/>
            <family val="2"/>
            <charset val="204"/>
          </rPr>
          <t>#1.1.4.4 #1.1.4.4 #1.1.4.4</t>
        </r>
      </text>
    </comment>
    <comment ref="B103" authorId="0">
      <text>
        <r>
          <rPr>
            <sz val="8"/>
            <rFont val="Arial"/>
            <family val="2"/>
            <charset val="204"/>
          </rPr>
          <t>#1.1.4.5 #1.1.4.5 #1.1.4.5</t>
        </r>
      </text>
    </comment>
    <comment ref="B104" authorId="0">
      <text>
        <r>
          <rPr>
            <sz val="8"/>
            <rFont val="Arial"/>
            <family val="2"/>
            <charset val="204"/>
          </rPr>
          <t>#1.1.4.6 #1.1.4.6 #1.1.4.6</t>
        </r>
      </text>
    </comment>
    <comment ref="B105" authorId="0">
      <text>
        <r>
          <rPr>
            <sz val="8"/>
            <rFont val="Arial"/>
            <family val="2"/>
            <charset val="204"/>
          </rPr>
          <t>#1.1.4.7 #1.1.4.7 #1.1.4.7</t>
        </r>
      </text>
    </comment>
    <comment ref="B106" authorId="0">
      <text>
        <r>
          <rPr>
            <sz val="8"/>
            <rFont val="Arial"/>
            <family val="2"/>
            <charset val="204"/>
          </rPr>
          <t>#1.1.4.7.1 #1.1.4.7.1 #1.1.4.7.1</t>
        </r>
      </text>
    </comment>
    <comment ref="B107" authorId="0">
      <text>
        <r>
          <rPr>
            <sz val="8"/>
            <rFont val="Arial"/>
            <family val="2"/>
            <charset val="204"/>
          </rPr>
          <t>#1.1.4.7.2 #1.1.4.7.2 #1.1.4.7.2</t>
        </r>
      </text>
    </comment>
    <comment ref="B108" authorId="0">
      <text>
        <r>
          <rPr>
            <sz val="8"/>
            <rFont val="Arial"/>
            <family val="2"/>
            <charset val="204"/>
          </rPr>
          <t>#1.1.4.7.3 #1.1.4.7.3 #1.1.4.7.3</t>
        </r>
      </text>
    </comment>
    <comment ref="B109" authorId="0">
      <text>
        <r>
          <rPr>
            <sz val="8"/>
            <rFont val="Arial"/>
            <family val="2"/>
            <charset val="204"/>
          </rPr>
          <t>#1.1.4.7.4 #1.1.4.7.4 #1.1.4.7.4</t>
        </r>
      </text>
    </comment>
    <comment ref="B110" authorId="0">
      <text>
        <r>
          <rPr>
            <sz val="8"/>
            <rFont val="Arial"/>
            <family val="2"/>
            <charset val="204"/>
          </rPr>
          <t>#1.1.4.7.6 #1.1.4.7.6 #1.1.4.7.6</t>
        </r>
      </text>
    </comment>
    <comment ref="B111" authorId="0">
      <text>
        <r>
          <rPr>
            <sz val="8"/>
            <rFont val="Arial"/>
            <family val="2"/>
            <charset val="204"/>
          </rPr>
          <t>#1.1.4.7.7 #1.1.4.7.7 #1.1.4.7.7</t>
        </r>
      </text>
    </comment>
    <comment ref="K111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вся канализация
</t>
        </r>
      </text>
    </comment>
    <comment ref="B112" authorId="0">
      <text>
        <r>
          <rPr>
            <sz val="8"/>
            <rFont val="Arial"/>
            <family val="2"/>
            <charset val="204"/>
          </rPr>
          <t>#1.1.4.7.5 #1.1.4.7.5 #1.1.4.7.5</t>
        </r>
      </text>
    </comment>
    <comment ref="N112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 сумма по договору ТО приборов учета Водоприбор  вся по факту 1 кв.2023</t>
        </r>
      </text>
    </comment>
    <comment ref="B113" authorId="0">
      <text>
        <r>
          <rPr>
            <sz val="8"/>
            <rFont val="Arial"/>
            <family val="2"/>
            <charset val="204"/>
          </rPr>
          <t>#1.1.4.8 #1.1.4.8 #1.1.4.8</t>
        </r>
      </text>
    </comment>
    <comment ref="B114" authorId="0">
      <text>
        <r>
          <rPr>
            <sz val="8"/>
            <rFont val="Arial"/>
            <family val="2"/>
            <charset val="204"/>
          </rPr>
          <t>#1.1.4.8.1 #1.1.4.8.1 #1.1.4.8.1</t>
        </r>
      </text>
    </comment>
    <comment ref="B115" authorId="0">
      <text>
        <r>
          <rPr>
            <sz val="8"/>
            <rFont val="Arial"/>
            <family val="2"/>
            <charset val="204"/>
          </rPr>
          <t>#1.1.4.8.1.1 #1.1.4.8.1.1 #1.1.4.8.1.1</t>
        </r>
      </text>
    </comment>
    <comment ref="B116" authorId="0">
      <text>
        <r>
          <rPr>
            <sz val="8"/>
            <rFont val="Arial"/>
            <family val="2"/>
            <charset val="204"/>
          </rPr>
          <t># #1.1.4.8.1.1.2 #</t>
        </r>
      </text>
    </comment>
    <comment ref="B117" authorId="0">
      <text>
        <r>
          <rPr>
            <sz val="8"/>
            <rFont val="Arial"/>
            <family val="2"/>
            <charset val="204"/>
          </rPr>
          <t>#1.1.4.8.1.1.5 #1.1.4.8.1.1.5 #1.1.4.8.1.1.5</t>
        </r>
      </text>
    </comment>
    <comment ref="B118" authorId="0">
      <text>
        <r>
          <rPr>
            <sz val="8"/>
            <rFont val="Arial"/>
            <family val="2"/>
            <charset val="204"/>
          </rPr>
          <t>#1.1.4.8.1.1.1 #1.1.4.8.1.1.1 #1.1.4.8.1.1.1</t>
        </r>
      </text>
    </comment>
    <comment ref="B119" authorId="0">
      <text>
        <r>
          <rPr>
            <sz val="8"/>
            <rFont val="Arial"/>
            <family val="2"/>
            <charset val="204"/>
          </rPr>
          <t>#1.1.4.8.1.1.1.1 #1.1.4.8.1.1.1.1 #1.1.4.8.1.1.1.1</t>
        </r>
      </text>
    </comment>
    <comment ref="B120" authorId="0">
      <text>
        <r>
          <rPr>
            <sz val="8"/>
            <rFont val="Arial"/>
            <family val="2"/>
            <charset val="204"/>
          </rPr>
          <t>#1.1.4.8.1.1.1.2 #1.1.4.8.1.1.1.2 #1.1.4.8.1.1.1.2</t>
        </r>
      </text>
    </comment>
    <comment ref="B121" authorId="0">
      <text>
        <r>
          <rPr>
            <sz val="8"/>
            <rFont val="Arial"/>
            <family val="2"/>
            <charset val="204"/>
          </rPr>
          <t>#1.1.4.8.1.9 #1.1.4.8.1.9 #1.1.4.8.1.9</t>
        </r>
      </text>
    </comment>
    <comment ref="B122" authorId="0">
      <text>
        <r>
          <rPr>
            <sz val="8"/>
            <rFont val="Arial"/>
            <family val="2"/>
            <charset val="204"/>
          </rPr>
          <t>#1.1.4.8.1.10 #1.1.4.8.1.10 #1.1.4.8.1.10</t>
        </r>
      </text>
    </comment>
    <comment ref="B123" authorId="0">
      <text>
        <r>
          <rPr>
            <sz val="8"/>
            <rFont val="Arial"/>
            <family val="2"/>
            <charset val="204"/>
          </rPr>
          <t>#1.1.4.8.1.2 #1.1.4.8.1.2 #1.1.4.8.1.2</t>
        </r>
      </text>
    </comment>
    <comment ref="B124" authorId="0">
      <text>
        <r>
          <rPr>
            <sz val="8"/>
            <rFont val="Arial"/>
            <family val="2"/>
            <charset val="204"/>
          </rPr>
          <t>#1.1.4.8.2 #1.1.4.8.2 #1.1.4.8.2</t>
        </r>
      </text>
    </comment>
    <comment ref="E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F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H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I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K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L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N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O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Q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R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T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U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W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X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Z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AA124" authorId="0">
      <text>
        <r>
          <rPr>
            <sz val="8"/>
            <rFont val="Arial"/>
            <family val="2"/>
            <charset val="204"/>
          </rPr>
          <t>Расчет по формуле: Поле0*Поле1/100</t>
        </r>
      </text>
    </comment>
    <comment ref="B125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6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7" authorId="0">
      <text>
        <r>
          <rPr>
            <sz val="8"/>
            <color indexed="8"/>
            <rFont val="Arial"/>
            <family val="2"/>
          </rPr>
          <t>#1.2 #1.2 #1.2.1</t>
        </r>
      </text>
    </comment>
    <comment ref="B128" authorId="0">
      <text>
        <r>
          <rPr>
            <sz val="8"/>
            <color indexed="8"/>
            <rFont val="Arial"/>
            <family val="2"/>
          </rPr>
          <t>#30. #20.3 #30.</t>
        </r>
      </text>
    </comment>
    <comment ref="B129" authorId="0">
      <text>
        <r>
          <rPr>
            <sz val="8"/>
            <color indexed="8"/>
            <rFont val="Arial"/>
            <family val="2"/>
          </rPr>
          <t>#26. #20.4 #26.</t>
        </r>
      </text>
    </comment>
    <comment ref="B13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1" authorId="0">
      <text>
        <r>
          <rPr>
            <sz val="8"/>
            <color indexed="8"/>
            <rFont val="Arial"/>
            <family val="2"/>
          </rPr>
          <t>#3.1.2 #20.5 #</t>
        </r>
      </text>
    </comment>
    <comment ref="B132" authorId="0">
      <text>
        <r>
          <rPr>
            <sz val="8"/>
            <color indexed="8"/>
            <rFont val="Arial"/>
            <family val="2"/>
          </rPr>
          <t>#5.3 #20.6 #</t>
        </r>
      </text>
    </comment>
    <comment ref="B13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4" authorId="0">
      <text>
        <r>
          <rPr>
            <sz val="8"/>
            <color indexed="8"/>
            <rFont val="Arial"/>
            <family val="2"/>
          </rPr>
          <t>#3.1.3 #20.7 #</t>
        </r>
      </text>
    </comment>
    <comment ref="B135" authorId="0">
      <text>
        <r>
          <rPr>
            <sz val="8"/>
            <color indexed="8"/>
            <rFont val="Arial"/>
            <family val="2"/>
          </rPr>
          <t>#5.4 #20.8 #</t>
        </r>
      </text>
    </comment>
    <comment ref="B13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37" authorId="0">
      <text>
        <r>
          <rPr>
            <sz val="8"/>
            <color indexed="8"/>
            <rFont val="Arial"/>
            <family val="2"/>
          </rPr>
          <t>#3.1.4 #20.9 #</t>
        </r>
      </text>
    </comment>
    <comment ref="B138" authorId="0">
      <text>
        <r>
          <rPr>
            <sz val="8"/>
            <color indexed="8"/>
            <rFont val="Arial"/>
            <family val="2"/>
          </rPr>
          <t>#5.5 #20.11 #</t>
        </r>
      </text>
    </comment>
    <comment ref="B13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0" authorId="0">
      <text>
        <r>
          <rPr>
            <sz val="8"/>
            <color indexed="8"/>
            <rFont val="Arial"/>
            <family val="2"/>
          </rPr>
          <t>#3.1.5 #20.12 #</t>
        </r>
      </text>
    </comment>
    <comment ref="B141" authorId="0">
      <text>
        <r>
          <rPr>
            <sz val="8"/>
            <color indexed="8"/>
            <rFont val="Arial"/>
            <family val="2"/>
          </rPr>
          <t>#6 #20.13 #</t>
        </r>
      </text>
    </comment>
    <comment ref="B14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5" authorId="0">
      <text>
        <r>
          <rPr>
            <sz val="8"/>
            <color indexed="8"/>
            <rFont val="Arial"/>
            <family val="2"/>
          </rPr>
          <t># #20.14 #</t>
        </r>
      </text>
    </comment>
    <comment ref="B146" authorId="0">
      <text>
        <r>
          <rPr>
            <sz val="8"/>
            <color indexed="8"/>
            <rFont val="Arial"/>
            <family val="2"/>
          </rPr>
          <t># #20.15 #</t>
        </r>
      </text>
    </comment>
    <comment ref="B14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48" authorId="0">
      <text>
        <r>
          <rPr>
            <sz val="8"/>
            <color indexed="8"/>
            <rFont val="Arial"/>
            <family val="2"/>
          </rPr>
          <t># #20.16 #</t>
        </r>
      </text>
    </comment>
    <comment ref="B149" authorId="0">
      <text>
        <r>
          <rPr>
            <sz val="8"/>
            <color indexed="8"/>
            <rFont val="Arial"/>
            <family val="2"/>
          </rPr>
          <t># #20.17 #</t>
        </r>
      </text>
    </comment>
    <comment ref="B15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1" authorId="0">
      <text>
        <r>
          <rPr>
            <sz val="8"/>
            <color indexed="8"/>
            <rFont val="Arial"/>
            <family val="2"/>
          </rPr>
          <t># #20.18 #</t>
        </r>
      </text>
    </comment>
    <comment ref="B152" authorId="0">
      <text>
        <r>
          <rPr>
            <sz val="8"/>
            <color indexed="8"/>
            <rFont val="Arial"/>
            <family val="2"/>
          </rPr>
          <t># #20.19 #</t>
        </r>
      </text>
    </comment>
    <comment ref="B15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4" authorId="0">
      <text>
        <r>
          <rPr>
            <sz val="8"/>
            <color indexed="8"/>
            <rFont val="Arial"/>
            <family val="2"/>
          </rPr>
          <t># #30.1 #</t>
        </r>
      </text>
    </comment>
    <comment ref="B155" authorId="0">
      <text>
        <r>
          <rPr>
            <sz val="8"/>
            <color indexed="8"/>
            <rFont val="Arial"/>
            <family val="2"/>
          </rPr>
          <t># #30.2 #</t>
        </r>
      </text>
    </comment>
    <comment ref="B15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57" authorId="0">
      <text>
        <r>
          <rPr>
            <sz val="8"/>
            <color indexed="8"/>
            <rFont val="Arial"/>
            <family val="2"/>
          </rPr>
          <t># #30.3 #</t>
        </r>
      </text>
    </comment>
    <comment ref="B158" authorId="0">
      <text>
        <r>
          <rPr>
            <sz val="8"/>
            <color indexed="8"/>
            <rFont val="Arial"/>
            <family val="2"/>
          </rPr>
          <t># #30.4 #</t>
        </r>
      </text>
    </comment>
    <comment ref="B15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1" authorId="0">
      <text>
        <r>
          <rPr>
            <sz val="8"/>
            <color indexed="8"/>
            <rFont val="Arial"/>
            <family val="2"/>
          </rPr>
          <t># #30.5 #</t>
        </r>
      </text>
    </comment>
    <comment ref="B162" authorId="0">
      <text>
        <r>
          <rPr>
            <sz val="8"/>
            <color indexed="8"/>
            <rFont val="Arial"/>
            <family val="2"/>
          </rPr>
          <t># #30.6 #</t>
        </r>
      </text>
    </comment>
    <comment ref="B16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4" authorId="0">
      <text>
        <r>
          <rPr>
            <sz val="8"/>
            <color indexed="8"/>
            <rFont val="Arial"/>
            <family val="2"/>
          </rPr>
          <t># #30.7 #</t>
        </r>
      </text>
    </comment>
    <comment ref="B165" authorId="0">
      <text>
        <r>
          <rPr>
            <sz val="8"/>
            <color indexed="8"/>
            <rFont val="Arial"/>
            <family val="2"/>
          </rPr>
          <t># #30.8 #</t>
        </r>
      </text>
    </comment>
    <comment ref="B16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67" authorId="0">
      <text>
        <r>
          <rPr>
            <sz val="8"/>
            <color indexed="8"/>
            <rFont val="Arial"/>
            <family val="2"/>
          </rPr>
          <t># #30.9 #</t>
        </r>
      </text>
    </comment>
    <comment ref="B168" authorId="0">
      <text>
        <r>
          <rPr>
            <sz val="8"/>
            <color indexed="8"/>
            <rFont val="Arial"/>
            <family val="2"/>
          </rPr>
          <t># #30.11 #</t>
        </r>
      </text>
    </comment>
    <comment ref="B16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70" authorId="0">
      <text>
        <r>
          <rPr>
            <sz val="8"/>
            <color indexed="8"/>
            <rFont val="Arial"/>
            <family val="2"/>
          </rPr>
          <t># #30.12 #</t>
        </r>
      </text>
    </comment>
    <comment ref="B171" authorId="0">
      <text>
        <r>
          <rPr>
            <sz val="8"/>
            <color indexed="8"/>
            <rFont val="Arial"/>
            <family val="2"/>
          </rPr>
          <t># #30.13 #</t>
        </r>
      </text>
    </comment>
    <comment ref="B17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173" authorId="0">
      <text>
        <r>
          <rPr>
            <sz val="8"/>
            <color indexed="8"/>
            <rFont val="Arial"/>
            <family val="2"/>
          </rPr>
          <t># #30.14 #</t>
        </r>
      </text>
    </comment>
    <comment ref="B174" authorId="0">
      <text>
        <r>
          <rPr>
            <sz val="8"/>
            <color indexed="8"/>
            <rFont val="Arial"/>
            <family val="2"/>
          </rPr>
          <t># #30.15 #</t>
        </r>
      </text>
    </comment>
    <comment ref="B175" authorId="0">
      <text>
        <r>
          <rPr>
            <sz val="8"/>
            <color indexed="8"/>
            <rFont val="Arial"/>
            <family val="2"/>
          </rPr>
          <t>#1.3 #1.3 #</t>
        </r>
      </text>
    </comment>
    <comment ref="B176" authorId="0">
      <text>
        <r>
          <rPr>
            <sz val="8"/>
            <color indexed="8"/>
            <rFont val="Arial"/>
            <family val="2"/>
          </rPr>
          <t>#1.3.1 #1.3.1 #1.2</t>
        </r>
      </text>
    </comment>
    <comment ref="B177" authorId="0">
      <text>
        <r>
          <rPr>
            <sz val="8"/>
            <color indexed="8"/>
            <rFont val="Arial"/>
            <family val="2"/>
          </rPr>
          <t># #1.3.1.3 #</t>
        </r>
      </text>
    </comment>
    <comment ref="B178" authorId="0">
      <text>
        <r>
          <rPr>
            <sz val="8"/>
            <color indexed="8"/>
            <rFont val="Arial"/>
            <family val="2"/>
          </rPr>
          <t># #1.3.1.3.1 #</t>
        </r>
      </text>
    </comment>
    <comment ref="B179" authorId="0">
      <text>
        <r>
          <rPr>
            <sz val="8"/>
            <color indexed="8"/>
            <rFont val="Arial"/>
            <family val="2"/>
          </rPr>
          <t># #1.3.1.3.1.1 #</t>
        </r>
      </text>
    </comment>
    <comment ref="B180" authorId="0">
      <text>
        <r>
          <rPr>
            <sz val="8"/>
            <color indexed="8"/>
            <rFont val="Arial"/>
            <family val="2"/>
          </rPr>
          <t># #1.3.1.3.1.2 #</t>
        </r>
      </text>
    </comment>
    <comment ref="N180" authorId="2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тариф декабря 2022г
</t>
        </r>
      </text>
    </comment>
    <comment ref="B181" authorId="0">
      <text>
        <r>
          <rPr>
            <sz val="8"/>
            <color indexed="8"/>
            <rFont val="Arial"/>
            <family val="2"/>
          </rPr>
          <t># #1.3.1.3.2 #</t>
        </r>
      </text>
    </comment>
    <comment ref="B182" authorId="0">
      <text>
        <r>
          <rPr>
            <sz val="8"/>
            <color indexed="8"/>
            <rFont val="Arial"/>
            <family val="2"/>
          </rPr>
          <t># #1.3.1.3.2.1 #</t>
        </r>
      </text>
    </comment>
    <comment ref="B183" authorId="0">
      <text>
        <r>
          <rPr>
            <sz val="8"/>
            <color indexed="8"/>
            <rFont val="Arial"/>
            <family val="2"/>
          </rPr>
          <t># #1.3.1.3.2.2 #</t>
        </r>
      </text>
    </comment>
    <comment ref="B184" authorId="0">
      <text>
        <r>
          <rPr>
            <sz val="8"/>
            <color indexed="8"/>
            <rFont val="Arial"/>
            <family val="2"/>
          </rPr>
          <t># #1.3.1.3.3 #</t>
        </r>
      </text>
    </comment>
    <comment ref="B185" authorId="0">
      <text>
        <r>
          <rPr>
            <sz val="8"/>
            <color indexed="8"/>
            <rFont val="Arial"/>
            <family val="2"/>
          </rPr>
          <t># #1.3.1.3.3.1 #</t>
        </r>
      </text>
    </comment>
    <comment ref="B186" authorId="0">
      <text>
        <r>
          <rPr>
            <sz val="8"/>
            <color indexed="8"/>
            <rFont val="Arial"/>
            <family val="2"/>
          </rPr>
          <t># #1.3.1.3.3.2 #</t>
        </r>
      </text>
    </comment>
    <comment ref="B187" authorId="0">
      <text>
        <r>
          <rPr>
            <sz val="8"/>
            <color indexed="8"/>
            <rFont val="Arial"/>
            <family val="2"/>
          </rPr>
          <t>#1.3.1.3 #1.3.1.3.4 #1.2.4</t>
        </r>
      </text>
    </comment>
    <comment ref="B188" authorId="0">
      <text>
        <r>
          <rPr>
            <sz val="8"/>
            <color indexed="8"/>
            <rFont val="Arial"/>
            <family val="2"/>
          </rPr>
          <t>#1.3.1.1 #1.3.1.1 #1.2.2</t>
        </r>
      </text>
    </comment>
    <comment ref="B189" authorId="0">
      <text>
        <r>
          <rPr>
            <sz val="8"/>
            <color indexed="8"/>
            <rFont val="Arial"/>
            <family val="2"/>
          </rPr>
          <t>#44. #30.16 #44.</t>
        </r>
      </text>
    </comment>
    <comment ref="B190" authorId="0">
      <text>
        <r>
          <rPr>
            <sz val="8"/>
            <color indexed="8"/>
            <rFont val="Arial"/>
            <family val="2"/>
          </rPr>
          <t>#43. #30.17 #43.</t>
        </r>
      </text>
    </comment>
    <comment ref="B191" authorId="0">
      <text>
        <r>
          <rPr>
            <sz val="8"/>
            <color indexed="8"/>
            <rFont val="Arial"/>
            <family val="2"/>
          </rPr>
          <t>#1.3.1.2 #1.3.1.2 #1.2.3</t>
        </r>
      </text>
    </comment>
    <comment ref="B192" authorId="0">
      <text>
        <r>
          <rPr>
            <sz val="8"/>
            <color indexed="8"/>
            <rFont val="Arial"/>
            <family val="2"/>
          </rPr>
          <t>#1.3.1.4 #1.3.1.4 #</t>
        </r>
      </text>
    </comment>
    <comment ref="B193" authorId="0">
      <text>
        <r>
          <rPr>
            <sz val="8"/>
            <color indexed="8"/>
            <rFont val="Arial"/>
            <family val="2"/>
          </rPr>
          <t>#38. #1.3.1.4.1 #</t>
        </r>
      </text>
    </comment>
    <comment ref="B194" authorId="0">
      <text>
        <r>
          <rPr>
            <sz val="8"/>
            <color indexed="8"/>
            <rFont val="Arial"/>
            <family val="2"/>
          </rPr>
          <t>#37. #1.3.1.4.2 #</t>
        </r>
      </text>
    </comment>
    <comment ref="B195" authorId="0">
      <text>
        <r>
          <rPr>
            <sz val="8"/>
            <color indexed="8"/>
            <rFont val="Arial"/>
            <family val="2"/>
          </rPr>
          <t>#1.3.1.5 #1.3.1.5 #1.2.5</t>
        </r>
      </text>
    </comment>
    <comment ref="B196" authorId="0">
      <text>
        <r>
          <rPr>
            <sz val="8"/>
            <color indexed="8"/>
            <rFont val="Arial"/>
            <family val="2"/>
          </rPr>
          <t>#46. #1.2.5.2 #46.</t>
        </r>
      </text>
    </comment>
    <comment ref="B197" authorId="0">
      <text>
        <r>
          <rPr>
            <sz val="8"/>
            <color indexed="8"/>
            <rFont val="Arial"/>
            <family val="2"/>
          </rPr>
          <t>#45. #1.2.5.1 #45.</t>
        </r>
      </text>
    </comment>
    <comment ref="B198" authorId="0">
      <text>
        <r>
          <rPr>
            <sz val="8"/>
            <color indexed="8"/>
            <rFont val="Arial"/>
            <family val="2"/>
          </rPr>
          <t>#1.3.1.8 #1.3.1.7 #</t>
        </r>
      </text>
    </comment>
    <comment ref="B199" authorId="0">
      <text>
        <r>
          <rPr>
            <sz val="8"/>
            <color indexed="8"/>
            <rFont val="Arial"/>
            <family val="2"/>
          </rPr>
          <t>#1.3.1.9 #1.3.1.8 #</t>
        </r>
      </text>
    </comment>
    <comment ref="B200" authorId="0">
      <text>
        <r>
          <rPr>
            <sz val="8"/>
            <color indexed="8"/>
            <rFont val="Arial"/>
            <family val="2"/>
          </rPr>
          <t>#1.3.1.10 #1.3.1.9 #</t>
        </r>
      </text>
    </comment>
    <comment ref="B201" authorId="0">
      <text>
        <r>
          <rPr>
            <sz val="8"/>
            <color indexed="8"/>
            <rFont val="Arial"/>
            <family val="2"/>
          </rPr>
          <t>#1.3.1.11 #1.3.1.11 #</t>
        </r>
      </text>
    </comment>
    <comment ref="B202" authorId="0">
      <text>
        <r>
          <rPr>
            <sz val="8"/>
            <color indexed="8"/>
            <rFont val="Arial"/>
            <family val="2"/>
          </rPr>
          <t>#42. #1.3.1.11.1 #42.</t>
        </r>
      </text>
    </comment>
    <comment ref="B203" authorId="0">
      <text>
        <r>
          <rPr>
            <sz val="8"/>
            <color indexed="8"/>
            <rFont val="Arial"/>
            <family val="2"/>
          </rPr>
          <t>#41. #1.3.1.11.2 #41.</t>
        </r>
      </text>
    </comment>
    <comment ref="B204" authorId="0">
      <text>
        <r>
          <rPr>
            <sz val="8"/>
            <color indexed="8"/>
            <rFont val="Arial"/>
            <family val="2"/>
          </rPr>
          <t>#1.3.1.12 #1.3.1.12 #</t>
        </r>
      </text>
    </comment>
    <comment ref="B205" authorId="0">
      <text>
        <r>
          <rPr>
            <sz val="8"/>
            <color indexed="8"/>
            <rFont val="Arial"/>
            <family val="2"/>
          </rPr>
          <t>#40. #1.3.1.12.1 #</t>
        </r>
      </text>
    </comment>
    <comment ref="B206" authorId="0">
      <text>
        <r>
          <rPr>
            <sz val="8"/>
            <color indexed="8"/>
            <rFont val="Arial"/>
            <family val="2"/>
          </rPr>
          <t>#39. #1.3.1.12.2 #</t>
        </r>
      </text>
    </comment>
    <comment ref="B208" authorId="0">
      <text>
        <r>
          <rPr>
            <sz val="8"/>
            <color indexed="8"/>
            <rFont val="Arial"/>
            <family val="2"/>
          </rPr>
          <t>#1.3.2 #1.3.2 #7.</t>
        </r>
      </text>
    </comment>
    <comment ref="B209" authorId="0">
      <text>
        <r>
          <rPr>
            <sz val="8"/>
            <color indexed="8"/>
            <rFont val="Arial"/>
            <family val="2"/>
          </rPr>
          <t>#1.3.2.1 #1.3.2.1 #7.1</t>
        </r>
      </text>
    </comment>
    <comment ref="B210" authorId="0">
      <text>
        <r>
          <rPr>
            <sz val="8"/>
            <color indexed="8"/>
            <rFont val="Arial"/>
            <family val="2"/>
          </rPr>
          <t>#1.3.2.2 #1.3.2.2 #7.2</t>
        </r>
      </text>
    </comment>
    <comment ref="B211" authorId="0">
      <text>
        <r>
          <rPr>
            <sz val="8"/>
            <color indexed="8"/>
            <rFont val="Arial"/>
            <family val="2"/>
          </rPr>
          <t>#1.3.2.3 #1.3.2.3 #7.5</t>
        </r>
      </text>
    </comment>
    <comment ref="B212" authorId="0">
      <text>
        <r>
          <rPr>
            <sz val="8"/>
            <color indexed="8"/>
            <rFont val="Arial"/>
            <family val="2"/>
          </rPr>
          <t>#1.3.2.4 #1.3.2.4 #7.4</t>
        </r>
      </text>
    </comment>
    <comment ref="B213" authorId="0">
      <text>
        <r>
          <rPr>
            <sz val="8"/>
            <color indexed="8"/>
            <rFont val="Arial"/>
            <family val="2"/>
          </rPr>
          <t>#1.3.2.4.1 #1.3.2.4.1 #7.4</t>
        </r>
      </text>
    </comment>
    <comment ref="B214" authorId="0">
      <text>
        <r>
          <rPr>
            <sz val="8"/>
            <color indexed="8"/>
            <rFont val="Arial"/>
            <family val="2"/>
          </rPr>
          <t>#1.3.2.5 #1.3.2.4.2 #</t>
        </r>
      </text>
    </comment>
    <comment ref="B215" authorId="0">
      <text>
        <r>
          <rPr>
            <sz val="8"/>
            <color indexed="8"/>
            <rFont val="Arial"/>
            <family val="2"/>
          </rPr>
          <t>#1.3.2.6 #1.3.2.6 #7.6</t>
        </r>
      </text>
    </comment>
    <comment ref="B216" authorId="0">
      <text>
        <r>
          <rPr>
            <sz val="8"/>
            <color indexed="8"/>
            <rFont val="Arial"/>
            <family val="2"/>
          </rPr>
          <t>#1.3.2.7 #1.3.2.7 #7.3</t>
        </r>
      </text>
    </comment>
    <comment ref="B217" authorId="0">
      <text>
        <r>
          <rPr>
            <sz val="8"/>
            <color indexed="8"/>
            <rFont val="Arial"/>
            <family val="2"/>
          </rPr>
          <t>#1.3.2.8 #1.3.2.8 #7.7</t>
        </r>
      </text>
    </comment>
    <comment ref="B218" authorId="0">
      <text>
        <r>
          <rPr>
            <sz val="8"/>
            <color indexed="8"/>
            <rFont val="Arial"/>
            <family val="2"/>
          </rPr>
          <t>#1.3.3 #1.3.3 #6.</t>
        </r>
      </text>
    </comment>
    <comment ref="B219" authorId="0">
      <text>
        <r>
          <rPr>
            <sz val="8"/>
            <color indexed="8"/>
            <rFont val="Arial"/>
            <family val="2"/>
          </rPr>
          <t>#1.3.3 #1.3.3 #6.1</t>
        </r>
      </text>
    </comment>
    <comment ref="B220" authorId="0">
      <text>
        <r>
          <rPr>
            <sz val="8"/>
            <color indexed="8"/>
            <rFont val="Arial"/>
            <family val="2"/>
          </rPr>
          <t># # #6.2</t>
        </r>
      </text>
    </comment>
    <comment ref="B221" authorId="0">
      <text>
        <r>
          <rPr>
            <sz val="8"/>
            <color indexed="8"/>
            <rFont val="Arial"/>
            <family val="2"/>
          </rPr>
          <t># # #6.3</t>
        </r>
      </text>
    </comment>
    <comment ref="B222" authorId="0">
      <text>
        <r>
          <rPr>
            <sz val="8"/>
            <color indexed="8"/>
            <rFont val="Arial"/>
            <family val="2"/>
          </rPr>
          <t># # #6.4</t>
        </r>
      </text>
    </comment>
    <comment ref="B22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24" authorId="0">
      <text>
        <r>
          <rPr>
            <sz val="8"/>
            <color indexed="8"/>
            <rFont val="Arial"/>
            <family val="2"/>
          </rPr>
          <t>#1.3.6 #1.3.6 #</t>
        </r>
      </text>
    </comment>
    <comment ref="B225" authorId="0">
      <text>
        <r>
          <rPr>
            <sz val="8"/>
            <color indexed="8"/>
            <rFont val="Arial"/>
            <family val="2"/>
          </rPr>
          <t>#1.3.7 #1.3.7 #</t>
        </r>
      </text>
    </comment>
    <comment ref="B226" authorId="0">
      <text>
        <r>
          <rPr>
            <sz val="8"/>
            <color indexed="8"/>
            <rFont val="Arial"/>
            <family val="2"/>
          </rPr>
          <t>#1.3.8 #1.3.8 #</t>
        </r>
      </text>
    </comment>
    <comment ref="B227" authorId="0">
      <text>
        <r>
          <rPr>
            <sz val="8"/>
            <color indexed="8"/>
            <rFont val="Arial"/>
            <family val="2"/>
          </rPr>
          <t>#1.3.8 #1.3.8 #</t>
        </r>
      </text>
    </comment>
    <comment ref="B22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2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30" authorId="0">
      <text>
        <r>
          <rPr>
            <sz val="8"/>
            <color indexed="8"/>
            <rFont val="Arial"/>
            <family val="2"/>
          </rPr>
          <t>#1.3.9 #1.3.9 #</t>
        </r>
      </text>
    </comment>
    <comment ref="B231" authorId="0">
      <text>
        <r>
          <rPr>
            <sz val="8"/>
            <color indexed="8"/>
            <rFont val="Arial"/>
            <family val="2"/>
          </rPr>
          <t>#1.3.9.1 #1.3.9.1 #</t>
        </r>
      </text>
    </comment>
    <comment ref="B232" authorId="0">
      <text>
        <r>
          <rPr>
            <sz val="8"/>
            <color indexed="8"/>
            <rFont val="Arial"/>
            <family val="2"/>
          </rPr>
          <t>#1.3.9.2 #1.3.9.2 #</t>
        </r>
      </text>
    </comment>
    <comment ref="B236" authorId="0">
      <text>
        <r>
          <rPr>
            <sz val="8"/>
            <color indexed="8"/>
            <rFont val="Arial"/>
            <family val="2"/>
          </rPr>
          <t>#2. #2. #5.</t>
        </r>
      </text>
    </comment>
    <comment ref="B237" authorId="0">
      <text>
        <r>
          <rPr>
            <sz val="8"/>
            <color indexed="8"/>
            <rFont val="Arial"/>
            <family val="2"/>
          </rPr>
          <t>#2. #2. #5.</t>
        </r>
      </text>
    </comment>
    <comment ref="N237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пераспределение амортизации сч.26 между очисткой и транспортировкой стоков</t>
        </r>
      </text>
    </comment>
    <comment ref="B238" authorId="0">
      <text>
        <r>
          <rPr>
            <sz val="8"/>
            <color indexed="8"/>
            <rFont val="Arial"/>
            <family val="2"/>
          </rPr>
          <t>#25. #25. #25.</t>
        </r>
      </text>
    </comment>
    <comment ref="B239" authorId="0">
      <text>
        <r>
          <rPr>
            <sz val="8"/>
            <color indexed="8"/>
            <rFont val="Arial"/>
            <family val="2"/>
          </rPr>
          <t>#4. #3. #9.</t>
        </r>
      </text>
    </comment>
    <comment ref="B240" authorId="0">
      <text>
        <r>
          <rPr>
            <sz val="8"/>
            <color indexed="8"/>
            <rFont val="Arial"/>
            <family val="2"/>
          </rPr>
          <t>#4.2 #3.2 #9.3</t>
        </r>
      </text>
    </comment>
    <comment ref="B241" authorId="0">
      <text>
        <r>
          <rPr>
            <sz val="8"/>
            <color indexed="8"/>
            <rFont val="Arial"/>
            <family val="2"/>
          </rPr>
          <t># # #9.1</t>
        </r>
      </text>
    </comment>
    <comment ref="B242" authorId="0">
      <text>
        <r>
          <rPr>
            <sz val="8"/>
            <color indexed="8"/>
            <rFont val="Arial"/>
            <family val="2"/>
          </rPr>
          <t>#4.1 #3.1 #9.2</t>
        </r>
      </text>
    </comment>
    <comment ref="B24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48" authorId="0">
      <text>
        <r>
          <rPr>
            <sz val="8"/>
            <color indexed="8"/>
            <rFont val="Arial"/>
            <family val="2"/>
          </rPr>
          <t># #40.9 #</t>
        </r>
      </text>
    </comment>
    <comment ref="B249" authorId="0">
      <text>
        <r>
          <rPr>
            <sz val="8"/>
            <color indexed="8"/>
            <rFont val="Arial"/>
            <family val="2"/>
          </rPr>
          <t># #40.11 #</t>
        </r>
      </text>
    </comment>
    <comment ref="B250" authorId="0">
      <text>
        <r>
          <rPr>
            <sz val="8"/>
            <color indexed="8"/>
            <rFont val="Arial"/>
            <family val="2"/>
          </rPr>
          <t># #40.12 #</t>
        </r>
      </text>
    </comment>
    <comment ref="B251" authorId="0">
      <text>
        <r>
          <rPr>
            <sz val="8"/>
            <color indexed="8"/>
            <rFont val="Arial"/>
            <family val="2"/>
          </rPr>
          <t># #40.13 #</t>
        </r>
      </text>
    </comment>
    <comment ref="B25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5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0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1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2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3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4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5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6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7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8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69" authorId="0">
      <text>
        <r>
          <rPr>
            <sz val="8"/>
            <color indexed="8"/>
            <rFont val="Arial"/>
            <family val="2"/>
          </rPr>
          <t># # #</t>
        </r>
      </text>
    </comment>
    <comment ref="B270" authorId="0">
      <text>
        <r>
          <rPr>
            <sz val="8"/>
            <color indexed="8"/>
            <rFont val="Arial"/>
            <family val="2"/>
          </rPr>
          <t>#5. #4. #10.</t>
        </r>
      </text>
    </comment>
  </commentList>
</comments>
</file>

<file path=xl/comments9.xml><?xml version="1.0" encoding="utf-8"?>
<comments xmlns="http://schemas.openxmlformats.org/spreadsheetml/2006/main">
  <authors>
    <author>a.knyazkina</author>
    <author>Гришечкина Татьяна Михайловна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2021г ул.Азаровская
</t>
        </r>
      </text>
    </comment>
    <comment ref="J6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ул.Кутузова
</t>
        </r>
      </text>
    </comment>
    <comment ref="J7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2021г пер. 2-ой Тульский
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ул.Кутузова
</t>
        </r>
      </text>
    </comment>
    <comment ref="J9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ПЗП Фуяо Грабцево</t>
        </r>
      </text>
    </comment>
    <comment ref="J11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2021г пер. 2-ой Тульский
</t>
        </r>
      </text>
    </comment>
    <comment ref="J14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ул.Кутузова
</t>
        </r>
      </text>
    </comment>
    <comment ref="J15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2021г ул.Азаровская
</t>
        </r>
      </text>
    </comment>
    <comment ref="J17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2021г пер. 2-ой Тульский
</t>
        </r>
      </text>
    </comment>
    <comment ref="J19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2021г пер. 2-ой Тульский
</t>
        </r>
      </text>
    </comment>
    <comment ref="J20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2021г пер. 2-ой Тульский
</t>
        </r>
      </text>
    </comment>
    <comment ref="J21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ул.Новорежская
</t>
        </r>
      </text>
    </comment>
    <comment ref="J22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ул.Новорежская
</t>
        </r>
      </text>
    </comment>
    <comment ref="J25" authorId="1">
      <text>
        <r>
          <rPr>
            <b/>
            <sz val="9"/>
            <color indexed="81"/>
            <rFont val="Tahoma"/>
            <family val="2"/>
            <charset val="204"/>
          </rPr>
          <t>Гришечкина Татьяна Михайловна:</t>
        </r>
        <r>
          <rPr>
            <sz val="9"/>
            <color indexed="81"/>
            <rFont val="Tahoma"/>
            <family val="2"/>
            <charset val="204"/>
          </rPr>
          <t xml:space="preserve">
ПЗП ФУЯО Грабцево</t>
        </r>
      </text>
    </comment>
    <comment ref="J26" authorId="0">
      <text>
        <r>
          <rPr>
            <b/>
            <sz val="9"/>
            <color indexed="81"/>
            <rFont val="Tahoma"/>
            <family val="2"/>
            <charset val="204"/>
          </rPr>
          <t>a.knyazkina:</t>
        </r>
        <r>
          <rPr>
            <sz val="9"/>
            <color indexed="81"/>
            <rFont val="Tahoma"/>
            <family val="2"/>
            <charset val="204"/>
          </rPr>
          <t xml:space="preserve">
из БКД 2022г ул.Новорежская
</t>
        </r>
      </text>
    </comment>
  </commentList>
</comments>
</file>

<file path=xl/sharedStrings.xml><?xml version="1.0" encoding="utf-8"?>
<sst xmlns="http://schemas.openxmlformats.org/spreadsheetml/2006/main" count="37932" uniqueCount="15324">
  <si>
    <t>ВОДООТВЕДЕНИЕ</t>
  </si>
  <si>
    <t>1.4.</t>
  </si>
  <si>
    <t>1.3.</t>
  </si>
  <si>
    <t>1.2.</t>
  </si>
  <si>
    <t>1</t>
  </si>
  <si>
    <t>ВОДОСНАБЖЕНИЕ</t>
  </si>
  <si>
    <t>Абонент объекта капитального строительства</t>
  </si>
  <si>
    <t>Наименование мероприятия</t>
  </si>
  <si>
    <t xml:space="preserve">Наименование и местонахождение объекта капитального строительства </t>
  </si>
  <si>
    <t>строительно-монтажные работы</t>
  </si>
  <si>
    <t>проектирование и инженерно-геодезические изыскания</t>
  </si>
  <si>
    <t>№
п/п</t>
  </si>
  <si>
    <t>прочие работы</t>
  </si>
  <si>
    <t>услуги банка</t>
  </si>
  <si>
    <t>налог на прибыль</t>
  </si>
  <si>
    <t xml:space="preserve"> </t>
  </si>
  <si>
    <t>ИТОГО</t>
  </si>
  <si>
    <t>Водоотведение</t>
  </si>
  <si>
    <t>Водоснабжение</t>
  </si>
  <si>
    <t>Приложение 1</t>
  </si>
  <si>
    <t>Источники финансирования</t>
  </si>
  <si>
    <t>№ п/п</t>
  </si>
  <si>
    <t>водоснабжение</t>
  </si>
  <si>
    <t>водоотведение</t>
  </si>
  <si>
    <t>ВСЕГО</t>
  </si>
  <si>
    <t>1.1.</t>
  </si>
  <si>
    <t>2.1.</t>
  </si>
  <si>
    <t>2.2.</t>
  </si>
  <si>
    <t>3.1.</t>
  </si>
  <si>
    <t>3.2.</t>
  </si>
  <si>
    <t>5.1.</t>
  </si>
  <si>
    <t>5.2.</t>
  </si>
  <si>
    <t>2</t>
  </si>
  <si>
    <t>Строительство новых сетей водоснабжения, не связанных с подключением новых объектов капитального строительства</t>
  </si>
  <si>
    <t>Строительство иных объектов централизованных систем водоснабжения (за исключением сетей водоснабжения), не связанных с подключением новых объектов капитального строительства</t>
  </si>
  <si>
    <t>3</t>
  </si>
  <si>
    <t>Модернизация или реконструкция существующих сетей водоснабжения в целях снижения уровня износа существующих объектов</t>
  </si>
  <si>
    <t>Модернизация или реконструкция существующих объектов централизованных систем водоснабжения (за исключением сетей водоснабжения) в целях снижения уровня износа существующих объектов</t>
  </si>
  <si>
    <t>4</t>
  </si>
  <si>
    <t>5</t>
  </si>
  <si>
    <t xml:space="preserve">Вывод из эксплуатация, консервация и демонтаж сетей водоснабжения </t>
  </si>
  <si>
    <t>Вывод из эксплуатации, консервация и демонтаж иных объектов централизованных систем водоснабжения (за исключением сетей водоснабжения)</t>
  </si>
  <si>
    <t>Строительство новых сетей водоотведения, не связанных с подключением новых объектов капитального строительства</t>
  </si>
  <si>
    <t>Строительство иных объектов централизованных систем водоотведения (за исключением сетей водоснабжения), не связанных с подключением новых объектов капитального строительства</t>
  </si>
  <si>
    <t>Модернизация или реконструкция существующих сетей водоотведения в целях снижения уровня износа существующих объектов</t>
  </si>
  <si>
    <t>Модернизация или реконструкция существующих объектов централизованных систем водоотведения (за исключением сетей водоснабжения) в целях снижения уровня износа существующих объектов</t>
  </si>
  <si>
    <t>Вывод из эксплуатация, консервация и демонтаж сетей водоотведения</t>
  </si>
  <si>
    <t>Вывод из эксплуатации, консервация и демонтаж иных объектов централизованных систем водоотведения (за исключением сетей водоотведения)</t>
  </si>
  <si>
    <t>Всего, 
тыс. рублей с НДС</t>
  </si>
  <si>
    <t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t>
  </si>
  <si>
    <t>Источник финансирования</t>
  </si>
  <si>
    <t>ЗАО Строительная компания "Правый берег" (ЗАО СК Правый берег)</t>
  </si>
  <si>
    <t>ООО "СтройСервис" (АО ЦентрСпецСтрой)</t>
  </si>
  <si>
    <t xml:space="preserve"> Комплекс жилых домов по ул. Тарутинская. Мкр. «Малиновка-2», расположенный по адресу:  г.Калуга, ул.Тарутинская д.241, д.243</t>
  </si>
  <si>
    <t>ООО "Смолартстрой"</t>
  </si>
  <si>
    <t>Итого финансовые потребности, тыс. руб. без НДС</t>
  </si>
  <si>
    <t>Итого финансовые потребности, тыс. руб. с НДС</t>
  </si>
  <si>
    <t>плата за подключение в индивидуальном порядке</t>
  </si>
  <si>
    <t>м3/сутки</t>
  </si>
  <si>
    <t>Строительство запроектированного канализационного коллектора Д=315 мм  протяженностью 608,5 п.м. (открытым способом)
Строительство запроектированного канализационного коллектора Д=400 мм протяженностью 180 п.м. (методом ГНБ). Для труб использовать материал ПЭ.</t>
  </si>
  <si>
    <t>плата за подключение (по тарифам на подключение)</t>
  </si>
  <si>
    <t>Строительство водовода Д=225 мм протяженностью 48,5 п.м. и Д=160 мм протяженностью 204 п.м. от границы земельного участка до водопровода диаметром 225 мм</t>
  </si>
  <si>
    <t>Строительство самотечного канализационного коллектора Ду300мм. Протяженностью 151 п.м. со строительством смотровых канализационных колодцев диаметром 1500 мм - 3 шт. от пер.Дорожного до КНС "Ольговка"</t>
  </si>
  <si>
    <t>Реконструкция существующего самотечного канализационного коллектора (от ул. Грабцевское шоссе д. 22а до ул. Стекольная д. 4, согласно схемы),  с увеличением диаметра с Ду=800 мм. на ПЭ Ду=1000 мм, общей  протяженностью 260  п.м.</t>
  </si>
  <si>
    <t xml:space="preserve">Строительство новых сетей водоснабжения  в целях подключения объектов капитального строительства </t>
  </si>
  <si>
    <t xml:space="preserve">Строительство, модернизация и реконструкция объектов централизованных систем водоснабжения в целях подключения объектов капитального строительства </t>
  </si>
  <si>
    <t xml:space="preserve">Строительство иных объектов централизованных систем водоснабжения (за исключением сетей водоснабжения) </t>
  </si>
  <si>
    <t>Увеличение пропускной способности существующих сетей водоснабжения в целях подключения объектов капитального строительства</t>
  </si>
  <si>
    <t>Увеличение мощности и производительности существующих объектов централизованных систем водоснабжения  (за исключением сетей водоснабжения)</t>
  </si>
  <si>
    <t>Строительство новых объектов централизованных систем водоснабжения, не связанных с подключением новых объектов капитального строительства</t>
  </si>
  <si>
    <t>Модернизация или реконструкция существующих объектов централизованных систем водоснабжения в целях снижения уровня износа существующих объектов</t>
  </si>
  <si>
    <t>Осуществление мероприятий, направленных на повышение экологической эффективности, достижение плановых значений показателей надежности, качества и энергоэффективности объектов централизованных систем водоснабжения, не включенных в прочую группу мероприятий</t>
  </si>
  <si>
    <t>Вывод из эксплуатации, консервация и демонтаж объектов централизованных систем водоснабжения</t>
  </si>
  <si>
    <t xml:space="preserve">Строительство, модернизация и реконструкция объектов централизованных систем водоотведения в целях подключения объектов капитального строительства </t>
  </si>
  <si>
    <t xml:space="preserve">Строительство новых сетей водоотведения  в целях подключения объектов капитального строительства </t>
  </si>
  <si>
    <t xml:space="preserve">Строительство иных объектов централизованных систем водоотведения (за исключением сетей водоотведения ) </t>
  </si>
  <si>
    <t>Увеличение пропускной способности существующих сетей водоотведения в целях подключения объектов капитального строительства</t>
  </si>
  <si>
    <t>Увеличение мощности и производительности существующих объектов централизованных систем водоотведения (за исключением сетей водоотведения)</t>
  </si>
  <si>
    <t>Строительство новых объектов централизованных систем водоотведения, не связанных с подключением новых объектов капитального строительства</t>
  </si>
  <si>
    <t>Модернизация или реконструкция существующих объектов централизованных систем водоотведения в целях снижения уровня износа существующих объектов</t>
  </si>
  <si>
    <t>Осуществление мероприятий, направленных на повышение экологической эффективности, достижение плановых значений показателей надежности, качества и энергоэффективности объектов централизованных систем водоотведения, не включенных в прочие граппу мероприятий</t>
  </si>
  <si>
    <t>Вывод из эксплуатации, консервация и демонтаж объектов централизованных систем водоотведения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</si>
  <si>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</si>
  <si>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</si>
  <si>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</si>
  <si>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</si>
  <si>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</si>
  <si>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</si>
  <si>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</si>
  <si>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</si>
  <si>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1.1.10.</t>
  </si>
  <si>
    <t>1.1.11.</t>
  </si>
  <si>
    <t>1.2.1.</t>
  </si>
  <si>
    <t>1.3.1.</t>
  </si>
  <si>
    <t>1.3.2.</t>
  </si>
  <si>
    <t>1.3.3.</t>
  </si>
  <si>
    <t>1.3.4.</t>
  </si>
  <si>
    <t>1.4.1.</t>
  </si>
  <si>
    <t>1.4.2.</t>
  </si>
  <si>
    <t>4.1.</t>
  </si>
  <si>
    <t>4.2.</t>
  </si>
  <si>
    <t>1.4.3.</t>
  </si>
  <si>
    <t>10 м3/час</t>
  </si>
  <si>
    <t>5 м3/час</t>
  </si>
  <si>
    <t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t>
  </si>
  <si>
    <t>Нормативная прибыль</t>
  </si>
  <si>
    <t>Дата ввода в эксплуатацию</t>
  </si>
  <si>
    <t>График реализации мероприятий по годам, тыс. рублей</t>
  </si>
  <si>
    <t>График реализации мероприятий по годам, тыс. рублей с НДС</t>
  </si>
  <si>
    <t>Индустриальный парк «Грабцево» (с целью увеличения мощности системы (2 этажа)), расположенный по адресу: г. Калуга, Индустриальный парк «Грабцево»</t>
  </si>
  <si>
    <t xml:space="preserve">Строительство самотечного канализационного коллектора Д=150мм, с уклоном не менее 1000i=6, от площадки застройки до самотечного канализационного коллектора по ул. Знаменская, к существующему колодцу К1 открытым способом,  протяженностью 10 п.м.; </t>
  </si>
  <si>
    <t>«Многоквартирный жилой дом с подземными парковками» 12 этажей расположенному по адресу: г. Калуга,  пер. Баррикад, р-н д. 5, 13, 15, 17, 23, 29</t>
  </si>
  <si>
    <t>ООО «КалугаЭлитДевелопмент»</t>
  </si>
  <si>
    <t>Реконструкция существующего водопровода Ду-100 мм (чуг.) по пер.Баррикад от водопровода по ул. В. Андриановой. до водопровода по ул. Грабцевское шоссе с увеличением диаметра до Ду-200 мм (ПНД SDR 13,6), протяженностью 605 п.м, прокладку выполнить закрытым методом.</t>
  </si>
  <si>
    <t>1.1.4</t>
  </si>
  <si>
    <t>Проектирование и строительство систем водоотведения по адресу: г.Калуга, переулок 2-й Стекольный</t>
  </si>
  <si>
    <t>Строительство самотечного канализационного коллектора Д=200 мм, протяженность 600 п.м.; Установка КНС на 100 м3/сут.; Строительство напорного коллектора 2хД=63 мм, протяженностью 200 п.м. каждая.</t>
  </si>
  <si>
    <t>Строительство системы водоотведения по адресу: г.Калуга, ул. Овражная</t>
  </si>
  <si>
    <t>Проектирование и строительство систем водоснабжения по адресам:  г. Калуга, д. Мстихино, ул. Центральная, в районе д.д.1,1а,1б; г.Калуга, пер. Прудный, в районе д.д.1,1а,2,3,4,8</t>
  </si>
  <si>
    <t>1.1.2</t>
  </si>
  <si>
    <t>1.1.3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</si>
  <si>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</si>
  <si>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</si>
  <si>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</si>
  <si>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</si>
  <si>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</si>
  <si>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</si>
  <si>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</si>
  <si>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</si>
  <si>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</si>
  <si>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</si>
  <si>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</si>
  <si>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</si>
  <si>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</si>
  <si>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1.3.2</t>
  </si>
  <si>
    <t>1.3.3</t>
  </si>
  <si>
    <t>1.3.4</t>
  </si>
  <si>
    <t>1.3.5</t>
  </si>
  <si>
    <t>Строительство водовода Дн=315 мм от ул.Гурьянова до ул.Анненки  протяженностью 5799 п.м. (в том числе 147 п.м. методом ГНБ) с обустройством смотровых в/колодцев диметром 1,5м – 29 шт.</t>
  </si>
  <si>
    <t>1.3.6</t>
  </si>
  <si>
    <t>1.3.7</t>
  </si>
  <si>
    <t>1.3.8</t>
  </si>
  <si>
    <t>1.3.9</t>
  </si>
  <si>
    <t>Акционерное общество «Корпорация развития Калужской области»</t>
  </si>
  <si>
    <t>1.1.12.</t>
  </si>
  <si>
    <t>1.1.13.</t>
  </si>
  <si>
    <t>1.1.14.</t>
  </si>
  <si>
    <t>1.1.15.</t>
  </si>
  <si>
    <t>1.1.16.</t>
  </si>
  <si>
    <t xml:space="preserve"> бюджет муниципального образования</t>
  </si>
  <si>
    <t>№п/п</t>
  </si>
  <si>
    <t>Наименование объекта</t>
  </si>
  <si>
    <t>Максимальная суточная нагрузка, м.куб. в сутки</t>
  </si>
  <si>
    <t>Планируемый срок подключения</t>
  </si>
  <si>
    <t>Приложение №1</t>
  </si>
  <si>
    <t>к Техническому заданию</t>
  </si>
  <si>
    <t>на разработку инвестиционной программы</t>
  </si>
  <si>
    <t>по строительству ,реконструкции и модернизации объектов</t>
  </si>
  <si>
    <t>централизованной системы водоснабжения и(или) водоотведения</t>
  </si>
  <si>
    <t>муниципального образования "Город Калуга" на 2024-2028гг.</t>
  </si>
  <si>
    <t>Место расположения подключаемых объектов</t>
  </si>
  <si>
    <t>6</t>
  </si>
  <si>
    <t>10</t>
  </si>
  <si>
    <t>11</t>
  </si>
  <si>
    <t>12</t>
  </si>
  <si>
    <t>13</t>
  </si>
  <si>
    <t>14</t>
  </si>
  <si>
    <t>15</t>
  </si>
  <si>
    <t>г. Калуга, индустриальный парк «Грабцево»</t>
  </si>
  <si>
    <t>Наименование Заявителя</t>
  </si>
  <si>
    <t>ООО "КалугаЭлитДевелопмент"</t>
  </si>
  <si>
    <t>г. Калуга, пер. Баррикад 5, 11, 13, 15, 17, 23,29</t>
  </si>
  <si>
    <t>АО СЗ КОШЕЛЕВ-ПРОЕКТ</t>
  </si>
  <si>
    <t xml:space="preserve"> г. Калуга, ул. Верховая, дома №124-138</t>
  </si>
  <si>
    <t>Жилые дома</t>
  </si>
  <si>
    <t>ООО КОМЕТА</t>
  </si>
  <si>
    <t>г. Калуга, ул. Серафима Туликова</t>
  </si>
  <si>
    <t>Жилой дом 17 этажей</t>
  </si>
  <si>
    <t>ГКУ КО «Управление капитального строительства»</t>
  </si>
  <si>
    <t>г. Калуга, ул. Фомушина – ул. Генерала Попова</t>
  </si>
  <si>
    <t>Дягтярева Галина Петровна</t>
  </si>
  <si>
    <t>Старинский В.В.</t>
  </si>
  <si>
    <t>Соколова О.В.
Соколова С.Н.</t>
  </si>
  <si>
    <t>Богатырев И. Н.</t>
  </si>
  <si>
    <t>ГБУЗ КО Городская Поликлиника</t>
  </si>
  <si>
    <t>Давыдиков В.С</t>
  </si>
  <si>
    <t>Полякова Ю.М.</t>
  </si>
  <si>
    <t>Устинов К.И</t>
  </si>
  <si>
    <t>Фирсанова Н.Г.</t>
  </si>
  <si>
    <t>ГБУЗ КО КГБ №5</t>
  </si>
  <si>
    <t>Исмаилова Ш. Б.</t>
  </si>
  <si>
    <t>Романов А.Г.</t>
  </si>
  <si>
    <t>Добрыднев Р.Б.</t>
  </si>
  <si>
    <t>Арутюнян М.М.</t>
  </si>
  <si>
    <t>Будыка О.Ф.</t>
  </si>
  <si>
    <t>Коваль А.П.</t>
  </si>
  <si>
    <t>Калабушева М.В.</t>
  </si>
  <si>
    <t>Якушкина Е.А.</t>
  </si>
  <si>
    <t>Калужская областная больница №5</t>
  </si>
  <si>
    <t>Акопян Ж.С.</t>
  </si>
  <si>
    <t>Демидов Д.Н</t>
  </si>
  <si>
    <t>Анфалов О.К.</t>
  </si>
  <si>
    <t>Новиков Е.А.</t>
  </si>
  <si>
    <t>Асцатуров К.Г.</t>
  </si>
  <si>
    <t>16</t>
  </si>
  <si>
    <t>17</t>
  </si>
  <si>
    <t>18</t>
  </si>
  <si>
    <t>19</t>
  </si>
  <si>
    <t xml:space="preserve"> г. Калуга, ул. Верховая, д.34в
</t>
  </si>
  <si>
    <t xml:space="preserve"> г. Калуга, ул. Подвойского, д. 6
</t>
  </si>
  <si>
    <t>Здание</t>
  </si>
  <si>
    <t xml:space="preserve">г. Калуга, ул. Черновская  </t>
  </si>
  <si>
    <t>Рулев А.Н.</t>
  </si>
  <si>
    <t>ООО МаxСтрой</t>
  </si>
  <si>
    <t>Татаринцев П. В.</t>
  </si>
  <si>
    <t>Левин А.И.</t>
  </si>
  <si>
    <t>ООО Астрея</t>
  </si>
  <si>
    <t>Конов А.Г.</t>
  </si>
  <si>
    <t>Ермаков С.В.</t>
  </si>
  <si>
    <t>ЗАО Калужский спичечно-мебельный комбинат Гигант</t>
  </si>
  <si>
    <t>ООО Спорт Парк</t>
  </si>
  <si>
    <t>Чернов Д.Ю.</t>
  </si>
  <si>
    <t>Кирин Д.Ю</t>
  </si>
  <si>
    <t xml:space="preserve"> г. Калуга, д. Михалево
</t>
  </si>
  <si>
    <t xml:space="preserve">г. Калуга, ул. Минская, д. 40
</t>
  </si>
  <si>
    <t xml:space="preserve"> г. Калуга, д. Карачево, 
</t>
  </si>
  <si>
    <t>Помещение</t>
  </si>
  <si>
    <t>Долгополов Б.А.</t>
  </si>
  <si>
    <t>Медведева О.Е.</t>
  </si>
  <si>
    <t>Алешин А.Ю.</t>
  </si>
  <si>
    <t>Аксенов Д.В.</t>
  </si>
  <si>
    <t xml:space="preserve"> г. Калуга, земельный уч.
</t>
  </si>
  <si>
    <t xml:space="preserve">г. Калуга, д.Черносвитино
</t>
  </si>
  <si>
    <t>ООО СЗ КВАРТАЛ</t>
  </si>
  <si>
    <t>Яковлева Е.В</t>
  </si>
  <si>
    <t xml:space="preserve"> г. Калуга, д. Галкино, д.7
</t>
  </si>
  <si>
    <t xml:space="preserve">г. Калуга,  ул. Московская, 289
</t>
  </si>
  <si>
    <t xml:space="preserve"> г. Калуга, ул. Тарутинская, д.205а
</t>
  </si>
  <si>
    <t xml:space="preserve">г. Калуга, с. Росва, ул. Садовая, д.12а
</t>
  </si>
  <si>
    <t xml:space="preserve">г. Калуга, ул. Александра Матросова, д.27
</t>
  </si>
  <si>
    <t xml:space="preserve">г. Калуга, д. Тинино, ул. Дачная, д. 2
</t>
  </si>
  <si>
    <t xml:space="preserve">г. Калуга, с. Росва, ул. Московская, д.5в
</t>
  </si>
  <si>
    <t>ООО «ПроШкола№2»</t>
  </si>
  <si>
    <t>г. Калуга, ул. Байконурская</t>
  </si>
  <si>
    <t>ЗАО Калугагазстрой</t>
  </si>
  <si>
    <t>Нежилое здание для реализации общеобразовательных программ в г. Калуге на 1300 мест</t>
  </si>
  <si>
    <t>г. Калуга, ул. Ермоловская</t>
  </si>
  <si>
    <t xml:space="preserve">г. Калуга, ул. Резванская, д. 7
</t>
  </si>
  <si>
    <t>Смирнова О.В</t>
  </si>
  <si>
    <t>Климов А.В</t>
  </si>
  <si>
    <t>Никулин А.В.</t>
  </si>
  <si>
    <t>Катан П.М.</t>
  </si>
  <si>
    <t>Арцышевский С.В.</t>
  </si>
  <si>
    <t>Мазурин И.И.</t>
  </si>
  <si>
    <t>Козлов С.А.</t>
  </si>
  <si>
    <t>ООО ПК ЕВРОФАСАД</t>
  </si>
  <si>
    <t>Коцоев А.М.</t>
  </si>
  <si>
    <t>Конов Р. А., Левин А.И.</t>
  </si>
  <si>
    <t>Коротченко П.А.</t>
  </si>
  <si>
    <t>Бородей, Семихатская</t>
  </si>
  <si>
    <t>Космин П.А.</t>
  </si>
  <si>
    <t>Виноградов И.Ю.</t>
  </si>
  <si>
    <t>Пучкова А.В. Пучков П.И.</t>
  </si>
  <si>
    <t xml:space="preserve">Перечень мероприятий по подготовке проектной документации, строительству, модернизации и (или) реконструкции объектов централизованных систем водоснабжения и (или) водоотведения на территории города Калуги на 2024-2028 гг., график реализации мероприятий и ввод объектов в эксплуатацию, объем финансовых потребностей по источникам финансирования </t>
  </si>
  <si>
    <t>План 2024 год</t>
  </si>
  <si>
    <t>План 2025 год</t>
  </si>
  <si>
    <t>План 2026 год</t>
  </si>
  <si>
    <t>План 2027 год</t>
  </si>
  <si>
    <t>План 2028 год</t>
  </si>
  <si>
    <t>2025 год</t>
  </si>
  <si>
    <t>Нагрузка, куб. м. в сутки</t>
  </si>
  <si>
    <t>Многоквартирный жилой дом со встроенными административными помещениями  8 этажей, высота 25 м, расположенный по адресу: г.Калуга, в районе, ограниченном улицами С-Щедрина, Беляева, Знаменской, Луначарского</t>
  </si>
  <si>
    <t>2024 год</t>
  </si>
  <si>
    <t>тариф по подключению</t>
  </si>
  <si>
    <t>3.2.1.</t>
  </si>
  <si>
    <t>Мероприятия, направленные на повышение экологической эффективности, достижение плановых значений показателей надежности, качества и энергоэффективности объектов централизованных систем водоснабжения, не включенных в прочую группу мероприятий</t>
  </si>
  <si>
    <t>3.2.2.</t>
  </si>
  <si>
    <t>Строительство сетей водоотведения Д=40-150 мм</t>
  </si>
  <si>
    <t xml:space="preserve">Строительство самотечного канализационного  коллектора  Ду 200 мм протяженностью 85,5 п.м. и диаметром 160 мм протяженностью 155 п.м.  
</t>
  </si>
  <si>
    <t>Жилой комплекс «Мельница», макс. высота зданий 71 м, этажность – 21 эт., проектируемый, расположенный по адресу: г. Калуга, ул. Карла Либкнехта, 40</t>
  </si>
  <si>
    <t xml:space="preserve">Место расположения </t>
  </si>
  <si>
    <t>1.</t>
  </si>
  <si>
    <t xml:space="preserve">2. </t>
  </si>
  <si>
    <t>3.</t>
  </si>
  <si>
    <t xml:space="preserve">проведение тренировок, учений и практических занятий работников объекта водоснабжения и (или) водоотведения </t>
  </si>
  <si>
    <t>Плановый срок выполнения</t>
  </si>
  <si>
    <t>2024-2028гг.</t>
  </si>
  <si>
    <t>Приложение №5</t>
  </si>
  <si>
    <t>Наименование работ/мероприятия</t>
  </si>
  <si>
    <t xml:space="preserve">ЗАО Строительная компания "Правый берег"  </t>
  </si>
  <si>
    <t>г. Калуга, район Правобережья, квартал № 5</t>
  </si>
  <si>
    <t xml:space="preserve">Многоэтажный жилой дом с помещениями общественного назначения и надземной многоуровневой автостоянкой  </t>
  </si>
  <si>
    <t>г. Калуга, ул. Карла Либкнехта, 40. </t>
  </si>
  <si>
    <t xml:space="preserve"> Жилой комплекс «Мельница», макс. высота зданий 71 м, этажность – 21 эт.</t>
  </si>
  <si>
    <t>г.Калуга, ул.Тарутинская д.241, д.243</t>
  </si>
  <si>
    <t>ООО Совместное предприятие "Минскстройэкспорт"</t>
  </si>
  <si>
    <t>г.Калуга, ул. Анненки, д.38к1, д.40, д.40к1</t>
  </si>
  <si>
    <t xml:space="preserve">г. Калуга, ул. Вишневского, д.1                       </t>
  </si>
  <si>
    <t xml:space="preserve"> ГКУ КО "Управление капитального строительства"</t>
  </si>
  <si>
    <t>Многоквартирный жилой дом со встроенными административными помещениями» 8 этажей, высота 25 метров</t>
  </si>
  <si>
    <t xml:space="preserve"> г. Калуга, в районе, ограниченном улицами: Салтыкова – Щедрина, Беляева, Знаменской, Луначарского</t>
  </si>
  <si>
    <t>ООО СП «Минскстройэкспорт»(уступка права ООО Драйвер)</t>
  </si>
  <si>
    <t>Отдельно стоящая котельная для теплоснабжения жилого комплекса с объектами соцкультбыта</t>
  </si>
  <si>
    <t>Комплекс многоквартирных жилых домов со встроенно-пристроенными торговыми помещениями,детский сад на 300 мест,школа на 1100 мест</t>
  </si>
  <si>
    <t>г.Калуга,р-он с.Некрасово,уч.2</t>
  </si>
  <si>
    <t>ООО Специализированный застройщик "УАЙТ ГРУПП-КАЛУГА"</t>
  </si>
  <si>
    <t>г. Калуга, ул.40 лет Октября</t>
  </si>
  <si>
    <t>Здание жилое многоквартирное со встроенными помещениями</t>
  </si>
  <si>
    <t>г. Калуга, 3-Академический проезд, д.1</t>
  </si>
  <si>
    <t>ООО «Строительная компания «Азимут-Калуга»</t>
  </si>
  <si>
    <t>Комплексное освоение территории,в рамках которого предусматривается жилищное строительство</t>
  </si>
  <si>
    <t>жилой дом</t>
  </si>
  <si>
    <t xml:space="preserve">г. Калуга, ул. Дружбы, д.5б
</t>
  </si>
  <si>
    <t xml:space="preserve">г. Калуга, Черносвитинская, д.45
</t>
  </si>
  <si>
    <t xml:space="preserve">г. Калуга, ул. Турынинские Дворики, д.28
</t>
  </si>
  <si>
    <t xml:space="preserve"> г. Калуга, д. Яглово, ул. Пейзажная 6-я, д. 26
</t>
  </si>
  <si>
    <t xml:space="preserve">Жилой дом: г. Калуга, СДТ Пищивик, уч. 130
</t>
  </si>
  <si>
    <t xml:space="preserve"> г. Калуга, ул. Чапаева, д.6
</t>
  </si>
  <si>
    <t>фельдшерско-акушерский пункт</t>
  </si>
  <si>
    <t xml:space="preserve"> г. Калуга, д. Андреевское
</t>
  </si>
  <si>
    <t xml:space="preserve">г. Калуга, д. Пучково, пер. Совхозный, д.6
</t>
  </si>
  <si>
    <t xml:space="preserve"> г. Калуга, д. Лихун
</t>
  </si>
  <si>
    <t xml:space="preserve">г. Калуга, ул. Родниковая, д.28
</t>
  </si>
  <si>
    <t xml:space="preserve">Помещение: г. Калуга, ул. Баумана, д.48б, пом.1
</t>
  </si>
  <si>
    <t xml:space="preserve">г. Калуга,  ул. Строительная
</t>
  </si>
  <si>
    <t xml:space="preserve"> г. Калуга, д. Шопино,  ул. Центральная
</t>
  </si>
  <si>
    <t xml:space="preserve">г. Калуга, ул. Родниковая, д.55
</t>
  </si>
  <si>
    <t>здание, производственная деятельность</t>
  </si>
  <si>
    <t>здание, с разрешенным использованием склады</t>
  </si>
  <si>
    <t xml:space="preserve">г. Калуга, ул. Параллельная, д.4в 
</t>
  </si>
  <si>
    <t>нежилое сооружение</t>
  </si>
  <si>
    <t xml:space="preserve"> г. Калуга, пер. Северный, д.10, кв.1
</t>
  </si>
  <si>
    <t xml:space="preserve">г. Калуга, ул. Заречная, д. 113
</t>
  </si>
  <si>
    <t>здание мойки</t>
  </si>
  <si>
    <t xml:space="preserve">Здание мойки: г. Калуга, ул. Грабцеское шоссе, д.35Б
</t>
  </si>
  <si>
    <t xml:space="preserve">Здание: г. Калуга, с. Росва, ул. Советская, д.9
</t>
  </si>
  <si>
    <t>малоэтажная многоквартирная жилая застройка</t>
  </si>
  <si>
    <t xml:space="preserve"> г. Калуга, ул. Богородицкая, д. 44
</t>
  </si>
  <si>
    <t>10-ти этажная застройка, многоэтажная жилая застройка</t>
  </si>
  <si>
    <t>магазин</t>
  </si>
  <si>
    <t xml:space="preserve">г. Калуга, ул. Андрея Алешина, з.у.2а
</t>
  </si>
  <si>
    <t xml:space="preserve">г. Калуга, ул. Болдина, д.22, пом.1,2
</t>
  </si>
  <si>
    <t>спортивная площадка</t>
  </si>
  <si>
    <t xml:space="preserve"> г. Калуга, Тульское шоссе
</t>
  </si>
  <si>
    <t xml:space="preserve">Жилой дом: г. Калуга, д. Тинино
</t>
  </si>
  <si>
    <t xml:space="preserve">г. Калуга, пер. Окружной
</t>
  </si>
  <si>
    <t>здание</t>
  </si>
  <si>
    <t xml:space="preserve"> г. Калуга, ул. Байконурская, д.6
</t>
  </si>
  <si>
    <t>многоквартирный жилой дом</t>
  </si>
  <si>
    <t xml:space="preserve"> г. Калуга, ул. Резванская, д. 5
</t>
  </si>
  <si>
    <t>торговый центр</t>
  </si>
  <si>
    <t xml:space="preserve">г. Калуга, ул. Заречная, в районе дома 13
</t>
  </si>
  <si>
    <t xml:space="preserve"> г. Калуга, ст Родник
</t>
  </si>
  <si>
    <t xml:space="preserve"> г. Калуга, ул. Ромодановские дворики, д.57
</t>
  </si>
  <si>
    <t xml:space="preserve">г. Калуга, д. Болотное
</t>
  </si>
  <si>
    <t xml:space="preserve">г. Калуга, д. Михалево
</t>
  </si>
  <si>
    <t xml:space="preserve">г. Калуга, д. Черновский Хутор, д.33
</t>
  </si>
  <si>
    <t xml:space="preserve">г. Калуга, ул. Льва Толстого, д. 39а
</t>
  </si>
  <si>
    <t xml:space="preserve"> г.Калуга, ул. Глаголева, д.23
</t>
  </si>
  <si>
    <t xml:space="preserve"> г. Калуга, тер. СТД "Калужтранстроя, облсовпрофа и учителей", уч. 70
</t>
  </si>
  <si>
    <t xml:space="preserve">г. Калуга, ул. Пухова, д.24
</t>
  </si>
  <si>
    <t>помещение</t>
  </si>
  <si>
    <t xml:space="preserve">г. Калуга, ул. Малинники, д. 41, пом. 1
</t>
  </si>
  <si>
    <t>Федина Г.А.</t>
  </si>
  <si>
    <t xml:space="preserve"> г. Калуга, д. Груздово, д.4
</t>
  </si>
  <si>
    <t xml:space="preserve">г. Калуга, СНТ Зеленая Горка
</t>
  </si>
  <si>
    <t>Ларионов В.В.</t>
  </si>
  <si>
    <t xml:space="preserve"> г. Калуга, д. Мстихино, у. Горная, р-н д.12
</t>
  </si>
  <si>
    <t>Чаадаев С.А.
Цимбалов С.В.</t>
  </si>
  <si>
    <t>строящиеся комплексные спортивные площадки</t>
  </si>
  <si>
    <t xml:space="preserve">Строящиеся комплексные спортивные площадки: г. Калуга, сквер Космонавта Комарова
</t>
  </si>
  <si>
    <t>Управление капитального строительсва Калужской области</t>
  </si>
  <si>
    <t xml:space="preserve">г. Калуга, СНТ Автомобилист, ул. Красная, д.87
</t>
  </si>
  <si>
    <t>Янчукова О.В.</t>
  </si>
  <si>
    <t xml:space="preserve"> г. Калуга, район Правобережья
</t>
  </si>
  <si>
    <t xml:space="preserve"> г. Калуга, ул. Байконурская
</t>
  </si>
  <si>
    <t>Спортивно-развлекательный комплекс</t>
  </si>
  <si>
    <t>Чичерин А.А. 
Чичерина Н.А</t>
  </si>
  <si>
    <t>Мезенцев Н.И.
Мезенцева Е.С.</t>
  </si>
  <si>
    <t>Ушаков, Сарычев, Короходкина…</t>
  </si>
  <si>
    <t>Морошан Татьяна Анатольевна</t>
  </si>
  <si>
    <t>Соколова А.Р.</t>
  </si>
  <si>
    <t>Игнахин И.И.
ООО Таратехпром</t>
  </si>
  <si>
    <t>Меркулов С.А.</t>
  </si>
  <si>
    <t>Драгунова О. А.</t>
  </si>
  <si>
    <t>Коробейников В.А
Коробейникова Е.В.
Коробейникова Н.А.
Коробейникова И.В.</t>
  </si>
  <si>
    <t>Золотов О.Е.</t>
  </si>
  <si>
    <t>Рухленко М.И
Рухленко Е.П.</t>
  </si>
  <si>
    <t>Кургузкина О.В.</t>
  </si>
  <si>
    <t>Оберемок Э.А.</t>
  </si>
  <si>
    <t>Афанасьев П.М.</t>
  </si>
  <si>
    <t xml:space="preserve">Медведев А.Г.
Медведева М.Г.
Сидоренко Н.Ю.
Орловский Е.А.
Попова В.А.
</t>
  </si>
  <si>
    <t>Фомина Л.А.</t>
  </si>
  <si>
    <t>Лыманчук Т.А</t>
  </si>
  <si>
    <t>Грузков А И.</t>
  </si>
  <si>
    <t>Олецкая Ю.В.</t>
  </si>
  <si>
    <t xml:space="preserve">Аракелян Э.Р.
Аракелян О.А.
Аракелян П.Э.
Аракелян М.Э.
</t>
  </si>
  <si>
    <t>Ахромова С.А.</t>
  </si>
  <si>
    <t>Каримова У.М.</t>
  </si>
  <si>
    <t>Кузнецов К.В.</t>
  </si>
  <si>
    <t>Шарифбеков Д.М Сесютченков Н.И</t>
  </si>
  <si>
    <t>Михаленко Т.А.</t>
  </si>
  <si>
    <t>Двойнов В.В.</t>
  </si>
  <si>
    <t xml:space="preserve">Лукьянов И.В., Новиков Д.А., </t>
  </si>
  <si>
    <t>Майоров А.Л.</t>
  </si>
  <si>
    <t xml:space="preserve">Лукин Е.А. </t>
  </si>
  <si>
    <t>ГБУК КО КМИИ</t>
  </si>
  <si>
    <t>Садковкин С.А</t>
  </si>
  <si>
    <t xml:space="preserve">Гореликова Е.А. </t>
  </si>
  <si>
    <t xml:space="preserve">Дурманова Н.В. </t>
  </si>
  <si>
    <t>Царева Л.И.</t>
  </si>
  <si>
    <t>Хлгатян Х.Н.</t>
  </si>
  <si>
    <t>Исакова С.В.</t>
  </si>
  <si>
    <t>Муромцева Т.П.</t>
  </si>
  <si>
    <t>Пилюгина М.М.</t>
  </si>
  <si>
    <t>Тартышев А.И.</t>
  </si>
  <si>
    <t>Салихов С.К</t>
  </si>
  <si>
    <t>Козин Р.В.</t>
  </si>
  <si>
    <t>Садовников М.А
Садовникова В.Ю.</t>
  </si>
  <si>
    <t>Петухова С.В.</t>
  </si>
  <si>
    <t>Рухленко П.И.</t>
  </si>
  <si>
    <t>Демина И.В.</t>
  </si>
  <si>
    <t>Васина Л.С.</t>
  </si>
  <si>
    <t>Садовкин С.А.</t>
  </si>
  <si>
    <t>ГКУ КО УКС Калгуга</t>
  </si>
  <si>
    <t>Заичкин А.В.</t>
  </si>
  <si>
    <t>Сергеева О.В.</t>
  </si>
  <si>
    <t>Бушева Е.Ю.</t>
  </si>
  <si>
    <t>Семихатская Т.В.</t>
  </si>
  <si>
    <t>Искандарян К. А.</t>
  </si>
  <si>
    <t>Архиерийское подворье Успение Пресвятой Богородицы</t>
  </si>
  <si>
    <t>Диаметр</t>
  </si>
  <si>
    <t>Протяженность, п.м.</t>
  </si>
  <si>
    <t>Способ прокладки</t>
  </si>
  <si>
    <t>Нагрузка, м3/час</t>
  </si>
  <si>
    <t>Нагрузка, м3/сутки</t>
  </si>
  <si>
    <t>открытым</t>
  </si>
  <si>
    <t>объект незавершенного строительтва</t>
  </si>
  <si>
    <t xml:space="preserve"> г. Калуга, ул. Парижской Коммуны, д.48
</t>
  </si>
  <si>
    <t>нет</t>
  </si>
  <si>
    <t xml:space="preserve">г. Калуга, д. Колюпаново, проезд 5 Родниковый
</t>
  </si>
  <si>
    <t>строящееся нежилое здание</t>
  </si>
  <si>
    <t xml:space="preserve">г. Калуга, ул. Грабцевское Шоссе
</t>
  </si>
  <si>
    <t>63
160</t>
  </si>
  <si>
    <t>63,5
5</t>
  </si>
  <si>
    <t>закрытым
открытым</t>
  </si>
  <si>
    <t xml:space="preserve">г. Калуга, ул. Подвойского, д. 6
</t>
  </si>
  <si>
    <t xml:space="preserve">г. Калуга, ул. Трамплинная, 23а
</t>
  </si>
  <si>
    <t xml:space="preserve">г. Калуга, д. Шопино, ул Васильковая, д. 10, 9, 14, 14а, 14б, 12,16, 20, 22а, 38, 38а, ул. Новая, д. 20, д.38,  
</t>
  </si>
  <si>
    <t>217
3256,5</t>
  </si>
  <si>
    <t>открытым
закрытым</t>
  </si>
  <si>
    <t xml:space="preserve">г. Калуга,  д. Яглово, ул. 2-я Пейзажная,        д. 11
</t>
  </si>
  <si>
    <t xml:space="preserve"> г. Калуга, СНТ Зооветтехникум
</t>
  </si>
  <si>
    <t>закрытым</t>
  </si>
  <si>
    <t>160
63</t>
  </si>
  <si>
    <t>81
62</t>
  </si>
  <si>
    <t xml:space="preserve"> г. Калуга, пер. Загородносадский, д. 2А
</t>
  </si>
  <si>
    <t xml:space="preserve"> г. Калуга, ул. Прончищева, д.36
</t>
  </si>
  <si>
    <t xml:space="preserve"> г. Калуга, ул. 8-я Тарусская, в районе д. 28
</t>
  </si>
  <si>
    <t xml:space="preserve"> г. Калуга, ул. Малинники, д. 41, пом. 1
</t>
  </si>
  <si>
    <t xml:space="preserve"> г. Калуга, д. Рождественно
</t>
  </si>
  <si>
    <t>1136,5
703,5</t>
  </si>
  <si>
    <t xml:space="preserve"> г. Калуга, ул. 10-я Тарусская, 14б
</t>
  </si>
  <si>
    <t xml:space="preserve"> г. Калуга, ул. 11-я Тарусская, д.5б
</t>
  </si>
  <si>
    <t xml:space="preserve"> г. Калуга, д. Шопино
</t>
  </si>
  <si>
    <t xml:space="preserve"> г. Калуга, д. Рождественно, д.54
</t>
  </si>
  <si>
    <t xml:space="preserve">г. Калуга, ул. Михалевская, д.51а
</t>
  </si>
  <si>
    <t xml:space="preserve">г. Калуга, ул. Заречная, д. 12а
</t>
  </si>
  <si>
    <t>175
48</t>
  </si>
  <si>
    <t>открытым
закрытый</t>
  </si>
  <si>
    <t>117,5
149</t>
  </si>
  <si>
    <t xml:space="preserve">г. Калуга, д. Яглово, ул. 1-я Пейзажная, д.11
</t>
  </si>
  <si>
    <t xml:space="preserve"> г. Калуга, 10-я Тарусская, д.18б
</t>
  </si>
  <si>
    <t xml:space="preserve">  г. Калуга, 10-я Тарусская, д.16б
</t>
  </si>
  <si>
    <t xml:space="preserve"> г. Калуга, 11-я Тарусская, д.13а
</t>
  </si>
  <si>
    <t xml:space="preserve">г. Калуга, 8-я Тарусская, в районе дома 28
</t>
  </si>
  <si>
    <t xml:space="preserve"> г. Калуга, 11-я Тарусская, в районе дома 25г
</t>
  </si>
  <si>
    <t xml:space="preserve">открытым
</t>
  </si>
  <si>
    <t xml:space="preserve">Здание: г. Калуга, ул. Михалевская, д.53
</t>
  </si>
  <si>
    <t>закрытый</t>
  </si>
  <si>
    <t>192
4</t>
  </si>
  <si>
    <t>закрытый
открытым</t>
  </si>
  <si>
    <t xml:space="preserve"> г. Калуга, тер. СНТ Сигнал, д.49
</t>
  </si>
  <si>
    <t>9
95,5</t>
  </si>
  <si>
    <t xml:space="preserve">г. Калуга, ул. Александра Унтилова, д.2
</t>
  </si>
  <si>
    <t xml:space="preserve"> г. Калуга, д. Секиотово, д. в 20 метрах севернее дома №46
</t>
  </si>
  <si>
    <t xml:space="preserve"> г. Калуга, д. Яглово, 5-я Пейзажная, д.49
</t>
  </si>
  <si>
    <t xml:space="preserve"> г. Калуга, д. Болотное
</t>
  </si>
  <si>
    <t xml:space="preserve"> г. Калуга, ул. Черносвитинская
</t>
  </si>
  <si>
    <t xml:space="preserve"> г. Калуга, СДТ Флора, ул. Овражная, уч. 40
</t>
  </si>
  <si>
    <t xml:space="preserve">г. Калуга, ул. Трамплинная
</t>
  </si>
  <si>
    <t xml:space="preserve"> г. Калуга, СНТ Флора, Сигнал
</t>
  </si>
  <si>
    <t>5
25</t>
  </si>
  <si>
    <t xml:space="preserve">г. Калуга, ул. Волковская
</t>
  </si>
  <si>
    <t xml:space="preserve">г. Калуга, п. Ждамирово
</t>
  </si>
  <si>
    <t xml:space="preserve">г. Калуга, ул. Карла Маркса, д.6
</t>
  </si>
  <si>
    <t xml:space="preserve"> г. Калуга, д. Пучково, ул. Школьная, д.12/1
</t>
  </si>
  <si>
    <t xml:space="preserve"> г. Калуга, ул. Учхоз, д.2а
</t>
  </si>
  <si>
    <t xml:space="preserve"> г. Калуга, ул. Речная, 
</t>
  </si>
  <si>
    <t xml:space="preserve"> г. Калуга, ул. Трамплинная
</t>
  </si>
  <si>
    <t xml:space="preserve"> г. Калуга, пер. Советский д.10
</t>
  </si>
  <si>
    <t xml:space="preserve"> г. Калуга, ул. Азаровская, д.40б
</t>
  </si>
  <si>
    <t>открытый</t>
  </si>
  <si>
    <t>142
5</t>
  </si>
  <si>
    <t xml:space="preserve">закрытый
открытым
</t>
  </si>
  <si>
    <t xml:space="preserve">г. Калуга, пер. Новаторский, д. 18
</t>
  </si>
  <si>
    <t xml:space="preserve"> г. Калуга, д. Карачево, ул. Проселочная
</t>
  </si>
  <si>
    <t xml:space="preserve">:г. Калуга, ул. Тарусская, д. 28
</t>
  </si>
  <si>
    <t xml:space="preserve">г. Калуга,  ул. 10-я Тарусская, д.14в
</t>
  </si>
  <si>
    <t xml:space="preserve">г. Калуга, ул. Трамплинная, д. 30
</t>
  </si>
  <si>
    <t xml:space="preserve">г. Калуга, ул. Зеленая, д.65а
</t>
  </si>
  <si>
    <t xml:space="preserve"> г. Жиздра,  ул.Никитина, д. 9
</t>
  </si>
  <si>
    <t xml:space="preserve"> г. Калуга, ул. 11-я Тарусская, д.25Б
</t>
  </si>
  <si>
    <t xml:space="preserve">г. Калуга, ул. Грабцевское шоссе, д. 4б
</t>
  </si>
  <si>
    <t xml:space="preserve">г. Калуга,  д. Болотное
</t>
  </si>
  <si>
    <t xml:space="preserve">г. Калуга,  ул. Александра Унтилова, д. 22
</t>
  </si>
  <si>
    <t xml:space="preserve">Жилой дом: г. Калуга, д. Яглово, ул. Семейная, д.29
</t>
  </si>
  <si>
    <t xml:space="preserve"> г. Калуга, тер. Сдт Калужтрансстроя, облсофпрофа и учитилей, уч. 70
</t>
  </si>
  <si>
    <t xml:space="preserve">г. Калуга, с. Муратовский Щебзавод, уч. 1, 2
</t>
  </si>
  <si>
    <t xml:space="preserve">г. Калуга, ул. Александра Унтилова, 7
</t>
  </si>
  <si>
    <t xml:space="preserve"> г. Калуга, тер. Сдт Калужтрансстроя
</t>
  </si>
  <si>
    <t>здание, под малоэтажное строительство</t>
  </si>
  <si>
    <t xml:space="preserve">г. Калуга, д. Яглово, ул. 1-я Пейзажная
</t>
  </si>
  <si>
    <t>зарытый</t>
  </si>
  <si>
    <t xml:space="preserve"> г. Калуга         
</t>
  </si>
  <si>
    <t>493
11</t>
  </si>
  <si>
    <t>здание, нежилого назначения</t>
  </si>
  <si>
    <t>нежилое здание</t>
  </si>
  <si>
    <t xml:space="preserve"> г. Калуга, ул. Заречная
</t>
  </si>
  <si>
    <t>здание для садоводства</t>
  </si>
  <si>
    <t xml:space="preserve">г. Калуга,д. Рождественно, д.19
</t>
  </si>
  <si>
    <t>63
63</t>
  </si>
  <si>
    <t>63,5
62</t>
  </si>
  <si>
    <t>закрытый
открытый</t>
  </si>
  <si>
    <t xml:space="preserve"> г. Калуга, д. Чижовка
</t>
  </si>
  <si>
    <t>Рыжова С.А.</t>
  </si>
  <si>
    <t>Заявители, величина подключаемой нагрузки которых не превышает 40 куб.м.в сутки</t>
  </si>
  <si>
    <t>2027год</t>
  </si>
  <si>
    <t>2028 год</t>
  </si>
  <si>
    <t>2026 год</t>
  </si>
  <si>
    <t xml:space="preserve">Строительство сетей водоснабжения диаметром от 40 мм и менее до 250 мм </t>
  </si>
  <si>
    <t>2024год</t>
  </si>
  <si>
    <t>2025год</t>
  </si>
  <si>
    <t>2025-2028гг.</t>
  </si>
  <si>
    <t>Строительство водовода  Д=200 мм.  протяженностью 50 п.м. при прокладке трубопровода выполнить строительство 2 в/колодцев диаметром 1,5м  с установкой запорной арматуры Д=200мм – 2 шт., а также учесть переход под а/дорогой  ул. Анненки с обустройством футляра диаметром не менее 400 мм протяженностью 50 п.м.</t>
  </si>
  <si>
    <t>Многоквартирный жилой дом со встроенными административными помещениями» 8 этажей, высота 25 метров расположенному по адресу :г. Калуга, в районе, ограниченном улицами: Салтыкова – Щедрина, Беляева, Знаменской, Луначарского</t>
  </si>
  <si>
    <t>Строительство двух трубопроводов ПЭ 100 Ду=100 мм  от границы участка , протяженностью 100 п.м. каждый, открытым способом,произвести строительство двух футляров  диаметром Ду=300 мм, протяженностью 35 п.м., закрытым методом.В точке врезеи выполнить строительство ж/б колодца Д=1,5 м , глубиной не менее 2,0 м, с установкой задвижки клиновая  Ду=100 мм - 2 шт.;</t>
  </si>
  <si>
    <t>Жилой дом, 17 этажей, 119 квартирный,расположенного по адресу: г. Калуга, ул. Серафима Туликова</t>
  </si>
  <si>
    <t>Общеобразовательная школа на 1125 мест, размещение которого предусмотрено ул. Байконурская.</t>
  </si>
  <si>
    <t>Строительство водопровода Д=160 мм от границ земельного участка  до существующего водовода Ду = 300 мм, протяженностью 15 п.м., открытым способом, в точке подключения выполнить строительство ж/б колодца диаметром 1,5 м, глубиной не менее 2 м, с установкой арматуры.Строительство водопровода Д=160 мм от границ земельного участка  до существующего водовода Ду = 200 мм, протяженностью 10 п.м., открытым способом.</t>
  </si>
  <si>
    <t>Строительство двух трубопроводов ПЭ 100 Ду=250 мм от границы участка  протяженностью 15 п.м. каждый, открытым способом.В точке присоединения выполнить строительство ж/б колодца Д=2 м  глубиной не менее 2,0 м, с установкой запорной арматуры.</t>
  </si>
  <si>
    <t>Отдельно стоящая котельная для теплоснабжения жилого комплекса с объектами соцкультбыта. г.Калуга,район Правобережья ,ограниченной улицами Минская,Фомушина,Академика Потехина</t>
  </si>
  <si>
    <t>Комплекс многоквартирных жилых домов со встроенно-пристроенными торговыми помещениями,детский сад на 300 мест,школа на 1100 мест,г.Калуга,р-он с.Некрасово,уч.2</t>
  </si>
  <si>
    <t>Здание жилое многоквартирное со встроенными помещениями,г. Калуга, 3-Академический проезд, д.1</t>
  </si>
  <si>
    <t>Строительство станции водоочистки производительностью 32 м³/час на территории насосной станции водозабора «Малинники».Реконструкция артезианской скважины на земельном участке водопроводной башни «Малинники», расположенной на ул. Тарутинская - пер. Луговой, производительностью 400 м3/сут (инв.№25934) с выполненинм обвязки устья скважины с установкой насосного оборудования и обустройством павильона.</t>
  </si>
  <si>
    <t>Строительство двух линий водопровода Д=315 мм от границ земельного участка  до существующего водовода Ду = 500 мм, протяженностью 655 п.м. каждый, открытым способом</t>
  </si>
  <si>
    <t>формирование подразделения охраны объекта водоснабжения и (или) водоотведения, а также его материально-техническое обеспечение и оснащение</t>
  </si>
  <si>
    <t xml:space="preserve">действия подразделения охраны объекта водоснабжения и (или) водоотведения с использованием инженерно-технических средств охраны </t>
  </si>
  <si>
    <t>Модернизация или реконструкция существующих объектов централизованной систем  водоснабжения в целях снижения уровня износа существующих объектов</t>
  </si>
  <si>
    <t>Заявитель:</t>
  </si>
  <si>
    <t>ООО Совместное Предприятие «Минскстройэкспорт»</t>
  </si>
  <si>
    <t>Договор на подключение (В) 
Соглашение о расторжении</t>
  </si>
  <si>
    <t>№292 от 09.09.2019
ДС №1 от 19.11.2019</t>
  </si>
  <si>
    <t>код 134 Строительство (08.03.)</t>
  </si>
  <si>
    <t>Объект:</t>
  </si>
  <si>
    <t>«Комплекс жилых домов по ул. Тарутинская. Мк-рн. «Малиновка-2»». 1 этап – жилой дом № 4 по ГП – 10 этажей, высота 32,6 м. 2 этап – жилой дом № 5 по ГП – 10 этажей, высота 32,6 м. Проектируемые. 3 этап – жилой дом № 3 по ГП – 19 этажей, высота 65 м. 4 этап – жилой дом № 2 по ГП – 19 этажей, высота 65 м. 5 этап – жилой дом № 1 по ГП – 19 этажей, высота 65 м.», расположенному по адресу: г. Калуга, ул. Тарутинская, д. 241, д. 243</t>
  </si>
  <si>
    <t>Договор на подключение (К)
Соглашение о расторжении</t>
  </si>
  <si>
    <t>№293 от 09.09.209
ДС №1 от 19.11.2019</t>
  </si>
  <si>
    <t>код 135 Строительство_Правый берег (08.03.)</t>
  </si>
  <si>
    <t>Поступление денежных средств по ПЗП</t>
  </si>
  <si>
    <t>ПЛАН по ДНП, 
тыс. руб. с НДС</t>
  </si>
  <si>
    <t>ФАКТ, 
тыс. руб. с НДС</t>
  </si>
  <si>
    <t>1 этап (35%)</t>
  </si>
  <si>
    <t>2 этап (50%)</t>
  </si>
  <si>
    <t>3 этап (15%)</t>
  </si>
  <si>
    <t>Протяженность (L), п.м.</t>
  </si>
  <si>
    <t>Нагрузка (М), куб.м. в сутки</t>
  </si>
  <si>
    <t xml:space="preserve">УТВЕРЖДЕНО
Приказом МКП Калужской области 
№ 64-рк от 12.08.2019 г.
 </t>
  </si>
  <si>
    <t>Факт сч. 08.3 Выполнено</t>
  </si>
  <si>
    <t>Факт сч. 51 Оплачено</t>
  </si>
  <si>
    <t>Реестр закупочной документации, заключаемых договоров с подрядными организациями</t>
  </si>
  <si>
    <t>Стоимость мероприятия, 
тыс. руб. без НДС</t>
  </si>
  <si>
    <t>Стоимость мероприятия,             тыс. руб. с НДС</t>
  </si>
  <si>
    <t>Наименование</t>
  </si>
  <si>
    <t>ВСЕГО ВОДОСНАБЖЕНИЕ и ВОДООТВЕДЕНИЕ</t>
  </si>
  <si>
    <t xml:space="preserve">Произвести строительство водовода Д=110 мм от площадки застройки (границы земельного участка) до точки  подключения   протяженностью 188 п.м.
В точке подключения произвести врезку в существующий водовод с установкой отсекающей задвижки Д=100 мм - 1 шт.
</t>
  </si>
  <si>
    <t>Строительство станции водоочистки производительностью 32 м³/час на территории насосной станции водозабора «Малинники».
Реконструкция артезианской скважины на земельном участке водопроводной башни «Малинники», расположенной на ул. Тарутинская - пер. Луговой, производительностью 400 м3/сут (инв.№25934) с выполненинм обвязки устья скважины с установкой насосного оборудования и обустройством павильона.</t>
  </si>
  <si>
    <t xml:space="preserve">Произвести строительство станции водоочистки производительностью 32 м³/час на территории насосной станции водозабора «Малинники».
Выполнить реконструкцию артезианской скважины на земельном участке водопроводной башни «Малинники», расположенной на ул. Тарутинская - пер. Луговой, производительностью 400 м3/сут (инв.№25934). Произвести обвязку устья скважины с установкой насосного оборудования и обустройство павильона.
Произвести установку пожарного гидранта (h=1750мм) на существующем водоводе Д=150 мм.
</t>
  </si>
  <si>
    <t>Строительство самотечного канализационного  коллектора  Ду 200 мм протяженностью 85,5 п.м. и диаметром 160 мм протяженностью 155 п.м.  от точек  подключения   на границе земельного участка 40:25:000063:473 до канализационной сети диаметром 200 мм;
В месте присоединения к канализационной сети диаметром 200 мм выполнить строительство канализационного колодца диаметром 1500 мм</t>
  </si>
  <si>
    <t xml:space="preserve">Произвести строительство   самотечного канализационного  коллектора  Ду150 мм от площадки застройки (границы земельного участка) до точки  подключения   протяженностью 50 п.м.
В точке подключения произвести присоединение к существующему канализационному коллектору Д=200 мм. со строительством  к/колодца диаметром 1,5 метра.
</t>
  </si>
  <si>
    <t>Произвести строительство самотечного канализационного коллектора Ду300мм. Протяженностью 151 п.м. со строительством смотровых канализационных колодцев диаметром 1500 мм - 3 шт. от пер.Дорожного до КНС "Ольговка"</t>
  </si>
  <si>
    <t>Произвести строительство самотечного канализационного коллектора Ду300мм. в районе пер. Дорожный (Школа №16), протяженностью 151 п.м. строительством  смотровых к/колодцев диаметром 1,5 метра – 3 шт.</t>
  </si>
  <si>
    <t>2.3.</t>
  </si>
  <si>
    <t>ООО СП «Минскстройэкспорт»</t>
  </si>
  <si>
    <t>«Комплекс жилых домов по ул. Анненки г. Калуга, 1 этап – жилой дом №1 по ГП - 19-этажей, высота 62.09, котельная по ГП №7 – 1 этаж, высотой 2,9м.; 2 этап – жилой дом №3 по ГП - 19-этажей, высота 62.09м.; 
3 этап – жилой дом №4 по ГП - 19-этажей, высота 62.09», расположенный по адресу: г. Калуга, ул. Анненки, д.38к1, д.40, д.40к1; кадастровые номера земельных участков: 40:26:000395:2883,2884,2885,2960</t>
  </si>
  <si>
    <t>ПЛАН по ДНП Вода, 
тыс. руб. с НДС</t>
  </si>
  <si>
    <t>ПЛАН по ДНП Стоки, 
тыс. руб. с НДС</t>
  </si>
  <si>
    <t>УТВЕРЖДЕНО
Приказом МКП Калужской области 
№ 25-рк от 20.07.2020 г.</t>
  </si>
  <si>
    <t xml:space="preserve">Строительство водовода  Д=200мм, от точки №1 до точки №2,  протяженностью 50 п.м.;
при строительстве трубопровода выполнить строительство 2 в/колодцев диаметром 1,5м (в т.1 и т.2) с установкой запорной арматуры Д=200мм – 2 шт.
</t>
  </si>
  <si>
    <t>Выполнить подключение (технологическое присоединение) – врезку согласно разработанной и утвержденной проектной документации
В связи с увеличением дополнительного объема стоков в точке подключения существующего коллектора,  рекомендовать выполнить следующие  мероприятия:
реконструкцию участка самотечного канализационного коллектора Ду500 мм, от точки №3, протяженностью 22,73 п.м.</t>
  </si>
  <si>
    <t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t>
  </si>
  <si>
    <t>ГКУ КО "Управление капитального строительства"</t>
  </si>
  <si>
    <t>"Строительство лечебно-диагностического корпуса ГБУЗ КО "Калужский областной онкологический диспансер", в том числе ПИР", расположенный по адресу: Калужская область, г. Калуга, ул. Вишневского, д. 1</t>
  </si>
  <si>
    <t>УТВЕРЖДЕНО
Приказом МКП Калужской области 
№ 19-рк от 19.06.2020 г.</t>
  </si>
  <si>
    <t>Строительство водовода Дн=110 мм.  от площадки застройки (границы земельного участка) до ВК1  протяженностью 20 п.м. с обустройством смотровых в/колодцев диметром 1м – 2 шт.
При строительстве водовода под а/дорогой предусмотреть устройство футляров внутренним диаметром не менее 300мм, протяженностью 20 п.м.
В точке подключения ВК1 - подключение к существующему водоводу Ду=200мм с установкой задвижек:  Ду=200мм – 1 шт., Ду=100 мм. – 1 шт.; а также ПГ (h=1750м) – 1 шт.</t>
  </si>
  <si>
    <t>Строительство  самотечного канализационного  коллектора    Ду=200 мм. от площадки застройки (границы земельного участка)  до точки подключения КК1 (существующий канализационный коллектор Ду=500мм) протяженностью 86 п.м. с обустройством смотровых к/колодцев диаметром 2м – 2 шт.
При строительстве коллектора под а/дорогой предусмотреть устройство футляра внутренним диаметром не менее 400мм, протяженностью 28 п.м.</t>
  </si>
  <si>
    <t xml:space="preserve">В связи с недостаточной мощностью насосного оборудования на КНС «Анненки» (один насосный агрегат в работе) и для нормального функционирования КНС при приеме дополнительного объема стоков, в том числе в период паводка: 
монтаж энергооборудования шкаф управления ОНИКС МК3-210-П-GPRS-IP54-У3.1 – 1 шт.
монтаж  насосного  оборудования  марки WILO FA 15.98D  + FK 34.1-4/42 – 1 шт. 
</t>
  </si>
  <si>
    <t>ЗАО СК "Правый берег"</t>
  </si>
  <si>
    <t xml:space="preserve">Договор на подключение (В) </t>
  </si>
  <si>
    <t xml:space="preserve">Многоэтажный жилой дом с помещениями общественного назначения и надземной многоуровневой автостоянкой, расположенный по адресу: г. Калуга, район Правобережья, квартал №5 </t>
  </si>
  <si>
    <t>Договор на подключение (К)</t>
  </si>
  <si>
    <t>1 этап (15%)</t>
  </si>
  <si>
    <t>3 этап (35%)</t>
  </si>
  <si>
    <t xml:space="preserve">УТВЕРЖДЕНО
Постановлением МТР Калужской области № 63-рк от 20.06.2016 г. </t>
  </si>
  <si>
    <t xml:space="preserve">Строительство  водовода Д=160 мм от границ застройки до точки подключения к водоводу Д=500 мм общей протяженностью 3 п.м. В точке подключения к водоводу Д=500 мм выполнить врезку с обустройством в/камеры из ж/б плит размером 2*2 м и с установкой отсекающей задвижки Д=160 мм - 1 шт.
Строительство водовода Д=160 мм от границ застройки до точки подключения к водоводу Д=315 мм общей протяженностью 5 п.м. В точке подключения к водоводу Д=315 мм выполнить врезку с обустройством в/колодца из ж/б диаметром 2м и с установкой отсекающей задвижки Д=160 мм - 1 шт. Прокладку водоводов производить открытым способом. Для труб использовать материал: ПЭ.
</t>
  </si>
  <si>
    <t>АО "ЦентрСпецСтрой"</t>
  </si>
  <si>
    <t>«Жилой комплекс «Мельница» по адресу: г. Калуга, ул. Карла Либкнехта, 40», расположенный по адресу: г. Калуга, ул. Карла Либкнехта</t>
  </si>
  <si>
    <t xml:space="preserve">УТВЕРЖДЕНО
Постановлением МТР Калужской области № 134-рк от 14.11.2016 г.
 </t>
  </si>
  <si>
    <t>Строительство отдельного водовода  Д=225 мм. от водовода Д=300 мм. по ул. Ленина 39 протяженностью 345 п.м. (от точки №1до точки №2 на схеме);
В точке подключения №2 выполнить строительство водопроводной камеры из ж/б плит размером 2*2,5 м., выполнить перемычку Д=225мм с существующим трубопроводом Д=200 мм, установить задвижки: Д=200 мм. - 5 шт.,  
Строительство трубопровода Д=225 мм. от в/камеры (точка №2) до запрашиваемых границ участка, протяженностью 25 п.м.</t>
  </si>
  <si>
    <t xml:space="preserve">Строительство  кольцевой водопроводной сети   Д=225 мм. от камеры переключения вдоль ул. К. Либкнехта, ул. Грабцевское шоссе до ул. Константиновых, д.9,  протяженностью 435 п.м. (от точки №3 до точки №4 на схеме), что гарантируется в данном случае возможностью двустороннего питания водопроводной сети потребителя;
В точке №3 выполнить строительство водопроводной камеры из ж/б блоков размером 2*2,5 м. установить задвижки Д=300 мм.- 2 шт, Д=200мм. -1 шт.;
Прокладку водоводов  производить закрытым способом. Для труб использовать материал: ПЭ. </t>
  </si>
  <si>
    <t>В точке №5 предусмотреть  строительство КНС (погружной) для перекачки стоков  объемом  1131 м³/сутки (производительность КНС выбрать с учетом предполагаемого дополнительного приема стоков в количестве 500 м³/сутки). Выполнить строительство силами Заказчика;
От точки №5 до точки №6  произвести прокладку   напорного  коллектора    2Д=160 мм. в две линии (резерв) протяженностью по 864 п.м. каждая;
В точке №6 предусмотреть монтаж камеры гашения для перехода в существующий самотечный коллектор Д=800 мм
В обозначенной точке присоединения выполнить строительство камеры</t>
  </si>
  <si>
    <t>«Индустриальный парк «Грабцево» (с целью увеличения мощности системы (2 этажа)), расположенный по адресу: г. Калуга, индустриальный парк «Грабцево», кадастровые номера земельных  участков: 40:22:060401:3854; 40:22:060401:3267</t>
  </si>
  <si>
    <t>УТВЕРЖДЕНО
Приказом МКП Калужской области 
№ 383-РК от 13.12.2021 г.</t>
  </si>
  <si>
    <t xml:space="preserve">1. Реконструкция существующего участка чугунного водовода Ду=500 мм на ПЭ Д=560 SDR 17 от точки М (в районе границ земельного участка: 40:26:000146:11) до ВК1 (камеры в районе границ земельного участка: 40:00:000000:25), протяженностью 185 м.
2. В точке подключения ВК1 выполнить подключение вновь построенного водовода Ду=560 мм, с установкой арматуры:
- Задвижка Hawle (№4000E2) Ду=500 мм - 1 шт.
- Фланец System 2000 (№0400) DN500/560 PN10 – 1 шт.
3. В точке подключения М выполнить присоединение вновь построенного водовода с использованием следующего фитинга:
- Электросварная муфта ПНД ПЭ100 Ø560 SDR11 – 1 шт.
</t>
  </si>
  <si>
    <t>В точке подключения КК1 (подключение по ул. Болдина) выполнить врезку в существующий ж/б колодец.</t>
  </si>
  <si>
    <t xml:space="preserve">"Многоквартирный жилой дом с подземными парковками", расположенный по адресу: г. Калуга,  пер. Баррикад, р-н д. 5, 11, 13, 15, 17, 23, 29, кадастровый номер земельного участка 40:26:000232:71
</t>
  </si>
  <si>
    <t>УТВЕРЖДЕНО
Приказом МКП Калужской области 
№ - 17РК от 21.02.2022 г.</t>
  </si>
  <si>
    <t xml:space="preserve">Строительство водопроводов 2хД-160 мм от площадки застройки (границы земельного участка 40:26:000232:71) до ВК3 (реконструированного водопровода Д-200 мм по пер.Баррикад) протяженностью 6 п.м каждый, закрытым способом
В точке подключения ВК3 смонтировать новый колодец Д-2,0 м, глубиной 2,0 м, произвести врезку с установкой: 
1. задвижка Нawle-A (№4000А) Ду=150 мм - 2 шт.;
2. врезной хомут системы Haku, фланцевый (№5230) 225-100 - 1 шт.;
3. пожарный гидрант Hawle (№5035) DN 100, H=1750 мм – 1 шт.
</t>
  </si>
  <si>
    <t xml:space="preserve">Реконструкция существующего водопровода Ду-100 мм (чуг.) по пер. Баррикад от ВК1 (водопровод по ул. В. Андриановой) до ВК2 (водопровод по ул.Грабцевское шоссе) с увеличением диаметра до Ду-200 мм, протяженностью 605 п.м, прокладку выполнить закрытым методом;
В точке подключения ВК1 по ул. В. Андриановой смонтировать новый ж/б колодец Д-1,5 м, глубиной 2,0 м с установкой:
1. задвижка Нawle-A (№4000А) Ду=200 мм - 1 шт.;
2. В точке подключения ВК2 по ул. Грабцевское шоссе произвести врезку с установкой: 
3. задвижка Нawle-A (№4000А) Д=200 мм - 1 шт.
</t>
  </si>
  <si>
    <t xml:space="preserve">Строительство самотечного канализационного коллектора Д=200 мм, с уклоном не менее 1000i=8, от площадки застройки (границы земельного участка 40:26:000232:71) до КК1 существующего колодца по ул. Грабцевское шоссе и пер. Баррикад, протяженностью 90 м, закрытым способом.
1. На коллекторе установить ж/б колодцы диаметром 1,0 м, через каждые 35 м.
</t>
  </si>
  <si>
    <t>«Многоквартирный жилой дом со встроенными административными помещениями» 8 этажей, высота 25 метров, расположенному по адресу:           г. Калуга, в районе, ограниченном улицами: Салтыкова – Щедрина, Беляева, Знаменской, Луначарского</t>
  </si>
  <si>
    <t>УТВЕРЖДЕНО
Приказом МКП Калужской области 
№ 40-РК от 06.09.2021 г.</t>
  </si>
  <si>
    <t xml:space="preserve">Строительство водопровода Д-110 мм (ПНД SDR 13,6) от границы площадки застройки (границы земельного участка 40:26:000359:1107) до существующего водопровода Д-200 мм (чуг.) по ул.Знаменская (т.1) открытым способом, протяженностью 17,5 п.м.
В месте врезки построить новый колодец диаметром 1,5 м, глубиной 2,0 м, люк – чугунный тип «Т».
Выполнить подключение водопровода Д=110 мм к трубопроводу Д-200 мм, в точке подключения (т.1) произвести врезку с установкой на ввод: 
           - задвижка Нawle-A (№4000А) Д=110 мм. - 1 шт.
</t>
  </si>
  <si>
    <t xml:space="preserve">Строительство самотечного канализационного коллектора Д=150мм, с уклоном не менее 1000i=6, от площадки застройки (границы земельного участка 40:26:000359:1107) до самотечного канализационного коллектора по ул. Знаменская, к существующему колодцу К1 открытым способом,  протяженностью 10 п.м. 
</t>
  </si>
  <si>
    <t>ООО «Комета 21»</t>
  </si>
  <si>
    <t xml:space="preserve">«Жилой дом. 17 этажей», расположенного по адресу: г. Калуга, ул. Серафима Туликова, кадастровый номер земельного участка 40:26:000384:7697
</t>
  </si>
  <si>
    <t>УТВЕРЖДЕНО
Приказом МКП Калужской области 
№ 139-РК от 17.10.2022 г.</t>
  </si>
  <si>
    <t>Строительство двух трубопроводов ПЭ 100 Ду=100 мм SDR 13,6 от точки М (границы участка кадастровый номер 40:26:000384:7697) до точки ВК-1, протяженностью 100 п.м. каждый, открытым способом;
Строительство двух футляров от точки ВК1 до точки ВК2 (точка врезки) произвести строительство футляра диаметром Ду=300 мм, протяженностью 35 п.м., закрытым методом
В точке ВК2 выполнить строительство ж/б колодца Д=1,5 м (люк – полимерно-песчаный тип «ТМ»), глубиной не менее 2,0 м, с установкой запорной арматуры:
- Задвижка клиновая VAG EKO®plus Ду=100 мм - 2 шт.;</t>
  </si>
  <si>
    <t>Строительство футляра Ду-350 мм от N на границе земельного участка (кадастровый номер 40:26:000384:7697) до точки КК1 (существующий самотечный канализационный коллектор), протяженностью 45 п.м., закрытым методом. 
Протаскивание самотечного канализационного коллектора Ду-150 в футляр Ду-350 мм с уклоном i=0,007, протяженностью 50 п.м.
В точке врезки КК1 (существующий канализационный коллектор Ду = 500 мм) выполнить строительство ж/б колодца диаметром 1000 мм глубиной 2 метра.</t>
  </si>
  <si>
    <t xml:space="preserve">«Строительство детско-взрослой поликлиники в г. Калуга, в том числе ПИР», расположенный по адресу: Калужская область, г. Калуга, ул. Фомушина – ул. Генерала Попова
</t>
  </si>
  <si>
    <t>УТВЕРЖДЕНО
Приказом МКП Калужской области 
№ 101-РК от 15.08.2022 г.</t>
  </si>
  <si>
    <t>Строительство участка  водовода Д=315 мм. от ВК№17 до ПГ-14 согласно схеме, протяженностью  203,6 п.м., в том числе 179,1 п.м. открытым способом и 24,5 протаскиванием в футляре.
Строительство в/колодцев диаметром 2 метра – 2 шт.; с установкой запорной арматуры Hawle 4000A: Д=300мм – 5 шт, Д=100мм – 1 шт.;
Произвести установку ПГ Hawle Duo – Gost (1750мм) – 1 шт. (ПГ-14).
Произвести строительство трубопровода Д=110мм от границы земельного участка до проектируемого водовода Д=315мм., протяженностью 10 п.м.</t>
  </si>
  <si>
    <t xml:space="preserve">Строительство трубопровода Д=225 мм. от границы земельного участка (КК№47)  до точки подключения (существующий канализационный коллектор Д=400мм) протяженностью 206,1 п.м., в том числе 176,5 п.м. методом ГНБ и 29,6 п.м. протаскиванием в футляре, с обустройством смотровых к/колодцев диаметром 1,5м – 2 шт.; 1м – 3 шт.;
При строительстве коллектора под а/дорогой предусмотреть строительство футляра диаметром 400мм, протяженностью 29,6 п.м., методом ГНБ.
</t>
  </si>
  <si>
    <t>«Объект образования: общеобразовательная школа на 1125 мест, размещение которого предусмотрено на территории города Калуги Калужской области (ул. Байконурская)», г. Калуга, ул. Байконурская. Кадастровый номер  земельного  участка: 40:26:000000:4212</t>
  </si>
  <si>
    <t>УТВЕРЖДЕНО
Приказом МКП Калужской области 
№ -539 РК от 21.11.2022 г.</t>
  </si>
  <si>
    <t>Строительство водопровода Д=160 мм от границ площадки застройки (границ земельного участка 40:26:000000:4212) до ВК1 (существующий водовод Ду = 300 мм), протяженностью 15 п.м., открытым способом;
В точке подключения ВК1 выполнить строительство ж/б колодца диаметром 1,5 м, глубиной не менее 2 м, с установкой арматуры:
Hawle-A (№4000А) Ду=150 мм - 1 шт.;
Фланец System 2000 (№0400) DN150/160 – 2 шт.
Строительство водопровода Д=160 мм от границ площадки застройки (границ земельного участка 40:26:000000:4212) до ВК2 (существующий водовод Ду = 200 мм), протяженностью 10 п.м., открытым способом;
В точке подключения ВК2 выполнить строительство ж/б колодца диаметром 1,5 м, глубиной не менее 2 м, с установкой арматуры:
Hawle-A (№4000А) Ду=150 мм - 1 шт.;
Фланец System 2000 (№0400) DN150/160 – 2 шт.</t>
  </si>
  <si>
    <t xml:space="preserve">Строительство самотечного канализационного коллектора Ду-200 мм с уклоном не менее 1000i=8, от площадки застройки (границы земельного участка 40:26:000000:4212) до КК1,  протяженностью 50 п.м., открытым способом;
В точке подключения КК2 выполнить строительство ж/б колодца Ду=1,5 м;
</t>
  </si>
  <si>
    <t>ЗАО «Калугагазстрой»</t>
  </si>
  <si>
    <t>«Нежилое здание для реализации общеобразовательных программ в г. Калуге на 1300 мест», расположенного по адресу: г. Калуга,                            ул. Ермоловская, кадастровый номер земельного участка 40:26:000012:919.</t>
  </si>
  <si>
    <t>УТВЕРЖДЕНО
Приказом МКП Калужской области 
№ 57-РК от 18.10.2021 г.</t>
  </si>
  <si>
    <t xml:space="preserve">Строительство водопровода Д=225 мм от границ площадки застройки (границ земельного участка 40:26:000012:919) до ВК1 (существующий водовод Ду = 250 мм), протяженностью 435 п.м., из которых 10 п.м. методом ГНБ;
Подключение водопровода Д=225 мм к трубопроводу Ду=250 мм (ЧВР)
В точке подключения ВК2 выполнить строительство ж/б колодца диаметром 1,5 м, глубиной не менее 2 м, с установкой арматуры:
 Hawle-A (№4000А) Ду=200 мм - 1 шт.;
 Фланец System 2000 (№0400) DN200/225 – 2 шт.
</t>
  </si>
  <si>
    <t xml:space="preserve">оборудование системами видеонаблюдения, пожарно-тревожной сигнализации </t>
  </si>
  <si>
    <t xml:space="preserve">приобретение оборудования в целях предотвращения возникновения аварийных ситуаций, снижения риска и смягчения последствий чрезвычайных ситуаций </t>
  </si>
  <si>
    <t>2024-2025гг.</t>
  </si>
  <si>
    <t>г.Калуга</t>
  </si>
  <si>
    <t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t>
  </si>
  <si>
    <t>Реконструкция существующего участка чугунного водовода Ду=500 мм на ПЭ Д=560 SDR 17 от точки в районе границ земельного участка до камеры, протяженностью 185 м.</t>
  </si>
  <si>
    <t xml:space="preserve">Нежилое здание для реализации общеобразовательных программ в г. Калуге на 1300 мест ул. Ермоловская </t>
  </si>
  <si>
    <t>2.1.1.</t>
  </si>
  <si>
    <t>2.1.2.</t>
  </si>
  <si>
    <t>Заявитель</t>
  </si>
  <si>
    <t xml:space="preserve">разработка и доведение до подразделения охраны объекта водоснабжения и(или) водоотведения, а также до работников объекта водоснабжения и (или) водоотведения организационно-распорядительной служебной документации по вопросам обеспечения антитеррористической защищенности объекта водоснабжения и водоотведения
</t>
  </si>
  <si>
    <t>Внедрение модуля программного обеспечения "Расчеты с абонентами","Промышленный документооборот","Разработка личного кабинета"</t>
  </si>
  <si>
    <t xml:space="preserve">Проектирование  </t>
  </si>
  <si>
    <t xml:space="preserve">Инвестиции </t>
  </si>
  <si>
    <t>№</t>
  </si>
  <si>
    <t>Мерояприятие</t>
  </si>
  <si>
    <t>Группа мероприятия</t>
  </si>
  <si>
    <t>Материал</t>
  </si>
  <si>
    <t>Диаметр, мм</t>
  </si>
  <si>
    <t>Протяженность, м.п.</t>
  </si>
  <si>
    <t>Повреждения</t>
  </si>
  <si>
    <t>Приоритет</t>
  </si>
  <si>
    <t>НЦС Цена за м.п., руб с НДС</t>
  </si>
  <si>
    <t>Сумма СМР по НЦС , руб.</t>
  </si>
  <si>
    <t>ФЭР Цена за м.п., руб. с НДС</t>
  </si>
  <si>
    <t>Справочно: цена трубы ПЭ п.м.,с НДС</t>
  </si>
  <si>
    <t>Удельный вес  трубы в общей сумме СМР</t>
  </si>
  <si>
    <t>2027 год</t>
  </si>
  <si>
    <t>2029 год</t>
  </si>
  <si>
    <t>2030 год</t>
  </si>
  <si>
    <t>2031 год</t>
  </si>
  <si>
    <t>2032 год</t>
  </si>
  <si>
    <t>2033 год</t>
  </si>
  <si>
    <t>сильный износ</t>
  </si>
  <si>
    <t>мероприятие  по строительству,модернизации и (или) реконструкции (пункт "В"). ТЗ)</t>
  </si>
  <si>
    <t>Реконструкция существующих водоводов (стеклопластик) Ду-400 в г. Калуга,  протяженностью 290 п.м. каждый (580 п.м. общая) мкрн.Байконур</t>
  </si>
  <si>
    <t>мероприятие связанное с подключением   (пункт "А"). ТЗ)</t>
  </si>
  <si>
    <t>Реконструкция, вынос из зоны застройки</t>
  </si>
  <si>
    <t>иной источник финансирования (средства бюджета МОг.Калуга)</t>
  </si>
  <si>
    <t>Сталь</t>
  </si>
  <si>
    <t>250-300</t>
  </si>
  <si>
    <t>сталь</t>
  </si>
  <si>
    <t>Мероприятие</t>
  </si>
  <si>
    <t>Тип</t>
  </si>
  <si>
    <t>Примечания</t>
  </si>
  <si>
    <t>Рекомендуемый диаметр</t>
  </si>
  <si>
    <t>Рекомендуемый материал</t>
  </si>
  <si>
    <t>Рекомендуемый способ прокладки</t>
  </si>
  <si>
    <t>НЦС Цена СМР за м.п., руб</t>
  </si>
  <si>
    <t>самотечный</t>
  </si>
  <si>
    <t>керамика</t>
  </si>
  <si>
    <t>150 мм</t>
  </si>
  <si>
    <t>ПЭ "Корсис"</t>
  </si>
  <si>
    <t>Открытый</t>
  </si>
  <si>
    <t>железобетон</t>
  </si>
  <si>
    <t>200 мм</t>
  </si>
  <si>
    <t>600 мм</t>
  </si>
  <si>
    <t>сильный износ, провалы, построена теполотрасса</t>
  </si>
  <si>
    <t>сильный износ, провалы</t>
  </si>
  <si>
    <t>прокол</t>
  </si>
  <si>
    <t>300 мм</t>
  </si>
  <si>
    <t>сильный износ, коррозия</t>
  </si>
  <si>
    <t>стальная эстакада</t>
  </si>
  <si>
    <t>Прокол</t>
  </si>
  <si>
    <t>500 мм</t>
  </si>
  <si>
    <t>напорный</t>
  </si>
  <si>
    <t>ПНД</t>
  </si>
  <si>
    <t>100 мм</t>
  </si>
  <si>
    <t>ВЫНОС</t>
  </si>
  <si>
    <t>2х200 мм</t>
  </si>
  <si>
    <t>2х300 мм</t>
  </si>
  <si>
    <t>сгнила, 100% износ</t>
  </si>
  <si>
    <t>200мм</t>
  </si>
  <si>
    <t>чугун</t>
  </si>
  <si>
    <t>400мм</t>
  </si>
  <si>
    <t>300мм</t>
  </si>
  <si>
    <t>стальные эстакады (3)</t>
  </si>
  <si>
    <t>Реконструкция самотечного канализационного коллектора 500-600 мм от дома 319 по ул. Московская до КНС "Терепец", протяженностью 3500 п.м. (мкрн.Байконур)</t>
  </si>
  <si>
    <t>500-600мм</t>
  </si>
  <si>
    <t xml:space="preserve">Необходимо увеличить диаметр для увеличения производительности </t>
  </si>
  <si>
    <t>Корсис</t>
  </si>
  <si>
    <t>иной источник средства бюджета МО г.Калуга)</t>
  </si>
  <si>
    <t>Сумма</t>
  </si>
  <si>
    <t>Реконструкция Болдинского водовода  (вокруг ОСК), Д-500 мм протяженностью 1301 п.м.</t>
  </si>
  <si>
    <t>Реконструкция водовода  по ул.Грабцевское Шоссе от поворота на д.Кукареки до поворота на Аэропорт, Д-500 мм протяженностью 725 п.м.</t>
  </si>
  <si>
    <t>Реконструкция водовода пер.Малинники  (на ПРМЗ), Д-500 мм протяженностью 220 п.м.</t>
  </si>
  <si>
    <t>Реконструкция водовода по пер.Хуторской д.22 до детской колонии, Д-400 мм протяженностью 800 п.м.</t>
  </si>
  <si>
    <t>Реконструкция водовода по ул.Родниковая - от ул.Советская до дома №28, Д-200 мм протяженностью 600 п.м.</t>
  </si>
  <si>
    <t>Реконструкция водовода ул.Азаровская в сторону п.Силикатный с проколом под ж/д, Д-200 мм протяженностью 100 п.м.</t>
  </si>
  <si>
    <t>Реконструкция водовода по ул.Звездная, Д-300 мм протяженностью 670 п.м.</t>
  </si>
  <si>
    <t>Реконструкция водовода по ул.Мелиораторов, Д-300 мм протяженностью 150 п.м.</t>
  </si>
  <si>
    <t>Реконструкция водовода по ул.Московская в районе д.334, Д-400 мм протяженностью 120 п.м.</t>
  </si>
  <si>
    <t>Реконструкция водовода от ГНС до С.-Щедрина Д=500 мм протяженностью 1100 п.м</t>
  </si>
  <si>
    <t>Реконструкция  водовода от Южного водозабора до ул.Комарова  Д=500 мм протяженностью 350 п.м.</t>
  </si>
  <si>
    <t>Реконструкция водопровода по проезду 2-ой Загородный, Д-100 мм протяженностью 385 п.м.</t>
  </si>
  <si>
    <t>Реконструкция водовода микрорайона Калуга-2 с проколом под ж/д, Д-100 мм протяженностью 310 п.м.</t>
  </si>
  <si>
    <t>Реконструкция водопровода  от ул.Глаголева по товарному двору до ул.Ленина, Д-250-300 мм,  протяженностью 960 п.м.</t>
  </si>
  <si>
    <t>Реконструкция водопровода по ул.Родниковая по дамбе до микрорайона Турынино-3, Д-300 мм протяженностью 350 п.м.</t>
  </si>
  <si>
    <t>Реконструкция водопровода в с.Росва, ул.Мира д.8 - ул.Московская д.5, Д-100 мм протяженностью 460 п.м.</t>
  </si>
  <si>
    <t>Реконструкция водопровода в с.Спас  г.Калуга, Д-40 мм протяженностью 326 п.м.</t>
  </si>
  <si>
    <t>Реконструкция водопровода по ул.Азаровская (от ул.Московская до СТО) Д-600 мм - 600 п.м.</t>
  </si>
  <si>
    <t>Реконструкция водовода питьевой воды по ул.Салтыкова-Щедрина (от ул.Степана Разина до дома 80) Д-225 мм протяженностью 1217 п.м  в г.Калуга</t>
  </si>
  <si>
    <t>250-500 мм</t>
  </si>
  <si>
    <t>Реконструкция самотечного канализационного коллектора Д-150мм, керамика, протяженностью 193 п.м, по пер. Воскресенский от д. 3а до ул. Луначарского.</t>
  </si>
  <si>
    <t>Реконструкция напорного коллектора, Д-150мм, чугун, две нитки общей протяженностью 2800 п.м,  от КНС Аэропорт докамеры гашения</t>
  </si>
  <si>
    <t>Реконструкция самотечного канализационного коллектора Д-200мм, керамика, протяженностью 197 п.м, по ул. Поле Свободы от д.30 до ул К. Либкнехта.</t>
  </si>
  <si>
    <t>Реконструкция самотечного канализационного коллектора  Д-150мм, кер., протяженностью 314 п.м, в д. Канищево от территории гаражей до КНС</t>
  </si>
  <si>
    <t>Корректировка Проектной документации на объект капитального строительства: «Андреевский водозабор подземных вод МО "Город Калуга"»</t>
  </si>
  <si>
    <t>Строительство (проектирование) станции водоочистки  д. Косарево  ГО Калуга 10 м3/час</t>
  </si>
  <si>
    <t>Строительство (проектирование) станции водоочистки  д. Починки  ГО Калуга 5 м3/час</t>
  </si>
  <si>
    <t>2026год</t>
  </si>
  <si>
    <t>Строительство футляра Ду-350 мм на границе земельного участка до существующего самотечного канализационного коллектора, протяженностью 45 п.м., закрытым методом. 
Протаскивание самотечного канализационного коллектора Ду-150 в футляр Ду-350 мм с уклоном i=0,007, протяженностью 50 п.м.В точке врезки существующий канализационный коллектор Ду = 500 мм выполнить строительство ж/б колодца диаметром 1000 мм глубиной 2 метра.</t>
  </si>
  <si>
    <t xml:space="preserve">«Объект образования: общеобразовательная школа на 1125 мест,г. Калуга, ул. Байконурская. </t>
  </si>
  <si>
    <t>Строительство самотечного канализационного коллектора Ду-200 мм с уклоном не менее 1000i=8, от площадки застройки   протяженностью 50 п.м., открытым способом;в точке подключения КК2 выполнить строительство ж/б колодца Ду=1,5 м;</t>
  </si>
  <si>
    <t>Здание жилое многоквартирное со встроенными помещениями,почтовый адрес ориентира: г. Калуга, 3-Академический проезд, д.1".</t>
  </si>
  <si>
    <t>Сумма тыс. руб. с НДС</t>
  </si>
  <si>
    <t xml:space="preserve">г. Калуга, ул. Тарутинская, д.25б
</t>
  </si>
  <si>
    <t xml:space="preserve">Реконструкция водовода  по ул.Суворова от ул.Вооруженного восстания д.1 до д.65  Д-225 мм протяженностью 170 п.м  </t>
  </si>
  <si>
    <t>Реконструкция водовода от ул.Плеханова д.26 через территорию лицея №36 до ул.Герцена д.14а, Д-300 мм протяженностью 370 п.м.</t>
  </si>
  <si>
    <r>
      <rPr>
        <b/>
        <sz val="14"/>
        <color rgb="FFC00000"/>
        <rFont val="Arial"/>
        <family val="2"/>
        <charset val="204"/>
      </rPr>
      <t>Строительство погружной канализационной насосной станции (КНС) в границах земельного участка (силами и средствами Заказчика</t>
    </r>
    <r>
      <rPr>
        <b/>
        <sz val="14"/>
        <color theme="1"/>
        <rFont val="Arial"/>
        <family val="2"/>
        <charset val="204"/>
      </rPr>
      <t xml:space="preserve">); 
Строительство напорных канализационных коллекторов 2хДу-160 мм, от площадки застройки (границы земельного участка 40:26:000012:919) до КК1 (колодца гасителя, диаметром 2 м),  протяженностью 450 п.м. каждый. Предусмотреть прокладку трубопровода методом ГНБ, протяженностью 25 п.м. – 12,5 п.м. каждый.
Для перехода в существующий самотечный коллектор Д=300 мм предусмотреть монтаж колодца гасителя, диаметром 2 м;
Выполнить строительство самотечного канализационного коллектора Ду=250 мм от колодца гасителя КК1 до КК2 (существующий канализационный коллектор Ду = 300 мм), протяженностью 5 п.м., открытым способом.
</t>
    </r>
  </si>
  <si>
    <t>Проект планировки и проект межевания территории жилого квартала, г.Калуга мкр.Кубяка,Байконур</t>
  </si>
  <si>
    <t>Перечень мероприятий по строительству, модернизации и (или) реконструкции объектов централизованных систем водоснабжения и (или) водоотведения ГП "Калугаоблводоканал" на 2024-2028 годы.</t>
  </si>
  <si>
    <t xml:space="preserve">Строительство самотечного канализационного коллектора Д=200 мм, с уклоном не менее 1000i=8, от площадки застройки  до существующего колодца по ул. Грабцевское шоссе и пер. Баррикад, протяженностью 90 м, закрытым способом.На коллекторе установить ж/б колодцы диаметром 1,0 м, через каждые 35 м.
</t>
  </si>
  <si>
    <t>1.1.9.</t>
  </si>
  <si>
    <t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t>
  </si>
  <si>
    <t>АО «Специализированный застройщик «Кошелев-проект».</t>
  </si>
  <si>
    <t xml:space="preserve">"Малоэтажные жилые дома, очередь строительства 7, на земельном участке, расположенном по адресу: Калужская обл. г. Калуга, ул. Верховая, дома 124-138 по ГП".  
Кадастровый номер земельных  участков: 40:26:000372:10920, 40:26:000372:10921, 40:26:000372:10923, 40:26:000372:10924, 40:26:000372:10931,  40:26:000372:10942, 40:26:000372:10948, 40:26:000372:10949, 40:26:000372:10950, 40:26:000372:10951, 40:26:000372:10952, 40:26:000372:10953, 40:26:000372:10982,  40:26:000372:10983, 40:26:000372:15960.
</t>
  </si>
  <si>
    <t>УТВЕРЖДЕНО
Приказом МКП Калужской области 
№ 105-РК от 15.08.2022 г.</t>
  </si>
  <si>
    <t xml:space="preserve">Произвести врезку в точке подключения ВК1 (существующая ж/б камеры размером 3*3 м), с установкой запорной арматуры:
 Задвижка клиновая Hawle E1+ (№4000Е1+) Ду=200 мм - 1 шт.;
 Фланец System 2000 (№0400) DN200/225 – 2 шт.
</t>
  </si>
  <si>
    <t xml:space="preserve">Замена существующего насосного оборудования на НС I-го подъема Q=346 м3 с увеличением подачи до Q=400 м3.
</t>
  </si>
  <si>
    <t xml:space="preserve">В точке врезки КК1 (существующий канализационный коллектор Ду = 400 мм) выполнить строительство ж/б колодца диаметром 1000 мм глубиной 2 метра.
</t>
  </si>
  <si>
    <t>Акционерного общества «Корпорация развития Калужской области»</t>
  </si>
  <si>
    <t xml:space="preserve">«Индустриальный парк «Грабцево» (с целью увеличения мощности системы (2 этажа))», расположенное по адресу: г.Калуга, Индустриальный парк «Грабцево» </t>
  </si>
  <si>
    <t>УТВЕРЖДЕНО
Приказом МКП Калужской области 
№52 -РК от 04.10.2021 г.</t>
  </si>
  <si>
    <t xml:space="preserve">Реконструкция существующего самотечного канализационного коллектора Д=600 мм. (сталь) по ул. Прончищева,  протяженностью  130 п.м.,  на эстакаде высотой до 2 м. с заменой на стальной трубопровод диаметром 820х16мм.
Реконструкция существующего самотечного канализационного коллектора Д=800 мм. (ж/б) в районе мкр. Дубрава,   протяженностью  374 п.м.,  с заменой на трубопровод Корсис Про DN/OD 1000мм. 
Реконструкция 12 ж/б колодцев, диаметром 1,5м, глубина залегания до 3м
</t>
  </si>
  <si>
    <t xml:space="preserve">   </t>
  </si>
  <si>
    <t>Произвести реконструкцию самотечного канализационного коллектора Ду=300 мм (чуг.) на КОРСИС Д=500 мм протяженностью 143 м., до врезки  в  самотечный канализационный коллектор Ду-500 мм (чуг.) в районе дома ул. Московская 319.</t>
  </si>
  <si>
    <t>4.3.</t>
  </si>
  <si>
    <t>4.4.</t>
  </si>
  <si>
    <t>4.5.</t>
  </si>
  <si>
    <t>4.6.</t>
  </si>
  <si>
    <t>4.7.</t>
  </si>
  <si>
    <t>4.8.</t>
  </si>
  <si>
    <t xml:space="preserve">План мероприятий нового строительства сетей и сооружений объектов ВКХ ГП Калужской области "Калугаоблводоканал" </t>
  </si>
  <si>
    <t>Мероприятия для инвестиционной программы</t>
  </si>
  <si>
    <t>Населенный пункт</t>
  </si>
  <si>
    <t>Един. измере-ния</t>
  </si>
  <si>
    <t>Объем работ (натур. показатели)</t>
  </si>
  <si>
    <t>НЦС Цена за м.п., руб</t>
  </si>
  <si>
    <t>Сумма по объекту по НЦС, руб.</t>
  </si>
  <si>
    <t>Сумма по объекту по ФЭР, руб.</t>
  </si>
  <si>
    <t>Водопроводные сооружения</t>
  </si>
  <si>
    <t>тыс.куб.м/сут</t>
  </si>
  <si>
    <t>Проект: 40;
Факт: 25</t>
  </si>
  <si>
    <t>Транспортировка воды</t>
  </si>
  <si>
    <t>п.м</t>
  </si>
  <si>
    <t>г. Калуга</t>
  </si>
  <si>
    <t>Строительство водовода Д=500 от 3 подъема ст.Турынино до ул. Тульская (в одну нитку)</t>
  </si>
  <si>
    <t>п.м.</t>
  </si>
  <si>
    <t>Калуга</t>
  </si>
  <si>
    <t>Строительство водопровода Д=150 мм от ул. Чапаева, по пл.Маяковского, до ул.Грабцевское Шоссе с устройством закольцовки.</t>
  </si>
  <si>
    <t>Проектирование сетей водоснабжения мкрн.Правый берег (актуализация проекта)</t>
  </si>
  <si>
    <t>Д-800 - 5460 п.м.
Д-500 - 1746,1 п.м.
Д-315 - 1463,4 п.м.</t>
  </si>
  <si>
    <t>Канализационные сооружения</t>
  </si>
  <si>
    <t>Реконструкция очистных сооружений канализации п.Муратовского Щебзавода</t>
  </si>
  <si>
    <t>Транспортировка стоков</t>
  </si>
  <si>
    <t>Строительство напорной линии канализации от КНС (район развлекательного комплекса "Ёлки - палки") до камеры гашения - проложить вторую ветку напорного коллектора Ду100 мм  и востановить КНС</t>
  </si>
  <si>
    <t>д. Яглово</t>
  </si>
  <si>
    <t>Проектирование сетей водоотведения мкрн.Правый берег (актуализация проекта)</t>
  </si>
  <si>
    <t>Д-800 - 646 п.м.
Д-500 - 755,2 п.м.
Д-300 - 19 п.м.
Д-225 - 523,4 п.м.
Д-160 - 1372,6</t>
  </si>
  <si>
    <t>Реконструкция скорых фильтров фильтров станции "Северный водозабор" (мкрн.Байконур)</t>
  </si>
  <si>
    <t>2.1.3.</t>
  </si>
  <si>
    <t>Проектирование и строительство сетей водоснабжения г.Калуга</t>
  </si>
  <si>
    <t>г.Калуга.д.Косарево</t>
  </si>
  <si>
    <t>г.Калуга.д.Починки</t>
  </si>
  <si>
    <t>4.9.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</si>
  <si>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</si>
  <si>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</si>
  <si>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</si>
  <si>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</si>
  <si>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</si>
  <si>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</si>
  <si>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</si>
  <si>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</si>
  <si>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</si>
  <si>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</si>
  <si>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</si>
  <si>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Жилые дома, нежилые здания и помещения на территории г.Калуга</t>
  </si>
  <si>
    <t xml:space="preserve"> Комплекс жилых домов по ул. Тарутинская. мкр. «Малиновка-2», расположенный по адресу:  г.Калуга, ул.Тарутинская д.241, д.243</t>
  </si>
  <si>
    <t>Комплекс жилых домов по ул. Тарутинская. мкр. «Малиновка-2»</t>
  </si>
  <si>
    <t>Комплекс жилых домов по ул. Анненки г. Калуга, 1 этап – жилой дом №1 , котельная; 2 этап – жилой дом №3 ; 3 этап – жилой дом №4</t>
  </si>
  <si>
    <t>Лечебно-диагностический корпус ГБУЗ КО "Калужский областной онкологический диспансер</t>
  </si>
  <si>
    <t>Срок реализации</t>
  </si>
  <si>
    <t>г.Калуга, пер.Хуторской</t>
  </si>
  <si>
    <t>г.Калуга ул.Суворова</t>
  </si>
  <si>
    <t>г.Калуга, ул.Плеханова</t>
  </si>
  <si>
    <t>г.Калуга, ул.Родниковая</t>
  </si>
  <si>
    <t>г.Калуга,ул.Грабцевское шоссе</t>
  </si>
  <si>
    <t>г.Калуга,ул.Мелиораторов</t>
  </si>
  <si>
    <t>4.21.</t>
  </si>
  <si>
    <t>4.22.</t>
  </si>
  <si>
    <t>4.23.</t>
  </si>
  <si>
    <t>4.24.</t>
  </si>
  <si>
    <t>4.25.</t>
  </si>
  <si>
    <t>г.Калуга, 2-ой Загородный проезд</t>
  </si>
  <si>
    <t>г.Калуга ул.40 лет Октября</t>
  </si>
  <si>
    <t>г.Калуга пер.Малинники</t>
  </si>
  <si>
    <t>г.Калуга,ул.Азаровская</t>
  </si>
  <si>
    <t>г.Калуга,ул.Московская</t>
  </si>
  <si>
    <t>г.Калуга,ул. Привокзальная</t>
  </si>
  <si>
    <t>г.Калуга,ул.Звездная</t>
  </si>
  <si>
    <t>г.Калуга, от ул.Московская по ул.Азаровская</t>
  </si>
  <si>
    <t>г.Калуга,  по ул.Родниковая до мкр.Турынино</t>
  </si>
  <si>
    <t xml:space="preserve">г.Калуга от ул.Степана Разина по ул.Салтыкова-Щедрина </t>
  </si>
  <si>
    <t>г.Калуга , с.Росва, ул.Мира д.8 - ул.Московская д.5</t>
  </si>
  <si>
    <t>г.Калуга,  с.Спас</t>
  </si>
  <si>
    <t>г.Калуга от ул. Глаголева до ул.Ленина</t>
  </si>
  <si>
    <t>г.Калуга, от ул.Зеленый Крупец по ул.С.-Щедрина, ул.Краснопивцева</t>
  </si>
  <si>
    <t>г.Калуга,от ул.Октябрьский проезд до ул.Комарова</t>
  </si>
  <si>
    <t>10 куб. м в час</t>
  </si>
  <si>
    <t>5 куб. м в час</t>
  </si>
  <si>
    <t>6.1.</t>
  </si>
  <si>
    <t>6.2.</t>
  </si>
  <si>
    <t xml:space="preserve">г.Калуга, в районе д. Верховая, д. Квань </t>
  </si>
  <si>
    <t>6.3.</t>
  </si>
  <si>
    <t>Выполнение работ по установке (внедрению) автоматизированной информационно-измерительной системы учета водоснабжения (АИИСУВ)</t>
  </si>
  <si>
    <t>5.</t>
  </si>
  <si>
    <t xml:space="preserve">Реконструкция существующего самотечного канализационного коллектора Д=600 мм. (сталь) по ул. Прончищева,  протяженностью  130 п.м.,  на эстакаде высотой до 2 м. с заменой на стальной трубопровод диаметром 820х16мм.
Реконструкция существующего самотечного канализационного коллектора Д=800 мм. (ж/б) в районе мкр. Дубрава,   протяженностью  374 п.м.,  с заменой на трубопровод Корсис Про DN/OD 1000мм. 
Реконструкция 12 ж/б колодцев, диаметром 1,5м, глубина залегания до 3м
</t>
  </si>
  <si>
    <t>Реконструкция участка самотечного канализационного коллектора Ду500 мм,  протяженностью 22,73 п.м.</t>
  </si>
  <si>
    <t xml:space="preserve">Реконструкция самотечного канализационного коллектора Д=500-600 мм от дома 319 по ул. Московская до КНС "Терепец", протяженностью 3500 п.м. </t>
  </si>
  <si>
    <t>Реконструкция канализационной насосной станции "Терепец" район ул.Панорамная</t>
  </si>
  <si>
    <t xml:space="preserve">г.Калуга, пер. Воскресенский от д. 3а до ул. Луначарского </t>
  </si>
  <si>
    <t>Реконструкция двух участков самотечного канализационного коллектора Д-500-600мм, ж/б, а/ц, общей протяженностью 1046 п.м: ул. Промышленная от КК№33 до КК№37;  ул. В. Никитиной от д.№29 до ул. Зерновая</t>
  </si>
  <si>
    <t>г.Калуга по ул. Поле Свободы от д.30 до ул К. Либкнехта.</t>
  </si>
  <si>
    <t>Реконструкция самотечного канализационного коллектора Д-200мм, керамика, протяженностью  500п.м, по ул. Ленина от д.8 до д. 22.</t>
  </si>
  <si>
    <t>г.Калуга по ул. Ленина от д.8 до д. 22.</t>
  </si>
  <si>
    <t>Реконструкция самотечного коллектора на эстакаде  Д-300мм, сталь в д. Анненки, ул. Ипподромная  в районе КСШОР,  протяженностью  70 п.м.</t>
  </si>
  <si>
    <t>г.Калуга  д. Анненки, ул. Ипподромная  в районе КСШОР</t>
  </si>
  <si>
    <t xml:space="preserve">Реконструкция самотечного канализационного коллектора Д-250-500мм, ж/б, протяженностью 810 п.м, по ул. Степана Разина от д.57 до ул. Салтыкова - Щедрина </t>
  </si>
  <si>
    <t>Реконструкция самотечного канализационного коллектора Д-500мм, кер., протяженностью 300 п.м, от ул. Ленина д.58  до ул. Веры Андриановой</t>
  </si>
  <si>
    <t>г.Калуга от ул. Ленина д.58  до ул. Веры Андриановой</t>
  </si>
  <si>
    <t xml:space="preserve">г.Калуга по ул. Степана Разина от д.57 до ул. Салтыкова - Щедрина </t>
  </si>
  <si>
    <t>г.Калуга,д.Канищево от территории гаражей до КНС</t>
  </si>
  <si>
    <t>Реконструкция напорного коллектора, Д-100мм, сталь, протяженностью 420 п.м,  от КНС Канищево до площадки коттеджного поселка Швейцарская деревня</t>
  </si>
  <si>
    <t>г.Калуга от КНС Канищево до площадки коттеджного поселка Швейцарская деревня</t>
  </si>
  <si>
    <t>Реконструкция напорного коллектора, Д-200мм, сталь, протяженностью 3920 п.м,  от КНС "Шопино" №13 до камеры гашения в районе ул. Хорошая</t>
  </si>
  <si>
    <t>г.Калуга от КНС "Шопино" №13 до камеры гашения в районе ул. Хорошая</t>
  </si>
  <si>
    <t>Реконструкция напорного коллектора, 2Д-250мм, чугун, протяженностью 454 п.м, от КНС "Подгорная" до камеры гашения.</t>
  </si>
  <si>
    <t>г.Калуга от КНС "Подгорная" до камеры гашения.</t>
  </si>
  <si>
    <t>Строительство отдельного водовода  Д=225 мм от водовода Д=300 мм по ул. Ленина 39 протяженностью 345 п.м. в точке подключения выполнить строительство водопроводной камеры из ж/б плит размером 2*2,5 м., выполнить перемычку Д=225мм с существующим трубопроводом Д=200 мм, установить задвижки: Д=200 мм. - 5 шт.,  строительство трубопровода Д=225 мм. от в/камеры  до запрашиваемых границ участка, протяженностью 25 п.м.</t>
  </si>
  <si>
    <t>Прочие капитальные вложения во внеоборотные активы</t>
  </si>
  <si>
    <t>Приложение №4</t>
  </si>
  <si>
    <t xml:space="preserve">Перечень мероприятий по защите централизованных систем водоснабжения и (или) водоотведения и их отдельных объектов от угроз техногенного, природного характера и террористических актов,  а также перечень мероприятий, предусматривающих капитальные вложения в объекты основных средств и нематериальные активы. </t>
  </si>
  <si>
    <t xml:space="preserve">Строительство сетей водоснабжения Ду=300мм, протяженностью около 1000 п.м, строительство сетей водоснабженияДу=300мм, подключение  к водоводу Ду 500 в районе ОСК, протяженностью около 250 п.м.
</t>
  </si>
  <si>
    <t>Приложение 3</t>
  </si>
  <si>
    <t>г.Калуга ,ул.Ипподромная</t>
  </si>
  <si>
    <t xml:space="preserve">г.Калуга ,район развлекательного комплекса "Ёлки - палки" </t>
  </si>
  <si>
    <t>г.Калуга ул. Промышленная ;  ул. В. Никитиной от д.№29 до ул. Зерновая</t>
  </si>
  <si>
    <t>г.Калуга от КНС Аэропорт до камеры гашения</t>
  </si>
  <si>
    <t xml:space="preserve">Перечень объектов капитального строительства абонентов, которые необходимо подключить к централизованной системе водоснабжения и (или) водоотведения или перечень территорий, на которых расположены такие объекты, с указанием мест расположения подключаемых объектов, нагрузок и сроков подключения. </t>
  </si>
  <si>
    <t>по строительству, реконструкции и модернизации объектов</t>
  </si>
  <si>
    <t>ЛСР в наличии</t>
  </si>
  <si>
    <t>Наличие подтверждающих смет</t>
  </si>
  <si>
    <t xml:space="preserve">Сети водоснабждения для реконструкции </t>
  </si>
  <si>
    <t xml:space="preserve">Сети канализации для реконструкции </t>
  </si>
  <si>
    <t>Смета в наличии</t>
  </si>
  <si>
    <t>мероприятие связанное с подключением (пункт "А"). ТЗ)</t>
  </si>
  <si>
    <t>мероприятие связанное с капвложениями в объекты ОС (пункт "Д"). ТЗ)</t>
  </si>
  <si>
    <t>Строительство водопровода Д=225 мм от границ земельного участка до существующего водовода Ду = 250 мм, протяженностью 435 п.м., из которых 10 п.м. методом ГНБ; В точке подключения  выполнить строительство ж/б колодца диаметром 1,5 м, глубиной не менее 2 м, с установкой задвижкиДу=200 мм - 1 шт. и фланца DN200/225 – 2 шт.</t>
  </si>
  <si>
    <t>Строительство напорных канализационных коллекторов 2хДу-160 мм от площадки застройки  до колодца гасителя, диаметром 2 м протяженностью 450 п.м. каждый. Строительство трубопровода методом ГНБ протяженностью 25 п.м. (12,5 п.м. каждый). Монтаж колодца гасителя, диаметром 2 м; строительство самотечного канализационного коллектора Ду=250 мм от колодца гасителя КК1 до КК2 (существующий канализационный коллектор Ду = 300 мм) протяженностью 5 п.м. открытым способом.</t>
  </si>
  <si>
    <t>Отчет по проводкам</t>
  </si>
  <si>
    <t>Период: 2022 г.</t>
  </si>
  <si>
    <t>Дата</t>
  </si>
  <si>
    <t>Документ</t>
  </si>
  <si>
    <t>Содержание</t>
  </si>
  <si>
    <t>Дт</t>
  </si>
  <si>
    <t>Кт</t>
  </si>
  <si>
    <t>Субконто Дт</t>
  </si>
  <si>
    <t>Субконто Кт</t>
  </si>
  <si>
    <t>Номер журнала</t>
  </si>
  <si>
    <t>15.06.2022 19:15:54</t>
  </si>
  <si>
    <t>Поступление товаров и услуг 00000003631 от 15.06.2022 19:15:54</t>
  </si>
  <si>
    <t>Поступление  по вх.док. акт №1 от 15.06.2022</t>
  </si>
  <si>
    <t>08.04</t>
  </si>
  <si>
    <t>60.01</t>
  </si>
  <si>
    <t>Узел учета холодной воды и АИИСУВ (счетчик ВВТ-50)/204505,84</t>
  </si>
  <si>
    <t>Завод Водоприбор ООО</t>
  </si>
  <si>
    <t>ОС</t>
  </si>
  <si>
    <t>Количество</t>
  </si>
  <si>
    <t>Инспекц. вод. ресурсов- Пименов И.И.</t>
  </si>
  <si>
    <t>№Т/2239-ЕД от 28.04.2022 (1 335 414 505,00) АИИСУВ холодного водоснабжения</t>
  </si>
  <si>
    <t>Узел учета холодной воды и АИИСУВ (счетчик ВВТ-50)/204505,83</t>
  </si>
  <si>
    <t>28.07.2022 14:23:54</t>
  </si>
  <si>
    <t>Поступление товаров и услуг 00000004273 от 28.07.2022 14:23:54</t>
  </si>
  <si>
    <t>Поступление  по вх.док. акт №2 от 30.06.2022</t>
  </si>
  <si>
    <t>28.09.2022 12:00:00</t>
  </si>
  <si>
    <t>Поступление товаров и услуг 00000005695 от 28.09.2022 12:00:00</t>
  </si>
  <si>
    <t>Поступление  по вх.док. акт №3 от 31.08.2022</t>
  </si>
  <si>
    <t>31.12.2022 8:00:00</t>
  </si>
  <si>
    <t>Поступление товаров и услуг 00000007869 от 31.12.2022 8:00:00</t>
  </si>
  <si>
    <t>Поступление  по вх.док. акт №4 от 31.12.2022</t>
  </si>
  <si>
    <t>Факт, шт.</t>
  </si>
  <si>
    <t>Цена за 1 ед., руб.</t>
  </si>
  <si>
    <t>Период: 2023 г.</t>
  </si>
  <si>
    <t>10.02.2023 16:21:05</t>
  </si>
  <si>
    <t>Поступление товаров и услуг 00000000470 от 10.02.2023 16:21:05</t>
  </si>
  <si>
    <t>Поступление  по вх.док. акт №5 от 31.01.2023</t>
  </si>
  <si>
    <t>Узел учета холодной воды и АИИСУВ (счетчик ВВТ-100)/221581,67</t>
  </si>
  <si>
    <t>ВВТ-50</t>
  </si>
  <si>
    <t>ВВТ-100</t>
  </si>
  <si>
    <t>прогноз 2023</t>
  </si>
  <si>
    <t>план 2024</t>
  </si>
  <si>
    <t>план 2025</t>
  </si>
  <si>
    <t>план 2026</t>
  </si>
  <si>
    <t>план 2027</t>
  </si>
  <si>
    <t>план 2028</t>
  </si>
  <si>
    <t>План по графику монтажа 
УУХВ и АИИСУВ без ТО, шт.</t>
  </si>
  <si>
    <t>Период: Январь 2020 г. - Декабрь 2023 г.</t>
  </si>
  <si>
    <t>31.01.2021 12:00:00</t>
  </si>
  <si>
    <t>Поступление товаров и услуг 00000000829 от 31.01.2021 12:00:00</t>
  </si>
  <si>
    <t>Поступление  по вх.док. акт №1 от 31.01.2021</t>
  </si>
  <si>
    <t>Узел учета холодной воды и АИИСУВ (счетчик ВВТ-40)/105229,16</t>
  </si>
  <si>
    <t>Группа по АиД-Дубовской В.В.перевед.</t>
  </si>
  <si>
    <t>№Т/985-ЭК от 14.04.2020 (98 842 800,00) АИИСУВ холодного водоснабжения</t>
  </si>
  <si>
    <t>31.03.2021 12:00:00</t>
  </si>
  <si>
    <t>Поступление товаров и услуг 00000001476 от 31.03.2021 12:00:00</t>
  </si>
  <si>
    <t>Поступление  по вх.док. акт №2 от 31.03.2021</t>
  </si>
  <si>
    <t>Узел учета холодной воды и АИИСУВ (счетчик ВВТ-50)/131145,83</t>
  </si>
  <si>
    <t xml:space="preserve">Узел учета холодной воды и АИИСУВ (счетчик ВВТ-80)/182270,83 </t>
  </si>
  <si>
    <t>Поступление товаров и услуг 00000001593 от 31.03.2021 12:00:00</t>
  </si>
  <si>
    <t>Поступление  по вх.док. акт №1а от 28.02.2021</t>
  </si>
  <si>
    <t>31.05.2021 0:00:00</t>
  </si>
  <si>
    <t>Поступление товаров и услуг 00000002467 от 31.05.2021 0:00:00</t>
  </si>
  <si>
    <t>Поступление  по вх.док. акт №3 от 30.04.2021</t>
  </si>
  <si>
    <t>31.05.2021 20:00:00</t>
  </si>
  <si>
    <t>Поступление товаров и услуг 00000002683 от 31.05.2021 20:00:00</t>
  </si>
  <si>
    <t>Поступление  по вх.док. акт №4 от 31.05.2021</t>
  </si>
  <si>
    <t>04.08.2021 8:34:48</t>
  </si>
  <si>
    <t>Поступление товаров и услуг 00000003767 от 04.08.2021 8:34:48</t>
  </si>
  <si>
    <t>Поступление  по вх.док. акт №5 от 26.07.2021</t>
  </si>
  <si>
    <t>31.08.2021 12:00:00</t>
  </si>
  <si>
    <t>Поступление товаров и услуг 00000004432 от 31.08.2021 12:00:00</t>
  </si>
  <si>
    <t>Поступление  по вх.док. акт №7 от 31.08.2021</t>
  </si>
  <si>
    <t>Узел учета холодной воды и АИИСУВ (счетчик ОСВУ-40)</t>
  </si>
  <si>
    <t>31.08.2021 17:00:11</t>
  </si>
  <si>
    <t>Поступление товаров и услуг 00000004117 от 31.08.2021 17:00:11</t>
  </si>
  <si>
    <t>Поступление  по вх.док. акт №6 от 31.07.2021</t>
  </si>
  <si>
    <t>01.10.2021 16:16:50</t>
  </si>
  <si>
    <t>Поступление товаров и услуг 00000005512 от 01.10.2021 16:16:50</t>
  </si>
  <si>
    <t>Поступление  по вх.док. акт №8 от 30.09.2021</t>
  </si>
  <si>
    <t>01.11.2021 18:00:42</t>
  </si>
  <si>
    <t>Поступление товаров и услуг 00000005776 от 01.11.2021 18:00:42</t>
  </si>
  <si>
    <t>Поступление  по вх.док. акт №9 от 31.10.2021</t>
  </si>
  <si>
    <t>30.11.2021 22:01:07</t>
  </si>
  <si>
    <t>Поступление товаров и услуг 00000006353 от 30.11.2021 22:01:07</t>
  </si>
  <si>
    <t>Поступление  по вх.док. акт №10 от 30.11.2021</t>
  </si>
  <si>
    <t>Узел учета холодной воды и АИИСУВ (счетчик ВВТ-50)_/131145,84</t>
  </si>
  <si>
    <t>31.12.2021 12:00:00</t>
  </si>
  <si>
    <t>Поступление товаров и услуг 00000006761 от 31.12.2021 12:00:00</t>
  </si>
  <si>
    <t>Поступление  по вх.док. акт №11 от 31.12.2021</t>
  </si>
  <si>
    <t>31.01.2022 12:00:00</t>
  </si>
  <si>
    <t>Поступление товаров и услуг 00000000317 от 31.01.2022 12:00:00</t>
  </si>
  <si>
    <t>Поступление  по вх.док. акт №12 от 31.01.2022</t>
  </si>
  <si>
    <t>22.04.2022 14:59:57</t>
  </si>
  <si>
    <t>Поступление товаров и услуг 00000002213 от 22.04.2022 14:59:57</t>
  </si>
  <si>
    <t>Поступление  по вх.док. акт №14 от 31.03.2022</t>
  </si>
  <si>
    <t>22.04.2022 15:06:41</t>
  </si>
  <si>
    <t>Поступление товаров и услуг 00000002215 от 22.04.2022 15:06:41</t>
  </si>
  <si>
    <t>Поступление  по вх.док. акт №13 от 31.03.2022</t>
  </si>
  <si>
    <t>30.04.2022 23:57:45</t>
  </si>
  <si>
    <t>Поступление товаров и услуг 00000002580 от 30.04.2022 23:57:45</t>
  </si>
  <si>
    <t>Поступление  по вх.док. акт №15 от 30.04.2022</t>
  </si>
  <si>
    <t>31.05.2022 12:00:00</t>
  </si>
  <si>
    <t>Поступление товаров и услуг 00000003215 от 31.05.2022 12:00:00</t>
  </si>
  <si>
    <t>Поступление  по вх.док. акт №16 от 31.05.2022</t>
  </si>
  <si>
    <t>28.07.2022 14:18:50</t>
  </si>
  <si>
    <t>Поступление товаров и услуг 00000004271 от 28.07.2022 14:18:50</t>
  </si>
  <si>
    <t>Поступление  по вх.док. акт №17 от 30.06.2022</t>
  </si>
  <si>
    <t>24.08.2022 17:19:35</t>
  </si>
  <si>
    <t>Поступление товаров и услуг 00000004761 от 24.08.2022 17:19:35</t>
  </si>
  <si>
    <t>Поступление  по вх.док. акт №18 от 31.07.2022</t>
  </si>
  <si>
    <t>Поступление товаров и услуг 00000005703 от 28.09.2022 12:00:00</t>
  </si>
  <si>
    <t>Поступление  по вх.док. акт №19 от 31.08.2022</t>
  </si>
  <si>
    <t>08.11.2022 17:14:16</t>
  </si>
  <si>
    <t>Поступление товаров и услуг 00000006445 от 08.11.2022 17:14:16</t>
  </si>
  <si>
    <t>Поступление  по вх.док. акт №20 от 30.09.2022</t>
  </si>
  <si>
    <t>24.11.2022 15:27:32</t>
  </si>
  <si>
    <t>Поступление товаров и услуг 00000006724 от 24.11.2022 15:27:32</t>
  </si>
  <si>
    <t>Поступление  по вх.док. акт №21 от 31.10.2022</t>
  </si>
  <si>
    <t>29.12.2022 15:44:38</t>
  </si>
  <si>
    <t>Поступление товаров и услуг 00000007395 от 29.12.2022 15:44:38</t>
  </si>
  <si>
    <t>Поступление  по вх.док. акт №22 от 30.11.2022</t>
  </si>
  <si>
    <t>Поступление товаров и услуг 00000007871 от 31.12.2022 8:00:00</t>
  </si>
  <si>
    <t>Поступление  по вх.док. акт №23 от 31.12.2022</t>
  </si>
  <si>
    <t>Узел учета холодной воды и АИИСУВ (счетчик ВВТ-100)/182270,83</t>
  </si>
  <si>
    <t>10.02.2023 16:21:04</t>
  </si>
  <si>
    <t>Поступление товаров и услуг 00000000469 от 10.02.2023 16:21:04</t>
  </si>
  <si>
    <t>Поступление  по вх.док. акт №24 от 31.01.2023</t>
  </si>
  <si>
    <t>ИТОГО нар. итогом</t>
  </si>
  <si>
    <t>План по графику монтажа 
УУХВ и АИИСУВ без ТО, руб. без НДС</t>
  </si>
  <si>
    <t>Факт, руб. без НДС</t>
  </si>
  <si>
    <t>Т-2639-ЕД от 03.03.2023 Выполнение работ по внедрению модуля "Расчеты с абонентами - физическими лицами" (4 999 843,00 руб., НДС не облагается) (срок выполнения в течение 7 месяцев с момента подписания договора)</t>
  </si>
  <si>
    <t>Е/2262-ЕД от 25.04.2022 Выполнение работ по внедрению модуля "Расчеты с абонентами - юридическими лицами" (4 910 937,50 руб., НДС не облагается) (срок выполнения в течение 6 месяцев с момента подписания договора)</t>
  </si>
  <si>
    <t>Детализация по  субконто: Контрагенты, Договоры</t>
  </si>
  <si>
    <t>Выводимые данные: сумма</t>
  </si>
  <si>
    <t>Отбор: Контрагенты в группе из списка Старт-МС ООО</t>
  </si>
  <si>
    <t>Счет</t>
  </si>
  <si>
    <t>Кор.счет</t>
  </si>
  <si>
    <t>С кред. счетов</t>
  </si>
  <si>
    <t>В дебет счетов</t>
  </si>
  <si>
    <t>Нач.сальдо</t>
  </si>
  <si>
    <t>Старт-МС ООО</t>
  </si>
  <si>
    <t>№Т/2262-ЕД от 25.04.2022 (4 910 937,50 внедрение модуля - программы для ЭВМ) + ДС №1 от 14.11.2022</t>
  </si>
  <si>
    <t>Оборот</t>
  </si>
  <si>
    <t>Кон.сальдо</t>
  </si>
  <si>
    <t>№Т/2425-ЕД от 13.09.2022 (4 918 750,00 внедр-ие модуля управл. деб-ой задолж. юр.лиц)+ДС от 31.01.23</t>
  </si>
  <si>
    <t>№Т/2639-ЕД от 03.03.2023 (4 999 843,00 внедр-ие модуля расчеты с абон.-физ.лицами)</t>
  </si>
  <si>
    <t>Итого:</t>
  </si>
  <si>
    <t>ИП</t>
  </si>
  <si>
    <t xml:space="preserve">№Т/2239-ЕД от 28.04.2022 (1 335 414 505,00) АИИСУВ холодного водоснабжения </t>
  </si>
  <si>
    <t>26 счет</t>
  </si>
  <si>
    <t>97 счет</t>
  </si>
  <si>
    <t>Промышленный (производственный) документооборот (4 743 750 руб., НДС не облагается) (3 месяца - срок выполнения)</t>
  </si>
  <si>
    <t>Разработка личного кабинета (4 месяца - срок выполнения)</t>
  </si>
  <si>
    <t>По договору</t>
  </si>
  <si>
    <t>Проект</t>
  </si>
  <si>
    <t xml:space="preserve">Проект </t>
  </si>
  <si>
    <t>Т-2425-ЕД от 13.09.2022 (Внедрение модуля управления дебиторской задолженностью) (4 918 750,00  руб., НДС не облагается)</t>
  </si>
  <si>
    <t>Строительство детско-взрослой поликлиники в г. Калуга, в том числе ПИР</t>
  </si>
  <si>
    <t>Строительство  напорного  коллектора    2Д=160 мм. в две линии (резерв) протяженностью по 864 п.м. каждая</t>
  </si>
  <si>
    <t>Замена существующего насосного оборудования на НС I-го подъема Q=346 м3 с увеличением подачи до Q=400 м3.</t>
  </si>
  <si>
    <t>Строительство водовода Д=500 от 3 подъема ст.Турынино до ул. Тульская (в одну нитку) протяженностью 1800 п.м.</t>
  </si>
  <si>
    <t>-</t>
  </si>
  <si>
    <t xml:space="preserve">Строительство иных объектов централизованных систем водоотведения (за исключением сетей водоотведения) </t>
  </si>
  <si>
    <t>проверка</t>
  </si>
  <si>
    <t>Перечень мероприятий, предусматривающих капитальные вложения в объекты основных средств и нематериальные активы, связанных с обеспечением деятельности в сфере  холодного водоснабжения и (или) водоотведения  с использованием централизованных систем водоснабжения и (или) водоотведения.</t>
  </si>
  <si>
    <r>
      <t xml:space="preserve">Корректировка Проектной документации на объект капитального строительства: «Строительство сетей </t>
    </r>
    <r>
      <rPr>
        <b/>
        <sz val="12"/>
        <color theme="1"/>
        <rFont val="Times New Roman"/>
        <family val="1"/>
        <charset val="204"/>
      </rPr>
      <t>водоснабжения</t>
    </r>
    <r>
      <rPr>
        <sz val="12"/>
        <color theme="1"/>
        <rFont val="Times New Roman"/>
        <family val="1"/>
        <charset val="204"/>
      </rPr>
      <t xml:space="preserve">  микрорайонов «Кошелев-проект, Ташир, кварталов № 5-19, 22, 23 в районе д. Верховая, д. Квань, г. Калуга»</t>
    </r>
  </si>
  <si>
    <r>
      <t xml:space="preserve">Корректировка Проектной документации на объект капитального строительства: «Строительство сетей </t>
    </r>
    <r>
      <rPr>
        <b/>
        <sz val="12"/>
        <color theme="1"/>
        <rFont val="Times New Roman"/>
        <family val="1"/>
        <charset val="204"/>
      </rPr>
      <t xml:space="preserve">водоотведения </t>
    </r>
    <r>
      <rPr>
        <sz val="12"/>
        <color theme="1"/>
        <rFont val="Times New Roman"/>
        <family val="1"/>
        <charset val="204"/>
      </rPr>
      <t>микрорайонов «Кошелев-проект, Ташир, кварталов № 5-19, 22, 23 в районе д. Верховая, д. Квань, г. Калуга»</t>
    </r>
  </si>
  <si>
    <t>Строительство водовода Дн=110 мм.  от площадки застройки (границы земельного участка) до ВК1  протяженностью 20 п.м. с обустройством смотровых в/колодцев диметром 1м – 2 шт.
При строительстве водовода под а/дорогой предусмотреть устройство футляров внутренним диаметром не менее 300мм, протяженностью 20 п.м.
В точке подключения ВК1 - подключение к существующему водоводу Ду=200мм с установкой задвижек:  Ду=200мм – 1 шт., Ду=100 мм. – 1 шт.; а также ПГ (h=1750м) – 1 шт.</t>
  </si>
  <si>
    <t>Строительство  самотечного канализационного  коллектора    Ду=200 мм. от площадки застройки (границы земельного участка)  до точки подключения КК1 (существующий канализационный коллектор Ду=500мм) протяженностью 86 п.м. с обустройством смотровых к/колодцев диаметром 2м – 2 шт.
При строительстве коллектора под а/дорогой предусмотреть устройство футляра внутренним диаметром не менее 400мм, протяженностью 28 п.м.</t>
  </si>
  <si>
    <t>бюджет муниципального образования</t>
  </si>
  <si>
    <t>Проектирование водопровода Ду300 от ул. Гурьянова до мкр. Анненки исключен как мероприятие, связанное с подключением онкологического центра</t>
  </si>
  <si>
    <t>Раздел 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водоснабжения и (или) водоотведения</t>
  </si>
  <si>
    <t>Раздел 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холодного водоснабжения с использованием централизованных систем водоснабжения и (или) водоотведения
см. лист Старт</t>
  </si>
  <si>
    <t xml:space="preserve">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холодного водоснабжения с использованием централизованных систем водоснабжения </t>
  </si>
  <si>
    <t>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 водоотведения с использованием централизованных систем водоотведения</t>
  </si>
  <si>
    <t>Раздел 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холодного водоснабжения с использованием централизованных систем водоотведения
см. лист Водоприбор</t>
  </si>
  <si>
    <t>Раздел 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</t>
  </si>
  <si>
    <t xml:space="preserve">Раздел 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холодного водоснабжения с использованием централизованных систем водоснабжения </t>
  </si>
  <si>
    <t xml:space="preserve">Раздел 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водоснабжения </t>
  </si>
  <si>
    <t>Строительство водопровода Д=150 мм от ул. Чапаева, по пл.Маяковского, до ул.Грабцевское Шоссе с устройством закольцовки протяженностью 300 п.м.</t>
  </si>
  <si>
    <t>Строительство водовода "Турынино" Д-800 L = 10 км - прокладка дублирующей нитки Ду 800 мм от насосной ст. I подъема до водоочистной станции протяженностью 10 000 п.м.</t>
  </si>
  <si>
    <t xml:space="preserve">«Индустриальный парк «Грабцево» (с целью увеличения мощности системы (2 этажа) </t>
  </si>
  <si>
    <t>Многоквартирный жилой дом с подземными парковками</t>
  </si>
  <si>
    <t>Общеобразовательная школа на 1125 мест</t>
  </si>
  <si>
    <t>Реконструкция напорного коллектора Д-400мм, чугун по ул. Ипподромная   (от КНС№7 до КНС№6)</t>
  </si>
  <si>
    <t>Реконструкция коллектора Калуга-Бор (вдоль бора) протяженностью 294 п.м.</t>
  </si>
  <si>
    <t>Реконструкция напорного коллектора Д-400мм, чугун по ул. Ипподромная (от КНС№7 до КНС№6) протяженностью 200 п.м.</t>
  </si>
  <si>
    <t>Осуществление мероприятий, направленных на повышение экологической эффективности, достижение плановых значений показателей надежности, качества и энергоэффективности объектов централизованных систем водоотведения, не включенных в прочие группы мероприятий</t>
  </si>
  <si>
    <t>в том числе</t>
  </si>
  <si>
    <t>Замена существующего насосного оборудования на канализационной насосной станции в районе Пучковского моста</t>
  </si>
  <si>
    <t>Строительство самотечного канализационного коллектора DN/ID-200 от границ земельного участка до точки на существующем самотечном канализационном коллекторе, протяженностью 20 п.м., открытым способом.</t>
  </si>
  <si>
    <t>Дата заявления</t>
  </si>
  <si>
    <t>Информация о сроках строительства объекта</t>
  </si>
  <si>
    <t>Информация о вводе в эксплуатацию строящегося объекта</t>
  </si>
  <si>
    <t>Дата подключения объекта (из заявления заказчика):</t>
  </si>
  <si>
    <t>Расчет платы за подключение (технологическое присоединение) к централизованным системам водоснабжения и водоотведения по объекту</t>
  </si>
  <si>
    <t>"Здание жилое многоквартирное со встроенными помещениями"</t>
  </si>
  <si>
    <t xml:space="preserve"> расположенный по адресу: г. Калуга, 3-й Академический проезд, д. 1</t>
  </si>
  <si>
    <t>Кадастровый номер земельного участка: 40:26:000385:2739</t>
  </si>
  <si>
    <t>Заказчик: ООО "Строительная компания "Азимут-Калуга"</t>
  </si>
  <si>
    <t>Единица измерений</t>
  </si>
  <si>
    <t>Всего</t>
  </si>
  <si>
    <t>на протяжённость</t>
  </si>
  <si>
    <t>на увеличение мощности</t>
  </si>
  <si>
    <t>Индекс потребительских цен</t>
  </si>
  <si>
    <t>Расходы, связанные с подключением (технологическим присоединением)</t>
  </si>
  <si>
    <t>тыс. руб.</t>
  </si>
  <si>
    <t>тыс. руб. 
с НДС</t>
  </si>
  <si>
    <t>1.1</t>
  </si>
  <si>
    <t>Расходы на проведение мероприятий по подключению заявителей</t>
  </si>
  <si>
    <t>1.1.1</t>
  </si>
  <si>
    <t>расходы на проектирование и инженерно-геодезические изыскания</t>
  </si>
  <si>
    <t>расходы на сырье и материалы</t>
  </si>
  <si>
    <t>расходы на электрическую энергию (мощность), тепловую энергию, другие энергетические ресурсы и холодную воду (промывку сетей)</t>
  </si>
  <si>
    <t>расходы на оплату работ и услуг сторонних организаций (СМР)</t>
  </si>
  <si>
    <t>оплата труда и отчисления на социальные нужды</t>
  </si>
  <si>
    <t>прочие расходы</t>
  </si>
  <si>
    <t>1.1.6.1</t>
  </si>
  <si>
    <t>Авторский надзор (0,2% от СМР)</t>
  </si>
  <si>
    <t>1.1.6.2</t>
  </si>
  <si>
    <t>Зимнее удорожание (2,3% по воде и 2,5% по стокам от СМР без НР, СП и оборудования)</t>
  </si>
  <si>
    <t>1.1.6.3</t>
  </si>
  <si>
    <t>Технический надзор (2,14%)</t>
  </si>
  <si>
    <t>1.1.6.4</t>
  </si>
  <si>
    <t>Резерв на непредвиденные работы (2%)</t>
  </si>
  <si>
    <t>1.1.6.5.</t>
  </si>
  <si>
    <t xml:space="preserve">Расходы, связанные с определением земельного участка под строительство </t>
  </si>
  <si>
    <t>Изготовление межевого плана земельного участка, кадастрового паспорта (геодезические замеры участка с указанием инженерных сетей, находящихся в непосредственной близости или пересечении подключаемого участка существующих сетей ВиВ)</t>
  </si>
  <si>
    <t>1.1.6.6.</t>
  </si>
  <si>
    <t>Регистрация объекта (госпошлина)</t>
  </si>
  <si>
    <t>1.1.6.7.</t>
  </si>
  <si>
    <t>Арендная плата (за земельный участок для строительства сетей от точки подключения до границы застройки)</t>
  </si>
  <si>
    <t>1.1.6.7.1.</t>
  </si>
  <si>
    <t>Средняя площадь земельного участка на 1 п. м.</t>
  </si>
  <si>
    <t>м2 / п. м.</t>
  </si>
  <si>
    <t>1.1.6.7.2.</t>
  </si>
  <si>
    <t xml:space="preserve">Средняя площадь земельного участка </t>
  </si>
  <si>
    <t>м2</t>
  </si>
  <si>
    <t>1.1.6.7.3.</t>
  </si>
  <si>
    <t xml:space="preserve">Кадастровая стоимость  земельного участка </t>
  </si>
  <si>
    <t>тыс. руб./м2</t>
  </si>
  <si>
    <t>1.1.6.7.4.</t>
  </si>
  <si>
    <t xml:space="preserve">Ставка арендной платы </t>
  </si>
  <si>
    <t>%</t>
  </si>
  <si>
    <t>1.1.6.7.5.</t>
  </si>
  <si>
    <t>Индексы потребительских цен за период, прошедший с момента утверждения соответствующих результатов кадастровой оценки земель</t>
  </si>
  <si>
    <t>Сметная стоимость ИТОГО</t>
  </si>
  <si>
    <t>Накладные расходы</t>
  </si>
  <si>
    <t>Сметная прибыль</t>
  </si>
  <si>
    <t>Стоимость оборудования с учетом переводной цены СМР</t>
  </si>
  <si>
    <t>Стоимость СМР (без накладных и сметной прибыли)</t>
  </si>
  <si>
    <t xml:space="preserve">Стоимость СМР (без накладных и сметной прибыли, стоимости оборудования) </t>
  </si>
  <si>
    <t>Сметная стоимость ИТОГО (с НДС)</t>
  </si>
  <si>
    <t>1.2</t>
  </si>
  <si>
    <t>Внереализационные расходы, всего</t>
  </si>
  <si>
    <t>1.2.1</t>
  </si>
  <si>
    <t>расходы на услуги банков</t>
  </si>
  <si>
    <t>1.2.2</t>
  </si>
  <si>
    <t>расходы на обслуживание заемных средств</t>
  </si>
  <si>
    <t>1.3</t>
  </si>
  <si>
    <t>Налог на прибыль</t>
  </si>
  <si>
    <t>Структура расходов</t>
  </si>
  <si>
    <t>2.1</t>
  </si>
  <si>
    <t>Расходы, относимые на ставку за протяженность сети</t>
  </si>
  <si>
    <t>2.1.1</t>
  </si>
  <si>
    <t>расходы на подключение сетей диаметром 40 мм и менее</t>
  </si>
  <si>
    <t>2.1.2</t>
  </si>
  <si>
    <t>расходы на подключение сетей диаметром от 40 мм до 70 мм (включительно)</t>
  </si>
  <si>
    <t>2.1.3</t>
  </si>
  <si>
    <t>расходы на подключение сетей диаметром от 70 мм до 100 мм (включительно)</t>
  </si>
  <si>
    <t>2.1.4</t>
  </si>
  <si>
    <t>расходы на подключение сетей диаметром от 100 мм до 150 мм (включительно)</t>
  </si>
  <si>
    <t>расходы на подключение сетей диаметром от 150 мм до 200 мм (включительно)</t>
  </si>
  <si>
    <t>2.1.6</t>
  </si>
  <si>
    <t>расходы на подключение сетей диаметром от 200 мм до 250 мм (включительно)</t>
  </si>
  <si>
    <t>2.1.7</t>
  </si>
  <si>
    <t>расходы на подключение сетей диаметром от 250 мм и более</t>
  </si>
  <si>
    <t>2.2</t>
  </si>
  <si>
    <t>Расходы, относимые на ставку за подключаемую нагрузку</t>
  </si>
  <si>
    <t>2.3</t>
  </si>
  <si>
    <t>Расходы на строительство и модернизацию существующих объектов, учитываемые при установлении индивидуальной платы за подключение</t>
  </si>
  <si>
    <t>Протяженность сетей</t>
  </si>
  <si>
    <t>км</t>
  </si>
  <si>
    <t>3.1</t>
  </si>
  <si>
    <t>Протяженность вновь создаваемых</t>
  </si>
  <si>
    <t>3.1.1</t>
  </si>
  <si>
    <t>Протяженность сетей диаметром 40 мм и менее</t>
  </si>
  <si>
    <t>3.1.2</t>
  </si>
  <si>
    <t>протяженность сетей диаметром от 40 мм до 70 мм (включительно)</t>
  </si>
  <si>
    <t>3.1.3</t>
  </si>
  <si>
    <t>протяженность сетей диаметром от 70 мм до 100 мм (включительно)</t>
  </si>
  <si>
    <t>3.1.4</t>
  </si>
  <si>
    <t>протяженность сетей диаметром от 100 мм до 150 мм (включительно)</t>
  </si>
  <si>
    <t>3.1.5</t>
  </si>
  <si>
    <t>протяженность сетей диаметром от 150 мм до 200 мм (включительно)</t>
  </si>
  <si>
    <t>3.1.6</t>
  </si>
  <si>
    <t>протяженность сетей диаметром от 200 мм до 250 мм (включительно)</t>
  </si>
  <si>
    <t>3.1.7</t>
  </si>
  <si>
    <t>протяженность сетей диаметром от 250 мм и более</t>
  </si>
  <si>
    <t>Подключаемая нагрузка</t>
  </si>
  <si>
    <t>куб. м
в сутки</t>
  </si>
  <si>
    <t xml:space="preserve">Предлагаемые тарифы на подключение </t>
  </si>
  <si>
    <t>5.1</t>
  </si>
  <si>
    <t>Базовая ставка тарифа на протяженность сетей</t>
  </si>
  <si>
    <t>тыс. руб./м</t>
  </si>
  <si>
    <t>5.2</t>
  </si>
  <si>
    <t>Коэффициенты дифференциации тарифа в зависимости от диаметра сетей</t>
  </si>
  <si>
    <t>5.2.1</t>
  </si>
  <si>
    <t>коэффициент для сетей диаметром 40 мм и менее</t>
  </si>
  <si>
    <t>5.2.2</t>
  </si>
  <si>
    <t>коэффициент для сетей диаметром от 40 мм до 70 мм (включительно)</t>
  </si>
  <si>
    <t>5.2.3</t>
  </si>
  <si>
    <t>коэффициент для сетей диаметром от 70 мм до 100 мм (включительно)</t>
  </si>
  <si>
    <t>5.2.4</t>
  </si>
  <si>
    <t>коэффициент для сетей диаметром от 100 мм до 150 мм (включительно)</t>
  </si>
  <si>
    <t>5.2.5</t>
  </si>
  <si>
    <t>коэффициент для сетей диаметром от 150 мм до 200 мм (включительно)</t>
  </si>
  <si>
    <t>5.2.6</t>
  </si>
  <si>
    <t>коэффициент для сетей диаметром от 200 мм до 250 мм (включительно)</t>
  </si>
  <si>
    <t>5.2.7</t>
  </si>
  <si>
    <t>коэффициент для сетей диаметром от 250 мм и более</t>
  </si>
  <si>
    <t>5.3</t>
  </si>
  <si>
    <t>Базовая ставка тарифа (СПРАВОЧНО)</t>
  </si>
  <si>
    <t>тыс. руб. с НДС/
куб. м/сутки</t>
  </si>
  <si>
    <t>Начальник планово-экономической службы</t>
  </si>
  <si>
    <t>Т.М. Гришечкина</t>
  </si>
  <si>
    <t>Инвестиционный аналитик</t>
  </si>
  <si>
    <t>Н. Смирнова</t>
  </si>
  <si>
    <t xml:space="preserve">Исполнитель </t>
  </si>
  <si>
    <t>Е. Дьяченко</t>
  </si>
  <si>
    <t>Расшифровка СМР (справочно):</t>
  </si>
  <si>
    <t>Сети водоснабжения от т.М (границы земельного участка 40:26:000385:2736) до ВК1</t>
  </si>
  <si>
    <t>Самотечный канализационный коллектор</t>
  </si>
  <si>
    <t>Напорный канализационный коллектор</t>
  </si>
  <si>
    <t>Самотечный канализационный коллектор от границы земельного участка (кадастровый номер 40:26:000385:2736) до точки КК1</t>
  </si>
  <si>
    <t>без учета дефляторов и распределения во времени</t>
  </si>
  <si>
    <t>г.Калуга, район Правобережья, ограниченной улицами Минская, Фомушина, Академика Потехина</t>
  </si>
  <si>
    <t>Расчет платы за подключение (технологическое присоединение) к централизованной системе водоснабжения и водоотведения по объекту:</t>
  </si>
  <si>
    <t>"Комплекс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40:25:000200:203"</t>
  </si>
  <si>
    <t xml:space="preserve"> расположенный по адресу: </t>
  </si>
  <si>
    <t>Кадастровый номер земельного участка: 40:25:000200:203</t>
  </si>
  <si>
    <t>ООО СЗ «Уайтгрупп-Калуга»</t>
  </si>
  <si>
    <t>Напорный к/к</t>
  </si>
  <si>
    <t>на реконструкцию</t>
  </si>
  <si>
    <t>Самотечный к/к</t>
  </si>
  <si>
    <t xml:space="preserve">Замена насоса </t>
  </si>
  <si>
    <t xml:space="preserve">протяженность сетей диаметром 315 </t>
  </si>
  <si>
    <t>Строительство двух линий водопровода от границ земельного участка 40:25:000200:203 до ВК1</t>
  </si>
  <si>
    <t>Увеличение производительности насосной станции II-го подъема Окского водозабора с 1800 м3/ч до 2300 м3/ч</t>
  </si>
  <si>
    <t>Напорный канализационный коллектор от площадки застройки (границы земельного участка 40:25:000200:203) до КГ</t>
  </si>
  <si>
    <t>Реконструкция выпускного коллектора с Ду=400мм на Ду=600мм</t>
  </si>
  <si>
    <t>Самотечный канализационный коллектор от КГ до КК1</t>
  </si>
  <si>
    <t>Замена насоса на КНС в районе Пучковского моста с увеличением нагрузки с Q=350 м3 до Q=450м3</t>
  </si>
  <si>
    <t>Оборудование</t>
  </si>
  <si>
    <t>ООО Совместное предприятие "Минскстройэкспорт" (уступка права ООО Драйвер)</t>
  </si>
  <si>
    <t>Врезка в точке подключения (существующая ж/бетонная камера размером 3*3 м) с установкой запорной арматуры.</t>
  </si>
  <si>
    <t>В точке врезки существующий канализационный коллектор Ду = 400 мм строительство ж/б колодца диаметром 1000 мм глубиной 2 метра.</t>
  </si>
  <si>
    <t>мероприятие, связанное с подключением АО СЗ Кошелев-Проект общесистемные (пункт "А") ТЗ)</t>
  </si>
  <si>
    <t>ПЗП не установлена, документы направлены в МКП</t>
  </si>
  <si>
    <t>г.Калуга мкр. Кубяка, Байконур</t>
  </si>
  <si>
    <t>Проект планировки и проект межевания территории жилого квартала, г.Калуга мкр.Кубяка, Байконур</t>
  </si>
  <si>
    <t>Увеличение пропускной способности существующих сетей водоснабжения в целях подключения объектов капитального строительства
(Проект планировки и проект межевания территории жилого квартала, г.Калуга мкр.Кубяка,Байконур/Заявитель)</t>
  </si>
  <si>
    <t>Увеличение пропускной способности существующих сетей водоотведения в целях подключения объектов капитального строительства
(Проект планировки и проект межевания территории жилого квартала, г.Калуга мкр.Кубяка,Байконур/Заявитель)</t>
  </si>
  <si>
    <t>Реконструкция напорного коллектора, Д-100мм, сталь, протяженностью 420 п.м. от КНС Канищево до площадки коттеджного поселка Швейцарская деревня</t>
  </si>
  <si>
    <t>Реконструкция самотечного канализационного коллектора Д-200мм, керамика, протяженностью 500п.м, по ул. Ленина от д.8 до д. 22.</t>
  </si>
  <si>
    <t>Реконструкция самотечного канализационного коллектора Д-600мм, ж/б, протяженностью 230 п.м, по ул. Карла Либкнехта от ул. Московская в р-не д. 178 до д. 16 по ул. К. Либкнехта</t>
  </si>
  <si>
    <t>Реконструкция двух участков самотечного канализационного коллектора Д-500-600мм, ж/б, а/ц, общей протяженностью 1046 п.м: ул. Промышленная от КК№33 до КК№37; ул. В. Никитиной от д.№29 до ул. Зерновая</t>
  </si>
  <si>
    <t>Реконструкция самотечного канализационного коллектора Д-500мм, кер., протяженностью  300 п.м, от ул. Ленина д.58  до ул. Веры Андриановой</t>
  </si>
  <si>
    <t>Реконструкция напорного коллектора, Д-200мм, сталь, протяженностью 3920 п.м, от КНС "Шопино" №13 до камеры гашения в районе ул. Хорошая</t>
  </si>
  <si>
    <t xml:space="preserve">Строительство новых сетей водоснабжения, не связанных с подключением новых объектов капитального строительства/
Строительство водовода питьевой воды от Окского водозабора до д. Тинино, г. Калуга </t>
  </si>
  <si>
    <t>Строительство новых сетей водоснабжения, не связанных с подключением новых объектов капитального строительства/</t>
  </si>
  <si>
    <t>г.Калуга, п.Муратовский Щебзавод</t>
  </si>
  <si>
    <t>Строительство, модернизация и реконструкция объектов централизованных систем водоснабжения в целях подключения объектов капитального строительства /
Проект планировки и проект межевания территории жилого квартала, г.Калуга мкр.Кубяка,Байконур/Заявитель</t>
  </si>
  <si>
    <t>Строительство, модернизация и реконструкция объектов централизованных систем водоснабжения в целях подключения объектов капитального строительства /
(Комплексное освоение территории,в рамках которого предусматривается жилищное строительство .г. Калуга, ул.40 лет Октября)</t>
  </si>
  <si>
    <t>Капвложения</t>
  </si>
  <si>
    <t>капвложения</t>
  </si>
  <si>
    <t>бюджет МО</t>
  </si>
  <si>
    <t>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</t>
  </si>
  <si>
    <t>капитальные вложения из прибыли предприятия</t>
  </si>
  <si>
    <t>*</t>
  </si>
  <si>
    <t>ПЗП</t>
  </si>
  <si>
    <t>Индекс-дефлятор Инвестиции в основной капитал</t>
  </si>
  <si>
    <t>Сумма СМР по смете, 
руб. с НДС без учета индексов-дефляторов</t>
  </si>
  <si>
    <t>Сумма СМР по ФЭР (объект), руб. без учета индексов-дефляторов</t>
  </si>
  <si>
    <t>Статья расхода</t>
  </si>
  <si>
    <t>Ед.Изм.</t>
  </si>
  <si>
    <t>1 Полугодие 2023</t>
  </si>
  <si>
    <t>2 Полугодие 2023</t>
  </si>
  <si>
    <t>Итого</t>
  </si>
  <si>
    <t>НВВ</t>
  </si>
  <si>
    <t>Расходы</t>
  </si>
  <si>
    <t>тыс. руб</t>
  </si>
  <si>
    <t>Текущие</t>
  </si>
  <si>
    <t>Операционные</t>
  </si>
  <si>
    <t>Производственные расходы</t>
  </si>
  <si>
    <t>тыс.руб.</t>
  </si>
  <si>
    <t>1.1.1.1</t>
  </si>
  <si>
    <t>Расходы на приобретение сырья и материалов и их хранение</t>
  </si>
  <si>
    <t>1.1.1.1.1</t>
  </si>
  <si>
    <t>Реагенты</t>
  </si>
  <si>
    <t>1.1.1.1.1.1</t>
  </si>
  <si>
    <t>Коагулянты</t>
  </si>
  <si>
    <t>1.1.1.1.1.1.1</t>
  </si>
  <si>
    <t>гидроксохлоросульфат алюминия (коагулянт смешанного типа)</t>
  </si>
  <si>
    <t>1.1.1.1.1.1.1.1</t>
  </si>
  <si>
    <t>Объем</t>
  </si>
  <si>
    <t>т</t>
  </si>
  <si>
    <t>1.1.1.1.1.1.1.2</t>
  </si>
  <si>
    <t>Цена</t>
  </si>
  <si>
    <t>руб./т</t>
  </si>
  <si>
    <t>1.1.1.1.1.1.2</t>
  </si>
  <si>
    <t>железный купорос</t>
  </si>
  <si>
    <t>1.1.1.1.1.1.2.2</t>
  </si>
  <si>
    <t>1.1.1.1.1.1.2.1</t>
  </si>
  <si>
    <t>1.1.1.1.1.1.3</t>
  </si>
  <si>
    <t>оксихлорид алюминия</t>
  </si>
  <si>
    <t>1.1.1.1.1.1.3.2</t>
  </si>
  <si>
    <t>1.1.1.1.1.1.3.1</t>
  </si>
  <si>
    <t>1.1.1.1.1.1.4</t>
  </si>
  <si>
    <t xml:space="preserve">полиоксихлорид алюминия </t>
  </si>
  <si>
    <t>1.1.1.1.1.1.4.2</t>
  </si>
  <si>
    <t>1.1.1.1.1.1.4.1</t>
  </si>
  <si>
    <t>1.1.1.1.1.1.5</t>
  </si>
  <si>
    <t xml:space="preserve">сульфат алюминия </t>
  </si>
  <si>
    <t>1.1.1.1.1.1.5.2</t>
  </si>
  <si>
    <t>1.1.1.1.1.1.5.1</t>
  </si>
  <si>
    <t>1.1.1.1.1.1.6</t>
  </si>
  <si>
    <t>аква-аурат</t>
  </si>
  <si>
    <t>1.1.1.1.1.1.6.1</t>
  </si>
  <si>
    <t>1.1.1.1.1.1.6.2</t>
  </si>
  <si>
    <t>1.1.1.1.1.2</t>
  </si>
  <si>
    <t>Флокулянты</t>
  </si>
  <si>
    <t>1.1.1.1.1.2.1</t>
  </si>
  <si>
    <t>Магнафлок</t>
  </si>
  <si>
    <t>1.1.1.1.1.2.1.2</t>
  </si>
  <si>
    <t>1.1.1.1.1.2.1.1</t>
  </si>
  <si>
    <t>1.1.1.1.1.2.2</t>
  </si>
  <si>
    <t>Праестол</t>
  </si>
  <si>
    <t>1.1.1.1.1.2.2.1</t>
  </si>
  <si>
    <t>1.1.1.1.1.2.2.2</t>
  </si>
  <si>
    <t>1.1.1.1.1.2.3</t>
  </si>
  <si>
    <t>Суперфлок 496 HMW</t>
  </si>
  <si>
    <t>1.1.1.1.1.2.3.1</t>
  </si>
  <si>
    <t>1.1.1.1.1.2.3.2</t>
  </si>
  <si>
    <t>1.1.1.1.1.2.4</t>
  </si>
  <si>
    <t>суперфлок А-100 PWG</t>
  </si>
  <si>
    <t>1.1.1.1.1.2.4.1</t>
  </si>
  <si>
    <t>0,75</t>
  </si>
  <si>
    <t>1.1.1.1.1.2.4.2</t>
  </si>
  <si>
    <t>273 400,73</t>
  </si>
  <si>
    <t>1.1.1.1.1.2.5</t>
  </si>
  <si>
    <t>праестол 2540-TR</t>
  </si>
  <si>
    <t>1.1.1.1.1.2.5.1</t>
  </si>
  <si>
    <t>1.1.1.1.1.2.5.2</t>
  </si>
  <si>
    <t>1.1.1.1.1.2.6</t>
  </si>
  <si>
    <t>праестол 650-TR</t>
  </si>
  <si>
    <t>1.1.1.1.1.2.6.1</t>
  </si>
  <si>
    <t>1.1.1.1.1.2.6.2</t>
  </si>
  <si>
    <t>1.1.1.1.1.2.7</t>
  </si>
  <si>
    <t>праестол 2515 TR</t>
  </si>
  <si>
    <t>1.1.1.1.1.2.7.1</t>
  </si>
  <si>
    <t>1.1.1.1.1.2.7.2</t>
  </si>
  <si>
    <t>1.1.1.1.1.3</t>
  </si>
  <si>
    <t>1.1.1.1.1.3.1</t>
  </si>
  <si>
    <t>агар питательный</t>
  </si>
  <si>
    <t>1.1.1.1.1.3.1.1</t>
  </si>
  <si>
    <t>1.1.1.1.1.3.1.2</t>
  </si>
  <si>
    <t>1.1.1.1.1.3.2</t>
  </si>
  <si>
    <t>агар Эндо</t>
  </si>
  <si>
    <t>1.1.1.1.1.3.2.1</t>
  </si>
  <si>
    <t>1.1.1.1.1.3.2.2</t>
  </si>
  <si>
    <t>1.1.1.1.1.3.3</t>
  </si>
  <si>
    <t>алюминий окись</t>
  </si>
  <si>
    <t>1.1.1.1.1.3.3.1</t>
  </si>
  <si>
    <t>1.1.1.1.1.3.3.2</t>
  </si>
  <si>
    <t>1.1.1.1.1.3.4</t>
  </si>
  <si>
    <t>алюминий сернокислый</t>
  </si>
  <si>
    <t>1.1.1.1.1.3.4.1</t>
  </si>
  <si>
    <t>147,19</t>
  </si>
  <si>
    <t>1.1.1.1.1.3.4.2</t>
  </si>
  <si>
    <t>18 664,00</t>
  </si>
  <si>
    <t>1.1.1.1.1.3.5</t>
  </si>
  <si>
    <t>аммиак</t>
  </si>
  <si>
    <t>1.1.1.1.1.3.5.1</t>
  </si>
  <si>
    <t>1.1.1.1.1.3.5.2</t>
  </si>
  <si>
    <t>1.1.1.1.1.3.6</t>
  </si>
  <si>
    <t>аммиачная вода</t>
  </si>
  <si>
    <t>1.1.1.1.1.3.6.1</t>
  </si>
  <si>
    <t>1.1.1.1.1.3.6.2</t>
  </si>
  <si>
    <t>1.1.1.1.1.3.7</t>
  </si>
  <si>
    <t>аммоний</t>
  </si>
  <si>
    <t>1.1.1.1.1.3.7.1</t>
  </si>
  <si>
    <t>1.1.1.1.1.3.7.2</t>
  </si>
  <si>
    <t>1.1.1.1.1.3.8</t>
  </si>
  <si>
    <t>аммоний хлористый</t>
  </si>
  <si>
    <t>1.1.1.1.1.3.8.1</t>
  </si>
  <si>
    <t>1.1.1.1.1.3.8.2</t>
  </si>
  <si>
    <t>1.1.1.1.1.3.9</t>
  </si>
  <si>
    <t>барий хлористый</t>
  </si>
  <si>
    <t>1.1.1.1.1.3.9.2</t>
  </si>
  <si>
    <t>1.1.1.1.1.3.9.1</t>
  </si>
  <si>
    <t>1.1.1.1.1.3.10</t>
  </si>
  <si>
    <t>биоксимин</t>
  </si>
  <si>
    <t>1.1.1.1.1.3.10.1</t>
  </si>
  <si>
    <t>1.1.1.1.1.3.10.2</t>
  </si>
  <si>
    <t>1.1.1.1.1.3.11</t>
  </si>
  <si>
    <t>бромфеноловый синий</t>
  </si>
  <si>
    <t>1.1.1.1.1.3.11.1</t>
  </si>
  <si>
    <t>1.1.1.1.1.3.11.2</t>
  </si>
  <si>
    <t>1.1.1.1.1.3.12</t>
  </si>
  <si>
    <t>водорода перекись</t>
  </si>
  <si>
    <t>1.1.1.1.1.3.12.1</t>
  </si>
  <si>
    <t>1.1.1.1.1.3.12.2</t>
  </si>
  <si>
    <t>1.1.1.1.1.3.13</t>
  </si>
  <si>
    <t>гексан</t>
  </si>
  <si>
    <t>1.1.1.1.1.3.13.1</t>
  </si>
  <si>
    <t>1.1.1.1.1.3.13.2</t>
  </si>
  <si>
    <t>1.1.1.1.1.3.14</t>
  </si>
  <si>
    <t>гидроксиламин солянокислый</t>
  </si>
  <si>
    <t>1.1.1.1.1.3.14.1</t>
  </si>
  <si>
    <t>1.1.1.1.1.3.14.2</t>
  </si>
  <si>
    <t>1.1.1.1.1.3.15</t>
  </si>
  <si>
    <t>гидрохлорид кальция</t>
  </si>
  <si>
    <t>1.1.1.1.1.3.15.1</t>
  </si>
  <si>
    <t>1.1.1.1.1.3.15.2</t>
  </si>
  <si>
    <t>1.1.1.1.1.3.16</t>
  </si>
  <si>
    <t>гипохлорит кальция</t>
  </si>
  <si>
    <t>1.1.1.1.1.3.16.1</t>
  </si>
  <si>
    <t>1.1.1.1.1.3.16.2</t>
  </si>
  <si>
    <t>1.1.1.1.1.3.17</t>
  </si>
  <si>
    <t>гипохлорит натрия</t>
  </si>
  <si>
    <t>1.1.1.1.1.3.17.1</t>
  </si>
  <si>
    <t>160,31</t>
  </si>
  <si>
    <t>1.1.1.1.1.3.17.2</t>
  </si>
  <si>
    <t>10 428,38</t>
  </si>
  <si>
    <t>1.1.1.1.1.3.18</t>
  </si>
  <si>
    <t>глицерин</t>
  </si>
  <si>
    <t>1.1.1.1.1.3.18.1</t>
  </si>
  <si>
    <t>1.1.1.1.1.3.18.2</t>
  </si>
  <si>
    <t>1.1.1.1.1.3.19</t>
  </si>
  <si>
    <t>дифенилкарбазид</t>
  </si>
  <si>
    <t>1.1.1.1.1.3.19.1</t>
  </si>
  <si>
    <t>1.1.1.1.1.3.19.2</t>
  </si>
  <si>
    <t>1.1.1.1.1.3.20</t>
  </si>
  <si>
    <t>дифенилкарбазон</t>
  </si>
  <si>
    <t>1.1.1.1.1.3.20.1</t>
  </si>
  <si>
    <t>1.1.1.1.1.3.20.2</t>
  </si>
  <si>
    <t>1.1.1.1.1.3.21</t>
  </si>
  <si>
    <t>железо сернокислое</t>
  </si>
  <si>
    <t>1.1.1.1.1.3.21.1</t>
  </si>
  <si>
    <t>1.1.1.1.1.3.21.2</t>
  </si>
  <si>
    <t>1.1.1.1.1.3.22</t>
  </si>
  <si>
    <t>железо трёххлористое</t>
  </si>
  <si>
    <t>1.1.1.1.1.3.22.1</t>
  </si>
  <si>
    <t>1.1.1.1.1.3.22.2</t>
  </si>
  <si>
    <t>1.1.1.1.1.3.23</t>
  </si>
  <si>
    <t>известь негашёная (порошок)</t>
  </si>
  <si>
    <t>1.1.1.1.1.3.23.1</t>
  </si>
  <si>
    <t>1.1.1.1.1.3.23.2</t>
  </si>
  <si>
    <t>1.1.1.1.1.3.24</t>
  </si>
  <si>
    <t>известь негашёная гидратная</t>
  </si>
  <si>
    <t>1.1.1.1.1.3.24.1</t>
  </si>
  <si>
    <t>1.1.1.1.1.3.24.2</t>
  </si>
  <si>
    <t>1.1.1.1.1.3.25</t>
  </si>
  <si>
    <t>известь хлорная</t>
  </si>
  <si>
    <t>1.1.1.1.1.3.25.1</t>
  </si>
  <si>
    <t>1.1.1.1.1.3.25.2</t>
  </si>
  <si>
    <t>1.1.1.1.1.3.26</t>
  </si>
  <si>
    <t>калий азотнокислый</t>
  </si>
  <si>
    <t>1.1.1.1.1.3.26.1</t>
  </si>
  <si>
    <t>1.1.1.1.1.3.26.2</t>
  </si>
  <si>
    <t>1.1.1.1.1.3.27</t>
  </si>
  <si>
    <t>калий двухромовокислый</t>
  </si>
  <si>
    <t>1.1.1.1.1.3.27.1</t>
  </si>
  <si>
    <t>1.1.1.1.1.3.27.2</t>
  </si>
  <si>
    <t>1.1.1.1.1.3.28</t>
  </si>
  <si>
    <t>калий йодистый</t>
  </si>
  <si>
    <t>1.1.1.1.1.3.28.1</t>
  </si>
  <si>
    <t>объеми</t>
  </si>
  <si>
    <t>1.1.1.1.1.3.28.2</t>
  </si>
  <si>
    <t>1.1.1.1.1.3.29</t>
  </si>
  <si>
    <t>калий марганцевокислый</t>
  </si>
  <si>
    <t>1.1.1.1.1.3.29.1</t>
  </si>
  <si>
    <t>объем</t>
  </si>
  <si>
    <t>1.1.1.1.1.3.29.2</t>
  </si>
  <si>
    <t>1.1.1.1.1.3.30</t>
  </si>
  <si>
    <t>калий фосфорнокислый</t>
  </si>
  <si>
    <t>1.1.1.1.1.3.30.1</t>
  </si>
  <si>
    <t>1.1.1.1.1.3.30.2</t>
  </si>
  <si>
    <t>1.1.1.1.1.3.31</t>
  </si>
  <si>
    <t>калий хлористый</t>
  </si>
  <si>
    <t>1.1.1.1.1.3.31.1</t>
  </si>
  <si>
    <t>1.1.1.1.1.3.31.2</t>
  </si>
  <si>
    <t>Ценап</t>
  </si>
  <si>
    <t>1.1.1.1.1.3.32</t>
  </si>
  <si>
    <t>калий-натрий виннокислый</t>
  </si>
  <si>
    <t>1.1.1.1.1.3.32.1</t>
  </si>
  <si>
    <t>1.1.1.1.1.3.32.2</t>
  </si>
  <si>
    <t>1.1.1.1.1.3.33</t>
  </si>
  <si>
    <t>кальций углекислый</t>
  </si>
  <si>
    <t>1.1.1.1.1.3.33.1</t>
  </si>
  <si>
    <t>1.1.1.1.1.3.33.2</t>
  </si>
  <si>
    <t>1.1.1.1.1.3.34</t>
  </si>
  <si>
    <t>кальций хлористый</t>
  </si>
  <si>
    <t>1.1.1.1.1.3.34.1</t>
  </si>
  <si>
    <t>1.1.1.1.1.3.34.2</t>
  </si>
  <si>
    <t>1.1.1.1.1.3.35</t>
  </si>
  <si>
    <t>кальция гипохлорит</t>
  </si>
  <si>
    <t>1.1.1.1.1.3.35.1</t>
  </si>
  <si>
    <t>1.1.1.1.1.3.35.2</t>
  </si>
  <si>
    <t>1.1.1.1.1.3.37</t>
  </si>
  <si>
    <t>кварцевый песок</t>
  </si>
  <si>
    <t>1.1.1.1.1.3.37.1</t>
  </si>
  <si>
    <t>1.1.1.1.1.3.37.2</t>
  </si>
  <si>
    <t>1.1.1.1.1.3.38</t>
  </si>
  <si>
    <t>кислота азотная</t>
  </si>
  <si>
    <t>1.1.1.1.1.3.38.1</t>
  </si>
  <si>
    <t>1.1.1.1.1.3.38.2</t>
  </si>
  <si>
    <t>1.1.1.1.1.3.39</t>
  </si>
  <si>
    <t>кислота аскорбиновая</t>
  </si>
  <si>
    <t>1.1.1.1.1.3.39.1</t>
  </si>
  <si>
    <t>1.1.1.1.1.3.39.2</t>
  </si>
  <si>
    <t>1.1.1.1.1.3.40</t>
  </si>
  <si>
    <t>кислота лимонная</t>
  </si>
  <si>
    <t>1.1.1.1.1.3.40.1</t>
  </si>
  <si>
    <t>1.1.1.1.1.3.40.2</t>
  </si>
  <si>
    <t>1.1.1.1.1.3.41</t>
  </si>
  <si>
    <t>кислота розоловая (аурин)</t>
  </si>
  <si>
    <t>1.1.1.1.1.3.41.1</t>
  </si>
  <si>
    <t>1.1.1.1.1.3.41.2</t>
  </si>
  <si>
    <t>тыс.руб./т</t>
  </si>
  <si>
    <t>1.1.1.1.1.3.42</t>
  </si>
  <si>
    <t>кислота серная</t>
  </si>
  <si>
    <t>1.1.1.1.1.3.42.1</t>
  </si>
  <si>
    <t>1.1.1.1.1.3.42.2</t>
  </si>
  <si>
    <t>1.1.1.1.1.3.43</t>
  </si>
  <si>
    <t>кислота соляная</t>
  </si>
  <si>
    <t>1.1.1.1.1.3.43.1</t>
  </si>
  <si>
    <t>1.1.1.1.1.3.43.2</t>
  </si>
  <si>
    <t>1.1.1.1.1.3.44</t>
  </si>
  <si>
    <t>кислота уксусная</t>
  </si>
  <si>
    <t>1.1.1.1.1.3.44.1</t>
  </si>
  <si>
    <t>1.1.1.1.1.3.44.2</t>
  </si>
  <si>
    <t>1.1.1.1.1.3.45</t>
  </si>
  <si>
    <t>кислота щавелевая</t>
  </si>
  <si>
    <t>1.1.1.1.1.3.45.1</t>
  </si>
  <si>
    <t>1.1.1.1.1.3.45.2</t>
  </si>
  <si>
    <t>1.1.1.1.1.3.46</t>
  </si>
  <si>
    <t>крахмал</t>
  </si>
  <si>
    <t>1.1.1.1.1.3.46.1</t>
  </si>
  <si>
    <t>1.1.1.1.1.3.46.2</t>
  </si>
  <si>
    <t>1.1.1.1.1.3.47</t>
  </si>
  <si>
    <t>лантан азотнокислый</t>
  </si>
  <si>
    <t>1.1.1.1.1.3.47.1</t>
  </si>
  <si>
    <t>1.1.1.1.1.3.47.2</t>
  </si>
  <si>
    <t>1.1.1.1.1.3.48</t>
  </si>
  <si>
    <t>магний сернокислый</t>
  </si>
  <si>
    <t>1.1.1.1.1.3.48.1</t>
  </si>
  <si>
    <t>1.1.1.1.1.3.48.2</t>
  </si>
  <si>
    <t>1.1.1.1.1.3.49</t>
  </si>
  <si>
    <t>натр едкий</t>
  </si>
  <si>
    <t>1.1.1.1.1.3.49.1</t>
  </si>
  <si>
    <t>1.1.1.1.1.3.49.2</t>
  </si>
  <si>
    <t>1.1.1.1.1.3.50</t>
  </si>
  <si>
    <t>натрий гидроокись</t>
  </si>
  <si>
    <t>1.1.1.1.1.3.50.1</t>
  </si>
  <si>
    <t>1.1.1.1.1.3.50.2</t>
  </si>
  <si>
    <t>1.1.1.1.1.3.51</t>
  </si>
  <si>
    <t>натрий салициловокислый</t>
  </si>
  <si>
    <t>1.1.1.1.1.3.51.1</t>
  </si>
  <si>
    <t>1.1.1.1.1.3.51.2</t>
  </si>
  <si>
    <t>1.1.1.1.1.3.52</t>
  </si>
  <si>
    <t>натрий сернокислый</t>
  </si>
  <si>
    <t>1.1.1.1.1.3.52.1</t>
  </si>
  <si>
    <t>1.1.1.1.1.3.52.2</t>
  </si>
  <si>
    <t>1.1.1.1.1.3.53</t>
  </si>
  <si>
    <t>натрий углекислый</t>
  </si>
  <si>
    <t>1.1.1.1.1.3.53.1</t>
  </si>
  <si>
    <t>1.1.1.1.1.3.53.2</t>
  </si>
  <si>
    <t>1.1.1.1.1.3.54</t>
  </si>
  <si>
    <t>натрий уксуснокислый</t>
  </si>
  <si>
    <t>1.1.1.1.1.3.54.1</t>
  </si>
  <si>
    <t>1.1.1.1.1.3.54.2</t>
  </si>
  <si>
    <t>1.1.1.1.1.3.55</t>
  </si>
  <si>
    <t>натрий хлористый</t>
  </si>
  <si>
    <t>1.1.1.1.1.3.55.1</t>
  </si>
  <si>
    <t>1.1.1.1.1.3.55.2</t>
  </si>
  <si>
    <t>1.1.1.1.1.3.56</t>
  </si>
  <si>
    <t>реактив Грисса</t>
  </si>
  <si>
    <t>1.1.1.1.1.3.56.1</t>
  </si>
  <si>
    <t>1.1.1.1.1.3.56.2</t>
  </si>
  <si>
    <t>1.1.1.1.1.3.57</t>
  </si>
  <si>
    <t>реактив Несслера</t>
  </si>
  <si>
    <t>1.1.1.1.1.3.57.1</t>
  </si>
  <si>
    <t>1.1.1.1.1.3.57.2</t>
  </si>
  <si>
    <t>1.1.1.1.1.3.58</t>
  </si>
  <si>
    <t>свинец уксуснокислый</t>
  </si>
  <si>
    <t>1.1.1.1.1.3.58.1</t>
  </si>
  <si>
    <t>1.1.1.1.1.3.58.2</t>
  </si>
  <si>
    <t>1.1.1.1.1.3.59</t>
  </si>
  <si>
    <t>серебро азотнокислое</t>
  </si>
  <si>
    <t>1.1.1.1.1.3.59.1</t>
  </si>
  <si>
    <t>1.1.1.1.1.3.59.2</t>
  </si>
  <si>
    <t>1.1.1.1.1.3.60</t>
  </si>
  <si>
    <t>серебро сернокислое</t>
  </si>
  <si>
    <t>1.1.1.1.1.3.60.1</t>
  </si>
  <si>
    <t>1.1.1.1.1.3.60.2</t>
  </si>
  <si>
    <t>1.1.1.1.1.3.61</t>
  </si>
  <si>
    <t>сода кальцинированная</t>
  </si>
  <si>
    <t>1.1.1.1.1.3.61.1</t>
  </si>
  <si>
    <t>1.1.1.1.1.3.61.2</t>
  </si>
  <si>
    <t>1.1.1.1.1.3.62</t>
  </si>
  <si>
    <t>сода каустическая</t>
  </si>
  <si>
    <t>1.1.1.1.1.3.62.1</t>
  </si>
  <si>
    <t>1.1.1.1.1.3.62.2</t>
  </si>
  <si>
    <t>1.1.1.1.1.3.63</t>
  </si>
  <si>
    <t>соль 1 сорт</t>
  </si>
  <si>
    <t>1.1.1.1.1.3.63.1</t>
  </si>
  <si>
    <t>1.1.1.1.1.3.63.2</t>
  </si>
  <si>
    <t>1.1.1.1.1.3.64</t>
  </si>
  <si>
    <t>соль пищевая поваренная</t>
  </si>
  <si>
    <t>1.1.1.1.1.3.64.1</t>
  </si>
  <si>
    <t>1.1.1.1.1.3.64.2</t>
  </si>
  <si>
    <t>1.1.1.1.1.3.65</t>
  </si>
  <si>
    <t>соль таблетированная</t>
  </si>
  <si>
    <t>1.1.1.1.1.3.65.1</t>
  </si>
  <si>
    <t>1.1.1.1.1.3.65.2</t>
  </si>
  <si>
    <t>1.1.1.1.1.3.66</t>
  </si>
  <si>
    <t>соль техническая</t>
  </si>
  <si>
    <t>1.1.1.1.1.3.66.1</t>
  </si>
  <si>
    <t>1.1.1.1.1.3.66.2</t>
  </si>
  <si>
    <t>1.1.1.1.1.3.67</t>
  </si>
  <si>
    <t>соль экстра</t>
  </si>
  <si>
    <t>1.1.1.1.1.3.67.1</t>
  </si>
  <si>
    <t>1.1.1.1.1.3.67.2</t>
  </si>
  <si>
    <t>1.1.1.1.1.3.68</t>
  </si>
  <si>
    <t>спирт</t>
  </si>
  <si>
    <t>1.1.1.1.1.3.68.1</t>
  </si>
  <si>
    <t>1.1.1.1.1.3.68.2</t>
  </si>
  <si>
    <t>1.1.1.1.1.3.69</t>
  </si>
  <si>
    <t>сульфат алюминия 1 сорт</t>
  </si>
  <si>
    <t>1.1.1.1.1.3.69.1</t>
  </si>
  <si>
    <t>1.1.1.1.1.3.69.2</t>
  </si>
  <si>
    <t>1.1.1.1.1.3.70</t>
  </si>
  <si>
    <t>сульфат алюминия жидкий</t>
  </si>
  <si>
    <t>1.1.1.1.1.3.70.1</t>
  </si>
  <si>
    <t>1.1.1.1.1.3.70.2</t>
  </si>
  <si>
    <t>1.1.1.1.1.3.71</t>
  </si>
  <si>
    <t>сульфат алюминия технический</t>
  </si>
  <si>
    <t>1.1.1.1.1.3.71.1</t>
  </si>
  <si>
    <t>1.1.1.1.1.3.71.2</t>
  </si>
  <si>
    <t>1.1.1.1.1.3.72</t>
  </si>
  <si>
    <t>сульфат аммония</t>
  </si>
  <si>
    <t>1.1.1.1.1.3.72.1</t>
  </si>
  <si>
    <t>11,01</t>
  </si>
  <si>
    <t>1.1.1.1.1.3.72.2</t>
  </si>
  <si>
    <t>27 984,54</t>
  </si>
  <si>
    <t>1.1.1.1.1.3.73</t>
  </si>
  <si>
    <t>тиомочевина</t>
  </si>
  <si>
    <t>1.1.1.1.1.3.73.1</t>
  </si>
  <si>
    <t>1.1.1.1.1.3.73.2</t>
  </si>
  <si>
    <t>1.1.1.1.1.3.74</t>
  </si>
  <si>
    <t>тиосульфат натрия</t>
  </si>
  <si>
    <t>1.1.1.1.1.3.74.1</t>
  </si>
  <si>
    <t>1.1.1.1.1.3.74.2</t>
  </si>
  <si>
    <t>1.1.1.1.1.3.75</t>
  </si>
  <si>
    <t>углерод четырёххлористый</t>
  </si>
  <si>
    <t>1.1.1.1.1.3.75.1</t>
  </si>
  <si>
    <t>1.1.1.1.1.3.75.2</t>
  </si>
  <si>
    <t>1.1.1.1.1.3.76</t>
  </si>
  <si>
    <t>фенолфталеин</t>
  </si>
  <si>
    <t>1.1.1.1.1.3.76.1</t>
  </si>
  <si>
    <t>1.1.1.1.1.3.76.2</t>
  </si>
  <si>
    <t>1.1.1.1.1.3.77</t>
  </si>
  <si>
    <t>хлор</t>
  </si>
  <si>
    <t>1.1.1.1.1.3.77.1</t>
  </si>
  <si>
    <t>1.1.1.1.1.3.77.2</t>
  </si>
  <si>
    <t>1.1.1.1.1.3.78</t>
  </si>
  <si>
    <t>хлор жидкий</t>
  </si>
  <si>
    <t>1.1.1.1.1.3.78.1</t>
  </si>
  <si>
    <t>1.1.1.1.1.3.78.2</t>
  </si>
  <si>
    <t>1.1.1.1.1.3.79</t>
  </si>
  <si>
    <t>хлорамин</t>
  </si>
  <si>
    <t>1.1.1.1.1.3.79.1</t>
  </si>
  <si>
    <t>1.1.1.1.1.3.79.2</t>
  </si>
  <si>
    <t>1.1.1.1.1.3.80</t>
  </si>
  <si>
    <t>хлороформ</t>
  </si>
  <si>
    <t>1.1.1.1.1.3.80.1</t>
  </si>
  <si>
    <t>1.1.1.1.1.3.80.2</t>
  </si>
  <si>
    <t>1.1.1.1.1.3.81</t>
  </si>
  <si>
    <t>этиленгликоль</t>
  </si>
  <si>
    <t>1.1.1.1.1.3.81.1</t>
  </si>
  <si>
    <t>1.1.1.1.1.3.81.2</t>
  </si>
  <si>
    <t>1.1.1.1.1.3.82</t>
  </si>
  <si>
    <t>сернокислый алюминий</t>
  </si>
  <si>
    <t>1.1.1.1.1.3.82.1</t>
  </si>
  <si>
    <t>1.1.1.1.1.3.82.2</t>
  </si>
  <si>
    <t>1.1.1.1.1.3.83</t>
  </si>
  <si>
    <t>перманганат калия</t>
  </si>
  <si>
    <t>1.1.1.1.1.3.85</t>
  </si>
  <si>
    <t>уголь активированный</t>
  </si>
  <si>
    <t>1.1.1.1.1.3.85.1</t>
  </si>
  <si>
    <t>0,35</t>
  </si>
  <si>
    <t>1.1.1.1.1.3.85.2</t>
  </si>
  <si>
    <t>149 050,75</t>
  </si>
  <si>
    <t>1.1.1.1.1.3.86</t>
  </si>
  <si>
    <t>натрий едкий</t>
  </si>
  <si>
    <t>1.1.1.1.1.3.86.1</t>
  </si>
  <si>
    <t>1.1.1.1.1.3.86.2</t>
  </si>
  <si>
    <t>1.1.1.1.1.3.87</t>
  </si>
  <si>
    <t>РН+пулХлор 90Т</t>
  </si>
  <si>
    <t>1.1.1.1.1.3.87.1</t>
  </si>
  <si>
    <t>1.1.1.1.1.3.87.2</t>
  </si>
  <si>
    <t>1.1.1.1.1.3.88</t>
  </si>
  <si>
    <t>Реагенты прочие</t>
  </si>
  <si>
    <t>1.1.1.1.2</t>
  </si>
  <si>
    <t xml:space="preserve">Горюче-смазочные материалы </t>
  </si>
  <si>
    <t>1.1.1.1.2.1</t>
  </si>
  <si>
    <t>Бензин АИ-80</t>
  </si>
  <si>
    <t>1.1.1.1.2.1.1</t>
  </si>
  <si>
    <t>тыс. литров</t>
  </si>
  <si>
    <t>1.1.1.1.2.1.2</t>
  </si>
  <si>
    <t>руб.литр</t>
  </si>
  <si>
    <t>1.1.1.1.2.2</t>
  </si>
  <si>
    <t>Бензин АИ-92</t>
  </si>
  <si>
    <t>1.1.1.1.2.2.1</t>
  </si>
  <si>
    <t>тыс.литров</t>
  </si>
  <si>
    <t>152,72</t>
  </si>
  <si>
    <t>1.1.1.1.2.2.2</t>
  </si>
  <si>
    <t>1.1.1.1.2.3</t>
  </si>
  <si>
    <t>Бензин АИ-95</t>
  </si>
  <si>
    <t>1.1.1.1.2.3.1</t>
  </si>
  <si>
    <t>17,37</t>
  </si>
  <si>
    <t>1.1.1.1.2.3.2</t>
  </si>
  <si>
    <t>1.1.1.1.2.4</t>
  </si>
  <si>
    <t>Дизельное топливо</t>
  </si>
  <si>
    <t>1.1.1.1.2.4.1</t>
  </si>
  <si>
    <t>360,45</t>
  </si>
  <si>
    <t>1.1.1.1.2.4.2</t>
  </si>
  <si>
    <t>1.1.1.1.2.5</t>
  </si>
  <si>
    <t>Смазочные материалы, спецжидкости</t>
  </si>
  <si>
    <t>1.1.1.1.2.5.1</t>
  </si>
  <si>
    <t>7,96</t>
  </si>
  <si>
    <t>1.1.1.1.2.5.2</t>
  </si>
  <si>
    <t>85,97</t>
  </si>
  <si>
    <t>1.1.1.1.2.6</t>
  </si>
  <si>
    <t>Горюче-смазочные материалы прочие</t>
  </si>
  <si>
    <t>61,99</t>
  </si>
  <si>
    <t>1.1.1.1.3</t>
  </si>
  <si>
    <t>Материалы и малоценные основные средства</t>
  </si>
  <si>
    <t>28 124,22</t>
  </si>
  <si>
    <t>1.1.1.2</t>
  </si>
  <si>
    <t>Расходы на оплату работ и услуг, выполняемые сторонними организациями и индивидуальными предпринимателями, связанные с эксплуатацией централизованных систем либо объектов в составе таких систем</t>
  </si>
  <si>
    <t>28,95</t>
  </si>
  <si>
    <t>1.1.1.3</t>
  </si>
  <si>
    <t>Расходы на оплату труда и отчисления на социальные нужды основного производственного персонала, в том числе налоги и сборы</t>
  </si>
  <si>
    <t>1.1.1.3.1</t>
  </si>
  <si>
    <t>Расходы на оплату труда производственного персонала</t>
  </si>
  <si>
    <t>1.1.1.3.1.2</t>
  </si>
  <si>
    <t>Среднемесячная оплата труда основного производственного персонала</t>
  </si>
  <si>
    <t>1.1.1.3.1.2.5</t>
  </si>
  <si>
    <t>Коменсационные и социальные выплаты</t>
  </si>
  <si>
    <t>руб./мес.</t>
  </si>
  <si>
    <t>1.1.1.3.1.2.1</t>
  </si>
  <si>
    <t>Среднемесячная тарифная ставка</t>
  </si>
  <si>
    <t>1.1.1.3.1.2.1.1</t>
  </si>
  <si>
    <t>Тарифная ставка рабочего 1-го разряда</t>
  </si>
  <si>
    <t>1.1.1.3.1.2.2.2</t>
  </si>
  <si>
    <t>Средний тарифный коэффициент</t>
  </si>
  <si>
    <t>1.1.1.3.1.2.2</t>
  </si>
  <si>
    <t>Выплаты, связанные с режимом работы и условиями труда</t>
  </si>
  <si>
    <t>руб/мес.</t>
  </si>
  <si>
    <t>1.1.1.3.1.2.3</t>
  </si>
  <si>
    <t>Текущее премирование</t>
  </si>
  <si>
    <t>1.1.1.3.1.2.4</t>
  </si>
  <si>
    <t xml:space="preserve">Дополнительное премирование, включая расходы на выслугу лет на 1 работника </t>
  </si>
  <si>
    <t>1.1.1.3.1.1</t>
  </si>
  <si>
    <t>Численность (среднесписочная), принятая для расчёта</t>
  </si>
  <si>
    <t>ед.</t>
  </si>
  <si>
    <t>389,00</t>
  </si>
  <si>
    <t>1.1.1.3.2</t>
  </si>
  <si>
    <t>Отчисления на социальные нужды производственного персонала, в том числе налоги и сборы</t>
  </si>
  <si>
    <t>25 897,12</t>
  </si>
  <si>
    <t>1.1.1.4</t>
  </si>
  <si>
    <t>Расходы на уплату процентов по займам и кредитам</t>
  </si>
  <si>
    <t>1.1.1.5</t>
  </si>
  <si>
    <t>Общехозяйственные расходы</t>
  </si>
  <si>
    <t>1.1.1.5.1</t>
  </si>
  <si>
    <t>расходы на охрану труда</t>
  </si>
  <si>
    <t>6 026,14</t>
  </si>
  <si>
    <t>1.1.1.5.2</t>
  </si>
  <si>
    <t>прочие</t>
  </si>
  <si>
    <t>9 594,10</t>
  </si>
  <si>
    <t>1.1.1.6</t>
  </si>
  <si>
    <t>Прочие производственные расходы</t>
  </si>
  <si>
    <t>1.1.1.6.1</t>
  </si>
  <si>
    <t>Расходы на амортизацию транспорта</t>
  </si>
  <si>
    <t>10 509,02</t>
  </si>
  <si>
    <t>1.1.1.6.2</t>
  </si>
  <si>
    <t>Услуги по обращению с осадком сточных вод</t>
  </si>
  <si>
    <t>1.1.1.6.3</t>
  </si>
  <si>
    <t>Расходы на приобретение (использование) вспомогательных материалов, запасных частей</t>
  </si>
  <si>
    <t>3 898,51</t>
  </si>
  <si>
    <t>1.1.1.6.4</t>
  </si>
  <si>
    <t>Расходы на эксплуатацию, техническое обслуживание и ремонт автотранспорта</t>
  </si>
  <si>
    <t>3 303,60</t>
  </si>
  <si>
    <t>1.1.1.6.5</t>
  </si>
  <si>
    <t>Расходы на осуществление производственного контроля качества воды, состава и свойств сточных вод</t>
  </si>
  <si>
    <t>1.1.1.6.6</t>
  </si>
  <si>
    <t>Расходы на аварийно-диспетчерское обслуживание</t>
  </si>
  <si>
    <t>Ремонтные расходы</t>
  </si>
  <si>
    <t>1.1.2.1</t>
  </si>
  <si>
    <t>Расходы на текущий ремонт централизованных систем водоснабжения и (или) водоотведения либо объектов, входящих в состав таких систем</t>
  </si>
  <si>
    <t>2 194,30</t>
  </si>
  <si>
    <t>1.1.2.2</t>
  </si>
  <si>
    <t>Расходы на капитальный ремонт централизованных систем водоснабжения и (или водоотведения) либо объектов, входящих в состав таких систем</t>
  </si>
  <si>
    <t>31 554,08</t>
  </si>
  <si>
    <t>1.1.2.3</t>
  </si>
  <si>
    <t>Расходы на оплату труда и отчисления на социальные нужды ремонтного персонала, в том числе налоги и сборы</t>
  </si>
  <si>
    <t>1.1.2.3.1</t>
  </si>
  <si>
    <t>Расходы на оплату труда ремонтного персонала</t>
  </si>
  <si>
    <t>1.1.2.3.1.1</t>
  </si>
  <si>
    <t>Среднемесячная отплата труда ремонтного персонала</t>
  </si>
  <si>
    <t>1.1.2.3.1.1.5</t>
  </si>
  <si>
    <t>Компенсационные и социальные выплаты</t>
  </si>
  <si>
    <t>руб./месяц</t>
  </si>
  <si>
    <t>1.1.2.3.1.1.1</t>
  </si>
  <si>
    <t>тыс.руб/месяц</t>
  </si>
  <si>
    <t>1.1.2.3.1.1.1.1</t>
  </si>
  <si>
    <t>1.1.2.3.1.1.1.2</t>
  </si>
  <si>
    <t>1.1.2.3.1.1.2</t>
  </si>
  <si>
    <t>Выплаты, связанные с режимом труда и условиями работы на 1 работника в месяц</t>
  </si>
  <si>
    <t>1.1.2.3.1.1.3</t>
  </si>
  <si>
    <t>1.1.2.3.1.1.4</t>
  </si>
  <si>
    <t>Дополнительное премирование, включая выслугу лет</t>
  </si>
  <si>
    <t>1.1.2.3.1.2</t>
  </si>
  <si>
    <t>438,00</t>
  </si>
  <si>
    <t>1.1.2.3.2</t>
  </si>
  <si>
    <t>Отчисления на социальные нужды ремонтного персонала, в том числе налоги и сборы</t>
  </si>
  <si>
    <t>42 503,85</t>
  </si>
  <si>
    <t>Административные расходы</t>
  </si>
  <si>
    <t>1.1.3.1</t>
  </si>
  <si>
    <t>Расходы на оплату работ и услуг, выполняемых сторонними организациями</t>
  </si>
  <si>
    <t>1.1.3.1.1</t>
  </si>
  <si>
    <t>услуги связи и интернет</t>
  </si>
  <si>
    <t>2 576,06</t>
  </si>
  <si>
    <t>1.1.3.1.2</t>
  </si>
  <si>
    <t>юридические услуги</t>
  </si>
  <si>
    <t>1.1.3.1.3</t>
  </si>
  <si>
    <t>аудиторские услуги</t>
  </si>
  <si>
    <t>53,86</t>
  </si>
  <si>
    <t>1.1.3.1.4</t>
  </si>
  <si>
    <t>консультационные услуги</t>
  </si>
  <si>
    <t>29,48</t>
  </si>
  <si>
    <t>1.1.3.1.5</t>
  </si>
  <si>
    <t>услуги по вневедомственной охране объектов и территорий</t>
  </si>
  <si>
    <t>3 979,44</t>
  </si>
  <si>
    <t>1.1.3.1.6</t>
  </si>
  <si>
    <t>информационные услуги</t>
  </si>
  <si>
    <t>358,66</t>
  </si>
  <si>
    <t>1.1.3.2</t>
  </si>
  <si>
    <t>Расходы на оплату труда и отчисления на социальные нужды административно-управленческого персонала, в том числе налоги и сборы</t>
  </si>
  <si>
    <t>1.1.3.2.1</t>
  </si>
  <si>
    <t>Расходы на оплату труда административно-управленческого персонала</t>
  </si>
  <si>
    <t>1.1.3.2.1.1</t>
  </si>
  <si>
    <t>Среднемесячная оплата труда административно-управленческого персонала</t>
  </si>
  <si>
    <t>тыс.руб./мес.</t>
  </si>
  <si>
    <t>1.1.3.2.1.1.2</t>
  </si>
  <si>
    <t>Выплаты, связанные с режимом работы и условиями труда на 1 работника в месяц</t>
  </si>
  <si>
    <t>1.1.3.2.1.1.5</t>
  </si>
  <si>
    <t>1.1.3.2.1.1.1</t>
  </si>
  <si>
    <t>тыс. руб./мес.</t>
  </si>
  <si>
    <t>1.1.3.2.1.1.1.1</t>
  </si>
  <si>
    <t>1.1.3.2.1.1.1.2</t>
  </si>
  <si>
    <t>1.1.3.2.1.1.3</t>
  </si>
  <si>
    <t>1.1.3.2.1.1.4</t>
  </si>
  <si>
    <t>Доп.премирование, включая вознаграждение за  выслугу лет</t>
  </si>
  <si>
    <t>1.1.3.2.1.2</t>
  </si>
  <si>
    <t>125,00</t>
  </si>
  <si>
    <t>1.1.3.2.2</t>
  </si>
  <si>
    <t>Отчисления на социальные нужды административно-управленческого персонала, в том числе налоги и сборы</t>
  </si>
  <si>
    <t>14 906,81</t>
  </si>
  <si>
    <t>1.1.3.3</t>
  </si>
  <si>
    <t>Арендная плата, лизинговые платежи, не связанные с арендой (лизингом) централизованных систем водоснабжения и (или) водоотведения либо объектов, входящих в состав таких систем</t>
  </si>
  <si>
    <t>716,35</t>
  </si>
  <si>
    <t>1.1.3.4</t>
  </si>
  <si>
    <t>Служебные командировки</t>
  </si>
  <si>
    <t>1.1.3.5</t>
  </si>
  <si>
    <t>Обучение персонала</t>
  </si>
  <si>
    <t>491,27</t>
  </si>
  <si>
    <t>1.1.3.6</t>
  </si>
  <si>
    <t>Страхование производственных объектов</t>
  </si>
  <si>
    <t>1 134,66</t>
  </si>
  <si>
    <t>1.1.3.7</t>
  </si>
  <si>
    <t>Прочие административные расходы</t>
  </si>
  <si>
    <t>1.1.3.7.1</t>
  </si>
  <si>
    <t>Расходы на амортизацию непроизводственных активов</t>
  </si>
  <si>
    <t>1.1.3.7.2</t>
  </si>
  <si>
    <t>Расходы по охране объектов и территорий</t>
  </si>
  <si>
    <t>Сбытовые расходы гарантирующих организаций</t>
  </si>
  <si>
    <t>1.1.4.1</t>
  </si>
  <si>
    <t>резерв по сомнительным долгам гарантирующей организации</t>
  </si>
  <si>
    <t>Расходы на электрическую энергию</t>
  </si>
  <si>
    <t xml:space="preserve">Расходы на покупку электроэнергии по одноставочному тарифу </t>
  </si>
  <si>
    <t>тыс.руб</t>
  </si>
  <si>
    <t>НН</t>
  </si>
  <si>
    <t>20.3</t>
  </si>
  <si>
    <t>Объем покупной электроэнергии</t>
  </si>
  <si>
    <t>тыс.кВт*ч</t>
  </si>
  <si>
    <t>46 925,04</t>
  </si>
  <si>
    <t>20.4</t>
  </si>
  <si>
    <t>Тариф на электроэнергию</t>
  </si>
  <si>
    <t>руб.</t>
  </si>
  <si>
    <t>7,014421</t>
  </si>
  <si>
    <t>СН1</t>
  </si>
  <si>
    <t>20.5</t>
  </si>
  <si>
    <t>20.6</t>
  </si>
  <si>
    <t>СН2</t>
  </si>
  <si>
    <t>20.7</t>
  </si>
  <si>
    <t>20.8</t>
  </si>
  <si>
    <t>ВН</t>
  </si>
  <si>
    <t>20.9</t>
  </si>
  <si>
    <t>20.11</t>
  </si>
  <si>
    <t>Без разбивки по напряжению</t>
  </si>
  <si>
    <t>20.12</t>
  </si>
  <si>
    <t>20.13</t>
  </si>
  <si>
    <t xml:space="preserve">Расходы на покупку электроэнергии по двухставочному тарифу </t>
  </si>
  <si>
    <t>Мощность</t>
  </si>
  <si>
    <t>20.14</t>
  </si>
  <si>
    <t>тыс. кВт</t>
  </si>
  <si>
    <t>20.15</t>
  </si>
  <si>
    <t>Ставка за мощность</t>
  </si>
  <si>
    <t>руб./кВт</t>
  </si>
  <si>
    <t>20.16</t>
  </si>
  <si>
    <t>20.17</t>
  </si>
  <si>
    <t>20.18</t>
  </si>
  <si>
    <t>20.19</t>
  </si>
  <si>
    <t>30.1</t>
  </si>
  <si>
    <t>30.2</t>
  </si>
  <si>
    <t>ГН</t>
  </si>
  <si>
    <t>30.3</t>
  </si>
  <si>
    <t>30.4</t>
  </si>
  <si>
    <t>Активная электроэнергия</t>
  </si>
  <si>
    <t>30.5</t>
  </si>
  <si>
    <t>30.6</t>
  </si>
  <si>
    <t>Ставка за электроэнергию</t>
  </si>
  <si>
    <t>30.7</t>
  </si>
  <si>
    <t>30.8</t>
  </si>
  <si>
    <t>30.9</t>
  </si>
  <si>
    <t>30.11</t>
  </si>
  <si>
    <t>30.12</t>
  </si>
  <si>
    <t>30.13</t>
  </si>
  <si>
    <t>30.14</t>
  </si>
  <si>
    <t>30.15</t>
  </si>
  <si>
    <t>Неподконтрольные</t>
  </si>
  <si>
    <t>1.3.1</t>
  </si>
  <si>
    <t>1.3.1.3</t>
  </si>
  <si>
    <t>Расходы на топливо</t>
  </si>
  <si>
    <t>1.3.1.3.1</t>
  </si>
  <si>
    <t>Газ</t>
  </si>
  <si>
    <t>1.3.1.3.1.1</t>
  </si>
  <si>
    <t>тыс.куб.м</t>
  </si>
  <si>
    <t>70,35</t>
  </si>
  <si>
    <t>1.3.1.3.1.2</t>
  </si>
  <si>
    <t>руб./куб.м</t>
  </si>
  <si>
    <t>7,70</t>
  </si>
  <si>
    <t>1.3.1.3.2</t>
  </si>
  <si>
    <t>Уголь</t>
  </si>
  <si>
    <t>1.3.1.3.2.1</t>
  </si>
  <si>
    <t>тонны</t>
  </si>
  <si>
    <t>1.3.1.3.2.2</t>
  </si>
  <si>
    <t>руб./тонна</t>
  </si>
  <si>
    <t>1.3.1.3.3</t>
  </si>
  <si>
    <t>Мазут</t>
  </si>
  <si>
    <t>1.3.1.3.3.1</t>
  </si>
  <si>
    <t>1.3.1.3.3.2</t>
  </si>
  <si>
    <t>1.3.1.3.4</t>
  </si>
  <si>
    <t>Расходы на топливо прочие</t>
  </si>
  <si>
    <t>1.3.1.1</t>
  </si>
  <si>
    <t>Расходы на тепловую энергию</t>
  </si>
  <si>
    <t>30.16</t>
  </si>
  <si>
    <t>2,59431</t>
  </si>
  <si>
    <t>30.17</t>
  </si>
  <si>
    <t>цена</t>
  </si>
  <si>
    <t>2 247,07000</t>
  </si>
  <si>
    <t>1.3.1.2</t>
  </si>
  <si>
    <t>Расходы на теплоноситель</t>
  </si>
  <si>
    <t>1.3.1.4</t>
  </si>
  <si>
    <t>Расходы на транспортировку воды</t>
  </si>
  <si>
    <t>1.3.1.4.1</t>
  </si>
  <si>
    <t>тыс. м3</t>
  </si>
  <si>
    <t>1 346,21</t>
  </si>
  <si>
    <t>1.3.1.4.2</t>
  </si>
  <si>
    <t>1.3.1.5</t>
  </si>
  <si>
    <t>Расходы на покупку воды</t>
  </si>
  <si>
    <t>1.2.5.2</t>
  </si>
  <si>
    <t>объём</t>
  </si>
  <si>
    <t>29 964,45</t>
  </si>
  <si>
    <t>1.2.5.1</t>
  </si>
  <si>
    <t>1.3.1.7</t>
  </si>
  <si>
    <t>Услуги по горячему водоснабжению</t>
  </si>
  <si>
    <t>1.3.1.8</t>
  </si>
  <si>
    <t>Услуги по приготовлению воды на нужды горячего водоснабжения</t>
  </si>
  <si>
    <t>1.3.1.9</t>
  </si>
  <si>
    <t>Услуги по транспортировке горячей воды</t>
  </si>
  <si>
    <t>1.3.1.11</t>
  </si>
  <si>
    <t>Услуги по водоотведению и очистке сточных вод</t>
  </si>
  <si>
    <t>1.3.1.11.1</t>
  </si>
  <si>
    <t>1.3.1.11.2</t>
  </si>
  <si>
    <t>1.3.1.12</t>
  </si>
  <si>
    <t>Услуги по транспортировке сточных вод</t>
  </si>
  <si>
    <t>1.3.1.12.1</t>
  </si>
  <si>
    <t>1.3.1.12.2</t>
  </si>
  <si>
    <t>Химреагенты</t>
  </si>
  <si>
    <t>Расходы, связанные с уплатой налогов и сборов</t>
  </si>
  <si>
    <t>1.3.2.1</t>
  </si>
  <si>
    <t>1.3.2.2</t>
  </si>
  <si>
    <t>Налог на имущество организаций</t>
  </si>
  <si>
    <t>1.3.2.3</t>
  </si>
  <si>
    <t>Земельный налог</t>
  </si>
  <si>
    <t>295,99</t>
  </si>
  <si>
    <t>1.3.2.4</t>
  </si>
  <si>
    <t>Водный налог и плата за пользование водным объектом</t>
  </si>
  <si>
    <t>1.3.2.4.1</t>
  </si>
  <si>
    <t>Водный налог</t>
  </si>
  <si>
    <t>13 300,00</t>
  </si>
  <si>
    <t>1.3.2.4.2</t>
  </si>
  <si>
    <t>Плата за пользование водным объектом</t>
  </si>
  <si>
    <t>1 538,36</t>
  </si>
  <si>
    <t>1.3.2.6</t>
  </si>
  <si>
    <t>Транспортный налог</t>
  </si>
  <si>
    <t>514,86</t>
  </si>
  <si>
    <t>1.3.2.7</t>
  </si>
  <si>
    <t>Плата за негативное воздействие на окружающую среду</t>
  </si>
  <si>
    <t>1.3.2.8</t>
  </si>
  <si>
    <t>Прочие налоги и сборы, за исключением налогов и сборов с фонда оплаты труда, учитываемых в составе производственных, ремонтных и административных расходов</t>
  </si>
  <si>
    <t>Расходы на арендную плату, лизинговые платежи, концессионную плату</t>
  </si>
  <si>
    <t>Аренда имущества</t>
  </si>
  <si>
    <t>6.2</t>
  </si>
  <si>
    <t>Концессионная плата</t>
  </si>
  <si>
    <t>6.3</t>
  </si>
  <si>
    <t>Лизинговые платежи</t>
  </si>
  <si>
    <t>6.4</t>
  </si>
  <si>
    <t>Аренда земельных участков</t>
  </si>
  <si>
    <t>2 945,95</t>
  </si>
  <si>
    <t>6.5</t>
  </si>
  <si>
    <t>Иное</t>
  </si>
  <si>
    <t>4.1</t>
  </si>
  <si>
    <t>Расходы по сомнительным долгам, в размере не более 2% НВВ</t>
  </si>
  <si>
    <t>Избыток средств, полученный за отчётные периоды регулирования</t>
  </si>
  <si>
    <t>Расходы на обслуживание бесхозяйных сетей</t>
  </si>
  <si>
    <t>Недополученные доходы/расходы прошлых периодов</t>
  </si>
  <si>
    <t>12.1</t>
  </si>
  <si>
    <t>Экономически обоснованные расходы, не учтённые органом регулирования тарифов при установлении тарифов на товары (работы, услуги) в прошлом периоде</t>
  </si>
  <si>
    <t>12.2</t>
  </si>
  <si>
    <t>Недополученные доходы прошлых периодов регулирования</t>
  </si>
  <si>
    <t>12.3</t>
  </si>
  <si>
    <t>Расходы, связанные с обслуживанием заёмных средств и собственных средств, направляемых на покрытие недостатка средств</t>
  </si>
  <si>
    <t xml:space="preserve">Займы и кредиты </t>
  </si>
  <si>
    <t>1.3.9.1</t>
  </si>
  <si>
    <t>Возврат займов и кредитов</t>
  </si>
  <si>
    <t>1.3.9.2</t>
  </si>
  <si>
    <t>Амортизация</t>
  </si>
  <si>
    <t>Амортизация основных средств и нематериальных активов, относимых к объектам централизованной системы водоснабжения и водоотведения</t>
  </si>
  <si>
    <t>43 635,92</t>
  </si>
  <si>
    <t>Корректировка НВВ за предыдущий период</t>
  </si>
  <si>
    <t>Прибыль</t>
  </si>
  <si>
    <t>15.1</t>
  </si>
  <si>
    <t>15.1.3</t>
  </si>
  <si>
    <t>Расходы на социальные нужды, предусмотренные коллективными договорами, в соответствии с подпунктом 3 пункта 31 Методических указаний</t>
  </si>
  <si>
    <t>11 295,00</t>
  </si>
  <si>
    <t>15.1.1</t>
  </si>
  <si>
    <t>Средства на возврат займов и кредитов и процентов по ним</t>
  </si>
  <si>
    <t>15.1.2</t>
  </si>
  <si>
    <t>Расходы на капитальные вложения</t>
  </si>
  <si>
    <t>15.1.2.1</t>
  </si>
  <si>
    <t>Объем капитальных вложений</t>
  </si>
  <si>
    <t>15.1.2.1.2</t>
  </si>
  <si>
    <t>на забор и подъём воды</t>
  </si>
  <si>
    <t>15.1.2.1.1</t>
  </si>
  <si>
    <t>на водоподготовку</t>
  </si>
  <si>
    <t>15.1.2.1.3</t>
  </si>
  <si>
    <t>на транспортировку воды</t>
  </si>
  <si>
    <t>15.1.2.1.4</t>
  </si>
  <si>
    <t>прочее</t>
  </si>
  <si>
    <t>40.9</t>
  </si>
  <si>
    <t>на транспортировку сточных вод</t>
  </si>
  <si>
    <t>40.11</t>
  </si>
  <si>
    <t>на очистку сточных вод</t>
  </si>
  <si>
    <t>40.12</t>
  </si>
  <si>
    <t>на обращение с осадком сточных вод</t>
  </si>
  <si>
    <t>40.13</t>
  </si>
  <si>
    <t>15.1.2.2</t>
  </si>
  <si>
    <t>Финансирование капитальных вложений</t>
  </si>
  <si>
    <t>15.1.2.2.1</t>
  </si>
  <si>
    <t>15.1.2.2.1.1</t>
  </si>
  <si>
    <t>переоценка основных средств</t>
  </si>
  <si>
    <t>без переоценки основных средств</t>
  </si>
  <si>
    <t>15.1.2.2.2</t>
  </si>
  <si>
    <t>15.1.2.2.2.1</t>
  </si>
  <si>
    <t>дополнительные доходы</t>
  </si>
  <si>
    <t>без дополнительных доходов</t>
  </si>
  <si>
    <t>15.1.2.2.3</t>
  </si>
  <si>
    <t>Займы и кредиты</t>
  </si>
  <si>
    <t>12.1.2.2.4</t>
  </si>
  <si>
    <t>Бюджетные средства</t>
  </si>
  <si>
    <t>15.1.2.2.4.1</t>
  </si>
  <si>
    <t>федерального бюджета</t>
  </si>
  <si>
    <t>15.1.2.2.4.2</t>
  </si>
  <si>
    <t>регионального бюджета</t>
  </si>
  <si>
    <t>15.1.2.2.4.3</t>
  </si>
  <si>
    <t>местного бюджета</t>
  </si>
  <si>
    <t>15.1.2.2.5</t>
  </si>
  <si>
    <t>Плата за подключение</t>
  </si>
  <si>
    <t>15.1.2.2.6</t>
  </si>
  <si>
    <t>Прочее</t>
  </si>
  <si>
    <t>15.1.2.3</t>
  </si>
  <si>
    <t>Учтено при установлении тарифов</t>
  </si>
  <si>
    <t>15.1.2.3.1</t>
  </si>
  <si>
    <t>15.1.2.3.2</t>
  </si>
  <si>
    <t>15.1.2.4</t>
  </si>
  <si>
    <t>Введено в эксплуатацию</t>
  </si>
  <si>
    <t>15.2</t>
  </si>
  <si>
    <t>Расчётная предпринимательская прибыль гарантирующей организации</t>
  </si>
  <si>
    <t>Отклонение показателя ввода объектов системы  водоснабжения и (или) водоотведения в эксплуатацию и изменения инвестиционной программы (информация по данному разделу заполняется в случае наличия у регулируемой организации утвержденной инвестпрограммы)</t>
  </si>
  <si>
    <t xml:space="preserve">Объем оказываемых услуг </t>
  </si>
  <si>
    <t>Тарифы</t>
  </si>
  <si>
    <t>Объем реализации услуг питьевого водоснабжения (Калуга)</t>
  </si>
  <si>
    <t>Тариф на питьевое водоснабжение (эксплуатационный)</t>
  </si>
  <si>
    <t>Тариф на питьевое водоснабжение с учетом инвестиционной составляющей</t>
  </si>
  <si>
    <t>Рост тарифа (эксплуатационного)</t>
  </si>
  <si>
    <t>Рост тарифа (с учетом инвестиционной составляющей)</t>
  </si>
  <si>
    <t>НВВ с учетом капвложений</t>
  </si>
  <si>
    <t xml:space="preserve">Перечень мероприятий, предусматривающих капитальные вложения в объекты основных средств и нематериальные активы, связанных с обеспечением деятельности в сфере  холодного водоснабжения  с использованием централизованных систем водоснабжения </t>
  </si>
  <si>
    <t>тыс. рублей с НДС</t>
  </si>
  <si>
    <t>2023 питьевая вода</t>
  </si>
  <si>
    <t>2024 питьевая вода</t>
  </si>
  <si>
    <t>2025 питьевая вода</t>
  </si>
  <si>
    <t>2026 питьевая вода</t>
  </si>
  <si>
    <t>2027 питьевая вода</t>
  </si>
  <si>
    <t>2028 питьевая вода</t>
  </si>
  <si>
    <t>НВВ без учета капвложений</t>
  </si>
  <si>
    <t>Перечень мероприятий, предусматривающих капитальные вложения в объекты основных средств и нематериальные активы, связанных с обеспечением деятельности в сфере  водоотведения  с использованием централизованных систем водоотведения</t>
  </si>
  <si>
    <t>тыс. руб. с НДС</t>
  </si>
  <si>
    <t>Раздел Осуществление мероприятий, направленных на повышение экологической эффективности, достижение плановых значений показателей надежности, качества и энергоэффективности объектов централизованных систем водоснабжения, не включенных в прочую группу мероприятий</t>
  </si>
  <si>
    <t>г.Калуга, по ул. Карла Либкнехта от ул. Московская в р-не д. 178 до д. 16 по ул. К. Либкнехта</t>
  </si>
  <si>
    <t>Строительство самотечного канализационного коллектора Ду=200 мм, протяженностью 230 п.м.</t>
  </si>
  <si>
    <t>ПЗП в индивидуальном размере по водоснабжению, ПЗП по тарифу на подключение по водоотведению</t>
  </si>
  <si>
    <t>Строительство, модернизация и реконструкция объектов централизованных систем водоотведения в целях подключения объектов капитального строительства /
Проект планировки и проект межевания территории жилого квартала, г.Калуга мкр.Кубяка,Байконур/Заявитель</t>
  </si>
  <si>
    <t xml:space="preserve">Реконструкция скорых фильтров станции  "Северного водозабора" </t>
  </si>
  <si>
    <t xml:space="preserve">Реконструкция канализационной насосной станции "Терепец" район ул.Панорамная </t>
  </si>
  <si>
    <t>Комплексное освоение территории, в рамках которого предусматривается жилищное строительство, г. Калуга, ул. 40 лет Октября</t>
  </si>
  <si>
    <t>Сметы в наличии</t>
  </si>
  <si>
    <t>Испытания наружных пожарных лестниц и ограждений на крышах объектов:</t>
  </si>
  <si>
    <t>Салтыкова - Щедрина, 80 (ремонтно-механический цех, ремонтно-строительный цех, гаражные боксы, центральный склад, склад снабжения, КНС);</t>
  </si>
  <si>
    <t>Насосная станция Башня Малинники;</t>
  </si>
  <si>
    <t>Насосная станция 3-го подъема Турынино;</t>
  </si>
  <si>
    <t>Насосная станция Желязники.</t>
  </si>
  <si>
    <t>Склады Турынино;</t>
  </si>
  <si>
    <t>Cалтыкова - Щедрина, 80;</t>
  </si>
  <si>
    <t>Северный водозабор;</t>
  </si>
  <si>
    <t>Южный водозабор.</t>
  </si>
  <si>
    <t xml:space="preserve">Проведение огнезащитной обработки деревянных конструкций чердачных помещений </t>
  </si>
  <si>
    <t>договор подряда по выполнению работ по монтажу и пуско-наладке оборудования системы автоматической пожарной сигнализации и системы оповещения и управления эвакуацией людей при пожаре (пос. Турынино, ул. Советская, помещения насосной станции 3-го подъема)</t>
  </si>
  <si>
    <t xml:space="preserve">Строительство  кольцевой водопроводной сети   Д=225 мм. от камеры переключения вдоль ул. К. Либкнехта, ул. Грабцевское шоссе до ул. Константиновых, д.9,  протяженностью 435 п.м. </t>
  </si>
  <si>
    <t>1 Полугодие
2024</t>
  </si>
  <si>
    <t>2 Полугодие
2024</t>
  </si>
  <si>
    <t>1 Полугодие
2025</t>
  </si>
  <si>
    <t>2 Полугодие
2025</t>
  </si>
  <si>
    <t>1 Полугодие
2026</t>
  </si>
  <si>
    <t>2 Полугодие
2026</t>
  </si>
  <si>
    <t>1 Полугодие
2027</t>
  </si>
  <si>
    <t>2 Полугодие
2027</t>
  </si>
  <si>
    <t>1 Полугодие
2028</t>
  </si>
  <si>
    <t>2 Полугодие
2028</t>
  </si>
  <si>
    <t>7</t>
  </si>
  <si>
    <t>Мероприятия по защите централизованных систем водоснабжения и их отдельных объектов от угроз техногенного, природного характера и террористических актов</t>
  </si>
  <si>
    <t>Мероприятия по защите централизованных систем водоотведения и их отдельных объектов от угроз техногенного, природного характера и террористических актов</t>
  </si>
  <si>
    <t>Строительство двух напорных канализационных коллекторов Ду-315 мм от площадки застройки протяженностью 80 п.м. каждый, открытым способом; 
строительство самотечного канализационного коллектора Ду-450 с уклоном 1000i-5  протяженностью 5 п.м.</t>
  </si>
  <si>
    <t>Сети водоотведения</t>
  </si>
  <si>
    <t>Сооружения водоотведения и очистки сточных вод.</t>
  </si>
  <si>
    <t>Сети водоснабжения</t>
  </si>
  <si>
    <t>Водозаборные сооружения  и сооружения водоподготовки</t>
  </si>
  <si>
    <t>узлы учета в Дирекции по сбыту</t>
  </si>
  <si>
    <t>Лаборатории</t>
  </si>
  <si>
    <t>Итог</t>
  </si>
  <si>
    <t>построен собственными силами</t>
  </si>
  <si>
    <t>47461 Канализационная сеть_г.Калуга,  сквер Космонавта Волкова_общей протяженностью 220,94п.м.</t>
  </si>
  <si>
    <t>31.12.2022</t>
  </si>
  <si>
    <t xml:space="preserve">47461    </t>
  </si>
  <si>
    <t>47377 Сеть водоотведения г.Калуга,  пер. Северный, дом 10, ч.2_d160 9,44п.м.</t>
  </si>
  <si>
    <t xml:space="preserve">47377    </t>
  </si>
  <si>
    <t>постоен подрядным и хоз. спосообом</t>
  </si>
  <si>
    <t>47375 Сеть водоотведения г.Калуга, д. Мстихино, ул. Лесная, дом 21_общей протяженностью 16,5п.м.</t>
  </si>
  <si>
    <t xml:space="preserve">47375    </t>
  </si>
  <si>
    <t>г.Калуга, ул.Верховая</t>
  </si>
  <si>
    <t>Приказ МЭРиП КО №2035-п от 06.12.2022</t>
  </si>
  <si>
    <t>передан в хозяйственное ведение</t>
  </si>
  <si>
    <t>47355 Наружные сети напорной канализации ул.Верховая_протяж.2864 м</t>
  </si>
  <si>
    <t>20.12.2022</t>
  </si>
  <si>
    <t xml:space="preserve">47355    </t>
  </si>
  <si>
    <t>Россия, Калужская область, г.Калуга, ул.Знаменская,д 7</t>
  </si>
  <si>
    <t>Приказ МЭРиП КО №1737-п от 24.10.2022</t>
  </si>
  <si>
    <t>47197 Канализационная сеть, 68 м., ул.Знаменская,  д 7</t>
  </si>
  <si>
    <t>30.11.2022</t>
  </si>
  <si>
    <t xml:space="preserve">47197    </t>
  </si>
  <si>
    <t>Россия, Калужская область, г.Калуга, ул.Кубяка,д 9, корп.1, 2</t>
  </si>
  <si>
    <t>47196 Канализационная сеть, 167 м., ул.Кубяка, д 9 корп.1, 2</t>
  </si>
  <si>
    <t xml:space="preserve">47196    </t>
  </si>
  <si>
    <t>Россия, Калужская область, г.Калуга, ул.Дзержинского,д 15</t>
  </si>
  <si>
    <t>47195 Канализационная сеть, 69 м., ул.Дзержинского, д 15</t>
  </si>
  <si>
    <t xml:space="preserve">47195    </t>
  </si>
  <si>
    <t>Россия, Калужская область, г.Калуга, ул.Платова,д 1/44</t>
  </si>
  <si>
    <t>47194 Канализационная сеть, 90 м., ул.Платова, д 1/44</t>
  </si>
  <si>
    <t xml:space="preserve">47194    </t>
  </si>
  <si>
    <t>Россия, Калужская область, г.Калуга, ул.Салтыкова-Щедрина, д 81</t>
  </si>
  <si>
    <t>47193 Канализационная сеть, 110 м., ул.Салтыкова-Щедрина, д 81</t>
  </si>
  <si>
    <t xml:space="preserve">47193    </t>
  </si>
  <si>
    <t>Россия, Калужская область, г.Калуга, ул.Чижевского,д.12</t>
  </si>
  <si>
    <t>Приказ МЭРиП КО №1739-п от 24.10.2022</t>
  </si>
  <si>
    <t>47192 Канализационная сеть, 105 м., ул.Чижевского, д 12</t>
  </si>
  <si>
    <t xml:space="preserve">47192    </t>
  </si>
  <si>
    <t>Россия, Калужская область, г.Калуга, ул.Тарутинская,д.171, корп.1, 2</t>
  </si>
  <si>
    <t>47191 Канализационная сеть, 182 м., ул.Тарутинская, д 171, корп.1, 2</t>
  </si>
  <si>
    <t xml:space="preserve">47191    </t>
  </si>
  <si>
    <t>Россия, Калужская область, г.Калуга, ул.Карпова,д.9/39</t>
  </si>
  <si>
    <t>47190 Канализационная сеть, 26 м., ул.Карпова, д 9/39</t>
  </si>
  <si>
    <t xml:space="preserve">47190    </t>
  </si>
  <si>
    <t>Россия, Калужская область, г.Калуга, ул.Большевиков,д.3</t>
  </si>
  <si>
    <t>47189 Канализационная сеть, 11 м., ул.Большевиков, д 3</t>
  </si>
  <si>
    <t xml:space="preserve">47189    </t>
  </si>
  <si>
    <t>Россия, Калужская область, г.Калуга, ул.Суворова,д.157</t>
  </si>
  <si>
    <t>47188 Канализационная сеть, 63 м., ул.Суворова, д 157</t>
  </si>
  <si>
    <t xml:space="preserve">47188    </t>
  </si>
  <si>
    <t>Россия, Калужская область, г.Калуга, ул.Московская, д.58</t>
  </si>
  <si>
    <t>47187 Канализационная сеть, 68 м., ул.Московская, д 58</t>
  </si>
  <si>
    <t xml:space="preserve">47187    </t>
  </si>
  <si>
    <t>Россия, Калужская область, г.Калуга, ул.Стекольная, д.36</t>
  </si>
  <si>
    <t>47183 Канализационная сеть, 26 м., ул.Стекольная, д 36</t>
  </si>
  <si>
    <t xml:space="preserve">47183    </t>
  </si>
  <si>
    <t>Россия, Калужская область, г.Калуга, ул.Воскресенская, д.18</t>
  </si>
  <si>
    <t>47182 Канализационная сеть, 10 м., ул.Воскресенская, д 18</t>
  </si>
  <si>
    <t xml:space="preserve">47182    </t>
  </si>
  <si>
    <t>Т/443-ЕД от 15.12.2016</t>
  </si>
  <si>
    <t>построен подрядной организацией</t>
  </si>
  <si>
    <t>47062 Внеплощадочная самотечная сеть водоотведения г.Калуга, ул.Новосельская Д200 L408 м</t>
  </si>
  <si>
    <t>01.11.2022</t>
  </si>
  <si>
    <t xml:space="preserve">47062    </t>
  </si>
  <si>
    <t>Калужская область, г. Калуга, ул. Верховая</t>
  </si>
  <si>
    <t>Приказ МЭРиП КО №1628-п от 10.10.2022</t>
  </si>
  <si>
    <t>47035 Канализация хозяйственно-бытовая К1 (безнапорная) ул.Верховая_протяж.1571 м</t>
  </si>
  <si>
    <t xml:space="preserve">47035    </t>
  </si>
  <si>
    <t>47034 Канализация ул.Верховая_протяж.922 м</t>
  </si>
  <si>
    <t xml:space="preserve">47034    </t>
  </si>
  <si>
    <t>248003, Калужская обл, Калуга г, Тульская ул, Дом № 116</t>
  </si>
  <si>
    <t>47061 Сеть водоотведения г.Калуга, ул.Тульская, д.116, д.116А_Д150 L27,0</t>
  </si>
  <si>
    <t>31.10.2022</t>
  </si>
  <si>
    <t xml:space="preserve">47061    </t>
  </si>
  <si>
    <t>47039 Канализационная сеть_жилого дома г.Калуга, пер.Совхозный, д.8 (ПЭ D63, L44,51, Д160 L6)</t>
  </si>
  <si>
    <t xml:space="preserve">47039    </t>
  </si>
  <si>
    <t>47019 Сеть водоотведения_D160 L6,89 м _г.Калуга, пер.Новый, д.11/1</t>
  </si>
  <si>
    <t xml:space="preserve">47019    </t>
  </si>
  <si>
    <t>№8592/ПР сот 29.10.2021</t>
  </si>
  <si>
    <t xml:space="preserve">47014 Сеть водоотведения_D160 L20 м _г.Калуга, ул.Кубяка, д.15А </t>
  </si>
  <si>
    <t xml:space="preserve">47014    </t>
  </si>
  <si>
    <t xml:space="preserve">СНАБПРОМРЕСУРС ООО Счет №132 от 04.03.2021 </t>
  </si>
  <si>
    <t>приобретён за плату</t>
  </si>
  <si>
    <t>46860 Насос беламос DWP 1500/18</t>
  </si>
  <si>
    <t>23.09.2022</t>
  </si>
  <si>
    <t xml:space="preserve">46860    </t>
  </si>
  <si>
    <t>46861 Насос беламос DWP 1500/18</t>
  </si>
  <si>
    <t xml:space="preserve">46861    </t>
  </si>
  <si>
    <t>Калужская область, г.Калуга, ул. 65 лет Победы, д.15</t>
  </si>
  <si>
    <t>Приказ МЭРиП КО №1450-п от 05.09.2022</t>
  </si>
  <si>
    <t>46934 Сеть хоз.-бытовой канализации, 112 м., Калуга, ул.65 лет Победы, д 15</t>
  </si>
  <si>
    <t>19.09.2022</t>
  </si>
  <si>
    <t xml:space="preserve">46934    </t>
  </si>
  <si>
    <t>Калужская область, г.Калуга, ул. 65 лет Победы, д.23</t>
  </si>
  <si>
    <t>Приказ МЭРиП КО №1448-п от 05.09.2022</t>
  </si>
  <si>
    <t>46914 Сеть хоз.-бытовой канализации, 215 м., Калуга, ул.65 лет Победы, д 23</t>
  </si>
  <si>
    <t xml:space="preserve">46914    </t>
  </si>
  <si>
    <t>Калужская область, г.Калуга, ул.Луначарского, д.20, 22, 24</t>
  </si>
  <si>
    <t>Приказ МЭРиП КО №1350-п от 11.08.2022</t>
  </si>
  <si>
    <t>46890 Канализационная сеть, 103 м., Калуга, ул.Луначарского, д.20, д.22, д.24</t>
  </si>
  <si>
    <t>13.09.2022</t>
  </si>
  <si>
    <t xml:space="preserve">46890    </t>
  </si>
  <si>
    <t>Калужская область, г.Калуга, ул.Дзержинского, д.92, к.1</t>
  </si>
  <si>
    <t>46889 Канализационная сеть, 57 м., Калуга, ул.Дзержинского, д.92 корп.1</t>
  </si>
  <si>
    <t xml:space="preserve">46889    </t>
  </si>
  <si>
    <t>Калужская область, г.Калуга, ул.Тульская, д.21</t>
  </si>
  <si>
    <t>46888 Канализационная сеть, 88 м., Калуга, ул.Тульская, д.21</t>
  </si>
  <si>
    <t xml:space="preserve">46888    </t>
  </si>
  <si>
    <t>Калужская область, г.Калуга, ул.Тульская, д.19</t>
  </si>
  <si>
    <t>46887 Канализационная сеть, 9 м., Калуга, ул.Тульская, д.19</t>
  </si>
  <si>
    <t xml:space="preserve">46887    </t>
  </si>
  <si>
    <t>Калужская область, г.Калуга, ул.Тульская, д.23</t>
  </si>
  <si>
    <t>46886 Канализационная сеть, 65 м., Калуга, ул.Тульская, д.23</t>
  </si>
  <si>
    <t xml:space="preserve">46886    </t>
  </si>
  <si>
    <t>Калужская область, г.Калуга, ул.Дзержинского, д.90</t>
  </si>
  <si>
    <t>46885 Канализационная сеть, 8 м., Калуга, ул.Дзержинского, д.90</t>
  </si>
  <si>
    <t xml:space="preserve">46885    </t>
  </si>
  <si>
    <t>Калужская область, г.Калуга, ул.Салтыкова-Щедрина, д.2/61, д.6</t>
  </si>
  <si>
    <t>46884 Канализационная сеть, 63 м., Калуга, ул.Салтыкова-Щедрина, д.2/61, д.6</t>
  </si>
  <si>
    <t xml:space="preserve">46884    </t>
  </si>
  <si>
    <t>Калужская обл, Калуга г, 65 лет Победы ул, Дом № 4</t>
  </si>
  <si>
    <t>Приказ МЭРиП КО №1431-п от 30.08.2022</t>
  </si>
  <si>
    <t>46883 Сеть хоз.-бытовой канализации, 66 м., Калуга, ул.65 лет Победы, д 4</t>
  </si>
  <si>
    <t xml:space="preserve">46883    </t>
  </si>
  <si>
    <t>46828 Сеть водоотведения_D160 L9 м _г.Калуга, пер.Песчаный, д.15, пом.1</t>
  </si>
  <si>
    <t>31.08.2022</t>
  </si>
  <si>
    <t xml:space="preserve">46828    </t>
  </si>
  <si>
    <t>46810 Канализационный коллектор напорный L616,5м 2 нитки Региональный университет г.Калуга д.Пучково</t>
  </si>
  <si>
    <t xml:space="preserve">46810    </t>
  </si>
  <si>
    <t>46809 Канализационный коллектор самотечный L - 1693 п.м. Региональный университет г.Калуга д.Пучково</t>
  </si>
  <si>
    <t xml:space="preserve">46809    </t>
  </si>
  <si>
    <t>46772 Сеть водоотведения г.Калуга, ул.Набережная, д.4 Д=160, L=36,0 м.</t>
  </si>
  <si>
    <t>31.07.2022</t>
  </si>
  <si>
    <t xml:space="preserve">46772    </t>
  </si>
  <si>
    <t>Калужская обл, Калуга г, 65 лет Победы ул, Дом № 17</t>
  </si>
  <si>
    <t>Приказ МЭРиП  КО  от 1148-П № 06.07.2022</t>
  </si>
  <si>
    <t>46720 Внутриплощадочная сеть канализации, 110  м., Калуга, ул. 65 лет Победы, д 17</t>
  </si>
  <si>
    <t>11.07.2022</t>
  </si>
  <si>
    <t xml:space="preserve">46720    </t>
  </si>
  <si>
    <t>Калужская обл, Калуга г, 65 лет Победы ул, Дом № 21</t>
  </si>
  <si>
    <t>46719 Внутриплощадочная сеть канализации, 110  м., Калуга, ул. 65 лет Победы, д 21</t>
  </si>
  <si>
    <t xml:space="preserve">46719    </t>
  </si>
  <si>
    <t>Калужская обл, Калуга г, 65 лет Победы ул, Дом № 6</t>
  </si>
  <si>
    <t>приказ МЭРиП КО  № 1133-П от 04.07.2022</t>
  </si>
  <si>
    <t>46690 Сеть хозяйственно-бытовой канализации г.Калуга, ул.65 лет Победы, д. 6</t>
  </si>
  <si>
    <t>04.07.2022</t>
  </si>
  <si>
    <t xml:space="preserve">46690    </t>
  </si>
  <si>
    <t>46618 Сеть водоотведения г.Калуга,  ул. Салтыкова-Щедрина, д101 ДУ=160, L=10,07 м.</t>
  </si>
  <si>
    <t>30.06.2022</t>
  </si>
  <si>
    <t xml:space="preserve">46618    </t>
  </si>
  <si>
    <t>Калужская обл,,Калуга г,,Терепецкая ул,17, корпус 1, корпус 2</t>
  </si>
  <si>
    <t>Приказ МЭРиП КО №923-п от 06.06.2022</t>
  </si>
  <si>
    <t>46591 Канализационная  сеть, 225  м., Калуга, Терепецкая, д.17, корп.1, корп.2</t>
  </si>
  <si>
    <t>29.06.2022</t>
  </si>
  <si>
    <t xml:space="preserve">46591    </t>
  </si>
  <si>
    <t>Калужская обл,,Калуга г,,Пригородная ул,10,12,,,,,</t>
  </si>
  <si>
    <t>приказ МЭР и П  КО  от 876-П № 30.05.2022</t>
  </si>
  <si>
    <t>46589 Канализационная  сеть, 31  м., Калуга, Пригородная д. 10,12</t>
  </si>
  <si>
    <t xml:space="preserve">46589    </t>
  </si>
  <si>
    <t>46588 Канализационная  сеть, 366  м., Калуга,  Грабцевское шоссе, д.77, 79,81</t>
  </si>
  <si>
    <t xml:space="preserve">46588    </t>
  </si>
  <si>
    <t>46587 Канализационная  сеть, 130  м., Калуга,  Карпова, д.15,д.17, д.19</t>
  </si>
  <si>
    <t xml:space="preserve">46587    </t>
  </si>
  <si>
    <t>46586 Канализационная  сеть, 91 м., Калуга, ул.Салтыкова-Щедрина, дом 79А</t>
  </si>
  <si>
    <t xml:space="preserve">46586    </t>
  </si>
  <si>
    <t>46585 Канализационная  сеть, 17 м., Калуга, ул. Маяковского, дом 41</t>
  </si>
  <si>
    <t xml:space="preserve">46585    </t>
  </si>
  <si>
    <t>46584 Канализационная  сеть, 62 м., Калуга, ул. Луначарского, д.1</t>
  </si>
  <si>
    <t xml:space="preserve">46584    </t>
  </si>
  <si>
    <t>46583 Канализационная  сеть, 54 м., Калуга, ул. Луначарского, д.4</t>
  </si>
  <si>
    <t xml:space="preserve">46583    </t>
  </si>
  <si>
    <t>46582 Канализационная  сеть, 44 м., Калуга, ул. Тарутинская, дом 194</t>
  </si>
  <si>
    <t xml:space="preserve">46582    </t>
  </si>
  <si>
    <t>ППАаз275 _Горуправа_Договор аренды 281/22 от 14.06.2022_кадастровый номер_40:26:000000:6488</t>
  </si>
  <si>
    <t>14.06.2022</t>
  </si>
  <si>
    <t xml:space="preserve"> ППАаз275</t>
  </si>
  <si>
    <t>46531 Сеть водоотведения г.Калуга, ул. Майская, д.11 ДУ=160, L=20 м.</t>
  </si>
  <si>
    <t>31.05.2022</t>
  </si>
  <si>
    <t xml:space="preserve">46531    </t>
  </si>
  <si>
    <t>46390 Сеть водоотведения г.Калуга, ул. Суворова, д.51 Корсис,ДУ=160, L=32,71 м.</t>
  </si>
  <si>
    <t>30.04.2022</t>
  </si>
  <si>
    <t xml:space="preserve">46390    </t>
  </si>
  <si>
    <t>приказ МЭРиП КО №451-п от 24.03.2022</t>
  </si>
  <si>
    <t>46495 Канализационная  сеть, 21 м., Калуга, ул. Московская, д.299 в</t>
  </si>
  <si>
    <t xml:space="preserve">46495    </t>
  </si>
  <si>
    <t>46494 Канализационная  сеть, 136 м., Калуга, ул. Шахтеров, д.3 а</t>
  </si>
  <si>
    <t xml:space="preserve">46494    </t>
  </si>
  <si>
    <t>46493 Канализационная  сеть, 26 м., Калуга, ул. Советская, д.20 в</t>
  </si>
  <si>
    <t xml:space="preserve">46493    </t>
  </si>
  <si>
    <t>46492 Канализационная  сеть, 66 м., Калуга, ул. Чижевского, д.12 а</t>
  </si>
  <si>
    <t xml:space="preserve">46492    </t>
  </si>
  <si>
    <t xml:space="preserve">46491 Канализационная  сеть, 29 м., Калуга, ул. Гурьянова, д.10, корп.1 </t>
  </si>
  <si>
    <t xml:space="preserve">46491    </t>
  </si>
  <si>
    <t>46273 Сеть водоотведения г.Калуга, Сиреневый бульвар Д D160 мм L16,67 п.м</t>
  </si>
  <si>
    <t>28.02.2022</t>
  </si>
  <si>
    <t xml:space="preserve">46273    </t>
  </si>
  <si>
    <t>45484 Сеть водоотведения г.Калуга,1-й Академический проезд, д.5, корп.1Д D160 мм L8,11 п.м</t>
  </si>
  <si>
    <t xml:space="preserve">45484    </t>
  </si>
  <si>
    <t>11.49</t>
  </si>
  <si>
    <t>46154 Сеть водоотведения г.Калуга,ул.Подвойского, д.7_ ПЭ_D150 L11,49 п.м</t>
  </si>
  <si>
    <t>31.01.2022</t>
  </si>
  <si>
    <t xml:space="preserve">46154    </t>
  </si>
  <si>
    <t>Калужская область, г Калуга, ул Чижевского, д 13</t>
  </si>
  <si>
    <t>приказ МЭРиП КО №22-п от 14.01.2022</t>
  </si>
  <si>
    <t>46249 Канализационная сеть г.Калуга ул.Чижевского, д.13 протяженность 6 м</t>
  </si>
  <si>
    <t>24.01.2022</t>
  </si>
  <si>
    <t xml:space="preserve">46249    </t>
  </si>
  <si>
    <t>46135 Сети водоотведения г.Калуга, ул.Пухова, район д.1 D150 мм L17 п.м</t>
  </si>
  <si>
    <t>31.12.2021</t>
  </si>
  <si>
    <t xml:space="preserve">46135    </t>
  </si>
  <si>
    <t>46064 Сети водоотведения г.Калуга, ул.Набережная, д.23 D315 мм L17 п.м</t>
  </si>
  <si>
    <t xml:space="preserve">46064    </t>
  </si>
  <si>
    <t>45937 Сети водоотведения г. Калуга, ул. Тепличная, 9 D160 мм L5 п.м</t>
  </si>
  <si>
    <t xml:space="preserve">45937    </t>
  </si>
  <si>
    <t>приказ МЭР КО №1823-п от 01.12.2021</t>
  </si>
  <si>
    <t>46077_Канализационная  сеть 24 м. г.Калуга, ул.Баррикад, д.115</t>
  </si>
  <si>
    <t xml:space="preserve">46077_   </t>
  </si>
  <si>
    <t>45934_Канализационная сеть,72  м (г.Калуга, ул. Ленина, д .69 )</t>
  </si>
  <si>
    <t xml:space="preserve">45934_   </t>
  </si>
  <si>
    <t>45933_Канализационная сеть, 48  м (г.Калуга, ул. Луначарского, д. 12 )</t>
  </si>
  <si>
    <t xml:space="preserve">45933_   </t>
  </si>
  <si>
    <t>45932_Канализационная сеть, 64  п.м (г.Калуга, ул. Кирова, д. 25Е)</t>
  </si>
  <si>
    <t xml:space="preserve">45932_   </t>
  </si>
  <si>
    <t>45931_Канализационная сеть, 128  п.м (г.Калуга, ул. Октябрьская, д.2 )</t>
  </si>
  <si>
    <t xml:space="preserve">45931_   </t>
  </si>
  <si>
    <t>45929_Канализационная сеть, 62  п.м (г.Калуга, ул. Пушкина, д.3 )</t>
  </si>
  <si>
    <t xml:space="preserve">45929_   </t>
  </si>
  <si>
    <t>45928_Канализационная сеть, 123  п.м (г.Калуга, ул. Белинского, д.3 )</t>
  </si>
  <si>
    <t xml:space="preserve">45928_   </t>
  </si>
  <si>
    <t>45927_Канализационная сеть, 53  п.м (г.Калуга, ул. Баррикад, д. 117А )</t>
  </si>
  <si>
    <t xml:space="preserve">45927_   </t>
  </si>
  <si>
    <t>МЭР КО приказ №1615-п от 19.10.2021</t>
  </si>
  <si>
    <t>45926_Канализационная сеть, 26  п.м (г.Калуга, ул. Хрустальная д. 7,9 )</t>
  </si>
  <si>
    <t xml:space="preserve">45926_   </t>
  </si>
  <si>
    <t>45920_Канализационная сеть, 96  п.м (г.Калуга, ул. Пригородная, д. 2/17, 4,6,8)</t>
  </si>
  <si>
    <t xml:space="preserve">45920_   </t>
  </si>
  <si>
    <t>45919_Канализационная сеть, 172  п.м (г.Калуга, ул. Салтыкова-Щедрина, 46,48,50)</t>
  </si>
  <si>
    <t xml:space="preserve">45919_   </t>
  </si>
  <si>
    <t>45918_Канализационная сеть, 362  п.м (г.Калуга, ул. Георгия Димитрова, д.24)</t>
  </si>
  <si>
    <t xml:space="preserve">45918_   </t>
  </si>
  <si>
    <t>45917_Канализационная сеть, 52  п.м (г.Калуга, ул. Кутузова, д.31, корп 1)</t>
  </si>
  <si>
    <t xml:space="preserve">45917_   </t>
  </si>
  <si>
    <t>45916_Канализационная сеть, 152  п.м (г.Калуга, ул. Гурьянова, д.14Б)</t>
  </si>
  <si>
    <t xml:space="preserve">45916_   </t>
  </si>
  <si>
    <t>45915_Канализационная сеть, 130  п.м (г.Калуга, ул. Гурьянова, д. 12, корп. 2)</t>
  </si>
  <si>
    <t xml:space="preserve">45915_   </t>
  </si>
  <si>
    <t>45913_Канализационная сеть, 114  п.м (г.Калуга, ул. Луговая, д.92 до 104/19)</t>
  </si>
  <si>
    <t xml:space="preserve">45913_   </t>
  </si>
  <si>
    <t>45911_Канализационная сеть, 5  п.м (г.Калуга, ул. Молодежная, д.4)</t>
  </si>
  <si>
    <t xml:space="preserve">45911_   </t>
  </si>
  <si>
    <t>45909_Канализационная сеть, 68  п.м (г.Калуга, ул. Кутузова д.28-30)</t>
  </si>
  <si>
    <t xml:space="preserve">45909_   </t>
  </si>
  <si>
    <t>1242-п от 05.08.2021</t>
  </si>
  <si>
    <t>45702_Канализационная сеть_ г.Калуга, ул. В.Андриановой, д.3_307м</t>
  </si>
  <si>
    <t xml:space="preserve">45702_   </t>
  </si>
  <si>
    <t>45701_Канализационная сеть_ г.Калуга, ул. Фомушина, д.3, д.5_278м</t>
  </si>
  <si>
    <t xml:space="preserve">45701_   </t>
  </si>
  <si>
    <t>45700_Канализационная сеть_ г.Калуга, б-р Сиреневый, д.2_203м</t>
  </si>
  <si>
    <t xml:space="preserve">45700_   </t>
  </si>
  <si>
    <t>Калужская обл, г.Калуга, ул.Салтыкова-Щедрина, дом 62</t>
  </si>
  <si>
    <t xml:space="preserve"> №1119-п от 14.07.2021</t>
  </si>
  <si>
    <t>45603_Канализационная сеть_ г.Калуга,  ул.Салтыкова-Щедрина, д.62_41м</t>
  </si>
  <si>
    <t xml:space="preserve">45603_   </t>
  </si>
  <si>
    <t>№1141-п от 15.07.2021</t>
  </si>
  <si>
    <t>45602_Канализационная сеть_ г.Калуга,  ул.Салтыкова-Щедрина, д.44_70м</t>
  </si>
  <si>
    <t xml:space="preserve">45602_   </t>
  </si>
  <si>
    <t>45601_Канализационная сеть_ г.Калуга, ул.Дзержинского, д.92, д.92Б_39м</t>
  </si>
  <si>
    <t xml:space="preserve">45601_   </t>
  </si>
  <si>
    <t>45600_Канализационная сеть_ г.Калуга, ул.Воскресенская, д.26Б, д.28_8м</t>
  </si>
  <si>
    <t xml:space="preserve">45600_   </t>
  </si>
  <si>
    <t>45599_Канализационная сеть_ г.Калуга, ул.Пушкина, д.7_19м</t>
  </si>
  <si>
    <t xml:space="preserve">45599_   </t>
  </si>
  <si>
    <t>45598_Канализационная сеть_ г.Калуга, ул.Степана Разина, д.43_26м</t>
  </si>
  <si>
    <t xml:space="preserve">45598_   </t>
  </si>
  <si>
    <t>приказ МЭР КО №1141-п от 15.07.2021</t>
  </si>
  <si>
    <t>45597_Канализационная сеть_ г.Калуга, ул.В.Никитиной, д.23,25,27_110м</t>
  </si>
  <si>
    <t xml:space="preserve">45597_   </t>
  </si>
  <si>
    <t>№829-п от 31.05.2021</t>
  </si>
  <si>
    <t>45587_Канализационная сеть_ г.Калуга, б-р.Солнечный, д.20_113 м</t>
  </si>
  <si>
    <t xml:space="preserve">45587_   </t>
  </si>
  <si>
    <t>45586_Канализационная сеть_ г.Калуга, б-р.Солнечный, в р-не д.20 до эстакады по ул. Маяков</t>
  </si>
  <si>
    <t xml:space="preserve">45586_   </t>
  </si>
  <si>
    <t>приказ МЭР КО №748-п от 18.05.2021</t>
  </si>
  <si>
    <t>45566_Канализационная сеть_ г.Калуга, ул. Карачевская, д.8, ул.Гурьяново, д.17,19_130м</t>
  </si>
  <si>
    <t xml:space="preserve">45566_   </t>
  </si>
  <si>
    <t>45565_Канализационная сеть_ г.Калуга, ул. Врубовая, д.35/25_32 м</t>
  </si>
  <si>
    <t xml:space="preserve">45565_   </t>
  </si>
  <si>
    <t>45564_Канализационная сеть_ г.Калуга, ул. Космонавта Пацаева, д.3_32 м</t>
  </si>
  <si>
    <t xml:space="preserve">45564_   </t>
  </si>
  <si>
    <t>№750-п от 18.05.2021</t>
  </si>
  <si>
    <t>45554_Канализационная сеть_ г.Калуга, ул. Маршала Жукова, д.39_ 14м</t>
  </si>
  <si>
    <t xml:space="preserve">45554_   </t>
  </si>
  <si>
    <t>приказ МЭР КО №569-п от 12.04.2021</t>
  </si>
  <si>
    <t>45539_Канализационная сеть_ ул.Дзержинского, д.92А_протяженность 89 м</t>
  </si>
  <si>
    <t xml:space="preserve">45539_   </t>
  </si>
  <si>
    <t>45538_Канализационная сеть_ ул.Гурьянова, д.10, корп. 2, 3_протяженность 39 м</t>
  </si>
  <si>
    <t xml:space="preserve">45538_   </t>
  </si>
  <si>
    <t>45537_Канализационная сеть_ ул.Вишневского, д.20_протяженность 253 м</t>
  </si>
  <si>
    <t xml:space="preserve">45537_   </t>
  </si>
  <si>
    <t>45536_Канализационная сеть_ ул.Болдина, д.10_протяженность 22 м</t>
  </si>
  <si>
    <t xml:space="preserve">45536_   </t>
  </si>
  <si>
    <t>45535_Канализационная сеть_ ул.Салтыкова-Щедрина, д.28_протяженность 36 м</t>
  </si>
  <si>
    <t xml:space="preserve">45535_   </t>
  </si>
  <si>
    <t>Калужская область, г Калуга, ул Степана Разина, от д.52 до д.64</t>
  </si>
  <si>
    <t>приказ МЭР КО №327-п от 25.02.2021</t>
  </si>
  <si>
    <t>45302_Канализационная сеть 507 м. г.Калуга, ул. Степана Разина, от д 52 до д 64</t>
  </si>
  <si>
    <t xml:space="preserve">45302_   </t>
  </si>
  <si>
    <t>Калужская область, г Калуга, ул Механизаторов, от д.19/104 до д.2/119</t>
  </si>
  <si>
    <t>45301_Канализационная сеть 272  м. г.Калуга, ул. Механизаторов, от д.19/104 до д.2/119</t>
  </si>
  <si>
    <t xml:space="preserve">45301_   </t>
  </si>
  <si>
    <t>Калужская область, г Калуга, ул Плеханова, д 53</t>
  </si>
  <si>
    <t>45300_Канализационная сеть 86  м. г.Калуга, ул. Плеханова, д 53</t>
  </si>
  <si>
    <t xml:space="preserve">45300_   </t>
  </si>
  <si>
    <t>Калужская область, г Калуга, ул Клюквина, д.30, д.30 корп.1</t>
  </si>
  <si>
    <t>45299_Канализационная сеть  108  м. _ г.Калуга, ул. Клюквина, д.30 корп 1</t>
  </si>
  <si>
    <t xml:space="preserve">45299_   </t>
  </si>
  <si>
    <t>Калужская область, г Калуга, ул Салтыкова-Щедрина, д 16</t>
  </si>
  <si>
    <t>45298_Канализационная сеть  94  м. _ г.Калуга, ул. Салтыкова-Щедрина, 16</t>
  </si>
  <si>
    <t xml:space="preserve">45298_   </t>
  </si>
  <si>
    <t>Калужская область, г Калуга, ул Хрустальная, д.2А, д.2/1, д.3, д.3А, д.4</t>
  </si>
  <si>
    <t>45297_Канализационная сеть  64  м. _ г.Калуга, ул. Хрустальная, д 2А, д 2/1, д.3, д.3А. д.</t>
  </si>
  <si>
    <t xml:space="preserve">45297_   </t>
  </si>
  <si>
    <t>Калужская область, г Калуга, ул Тарутинская, от д.1 до д.27</t>
  </si>
  <si>
    <t>45296_Канализационная сеть  335 м. _ г.Калуга, ул.Тарутинская, от д.1 до д.27</t>
  </si>
  <si>
    <t xml:space="preserve">45296_   </t>
  </si>
  <si>
    <t>№184-п от 05.02.2021</t>
  </si>
  <si>
    <t>45236_Канализационная сеть_ г.Калуга, ул.Суворова, д.93/26_протяж. 33 п.м.</t>
  </si>
  <si>
    <t xml:space="preserve">45236_   </t>
  </si>
  <si>
    <t>184-п от 05.02.2021</t>
  </si>
  <si>
    <t>45235_Канализационная сеть_г.Калуга ул.Гагарина, д,1, ул.Циолковского д.6,д_протяж. 406 п.</t>
  </si>
  <si>
    <t xml:space="preserve">45235_   </t>
  </si>
  <si>
    <t>Калужская область, г.Калуга, ул.Грабцевское шоссе, д.66</t>
  </si>
  <si>
    <t xml:space="preserve">Приказ МЭР КО №1723-п от 08.10.2020г. </t>
  </si>
  <si>
    <t>44782_Канализационная сеть г.Калуга, ул.Грабцевское шоссе, д.66</t>
  </si>
  <si>
    <t xml:space="preserve">44782_   </t>
  </si>
  <si>
    <t>Калужская область, г.Калуга, ул.Гурьянова, д.59, корп.4</t>
  </si>
  <si>
    <t>44781_Канализационная сеть г.Калуга, ул.Гурьянова, д.59, корп.4</t>
  </si>
  <si>
    <t xml:space="preserve">44781_   </t>
  </si>
  <si>
    <t>Калужская область, г.Калуга, ул. 1-я Загородная, д.11,12,13,14,15,16,17,18,19,20,21,22</t>
  </si>
  <si>
    <t>44780_Канализационная сеть г.Калуга, ул. 1-я Загородная, д.11,12,13,14,15,16,17,18,19,20,2</t>
  </si>
  <si>
    <t xml:space="preserve">44780_   </t>
  </si>
  <si>
    <t>Калужская область, г.Калуга, ул. Никитина, д.26</t>
  </si>
  <si>
    <t>44779_Канализационная сеть г.Калуга, ул. Никитина, д.26</t>
  </si>
  <si>
    <t xml:space="preserve">44779_   </t>
  </si>
  <si>
    <t>Калужская область, г.Калуга, ул. 1-я Загородная, д.2, д.3, д.4, д.5, д.6, д.7, д.8, д.9</t>
  </si>
  <si>
    <t>44778_Канализационная сеть г.Калуга, ул. 1-я Загородная, д.2, д.3, д.4, д.5, д.6, д.7, д.8</t>
  </si>
  <si>
    <t xml:space="preserve">44778_   </t>
  </si>
  <si>
    <t>Калужская область, г.Калуга, ул.Луговая, от д.28/15 до д.31/24</t>
  </si>
  <si>
    <t>44777_Канализационная сеть г.Калуга, ул.Луговая, от д.28/15 до д.31/24</t>
  </si>
  <si>
    <t xml:space="preserve">44777_   </t>
  </si>
  <si>
    <t>Калужская область, г.Калуга, ул.Пухова, д.42, д.44, д.46</t>
  </si>
  <si>
    <t>44776_Канализационная сеть г.Калуга, ул.Пухова, д.42, д.44, д.46</t>
  </si>
  <si>
    <t xml:space="preserve">44776_   </t>
  </si>
  <si>
    <t>Калужская область, г.Калуга, ул.Ленина, д.88/1</t>
  </si>
  <si>
    <t>44775_Канализационная сеть г.Калуга, ул.Ленина, д.88/1</t>
  </si>
  <si>
    <t xml:space="preserve">44775_   </t>
  </si>
  <si>
    <t>Калужская область, г.Калуга, ул.Гурьянова, д.59</t>
  </si>
  <si>
    <t>Приказ МЭР КО №1694-п от 01.10.2020г.</t>
  </si>
  <si>
    <t>44763_Канализационная сеть г.Калуга, ул.Гурьянова, д.59</t>
  </si>
  <si>
    <t xml:space="preserve">44763_   </t>
  </si>
  <si>
    <t>Калужская область, г.Калуга, ул.Гурьянова, д.24</t>
  </si>
  <si>
    <t>44762_Канализационная сеть г.Калуга, ул.Гурьянова, д.24</t>
  </si>
  <si>
    <t xml:space="preserve">44762_   </t>
  </si>
  <si>
    <t>Калужская область, г.Калуга, ул.Гурьянова, д.21, д.23, д.25</t>
  </si>
  <si>
    <t>44761_Канализационная сеть г.Калуга, ул.Гурьянова, д.21, 23, 25</t>
  </si>
  <si>
    <t xml:space="preserve">44761_   </t>
  </si>
  <si>
    <t>Калужская область, г.Калуга, ул.Гурьянова, д.53</t>
  </si>
  <si>
    <t>44760_Канализационная сеть г.Калуга, ул.Гурьянова, д.53</t>
  </si>
  <si>
    <t xml:space="preserve">44760_   </t>
  </si>
  <si>
    <t>Калужская область, г.Калуга, ул.Болдина, д.7А</t>
  </si>
  <si>
    <t xml:space="preserve">Приказ МЭР КО №1694-п от 01.10.2020г. </t>
  </si>
  <si>
    <t>44759_Канализационная сеть г.Калуга, ул.Болдина, д.7а</t>
  </si>
  <si>
    <t xml:space="preserve">44759_   </t>
  </si>
  <si>
    <t>Калужская область, г.Калуга, ул.Воскресенская, к д.10</t>
  </si>
  <si>
    <t>Приказ МЭР КО №1721-п от 08.10.2020г.</t>
  </si>
  <si>
    <t>44747_Сеть канализации г.Калуга, ул.Восквресенская, к д.10</t>
  </si>
  <si>
    <t xml:space="preserve">44747_   </t>
  </si>
  <si>
    <t>Калужская область, г.Калуга, ул.Никитина, д.3</t>
  </si>
  <si>
    <t>44746_Канализационная сеть г.Калуга, ул.Никитина, д.3</t>
  </si>
  <si>
    <t xml:space="preserve">44746_   </t>
  </si>
  <si>
    <t>Калужская область, г.Калуга, ул.Пухова, д.18, д.20, д.22</t>
  </si>
  <si>
    <t>приказ МЭР №1508-п от 09.09.2020г.</t>
  </si>
  <si>
    <t>44692_Канализационная сеть г.Калуга, ул.Пухова, д.18, д.20, д.22</t>
  </si>
  <si>
    <t xml:space="preserve">44692_   </t>
  </si>
  <si>
    <t>Калужская область, г.Калуга, ул.Загородная 2-я, д.2, д.2А, д.1</t>
  </si>
  <si>
    <t>44691_Канализационная сеть г.Калуга, ул.Загородная 2-я, д.2, д.2А, д.1</t>
  </si>
  <si>
    <t xml:space="preserve">44691_   </t>
  </si>
  <si>
    <t>Российская Федерация, Калужская область, г.Калуга, ул.Гурьянова, д.29, д.31</t>
  </si>
  <si>
    <t xml:space="preserve">приказ МЭР №1508-п от 09.09.2020г. </t>
  </si>
  <si>
    <t>44690_Канализационная сеть г.Калуга, ул.Гурьянова, д.29, д.31</t>
  </si>
  <si>
    <t xml:space="preserve">44690_   </t>
  </si>
  <si>
    <t>Калужская область, г.Калуга, ул.Белинского, д.2</t>
  </si>
  <si>
    <t>44689_Канализационная сеть г.Калуга, ул.Белинского, д.2</t>
  </si>
  <si>
    <t xml:space="preserve">44689_   </t>
  </si>
  <si>
    <t>Калужская область, г.Калуга, ул.Белинского, д.1, д.1а</t>
  </si>
  <si>
    <t>44688_Канализационная сеть г.Калуга, ул.Белинского, д.1, д.1а</t>
  </si>
  <si>
    <t xml:space="preserve">44688_   </t>
  </si>
  <si>
    <t>Российская Федерация, Калужская область, г.Калуга, ул.Октябрьская, от д.3</t>
  </si>
  <si>
    <t>44687_Канализационная система г.Калуга, ул.Октябрьская, от д.3</t>
  </si>
  <si>
    <t xml:space="preserve">44687_   </t>
  </si>
  <si>
    <t>Калужская область, г.Калуга, ул.Пролетарская, д.139</t>
  </si>
  <si>
    <t>приказ МЭР №1148-п от 07.07.2020г.</t>
  </si>
  <si>
    <t>44573_Канализационная сеть г.Калуга, ул.Пролетарская, д.139</t>
  </si>
  <si>
    <t xml:space="preserve">44573_   </t>
  </si>
  <si>
    <t>Калужская область, г.Калуга, ул.Новозаречная, д.8</t>
  </si>
  <si>
    <t>44572_Канализационная сеть г.Калуга, ул.Новозаречная, д.8</t>
  </si>
  <si>
    <t xml:space="preserve">44572_   </t>
  </si>
  <si>
    <t>Калужская область, г.Калуга, ул.Поле Свободы, д.107</t>
  </si>
  <si>
    <t>44571_Канализационная сеть г.Калуга, ул.Поле Свободы, д.107</t>
  </si>
  <si>
    <t xml:space="preserve">44571_   </t>
  </si>
  <si>
    <t>Калужская область, г.Калуга, ул.Белинского, д.6</t>
  </si>
  <si>
    <t>44570_Канализационная сеть г.Калуга, ул.Белинского, д.6</t>
  </si>
  <si>
    <t xml:space="preserve">44570_   </t>
  </si>
  <si>
    <t>Калужская область, г.Калуга, ул.Тульская, д.88/36</t>
  </si>
  <si>
    <t>44569_Канализационная сеть г.Калуга, ул.Тульская, д.88/36</t>
  </si>
  <si>
    <t xml:space="preserve">44569_   </t>
  </si>
  <si>
    <t>Калужская область, г.Калуга, ул.Болотникова, д.17</t>
  </si>
  <si>
    <t>44568_Канализационная сеть г.Калуга, ул.Болотникова, д.17</t>
  </si>
  <si>
    <t xml:space="preserve">44568_   </t>
  </si>
  <si>
    <t>Калужская область, г.Калуга, ул.Суворова, д.188</t>
  </si>
  <si>
    <t>44567_Канализационная сеть г.Калуга, ул.Суворова, д.188</t>
  </si>
  <si>
    <t xml:space="preserve">44567_   </t>
  </si>
  <si>
    <t>Калужская область, г.Калуга, от ул. 8-я Тарусская до ул.Советская</t>
  </si>
  <si>
    <t>44566_Канализационная сеть г.Калуга, от ул. 8-я Тарусская до ул. Советская</t>
  </si>
  <si>
    <t xml:space="preserve">44566_   </t>
  </si>
  <si>
    <t>Калужская область, г.Калуга, ул.Гурьянова, д.14, корп.1</t>
  </si>
  <si>
    <t>44565_Канализационная сеть г.Калуга, ул.Гурьянова, д.14, корп.1</t>
  </si>
  <si>
    <t xml:space="preserve">44565_   </t>
  </si>
  <si>
    <t>Калужская область, г.Калуга, от ул. 5-я Тарусская до ул. 1-я Тарусская</t>
  </si>
  <si>
    <t xml:space="preserve">приказ МЭР №1148-п от 07.07.2020г. </t>
  </si>
  <si>
    <t>44564_Канализационная сеть г.Калуга, от ул. 5-я Тарусская до ул. 1-я Тарусская</t>
  </si>
  <si>
    <t xml:space="preserve">44564_   </t>
  </si>
  <si>
    <t>Калужская область, г.Калуга, ул.Никитина, д.70</t>
  </si>
  <si>
    <t>44563_Канализационная сеть г.Калуга, ул.Никитина, д.70</t>
  </si>
  <si>
    <t xml:space="preserve">44563_   </t>
  </si>
  <si>
    <t>Калужская область, г.Калуга, с.Муратовский щебзавод</t>
  </si>
  <si>
    <t>приказ №1246-п от 27.07.2020г.</t>
  </si>
  <si>
    <t>44546_Канализационные сети (лит II) г.Калуга, с.Муратовский щебзавод</t>
  </si>
  <si>
    <t xml:space="preserve">44546_   </t>
  </si>
  <si>
    <t>Калужская область, г.Калуга, ул.Маршала Жукова, д.6</t>
  </si>
  <si>
    <t>44543_Канализационная сеть г.Калуга, ул.Маршала Жукова, д.6</t>
  </si>
  <si>
    <t xml:space="preserve">44543_   </t>
  </si>
  <si>
    <t>Калужская область, г.Калуга, ул.Дорожная, д.11</t>
  </si>
  <si>
    <t>44541_Канализационная сеть г.Калуга, ул.Дорожная, д.11</t>
  </si>
  <si>
    <t xml:space="preserve">44541_   </t>
  </si>
  <si>
    <t>Российская Федерация, Калужская область, г.Калуга, ул.Никитина, д.140, ул.Постовалова, д. 55, д.57</t>
  </si>
  <si>
    <t>44535_Канализационная сеть г.Калуга, ул.Никитина, д.140, ул.Постовалова д.55, 57</t>
  </si>
  <si>
    <t xml:space="preserve">44535_   </t>
  </si>
  <si>
    <t>Приказ 750-п от 07.05.2020 Калуга</t>
  </si>
  <si>
    <t>44327_Канализационная сеть г.Калуга ул.Звездная, д.12, д.13_80м</t>
  </si>
  <si>
    <t xml:space="preserve">44327_   </t>
  </si>
  <si>
    <t>750-п от 07.05.2020</t>
  </si>
  <si>
    <t>44326_Канализационная сеть г.Калуга ул.Чичерина, д.27, 29, 31_191м</t>
  </si>
  <si>
    <t xml:space="preserve">44326_   </t>
  </si>
  <si>
    <t>44325_Канализационная сеть г.Калуга ул.Московская, д.259, д.261, д.263_138м</t>
  </si>
  <si>
    <t xml:space="preserve">44325_   </t>
  </si>
  <si>
    <t>44324_Канализационная сеть г.Калуга ул.Воробьевская, д.14_12м</t>
  </si>
  <si>
    <t xml:space="preserve">44324_   </t>
  </si>
  <si>
    <t>750- п от 07.05.2020</t>
  </si>
  <si>
    <t>44323_Канализационная сеть г.Калуга ул.Тульская, д.131_136м</t>
  </si>
  <si>
    <t xml:space="preserve">44323_   </t>
  </si>
  <si>
    <t>44322_Канализационная сеть г.Калуга ул.Тарутинская, от д.147 до д.157А_141м</t>
  </si>
  <si>
    <t xml:space="preserve">44322_   </t>
  </si>
  <si>
    <t>44321_Канализационная сеть г.Калуга ул.Баррикад д.129_51м</t>
  </si>
  <si>
    <t xml:space="preserve">44321_   </t>
  </si>
  <si>
    <t>44320_Канализационная сеть г.Калуга ул.Болдина д.11, 13_102м</t>
  </si>
  <si>
    <t xml:space="preserve">44320_   </t>
  </si>
  <si>
    <t>40:26:000332:1645-40/001/2020-2</t>
  </si>
  <si>
    <t>725-п от 30.04.2020</t>
  </si>
  <si>
    <t>44302_Канализационная сеть г.Калуга ул.Никитина д.70А_53м</t>
  </si>
  <si>
    <t xml:space="preserve">44302_   </t>
  </si>
  <si>
    <t>Калуга г,,Молодых Горняков ул</t>
  </si>
  <si>
    <t>приказ 479-п от 11.03.2020</t>
  </si>
  <si>
    <t>44276_Канализационная сеть г.Калуга ул.Шахтеров д.8, ул.Молодых Горняков</t>
  </si>
  <si>
    <t xml:space="preserve">44276_   </t>
  </si>
  <si>
    <t>Калуга г,,Пролетарская ул,139</t>
  </si>
  <si>
    <t>44275_Канализационная сеть г.Калуга ул.Пролетарская д.139</t>
  </si>
  <si>
    <t xml:space="preserve">44275_   </t>
  </si>
  <si>
    <t>Калуга г,,Беляева ул,2,</t>
  </si>
  <si>
    <t>44274_Канализационная сеть г.Калуга ул.Беляева д.2</t>
  </si>
  <si>
    <t xml:space="preserve">44274_   </t>
  </si>
  <si>
    <t>Калуга г,,Тульская ул,67</t>
  </si>
  <si>
    <t>44273_Канализационная сеть г.Калуга ул.Тульская д.67</t>
  </si>
  <si>
    <t xml:space="preserve">44273_   </t>
  </si>
  <si>
    <t>Калуга г, Гурьянова ул, дом № 67, корпус №2 и №3</t>
  </si>
  <si>
    <t>приказ 526-п от 13.03.2020</t>
  </si>
  <si>
    <t>44253_Бытовая канализация, ул.Гурьянова в районе д.67 корп.2, д.67 корп.3</t>
  </si>
  <si>
    <t xml:space="preserve">44253_   </t>
  </si>
  <si>
    <t>Калуга г, Гурьянова ул, дом № 71</t>
  </si>
  <si>
    <t>44251_Бытовая канализация, ул.Гурьянова д.71</t>
  </si>
  <si>
    <t xml:space="preserve">44251_   </t>
  </si>
  <si>
    <t>Калуга г, Терепецкая ул, дом № 6 и №7</t>
  </si>
  <si>
    <t>44250_Хозяйственно-бытовая канализация, ул.Терепецкая в районе д.6 д.7</t>
  </si>
  <si>
    <t xml:space="preserve">44250_   </t>
  </si>
  <si>
    <t>Калуга г, Гурьянова ул, дом № 73</t>
  </si>
  <si>
    <t>44249_Хозяйственно-бытовая канализация, ул.Гурьянова д.73</t>
  </si>
  <si>
    <t xml:space="preserve">44249_   </t>
  </si>
  <si>
    <t>Калуга г, Михалевский пер, дом № 28</t>
  </si>
  <si>
    <t>44248_Бытовая канализация, пер.Михалевский д.28</t>
  </si>
  <si>
    <t xml:space="preserve">44248_   </t>
  </si>
  <si>
    <t>Калуга г, Воскресенский пер, дом № 21</t>
  </si>
  <si>
    <t>приказ 162-п от 30.01.2020</t>
  </si>
  <si>
    <t>44218_Канализационная сеть_ пер.Воскресенский, д.21_протяж.85 п.м</t>
  </si>
  <si>
    <t xml:space="preserve">44218_   </t>
  </si>
  <si>
    <t>г.Калуга, ул.Тарутинская, д.70</t>
  </si>
  <si>
    <t>44217_Канализационная сеть_ ул.Тарутинская, д.70_протяж.578 п.м</t>
  </si>
  <si>
    <t xml:space="preserve">44217_   </t>
  </si>
  <si>
    <t>Калужская обл,,Калуга г,,Николо-Козинская ул,66/30</t>
  </si>
  <si>
    <t>44158_Канализационная сеть_ ул.Николо-Козинская, д.66/30_протяж.61 п.м</t>
  </si>
  <si>
    <t xml:space="preserve">44158_   </t>
  </si>
  <si>
    <t>приказ 176-п от 30.01.2020</t>
  </si>
  <si>
    <t>44143_Канализационная сеть, д.Канищево, ул.Усадебная, ул.Нижняя Усадебная_протяж.860 м</t>
  </si>
  <si>
    <t xml:space="preserve">44143_   </t>
  </si>
  <si>
    <t>44142_Канализационная сеть, ул.Ф.Энгельса д.119_протяж.36 м</t>
  </si>
  <si>
    <t xml:space="preserve">44142_   </t>
  </si>
  <si>
    <t>44141_Канализационная сеть, ул.Мичурина д.45_протяж.288 м</t>
  </si>
  <si>
    <t xml:space="preserve">44141_   </t>
  </si>
  <si>
    <t>44140_Канализационная сеть, ул.Ф.Энгельса д.12_протяж.271 м</t>
  </si>
  <si>
    <t xml:space="preserve">44140_   </t>
  </si>
  <si>
    <t>44139_Канализационная сеть_ул.Радищева, д.2_протяж.205 м</t>
  </si>
  <si>
    <t xml:space="preserve">44139_   </t>
  </si>
  <si>
    <t>44138_Канализационная сеть, ул.Октябрьская д.13 корп. 1 и 2_протяж.188 м</t>
  </si>
  <si>
    <t xml:space="preserve">44138_   </t>
  </si>
  <si>
    <t>2310-п от 09.12.2019</t>
  </si>
  <si>
    <t>44033_Канализационная сеть_г.Калуга, ул.Никитина, д.125а,б,в 127, 123, 131, 135, 129, 137,</t>
  </si>
  <si>
    <t xml:space="preserve">44033_   </t>
  </si>
  <si>
    <t>44031_Канализационная сеть_г.Калуга, ул.Чичерина, д.18, корп.1 протяж.67 м</t>
  </si>
  <si>
    <t xml:space="preserve">44031_   </t>
  </si>
  <si>
    <t>44030_Канализационная сеть_г.Калуга, ул.Рылеева, д.44 протяж.51 м</t>
  </si>
  <si>
    <t xml:space="preserve">44030_   </t>
  </si>
  <si>
    <t>44028_Канализационная сеть_г.Калуга, ул.Ленина, д.22 протяж.45 м</t>
  </si>
  <si>
    <t xml:space="preserve">44028_   </t>
  </si>
  <si>
    <t>44027_Канализационная сеть_г.Калуга, ул.Дорожная, д.9 протяж.41 м</t>
  </si>
  <si>
    <t xml:space="preserve">44027_   </t>
  </si>
  <si>
    <t>44026_Канализационная сеть (коллектор)_г.Калуга, ул.Болдина, д.4-16 протяж.324 м</t>
  </si>
  <si>
    <t xml:space="preserve">44026_   </t>
  </si>
  <si>
    <t>44025_Канализационная сеть_г.Калуга, пер.Богородицкий, д.4,8-19 протяж.280 м</t>
  </si>
  <si>
    <t xml:space="preserve">44025_   </t>
  </si>
  <si>
    <t>2310- п от 09.12.2019</t>
  </si>
  <si>
    <t>44024_Канализационная сеть_г.Калуга, ул.Луговая, д.43 протяж.263 м</t>
  </si>
  <si>
    <t xml:space="preserve">44024_   </t>
  </si>
  <si>
    <t>44023_Канализационная сеть_г.Калуга,ул.Кирова, д.4 протяж.164 м</t>
  </si>
  <si>
    <t xml:space="preserve">44023_   </t>
  </si>
  <si>
    <t>44022_Канализационная сеть_г.Калуга, ул.Богородицкая, д.34,36,38,40,42,44 протяж.156 м</t>
  </si>
  <si>
    <t xml:space="preserve">44022_   </t>
  </si>
  <si>
    <t>44021_Канализационная сеть_г.Калуга, ул.Телевизионная, д.11,13,15 протяж.151 м</t>
  </si>
  <si>
    <t xml:space="preserve">44021_   </t>
  </si>
  <si>
    <t>44020_Канализационная сеть_г.Калуга, ул.Ленина, д.48 протяж.139 м</t>
  </si>
  <si>
    <t xml:space="preserve">44020_   </t>
  </si>
  <si>
    <t>2009-п от 06.11.2019</t>
  </si>
  <si>
    <t>43774_Канализационная сеть самотечная_г.Калуга, пер.Богородицкий, д.4,6,8-19_протяж.392 п.</t>
  </si>
  <si>
    <t xml:space="preserve">43774_   </t>
  </si>
  <si>
    <t>43773_Канализационная сеть_г.Калуга,  ул.Звездная, д.11_протяж.55 п.м</t>
  </si>
  <si>
    <t xml:space="preserve">43773_   </t>
  </si>
  <si>
    <t>43772_Канализационная сеть_г.Калуга, ул.Радищева, д.4_протяж.338 п.м</t>
  </si>
  <si>
    <t xml:space="preserve">43772_   </t>
  </si>
  <si>
    <t>43771_Канализационная сеть_г.Калуга, ул.Богородицкая, д.20а,22а,24а_протяж.187 п.м</t>
  </si>
  <si>
    <t xml:space="preserve">43771_   </t>
  </si>
  <si>
    <t>1770-п от 11.10.2019</t>
  </si>
  <si>
    <t>43758_Канализационная сеть_г.Калуга, ул.Тульская, д.119_протяж.42 п.м</t>
  </si>
  <si>
    <t xml:space="preserve">43758_   </t>
  </si>
  <si>
    <t>43757_Канализационная сеть_г.Калуга,ул.Суворова, д.110_протяж.33 п.м</t>
  </si>
  <si>
    <t xml:space="preserve">43757_   </t>
  </si>
  <si>
    <t>43755_Канализационная сеть_г.Калуга, ул.Спасская_протяж.288 п.м</t>
  </si>
  <si>
    <t xml:space="preserve">43755_   </t>
  </si>
  <si>
    <t>43754_Канализационная сеть_г.Калуга,  ул.Тульская, д,68_протяж.242 п.м</t>
  </si>
  <si>
    <t xml:space="preserve">43754_   </t>
  </si>
  <si>
    <t>43753_Канализационная сеть_г.Калуга,  пер.Григоров, д.12, 12а_протяж.49 п.м</t>
  </si>
  <si>
    <t xml:space="preserve">43753_   </t>
  </si>
  <si>
    <t>43752_Канализационная сеть_г.Калуга,  пер.Григоров, д.6_протяж.7 п.м</t>
  </si>
  <si>
    <t xml:space="preserve">43752_   </t>
  </si>
  <si>
    <t>43751_Канализационная сеть_г.Калуга,  пер.Григоров, д.14_протяж.41 п.м</t>
  </si>
  <si>
    <t xml:space="preserve">43751_   </t>
  </si>
  <si>
    <t>43750_Канализационная сеть_г.Калуга, ул.Театральная, д.43/8_протяж.25 п.м</t>
  </si>
  <si>
    <t xml:space="preserve">43750_   </t>
  </si>
  <si>
    <t>приказ 1494-п от 02.09.19 с изм.1565-п от 10.09.19</t>
  </si>
  <si>
    <t>43632_Канализационная сеть_г.Калуга, ул.С.Щедрина д.72_протяж.64 п.м</t>
  </si>
  <si>
    <t xml:space="preserve">43632_   </t>
  </si>
  <si>
    <t>43631_Канализационная сеть_г.Калуга, ул.Пестеля д.13_протяж.64 п.м</t>
  </si>
  <si>
    <t xml:space="preserve">43631_   </t>
  </si>
  <si>
    <t>43630_Канализационная сеть_г.Калуга, ул.Хрустальная д.2_протяж.164 п.м</t>
  </si>
  <si>
    <t xml:space="preserve">43630_   </t>
  </si>
  <si>
    <t>43629_Канализационная сеть_г.Калуга, ул.Никитина д.106_протяж.7 п.м</t>
  </si>
  <si>
    <t xml:space="preserve">43629_   </t>
  </si>
  <si>
    <t>43628_Канализационная сеть_г.Калуга, ул.Суворова д.160_протяж.108 п.м</t>
  </si>
  <si>
    <t xml:space="preserve">43628_   </t>
  </si>
  <si>
    <t>43626_Канализационная сеть_г.Калуга, ул.Болдина д.20, д.20а_протяж.49 п.м</t>
  </si>
  <si>
    <t xml:space="preserve">43626_   </t>
  </si>
  <si>
    <t>43625_Канализационная сеть_г.Калуга, пер.Воскресенский д15, ул.Луначарского д.31,_протяж.5</t>
  </si>
  <si>
    <t xml:space="preserve">43625_   </t>
  </si>
  <si>
    <t>1195-п от 26.07.2019</t>
  </si>
  <si>
    <t>43519_Канализационная сеть г.Калуга, ул.Постовалова,23, д.25, ул.Никитина, д.104,108_ прот</t>
  </si>
  <si>
    <t xml:space="preserve">43519_   </t>
  </si>
  <si>
    <t>43518_Канализационная сеть г.Калуга,  ул.Н.Козинская, д.116, ул.С.Щедрина д.93_ протяж.77</t>
  </si>
  <si>
    <t xml:space="preserve">43518_   </t>
  </si>
  <si>
    <t>43517_Канализационная сеть г.Калуга, пер.Воскресенский, д.27А_ протяж.43 м</t>
  </si>
  <si>
    <t xml:space="preserve">43517_   </t>
  </si>
  <si>
    <t>43516_Канализационная сеть г.Калуга,  ул.Карпова, д.23,25_ протяж.42 м</t>
  </si>
  <si>
    <t xml:space="preserve">43516_   </t>
  </si>
  <si>
    <t>43515_Канализационная сеть г.Калуга,  ул.Никитина, д.100_ протяж.10 м</t>
  </si>
  <si>
    <t xml:space="preserve">43515_   </t>
  </si>
  <si>
    <t>43514_Канализационная сеть г.Калуга, ул.Маршала Жукова, д.8_ протяж.13 м</t>
  </si>
  <si>
    <t xml:space="preserve">43514_   </t>
  </si>
  <si>
    <t>1081-п от 05.07.2019</t>
  </si>
  <si>
    <t>43459_Канализационная сеть г.Калуга, ул.Рылеева, д.69_ протяж.32 м</t>
  </si>
  <si>
    <t xml:space="preserve">43459_   </t>
  </si>
  <si>
    <t>43458_Канализационная сеть г.Калуга, ул.Карпова, д.5_ протяж.11 м</t>
  </si>
  <si>
    <t xml:space="preserve">43458_   </t>
  </si>
  <si>
    <t>1081-п от 05.07.19</t>
  </si>
  <si>
    <t>43457_Канализационная сеть г.Калуга, ул.Ленина, д.52  протяж. 108 м</t>
  </si>
  <si>
    <t xml:space="preserve">43457_   </t>
  </si>
  <si>
    <t>248010, Калужская обл, Калуга г, Чичерина ул, дом № 28.26</t>
  </si>
  <si>
    <t>954-п от 14.06.2019</t>
  </si>
  <si>
    <t>43372_Канализационная сеть г.Калуга, ул.Чичерина, д.28.26_63м</t>
  </si>
  <si>
    <t xml:space="preserve">43372_   </t>
  </si>
  <si>
    <t>248000, Калужская обл, Калуга г, Циолковского ул, дом № 58</t>
  </si>
  <si>
    <t>43371_Канализационная сеть г.Калуга, ул.Циолковского, д.58_38м</t>
  </si>
  <si>
    <t xml:space="preserve">43371_   </t>
  </si>
  <si>
    <t>249720, Калужская обл, Калуга г, Максима Горького ул, дом № 110/47</t>
  </si>
  <si>
    <t>43370_Канализационная сеть Калуга. ул. Максима Горького, д.110/47_19м</t>
  </si>
  <si>
    <t xml:space="preserve">43370_   </t>
  </si>
  <si>
    <t>559-п от 15.04.2019</t>
  </si>
  <si>
    <t>43299_Канализационная сеть г.Калуга, ул.Максима Горького, д.9_прот. 168  м</t>
  </si>
  <si>
    <t xml:space="preserve">43299_   </t>
  </si>
  <si>
    <t>422-п от 21.03.2019</t>
  </si>
  <si>
    <t>43245_Канализационная сеть г.Калуга, ул.Никитина, д.67_прот. 59  м</t>
  </si>
  <si>
    <t xml:space="preserve">43245_   </t>
  </si>
  <si>
    <t>105-п от 31.01.2019</t>
  </si>
  <si>
    <t>43217_Канализационная сеть Калуга,  ул.Болотникова, д.8_прот. 98  м</t>
  </si>
  <si>
    <t xml:space="preserve">43217_   </t>
  </si>
  <si>
    <t>43216_Канализационная сеть Калуга,  ул. Максима Горького, д.7_прот. 18  м</t>
  </si>
  <si>
    <t xml:space="preserve">43216_   </t>
  </si>
  <si>
    <t>43215_Канализационная сеть Калуга, ул.Никитина, д.49_прот. 26  м</t>
  </si>
  <si>
    <t xml:space="preserve">43215_   </t>
  </si>
  <si>
    <t>43214_Канализационная сеть Калуга,  ул.Суворова,56_прот. 18  м</t>
  </si>
  <si>
    <t xml:space="preserve">43214_   </t>
  </si>
  <si>
    <t>43213_Канализационная сеть Калуга,  ул.Кирова,16_прот. 61  м</t>
  </si>
  <si>
    <t xml:space="preserve">43213_   </t>
  </si>
  <si>
    <t>43212_Канализационная сеть Калуга, ул.Воробьевская, д.9_прот.45  м</t>
  </si>
  <si>
    <t xml:space="preserve">43212_   </t>
  </si>
  <si>
    <t>43211_Канализационная сеть Калуга,  ул.Пухова,39_прот. 47  м</t>
  </si>
  <si>
    <t xml:space="preserve">43211_   </t>
  </si>
  <si>
    <t>105-п от 31.01.219</t>
  </si>
  <si>
    <t>43210_Канализационная сеть Калуга, ул.Маршала Жукова, д.4_прот. 13  м</t>
  </si>
  <si>
    <t xml:space="preserve">43210_   </t>
  </si>
  <si>
    <t>105-п от 31.1.2019</t>
  </si>
  <si>
    <t>43209_Канализационная сеть Калуга. ул.Рылеева, д.44А_прот. 37  м</t>
  </si>
  <si>
    <t xml:space="preserve">43209_   </t>
  </si>
  <si>
    <t>43208_Канализационная сеть Калуга. ул.Болдина, д.6, 6а,8_прот. 154  м</t>
  </si>
  <si>
    <t xml:space="preserve">43208_   </t>
  </si>
  <si>
    <t>43190_Канализационная сеть Калуга. ул.Луначарского, д.33_26 м</t>
  </si>
  <si>
    <t xml:space="preserve">43190_   </t>
  </si>
  <si>
    <t>43188_Канализационная сеть г.Калуга, ул.Никитина, д.133 корп. 1, д.133 корп.2_268 м</t>
  </si>
  <si>
    <t xml:space="preserve">43188_   </t>
  </si>
  <si>
    <t>1281-п от 15.10.2018</t>
  </si>
  <si>
    <t>42843_Канализационная сеть Калуга. пер.Воскресенский, д.19_прот.13 м</t>
  </si>
  <si>
    <t xml:space="preserve">42843_   </t>
  </si>
  <si>
    <t>42842_Канализационная сеть г.Калуга,ул.Стеклянников Сад, д.1; ул.Маршала Жукова, д.18,22,2</t>
  </si>
  <si>
    <t xml:space="preserve">42842_   </t>
  </si>
  <si>
    <t>42841_Канализационная сеть Калуга. ул.Пухова, д.14,16_прот.30 м</t>
  </si>
  <si>
    <t xml:space="preserve">42841_   </t>
  </si>
  <si>
    <t>42840_Канализационная сеть Калуга. ул.Пухова, д.40_прот.30 м</t>
  </si>
  <si>
    <t xml:space="preserve">42840_   </t>
  </si>
  <si>
    <t>42839_Канализационная сеть Калуга. ул.Болдина, д.23_прот.18 м</t>
  </si>
  <si>
    <t xml:space="preserve">42839_   </t>
  </si>
  <si>
    <t>42838_Канализационная сеть Калуга. ул.Никитина, д.125_прот.76 м</t>
  </si>
  <si>
    <t xml:space="preserve">42838_   </t>
  </si>
  <si>
    <t>42837_Канализационная сеть Калуга. ул.Спичечная, д.6_прот.20 м</t>
  </si>
  <si>
    <t xml:space="preserve">42837_   </t>
  </si>
  <si>
    <t>42836_Канализационная сеть Калуга. ул.Маршала Жукова, д.26,28,30а ул.Стеклянников Сад, д.3</t>
  </si>
  <si>
    <t xml:space="preserve">42836_   </t>
  </si>
  <si>
    <t>42835_Канализационная сеть г.Калуга, ул.Маршала Жукова, д.52_протяж.67 м</t>
  </si>
  <si>
    <t xml:space="preserve">42835_   </t>
  </si>
  <si>
    <t>42833_Канализационная сеть г.Калуга, ул.Болдина, д.14,16_протяж.141 м</t>
  </si>
  <si>
    <t xml:space="preserve">42833_   </t>
  </si>
  <si>
    <t>1172-п от 25.09.2018</t>
  </si>
  <si>
    <t>42736_Канализационная сеть г.Калуга, ул.Знаменская, д.19, 19 корп.1_протяж.50 м</t>
  </si>
  <si>
    <t xml:space="preserve">42736_   </t>
  </si>
  <si>
    <t>42735_Канализационная сеть Калуга,  ул.Маршала Жукова, д.23_протяж.32 м</t>
  </si>
  <si>
    <t xml:space="preserve">42735_   </t>
  </si>
  <si>
    <t>42734_Канализационная сеть Калуга,  ул.Первомайская, д.52_протяж.67 м</t>
  </si>
  <si>
    <t xml:space="preserve">42734_   </t>
  </si>
  <si>
    <t>42733_Канализационная сеть Калуга, пер.Воскресенский, д.27_протяж.14 м</t>
  </si>
  <si>
    <t xml:space="preserve">42733_   </t>
  </si>
  <si>
    <t>42732_Канализационная сеть Калуга. ул.Карпова, д.1_протяж.11 м</t>
  </si>
  <si>
    <t xml:space="preserve">42732_   </t>
  </si>
  <si>
    <t>932-п от 07.08.2018</t>
  </si>
  <si>
    <t>42689_Канализационная сеть г.Калуга. ул.Секиотовская, д.40_протяж.63 м</t>
  </si>
  <si>
    <t xml:space="preserve">42689_   </t>
  </si>
  <si>
    <t>42688_Канализационная сеть г.Калуга. ул.Секиотовская, д.43а_протяж.39 м</t>
  </si>
  <si>
    <t xml:space="preserve">42688_   </t>
  </si>
  <si>
    <t>42687_Канализационная сеть г.Калуга. ул.Первомайская, д.47_протяж.14 м</t>
  </si>
  <si>
    <t xml:space="preserve">42687_   </t>
  </si>
  <si>
    <t>885-п от 26.07.2018</t>
  </si>
  <si>
    <t>42658_Канализационная сеть Калуга г, ул.Пухова, 58</t>
  </si>
  <si>
    <t xml:space="preserve">42658_   </t>
  </si>
  <si>
    <t>42657_Канализационная сеть Калуга г, ул.Пухова, 21</t>
  </si>
  <si>
    <t xml:space="preserve">42657_   </t>
  </si>
  <si>
    <t>42656_Канализационная сеть Калуга г, ул.Пухова, 13, 15</t>
  </si>
  <si>
    <t xml:space="preserve">42656_   </t>
  </si>
  <si>
    <t>40:26:000264:840-40/001/2017-1</t>
  </si>
  <si>
    <t>248002,Калужская обл,г Калуга,ул. Баррикад, д.126</t>
  </si>
  <si>
    <t>134-п от 02.02.2018</t>
  </si>
  <si>
    <t>42441_Канализационная сеть ул.Баррикад д.126</t>
  </si>
  <si>
    <t xml:space="preserve">42441_   </t>
  </si>
  <si>
    <t>248017, Калужская обл, Калуга г, ул.Болдина д.9, д.9 корп.1</t>
  </si>
  <si>
    <t>1114-п от 25.09.2017</t>
  </si>
  <si>
    <t>42363_Канализационная сеть_ул.Болдина д.9, д.9 корп.1, протяж.36 п.м</t>
  </si>
  <si>
    <t xml:space="preserve">42363_   </t>
  </si>
  <si>
    <t>248002, Калужская обл, Калуга г, Знаменская ул, дом № 6</t>
  </si>
  <si>
    <t>42361_Канализационная сеть_г.Калуга_ул.Знаменская д.6_протяженность 46м</t>
  </si>
  <si>
    <t xml:space="preserve">42361_   </t>
  </si>
  <si>
    <t>248008, Калужская обл, Калуга г, Дружбы ул, дом № 18</t>
  </si>
  <si>
    <t>42334_Канализационная сеть_г.Калуга_ул.Дружбы д.18_протяженность 23м</t>
  </si>
  <si>
    <t xml:space="preserve">42334_   </t>
  </si>
  <si>
    <t>приказ МЭР 1304-п от 07.11.2017</t>
  </si>
  <si>
    <t>42333_Бытовая канализация_ул.Фомушина д.26, здание ЦТП_протяж.210 м</t>
  </si>
  <si>
    <t xml:space="preserve">42333_   </t>
  </si>
  <si>
    <t>приказ МЭР №1304-п от 07.11.2017</t>
  </si>
  <si>
    <t>42331_Бытовая канализация_ул.Фомушина д.31, ул.Хорошая д.4,6 + 2 строящ.дома_протяж.446 м</t>
  </si>
  <si>
    <t xml:space="preserve">42331_   </t>
  </si>
  <si>
    <t>248031, Калужская обл, Калуга г, Дальняя ул, дом № 1</t>
  </si>
  <si>
    <t>181-п от 14.02.2017г.</t>
  </si>
  <si>
    <t>42047_Канализационная сеть г.Калуга ул.Дальняя д.1протяж.330 п.м.</t>
  </si>
  <si>
    <t xml:space="preserve">42047_   </t>
  </si>
  <si>
    <t>248001,Калужская обл,Калуга г,Кирова ул,18,</t>
  </si>
  <si>
    <t>40028_Канализационная сеть 43 п.м. г.Калуга, ул.Кирова, 18</t>
  </si>
  <si>
    <t xml:space="preserve">40028_   </t>
  </si>
  <si>
    <t>г. Калуга ,ул. Труда, д. 3 А</t>
  </si>
  <si>
    <t>39364_Канализационная  сеть</t>
  </si>
  <si>
    <t xml:space="preserve">39364_   </t>
  </si>
  <si>
    <t>г. Калуга ,Грабцевское шоссе, д. 24</t>
  </si>
  <si>
    <t>39336_Канализационная  сеть</t>
  </si>
  <si>
    <t xml:space="preserve">39336_   </t>
  </si>
  <si>
    <t>г. Калуга ,ул.Глаголева, д. 22</t>
  </si>
  <si>
    <t>39335_Канализационная  сеть</t>
  </si>
  <si>
    <t xml:space="preserve">39335_   </t>
  </si>
  <si>
    <t>г. Калуга ,ул.Ленина , д. 1</t>
  </si>
  <si>
    <t>39334_Канализационная  сеть</t>
  </si>
  <si>
    <t xml:space="preserve">39334_   </t>
  </si>
  <si>
    <t>г. Калуга ,ул. Герцена, д. 19 А</t>
  </si>
  <si>
    <t>39333_Канализационная  сеть</t>
  </si>
  <si>
    <t xml:space="preserve">39333_   </t>
  </si>
  <si>
    <t>г. Калуга ,ул. Константиновых, д.2</t>
  </si>
  <si>
    <t>39331_Канализационная  сеть</t>
  </si>
  <si>
    <t xml:space="preserve">39331_   </t>
  </si>
  <si>
    <t>г. Калуга ,улПлеханова, д.78</t>
  </si>
  <si>
    <t>39330_Канализационная  сеть</t>
  </si>
  <si>
    <t xml:space="preserve">39330_   </t>
  </si>
  <si>
    <t>г. Калуга ,улТульская, д. 4</t>
  </si>
  <si>
    <t>39329_Канализационная  сеть</t>
  </si>
  <si>
    <t xml:space="preserve">39329_   </t>
  </si>
  <si>
    <t>г. Калуга ,ул.Кирова, д. 32 корп. 1</t>
  </si>
  <si>
    <t>39328_Канализационная  сеть</t>
  </si>
  <si>
    <t xml:space="preserve">39328_   </t>
  </si>
  <si>
    <t>г. Калуга ,ул.Октябрьская, д. 14 А</t>
  </si>
  <si>
    <t>39327_Канализационная  сеть</t>
  </si>
  <si>
    <t xml:space="preserve">39327_   </t>
  </si>
  <si>
    <t>г. Калуга ,ул.Болотникова, д1</t>
  </si>
  <si>
    <t>39323_Канализационная  сеть</t>
  </si>
  <si>
    <t xml:space="preserve">39323_   </t>
  </si>
  <si>
    <t>г. Калуга ,ул.Болотникова, д. 7</t>
  </si>
  <si>
    <t>39318_Канализационная  сеть</t>
  </si>
  <si>
    <t xml:space="preserve">39318_   </t>
  </si>
  <si>
    <t>г. Калуга ,ул.Баумана, д. 15, д. 15 Б</t>
  </si>
  <si>
    <t>39317_Канализационная  сеть</t>
  </si>
  <si>
    <t xml:space="preserve">39317_   </t>
  </si>
  <si>
    <t>г. Калуга ,ул. Московская, д. 55</t>
  </si>
  <si>
    <t>39311_Канализационная  сеть</t>
  </si>
  <si>
    <t xml:space="preserve">39311_   </t>
  </si>
  <si>
    <t>г. Калуга ,ул. Глаголева, д. 15</t>
  </si>
  <si>
    <t>39310_Канализационная  сеть</t>
  </si>
  <si>
    <t xml:space="preserve">39310_   </t>
  </si>
  <si>
    <t>г. Калуга ,Грабцевское шоссе, д. 30</t>
  </si>
  <si>
    <t>39309_Канализационная  сеть</t>
  </si>
  <si>
    <t xml:space="preserve">39309_   </t>
  </si>
  <si>
    <t>г. Калуга ,ул.Дзержинского, д. 72</t>
  </si>
  <si>
    <t>39308_Канализационная  сеть</t>
  </si>
  <si>
    <t xml:space="preserve">39308_   </t>
  </si>
  <si>
    <t>г. Калуга ,ул.Болотникова д. 3, корп. 1</t>
  </si>
  <si>
    <t>39307_Канализационная  сеть</t>
  </si>
  <si>
    <t xml:space="preserve">39307_   </t>
  </si>
  <si>
    <t>г. Калуга ,ул.Болотникова д. 3</t>
  </si>
  <si>
    <t>39306_Канализационная  сеть</t>
  </si>
  <si>
    <t xml:space="preserve">39306_   </t>
  </si>
  <si>
    <t>г. Калуга ,ул.Ленина, д.80</t>
  </si>
  <si>
    <t>39305_Канализационная  сеть</t>
  </si>
  <si>
    <t xml:space="preserve">39305_   </t>
  </si>
  <si>
    <t>г. Калуга ,ул.Ленина, д. 15</t>
  </si>
  <si>
    <t>39304_Канализационная  сеть</t>
  </si>
  <si>
    <t xml:space="preserve">39304_   </t>
  </si>
  <si>
    <t>г. Калуга ,ул.Кирова  д. 54</t>
  </si>
  <si>
    <t>39298_Канализационная  сеть</t>
  </si>
  <si>
    <t xml:space="preserve">39298_   </t>
  </si>
  <si>
    <t>г. Калуга ,ул.Ленина , д. 22, д.24 , д. 26, ул. Билибина, д. 52, д.54</t>
  </si>
  <si>
    <t>39297_Канализационная  сеть</t>
  </si>
  <si>
    <t xml:space="preserve">39297_   </t>
  </si>
  <si>
    <t>г. Калуга ,ул.Кирова, д. 56</t>
  </si>
  <si>
    <t>39296_Канализационная  сеть</t>
  </si>
  <si>
    <t xml:space="preserve">39296_   </t>
  </si>
  <si>
    <t>г. Калуга ,ул.Циолковского, д. 34</t>
  </si>
  <si>
    <t>39295_Канализационная  сеть</t>
  </si>
  <si>
    <t xml:space="preserve">39295_   </t>
  </si>
  <si>
    <t>г. Калуга ,ул.Космонавта Комарова, д. 55</t>
  </si>
  <si>
    <t>39294_Канализационная  сеть</t>
  </si>
  <si>
    <t xml:space="preserve">39294_   </t>
  </si>
  <si>
    <t>г. Калуга ,ул. Плеханова, д. 81</t>
  </si>
  <si>
    <t>39293_Канализационная  сеть</t>
  </si>
  <si>
    <t xml:space="preserve">39293_   </t>
  </si>
  <si>
    <t>г. Калуга ,ул. Глаголева, д. 7, д. 9</t>
  </si>
  <si>
    <t>39292_Канализационная  сеть</t>
  </si>
  <si>
    <t xml:space="preserve">39292_   </t>
  </si>
  <si>
    <t>г. Калуга ,ул. Болотникова, д. 5</t>
  </si>
  <si>
    <t>39288_Канализационная  сеть</t>
  </si>
  <si>
    <t xml:space="preserve">39288_   </t>
  </si>
  <si>
    <t>г. Калуга ,ул. Гоголя, д. 1</t>
  </si>
  <si>
    <t>39287_Канализационная  сеть</t>
  </si>
  <si>
    <t xml:space="preserve">39287_   </t>
  </si>
  <si>
    <t>г. Калуга ,ул. Тульская, д. 26</t>
  </si>
  <si>
    <t>39286_Канализационная  сеть</t>
  </si>
  <si>
    <t xml:space="preserve">39286_   </t>
  </si>
  <si>
    <t>г. Калуга ,Грабцевское шоссе д. 24 А</t>
  </si>
  <si>
    <t>39285_Канализационная  сеть</t>
  </si>
  <si>
    <t xml:space="preserve">39285_   </t>
  </si>
  <si>
    <t>г. Калуга ,ул. Тульская, д. 6</t>
  </si>
  <si>
    <t>39283_Канализационная  сеть</t>
  </si>
  <si>
    <t xml:space="preserve">39283_   </t>
  </si>
  <si>
    <t>г. Калуга ,б-р Моторостроителей, д. 9</t>
  </si>
  <si>
    <t>39282_Канализационная  сеть</t>
  </si>
  <si>
    <t xml:space="preserve">39282_   </t>
  </si>
  <si>
    <t>г. Калуга , ул.Баррикад, д. 155, д. 157, д. 159</t>
  </si>
  <si>
    <t>39267_Канализационная  сеть</t>
  </si>
  <si>
    <t xml:space="preserve">39267_   </t>
  </si>
  <si>
    <t>г. Калуга , ул. Космонавта Комарова, д. 53</t>
  </si>
  <si>
    <t>39266_Канализационная  сеть</t>
  </si>
  <si>
    <t xml:space="preserve">39266_   </t>
  </si>
  <si>
    <t>г. Калуга , ул. Ленина д. 29, д.31, д.33</t>
  </si>
  <si>
    <t>39264_Канализационная  сеть</t>
  </si>
  <si>
    <t xml:space="preserve">39264_   </t>
  </si>
  <si>
    <t>г. Калуга , ул. Плеханова, д. 72</t>
  </si>
  <si>
    <t>39263_Канализационная  сеть</t>
  </si>
  <si>
    <t xml:space="preserve">39263_   </t>
  </si>
  <si>
    <t>г. Калуга , ул. Плеханова, д. 71 А</t>
  </si>
  <si>
    <t>39262_Канализационная  сеть</t>
  </si>
  <si>
    <t xml:space="preserve">39262_   </t>
  </si>
  <si>
    <t>г. Калуга , ул. Пухова, д. 49</t>
  </si>
  <si>
    <t>39261_Канализационная  сеть</t>
  </si>
  <si>
    <t xml:space="preserve">39261_   </t>
  </si>
  <si>
    <t>г. Калуга , пер. Паровозный, д. 4, д. 4 А, д.6</t>
  </si>
  <si>
    <t>39260_Канализационная  сеть</t>
  </si>
  <si>
    <t xml:space="preserve">39260_   </t>
  </si>
  <si>
    <t>г. Калуга , ул. Карла Либкнехта, д. 13</t>
  </si>
  <si>
    <t>39259_Канализационная  сеть</t>
  </si>
  <si>
    <t xml:space="preserve">39259_   </t>
  </si>
  <si>
    <t>г. Калуга , ул.Гагарина , д. 38 А</t>
  </si>
  <si>
    <t>39258_Канализационная  сеть</t>
  </si>
  <si>
    <t xml:space="preserve">39258_   </t>
  </si>
  <si>
    <t>г. Калуга , ул. Гурьянова, д.13</t>
  </si>
  <si>
    <t>39257_Канализационная  сеть</t>
  </si>
  <si>
    <t xml:space="preserve">39257_   </t>
  </si>
  <si>
    <t>г. Калуга , ул. Ленина д. 5</t>
  </si>
  <si>
    <t>39256_Канализационная  сеть</t>
  </si>
  <si>
    <t xml:space="preserve">39256_   </t>
  </si>
  <si>
    <t>г. Калуга , ул. Ленина д. 28, д.30, д.32</t>
  </si>
  <si>
    <t>39255_Канализационная  сеть</t>
  </si>
  <si>
    <t xml:space="preserve">39255_   </t>
  </si>
  <si>
    <t>г. Калуга ,  ул. Кубяка, д. 17</t>
  </si>
  <si>
    <t>39254_Канализационная  сеть</t>
  </si>
  <si>
    <t xml:space="preserve">39254_   </t>
  </si>
  <si>
    <t>г. Калуга ,  ул. Гурьянова, д.15, ул. Карачевская, д. 6</t>
  </si>
  <si>
    <t>39253_Канализационная  сеть</t>
  </si>
  <si>
    <t xml:space="preserve">39253_   </t>
  </si>
  <si>
    <t>г. Калуга ,  ул. Луначарского, д.53</t>
  </si>
  <si>
    <t>39252_Канализационная  сеть</t>
  </si>
  <si>
    <t xml:space="preserve">39252_   </t>
  </si>
  <si>
    <t>г. Калуга ,  ул. Карла Либкнехта, д.11, корп. 1</t>
  </si>
  <si>
    <t>980-п от 21.09.2007</t>
  </si>
  <si>
    <t>39251_Канализационная  сеть</t>
  </si>
  <si>
    <t xml:space="preserve">39251_   </t>
  </si>
  <si>
    <t>г. Калуга ,  ул. Салтыкова-Щедрина, д. 25 А</t>
  </si>
  <si>
    <t>39250_Канализационная  сеть</t>
  </si>
  <si>
    <t xml:space="preserve">39250_   </t>
  </si>
  <si>
    <t>г. Калуга ,  ул. Ленина, д. 3</t>
  </si>
  <si>
    <t>39249_Канализационная  сеть</t>
  </si>
  <si>
    <t xml:space="preserve">39249_   </t>
  </si>
  <si>
    <t>г. Калуга ,  пер. Малинники, д.7, корп 1</t>
  </si>
  <si>
    <t>39248_Канализационная  сеть</t>
  </si>
  <si>
    <t xml:space="preserve">39248_   </t>
  </si>
  <si>
    <t>г. Калуга ,  ул. Валентины Никитиной, д.47, корп.1</t>
  </si>
  <si>
    <t>39247_Канализационная  сеть</t>
  </si>
  <si>
    <t xml:space="preserve">39247_   </t>
  </si>
  <si>
    <t>г. Калуга ,  ул. Ленина, дом 27</t>
  </si>
  <si>
    <t>39246_Канализационная  сеть</t>
  </si>
  <si>
    <t xml:space="preserve">39246_   </t>
  </si>
  <si>
    <t>г. Калуга ,ул  Ленина дом 13,</t>
  </si>
  <si>
    <t>39240_Канализационная сеть</t>
  </si>
  <si>
    <t xml:space="preserve">39240_   </t>
  </si>
  <si>
    <t>г. Калуга ,ул   Космонавта  Комароава, дом 43</t>
  </si>
  <si>
    <t>39239_Канализационная сеть</t>
  </si>
  <si>
    <t xml:space="preserve">39239_   </t>
  </si>
  <si>
    <t>г. Калуга ,ул  Первомайская, дом 4 А ,</t>
  </si>
  <si>
    <t>39238_Канализационная сеть</t>
  </si>
  <si>
    <t xml:space="preserve">39238_   </t>
  </si>
  <si>
    <t>г. Калуга ,пер. Фридриха Энгельса, дом 1/48 А , дом 3</t>
  </si>
  <si>
    <t>39236_Канализационная сеть</t>
  </si>
  <si>
    <t xml:space="preserve">39236_   </t>
  </si>
  <si>
    <t>г. Калуга ул. Космонавта Комарова, дом 61</t>
  </si>
  <si>
    <t>39235_Канализационная сеть</t>
  </si>
  <si>
    <t xml:space="preserve">39235_   </t>
  </si>
  <si>
    <t>г. Калуга ул.Константиновых, дом 6</t>
  </si>
  <si>
    <t>39232_Канализационная сеть</t>
  </si>
  <si>
    <t xml:space="preserve">39232_   </t>
  </si>
  <si>
    <t>г. Калуга ул. Ленина , дом 82</t>
  </si>
  <si>
    <t>39231_Канализационная сеть</t>
  </si>
  <si>
    <t xml:space="preserve">39231_   </t>
  </si>
  <si>
    <t>г. Калкга ул. Грабцевское шоссе, дом 28</t>
  </si>
  <si>
    <t>39230_Канализационная сеть</t>
  </si>
  <si>
    <t xml:space="preserve">39230_   </t>
  </si>
  <si>
    <t>ППАаз257 _Горуправа_Договор аренды 424/21 (Т/1844-ЕД) от 21.06.21_кадастровый номер_40:00:000000:317</t>
  </si>
  <si>
    <t xml:space="preserve"> ППАаз257</t>
  </si>
  <si>
    <t>ООО "МАДИКС" по дог.Т/1979-ЕД от 24.09.2021</t>
  </si>
  <si>
    <t>45856 Насос REXA PRO C08DA-434/EAD1E2-T0039-540-O</t>
  </si>
  <si>
    <t>08.12.2021</t>
  </si>
  <si>
    <t xml:space="preserve">45856    </t>
  </si>
  <si>
    <t>45724 Сеть водоотведения г.Калуга, ул. Поле Свободы, д. 109_D32 мм L15 п.м</t>
  </si>
  <si>
    <t>30.09.2021</t>
  </si>
  <si>
    <t xml:space="preserve">45724    </t>
  </si>
  <si>
    <t>45650 Канализационная сеть г.Калуга, ул.Шахтеров,д.19 ПЭД150 L8</t>
  </si>
  <si>
    <t>31.08.2021</t>
  </si>
  <si>
    <t xml:space="preserve">45650    </t>
  </si>
  <si>
    <t>45648 Канализационная сеть г.Калуга, ул.Белинского,д.46,пом.2_ПЭ D160мм, L28п.м</t>
  </si>
  <si>
    <t xml:space="preserve">45648    </t>
  </si>
  <si>
    <t>45646 Канализационная сеть_ г.Калуга, ул.Прончищева_ПЭ2D50_L235</t>
  </si>
  <si>
    <t xml:space="preserve">45646    </t>
  </si>
  <si>
    <t>45638 Канализационный коллектор ПЭ D 225 L150 по ул.Багговута г. Калуга (р-н Подзавалье)</t>
  </si>
  <si>
    <t>31.07.2021</t>
  </si>
  <si>
    <t xml:space="preserve">45638    </t>
  </si>
  <si>
    <t>45594 Сеть водоотведения г.Калуга, ул. Степана Разина, д.136_Прагма_Д150 L15,5</t>
  </si>
  <si>
    <t xml:space="preserve">45594    </t>
  </si>
  <si>
    <t>45588 Сеть водоотведения г.Калуга, ул.Новозаречная, д.6_D160,L6м</t>
  </si>
  <si>
    <t xml:space="preserve">45588    </t>
  </si>
  <si>
    <t>сч.72 от 16.07.21</t>
  </si>
  <si>
    <t>45604 Устройство для видеонаблюдения трубопровода (видеогидроснаряд)</t>
  </si>
  <si>
    <t>16.07.2021</t>
  </si>
  <si>
    <t xml:space="preserve">45604    </t>
  </si>
  <si>
    <t>45497 Сети водоотведения г.Калуга, самотеч.канализ.коллектора Д200 L160 п.м. до ул. Пролет</t>
  </si>
  <si>
    <t>30.06.2021</t>
  </si>
  <si>
    <t xml:space="preserve">45497    </t>
  </si>
  <si>
    <t>45486 Сети водоотведения г.Калуга, ул.Тарутинская, д.232а_D160,L58м</t>
  </si>
  <si>
    <t xml:space="preserve">45486    </t>
  </si>
  <si>
    <t>45473 Сети водоотведения г.Калуга, п.Малинники, СНТ "Пищевик" уч.102 ПЭ D160 мм L11 п.м</t>
  </si>
  <si>
    <t>31.05.2021</t>
  </si>
  <si>
    <t xml:space="preserve">45473    </t>
  </si>
  <si>
    <t>45321 Сети водоотведения г.Калуга, ул.Баррикад, д.98_D160_L18</t>
  </si>
  <si>
    <t xml:space="preserve">45321    </t>
  </si>
  <si>
    <t>45316 Сети водоотведения г.Калуга, пер Заводской,д,6,кв1 НПВХ D110,L6</t>
  </si>
  <si>
    <t>30.04.2021</t>
  </si>
  <si>
    <t xml:space="preserve">45316    </t>
  </si>
  <si>
    <t>45204 Сети водоотведения г.Калуга, ул.Хрустальная, д.46Б Ду160 мм,L-2 м.</t>
  </si>
  <si>
    <t>05.04.2021</t>
  </si>
  <si>
    <t xml:space="preserve">45204    </t>
  </si>
  <si>
    <t>Калужская область, г.Калуга, д.Лихун</t>
  </si>
  <si>
    <t>приказ МЭР №64-п от 18.01.21</t>
  </si>
  <si>
    <t>45185 Канализационная сеть_г.Калуга д.Лихун_протяженностью 9281 п.м.</t>
  </si>
  <si>
    <t>19.02.2021</t>
  </si>
  <si>
    <t xml:space="preserve">45185    </t>
  </si>
  <si>
    <t>45151 Сети водоотведения г.Калуга, пер.Советский, д. 8 Д160 L11</t>
  </si>
  <si>
    <t>31.01.2021</t>
  </si>
  <si>
    <t xml:space="preserve">45151    </t>
  </si>
  <si>
    <t>45149 Сети водоотведения г.Калуга,ул.Турбостроителей D ПЭ 160, L 12,5 м</t>
  </si>
  <si>
    <t xml:space="preserve">45149    </t>
  </si>
  <si>
    <t>45143 Сети водоотведения в районе д.Верховая и д.Квань ПЭ Д=315мм L=230,13 п.м, ПЭ Д=400мм</t>
  </si>
  <si>
    <t>31.12.2020</t>
  </si>
  <si>
    <t xml:space="preserve">45143    </t>
  </si>
  <si>
    <t>45059 Сети водоотведения г.Калуга, ул.Красная гора, д.9/13 ПЭ Д=160 L=9 п.м.</t>
  </si>
  <si>
    <t xml:space="preserve">45059    </t>
  </si>
  <si>
    <t>44831 Сети водоотведения г.Калуга, р-н Грабцевского шоссе ПЭ Д=150 L=171 п.м.</t>
  </si>
  <si>
    <t xml:space="preserve">44831    </t>
  </si>
  <si>
    <t>45123 Канализационный коллектор_набережная Яченского водохранилища</t>
  </si>
  <si>
    <t xml:space="preserve">45123    </t>
  </si>
  <si>
    <t>Т/1487-ЕД от 13.10.2020г</t>
  </si>
  <si>
    <t>44724 Разрушитель труб троссовый PUNCHER CRASH 60</t>
  </si>
  <si>
    <t>18.11.2020</t>
  </si>
  <si>
    <t xml:space="preserve">44724    </t>
  </si>
  <si>
    <t>44599 Сети водоотведения г.Калуга, д. Канищево, ул.Новая, д.2а D160 мм L 25,09 п.м</t>
  </si>
  <si>
    <t>30.09.2020</t>
  </si>
  <si>
    <t xml:space="preserve">44599    </t>
  </si>
  <si>
    <t>44576 Сети водоотведения г.Калуга, п.Малинники, СНТ "Пищевик" уч.103 D160 мм L 24 п.м</t>
  </si>
  <si>
    <t xml:space="preserve">44576    </t>
  </si>
  <si>
    <t>44547 Очистные сооружения г.Калуга, с.Муратовский щебзавод</t>
  </si>
  <si>
    <t>18.09.2020</t>
  </si>
  <si>
    <t xml:space="preserve">44547    </t>
  </si>
  <si>
    <t>Калужская область, г.Калуга, ул.Калужского Ополчения, д.9</t>
  </si>
  <si>
    <t>приказ №1311-п от 10.08.2020г.</t>
  </si>
  <si>
    <t>44549 Сеть хозяйственно-бытовой канализации, КНС г.Калуга, ул.Калужского ополчения, д.9</t>
  </si>
  <si>
    <t>16.09.2020</t>
  </si>
  <si>
    <t xml:space="preserve">44549    </t>
  </si>
  <si>
    <t>40:26:000394:3262-40/001/2019-1</t>
  </si>
  <si>
    <t>Калужская область, г.Калуга, ул.Спартака, д.15</t>
  </si>
  <si>
    <t>44548 Сеть хозяйственно-бытовой канализации г.Калуга, ул.Спартака, д.15</t>
  </si>
  <si>
    <t xml:space="preserve">44548    </t>
  </si>
  <si>
    <t>44492 Сети водоотведения г.Калуга, ул.Заречная, д.38 Корсис D160 мм L 2,5 п.м</t>
  </si>
  <si>
    <t>31.08.2020</t>
  </si>
  <si>
    <t xml:space="preserve">44492    </t>
  </si>
  <si>
    <t>дог.Т/908-ЕД от 20.12.2019</t>
  </si>
  <si>
    <t>44453 Сети водоотведения г.Калуга, ул.Академика Королева ПЭ Д=110, L9,43 м</t>
  </si>
  <si>
    <t>31.07.2020</t>
  </si>
  <si>
    <t xml:space="preserve">44453    </t>
  </si>
  <si>
    <t>44410 Сети водоотведения г.Калуга, ул.Дорожная (дошкольное учреждение) ПЭ D2*90, L69,5м</t>
  </si>
  <si>
    <t xml:space="preserve">44410    </t>
  </si>
  <si>
    <t>44339 Сети водоотведения г.Калуга, ул.Заводская, д.11_ПЭ D160, L13 м</t>
  </si>
  <si>
    <t>30.06.2020</t>
  </si>
  <si>
    <t xml:space="preserve">44339    </t>
  </si>
  <si>
    <t>40:26:000204:1412-40/001/2019/1</t>
  </si>
  <si>
    <t>44303 Канализация г.Калуга ул.Молодежная д.5_89м</t>
  </si>
  <si>
    <t>08.06.2020</t>
  </si>
  <si>
    <t xml:space="preserve">44303    </t>
  </si>
  <si>
    <t>601-п от 27.03.2020</t>
  </si>
  <si>
    <t>44287 Сеть хозяйственно-бытовой канализации, г.Калуга, б-р Сиреневый, д.12_48 п.м</t>
  </si>
  <si>
    <t>02.06.2020</t>
  </si>
  <si>
    <t xml:space="preserve">44287    </t>
  </si>
  <si>
    <t>сч 53 от 18.02.2020</t>
  </si>
  <si>
    <t>44053 Сварочный аппарат электромуфтовый Просвар Электро 315 (20-315 мм)</t>
  </si>
  <si>
    <t>04.03.2020</t>
  </si>
  <si>
    <t xml:space="preserve">44053    </t>
  </si>
  <si>
    <t>44096 Сети водоотведения г.Калуга, проезд 2-ой Заводской, д.8, кв.2_D160 мм L5 п.м</t>
  </si>
  <si>
    <t>31.01.2020</t>
  </si>
  <si>
    <t xml:space="preserve">44096    </t>
  </si>
  <si>
    <t>44062 Сети водоотведения г.Калуга, ул.Гурьянова, д.65_D160 мм L7 п.м</t>
  </si>
  <si>
    <t xml:space="preserve">44062    </t>
  </si>
  <si>
    <t>44061 Сети водоотведения г.Калуга, ул.Николо-Козинская, д.32_ПЭ D160, L119 м</t>
  </si>
  <si>
    <t xml:space="preserve">44061    </t>
  </si>
  <si>
    <t>43897 Сети водоотведения г.Калуга, ул.Кубяка, д.11А</t>
  </si>
  <si>
    <t>31.12.2019</t>
  </si>
  <si>
    <t xml:space="preserve">43897    </t>
  </si>
  <si>
    <t>43889 Канализационный коллектор Д225 ПЭ г.Калуга, ул.Первомайская, от д.41 до д.87 L 310 м</t>
  </si>
  <si>
    <t xml:space="preserve">43889    </t>
  </si>
  <si>
    <t>43885 Сети водоотведения к мкр "Кошелев-проект", в р-не д.Верховая, д.Квань</t>
  </si>
  <si>
    <t xml:space="preserve">43885    </t>
  </si>
  <si>
    <t>43788 Сети водоотведения г.Калуга, ул.Космонавта Пацаева, д.6_L 15 п. м</t>
  </si>
  <si>
    <t xml:space="preserve">43788    </t>
  </si>
  <si>
    <t>43661 Сети водоотведения г.Калуга, р-н Сиреневого бульвара_L 3 м</t>
  </si>
  <si>
    <t>30.11.2019</t>
  </si>
  <si>
    <t xml:space="preserve">43661    </t>
  </si>
  <si>
    <t>52.5</t>
  </si>
  <si>
    <t>43677 Сети водоотведения г.Калуга, пер.Комсомольский_L 52,5 п. м</t>
  </si>
  <si>
    <t xml:space="preserve">43677    </t>
  </si>
  <si>
    <t>43659 Сети водоотведения г.Калуга, ул.Промышленная, д.2_L 66 м</t>
  </si>
  <si>
    <t>29.11.2019</t>
  </si>
  <si>
    <t xml:space="preserve">43659    </t>
  </si>
  <si>
    <t>43603 Сети водоотведения г.Калуга, ул.Заречная, д.38_L 3 м</t>
  </si>
  <si>
    <t>31.10.2019</t>
  </si>
  <si>
    <t xml:space="preserve">43603    </t>
  </si>
  <si>
    <t>43599 Сети водоотведения г.Калуга, ул.Пестеля, в р-не д.15_L 15 м</t>
  </si>
  <si>
    <t xml:space="preserve">43599    </t>
  </si>
  <si>
    <t>43546 Сети водоотведения г.Калуга, ул.Родниковая, д.49 а_ПЭ Д160 мм L 14 м</t>
  </si>
  <si>
    <t>30.09.2019</t>
  </si>
  <si>
    <t xml:space="preserve">43546    </t>
  </si>
  <si>
    <t>1197-п от 26.07.2019</t>
  </si>
  <si>
    <t>43441 Напорная канализация_г.Калуга, ул.Верховая_2ДУ 315мм_ общая протяж.2864м</t>
  </si>
  <si>
    <t>01.08.2019</t>
  </si>
  <si>
    <t xml:space="preserve">43441    </t>
  </si>
  <si>
    <t>Т/581-ЕД от 25.06.2019</t>
  </si>
  <si>
    <t>43350 Молоток отбойный 10 кг сD-ручкой и пикой 19*50 мм</t>
  </si>
  <si>
    <t>08.07.2019</t>
  </si>
  <si>
    <t xml:space="preserve">43350    </t>
  </si>
  <si>
    <t>43349 Молоток отбойный 10 кг сD-ручкой и пикой 19*50 мм</t>
  </si>
  <si>
    <t xml:space="preserve">43349    </t>
  </si>
  <si>
    <t>43339 Сети водоотведения г.Калуга, ул.Постовалова, д.28а_ПЭ Д150 мм L 12,5 м</t>
  </si>
  <si>
    <t>30.06.2019</t>
  </si>
  <si>
    <t xml:space="preserve">43339    </t>
  </si>
  <si>
    <t>43307 Сети водоотведения г.Калуга, ул.Северная, д7, пом.2, пом.3 _L=7 п.м.</t>
  </si>
  <si>
    <t>31.05.2019</t>
  </si>
  <si>
    <t xml:space="preserve">43307    </t>
  </si>
  <si>
    <t>43305 Сети водоотведения г.Калуга, ул.Пролетарская, д.108 _L=11,53 п.м.</t>
  </si>
  <si>
    <t xml:space="preserve">43305    </t>
  </si>
  <si>
    <t>232 от 21.02.2019</t>
  </si>
  <si>
    <t>43182 Канализационная сеть г.Калуга, ул.Чичерина, д.6_95 м</t>
  </si>
  <si>
    <t>06.03.2019</t>
  </si>
  <si>
    <t xml:space="preserve">43182    </t>
  </si>
  <si>
    <t>42993 Сети водоотведения г.Калуга, ул.3-й Академический проезд, УМВД ОВД_L= п.м.</t>
  </si>
  <si>
    <t>31.01.2019</t>
  </si>
  <si>
    <t xml:space="preserve">42993    </t>
  </si>
  <si>
    <t>43011 Канализационный коллектор Д600 мм в гильзе Д800 мм протяж.21 м в р-не 16 квартала</t>
  </si>
  <si>
    <t>31.12.2018</t>
  </si>
  <si>
    <t xml:space="preserve">43011    </t>
  </si>
  <si>
    <t>43010 Сети водоотведения (район "Губерский парк")</t>
  </si>
  <si>
    <t xml:space="preserve">43010    </t>
  </si>
  <si>
    <t>43057 Сети водоотведения г.Калуга, Правобережн. р-н. Многокварт.дома№ 17-20(уч9)№13-16(уч8</t>
  </si>
  <si>
    <t>30.12.2018</t>
  </si>
  <si>
    <t xml:space="preserve">43057    </t>
  </si>
  <si>
    <t>42970 Сети водоотведения г.Калуга, ул.Грабцевское шоссе_р-н д.85_L=70 п.м.</t>
  </si>
  <si>
    <t xml:space="preserve">42970    </t>
  </si>
  <si>
    <t>43006 Сети водоотведения г.Калуга, ул.Грабцевское шоссе_ д.4Б_L=54 п.м.</t>
  </si>
  <si>
    <t xml:space="preserve">43006    </t>
  </si>
  <si>
    <t>42979 Сети водоотведения г.Калуга, ул. Гурьяново, д.18, к.2_L=9,5 п.м.</t>
  </si>
  <si>
    <t xml:space="preserve">42979    </t>
  </si>
  <si>
    <t>42956 Сети водоотведения г.Калуга, ул. Советская_Три многоэтажных жилых дома_L=192,42 п.м.</t>
  </si>
  <si>
    <t xml:space="preserve">42956    </t>
  </si>
  <si>
    <t>43007 Сети водоотведения г.Калуга, д.Чижовка_многоэтажные дома"Веснушки"_прот. 1745,8 п.м</t>
  </si>
  <si>
    <t xml:space="preserve">43007    </t>
  </si>
  <si>
    <t>42403 Канализационная сеть Калуга г, ул.Грабцевское шоссе, тренировочная площадка</t>
  </si>
  <si>
    <t xml:space="preserve">42403    </t>
  </si>
  <si>
    <t>Т/258-ЕД от 21.12.2018</t>
  </si>
  <si>
    <t>42926 Насосная станция с бензиновым двигателем HPP 18V Multi Flex с помпой</t>
  </si>
  <si>
    <t>29.12.2018</t>
  </si>
  <si>
    <t xml:space="preserve">42926    </t>
  </si>
  <si>
    <t>42880 Сети водоотведения г.Калуга, пер. Яченский, д.22_ протяж. 3,5 п.м</t>
  </si>
  <si>
    <t>30.11.2018</t>
  </si>
  <si>
    <t xml:space="preserve">42880    </t>
  </si>
  <si>
    <t>42876 Сети водоотведения г.Калуга, ул. Таруринская, д.2а_ протяж. 180 п.м</t>
  </si>
  <si>
    <t xml:space="preserve">42876    </t>
  </si>
  <si>
    <t>1270-п от 15.10.2018</t>
  </si>
  <si>
    <t>42781 Канализационная сеть г.Калуга, ул.Тарутинская, д.231_протяж.946 м</t>
  </si>
  <si>
    <t>19.11.2018</t>
  </si>
  <si>
    <t xml:space="preserve">42781    </t>
  </si>
  <si>
    <t>42755 Сети водоотведения г.Калуга, ул. Овражная, р-н д.12 протяж. 5.5 п.м</t>
  </si>
  <si>
    <t>30.10.2018</t>
  </si>
  <si>
    <t xml:space="preserve">42755    </t>
  </si>
  <si>
    <t>42731 Канализационная сеть Калуга. пер.Дорожный, д.8_протяж.61 м</t>
  </si>
  <si>
    <t>22.10.2018</t>
  </si>
  <si>
    <t xml:space="preserve">42731    </t>
  </si>
  <si>
    <t>1218-п от 04.10.2018</t>
  </si>
  <si>
    <t>42730 Хозяйственно-бытовая канализация г.Калуга, ул. Академическая _протяж.410 м</t>
  </si>
  <si>
    <t>10.10.2018</t>
  </si>
  <si>
    <t xml:space="preserve">42730    </t>
  </si>
  <si>
    <t>783-п от 05.07.2018</t>
  </si>
  <si>
    <t>42685 Хозяйственно-бытовая канализация г.Калуга, ул. Тульское шоссе, д.57 Тренир. площ. L=</t>
  </si>
  <si>
    <t>10.09.2018</t>
  </si>
  <si>
    <t xml:space="preserve">42685    </t>
  </si>
  <si>
    <t>42684 Хозяйственно-бытовая канализация г.Калуга, ул. Грабцевское шоссе, д.93 Тренир. площ.</t>
  </si>
  <si>
    <t xml:space="preserve">42684    </t>
  </si>
  <si>
    <t>42669 Сети водоотведения г.Калуга, ул. Майская, д.9 протяж. 14.5 п.м</t>
  </si>
  <si>
    <t>31.08.2018</t>
  </si>
  <si>
    <t xml:space="preserve">42669    </t>
  </si>
  <si>
    <t>1020/ПР от 21.06.2018</t>
  </si>
  <si>
    <t>42608 Установка для безвоздушного напыления, для нанесения гидроизоляционных систем, элект</t>
  </si>
  <si>
    <t>05.07.2018</t>
  </si>
  <si>
    <t xml:space="preserve">42608    </t>
  </si>
  <si>
    <t>42587 Сети водоотведения к ж/д №3 район ул.С.Туликова в районе д.2, протяж.2 м.п.</t>
  </si>
  <si>
    <t>28.06.2018</t>
  </si>
  <si>
    <t xml:space="preserve">42587    </t>
  </si>
  <si>
    <t>42586 Сети водоотведения в районе центрального входа в "Губернский парк"</t>
  </si>
  <si>
    <t xml:space="preserve">42586    </t>
  </si>
  <si>
    <t>42570 Магистральные сети водоотведения Д600 мм, протяж.74 м ул.Фомушина в районе д.5</t>
  </si>
  <si>
    <t xml:space="preserve">42570    </t>
  </si>
  <si>
    <t>42568 Магистральные сети водоотведения кв-л 18 D600 от колодца 31 до колодца 36</t>
  </si>
  <si>
    <t xml:space="preserve">42568    </t>
  </si>
  <si>
    <t>42569 Сети водоотведения D500 мм, протяж. 460 м от ул.С.Туликова до ул.Фомушина (пересечен</t>
  </si>
  <si>
    <t>25.06.2018</t>
  </si>
  <si>
    <t xml:space="preserve">42569    </t>
  </si>
  <si>
    <t>42585 Сети водоотведения в районе д.29 ул.65 лет Победы от колодца №15 до колодца №17 А</t>
  </si>
  <si>
    <t xml:space="preserve">42585    </t>
  </si>
  <si>
    <t>42405 Канализационная сеть Калуга г, ул.Тульское шоссе, тренировочная площадка</t>
  </si>
  <si>
    <t>22.06.2018</t>
  </si>
  <si>
    <t xml:space="preserve">42405    </t>
  </si>
  <si>
    <t>42532 Канализационная сеть_г.Калуга_Индустриальный парк "Калуга-Юг"_протяженность 14м</t>
  </si>
  <si>
    <t>27.04.2018</t>
  </si>
  <si>
    <t xml:space="preserve">42532    </t>
  </si>
  <si>
    <t>Калужская область, г.Калуга, ул.Луначарского, район д.34</t>
  </si>
  <si>
    <t>42517 Канализационная сеть_г.Калуга_ул.Луначарского д.34_протяженность 4м</t>
  </si>
  <si>
    <t>30.03.2018</t>
  </si>
  <si>
    <t xml:space="preserve">42517    </t>
  </si>
  <si>
    <t>602/ПР от 01.03.2018</t>
  </si>
  <si>
    <t>42454 Электростанция бензиновая АБП 6-230 ВХ</t>
  </si>
  <si>
    <t>13.03.2018</t>
  </si>
  <si>
    <t xml:space="preserve">42454    </t>
  </si>
  <si>
    <t>42442 Напорный канализационный коллектор от КНС №6 до КГ №3, протяженностью 686 п.м. 2Д=50</t>
  </si>
  <si>
    <t>28.02.2018</t>
  </si>
  <si>
    <t xml:space="preserve">42442    </t>
  </si>
  <si>
    <t>42431 Канализационная сеть Калуга г, ул.Грабцевское шоссе, д.20</t>
  </si>
  <si>
    <t>31.01.2018</t>
  </si>
  <si>
    <t xml:space="preserve">42431    </t>
  </si>
  <si>
    <t>42430 Канализационная сеть Калуга г, ул.Глаголева, р-он д.3</t>
  </si>
  <si>
    <t xml:space="preserve">42430    </t>
  </si>
  <si>
    <t>42413 Канализационный коллектор самотечный Калуга г, ул.Московская-Чижевского</t>
  </si>
  <si>
    <t>31.12.2017</t>
  </si>
  <si>
    <t xml:space="preserve">42413    </t>
  </si>
  <si>
    <t>42417 Канализационная сеть Калуга г, ул.Поле Свободы, (р-н Московская, д.84)</t>
  </si>
  <si>
    <t xml:space="preserve">42417    </t>
  </si>
  <si>
    <t>248017, Калужская обл, Калуга г, Карьерный 1-й пер</t>
  </si>
  <si>
    <t>42362 Канализационная сеть_пер. Карьерный1-й, протяж.170 п.м</t>
  </si>
  <si>
    <t>13.11.2017</t>
  </si>
  <si>
    <t xml:space="preserve">42362    </t>
  </si>
  <si>
    <t>248002, Калужская обл, Калуга г, Знаменская ул, дом № 46А</t>
  </si>
  <si>
    <t>42360 Канализационная сеть_г.Калуга_ул.Знаменская д.46А_протяженность 35м</t>
  </si>
  <si>
    <t xml:space="preserve">42360    </t>
  </si>
  <si>
    <t>42307 Канализационная сеть Калуга г, ул.Ромодановские дворики, д.63а</t>
  </si>
  <si>
    <t>31.10.2017</t>
  </si>
  <si>
    <t xml:space="preserve">42307    </t>
  </si>
  <si>
    <t>16.6</t>
  </si>
  <si>
    <t>42305 Канализационная сеть Калуга г, ул.Пухова, в районе домов 31, 33</t>
  </si>
  <si>
    <t xml:space="preserve">42305    </t>
  </si>
  <si>
    <t>248012, Калужская обл, Калуга г, Кибальчича ул, дом № 8</t>
  </si>
  <si>
    <t>приказ МЭР № 744-п от 29.06.2017</t>
  </si>
  <si>
    <t>42164 Канализационные сети_г.Калуга ул.Кибальчича д.8</t>
  </si>
  <si>
    <t>17.07.2017</t>
  </si>
  <si>
    <t xml:space="preserve">42164    </t>
  </si>
  <si>
    <t>42153 Канализационная насосная станция (КНС)_водозабор д.Мстихино</t>
  </si>
  <si>
    <t>30.06.2017</t>
  </si>
  <si>
    <t xml:space="preserve">42153    </t>
  </si>
  <si>
    <t>42145 Внеплощадочные сети канализации_водозабор д.Мстихино</t>
  </si>
  <si>
    <t xml:space="preserve">42145    </t>
  </si>
  <si>
    <t xml:space="preserve">дог.Т35/09-19 от 01.09.2016 </t>
  </si>
  <si>
    <t>42127 Канализационная сеть ул.Хрустальная д.22_ 333,75 п.м.</t>
  </si>
  <si>
    <t xml:space="preserve">42127    </t>
  </si>
  <si>
    <t>42137 Внеплощадочные сети водоотведения_ул.Калужская д.10</t>
  </si>
  <si>
    <t>15.06.2017</t>
  </si>
  <si>
    <t xml:space="preserve">42137    </t>
  </si>
  <si>
    <t>248000, Калужская обл, Калуга г, Октябрьская ул., район дома 17</t>
  </si>
  <si>
    <t>637-п от 30.05.2017</t>
  </si>
  <si>
    <t>42134 Наружные сети бытовой канализации_г.Калуга_ул.Октябрьская_район дома 17</t>
  </si>
  <si>
    <t>01.06.2017</t>
  </si>
  <si>
    <t xml:space="preserve">42134    </t>
  </si>
  <si>
    <t>41949 Сети водоотведения Ду=110, протяж.33,0 п.м. ул.Северная д.78</t>
  </si>
  <si>
    <t>30.12.2016</t>
  </si>
  <si>
    <t xml:space="preserve">41949    </t>
  </si>
  <si>
    <t>41947 Сети водоотведения Ду=150, протяж.5 п.м. ул.Луговая д.10</t>
  </si>
  <si>
    <t xml:space="preserve">41947    </t>
  </si>
  <si>
    <t>41943 Самотечный канализационный коллектор Ду=150мм, протяж.20 п.м.</t>
  </si>
  <si>
    <t xml:space="preserve">41943    </t>
  </si>
  <si>
    <t>41938 Сети водоотведения внеплощадочные ул.Октябрьская д.17</t>
  </si>
  <si>
    <t xml:space="preserve">41938    </t>
  </si>
  <si>
    <t>41487 Канализационная сеть Калуга г, Пестеля 1-й пер., дом № 46</t>
  </si>
  <si>
    <t xml:space="preserve">41487    </t>
  </si>
  <si>
    <t>41539 Канализационные сети внеплощадочные МТЦ "Лента"</t>
  </si>
  <si>
    <t>01.09.2016</t>
  </si>
  <si>
    <t xml:space="preserve">41539    </t>
  </si>
  <si>
    <t>40-40-01/034/2013-642</t>
  </si>
  <si>
    <t>248017, Калужская обл, Калуга г, Строительный пер, дом № 4-7 и к д. №255 по ул. Московская  и №24, 26 по ул. Линейная</t>
  </si>
  <si>
    <t>41508 Канализ.сети к ж.д 4-7 по пер.Строительный и к ж.д.255 по ул.Московская и 24,26 по у</t>
  </si>
  <si>
    <t>05.07.2016</t>
  </si>
  <si>
    <t xml:space="preserve">41508    </t>
  </si>
  <si>
    <t>41485 Канализационная сеть Калуга г, Пухова ул, дом № 35</t>
  </si>
  <si>
    <t>30.06.2016</t>
  </si>
  <si>
    <t xml:space="preserve">41485    </t>
  </si>
  <si>
    <t>41400 Задвижка ножевая шиберная с выдвижным штоком Ду 400</t>
  </si>
  <si>
    <t>27.01.2016</t>
  </si>
  <si>
    <t xml:space="preserve">41400    </t>
  </si>
  <si>
    <t>41300 Канализационные сети в с.Воскресенское</t>
  </si>
  <si>
    <t>31.12.2015</t>
  </si>
  <si>
    <t xml:space="preserve">41300    </t>
  </si>
  <si>
    <t>41296 Канализ.самотеч.коллектор в р-не д.Верховая, д.Квань от колодцев гасит.№3,№4 ул.Акад</t>
  </si>
  <si>
    <t xml:space="preserve">41296    </t>
  </si>
  <si>
    <t>248926, Калужская обл, Калуга г, Аэропортовский пер, дом № 1</t>
  </si>
  <si>
    <t>41232 Канализационный коллектор (от камеры гашения до врезки ) г. Калуга пер. Аэропортовск</t>
  </si>
  <si>
    <t>27.11.2015</t>
  </si>
  <si>
    <t xml:space="preserve">41232    </t>
  </si>
  <si>
    <t>248010, Калужская обл, Калуга г, Пухова ул, дом № 5, корпус а</t>
  </si>
  <si>
    <t>41224 Канализационная сеть (лит.II) г. Калуга ул. Пухова, д.5а</t>
  </si>
  <si>
    <t>17.11.2015</t>
  </si>
  <si>
    <t xml:space="preserve">41224    </t>
  </si>
  <si>
    <t>г. Калуга ул.М.Горького, д.92</t>
  </si>
  <si>
    <t>41077 Канализационная сеть г. Калуга ул.М.Горького, д.92</t>
  </si>
  <si>
    <t>03.08.2015</t>
  </si>
  <si>
    <t xml:space="preserve">41077    </t>
  </si>
  <si>
    <t>г. Калуга ул.Алексеевская, д.20</t>
  </si>
  <si>
    <t>41076 Канализационная сеть (лит.II) г. Калуга ул.Алексеевская, д.20</t>
  </si>
  <si>
    <t xml:space="preserve">41076    </t>
  </si>
  <si>
    <t>г. Калуга пер.Северный</t>
  </si>
  <si>
    <t>41075 Наружные канализационные сети г. Калуга пер.Северный</t>
  </si>
  <si>
    <t xml:space="preserve">41075    </t>
  </si>
  <si>
    <t>г. Калуга ул. Луначарского, д.6а</t>
  </si>
  <si>
    <t>41074 Канализационная сеть г. Калуга ул. Луначарского, д.6а</t>
  </si>
  <si>
    <t xml:space="preserve">41074    </t>
  </si>
  <si>
    <t>г. Калуга ул. Веры Андриановой, д.5</t>
  </si>
  <si>
    <t>41073 Канализационная сеть г. Калуга ул. Веры Андриановой, д.5</t>
  </si>
  <si>
    <t xml:space="preserve">41073    </t>
  </si>
  <si>
    <t>г. Калуга ул. М. Горького, д.73</t>
  </si>
  <si>
    <t>41072 Канализационная сеть (лит.II) г. Калуга ул. М. Горького, д.73</t>
  </si>
  <si>
    <t xml:space="preserve">41072    </t>
  </si>
  <si>
    <t>г.Калуга пер.8 Марта</t>
  </si>
  <si>
    <t>41043 Канализационный коллектор г.Калуга пер.8 Марта</t>
  </si>
  <si>
    <t xml:space="preserve">41043    </t>
  </si>
  <si>
    <t>г.Калуга ул.Кирова д.32</t>
  </si>
  <si>
    <t>41042 Канализационная сеть г.Калуга ул.Кирова д.32</t>
  </si>
  <si>
    <t xml:space="preserve">41042    </t>
  </si>
  <si>
    <t>248017, Калужская обл, Калуга г, Строительный пер, дом № 3-5 и ул.Московская д.257</t>
  </si>
  <si>
    <t>41038 Канализационные сети к ж.домам пер.Строительный д.3 и ул.Московская д.257</t>
  </si>
  <si>
    <t xml:space="preserve">41038    </t>
  </si>
  <si>
    <t>г.Калуга ул.Михайловская, Яновских, Солнечная, Сретенская</t>
  </si>
  <si>
    <t>41037 Канализационная сеть г.Калуга ул.Михайловская, Яновских, Солнечная, Сретенская</t>
  </si>
  <si>
    <t xml:space="preserve">41037    </t>
  </si>
  <si>
    <t>г.Калуга ул.Кирова д.11, д.13</t>
  </si>
  <si>
    <t>41036 Канализационная сеть г.Калуга ул.Кирова д.11, д.13</t>
  </si>
  <si>
    <t xml:space="preserve">41036    </t>
  </si>
  <si>
    <t>248001, Калужская обл, Калуга г, Кирова ул, дом № 9</t>
  </si>
  <si>
    <t>41035 Канализационная сеть г.Калуга ул.Кирова д.9</t>
  </si>
  <si>
    <t xml:space="preserve">41035    </t>
  </si>
  <si>
    <t>248009, Калужская обл, Калуга г, Маяковского ул</t>
  </si>
  <si>
    <t>41033 Канализационная сеть г.Калуга ул.Маяковского</t>
  </si>
  <si>
    <t xml:space="preserve">41033    </t>
  </si>
  <si>
    <t>г.Калуга ул.Березовая, ул.Каштановая, ул.Сиреневая, пер.Березовый</t>
  </si>
  <si>
    <t>41031 Канализационные сети г.Калуга ул.Березовая,Каштановая,Сиреневая, пер.Березовый 1773,</t>
  </si>
  <si>
    <t xml:space="preserve">41031    </t>
  </si>
  <si>
    <t>г.Калуга ул.Врубовая д.45, пер.Вагонный д.15</t>
  </si>
  <si>
    <t>41029 Сеть канализации к жилым домам г.Калуга ул.Врубовая д.45, пер.Вагонный д.15</t>
  </si>
  <si>
    <t xml:space="preserve">41029    </t>
  </si>
  <si>
    <t>41021 Канализационные сети г.Калуга ул.Березовая,Каштановая,Сиреневая, пер.Березовый прот.</t>
  </si>
  <si>
    <t xml:space="preserve">41021    </t>
  </si>
  <si>
    <t>248033, Калужская обл, Калуга г, Березовая ул, от дома № 52</t>
  </si>
  <si>
    <t>239-п от 04.03.2015</t>
  </si>
  <si>
    <t>41018 Канализационная сеть г. Калуга от дома №52 по ул.Березовая</t>
  </si>
  <si>
    <t xml:space="preserve">41018    </t>
  </si>
  <si>
    <t>248000, Калужская обл, Калуга г, Вилонова ул, дом № 40</t>
  </si>
  <si>
    <t>40842 Канализационная сеть г.Калуга ул.Вилонова д.40</t>
  </si>
  <si>
    <t>20.03.2015</t>
  </si>
  <si>
    <t xml:space="preserve">40842    </t>
  </si>
  <si>
    <t>248016, Калужская обл, Калуга г, Баррикад ул, дом № 124</t>
  </si>
  <si>
    <t>40840 Канализационная сеть г.Калуга ул.Баррикад д.124</t>
  </si>
  <si>
    <t xml:space="preserve">40840    </t>
  </si>
  <si>
    <t>248029, Калужская обл, Калуга г, Гурьянова ул, дом № 26</t>
  </si>
  <si>
    <t>40839 Канализационная сеть г.Калуга ул.Гурьянова д.26</t>
  </si>
  <si>
    <t xml:space="preserve">40839    </t>
  </si>
  <si>
    <t>248000, Калужская обл, Калуга г, Гагарина ул</t>
  </si>
  <si>
    <t>40838 Канализационная сеть г.Калуга ул.Гагарина около д.13</t>
  </si>
  <si>
    <t xml:space="preserve">40838    </t>
  </si>
  <si>
    <t>248012, Калужская обл, Калуга г, Кибальчича ул, дом № 17 а</t>
  </si>
  <si>
    <t>40837 Канализационная сеть г.Калугаул.Кибальчича д.17а</t>
  </si>
  <si>
    <t xml:space="preserve">40837    </t>
  </si>
  <si>
    <t>248021, Калужская обл, Калуга г, Поле Свободы ул, дом № 131</t>
  </si>
  <si>
    <t>40836 Канализационная сеть г.Калуга ул.Поле Свободы д.131</t>
  </si>
  <si>
    <t xml:space="preserve">40836    </t>
  </si>
  <si>
    <t>248021, Калужская обл, Калуга г, Новая Стройка ул, дом № 1</t>
  </si>
  <si>
    <t>88-п от 28.01.2015</t>
  </si>
  <si>
    <t>40835 Канализационная сеть г.Калуга ул.Новая Стройка д.1</t>
  </si>
  <si>
    <t xml:space="preserve">40835    </t>
  </si>
  <si>
    <t>248009, Калужская обл, Калуга г, Песчаный пер</t>
  </si>
  <si>
    <t>40834 Канализационная сеть г.Калуга пер.Песчаный</t>
  </si>
  <si>
    <t xml:space="preserve">40834    </t>
  </si>
  <si>
    <t>248000, Калужская обл, Калуга г, Дзержинского ул, дом № 58</t>
  </si>
  <si>
    <t>40833 Канализационная сеть г.Калуга ул.Дзержинского д.58</t>
  </si>
  <si>
    <t xml:space="preserve">40833    </t>
  </si>
  <si>
    <t>40436 Насос погружной НП-45-200 "ДИНРУС"</t>
  </si>
  <si>
    <t>27.02.2014</t>
  </si>
  <si>
    <t xml:space="preserve">40436    </t>
  </si>
  <si>
    <t>40434 Насос погружной НП-45 "ДИНРУС"</t>
  </si>
  <si>
    <t xml:space="preserve">40434    </t>
  </si>
  <si>
    <t>40363 Молоток отбойный МГЗ-40-2 ДИНРУС в комплекте с подключением гидроинструмента к МС-20</t>
  </si>
  <si>
    <t>04.02.2014</t>
  </si>
  <si>
    <t xml:space="preserve">40363    </t>
  </si>
  <si>
    <t>40361 Станция гидравлическая МС-20/2 ДИНРУС</t>
  </si>
  <si>
    <t xml:space="preserve">40361    </t>
  </si>
  <si>
    <t>248007,Калужская обл,Калуга г,Анненки ул,3,</t>
  </si>
  <si>
    <t>40332 Канализационная сеть, 113 п.м (г.Калуга, ул.Анненки, стр.3)</t>
  </si>
  <si>
    <t>26.12.2013</t>
  </si>
  <si>
    <t xml:space="preserve">40332    </t>
  </si>
  <si>
    <t>248915,Калужская обл,Калуга г,Мстихино д,Светлая ул,58,</t>
  </si>
  <si>
    <t>40331 Канализационная сеть, 12 п.м (г.Калуга, д.Мстихино, ул.Светлая, д.58)</t>
  </si>
  <si>
    <t xml:space="preserve">40331    </t>
  </si>
  <si>
    <t>248915,Калужская обл,Калуга г,Мстихино д,Лесная ул,24,1,</t>
  </si>
  <si>
    <t>40330 Канализационная сеть внутриплощ, 132.6 п.м (г.Калуга, д.Мстихино, ул.Лесная, д.24, к</t>
  </si>
  <si>
    <t xml:space="preserve">40330    </t>
  </si>
  <si>
    <t>248012,Калужская обл,Калуга г,Московская ул,317,</t>
  </si>
  <si>
    <t>40329 Канализационная сеть, 50 п.м (г.Калуга, ул.Московская, д.317А)</t>
  </si>
  <si>
    <t xml:space="preserve">40329    </t>
  </si>
  <si>
    <t>248016,Калужская обл,Калуга г,Максима Горького ул</t>
  </si>
  <si>
    <t>40328 Канализационная сеть, 70 п.м (г.Калуга, ул.М.Горького, д.37, 39)</t>
  </si>
  <si>
    <t xml:space="preserve">40328    </t>
  </si>
  <si>
    <t>248001,Калужская обл,Калуга г,Мира пл,3,</t>
  </si>
  <si>
    <t>40327 Канализационная сеть, 18 п.м (г.Калуга, пл.Мира, д.3)</t>
  </si>
  <si>
    <t xml:space="preserve">40327    </t>
  </si>
  <si>
    <t>248016,Калужская обл,Калуга г,Пролетарская ул,125,</t>
  </si>
  <si>
    <t>40326 Канализационная сеть, 90,8 п.м (г.Калуга, ул.Пролетарская, д.125)</t>
  </si>
  <si>
    <t xml:space="preserve">40326    </t>
  </si>
  <si>
    <t>248032,Калужская обл,Калуга г,40 лет Октября улдом,корпус,кв.</t>
  </si>
  <si>
    <t>40325 Канализационная сеть, 496 п.м (г.Калуга, ул.40 лет Октября, к жилым домам 2, 4, 8)</t>
  </si>
  <si>
    <t xml:space="preserve">40325    </t>
  </si>
  <si>
    <t>Калуга г,</t>
  </si>
  <si>
    <t>40324 Канализационная сеть, 722 п.м (г.Калуга, ул.Покрова, пер.1-й, 2-й, 3-й Покрова)</t>
  </si>
  <si>
    <t xml:space="preserve">40324    </t>
  </si>
  <si>
    <t>248016,Калужская обл,Калуга г,Ленина ул,65,</t>
  </si>
  <si>
    <t>40323 Канализационная сеть, 92 п.м (г.Калуга, ул.Ленина, д.65)</t>
  </si>
  <si>
    <t xml:space="preserve">40323    </t>
  </si>
  <si>
    <t>248023,Калужская обл,Калуга г,Победы пл,10,</t>
  </si>
  <si>
    <t>40322 Канализационная сеть, 169 п.м (г.Калуга, пл.Победы, д.10)</t>
  </si>
  <si>
    <t xml:space="preserve">40322    </t>
  </si>
  <si>
    <t>40297 Устройство для очистки внутр.полости трубопровода (гидротурбинный снаряд) патент 237</t>
  </si>
  <si>
    <t>08.11.2013</t>
  </si>
  <si>
    <t xml:space="preserve">40297    </t>
  </si>
  <si>
    <t>40296 Устройство для очистки внутр.полости трубопровода (гидротурбинный снаряд) патент 240</t>
  </si>
  <si>
    <t xml:space="preserve">40296    </t>
  </si>
  <si>
    <t>40221 Бензогенератор ВЕПРЬ АСПБВ220-6,5/3,5-Т400/230 ВК</t>
  </si>
  <si>
    <t>30.07.2013</t>
  </si>
  <si>
    <t xml:space="preserve">40221    </t>
  </si>
  <si>
    <t>40076 Бензогенератор GESAN G 8/10 TFH</t>
  </si>
  <si>
    <t>19.03.2013</t>
  </si>
  <si>
    <t xml:space="preserve">40076    </t>
  </si>
  <si>
    <t>40074 Бензогенератор GESAN G 12000 H</t>
  </si>
  <si>
    <t xml:space="preserve">40074    </t>
  </si>
  <si>
    <t>248002,Калужская обл,Калуга г,Салтыкова-Щедрина ул,80</t>
  </si>
  <si>
    <t>40034 Станция гидравлическая МС-20 в комплекте</t>
  </si>
  <si>
    <t>27.02.2013</t>
  </si>
  <si>
    <t xml:space="preserve">40034    </t>
  </si>
  <si>
    <t>40032 Станция гидравлическая МС-20 в комплекте</t>
  </si>
  <si>
    <t xml:space="preserve">40032    </t>
  </si>
  <si>
    <t>40014 Аварийная осветительная установка "Световая Башня ELG (ТЗ-5) 600S 2.2 GX</t>
  </si>
  <si>
    <t xml:space="preserve">40014    </t>
  </si>
  <si>
    <t>39551 Мотопомпа КТН-50 X HONDA KOSHIN</t>
  </si>
  <si>
    <t>22.11.2011</t>
  </si>
  <si>
    <t>39532 Блок-контейнер</t>
  </si>
  <si>
    <t>01.11.2011</t>
  </si>
  <si>
    <t>г. Калуга ,ул. Тарутинская, дом 171 А</t>
  </si>
  <si>
    <t>1111-п от 08.12.2010</t>
  </si>
  <si>
    <t>39454 Канализационная сеть</t>
  </si>
  <si>
    <t>03.01.2011</t>
  </si>
  <si>
    <t>г.Калуга, ул.Кубяка, д.20, Коттедж №3 Азаровского детского дома</t>
  </si>
  <si>
    <t>39078  Канализация дренажная</t>
  </si>
  <si>
    <t>20.03.2009</t>
  </si>
  <si>
    <t>39076  Канализации бытовой сеть,</t>
  </si>
  <si>
    <t>город Калуга, урочище Ромодановские дворики,</t>
  </si>
  <si>
    <t>39073  Коллектор канализ. от КНС до кан. кам. №5</t>
  </si>
  <si>
    <t>19.03.2009</t>
  </si>
  <si>
    <t>город Калуга, улица Московская, д.65/1 лит.I</t>
  </si>
  <si>
    <t>39070  Канализационная сеть, прот. 189,6 п.м.</t>
  </si>
  <si>
    <t>02.02.2009</t>
  </si>
  <si>
    <t>44.15</t>
  </si>
  <si>
    <t>город Калуга, улица Платова, д.40 лит.I</t>
  </si>
  <si>
    <t>39069  Канализационные сети  прот. 44,15 п.м.</t>
  </si>
  <si>
    <t>20.01.2009</t>
  </si>
  <si>
    <t>город Калуга, бульвар Байконур, д.5</t>
  </si>
  <si>
    <t>39067  Канализационные сети  прот. 150,8 п.м.</t>
  </si>
  <si>
    <t>город Калуга, улица Вишневского, д.1</t>
  </si>
  <si>
    <t>39035  Канализационная сеть прот 261,5 п.м.</t>
  </si>
  <si>
    <t>01.01.2009</t>
  </si>
  <si>
    <t>город Калуга, улица Тракторная,</t>
  </si>
  <si>
    <t>1052-п от 26.09.2008</t>
  </si>
  <si>
    <t>39009  Канализационная сеть прот 671 п.м.</t>
  </si>
  <si>
    <t>город Калуга, поселок Секиотово,</t>
  </si>
  <si>
    <t>39007  Коллектор напорный канализ.</t>
  </si>
  <si>
    <t>город Калуга, улица Калужская,</t>
  </si>
  <si>
    <t>39003  Канализационная  сеть  прот 418,5</t>
  </si>
  <si>
    <t>город Калуга, деревня Мстихино,</t>
  </si>
  <si>
    <t>39001  Канализационная  сеть  прот 3183,4</t>
  </si>
  <si>
    <t>город Калуга, улица Вишневского, 1</t>
  </si>
  <si>
    <t>38394  Сеть бытовой канализации</t>
  </si>
  <si>
    <t>31.01.2008</t>
  </si>
  <si>
    <t>город Калуга, улица Советская,</t>
  </si>
  <si>
    <t>38372 Канализация</t>
  </si>
  <si>
    <t>28.09.2007</t>
  </si>
  <si>
    <t>город Калуга, поселок Сосновый</t>
  </si>
  <si>
    <t>38204  Сети канализации</t>
  </si>
  <si>
    <t>09.11.2005</t>
  </si>
  <si>
    <t>город Калуга, улица Ленина,</t>
  </si>
  <si>
    <t>38203  Наружные сети канализации</t>
  </si>
  <si>
    <t>город Калуга, поселок Сосновый,</t>
  </si>
  <si>
    <t>38202  Сети канализации (напорные канализационные сети)</t>
  </si>
  <si>
    <t>город Калуга, улица Парижской Коммуны,</t>
  </si>
  <si>
    <t>38126  Канализационный коллектор</t>
  </si>
  <si>
    <t>31.10.2005</t>
  </si>
  <si>
    <t>город Калуга, улица Пролетарская, 23</t>
  </si>
  <si>
    <t>37681  Канализационный коллектор</t>
  </si>
  <si>
    <t>01.04.2005</t>
  </si>
  <si>
    <t>36960  Шкаф 2-х дв.</t>
  </si>
  <si>
    <t>01.08.2004</t>
  </si>
  <si>
    <t>город Калуга, улица,</t>
  </si>
  <si>
    <t>31641  НАРУЖНЫЕ СЕТИ КАНАЛИЗАЦИИ</t>
  </si>
  <si>
    <t>30.06.2004</t>
  </si>
  <si>
    <t>город Калуга,</t>
  </si>
  <si>
    <t>31640  Канализация D-1200</t>
  </si>
  <si>
    <t>город Калуга, улица 40 лет Октября,</t>
  </si>
  <si>
    <t>31639  Канализация</t>
  </si>
  <si>
    <t>г.Калуга ул. 40-летия Октября</t>
  </si>
  <si>
    <t>31638  Канализация</t>
  </si>
  <si>
    <t>31637  Канализация</t>
  </si>
  <si>
    <t>г.Калуга ул. 1-х Коммунаров, 16</t>
  </si>
  <si>
    <t>31636  Канализация</t>
  </si>
  <si>
    <t>248015,Калужская обл,Калуга г,Первых Коммунаров ул,12,</t>
  </si>
  <si>
    <t>31635  Канализация  D 1200</t>
  </si>
  <si>
    <t>г.Калуга ул. 1-х Коммунаров, 11</t>
  </si>
  <si>
    <t>31634  Канализация</t>
  </si>
  <si>
    <t>г.Калуга ул. Гвардейская, 15</t>
  </si>
  <si>
    <t>31633  Канализация</t>
  </si>
  <si>
    <t>31632  Канализация</t>
  </si>
  <si>
    <t>г.Калуга ул. Гвардейская, 14</t>
  </si>
  <si>
    <t>31631  Канализация</t>
  </si>
  <si>
    <t>г.Калуга ул. Гвардейская, 11</t>
  </si>
  <si>
    <t>31630  Канализация</t>
  </si>
  <si>
    <t>г.Калуга ул. Гвардейская, 10</t>
  </si>
  <si>
    <t>31629  Канализация</t>
  </si>
  <si>
    <t>г.Калуга ул. Гвардейская, 9</t>
  </si>
  <si>
    <t>31628  Канализация</t>
  </si>
  <si>
    <t>г.Калуга ул. Гвардейская, 8</t>
  </si>
  <si>
    <t>31627  Канализация</t>
  </si>
  <si>
    <t>г.Калуга ул. Гвардейская, 7</t>
  </si>
  <si>
    <t>31626  Канализация</t>
  </si>
  <si>
    <t>г.Калуга ул. Гвардейская, 5а</t>
  </si>
  <si>
    <t>31625  Канализация</t>
  </si>
  <si>
    <t>г.Калуга ул. Гвардейская, 5</t>
  </si>
  <si>
    <t>31624  Канализация</t>
  </si>
  <si>
    <t>г.Калуга ул. Гвардейская, 4</t>
  </si>
  <si>
    <t>31623  Канализация</t>
  </si>
  <si>
    <t>г.Калуга ул. Гвардейская, 3</t>
  </si>
  <si>
    <t>31622  Канализация</t>
  </si>
  <si>
    <t>г.Калуга ул. Гвардейская, 2</t>
  </si>
  <si>
    <t>31621  Канализация</t>
  </si>
  <si>
    <t>г.Калуга ул. Гвардейская, 1</t>
  </si>
  <si>
    <t>31620  Канализация</t>
  </si>
  <si>
    <t>31645  КАНАЛИЗАЦИЯ: ЧУГУН Ф 150мм,</t>
  </si>
  <si>
    <t>01.06.2004</t>
  </si>
  <si>
    <t>город Калуга, улица Кубяка, д.17</t>
  </si>
  <si>
    <t>31526  Канализация чуг. D-200</t>
  </si>
  <si>
    <t>31.05.2004</t>
  </si>
  <si>
    <t>город Калуга, поселок Турынино,</t>
  </si>
  <si>
    <t>31379  Канализация бытовая  Д-100ст., Д-200чуг.</t>
  </si>
  <si>
    <t>01.03.2004</t>
  </si>
  <si>
    <t>28974  ЛЕБЕДКА 0.5Т</t>
  </si>
  <si>
    <t>31.01.2004</t>
  </si>
  <si>
    <t>г. Калуга ул. Смоленская №1/32 и №3</t>
  </si>
  <si>
    <t>31240  Канализация Д-150 чуг.</t>
  </si>
  <si>
    <t>01.01.2004</t>
  </si>
  <si>
    <t>г. Калуга ул. Смоленская № 1/32 и №3</t>
  </si>
  <si>
    <t>31239  Канализация Д-150 а/ц</t>
  </si>
  <si>
    <t>город Калуга, деревня Колюпаново</t>
  </si>
  <si>
    <t>31195  Канализация Д-110мм п/э</t>
  </si>
  <si>
    <t>31.12.2003</t>
  </si>
  <si>
    <t>город Калуга, улица Кропоткина, д.4</t>
  </si>
  <si>
    <t>31186  Канализационный колодец ж/б</t>
  </si>
  <si>
    <t>город Калуга, поселок Резвань</t>
  </si>
  <si>
    <t>31173  Канализация Д-110 п/э</t>
  </si>
  <si>
    <t>31159  Канализация Д-110 п/э</t>
  </si>
  <si>
    <t>город Калуга, улица Грабцевское шоссе</t>
  </si>
  <si>
    <t>31152  Напорная канализация Д-160 п/э</t>
  </si>
  <si>
    <t>город Калуга, улица Горького</t>
  </si>
  <si>
    <t>31148  Канализационный коллектор Д-500 ж/б фут.</t>
  </si>
  <si>
    <t>город Калуга, улица Набережная</t>
  </si>
  <si>
    <t>увеличение стоимости всвязи с реконструкцией, дооборудованием</t>
  </si>
  <si>
    <t>31147  Береговой канализационный коллектор Д-630 ст.</t>
  </si>
  <si>
    <t>город Калуга</t>
  </si>
  <si>
    <t>31132  Канализация Д-160 п/э</t>
  </si>
  <si>
    <t>31011  Канализационный коллектор Д=820мм. ст.</t>
  </si>
  <si>
    <t>01.11.2003</t>
  </si>
  <si>
    <t>город Калуга, улица Курсантов</t>
  </si>
  <si>
    <t>29463  Канализация Д-150 ст.</t>
  </si>
  <si>
    <t>01.12.2002</t>
  </si>
  <si>
    <t>29462  Канализация 2Д-150 чуг.</t>
  </si>
  <si>
    <t>29461  Канализация Д-150 кер.</t>
  </si>
  <si>
    <t>город Калуга, улица Анненки, д.18</t>
  </si>
  <si>
    <t>29365  КАНАЛИЗАЦИЯ Д-200 А/Ц</t>
  </si>
  <si>
    <t>01.10.2002</t>
  </si>
  <si>
    <t>город Калуга, улица Хрустальная, д.1</t>
  </si>
  <si>
    <t>29259  Канализация Д-150 кер.</t>
  </si>
  <si>
    <t>01.07.2002</t>
  </si>
  <si>
    <t>г.Калуга ул.Чичерина, д.30</t>
  </si>
  <si>
    <t>29168  КАНАЛИЗАЦИЯ Д=150 ЧУГ.</t>
  </si>
  <si>
    <t>01.06.2002</t>
  </si>
  <si>
    <t>г.Калуга, ул. Московская, д.232</t>
  </si>
  <si>
    <t>29165  КАНАЛИЗАЦИЯ Д=100 ЧУГ.</t>
  </si>
  <si>
    <t>г.Калуга УЛ.ПУХОВА 48/24</t>
  </si>
  <si>
    <t>29163  КАНАЛИЗАЦИЯ Д=100 КЕР.</t>
  </si>
  <si>
    <t>г.Калуга УЛ.ПУХОВА 46 К.1</t>
  </si>
  <si>
    <t>29162  КАНАЛИЗАЦИЯ Д=150 ЧУГ.</t>
  </si>
  <si>
    <t>город Калуга, лит.II микрорайон № 31 б-р Байконур</t>
  </si>
  <si>
    <t>29143  КАНАЛИЗАЦИЯ D 150, А/Ц</t>
  </si>
  <si>
    <t>01.05.2002</t>
  </si>
  <si>
    <t>город Калуга, улица Новослободская, д.25</t>
  </si>
  <si>
    <t>29140  Канализация Д-100-150 кер.</t>
  </si>
  <si>
    <t>город Калуга, улица Калужского ополчения, д.3</t>
  </si>
  <si>
    <t>29080  КАНАЛИЗАЦИЯ D 150, ЧУГ</t>
  </si>
  <si>
    <t>01.04.2002</t>
  </si>
  <si>
    <t>29077  КАНАЛИЗАЦИЯ D 200, ЧУГ</t>
  </si>
  <si>
    <t>29025  ЛЕБЕДКА 0.5Т</t>
  </si>
  <si>
    <t>01.02.2002</t>
  </si>
  <si>
    <t>город Калуга, улица Жукова, д.38</t>
  </si>
  <si>
    <t>28855  Канализация Д-150 кер.</t>
  </si>
  <si>
    <t>31.12.2001</t>
  </si>
  <si>
    <t>город Калуга, улица Жукова, д.55</t>
  </si>
  <si>
    <t>28854  Канализация Д-150 кер.</t>
  </si>
  <si>
    <t>город Калуга, улица Новаторская, д.32</t>
  </si>
  <si>
    <t>28853  Канализация Д-150 а/ц</t>
  </si>
  <si>
    <t>город Калуга, улица Болотникова, д.16</t>
  </si>
  <si>
    <t>28852  Канализация Д-150 кер.</t>
  </si>
  <si>
    <t>город Калуга, улица Болотникова, д.11</t>
  </si>
  <si>
    <t>28851  Канализация Д-150 кер.</t>
  </si>
  <si>
    <t>город Калуга, улица Ленина, д.16</t>
  </si>
  <si>
    <t>28850  Канализация Д-150 кер.</t>
  </si>
  <si>
    <t>город Калуга, улица, д.2</t>
  </si>
  <si>
    <t>28849  Канализация Д-150 кер.</t>
  </si>
  <si>
    <t>город Калуга, улица В.Андриановой, д.24</t>
  </si>
  <si>
    <t>28848  Канализация Д-150 кер.</t>
  </si>
  <si>
    <t>город Калуга, улица В.Андриановой, д.70</t>
  </si>
  <si>
    <t>28847  Канализация Д-150 кер.</t>
  </si>
  <si>
    <t>город Калуга, улица В.Андриановой, д.68</t>
  </si>
  <si>
    <t>28846  Канализация Д-150-200 кер.</t>
  </si>
  <si>
    <t>город Калуга, улица Ленина, д.59</t>
  </si>
  <si>
    <t>28845  Канализация Д-150-200 чуг.</t>
  </si>
  <si>
    <t>город Калуга, улица Ленина, д.53</t>
  </si>
  <si>
    <t>28844  Канализация Д-150 кер.</t>
  </si>
  <si>
    <t>город Калуга, улица Ленина, д.27 корп.1</t>
  </si>
  <si>
    <t>28843  Канализация Д-100 чуг.</t>
  </si>
  <si>
    <t>город Калуга, улица Ленина, д.25</t>
  </si>
  <si>
    <t>28842  Канализация Д-150 чуг.</t>
  </si>
  <si>
    <t>город Калуга, улица Горького, д.3 корп.1</t>
  </si>
  <si>
    <t>28840  Канализация Д-150 чуг.</t>
  </si>
  <si>
    <t>город Калуга, улица Новаторская, д.13</t>
  </si>
  <si>
    <t>28839  Канализация Д-150-250 чуг.</t>
  </si>
  <si>
    <t>город Калуга, улица Молодежная, д.20</t>
  </si>
  <si>
    <t>28838  Канализация Д-150 чуг.</t>
  </si>
  <si>
    <t>город Калуга, улица Баррикад, д.139</t>
  </si>
  <si>
    <t>28837  Канализация Д-200 кер.</t>
  </si>
  <si>
    <t>город Калуга, улица Платова, д.22</t>
  </si>
  <si>
    <t>28836  Канализация Д-150 чуг.</t>
  </si>
  <si>
    <t>город Калуга, улица Клюквина, д.27</t>
  </si>
  <si>
    <t>28835  Канализация Д-200 чуг.</t>
  </si>
  <si>
    <t>город Калуга, улица Клюквина, д.1</t>
  </si>
  <si>
    <t>28834  Канализация Д-250 чуг.</t>
  </si>
  <si>
    <t>город Калуга, улица Моторная,</t>
  </si>
  <si>
    <t>28833  Канализация Д-150 кер.</t>
  </si>
  <si>
    <t>город Калуга, улица Моторная, 36/15, 38, 42, 44, 46, 48</t>
  </si>
  <si>
    <t>28832  Канализация Д-150 кер.</t>
  </si>
  <si>
    <t>город Калуга, улица Чехова, 15, 17</t>
  </si>
  <si>
    <t>28831  Канализация Д-200 кер.</t>
  </si>
  <si>
    <t>28830  Канализация Д-150 кер.</t>
  </si>
  <si>
    <t>город Калуга, улица Чехова,</t>
  </si>
  <si>
    <t>28829  Канализация Д-150 кер.</t>
  </si>
  <si>
    <t>город Калуга, улица Чехова, д.7</t>
  </si>
  <si>
    <t>28828  Канализация Д-150 кер.</t>
  </si>
  <si>
    <t>город Калуга, улица Жукова, д.50</t>
  </si>
  <si>
    <t>28827  Канализация Д-150 кер.</t>
  </si>
  <si>
    <t>город Калуга, улица Жукова, д.49</t>
  </si>
  <si>
    <t>28826  Канализация Д-150 кер.</t>
  </si>
  <si>
    <t>город Калуга, улица Жукова, д.47</t>
  </si>
  <si>
    <t>28825  Канализация Д-250 кер.</t>
  </si>
  <si>
    <t>город Калуга, улица Жукова, д.46</t>
  </si>
  <si>
    <t>28824  Канализация Д-150 кер.</t>
  </si>
  <si>
    <t>город Калуга, улица Жукова, д.45</t>
  </si>
  <si>
    <t>28823  Канализация Д-150 кер.</t>
  </si>
  <si>
    <t>город Калуга, улица Жукова, д.43</t>
  </si>
  <si>
    <t>28822  Канализация Д-150 кер.</t>
  </si>
  <si>
    <t>город Калуга, улица Жукова, д.41</t>
  </si>
  <si>
    <t>28821  Канализация Д-150 кер.</t>
  </si>
  <si>
    <t>город Калуга, улица Жукова, д.31</t>
  </si>
  <si>
    <t>28820  Канализация Д-150 кер.</t>
  </si>
  <si>
    <t>город Калуга, улица Жукова, д.29</t>
  </si>
  <si>
    <t>28819  Канализация Д-150 кер.</t>
  </si>
  <si>
    <t>город Калуга, улица Жукова, д.27</t>
  </si>
  <si>
    <t>28818  Канализация Д-150 кер.</t>
  </si>
  <si>
    <t>город Калуга, улица Жукова, д.25</t>
  </si>
  <si>
    <t>28817  Канализация Д-150 кер.</t>
  </si>
  <si>
    <t>город Калуга, улица Поле Свободы, д.28</t>
  </si>
  <si>
    <t>28776  КАНАЛИЗАЦИЯ D200, КЕР</t>
  </si>
  <si>
    <t>город Калуга, улица Поле Свободы, д.24</t>
  </si>
  <si>
    <t>28775  КАНАЛИЗАЦИЯ D200, КЕР</t>
  </si>
  <si>
    <t>город Калуга, улица Московская, д.71</t>
  </si>
  <si>
    <t>28774  КАНАЛИЗАЦИЯ D200, ЧУГ</t>
  </si>
  <si>
    <t>город Калуга, улица Поле Свободы, д.24а</t>
  </si>
  <si>
    <t>28773  КАНАЛИЗАЦИЯ D200, КЕР</t>
  </si>
  <si>
    <t>город Калуга, улица Поле Свободы, д.38</t>
  </si>
  <si>
    <t>28772  КАНАЛИЗАЦИЯ D150, КЕР</t>
  </si>
  <si>
    <t>город Калуга, улица Поле Свободы, д.36</t>
  </si>
  <si>
    <t>28771  КАНАЛИЗАЦИЯ D150, КЕР</t>
  </si>
  <si>
    <t>город Калуга, улица Поле Свободы, д.32</t>
  </si>
  <si>
    <t>28770  КАНАЛИЗАЦИЯ D150, КЕР</t>
  </si>
  <si>
    <t>город Калуга, улица Поле Свободы, д.30</t>
  </si>
  <si>
    <t>28769  КАНАЛИЗАЦИЯ D200, КЕР</t>
  </si>
  <si>
    <t>город Калуга, улица Поле Свободы, д.26</t>
  </si>
  <si>
    <t>28768  КАНАЛИЗАЦИЯ D200, КЕР</t>
  </si>
  <si>
    <t>город Калуга, улица Поле Свободы, д.34</t>
  </si>
  <si>
    <t>28767  КАНАЛИЗАЦИЯ D150, КЕР</t>
  </si>
  <si>
    <t>город Калуга, улица Телевизионная, д.33</t>
  </si>
  <si>
    <t>28766  КАНАЛИЗАЦИЯ D200, КЕР</t>
  </si>
  <si>
    <t>28765  КАНАЛИЗАЦИЯ D250, КЕР</t>
  </si>
  <si>
    <t>город Калуга, улица Телевизионная, д.35</t>
  </si>
  <si>
    <t>28764  КАНАЛИЗАЦИЯ D200, КЕР</t>
  </si>
  <si>
    <t>город Калуга, улица Телевизионная, д.37</t>
  </si>
  <si>
    <t>28763  КАНАЛИЗАЦИЯ D250, КЕР</t>
  </si>
  <si>
    <t>г.Калуга УЛ. ТЕЛЕВИЗИОННАЯ 37</t>
  </si>
  <si>
    <t>28762  КАНАЛИЗАЦИЯ D200, КЕР</t>
  </si>
  <si>
    <t>город Калуга, улица Телевизионная, д.39</t>
  </si>
  <si>
    <t>28761  КАНАЛИЗАЦИЯ D150, КЕР</t>
  </si>
  <si>
    <t>город Калуга, улица Телевизионная, д.41</t>
  </si>
  <si>
    <t>28760  КАНАЛИЗАЦИЯ D200, КЕР</t>
  </si>
  <si>
    <t>город Калуга, улица Телевизионная, д.43</t>
  </si>
  <si>
    <t>28759  КАНАЛИЗАЦИЯ D200, КЕР</t>
  </si>
  <si>
    <t>город Калуга, улица Телевизионная, д.45</t>
  </si>
  <si>
    <t>28758  КАНАЛИЗАЦИЯ D150, КЕР</t>
  </si>
  <si>
    <t>город Калуга, улица Телевизионная, д.47</t>
  </si>
  <si>
    <t>28757  КАНАЛИЗАЦИЯ D150, КЕР</t>
  </si>
  <si>
    <t>город Калуга, улица Телевизионная, д.49</t>
  </si>
  <si>
    <t>28756  КАНАЛИЗАЦИЯ D150, КЕР</t>
  </si>
  <si>
    <t>город Калуга, улица Телевизионная, д.51</t>
  </si>
  <si>
    <t>28755  КАНАЛИЗАЦИЯ D150, КЕР</t>
  </si>
  <si>
    <t>город Калуга, улица Телевизионная, д.53</t>
  </si>
  <si>
    <t>28754  КАНАЛИЗАЦИЯ D150, КЕР</t>
  </si>
  <si>
    <t>город Калуга, улица Телевизионная, д.55</t>
  </si>
  <si>
    <t>28753  КАНАЛИЗАЦИЯ D150, КЕР</t>
  </si>
  <si>
    <t>город Калуга, улица Чичерина, д.23</t>
  </si>
  <si>
    <t>28752  КАНАЛИЗАЦИЯ D100, ЧУГ</t>
  </si>
  <si>
    <t>28751  КАНАЛИЗАЦИЯ D150, КЕР</t>
  </si>
  <si>
    <t>город Калуга, улица Московская, д.131</t>
  </si>
  <si>
    <t>28750  КАНАЛИЗАЦИЯ D150, КЕР</t>
  </si>
  <si>
    <t>город Калуга, улица К.Либкнехта, д.17</t>
  </si>
  <si>
    <t>28749  КАНАЛИЗАЦИЯ D150, КЕР</t>
  </si>
  <si>
    <t>город Калуга, улица Чижевского, д.3/66</t>
  </si>
  <si>
    <t>28748  КАНАЛИЗАЦИЯ D150, КЕР</t>
  </si>
  <si>
    <t>город Калуга, улица Ленина, д.62</t>
  </si>
  <si>
    <t>28747  КАНАЛИЗАЦИЯ D150, ЧУГ</t>
  </si>
  <si>
    <t>город Калуга, улица Ленина, д.38</t>
  </si>
  <si>
    <t>28746  КАНАЛИЗАЦИЯ D150, ЧУГ</t>
  </si>
  <si>
    <t>город Калуга, улица Баррикад, д.124</t>
  </si>
  <si>
    <t>28745  КАНАЛИЗАЦИЯ D150, КЕР</t>
  </si>
  <si>
    <t>город Калуга, улица Пухова, д.45</t>
  </si>
  <si>
    <t>28744  КАНАЛИЗАЦИЯ D150, КЕР</t>
  </si>
  <si>
    <t>город Калуга, улица Пухова, д.41</t>
  </si>
  <si>
    <t>28743  КАНАЛИЗАЦИЯ D200, КЕР</t>
  </si>
  <si>
    <t>город Калуга, улица Пухова, д.29</t>
  </si>
  <si>
    <t>28742  КАНАЛИЗАЦИЯ D200, КЕР</t>
  </si>
  <si>
    <t>город Калуга, улица Пухова, д.23</t>
  </si>
  <si>
    <t>28741  КАНАЛИЗАЦИЯ D150, КЕР</t>
  </si>
  <si>
    <t>город Калуга, улица Пухова, д.27/25</t>
  </si>
  <si>
    <t>28740  КАНАЛИЗАЦИЯ D150, КЕР</t>
  </si>
  <si>
    <t>28739  КАНАЛИЗАЦИЯ D100, ЧУГ</t>
  </si>
  <si>
    <t>город Калуга, улица Декабристов, д.13</t>
  </si>
  <si>
    <t>28705  КАНАЛИЗАЦИЯ D150, КЕР</t>
  </si>
  <si>
    <t>город Калуга, улица Кирова, д.47</t>
  </si>
  <si>
    <t>28704  КАНАЛИЗАЦИЯ D150, КЕР</t>
  </si>
  <si>
    <t>28703  КАНАЛИЗАЦИЯ D200, КЕР</t>
  </si>
  <si>
    <t>город Калуга, улица Московская, д.36</t>
  </si>
  <si>
    <t>28702  КАНАЛИЗАЦИЯ D200, КЕР</t>
  </si>
  <si>
    <t>город Калуга, улица Рылеева, д.46</t>
  </si>
  <si>
    <t>28701  КАНАЛИЗАЦИЯ D150, ЧУГ</t>
  </si>
  <si>
    <t>28080  КОЛЛЕКТ. ПРОИЗВ. СТОКОВ D300,КЕР</t>
  </si>
  <si>
    <t>28079  ВНУТРИПЛ. ПРОИЗВ. СТОКИ D150,КЕР</t>
  </si>
  <si>
    <t>город Калуга, поселок Резвань,</t>
  </si>
  <si>
    <t>28078  ВНУТРИПЛ. ПРОИЗВ. СТОКИ D150,СТАЛЬ</t>
  </si>
  <si>
    <t>28077  ВНУТРИПЛ. ПРОИЗВ. СТОКИ D150,А/Ц</t>
  </si>
  <si>
    <t>28076  ВНУТРИПЛ. ПРОИЗВ. СТОКИ D200, ЧУГ</t>
  </si>
  <si>
    <t>28075  ВНУТРИПЛ. ПРОИЗВ. СТОКИ D150,А/Ц</t>
  </si>
  <si>
    <t>28074  ВНУТРИПЛ. ПРОИЗВ. СТОКИ D100,А/Ц</t>
  </si>
  <si>
    <t>28073  КАНАЛИЗАЦИЯ D150,КЕР</t>
  </si>
  <si>
    <t>28072  КАНАЛИЗАЦИЯ D200,КЕР</t>
  </si>
  <si>
    <t>28071  КАНАЛИЗАЦИЯ D200,КЕР</t>
  </si>
  <si>
    <t>28070  КАНАЛИЗАЦИЯ D200,КЕР</t>
  </si>
  <si>
    <t>28069  КАНАЛИЗАЦИЯ D200,КЕР</t>
  </si>
  <si>
    <t>28068  КАНАЛИЗАЦИЯ D150,КЕР</t>
  </si>
  <si>
    <t>28067  КАНАЛИЗАЦИЯ D150,КЕР</t>
  </si>
  <si>
    <t>28066  КАНАЛИЗАЦИЯ D150,КЕР</t>
  </si>
  <si>
    <t>28065  КАНАЛИЗАЦИЯ D150,КЕР</t>
  </si>
  <si>
    <t>28064  КАНАЛИЗАЦИЯ D200,КЕР</t>
  </si>
  <si>
    <t>28063  КАНАЛИЗАЦИЯ D100, ЧУГ</t>
  </si>
  <si>
    <t>28062  КАНАЛИЗАЦИЯ D150, КЕР</t>
  </si>
  <si>
    <t>28061  КАНАЛИЗАЦИЯ D250, КЕР</t>
  </si>
  <si>
    <t>28060  КАНАЛИЗАЦИЯ D200, КЕР</t>
  </si>
  <si>
    <t>28059  САМОТЕЧ К/КОЛЛЕКТОР D100, ЧУГ</t>
  </si>
  <si>
    <t>28058  САМОТЕЧНЫЙ К/КОЛЛЕКТОР D200, КЕР</t>
  </si>
  <si>
    <t>28057  К/КОЛЛЕКТОР D150, СТАЛЬ</t>
  </si>
  <si>
    <t>28056  К/КОЛЛЕКТОР D200,ЧУГ</t>
  </si>
  <si>
    <t>город Калуга, улица Тарутинская, д.186/1</t>
  </si>
  <si>
    <t>27927  Канализация Д-150 кер.</t>
  </si>
  <si>
    <t>город Калуга, улица Промышленная, д.10</t>
  </si>
  <si>
    <t>27926  Канализация Д-250 кер.</t>
  </si>
  <si>
    <t>город Калуга, переулок Малинники, д.11</t>
  </si>
  <si>
    <t>27925  Канализация Д-150 кер.</t>
  </si>
  <si>
    <t>город Калуга, переулок Малинники, д.15</t>
  </si>
  <si>
    <t>27924  Канализация Д-150 кер.</t>
  </si>
  <si>
    <t>27831  КАНАЛИЗАЦИЯ D200 ЧУГ.</t>
  </si>
  <si>
    <t>27830  КАНАЛИЗАЦИЯ D200 А\Ц</t>
  </si>
  <si>
    <t>27829  КАНАЛИЗАЦИЯ D200 А\Ц</t>
  </si>
  <si>
    <t>27828  КАНАЛИЗАЦИЯ D200 А\Ц</t>
  </si>
  <si>
    <t>27827  КАНАЛИЗАЦИЯ D400 Ж\Б</t>
  </si>
  <si>
    <t>27826  КАНАЛИЗАЦИЯ D700 ЧУГ.</t>
  </si>
  <si>
    <t>27825  КАНАЛИЗАЦИЯ D800 Ж\Б</t>
  </si>
  <si>
    <t>27824  КАНАЛИЗАЦИЯ D400 А\Ц</t>
  </si>
  <si>
    <t>27823  КАНАЛИЗАЦИЯ D150 А\Ц</t>
  </si>
  <si>
    <t>27822  КАНАЛИЗАЦИЯ D150 А\Ц</t>
  </si>
  <si>
    <t>27821  КАНАЛИЗАЦИЯ D200 А\Ц</t>
  </si>
  <si>
    <t>27820  КАНАЛИЗАЦИЯ D200 А\Ц</t>
  </si>
  <si>
    <t>27819  КАНАЛИЗАЦИЯ D300 А\Ц</t>
  </si>
  <si>
    <t>27818  КАНАЛИЗАЦИЯ D150 А\Ц</t>
  </si>
  <si>
    <t>27817  КАНАЛИЗАЦИЯ D200 А\Ц</t>
  </si>
  <si>
    <t>27816  КАНАЛИЗАЦИЯ D150 А\Ц</t>
  </si>
  <si>
    <t>27815  КАНАЛИЗАЦИЯ D200 А\Ц</t>
  </si>
  <si>
    <t>27814  КАНАЛИЗАЦИЯ D200 А\Ц</t>
  </si>
  <si>
    <t>27813  КАНАЛИЗАЦИЯ D100 А\Ц</t>
  </si>
  <si>
    <t>27812  КАНАЛИЗАЦИЯ D100 А\Ц</t>
  </si>
  <si>
    <t>27811  КАНАЛИЗАЦИЯ D100 А\Ц</t>
  </si>
  <si>
    <t>27810  КАНАЛИЗАЦИЯ D200 А\Ц</t>
  </si>
  <si>
    <t>27809  КАНАЛИЗАЦИЯ D250 А\Ц</t>
  </si>
  <si>
    <t>27808  КАНАЛИЗАЦИЯ D150 А\Ц</t>
  </si>
  <si>
    <t>27807  КАНАЛИЗАЦИЯ D200 А\Ц</t>
  </si>
  <si>
    <t>27806  КАНАЛИЗАЦИЯ D200 А\Ц</t>
  </si>
  <si>
    <t>27805  КАНАЛИЗАЦИЯ D100 ЧУГ.</t>
  </si>
  <si>
    <t>27804  КАНАЛИЗАЦИЯ D100 А\Ц</t>
  </si>
  <si>
    <t>27803  КАНАЛИЗАЦИЯ D200 А\Ц</t>
  </si>
  <si>
    <t>27802  КАНАЛИЗАЦИЯ D150 А\Ц</t>
  </si>
  <si>
    <t>27801  КАНАЛИЗАЦИЯ D200 А\Ц</t>
  </si>
  <si>
    <t>27800  КАНАЛИЗАЦИЯ D150 А\Ц</t>
  </si>
  <si>
    <t>27799  КАНАЛИЗАЦИЯ D150 А\Ц</t>
  </si>
  <si>
    <t>27798  КАНАЛИЗАЦИЯ D200 ЧУГ.</t>
  </si>
  <si>
    <t>27797  КАНАЛИЗАЦИЯ D250 А\Ц</t>
  </si>
  <si>
    <t>27796  КАНАЛИЗАЦИЯ D150 А\Ц</t>
  </si>
  <si>
    <t>27795  КАНАЛИЗАЦИЯ D200 А\Ц</t>
  </si>
  <si>
    <t>27794  КАНАЛИЗАЦИЯ D200 ЧУГ.</t>
  </si>
  <si>
    <t>27793  КАНАЛИЗАЦИЯ D150 А\Ц</t>
  </si>
  <si>
    <t>27792  КАНАЛИЗАЦИЯ D200 А\Ц</t>
  </si>
  <si>
    <t>27791  КАНАЛИЗАЦИЯ D400 ЧУГ.</t>
  </si>
  <si>
    <t>27790  КАНАЛИЗАЦИЯ D200 ЧУГ.</t>
  </si>
  <si>
    <t>27789  КАНАЛИЗАЦИЯ D150 ЧУГ.</t>
  </si>
  <si>
    <t>27787  Канализация Д-300 а/ц</t>
  </si>
  <si>
    <t>27786  Канализация Д-250 чуг.</t>
  </si>
  <si>
    <t>город Калуга, улица Подгорная, д.57</t>
  </si>
  <si>
    <t>27785  Канализация Д-150 кер.</t>
  </si>
  <si>
    <t>город Калуга, улица Л.Толстого, д.1</t>
  </si>
  <si>
    <t>27676  Канализация Д-159 ст.</t>
  </si>
  <si>
    <t>город Калуга, улица Болотникова, д.14</t>
  </si>
  <si>
    <t>27212  Канализация Д-150 кер.</t>
  </si>
  <si>
    <t>город Калуга, улица Турынинская, д.15</t>
  </si>
  <si>
    <t>25917  Канализация Д-150 кер.</t>
  </si>
  <si>
    <t>г.Калуга БУЛЬВАР МОТОРОСТРОИТЕЛЕЙ 3</t>
  </si>
  <si>
    <t>28914  КАНАЛИЗАЦИЯ D150, А/Ц</t>
  </si>
  <si>
    <t>01.12.2001</t>
  </si>
  <si>
    <t>город Калуга, улица Дружбы, д.19</t>
  </si>
  <si>
    <t>28912  Канализация Д-150 а/ц</t>
  </si>
  <si>
    <t>г.Калуга УЛ. БАРРИКАД 126, К1</t>
  </si>
  <si>
    <t>28910  КАНАЛИЗАЦИЯ D150, КЕР</t>
  </si>
  <si>
    <t>город Калуга, улица Ленина, 17(19)</t>
  </si>
  <si>
    <t>28841  Канализация Д-150 чуг.</t>
  </si>
  <si>
    <t>01.11.2001</t>
  </si>
  <si>
    <t>город Калуга, переулок Красноармейский 2-й, д.2а</t>
  </si>
  <si>
    <t>28412  КАНАЛИЗАЦИЯ D150, ЧУГ</t>
  </si>
  <si>
    <t>01.05.2001</t>
  </si>
  <si>
    <t>28411  Канализация Д-150 а/ц</t>
  </si>
  <si>
    <t>28410  Канализация Д-150 кер.</t>
  </si>
  <si>
    <t>28409  Канализация Д-150 чуг.</t>
  </si>
  <si>
    <t>г.Калуга Московский р-н КИБАЛЬЧИЧА 18</t>
  </si>
  <si>
    <t>34832  КОЛОДЦЫ Ж/Б</t>
  </si>
  <si>
    <t>01.03.2001</t>
  </si>
  <si>
    <t>34831  КОЛОДЦЫ Ж/Б</t>
  </si>
  <si>
    <t>34830  КОЛОДЦЫ Ж/Б</t>
  </si>
  <si>
    <t>г.Калуга КИБАЛЬЧИЧА 18</t>
  </si>
  <si>
    <t>28328  КОЛОДЦЫ Ж/Б</t>
  </si>
  <si>
    <t>28327  КАНАЛИЗАЦИЯ D200 КЕР.</t>
  </si>
  <si>
    <t>город Калуга, переулок Аэропортовский, д.1</t>
  </si>
  <si>
    <t>28916  Канализация Д-100 чуг.</t>
  </si>
  <si>
    <t>01.02.2001</t>
  </si>
  <si>
    <t>г.Калуга Д.МСТИХИНО</t>
  </si>
  <si>
    <t>33354  Ж/Б КОЛОДЦЫ</t>
  </si>
  <si>
    <t>01.12.2000</t>
  </si>
  <si>
    <t>33353  Ж/Б КОЛОДЦЫ</t>
  </si>
  <si>
    <t>33352  Ж/Б КОЛОДЦЫ</t>
  </si>
  <si>
    <t>33351  Ж/Б КОЛОДЦЫ</t>
  </si>
  <si>
    <t>33350  Ж/Б КОЛОДЦЫ</t>
  </si>
  <si>
    <t>33349  Ж/Б КОЛОДЦЫ</t>
  </si>
  <si>
    <t>33348  Ж/Б КОЛОДЦЫ</t>
  </si>
  <si>
    <t>33347  Ж/Б КОЛОДЦЫ</t>
  </si>
  <si>
    <t>33346  Ж/Б КОЛОДЦЫ</t>
  </si>
  <si>
    <t>33345  Ж/Б КОЛОДЦЫ</t>
  </si>
  <si>
    <t>33344  Ж/Б КОЛОДЦЫ</t>
  </si>
  <si>
    <t>33343  Ж/Б КОЛОДЦЫ</t>
  </si>
  <si>
    <t>город Калуга, деревня Мстихино</t>
  </si>
  <si>
    <t>28183  СЕТИ КАНАЛИЗАЦИИ D250 КЕР</t>
  </si>
  <si>
    <t>28182  Ж/Б КОЛОДЦЫ</t>
  </si>
  <si>
    <t>28181  САМОТЕЧНАЯ КАНАЛИЗАЦИЯ D400 КЕР</t>
  </si>
  <si>
    <t>28180  НАПОРНЫЙ К/КОЛЛЕКТОР D150 ЧУГ</t>
  </si>
  <si>
    <t>город Калуга, улица Генерала Попова, д.18 корп.3</t>
  </si>
  <si>
    <t>28175  КАНАЛИЗАЦИЯ D300 ЧУГ</t>
  </si>
  <si>
    <t>28173  КАНАЛИЗАЦИЯ D200, А/Ц</t>
  </si>
  <si>
    <t>01.11.2000</t>
  </si>
  <si>
    <t>город Калуга, улица Академическая</t>
  </si>
  <si>
    <t>28145  К/КОЛЛЕКТОР D600,ЧУГ</t>
  </si>
  <si>
    <t>город Калуга, улица Академическая,</t>
  </si>
  <si>
    <t>28144  К/КОЛЛЕКТОР D600,СТАЛЬ</t>
  </si>
  <si>
    <t>город Калуга, улица Проезжая, д.16</t>
  </si>
  <si>
    <t>28026  Канализация Д-200 кер.</t>
  </si>
  <si>
    <t>01.10.2000</t>
  </si>
  <si>
    <t>28025  Канализация Д-200 чуг.</t>
  </si>
  <si>
    <t>28024  Канализация Д-150 чуг.</t>
  </si>
  <si>
    <t>город Калуга, улица Моторная, д.30</t>
  </si>
  <si>
    <t>28023  Канализация Д-150 чуг.</t>
  </si>
  <si>
    <t>город Калуга, улица Хрустальная, д.74</t>
  </si>
  <si>
    <t>28022  Канализация Д-300 кер.</t>
  </si>
  <si>
    <t>28021  Канализация Д-200 кер.</t>
  </si>
  <si>
    <t>город Калуга, улица Хрустальная, д.70</t>
  </si>
  <si>
    <t>28020  Канализация Д-150 чуг.</t>
  </si>
  <si>
    <t>город Калуга, улица Хрустальная, д.68</t>
  </si>
  <si>
    <t>28019  Канализация Д-150 чуг.</t>
  </si>
  <si>
    <t>город Калуга, улица Хрустальная, д.33</t>
  </si>
  <si>
    <t>28018  Канализация Д-150 кер.</t>
  </si>
  <si>
    <t>город Калуга, улица Хрустальная, д.35</t>
  </si>
  <si>
    <t>28017  Канализация Д-150 кер.</t>
  </si>
  <si>
    <t>город Калуга, улица Чехова, д.13</t>
  </si>
  <si>
    <t>28016  Канализация Д-150 кер.</t>
  </si>
  <si>
    <t>город Калуга, улица Моторная, д.15</t>
  </si>
  <si>
    <t>28015  Канализация Д-150 кер.</t>
  </si>
  <si>
    <t>28014  Канализация Д-100 чуг.</t>
  </si>
  <si>
    <t>город Калуга, улица Жукова, д.40</t>
  </si>
  <si>
    <t>28013  Канализация Д-200 кер.</t>
  </si>
  <si>
    <t>город Калуга, улица Пионерская, д.9</t>
  </si>
  <si>
    <t>28001  КАНАЛИЗАЦИЯ D150 А/Ц</t>
  </si>
  <si>
    <t>город Калуга, улица М.Горького, д.6</t>
  </si>
  <si>
    <t>27919  КАНАЛИЗ D150 А/Ц</t>
  </si>
  <si>
    <t>01.08.2000</t>
  </si>
  <si>
    <t>27918  КАНАЛИЗАЦИЯ D150 ЧУГ.</t>
  </si>
  <si>
    <t>г. Калуга, ул.Огарева, д. 40, корп. 1</t>
  </si>
  <si>
    <t>27781 Дворовая канализация Д-300 СТ. L 14,6 п.м., глубина 2,5 м: г.Калуга, ул.Ограева, д.4</t>
  </si>
  <si>
    <t>01.07.2000</t>
  </si>
  <si>
    <t>27778  КАНАЛИЗАЦИЯ D150 А\Ц</t>
  </si>
  <si>
    <t>27774  КАНАЛИЗАЦИЯ D150 ЧУГ.</t>
  </si>
  <si>
    <t>27773  КАНАЛИЗАЦИЯ D219 СТАЛЬ</t>
  </si>
  <si>
    <t>27772  КАНАЛИЗАЦИЯ D150 А\Ц</t>
  </si>
  <si>
    <t>город Калуга, бульвар Моторостроителей, 12</t>
  </si>
  <si>
    <t>27673  КАНАЛИЗАЦИЯ П/Э D200</t>
  </si>
  <si>
    <t>01.05.2000</t>
  </si>
  <si>
    <t>27672  КАНАЛИЗАЦИЯ А\Ц D150</t>
  </si>
  <si>
    <t>город Калуга, улица Луначарского, д.70</t>
  </si>
  <si>
    <t>27661  Канализация Д-160 п/э</t>
  </si>
  <si>
    <t>01.04.2000</t>
  </si>
  <si>
    <t>город Калуга, улица Гурьянова, д.18 корп.2</t>
  </si>
  <si>
    <t>27572  КАНАЛИЗАЦИЯ D150 АСБЕСТ</t>
  </si>
  <si>
    <t>01.01.2000</t>
  </si>
  <si>
    <t>27560  КАНАЛИЗАЦИОННЫЕ КОЛОДЦЫ</t>
  </si>
  <si>
    <t>01.12.1999</t>
  </si>
  <si>
    <t>город Калуга, улица Карачевская, д.19 корп.1</t>
  </si>
  <si>
    <t>27544  КАНАЛИЗАЦИЯ D-100 ЧУГ.</t>
  </si>
  <si>
    <t>город Калуга, улица Пионерская, д.21 корп.1</t>
  </si>
  <si>
    <t>27392  КАНАЛИЗАЦИЯ D-150 ЧУГ.</t>
  </si>
  <si>
    <t>г.Калуга, ул. Пестеля, д.15А</t>
  </si>
  <si>
    <t>27391  КАНАЛИЗАЦИЯ D-250 ЧУГ.</t>
  </si>
  <si>
    <t>город Калуга, улица Рылеева, д.39</t>
  </si>
  <si>
    <t>27387  КАНАЛИЗАЦИЯ D-150 КЕР.</t>
  </si>
  <si>
    <t>город Калуга, улица Л.Толстого, д.43</t>
  </si>
  <si>
    <t>27296  Канализация Д-200 чуг.</t>
  </si>
  <si>
    <t>01.10.1999</t>
  </si>
  <si>
    <t>27295  Канализация Д-150 чуг.</t>
  </si>
  <si>
    <t>город Калуга, улица Новослободская, д.20</t>
  </si>
  <si>
    <t>27293  Канализация Д-100 чуг.</t>
  </si>
  <si>
    <t>город Калуга, улица Карачевская, д.25</t>
  </si>
  <si>
    <t>27291  КАНАЛИЗАЦИЯ D-150 ЧУГ.</t>
  </si>
  <si>
    <t>27290  КАНАЛИЗАЦИЯ D-150 КЕР.</t>
  </si>
  <si>
    <t>город Калуга, улица Карачевская, д.23</t>
  </si>
  <si>
    <t>27289  КАНАЛИЗАЦИЯ D-100 ЧУГ.</t>
  </si>
  <si>
    <t>город Калуга, улица Карачевская, д.21</t>
  </si>
  <si>
    <t>27288  КАНАЛИЗАЦИЯ D-150 КЕР.</t>
  </si>
  <si>
    <t>27287  КАНАЛИЗАЦИЯ D-150 ЧУГ.</t>
  </si>
  <si>
    <t>город Калуга, улица В.Андриановой, д.26</t>
  </si>
  <si>
    <t>27269  Канализация Д-200 кер.</t>
  </si>
  <si>
    <t>01.09.1999</t>
  </si>
  <si>
    <t>город Калуга, улица Дружбы, д.15</t>
  </si>
  <si>
    <t>27268  Канализация Д-150 чуг.</t>
  </si>
  <si>
    <t>город Калуга, улица Дружбы, д.12</t>
  </si>
  <si>
    <t>27267  Канализация Д-150 кер.</t>
  </si>
  <si>
    <t>город Калуга, улица К.Либкнехта, д.16</t>
  </si>
  <si>
    <t>27262  КАНАЛИЗАЦИЯ КЕР. D-200</t>
  </si>
  <si>
    <t>город Калуга, улица К.Либкнехта,</t>
  </si>
  <si>
    <t>27261  КАНАЛИЗАЦИЯ КЕР. D-200</t>
  </si>
  <si>
    <t>город Калуга, улица К.Либкнехта, д.14а</t>
  </si>
  <si>
    <t>27260  КАНАЛИЗАЦИЯ КЕР. D-200</t>
  </si>
  <si>
    <t>город Калуга, улица Ленина, д.46</t>
  </si>
  <si>
    <t>27259  КАНАЛИЗАЦИЯ КЕР. D-200</t>
  </si>
  <si>
    <t>город Калуга, улица Ленина, д.44</t>
  </si>
  <si>
    <t>27258  КАНАЛИЗАЦИЯ КЕР. D-200</t>
  </si>
  <si>
    <t>город Калуга, улица Ленина, д.42</t>
  </si>
  <si>
    <t>27257  КАНАЛИЗАЦИЯ КЕР. D-200</t>
  </si>
  <si>
    <t>город Калуга, улица Ленина, д.40</t>
  </si>
  <si>
    <t>27256  КАНАЛИЗАЦИЯ КЕР. D-200</t>
  </si>
  <si>
    <t>город Калуга, улица Московская, д.121 корп.1</t>
  </si>
  <si>
    <t>27255  КАНАЛИЗАЦИЯ КЕР. D-200</t>
  </si>
  <si>
    <t>27233  Канализация Д-150 кер.</t>
  </si>
  <si>
    <t>01.08.1999</t>
  </si>
  <si>
    <t>город Калуга, улица Болотникова, д.2</t>
  </si>
  <si>
    <t>27230  Канализация Д-150 кер.</t>
  </si>
  <si>
    <t>город Калуга, улица Чехова, д.5</t>
  </si>
  <si>
    <t>27229  Канализация Д-150 чуг.</t>
  </si>
  <si>
    <t>город Калуга, улица Советская, д.6</t>
  </si>
  <si>
    <t>27226  Канализация Д-150 кер.</t>
  </si>
  <si>
    <t>город Калуга, улица Чехова, д.1</t>
  </si>
  <si>
    <t>27224  Канализация Д-150 чуг.</t>
  </si>
  <si>
    <t>город Калуга, улица Маршала Жукова, д.42</t>
  </si>
  <si>
    <t>27222  Канализация Д-150 чуг.</t>
  </si>
  <si>
    <t>город Калуга, улица Маршала Жукова, д.34</t>
  </si>
  <si>
    <t>27220  Канализация Д-150 чуг.</t>
  </si>
  <si>
    <t>город Калуга, улица Маршала Жукова, 11, 11а</t>
  </si>
  <si>
    <t>27218  Канализация Д-150 чуг.</t>
  </si>
  <si>
    <t>город Калуга, улица Врубовая, д.31</t>
  </si>
  <si>
    <t>27216  Канализация Д-150 кер.</t>
  </si>
  <si>
    <t>город Калуга, улица Болотникова, д.20</t>
  </si>
  <si>
    <t>27214  Канализация Д-150 кер.</t>
  </si>
  <si>
    <t>город Калуга, улица В.Андриановой, д.64</t>
  </si>
  <si>
    <t>27210  Канализация Д-200 кер.</t>
  </si>
  <si>
    <t>город Калуга, улица В.Андриановой, д.62</t>
  </si>
  <si>
    <t>27208  Канализация Д-150-200 кер.</t>
  </si>
  <si>
    <t>город Калуга, улица Ленина, д.55</t>
  </si>
  <si>
    <t>27205  Канализация Д-150 кер.</t>
  </si>
  <si>
    <t>город Калуга, улица Ленина, д.53 корп.2</t>
  </si>
  <si>
    <t>27203  Канализация Д-100 кер.</t>
  </si>
  <si>
    <t>город Калуга, улица Ленина, д.37 корп.1</t>
  </si>
  <si>
    <t>27201  Канализация Д-200 кер.</t>
  </si>
  <si>
    <t>город Калуга, улица Ленина, д.37а</t>
  </si>
  <si>
    <t>27199  Канализация Д-150 чуг.</t>
  </si>
  <si>
    <t>город Калуга, улица Ленина, д.37</t>
  </si>
  <si>
    <t>27197  Канализация Д-200 кер.</t>
  </si>
  <si>
    <t>город Калуга, улица Ленина, д.35</t>
  </si>
  <si>
    <t>27195  Канализация Д-200 кер.</t>
  </si>
  <si>
    <t>город Калуга, улица Ленина, д.61</t>
  </si>
  <si>
    <t>27193  Канализация Д-200 кер.</t>
  </si>
  <si>
    <t>город Калуга, улица Пролетарская,</t>
  </si>
  <si>
    <t>27191  Канализация Д-100 чуг.</t>
  </si>
  <si>
    <t>город Калуга, улица Пролетарская, 135 а, б</t>
  </si>
  <si>
    <t>27190  Канализация Д-200 кер.</t>
  </si>
  <si>
    <t>город Калуга, улица Пролетарская, д.112 корп.1</t>
  </si>
  <si>
    <t>27188  Канализация Д-100-150 чуг.</t>
  </si>
  <si>
    <t>город Калуга, улица Моторная, д.9</t>
  </si>
  <si>
    <t>27186  Канализация Д-250 кер.</t>
  </si>
  <si>
    <t>город Калуга, шоссе Грабцевское шоссе, д.40</t>
  </si>
  <si>
    <t>27184  Канализация Д-200 кер.</t>
  </si>
  <si>
    <t>город Калуга, шоссе Грабцевское шоссе, д.38</t>
  </si>
  <si>
    <t>27182  Канализация Д-200 кер.</t>
  </si>
  <si>
    <t>город Калуга, улица Луговая, д.70</t>
  </si>
  <si>
    <t>27180  Канализация Д-300 кер.</t>
  </si>
  <si>
    <t>27179  Канализация Д-150 кер.</t>
  </si>
  <si>
    <t>город Калуга, улица Врубовая, 12/19, 14, 18/20, 20/21</t>
  </si>
  <si>
    <t>27176  Канализация Д-300 кер.</t>
  </si>
  <si>
    <t>27175  Канализация Д-250 кер.</t>
  </si>
  <si>
    <t>город Калуга, улица Шахтеров, д. 3, 10, 12, 17, 16/22, 11/23</t>
  </si>
  <si>
    <t>27174  Канализация Д-200 кер.</t>
  </si>
  <si>
    <t>27173  Канализация Д-150 кер.</t>
  </si>
  <si>
    <t>город Калуга, улица Болотникова, д.15</t>
  </si>
  <si>
    <t>27170  Канализация Д-150 кер.</t>
  </si>
  <si>
    <t>27169  Канализация Д-150 кер.</t>
  </si>
  <si>
    <t>город Калуга, улица Новаторская, д.6</t>
  </si>
  <si>
    <t>27078  Канализация Д-200 а/ц</t>
  </si>
  <si>
    <t>01.07.1999</t>
  </si>
  <si>
    <t>27077  Канализация Д-150 а/ц</t>
  </si>
  <si>
    <t>27076  Канализация Д-150 чуг.</t>
  </si>
  <si>
    <t>город Калуга, улица Моторная, д.12</t>
  </si>
  <si>
    <t>27074  Канализация Д-100 чуг.</t>
  </si>
  <si>
    <t>город Калуга, улица Турынинская, д.3</t>
  </si>
  <si>
    <t>27026  Канализация Д-250 чуг.</t>
  </si>
  <si>
    <t>01.06.1999</t>
  </si>
  <si>
    <t>город Калуга, улица Калужского ополчения, 5</t>
  </si>
  <si>
    <t>27025  КАНАЛИЗАЦИЯ ЧУГ.</t>
  </si>
  <si>
    <t>город Калуга, улица Калужского ополчения, д.5</t>
  </si>
  <si>
    <t>27024  КАНАЛИЗАЦИЯ А/Ц</t>
  </si>
  <si>
    <t>город Калуга, улица Окружная, д.8</t>
  </si>
  <si>
    <t>26996  КАНАЛИЗАЦИЯ А/Ц D-200</t>
  </si>
  <si>
    <t>01.05.1999</t>
  </si>
  <si>
    <t>город Калуга, улица Московская, д.309а корп.1</t>
  </si>
  <si>
    <t>26994  КАНАЛИЗАЦИЯ КЕР. D-200</t>
  </si>
  <si>
    <t>город Калуга, улица Московская, д.237</t>
  </si>
  <si>
    <t>26975  КАНАЛИЗАЦИЯ КЕР. D-200</t>
  </si>
  <si>
    <t>01.04.1999</t>
  </si>
  <si>
    <t>город Калуга, улица Московская, д.235</t>
  </si>
  <si>
    <t>26974  КАНАЛИЗАЦИЯ КЕР. D-200</t>
  </si>
  <si>
    <t>город Калуга, улица Московская, д.233</t>
  </si>
  <si>
    <t>26973  КАНАЛИЗАЦИЯ КЕР. D-200</t>
  </si>
  <si>
    <t>город Калуга, улица Московская, д.240 корп.1</t>
  </si>
  <si>
    <t>26966  КАНАЛИЗАЦИЯ КЕР. D-150</t>
  </si>
  <si>
    <t>город Калуга, улица Московская, д.238</t>
  </si>
  <si>
    <t>26965  КАНАЛИЗАЦИЯ КЕР. D-150</t>
  </si>
  <si>
    <t>город Калуга, улица Московская, д.234</t>
  </si>
  <si>
    <t>26964  КАНАЛИЗАЦИЯ КЕР. D-150</t>
  </si>
  <si>
    <t>город Калуга, улица Билибина, д.19</t>
  </si>
  <si>
    <t>26958  КАНАЛИЗАЦИЯ КЕР. D-150</t>
  </si>
  <si>
    <t>город Калуга, улица Билибина, д.17 корп.1</t>
  </si>
  <si>
    <t>26957  КАНАЛИЗАЦИЯ КЕР. D-150</t>
  </si>
  <si>
    <t>город Калуга, улица Билибина, д.17</t>
  </si>
  <si>
    <t>26956  КАНАЛИЗАЦИЯ КЕР. D-150</t>
  </si>
  <si>
    <t>город Калуга, улица Билибина, д.15</t>
  </si>
  <si>
    <t>26955  КАНАЛИЗАЦИЯ КЕР. D-150</t>
  </si>
  <si>
    <t>город Калуга, улица Билибина, д.13</t>
  </si>
  <si>
    <t>26954  КАНАЛИЗАЦИЯ А/Ц D-150</t>
  </si>
  <si>
    <t>город Калуга, улица Билибина, 10</t>
  </si>
  <si>
    <t>26953  КАНАЛИЗАЦИЯ ЧУГ. D-150</t>
  </si>
  <si>
    <t>город Калуга, улица Билибина,</t>
  </si>
  <si>
    <t>26952  КАНАЛИЗАЦИЯ ЧУГ. D-150</t>
  </si>
  <si>
    <t>город Калуга, улица Билибина, д.4</t>
  </si>
  <si>
    <t>26951  КАНАЛИЗАЦИЯ А/Ц D-300</t>
  </si>
  <si>
    <t>26950  КАНАЛИЗАЦИЯ КЕР. D-200</t>
  </si>
  <si>
    <t>город Калуга, улица Билибина, 4</t>
  </si>
  <si>
    <t>26949  КАНАЛИЗАЦИЯ ЧУГ. D-150</t>
  </si>
  <si>
    <t>город Калуга, улица Билибина, 2</t>
  </si>
  <si>
    <t>26948  КАНАЛИЗАЦИЯ ЧУГ. D-150</t>
  </si>
  <si>
    <t>город Калуга, улица Глаголева</t>
  </si>
  <si>
    <t>26934  КАНАЛИЗАЦИОННЫЙ КОЛЛЕКТОР КЕР. D-200</t>
  </si>
  <si>
    <t>26933  КАНАЛИЗАЦИОННЫЙ КОЛЛЕКТОР КЕР. D-400</t>
  </si>
  <si>
    <t>26932  КАНАЛИЗАЦИОННЫЙ КОЛЛЕКТОР КЕР. D-300</t>
  </si>
  <si>
    <t>город Калуга, улица Московская, д.227</t>
  </si>
  <si>
    <t>26928  КАНАЛИЗАЦИЯ ЧУГ. D-100</t>
  </si>
  <si>
    <t>город Калуга, улица Московская, д.225</t>
  </si>
  <si>
    <t>26927  КАНАЛИЗАЦИЯ КЕР. D-200</t>
  </si>
  <si>
    <t>город Калуга, улица Московская, д.223</t>
  </si>
  <si>
    <t>26926  КАНАЛИЗАЦИЯ КЕР. D-200</t>
  </si>
  <si>
    <t>город Калуга, улица Московская, д.221а</t>
  </si>
  <si>
    <t>26925  КАНАЛИЗАЦИЯ КЕР. D-200</t>
  </si>
  <si>
    <t>город Калуга, улица Московская, д.221</t>
  </si>
  <si>
    <t>26924  КАНАЛИЗАЦИЯ КЕР. D-150</t>
  </si>
  <si>
    <t>город Калуга, улица Московская, д.217</t>
  </si>
  <si>
    <t>26922  КАНАЛИЗАЦИЯ КЕР. D-200</t>
  </si>
  <si>
    <t>город Калуга, улица Московская, д.215</t>
  </si>
  <si>
    <t>26921  КАНАЛИЗАЦИЯ КЕР. D-200</t>
  </si>
  <si>
    <t>город Калуга, улица Московская, д.213</t>
  </si>
  <si>
    <t>26920  КАНАЛИЗАЦИЯ КЕР. D-200</t>
  </si>
  <si>
    <t>город Калуга, улица Московская, д.211</t>
  </si>
  <si>
    <t>26919  КАНАЛИЗАЦИЯ КЕР. D-150</t>
  </si>
  <si>
    <t>город Калуга, улица Глаголева, д.44</t>
  </si>
  <si>
    <t>26909  КАНАЛИЗАЦИЯ КЕР. D-200</t>
  </si>
  <si>
    <t>город Калуга, улица Глаголева, д.42</t>
  </si>
  <si>
    <t>26908  КАНАЛИЗАЦИЯ КЕР. D-200</t>
  </si>
  <si>
    <t>город Калуга, улица Глаголева, д.40</t>
  </si>
  <si>
    <t>26907  КАНАЛИЗАЦИЯ КЕР. D-200</t>
  </si>
  <si>
    <t>город Калуга, улица Глаголева, д.38</t>
  </si>
  <si>
    <t>26906  КАНАЛИЗАЦИЯ КЕР. D-200</t>
  </si>
  <si>
    <t>город Калуга, улица Глаголева, д.36</t>
  </si>
  <si>
    <t>26905  КАНАЛИЗАЦИЯ КЕР. D-200</t>
  </si>
  <si>
    <t>город Калуга, улица Глаголева, д.32</t>
  </si>
  <si>
    <t>26904  КАНАЛИЗАЦИЯ КЕР. D-200</t>
  </si>
  <si>
    <t>город Калуга, улица Хрустальная, д.27</t>
  </si>
  <si>
    <t>26846  Канализация Д-200 кер.</t>
  </si>
  <si>
    <t>01.03.1999</t>
  </si>
  <si>
    <t>город Калуга, шоссе Грабцевское шоссе, д.50</t>
  </si>
  <si>
    <t>26844  Канализация Д-150 чуг.</t>
  </si>
  <si>
    <t>город Калуга, переулок Больничный 1-й</t>
  </si>
  <si>
    <t>26842  КАНАЛИЗАЦИЯ ЧУГ. D-150</t>
  </si>
  <si>
    <t>город Калуга, улица Кибальчича, 22</t>
  </si>
  <si>
    <t>26814  КАНАЛИЗАЦИЯ ЧУГ. D-150</t>
  </si>
  <si>
    <t>01.02.1999</t>
  </si>
  <si>
    <t>город Калуга, улица Кибальчича, лит.II ул. Малоярославецкая, ул. Кубяка</t>
  </si>
  <si>
    <t>26813  КАНАЛИЗАЦИЯ КЕР. D-200</t>
  </si>
  <si>
    <t>город Калуга, город Трудовой, Школа №49</t>
  </si>
  <si>
    <t>26811  КАНАЛИЗАЦИЯ КЕР. D-150</t>
  </si>
  <si>
    <t>город Калуга, поселок Трудовой, Школа №49</t>
  </si>
  <si>
    <t>26810  КАНАЛИЗАЦИЯ КЕР. D-200</t>
  </si>
  <si>
    <t>город Калуга, поселок Трудовой,</t>
  </si>
  <si>
    <t>26809  КАНАЛИЗАЦИЯ КЕР. D-300</t>
  </si>
  <si>
    <t>город Калуга, улица Московская, бойлерная</t>
  </si>
  <si>
    <t>26803  КАНАЛИЗАЦИЯ D-150 КЕР.</t>
  </si>
  <si>
    <t>город Калуга, улица Московская, д.276</t>
  </si>
  <si>
    <t>26802  КАНАЛИЗАЦИЯ D-150 КЕР.</t>
  </si>
  <si>
    <t>город Калуга, улица Московская, д.272</t>
  </si>
  <si>
    <t>26801  КАНАЛИЗАЦИЯ D-150 КЕР.</t>
  </si>
  <si>
    <t>город Калуга, улица Московская, д.270</t>
  </si>
  <si>
    <t>26800  КАНАЛИЗАЦИЯ D-150 КЕР.</t>
  </si>
  <si>
    <t>город Калуга, улица Московская, д.266</t>
  </si>
  <si>
    <t>26799  КАНАЛИЗАЦИЯ D-150 КЕР.</t>
  </si>
  <si>
    <t>город Калуга, улица Московская, д.268</t>
  </si>
  <si>
    <t>26798  КАНАЛИЗАЦИЯ D-150 КЕР.</t>
  </si>
  <si>
    <t>город Калуга, улица Московская, д.264</t>
  </si>
  <si>
    <t>26797  КАНАЛИЗАЦИЯ D-150 КЕР.</t>
  </si>
  <si>
    <t>город Калуга, улица Московская, д.262</t>
  </si>
  <si>
    <t>26796  КАНАЛИЗАЦИЯ D-150 КЕР.</t>
  </si>
  <si>
    <t>город Калуга, улица Московская, д.274</t>
  </si>
  <si>
    <t>26795  КАНАЛИЗАЦИЯ D-150 КЕР</t>
  </si>
  <si>
    <t>город Калуга, улица Пионерская, д.25</t>
  </si>
  <si>
    <t>26794  КАНАЛИЗАЦИЯ D-150 КЕР.</t>
  </si>
  <si>
    <t>город Калуга, улица Пионерская, д.23</t>
  </si>
  <si>
    <t>26793  КАНАЛИЗАЦИЯ D-150 КЕР.</t>
  </si>
  <si>
    <t>город Калуга, улица Пионерская, д.21</t>
  </si>
  <si>
    <t>26792  КАНАЛИЗАЦИЯ D-200 КЕР.</t>
  </si>
  <si>
    <t>город Калуга, улица Пионерская, д.16</t>
  </si>
  <si>
    <t>26791  КАНАЛИЗАЦИЯ D-150 КЕР.</t>
  </si>
  <si>
    <t>город Калуга, улица Телевизионная, д.10</t>
  </si>
  <si>
    <t>26790  КАНАЛИЗАЦИЯ D-150 КЕР.</t>
  </si>
  <si>
    <t>город Калуга, улица Телевизионная, д.4</t>
  </si>
  <si>
    <t>26789  КАНАЛИЗАЦИЯ D-150 КЕР.</t>
  </si>
  <si>
    <t>город Калуга, улица Телевизионная, д.2</t>
  </si>
  <si>
    <t>26788  КАНАЛИЗАЦИЯ D-150 КЕР.</t>
  </si>
  <si>
    <t>город Калуга, улица Телевизионная, д.14 корп.1</t>
  </si>
  <si>
    <t>26787  КАНАЛИЗАЦИЯ D-150 КЕР.</t>
  </si>
  <si>
    <t>город Калуга, переулок Чичерина, д.9а</t>
  </si>
  <si>
    <t>26786  КАНАЛИЗАЦИЯ D-150 КЕР.</t>
  </si>
  <si>
    <t>город Калуга, переулок Калинина, д.5</t>
  </si>
  <si>
    <t>26785  КАНАЛИЗАЦИЯ D-150 КЕР.</t>
  </si>
  <si>
    <t>город Калуга, переулок Калинина, д.2</t>
  </si>
  <si>
    <t>26784  КАНАЛИЗАЦИЯ D-150 КЕР.</t>
  </si>
  <si>
    <t>город Калуга, улица Калинина, д.23</t>
  </si>
  <si>
    <t>26783  КАНАЛИЗАЦИЯ D-150 КЕР.</t>
  </si>
  <si>
    <t>город Калуга, улица Калинина, д.18</t>
  </si>
  <si>
    <t>26782  КАНАЛИЗАЦИЯ КЕР. D-150</t>
  </si>
  <si>
    <t>город Калуга, улица Калинина, д.12</t>
  </si>
  <si>
    <t>26780  КАНАЛИЗАЦИЯ D-150 КЕР.</t>
  </si>
  <si>
    <t>город Калуга, улица Социалистическая, д.3</t>
  </si>
  <si>
    <t>26779  КАНАЛИЗАЦИЯ D-150 КЕР.</t>
  </si>
  <si>
    <t>город Калуга, улица Социалистическая, д.12</t>
  </si>
  <si>
    <t>26778  КАНАЛИЗАЦИЯ D-150 КЕР.</t>
  </si>
  <si>
    <t>город Калуга, улица Социалистическая, д.8</t>
  </si>
  <si>
    <t>26776  КАНАЛИЗАЦИЯ D-150 КЕР.</t>
  </si>
  <si>
    <t>город Калуга, улица Социалистическая, д.9</t>
  </si>
  <si>
    <t>26775  КАНАЛИЗАЦИЯ D-200 КЕР.</t>
  </si>
  <si>
    <t>город Калуга, улица Социалистическая, д.4</t>
  </si>
  <si>
    <t>26774  КАНАЛИЗАЦИЯ D-200 КЕР.</t>
  </si>
  <si>
    <t>г.Калуга СОЦИАЛИСТИЧЕСКАЯ 6</t>
  </si>
  <si>
    <t>26773  КАНАЛИЗАЦИЯ D-150 КЕР.</t>
  </si>
  <si>
    <t>город Калуга, переулок Чичерина, д.28</t>
  </si>
  <si>
    <t>26772  КАНАЛИЗАЦИЯ D-150 КЕР.</t>
  </si>
  <si>
    <t>город Калуга, переулок Чичерина, д.24</t>
  </si>
  <si>
    <t>26771  КАНАЛИЗАЦИЯ D-150 КЕР.</t>
  </si>
  <si>
    <t>город Калуга, улица Чичерина, д.11а</t>
  </si>
  <si>
    <t>26770  КАНАЛИЗАЦИЯ КЕР. D-150</t>
  </si>
  <si>
    <t>26769  КАНАЛИЗАЦИЯ КЕР. D-150</t>
  </si>
  <si>
    <t>город Калуга, улица Чичерина, д.16 корп.1</t>
  </si>
  <si>
    <t>26768  КАНАЛИЗАЦИЯ КЕР. D-150</t>
  </si>
  <si>
    <t>город Калуга, улица Чичерина, д.12</t>
  </si>
  <si>
    <t>26767  КАНАЛИЗАЦИЯ КЕР. D-150</t>
  </si>
  <si>
    <t>город Калуга, улица Чичерина, д.1/5</t>
  </si>
  <si>
    <t>26766  КАНАЛИЗАЦИЯ КЕР. D-150</t>
  </si>
  <si>
    <t>город Калуга, улица Чичерина, д.2/7</t>
  </si>
  <si>
    <t>26765  КАНАЛИЗАЦИЯ КЕР. D-150</t>
  </si>
  <si>
    <t>город Калуга, улица Чичерина, д.7а</t>
  </si>
  <si>
    <t>26764  КАНАЛИЗАЦИЯ КЕР. D-150</t>
  </si>
  <si>
    <t>город Калуга, улица Чичерина, д.8</t>
  </si>
  <si>
    <t>26763  КАНАЛИЗАЦИЯ D-150 КЕР.</t>
  </si>
  <si>
    <t>город Калуга, улица Чичерина, д.9</t>
  </si>
  <si>
    <t>26762  КАНАЛИЗАЦИЯ D-150 КЕР.</t>
  </si>
  <si>
    <t>город Калуга, улица Чичерина, д.9а</t>
  </si>
  <si>
    <t>26761  КАНАЛИЗАЦИЯ КЕР. D-150</t>
  </si>
  <si>
    <t>город Калуга, улица Чичерина, д.10</t>
  </si>
  <si>
    <t>26760  КАНАЛИЗАЦИЯ КЕР. D-150</t>
  </si>
  <si>
    <t>город Калуга, улица Чичерина, д.13</t>
  </si>
  <si>
    <t>26759  КАНАЛИЗАЦИЯ D-150 КЕР.</t>
  </si>
  <si>
    <t>город Калуга, улица Чичерина, д.14</t>
  </si>
  <si>
    <t>26758  КАНАЛИЗАЦИЯ D-150 КЕР.</t>
  </si>
  <si>
    <t>город Калуга, улица Чичерина, д.15</t>
  </si>
  <si>
    <t>26757  КАНАЛИЗАЦИЯ D-150 КЕР.</t>
  </si>
  <si>
    <t>город Калуга, улица Чичерина, д.11</t>
  </si>
  <si>
    <t>26756  КАНАЛИЗАЦИЯ КЕР. D-150</t>
  </si>
  <si>
    <t>город Калуга, поселок Трудовой</t>
  </si>
  <si>
    <t>26588  КАНАЛИЗАЦИЯ ЧУГ. D-200</t>
  </si>
  <si>
    <t>01.01.1999</t>
  </si>
  <si>
    <t>26579  ВНУТРИКВАРТАЛЬНАЯ КАНАЛИЗАЦИЯ КЕР. D-150-200</t>
  </si>
  <si>
    <t>город Калуга, улица Новая, до КНС</t>
  </si>
  <si>
    <t>26578  ВНУТРИКВАРТАЛЬНАЯ КАНАЛИЗАЦИЯ КЕР. D-150</t>
  </si>
  <si>
    <t>город Калуга, от КНС</t>
  </si>
  <si>
    <t>26577  НАПОРНАЯ КАНАЛИЗАЦИЯ ЧУГ. D-100</t>
  </si>
  <si>
    <t>город Калуга, улица Новая, здание клуба</t>
  </si>
  <si>
    <t>26565  КАНАЛИЗАЦИЯ КЕР. D-150</t>
  </si>
  <si>
    <t>город Калуга, улица Новая, д.9</t>
  </si>
  <si>
    <t>26563  КАНАЛИЗАЦИЯ КЕР. D-150</t>
  </si>
  <si>
    <t>город Калуга, улица Новая, д.8</t>
  </si>
  <si>
    <t>26561  КАНАЛИЗАЦИЯ КЕР. D-150</t>
  </si>
  <si>
    <t>город Калуга, улица Новая, д.6</t>
  </si>
  <si>
    <t>26557  КАНАЛИЗАЦИЯ КЕР. D-150</t>
  </si>
  <si>
    <t>город Калуга, улица Новая, д.5</t>
  </si>
  <si>
    <t>26555  КАНАЛИЗАЦИЯ КЕР. D-150</t>
  </si>
  <si>
    <t>город Калуга, улица Новая, д.4</t>
  </si>
  <si>
    <t>26553  КАНАЛИЗАЦИЯ КЕР. D-150</t>
  </si>
  <si>
    <t>город Калуга, улица Новая, д.3</t>
  </si>
  <si>
    <t>26551  КАНАЛИЗАЦИЯ КЕР. D-150</t>
  </si>
  <si>
    <t>город Калуга, улица Новая, д.1</t>
  </si>
  <si>
    <t>26547  КАНАЛИЗАЦИЯ КЕР. D-150</t>
  </si>
  <si>
    <t>город Калуга, улица Аэропортовская</t>
  </si>
  <si>
    <t>26486  Канализация Д-250 кер.</t>
  </si>
  <si>
    <t>01.12.1998</t>
  </si>
  <si>
    <t>город Калуга, улица Аэропортовская,</t>
  </si>
  <si>
    <t>26485  Канализация Д-150 кер.</t>
  </si>
  <si>
    <t>26484  Канализационный коллектор 2Д-150 чуг.</t>
  </si>
  <si>
    <t>город Калуга, улица Вишневского, д.29в</t>
  </si>
  <si>
    <t>26468  КАНАЛИЗАЦИЯ D-100 ЧУГ.</t>
  </si>
  <si>
    <t>26467  КАНАЛИЗАЦИЯ D-300 КЕР.</t>
  </si>
  <si>
    <t>город Калуга, улица Циолковского, д.44</t>
  </si>
  <si>
    <t>26426  КАНАЛИЗАЦИЯ А/Ц D-150</t>
  </si>
  <si>
    <t>01.11.1998</t>
  </si>
  <si>
    <t>34183  ЗАДВИЖКИ 30 Ч 906 D-400</t>
  </si>
  <si>
    <t>01.10.1998</t>
  </si>
  <si>
    <t>34182  ЗАДВИЖКИ 30 Ч 906 D-400</t>
  </si>
  <si>
    <t>26422  КАНАЛИЗАЦИЯ КЕР. D-150</t>
  </si>
  <si>
    <t>26421  КАНАЛИЗАЦИЯ ЧУГ. D-150</t>
  </si>
  <si>
    <t>26416  ЗАДВИЖКИ 30 Ч 906 D-400</t>
  </si>
  <si>
    <t>город Калуга, улица Гагарина, 8</t>
  </si>
  <si>
    <t>26394  КАНАЛИЗАЦИЯ ЧУГ. D-150</t>
  </si>
  <si>
    <t>город Калуга, улица Гагарина, д.8</t>
  </si>
  <si>
    <t>26393  КАНАЛИЗАЦИЯ КЕР. D-200</t>
  </si>
  <si>
    <t>город Калуга, улица Труда,</t>
  </si>
  <si>
    <t>26391  КАНАЛИЗАЦИЯ КЕР. D-150</t>
  </si>
  <si>
    <t>26390  КАНАЛИЗАЦИЯ КЕР. D-150</t>
  </si>
  <si>
    <t>город Калуга, улица Труда, 3</t>
  </si>
  <si>
    <t>26389  КАНАЛИЗАЦИЯ ЧУГ. D-150</t>
  </si>
  <si>
    <t>город Калуга, улица Труда, д.5б</t>
  </si>
  <si>
    <t>26388  КАНАЛИЗАЦИЯ КЕР. D-150</t>
  </si>
  <si>
    <t>город Калуга, улица Труда, 5а</t>
  </si>
  <si>
    <t>26387  КАНАЛИЗАЦИЯ ЧУГ. D-150</t>
  </si>
  <si>
    <t>город Калуга, улица Гурьянова, 4, корп.1, 2</t>
  </si>
  <si>
    <t>26386  КАНАЛИЗАЦИЯ ЧУГ. D-100</t>
  </si>
  <si>
    <t>город Калуга, улица Гурьянова, 33</t>
  </si>
  <si>
    <t>26385  КАНАЛИЗАЦИЯ ЧУГ. D-150</t>
  </si>
  <si>
    <t>город Калуга, улица Гурьянова, 16, корп.1</t>
  </si>
  <si>
    <t>26384  КАНАЛИЗАЦИЯ ЧУГ. D-150</t>
  </si>
  <si>
    <t>город Калуга, улица Гурьянова, д.12</t>
  </si>
  <si>
    <t>26383  КАНАЛИЗАЦИЯ КЕР. D-150</t>
  </si>
  <si>
    <t>город Калуга, улица Гурьянова, д.11</t>
  </si>
  <si>
    <t>26382  КАНАЛИЗАЦИЯ КЕР. D-150</t>
  </si>
  <si>
    <t>город Калуга, улица Гурьянова, д.9</t>
  </si>
  <si>
    <t>26381  КАНАЛИЗАЦИЯ КЕР. D-150</t>
  </si>
  <si>
    <t>город Калуга, улица Гурьянова, 7</t>
  </si>
  <si>
    <t>26379  КАНАЛИЗАЦИЯ ЧУГ. D-150</t>
  </si>
  <si>
    <t>город Калуга, улица Баррикад, 127</t>
  </si>
  <si>
    <t>26378  КАНАЛИЗАЦИЯ КЕР. D-150</t>
  </si>
  <si>
    <t>город Калуга, улица Баррикад, д.125 корп.2</t>
  </si>
  <si>
    <t>26377  КАНАЛИЗАЦИЯ КЕР. D-150</t>
  </si>
  <si>
    <t>город Калуга, улица Баррикад, д.125 корп.1</t>
  </si>
  <si>
    <t>26376  КАНАЛИЗАЦИЯ КЕР. D-200</t>
  </si>
  <si>
    <t>город Калуга, улица Баррикад, д.125</t>
  </si>
  <si>
    <t>26375  КАНАЛИЗАЦИЯ КЕР. D-150</t>
  </si>
  <si>
    <t>город Калуга, улица Баррикад, д.123</t>
  </si>
  <si>
    <t>26374  КАНАЛИЗАЦИЯ КЕР. D-150</t>
  </si>
  <si>
    <t>город Калуга, улица Баррикад, д.121</t>
  </si>
  <si>
    <t>26373  КАНАЛИЗАЦИЯ КЕР. D-150</t>
  </si>
  <si>
    <t>город Калуга, улица К.Либкнехта, д.14 корп.1</t>
  </si>
  <si>
    <t>26372  КАНАЛИЗАЦИЯ КЕР. D-150</t>
  </si>
  <si>
    <t>город Калуга, улица К.Либкнехта, д.10</t>
  </si>
  <si>
    <t>26371  КАНАЛИЗАЦИЯ КЕР. D-150</t>
  </si>
  <si>
    <t>город Калуга, улица К.Либкнехта, д.8</t>
  </si>
  <si>
    <t>26370  КАНАЛИЗАЦИЯ КЕР. D-150</t>
  </si>
  <si>
    <t>город Калуга, улица Поле Свободы, д.131а корп.4</t>
  </si>
  <si>
    <t>26369  КАНАЛИЗАЦИЯ КЕР. D-150</t>
  </si>
  <si>
    <t>город Калуга, улица Поле Свободы, д.131а корп.3</t>
  </si>
  <si>
    <t>26368  КАНАЛИЗАЦИЯ КЕР. D-150</t>
  </si>
  <si>
    <t>город Калуга, улица Поле Свободы, д.131а корп.2</t>
  </si>
  <si>
    <t>26367  КАНАЛИЗАЦИЯ КЕР. D-150</t>
  </si>
  <si>
    <t>город Калуга, улица Поле Свободы, д.131а корп.1</t>
  </si>
  <si>
    <t>26366  КАНАЛИЗАЦИЯ КЕР. D-150</t>
  </si>
  <si>
    <t>город Калуга, улица Поле Свободы, д.83</t>
  </si>
  <si>
    <t>26365  КАНАЛИЗАЦИЯ КЕР. D-150</t>
  </si>
  <si>
    <t>город Калуга, улица Поле Свободы, д.81</t>
  </si>
  <si>
    <t>26364  КАНАЛИЗАЦИЯ КЕР. D-150</t>
  </si>
  <si>
    <t>город Калуга, улица Поле Свободы, д.79</t>
  </si>
  <si>
    <t>26363  КАНАЛИЗАЦИЯ КЕР. D-150</t>
  </si>
  <si>
    <t>город Калуга, улица Поле Свободы, д.77</t>
  </si>
  <si>
    <t>26362  КАНАЛИЗАЦИЯ КЕР. D-150</t>
  </si>
  <si>
    <t>город Калуга, улица Московская, 298</t>
  </si>
  <si>
    <t>26361  КАНАЛИЗАЦИЯ ЧУГ. D-100</t>
  </si>
  <si>
    <t>город Калуга, улица Московская, д.295 корп.1</t>
  </si>
  <si>
    <t>26360  КАНАЛИЗАЦИЯ КЕР. D-150</t>
  </si>
  <si>
    <t>город Калуга, улица Московская, д.295</t>
  </si>
  <si>
    <t>26359  КАНАЛИЗАЦИЯ КЕР. D-150</t>
  </si>
  <si>
    <t>город Калуга, улица Московская, д.293</t>
  </si>
  <si>
    <t>26358  КАНАЛИЗАЦИЯ КЕР. D-150</t>
  </si>
  <si>
    <t>город Калуга, улица Московская, д.291 корп.2</t>
  </si>
  <si>
    <t>26357  КАНАЛИЗАЦИЯ КЕР. D-150</t>
  </si>
  <si>
    <t>город Калуга, улица Московская, д.291 корп.1</t>
  </si>
  <si>
    <t>26356  КАНАЛИЗАЦИЯ КЕР. D-150</t>
  </si>
  <si>
    <t>город Калуга, улица Московская, 291</t>
  </si>
  <si>
    <t>26355  КАНАЛИЗАЦИЯ ЧУГ. D-150</t>
  </si>
  <si>
    <t>город Калуга, улица Московская, д.129</t>
  </si>
  <si>
    <t>26354  КАНАЛИЗАЦИЯ КЕР. D-150</t>
  </si>
  <si>
    <t>город Калуга, улица Московская, д.127</t>
  </si>
  <si>
    <t>26353  КАНАЛИЗАЦИЯ КЕР. D-150</t>
  </si>
  <si>
    <t>город Калуга, улица Московская, д.125</t>
  </si>
  <si>
    <t>26352  КАНАЛИЗАЦИЯ КЕР. D-150</t>
  </si>
  <si>
    <t>город Калуга, улица Московская, д.123</t>
  </si>
  <si>
    <t>26351  КАНАЛИЗАЦИЯ КЕР. D-150</t>
  </si>
  <si>
    <t>город Калуга, улица Московская, д.121</t>
  </si>
  <si>
    <t>26350  КАНАЛИЗАЦИЯ КЕР. D-150</t>
  </si>
  <si>
    <t>город Калуга, улица Московская, д.117</t>
  </si>
  <si>
    <t>26349  КАНАЛИЗАЦИЯ КЕР. D-150,200</t>
  </si>
  <si>
    <t>город Калуга, улица Московская, д.115</t>
  </si>
  <si>
    <t>26348  КАНАЛИЗАЦИЯ КЕР. D-150</t>
  </si>
  <si>
    <t>город Калуга, улица Московская, д.113</t>
  </si>
  <si>
    <t>26347  КАНАЛИЗАЦИЯ КЕР. D-150</t>
  </si>
  <si>
    <t>город Калуга, улица Московская, д.111</t>
  </si>
  <si>
    <t>26346  КАНАЛИЗАЦИЯ КЕР. D-150,200</t>
  </si>
  <si>
    <t>город Калуга, улица Московская, д.109</t>
  </si>
  <si>
    <t>26345  КАНАЛИЗАЦИЯ КЕР. D-150,200</t>
  </si>
  <si>
    <t>город Калуга, улица Терепецкая, д.11 корп.1, 2</t>
  </si>
  <si>
    <t>26344  КАНАЛИЗАЦИЯ КЕР. D-150</t>
  </si>
  <si>
    <t>город Калуга, улица Терепецкая, д.12</t>
  </si>
  <si>
    <t>26343  КАНАЛИЗАЦИЯ КЕР. D-250</t>
  </si>
  <si>
    <t>город Калуга, поселок Трудовой, д.11а</t>
  </si>
  <si>
    <t>26342  КАНАЛИЗАЦИЯ КЕР. D-150</t>
  </si>
  <si>
    <t>город Калуга, улица Карачевская, д.3</t>
  </si>
  <si>
    <t>26341  КАНАЛИЗАЦИЯ КЕР. D-150</t>
  </si>
  <si>
    <t>город Калуга, улица Карачевская, 4 к д/с Вишенка</t>
  </si>
  <si>
    <t>26340  КАНАЛИЗАЦИЯ КЕР. D-150</t>
  </si>
  <si>
    <t>город Калуга, улица Гурьянова, 55 д/с Чебурашка</t>
  </si>
  <si>
    <t>26339  КАНАЛИЗАЦИЯ КЕР. D-150</t>
  </si>
  <si>
    <t>город Калуга, улица Пролетарская, 100 к д/с-24</t>
  </si>
  <si>
    <t>26338  КАНАЛИЗАЦИЯ КЕР. D-150</t>
  </si>
  <si>
    <t>город Калуга, улица К.Либкнехта, 7а к д/с-35</t>
  </si>
  <si>
    <t>26337  КАНАЛИЗАЦИЯ КЕР. D-150-200</t>
  </si>
  <si>
    <t>город Калуга, улица Московская, 125 д/с Василек</t>
  </si>
  <si>
    <t>26336  КАНАЛИЗАЦИЯ КЕР. D-150</t>
  </si>
  <si>
    <t>город Калуга, улица Московская,</t>
  </si>
  <si>
    <t>26335  КАНАЛИЗАЦИЯ КЕР.D-150</t>
  </si>
  <si>
    <t>город Калуга, улица Московская, 53а к д/я 16</t>
  </si>
  <si>
    <t>26334  КАНАЛИЗАЦИЯ КЕР. D-150</t>
  </si>
  <si>
    <t>город Калуга, улица Алексеевская, д.115</t>
  </si>
  <si>
    <t>26333  КАНАЛИЗАЦИЯ D-200</t>
  </si>
  <si>
    <t>город Калуга, улица Льва Толстого, д.41</t>
  </si>
  <si>
    <t>26293  Канализация Д-200 а/ц</t>
  </si>
  <si>
    <t>01.09.1998</t>
  </si>
  <si>
    <t>город Калуга, улица Отбойная,</t>
  </si>
  <si>
    <t>26292  Канализация Д-200 а/ц</t>
  </si>
  <si>
    <t>город Калуга, улица Набережная,</t>
  </si>
  <si>
    <t>26290  ВЫНОС КАНАЛИЗАЦИОННОГО КОЛЛЕКТОРА СТ. D-500</t>
  </si>
  <si>
    <t>город Калуга, улица Нефтебаза, д.7</t>
  </si>
  <si>
    <t>26259  Канализация Д-200 а/ц</t>
  </si>
  <si>
    <t>01.08.1998</t>
  </si>
  <si>
    <t>26256  Канализация Д-300 а/ц</t>
  </si>
  <si>
    <t>26255  Канализация Д-1000 ж/б</t>
  </si>
  <si>
    <t>город Калуга, улица Воскресенская, 30, 32</t>
  </si>
  <si>
    <t>26251  КАНАЛИЗАЦИЯ ЧУГ. D-200</t>
  </si>
  <si>
    <t>город Калуга, улица Суворова, д.147</t>
  </si>
  <si>
    <t>26202  Канализация Д-150 а/ц</t>
  </si>
  <si>
    <t>01.06.1998</t>
  </si>
  <si>
    <t>город Калуга, улица Бутома, д.7</t>
  </si>
  <si>
    <t>26167  КАНАЛИЗАЦИЯ КЕР. D-200</t>
  </si>
  <si>
    <t>01.05.1998</t>
  </si>
  <si>
    <t>город Калуга, улица Бутома, д.9</t>
  </si>
  <si>
    <t>26166  КАНАЛИЗАЦИЯ КЕР. D-200</t>
  </si>
  <si>
    <t>город Калуга, улица Бутома, д.4</t>
  </si>
  <si>
    <t>26165  КАНАЛИЗАЦИЯ КЕР. D-200</t>
  </si>
  <si>
    <t>город Калуга, улица Бутома, д.6</t>
  </si>
  <si>
    <t>26164  КАНАЛИЗАЦИЯ КЕР. D-200</t>
  </si>
  <si>
    <t>город Калуга, улица Бутома, д.8</t>
  </si>
  <si>
    <t>26163  КАНАЛИЗАЦИЯ КЕР. D-200</t>
  </si>
  <si>
    <t>город Калуга, улица Бутома, д.11</t>
  </si>
  <si>
    <t>26162  КАНАЛИЗАЦИЯ КЕР. D-200</t>
  </si>
  <si>
    <t>город Калуга, улица Телевизионная</t>
  </si>
  <si>
    <t>26161  КАНАЛИЗАЦИОННЫЙ КОЛЛЕКТОР КЕР. D-250</t>
  </si>
  <si>
    <t>город Калуга, улица Переходная, д.7</t>
  </si>
  <si>
    <t>26153  КАНАЛИЗАЦИЯ КЕР. D-200</t>
  </si>
  <si>
    <t>город Калуга, улица Переходная, д.11/1</t>
  </si>
  <si>
    <t>26152  КАНАЛИЗАЦИЯ КЕР. D-200</t>
  </si>
  <si>
    <t>город Калуга, улица Инженерная, д.10/5</t>
  </si>
  <si>
    <t>26151  КАНАЛИЗАЦИЯ КЕР. D-200</t>
  </si>
  <si>
    <t>город Калуга, улица Инженерная, д.3</t>
  </si>
  <si>
    <t>26150  КАНАЛИЗАЦИЯ КЕР. D-200</t>
  </si>
  <si>
    <t>город Калуга, улица Инженерная, д.2/13</t>
  </si>
  <si>
    <t>26149  КАНАЛИЗАЦИЯ КЕР. D-200</t>
  </si>
  <si>
    <t>город Калуга, улица Инженерная,</t>
  </si>
  <si>
    <t>26148  КАНАЛИЗАЦИЯ КЕР. D-200</t>
  </si>
  <si>
    <t>город Калуга, улица Инженерная, д.4</t>
  </si>
  <si>
    <t>26147  КАНАЛИЗАЦИЯ КЕР. D-150</t>
  </si>
  <si>
    <t>город Калуга, улица Инженерная, д.6</t>
  </si>
  <si>
    <t>26146  КАНАЛИЗАЦИЯ КЕР. D-150</t>
  </si>
  <si>
    <t>город Калуга, улица Циолковского, 60</t>
  </si>
  <si>
    <t>26093  КАНАЛИЗАЦИЯ КЕР. D-200</t>
  </si>
  <si>
    <t>01.03.1998</t>
  </si>
  <si>
    <t>26091  КАНАЛИЗАЦИЯ КЕР. D-150</t>
  </si>
  <si>
    <t>город Калуга, улица Кооперативная,</t>
  </si>
  <si>
    <t>26090  КАНАЛИЗАЦИЯ А/Ц D-150</t>
  </si>
  <si>
    <t>город Калуга, переулок Чичерина, 11</t>
  </si>
  <si>
    <t>26089  КАНАЛИЗАЦИЯ ЧУГ. D-100</t>
  </si>
  <si>
    <t>город Калуга, поселок Трудовой, д.14</t>
  </si>
  <si>
    <t>26088  КАНАЛИЗАЦИЯ КЕР. D-150</t>
  </si>
  <si>
    <t>город Калуга, поселок Трудовой, д.13</t>
  </si>
  <si>
    <t>26087  КАНАЛИЗАЦИЯ КЕР. D-150</t>
  </si>
  <si>
    <t>город Калуга, поселок Трудовой, д.12</t>
  </si>
  <si>
    <t>26086  КАНАЛИЗАЦИЯ КЕР. D-150</t>
  </si>
  <si>
    <t>город Калуга, поселок Трудовой, д.11</t>
  </si>
  <si>
    <t>26085  КАНАЛИЗАЦИЯ КЕР. D-150</t>
  </si>
  <si>
    <t>город Калуга, поселок Трудовой, д.8</t>
  </si>
  <si>
    <t>26084  КАНАЛИЗАЦИЯ А/Ц D-150</t>
  </si>
  <si>
    <t>город Калуга, поселок Трудовой, 15</t>
  </si>
  <si>
    <t>26083  КАНАЛИЗАЦИЯ КЕР. D-200</t>
  </si>
  <si>
    <t>город Калуга, поселок Трудовой, 4</t>
  </si>
  <si>
    <t>26082  КАНАЛИЗАЦИЯ КЕР. D-200</t>
  </si>
  <si>
    <t>город Калуга, улица Гурьянова, 20</t>
  </si>
  <si>
    <t>26081  КАНАЛИЗАЦИЯ КЕР. D-200</t>
  </si>
  <si>
    <t>город Калуга, улица Гурьянова,</t>
  </si>
  <si>
    <t>26080  КАНАЛИЗАЦИЯ КЕР. D-200</t>
  </si>
  <si>
    <t>город Калуга, улица Московская, д.282</t>
  </si>
  <si>
    <t>26065  КАНАЛИЗАЦИЯ КЕР. D-150</t>
  </si>
  <si>
    <t>город Калуга, поселок Северный,</t>
  </si>
  <si>
    <t>26063  КАНАЛИЗАЦИЯ Х/Ф А/Ц D-200</t>
  </si>
  <si>
    <t>город Калуга, поселок Северный, 8Б</t>
  </si>
  <si>
    <t>26062  МАГИСТРАЛЬНЫЙ КОЛЛЕКТОР СТ. D-325*9</t>
  </si>
  <si>
    <t>26061  МАГИСТРАЛЬНАЯ КАНАЛИЗАЦИЯ А/Ц D-300-635.5</t>
  </si>
  <si>
    <t>город Калуга - 2</t>
  </si>
  <si>
    <t>26057  КАНАЛИЗАЦИЯ НАРУЖНЯЯ КЕР. D-150</t>
  </si>
  <si>
    <t>г.Калуга КАЛУГА-2</t>
  </si>
  <si>
    <t>26056  КАНАЛИЗАЦИЯ КЕР. D-250</t>
  </si>
  <si>
    <t>26055  КАНАЛИЗАЦИЯ КЕР. D-150</t>
  </si>
  <si>
    <t>26054  КАНАЛИЗАЦИЯ КЕР. D-300</t>
  </si>
  <si>
    <t>26053  КАНАЛИЗАЦИЯ КЕР. D-250</t>
  </si>
  <si>
    <t>город Калуга - 2,</t>
  </si>
  <si>
    <t>26052  КАНАЛИЗАЦИЯ НАРУЖНЯЯ КЕР. D-200</t>
  </si>
  <si>
    <t>город Калуга, улица Привокзальная, лит.I</t>
  </si>
  <si>
    <t>26051  КАНАЛИЗАЦИЯ КЕР. D-150</t>
  </si>
  <si>
    <t>26050  КАНАЛИЗАЦИЯ НАРУЖНЯЯ КЕР. D-150</t>
  </si>
  <si>
    <t>26049  КАНАЛИЗАЦИЯ НАРУЖНЯЯ КЕР. D-150</t>
  </si>
  <si>
    <t>26048  КАНАЛИЗАЦИЯ КЕР. D-200</t>
  </si>
  <si>
    <t>26047  КАНАЛИЗАЦИЯ ЧУГ. D-150</t>
  </si>
  <si>
    <t>город Калуга, улица Зерновая, д.20</t>
  </si>
  <si>
    <t>26017  Канализация Д-150 чуг.</t>
  </si>
  <si>
    <t>01.02.1998</t>
  </si>
  <si>
    <t>город Калуга, улица Родниковая</t>
  </si>
  <si>
    <t>26014  Канализационный коллектор Д-400-500 ж/б</t>
  </si>
  <si>
    <t>город Калуга, улица Турынинская,</t>
  </si>
  <si>
    <t>26013  Канализация Д-150 кер.</t>
  </si>
  <si>
    <t>город Калуга, переулок Советский, д.10</t>
  </si>
  <si>
    <t>26012  Канализация Д-250 а/ц</t>
  </si>
  <si>
    <t>город Калуга, переулок Советский, д.8</t>
  </si>
  <si>
    <t>26010  Канализация Д-300 а/ц</t>
  </si>
  <si>
    <t>город Калуга, улица Советская, д.16</t>
  </si>
  <si>
    <t>26008  Канализация Д-150 кер.</t>
  </si>
  <si>
    <t>город Калуга, улица Турынинская, д.17</t>
  </si>
  <si>
    <t>26007  Канализация Д-300 чуг.</t>
  </si>
  <si>
    <t>26006  Канализация Д-150 кер.</t>
  </si>
  <si>
    <t>город Калуга, улица Турынинская, д.14</t>
  </si>
  <si>
    <t>26003  Канализация Д-150 кер.</t>
  </si>
  <si>
    <t>город Калуга, улица Турынинская, д.13</t>
  </si>
  <si>
    <t>26002  Канализация Д-150 кер.</t>
  </si>
  <si>
    <t>город Калуга, улица Суворова, д.7 корп.1</t>
  </si>
  <si>
    <t>26000  КАНАЛИЗАЦИЯ А/Ц D-200</t>
  </si>
  <si>
    <t>25999  КАНАЛИЗАЦИЯ А/Ц D-150</t>
  </si>
  <si>
    <t>город Калуга, улица Новая, д.2</t>
  </si>
  <si>
    <t>26549  КАНАЛИЗАЦИЯ ЧУГ. D-150</t>
  </si>
  <si>
    <t>01.01.1998</t>
  </si>
  <si>
    <t>город Калуга, улица Пригородная, д.29</t>
  </si>
  <si>
    <t>25921  Канализация Д-200 кер.</t>
  </si>
  <si>
    <t>город Калуга, улица Советская, д.5</t>
  </si>
  <si>
    <t>25918  Канализация Д-200 кер.</t>
  </si>
  <si>
    <t>город Калуга, улица Герцена, д.17</t>
  </si>
  <si>
    <t>25916  КАНАЛИЗАЦИЯ А/Ц D-150</t>
  </si>
  <si>
    <t>25915  КАНАЛИЗАЦИЯ КЕР. D-250</t>
  </si>
  <si>
    <t>город Калуга, улица Герцена, 17</t>
  </si>
  <si>
    <t>25914  КАНАЛИЗАЦИЯ КЕР. D-200</t>
  </si>
  <si>
    <t>25811  КАНАЛИЗАЦИЯ КЕР. D-200 от котельной до КК-49 д.Кол</t>
  </si>
  <si>
    <t>01.12.1997</t>
  </si>
  <si>
    <t>город Калуга, улица Окружная, 2</t>
  </si>
  <si>
    <t>25807  КАНАЛИЗАЦИЯ ЧУГ. D-150</t>
  </si>
  <si>
    <t>город Калуга, улица Окружная, 4, корп.2</t>
  </si>
  <si>
    <t>25806  КАНАЛИЗАЦИЯ ЧУГ. D-200</t>
  </si>
  <si>
    <t>город Калуга, улица Окружная, 4, корп.1</t>
  </si>
  <si>
    <t>25805  КАНАЛИЗАЦИЯ ЧУГ. D-200</t>
  </si>
  <si>
    <t>город Калуга, улица Окружная, д.4</t>
  </si>
  <si>
    <t>25804  КАНАЛИЗАЦИЯ КЕР. D-200</t>
  </si>
  <si>
    <t>город Калуга, улица Окружная, 4</t>
  </si>
  <si>
    <t>25803  КАНАЛИЗАЦИЯ ЧУГ. D-100</t>
  </si>
  <si>
    <t>город Калуга, улица Окружная, 6</t>
  </si>
  <si>
    <t>25802  КАНАЛИЗАЦИЯ ЧУГ. D-200</t>
  </si>
  <si>
    <t>город Калуга, улица Окружная, 8</t>
  </si>
  <si>
    <t>25801  КАНАЛИЗАЦИЯ ЧУГ. D-200</t>
  </si>
  <si>
    <t>город Калуга, улица Окружная, д.10</t>
  </si>
  <si>
    <t>25800  КАНАЛИЗАЦИЯ КЕР. D-150</t>
  </si>
  <si>
    <t>25799  КАНАЛИЗАЦИЯ А/Ц D-300</t>
  </si>
  <si>
    <t>город Калуга, улица Глаголева, д.13</t>
  </si>
  <si>
    <t>25789  КАНАЛИЗАЦИЯ КЕР. D-150</t>
  </si>
  <si>
    <t>город Калуга, улица Глаголева, д.10</t>
  </si>
  <si>
    <t>25787  КАНАЛИЗАЦИЯ КЕР. D-150</t>
  </si>
  <si>
    <t>город Калуга, улица Глаголева, д.8</t>
  </si>
  <si>
    <t>25786  КАНАЛИЗАЦИЯ КЕР. D-150</t>
  </si>
  <si>
    <t>город Калуга, улица Глаголева, д.6</t>
  </si>
  <si>
    <t>25785  КАНАЛИЗАЦИЯ  КЕР. D-150</t>
  </si>
  <si>
    <t>город Калуга, улица Глаголева, д.5</t>
  </si>
  <si>
    <t>25784  КАНАЛИЗАЦИЯ КЕР. D-200</t>
  </si>
  <si>
    <t>город Калуга, улица Глаголева, д.4</t>
  </si>
  <si>
    <t>25783  КАНАЛИЗАЦИЯ КЕР. D-150</t>
  </si>
  <si>
    <t>город Калуга, улица Глаголева, д.2</t>
  </si>
  <si>
    <t>25782  КАНАЛИЗАЦИЯ КЕР. D-150</t>
  </si>
  <si>
    <t>город Калуга, улица Тельмана, 10</t>
  </si>
  <si>
    <t>25772  КАНАЛИЗАЦИЯ ЧУГ. D-100</t>
  </si>
  <si>
    <t>город Калуга, улица Тельмана, д.10</t>
  </si>
  <si>
    <t>25771  КАНАЛИЗАЦИЯ КЕР. D-200</t>
  </si>
  <si>
    <t>город Калуга, улица Азаровская, Дет.дом</t>
  </si>
  <si>
    <t>25770  КАНАЛИЗАЦИЯ А/Ц D-150</t>
  </si>
  <si>
    <t>город Калуга, улица Луначарского, д.62</t>
  </si>
  <si>
    <t>25767  КАНАЛИЗАЦИЯ А/Ц D-200</t>
  </si>
  <si>
    <t>25765  КАНАЛИЗ. КОЛЛЕКТОР D-400 А/Ц БЫТОВОЙ</t>
  </si>
  <si>
    <t>город Калуга, улица Никитина, д.81а , б, в</t>
  </si>
  <si>
    <t>25763  ВЫНОС КАНАЛИЗАЦИОННОЙ СЕТИ КЕР. D-200</t>
  </si>
  <si>
    <t>город Калуга, улица Никитина, 81 а, б, в</t>
  </si>
  <si>
    <t>25762  КАНАЛИЗАЦИЯ ЧУГ. D-200</t>
  </si>
  <si>
    <t>город Калуга, улица Никитина,</t>
  </si>
  <si>
    <t>25761  КАНАЛИЗАЦИЯ КЕР. D-250</t>
  </si>
  <si>
    <t>25760  КАНАЛИЗАЦИЯ КЕР. D-200</t>
  </si>
  <si>
    <t>25759  КАНАЛИЗАЦИЯ КЕР. D-150</t>
  </si>
  <si>
    <t>город Калуга, улица Болдина, д.17</t>
  </si>
  <si>
    <t>25757  КАНАЛИЗАЦИЯ КЕР. D-150</t>
  </si>
  <si>
    <t>город Калуга, улица Мичурина, д.40</t>
  </si>
  <si>
    <t>25755  КАНАЛИЗАЦИЯ А/Ц D-150</t>
  </si>
  <si>
    <t>город Калуга, улица Салтыкова-Щедрина, д.74</t>
  </si>
  <si>
    <t>25753  КАНАЛИЗАЦИЯ КЕР. D-150</t>
  </si>
  <si>
    <t>город Калуга, улица Мичурина, д.38</t>
  </si>
  <si>
    <t>25750  КАНАЛИЗАЦИЯ КЕР. D-500</t>
  </si>
  <si>
    <t>25749  КАНАЛИЗАЦИЯ КЕР. D-150</t>
  </si>
  <si>
    <t>город Калуга, улица Ф.Энгельса, 147</t>
  </si>
  <si>
    <t>25747  КАНАЛИЗАЦИЯ ЧУГ. D-150</t>
  </si>
  <si>
    <t>город Калуга, улица Ф.Энгельса, д.147</t>
  </si>
  <si>
    <t>25745  ДВОРОВАЯ КАНАЛИЗАЦИЯ ЧУГ. D-150</t>
  </si>
  <si>
    <t>город Калуга, улица Пестеля, д.62</t>
  </si>
  <si>
    <t>25743  КАНАЛИЗАЦИЯ КЕР. D-200</t>
  </si>
  <si>
    <t>город Калуга, улица М.Горького, д.61</t>
  </si>
  <si>
    <t>25740  КАНАЛИЗАЦИЯ КЕР. D-150</t>
  </si>
  <si>
    <t>город Калуга, улица Ф.Энгельса,</t>
  </si>
  <si>
    <t>25738  КАН. КОЛЛЕКТОР D-300 КЕР.</t>
  </si>
  <si>
    <t>город Калуга, улица Ф.Энгельса, д.110</t>
  </si>
  <si>
    <t>25737  КАНАЛИЗАЦИЯ КЕР. D-150</t>
  </si>
  <si>
    <t>город Калуга, улица Степана Разина, д.95</t>
  </si>
  <si>
    <t>25735  КАНАЛИЗАЦИЯ КЕР. D-150</t>
  </si>
  <si>
    <t>город Калуга, улица Генерала Попова, оч.сооружения</t>
  </si>
  <si>
    <t>25704  КАНАЛИЗАЦИЯ А/Ц D-200</t>
  </si>
  <si>
    <t>25703  КАНАЛИЗАЦИЯ КЕР. D-150</t>
  </si>
  <si>
    <t>25702  КАНАЛИЗАЦИЯ СТ. D-150</t>
  </si>
  <si>
    <t>город Калуга, улица Генерала Попова</t>
  </si>
  <si>
    <t>25701  НАПОРНАЯ КАНАЛИЗАЦИЯ ЧУГ. D-100</t>
  </si>
  <si>
    <t>город Калуга, улица Генерала Попова, 19, 20, 21, 22, 23, 24</t>
  </si>
  <si>
    <t>25700  КАНАЛИЗАЦИЯ ЧУГ. D-100</t>
  </si>
  <si>
    <t>25699  КАНАЛИЗАЦИЯ А/Ц D-200</t>
  </si>
  <si>
    <t>город Калуга, улица Генерала Попова, дес.сад до КК-49</t>
  </si>
  <si>
    <t>25698  КАНАЛИЗАЦИЯ КЕР. D-150</t>
  </si>
  <si>
    <t>город Калуга, улица Генерала Попова, 4, 6 до КК-43</t>
  </si>
  <si>
    <t>25697  КАНАЛИЗАЦИЯ КЕР. D-150</t>
  </si>
  <si>
    <t>город Калуга, улица Генерала Попова,</t>
  </si>
  <si>
    <t>25696  КАНАЛИЗАЦИЯ ЧУГ. D-100</t>
  </si>
  <si>
    <t>город Калуга, улица Генерала Попова, 8, 29, 30, 25, 26, 27, 28</t>
  </si>
  <si>
    <t>25695  КАНАЛИЗАЦИЯ А/Ц D-200</t>
  </si>
  <si>
    <t>25694  КАНАЛИЗАЦИЯ КЕР. D-250</t>
  </si>
  <si>
    <t>город Калуга, улица Генерала Попова, 1, 2, 3, 5, 7 до КК-39</t>
  </si>
  <si>
    <t>25693  КАНАЛИЗАЦИЯ КЕР. D-150</t>
  </si>
  <si>
    <t>25692  КАНАЛИЗАЦИЯ КЕР. D-200</t>
  </si>
  <si>
    <t>25691  КАНАЛИЗАЦИЯ А/Ц D-150</t>
  </si>
  <si>
    <t>25690  ДВОРОВАЯ КАНАЛИЗАЦИЯ КЕР. D-150</t>
  </si>
  <si>
    <t>25689  КАНАЛИЗАЦИЯ КЕР. D-150</t>
  </si>
  <si>
    <t>город Калуга, улица Спартака, Торг.центр</t>
  </si>
  <si>
    <t>25688  КАНАЛИЗАЦИЯ КЕР. D-150</t>
  </si>
  <si>
    <t>город Калуга, улица Ромодановская, д.1</t>
  </si>
  <si>
    <t>25687  КАНАЛИЗАЦИЯ КЕР. D-150</t>
  </si>
  <si>
    <t>город Калуга, улица Генерала Попова, д.12 - 18 до КК-16</t>
  </si>
  <si>
    <t>25686  КАНАЛИЗАЦИЯ  КЕР. D-250</t>
  </si>
  <si>
    <t>25656  СЕВЕРНЫЙ НАПОРНЫЙ КОЛЛЕКТОР D-400,426</t>
  </si>
  <si>
    <t>01.11.1997</t>
  </si>
  <si>
    <t>город Калуга, улица Промышленная, д.8</t>
  </si>
  <si>
    <t>25392  Канализация Д-150 а/ц</t>
  </si>
  <si>
    <t>город Калуга, улица Промышленная, д.6</t>
  </si>
  <si>
    <t>25391  Канализация Д-150 а/ц</t>
  </si>
  <si>
    <t>город Калуга, улица Промышленная, д.2</t>
  </si>
  <si>
    <t>25390  КАнализация Д-150 а/ц</t>
  </si>
  <si>
    <t>город Калуга, улица Лесная, 12, 14, 16, 18, 20, 22, 24</t>
  </si>
  <si>
    <t>25388  Канализация Д-150 кер.</t>
  </si>
  <si>
    <t>город Калуга, переулок Малинники, д.9</t>
  </si>
  <si>
    <t>25384  Канализация Д-150 чуг.</t>
  </si>
  <si>
    <t>город Калуга, переулок Малинники, д.7 корп.1</t>
  </si>
  <si>
    <t>25383  Канализация Д-200 а/ц</t>
  </si>
  <si>
    <t>25382  Канализация Д-200 чуг.</t>
  </si>
  <si>
    <t>город Калуга, переулок Малинники, д.7</t>
  </si>
  <si>
    <t>25381  Канализация Д-200 а/ц</t>
  </si>
  <si>
    <t>город Калуга, улица Радищева, д.8</t>
  </si>
  <si>
    <t>25374  Канализация Д-150 кер.</t>
  </si>
  <si>
    <t>город Калуга, улица Радищева, д.6</t>
  </si>
  <si>
    <t>25373  Канализация Д-200 чуг.</t>
  </si>
  <si>
    <t>25372  Канализация Д-150 чуг.</t>
  </si>
  <si>
    <t>город Калуга, улица В.Никитиной, д.47</t>
  </si>
  <si>
    <t>25371  Канализация Д-150 а/ц</t>
  </si>
  <si>
    <t>город Калуга, улица В.Никитиной, д.45</t>
  </si>
  <si>
    <t>25370  Канализация Д-150 а/ц</t>
  </si>
  <si>
    <t>город Калуга, улица В.Никитиной, д.41</t>
  </si>
  <si>
    <t>25369  КАнализация Д-150 кер.</t>
  </si>
  <si>
    <t>город Калуга, улица В.Никитиной, д.39</t>
  </si>
  <si>
    <t>25368  Канализация Д-200 а/ц</t>
  </si>
  <si>
    <t>город Калуга, улица В.Никитиной, д.35</t>
  </si>
  <si>
    <t>25367  Канализация Д-150 кер.</t>
  </si>
  <si>
    <t>город Калуга, улица В.Никитиной, д.33 корп.1</t>
  </si>
  <si>
    <t>25366  Канализация Д-150 кер.</t>
  </si>
  <si>
    <t>город Калуга, улица В.Никитиной, д.32</t>
  </si>
  <si>
    <t>25365  Канализация Д-200 а/ц</t>
  </si>
  <si>
    <t>город Калуга, улица В.Никитиной, д.31</t>
  </si>
  <si>
    <t>25364  Канализация Д-200 а/ц</t>
  </si>
  <si>
    <t>город Калуга, улица В.Никитиной, д.30</t>
  </si>
  <si>
    <t>25363  Канализация Д-200 кер.</t>
  </si>
  <si>
    <t>город Калуга, улица В.Никитиной, д.29</t>
  </si>
  <si>
    <t>25362  Канализация Д-150 кер.</t>
  </si>
  <si>
    <t>город Калуга, улица Поле Свободы, д.33</t>
  </si>
  <si>
    <t>25348  ВЫНОС КАНАЛИЗ. КОЛЛЕКТОРА Ж/Б D-500</t>
  </si>
  <si>
    <t>город Калуга, улица Кутузова, д.3/5</t>
  </si>
  <si>
    <t>25346  КАНАЛИЗАЦИЯ КЕР. D-150</t>
  </si>
  <si>
    <t>город Калуга, улица Ленина, д.125а</t>
  </si>
  <si>
    <t>25345  КАНАЛИЗАЦИЯ КЕР. D-150</t>
  </si>
  <si>
    <t>город Калуга, улица Ленина, д.125</t>
  </si>
  <si>
    <t>25344  КАНАЛИЗАЦИЯ КЕР. D-150</t>
  </si>
  <si>
    <t>город Калуга, улица Ленина, д.123</t>
  </si>
  <si>
    <t>25343  КАНАЛИЗАЦИЯ КЕР. D-150</t>
  </si>
  <si>
    <t>город Калуга, улица Циолковского, д.62</t>
  </si>
  <si>
    <t>25339  КАНАЛИЗАЦИЯ КЕР. D-200</t>
  </si>
  <si>
    <t>город Калуга, улица Кирова, д.23а</t>
  </si>
  <si>
    <t>25334  КАНАЛИЗАЦИЯ КЕР. D-150</t>
  </si>
  <si>
    <t>город Калуга, улица Кирова, д.25а</t>
  </si>
  <si>
    <t>25332  КАНАЛИЗАЦИЯ КЕР. D-150</t>
  </si>
  <si>
    <t>город Калуга, улица Кирова, д.25</t>
  </si>
  <si>
    <t>25330  КАНАЛИЗАЦИЯ КЕР. D-150</t>
  </si>
  <si>
    <t>248032,Калужская обл,Калуга г,5 Линия ул</t>
  </si>
  <si>
    <t>24998  Канализация Д-250 чуг.</t>
  </si>
  <si>
    <t>01.10.1997</t>
  </si>
  <si>
    <t>24997  Канализация Д-250 чуг.</t>
  </si>
  <si>
    <t>24996  Канализация Д-200 кер.</t>
  </si>
  <si>
    <t>город Калуга, улица Советская, д.3</t>
  </si>
  <si>
    <t>24995  Канализация Д-150 кер.</t>
  </si>
  <si>
    <t>город Калуга, улица 5 Линия, д.1 корп.4 , корп.4</t>
  </si>
  <si>
    <t>24994  Канализация Д-150 а/ц</t>
  </si>
  <si>
    <t>город Калуга, улица Л.Толстого, д.39</t>
  </si>
  <si>
    <t>24985  Канализация Д-250 кер.</t>
  </si>
  <si>
    <t>город Калуга, улица Л.Толстого, д.35/1</t>
  </si>
  <si>
    <t>24984  Канализация Д-200 а/ц</t>
  </si>
  <si>
    <t>город Калуга, улица Л.Толстого, д.55</t>
  </si>
  <si>
    <t>24983  Канализация Д-150 а/ц</t>
  </si>
  <si>
    <t>город Калуга, улица Л.Толстого, д.29</t>
  </si>
  <si>
    <t>24982  Канализация Д-200 а/ц</t>
  </si>
  <si>
    <t>город Калуга, улица Л.Толстого, д.30</t>
  </si>
  <si>
    <t>24981  Канализация Д-150 кер.</t>
  </si>
  <si>
    <t>город Калуга, улица Л.Толстого, д.31</t>
  </si>
  <si>
    <t>24980  Канализация Д-200 а/ц</t>
  </si>
  <si>
    <t>город Калуга, улица Л.Толстого, д.4/2</t>
  </si>
  <si>
    <t>24979  Канализация Д-150 кер.</t>
  </si>
  <si>
    <t>город Калуга, улица Л.Толстого, д.4/1</t>
  </si>
  <si>
    <t>24978  Канализация Д-150 кер.</t>
  </si>
  <si>
    <t>город Калуга, улица Л.Толстого, д.8</t>
  </si>
  <si>
    <t>24977  Канализация Д-200 кер.</t>
  </si>
  <si>
    <t>город Калуга, улица Л.Толстого, д.3</t>
  </si>
  <si>
    <t>24976  Канализация Д-150 а/ц</t>
  </si>
  <si>
    <t>город Калуга, улица Л.Толстого, д.7</t>
  </si>
  <si>
    <t>24975  Канализация Д-200 а/ц</t>
  </si>
  <si>
    <t>24974  Канализация Д-200 а/ц</t>
  </si>
  <si>
    <t>24956  Канализация Д-150 кер.</t>
  </si>
  <si>
    <t>город Калуга Учхоз, д.3</t>
  </si>
  <si>
    <t>24953  КАНАЛИЗАЦИЯ D-150 А/Ц</t>
  </si>
  <si>
    <t>город Калуга, улица Поле Свободы, д.85</t>
  </si>
  <si>
    <t>24952  КАНАЛИЗАЦИЯ D-150 А/Ц</t>
  </si>
  <si>
    <t>24951  КАНАЛИЗАЦИЯ D-250 КЕР.</t>
  </si>
  <si>
    <t>город Калуга, улица Московская, д.301 - 303</t>
  </si>
  <si>
    <t>24950  КАНАЛИЗАЦИЯ D-150 ЧУГ.</t>
  </si>
  <si>
    <t>24949  КАНАЛИЗАЦИЯ D-100 ЧУГ.</t>
  </si>
  <si>
    <t>город Калуга, улица, д.11</t>
  </si>
  <si>
    <t>24943  КАНАЛИЗАЦИЯ D-150 ЧУГ.</t>
  </si>
  <si>
    <t>24942  КАНАЛИЗАЦИЯ D-200 КЕР.</t>
  </si>
  <si>
    <t>город Калуга, улица Ф.Энгельса, д.145</t>
  </si>
  <si>
    <t>24939  КАНАЛИЗАЦИЯ D-150 ЧУГ</t>
  </si>
  <si>
    <t>город Калуга, улица Тельмана, д.39</t>
  </si>
  <si>
    <t>24936  КАНАЛИЗАЦИЯ КЕР. D-200</t>
  </si>
  <si>
    <t>01.09.1997</t>
  </si>
  <si>
    <t>город Калуга, улица Комарова, д.30</t>
  </si>
  <si>
    <t>24908  Канализация Д-150 кер.</t>
  </si>
  <si>
    <t>город Калуга, улица Воронина, д.11</t>
  </si>
  <si>
    <t>24905  КАНАЛИЗАЦИЯ А/Ц D-150</t>
  </si>
  <si>
    <t>город Калуга, улица Московская, д.315</t>
  </si>
  <si>
    <t>24898  КАНАЛИЗ.КОЛЛЕКТОР ЧУГ. D-400</t>
  </si>
  <si>
    <t>24897  КАНАЛИЗ. КОЛЛЕКТОР ЧУГ. D-300</t>
  </si>
  <si>
    <t>24896  КАНАЛИЗ. КОЛЛЕКТОР Ж/Б D-500</t>
  </si>
  <si>
    <t>город Калуга Сосновый, 3</t>
  </si>
  <si>
    <t>24874  КАНАЛИЗАЦИЯ ЧУГ. D-150</t>
  </si>
  <si>
    <t>город Калуга Сосновый, д.1</t>
  </si>
  <si>
    <t>24873  КАНАЛИЗАЦИЯ КЕР. D-150,100(ЧУГ.)</t>
  </si>
  <si>
    <t>24867  КАНАЛИЗАЦИЯ КЕР. D-150</t>
  </si>
  <si>
    <t>город Калуга, улица Тельмана, д.37</t>
  </si>
  <si>
    <t>24866  КАНАЛИЗАЦИЯ КЕР. D-150</t>
  </si>
  <si>
    <t>город Калуга, улица Тельмана, д.35</t>
  </si>
  <si>
    <t>24865  КАНАЛИЗАЦИЯ А/Ц D-150</t>
  </si>
  <si>
    <t>город Калуга, улица Билибина, д.28</t>
  </si>
  <si>
    <t>24864  КАНАЛИЗАЦИЯ КЕР D-150</t>
  </si>
  <si>
    <t>город Калуга, улица Билибина, д.26</t>
  </si>
  <si>
    <t>24863  КАНАЛИЗАЦИЯ КЕР. D-150</t>
  </si>
  <si>
    <t>24860  КАНАЛ.КОЛЛЕКТОР А/Ц D-200</t>
  </si>
  <si>
    <t>24859  КАНАЛИЗ.КОЛЛЕКТОР А/Ц D-150</t>
  </si>
  <si>
    <t>24857  КАНАЛИЗАЦИЯ А/Ц D-150</t>
  </si>
  <si>
    <t>город Калуга, улица Баумана, д.12/17</t>
  </si>
  <si>
    <t>24855  КАНАЛИЗАЦИЯ А/Ц D-150</t>
  </si>
  <si>
    <t>24812  Канализационный коллектор Д-150 чуг.</t>
  </si>
  <si>
    <t>01.08.1997</t>
  </si>
  <si>
    <t>24811  Канализационный коллектор Д-125 чуг.</t>
  </si>
  <si>
    <t>24810  Канализационный коллектор Д-300 кер.</t>
  </si>
  <si>
    <t>24809  Канализационный коллектор Д-150 кер.</t>
  </si>
  <si>
    <t>город Калуга, улица Телевизионная, д.15</t>
  </si>
  <si>
    <t>24808  КАНАЛИЗАЦИЯ А/Ц D-300</t>
  </si>
  <si>
    <t>24807  КАНАЛИЗАЦИЯ КЕР. D-150</t>
  </si>
  <si>
    <t>город Калуга, улица Телевизионная, д.21</t>
  </si>
  <si>
    <t>24806  КАНАЛИЗАЦИЯ КЕР. D-150</t>
  </si>
  <si>
    <t>город Калуга, улица Телевизионная, 23</t>
  </si>
  <si>
    <t>24805  КАНАЛИЗАЦИЯ ЧУГ. D-150</t>
  </si>
  <si>
    <t>город Калуга, улица Телевизионная, 27</t>
  </si>
  <si>
    <t>24804  КАНАЛИЗАЦИЯ ЧУГ. D-150</t>
  </si>
  <si>
    <t>город Калуга, улица Телевизионная, 25</t>
  </si>
  <si>
    <t>24803  КАНАЛИЗАЦИЯ ЧУГ. D-150</t>
  </si>
  <si>
    <t>город Калуга, улица Телевизионная, 6</t>
  </si>
  <si>
    <t>24802  КАНАЛИЗАЦИЯ ЧУГ. D-150</t>
  </si>
  <si>
    <t>24801  КАНАЛИЗАЦИЯ ЧУГ. D-100</t>
  </si>
  <si>
    <t>город Калуга, улица Телевизионная, 8</t>
  </si>
  <si>
    <t>24800  КАНАЛИЗАЦИЯ ЧУГ. D-150</t>
  </si>
  <si>
    <t>24799  КАНАЛИЗАЦИЯ ЧУГ. D-100</t>
  </si>
  <si>
    <t>город Калуга, улица Телевизионная, д.16</t>
  </si>
  <si>
    <t>24798  КАНАЛИЗАЦИЯ КЕР. D-150</t>
  </si>
  <si>
    <t>город Калуга, улица Телевизионная, 20</t>
  </si>
  <si>
    <t>24797  КАНАЛИЗАЦИЯ ЧУГ. D-150</t>
  </si>
  <si>
    <t>город Калуга, улица Телевизионная, 22</t>
  </si>
  <si>
    <t>24796  КАНАЛИЗАЦИЯ ЧУГ. D-150</t>
  </si>
  <si>
    <t>город Калуга, улица Телевизионная, д.26</t>
  </si>
  <si>
    <t>24795  КАНАЛИЗАЦИЯ КЕР. D-150</t>
  </si>
  <si>
    <t>город Калуга, улица Пухова, 43, корп.3</t>
  </si>
  <si>
    <t>24783  КАНАЛИЗАЦИЯ ЧУГ. D-250</t>
  </si>
  <si>
    <t>город Калуга, улица Пухова, копр.2</t>
  </si>
  <si>
    <t>24782  КАНАЛИЗАЦИЯ ЧУГ. D-250</t>
  </si>
  <si>
    <t>город Калуга, улица Пухова, 43, корп.1</t>
  </si>
  <si>
    <t>24781  КАНАЛИЗАЦИЯ ЧУГ. D-250</t>
  </si>
  <si>
    <t>город Калуга, улица Пухова, д.39а</t>
  </si>
  <si>
    <t>24780  КАНАЛИЗАЦИЯ КЕР. D-150</t>
  </si>
  <si>
    <t>город Калуга, улица Поле Свободы, д.6</t>
  </si>
  <si>
    <t>24774  КАНАЛИЗАЦИЯ КЕР. D-150</t>
  </si>
  <si>
    <t>город Калуга, улица Поле Свободы, д.4</t>
  </si>
  <si>
    <t>24773  КАНАЛИЗАЦИЯ КЕР. D-150</t>
  </si>
  <si>
    <t>город Калуга, улица Чичерина, д.17а</t>
  </si>
  <si>
    <t>24762  КАНАЛИЗАЦИЯ КЕР. D-150</t>
  </si>
  <si>
    <t>город Калуга, улица Чичерина, д.17</t>
  </si>
  <si>
    <t>24761  КАНАЛИЗАЦИЯ КЕР. D-150</t>
  </si>
  <si>
    <t>город Калуга, улица Чичерина, д.19</t>
  </si>
  <si>
    <t>24760  КАНАЛИЗАЦИЯ КЕР. D-150</t>
  </si>
  <si>
    <t>город Калуга, улица Чичерина, д.21</t>
  </si>
  <si>
    <t>24759  КАНАЛИЗАЦИЯ КЕР. D-150</t>
  </si>
  <si>
    <t>город Калуга, улица Чичерина, д.16</t>
  </si>
  <si>
    <t>24758  КАНАЛИЗАЦИЯ КЕР. D-200</t>
  </si>
  <si>
    <t>24757  КАНАЛИЗАЦИЯ КЕР. D-150</t>
  </si>
  <si>
    <t>город Калуга, улица Чичерина, д.18</t>
  </si>
  <si>
    <t>24756  КАНАЛИЗАЦИЯ КЕР. D-150</t>
  </si>
  <si>
    <t>город Калуга, улица Чичерина, д.20</t>
  </si>
  <si>
    <t>24755  КАНАЛИЗАЦИЯ КЕР. D-150</t>
  </si>
  <si>
    <t>город Калуга, улица Чичерина, 22</t>
  </si>
  <si>
    <t>24754  КАНАЛИЗАЦИЯ ЧУГ. D-150</t>
  </si>
  <si>
    <t>город Калуга, улица Войкова, д.16а</t>
  </si>
  <si>
    <t>24729  КАНАЛИЗАЦИЯ КЕР. D-150</t>
  </si>
  <si>
    <t>01.07.1997</t>
  </si>
  <si>
    <t>город Калуга, улица Тельмана, д.15</t>
  </si>
  <si>
    <t>24595  КАНАЛИЗАЦИЯ КЕР. D-150</t>
  </si>
  <si>
    <t>01.05.1997</t>
  </si>
  <si>
    <t>город Калуга, улица Тельмана, д.13</t>
  </si>
  <si>
    <t>24594  КАНАЛИЗАЦИЯ КЕР. D-150</t>
  </si>
  <si>
    <t>город Калуга, улица Тельмана, 11</t>
  </si>
  <si>
    <t>24593  КАНАЛИЗАЦИЯ ЧУГ. D-150</t>
  </si>
  <si>
    <t>город Калуга, улица Литейная, 11</t>
  </si>
  <si>
    <t>24587  КАНАЛИЗАЦИЯ ЧУГ. D-150</t>
  </si>
  <si>
    <t>город Калуга, улица Литейная, д.9</t>
  </si>
  <si>
    <t>24586  КАНАЛИЗАЦИЯ А/Ц D-300</t>
  </si>
  <si>
    <t>город Калуга, улица Литейная, д.7</t>
  </si>
  <si>
    <t>24585  КАНАЛИЗАЦИЯ КЕР. D-150</t>
  </si>
  <si>
    <t>город Калуга, переулок Литейная, д.5</t>
  </si>
  <si>
    <t>24584  КАНАЛИЗАЦИЯ КЕР. D-150</t>
  </si>
  <si>
    <t>город Калуга, переулок Литейная, д.3</t>
  </si>
  <si>
    <t>24583  КАНАЛИЗАЦИЯ КЕР. D-150</t>
  </si>
  <si>
    <t>город Калуга, переулок Литейный, д.9</t>
  </si>
  <si>
    <t>24582  КАНАЛИЗАЦИЯ КЕР. D-200</t>
  </si>
  <si>
    <t>город Калуга, переулок Литейный, д.7</t>
  </si>
  <si>
    <t>24581  КАНАЛИЗАЦИЯ А/Ц D-150</t>
  </si>
  <si>
    <t>24576  Канализационный коллектор Д-500 ст.</t>
  </si>
  <si>
    <t>24575  Канализационный коллектор Д-600 ж/б</t>
  </si>
  <si>
    <t>24574  Канализационный коллектор Д-500 ст.</t>
  </si>
  <si>
    <t>город Калуга, улица Западная, 2-8</t>
  </si>
  <si>
    <t>24572  Канализация Д-150 кер.</t>
  </si>
  <si>
    <t>город Калуга, переулок Тракторная</t>
  </si>
  <si>
    <t>24570  Канализация Д-150 чуг.</t>
  </si>
  <si>
    <t>город Калуга, бульвар Моторостроителей, д.7</t>
  </si>
  <si>
    <t>24568  КАНАЛИЗАЦИЯ А/Ц D-150</t>
  </si>
  <si>
    <t>город Калуга, улица В.Никитиной, д.43</t>
  </si>
  <si>
    <t>24567  Канализация Д-150 кер.</t>
  </si>
  <si>
    <t>город Калуга, улица Добровольского,</t>
  </si>
  <si>
    <t>24531  КАНАЛИЗ.КОЛЛЕКТОР D-300, ЧУГ.</t>
  </si>
  <si>
    <t>01.03.1997</t>
  </si>
  <si>
    <t>город Калуга, улица Октябрьская,</t>
  </si>
  <si>
    <t>24530  КАНАЛИЗАЦИОННЫЙ КОЛЛЕКТОР D-500, Ж/Б</t>
  </si>
  <si>
    <t>город Калуга, улица Ломоносова</t>
  </si>
  <si>
    <t>24529  КАНАЛИЗАЦИЯ ЧУГ. D-500</t>
  </si>
  <si>
    <t>24515  Канализационный коллектор Д-200 кер.</t>
  </si>
  <si>
    <t>01.02.1997</t>
  </si>
  <si>
    <t>город Калуга, микрорайон Комсомольская, д.5</t>
  </si>
  <si>
    <t>24512  КАНАЛИЗАЦИЯ D-150, КЕР</t>
  </si>
  <si>
    <t>24510  Канализация Д-400 ж/б</t>
  </si>
  <si>
    <t>24509  Канализация Д-400 а/ц</t>
  </si>
  <si>
    <t>24507  Канализация Д-200 а/ц</t>
  </si>
  <si>
    <t>24506  Канализация Д-300 кер.</t>
  </si>
  <si>
    <t>город Калуга, улица Тульская, д.103</t>
  </si>
  <si>
    <t>24504  КАНАЛИЗАЦИЯ D-150, А/Ц</t>
  </si>
  <si>
    <t>город Калуга, улица Суворова, 21</t>
  </si>
  <si>
    <t>24500  НАРУЖНЯЯ КАНАЛИЗАЦИЯ D-150,А/Ц</t>
  </si>
  <si>
    <t>город Калуга, улица Кооперативная</t>
  </si>
  <si>
    <t>24498  КАНАЛИЗАЦИОННЫЙ КОЛЛЕКТОР D-200, ЧУГ.</t>
  </si>
  <si>
    <t>24497  КАНАЛИЗАЦИОННЫЙ КОЛЛЕКТОР D-200, А/Ц</t>
  </si>
  <si>
    <t>город Калуга, улица Молодежная, д.11</t>
  </si>
  <si>
    <t>24496  Канализация Д-200 а/ц</t>
  </si>
  <si>
    <t>24495  Канализация Д-150 кер.</t>
  </si>
  <si>
    <t>24494  НАРУЖНЯЯ КАНАЛИЗАЦИЯ D-150,А/Ц</t>
  </si>
  <si>
    <t>24486  Канализация Д-150 кер.</t>
  </si>
  <si>
    <t>01.01.1997</t>
  </si>
  <si>
    <t>24412  Канализация Д-200 а/ц</t>
  </si>
  <si>
    <t>01.12.1996</t>
  </si>
  <si>
    <t>город Калуга, улица Чичерина, д.23а</t>
  </si>
  <si>
    <t>24383  КАНАЛИЗАЦИЯ D-100 ЧУГ.</t>
  </si>
  <si>
    <t>01.11.1996</t>
  </si>
  <si>
    <t>город Калуга, улица Комарова, д.45 корп.1</t>
  </si>
  <si>
    <t>24377  КАНАЛИЗАЦИЯ D-150 ЧУГ.</t>
  </si>
  <si>
    <t>город Калуга, улица Гурьянова, д.57</t>
  </si>
  <si>
    <t>24359  КАНАЛИЗАЦИЯ D-150,А/Ц</t>
  </si>
  <si>
    <t>01.10.1996</t>
  </si>
  <si>
    <t>город Калуга, улица Гурьянова, 57</t>
  </si>
  <si>
    <t>24358  КОЛЛЕКТОРНАЯ КАНАЛИЗАЦИЯ D-400 А/Ц</t>
  </si>
  <si>
    <t>город Калуга, микрорайон, Тайфун</t>
  </si>
  <si>
    <t>24351  Канализационный коллектор д-500 ст.</t>
  </si>
  <si>
    <t>01.09.1996</t>
  </si>
  <si>
    <t>24350  Канализация Д-200 а/ц</t>
  </si>
  <si>
    <t>24349  Канализация Д-200 а/ц</t>
  </si>
  <si>
    <t>город Калуга, микрорайон,</t>
  </si>
  <si>
    <t>24348  Канализация Д-150 чуг.</t>
  </si>
  <si>
    <t>24347  КАнализация Д-325 ст.</t>
  </si>
  <si>
    <t>24346  Канализация Д-300 а/ц</t>
  </si>
  <si>
    <t>24345  Канализация Д-200 а/ц</t>
  </si>
  <si>
    <t>24344  Канализация Д-150 а/ц</t>
  </si>
  <si>
    <t>24343  Канализация Д-150 кер.</t>
  </si>
  <si>
    <t>24342  Канализация Д-150 чуг.</t>
  </si>
  <si>
    <t>24341  Канализация Д-150 чуг.</t>
  </si>
  <si>
    <t>город Калуга, проезд Заводской 2-й</t>
  </si>
  <si>
    <t>24330  Канализация Д-150 кер.</t>
  </si>
  <si>
    <t>город Калуга, пойма р. Оки от КНС-6 до ГП "Калугаоблводоканал"</t>
  </si>
  <si>
    <t>24327  КАНАЛИЗАЦИОННЫЙ КОЛЛЕКТОР СТ.</t>
  </si>
  <si>
    <t>город Калуга, улица Весенняя,</t>
  </si>
  <si>
    <t>24306  КАНАЛИЗАЦИЯ D-200 КЕР.</t>
  </si>
  <si>
    <t>01.08.1996</t>
  </si>
  <si>
    <t>город Калуга, улица Весенняя</t>
  </si>
  <si>
    <t>24304  КАНАЛИЗАЦИЯ D-80 ЧУГ.</t>
  </si>
  <si>
    <t>город Калуга, переулок 8 Марта</t>
  </si>
  <si>
    <t>24261  Канализация Д-150 кер.</t>
  </si>
  <si>
    <t>01.07.1996</t>
  </si>
  <si>
    <t>город Калуга, улица Первых Космонавтов, д.6</t>
  </si>
  <si>
    <t>24260  КАНАЛИЗАЦИЯ D-150</t>
  </si>
  <si>
    <t>город Калуга, улица Дубрава, 1-12</t>
  </si>
  <si>
    <t>24246  Канализация Д-150-200 кер.</t>
  </si>
  <si>
    <t>01.06.1996</t>
  </si>
  <si>
    <t>город Калуга, улица Дубрава, лит.II</t>
  </si>
  <si>
    <t>24245  Канализация Д-150-250 чуг.</t>
  </si>
  <si>
    <t>город Калуга, улица Дружба, д.17</t>
  </si>
  <si>
    <t>24243  Канализация Д-150 кер. Д-150-200 а/ц.</t>
  </si>
  <si>
    <t>город Калуга Силикатный</t>
  </si>
  <si>
    <t>24241  КОЛЛЕКТОР D-150,400,530</t>
  </si>
  <si>
    <t>город Калуга, улица Тульская, д.69</t>
  </si>
  <si>
    <t>24238  КАНАЛИЗАЦИЯ ЧУГ. D-150</t>
  </si>
  <si>
    <t>город Калуга, улица Тульская, д.15</t>
  </si>
  <si>
    <t>24235  КАНАЛИЗАЦИЯ А/Ц D-150</t>
  </si>
  <si>
    <t>город Калуга, улица Карачевская, д.23 корп.1</t>
  </si>
  <si>
    <t>24219  КАНАЛИЗАЦИЯ D-150 ЧУГ.</t>
  </si>
  <si>
    <t>01.05.1996</t>
  </si>
  <si>
    <t>город Калуга, улица Вишневского, д.31</t>
  </si>
  <si>
    <t>24217  КАНАЛИЗАЦИЯ D=150</t>
  </si>
  <si>
    <t>город Калуга, улица М.Горького, д.100</t>
  </si>
  <si>
    <t>24213  КАНАЛИЗАЦИЯ D=150</t>
  </si>
  <si>
    <t>город Калуга, улица Достоевского, д.35</t>
  </si>
  <si>
    <t>24159  КАНАЛИЗАЦИЯ D-150,А/Ц</t>
  </si>
  <si>
    <t>01.03.1996</t>
  </si>
  <si>
    <t>город Калуга, переулок Пушкина, 2</t>
  </si>
  <si>
    <t>24135  МАГИСТР.КАНАЛИЗАЦИЯ А/Ц d-150</t>
  </si>
  <si>
    <t>01.02.1996</t>
  </si>
  <si>
    <t>город Калуга, улица Хрустальная, д.10</t>
  </si>
  <si>
    <t>24128  Канализация Д-150 чуг.</t>
  </si>
  <si>
    <t>город Калуга, улица Хрустальная, д.18</t>
  </si>
  <si>
    <t>24126  Канализация Д-150-238 кер. Д-250 чуг.</t>
  </si>
  <si>
    <t>город Калуга, улица Вагонная</t>
  </si>
  <si>
    <t>24124  Канализация Д-150-325 кер.</t>
  </si>
  <si>
    <t>город Калуга, переулок Пушкина, д.2</t>
  </si>
  <si>
    <t>24122  ДВОРОВАЯ КАНАЛИЗ.ЧУГ.d-200</t>
  </si>
  <si>
    <t>город Калуга, санаторий, Калуга-Бор</t>
  </si>
  <si>
    <t>24120  КАНАЛИЗАЦИЯ П/Э D-160</t>
  </si>
  <si>
    <t>город Калуга, улица Тарутинская, д.198</t>
  </si>
  <si>
    <t>24119  Канализационный коллектор Д-400 чуг.</t>
  </si>
  <si>
    <t>город Калуга, улица Каракозова, д.4</t>
  </si>
  <si>
    <t>24088  КАНАЛИЗАЦИЯ А/Ц D-150</t>
  </si>
  <si>
    <t>01.01.1996</t>
  </si>
  <si>
    <t>город Калуга, переулок Малый, д.2</t>
  </si>
  <si>
    <t>24086  КАНАЛИЗАЦИЯ КЕР. D-150</t>
  </si>
  <si>
    <t>город Калуга, улица Декабристов, д.16</t>
  </si>
  <si>
    <t>24080  КАНАЛИЗАЦИЯ А/Ц D-150,200(ЧУГ)</t>
  </si>
  <si>
    <t>город Калуга, улица Болдина, 2а</t>
  </si>
  <si>
    <t>24077  КАНАЛИЗАЦИЯ ЧУГ. D-150</t>
  </si>
  <si>
    <t>город Калуга, деревня Шопино</t>
  </si>
  <si>
    <t>24075  КАНАЛИЗАЦИЯ А/Ц D-200</t>
  </si>
  <si>
    <t>24074  КАНАЛИЗАЦИЯ П.Э (Ж.Б) D-315</t>
  </si>
  <si>
    <t>24073  КАНАЛИЗАЦИЯ КЕР.</t>
  </si>
  <si>
    <t>24072  КАНАЛИЗАЦИЯ СТ. D-150</t>
  </si>
  <si>
    <t>24071  КАНАЛИЗАЦИЯ КЕР. D-150</t>
  </si>
  <si>
    <t>24070  КАНАЛИЗАЦИЯ КЕР. D-300</t>
  </si>
  <si>
    <t>город Калуга, деревня Шопино,</t>
  </si>
  <si>
    <t>24069  КАНАЛИЗАЦИЯ КЕР. D-250</t>
  </si>
  <si>
    <t>24068  КАНАЛИЗАЦИЯ КЕР. D-200</t>
  </si>
  <si>
    <t>24067  КАНАЛИЗАЦИЯ КЕР. D-50</t>
  </si>
  <si>
    <t>24035  КАНАЛИЗАЦИЯ ПОСЛЕ ОЧИСТНЫХ КЕР.</t>
  </si>
  <si>
    <t>01.12.1995</t>
  </si>
  <si>
    <t>24034  ПРОИЗВОДСТВЕННАЯ КАНАЛИЗАЦИЯ КЕР.</t>
  </si>
  <si>
    <t>24033  КАНАЛИЗАЦИЯ К ОЧИСТНЫМ ЧУГ.</t>
  </si>
  <si>
    <t>24031  ВНУТРИПЛОЩАДОЧНАЯ КАНАЛИЗАЦИЯ ЧУГУН</t>
  </si>
  <si>
    <t>город Калуга, улица Баумана, д.30 , корп.1</t>
  </si>
  <si>
    <t>23700  КАНАЛИЗАЦИЯ КЕР. D-200</t>
  </si>
  <si>
    <t>город Калуга, улица Ф.Энгельса, 51</t>
  </si>
  <si>
    <t>23698  НАРУЖНЯЯ КАНАЛИЗ. А/Ц D-150</t>
  </si>
  <si>
    <t>город Калуга, улица Огарева, д.120</t>
  </si>
  <si>
    <t>23696  Канализация Д-150 кер.</t>
  </si>
  <si>
    <t>город Калуга, улица Молодежная, д.3</t>
  </si>
  <si>
    <t>23694  Канализация Д-150 чуг.</t>
  </si>
  <si>
    <t>город Калуга, переулок Малинники, д.8</t>
  </si>
  <si>
    <t>23632  Канализация Д-150 кер.</t>
  </si>
  <si>
    <t>01.11.1995</t>
  </si>
  <si>
    <t>город Калуга, переулок Малинники, д.6</t>
  </si>
  <si>
    <t>23631  Канализация Д-150 чуг.</t>
  </si>
  <si>
    <t>город Калуга, улица Ольговская, д.3</t>
  </si>
  <si>
    <t>23624  Канализация Д-500 ж/б</t>
  </si>
  <si>
    <t>23623  Канализация Д-150 ж/б</t>
  </si>
  <si>
    <t>город Калуга, переулок Песчаный, д.3</t>
  </si>
  <si>
    <t>23621  Канализация Д-200 кер.</t>
  </si>
  <si>
    <t>город Калуга, улица Бульвар Энтузиастов, д.2</t>
  </si>
  <si>
    <t>23597  КАНАЛИЗАЦИЯ А/Ц D-150</t>
  </si>
  <si>
    <t>01.10.1995</t>
  </si>
  <si>
    <t>город Калуга, улица Бульвар Энтузиастов, д.4</t>
  </si>
  <si>
    <t>23595  КАНАЛИЗАЦИЯ А/Ц D-150</t>
  </si>
  <si>
    <t>город Калуга, улица Бульвар Энтузиастов, д.1</t>
  </si>
  <si>
    <t>23593  КАНАЛИЗАЦИЯ А/Ц D-150</t>
  </si>
  <si>
    <t>город Калуга, бульвар Моторостроителей, д.4</t>
  </si>
  <si>
    <t>23591  КАНАЛИЗАЦИЯ А/Ц D-150,200</t>
  </si>
  <si>
    <t>город Калуга, улица Бульвар Энтузиастов, д.8</t>
  </si>
  <si>
    <t>23588  КАНАЛИЗАЦИЯ А/Ц D-150</t>
  </si>
  <si>
    <t>город Калуга, улица Бульвар Энтузиастов, д.6</t>
  </si>
  <si>
    <t>23586  КАНАЛИЗАЦИЯ А/Ц D-150</t>
  </si>
  <si>
    <t>город Калуга, улица Бульвар Энтузиастов, д.5</t>
  </si>
  <si>
    <t>23584  КАНАЛИЗАЦИЯ А/Ц D-150</t>
  </si>
  <si>
    <t>город Калуга, улица Московская, д.193</t>
  </si>
  <si>
    <t>23582  КАНАЛИЗАЦИЯ А/Ц D-150</t>
  </si>
  <si>
    <t>город Калуга, улица Плеханова, д.2 корп.2</t>
  </si>
  <si>
    <t>23579  КАНАЛИЗАЦИЯ А/Ц D-200</t>
  </si>
  <si>
    <t>город Калуга, улица Плеханова, 2, корп.1</t>
  </si>
  <si>
    <t>23578  КАНАЛИЗАЦИЯ ЧУГ. D-100</t>
  </si>
  <si>
    <t>город Калуга, улица Пролетарская, 40</t>
  </si>
  <si>
    <t>23576  КАНАЛИЗАЦИЯ ЧУГ. D-150</t>
  </si>
  <si>
    <t>город Калуга, улица Огарева, 22</t>
  </si>
  <si>
    <t>23574  КАНАЛИЗАЦИЯ ЧУГ. D-150</t>
  </si>
  <si>
    <t>город Калуга, улица Огарева, 20</t>
  </si>
  <si>
    <t>23572  КАНАЛИЗАЦИЯ ЧУГ. D-150</t>
  </si>
  <si>
    <t>город Калуга, улица Механизаторов, д.21</t>
  </si>
  <si>
    <t>23543  Канализация Д-100-150 кер.</t>
  </si>
  <si>
    <t>01.09.1995</t>
  </si>
  <si>
    <t>23541  Канализация Д-150 а/ц</t>
  </si>
  <si>
    <t>город Калуга, улица Октябрьская, д.24</t>
  </si>
  <si>
    <t>23507  КАНАЛИЗАЦИЯ КЕР. D-150</t>
  </si>
  <si>
    <t>01.08.1995</t>
  </si>
  <si>
    <t>город Калуга, улица Московская, 53</t>
  </si>
  <si>
    <t>23490  КАНАЛИЗАЦИЯ ЧУГ. D-100</t>
  </si>
  <si>
    <t>01.07.1995</t>
  </si>
  <si>
    <t>город Калуга, бульвар Моторостроителей, д.5</t>
  </si>
  <si>
    <t>23489  КАНАЛИЗАЦИЯ А/Ц D-300</t>
  </si>
  <si>
    <t>город Калуга, бульвар Моторостроителей,</t>
  </si>
  <si>
    <t>23488  КАНАЛИЗАЦИЯ А/Ц D-141</t>
  </si>
  <si>
    <t>город Калуга, улица Звездная, д.6</t>
  </si>
  <si>
    <t>23487  КАНАЛИЗАЦИЯ А/Ц D-100,150,200</t>
  </si>
  <si>
    <t>город Калуга, улица Баррикад, д.2</t>
  </si>
  <si>
    <t>23486  КАНАЛИЗАЦИЯ КЕР. D-150</t>
  </si>
  <si>
    <t>город Калуга, улица Огарева, д.4</t>
  </si>
  <si>
    <t>23485  КАНАЛИЗАЦИЯ А/Ц  D-150</t>
  </si>
  <si>
    <t>город Калуга, улица Огарева, д.6</t>
  </si>
  <si>
    <t>23484  КАНАЛИЗАЦИЯ А/Ц D-150</t>
  </si>
  <si>
    <t>город Калуга, улица Огарева, 9/7</t>
  </si>
  <si>
    <t>23483  КАНАЛИЗАЦИЯ ЧУГ. D-200</t>
  </si>
  <si>
    <t>город Калуга, улица Огарева, д.11/8</t>
  </si>
  <si>
    <t>23482  КАНАЛИЗАЦИЯ А/Ц D-150</t>
  </si>
  <si>
    <t>город Калуга, улица Рылеева, д.3</t>
  </si>
  <si>
    <t>23481  КАНАЛИЗАЦИЯ А/Ц D-150</t>
  </si>
  <si>
    <t>город Калуга, улица Рылеева, д.1/12</t>
  </si>
  <si>
    <t>23480  КАНАЛИЗАЦИЯ А/Ц D-150</t>
  </si>
  <si>
    <t>город Калуга, улица Огарева, д.3</t>
  </si>
  <si>
    <t>23479  КАНАЛИЗАЦИИ ЧУГ. D-100</t>
  </si>
  <si>
    <t>город Калуга, улица Рылеева, д.4</t>
  </si>
  <si>
    <t>23478  КАНАЛИЗАЦИЯ А/Ц D-150</t>
  </si>
  <si>
    <t>город Калуга, улица Рылеева, д.6</t>
  </si>
  <si>
    <t>23477  КАНАЛИЗАЦИЯ А/Ц D-150</t>
  </si>
  <si>
    <t>город Калуга, улица Герцена, д.3</t>
  </si>
  <si>
    <t>23476  КАНАЛИЗАЦИЯ А/Ц D-150</t>
  </si>
  <si>
    <t>город Калуга, улица Герцена, д.4</t>
  </si>
  <si>
    <t>23475  КАНАЛИЗАЦИЯ КЕР. D-150</t>
  </si>
  <si>
    <t>город Калуга, улица Герцена, д.6</t>
  </si>
  <si>
    <t>23474  КАНАЛИЗАЦИЯ А/Ц D-150</t>
  </si>
  <si>
    <t>город Калуга, улица Герцена, д.2/8</t>
  </si>
  <si>
    <t>23473  КАНАЛИЗАЦИЯ А/Ц D-150</t>
  </si>
  <si>
    <t>город Калуга, улица Плеханова, д.3</t>
  </si>
  <si>
    <t>23472  КАНАЛИЗАЦИЯ А/Ц D-150</t>
  </si>
  <si>
    <t>город Калуга, улица Плеханова, д.5</t>
  </si>
  <si>
    <t>23471  КАНАЛИЗАЦИЯ А/Ц D-150</t>
  </si>
  <si>
    <t>город Калуга, улица Плеханова, д.11</t>
  </si>
  <si>
    <t>23470  КАНАЛИЗАЦИЯ А/Ц D-150</t>
  </si>
  <si>
    <t>город Калуга, улица Труда, д.10</t>
  </si>
  <si>
    <t>23469  КАНАЛИЗАЦИЯ А/Ц D-150</t>
  </si>
  <si>
    <t>город Калуга, улица Труда, д.14</t>
  </si>
  <si>
    <t>23468  КАНАЛИЗАЦИЯ А/Ц D-150</t>
  </si>
  <si>
    <t>город Калуга, улица Труда, д.16</t>
  </si>
  <si>
    <t>23467  КАНАЛИЗАЦИЯ А/Ц D-150</t>
  </si>
  <si>
    <t>город Калуга, улица Труда, д.18/1</t>
  </si>
  <si>
    <t>23466  КАНАЛИЗАЦИЯ А/Ц D-150</t>
  </si>
  <si>
    <t>город Калуга, улица Труда, д.22</t>
  </si>
  <si>
    <t>23465  КАНАЛИЗАЦИЯ А/Ц D-150</t>
  </si>
  <si>
    <t>город Калуга, улица Труда, д.24</t>
  </si>
  <si>
    <t>23464  КАНАЛИЗАЦИЯ А/Ц D-150</t>
  </si>
  <si>
    <t>город Калуга, улица Труда, д.26</t>
  </si>
  <si>
    <t>23463  КАНАЛИЗАЦИЯ А/Ц D-150</t>
  </si>
  <si>
    <t>город Калуга, улица Труда, д.28</t>
  </si>
  <si>
    <t>23462  КАНАЛИЗАЦИЯ А/Ц D-150</t>
  </si>
  <si>
    <t>город Калуга, улица Труда, д.30</t>
  </si>
  <si>
    <t>23461  КАНАЛИЗАЦИЯ А/Ц D-150</t>
  </si>
  <si>
    <t>город Калуга, улица Труда, д.32</t>
  </si>
  <si>
    <t>23460  КАНАЛИЗАЦИЯ А/Ц D-150</t>
  </si>
  <si>
    <t>город Калуга, улица Пролетарская, д.21</t>
  </si>
  <si>
    <t>23459  КАНАЛИЗАЦИЯ А/Ц D-200</t>
  </si>
  <si>
    <t>город Калуга, улица Пролетарская, д.39</t>
  </si>
  <si>
    <t>23458  КАНАЛИЗАЦИЯ А/Ц D-150</t>
  </si>
  <si>
    <t>город Калуга, улица Пролетарская, д.41</t>
  </si>
  <si>
    <t>23457  КАНАЛИЗАЦИЯ А/Ц D-150</t>
  </si>
  <si>
    <t>город Калуга, улица Пролетарская, д.44</t>
  </si>
  <si>
    <t>23456  КАНАЛИЗАЦИЯ А/Ц D-150</t>
  </si>
  <si>
    <t>город Калуга, улица Пролетарская, д.47</t>
  </si>
  <si>
    <t>23455  КАНАЛИЗАЦИЯ А/Ц D-150</t>
  </si>
  <si>
    <t>23454  КАНАЛИЗАЦИЯ ЧУГ. D-100</t>
  </si>
  <si>
    <t>город Калуга, улица Гурьянова, лит.II ул. Карачевская</t>
  </si>
  <si>
    <t>23453  КАНАЛИЗАЦИЯ ЧУГ. D-150</t>
  </si>
  <si>
    <t>город Калуга, улица Карачевская, д.19</t>
  </si>
  <si>
    <t>23452  КАНАЛИЗАЦИЯ А/Ц D-150,100(ЧУГ.)</t>
  </si>
  <si>
    <t>город Калуга, улица Никитина, д.85</t>
  </si>
  <si>
    <t>23392  КАНАЛИЗАЦИЯ А/Ц, D-150</t>
  </si>
  <si>
    <t>01.06.1995</t>
  </si>
  <si>
    <t>город Калуга, улица Пухова, д.51</t>
  </si>
  <si>
    <t>23391  КАНАЛИЗАЦИЯ КЕР.</t>
  </si>
  <si>
    <t>город Калуга, улица Зерновая</t>
  </si>
  <si>
    <t>23375  ФЕКАЛЬНЫЙ КОЛЛЕКТОР D-800, Ж/Б</t>
  </si>
  <si>
    <t>01.05.1995</t>
  </si>
  <si>
    <t>город Калуга, улица Вилонова, д.38</t>
  </si>
  <si>
    <t>23374  КАНАЛИЗАЦИЯ КЕР.D-150</t>
  </si>
  <si>
    <t>город Калуга, улица Ленина, д.73</t>
  </si>
  <si>
    <t>23373  КАНАЛИЗАЦИЯ КЕР. D-150</t>
  </si>
  <si>
    <t>город Калуга, улица Салтыкова-Щедрина, д.27</t>
  </si>
  <si>
    <t>23372  КАНАЛИЗАЦИЯ КЕР.D-150</t>
  </si>
  <si>
    <t>город Калуга, улица Салтыкова-Щедрина, д.37</t>
  </si>
  <si>
    <t>23371  КАНАЛИЗАЦИЯ КЕР. D-150</t>
  </si>
  <si>
    <t>город Калуга, улица Салтыкова-Щедрина, д.31</t>
  </si>
  <si>
    <t>23370  КАНАЛИЗАЦИЯ КЕР.D-150</t>
  </si>
  <si>
    <t>город Калуга, улица Дорожная, д.17</t>
  </si>
  <si>
    <t>23369  КАНАЛИЗАЦИЯ КЕР. D-150</t>
  </si>
  <si>
    <t>город Калуга, улица Болотникова, д.6</t>
  </si>
  <si>
    <t>11465  Канализация Д-150 кер.</t>
  </si>
  <si>
    <t>01.04.1995</t>
  </si>
  <si>
    <t>город Калуга, улица Забойная,</t>
  </si>
  <si>
    <t>11464  Канализация Д-200 а/ц</t>
  </si>
  <si>
    <t>город Калуга, улица Константиновых, 2</t>
  </si>
  <si>
    <t>11463  Канализация Д-150 чуг.</t>
  </si>
  <si>
    <t>г.Калуга Октябрьский р-н УЛ.ПРОЛМЫШЛЕННАЯ Д.4</t>
  </si>
  <si>
    <t>11447  Канализация Д-150 кер.</t>
  </si>
  <si>
    <t>01.03.1995</t>
  </si>
  <si>
    <t>город Калуга, улица Звездная, д.14</t>
  </si>
  <si>
    <t>11443  КАНАЛИЗАЦ.d=200,ЧУГ.</t>
  </si>
  <si>
    <t>город Калуга, улица Хрустальная, д.20</t>
  </si>
  <si>
    <t>11442  Канализация Д-150 кер.</t>
  </si>
  <si>
    <t>город Калуга, ЗАО "КСМАО-Быт"</t>
  </si>
  <si>
    <t>11437  КАНАЛИЗАЦИЯ  D-150-200</t>
  </si>
  <si>
    <t>город Калуга, улица Телевизионная, д.2 корп.1</t>
  </si>
  <si>
    <t>11435  КАНАЛ.КОЛЛЕКТОР d=300, А/Ц</t>
  </si>
  <si>
    <t>11434  КАНАЛИЗАЦИЯ А/Ц d=150</t>
  </si>
  <si>
    <t>город Калуга, улица Терепецкая, д.16</t>
  </si>
  <si>
    <t>11432  КАНАЛИЗАЦИЯ А/Ц d=150</t>
  </si>
  <si>
    <t>город Калуга, улица Звездная, д.5</t>
  </si>
  <si>
    <t>11431  КАНАЛИЗАЦИЯ А/Ц d=100</t>
  </si>
  <si>
    <t>город Калуга, улица Тульская, д.69 , (1 очередь</t>
  </si>
  <si>
    <t>11409  КАНАЛИЗАЦИЯ КЕР. D-200</t>
  </si>
  <si>
    <t>01.01.1995</t>
  </si>
  <si>
    <t>город Калуга, улица Добровольского</t>
  </si>
  <si>
    <t>11408  КАНАЛИЗ. КОЛЛЕКТОР D-400, ЧУГ.</t>
  </si>
  <si>
    <t>город Калуга, улица Звездная, д.3</t>
  </si>
  <si>
    <t>11406  КАНАЛИЗАЦИЯ КЕР.D-150</t>
  </si>
  <si>
    <t>город Калуга, улица Московская, 315, корп.5</t>
  </si>
  <si>
    <t>11402  СЕТИ КАНАЛИЗ. А/Ц МОСКОВ. 315 КОР.5</t>
  </si>
  <si>
    <t>01.12.1994</t>
  </si>
  <si>
    <t>город Калуга, улица Московская, 315, корп.4</t>
  </si>
  <si>
    <t>11399  СЕТИ КАНАЛИЗ.А/Ц МОСКОВСКАЯ ДОМ 315 КР 4</t>
  </si>
  <si>
    <t>город Калуга, улица Московская, д.315 корп.3</t>
  </si>
  <si>
    <t>11397  КАНАЛИЗАЦИЯ Д-150 А/Ц</t>
  </si>
  <si>
    <t>11388  Канал.кол-р Д-500а/цД-600-800стД-1000-1200-800 ж/б</t>
  </si>
  <si>
    <t>01.11.1994</t>
  </si>
  <si>
    <t>город Калуга, шоссе Грабцевское шоссе, 19</t>
  </si>
  <si>
    <t>11386  Канализация Д-400 а/ц</t>
  </si>
  <si>
    <t>город Калуга, шоссе Грабцевское шоссе, д.19</t>
  </si>
  <si>
    <t>11385  Канализационный коллектор Д-200 кер., а/ц</t>
  </si>
  <si>
    <t>11383  Канализационный коллектор Д-800 ж/б</t>
  </si>
  <si>
    <t>11380  Канализация Д-150-200 а/ц</t>
  </si>
  <si>
    <t>11366  КАНАЛИЗАЦИЯ КЕРАМИЧ.ТРУБ d=200</t>
  </si>
  <si>
    <t>01.09.1994</t>
  </si>
  <si>
    <t>11353  КАНАЛИЗАЦИЯ ИЗ К/Р</t>
  </si>
  <si>
    <t>01.08.1994</t>
  </si>
  <si>
    <t>11350  КАНАЛИЗАЦИЯ ИЗ КЕР.Д.33</t>
  </si>
  <si>
    <t>11349  Канализация Д-400 а/ц</t>
  </si>
  <si>
    <t>11337  КАНАЛИЗАЦИЯ А/Ц d=150</t>
  </si>
  <si>
    <t>01.04.1994</t>
  </si>
  <si>
    <t>город Калуга, учхоз</t>
  </si>
  <si>
    <t>11339  КАНАЛИЗАЦИЯ Д-150 КЕРАМ.</t>
  </si>
  <si>
    <t>01.03.1994</t>
  </si>
  <si>
    <t>11330  Канализационный коллектор Д-500 ж/б</t>
  </si>
  <si>
    <t>11314  Канализация Д-150 чуг.</t>
  </si>
  <si>
    <t>01.02.1994</t>
  </si>
  <si>
    <t>город Калуга, улица Кибальчича, д.24</t>
  </si>
  <si>
    <t>11312  КАНАЛИЗАЦИЯ  Д-150 А/Ц</t>
  </si>
  <si>
    <t>город Калуга, улица Кибальчича, лит.I ул. Кибальчича, ул. Малоярославецкая, ул. Кубяка</t>
  </si>
  <si>
    <t>11310  КАНАЛИЗАЦИЯ Д-150 П/Э</t>
  </si>
  <si>
    <t>11300  Канализация Д-100 чуг.</t>
  </si>
  <si>
    <t>01.12.1993</t>
  </si>
  <si>
    <t>11293  КАНАЛИЗАЦИОННЫЕ СЕТИ</t>
  </si>
  <si>
    <t>11285  КАНАЛИЗАЦИОННЫЕ СЕТИ КЕРАМИЧЕСКИЕ</t>
  </si>
  <si>
    <t>01.10.1993</t>
  </si>
  <si>
    <t>11279  КАНАЛИЗАЦИОННЫЕ СЕТИ</t>
  </si>
  <si>
    <t>01.09.1993</t>
  </si>
  <si>
    <t>11278  КАНАЛИЗАЦИОННЫЕ СЕТИ</t>
  </si>
  <si>
    <t>11273  Канализация Д-150 кер.</t>
  </si>
  <si>
    <t>01.08.1993</t>
  </si>
  <si>
    <t>город Калуга, улица Молодежная, д.5</t>
  </si>
  <si>
    <t>11272  Канализация Д-150 чуг., а/ц</t>
  </si>
  <si>
    <t>город Калуга, улица Гурьянова, 8, корп.1</t>
  </si>
  <si>
    <t>26380  КАНАЛИЗАЦИЯ ЧУГ. D-150</t>
  </si>
  <si>
    <t>22.07.1993</t>
  </si>
  <si>
    <t>город Калуга, переулок Литейный, 5</t>
  </si>
  <si>
    <t>24580  КАНАЛИЗАЦИЯ ЧУГ. D-150</t>
  </si>
  <si>
    <t>20997  СЕТИ КАНАЛИЗАЦИОННЫЕ ТРУБЫ КЕРАМИЧЕСКИЕ</t>
  </si>
  <si>
    <t>город Калуга, улица Салтыкова-Щедрина, 25а</t>
  </si>
  <si>
    <t>20995  СЕТИ КАНАЛИЗАЦИОННЫЕ ТРУБЫ ЧУГУННЫЕ</t>
  </si>
  <si>
    <t>г.Калуга ОТ БОЛЬНИЦЫ СОСНОВАЯ РОЩА</t>
  </si>
  <si>
    <t>11496  КОЛЛЕКТОР D-500</t>
  </si>
  <si>
    <t>11495  КАНАЛИЗАЦИЯ D-400</t>
  </si>
  <si>
    <t>город Калуга, улица Тельмана,</t>
  </si>
  <si>
    <t>11494  КАНАЛИЗАЦИЯ D-300</t>
  </si>
  <si>
    <t>11493  КАНАЛИЗАЦИЯ D-500 А/Ц</t>
  </si>
  <si>
    <t>г.Калуга Московский р-н АЗАРОВСКИЙ Д.ДОМ</t>
  </si>
  <si>
    <t>11492  КАНАЛИЗАЦИЯ</t>
  </si>
  <si>
    <t>11491  КАНАЛИЗАЦИЯ D-400</t>
  </si>
  <si>
    <t>г.Калуга Московский р-н  Кубяка</t>
  </si>
  <si>
    <t>11490  КАНАЛИЗАЦИЯ</t>
  </si>
  <si>
    <t>город Калуга, улица Глаголева,</t>
  </si>
  <si>
    <t>11489  КАНАЛИЗАЦИЯ</t>
  </si>
  <si>
    <t>11488  КАНАЛИЗАЦИЯ D-150,400</t>
  </si>
  <si>
    <t>город Калуга, улица Московская, д.55</t>
  </si>
  <si>
    <t>11487  КАНАЛИЗАЦИЯ D-300</t>
  </si>
  <si>
    <t>г.Калуга Ленинский р-н</t>
  </si>
  <si>
    <t>11486  КОЛЛЕКТОР А/Ц</t>
  </si>
  <si>
    <t>город Калуга, улица Плеханова, д.71а</t>
  </si>
  <si>
    <t>11485  КАНАЛИЗАЦИЯ А/ЦЕМ.</t>
  </si>
  <si>
    <t>город Калуга, улица Космонавта Комарова, д.55</t>
  </si>
  <si>
    <t>11484  КАНАЛИЗАЦИЯ А/ЦЕМ.</t>
  </si>
  <si>
    <t>11483  КАНАЛИЗАЦИЯ Ж/Б</t>
  </si>
  <si>
    <t>11482  КАНАЛИЗАЦИЯ  Ж/Б</t>
  </si>
  <si>
    <t>город Калуга, улица Герцена,</t>
  </si>
  <si>
    <t>11481  КАНАЛИЗАЦИЯ КЕРАМ.</t>
  </si>
  <si>
    <t>город Калуга, улица Плеханова,</t>
  </si>
  <si>
    <t>11480  КАНАЛИЗАЦИЯ КЕРАМ.</t>
  </si>
  <si>
    <t>11479  КАНАЛИЗАЦИЯ ЧВР</t>
  </si>
  <si>
    <t>город Калуга, улица Космонавта Комарова,</t>
  </si>
  <si>
    <t>11478  КАНАЛИЗАЦИЯ ЧВР</t>
  </si>
  <si>
    <t>11473  КАНАЛИЗ. D=150</t>
  </si>
  <si>
    <t>11471  КАНАЛИЗ. КЕРАМ. D=100</t>
  </si>
  <si>
    <t>город Калуга, улица Кубяка</t>
  </si>
  <si>
    <t>11256  КАНАЛИЗАЦИЯ Д-150 А/Ц</t>
  </si>
  <si>
    <t>город Калуга, улица Кибальчича, д.5</t>
  </si>
  <si>
    <t>11255  КАНАЛИЗАЦИЯ Д-150 А/Ц</t>
  </si>
  <si>
    <t>город Калуга, улица Малоярославецкая, д.10</t>
  </si>
  <si>
    <t>11254  КАНАЛИЗАЦИЯ Д-150 А/Ц</t>
  </si>
  <si>
    <t>город Калуга, улица Малоярославецкая, д.12</t>
  </si>
  <si>
    <t>11253  КАНАЛИЗАЦИЯ Д-150  А/Ц</t>
  </si>
  <si>
    <t>город Калуга, улица Кибальчича, д.13</t>
  </si>
  <si>
    <t>11252  КАНАЛИЗАЦИЯ Д-150 А/Ц</t>
  </si>
  <si>
    <t>11235  Канализационные колодцы Д-1000 ж/б</t>
  </si>
  <si>
    <t>11229  КАНАЛИЗАЦИОННЫЕ СЕТИ ЧУГУННЫЕ</t>
  </si>
  <si>
    <t>11228  КОЛЛЕКТОР Ж/Б d=400</t>
  </si>
  <si>
    <t>11203  КАНАЛИЗАЦИЯ Д-200</t>
  </si>
  <si>
    <t>11202  КАНАЛИЗАЦИЯ D-400-500</t>
  </si>
  <si>
    <t>11201  ДВОРОВАЯ КАНАЛИЗАЦИЯ</t>
  </si>
  <si>
    <t>город Калуга, Тепличный</t>
  </si>
  <si>
    <t>11196  СЕТИ КАНАЛИЗАЦИИ Д-200</t>
  </si>
  <si>
    <t>11188  ДВОРОВАЯ КАНАЛИЗАЦИЯ КЕРАМИЧЕСКАЯ</t>
  </si>
  <si>
    <t>11184  КАНАЛИЗАЦИЯ Д-150 А/Ц</t>
  </si>
  <si>
    <t>11144  Канализация Д-300-400 кер.</t>
  </si>
  <si>
    <t>11143  Канализация Д-150 чуг.</t>
  </si>
  <si>
    <t>11142  Канализация Д-300 кер.</t>
  </si>
  <si>
    <t>город Калуга, улица Тарутинская, 231</t>
  </si>
  <si>
    <t>11141  Канализация Д-150 кер.</t>
  </si>
  <si>
    <t>11140  Канализация Д-150 кер.</t>
  </si>
  <si>
    <t>11139  Канализационный коллектор Д-800-1000 ж/б.</t>
  </si>
  <si>
    <t>11138  Самотечный ж/б канализационный коллектор Д-1200</t>
  </si>
  <si>
    <t>11137  Канализация Д-200 чуг.</t>
  </si>
  <si>
    <t>11136  Канализация  2Д-426 ст.</t>
  </si>
  <si>
    <t>11135  Канализационный коллектор Д-150 чуг.</t>
  </si>
  <si>
    <t>11133  Канализация Д-500-600-800 ж/б,ст.</t>
  </si>
  <si>
    <t>11132  Канализация Д-300 кер.</t>
  </si>
  <si>
    <t>11131  Канализация 2Д-200 чуг.</t>
  </si>
  <si>
    <t>11130  Канализация Д-300 а/ц</t>
  </si>
  <si>
    <t>11027  КОЛЛЕКТОР КЕРАМ.</t>
  </si>
  <si>
    <t>11026  КОЛЛЕКТОР АСБ.</t>
  </si>
  <si>
    <t>11024  КОЛЛЕКТОР Ж/Б</t>
  </si>
  <si>
    <t>10924  КАНАЛИЗАЦИЯ ФЕКАЛЬНАЯ</t>
  </si>
  <si>
    <t>10446  КОЛЛЕКТОР СТАЛЬНОЙ</t>
  </si>
  <si>
    <t>10445  КОЛЛЕКТОР Ж/Б</t>
  </si>
  <si>
    <t>г. Калуга, Ленинский округ</t>
  </si>
  <si>
    <t>10444  КОЛЛЕКТОР А/ЦЕМЕНТНЫЙ</t>
  </si>
  <si>
    <t>10443  КАНАЛИЗАЦИЯ А/ЦЕМЕНТНАЯ</t>
  </si>
  <si>
    <t>10442  КАНАЛИЗАЦИЯ БЕТОННАЯ,Ж/Б</t>
  </si>
  <si>
    <t>10441  КАНАЛИЗАЦИЯ КЕРАМИЧЕСКАЯ</t>
  </si>
  <si>
    <t>10440  КАНАЛИЗАЦИЯ СТАЛЬНАЯ</t>
  </si>
  <si>
    <t>10439  КАНАЛИЗАЦИЯ ЧУГУННАЯ</t>
  </si>
  <si>
    <t>10421  КАНАЛИЗАЦИЯ КЕРАМИЧЕСКАЯ</t>
  </si>
  <si>
    <t>10420  КАНАЛИЗАЦИЯ Ж/Б</t>
  </si>
  <si>
    <t>10419  КАНАЛИЗАЦИЯ ИЗ КЕРАМИЧЕСКИХ ТРУБ</t>
  </si>
  <si>
    <t>10417  КАНАЛИЗАЦИЯ ИЗ КЕРАМИКИ</t>
  </si>
  <si>
    <t>10416  КАНАЛИЗАЦИЯ ИЗ КЕРАМИКИ</t>
  </si>
  <si>
    <t>10409  НАПОРНЫЙ КОЛЛЕКТОР</t>
  </si>
  <si>
    <t>10408  КАНАЛИЗАЦИЯ</t>
  </si>
  <si>
    <t>город Калуга, поселок Железняки</t>
  </si>
  <si>
    <t>10347  ХОЗЯЙСТВЕННО-ФЕКАЛЬНАЯ КАНАЛИЗАЦИЯ</t>
  </si>
  <si>
    <t>г. Калуга, ул. Калинина-Труда</t>
  </si>
  <si>
    <t>10333  КАНАЛИЗАЦИЯ</t>
  </si>
  <si>
    <t>город Калуга, улица Карачевская</t>
  </si>
  <si>
    <t>10332  КОЛЛЕКТОР КАНАЛИЗАЦИИ D-300</t>
  </si>
  <si>
    <t>10331  КАНАЛИЗАЦИЯ Д-150 А/Ц</t>
  </si>
  <si>
    <t>10330  КАНАЛИЗАЦИЯ D-300-500</t>
  </si>
  <si>
    <t>Калуга,  ул. Герцена-Плеханова</t>
  </si>
  <si>
    <t>10329  КОЛЛЕКТОР D-500</t>
  </si>
  <si>
    <t>10328  КОЛЛЕКТОР Д-400-500 А/Ц</t>
  </si>
  <si>
    <t>10327  КОЛЛЕКТОР D 500-600</t>
  </si>
  <si>
    <t>10326  КАНАЛИЗАЦИЯ Д-300-400 А/Ц</t>
  </si>
  <si>
    <t>10325  КАНАЛИЗАЦИЯ БЕТОННАЯ И Ж/Б</t>
  </si>
  <si>
    <t>10324  КАНАЛИЗАЦИЯ D-300</t>
  </si>
  <si>
    <t>10323  КАНАЛИЗАЦИЯ Д-200-250 А/Ц</t>
  </si>
  <si>
    <t>10322  КАНАЛИЗАЦИЯ ЧУГ. D-300</t>
  </si>
  <si>
    <t>г.Калуга Московский р-н от Кубяки до КНС КЗАЭ</t>
  </si>
  <si>
    <t>10180  КАН.КОЛЛЕКТОР Д-500 КЕР.</t>
  </si>
  <si>
    <t>Цех транспортировки стоков</t>
  </si>
  <si>
    <t>Ксети</t>
  </si>
  <si>
    <t>47460 Сеть водоснабжения_г. Калуга, сквер Космонавта Волкова_Д32 L160п.м.</t>
  </si>
  <si>
    <t xml:space="preserve">47460    </t>
  </si>
  <si>
    <t>47444 Сеть водоснабжения_г. Калуга, ул. Космонавта Волкова_ L45,5п.м.</t>
  </si>
  <si>
    <t xml:space="preserve">47444    </t>
  </si>
  <si>
    <t>47443 Сеть водоснабжения_г. Калуга, д. Андреевское, ул. Андреевская, д. 57_d32, L13п.м.</t>
  </si>
  <si>
    <t xml:space="preserve">47443    </t>
  </si>
  <si>
    <t>47442 Сеть водоснабжения_г. Калуга, пер Механизаторов_d110, L99п.м.</t>
  </si>
  <si>
    <t xml:space="preserve">47442    </t>
  </si>
  <si>
    <t>47440 Сеть водоснабжения_г. Калуга, д. Лихун, ул. Губернская, в районе д. 68_Д110 L14,5п.м.</t>
  </si>
  <si>
    <t xml:space="preserve">47440    </t>
  </si>
  <si>
    <t>47438 Сеть водоснабжения_г. Калуга, ул. Московская, в районе дома 256А_Д400 L129п.м.</t>
  </si>
  <si>
    <t xml:space="preserve">47438    </t>
  </si>
  <si>
    <t>47380 Сеть водоснабжения_г. Калуга, д. Карачево, дом 94а_Д32 L8,73п.м.</t>
  </si>
  <si>
    <t xml:space="preserve">47380    </t>
  </si>
  <si>
    <t>47379 Сеть водоснабжения_г. Калуга, ул. Заречная, дом 113_Д63 L7,9п.м.</t>
  </si>
  <si>
    <t xml:space="preserve">47379    </t>
  </si>
  <si>
    <t>47378 Сеть водоснабжения_г. Калуга, пер. Северный, дом 10, ч.2_Д32 L10,91</t>
  </si>
  <si>
    <t xml:space="preserve">47378    </t>
  </si>
  <si>
    <t>47376 Сеть водоснабжения_г. Калуга, д. Мстихино, ул. Лесная, дом 21_Д63 L18,5</t>
  </si>
  <si>
    <t xml:space="preserve">47376    </t>
  </si>
  <si>
    <t>Приказ МЭРиП КО №1935-п от 24.11.2022</t>
  </si>
  <si>
    <t>47262  Водопроводная сеть,Калуга,ул.Б-р Сиреневый  д. 2  L- 299</t>
  </si>
  <si>
    <t xml:space="preserve">47262    </t>
  </si>
  <si>
    <t>47261  Водопроводная сеть,Калуга,ул. Воскресенская д. 31  L- 5</t>
  </si>
  <si>
    <t xml:space="preserve">47261    </t>
  </si>
  <si>
    <t>47260  Водопроводная сеть,Калуга,ул. Большевиков  д. 3  L- 19</t>
  </si>
  <si>
    <t xml:space="preserve">47260    </t>
  </si>
  <si>
    <t>47259  Водопроводная сеть,Калуга,ул. Чебышева   д. 4   L- 8</t>
  </si>
  <si>
    <t xml:space="preserve">47259    </t>
  </si>
  <si>
    <t>47258  Водопроводная сеть,Калуга,ул. Звездная   д.2  L- 17</t>
  </si>
  <si>
    <t xml:space="preserve">47258    </t>
  </si>
  <si>
    <t>47257  Водопроводная сеть,Калуга,ул. Фомушина   д.3, д. 5  L- 258</t>
  </si>
  <si>
    <t xml:space="preserve">47257    </t>
  </si>
  <si>
    <t>47256  Водопроводная сеть,Калуга,ул. Суворова  д. 155   L- 13</t>
  </si>
  <si>
    <t xml:space="preserve">47256    </t>
  </si>
  <si>
    <t>47255 Водопроводная сеть,Калуга,ул. Вилонова, д. 31   L- 16</t>
  </si>
  <si>
    <t xml:space="preserve">47255    </t>
  </si>
  <si>
    <t>47254 Водопроводная сеть,Калуга,ул. Гагарина, д. 9   L- 148</t>
  </si>
  <si>
    <t xml:space="preserve">47254    </t>
  </si>
  <si>
    <t>47253 Водопроводная сеть,Калуга,ул. Маяковского, д. 41   L- 16</t>
  </si>
  <si>
    <t xml:space="preserve">47253    </t>
  </si>
  <si>
    <t>47252 Водопроводная сеть,Калуга,ул. Баррикад, 161   L- 11</t>
  </si>
  <si>
    <t xml:space="preserve">47252    </t>
  </si>
  <si>
    <t>47251 Водопроводная сеть,Калуга,  пер. Воробьевский, дом 8  L- 21</t>
  </si>
  <si>
    <t xml:space="preserve">47251    </t>
  </si>
  <si>
    <t>Калужская обл, Калуга г, Суворова ул, дом 153, корпус 2</t>
  </si>
  <si>
    <t>47250 Водопроводная сеть,Калуга,  ул Суворова, д.153, к. 2  L- 12</t>
  </si>
  <si>
    <t xml:space="preserve">47250    </t>
  </si>
  <si>
    <t>Калужская обл, Калуга г, Фридриха Энгельса ул, дом 61</t>
  </si>
  <si>
    <t>47249 Водопроводная сеть,Калуга,  ул Ф.Энгельса, д.61, L- 10</t>
  </si>
  <si>
    <t xml:space="preserve">47249    </t>
  </si>
  <si>
    <t>Калужская обл, Калуга г, Луначарского ул, дом 13</t>
  </si>
  <si>
    <t>47248 Водопроводная сеть, ул Луначарского, д.13, L- 285</t>
  </si>
  <si>
    <t xml:space="preserve">47248    </t>
  </si>
  <si>
    <t>Калужская обл, Калуга г, Больничная ул, дом 5</t>
  </si>
  <si>
    <t>47247 Водопроводная сеть, ул Больничная, д.5  , L- 16</t>
  </si>
  <si>
    <t xml:space="preserve">47247    </t>
  </si>
  <si>
    <t>Калужская обл, Калуга г, Салтыкова-Щедрина ул, дом 89</t>
  </si>
  <si>
    <t>47246 Водопроводная сеть, ул. Салтыкова-Щедрина , дом 89  , L- 95</t>
  </si>
  <si>
    <t xml:space="preserve">47246    </t>
  </si>
  <si>
    <t>Калужская обл, Калуга г, Платова ул, дом 1/44</t>
  </si>
  <si>
    <t>47245 Водопроводная сеть, ул. Платова, дом 1/44  , L- 10</t>
  </si>
  <si>
    <t xml:space="preserve">47245    </t>
  </si>
  <si>
    <t>Калужская обл, Калуга г, Луначарского ул, дом 1</t>
  </si>
  <si>
    <t>47244 Водопроводная сеть, ул. Луначарского, 1 , L- 12</t>
  </si>
  <si>
    <t xml:space="preserve">47244    </t>
  </si>
  <si>
    <t>Калужская обл, Калуга г, Ленина ул, дом 30,32</t>
  </si>
  <si>
    <t xml:space="preserve">47243 Водопроводная сеть, ул. Ленина дом 30, дом 32 , L- 124 </t>
  </si>
  <si>
    <t xml:space="preserve">47243    </t>
  </si>
  <si>
    <t>Калужская обл, Калуга г, Пестеля ул, дом 1/90</t>
  </si>
  <si>
    <t xml:space="preserve">47242 Водопроводная сеть, ул. Пестеля, дом 1/90, L-21 </t>
  </si>
  <si>
    <t xml:space="preserve">47242    </t>
  </si>
  <si>
    <t>Калужская обл, Калуга г, Тульская ул, дом 131</t>
  </si>
  <si>
    <t>47241 Водопроводная сеть, ул. Тульская, д.131   L-36</t>
  </si>
  <si>
    <t xml:space="preserve">47241    </t>
  </si>
  <si>
    <t>Калужская обл, Калуга г, Константиновых ул, дом 9, корпус 1</t>
  </si>
  <si>
    <t>47240 Водопроводная сеть, ул. Константиновых, д.9, корп.1 L-17</t>
  </si>
  <si>
    <t xml:space="preserve">47240    </t>
  </si>
  <si>
    <t>Калужская обл, Калуга г, Луначарского ул, дом 4</t>
  </si>
  <si>
    <t>47239 Водопроводная сеть, ул. Луначарского,дом 4  протяженность -51 м.</t>
  </si>
  <si>
    <t xml:space="preserve">47239    </t>
  </si>
  <si>
    <t>Калужская обл, Калуга г, Карачевская ул, дом 8,10</t>
  </si>
  <si>
    <t>47238 Водопроводная сеть, ул. Карачевская, д.8, д.10, протяженность -131 м.</t>
  </si>
  <si>
    <t xml:space="preserve">47238    </t>
  </si>
  <si>
    <t>47186 Сеть водоснабжения_г.Калуга, ул.Кукареки, д29_ПЭ Д=32_L10,29п.м.</t>
  </si>
  <si>
    <t xml:space="preserve">47186    </t>
  </si>
  <si>
    <t>47185 Сеть водоснабжения_делового оф. центра: г.Калуга, ул.Моторная, д12_ПЭ Д=32_L15,24п.м.</t>
  </si>
  <si>
    <t xml:space="preserve">47185    </t>
  </si>
  <si>
    <t>47184 Сеть водоснабжения_г.Калуга,д. Галкино,д.23 ПЭ Д=32_L10,91п.м.</t>
  </si>
  <si>
    <t xml:space="preserve">47184    </t>
  </si>
  <si>
    <t>47073 Сеть водоснабжения_г.Калуга, Аэропортовский пер, д.1 ПЭ Д=315_L148п.м.</t>
  </si>
  <si>
    <t xml:space="preserve">47073    </t>
  </si>
  <si>
    <t>47052 Сеть водоснабжения_г.Калуга,ул.Карла-Либкнехта, д.22 ПЭ Д=32_L24,66</t>
  </si>
  <si>
    <t xml:space="preserve">47052    </t>
  </si>
  <si>
    <t>47033 Сеть водоснабжения_Ферзиковский р-н, д.Горневская Слобода, д.22, Д=32 L=6</t>
  </si>
  <si>
    <t xml:space="preserve">47033    </t>
  </si>
  <si>
    <t>47022 Сеть водоснабжения_г.Калуга, д.Андреевское, ул.Никольская, д.5а_ПЭ Д32 L5,45</t>
  </si>
  <si>
    <t xml:space="preserve">47022    </t>
  </si>
  <si>
    <t>47021 Сеть водоснабжения_ г.Калуга, ул. Турынинские Дворики д.7_ПЭ Д32 L27,5</t>
  </si>
  <si>
    <t xml:space="preserve">47021    </t>
  </si>
  <si>
    <t>47020 Сеть водоснабжения_ г.Калуга, пер.Новый, д.11/1_ПЭ Д32 L3,5</t>
  </si>
  <si>
    <t xml:space="preserve">47020    </t>
  </si>
  <si>
    <t>46923 Сеть водоснабжения_здания_Калуга, с/т,"Электрик" уч.81_ПЭ D 32 10,39п.м.</t>
  </si>
  <si>
    <t>30.09.2022</t>
  </si>
  <si>
    <t xml:space="preserve">46923    </t>
  </si>
  <si>
    <t>№8593/ПР сот 29.10.2021</t>
  </si>
  <si>
    <t xml:space="preserve">46906 Сеть водоснабжения  L200м  г.Калуга, ул.Кубяка, д.15А </t>
  </si>
  <si>
    <t xml:space="preserve">46906    </t>
  </si>
  <si>
    <t>Приказ МЭРиП КО №1449-п от 05.09.2022</t>
  </si>
  <si>
    <t>46918 Сеть водоснабжения, 363 м., Калуга, ул.65 лет Победы, д 23</t>
  </si>
  <si>
    <t xml:space="preserve">46918    </t>
  </si>
  <si>
    <t>46882 Водопроводная сеть, ул.Знаменская, д.6</t>
  </si>
  <si>
    <t xml:space="preserve">46882    </t>
  </si>
  <si>
    <t>46881 Водопроводная сеть, ул.Театральная, д.24/36</t>
  </si>
  <si>
    <t xml:space="preserve">46881    </t>
  </si>
  <si>
    <t>46880 Водопроводная сеть, ул.Дзержинского, д.90</t>
  </si>
  <si>
    <t xml:space="preserve">46880    </t>
  </si>
  <si>
    <t>46879 Водопроводная сеть, д.Лихун, ул.Молодёжная, д.66</t>
  </si>
  <si>
    <t xml:space="preserve">46879    </t>
  </si>
  <si>
    <t>46878 Водопроводная сеть, ул.Знаменская, д.4 корп.1, 2 (ДУ200 протяж.65 + ДУ100 протяж.82)</t>
  </si>
  <si>
    <t xml:space="preserve">46878    </t>
  </si>
  <si>
    <t>46877 Водопроводная сеть, ул.Белинского, д.1, д.1а</t>
  </si>
  <si>
    <t xml:space="preserve">46877    </t>
  </si>
  <si>
    <t>46876 Водопроводная сеть, пер.Воскресенский д.22</t>
  </si>
  <si>
    <t xml:space="preserve">46876    </t>
  </si>
  <si>
    <t>46875 Водопроводная сеть, ул.Салтыкова-Щедрина, д.81</t>
  </si>
  <si>
    <t xml:space="preserve">46875    </t>
  </si>
  <si>
    <t>46874 Водопроводная сеть, ул.Николо-Козинская, д.22</t>
  </si>
  <si>
    <t xml:space="preserve">46874    </t>
  </si>
  <si>
    <t>46873 Водопроводная сеть, ул.Салтыкова-Щедрина, д.24, корп.1,2,3,4,5,6</t>
  </si>
  <si>
    <t xml:space="preserve">46873    </t>
  </si>
  <si>
    <t>46872 Водопроводная сеть, ул.Тульская, д.19</t>
  </si>
  <si>
    <t xml:space="preserve">46872    </t>
  </si>
  <si>
    <t>46871 Водопроводная сеть, ул.Тульская, д.21</t>
  </si>
  <si>
    <t xml:space="preserve">46871    </t>
  </si>
  <si>
    <t>46870 Водопроводная сеть, ул.Суворова д.153, корп.3</t>
  </si>
  <si>
    <t xml:space="preserve">46870    </t>
  </si>
  <si>
    <t>Приказ МЭРиП КО №1391-п от 19.08.2022</t>
  </si>
  <si>
    <t>46869 Водопроводная сеть ул.Тульская д.23</t>
  </si>
  <si>
    <t xml:space="preserve">46869    </t>
  </si>
  <si>
    <t>46868 Водопроводная сеть ул.Дзержинского, д.92, корпус 1</t>
  </si>
  <si>
    <t xml:space="preserve">46868    </t>
  </si>
  <si>
    <t>46827 Сеть водоснабжения_D32 L 9 м _г.Калуга, пер.Песчаный, д.15, пом.1</t>
  </si>
  <si>
    <t xml:space="preserve">46827    </t>
  </si>
  <si>
    <t>46825 Сеть водоснабжения_г.Калуга, ул.Секиотовская, Д=32, L13м</t>
  </si>
  <si>
    <t xml:space="preserve">46825    </t>
  </si>
  <si>
    <t>46804 Сеть водоснабжения  L1046м две нитки Региональный университет г.Калуга д.Пучково</t>
  </si>
  <si>
    <t xml:space="preserve">46804    </t>
  </si>
  <si>
    <t>46782 Сеть водоснабжения г.Калуга, пл.Старый Торг_D110 L130; D160 L308</t>
  </si>
  <si>
    <t xml:space="preserve">46782    </t>
  </si>
  <si>
    <t>46780 Сеть водоснабжения г.Калуга, ул.Кутузова (рек-ция инв.10433)_D225 L717; D110 L58; D63 L74</t>
  </si>
  <si>
    <t xml:space="preserve">46780    </t>
  </si>
  <si>
    <t>46792 Сеть водоснабжения_Ферзиковский р-н,с.Воскресенское, д.40А, Д=32, L3,5</t>
  </si>
  <si>
    <t xml:space="preserve">46792    </t>
  </si>
  <si>
    <t>Приказ МЭРиП КО  № 1148-П от 06.07.2022</t>
  </si>
  <si>
    <t>46722 Внутриплощадочная сеть водоснабжения, 240  м, г.Калуга, ул. 65 лет Победы, д.17</t>
  </si>
  <si>
    <t xml:space="preserve">46722    </t>
  </si>
  <si>
    <t>46721 Внутриплощадочная сеть водоснабжения, 163  м, г.Калуга, ул. 65 лет Победы, д.21</t>
  </si>
  <si>
    <t xml:space="preserve">46721    </t>
  </si>
  <si>
    <t>46619 Сеть водоснабжения г.Калуга, ул.Театральная, зд.41а_D90_L10,61</t>
  </si>
  <si>
    <t xml:space="preserve">46619    </t>
  </si>
  <si>
    <t>46617 Сеть водоснабжения г.Калуга, ул. Салтыкова-Щедрина, д101 ПЭ_D63 L58,69м</t>
  </si>
  <si>
    <t xml:space="preserve">46617    </t>
  </si>
  <si>
    <t>46616 Сеть водоснабжения г.Калуга, ул. Шоссейная, д.1 ПЭ_D32 L2,41м</t>
  </si>
  <si>
    <t xml:space="preserve">46616    </t>
  </si>
  <si>
    <t>46615 Сеть водоснабжения г.Калуга, д.Мстихино, р-н ул.Домостроителей ПЭ_D32 L13,43м</t>
  </si>
  <si>
    <t xml:space="preserve">46615    </t>
  </si>
  <si>
    <t>46581 Водопроводная сеть, 26 м. Калуга, ул.Болдина, дом 9</t>
  </si>
  <si>
    <t xml:space="preserve">46581    </t>
  </si>
  <si>
    <t>46580 Водопроводная сеть, 184  м. Калуга, ул.пер Богородицкий дом 2,16,18,20,22</t>
  </si>
  <si>
    <t xml:space="preserve">46580    </t>
  </si>
  <si>
    <t xml:space="preserve">46579 Водопроводная сеть, 52  м. Калуга, ул. Стеклянников сад, д.4 </t>
  </si>
  <si>
    <t xml:space="preserve">46579    </t>
  </si>
  <si>
    <t xml:space="preserve">46578 Водопроводная сеть, 128  м. Калуга, ул. Георгия Димитрова, д. 24 </t>
  </si>
  <si>
    <t xml:space="preserve">46578    </t>
  </si>
  <si>
    <t>46577 Водопроводная сеть, 32 м. Калуга, ул. Заречная, д. 18В</t>
  </si>
  <si>
    <t xml:space="preserve">46577    </t>
  </si>
  <si>
    <t>46576 Водопроводная сеть, 15  м., Калуга,  Монастырская, 8</t>
  </si>
  <si>
    <t xml:space="preserve">46576    </t>
  </si>
  <si>
    <t>46575 Водопроводная сеть, 119  м., Калуга,  Б-р Солнечный, дом 20</t>
  </si>
  <si>
    <t xml:space="preserve">46575    </t>
  </si>
  <si>
    <t>45988 Сеть водоснабжения г.Калуга, ул. Майская д.11 ПЭ_D63 L5м</t>
  </si>
  <si>
    <t xml:space="preserve">45988    </t>
  </si>
  <si>
    <t>46498 Сеть водоснабжения г.Калуга, д.Чижовка (р-н д.43-41б) ПЭ,ДУ=63, L=53,02 м.</t>
  </si>
  <si>
    <t xml:space="preserve">46498    </t>
  </si>
  <si>
    <t>46497 Сеть водоснабжения г.Калуга, ул. Зерновая, д.10 кв.2 ПЭ,ДУ=32, L=22.46 м.</t>
  </si>
  <si>
    <t xml:space="preserve">46497    </t>
  </si>
  <si>
    <t>46496 Сеть водоснабжения г.Калуга,  с.Муратовка, ул.Малая Лесная ПЭ L=115.38 п.м.</t>
  </si>
  <si>
    <t xml:space="preserve">46496    </t>
  </si>
  <si>
    <t>46407 Сеть водоснабжения г.Калуга, ул. Суворова, д.51 ПЭ,ДУ=32, L=9.05 м.</t>
  </si>
  <si>
    <t xml:space="preserve">46407    </t>
  </si>
  <si>
    <t>46391 Сеть водоснабжения г.Калуга, ул.Вишневая, д.2 ПЭ D32 L6,17м</t>
  </si>
  <si>
    <t xml:space="preserve">46391    </t>
  </si>
  <si>
    <t>46351 Сеть водоснабжения г.Калуга, д.Мстихино, р-н ул.Надежды ПЭ D32 L15,31м</t>
  </si>
  <si>
    <t xml:space="preserve">46351    </t>
  </si>
  <si>
    <t>46490 Водопроводная сеть, 135 м., Калуга, ул. Болдина, д.14, д.16</t>
  </si>
  <si>
    <t xml:space="preserve">46490    </t>
  </si>
  <si>
    <t>46489 Водопроводная сеть, 757 м., Калуга, ул. Красносельская, пр.Волковский</t>
  </si>
  <si>
    <t xml:space="preserve">46489    </t>
  </si>
  <si>
    <t>46488 Водопроводная сеть, 22 м., Калуга, ул. Пухова, д.50/27</t>
  </si>
  <si>
    <t xml:space="preserve">46488    </t>
  </si>
  <si>
    <t>приказ МЭРиП КО №449-п от 24.03.2022</t>
  </si>
  <si>
    <t>46487 Водопроводная сеть, ул. К.Либкнехта, д.36, д.38 протяженность 114 м</t>
  </si>
  <si>
    <t xml:space="preserve">46487    </t>
  </si>
  <si>
    <t>46486 Водопроводная сеть г.Калуга ул.Салтыкова-Щедрина, д.18 протяженность 12 м</t>
  </si>
  <si>
    <t>04.04.2022</t>
  </si>
  <si>
    <t xml:space="preserve">46486    </t>
  </si>
  <si>
    <t>46485 Водопроводная сеть г.Калуга ул.Салтыкова-Щедрина, д.50 протяженность 13 м</t>
  </si>
  <si>
    <t xml:space="preserve">46485    </t>
  </si>
  <si>
    <t>46484 Водопроводная сеть г.Калуга ул.Салтыкова-Щедрина, д.22 протяженность 11 м</t>
  </si>
  <si>
    <t xml:space="preserve">46484    </t>
  </si>
  <si>
    <t>46483 Водопроводная сеть г.Калуга ул.Баррикад, д.117а протяженность 45 м</t>
  </si>
  <si>
    <t xml:space="preserve">46483    </t>
  </si>
  <si>
    <t>46466 Реконструкция водопровода (инв10315) ул.Азаровская от б-ра Энтузиастов, до ул.Москов</t>
  </si>
  <si>
    <t>31.03.2022</t>
  </si>
  <si>
    <t xml:space="preserve">46466    </t>
  </si>
  <si>
    <t>46350 Сеть водоснабжения г.Калуга, д.Колюпаново, проезд 4-й Родниковый, д. 2 ПЭ D32 L6,41м</t>
  </si>
  <si>
    <t xml:space="preserve">46350    </t>
  </si>
  <si>
    <t>46349 Сеть водоснабжения г.Калуга, д.Мстихино, пер.2-ой.Мстихинский, д.11 ПЭ D32 L2,5м</t>
  </si>
  <si>
    <t xml:space="preserve">46349    </t>
  </si>
  <si>
    <t>46272 Сеть водоснабжения г.Калуга, Сиреневый бульвар, ПЭ_D110 L19,37м</t>
  </si>
  <si>
    <t xml:space="preserve">46272    </t>
  </si>
  <si>
    <t>46153 Водопроводная сеть г.Калуга, ул.Подвойского, д.7 ПЭ D32 L99,57</t>
  </si>
  <si>
    <t xml:space="preserve">46153    </t>
  </si>
  <si>
    <t>46150 Водопроводная сеть г.Калуга, пер.1-й Берендяковский, д.3а ПЭ D32 L61,67</t>
  </si>
  <si>
    <t xml:space="preserve">46150    </t>
  </si>
  <si>
    <t>46144 Водопроводная сеть г.Калуга,ул.Верховая, д.7 ПЭ, Ду=32,L=9,93 м</t>
  </si>
  <si>
    <t xml:space="preserve">46144    </t>
  </si>
  <si>
    <t xml:space="preserve">ООО "Гидроальянс" сч.№ГА-215 от 14.01.22 </t>
  </si>
  <si>
    <t>46197 Электронасос Calpeda MXHM 202E</t>
  </si>
  <si>
    <t>27.01.2022</t>
  </si>
  <si>
    <t xml:space="preserve">46197    </t>
  </si>
  <si>
    <t>46196 Электронасос Calpeda MXHM 202E</t>
  </si>
  <si>
    <t xml:space="preserve">46196    </t>
  </si>
  <si>
    <t>46248 Водопроводная сеть г.Калуга ул.Чижевского, д.13 протяженность 5 м</t>
  </si>
  <si>
    <t xml:space="preserve">46248    </t>
  </si>
  <si>
    <t>Калужская область, г Калуга, ул Чижевского, д 12</t>
  </si>
  <si>
    <t>46247 Водопроводная сеть г.Калуга ул.Чижевского, д.12 протяженность 16 м</t>
  </si>
  <si>
    <t xml:space="preserve">46247    </t>
  </si>
  <si>
    <t>Калужская область, г Калуга, ул Салтыкова-Щедрина, д.20</t>
  </si>
  <si>
    <t>46245 Водопроводная сеть г.Калуга ул.Салтыкова-Щедрина, д.20 протяженность 59 м</t>
  </si>
  <si>
    <t xml:space="preserve">46245    </t>
  </si>
  <si>
    <t>Калужская область, г Калуга, ул Максима Горького, д 7</t>
  </si>
  <si>
    <t>46244 Водопроводная сеть г.Калуга ул.М.Горького, д.7 протяженность 11 м</t>
  </si>
  <si>
    <t xml:space="preserve">46244    </t>
  </si>
  <si>
    <t>Калужская область, г Калуга, ул Салтыкова-Щедрина, д 26</t>
  </si>
  <si>
    <t>46243 Водопроводная сеть г.Калуга ул.Салтыкова-Щедрина, д.26 протяженность 16 м</t>
  </si>
  <si>
    <t xml:space="preserve">46243    </t>
  </si>
  <si>
    <t>Калужская область, г Калуга, ул Чижевского, д 11</t>
  </si>
  <si>
    <t>46207 Водопроводная сеть г.Калуга ул.Чижевского, д.11 протяженность 14 м</t>
  </si>
  <si>
    <t xml:space="preserve">46207    </t>
  </si>
  <si>
    <t>Калужская область, г Калуга, ул Хрустальная, д 2А</t>
  </si>
  <si>
    <t>46206 Водопроводная сеть г.Калуга ул.Хрустальная, д.2А протяженность 6 м</t>
  </si>
  <si>
    <t xml:space="preserve">46206    </t>
  </si>
  <si>
    <t>Калужская область, г Калуга, ул Молодежная, д 4</t>
  </si>
  <si>
    <t>46205 Водопроводная сеть г.Калуга ул.Молодежная, д.4 протяженность 9 м</t>
  </si>
  <si>
    <t xml:space="preserve">46205    </t>
  </si>
  <si>
    <t>46134 Водопроводная сеть г.Калуга, ул.Пухова, район д.1 ПЭ, Ду40мм, L6п.м</t>
  </si>
  <si>
    <t xml:space="preserve">46134    </t>
  </si>
  <si>
    <t>46122 Водопроводная сеть г.Калуга, бульвар Моторостроителей ПЭ, Ду315мм, L576,87п.м</t>
  </si>
  <si>
    <t xml:space="preserve">46122    </t>
  </si>
  <si>
    <t>46121 Водопроводная сеть г.Калуга (р-н ул.Марата новый парк) ПЭ, Ду315мм, L152п.м</t>
  </si>
  <si>
    <t xml:space="preserve">46121    </t>
  </si>
  <si>
    <t>46056 Водопроводная сеть г.Калуга, тер. СДТ «Коммунальник», ул.Центральная, уч2 ПЭ, Ду32мм</t>
  </si>
  <si>
    <t xml:space="preserve">46056    </t>
  </si>
  <si>
    <t>45994 Водопроводная сеть г.Калуга, д.Пучково, ул. Центральная, д.3 ПЭ, Ду=32 мм, L=30 м.</t>
  </si>
  <si>
    <t xml:space="preserve">45994    </t>
  </si>
  <si>
    <t>45992 Водопроводная сеть г.Калуга, ул.Тарутинская, д.141 ч.1 ПЭД32 L 10,69м</t>
  </si>
  <si>
    <t xml:space="preserve">45992    </t>
  </si>
  <si>
    <t>46061_Водопроводная  сеть 35 м, г.Калуга, ул.Моторная, д.13/7</t>
  </si>
  <si>
    <t xml:space="preserve">46061_   </t>
  </si>
  <si>
    <t>МЭР КО приказ №1761-п от 17.11.2021 г</t>
  </si>
  <si>
    <t>46003_Водопроводная  сеть 13 м, г.Калуга, ул.Валентины Никитиной, д.27</t>
  </si>
  <si>
    <t xml:space="preserve">46003_   </t>
  </si>
  <si>
    <t xml:space="preserve">МЭР КО приказ №1761-п от 17.11.2021 г </t>
  </si>
  <si>
    <t>46002_Водопроводная  сеть 10 м, г.Калуга, ул.Тарутинская, д.232</t>
  </si>
  <si>
    <t xml:space="preserve">46002_   </t>
  </si>
  <si>
    <t>46001_Водопроводная  сеть (ввод на здание)  15 м, г.Калуга, ул.Салтыкова-Щедрина, д.56</t>
  </si>
  <si>
    <t xml:space="preserve">46001_   </t>
  </si>
  <si>
    <t>45925_Водопроводная сеть  883   м.  г.Калуга, п.Мирный</t>
  </si>
  <si>
    <t xml:space="preserve">45925_   </t>
  </si>
  <si>
    <t>45924_Водопроводная сеть  15 ( ввод на здание)   м.  г.Калуга,  ул.  Салтыкова Щедрина, 44</t>
  </si>
  <si>
    <t xml:space="preserve">45924_   </t>
  </si>
  <si>
    <t>45923_Водопроводная сеть  15 ( ввод на здание)   м.  г.Калуга,  ул.  Салтыкова Щедрина, 54</t>
  </si>
  <si>
    <t xml:space="preserve">45923_   </t>
  </si>
  <si>
    <t>45922_Водопроводная сеть  26  м.  г.Калуга,  ул.  Салтыкова Щедрина, 66</t>
  </si>
  <si>
    <t xml:space="preserve">45922_   </t>
  </si>
  <si>
    <t>45921_Водопроводная сеть  9 м.  г.Калуга,  ул.  Хрустальная, д. 4</t>
  </si>
  <si>
    <t xml:space="preserve">45921_   </t>
  </si>
  <si>
    <t>45708_Водопроводная сеть г.Калуга,  ул.С-Щедрина, д.28_22 м</t>
  </si>
  <si>
    <t xml:space="preserve">45708_   </t>
  </si>
  <si>
    <t>45707_Водопроводная сеть г.Калуга,  ул.С-Щедрина, д.16_17 м</t>
  </si>
  <si>
    <t xml:space="preserve">45707_   </t>
  </si>
  <si>
    <t>45706_Водопроводная сеть г.Калуга,  ул.Маяковского, д.39_23 м</t>
  </si>
  <si>
    <t xml:space="preserve">45706_   </t>
  </si>
  <si>
    <t>45705_Водопроводная сеть г.Калуга,  ул.С-Щедрина, д.91_9 м</t>
  </si>
  <si>
    <t xml:space="preserve">45705_   </t>
  </si>
  <si>
    <t>45704_Водопроводная сеть г.Калуга, ул.Хрустальная, д.2/1_9 м</t>
  </si>
  <si>
    <t xml:space="preserve">45704_   </t>
  </si>
  <si>
    <t>45703_Водопроводная сеть г.Калуга, ул.Гурьянова, д.14Б, д.12, корп.2_119 м</t>
  </si>
  <si>
    <t xml:space="preserve">45703_   </t>
  </si>
  <si>
    <t>45596_Водопроводная сеть г.Калуга, ул.Телевизионная, д.7_9 м</t>
  </si>
  <si>
    <t xml:space="preserve">45596_   </t>
  </si>
  <si>
    <t>45585_Водопроводная сеть  г.Калуга, ул.Ленина, д.48_107м</t>
  </si>
  <si>
    <t xml:space="preserve">45585_   </t>
  </si>
  <si>
    <t>45584_Водопроводная сеть  г.Калуга, ул.Ленина, д.101_10м</t>
  </si>
  <si>
    <t xml:space="preserve">45584_   </t>
  </si>
  <si>
    <t>45583_Водопроводная сеть  г.Калуга, ул.Ленина, д.26_6м</t>
  </si>
  <si>
    <t xml:space="preserve">45583_   </t>
  </si>
  <si>
    <t>45582_Водопроводная сеть  г.Калуга,  ул.Кутузова, д.22_18м</t>
  </si>
  <si>
    <t xml:space="preserve">45582_   </t>
  </si>
  <si>
    <t>№833-п от 31.05.2021</t>
  </si>
  <si>
    <t>45581_Водопроводная сеть  г.Калуга, ул.Кубяка, д.15_26м</t>
  </si>
  <si>
    <t xml:space="preserve">45581_   </t>
  </si>
  <si>
    <t>45573_Водопроводная сеть г.Калуга, ул.Салтыкова-Щедрина, д.2/61_13 м</t>
  </si>
  <si>
    <t xml:space="preserve">45573_   </t>
  </si>
  <si>
    <t>45572_Водопроводная сеть  г.Калуга, ул.Дарвина, д.6_17 м</t>
  </si>
  <si>
    <t xml:space="preserve">45572_   </t>
  </si>
  <si>
    <t>45571_Водопроводная сеть  г.Калуга, ул.Широкая, д.53_19 м</t>
  </si>
  <si>
    <t xml:space="preserve">45571_   </t>
  </si>
  <si>
    <t>45570_Водопроводная сеть г.Калуга, пер.Гостинорядский, д.6/9_4 м</t>
  </si>
  <si>
    <t xml:space="preserve">45570_   </t>
  </si>
  <si>
    <t>45569_Водопроводная сеть  г.Калуга, ул.Тельмана, д.41_20 м</t>
  </si>
  <si>
    <t xml:space="preserve">45569_   </t>
  </si>
  <si>
    <t>45568_Водопроводная сеть г.Калуга, ул.Достоевского д.28_11 м</t>
  </si>
  <si>
    <t xml:space="preserve">45568_   </t>
  </si>
  <si>
    <t>45534_Водопроводная сеть_ ул.Ольговская, д.6_протяженность 18 м</t>
  </si>
  <si>
    <t xml:space="preserve">45534_   </t>
  </si>
  <si>
    <t>45533_Водопроводная сеть_ ул.Салтыкова-Щедрина, д.58_протяженность 15 м</t>
  </si>
  <si>
    <t xml:space="preserve">45533_   </t>
  </si>
  <si>
    <t>45532_Водопроводная сеть_ ул.Дарвина, д.10А_протяженность 10 м</t>
  </si>
  <si>
    <t xml:space="preserve">45532_   </t>
  </si>
  <si>
    <t>45531_Водопроводная сеть_ ул.Салтыкова-Щедрина, д.79А_протяженность 21 м</t>
  </si>
  <si>
    <t xml:space="preserve">45531_   </t>
  </si>
  <si>
    <t>45530_Водопроводная сеть_ ул.Первомайская, д.52_протяженность 18 м</t>
  </si>
  <si>
    <t xml:space="preserve">45530_   </t>
  </si>
  <si>
    <t>45529_Водопроводная сеть_ ул.Суворова, д.123/50_протяженность 12 м</t>
  </si>
  <si>
    <t xml:space="preserve">45529_   </t>
  </si>
  <si>
    <t>45528_Водопроводная сеть_ ул.Ленина, д.56_протяженность 8 м</t>
  </si>
  <si>
    <t xml:space="preserve">45528_   </t>
  </si>
  <si>
    <t>45527_Водопроводная сеть_ ул.Ольговская, д.10/5_протяженность 16 м</t>
  </si>
  <si>
    <t xml:space="preserve">45527_   </t>
  </si>
  <si>
    <t>45526_Водопроводная сеть_ ул.Знаменская, д.59_протяженность 13 м</t>
  </si>
  <si>
    <t xml:space="preserve">45526_   </t>
  </si>
  <si>
    <t>45525_Водопроводная сеть_ ул.Ольговская, д.5_протяженность 9 м</t>
  </si>
  <si>
    <t xml:space="preserve">45525_   </t>
  </si>
  <si>
    <t>45348_Водопроводная сеть г.Калуга д.Починки (протяж.443 п.м)</t>
  </si>
  <si>
    <t xml:space="preserve">45348_   </t>
  </si>
  <si>
    <t>45347_Водопроводная сеть г. Калуга, д. Доможирово-д.Груздово</t>
  </si>
  <si>
    <t xml:space="preserve">45347_   </t>
  </si>
  <si>
    <t>45312_Водопроводная сеть г. Калуга, д. Григоровка</t>
  </si>
  <si>
    <t xml:space="preserve">45312_   </t>
  </si>
  <si>
    <t>Калужская область, г Калуга, ул Степана Разина, д 81</t>
  </si>
  <si>
    <t>Приказ МЭР КО 327-п от 25.02.2021</t>
  </si>
  <si>
    <t>45295_Водопроводная сеть  71  м. г. Калуга, ул.Степана Разина, д.81</t>
  </si>
  <si>
    <t xml:space="preserve">45295_   </t>
  </si>
  <si>
    <t>Калужская область, г Калуга, ул Баумана, д 24</t>
  </si>
  <si>
    <t>45294_Водопроводная сеть  11 м. г. Калуга, ул. Баумана, д.24</t>
  </si>
  <si>
    <t xml:space="preserve">45294_   </t>
  </si>
  <si>
    <t>Калужская область, г Калуга, ул Дарвина, д 4</t>
  </si>
  <si>
    <t>45293_Водопроводная сеть  25  м. г. Калуга, ул. Дарвина , д.4</t>
  </si>
  <si>
    <t xml:space="preserve">45293_   </t>
  </si>
  <si>
    <t>Калужская область, г Калуга, ул Воробьевская, д 9</t>
  </si>
  <si>
    <t>45292_Водопроводная сеть  47 м. г. Калуга, ул. Воробьевская, д. 9</t>
  </si>
  <si>
    <t xml:space="preserve">45292_   </t>
  </si>
  <si>
    <t>Калужская область, г Калуга, ул Театральная, д 30</t>
  </si>
  <si>
    <t>45291_Водопроводная сеть  11 м. г. Калуга, ул. Театральная, д. 30</t>
  </si>
  <si>
    <t xml:space="preserve">45291_   </t>
  </si>
  <si>
    <t>Калужская область, г Калуга, ул Дарвина, д 12</t>
  </si>
  <si>
    <t>45290_Водопроводная сеть  6 м. г. Калуга, ул. Дарвина, д.12</t>
  </si>
  <si>
    <t xml:space="preserve">45290_   </t>
  </si>
  <si>
    <t>Калужская область, г Калуга, ул Пестеля, д 13</t>
  </si>
  <si>
    <t>45289_Водопроводная сеть  12 м.  г.Калуга, ул.Пестеля, дом 13</t>
  </si>
  <si>
    <t xml:space="preserve">45289_   </t>
  </si>
  <si>
    <t>г Калуга, ул Салтыкова-Щедрина, д.62, д.64</t>
  </si>
  <si>
    <t>45288_Водопроводная сеть  43 м.  г.Калуга, ул.Салтыкова-Щедрина, д.62, д.64</t>
  </si>
  <si>
    <t xml:space="preserve">45288_   </t>
  </si>
  <si>
    <t>45252_Водопроводная сеть г.Калуга, ул.Пестеля, д.32_27 м</t>
  </si>
  <si>
    <t xml:space="preserve">45252_   </t>
  </si>
  <si>
    <t>45251_Водопроводная сеть г.Калуга,  ул.Пухова, д.42_11 м</t>
  </si>
  <si>
    <t xml:space="preserve">45251_   </t>
  </si>
  <si>
    <t>№184-п от 05.02.2021г.</t>
  </si>
  <si>
    <t>45250_Водопроводная сеть г.Калуга, ул.Московская, д.62/71_18 м</t>
  </si>
  <si>
    <t xml:space="preserve">45250_   </t>
  </si>
  <si>
    <t>184-п от 05.02.2021г.</t>
  </si>
  <si>
    <t>45249_Водопроводная сеть г.Калуга,  ул.Первомайская, д.12_12 м</t>
  </si>
  <si>
    <t xml:space="preserve">45249_   </t>
  </si>
  <si>
    <t>45248_Водопроводная сеть г.Калуга, ул.Телевизионная, д.9_51 м</t>
  </si>
  <si>
    <t xml:space="preserve">45248_   </t>
  </si>
  <si>
    <t>45247_Водопроводная сеть г.Калуга, ул.Добровольского д.14_59 м</t>
  </si>
  <si>
    <t xml:space="preserve">45247_   </t>
  </si>
  <si>
    <t>45246_Водопроводная сеть г.Калуга, ул.Плеханова, д.68,70_21 м</t>
  </si>
  <si>
    <t xml:space="preserve">45246_   </t>
  </si>
  <si>
    <t>45245_Водопроводная сеть г.Калуга, ул.Кутузова, д.31, корп. 1_37 м</t>
  </si>
  <si>
    <t xml:space="preserve">45245_   </t>
  </si>
  <si>
    <t>45244_Водопроводная сеть г.Калуга, ул.Пестеля, д.10_15 м</t>
  </si>
  <si>
    <t xml:space="preserve">45244_   </t>
  </si>
  <si>
    <t>45243_Водопроводная сеть г.Калуга,  ул.Кутузова, д.18_11 м</t>
  </si>
  <si>
    <t xml:space="preserve">45243_   </t>
  </si>
  <si>
    <t>45242_Водопроводная сеть г.Калуга,  ул.Ольговская, д.8_18 м</t>
  </si>
  <si>
    <t xml:space="preserve">45242_   </t>
  </si>
  <si>
    <t>45241_Водопроводная сеть г.Калуга, ул.Кутузова, д.28_8 м</t>
  </si>
  <si>
    <t xml:space="preserve">45241_   </t>
  </si>
  <si>
    <t xml:space="preserve"> №184-п от 05.02.2021г.</t>
  </si>
  <si>
    <t>45240_Водопроводная сеть г.Калуга, ул.Кутузова, д.30_11 м</t>
  </si>
  <si>
    <t xml:space="preserve">45240_   </t>
  </si>
  <si>
    <t>45239_Водопроводная сеть г.Калуга, ул.С-Щедрина, д.93_5 м</t>
  </si>
  <si>
    <t xml:space="preserve">45239_   </t>
  </si>
  <si>
    <t>45238_Водопроводная сеть г.Калуга, ул.С-Щедрина, д.6_24 м</t>
  </si>
  <si>
    <t xml:space="preserve">45238_   </t>
  </si>
  <si>
    <t>45237_Водопроводная сеть г.Калуга, ул.Достоевского д.37_13 м</t>
  </si>
  <si>
    <t xml:space="preserve">45237_   </t>
  </si>
  <si>
    <t>Калужская область, г.Калуга, ул. Салтыкова-Щедрина, к д.11</t>
  </si>
  <si>
    <t>Приказ МЭР КО №1949-п от 12.11.2020г.</t>
  </si>
  <si>
    <t>44950_Наружные сети водопровода г.Калуга, ул.Салтыкова-Щедрина, к д.11</t>
  </si>
  <si>
    <t xml:space="preserve">44950_   </t>
  </si>
  <si>
    <t>44774_Водопроводная сеть г.Калуга, ул.Никитина, д.70</t>
  </si>
  <si>
    <t xml:space="preserve">44774_   </t>
  </si>
  <si>
    <t>Калужская область, г.Калуга, ул.Тракторная, от д.1 до д.7</t>
  </si>
  <si>
    <t>44773_Водопроводная сеть г.Калуга, ул.Тракторная, от д.1 до д.7</t>
  </si>
  <si>
    <t xml:space="preserve">44773_   </t>
  </si>
  <si>
    <t>Калужская область, г.Калуга, ул.Телевизионная, д.11</t>
  </si>
  <si>
    <t>44772_Водопроводная сеть г.Калуга, ул.Телевизионная, д.11</t>
  </si>
  <si>
    <t xml:space="preserve">44772_   </t>
  </si>
  <si>
    <t>Калужская область, г.Калуга, ул.Советская, от дома 23 до дома 25</t>
  </si>
  <si>
    <t>44771_Водопроводная сеть г.Калуга, с.Росва, ул.Советская, от дома 23 до дома 25</t>
  </si>
  <si>
    <t xml:space="preserve">44771_   </t>
  </si>
  <si>
    <t>Калужская область, г.Калуга, ул. 1-я Тарусская - ул. 10-я Тарусская</t>
  </si>
  <si>
    <t>44770_Водопроводная сеть г.Калуга, ул. 1-я Тарусская - ул. 10-я Тарусская</t>
  </si>
  <si>
    <t xml:space="preserve">44770_   </t>
  </si>
  <si>
    <t>Калужская область, г.Калуга, ул.Усадебная, ул.Нижняя Усадебная, ул.Верхняя Усадебная, 1-й переулок Усадебный, 2-й переулок Усадебный</t>
  </si>
  <si>
    <t>44769_Водопроводная сеть г.Калуга, ул.Усадебная, Н.Усадебная, В.Усадебная, 1пер.Усадебный,</t>
  </si>
  <si>
    <t xml:space="preserve">44769_   </t>
  </si>
  <si>
    <t>Калужская область, г.Калуга, тер.Психбольницы, д.23, 24, 26</t>
  </si>
  <si>
    <t>44757_Водопроводная сеть г.Калуга, тер.Психбольницы, д.23, 24, 26</t>
  </si>
  <si>
    <t xml:space="preserve">44757_   </t>
  </si>
  <si>
    <t>Калужская область, г.Калуга, пер.Воскресенский, д.15</t>
  </si>
  <si>
    <t>44756_Водопроводная сеть г.Калуга, пер.Воскресенский, д.15</t>
  </si>
  <si>
    <t xml:space="preserve">44756_   </t>
  </si>
  <si>
    <t>Калужская область, г.Калуга, ул.Грабцевское шоссе, д.64, д.66</t>
  </si>
  <si>
    <t>44755_Водопроводная сеть г.Калуга, ул.Грабцевское шоссе, д.64, 66</t>
  </si>
  <si>
    <t xml:space="preserve">44755_   </t>
  </si>
  <si>
    <t>Калужская область, г.Калуга, ул.Проезжая, д.20</t>
  </si>
  <si>
    <t>44754_Водопроводная сеть г.Калуга, ул.Проезжая, д.20</t>
  </si>
  <si>
    <t xml:space="preserve">44754_   </t>
  </si>
  <si>
    <t>Калужская область, г.Калуга, пер. 8 Марта, д.28, 30, 32</t>
  </si>
  <si>
    <t>44753_Водопроводная сеть г.Калуга, пер. 8 Марта, д.28, 30, 32</t>
  </si>
  <si>
    <t xml:space="preserve">44753_   </t>
  </si>
  <si>
    <t>Калужская область, г.Калуга, ул.Салтыкова-Щедрина, к д.13, к.2</t>
  </si>
  <si>
    <t>44745_Наружные сети водопровода г.Калуга, ул.Салтыкова-Щедрина, к д.13, к.2</t>
  </si>
  <si>
    <t xml:space="preserve">44745_   </t>
  </si>
  <si>
    <t>Калужская область, г.Калуга, ул.Салтыкова-Щедрина, к д.13, к.1</t>
  </si>
  <si>
    <t>44744_Наружные сети водопровода г.Калуга, ул.Салтыкова-Щедрина, к д.13, к.1</t>
  </si>
  <si>
    <t xml:space="preserve">44744_   </t>
  </si>
  <si>
    <t>44743_Сети водоснабжения г.Калуга, ул.Воскресенская к д.10</t>
  </si>
  <si>
    <t xml:space="preserve">44743_   </t>
  </si>
  <si>
    <t>Российская Федерация, Калужская область, г.Калуга, ул. Газовая, д.39, д.41, д.43</t>
  </si>
  <si>
    <t>44686_Водопроводная сеть г.Калуга, ул.Газовая, д.39, 41, 43</t>
  </si>
  <si>
    <t xml:space="preserve">44686_   </t>
  </si>
  <si>
    <t>Калужская область, г.Калуга, ул. Карачевская, д.6</t>
  </si>
  <si>
    <t>44685_Водопроводная сеть г.Калуга, ул.Карачевская, д.6</t>
  </si>
  <si>
    <t xml:space="preserve">44685_   </t>
  </si>
  <si>
    <t>Калужская область, г.Калуга, ул. Мира, д.10, д.8А</t>
  </si>
  <si>
    <t>44684_Водопроводная сеть г.Калуга, ул.Мира, д. 10, 8А</t>
  </si>
  <si>
    <t xml:space="preserve">44684_   </t>
  </si>
  <si>
    <t>Российская Федерация, Калужская область, г.Калуга, ул. 2-я Загородная, д.8, 10, 14, 16</t>
  </si>
  <si>
    <t>44683_Водопроводная сеть г.Калуга, ул. 2-я Загородная, д. 8, 10, 14, 16</t>
  </si>
  <si>
    <t xml:space="preserve">44683_   </t>
  </si>
  <si>
    <t>приказ МЭР №1510-п от 09.09.2020г.</t>
  </si>
  <si>
    <t>44682_Водопроводная сеть (лит. II) г.Калуга, д.Лихун</t>
  </si>
  <si>
    <t xml:space="preserve">44682_   </t>
  </si>
  <si>
    <t>Калужская область, г.Калуга, ул.Московская, д. 64, 66/102</t>
  </si>
  <si>
    <t>44562_Водопроводная сеть г.Калуга, ул.Московская, д.64, 66/102</t>
  </si>
  <si>
    <t xml:space="preserve">44562_   </t>
  </si>
  <si>
    <t>Калужская область, г.Калуга, ул.Гурьянова, д. 21, 23</t>
  </si>
  <si>
    <t>44561_Водопроводная сеть г.Калуга, ул.Гурьянова, д.21, 23</t>
  </si>
  <si>
    <t xml:space="preserve">44561_   </t>
  </si>
  <si>
    <t>Калужская область, г.Калуга, ул.Баррикад, д.126</t>
  </si>
  <si>
    <t>44558_Водопроводная сеть г.Калуга, ул.Баррикад, д.126</t>
  </si>
  <si>
    <t xml:space="preserve">44558_   </t>
  </si>
  <si>
    <t>Калужская область, г.Калуга, б-р Энтузиастов, д.6б</t>
  </si>
  <si>
    <t>44557_Водопроводная сеть (лит. II)  г.Калуга, б-р Энтузиастов, д.6б</t>
  </si>
  <si>
    <t xml:space="preserve">44557_   </t>
  </si>
  <si>
    <t>Калужская область, г.Калуга, ул.Театральная, д.43/8</t>
  </si>
  <si>
    <t>44556_Водопроводная сеть г.Калуга, ул.Театральная, д.43/8</t>
  </si>
  <si>
    <t xml:space="preserve">44556_   </t>
  </si>
  <si>
    <t>Калужская область, г.Калуга, пер.Парковый</t>
  </si>
  <si>
    <t>44555_Водопроводная сеть г.Калуга, пер.Парковый</t>
  </si>
  <si>
    <t xml:space="preserve">44555_   </t>
  </si>
  <si>
    <t>Калужская область, г.Калуга, ул.Рубежная, д.5</t>
  </si>
  <si>
    <t>44545_Водопроводная сеть г.Калуга, ул.Рубежная, д.5</t>
  </si>
  <si>
    <t xml:space="preserve">44545_   </t>
  </si>
  <si>
    <t>Калужская область, г.Калуга, ул.Болдина, д.6</t>
  </si>
  <si>
    <t>44544_Водопроводная сеть г.Калуга, ул.Болдина, д.6</t>
  </si>
  <si>
    <t xml:space="preserve">44544_   </t>
  </si>
  <si>
    <t>Калужская область, г.Калуга, ул.Суворова, д.84а</t>
  </si>
  <si>
    <t>44542_Водопровод г.Калуга, ул.Суворова, д.84а</t>
  </si>
  <si>
    <t xml:space="preserve">44542_   </t>
  </si>
  <si>
    <t>Калужская область, г.Калуга, ул. Молодежная, д.10/5</t>
  </si>
  <si>
    <t>44540_Водопроводная сеть г.Калуга, ул.Молодежная, д.10/5</t>
  </si>
  <si>
    <t xml:space="preserve">44540_   </t>
  </si>
  <si>
    <t>Калужская область, г.Калуга, ул.Николо-Козинская, д.116</t>
  </si>
  <si>
    <t>44538_Водопроводная сеть г.Калуга, ул.Николо-Козинская, д.116</t>
  </si>
  <si>
    <t xml:space="preserve">44538_   </t>
  </si>
  <si>
    <t>Калужская область, г.Калуга, ул.Ольговская, д.12</t>
  </si>
  <si>
    <t>44537_Водопроводная сеть г.Калуга, ул.Ольговская, д.12</t>
  </si>
  <si>
    <t xml:space="preserve">44537_   </t>
  </si>
  <si>
    <t>Калужская область, г.Калуга, ул.Пухова, д.39</t>
  </si>
  <si>
    <t>44536_Водопроводная сеть г.Калуга, ул.Пухова, д.39</t>
  </si>
  <si>
    <t xml:space="preserve">44536_   </t>
  </si>
  <si>
    <t>44470_Водопроводная сеть ул.Никитина д.129, 131,133</t>
  </si>
  <si>
    <t xml:space="preserve">44470_   </t>
  </si>
  <si>
    <t>44319_Водопроводная сеть_г.Калуга, ул.Тарутинская, д.70_17м</t>
  </si>
  <si>
    <t xml:space="preserve">44319_   </t>
  </si>
  <si>
    <t>44318_Водопроводная сеть_г.Калуга, ул.Тарутинская, в р-не д.107, 109, 111. 113, 117/1_105</t>
  </si>
  <si>
    <t xml:space="preserve">44318_   </t>
  </si>
  <si>
    <t>44317_Водопроводная сеть_г.Калуга, ул.Трамплинная,от д.39 до д.68_440 м</t>
  </si>
  <si>
    <t xml:space="preserve">44317_   </t>
  </si>
  <si>
    <t>44316_Водопроводная сеть_г.Калуга, ул.Дзержинского, д.57_11 м</t>
  </si>
  <si>
    <t xml:space="preserve">44316_   </t>
  </si>
  <si>
    <t>44315_Водопроводная сеть_г.Калуга, ул.Болдина, д.23_17 м</t>
  </si>
  <si>
    <t xml:space="preserve">44315_   </t>
  </si>
  <si>
    <t>44314_Водопроводная сеть_г.Калуга, ул.Суворова, д.60_24 м</t>
  </si>
  <si>
    <t xml:space="preserve">44314_   </t>
  </si>
  <si>
    <t>44313_Водопроводная сеть_г.Калуга, ул.Московская, д.52_9 м</t>
  </si>
  <si>
    <t xml:space="preserve">44313_   </t>
  </si>
  <si>
    <t>40:26:000365:2490-40/001/2020-2</t>
  </si>
  <si>
    <t>44301_Водопроводная сеть_г.Калуга, ул.Краснопивцева, д.1_10 м</t>
  </si>
  <si>
    <t xml:space="preserve">44301_   </t>
  </si>
  <si>
    <t>40:26:000264:845-40/001/2020-2</t>
  </si>
  <si>
    <t>44300_Водопроводная сеть_г.Калуга, ул.Московская, д.71_53 м</t>
  </si>
  <si>
    <t xml:space="preserve">44300_   </t>
  </si>
  <si>
    <t>40:26:000090:513-40/001/2020-2</t>
  </si>
  <si>
    <t>44299_Водопроводная сеть_г.Калуга, ул.Московская, д.259, д.261, д.263_138 м</t>
  </si>
  <si>
    <t xml:space="preserve">44299_   </t>
  </si>
  <si>
    <t>40:26:000366:558-40/001/2020-2</t>
  </si>
  <si>
    <t>44298_Водопроводная сеть_г.Калуга, ул.Болдина, д.13_7 м</t>
  </si>
  <si>
    <t xml:space="preserve">44298_   </t>
  </si>
  <si>
    <t>40:26:000321:1131-40/001/2020-2</t>
  </si>
  <si>
    <t>44297_Водопроводная сеть_г.Калуга, ул.Гостинорядский, д.5_13 м</t>
  </si>
  <si>
    <t xml:space="preserve">44297_   </t>
  </si>
  <si>
    <t>40:26:000308:1181-40/001/2020-2</t>
  </si>
  <si>
    <t>44295_Водопроводная сеть_г.Калуга, ул.Пушкина, д.3_9 м</t>
  </si>
  <si>
    <t xml:space="preserve">44295_   </t>
  </si>
  <si>
    <t>Калуга г,,Московская ул,58</t>
  </si>
  <si>
    <t>44271_Водопроводная сеть г.Калуга ул.Московская д.58</t>
  </si>
  <si>
    <t xml:space="preserve">44271_   </t>
  </si>
  <si>
    <t>Калуга г,,Театральная ул,15/56</t>
  </si>
  <si>
    <t>44270_Водопроводная сеть г.Калуга ул.Театральная д.15/56</t>
  </si>
  <si>
    <t xml:space="preserve">44270_   </t>
  </si>
  <si>
    <t>Калуга г,,Радищева ул,4</t>
  </si>
  <si>
    <t>44269_Водопроводная сеть г.Калуга ул.Радищева д.4</t>
  </si>
  <si>
    <t xml:space="preserve">44269_   </t>
  </si>
  <si>
    <t>Калуга г,,Новослободская ул, №6 и №7</t>
  </si>
  <si>
    <t>44268_Водопроводная сеть г.Калуга ул.Новослободская в районе д.6, д.7</t>
  </si>
  <si>
    <t xml:space="preserve">44268_   </t>
  </si>
  <si>
    <t>Калуга г,,Мира ул,27</t>
  </si>
  <si>
    <t>44267_Водопроводная сеть г.Калуга ул.Мира д.27</t>
  </si>
  <si>
    <t xml:space="preserve">44267_   </t>
  </si>
  <si>
    <t>44247_Хозяйственно-питьевой водопровод, ул.Гурьянова д.71</t>
  </si>
  <si>
    <t xml:space="preserve">44247_   </t>
  </si>
  <si>
    <t>44246_Хозяйственно-питьевой водопровод, пер.Михалевский д.28</t>
  </si>
  <si>
    <t xml:space="preserve">44246_   </t>
  </si>
  <si>
    <t>Калуга г, Михалевский пер, дом № 24</t>
  </si>
  <si>
    <t>44245_Хозяйственно-питьевой водопровод, пер.Михалевский д.24</t>
  </si>
  <si>
    <t xml:space="preserve">44245_   </t>
  </si>
  <si>
    <t>44244_Хозяйственно-питьевой водопровод, ул.Гурьянова д.73</t>
  </si>
  <si>
    <t xml:space="preserve">44244_   </t>
  </si>
  <si>
    <t>44243_Хозяйственно-питьевой водопровод, ул.Гурьянова в районе д.67 корп.2, д.67 корп.3</t>
  </si>
  <si>
    <t xml:space="preserve">44243_   </t>
  </si>
  <si>
    <t>44242_Хозяйственно-питьевой водопровод, ул.Терепецкая в районе д.6 д.7</t>
  </si>
  <si>
    <t xml:space="preserve">44242_   </t>
  </si>
  <si>
    <t>Калуга г, Гурьянова ул,71 В</t>
  </si>
  <si>
    <t>приказ 526-п от 13.03.2020 г.</t>
  </si>
  <si>
    <t>44241_Насосная станция холодного водоснабжения, ул.Гурьянова д.71в</t>
  </si>
  <si>
    <t xml:space="preserve">44241_   </t>
  </si>
  <si>
    <t>Калуга г, Доможирово д,</t>
  </si>
  <si>
    <t>44161_Каптаж ключей_ д.Доможирово_площадь 1,8 кв.м</t>
  </si>
  <si>
    <t xml:space="preserve">44161_   </t>
  </si>
  <si>
    <t>Калуга г, Хрустальная ул,23</t>
  </si>
  <si>
    <t>44160_Водопроводная сеть_ ул.Хрустальная, д.23_протяж.84 п.м</t>
  </si>
  <si>
    <t xml:space="preserve">44160_   </t>
  </si>
  <si>
    <t>Калуга г, Вишневского ул,20</t>
  </si>
  <si>
    <t>44159_Водопроводная сеть_ ул.Вишневского, д.20_протяж.75 п.м</t>
  </si>
  <si>
    <t xml:space="preserve">44159_   </t>
  </si>
  <si>
    <t>Калуга г, Забойная ул,3</t>
  </si>
  <si>
    <t>44157_Водопроводная сеть_ ул.Забойная, д.3_протяж.53 п.м</t>
  </si>
  <si>
    <t xml:space="preserve">44157_   </t>
  </si>
  <si>
    <t>Калуга г, Луговая ул,43</t>
  </si>
  <si>
    <t>44156_Водопроводная сеть_ ул.Луговая, д.43_протяж.27 п.м</t>
  </si>
  <si>
    <t xml:space="preserve">44156_   </t>
  </si>
  <si>
    <t>Калуга г, Широкая ул,47,</t>
  </si>
  <si>
    <t>44155_Водопроводная сеть_ ул.Широкая, д.47_протяж.11 п.м</t>
  </si>
  <si>
    <t xml:space="preserve">44155_   </t>
  </si>
  <si>
    <t>Калуга г, Муратовка с,</t>
  </si>
  <si>
    <t>44154_Водонапорная башня_с.Муратовка_площадь застройки 3,6 кв.м</t>
  </si>
  <si>
    <t xml:space="preserve">44154_   </t>
  </si>
  <si>
    <t>Калуга г, Нижне-Лаврентьевская ул.</t>
  </si>
  <si>
    <t>44152_Водопроводная сеть_ул.Нижне-Лаврентьевская  протяж.83 п.м</t>
  </si>
  <si>
    <t xml:space="preserve">44152_   </t>
  </si>
  <si>
    <t>Калуга г,,Болдина ул,5 и №7</t>
  </si>
  <si>
    <t>44151_Водопроводная сеть_ул.Болдина, д.5, д.7  протяж.72 п.м</t>
  </si>
  <si>
    <t xml:space="preserve">44151_   </t>
  </si>
  <si>
    <t>44150_Водопроводная сеть_ул.Московская, д.52 протяж.5 п.м</t>
  </si>
  <si>
    <t xml:space="preserve">44150_   </t>
  </si>
  <si>
    <t>44149_Водопроводная сеть_ул.Октябрьская, д.13, корп.1, корп.2 протяж.44 п.м</t>
  </si>
  <si>
    <t xml:space="preserve">44149_   </t>
  </si>
  <si>
    <t>44148_Водопроводная сеть_ул.Пионерская, д.26А, протяж.15 п.м</t>
  </si>
  <si>
    <t xml:space="preserve">44148_   </t>
  </si>
  <si>
    <t>44147_Водопроводная сеть_ул.Болдина д.8_протяж.13 м</t>
  </si>
  <si>
    <t xml:space="preserve">44147_   </t>
  </si>
  <si>
    <t>Калуга г,,Болдина ул,10</t>
  </si>
  <si>
    <t>44146_Водопроводная сеть ул.Болдина д.10_протяж.13 м</t>
  </si>
  <si>
    <t xml:space="preserve">44146_   </t>
  </si>
  <si>
    <t>44145_Водопроводная сеть, ул.Краснопивцева д.3_протяж.12 м</t>
  </si>
  <si>
    <t xml:space="preserve">44145_   </t>
  </si>
  <si>
    <t>44144_Водопроводная сеть, ул.Театральная д.36/8_протяж.10 м</t>
  </si>
  <si>
    <t xml:space="preserve">44144_   </t>
  </si>
  <si>
    <t>44019_Водопроводная сеть г.Калуга, ул.Советская, д.4_протяж.69 п.м</t>
  </si>
  <si>
    <t xml:space="preserve">44019_   </t>
  </si>
  <si>
    <t>44018_Водопроводная сеть г.Калуга, ул.Моторная, д.17_протяж.61 п.м</t>
  </si>
  <si>
    <t xml:space="preserve">44018_   </t>
  </si>
  <si>
    <t>44017_Водопроводная сеть г.Калуга, ул.Городенская_протяж.529 п.м</t>
  </si>
  <si>
    <t xml:space="preserve">44017_   </t>
  </si>
  <si>
    <t>44016_Водопроводная сеть г.Калуга, пер.Врубовой, д.4_протяж.50 п.м</t>
  </si>
  <si>
    <t xml:space="preserve">44016_   </t>
  </si>
  <si>
    <t>44015_Водопроводная сеть г.Калуга, пер. Хрустальный, д.1,3,5,7,9,11,13_протяж.472 п.м</t>
  </si>
  <si>
    <t xml:space="preserve">44015_   </t>
  </si>
  <si>
    <t>44014_Водопроводная сеть г.Калуга, ул.Никитина, д.135, д.139, д.155_протяж.465 п.м</t>
  </si>
  <si>
    <t xml:space="preserve">44014_   </t>
  </si>
  <si>
    <t>44013_Водопроводная сеть г.Калуга,  ул.Советская, д.105, ул.Л.Толстого, д.130а_протяж.341</t>
  </si>
  <si>
    <t xml:space="preserve">44013_   </t>
  </si>
  <si>
    <t>44012_Водопроводная сеть г.Калуга, пер. Баррикад, д.136_протяж.22 п.м</t>
  </si>
  <si>
    <t xml:space="preserve">44012_   </t>
  </si>
  <si>
    <t>44011_Водопроводная сеть г.Калуга, ул.Спасская_протяж.176 п.м</t>
  </si>
  <si>
    <t xml:space="preserve">44011_   </t>
  </si>
  <si>
    <t>44010_Водопроводная сеть г.Калуга, пер.Тракторный, д.9_протяж.17 п.м</t>
  </si>
  <si>
    <t xml:space="preserve">44010_   </t>
  </si>
  <si>
    <t>44009_Водопроводная сеть г.Калуга, ул.Тихая_протяж.166 п.м</t>
  </si>
  <si>
    <t xml:space="preserve">44009_   </t>
  </si>
  <si>
    <t>44008_Водопроводная сеть г.Калуга, ул.Ленина, д.1, д.3, д.7_протяж.143 п.м</t>
  </si>
  <si>
    <t xml:space="preserve">44008_   </t>
  </si>
  <si>
    <t>43770_Сети водоснабжения г.Калуга, ул.Рылеева, д.58/14_протяж.9 п.м</t>
  </si>
  <si>
    <t xml:space="preserve">43770_   </t>
  </si>
  <si>
    <t>43769_Сети водоснабжения г.Калуга, ул.Беляева, д.2_протяж.81 п.м</t>
  </si>
  <si>
    <t xml:space="preserve">43769_   </t>
  </si>
  <si>
    <t>43768_Сети водоснабжения г.Калуга, ул.Глаголева, д.48_протяж.73 п.м</t>
  </si>
  <si>
    <t xml:space="preserve">43768_   </t>
  </si>
  <si>
    <t>43767_Сети водоснабжения г.Калуга, ул.Фридриха Энгельса, д.12_протяж.65 п.м</t>
  </si>
  <si>
    <t xml:space="preserve">43767_   </t>
  </si>
  <si>
    <t>43766_Сети водоснабжения г.Калуга, ул.Звездная, д.28_протяж.42 п.м</t>
  </si>
  <si>
    <t xml:space="preserve">43766_   </t>
  </si>
  <si>
    <t>43765_Сети водоснабжения г.Калуга, ул.Богородицкая, ул.Новозаречная, ул.Спасская_протяж.36</t>
  </si>
  <si>
    <t xml:space="preserve">43765_   </t>
  </si>
  <si>
    <t>43764_Сети водоснабжения г.Калуга, ул.Радищева, д.2_протяж.35 п.м</t>
  </si>
  <si>
    <t xml:space="preserve">43764_   </t>
  </si>
  <si>
    <t>43763_Сети водоснабжения г.Калуга, ул.Отбойная, д.18/2_протяж.28 п.м</t>
  </si>
  <si>
    <t xml:space="preserve">43763_   </t>
  </si>
  <si>
    <t>43762_Сети водоснабжения г.Калуга, ул.Чичерина, д.18 корп.1_протяж.26 п.м</t>
  </si>
  <si>
    <t xml:space="preserve">43762_   </t>
  </si>
  <si>
    <t>43761_Сети водоснабжения г.Калуга, ул.Воронина, д.26_протяж.14 п.м</t>
  </si>
  <si>
    <t xml:space="preserve">43761_   </t>
  </si>
  <si>
    <t>43760_Сети водоснабжения г.Калуга, ул. Грабцевское шоссе, д.79,81_протяж.13 п.м</t>
  </si>
  <si>
    <t xml:space="preserve">43760_   </t>
  </si>
  <si>
    <t>2009-п от 06.11.2019г</t>
  </si>
  <si>
    <t>43759_Сети водоснабжения г.Калуга, ул.Воронина, д.19_протяж.10 п.м</t>
  </si>
  <si>
    <t xml:space="preserve">43759_   </t>
  </si>
  <si>
    <t>43749_Сети водоснабжения г.Калуга, ул.Пухова, д.13,15_прот.78 п.м</t>
  </si>
  <si>
    <t xml:space="preserve">43749_   </t>
  </si>
  <si>
    <t>43748_Сети водоснабжения г.Калуга, ул.Гурьянова, д.25_прот.4 п.м</t>
  </si>
  <si>
    <t xml:space="preserve">43748_   </t>
  </si>
  <si>
    <t>43747_Сети водоснабжения г.Калуга, ул.Фридриха Энгельса, д.119_прот.28 п.м</t>
  </si>
  <si>
    <t xml:space="preserve">43747_   </t>
  </si>
  <si>
    <t>43746_Сети водоснабжения г.Калуга, пер.Лаврентьевский, в р-не д.3,5,8,10,12-17,19_прот.328</t>
  </si>
  <si>
    <t xml:space="preserve">43746_   </t>
  </si>
  <si>
    <t>43745_Сети водоснабжения г.Калуга,  ул.Мелиораторов_протяж.1128 п.м</t>
  </si>
  <si>
    <t xml:space="preserve">43745_   </t>
  </si>
  <si>
    <t>43744_Сети водоснабжения г.Калуга, ул.Промышленная, д.5,7_протяж.18 п.м</t>
  </si>
  <si>
    <t xml:space="preserve">43744_   </t>
  </si>
  <si>
    <t>43743_Сети водоснабжения г.Калуга,  ул.Врубовая, д.37_протяж.9 п.м</t>
  </si>
  <si>
    <t xml:space="preserve">43743_   </t>
  </si>
  <si>
    <t>43742_Сети водоснабжения г.Калуга,  ул.Монастырская, д.4а_протяж.13 п.м</t>
  </si>
  <si>
    <t xml:space="preserve">43742_   </t>
  </si>
  <si>
    <t>43741_Сети водоснабжения г.Калуга, ул.Звездная, д.21_протяж.17 п.м</t>
  </si>
  <si>
    <t xml:space="preserve">43741_   </t>
  </si>
  <si>
    <t>43740_Сети водоснабжения г.Калуга, ул.Хрустальная, д.2_протяж.89 п.м</t>
  </si>
  <si>
    <t xml:space="preserve">43740_   </t>
  </si>
  <si>
    <t>43739_Сети водоснабжения г.Калуга, пер.Семеново Городище, д.2,4,6_протяж.104 п.м</t>
  </si>
  <si>
    <t xml:space="preserve">43739_   </t>
  </si>
  <si>
    <t>43738_Сети водоснабжения г.Калуга,  пер.Волковский, д.2_протяж.100 п.м</t>
  </si>
  <si>
    <t xml:space="preserve">43738_   </t>
  </si>
  <si>
    <t>43737_Сети водоснабжения г.Калуга,ул.Ленина, д.28_протяж.83 п.м</t>
  </si>
  <si>
    <t xml:space="preserve">43737_   </t>
  </si>
  <si>
    <t>43736_Сети водоснабжения г.Калуга,ул.Ленина, д.69а_протяж.14 п.м</t>
  </si>
  <si>
    <t xml:space="preserve">43736_   </t>
  </si>
  <si>
    <t>43735_Сети водоснабжения г.Калуга, ул.Хрустальная, д.5_протяж.30 п.м</t>
  </si>
  <si>
    <t xml:space="preserve">43735_   </t>
  </si>
  <si>
    <t>43734_Сети водоснабжения г.Калуга,  ул.Мичурина,д.45_протяж.37 п.м</t>
  </si>
  <si>
    <t xml:space="preserve">43734_   </t>
  </si>
  <si>
    <t>43733_Сети водоснабжения г.Калуга,  пер.Врубовой, д.5_протяж.15 п.м</t>
  </si>
  <si>
    <t xml:space="preserve">43733_   </t>
  </si>
  <si>
    <t>43732_Сети водоснабжения г.Калуга, ул.Московская, д.8_протяж.9 п.м</t>
  </si>
  <si>
    <t xml:space="preserve">43732_   </t>
  </si>
  <si>
    <t>43731_Сети водоснабжения г.Калуга, ул.Ленина, д.22_протяж.13 п.м</t>
  </si>
  <si>
    <t xml:space="preserve">43731_   </t>
  </si>
  <si>
    <t>43730_Сети водоснабжения г.Калуга, ул.Нефтебаза, д.1,2,3,4,5,6_протяж.422 п.м</t>
  </si>
  <si>
    <t xml:space="preserve">43730_   </t>
  </si>
  <si>
    <t>43729_Сети водоснабжения г.Калуга, ул.Бульвар Моторостроителей, д.17_протяж.36 п.м</t>
  </si>
  <si>
    <t xml:space="preserve">43729_   </t>
  </si>
  <si>
    <t>43728_Сети водоснабжения г.Калуга, ул.Тракторная, д.40-48_протяж.74 п.м</t>
  </si>
  <si>
    <t xml:space="preserve">43728_   </t>
  </si>
  <si>
    <t>приказ1494-п от 02.09.19 с изм.1565-п от 10.09.19</t>
  </si>
  <si>
    <t>43624_Водопроводная сеть_г.Калуга, ул. Врубовая, д.35/25_протяж.5 п.м</t>
  </si>
  <si>
    <t xml:space="preserve">43624_   </t>
  </si>
  <si>
    <t>43623_Водопроводная сеть_г.Калуга, ул. Промышленная, д.1, 3_протяж.34 п.м</t>
  </si>
  <si>
    <t xml:space="preserve">43623_   </t>
  </si>
  <si>
    <t>43622_Водопроводная сеть_г.Калуга, ул. Гурьянова, д.24_протяж.39 п.м</t>
  </si>
  <si>
    <t xml:space="preserve">43622_   </t>
  </si>
  <si>
    <t>43621_Водопроводная сеть_ул. Тарутинская, в р-не д.177, 179, 183_протяж.75 м</t>
  </si>
  <si>
    <t xml:space="preserve">43621_   </t>
  </si>
  <si>
    <t>43620_Водопроводная сеть_ул. Тарутинская, в р-не д.143, 143а, 145, 147, 149, 151, 155, 157</t>
  </si>
  <si>
    <t xml:space="preserve">43620_   </t>
  </si>
  <si>
    <t>43619_Водопроводная сеть_г.Калуга, ул. Рылеева, д.16_протяж.17 п.м</t>
  </si>
  <si>
    <t xml:space="preserve">43619_   </t>
  </si>
  <si>
    <t>43618_Водопроводная сеть_г.Калуга, ул. Воробьевская, д.14_протяж.11 п.м</t>
  </si>
  <si>
    <t xml:space="preserve">43618_   </t>
  </si>
  <si>
    <t>43617_Водопроводная сеть_г.Калуга, ул. Клюквина, д.30_протяж.9 п.м</t>
  </si>
  <si>
    <t xml:space="preserve">43617_   </t>
  </si>
  <si>
    <t>43616_Водопроводная сеть_г.Калуга, ул. Богородицкая_протяж.784 п.м</t>
  </si>
  <si>
    <t xml:space="preserve">43616_   </t>
  </si>
  <si>
    <t>43615_Водопроводная сеть_г.Калуга, ул. Глаголева, д.9_протяж.10 п.м</t>
  </si>
  <si>
    <t xml:space="preserve">43615_   </t>
  </si>
  <si>
    <t>43614_Водопроводная сеть_г.Калуга, ул. Глаголева, д.7_протяж.14 п.м</t>
  </si>
  <si>
    <t xml:space="preserve">43614_   </t>
  </si>
  <si>
    <t>43613_Водопроводная сеть_г.Калуга, ул. Суворова, д.24_протяж.13 п.м</t>
  </si>
  <si>
    <t xml:space="preserve">43613_   </t>
  </si>
  <si>
    <t>43612_Водопроводная сеть_г.Калуга, ул. В.Андриановой, д.66_протяж.4 п.м</t>
  </si>
  <si>
    <t xml:space="preserve">43612_   </t>
  </si>
  <si>
    <t>43513_Водопроводная сеть_г.Калуга,ул.Коммунальная, в р-не д.12,14,16,18 протяж.126 п.м</t>
  </si>
  <si>
    <t xml:space="preserve">43513_   </t>
  </si>
  <si>
    <t>43512_Водопроводная сеть_г.Калуга, ул.Степана Разина д.3 протяж.70 п.м</t>
  </si>
  <si>
    <t xml:space="preserve">43512_   </t>
  </si>
  <si>
    <t>43511_Водопроводная сеть_г.Калуга, ул.Пухова, д.58 протяж.19 п.м</t>
  </si>
  <si>
    <t xml:space="preserve">43511_   </t>
  </si>
  <si>
    <t>43510_Водопроводная сеть_г.Калуга, ул.Северная, д.96 протяж.12 п.м</t>
  </si>
  <si>
    <t xml:space="preserve">43510_   </t>
  </si>
  <si>
    <t>43509_Водопроводная сеть_г.Калуга, ул.Промышленная, д.11 протяж.10 п.м</t>
  </si>
  <si>
    <t xml:space="preserve">43509_   </t>
  </si>
  <si>
    <t>43508_Водопроводная сеть_г.Калуга, ул.Ленина, д.15 протяж.15 п.м</t>
  </si>
  <si>
    <t xml:space="preserve">43508_   </t>
  </si>
  <si>
    <t>43507_Водопроводная сеть_г.Калуга, д. Хитровка, протяж.842 п.м</t>
  </si>
  <si>
    <t xml:space="preserve">43507_   </t>
  </si>
  <si>
    <t>43506_Водопроводная сеть_г.Калуга, ул.Циолковского, д.3_ протяж.28 п.м.</t>
  </si>
  <si>
    <t xml:space="preserve">43506_   </t>
  </si>
  <si>
    <t>43505_Водопроводная сеть_г.Калуга, ул.Мира, д.14_ протяж.32 п.м.</t>
  </si>
  <si>
    <t xml:space="preserve">43505_   </t>
  </si>
  <si>
    <t>1252-п от 02.08.2019</t>
  </si>
  <si>
    <t>43504_Водопроводная сеть_г.Калуга, д.Пучково, ул.Совхозная_ протяж.812 п.м.</t>
  </si>
  <si>
    <t xml:space="preserve">43504_   </t>
  </si>
  <si>
    <t>43456_Водопроводная сеть_г.Калуга, ул. 5-Линия, д. 3, корп.1, д.5,д.7_ протяж.104 п.м.</t>
  </si>
  <si>
    <t xml:space="preserve">43456_   </t>
  </si>
  <si>
    <t>43455_Водопроводная сеть_г.Калуга, ул.Николо-Козинская, д.77_ протяж.21 п.м.</t>
  </si>
  <si>
    <t xml:space="preserve">43455_   </t>
  </si>
  <si>
    <t>43454_Водопроводная сеть_г.Калуга, ул.Луговая, от д.1 до д.15_ протяж.77 п.м.</t>
  </si>
  <si>
    <t xml:space="preserve">43454_   </t>
  </si>
  <si>
    <t>43453_Водопроводная сеть_г.Калуга, ул.Работниц, д.7,9,11,13,13/2,22_ протяж.84 п.м.</t>
  </si>
  <si>
    <t xml:space="preserve">43453_   </t>
  </si>
  <si>
    <t>43452_Водопроводная сеть_г.Калуга,  пер.Тракторный, д.7_ протяж.42 п.м.</t>
  </si>
  <si>
    <t xml:space="preserve">43452_   </t>
  </si>
  <si>
    <t>43451_Водопроводная сеть_г.Калуга,пер.Северный, в р-не д.19,21,23,25,27,29,31_122п.м.</t>
  </si>
  <si>
    <t xml:space="preserve">43451_   </t>
  </si>
  <si>
    <t>43450_Водопроводная сеть_г.Калуга, ул.Пухова, д.44_ протяж.9 п.м.</t>
  </si>
  <si>
    <t xml:space="preserve">43450_   </t>
  </si>
  <si>
    <t>43449_Водопроводная сеть_г.Калуга, ул.Азаровская, д.33, пер. Терепецкий, д.6,8,9,10.14_ пр</t>
  </si>
  <si>
    <t xml:space="preserve">43449_   </t>
  </si>
  <si>
    <t>43448_Водопроводная сеть_г.Калуга, ул.Чижевского, д.7_ протяж.43 п.м.</t>
  </si>
  <si>
    <t xml:space="preserve">43448_   </t>
  </si>
  <si>
    <t>43447_Водопроводная сеть_г.Калуга,  пер.Тракторный, д.11, д.13_ протяж.88 п.м.</t>
  </si>
  <si>
    <t xml:space="preserve">43447_   </t>
  </si>
  <si>
    <t>43446_Водопроводная сеть_г.Калуга, ул.Кирпичный завод МПС, д.2, 4_ протяж.83 п.м.</t>
  </si>
  <si>
    <t xml:space="preserve">43446_   </t>
  </si>
  <si>
    <t>43445_Водопроводная сеть_г.Калуга, ул.Звездная, д.19/1_ протяж.13 п.м.</t>
  </si>
  <si>
    <t xml:space="preserve">43445_   </t>
  </si>
  <si>
    <t>43444_Водопроводная сеть_г.Калуга, ул.Звездная, д.19_ протяж.21 п.м.</t>
  </si>
  <si>
    <t xml:space="preserve">43444_   </t>
  </si>
  <si>
    <t>43443_Водопроводная сеть_г.Калуга,  пер.Карачевский, с д.4 до д.11_ протяж.165 п.м.</t>
  </si>
  <si>
    <t xml:space="preserve">43443_   </t>
  </si>
  <si>
    <t>248002, Калужская обл, Калуга г, Степана Разина ул, дом № 85</t>
  </si>
  <si>
    <t>594-п от 14.06.2019</t>
  </si>
  <si>
    <t>43385_Водопроводная сеть г.Калуга, ул. Степана Разина, д.85_ протяж.92 п.м.</t>
  </si>
  <si>
    <t xml:space="preserve">43385_   </t>
  </si>
  <si>
    <t>248002, Калужская обл, Калуга г, Степана Разина ул, дом № 97 корп.2</t>
  </si>
  <si>
    <t>43384_Водопроводная сеть г.Калуга, ул. Степана Разина, д.97, корп.2_ протяж.27 п.м.</t>
  </si>
  <si>
    <t xml:space="preserve">43384_   </t>
  </si>
  <si>
    <t>248002, Калужская обл, Калуга г, Степана Разина ул, дом № 67 д.69</t>
  </si>
  <si>
    <t>43383_Водопроводная сеть г.Калуга, ул. Степана Разина, д.67, д.69_ протяж.38 п.м.</t>
  </si>
  <si>
    <t xml:space="preserve">43383_   </t>
  </si>
  <si>
    <t>248002, Калужская обл, Калуга г, Степана Разина ул, дом № 89</t>
  </si>
  <si>
    <t>43382_Водопроводная сеть г.Калуга, ул. Степана Разина, д.89_ протяж.13 п.м.</t>
  </si>
  <si>
    <t xml:space="preserve">43382_   </t>
  </si>
  <si>
    <t>248025, Калужская обл, Калуга г, В.Никитиной ул, дом № 25</t>
  </si>
  <si>
    <t>43381_Водопроводная сеть г.Калуга,  ул. В.Никитиной, д.25_ протяж.8 п.м.</t>
  </si>
  <si>
    <t xml:space="preserve">43381_   </t>
  </si>
  <si>
    <t>248025, Калужская обл, Калуга г,ул. Зерновая, ул. Тарутинская д.2а</t>
  </si>
  <si>
    <t>43380_Водопроводная сеть г.Калуга,  ул. Зерновая, ул. Тарутинская, д.2а_ протяж.81 п.м.</t>
  </si>
  <si>
    <t xml:space="preserve">43380_   </t>
  </si>
  <si>
    <t>248009, Калужская обл, Калуга г, Платова ул, дом № 18д.20</t>
  </si>
  <si>
    <t>43379_Водопроводная сеть г.Калуга, ул. Платова, д.18, д.20_ протяж.13 п.м.</t>
  </si>
  <si>
    <t xml:space="preserve">43379_   </t>
  </si>
  <si>
    <t>248023, Калужская обл, Калуга г, Максима Горького ул, дом № 110/47</t>
  </si>
  <si>
    <t>43378_Водопроводная сеть г.Калуга, ул.Максима Горького, д.110/47_ протяж.19 п.м.</t>
  </si>
  <si>
    <t xml:space="preserve">43378_   </t>
  </si>
  <si>
    <t>248025, Калужская обл, Калуга г, Малинники пер, дом № 14</t>
  </si>
  <si>
    <t>43377_Водопроводная сеть г.Калуга, пер.Малинники, д.14_ протяж.7 п.м.</t>
  </si>
  <si>
    <t xml:space="preserve">43377_   </t>
  </si>
  <si>
    <t>248025, Калужская обл, Калуга г, Малинники ул, дом № 59д.61д.63</t>
  </si>
  <si>
    <t>43376_Водопроводная сеть г.Калуга,  ул.Малинники, д.59, д.61, д.63_ протяж.158 п.м.</t>
  </si>
  <si>
    <t xml:space="preserve">43376_   </t>
  </si>
  <si>
    <t>248000, Калужская обл, Калуга г, Тульская ул, дом № 13Б</t>
  </si>
  <si>
    <t>43375_Водопроводная сеть г.Калуга, ул.Тульская, д.13Б_ протяж.250 п.м.</t>
  </si>
  <si>
    <t xml:space="preserve">43375_   </t>
  </si>
  <si>
    <t>Водопроводная сеть г.Калуга,   б-р.Байконур, д.1</t>
  </si>
  <si>
    <t>43374_Водопроводная сеть г.Калуга, б-р Байконур, д.1_ протяж.14 п.м.</t>
  </si>
  <si>
    <t xml:space="preserve">43374_   </t>
  </si>
  <si>
    <t>Водопроводная сеть г.Калуга,   ул.Степана Разина, д.77, д.73</t>
  </si>
  <si>
    <t>43373_Водопроводная сеть г.Калуга,   ул.Степана Разина, д.77, д.73_ протяж.102 п.м.</t>
  </si>
  <si>
    <t xml:space="preserve">43373_   </t>
  </si>
  <si>
    <t>43298_Водопроводная сеть г.Калуга,  ул.Максима Горького, д.9_ протяж.45 п.м.</t>
  </si>
  <si>
    <t xml:space="preserve">43298_   </t>
  </si>
  <si>
    <t>43297_Водопроводная сеть г.Калуга, ул.Кирова, д.4_ протяж.223 п.м.</t>
  </si>
  <si>
    <t xml:space="preserve">43297_   </t>
  </si>
  <si>
    <t>559-п от 15.04.20119</t>
  </si>
  <si>
    <t>43296_Водопроводная сеть г.Калуга, пер. Малинники, д.12_ протяж.37 п.м.</t>
  </si>
  <si>
    <t xml:space="preserve">43296_   </t>
  </si>
  <si>
    <t>557-п от 15.04.2019</t>
  </si>
  <si>
    <t>43295_Водопроводная сеть г.Калуга,  ул.Хрустальная, д.7,9_ протяж.73 п.м.</t>
  </si>
  <si>
    <t xml:space="preserve">43295_   </t>
  </si>
  <si>
    <t>43294_Водопроводная сеть г.Калуга, ул.Врубовая д.33/26_ протяж.4 п.м.</t>
  </si>
  <si>
    <t xml:space="preserve">43294_   </t>
  </si>
  <si>
    <t>43293_Водопроводная сеть г.Калуга, ул.Маяковского, д.14_ протяж.8 п.м.</t>
  </si>
  <si>
    <t xml:space="preserve">43293_   </t>
  </si>
  <si>
    <t>43292_Водопроводная сеть г.Калуга, ул.Моторная, д.4_ протяж.12 п.м.</t>
  </si>
  <si>
    <t xml:space="preserve">43292_   </t>
  </si>
  <si>
    <t>43291_Водопроводная сеть г.Калуга, ул.В.Никитиной, д.24,26 ул.Радищева, д.15_ протяж.124 п</t>
  </si>
  <si>
    <t xml:space="preserve">43291_   </t>
  </si>
  <si>
    <t>43290_Водопроводная сеть г.Калуга, ул.Кирова, д.25е_ протяж.12 п.м.</t>
  </si>
  <si>
    <t xml:space="preserve">43290_   </t>
  </si>
  <si>
    <t>43250_Водопроводная сеть г.Калуга,  ул.Постовалова, д.25_ протяж. 15 п.м.</t>
  </si>
  <si>
    <t xml:space="preserve">43250_   </t>
  </si>
  <si>
    <t>43249_Водопроводная сеть г.Калуга,   пер.Малинники, д.10_ протяж. 26 п.м.</t>
  </si>
  <si>
    <t xml:space="preserve">43249_   </t>
  </si>
  <si>
    <t>43248_Водопроводная сеть г.Калуга,  ул.В.Никитиной, д.23_ протяж. 89 п.м.</t>
  </si>
  <si>
    <t xml:space="preserve">43248_   </t>
  </si>
  <si>
    <t>43247_Водопроводная сеть г.Калуга,  ул.Карачевская, д.12_ протяж. 89 п.м.</t>
  </si>
  <si>
    <t xml:space="preserve">43247_   </t>
  </si>
  <si>
    <t>43246_Водопроводная сеть г.Калуга,  б-р Байконур, д.3_ протяж. 9 п.м.</t>
  </si>
  <si>
    <t xml:space="preserve">43246_   </t>
  </si>
  <si>
    <t>43207_Водопроводная сеть г.Калуга,  тер. Психбольницы, д.25_ протяж.79 п.м.</t>
  </si>
  <si>
    <t xml:space="preserve">43207_   </t>
  </si>
  <si>
    <t>43206_Водопроводная сеть г.Калуга,  ул.Маршала Жукова, д.23_ протяж.9 п.м.</t>
  </si>
  <si>
    <t xml:space="preserve">43206_   </t>
  </si>
  <si>
    <t>43205_Водопроводная сеть г.Калуга, ул.Баррикад, д.129_ протяж.16 п.м.</t>
  </si>
  <si>
    <t xml:space="preserve">43205_   </t>
  </si>
  <si>
    <t>43204_Водопроводная сеть г.Калуга,  ул.Театральная, д.10_ протяж.9 п.м.</t>
  </si>
  <si>
    <t xml:space="preserve">43204_   </t>
  </si>
  <si>
    <t>43203_Водопроводная сеть г.Калуга,ул.Гагарина, д.13А_ протяж. 18 п.м.</t>
  </si>
  <si>
    <t xml:space="preserve">43203_   </t>
  </si>
  <si>
    <t>43202_Водопроводная сеть г.Калуга, ул.Рылеева, д.44_ протяж. 11 п.м.</t>
  </si>
  <si>
    <t xml:space="preserve">43202_   </t>
  </si>
  <si>
    <t>43201_Водопроводная сеть г.Калуга,  ул.Театральная, д.39/9_ протяж. 9 п.м.</t>
  </si>
  <si>
    <t xml:space="preserve">43201_   </t>
  </si>
  <si>
    <t>43200_Водопроводная сеть г.Калуга,  ул.Маршала Жукова, д.8_ протяж. 121 п.м.</t>
  </si>
  <si>
    <t xml:space="preserve">43200_   </t>
  </si>
  <si>
    <t>43199_Водопроводная сеть г.Калуга,  ул.Чичерина, д.29_ протяж. 29 п.м.</t>
  </si>
  <si>
    <t xml:space="preserve">43199_   </t>
  </si>
  <si>
    <t>43198_Водопроводная сеть г.Калуга,  ул.Болдина, д.11_ протяж. 8 п.м.</t>
  </si>
  <si>
    <t xml:space="preserve">43198_   </t>
  </si>
  <si>
    <t>43197_Водопроводная сеть г.Калуга,  ул.Пухова, д.40_ протяж. 5 п.м.</t>
  </si>
  <si>
    <t xml:space="preserve">43197_   </t>
  </si>
  <si>
    <t>105-п от 31.03.2019</t>
  </si>
  <si>
    <t>43196_Водопроводная сеть г.Калуга, ул.Стеклянников Сад д.3, ул.М.Жукова д.28,30_ 97п.м</t>
  </si>
  <si>
    <t xml:space="preserve">43196_   </t>
  </si>
  <si>
    <t>43195_Водопроводная сеть г.Калуга,  ул.Карпова, д.20_ протяж. 8 п.м.</t>
  </si>
  <si>
    <t xml:space="preserve">43195_   </t>
  </si>
  <si>
    <t>43194_Водопроводная сеть г.Калуга,  ул.Луначарского д.33_ протяж. 11 п.м.</t>
  </si>
  <si>
    <t xml:space="preserve">43194_   </t>
  </si>
  <si>
    <t>43193_Водопроводная сеть г.Калуга,   ул.Глаголева, д.15_ протяж. 23 п.м.</t>
  </si>
  <si>
    <t xml:space="preserve">43193_   </t>
  </si>
  <si>
    <t>43192_Водопроводная сеть г.Калуга,  ул.Стекольная, д.26_ протяж. 6 п.м.</t>
  </si>
  <si>
    <t xml:space="preserve">43192_   </t>
  </si>
  <si>
    <t>43191_Водопроводная сеть г.Калуга,  ул.Болотникова, д.8_ протяж. 30 п.м.</t>
  </si>
  <si>
    <t xml:space="preserve">43191_   </t>
  </si>
  <si>
    <t>43187_Водопроводная сеть г.Калуга, ул.Чичерина, д.28_ протяж. 19 п.м.</t>
  </si>
  <si>
    <t xml:space="preserve">43187_   </t>
  </si>
  <si>
    <t>43185_Водопроводная сеть г.Калуга, ул.Ленина, д.52, 54_ протяж. 121 п.м.</t>
  </si>
  <si>
    <t xml:space="preserve">43185_   </t>
  </si>
  <si>
    <t>43184_Водопроводная сеть г.Калуга,  ул.Белинского, д.2_ протяж. 18 п.м.</t>
  </si>
  <si>
    <t xml:space="preserve">43184_   </t>
  </si>
  <si>
    <t>43183_Водопроводная сеть г.Калуга, ул.Достоевского, д.43, д.45_ протяж. 38 п.м.</t>
  </si>
  <si>
    <t xml:space="preserve">43183_   </t>
  </si>
  <si>
    <t>42853_Водопроводная сеть г.Калуга, ул.Карпова, д.1_L=14 п.м</t>
  </si>
  <si>
    <t xml:space="preserve">42853_   </t>
  </si>
  <si>
    <t>42852_Водопроводная сеть г.Калуга, ул.Болдина, д.24, д.24 корп.1_L=166 п.м</t>
  </si>
  <si>
    <t xml:space="preserve">42852_   </t>
  </si>
  <si>
    <t>42851_Водопроводная сеть г.Калуга, ул.Пестеля, д.8_L=43 п.м</t>
  </si>
  <si>
    <t xml:space="preserve">42851_   </t>
  </si>
  <si>
    <t>42850_Водопроводная сеть г.Калуга, ул.Пухова, д.46_L=19 п.м</t>
  </si>
  <si>
    <t xml:space="preserve">42850_   </t>
  </si>
  <si>
    <t>42849_Водопроводная сеть г.Калуга, ул.Красная Гора, д.29А_L=6 п.м</t>
  </si>
  <si>
    <t xml:space="preserve">42849_   </t>
  </si>
  <si>
    <t>42848_Водопроводная сеть г.Калуга, ул.Белинского, д.5,д.7_L=49 п.м</t>
  </si>
  <si>
    <t xml:space="preserve">42848_   </t>
  </si>
  <si>
    <t>42847_Водопроводная сеть г.Калуга, ул.Космонавта Пацаева, д.3_L=45 п.м</t>
  </si>
  <si>
    <t xml:space="preserve">42847_   </t>
  </si>
  <si>
    <t>42846_Водопроводная сеть г.Калуга, ул.Болотникова, д.10А_L=22 п.м</t>
  </si>
  <si>
    <t xml:space="preserve">42846_   </t>
  </si>
  <si>
    <t>42845_Водопроводная сеть г.Калуга, ул..Маршала Жукова, д.52_L=113 п.м</t>
  </si>
  <si>
    <t xml:space="preserve">42845_   </t>
  </si>
  <si>
    <t>42844_Водопроводная сеть г.Калуга, ул.Чапаева, д.35/21_L=25 п.м</t>
  </si>
  <si>
    <t xml:space="preserve">42844_   </t>
  </si>
  <si>
    <t>42751_Водопроводная сеть г.Калуга, ул.Чичерина, д.31_ L=29 п.м.</t>
  </si>
  <si>
    <t xml:space="preserve">42751_   </t>
  </si>
  <si>
    <t>1172-п от 25.09.208</t>
  </si>
  <si>
    <t>42750_Водопроводная сеть г.Калуга, ул.Никитина, д.104_ L=15 п.м.</t>
  </si>
  <si>
    <t xml:space="preserve">42750_   </t>
  </si>
  <si>
    <t>42749_Водопроводная сеть г.Калуга, ул.Марата, д.5_ L=3 п.м.</t>
  </si>
  <si>
    <t xml:space="preserve">42749_   </t>
  </si>
  <si>
    <t>42748_Водопроводная сеть г.Калуга, ул.Пухова, д.21_ L=22 п.м.</t>
  </si>
  <si>
    <t xml:space="preserve">42748_   </t>
  </si>
  <si>
    <t>42747_Водопроводная сеть г.Калуга, ул.Пестеля, д.32а_ L=14 п.м.</t>
  </si>
  <si>
    <t xml:space="preserve">42747_   </t>
  </si>
  <si>
    <t>42746_Водопроводная сеть г.Калуга, ул.Постовалова, д.23_ L=10 п.м.</t>
  </si>
  <si>
    <t xml:space="preserve">42746_   </t>
  </si>
  <si>
    <t>42745_Водопроводная сеть г.Калуга, ул.Глаголева, д.22_ L=27 п.м.</t>
  </si>
  <si>
    <t xml:space="preserve">42745_   </t>
  </si>
  <si>
    <t>42744_Водопроводная сеть г.Калуга, ул.Болдина, д.9 корп.1_ L=33 п.м.</t>
  </si>
  <si>
    <t xml:space="preserve">42744_   </t>
  </si>
  <si>
    <t>42743_Водопроводная сеть г.Калуга, ул.Карпова, д.23_ L=10 п.м.</t>
  </si>
  <si>
    <t xml:space="preserve">42743_   </t>
  </si>
  <si>
    <t>42741_Водопроводная сеть г.Калуга, ул.Карпова, д.25, д.25а_ L=37 п.м.</t>
  </si>
  <si>
    <t xml:space="preserve">42741_   </t>
  </si>
  <si>
    <t>42740_Водопроводная сеть г.Калуга, ул.Чичерина, д.26_ L=21 п.м.</t>
  </si>
  <si>
    <t xml:space="preserve">42740_   </t>
  </si>
  <si>
    <t>1172-п от 25.09.2018г.</t>
  </si>
  <si>
    <t>42739_Водопроводная сеть г.Калуга, ул.Калужская, д.48_ L=54 п.м.</t>
  </si>
  <si>
    <t xml:space="preserve">42739_   </t>
  </si>
  <si>
    <t>42738_Водопроводная сеть г.Калуга,  ул.Луговая, д.41_ L=84 п.м.</t>
  </si>
  <si>
    <t xml:space="preserve">42738_   </t>
  </si>
  <si>
    <t>42737_Водопроводная сеть г.Калуга, ул.Белинского, д.6_ L=15 п.м.</t>
  </si>
  <si>
    <t xml:space="preserve">42737_   </t>
  </si>
  <si>
    <t>42698_Водопроводная сеть г.Калуга, ул.Воскресенская, д.3_ L=9 п.м.</t>
  </si>
  <si>
    <t xml:space="preserve">42698_   </t>
  </si>
  <si>
    <t>42696_Водопроводная сеть г.Калуга, ул.Знаменская, д.46а_ L=35 п.м.</t>
  </si>
  <si>
    <t xml:space="preserve">42696_   </t>
  </si>
  <si>
    <t>42694_Водопроводная сеть г.Калуга, ул.Пролетарская, д.125_ L=17,2 п.м.</t>
  </si>
  <si>
    <t xml:space="preserve">42694_   </t>
  </si>
  <si>
    <t>42693_Водопроводная сеть  г.Калуга, ул.Первомайская, д.47_ L=24,0 п.м.</t>
  </si>
  <si>
    <t xml:space="preserve">42693_   </t>
  </si>
  <si>
    <t>42659_Водопроводная сеть г.Калуга, ул. Достоевского, 32_ протяж. 8 п.м.</t>
  </si>
  <si>
    <t xml:space="preserve">42659_   </t>
  </si>
  <si>
    <t>248000, Калужская обл, Калуга г, Воскресенская ул, дом № 14.16</t>
  </si>
  <si>
    <t>606-п от 23.05.2018</t>
  </si>
  <si>
    <t>42584_Водопроводная сеть г.Калуга, ул. Воскресенская, 14,16_ протяж. 68 п.м.</t>
  </si>
  <si>
    <t xml:space="preserve">42584_   </t>
  </si>
  <si>
    <t>248002, Калужская обл, Калуга г, Пучково д, Центральная ул</t>
  </si>
  <si>
    <t>42582_Водопроводная сеть г.Калуга, д.Пучково,ул. Центральная_ протяж. 2056 п.м.</t>
  </si>
  <si>
    <t xml:space="preserve">42582_   </t>
  </si>
  <si>
    <t>248000, Калужская обл, Калуга г, Достоевского ул, дом № 30</t>
  </si>
  <si>
    <t>42373_Водопроводная сеть г.Калуга, ул.Достоевского, д.30, протяж.7  п.м</t>
  </si>
  <si>
    <t xml:space="preserve">42373_   </t>
  </si>
  <si>
    <t>248017, Калужская обл, Калуга г, ул.Дзержинского, д.15</t>
  </si>
  <si>
    <t>42372_Водопроводная сеть г.Калуга, ул. Дзержинского, д.15  протяж.71 м</t>
  </si>
  <si>
    <t xml:space="preserve">42372_   </t>
  </si>
  <si>
    <t>248918, Калужская обл, Калуга г, Новый п</t>
  </si>
  <si>
    <t>42371_Водопроводная сеть г.Калуга, п. Новый,  протяж.66 м</t>
  </si>
  <si>
    <t xml:space="preserve">42371_   </t>
  </si>
  <si>
    <t>42370_Водонапорная башня г.Калуга, п.Новый, д.б/н</t>
  </si>
  <si>
    <t xml:space="preserve">42370_   </t>
  </si>
  <si>
    <t>248033, Калужская обл, Калуга г, Ромодановские Дворики ул, дом № 39</t>
  </si>
  <si>
    <t>42367_Водопроводная сеть г.Калуга, Ромодановские Дворики, д.39,  протяж.17 м</t>
  </si>
  <si>
    <t xml:space="preserve">42367_   </t>
  </si>
  <si>
    <t>248000, Калужская обл, Калуга г, Старообрядческий пер, дом № 6</t>
  </si>
  <si>
    <t>42366_Водопроводная сеть г.Калуга, пер. Старообрядческий, д.6 протяж.7 м</t>
  </si>
  <si>
    <t xml:space="preserve">42366_   </t>
  </si>
  <si>
    <t>248002, Калужская обл, Калуга г, Салтыкова-Щедрина ул, дом № 13</t>
  </si>
  <si>
    <t>42365_Водопроводная сеть г.Калуга, ул. Салтыкова-Щедрина, д.13 протяж.3 м</t>
  </si>
  <si>
    <t xml:space="preserve">42365_   </t>
  </si>
  <si>
    <t>248000, Калужская обл, Калуга г, Старообрядческий пер, дом № 10</t>
  </si>
  <si>
    <t>42364_Водопроводная сеть г.Калуга, пер. Старообрядческий, д.10 протяж. 18 м</t>
  </si>
  <si>
    <t xml:space="preserve">42364_   </t>
  </si>
  <si>
    <t>248003, Калужская обл, Калуга г, Никитина ул, дом № 133, корпус 2</t>
  </si>
  <si>
    <t>42359_Водопроводная сеть_ул.Никитина, д.133,корп.2, протяж.25  п.м</t>
  </si>
  <si>
    <t xml:space="preserve">42359_   </t>
  </si>
  <si>
    <t>248002, Калужская обл, Калуга г, Никитина ул, дом № 127</t>
  </si>
  <si>
    <t>42358_Водопроводная сеть г.Калуга, ул. Никитина, д.127 протяж. 14 м</t>
  </si>
  <si>
    <t xml:space="preserve">42358_   </t>
  </si>
  <si>
    <t>248002, Калужская обл, Калуга г, Никитина ул, дом № 125Б</t>
  </si>
  <si>
    <t>42357_Водопроводная сеть г.Калуга, ул. Никитина, д.125Б протяж. 14 м</t>
  </si>
  <si>
    <t xml:space="preserve">42357_   </t>
  </si>
  <si>
    <t>248002, Калужская обл, Калуга г, Никитина ул, дом № 125А</t>
  </si>
  <si>
    <t>42356_Водопроводная сеть г.Калуга, ул. Никитина, д.125А протяж. 14 м</t>
  </si>
  <si>
    <t xml:space="preserve">42356_   </t>
  </si>
  <si>
    <t>248002, Калужская обл, Калуга г, Никитина ул, дом № 125</t>
  </si>
  <si>
    <t>42355_Водопроводная сеть г.Калуга, ул. Никитина, д.125 протяж. 11 м</t>
  </si>
  <si>
    <t xml:space="preserve">42355_   </t>
  </si>
  <si>
    <t>248002, Калужская обл, Калуга г, Никитина ул, дом № 123</t>
  </si>
  <si>
    <t>42354_Водопроводная сеть г.Калуга, ул. Никитина, д.123 протяж. 84 м</t>
  </si>
  <si>
    <t xml:space="preserve">42354_   </t>
  </si>
  <si>
    <t>248002, Калужская обл, Калуга г, Никитина ул, дом № 108</t>
  </si>
  <si>
    <t>42353_Водопроводная сеть г.Калуга, ул. Никитина, д.108 протяж. 33 м</t>
  </si>
  <si>
    <t xml:space="preserve">42353_   </t>
  </si>
  <si>
    <t>248002, Калужская обл, Калуга г, Никитина ул, дом № 93А</t>
  </si>
  <si>
    <t>42352_Водопроводная сеть г.Калуга, ул. Никитина, д.93А протяж. 51 м</t>
  </si>
  <si>
    <t xml:space="preserve">42352_   </t>
  </si>
  <si>
    <t>248002, Калужская обл, Калуга г, Никитина ул, дом № 89А</t>
  </si>
  <si>
    <t>42351_Водопроводная сеть г.Калуга, ул. Никитина, д.89А протяж. 4 м</t>
  </si>
  <si>
    <t xml:space="preserve">42351_   </t>
  </si>
  <si>
    <t>248002, Калужская обл, Калуга г, Никитина ул, дом № 89</t>
  </si>
  <si>
    <t>42350_Водопроводная сеть г.Калуга, ул. Никитина, д.89 протяж. 36  м</t>
  </si>
  <si>
    <t xml:space="preserve">42350_   </t>
  </si>
  <si>
    <t>248002, Калужская обл, Калуга г, Никитина ул, дом № 47</t>
  </si>
  <si>
    <t>42348_Водопроводная сеть г.Калуга, ул. Никитина, д.47 протяж. 6 м</t>
  </si>
  <si>
    <t xml:space="preserve">42348_   </t>
  </si>
  <si>
    <t>248002, Калужская обл, Калуга г, Никитина ул, дом № 26</t>
  </si>
  <si>
    <t>42346_Водопроводная сеть г.Калуга, ул. Никитина, д.26 протяж.22 м</t>
  </si>
  <si>
    <t xml:space="preserve">42346_   </t>
  </si>
  <si>
    <t>248000, Калужская обл, Калуга г, Григоров пер, дом № 12</t>
  </si>
  <si>
    <t>42345_Водопроводная сеть г.Калуга, пер. Григоров, д.12 протяж.6 м</t>
  </si>
  <si>
    <t xml:space="preserve">42345_   </t>
  </si>
  <si>
    <t>248000, Калужская обл, Калуга г, ул, Дружбы,  дом № 18</t>
  </si>
  <si>
    <t>1114-п от 25.09.2017г</t>
  </si>
  <si>
    <t>42344_Водопроводная сеть г.Калуга, ул.Дружбы, д.18 протяж.23 м</t>
  </si>
  <si>
    <t xml:space="preserve">42344_   </t>
  </si>
  <si>
    <t>248000, Калужская обл, Калуга г, Воскресенская ул, дом № 20/27</t>
  </si>
  <si>
    <t>42342_Водопроводная сеть г.Калуга, ул.Воскресенская, д.20/27 протяж.26 м</t>
  </si>
  <si>
    <t xml:space="preserve">42342_   </t>
  </si>
  <si>
    <t>248000, Калужская обл, Калуга г, Воскресенская ул, дом № 19</t>
  </si>
  <si>
    <t>42341_Водопроводная сеть г.Калуга, ул.Воскресенская, д.19 протяж.7 м</t>
  </si>
  <si>
    <t xml:space="preserve">42341_   </t>
  </si>
  <si>
    <t>248000, Калужская обл, Калуга г, Воскресенская ул, дом № 18</t>
  </si>
  <si>
    <t>42340_Водопроводная сеть г.Калуга, ул.Воскресенская, д.18 протяж.10м</t>
  </si>
  <si>
    <t xml:space="preserve">42340_   </t>
  </si>
  <si>
    <t>248000, Калужская обл, Калуга г, Воскресенская ул, дом № 13</t>
  </si>
  <si>
    <t>42339_Водопроводная сеть г.Калуга, ул.Воскресенская, д.13 протяж.19м</t>
  </si>
  <si>
    <t xml:space="preserve">42339_   </t>
  </si>
  <si>
    <t>248000, Калужская обл, Калуга г, Воскресенская ул, дом № 12</t>
  </si>
  <si>
    <t>42338_Водопроводная сеть г.Калуга, ул.Воскресенская, д.12 протяж.17м</t>
  </si>
  <si>
    <t xml:space="preserve">42338_   </t>
  </si>
  <si>
    <t>248000, Калужская обл, Калуга г, Воскресенская ул, дом № 11</t>
  </si>
  <si>
    <t>42337_Водопроводная сеть г.Калуга, ул.Воскресенская, д.11 протяж.9м</t>
  </si>
  <si>
    <t xml:space="preserve">42337_   </t>
  </si>
  <si>
    <t>248000, Калужская обл, Калуга г, Воскресенская ул, дом № 8</t>
  </si>
  <si>
    <t>42336_Водопроводная сеть г.Калуга, ул.Воскресенская, д.8 протяж.26м</t>
  </si>
  <si>
    <t xml:space="preserve">42336_   </t>
  </si>
  <si>
    <t>248000, Калужская обл, Калуга г, Воскресенская ул, дом № 5</t>
  </si>
  <si>
    <t>42335_Водопроводная сеть г.Калуга, ул.Воскресенская, д.5 протяж.17м</t>
  </si>
  <si>
    <t xml:space="preserve">42335_   </t>
  </si>
  <si>
    <t>42332_Хозяйственно-противопожарный водопровод_ул.Фомушина д.26, здание ЦТП_протяж.326 м</t>
  </si>
  <si>
    <t xml:space="preserve">42332_   </t>
  </si>
  <si>
    <t>42329_Хозпротивопожарный водопровод_ул.Фомушина д.31, ул.Хорошая д.4,6 + 2 строящ.дома_про</t>
  </si>
  <si>
    <t xml:space="preserve">42329_   </t>
  </si>
  <si>
    <t>приказ МЭР-810-п от 17.07.2017</t>
  </si>
  <si>
    <t>42243_Водопроводная сеть_ул.Рылеева  д.64 , протяж. 35 п.м</t>
  </si>
  <si>
    <t xml:space="preserve">42243_   </t>
  </si>
  <si>
    <t>42242_Водопроводная сеть_ул.Промышленная  д.36, протяж. 35 п.м</t>
  </si>
  <si>
    <t xml:space="preserve">42242_   </t>
  </si>
  <si>
    <t>42241_Водопроводная сеть_ул.Болдина  д.7а , протяж. 30 п.м</t>
  </si>
  <si>
    <t xml:space="preserve">42241_   </t>
  </si>
  <si>
    <t>42240_Водопроводная сеть_ул.Болдина  д.3, протяж.159 п.м</t>
  </si>
  <si>
    <t xml:space="preserve">42240_   </t>
  </si>
  <si>
    <t>42239_Водопроводная сеть_ул.Болдина д.6а, протяж. 31 п.м</t>
  </si>
  <si>
    <t xml:space="preserve">42239_   </t>
  </si>
  <si>
    <t>42238_Водопроводная сеть_ул. Воскресенская д.9,9а,9б , протяж. 99 п.м</t>
  </si>
  <si>
    <t xml:space="preserve">42238_   </t>
  </si>
  <si>
    <t>42237_Водопроводная сеть_ул.Воскресенская д.27, протяж.16  п.м</t>
  </si>
  <si>
    <t xml:space="preserve">42237_   </t>
  </si>
  <si>
    <t>42236_Водопроводная сеть_ул.Воскресенская д.25, протяж.4  п.м</t>
  </si>
  <si>
    <t xml:space="preserve">42236_   </t>
  </si>
  <si>
    <t>42235_Водопроводная сеть_ул.Воскресенская д.24, д.26, протяж.9  п.м</t>
  </si>
  <si>
    <t xml:space="preserve">42235_   </t>
  </si>
  <si>
    <t>42234_Водопроводная сеть_ул.Воскресенская д.6, протяж.12 п.м</t>
  </si>
  <si>
    <t xml:space="preserve">42234_   </t>
  </si>
  <si>
    <t>42233_Водопроводная сеть_ул.Воскресенская д.15, д.17, протяж.23 п.м</t>
  </si>
  <si>
    <t xml:space="preserve">42233_   </t>
  </si>
  <si>
    <t>42232_Водопроводная сеть_ул.Воскресенская д.23, д.23а, протяж.30  п.м</t>
  </si>
  <si>
    <t xml:space="preserve">42232_   </t>
  </si>
  <si>
    <t>42230_Водопроводная сеть_ул.Воскресенская д.7, д.7а, протяж.41  п.м</t>
  </si>
  <si>
    <t xml:space="preserve">42230_   </t>
  </si>
  <si>
    <t>42229_Водопроводная сеть_ул.Воскресенская д.21, пер.Григоров д.6, протяж.45  п.м</t>
  </si>
  <si>
    <t xml:space="preserve">42229_   </t>
  </si>
  <si>
    <t>приказ МЭР № 833-п от 23.08.2010</t>
  </si>
  <si>
    <t>42178_Водопроводная сеть _ д.Крутицы, г.Калуга</t>
  </si>
  <si>
    <t xml:space="preserve">42178_   </t>
  </si>
  <si>
    <t>№181-п от 14.02.2017г</t>
  </si>
  <si>
    <t>42046_Водопроводные сети _г.Калуга, ул.Дальняя, д.1, протяж.310п.м.</t>
  </si>
  <si>
    <t xml:space="preserve">42046_   </t>
  </si>
  <si>
    <t>40-40/001-40/001/098/2015-324/2</t>
  </si>
  <si>
    <t>248012, Калужская обл, Калуга г, Владимирская ул</t>
  </si>
  <si>
    <t>приказ МЭР №1181-п от 20.11.2015</t>
  </si>
  <si>
    <t>41966_Водопроводные сети_г.Калуга, ул.Владимирская</t>
  </si>
  <si>
    <t xml:space="preserve">41966_   </t>
  </si>
  <si>
    <t>г.Калуга, к дому №50/1, ул.Вагонная</t>
  </si>
  <si>
    <t>41064_Наружные сети водопровода г.Калуга, к дому №50/1, ул.Вагонная</t>
  </si>
  <si>
    <t xml:space="preserve">41064_   </t>
  </si>
  <si>
    <t>г.Калуга,к дому № 4, ул. Тракторная</t>
  </si>
  <si>
    <t>41060_Наружные сети водопровода   г.Калуга,к дому № 4, ул. Тракторная</t>
  </si>
  <si>
    <t xml:space="preserve">41060_   </t>
  </si>
  <si>
    <t>г.Калуга, к дому № 3, ул. Тракторная</t>
  </si>
  <si>
    <t>41055_Наружные сети водопровода   г.Калуга, к дому № 3, ул. Тракторная</t>
  </si>
  <si>
    <t xml:space="preserve">41055_   </t>
  </si>
  <si>
    <t>г.Калуга, к дому № 2/48, ул. Тракторная</t>
  </si>
  <si>
    <t>41049_Наружные сети водопровода   г.Калуга, к дому № 2/48, ул. Тракторная</t>
  </si>
  <si>
    <t xml:space="preserve">41049_   </t>
  </si>
  <si>
    <t>г.Калуга, к дому № 7/43, ул. Тракторная</t>
  </si>
  <si>
    <t>41048_Наружные сети водопровода   г.Калуга, к дому № 7/43, ул. Тракторная</t>
  </si>
  <si>
    <t xml:space="preserve">41048_   </t>
  </si>
  <si>
    <t>г.Калуга, к дому № 6 ул. Тракторная</t>
  </si>
  <si>
    <t>41047_Наружные сети водопровода   г.Калуга, к дому № 6 ул. Тракторная</t>
  </si>
  <si>
    <t xml:space="preserve">41047_   </t>
  </si>
  <si>
    <t>г.Калуга, к дому № 5 ул. Тракторная</t>
  </si>
  <si>
    <t>41046_Наружные сети водопровода   г.Калуга, к дому № 5 ул. Тракторная</t>
  </si>
  <si>
    <t xml:space="preserve">41046_   </t>
  </si>
  <si>
    <t>г. Калуга д. Колюпаново</t>
  </si>
  <si>
    <t>39402_Наружные сети водопровода</t>
  </si>
  <si>
    <t xml:space="preserve">39402_   </t>
  </si>
  <si>
    <t>39401_Наружные сети водопровода</t>
  </si>
  <si>
    <t xml:space="preserve">39401_   </t>
  </si>
  <si>
    <t>40-40-01/068/2009-668</t>
  </si>
  <si>
    <t>39400_Артезианская скважина № 1536 Колюпановского водозабора (разведочно-эксплуатационного</t>
  </si>
  <si>
    <t xml:space="preserve">39400_   </t>
  </si>
  <si>
    <t>Калуга,д.  Колюпаново</t>
  </si>
  <si>
    <t>39399_Башня  Рожновского</t>
  </si>
  <si>
    <t xml:space="preserve">39399_   </t>
  </si>
  <si>
    <t>г. Калуга улКарла Либкнехта, д. 11 корп.1</t>
  </si>
  <si>
    <t>39332_Водопроводныя сеть</t>
  </si>
  <si>
    <t xml:space="preserve">39332_   </t>
  </si>
  <si>
    <t>г. Калуга ул.Циолковского, д. 34</t>
  </si>
  <si>
    <t>39326_Водопроводныя сеть</t>
  </si>
  <si>
    <t xml:space="preserve">39326_   </t>
  </si>
  <si>
    <t>г. Калуга ул.Салтыкова -Щедрина, д. 25 А</t>
  </si>
  <si>
    <t>39325_Водопроводныя сеть</t>
  </si>
  <si>
    <t xml:space="preserve">39325_   </t>
  </si>
  <si>
    <t>г. Калуга ул.Тульская, д. 4</t>
  </si>
  <si>
    <t>39324_Водопроводныя сеть</t>
  </si>
  <si>
    <t xml:space="preserve">39324_   </t>
  </si>
  <si>
    <t>г. Калуга ул.Космонавта Комарова, д. 53</t>
  </si>
  <si>
    <t>39322_Водопроводныя сеть</t>
  </si>
  <si>
    <t xml:space="preserve">39322_   </t>
  </si>
  <si>
    <t>г. Калуга ул.Карла Либкнехта, д. 13</t>
  </si>
  <si>
    <t>39321_Водопроводныя сеть</t>
  </si>
  <si>
    <t xml:space="preserve">39321_   </t>
  </si>
  <si>
    <t>г. Калуга ул.Космонавта Комарова, д. 43</t>
  </si>
  <si>
    <t>39320_Водопроводныя сеть</t>
  </si>
  <si>
    <t xml:space="preserve">39320_   </t>
  </si>
  <si>
    <t>г. Калуга ул.Болотникова, д.3</t>
  </si>
  <si>
    <t>39319_Водопроводныя сеть</t>
  </si>
  <si>
    <t xml:space="preserve">39319_   </t>
  </si>
  <si>
    <t>г. Калуга ул.Баумана, д. 15, д. 15 Б</t>
  </si>
  <si>
    <t>39316_Водопроводныя сеть</t>
  </si>
  <si>
    <t xml:space="preserve">39316_   </t>
  </si>
  <si>
    <t>г. Калуга ул.Кирова, д. 56</t>
  </si>
  <si>
    <t>39315_Водопроводныя сеть</t>
  </si>
  <si>
    <t xml:space="preserve">39315_   </t>
  </si>
  <si>
    <t>г. Калуга ул.Луначарского, д. 53</t>
  </si>
  <si>
    <t>39314_Водопроводныя сеть</t>
  </si>
  <si>
    <t xml:space="preserve">39314_   </t>
  </si>
  <si>
    <t>г. Калуга ул.Кубяка, д. 17</t>
  </si>
  <si>
    <t>39313_Водопроводныя сеть</t>
  </si>
  <si>
    <t xml:space="preserve">39313_   </t>
  </si>
  <si>
    <t>г. Калуга ул.Космонавта Комарова, д. 61</t>
  </si>
  <si>
    <t>39312_Водопроводныя сеть</t>
  </si>
  <si>
    <t xml:space="preserve">39312_   </t>
  </si>
  <si>
    <t>г. Калуга ул.Болотникова, д. 1</t>
  </si>
  <si>
    <t>39303_Водопроводныя сеть</t>
  </si>
  <si>
    <t xml:space="preserve">39303_   </t>
  </si>
  <si>
    <t>г. Калуга ул.Болотникова, д. 7</t>
  </si>
  <si>
    <t>39302_Водопроводныя сеть</t>
  </si>
  <si>
    <t xml:space="preserve">39302_   </t>
  </si>
  <si>
    <t>г. Калуга ул.Кирова, д. 32, корп. 1</t>
  </si>
  <si>
    <t>39301_Водопроводныя сеть</t>
  </si>
  <si>
    <t xml:space="preserve">39301_   </t>
  </si>
  <si>
    <t>г. Калуга ул.Ленина, д. 13</t>
  </si>
  <si>
    <t>39300_Водопроводныя сеть</t>
  </si>
  <si>
    <t xml:space="preserve">39300_   </t>
  </si>
  <si>
    <t>г. Калуга ул. Болотникова, д. 5</t>
  </si>
  <si>
    <t>39299_Водопроводныя сеть</t>
  </si>
  <si>
    <t xml:space="preserve">39299_   </t>
  </si>
  <si>
    <t>г. Калуга ул. Валентины Никитиной, д. 47, корп. 1</t>
  </si>
  <si>
    <t>39291_Водопроводныя сеть</t>
  </si>
  <si>
    <t xml:space="preserve">39291_   </t>
  </si>
  <si>
    <t>г. Калуга ул. Баррикад, д. 115, д. 157, д. 159</t>
  </si>
  <si>
    <t>39290_Водопроводныя сеть</t>
  </si>
  <si>
    <t xml:space="preserve">39290_   </t>
  </si>
  <si>
    <t>г. Калуга ул. Болотникова, д. 3 корп. 1</t>
  </si>
  <si>
    <t>39289_Водопроводныя сеть</t>
  </si>
  <si>
    <t xml:space="preserve">39289_   </t>
  </si>
  <si>
    <t>г. Калуга ул. Ленина, д. 80</t>
  </si>
  <si>
    <t>39284_Водопроводныя сеть</t>
  </si>
  <si>
    <t xml:space="preserve">39284_   </t>
  </si>
  <si>
    <t>г. Калуга б-р Моторостроителей, д. 9</t>
  </si>
  <si>
    <t>39281_Водопроводныя сеть</t>
  </si>
  <si>
    <t xml:space="preserve">39281_   </t>
  </si>
  <si>
    <t>г. Калуга ул.Константиновых, д. 2</t>
  </si>
  <si>
    <t>39280_Водопроводныя сеть</t>
  </si>
  <si>
    <t xml:space="preserve">39280_   </t>
  </si>
  <si>
    <t>г. Калуга ул.Кирова, д. 54</t>
  </si>
  <si>
    <t>39279_Водопроводныя сеть</t>
  </si>
  <si>
    <t xml:space="preserve">39279_   </t>
  </si>
  <si>
    <t>г. Калуга ул.Ленина , д. 82</t>
  </si>
  <si>
    <t>39278_Водопроводныя сеть</t>
  </si>
  <si>
    <t xml:space="preserve">39278_   </t>
  </si>
  <si>
    <t>г. Калуга ул.Дзержинского, д. 72</t>
  </si>
  <si>
    <t>39277_Водопроводныя сеть</t>
  </si>
  <si>
    <t xml:space="preserve">39277_   </t>
  </si>
  <si>
    <t>г. Калуга ул.Тульская, д. 6</t>
  </si>
  <si>
    <t>39276_Водопроводныя сеть</t>
  </si>
  <si>
    <t xml:space="preserve">39276_   </t>
  </si>
  <si>
    <t>г. Калуга ул. Московская, д. 55</t>
  </si>
  <si>
    <t>39275_Водопроводныя сеть</t>
  </si>
  <si>
    <t xml:space="preserve">39275_   </t>
  </si>
  <si>
    <t>г. Калуга ул. Плеханова , д. 71 А</t>
  </si>
  <si>
    <t>39274_Водопроводныя сеть</t>
  </si>
  <si>
    <t xml:space="preserve">39274_   </t>
  </si>
  <si>
    <t>г. Калуга ул. Плеханова , д. 78</t>
  </si>
  <si>
    <t>39273_Водопроводныя сеть</t>
  </si>
  <si>
    <t xml:space="preserve">39273_   </t>
  </si>
  <si>
    <t>г. Калуга пер. Паровозный, д. 4, д. 4А, д. 6</t>
  </si>
  <si>
    <t>39272_Водопроводныя сеть</t>
  </si>
  <si>
    <t xml:space="preserve">39272_   </t>
  </si>
  <si>
    <t>г. Калуга ул.Плеханова, д. 72</t>
  </si>
  <si>
    <t>39271_Водопроводныя сеть</t>
  </si>
  <si>
    <t xml:space="preserve">39271_   </t>
  </si>
  <si>
    <t>г. Калуга ул.Первомайская, д. 4 А</t>
  </si>
  <si>
    <t>39270_Водопроводныя сеть</t>
  </si>
  <si>
    <t xml:space="preserve">39270_   </t>
  </si>
  <si>
    <t>г. Калуга ул.Пухова д. 49</t>
  </si>
  <si>
    <t>39269_Водопроводныя сеть</t>
  </si>
  <si>
    <t xml:space="preserve">39269_   </t>
  </si>
  <si>
    <t>г. Калуга ул.Плеханова, д. 81</t>
  </si>
  <si>
    <t>39268_Водопроводныя сеть</t>
  </si>
  <si>
    <t xml:space="preserve">39268_   </t>
  </si>
  <si>
    <t>г. Калуга ул.Труда, д. 3 А</t>
  </si>
  <si>
    <t>39265_Водопроводныя сеть</t>
  </si>
  <si>
    <t xml:space="preserve">39265_   </t>
  </si>
  <si>
    <t>г. Калуга ,  ул. Константиновых, дом 6</t>
  </si>
  <si>
    <t>39245_Водопроводная сеть</t>
  </si>
  <si>
    <t xml:space="preserve">39245_   </t>
  </si>
  <si>
    <t>г. Калуга ,  ул. ул. Ленина, дом 29, дом 31, дом 33</t>
  </si>
  <si>
    <t>39244_Водопроводная сеть</t>
  </si>
  <si>
    <t xml:space="preserve">39244_   </t>
  </si>
  <si>
    <t>39243_Водопроводная сеть</t>
  </si>
  <si>
    <t xml:space="preserve">39243_   </t>
  </si>
  <si>
    <t>г. Калуга ,  ул.  Космонавта Комарова, дом 55,</t>
  </si>
  <si>
    <t>39242_Водопроводная сеть</t>
  </si>
  <si>
    <t xml:space="preserve">39242_   </t>
  </si>
  <si>
    <t>г. Калуга ,  ул. Ленина  дом 24, дом 26, ул. Билибина дом  54</t>
  </si>
  <si>
    <t>39241_Водопроводная сеть</t>
  </si>
  <si>
    <t xml:space="preserve">39241_   </t>
  </si>
  <si>
    <t>г. Калуга , пер. Фридриха Энгельса, дом 1/48 А, дом 3</t>
  </si>
  <si>
    <t>39237_Водопроводная сеть</t>
  </si>
  <si>
    <t xml:space="preserve">39237_   </t>
  </si>
  <si>
    <t>г. Калуга ул. Октябрьская, дом 14 А</t>
  </si>
  <si>
    <t>39234_Водопроводная сеть</t>
  </si>
  <si>
    <t xml:space="preserve">39234_   </t>
  </si>
  <si>
    <t>г. Калуга пер. Малиники, дом 7, корп. 1</t>
  </si>
  <si>
    <t>39233_Водопроводная сеть</t>
  </si>
  <si>
    <t xml:space="preserve">39233_   </t>
  </si>
  <si>
    <t>г. Калуга ул.Грабцевское шоссе, дом28</t>
  </si>
  <si>
    <t>39229_Водопроводныя сеть</t>
  </si>
  <si>
    <t xml:space="preserve">39229_   </t>
  </si>
  <si>
    <t>г. Калуга ул.Грабцевское шоссе, дом 30</t>
  </si>
  <si>
    <t>39228_Водопроводныя сеть</t>
  </si>
  <si>
    <t xml:space="preserve">39228_   </t>
  </si>
  <si>
    <t>г. Калуга ул. Гоголя, дом 1</t>
  </si>
  <si>
    <t>39227_Водопроводныя сеть</t>
  </si>
  <si>
    <t xml:space="preserve">39227_   </t>
  </si>
  <si>
    <t>г. Калуга ул. Гурьянова, дом 13</t>
  </si>
  <si>
    <t>39226_Водопроводныя сеть</t>
  </si>
  <si>
    <t xml:space="preserve">39226_   </t>
  </si>
  <si>
    <t>г. Калуга ул. ул  Гурьянова, дом 15, ул Карачевская, дом 6</t>
  </si>
  <si>
    <t>39225_Водопроводныя сеть</t>
  </si>
  <si>
    <t xml:space="preserve">39225_   </t>
  </si>
  <si>
    <t>г. Калуга ул. ул  Гагарина дом 38 А</t>
  </si>
  <si>
    <t>39224_Водопроводныя сеть</t>
  </si>
  <si>
    <t xml:space="preserve">39224_   </t>
  </si>
  <si>
    <t>г. Калуга ул. Герцена 19 А</t>
  </si>
  <si>
    <t>39223_Водопроводныя сеть</t>
  </si>
  <si>
    <t xml:space="preserve">39223_   </t>
  </si>
  <si>
    <t>г. Калуга ул. Грабцевское шоссе  дом 26</t>
  </si>
  <si>
    <t>39222_Водопроводныя сеть</t>
  </si>
  <si>
    <t xml:space="preserve">39222_   </t>
  </si>
  <si>
    <t>г. Калуга ул. Грабцевское шоссе  дом 24 А</t>
  </si>
  <si>
    <t>39221_Водопроводныя сеть</t>
  </si>
  <si>
    <t xml:space="preserve">39221_   </t>
  </si>
  <si>
    <t>г. Калуга ул. Грабцевское шоссе  дом 24</t>
  </si>
  <si>
    <t>39220_Водопроводныя сеть</t>
  </si>
  <si>
    <t xml:space="preserve">39220_   </t>
  </si>
  <si>
    <t>ППАаз251 _Горуправа_Договор аренды 525/20 (1418/ЕД) от 29.09.2020_кадастровый номер_40:00:000000:318</t>
  </si>
  <si>
    <t xml:space="preserve"> ППАаз251</t>
  </si>
  <si>
    <t>ППАаз250 _Горуправа_Договор аренды 530/20 (1458/ЕД) от 13.10.20_кадастровый номер_40:25:000061:1053</t>
  </si>
  <si>
    <t xml:space="preserve"> ППАаз250</t>
  </si>
  <si>
    <t>ППАаз239 _Городская Управа гКалуги_Дог. аренды 808/15 от 27.10.2015_Списано</t>
  </si>
  <si>
    <t xml:space="preserve"> ППАаз239</t>
  </si>
  <si>
    <t>ППАаз238 _Городская Управа гКалуги_Дог. аренды 85/16 от 28.12.2015_Списано</t>
  </si>
  <si>
    <t xml:space="preserve"> ППАаз238</t>
  </si>
  <si>
    <t>ППАаз237 _Городская Управа гКалуги_Дог. аренды 908/15 от 27.10.2015_Списано</t>
  </si>
  <si>
    <t xml:space="preserve"> ППАаз237</t>
  </si>
  <si>
    <t>ППАаз236 _Городская Управа гКалуги_Дог. аренды 249/15 от 31.03.2015_Списано</t>
  </si>
  <si>
    <t xml:space="preserve"> ППАаз236</t>
  </si>
  <si>
    <t>ППАаз128 _Калуга МЭР_Договор аренды 2470 от 14.04.2002_кадастровый номер_40:26:000007:1</t>
  </si>
  <si>
    <t xml:space="preserve"> ППАаз128</t>
  </si>
  <si>
    <t>ППАаз124 _Калуга МЭР_Договор аренды 365 от 12.02.2016_кадастровый номер_40:26:000001:1442</t>
  </si>
  <si>
    <t xml:space="preserve"> ППАаз124</t>
  </si>
  <si>
    <t>ППАаз112 _Калуга МЭР_Договор аренды 314 от 03.07.2015_кадастровый номер_40:26:000063:1</t>
  </si>
  <si>
    <t xml:space="preserve"> ППАаз112</t>
  </si>
  <si>
    <t>ППАаз052 _Горуправа_Договор аренды 751/21 от 09.12.2021_кадастровый номер_40:25:000078:505</t>
  </si>
  <si>
    <t xml:space="preserve"> ППАаз052</t>
  </si>
  <si>
    <t>МЭР КО приказ №1842-п от 01.12.2021</t>
  </si>
  <si>
    <t>46049 Водопроводная сеть, 20 м. г.Калуга, ул. 65 лет Победы, д.6</t>
  </si>
  <si>
    <t>20.12.2021</t>
  </si>
  <si>
    <t xml:space="preserve">46049    </t>
  </si>
  <si>
    <t>МЭР КО приказ №1843-п от 01.12.2021</t>
  </si>
  <si>
    <t>46048 Водопроводная сеть, 357 м. г.Калуга, ул. 65 лет Победы, д.4</t>
  </si>
  <si>
    <t xml:space="preserve">46048    </t>
  </si>
  <si>
    <t>45939 Водопроводная сеть г.Калуга, ул.Тарутинская, д.216 ПЭД32 L47</t>
  </si>
  <si>
    <t>30.11.2021</t>
  </si>
  <si>
    <t xml:space="preserve">45939    </t>
  </si>
  <si>
    <t>45938 Водопроводная сеть г.Калуга, п.Малинники, СНТ "Пищевик" ПЭД32 L7</t>
  </si>
  <si>
    <t xml:space="preserve">45938    </t>
  </si>
  <si>
    <t>45855 Сеть водоснабжения г.Калуга, д.Пучково, ул.Центральная, д.20 Д-32 мм L3.5 п.м.</t>
  </si>
  <si>
    <t>30.10.2021</t>
  </si>
  <si>
    <t xml:space="preserve">45855    </t>
  </si>
  <si>
    <t>45794 Водопроводная сеть д.Андреевское (по ул.Центральнойд. 50) ПЭ Д=32, L=185м</t>
  </si>
  <si>
    <t xml:space="preserve">45794    </t>
  </si>
  <si>
    <t>45719 Водопроводная сеть г.Калуга, ул.Дорожная, д.13 ПЭ Д=50, L=63м</t>
  </si>
  <si>
    <t xml:space="preserve">45719    </t>
  </si>
  <si>
    <t>45723 Водопроводная сеть г.Калуга, ул. Поле Свободы, д. 109 ПЭД32 L13</t>
  </si>
  <si>
    <t xml:space="preserve">45723    </t>
  </si>
  <si>
    <t>45722 Водопроводная сеть г.Калуга, проезд 2-й Загородный, д.7 ПЭД32 L6</t>
  </si>
  <si>
    <t xml:space="preserve">45722    </t>
  </si>
  <si>
    <t>сч№ ЭП129411 от 09.09.21г</t>
  </si>
  <si>
    <t>45713 НАСОС К 80-50-200 15кВт</t>
  </si>
  <si>
    <t>24.09.2021</t>
  </si>
  <si>
    <t xml:space="preserve">45713    </t>
  </si>
  <si>
    <t>45651 Водопроводная сеть г.Калуга, ул. Тарутинская, д.4 ПЭ Д=32,L=5м</t>
  </si>
  <si>
    <t xml:space="preserve">45651    </t>
  </si>
  <si>
    <t>45649 Водопроводная сеть г.Калуга, ул.Шахтеров,д.19 ПЭД32 L6,5</t>
  </si>
  <si>
    <t xml:space="preserve">45649    </t>
  </si>
  <si>
    <t>45647 Водопроводная сеть г.Калуга, ул.Прончищева_ПЭ D160мм, L93,5п.м</t>
  </si>
  <si>
    <t xml:space="preserve">45647    </t>
  </si>
  <si>
    <t>45595 Водопроводная сеть г.Калуга, пер.Суворова, д.40 Д=40 L=13 м</t>
  </si>
  <si>
    <t xml:space="preserve">45595    </t>
  </si>
  <si>
    <t>45593 Водопроводная сеть г.Калуга, ул. Степана Разина, д.136 Д=40 L=22,5 м</t>
  </si>
  <si>
    <t xml:space="preserve">45593    </t>
  </si>
  <si>
    <t>45590 Водопроводная сеть г.Калуга, ул.Первомайская, д. 55А_ПЭ Д32_L12м</t>
  </si>
  <si>
    <t xml:space="preserve">45590    </t>
  </si>
  <si>
    <t>сч.№ ТК 54400-кл от 25.06.21</t>
  </si>
  <si>
    <t>45543 Мотопомпа Fugar PG 1800Т для сильнозагрязненной воды</t>
  </si>
  <si>
    <t>14.07.2021</t>
  </si>
  <si>
    <t xml:space="preserve">45543    </t>
  </si>
  <si>
    <t>45496 Водопроводная сеть г.Калуга, ПЭ Д200 по ул.Ленина, протяж.25 м</t>
  </si>
  <si>
    <t xml:space="preserve">45496    </t>
  </si>
  <si>
    <t>45495 Водопроводная сеть г.Калуга, ПЭ Д315 по ул.Чижевского, протяж.245,16 м</t>
  </si>
  <si>
    <t xml:space="preserve">45495    </t>
  </si>
  <si>
    <t>45489 Водопроводная сеть г.Калуга, д.Жерело, д.19 ПЭ D32, L5,5 м</t>
  </si>
  <si>
    <t xml:space="preserve">45489    </t>
  </si>
  <si>
    <t>45488 Водопроводная сеть г.Калуга, ул. Вагонная, д. 20_D32, L 13,5 м</t>
  </si>
  <si>
    <t xml:space="preserve">45488    </t>
  </si>
  <si>
    <t>45485 Водопроводная сеть г.Калуга, ул.Тарутинская, д.232а_D110,L 88,19 м</t>
  </si>
  <si>
    <t xml:space="preserve">45485    </t>
  </si>
  <si>
    <t>45483 Водопроводная сеть г.Калуга, п.Малинники, СНТ "Пищевик" уч.116_ПЭ Д32_L10м</t>
  </si>
  <si>
    <t xml:space="preserve">45483    </t>
  </si>
  <si>
    <t>45482 Водопроводная сеть г.Калуга, пер.Баррикад_ПЭ Д63_L11</t>
  </si>
  <si>
    <t xml:space="preserve">45482    </t>
  </si>
  <si>
    <t>45472 Водопроводная сеть г.Калуга п.Малинники, СНТ "Пищевик" уч.102 ПЭ Д63, L14</t>
  </si>
  <si>
    <t xml:space="preserve">45472    </t>
  </si>
  <si>
    <t>45471 Водопроводная сеть г.Калуга ул.Ромодановские Дворики, д. 34 ПЭ Д32, L22</t>
  </si>
  <si>
    <t xml:space="preserve">45471    </t>
  </si>
  <si>
    <t>45322 Сеть водоснабжения г.Калуга, ул.Баррикад, д.98_D32_L8</t>
  </si>
  <si>
    <t xml:space="preserve">45322    </t>
  </si>
  <si>
    <t>45323 Сеть водоснабжения г.Калуга, ул.Трамплинная, д.68 ПЭ Ду32 L6,8 м</t>
  </si>
  <si>
    <t xml:space="preserve">45323    </t>
  </si>
  <si>
    <t>45319 Сеть водоснабжения г.Калуга, д.Болотное D110 L77</t>
  </si>
  <si>
    <t xml:space="preserve">45319    </t>
  </si>
  <si>
    <t>45318 Сеть водоснабжения г.Калуга,ул.Можайская ПЭ D40 L46 м</t>
  </si>
  <si>
    <t xml:space="preserve">45318    </t>
  </si>
  <si>
    <t>45317 Сеть водоснабжения г.Калуга, пер Заводской,д,6,кв1 ПЭ Ду32 L8,5 м</t>
  </si>
  <si>
    <t xml:space="preserve">45317    </t>
  </si>
  <si>
    <t>45205 Сеть водоснабжения г.Калуга, с. Муратовский щебзавод, д. 3 ПЭ 32, L 56 м</t>
  </si>
  <si>
    <t xml:space="preserve">45205    </t>
  </si>
  <si>
    <t>45163 Сеть водоснабжения г.Калуга, ул.Чистые ключи, д.36а ПЭ 32, L 7 м</t>
  </si>
  <si>
    <t>28.02.2021</t>
  </si>
  <si>
    <t xml:space="preserve">45163    </t>
  </si>
  <si>
    <t>45161 Сеть водоснабжения г.Калуга, д. Колюпаново,р-н д.57 ПЭ 32, L 25 м</t>
  </si>
  <si>
    <t xml:space="preserve">45161    </t>
  </si>
  <si>
    <t>45160 Сеть водоснабжения г.Калуга,д.Шопино, ул.Новая, д.20 ПЭ 32, L 50 м</t>
  </si>
  <si>
    <t xml:space="preserve">45160    </t>
  </si>
  <si>
    <t>45158 Сеть водоснабжения г.Калуга, проезд Загородный 2-ой, д2 ПЭ 32, L 18 м</t>
  </si>
  <si>
    <t xml:space="preserve">45158    </t>
  </si>
  <si>
    <t>45157 Сеть водоснабжения г.Калуга, д.Тимошево, д.30 ПЭ 32, L 12 м</t>
  </si>
  <si>
    <t xml:space="preserve">45157    </t>
  </si>
  <si>
    <t>45153 Сеть водоснабжения г.Калуга, ул. Тарутинская, д.59а ПЭ_Д=32,L=10,5 м:</t>
  </si>
  <si>
    <t xml:space="preserve">45153    </t>
  </si>
  <si>
    <t>45152 Сеть водоснабжения г.Калуга, д.Чижовка, д.41б, д43 ПЭ_D63_L83м, D32_L7,6м</t>
  </si>
  <si>
    <t xml:space="preserve">45152    </t>
  </si>
  <si>
    <t>45150 Сеть водоснабжения г.Калуга,ул.Турбостроителей D ПЭ 32, L 30 м</t>
  </si>
  <si>
    <t xml:space="preserve">45150    </t>
  </si>
  <si>
    <t>44834 Сеть водоснабжения г.Калуга, ул. Секиотовская ПЭ Ду-32 L-27м</t>
  </si>
  <si>
    <t xml:space="preserve">44834    </t>
  </si>
  <si>
    <t>45142 Сеть водоснабжения в районе д.Верховая и д.Квань ПЭ 2Ду-225 L-70,16м</t>
  </si>
  <si>
    <t xml:space="preserve">45142    </t>
  </si>
  <si>
    <t>45054 Сети водоснабжения г.Калуга, пер.Воскресенский, р-н д.32_ПЭ Д63 мм L11 м</t>
  </si>
  <si>
    <t xml:space="preserve">45054    </t>
  </si>
  <si>
    <t>44981 Сеть водоснабжения г.Калуга, ул.Чистые ключи, д.4Б D32 L12п.м</t>
  </si>
  <si>
    <t xml:space="preserve">44981    </t>
  </si>
  <si>
    <t>45053 Сеть водоснабжения г.Калуга, д.Колюпаново D32 L27п.м</t>
  </si>
  <si>
    <t xml:space="preserve">45053    </t>
  </si>
  <si>
    <t xml:space="preserve">Приказ МЭР КО №2020-п от 25.11.2020г. </t>
  </si>
  <si>
    <t>44952 Внутриплощадочные сети водопровода г.Калуга, ул. 65 лет Победы, д.15</t>
  </si>
  <si>
    <t>23.12.2020</t>
  </si>
  <si>
    <t xml:space="preserve">44952    </t>
  </si>
  <si>
    <t>44835 Сеть водоснабжения г.Калуга, д.Ильинка, ул.Центральная, д.9а_D32,L7м</t>
  </si>
  <si>
    <t>30.11.2020</t>
  </si>
  <si>
    <t xml:space="preserve">44835    </t>
  </si>
  <si>
    <t>44833 Сеть водоснабжения г.Калуга, ул.Хуторская, д.1а D32 L4.5</t>
  </si>
  <si>
    <t xml:space="preserve">44833    </t>
  </si>
  <si>
    <t>44832 Сеть водоснабжения г.Калуга, р-н Грабцевского шоссе ПЭ 2Д225, L406м</t>
  </si>
  <si>
    <t xml:space="preserve">44832    </t>
  </si>
  <si>
    <t>Калужская область, г.Калуга, пер.Северный - ул.Механизаторов</t>
  </si>
  <si>
    <t>44742 Водопровод г.Калуга, пер.Северный - ул.Механизаторов</t>
  </si>
  <si>
    <t>26.11.2020</t>
  </si>
  <si>
    <t xml:space="preserve">44742    </t>
  </si>
  <si>
    <t>44701 Сети водоснабжения г.Калуга, ул.Верховая, д.11 ПЭ Д=32 L=27 п.м.</t>
  </si>
  <si>
    <t>31.10.2020</t>
  </si>
  <si>
    <t xml:space="preserve">44701    </t>
  </si>
  <si>
    <t>44699 Сети водоснабжения г.Калуга, ул.Северная, д.11 ПЭ Д=32 L=6 п.м.</t>
  </si>
  <si>
    <t xml:space="preserve">44699    </t>
  </si>
  <si>
    <t>44580 Сети водоснабжения г.Калуга, ул.Советская,120 ПЭ Д32, L28м</t>
  </si>
  <si>
    <t xml:space="preserve">44580    </t>
  </si>
  <si>
    <t>44579 Сети водоснабжения г.Калуга, ул.Механизаторов, д.24 ПЭ Д32, L 60 м</t>
  </si>
  <si>
    <t xml:space="preserve">44579    </t>
  </si>
  <si>
    <t>44578 Сети водоснабжения г.Калуга, д.Ильинка, ул.Центральная,д.27а ПЭ Д32, L11,5м</t>
  </si>
  <si>
    <t xml:space="preserve">44578    </t>
  </si>
  <si>
    <t>44574 Сети водоснабжения г.Калуга, ул.Садовая, д.95 ПЭ Д=32 L=8 п.м.</t>
  </si>
  <si>
    <t xml:space="preserve">44574    </t>
  </si>
  <si>
    <t>44577 Сети водоснабжения г.Калуга,п.Малинники, СНТ "Пищевик" уч.103 ПЭ Д=32 L=21 п.м.</t>
  </si>
  <si>
    <t xml:space="preserve">44577    </t>
  </si>
  <si>
    <t>Т/1400-ЕД от 02.09.2020г.</t>
  </si>
  <si>
    <t>44528 Электроагрегат сварочный АСПБВ 220/6,5/3,5-Т400/230 ВХ</t>
  </si>
  <si>
    <t>25.09.2020</t>
  </si>
  <si>
    <t xml:space="preserve">44528    </t>
  </si>
  <si>
    <t>приказ МЭР №1311-п от 10.08.2020г.</t>
  </si>
  <si>
    <t>44552 Сеть водоснабжения г.Калуга, ул.Калужского ополчения, д.9</t>
  </si>
  <si>
    <t xml:space="preserve">44552    </t>
  </si>
  <si>
    <t>Калужская область, г.Калуга, ул.Маршала Жукова, д.23А</t>
  </si>
  <si>
    <t>44551 Сеть водоснабжения г.Калуга, ул.Маршала Жукова, д.23А</t>
  </si>
  <si>
    <t xml:space="preserve">44551    </t>
  </si>
  <si>
    <t>44550 Сеть водопровода г.Калуга, ул.Спартака, д.15</t>
  </si>
  <si>
    <t xml:space="preserve">44550    </t>
  </si>
  <si>
    <t>44493 Сети водоснабжения г.Калуга, пр. 1-й Секиотовский, д.1 ПЭ D32, L 19 м</t>
  </si>
  <si>
    <t xml:space="preserve">44493    </t>
  </si>
  <si>
    <t>44491 Сети водоснабжения г.Калуга, ул.Заречная, д.38 ПЭ D32, L8 м</t>
  </si>
  <si>
    <t xml:space="preserve">44491    </t>
  </si>
  <si>
    <t>44487 Сети водоснабжения г.Калуга, д.Пучково_D32, L2м</t>
  </si>
  <si>
    <t xml:space="preserve">44487    </t>
  </si>
  <si>
    <t>44486 Сети водоснабжения г.Калуга, д.Тимошево, д.24 ПЭ D32, L12м</t>
  </si>
  <si>
    <t xml:space="preserve">44486    </t>
  </si>
  <si>
    <t>44484 Сети водоснабжения г.Калуга, д.Карачево, д70 ПЭ D32, L13,5м</t>
  </si>
  <si>
    <t xml:space="preserve">44484    </t>
  </si>
  <si>
    <t>дог.Т/907-ЕД от 20.12.2019</t>
  </si>
  <si>
    <t>44457 Сети водоснабжения г.Калуга, ул.Плеханова, д.77 "а" ПЭ Д=110 L=36,27 п.м.</t>
  </si>
  <si>
    <t xml:space="preserve">44457    </t>
  </si>
  <si>
    <t>44452 Сети водоснабжения г.Калуга, ул.Академика Королева, д.37/29 ПЭ Д=110 L=4,78 п.м.</t>
  </si>
  <si>
    <t xml:space="preserve">44452    </t>
  </si>
  <si>
    <t>44427 Сети водоснабжения г.Калуга, ул.Непокоренных Ленинградцев, д.6 ПЭ Д=32 L=8 п.м.</t>
  </si>
  <si>
    <t xml:space="preserve">44427    </t>
  </si>
  <si>
    <t>44413 Сети водоснабжения г.Калуга, д.Карачево, д72 ПЭ D32, L13,5м</t>
  </si>
  <si>
    <t xml:space="preserve">44413    </t>
  </si>
  <si>
    <t>44405 Сети водоснабжения г.Калуга, ул.Семеново Городище, д11 ПЭ D32, L4,8м</t>
  </si>
  <si>
    <t xml:space="preserve">44405    </t>
  </si>
  <si>
    <t>44404 Сети водоснабжения г.Калуга, д.Мстихино, ул.Мстихинская, д.12 ПЭ D32, L8,7м</t>
  </si>
  <si>
    <t xml:space="preserve">44404    </t>
  </si>
  <si>
    <t>сч.1482 от 16.06.20</t>
  </si>
  <si>
    <t>44360 Бензорез STIHL TS-420 d350м</t>
  </si>
  <si>
    <t>07.07.2020</t>
  </si>
  <si>
    <t xml:space="preserve">44360    </t>
  </si>
  <si>
    <t>44338 Сети водоснабжения г.Калуга, ул. Заводская, д.11 ПЭ D32, L18м</t>
  </si>
  <si>
    <t xml:space="preserve">44338    </t>
  </si>
  <si>
    <t>44336 Сети водоснабжения г.Калуга, д. Пучково, ул. Центральная, 24б ПЭ D32, L5м</t>
  </si>
  <si>
    <t xml:space="preserve">44336    </t>
  </si>
  <si>
    <t>44335 Сети водоснабжения г.Калуга, д.Канищево, ул.Лаврово д.24 ПЭ D32, L13м</t>
  </si>
  <si>
    <t xml:space="preserve">44335    </t>
  </si>
  <si>
    <t>40:26:000204:1413-40/001/2019-1</t>
  </si>
  <si>
    <t>44294 Водопровод_г.Калуга, ул.Молодежная, д.5_6 м</t>
  </si>
  <si>
    <t xml:space="preserve">44294    </t>
  </si>
  <si>
    <t>40:26:000000:3755-40/001/2019-1</t>
  </si>
  <si>
    <t>44293 Водопровод_г.Калуга, ул.Молодежная, д.5_33 м</t>
  </si>
  <si>
    <t xml:space="preserve">44293    </t>
  </si>
  <si>
    <t>44288 Сеть водоснабжения,г.Калуга, б-р Сиреневый, д.12_36 п.м</t>
  </si>
  <si>
    <t xml:space="preserve">44288    </t>
  </si>
  <si>
    <t>Калуга г,,Поле Свободы ул,125</t>
  </si>
  <si>
    <t>44284 Сети водоснабжения г.Калуга, ул.Поле Свободы, д.125 ПЭ D32, L10,0м</t>
  </si>
  <si>
    <t>31.05.2020</t>
  </si>
  <si>
    <t xml:space="preserve">44284    </t>
  </si>
  <si>
    <t>44232 Сети водоснабжения г.Калуга, с.Муратовский щебзавод, д.13 пом.2 ПЭ D32, L30м</t>
  </si>
  <si>
    <t xml:space="preserve">44232    </t>
  </si>
  <si>
    <t>Калуга г,,Маяковского ул,16,А</t>
  </si>
  <si>
    <t>44283 Сети водоснабжения г.Калуга, ул.Маяковского, д.16а ПЭ D32, L3,0м</t>
  </si>
  <si>
    <t xml:space="preserve">44283    </t>
  </si>
  <si>
    <t>Калуга г,,В.Андриановой ул,3</t>
  </si>
  <si>
    <t>44272 Водопроводная сеть г.Калуга ул.В.Андриановой д.3</t>
  </si>
  <si>
    <t>20.05.2020</t>
  </si>
  <si>
    <t xml:space="preserve">44272    </t>
  </si>
  <si>
    <t>44170 Сети водоснабжения г.Калуга, пер. Аэропортовский ПЭ100 SDR17 2Д160_49м</t>
  </si>
  <si>
    <t>31.03.2020</t>
  </si>
  <si>
    <t xml:space="preserve">44170    </t>
  </si>
  <si>
    <t>44169 Сети водоснабжения г.Калуга, д.Пучково, ул.Центральная ПЭ D32, L11м</t>
  </si>
  <si>
    <t xml:space="preserve">44169    </t>
  </si>
  <si>
    <t>44099 Генераторная установка в шумозащитном кожухе AD-22RES</t>
  </si>
  <si>
    <t>20.03.2020</t>
  </si>
  <si>
    <t xml:space="preserve">44099    </t>
  </si>
  <si>
    <t>Т/1039-ЕД от 04.03.2020</t>
  </si>
  <si>
    <t>44059 Машина электрическая для сварки пластиковых труб Shengda SHD 630</t>
  </si>
  <si>
    <t>06.03.2020</t>
  </si>
  <si>
    <t xml:space="preserve">44059    </t>
  </si>
  <si>
    <t>44103 Сети водоснабжения г.Калуга, ул. Салтыкова-Щедрина, д.103 ПЭ D159 мм L 6 п.м</t>
  </si>
  <si>
    <t>29.02.2020</t>
  </si>
  <si>
    <t xml:space="preserve">44103    </t>
  </si>
  <si>
    <t>44102 Сети водоснабжения г.Калуга, д.Канищево, ул. Дмитриева, д.39 ПЭ D32 мм L 4,5 п.м</t>
  </si>
  <si>
    <t>28.02.2020</t>
  </si>
  <si>
    <t xml:space="preserve">44102    </t>
  </si>
  <si>
    <t>44101 Сети водоснабжения г.Калуга, ул.Прирельсовая, д.6, кв.1, д.4, ч.3 ПЭ D32 мм L 5,5 п.</t>
  </si>
  <si>
    <t xml:space="preserve">44101    </t>
  </si>
  <si>
    <t>Т/897-ЕД от 25.12.2019</t>
  </si>
  <si>
    <t>43970 Насос ВL-Е50/150-7,5/2</t>
  </si>
  <si>
    <t>11.02.2020</t>
  </si>
  <si>
    <t xml:space="preserve">43970    </t>
  </si>
  <si>
    <t>Т897-ЕД от 25.12.2019</t>
  </si>
  <si>
    <t>43969 Насос ВL-Е50/150-7,5/2</t>
  </si>
  <si>
    <t xml:space="preserve">43969    </t>
  </si>
  <si>
    <t>43967 Насос ВL-Е32/160-4/2</t>
  </si>
  <si>
    <t xml:space="preserve">43967    </t>
  </si>
  <si>
    <t>43966 Насос ВL-Е32/160-4/2</t>
  </si>
  <si>
    <t xml:space="preserve">43966    </t>
  </si>
  <si>
    <t>43964 Насос ВL-Е32/140-2,2/2</t>
  </si>
  <si>
    <t xml:space="preserve">43964    </t>
  </si>
  <si>
    <t>43963 Насос ВL-Е32/140-2,2/2</t>
  </si>
  <si>
    <t xml:space="preserve">43963    </t>
  </si>
  <si>
    <t>43962 Насос ВL-Е32/140-2,2/2</t>
  </si>
  <si>
    <t xml:space="preserve">43962    </t>
  </si>
  <si>
    <t>44095 Сети водоснабжения г.Калуга, проезд 2-ой Заводской, д.8, кв.2 ПЭ D32 мм L 12 п.м</t>
  </si>
  <si>
    <t xml:space="preserve">44095    </t>
  </si>
  <si>
    <t>44094 Сети водоснабжения г.Калуга, ул.Чистые ключи, д.19 ПЭ D32 мм L20 п.м</t>
  </si>
  <si>
    <t xml:space="preserve">44094    </t>
  </si>
  <si>
    <t>44064 Сети водоснабжения г.Калуга, ул.Терепецкая, д.1 ПЭ D32 мм L15 п.м</t>
  </si>
  <si>
    <t xml:space="preserve">44064    </t>
  </si>
  <si>
    <t>44060 Сети водоснабжения г.Калуга, ул.Николо-Козинская, д.32 ПЭ 2D110, L9,5 м</t>
  </si>
  <si>
    <t xml:space="preserve">44060    </t>
  </si>
  <si>
    <t>43789 Сети водоснабжения г.Калуга, ул.Космонавта Пацаева, д.6_ПЭ D63, L17,5 м</t>
  </si>
  <si>
    <t xml:space="preserve">43789    </t>
  </si>
  <si>
    <t>Российская Федерация, Калужская обл., г. Калуга, ул. Генерала Попова</t>
  </si>
  <si>
    <t>43669 Сети водоснабжения г.Калуга, к гипермаркету "ГЛОБУС_L 335 п. м</t>
  </si>
  <si>
    <t xml:space="preserve">43669    </t>
  </si>
  <si>
    <t>44045 Сети водоснабжения г.Калуга, Театральная площадь_ПЭ D110, L42 м</t>
  </si>
  <si>
    <t xml:space="preserve">44045    </t>
  </si>
  <si>
    <t>43888 Сети водоснабжения г.Калуга, ул.Колхозный Д 225, L 373 п.м.</t>
  </si>
  <si>
    <t xml:space="preserve">43888    </t>
  </si>
  <si>
    <t>43887 Сети водоснабжения г.Калуга, пер.Колхозный Д 110, L 404 п.м.</t>
  </si>
  <si>
    <t xml:space="preserve">43887    </t>
  </si>
  <si>
    <t>43881 Сети водоснабжения г.Калуга, ул.Михалевская, д.48-58_ПЭ D63, L130 м</t>
  </si>
  <si>
    <t xml:space="preserve">43881    </t>
  </si>
  <si>
    <t>43880 Сети водоснабжения (закольцовка) г.Калуга, в р-не Яченского водохранилища_D219 L 6м</t>
  </si>
  <si>
    <t xml:space="preserve">43880    </t>
  </si>
  <si>
    <t>43780 Сети водоснабжения г.Калуга, д.Пучково, ул.Совхозная, д.21 ПЭ D32, L41,5 м</t>
  </si>
  <si>
    <t xml:space="preserve">43780    </t>
  </si>
  <si>
    <t>43779 Сети водоснабжения г.Калуга, д.Ромоданово, ул.Заречная, д.64 ПЭ D32, L14,5 м</t>
  </si>
  <si>
    <t xml:space="preserve">43779    </t>
  </si>
  <si>
    <t>43666 Сети водоснабжения г.Калуга, с.Муратовский щебзавод, д.21б ПЭ D32, L5 м</t>
  </si>
  <si>
    <t xml:space="preserve">43666    </t>
  </si>
  <si>
    <t>43665 Сети водоснабжения г.Калуга, ул.Верховая, д.34б ПЭ D32, L2,5 м</t>
  </si>
  <si>
    <t xml:space="preserve">43665    </t>
  </si>
  <si>
    <t>43663 Сети водоснабжения г.Калуга, пер. 1-ый Садовый, д.8_ПЭ Д32 мм L 15 м</t>
  </si>
  <si>
    <t xml:space="preserve">43663    </t>
  </si>
  <si>
    <t>43662 Сети водоснабжения г.Калуга, д.Рождествено, пер.1-й Новорождественский, д.5, D32 ,L9</t>
  </si>
  <si>
    <t xml:space="preserve">43662    </t>
  </si>
  <si>
    <t>43660  43600 Сети водоснабжения г.Калуга, р-н Сиреневого бульвара_ПЭ100 Д32 мм L 44 м</t>
  </si>
  <si>
    <t xml:space="preserve">43660    </t>
  </si>
  <si>
    <t>43592 Сети водоснабжения г.Калуга, ул.Тарутинская_ПЭ Д100 мм L 7 м</t>
  </si>
  <si>
    <t xml:space="preserve">43592    </t>
  </si>
  <si>
    <t>43600 Сети водоснабжения г.Калуга, д.Карачево, д.86б_ПЭ100 Д32 мм L м</t>
  </si>
  <si>
    <t>22.11.2019</t>
  </si>
  <si>
    <t xml:space="preserve">43600    </t>
  </si>
  <si>
    <t>43602 Сети водоснабжения г.Калуга, ул.Заречная, д.38_ПЭ100 Д32 мм L10,5 м</t>
  </si>
  <si>
    <t xml:space="preserve">43602    </t>
  </si>
  <si>
    <t>43598 Сети водоснабжения г.Калуга, ул.Пестеля, р-н д.15_ПЭ100 L 148м</t>
  </si>
  <si>
    <t xml:space="preserve">43598    </t>
  </si>
  <si>
    <t>43597 Сети водоснабжения г.Калуга, ул.Секиотовская, д.54а_ПЭ100 Д32 мм L 47,0м</t>
  </si>
  <si>
    <t xml:space="preserve">43597    </t>
  </si>
  <si>
    <t>43596 Сети водоснабжения г.Калуга, д.Плетеневка, ул.Набережная, д.52а_ПЭ100 Д32 мм L 3,0м</t>
  </si>
  <si>
    <t xml:space="preserve">43596    </t>
  </si>
  <si>
    <t>43595 Сети водоснабжения г.Калуга, ул.Трамплинная_ПЭ Д32 мм L 2,5м</t>
  </si>
  <si>
    <t xml:space="preserve">43595    </t>
  </si>
  <si>
    <t>43594 Сети водоснабжения г.Калуга, пл.Победы, д.10а_ПЭ Д100 мм L 68,5 м</t>
  </si>
  <si>
    <t xml:space="preserve">43594    </t>
  </si>
  <si>
    <t>43575 Сети водоснабжения г.Калуга, ул.Парковая, д.7,ч.1_ПЭ Д100 мм L 95 м</t>
  </si>
  <si>
    <t xml:space="preserve">43575    </t>
  </si>
  <si>
    <t>43492 Сети водоснабжения г.Калуга, ул.Кубяка, д.11А_L 45 п.м</t>
  </si>
  <si>
    <t xml:space="preserve">43492    </t>
  </si>
  <si>
    <t>43545 Водопроводная сеть г.Калуга, ул.Родниковая, д.49 а_ПЭ Д=32 L=15,5 п.м.</t>
  </si>
  <si>
    <t xml:space="preserve">43545    </t>
  </si>
  <si>
    <t>43544 Водопроводная сеть г.Калуга, ул.Ермоловская, д.90_ПЭ Д=32 L=27,5 п.м.</t>
  </si>
  <si>
    <t xml:space="preserve">43544    </t>
  </si>
  <si>
    <t>43543 Водопроводная сеть г.Калуга, пер.Маяковского, д.31_ПЭ Д=32 L=10 п.м.</t>
  </si>
  <si>
    <t xml:space="preserve">43543    </t>
  </si>
  <si>
    <t>43469 Водопроводная сеть г.Калуга, с.Муратовский щебзавод, р-н д.12_ПЭ Д=32 L=13 п.м.</t>
  </si>
  <si>
    <t>30.08.2019</t>
  </si>
  <si>
    <t xml:space="preserve">43469    </t>
  </si>
  <si>
    <t>43468 Водопроводная сеть г.Калуга, ул.Новая, д.8_ПЭ Д=32 L=8,5 п.м.</t>
  </si>
  <si>
    <t xml:space="preserve">43468    </t>
  </si>
  <si>
    <t>43440 Насосная станция II подъема_г.Калуга, ул.Верховая</t>
  </si>
  <si>
    <t xml:space="preserve">43440    </t>
  </si>
  <si>
    <t>43439 Водопровод_г.Калуга, ул. Верховая_ протяж.1639 п.м.</t>
  </si>
  <si>
    <t xml:space="preserve">43439    </t>
  </si>
  <si>
    <t>43438 Водопровод хозяйственно-противопожарный_г.Калуга, ул. Верховая_ протяж.3280 п.м.</t>
  </si>
  <si>
    <t xml:space="preserve">43438    </t>
  </si>
  <si>
    <t>248010, Калужская обл, Калуга г, Комсомольская Роща ул, дом № 39а</t>
  </si>
  <si>
    <t>43390 Водопроводная сеть г.Калуга, ул.Комсомольская роща, д.39а_ПЭ Д=32 L=38 п.м.</t>
  </si>
  <si>
    <t>30.07.2019</t>
  </si>
  <si>
    <t xml:space="preserve">43390    </t>
  </si>
  <si>
    <t>248002, Калужская обл, Калуга г, Тинино д, Лесная ул, дом № 11</t>
  </si>
  <si>
    <t>43388 Водопроводная сеть г.Калуга, д.Тинино, ул.Лесная, д.11 ПЭ100 Д=32 L=3 п.м.</t>
  </si>
  <si>
    <t xml:space="preserve">43388    </t>
  </si>
  <si>
    <t>248002, Калужская обл, Калуга г, Тинино д, Лесная ул, дом № 67</t>
  </si>
  <si>
    <t>43387 Водопроводная сеть г.Калуга, д.Тинино, ул.Лесная, д.67 ПЭ100 Д=32 L=6 п.м.</t>
  </si>
  <si>
    <t xml:space="preserve">43387    </t>
  </si>
  <si>
    <t>43337 Водопроводная сеть г.Калуга, Киевский проезд, д.14 ПЭ Д=32 L=18 п.м.</t>
  </si>
  <si>
    <t xml:space="preserve">43337    </t>
  </si>
  <si>
    <t>43336 Водопроводная сеть г.Калуга, д.Плетеневка, ул.Садовая, д.23_ протяж.8,5 п.м. Д=57 м</t>
  </si>
  <si>
    <t xml:space="preserve">43336    </t>
  </si>
  <si>
    <t>43335 Водопроводная сеть г.Калуга, проезд Крайний, д.4_ протяж.3,5 п.м. Д=32 мм</t>
  </si>
  <si>
    <t xml:space="preserve">43335    </t>
  </si>
  <si>
    <t>Т/515-ЕД от 03.06.2019г.</t>
  </si>
  <si>
    <t>43330 Сварочный генератор "Вепрь" АСПВ 220-6,5/3,5-Т400/230 ВХ</t>
  </si>
  <si>
    <t>24.06.2019</t>
  </si>
  <si>
    <t xml:space="preserve">43330    </t>
  </si>
  <si>
    <t>43306 Водопроводная сеть г.Калуга, ул.Северная, д7, пом.2, пом.3_ протяж.9 п.м. Д=32 мм</t>
  </si>
  <si>
    <t xml:space="preserve">43306    </t>
  </si>
  <si>
    <t>43304 Водопроводная сеть г.Калуга, ул.Пролетарская, д.108 _ протяж.14 п.м. Д=160 мм</t>
  </si>
  <si>
    <t xml:space="preserve">43304    </t>
  </si>
  <si>
    <t>392-п от 18.03.2019</t>
  </si>
  <si>
    <t>43244 Водопроводная сеть г.Калуга, ул.Новая_ протяж.2115 п.м.</t>
  </si>
  <si>
    <t>02.04.2019</t>
  </si>
  <si>
    <t xml:space="preserve">43244    </t>
  </si>
  <si>
    <t>43223 Водопроводная сеть г.Калуга, п-д Домостроителей, д.1_ протяж.16,5 п.м. Д=32 мм</t>
  </si>
  <si>
    <t>11.03.2019</t>
  </si>
  <si>
    <t xml:space="preserve">43223    </t>
  </si>
  <si>
    <t>43222 Водопроводная сеть г.Калуга, ул.Сосновая, д.10_ протяж.3,5 п.м. Д=32 мм</t>
  </si>
  <si>
    <t>04.03.2019</t>
  </si>
  <si>
    <t xml:space="preserve">43222    </t>
  </si>
  <si>
    <t>Т/309-ЕД от 31.01.2019</t>
  </si>
  <si>
    <t>43114 Гидравлический отбойный молоток Hycon HH15</t>
  </si>
  <si>
    <t>14.02.2019</t>
  </si>
  <si>
    <t xml:space="preserve">43114    </t>
  </si>
  <si>
    <t>43018 Сети водоснабжения г.Калуга, Район застройки "Веснушки"_D315мм L=42,5 п.м</t>
  </si>
  <si>
    <t xml:space="preserve">43018    </t>
  </si>
  <si>
    <t>43008 Сети водоснабжения г.Калуга, Правобережн. р-н. Многокварт.дома № 17-20(уч-к 9)_L=12</t>
  </si>
  <si>
    <t xml:space="preserve">43008    </t>
  </si>
  <si>
    <t>42987 Водопроводная сеть г.Калуга, ул.Постовалова, д.28а_ протяж.5 п.м.</t>
  </si>
  <si>
    <t xml:space="preserve">42987    </t>
  </si>
  <si>
    <t>42986 Сети водоснабжения г.Калуга, д.Рождественно, ул.Рождественская, д.60_L=5п.м</t>
  </si>
  <si>
    <t xml:space="preserve">42986    </t>
  </si>
  <si>
    <t>42982 Водопроводная сеть г.Калуга, ул. Анненки, д.9, пом.2, д.9а_ протяж.24 п.м.</t>
  </si>
  <si>
    <t xml:space="preserve">42982    </t>
  </si>
  <si>
    <t>42980 Водопроводная сеть г.Калуга, ул. Черновская_ протяж.56 п.м.</t>
  </si>
  <si>
    <t xml:space="preserve">42980    </t>
  </si>
  <si>
    <t>42973 Сети водоснабжения_Музей космонавтики_L= 638,1 п.м</t>
  </si>
  <si>
    <t xml:space="preserve">42973    </t>
  </si>
  <si>
    <t>42969 Сети водоснабжения к многокварт. жил. домам г.Калуга, ул.Грабцевское шоссе, р-нд.85_</t>
  </si>
  <si>
    <t xml:space="preserve">42969    </t>
  </si>
  <si>
    <t>42966 Сети водоснабжения Калуга,Гостини.комплексXXI век: ул.Кирова,Плеханова,Баумана_2Ду16</t>
  </si>
  <si>
    <t xml:space="preserve">42966    </t>
  </si>
  <si>
    <t>42968 Сети водоснабжения г.Калуга, ул. Хрустальная, д.22_L=353,5п.м</t>
  </si>
  <si>
    <t xml:space="preserve">42968    </t>
  </si>
  <si>
    <t>42967 Сети водоснабжения г.Калуга, Правобережн. р-н. Многокварт.дома № 13,14,15,16(уч-к 8)</t>
  </si>
  <si>
    <t xml:space="preserve">42967    </t>
  </si>
  <si>
    <t>43042 Водопроводная сеть_ г.Калуга, ул.3-й Академический проезд_УМВД ОВД_2Ду160мм,протяж.</t>
  </si>
  <si>
    <t xml:space="preserve">43042    </t>
  </si>
  <si>
    <t>43020 Сети водоснабжения г.Калуга, Район застройки "Веснушки"_D500мм L=671,3 п.м</t>
  </si>
  <si>
    <t xml:space="preserve">43020    </t>
  </si>
  <si>
    <t>43019 Сети водоснабжения г.Калуга, Район застройки "Веснушки"_D315мм L=1515 п.м</t>
  </si>
  <si>
    <t xml:space="preserve">43019    </t>
  </si>
  <si>
    <t>42958 Сети водоснабжения г.Калуга, пер. Чичерина, д.1_L=65</t>
  </si>
  <si>
    <t xml:space="preserve">42958    </t>
  </si>
  <si>
    <t>42992 Водопроводная сеть_ г.Калуга, ул.3-й Академический проезд_УМВД ОВД_Ду225мм,протяж. 504</t>
  </si>
  <si>
    <t xml:space="preserve">42992    </t>
  </si>
  <si>
    <t>42948 Водопроводная сеть г.Калуга, ул. Черновская_ протяж.125,5 п.м.</t>
  </si>
  <si>
    <t xml:space="preserve">42948    </t>
  </si>
  <si>
    <t>42947 Водопроводная сеть г.Калуга, д. Плетеневка_ протяж.2 п.м.</t>
  </si>
  <si>
    <t xml:space="preserve">42947    </t>
  </si>
  <si>
    <t>42945 Водопроводная сеть г.Калуга, ул.Черносвитинская, д.43_ протяж.9 п.м.</t>
  </si>
  <si>
    <t xml:space="preserve">42945    </t>
  </si>
  <si>
    <t>42942 Водопроводная сеть г.Калуга, д.Канищево_ протяж.14 п.м.</t>
  </si>
  <si>
    <t xml:space="preserve">42942    </t>
  </si>
  <si>
    <t>42941 Водопроводная сеть г.Калуга, ул. Отбойная, д.55_ протяж.22 п.м.</t>
  </si>
  <si>
    <t xml:space="preserve">42941    </t>
  </si>
  <si>
    <t>42938 Водопроводная сеть г.Калуга, пер. Советский (ООО ИПЦвет)_ протяж.4 п.м.</t>
  </si>
  <si>
    <t xml:space="preserve">42938    </t>
  </si>
  <si>
    <t>42937 Водопроводная сеть г.Калуга, д.Колюпаново, ул. Родниковая, д.10_ протяж.45 п.м.</t>
  </si>
  <si>
    <t xml:space="preserve">42937    </t>
  </si>
  <si>
    <t>42935 Водопроводная сеть г.Калуга, ул. Азаровская, д.28б_ протяж.344,5 п.м.</t>
  </si>
  <si>
    <t xml:space="preserve">42935    </t>
  </si>
  <si>
    <t>42984 Водопроводная сеть г.Калуга, ул. Анненки, д.45А_ протяж.5 п.м.</t>
  </si>
  <si>
    <t xml:space="preserve">42984    </t>
  </si>
  <si>
    <t>42957 Сети водоснабжения г.Калуга, ул.Советская_Три жилых многоэтажных дома_L=20,4</t>
  </si>
  <si>
    <t xml:space="preserve">42957    </t>
  </si>
  <si>
    <t>43009 Сети водоснабжения протяж.170 м Д315 (мкр.14 Правгород)</t>
  </si>
  <si>
    <t xml:space="preserve">43009    </t>
  </si>
  <si>
    <t>42955 Сети водоснабжения г.Калуга, ул.Сиреневый Бульвар</t>
  </si>
  <si>
    <t xml:space="preserve">42955    </t>
  </si>
  <si>
    <t>42879 Водопроводная сеть г.Калуга, пер.Яченский, д.22_ протяж. 10 п.м.</t>
  </si>
  <si>
    <t xml:space="preserve">42879    </t>
  </si>
  <si>
    <t>42877 Водопроводная сеть г.Калуга, ул. Тарутинская, д.2а_ протяж.74 п.м.</t>
  </si>
  <si>
    <t xml:space="preserve">42877    </t>
  </si>
  <si>
    <t>42875 Водопроводная сеть г.Калуга, ул. Промышленная, д.83_ протяж. 8,5 п.м.</t>
  </si>
  <si>
    <t xml:space="preserve">42875    </t>
  </si>
  <si>
    <t>42874 Водопроводная сеть г.Калуга, д.Лихун ул. 1-я Благодатная, д.10_ протяж. 19 п.м.</t>
  </si>
  <si>
    <t xml:space="preserve">42874    </t>
  </si>
  <si>
    <t>1489-п от 1611.2018.</t>
  </si>
  <si>
    <t>42825 Повысительная водопроводная насосная станция_"Правгород" 15 квартал</t>
  </si>
  <si>
    <t>28.11.2018</t>
  </si>
  <si>
    <t xml:space="preserve">42825    </t>
  </si>
  <si>
    <t>42780 Водопроводная сеть г.Калуга, ул.Тарутинская, д.231_L=1646 п.м</t>
  </si>
  <si>
    <t xml:space="preserve">42780    </t>
  </si>
  <si>
    <t>959-п от 18.08.2017</t>
  </si>
  <si>
    <t>42778 Водопроводная насосная станция_г.Калуга_ул.Тарутинская</t>
  </si>
  <si>
    <t xml:space="preserve">42778    </t>
  </si>
  <si>
    <t>42754 Водопроводная сеть г.Калуга, ул. Верховая, д.67_ протяж. 7,5 п.м.</t>
  </si>
  <si>
    <t>31.10.2018</t>
  </si>
  <si>
    <t xml:space="preserve">42754    </t>
  </si>
  <si>
    <t>42760 Водопроводная сеть г.Калуга, ул.Тарутинская, р-н Синие мосты_L=12,5 п.м</t>
  </si>
  <si>
    <t xml:space="preserve">42760    </t>
  </si>
  <si>
    <t>42756 Водопроводная сеть г.Калуга, ул. Овражная, р-н д.12_ протяж.3,5 п.м.</t>
  </si>
  <si>
    <t xml:space="preserve">42756    </t>
  </si>
  <si>
    <t>42742 Водопроводная сеть г.Калуга, пер.Дорожный, д.8_ L=23 п.м.</t>
  </si>
  <si>
    <t xml:space="preserve">42742    </t>
  </si>
  <si>
    <t>42700 Водопроводная сеть г.Калуга, ул. Московская, д.277, ч.2_ протяж. 6,0 п.м.</t>
  </si>
  <si>
    <t>30.09.2018</t>
  </si>
  <si>
    <t xml:space="preserve">42700    </t>
  </si>
  <si>
    <t>42697 Водопроводная сеть г.Калуга, ул.Социалистическая, д.2а_ L=672 п.м.</t>
  </si>
  <si>
    <t xml:space="preserve">42697    </t>
  </si>
  <si>
    <t>42695 Водопроводная сеть г.Калуга, ул.Кирова, д.9_ L=39 п.м.</t>
  </si>
  <si>
    <t xml:space="preserve">42695    </t>
  </si>
  <si>
    <t>42692 Артезианская скважина №2 (Лит.3) г.Калуга, с.Росва</t>
  </si>
  <si>
    <t xml:space="preserve">42692    </t>
  </si>
  <si>
    <t>42691 Водопроводные сети к жилым домам № 6,10 по ул.Моторной, № 7,9 по ул.Новаторской_L=9</t>
  </si>
  <si>
    <t xml:space="preserve">42691    </t>
  </si>
  <si>
    <t>42690 Водопроводная сеть г.Калуга, пер. Воскресенский, д.29_ L130,0 п.м.</t>
  </si>
  <si>
    <t xml:space="preserve">42690    </t>
  </si>
  <si>
    <t>42686 Хозяйственно-бытовой водопровод г.Калуга, ул. Тульское шоссе, д.57 Тренир. площ_ L34</t>
  </si>
  <si>
    <t xml:space="preserve">42686    </t>
  </si>
  <si>
    <t>42681 Водопроводная сеть г.Калуга, ул. Грабцевское шоссе,д.93 тренир.площадка _ L275,0 п.</t>
  </si>
  <si>
    <t xml:space="preserve">42681    </t>
  </si>
  <si>
    <t>991-п от 16.08.2018</t>
  </si>
  <si>
    <t>42699 Водопроводная сеть г.Калуга, с.Пригородное лесничество_ L=380 п.м.</t>
  </si>
  <si>
    <t xml:space="preserve">42699    </t>
  </si>
  <si>
    <t>42671 Водопроводная сеть г.Калуга, ул. Льва Толстого, д.2 _ протяж. 5 п.м.</t>
  </si>
  <si>
    <t xml:space="preserve">42671    </t>
  </si>
  <si>
    <t>42670 Водопроводная сеть г.Калуга, ул. Колхозная, д.34 _ протяж. 10,5 п.м.</t>
  </si>
  <si>
    <t xml:space="preserve">42670    </t>
  </si>
  <si>
    <t>42667 Водопроводная сеть г.Калуга, ул. Садовая, д.109, часть 2 _ протяж. 11,0 п.м.</t>
  </si>
  <si>
    <t xml:space="preserve">42667    </t>
  </si>
  <si>
    <t>2.5</t>
  </si>
  <si>
    <t>42668 Водопроводная сеть г.Калуга, ул. Майская, д.9 _ протяж. 2,5 п.м.</t>
  </si>
  <si>
    <t xml:space="preserve">42668    </t>
  </si>
  <si>
    <t>Счет №219 от 17.08.2018</t>
  </si>
  <si>
    <t>42663 Аппарат сварочный электромуфтовый Rijing Makina HDM 630 (20-630 мм)</t>
  </si>
  <si>
    <t>23.08.2018</t>
  </si>
  <si>
    <t xml:space="preserve">42663    </t>
  </si>
  <si>
    <t>42618 Водопроводная сеть г.Калуга, ул.Заокская, р-н д.1а _ протяж. 3,0 п.м.</t>
  </si>
  <si>
    <t>31.07.2018</t>
  </si>
  <si>
    <t xml:space="preserve">42618    </t>
  </si>
  <si>
    <t>г.Калуга, проезд Загородный 2-й, д.26</t>
  </si>
  <si>
    <t>42616 Водопроводная сеть г.Калуга, пр. 2-й Загородный, д.26 _ протяж. 10,0 п.м.</t>
  </si>
  <si>
    <t xml:space="preserve">42616    </t>
  </si>
  <si>
    <t>42583 Водопроводная сеть г.Калуга, д.Мстихино,пер. 2-ой Мстихинский, д.18_ протяж. 3 п.м.</t>
  </si>
  <si>
    <t>29.06.2018</t>
  </si>
  <si>
    <t xml:space="preserve">42583    </t>
  </si>
  <si>
    <t>42575 Водопроводная сеть г.Калуга, ул. Подгорная, д.1_ протяж. 5,0 п.м.</t>
  </si>
  <si>
    <t xml:space="preserve">42575    </t>
  </si>
  <si>
    <t>42588 Сети водоснабжения к ж/д №3 район ул.С.Туликова в районе д.2, Д160 мм протяж.68 м.п.</t>
  </si>
  <si>
    <t xml:space="preserve">42588    </t>
  </si>
  <si>
    <t>42567 Сети водоснабжения к мкр."Кошелев-Проект" в р-не д.Верховая, д.Квань (от колодца №1</t>
  </si>
  <si>
    <t xml:space="preserve">42567    </t>
  </si>
  <si>
    <t>42562 Сети водоснабжения к мкр."Кошелев-Проект" в р-не д.Верховая, д.Квань (от колодца №4</t>
  </si>
  <si>
    <t xml:space="preserve">42562    </t>
  </si>
  <si>
    <t>42553 Водопроводная сеть г.Калуга, ул. Ромодановские дворики, д.15_ протяж. 19,0 п.м.</t>
  </si>
  <si>
    <t>31.05.2018</t>
  </si>
  <si>
    <t xml:space="preserve">42553    </t>
  </si>
  <si>
    <t>42531 Водопроводная сеть г.Калуга, Индустриальный парк "Калуга-Юг"_ протяж. 14,0 п.м.</t>
  </si>
  <si>
    <t xml:space="preserve">42531    </t>
  </si>
  <si>
    <t>42530 Водопроводная сеть г.Калуга, ул. Новослободская, д.86, пом.2_ протяж. 25,0 п.м.</t>
  </si>
  <si>
    <t xml:space="preserve">42530    </t>
  </si>
  <si>
    <t>42527 Водопроводная сеть г.Калуга, пер. Тульский, д.26_ протяж. 23,0 п.м.</t>
  </si>
  <si>
    <t xml:space="preserve">42527    </t>
  </si>
  <si>
    <t>42526 Водопроводная сеть г.Калуга, ул.Тарутинская, д.104_ протяж. 24,0 п.м.</t>
  </si>
  <si>
    <t xml:space="preserve">42526    </t>
  </si>
  <si>
    <t>42325 Водопроводная сеть Калуга, д.Тинино, ул.Лесная_д.2в протяж. 84,5 п.м.</t>
  </si>
  <si>
    <t xml:space="preserve">42325    </t>
  </si>
  <si>
    <t>42516 Водопроводная сеть г.Калуга, ул.Луначарского, д.34_D=110, L=9м</t>
  </si>
  <si>
    <t xml:space="preserve">42516    </t>
  </si>
  <si>
    <t>г.Калуга, д.Шопино, ул.Новая, д.2Б</t>
  </si>
  <si>
    <t>42515 Водопроводная сеть г.Калуга, д. Шопино, ул.Новая, д.2б_D=32, L=6.5м</t>
  </si>
  <si>
    <t xml:space="preserve">42515    </t>
  </si>
  <si>
    <t>42491 Водопроводная сеть г.Калуга, c.Росва, ул.Советская, д.9а_D=32, L=24.0м</t>
  </si>
  <si>
    <t xml:space="preserve">42491    </t>
  </si>
  <si>
    <t>42446 Водопроводная сеть г.Калуга ул.Маяковского д.3 ч.2_D32,L30п.м.</t>
  </si>
  <si>
    <t xml:space="preserve">42446    </t>
  </si>
  <si>
    <t>42445 Водопроводная сеть г.Калуга, ул.Льва-Толстого, д.120, ч.1_D=32, L=4,5м</t>
  </si>
  <si>
    <t xml:space="preserve">42445    </t>
  </si>
  <si>
    <t>42444 Водопроводная сеть г.Калуга,д.Плетеневка,пр.4-йПолевой,д.22_ПЭ Д=32 L=4,5м</t>
  </si>
  <si>
    <t xml:space="preserve">42444    </t>
  </si>
  <si>
    <t xml:space="preserve">40:26:000297:2034-40/001/2017-1 </t>
  </si>
  <si>
    <t>248000, Калужская обл, Калуга г, Суворова ул, дом № 160</t>
  </si>
  <si>
    <t>42439 Повысительная насосная станция (ПНС) г.Калуга ул.Суворова д.160</t>
  </si>
  <si>
    <t>27.02.2018</t>
  </si>
  <si>
    <t xml:space="preserve">42439    </t>
  </si>
  <si>
    <t>42432 Водопроводная сеть г.Калуга, ул. Грабцевское шоссе, д.20_ L2 п.м.</t>
  </si>
  <si>
    <t xml:space="preserve">42432    </t>
  </si>
  <si>
    <t>42426 Водопроводная сеть г.Калуга, ул. Трамплинная д.43,ч.2 протяж. 3,3 п.м.</t>
  </si>
  <si>
    <t xml:space="preserve">42426    </t>
  </si>
  <si>
    <t>42425 Водопроводная сеть г. Калуга, ул. Советская д.20, протяж. 16,0 п.м.</t>
  </si>
  <si>
    <t xml:space="preserve">42425    </t>
  </si>
  <si>
    <t>42406 Водопроводная сеть г.Калуга, ул. Тульское шоссе,тренир.площадка _ L1360,0 п.м.</t>
  </si>
  <si>
    <t xml:space="preserve">42406    </t>
  </si>
  <si>
    <t>42396 Водопроводная сеть г.Калуга, проезд Крайний, д.10а, пом.1 _ d32 мм, L50,0 п.м.</t>
  </si>
  <si>
    <t xml:space="preserve">42396    </t>
  </si>
  <si>
    <t>42395 Водопроводная сеть г.Калуга, ул.Северная, д.48, п.2 _ d32 мм, L6,5 п.м.</t>
  </si>
  <si>
    <t xml:space="preserve">42395    </t>
  </si>
  <si>
    <t>42394 Водопроводная сеть г.Калуга, ул.1-й Красноармейский переулок, д.4а _ d25 мм, L13,0</t>
  </si>
  <si>
    <t xml:space="preserve">42394    </t>
  </si>
  <si>
    <t>42393 Водопроводная сеть г.Калуга, ул.Черносвитинская д.27 _ d32 мм, L17,0 п.м.</t>
  </si>
  <si>
    <t xml:space="preserve">42393    </t>
  </si>
  <si>
    <t>42418 Водопроводная сеть г.Калуга, ул. Поле Свободы (р-н Московская, д.84)</t>
  </si>
  <si>
    <t xml:space="preserve">42418    </t>
  </si>
  <si>
    <t>Калужская область, г.Калуга, д.Григоровка, д.2в</t>
  </si>
  <si>
    <t>42397 Водопроводная сеть г.Калуга, д. Григоровка, д.2в _ d32 мм, L21,0 п.м.</t>
  </si>
  <si>
    <t xml:space="preserve">42397    </t>
  </si>
  <si>
    <t>42401 Водопроводная сеть г.Калуга, ул. Грабцевское шоссе,тренир.площадка _ L21,0 п.м.</t>
  </si>
  <si>
    <t xml:space="preserve">42401    </t>
  </si>
  <si>
    <t>42390 Водопроводная сеть г.Калуга,д.Ромоданово ул.Заречная д.66 _ d32 мм, L19,4 п.м.</t>
  </si>
  <si>
    <t>30.11.2017</t>
  </si>
  <si>
    <t xml:space="preserve">42390    </t>
  </si>
  <si>
    <t>42385 Водопроводная сеть г.Калуга, ул.Дачная д.11 d32 мм, L16,5 п.м.</t>
  </si>
  <si>
    <t xml:space="preserve">42385    </t>
  </si>
  <si>
    <t>42378 Водопроводная сеть г.Калуга, ул.Дмитриева, д.15, пом.1, д.15 пом.2, д,17 протяж. 40,</t>
  </si>
  <si>
    <t xml:space="preserve">42378    </t>
  </si>
  <si>
    <t>Калужская область, г. Калуга, ул. Трамплинная, д. 11</t>
  </si>
  <si>
    <t>42376 Водопроводная сеть г.Калуга, ул.Трамплинная, д.11 протяж 6,0 п.м</t>
  </si>
  <si>
    <t xml:space="preserve">42376    </t>
  </si>
  <si>
    <t>42377 Водопроводная сеть г.Калуга, ул.Верховая, д.17А протяж.13,0 п.м</t>
  </si>
  <si>
    <t xml:space="preserve">42377    </t>
  </si>
  <si>
    <t>42330 Водопровдная сеть г.Калуга, пр.Домостроителей , д.2 протяж. 27,4 п.м</t>
  </si>
  <si>
    <t xml:space="preserve">42330    </t>
  </si>
  <si>
    <t>598 от 21.11.2017</t>
  </si>
  <si>
    <t>42318 Преобразователь частоты Advanced Control ADV 22.0 M420-M, 380B (3 фазы), 22/18,5 кВт</t>
  </si>
  <si>
    <t>21.11.2017</t>
  </si>
  <si>
    <t xml:space="preserve">42318    </t>
  </si>
  <si>
    <t>1114- п от 25.09.2017</t>
  </si>
  <si>
    <t>42369 Здание артезианской скважины № 2 _г.Калуга, п.Новый</t>
  </si>
  <si>
    <t xml:space="preserve">42369    </t>
  </si>
  <si>
    <t>42368 Здание артезианской скважины _г.Калуга, п.Новый</t>
  </si>
  <si>
    <t xml:space="preserve">42368    </t>
  </si>
  <si>
    <t>248002, Калужская обл, Калуга г, Никитина ул, дом № 49</t>
  </si>
  <si>
    <t>42349 Водопроводная сеть г.Калуга, ул. Никитина, д.49 протяж. 50 м</t>
  </si>
  <si>
    <t xml:space="preserve">42349    </t>
  </si>
  <si>
    <t>248002, Калужская обл, Калуга г, Никитина ул, дом № 67</t>
  </si>
  <si>
    <t>42347 Водопроводная сеть г.Калуга, ул. Никитина, д.67 протяж.37 м</t>
  </si>
  <si>
    <t xml:space="preserve">42347    </t>
  </si>
  <si>
    <t>248000, Калужская обл, Калуга г, Баумана ул, дом № 28</t>
  </si>
  <si>
    <t>42343 Водопроводная сеть г.Калуга, ул.Баумана, д.28 протяж.11 м</t>
  </si>
  <si>
    <t xml:space="preserve">42343    </t>
  </si>
  <si>
    <t>42309 Водопроводная сеть г.Калуга, ул.Комсомольская роща, д.39 протяж. 27,0 п.м.</t>
  </si>
  <si>
    <t xml:space="preserve">42309    </t>
  </si>
  <si>
    <t>42308 Водопроводная сетьг.Калуга,СНТ "Калужтрансстроя, облсовпрофа и учителей"уч.99а,98,10</t>
  </si>
  <si>
    <t xml:space="preserve">42308    </t>
  </si>
  <si>
    <t>42306 Водопроводная сеть Калуга г, ул.Ромодановские дворики, д.63а протяж. 23,5 п.м</t>
  </si>
  <si>
    <t xml:space="preserve">42306    </t>
  </si>
  <si>
    <t>Калужская область, г. Калуга, ул. Ромодановская, д. 27Б</t>
  </si>
  <si>
    <t>42304 Водопроводная сеть Калуга г, ул. Ромодановская, д.27 протяж. 1,0 п.м</t>
  </si>
  <si>
    <t xml:space="preserve">42304    </t>
  </si>
  <si>
    <t>42303 Водопроводная сеть Калуга г, д. Тинино, ул. Лесная, д.25протяж. 9,0 п.м.</t>
  </si>
  <si>
    <t xml:space="preserve">42303    </t>
  </si>
  <si>
    <t>248926, Калужская обл, Ферзиковский р-н, Горневская Слобода д</t>
  </si>
  <si>
    <t>929-п от 14.08.2017</t>
  </si>
  <si>
    <t>42275 Водопровод _Ферзиковский район, д. Горнеевская Слобода_протяж.1705 п.м</t>
  </si>
  <si>
    <t>12.10.2017</t>
  </si>
  <si>
    <t xml:space="preserve">42275    </t>
  </si>
  <si>
    <t>42218 Водопроводная сеть г.Калуга, д,Тинино, ул.Лесная, д.44, ч.2</t>
  </si>
  <si>
    <t>31.08.2017</t>
  </si>
  <si>
    <t xml:space="preserve">42218    </t>
  </si>
  <si>
    <t>42217 Водопроводная сеть г.Калуга, д,Петрово, д.21б</t>
  </si>
  <si>
    <t xml:space="preserve">42217    </t>
  </si>
  <si>
    <t>Калужская область, г.Калуга, пер.Колхозный, д.10</t>
  </si>
  <si>
    <t>42216 Водопроводная сеть г.Калуга, пер.Колхозный, д. 10, протяж.8 м</t>
  </si>
  <si>
    <t xml:space="preserve">42216    </t>
  </si>
  <si>
    <t>42213 Водопроводная сеть г.Калуга пос.Новый д.8б СНТ "Горняк-3" уч.45 L=2,0 п.м.</t>
  </si>
  <si>
    <t>16.08.2017</t>
  </si>
  <si>
    <t xml:space="preserve">42213    </t>
  </si>
  <si>
    <t>42214 Водопроводная сеть г.Калуга ул.Тарутинская д.46 L=10,0 п.м.</t>
  </si>
  <si>
    <t>02.08.2017</t>
  </si>
  <si>
    <t xml:space="preserve">42214    </t>
  </si>
  <si>
    <t>42215 Водопроводная сеть г.Калуга ул.Песчаная д.68 L=17,0 п.м.</t>
  </si>
  <si>
    <t>01.08.2017</t>
  </si>
  <si>
    <t xml:space="preserve">42215    </t>
  </si>
  <si>
    <t>42211 Водопроводная сеть в районе пр.Домостроителей д.Мстихино L=13,3 п.м.</t>
  </si>
  <si>
    <t xml:space="preserve">42211    </t>
  </si>
  <si>
    <t>42180 Водопровод Д=32 мм г.Калуга, д.Мстихино, ул.Центральная, д.52</t>
  </si>
  <si>
    <t>31.07.2017</t>
  </si>
  <si>
    <t xml:space="preserve">42180    </t>
  </si>
  <si>
    <t>42165 Сети водоснабжения_ ул.Кибальчича д.8 г.Калуга</t>
  </si>
  <si>
    <t xml:space="preserve">42165    </t>
  </si>
  <si>
    <t>41480 Внеплощадочные сети водоснабжения, г.Калуга, д.Плетеневка, ул.Набережная, дом 51</t>
  </si>
  <si>
    <t>10.07.2017</t>
  </si>
  <si>
    <t xml:space="preserve">41480    </t>
  </si>
  <si>
    <t>41474 Внеплощадочная водопроводная сеть Д=32 мм протяж.12 п.м. г.Калуга ул.Чистые ключи,</t>
  </si>
  <si>
    <t>03.07.2017</t>
  </si>
  <si>
    <t xml:space="preserve">41474    </t>
  </si>
  <si>
    <t>42147 Водопровод хозяйственно-противопожарный внеплощадочный_водозабор д.Мстихино (L=1260,</t>
  </si>
  <si>
    <t xml:space="preserve">42147    </t>
  </si>
  <si>
    <t>42146 Внеплощадочные сети водоснабжения_водозабор д.Мстихино (L=400,00 п.м.)</t>
  </si>
  <si>
    <t xml:space="preserve">42146    </t>
  </si>
  <si>
    <t>42144 Сети водоснабжения 1 линия д.Карачево</t>
  </si>
  <si>
    <t xml:space="preserve">42144    </t>
  </si>
  <si>
    <t xml:space="preserve">дог.Т34/09-19 от 01.09.2016 </t>
  </si>
  <si>
    <t>42128 Водопроводная сеть ул.Хрустальная д.22_ 91,0 п.м.</t>
  </si>
  <si>
    <t xml:space="preserve">42128    </t>
  </si>
  <si>
    <t>42103 Водопроводная сеть Д=315 мм (ПЭ) адресу: г.Калуга, ул.Тарутинская, от д.№50 до д.№66</t>
  </si>
  <si>
    <t xml:space="preserve">42103    </t>
  </si>
  <si>
    <t>42139 Сети водоснабжения_ ул.Северная д.87 пом.2</t>
  </si>
  <si>
    <t>26.06.2017</t>
  </si>
  <si>
    <t xml:space="preserve">42139    </t>
  </si>
  <si>
    <t>г.Калуга, ул.Михалевская, д.21</t>
  </si>
  <si>
    <t>42138 Сети водоснабжения_ ул.Михалевская д.21</t>
  </si>
  <si>
    <t>22.06.2017</t>
  </si>
  <si>
    <t xml:space="preserve">42138    </t>
  </si>
  <si>
    <t>42136 Сети водоснабжения_ ул.Калужская д.10</t>
  </si>
  <si>
    <t xml:space="preserve">42136    </t>
  </si>
  <si>
    <t>Калужская область, г. Калуга, д. Шопино, д. 50 часть 2</t>
  </si>
  <si>
    <t>42131 Водопроводная сеть д.Шопино д50</t>
  </si>
  <si>
    <t>07.06.2017</t>
  </si>
  <si>
    <t xml:space="preserve">42131    </t>
  </si>
  <si>
    <t>42132 Наружные сети водоснабжения_г.Калуга_ул.Октябрьская_район дома 17</t>
  </si>
  <si>
    <t xml:space="preserve">42132    </t>
  </si>
  <si>
    <t>42130 Водопроводная сеть ул.Городенская д.2а и д.3а</t>
  </si>
  <si>
    <t xml:space="preserve">42130    </t>
  </si>
  <si>
    <t>42100 Водопроводная сеть внеплощад._г.Калуга ул.Чистые ключи, д.16а</t>
  </si>
  <si>
    <t>30.05.2017</t>
  </si>
  <si>
    <t xml:space="preserve">42100    </t>
  </si>
  <si>
    <t>г.Калуга, д.Тинино, ул.Лесная, д.68Б</t>
  </si>
  <si>
    <t>42080 Водопроводная сеть внеплощад._г.Калуга д.Тинино ул.Лесная, д.68Б</t>
  </si>
  <si>
    <t>17.05.2017</t>
  </si>
  <si>
    <t xml:space="preserve">42080    </t>
  </si>
  <si>
    <t>г.Калуга д.Плетеневка ул.Торф д.19</t>
  </si>
  <si>
    <t>42079 Водопроводная сеть внеплощад._г.Калуга д.Плетеневка ул.Торф д.19</t>
  </si>
  <si>
    <t>16.05.2017</t>
  </si>
  <si>
    <t xml:space="preserve">42079    </t>
  </si>
  <si>
    <t>42077 Водопроводная сеть внеплощад._г.Калуга ул.Советская д.120а</t>
  </si>
  <si>
    <t xml:space="preserve">42077    </t>
  </si>
  <si>
    <t>Калужская обл, Калуга г, Тинино д, Лесная ул, дом № 76</t>
  </si>
  <si>
    <t>42055 Водопроводная сеть г.Калуга д.Тинино, ул.Лесная, д.76</t>
  </si>
  <si>
    <t>03.04.2017</t>
  </si>
  <si>
    <t xml:space="preserve">42055    </t>
  </si>
  <si>
    <t>249381, Калужская обл, Калуга г, Крутицы д</t>
  </si>
  <si>
    <t>42036 Водопроводные сети Ду32 мм_д.Крутицы г.Калуга</t>
  </si>
  <si>
    <t>29.03.2017</t>
  </si>
  <si>
    <t xml:space="preserve">42036    </t>
  </si>
  <si>
    <t>дог.41/12-16 от 01.12.16</t>
  </si>
  <si>
    <t>42039 Водопроводные сети _г.Калуга, ул.Пухова, д.31,33</t>
  </si>
  <si>
    <t>27.03.2017</t>
  </si>
  <si>
    <t xml:space="preserve">42039    </t>
  </si>
  <si>
    <t>248010, Калужская обл, Калуга г, Комсомольская Роща ул, дом № 39</t>
  </si>
  <si>
    <t>42037 Водопроводные сети Ду32 мм_г.Калуга, ул.Комсомольская Роща, д.39</t>
  </si>
  <si>
    <t>07.03.2017</t>
  </si>
  <si>
    <t xml:space="preserve">42037    </t>
  </si>
  <si>
    <t>248000, Калужская обл, Калуга г, Добровольского ул, дом № 15</t>
  </si>
  <si>
    <t>42038 Водопроводные сети Ду32 мм_г.Калуга, ул.Добровольского, д.15</t>
  </si>
  <si>
    <t>01.03.2017</t>
  </si>
  <si>
    <t xml:space="preserve">42038    </t>
  </si>
  <si>
    <t>42018 Водопроводная сеть Калуга г, ул.Льва Толстого, дом 39</t>
  </si>
  <si>
    <t>20.02.2017</t>
  </si>
  <si>
    <t xml:space="preserve">42018    </t>
  </si>
  <si>
    <t>41472 Водопроводная сеть г.Калуга 2-й пер Брусничный, дом № 10</t>
  </si>
  <si>
    <t>08.02.2017</t>
  </si>
  <si>
    <t xml:space="preserve">41472    </t>
  </si>
  <si>
    <t>42017 Водопроводная внеплощадочная сеть к зданию Городского рынка</t>
  </si>
  <si>
    <t>03.02.2017</t>
  </si>
  <si>
    <t xml:space="preserve">42017    </t>
  </si>
  <si>
    <t>г.Калуга, ул.Окская ветка, д.12</t>
  </si>
  <si>
    <t>41481 Водопроводная сеть Калуга г, Окская ветка ул, дом № 12, корпус А</t>
  </si>
  <si>
    <t>01.02.2017</t>
  </si>
  <si>
    <t xml:space="preserve">41481    </t>
  </si>
  <si>
    <t>41473 Водопроводная сеть г.Калуга ул. Л.Толстого, дом № 36</t>
  </si>
  <si>
    <t xml:space="preserve">41473    </t>
  </si>
  <si>
    <t>42008 Водопроводная сеть Ду=32 мм, протяж. 45,5 п.м. г.Калуга, д.Канищево, ул.Писарева, д.</t>
  </si>
  <si>
    <t>31.01.2017</t>
  </si>
  <si>
    <t xml:space="preserve">42008    </t>
  </si>
  <si>
    <t>Калужская область, г. Калуга, ул. Новая, д. 34, пом.2</t>
  </si>
  <si>
    <t>42007 Водопроводная сеть Ду=32 мм, протяж. 11,0 п.м. г.Калуга ул.Новая,д.34, пом.2</t>
  </si>
  <si>
    <t xml:space="preserve">42007    </t>
  </si>
  <si>
    <t>42006 Водопроводная сеть Ду=32 мм, протяж. 11,0 п.м. г.Калуга п.Новый, с/т Горняк-3</t>
  </si>
  <si>
    <t xml:space="preserve">42006    </t>
  </si>
  <si>
    <t>42005 Водопроводная сеть Ду=32 мм, протяж. 12,7 п.м. г.Калуга ул.Стеклянников Сад д.54</t>
  </si>
  <si>
    <t xml:space="preserve">42005    </t>
  </si>
  <si>
    <t>г.Калуга, ул.Добровольского, д.17</t>
  </si>
  <si>
    <t>42004 Водопроводная сеть Ду=32 мм, протяж. 17,7 п.м. г.Калуга ул.Добровольского д.17</t>
  </si>
  <si>
    <t xml:space="preserve">42004    </t>
  </si>
  <si>
    <t>42003 Водопроводная сеть Ду=32 мм, протяж. 10,0 п.м. г.Калуга ул.Песчаная д.18</t>
  </si>
  <si>
    <t xml:space="preserve">42003    </t>
  </si>
  <si>
    <t>41951 Водопровод Д=110 мм г.Калуга, п.Мстихино, ул.Центральная, д.47-49, д.50-56</t>
  </si>
  <si>
    <t xml:space="preserve">41951    </t>
  </si>
  <si>
    <t>41950 Водопроводная сеть Ду=32 мм, протяж. 15,0 п.м. г.Калуга ул.Северная д.78</t>
  </si>
  <si>
    <t xml:space="preserve">41950    </t>
  </si>
  <si>
    <t>41948 Водопроводная сеть Ду=32 мм, протяж. 11,0 п.м. г.Калуга ул.Луговая д.10</t>
  </si>
  <si>
    <t xml:space="preserve">41948    </t>
  </si>
  <si>
    <t>41946 Водопроводная сеть в две линии Ду=100 мм, протяж. 138,0 п.м. г.Калуга ул.Тарутинская</t>
  </si>
  <si>
    <t xml:space="preserve">41946    </t>
  </si>
  <si>
    <t>41945 Водопроводная сеть в две линии Ду=110 мм, протяж. каждой 5,0 п.м. г.Калуга ул.Пестел</t>
  </si>
  <si>
    <t xml:space="preserve">41945    </t>
  </si>
  <si>
    <t>Калужская область, г. Калуга, д. Колюпаново, проезд 4-й Родниковый, д.8</t>
  </si>
  <si>
    <t>41942 Водопроводная сеть г.Калуга д.Колюпаново, 4-ый Родниковый проезд д.8</t>
  </si>
  <si>
    <t xml:space="preserve">41942    </t>
  </si>
  <si>
    <t>41941 Магистральные сети водопровода по ул.Фомушина г.Калуга</t>
  </si>
  <si>
    <t xml:space="preserve">41941    </t>
  </si>
  <si>
    <t>41940 Внеплощадочные водопроводные сети (10 квартал) г.Калуга ул. Серафима Туликова</t>
  </si>
  <si>
    <t xml:space="preserve">41940    </t>
  </si>
  <si>
    <t>41939 Сети водоснабжения внеплощадочные ул.Октябрьская д.17</t>
  </si>
  <si>
    <t xml:space="preserve">41939    </t>
  </si>
  <si>
    <t>41893 Водопроводная сеть г.Калуга, Новослободский проезд, р-н Гк Прогресс</t>
  </si>
  <si>
    <t xml:space="preserve">41893    </t>
  </si>
  <si>
    <t>41892 Водопроводная сеть г.Калуга, пер.Средний, д.10</t>
  </si>
  <si>
    <t xml:space="preserve">41892    </t>
  </si>
  <si>
    <t>г.Калуга, д.Канищево, ул.Писарева, д.18</t>
  </si>
  <si>
    <t>41891 Водопроводная сеть г.Калуга, д.Канищево, ул.Писарева, д.18</t>
  </si>
  <si>
    <t xml:space="preserve">41891    </t>
  </si>
  <si>
    <t>41890 Водопроводная сеть г.Калуга, д.Рождествено, переулок 1-й Новорождественский, д.3</t>
  </si>
  <si>
    <t xml:space="preserve">41890    </t>
  </si>
  <si>
    <t>41486 Водопроводная сеть Калуга г, Пестеля 1-й пер., дом № 46</t>
  </si>
  <si>
    <t xml:space="preserve">41486    </t>
  </si>
  <si>
    <t>Калужская область, г. Калуга, ул. Верховая, д. 15</t>
  </si>
  <si>
    <t>41482 Водопроводная сеть Калуга г, Верховая ул, дом № 15, протяж.10 м</t>
  </si>
  <si>
    <t xml:space="preserve">41482    </t>
  </si>
  <si>
    <t>41479 Водопроводная сеть Калуга г, Пучково д, Центральная ул, дом № 74, корпус Б</t>
  </si>
  <si>
    <t xml:space="preserve">41479    </t>
  </si>
  <si>
    <t>41470 Водопроводная сеть Д=32 протяж.8 п.м. г.Калуга пер.Резервный д.33</t>
  </si>
  <si>
    <t xml:space="preserve">41470    </t>
  </si>
  <si>
    <t>41882 Повысительный насос КМ 80-50-200</t>
  </si>
  <si>
    <t>30.11.2016</t>
  </si>
  <si>
    <t xml:space="preserve">41882    </t>
  </si>
  <si>
    <t>41881 Повысительный насос КМ 80-50-200</t>
  </si>
  <si>
    <t xml:space="preserve">41881    </t>
  </si>
  <si>
    <t>41880 Повысительный насос КМ 80-50-200</t>
  </si>
  <si>
    <t xml:space="preserve">41880    </t>
  </si>
  <si>
    <t>41609 Задвижка с обрезин.клином 30ч39р - 500</t>
  </si>
  <si>
    <t>21.11.2016</t>
  </si>
  <si>
    <t xml:space="preserve">41609    </t>
  </si>
  <si>
    <t>г.Калуга, с/т "Зеленая Горка"</t>
  </si>
  <si>
    <t>41601 Внеплощадочные сети водоснабжения, г.Калуга, с/т Зеленая горка</t>
  </si>
  <si>
    <t>31.10.2016</t>
  </si>
  <si>
    <t xml:space="preserve">41601    </t>
  </si>
  <si>
    <t>41600 Внеплощадочные сети водоснабжения, г.Калуга, д.Мстихино ул.Горная д.5</t>
  </si>
  <si>
    <t xml:space="preserve">41600    </t>
  </si>
  <si>
    <t>41597 Водопроводная сеть Д32 протяж.19.5 п.м., г.Калуга, ул.Добровольского, д.27</t>
  </si>
  <si>
    <t xml:space="preserve">41597    </t>
  </si>
  <si>
    <t>41596 Внеплощадочные сети водоснабжения, г.Калуга, ул.Заречная, д.87</t>
  </si>
  <si>
    <t xml:space="preserve">41596    </t>
  </si>
  <si>
    <t>41602 Водопроводная сеть Д32 протяж.43 п.м., г.Калуга, ул.Полесская, д.19</t>
  </si>
  <si>
    <t xml:space="preserve">41602    </t>
  </si>
  <si>
    <t>41599 Внеплощадочные сети водоснабжения, г.Калуга, ул.Новая д.42</t>
  </si>
  <si>
    <t xml:space="preserve">41599    </t>
  </si>
  <si>
    <t>г.Калуга, ул.Песчаная, д.56</t>
  </si>
  <si>
    <t>41598 Внеплощадочные сети водоснабжения, г.Калуга, ул.Песчаная д.56</t>
  </si>
  <si>
    <t xml:space="preserve">41598    </t>
  </si>
  <si>
    <t>41537 Задвижка обрез.кл. ДУ400 РУ10 EPDM до 120гр.</t>
  </si>
  <si>
    <t>29.09.2016</t>
  </si>
  <si>
    <t xml:space="preserve">41537    </t>
  </si>
  <si>
    <t>41540 Сети водоснабжения внеплощадочные МТЦ "Лента"</t>
  </si>
  <si>
    <t xml:space="preserve">41540    </t>
  </si>
  <si>
    <t>41475 Водопроводная сеть Сдт Коммунальник тер, Западная ул, дом № 13</t>
  </si>
  <si>
    <t>31.07.2016</t>
  </si>
  <si>
    <t xml:space="preserve">41475    </t>
  </si>
  <si>
    <t>40-40/001-40/001/018/2015-1145/2</t>
  </si>
  <si>
    <t>248000, Калужская обл, Калуга г, Димитрова ул</t>
  </si>
  <si>
    <t>125-п от 10.02.2016</t>
  </si>
  <si>
    <t>41497 Наружные сети водопровода, протяж. 22 м г. Калуга ул. Димитрова д.1</t>
  </si>
  <si>
    <t xml:space="preserve">41497    </t>
  </si>
  <si>
    <t>40-40-01/026/2014-034</t>
  </si>
  <si>
    <t>248918, Калужская обл, Калуга г, Новый с</t>
  </si>
  <si>
    <t>41496 Водопроводная сеть протяж. 493 п.м. г. Калуга с. Новый</t>
  </si>
  <si>
    <t xml:space="preserve">41496    </t>
  </si>
  <si>
    <t>40-40-01/005/2013-494</t>
  </si>
  <si>
    <t>248002, Калужская обл, Калуга г, Николо-Козинская ул, дом № 77а</t>
  </si>
  <si>
    <t>41495 Водопроводная сеть протяж. 4 п.м. (лит.I) г. Калуга ул.Николо-Козинская, 77 а</t>
  </si>
  <si>
    <t xml:space="preserve">41495    </t>
  </si>
  <si>
    <t>40-40-01/071/2012-333</t>
  </si>
  <si>
    <t>248031, Калужская обл, Калуга г, Ильинка д</t>
  </si>
  <si>
    <t>521-п от 20.05.2016</t>
  </si>
  <si>
    <t>41507 Водопроводная сеть_д.Ильинка_1489п.м</t>
  </si>
  <si>
    <t xml:space="preserve">41507    </t>
  </si>
  <si>
    <t>40-40-01/062/2014-307</t>
  </si>
  <si>
    <t>248921, Калужская обл, Калуга г, Шопино д</t>
  </si>
  <si>
    <t>41506 Водопроводная сеть_д.Шопино</t>
  </si>
  <si>
    <t xml:space="preserve">41506    </t>
  </si>
  <si>
    <t>40-40-01/027/2013-033</t>
  </si>
  <si>
    <t>248008, Калужская обл, Калуга г, Тарутинская ул, дом № 231</t>
  </si>
  <si>
    <t>41505 Водопроводная сеть_ул.Тарутинская д.231</t>
  </si>
  <si>
    <t xml:space="preserve">41505    </t>
  </si>
  <si>
    <t>40-40-01/034/2013-629</t>
  </si>
  <si>
    <t>248008, Калужская обл, Калуга г, Северный пер от д.5 до д.19</t>
  </si>
  <si>
    <t>41504 Наружные водопроводные сети к домовладениям_пер.Северный от д.5 до д.19</t>
  </si>
  <si>
    <t xml:space="preserve">41504    </t>
  </si>
  <si>
    <t>40-40-01/034/2013-641</t>
  </si>
  <si>
    <t>248017, Калужская обл, Калуга г, Строительный пер, дом № 4-12/2 и к д. №255 по ул. Московская</t>
  </si>
  <si>
    <t>41503 Водопроводные сети к жилым домам №№4-12/2 по пер.Строительный и к ж.д.№255 по ул.Мос</t>
  </si>
  <si>
    <t xml:space="preserve">41503    </t>
  </si>
  <si>
    <t>40-40/001-40/001-40/001/069/2015-180/1</t>
  </si>
  <si>
    <t>248033, Калужская обл, Калуга г, Сиреневый б-р, дом № 4, корпус 1</t>
  </si>
  <si>
    <t>651-п от 04.07.2016</t>
  </si>
  <si>
    <t>41501 Наружные сети водопровода_г.Калуга Сиреневый б-р, д.4 корп.1</t>
  </si>
  <si>
    <t>04.07.2016</t>
  </si>
  <si>
    <t xml:space="preserve">41501    </t>
  </si>
  <si>
    <t>41484 Водопроводная сеть Калуга г, Пухова ул, дом № 35</t>
  </si>
  <si>
    <t xml:space="preserve">41484    </t>
  </si>
  <si>
    <t>41469 Насосный агрегат 1К150-125-315 с эл. дв. 30кВт</t>
  </si>
  <si>
    <t>03.06.2016</t>
  </si>
  <si>
    <t xml:space="preserve">41469    </t>
  </si>
  <si>
    <t>248032, Калужская обл, Калуга г, Турынинские Дворики ул</t>
  </si>
  <si>
    <t>41409 Водопроводные сети г. Калуга ул. Турынинские Дворики</t>
  </si>
  <si>
    <t>28.01.2016</t>
  </si>
  <si>
    <t xml:space="preserve">41409    </t>
  </si>
  <si>
    <t>248032, Калужская обл, Калуга г, Ждамировская ул, дом № 10</t>
  </si>
  <si>
    <t>41408 Водопроводные сети г. Калуга ул. Ждамировская</t>
  </si>
  <si>
    <t xml:space="preserve">41408    </t>
  </si>
  <si>
    <t>дог.8 от 29.04.11</t>
  </si>
  <si>
    <t>41299 Водопроводные внеплощадочные сети с.Воскресенское</t>
  </si>
  <si>
    <t xml:space="preserve">41299    </t>
  </si>
  <si>
    <t>41235 Водопроводная камера на сетях водоснабжения с установкой ЗРА г.Калуга</t>
  </si>
  <si>
    <t>24.12.2015</t>
  </si>
  <si>
    <t xml:space="preserve">41235    </t>
  </si>
  <si>
    <t>248033, Калужская обл, Калуга г, 65 лет Победы ул, дом № 20</t>
  </si>
  <si>
    <t>40789 Водопроводная сеть г.Калуга ул. 65 лет Победы д.20</t>
  </si>
  <si>
    <t xml:space="preserve">40789    </t>
  </si>
  <si>
    <t>248009, Калужская обл, Калуга г, Грабцевское шоссе ул, дом № 115</t>
  </si>
  <si>
    <t>1188-п от 20.11.2015</t>
  </si>
  <si>
    <t>41233 Водопровод хозяйственно-питьевой протяж. 1943 м г. Калуга, Грабцевское шоссе, д.115</t>
  </si>
  <si>
    <t xml:space="preserve">41233    </t>
  </si>
  <si>
    <t>248012, Калужская обл, Калуга г, Кибальчича ул, дом № 17, корпус а</t>
  </si>
  <si>
    <t>41225 Сети водопровода_ Калуга г. ул. Кибальчича, д. 17 а протяж. 39 п.м.</t>
  </si>
  <si>
    <t xml:space="preserve">41225    </t>
  </si>
  <si>
    <t>41223 Задвижка с обрезинен. клином DN300 PN16 со штурвалом</t>
  </si>
  <si>
    <t>02.11.2015</t>
  </si>
  <si>
    <t xml:space="preserve">41223    </t>
  </si>
  <si>
    <t>41222 Задвижка с обрезинен. клином DN300 PN16 со штурвалом</t>
  </si>
  <si>
    <t xml:space="preserve">41222    </t>
  </si>
  <si>
    <t>41173 Электростанция сварочная WS 230DC ES бензиновая с электростартером</t>
  </si>
  <si>
    <t>28.10.2015</t>
  </si>
  <si>
    <t xml:space="preserve">41173    </t>
  </si>
  <si>
    <t>41190 Водопроводная сеть мкрн."Лесное"_п.Колюпаново г.Калуга</t>
  </si>
  <si>
    <t>23.10.2015</t>
  </si>
  <si>
    <t xml:space="preserve">41190    </t>
  </si>
  <si>
    <t>41161 Сети водоснабжения ул.Трамплинная (от ВК1 до ВК5)</t>
  </si>
  <si>
    <t>02.09.2015</t>
  </si>
  <si>
    <t xml:space="preserve">41161    </t>
  </si>
  <si>
    <t>г.Калуга, ул.Врубовая д.45, пер.Вагонный, д.15</t>
  </si>
  <si>
    <t>41039 Сети водопровода г.Калуга, ул.Врубовая д.45, пер.Вагонный, д.15</t>
  </si>
  <si>
    <t xml:space="preserve">41039    </t>
  </si>
  <si>
    <t>г. Калуга д. Жерело д. б/н</t>
  </si>
  <si>
    <t>41034 Водонапорная башня г. Калуга д. Жерело, д. б/н</t>
  </si>
  <si>
    <t xml:space="preserve">41034    </t>
  </si>
  <si>
    <t>г.Калуга к ж.д. по ул.Московская, Весенняя, Открытая, Комсомольская, пер. Комсомольский</t>
  </si>
  <si>
    <t>41032 Наруж.сети водопровода г.Калуга к ж.д. по ул.Московская,Весенняя,Открытая,Комсом.,пе</t>
  </si>
  <si>
    <t xml:space="preserve">41032    </t>
  </si>
  <si>
    <t>г.Калуга ул.Маяковского, д.55</t>
  </si>
  <si>
    <t>41065 Водопроводная сеть г.Калуга ул.Маяковского, д.55</t>
  </si>
  <si>
    <t xml:space="preserve">41065    </t>
  </si>
  <si>
    <t>г.Калуга ул.Советская д.20</t>
  </si>
  <si>
    <t>41040 Водопроводная сеть г.Калуга ул.Советская д.20</t>
  </si>
  <si>
    <t xml:space="preserve">41040    </t>
  </si>
  <si>
    <t>г.Калуга ул.М.Горького, д.37, д.39</t>
  </si>
  <si>
    <t>41030 Водопроводная сеть (лит.I) г.Калуга ул.М.Горького, д.37, д.39</t>
  </si>
  <si>
    <t xml:space="preserve">41030    </t>
  </si>
  <si>
    <t>г. Калуга, ул. Кирова, д.11, д.13</t>
  </si>
  <si>
    <t>41066 Водопроводная сеть г. Калуга, ул. Кирова, д.11, д.13</t>
  </si>
  <si>
    <t xml:space="preserve">41066    </t>
  </si>
  <si>
    <t>г. Калуга ул. Михайловская, Яновских. Солнечная, Сретенская</t>
  </si>
  <si>
    <t>41041 Водопроводная сеть г. Калуга ул. Михайловская, Яновских. Солнечная, Сретенская</t>
  </si>
  <si>
    <t xml:space="preserve">41041    </t>
  </si>
  <si>
    <t>г. Калуга ул.Кубяка, д.3а</t>
  </si>
  <si>
    <t>41044 Водопроводная сеть (лит.I) г. Калуга ул.Кубяка, д.3а</t>
  </si>
  <si>
    <t xml:space="preserve">41044    </t>
  </si>
  <si>
    <t>г.Калуга, с.Муратовка, ул.Малая Лесная</t>
  </si>
  <si>
    <t>41061 Наружные сети водопровода (лит.I) г.Калуга, с.Муратовка, ул.Малая Лесная</t>
  </si>
  <si>
    <t xml:space="preserve">41061    </t>
  </si>
  <si>
    <t>41058 Водопроводные сети г.Калуга к ж.д.№3-5 по пер.Строительный и к ж.д.257 по ул.Московс</t>
  </si>
  <si>
    <t xml:space="preserve">41058    </t>
  </si>
  <si>
    <t xml:space="preserve">г. Калуга д.Андреевское </t>
  </si>
  <si>
    <t>41059 Водопроводная сеть г. Калуга д.Андреевское</t>
  </si>
  <si>
    <t xml:space="preserve">41059    </t>
  </si>
  <si>
    <t>г. Калуга ул. Марата д.10</t>
  </si>
  <si>
    <t>239-п от 04.03.2015г</t>
  </si>
  <si>
    <t>41057 Водопроводная сеть г. Калуга ул. Марата д.10</t>
  </si>
  <si>
    <t xml:space="preserve">41057    </t>
  </si>
  <si>
    <t>г.Калуга,от оздоровит. лагеря "Орленок" до с. Пригородное лесничес</t>
  </si>
  <si>
    <t>41056 Наружные сети водопровода г.Калуга,от оздоровит. лагеря "Орленок" до с. Пригородно</t>
  </si>
  <si>
    <t xml:space="preserve">41056    </t>
  </si>
  <si>
    <t>г.Калуга, д. Косарево</t>
  </si>
  <si>
    <t>41063 Наружные сети водопровода г.Калуга, д. Косарево</t>
  </si>
  <si>
    <t xml:space="preserve">41063    </t>
  </si>
  <si>
    <t>41054 Водопроводная сеть г. Калуга д. Жерело д. б/н</t>
  </si>
  <si>
    <t xml:space="preserve">41054    </t>
  </si>
  <si>
    <t>г. Калуга к дому № 52 по ул. Березовая</t>
  </si>
  <si>
    <t>41051 Водопроводная сеть г. Калуга к дому № 52 по ул. Березовая</t>
  </si>
  <si>
    <t xml:space="preserve">41051    </t>
  </si>
  <si>
    <t>г.Калуга, ул. Березовая, Каштановая, Сиреневая, пер. Березовый</t>
  </si>
  <si>
    <t>41052 Сети водопровода г.Калуга, ул. Березовая, Каштановая, Сиреневая, пер. Березовый пр</t>
  </si>
  <si>
    <t xml:space="preserve">41052    </t>
  </si>
  <si>
    <t>41050 Сети водопровода г.Калуга, ул. Березовая, Каштановая, Сиреневая, пер. Березовый пр</t>
  </si>
  <si>
    <t xml:space="preserve">41050    </t>
  </si>
  <si>
    <t>г. Калуга д.Ильинка, д. б/н</t>
  </si>
  <si>
    <t>41045 Водонапорная башня Рожновского г. Калуга д.Ильинка, д. б/н</t>
  </si>
  <si>
    <t xml:space="preserve">41045    </t>
  </si>
  <si>
    <t>41069 Водопроводная сеть (лит.I) г. Калуга ул.Гурьянова, 26</t>
  </si>
  <si>
    <t xml:space="preserve">41069    </t>
  </si>
  <si>
    <t>41068 Водопроводная сеть (лит.I) г. Калуга ул.Луначарского, 6а</t>
  </si>
  <si>
    <t xml:space="preserve">41068    </t>
  </si>
  <si>
    <t>г. Калуга, ул. Баррикад, около д.124</t>
  </si>
  <si>
    <t>41067 Водопроводная сеть г. Калуга, ул. Баррикад, около д.124</t>
  </si>
  <si>
    <t xml:space="preserve">41067    </t>
  </si>
  <si>
    <t>г. Калуга ул. Пухова, 5а</t>
  </si>
  <si>
    <t>41062 Водопроводная сеть г. Калуга ул. Пухова, 5а</t>
  </si>
  <si>
    <t xml:space="preserve">41062    </t>
  </si>
  <si>
    <t>г. Калуга ул. Кирова, д.67 а</t>
  </si>
  <si>
    <t>41028 Водопроводная сеть(лит.I) г. Калуга ул. Кирова, д.67 а</t>
  </si>
  <si>
    <t xml:space="preserve">41028    </t>
  </si>
  <si>
    <t>248002, Калужская обл, Калуга г, Максима Горького ул, дом № 92</t>
  </si>
  <si>
    <t>41027 Водопроводная сеть г. Калуга ул. М.Горького, д.92</t>
  </si>
  <si>
    <t xml:space="preserve">41027    </t>
  </si>
  <si>
    <t>г. Калуга пл. Победы, д.9</t>
  </si>
  <si>
    <t>41026 Водопроводная сеть г. Калуга пл. Победы, д.9</t>
  </si>
  <si>
    <t xml:space="preserve">41026    </t>
  </si>
  <si>
    <t>г. Калуга ул. Фридриха Энгельса, д.15</t>
  </si>
  <si>
    <t>41025 Водопроводная сеть г. Калуга ул. Фридриха Энгельса, д.15</t>
  </si>
  <si>
    <t xml:space="preserve">41025    </t>
  </si>
  <si>
    <t>г.Калуга, пер.Строительный,д.13а-19, ул.Линейная, д.7</t>
  </si>
  <si>
    <t>41024 Водопроводные сети к жилым домам №13а - 19 по пер.Строительный и к дому 7 по ул.Лине</t>
  </si>
  <si>
    <t xml:space="preserve">41024    </t>
  </si>
  <si>
    <t>г.Калуга, ул. Линейная, д.5</t>
  </si>
  <si>
    <t>41023 Сети водопровода (лит.I) г.Калуга, ул. Линейная, д.5</t>
  </si>
  <si>
    <t xml:space="preserve">41023    </t>
  </si>
  <si>
    <t>г.Калуга, ул. Кирова, д.32</t>
  </si>
  <si>
    <t>41022 Водопровод г.Калуга, ул. Кирова, д.32</t>
  </si>
  <si>
    <t xml:space="preserve">41022    </t>
  </si>
  <si>
    <t>г. Калуга  д.Лихун, д. б/н</t>
  </si>
  <si>
    <t>41020 Узел учета воды г. Калуга д.Лихун, д. б/н</t>
  </si>
  <si>
    <t xml:space="preserve">41020    </t>
  </si>
  <si>
    <t>г. Калуга  ул.Бутырская</t>
  </si>
  <si>
    <t>41019 Водопроводная сеть г. Калуга ул.Бутырская</t>
  </si>
  <si>
    <t xml:space="preserve">41019    </t>
  </si>
  <si>
    <t>40976 Клапан Cla-val NGE DN 150 c петлёй управления клапана</t>
  </si>
  <si>
    <t>24.07.2015</t>
  </si>
  <si>
    <t xml:space="preserve">40976    </t>
  </si>
  <si>
    <t>40975 Клапан Cla-val NGE DN 100 c петлёй управления клапана</t>
  </si>
  <si>
    <t xml:space="preserve">40975    </t>
  </si>
  <si>
    <t>40939 Мотопомпа Honda WT20X</t>
  </si>
  <si>
    <t>22.07.2015</t>
  </si>
  <si>
    <t xml:space="preserve">40939    </t>
  </si>
  <si>
    <t>40937 Мотопомпа Honda WT20X</t>
  </si>
  <si>
    <t xml:space="preserve">40937    </t>
  </si>
  <si>
    <t>40936 Мотопомпа Honda WT20X</t>
  </si>
  <si>
    <t xml:space="preserve">40936    </t>
  </si>
  <si>
    <t>248921, Калужская обл, Калуга г, Шопино д. д б/н</t>
  </si>
  <si>
    <t>40820 Водопроводные сети г.Калуга_д.Шопино</t>
  </si>
  <si>
    <t xml:space="preserve">40820    </t>
  </si>
  <si>
    <t>40832 Водопроводная сеть г.Калуга_п.Новый - с.Муратовский Щебзавод</t>
  </si>
  <si>
    <t xml:space="preserve">40832    </t>
  </si>
  <si>
    <t>248000, Калужская обл, Калуга г, Суворова ул, дом № 153</t>
  </si>
  <si>
    <t>88-п от 28.01.2015г</t>
  </si>
  <si>
    <t>40831 Водопроводная сеть г.Калуга_ул.Суворова д.153</t>
  </si>
  <si>
    <t xml:space="preserve">40831    </t>
  </si>
  <si>
    <t>248901, Калужская обл, Калуга г, Плетеневка д, Торф ул</t>
  </si>
  <si>
    <t>40830 Водопроводная сеть г.Калуга_д.Плетеневка ул.Торф</t>
  </si>
  <si>
    <t xml:space="preserve">40830    </t>
  </si>
  <si>
    <t>248920, Калужская обл, Калуга г, Мирный п, Московская ул, дом № 317 а</t>
  </si>
  <si>
    <t>40829 Водопроводная сеть г.Калуга_ул.Московская д.317 а</t>
  </si>
  <si>
    <t xml:space="preserve">40829    </t>
  </si>
  <si>
    <t>248021, Калужская обл, Калуга г, Алексеевская ул, дом № 20</t>
  </si>
  <si>
    <t>40828 Водопроводная сеть г.Калуга_ул.Алексеевская д.20</t>
  </si>
  <si>
    <t xml:space="preserve">40828    </t>
  </si>
  <si>
    <t>40827 Водопроводная сеть г.Калуга_ул.Дзержинского д.58</t>
  </si>
  <si>
    <t xml:space="preserve">40827    </t>
  </si>
  <si>
    <t>248025, Калужская обл, Калуга г, Шахтеров ул, дом № 3</t>
  </si>
  <si>
    <t>40826 Водопроводная сеть г.Калуга_ул.Шахтеров д.3</t>
  </si>
  <si>
    <t xml:space="preserve">40826    </t>
  </si>
  <si>
    <t>248000, Калужская обл, Калуга г, Октябрьский проезд, дом № 5</t>
  </si>
  <si>
    <t>40825 Водопроводная сеть г.Калуга_Октябрьский проезд д.5</t>
  </si>
  <si>
    <t xml:space="preserve">40825    </t>
  </si>
  <si>
    <t>40824 Водопроводная сеть г.Калуга_ул.Вилонова д.40</t>
  </si>
  <si>
    <t xml:space="preserve">40824    </t>
  </si>
  <si>
    <t>248033, Калужская обл, Калуга г, Тульское ш, дом № 28 а</t>
  </si>
  <si>
    <t>40823 Водопроводные сети г.Калуга_Тульское шоссе д.28 а</t>
  </si>
  <si>
    <t xml:space="preserve">40823    </t>
  </si>
  <si>
    <t>248915, Калужская обл, Калуга г, Мстихино д, Светлая ул, дом № 58</t>
  </si>
  <si>
    <t>40822 Водопроводная сеть г.Калуга_д.Мстихино ул.Светлая д.58</t>
  </si>
  <si>
    <t xml:space="preserve">40822    </t>
  </si>
  <si>
    <t>248921, Калужская обл, Калуга г, Рождествено д. б/н</t>
  </si>
  <si>
    <t>40821 Водопровод (2-я очередь) г.Калуга_д.Рождествено</t>
  </si>
  <si>
    <t xml:space="preserve">40821    </t>
  </si>
  <si>
    <t>40804 Водопровод ул.Тарутинская г.Калуга</t>
  </si>
  <si>
    <t>13.01.2015</t>
  </si>
  <si>
    <t xml:space="preserve">40804    </t>
  </si>
  <si>
    <t>40779 Водопровод ул.Краснопивцева г.Калуга</t>
  </si>
  <si>
    <t>26.12.2014</t>
  </si>
  <si>
    <t xml:space="preserve">40779    </t>
  </si>
  <si>
    <t>248031, Калужская обл, Калуга г, Жерело д</t>
  </si>
  <si>
    <t>931-п от 18.08.2015</t>
  </si>
  <si>
    <t>40656 Скважина артезианская №2 д.Жерело (год бурения - 2014)</t>
  </si>
  <si>
    <t>01.11.2014</t>
  </si>
  <si>
    <t xml:space="preserve">40656    </t>
  </si>
  <si>
    <t>248016, Калужская обл, Калуга г, В.Андриановой ул, дом № 64</t>
  </si>
  <si>
    <t>40633 Водопроводная сеть_ул.Веры Андриановой д.64</t>
  </si>
  <si>
    <t>06.10.2014</t>
  </si>
  <si>
    <t xml:space="preserve">40633    </t>
  </si>
  <si>
    <t>40573 Задвижка фланцевая с обрезининым клином F4 DN0400 PN10 со штурвалом</t>
  </si>
  <si>
    <t>27.07.2014</t>
  </si>
  <si>
    <t xml:space="preserve">40573    </t>
  </si>
  <si>
    <t>40572 Задвижка фланцевая с обрезининым клином F4 DN0300 PN10 BAKIO со штурвалом</t>
  </si>
  <si>
    <t xml:space="preserve">40572    </t>
  </si>
  <si>
    <t>40571 Задвижка фланцевая с обрезининым клином F4 DN0300 PN10 BAKIO со штурвалом</t>
  </si>
  <si>
    <t xml:space="preserve">40571    </t>
  </si>
  <si>
    <t>40485 Регулятор давления</t>
  </si>
  <si>
    <t>16.04.2014</t>
  </si>
  <si>
    <t xml:space="preserve">40485    </t>
  </si>
  <si>
    <t>40310 КОТЕЛ паровой прямоточный (парогенератор) STEAMMATE в комплекте</t>
  </si>
  <si>
    <t>27.12.2013</t>
  </si>
  <si>
    <t xml:space="preserve">40310    </t>
  </si>
  <si>
    <t>248025,Калужская обл,Калуга г,Промышленная ул</t>
  </si>
  <si>
    <t>40347 Водопровод наружный, 202 п.м (г.Калуга, ул.Промышленная, д.б/н)</t>
  </si>
  <si>
    <t xml:space="preserve">40347    </t>
  </si>
  <si>
    <t>248921,Калужская обл,Калуга г,Рождествено д,Покрова ул</t>
  </si>
  <si>
    <t>40346 Водопроводная сеть, 949 п.м (г.Калуга, ул.Покрова, пер.1,2,3 Покрова)</t>
  </si>
  <si>
    <t xml:space="preserve">40346    </t>
  </si>
  <si>
    <t>248031,Калужская обл,Калуга г,Петрово д</t>
  </si>
  <si>
    <t>40345 Водопроводная сеть, 1447 п.м (г.Калуга, д.Петрово, д.б/н)</t>
  </si>
  <si>
    <t xml:space="preserve">40345    </t>
  </si>
  <si>
    <t>248032,Калужская обл,Калуга г,40 лет Октября ул</t>
  </si>
  <si>
    <t>40344 Водопроводная сеть, 403 п.м (г.Калуга, ул.40 лет Октября, к д.2,4,8)</t>
  </si>
  <si>
    <t xml:space="preserve">40344    </t>
  </si>
  <si>
    <t>40341 Водопроводная сеть, 60 п.м (г.Калуга, пл.Мира, д.3)</t>
  </si>
  <si>
    <t xml:space="preserve">40341    </t>
  </si>
  <si>
    <t>40340 Водопроводная сеть внутриплощ, 22 п.м (г.Калуга, д.Мстихино, ул.Лесная, д.24, к1)</t>
  </si>
  <si>
    <t xml:space="preserve">40340    </t>
  </si>
  <si>
    <t>40339 Водопроводная сеть, 24 п.м (г.Калуга, пл.Победы, д.10)</t>
  </si>
  <si>
    <t xml:space="preserve">40339    </t>
  </si>
  <si>
    <t>248016,Калужская обл,Калуга г,Ленина ул,60,</t>
  </si>
  <si>
    <t>40338 Водопроводная сеть, 11 п.м (г.Калуга, ул.Ленина, д.60)</t>
  </si>
  <si>
    <t xml:space="preserve">40338    </t>
  </si>
  <si>
    <t>248003,Калужская обл,Калуга г,Никитина ул,97,</t>
  </si>
  <si>
    <t>40337 Водопроводная сеть, 45 п.м (г.Калуга, ул.Никитина, д.97)</t>
  </si>
  <si>
    <t xml:space="preserve">40337    </t>
  </si>
  <si>
    <t>248023,Калужская обл,Калуга г,Мичурина ул,15,</t>
  </si>
  <si>
    <t>40336 Водопроводная сеть, 77 п.м (г.Калуга, ул.Мичурина, д.15)</t>
  </si>
  <si>
    <t xml:space="preserve">40336    </t>
  </si>
  <si>
    <t>248000,Калужская обл,Калуга г,Гагарина ул</t>
  </si>
  <si>
    <t>40335 Водопроводная сеть, 24 п.м (г.Калуга, ул.Гагарина, около д.13)</t>
  </si>
  <si>
    <t xml:space="preserve">40335    </t>
  </si>
  <si>
    <t>248009,Калужская обл,Калуга г,Песчаный пер</t>
  </si>
  <si>
    <t>40334 Водопроводная сеть, 144 п.м (г.Калуга, пер.Песчаный)</t>
  </si>
  <si>
    <t xml:space="preserve">40334    </t>
  </si>
  <si>
    <t>248021,Калужская обл,Калуга г,Поле Свободы ул,131,</t>
  </si>
  <si>
    <t>40333 Водопроводная сеть, 9,6 п.м (г.Калуга, ул.Поле Свободы, д.131)</t>
  </si>
  <si>
    <t xml:space="preserve">40333    </t>
  </si>
  <si>
    <t>40293 Задвижка фланцевая с маховиком ARI F4 Ду 150 с клапаном воздушным D-060-HF-NS</t>
  </si>
  <si>
    <t>18.11.2013</t>
  </si>
  <si>
    <t xml:space="preserve">40293    </t>
  </si>
  <si>
    <t>40199 Задвижка с обрезиненным клином Ду500 Ру16</t>
  </si>
  <si>
    <t>02.07.2013</t>
  </si>
  <si>
    <t xml:space="preserve">40199    </t>
  </si>
  <si>
    <t>40190 Задвижка с обрезиненным клином Ду400 МЗВ</t>
  </si>
  <si>
    <t>10.06.2013</t>
  </si>
  <si>
    <t xml:space="preserve">40190    </t>
  </si>
  <si>
    <t>40073 Бензогенератор GESAN G 7000 H</t>
  </si>
  <si>
    <t xml:space="preserve">40073    </t>
  </si>
  <si>
    <t>40077 Мотопомпа HONDA WT 30XK3</t>
  </si>
  <si>
    <t>15.03.2013</t>
  </si>
  <si>
    <t xml:space="preserve">40077    </t>
  </si>
  <si>
    <t>40033 Станция гидравлическая МС-20 в комплекте</t>
  </si>
  <si>
    <t xml:space="preserve">40033    </t>
  </si>
  <si>
    <t>40037 Установка врезки УВГД-200</t>
  </si>
  <si>
    <t xml:space="preserve">40037    </t>
  </si>
  <si>
    <t>40036 Дрель СРГ-13</t>
  </si>
  <si>
    <t xml:space="preserve">40036    </t>
  </si>
  <si>
    <t>40013 Аварийная осветительная установка "Световая Башня ELG (ТЗ-5) 600S 2.2 GX</t>
  </si>
  <si>
    <t xml:space="preserve">40013    </t>
  </si>
  <si>
    <t>40029 Водопроводная сеть 19 п.м. г.Калуга, ул.Кирова, 18</t>
  </si>
  <si>
    <t>01.02.2013</t>
  </si>
  <si>
    <t xml:space="preserve">40029    </t>
  </si>
  <si>
    <t>39901 Задвижка 30ч515 бр Ду 800 мм</t>
  </si>
  <si>
    <t>09.08.2012</t>
  </si>
  <si>
    <t xml:space="preserve">39901    </t>
  </si>
  <si>
    <t>39878 Задвижка (тип МЗВ) KR-400 Ру10(16) Т=120оС с КОФ</t>
  </si>
  <si>
    <t>06.07.2012</t>
  </si>
  <si>
    <t xml:space="preserve">39878    </t>
  </si>
  <si>
    <t>39875 Задвижка 30ч515Ббр Ду600 Ру10 в комплекте с редуктором и КОФ</t>
  </si>
  <si>
    <t xml:space="preserve">39875    </t>
  </si>
  <si>
    <t>39871 Задвижка 30ч6Бр Ду 1000 Ру 10</t>
  </si>
  <si>
    <t xml:space="preserve">39871    </t>
  </si>
  <si>
    <t>39869 Задвижка 30ч915бр Ду 800 Ру10 с эл.приводом НГ</t>
  </si>
  <si>
    <t xml:space="preserve">39869    </t>
  </si>
  <si>
    <t>39836 Сварочный аппарат Friamat Basic Print</t>
  </si>
  <si>
    <t xml:space="preserve">39836    </t>
  </si>
  <si>
    <t>39829 Сварочный генератор АСПВ 220-6,5/3,5-Т400/230 ВХ (двигатель HONDA)</t>
  </si>
  <si>
    <t xml:space="preserve">39829    </t>
  </si>
  <si>
    <t>39818 Насос НДНЭ-4 с бензиновым двигателем</t>
  </si>
  <si>
    <t xml:space="preserve">39818    </t>
  </si>
  <si>
    <t>39739 Клапан комбинированный воздушный D-060 HF Ду 150мм</t>
  </si>
  <si>
    <t>12.05.2012</t>
  </si>
  <si>
    <t xml:space="preserve">39739    </t>
  </si>
  <si>
    <t>39738 Клапан комбинированный воздушный D-060 HF Ду 150мм</t>
  </si>
  <si>
    <t xml:space="preserve">39738    </t>
  </si>
  <si>
    <t>39732 ЗАДВИЖКА Ду 500 фланц.с редуктором</t>
  </si>
  <si>
    <t>28.04.2012</t>
  </si>
  <si>
    <t xml:space="preserve">39732    </t>
  </si>
  <si>
    <t>39728 Клапан комбинированный воздушный D-060 HF Ду 150мм</t>
  </si>
  <si>
    <t xml:space="preserve">39728    </t>
  </si>
  <si>
    <t>39727 Клапан комбинированный воздушный D-060 HF Ду 150мм</t>
  </si>
  <si>
    <t xml:space="preserve">39727    </t>
  </si>
  <si>
    <t>39726 Клапан комбинированный воздушный D-060 HF Ду 150мм</t>
  </si>
  <si>
    <t xml:space="preserve">39726    </t>
  </si>
  <si>
    <t>39725 Клапан комбинированный воздушный D-060 HF Ду 150мм</t>
  </si>
  <si>
    <t xml:space="preserve">39725    </t>
  </si>
  <si>
    <t>39504 Фланец д=600/16</t>
  </si>
  <si>
    <t>03.10.2011</t>
  </si>
  <si>
    <t>39495 Задвижка чугун. невыд. штоком Ду600, Ру16</t>
  </si>
  <si>
    <t>39494 Клапан возд. комб. Д-050 Ду100мм</t>
  </si>
  <si>
    <t>39493 Клапан возд. комб. Д-050 Ду100мм</t>
  </si>
  <si>
    <t>39492 Клапан возд. комб. Д-050 Ду100мм</t>
  </si>
  <si>
    <t>39491 Клапан возд. комб. Д-050 Ду100мм</t>
  </si>
  <si>
    <t>39482 Задвижка чугун. невыд.штоком Ду500</t>
  </si>
  <si>
    <t>39442  Клапан  воздушный Д-050 С Ду 100 мм</t>
  </si>
  <si>
    <t>01.04.2011</t>
  </si>
  <si>
    <t>39441  Клапан  воздушный Д-050 С Ду 100 мм</t>
  </si>
  <si>
    <t>39440  Клапан  воздушный Д-050 С Ду 100 мм</t>
  </si>
  <si>
    <t>39439  Клапан  воздушный Д-050 С Ду 100 мм</t>
  </si>
  <si>
    <t>39438  Клапан  воздушный Д-050 С Ду 100 мм</t>
  </si>
  <si>
    <t>39437  Клапан  воздушный Д-050 С Ду 100 мм</t>
  </si>
  <si>
    <t>39436  Клапан  воздушный Д-050 С Ду 100 мм</t>
  </si>
  <si>
    <t>39435  Клапан  воздушный Д-050 С Ду 100 мм</t>
  </si>
  <si>
    <t>39434  Клапан  воздушный Д-050 С Ду 100 мм</t>
  </si>
  <si>
    <t>г. Калуга, ул Светлая, дом 20</t>
  </si>
  <si>
    <t>39458 Здание нежилое кирпичное с гаражами</t>
  </si>
  <si>
    <t>28.02.2011</t>
  </si>
  <si>
    <t>г. Калуга, ул. Тарутинская,дом 171 А</t>
  </si>
  <si>
    <t>приказ 1111-п от 08.12.2010</t>
  </si>
  <si>
    <t>39453 ВОДОПРОВОДНЫЕ СЕТИ</t>
  </si>
  <si>
    <t>город Калуга, поселок Резвань, улица Железнодорожная</t>
  </si>
  <si>
    <t>28130  КОТЕЛЬНАЯ D100,СТАЛЬ</t>
  </si>
  <si>
    <t>01.10.2010</t>
  </si>
  <si>
    <t>город Калуга, поселок Резвань, улица Школьная, д.15</t>
  </si>
  <si>
    <t>28119  ВВОД КЖ/Д D50,СТАЛЬ</t>
  </si>
  <si>
    <t>01.07.2010</t>
  </si>
  <si>
    <t>город Калуга, поселок Резвань, улица Школьная,</t>
  </si>
  <si>
    <t>28118  ВВОД К Ж/Д D50,СТАЛЬ</t>
  </si>
  <si>
    <t>город Калуга, поселок Резвань, улица Школьная, 11</t>
  </si>
  <si>
    <t>28117  ВВОД К Ж/Д D100,СТАЛЬ</t>
  </si>
  <si>
    <t>город Калуга, поселок Резвань, улица Школьная, 9</t>
  </si>
  <si>
    <t>28116  ВВОД К Ж/Д D50,СТАЛЬ</t>
  </si>
  <si>
    <t>город Калуга, поселок Резвань, улица Школьная, 7</t>
  </si>
  <si>
    <t>28115  ВВОД К Ж/Д D100,СТАЛЬ</t>
  </si>
  <si>
    <t>город Калуга, поселок Резвань, улица Школьная, 5</t>
  </si>
  <si>
    <t>28114  ВВОД К Ж/Д D50,СТАЛЬ</t>
  </si>
  <si>
    <t>город Калуга, поселок Резвань, улица Школьная, 2</t>
  </si>
  <si>
    <t>28113  ВВОД К Ж/Д D100,СТАЛЬ</t>
  </si>
  <si>
    <t>город Калуга, деревня Орешково, лит.I</t>
  </si>
  <si>
    <t>39206  Водопроводныя сеть</t>
  </si>
  <si>
    <t>01.01.2010</t>
  </si>
  <si>
    <t>город Калуга, деревня Сокорево, лит.I</t>
  </si>
  <si>
    <t>39205  Водопроводныя сеть</t>
  </si>
  <si>
    <t>39077  Водопроводная сеть прот. 463,68 п.м.</t>
  </si>
  <si>
    <t>город Калуга, урочище Ромодановские дворики, лит.Г1</t>
  </si>
  <si>
    <t>39075  Резервуар аварийный ж/б</t>
  </si>
  <si>
    <t>39058  Водопроводная сеть, прот 235,9 п.м.</t>
  </si>
  <si>
    <t>39068  Водопровода сети наружн. распред. прот. 46,3 п.м.</t>
  </si>
  <si>
    <t>39066  Водопроводная сеть прот. 103,5 п.м.</t>
  </si>
  <si>
    <t>город Калуга, деревня Андреевское, лит.I</t>
  </si>
  <si>
    <t>39061  Башня водонапорная Рожновского с насос. ЦВ-825/100</t>
  </si>
  <si>
    <t>город Калуга, улица Анненки, д.18 лит.вк</t>
  </si>
  <si>
    <t>39060  Водопровода сети наруж. прот. 40м. и канализ. 95,9</t>
  </si>
  <si>
    <t>город Калуга, улица Первых Коммунаров, д.14</t>
  </si>
  <si>
    <t>39036  Сети водопровода и канализации</t>
  </si>
  <si>
    <t>39034  Сети магистрального водопровода, наружные 608,55</t>
  </si>
  <si>
    <t>39033  Водопроводная сеть 258,7</t>
  </si>
  <si>
    <t>город Калуга, деревня Угра, лит.I</t>
  </si>
  <si>
    <t>1046-п от 26.09.2008</t>
  </si>
  <si>
    <t>39030 Водопроводная сеть 1545,0</t>
  </si>
  <si>
    <t>город Калуга, переулок Врубовой, д.4 лит.1</t>
  </si>
  <si>
    <t>39011  Здание насосной станции хоз.-питьевого водопровода</t>
  </si>
  <si>
    <t>город Калуга, улица Родниковая,</t>
  </si>
  <si>
    <t>39010  Водопроводная сеть 503,5 п.м.</t>
  </si>
  <si>
    <t>39008  Водопроводная сеть 680 п.м.</t>
  </si>
  <si>
    <t>39006  Водопроводная сеть 3531,5</t>
  </si>
  <si>
    <t>город Калуга, деревня Крутицы</t>
  </si>
  <si>
    <t>39005  Соооружение станции обезжелезования заглубленное</t>
  </si>
  <si>
    <t>город Калуга, деревня Косарево,</t>
  </si>
  <si>
    <t>39002  Водопроводные  сети  165 п м</t>
  </si>
  <si>
    <t>39000  Водопроводная сеть 2626,2</t>
  </si>
  <si>
    <t>город Калуга, деревня Волково,</t>
  </si>
  <si>
    <t>38999  Водопроводные  сети  394,1</t>
  </si>
  <si>
    <t>38998  Водопроводные  сети  500 п/м</t>
  </si>
  <si>
    <t>город Калуга, деревня Животинки</t>
  </si>
  <si>
    <t>38363  Наружняя водопроводная сеть</t>
  </si>
  <si>
    <t>06.02.2007</t>
  </si>
  <si>
    <t>38362  Водопроводная сеть</t>
  </si>
  <si>
    <t>38131  Водопроводная сеть</t>
  </si>
  <si>
    <t>город Калуга, улица Ленина, д.58</t>
  </si>
  <si>
    <t>38130  Водопроводная сеть наружная</t>
  </si>
  <si>
    <t>город Калуга, улица Ленина, 58</t>
  </si>
  <si>
    <t>38128  Одноэтажное здание повысительной насосной станции</t>
  </si>
  <si>
    <t>38070  Водопровод п/э d=100</t>
  </si>
  <si>
    <t>01.09.2005</t>
  </si>
  <si>
    <t>37744  Камера для закольцовки водоводов</t>
  </si>
  <si>
    <t>01.05.2005</t>
  </si>
  <si>
    <t>37739  Водопроводная линия</t>
  </si>
  <si>
    <t>37677  Колодец на закольцовку водопровода</t>
  </si>
  <si>
    <t>город Калуга, деревня Колюпаново,</t>
  </si>
  <si>
    <t>37539  Водопровод п/э</t>
  </si>
  <si>
    <t>01.03.2005</t>
  </si>
  <si>
    <t>город Калуга, улица Тарутинская,</t>
  </si>
  <si>
    <t>33192  Водопровод</t>
  </si>
  <si>
    <t>01.01.2005</t>
  </si>
  <si>
    <t>33191  Водопровод</t>
  </si>
  <si>
    <t>35198  НАСОС К 80-50-200</t>
  </si>
  <si>
    <t>31.12.2004</t>
  </si>
  <si>
    <t>г.Калуга П. РЕЗВАНЬ</t>
  </si>
  <si>
    <t>33290  ВОДОСБОРНИК (ДУ-1200, РУ-8)</t>
  </si>
  <si>
    <t>город Калуга, улица Салтыкова-Щедрина, д.25а</t>
  </si>
  <si>
    <t>33125  Водопровод</t>
  </si>
  <si>
    <t>01.12.2004</t>
  </si>
  <si>
    <t>г.Калуга, д. Колюпаново ул. Лесная</t>
  </si>
  <si>
    <t>32978  Водопровод п/э</t>
  </si>
  <si>
    <t>01.10.2004</t>
  </si>
  <si>
    <t>г. Калуга, ул. Московская 121, р-н Терепец</t>
  </si>
  <si>
    <t>32935  Водопровод ст.</t>
  </si>
  <si>
    <t>01.09.2004</t>
  </si>
  <si>
    <t>город Калуга, поселок Шопино, д.14</t>
  </si>
  <si>
    <t>32924  Водопровод п/э</t>
  </si>
  <si>
    <t>37347  НАСОС К 45/30</t>
  </si>
  <si>
    <t>37068  шкаф дляспец одежды</t>
  </si>
  <si>
    <t>37067  шкаф дляспец одежды</t>
  </si>
  <si>
    <t>37066  шкаф дляспец одежды</t>
  </si>
  <si>
    <t>37030  шкаф для спец одежды</t>
  </si>
  <si>
    <t>37029  шкаф для спец одежды</t>
  </si>
  <si>
    <t>37028  шкаф для спец одежды</t>
  </si>
  <si>
    <t>37027  шкаф для спец одежды</t>
  </si>
  <si>
    <t>37026  шкаф для спец одежды</t>
  </si>
  <si>
    <t>37025  шкаф для спец одежды</t>
  </si>
  <si>
    <t>37024  шкаф для спец одежды</t>
  </si>
  <si>
    <t>37023  шкаф для спец одежды</t>
  </si>
  <si>
    <t>35108  Насос К65/60-160</t>
  </si>
  <si>
    <t>город Калуга, улица Кутузова, д.10</t>
  </si>
  <si>
    <t>32876  Водопровод D-40 L-24 м</t>
  </si>
  <si>
    <t>32726  НАСОС К 20/18 С ЭЛ.ДВ.</t>
  </si>
  <si>
    <t>32138  шкаф для спец одежды</t>
  </si>
  <si>
    <t>32137  шкаф для спец одежды</t>
  </si>
  <si>
    <t>32129  Сейф</t>
  </si>
  <si>
    <t>32107  шкаф дляспец одежды</t>
  </si>
  <si>
    <t>32106  шкаф дляспец одежды</t>
  </si>
  <si>
    <t>32096  шкаф для спец одежды</t>
  </si>
  <si>
    <t>32095  шкаф для спец одежды</t>
  </si>
  <si>
    <t>31975  шкаф для спец одежды</t>
  </si>
  <si>
    <t>37346  ЗАТВОР 32 ДУ-610</t>
  </si>
  <si>
    <t>01.07.2004</t>
  </si>
  <si>
    <t>31677  Водопровод D-200 п/э</t>
  </si>
  <si>
    <t>город Калуга, площадь Театральная,</t>
  </si>
  <si>
    <t>31642  НАРУЖНЫЕ СЕТИ ВОДОПРОВОДА</t>
  </si>
  <si>
    <t>31619  Водопровод D-100 чуг</t>
  </si>
  <si>
    <t>31618  Водопровод D-100 чуг</t>
  </si>
  <si>
    <t>31617  Водопровод D-100 ст</t>
  </si>
  <si>
    <t>31616  Водопровод D-100 ст</t>
  </si>
  <si>
    <t>г.Калуга ул. 1-х Коммунаров, 12</t>
  </si>
  <si>
    <t>31615  Водопровод D-100 ст</t>
  </si>
  <si>
    <t>31614  Водопровод D-100 ст</t>
  </si>
  <si>
    <t>31613  Водопровод D-100 ст</t>
  </si>
  <si>
    <t>г.Калуга ул. Гвардейская, 16</t>
  </si>
  <si>
    <t>31612  Водопровод D-100 ст</t>
  </si>
  <si>
    <t>31611  Водопровод D-100 ст</t>
  </si>
  <si>
    <t>31610  Водопровод D-100 ст</t>
  </si>
  <si>
    <t>31609  Водопровод D-100 ст</t>
  </si>
  <si>
    <t>31608  Водопровод D-100 чуг</t>
  </si>
  <si>
    <t>31607  Водопровод D-100 чуг</t>
  </si>
  <si>
    <t>31606  Водопровод D-100</t>
  </si>
  <si>
    <t>31605  Водопровод D-100</t>
  </si>
  <si>
    <t>31604  Водопровод D-76 чуг</t>
  </si>
  <si>
    <t>город Калуга, улица Гвардейская, д.6</t>
  </si>
  <si>
    <t>31603  Водопровод D-76 чуг</t>
  </si>
  <si>
    <t>31602  Водопровод D-100 ст</t>
  </si>
  <si>
    <t>31601  Водопровод D-100 чуг</t>
  </si>
  <si>
    <t>31600  Водопровод D-100 чуг</t>
  </si>
  <si>
    <t>31599  Водопровод D-100 ст.</t>
  </si>
  <si>
    <t>31598  Водопровод D-100 ст.</t>
  </si>
  <si>
    <t>31653  ВОДОПРОВОД</t>
  </si>
  <si>
    <t>31650  ВОДОПРОВОД D150 И D100</t>
  </si>
  <si>
    <t>31649  ВОДОПРОВОД (ГОРОДСКОЙ)</t>
  </si>
  <si>
    <t>31646  ВОД\КОЛОНКА</t>
  </si>
  <si>
    <t>город Калуга, улица Болотникова,</t>
  </si>
  <si>
    <t>31644  ВОДОПРОВОД: СТ.D80мм.</t>
  </si>
  <si>
    <t>город Калуга, улица Тарутинская, д.231</t>
  </si>
  <si>
    <t>31643  ВОДОПРОВОДНАЯ НАСОСНАЯ СТАНЦИЯ</t>
  </si>
  <si>
    <t>35181  Насос К 100/32</t>
  </si>
  <si>
    <t>31525  Водопровод ст D-350 мм</t>
  </si>
  <si>
    <t>31334  Затвор D-400</t>
  </si>
  <si>
    <t>31560  Групповая защита миним. напряжения на РП-6квт</t>
  </si>
  <si>
    <t>01.05.2004</t>
  </si>
  <si>
    <t>31551  Водопровод Д-110мм п/э</t>
  </si>
  <si>
    <t>37341 Ящик с рубильником ВР-100</t>
  </si>
  <si>
    <t>31.03.2004</t>
  </si>
  <si>
    <t>31319 Ящик с рубильником ВР-100</t>
  </si>
  <si>
    <t>г. Калуга ул. 2-ой Городской проезд</t>
  </si>
  <si>
    <t>31401  Участок водовода тех. воды Д-426мм ст.</t>
  </si>
  <si>
    <t>31400  Водовод Д-315 Т п/э</t>
  </si>
  <si>
    <t>35278  Обратный  клапан Д-80</t>
  </si>
  <si>
    <t>35277  Обратный  клапан Д-80</t>
  </si>
  <si>
    <t>34123  Задвижка Д-80</t>
  </si>
  <si>
    <t>34122  Задвижка Д-80</t>
  </si>
  <si>
    <t>34121  Задвижка Д-80</t>
  </si>
  <si>
    <t>34120  Задвижка Д-80</t>
  </si>
  <si>
    <t>34119  Задвижка Д-80</t>
  </si>
  <si>
    <t>33788  Задвижка Д-150</t>
  </si>
  <si>
    <t>33787  Задвижка Д-150</t>
  </si>
  <si>
    <t>33786  Задвижка Д-150</t>
  </si>
  <si>
    <t>33785  Задвижка Д-150</t>
  </si>
  <si>
    <t>33784  Задвижка Д-150</t>
  </si>
  <si>
    <t>33783  Задвижка Д-150</t>
  </si>
  <si>
    <t>33782  Задвижка Д-150</t>
  </si>
  <si>
    <t>33781  Задвижка Д-150</t>
  </si>
  <si>
    <t>33780  Задвижка Д-150</t>
  </si>
  <si>
    <t>33779  Задвижка Д-150</t>
  </si>
  <si>
    <t>г.Калуга ул. Граб. шоссе д.118</t>
  </si>
  <si>
    <t>31266  Здание повысительной насосной станции S=18,9кв.м.</t>
  </si>
  <si>
    <t>город Калуга, шоссе Грабцевское шоссе, д.156</t>
  </si>
  <si>
    <t>31265  Здание повысительной насосной станции S=24.7кв.м.</t>
  </si>
  <si>
    <t>31262  Силовой щит</t>
  </si>
  <si>
    <t>31261  Силовой щит ТИП///Р</t>
  </si>
  <si>
    <t>г.Калуга ул. Граб. шоссе д.156</t>
  </si>
  <si>
    <t>31258  Водопровод Д-89 сталь</t>
  </si>
  <si>
    <t>31257  Обратный  клапан Д-80</t>
  </si>
  <si>
    <t>31256  Задвижка Д-80</t>
  </si>
  <si>
    <t>31254 Электрощит управления</t>
  </si>
  <si>
    <t>г.Калуга ул. Грабцевское шоссе д. 118</t>
  </si>
  <si>
    <t>31252  Водопровод Д-89 сталь</t>
  </si>
  <si>
    <t>31251  Водопровод Д-150 сталь</t>
  </si>
  <si>
    <t>31250  Задвижка Д-100</t>
  </si>
  <si>
    <t>31249  Задвижка Д-150</t>
  </si>
  <si>
    <t>31243  Водопровод Д-50 ст.</t>
  </si>
  <si>
    <t>31242  Водопровод Д-65 чуг.</t>
  </si>
  <si>
    <t>31241  Водопровод Д-100 чуг.</t>
  </si>
  <si>
    <t>34342  Задвижки Д-50мм, Д-100мм</t>
  </si>
  <si>
    <t>34296  Задвижки Д-150мм, чуг.</t>
  </si>
  <si>
    <t>город Калуга, улица Анненки,</t>
  </si>
  <si>
    <t>31191  Водопровод Д-225мм, Д-315мм п/э</t>
  </si>
  <si>
    <t>город Калуга, улица Хитровка, д.8 - 9</t>
  </si>
  <si>
    <t>31188  Водопровод Д-63мм п/э</t>
  </si>
  <si>
    <t>город Калуга, улица Городенская, 5-9</t>
  </si>
  <si>
    <t>31187  Водопровод Д-110мм п/э</t>
  </si>
  <si>
    <t>31181  Задвижки Д-150мм, чуг.</t>
  </si>
  <si>
    <t>31180  Задвижки Д-50мм, Д-100мм</t>
  </si>
  <si>
    <t>город Калуга, улица Подвойского, д.31</t>
  </si>
  <si>
    <t>31175  Водоразборная колонка с ж/б колодцем Д-1м</t>
  </si>
  <si>
    <t>31161  Водопровод Д-100 п/э</t>
  </si>
  <si>
    <t>31160  Водопровод Д-32 п/э</t>
  </si>
  <si>
    <t>город Калуга, улица Никитина, д.133 корп.2</t>
  </si>
  <si>
    <t>31150  Водопровод Д-114 ст. Д-159 п/э</t>
  </si>
  <si>
    <t>31141  Магистральный водопровод Д-150 п/э</t>
  </si>
  <si>
    <t>город Калуга, улица Сельская, д.106а - 124</t>
  </si>
  <si>
    <t>31139  Водопровод Д-63 п/э</t>
  </si>
  <si>
    <t>31138  Технический водовод Д-530 ст</t>
  </si>
  <si>
    <t>город Калуга, улица Зерновая, д.22</t>
  </si>
  <si>
    <t>31137  Водопровод Д-160 п/э</t>
  </si>
  <si>
    <t>31129  Водопровод Д-63 п/э</t>
  </si>
  <si>
    <t>31133  Ввод водопровода Д-160 п/э</t>
  </si>
  <si>
    <t>01.12.2003</t>
  </si>
  <si>
    <t>31015  Колодец Д-1500 ж/б</t>
  </si>
  <si>
    <t>31010  Водопровод Д=245мм. ст.</t>
  </si>
  <si>
    <t>31009  Водопровод Д=245мм. ст.</t>
  </si>
  <si>
    <t>31008  Водопровод Д=426-530мм. ст.</t>
  </si>
  <si>
    <t>37092  Шкаф раздевальный</t>
  </si>
  <si>
    <t>01.08.2003</t>
  </si>
  <si>
    <t>29866  Шкаф раздевальный</t>
  </si>
  <si>
    <t>35340  ПЗУ - 2</t>
  </si>
  <si>
    <t>01.07.2003</t>
  </si>
  <si>
    <t>35196  Насос К 8/18</t>
  </si>
  <si>
    <t>30543  Насос К 8/18</t>
  </si>
  <si>
    <t>30391  Газоанализатор "Сигнал-02"</t>
  </si>
  <si>
    <t>30377  Насос К 8/18</t>
  </si>
  <si>
    <t>30024  Сварочный трансформатор ТДМ-502</t>
  </si>
  <si>
    <t>29290  УСТАНОВКА СВАРКИ П/Э ТРУБ УСПТ-М255 4СМ2.339.021</t>
  </si>
  <si>
    <t>01.06.2003</t>
  </si>
  <si>
    <t>29007  ВОЗДУХОДУВКА 2АФ 5175</t>
  </si>
  <si>
    <t>01.05.2003</t>
  </si>
  <si>
    <t>29470  СИСТ.ГРУППОВОГО УПР-Я СГУ-2-15-В</t>
  </si>
  <si>
    <t>01.01.2003</t>
  </si>
  <si>
    <t>29469  РЕГУЛЯТОР ЧАСТОТЫ "УНИВЕРСАЛ-15-В"</t>
  </si>
  <si>
    <t>29497  ЩИТ ЩО-70</t>
  </si>
  <si>
    <t>29483  СИСТ.ГРУПП.УПР-Я СГУ-2Б-7,5</t>
  </si>
  <si>
    <t>29482  РЕГУЛЯТОР ЧАСТОТЫ "УНИВЕРСАЛ-7,5"</t>
  </si>
  <si>
    <t>29460  ВОДОПРОВОД Д-100-125 чуг.</t>
  </si>
  <si>
    <t>город Калуга, улица Курсантов,</t>
  </si>
  <si>
    <t>29459  ВОДОПРОВОД Д-150 ст.</t>
  </si>
  <si>
    <t>29458  ВОДОПРОВОД Д-100 ст.</t>
  </si>
  <si>
    <t>29457  ВОДОПРОВОД Д-89 ст.</t>
  </si>
  <si>
    <t>29456  ВОДОПРОВОД Д-50 ст.</t>
  </si>
  <si>
    <t>29364  ВОДОПРОВОД 2Д-100 СТ.</t>
  </si>
  <si>
    <t>29274  ЗАДВИЖКИ Д-600 чуг.</t>
  </si>
  <si>
    <t>29258  ВОДОПРОВОД Д-100 чуг.</t>
  </si>
  <si>
    <t>29234  СИСТЕМА ГРУППОВОГО УПРАВЛЕНИЯ СГУ 2-7,5</t>
  </si>
  <si>
    <t>29233  УНИВЕРСАЛ 7,5</t>
  </si>
  <si>
    <t>29227  РЕГУЛЯТОР ЧАСТОТЫ УНИВЕРСАЛ-15</t>
  </si>
  <si>
    <t>29226  СИСТЕМА ГРУППОВОГО УПРАВЛЕНИЯ СГУ 2-В-15</t>
  </si>
  <si>
    <t>29167  ВОДОПРОВОД Д-50 СТ.</t>
  </si>
  <si>
    <t>29166  ВОДОПРОВОД Д-57 ЧУГ. протяж.6 п.м.</t>
  </si>
  <si>
    <t>29164  ВОДОПРОВОД Д-100 ЧУГ.</t>
  </si>
  <si>
    <t>29161  ВОДОПРОВОД Д-100 ЧУГ.</t>
  </si>
  <si>
    <t>город Калуга, улица Кубяка, д.1/1</t>
  </si>
  <si>
    <t>29142  ВОДОПРОВОД Д-200 ЧУГ.</t>
  </si>
  <si>
    <t>город Калуга, лит.I микрорайон № 31 б-р Байконур</t>
  </si>
  <si>
    <t>29141  ВОДОПРОВОД Д-100 ЧУГ.</t>
  </si>
  <si>
    <t>29139  ВОДОПРОВОД Д-100-150 чуг.</t>
  </si>
  <si>
    <t>29122  МОТОПОМПА АНБ-850</t>
  </si>
  <si>
    <t>город Калуга, переулок Литейный, д.3</t>
  </si>
  <si>
    <t>29082  ВОДОПРОВОД Д-100 СТ.</t>
  </si>
  <si>
    <t>город Калуга, переулок Линейный, д.3</t>
  </si>
  <si>
    <t>29081  ВОДОПРОВОД Д-200, СТ.</t>
  </si>
  <si>
    <t>29079  ПНС (ПОДКАЧИВАЮЩАЯ НАСОСНАЯ СТАНЦИЯ)</t>
  </si>
  <si>
    <t>29078  ВОДОПРОВОД Д-219 ЧУГ.</t>
  </si>
  <si>
    <t>29076  ВОДОПРОВОД Д-100 СТ.</t>
  </si>
  <si>
    <t>29075  ВОДОПРОВОД Д-200 ЧУГ.</t>
  </si>
  <si>
    <t>город Калуга, поселок Бушмановка,</t>
  </si>
  <si>
    <t>28992  ВОДОВОД Д-426 ст.</t>
  </si>
  <si>
    <t>28503  ВОЗДУХОДУВКА 2АФ51752Ш</t>
  </si>
  <si>
    <t>28738  ВОДОПРОВОД Д-50 ЧУГ.</t>
  </si>
  <si>
    <t>28737  ВОДОПРОВОД Д-50 ЧУГ.</t>
  </si>
  <si>
    <t>28736  ВОДОПРОВОД Д-50 ЧУГ.</t>
  </si>
  <si>
    <t>28735  ВОДОПРОВОД Д-50 ЧУГ.</t>
  </si>
  <si>
    <t>28734  ВОДОПРОВОД Д-100 СТ.</t>
  </si>
  <si>
    <t>28733  ВОДОПРОВОД Д-100 ЧУГ.</t>
  </si>
  <si>
    <t>28732  ВОДОПРОВОД Д-50 ЧУГ.</t>
  </si>
  <si>
    <t>28731  ВОДОПРОВОД Д-50 СТ.</t>
  </si>
  <si>
    <t>28730  ВОДОПРОВОД Д-50 СТ.</t>
  </si>
  <si>
    <t>28729  ВОДОПРОВОД Д-50 ЧУГ.</t>
  </si>
  <si>
    <t>28728  ВОДОПРОВОД Д-50 ЧУГ.</t>
  </si>
  <si>
    <t>28727  ВОДОПРОВОД Д-50 ЧУГ.</t>
  </si>
  <si>
    <t>28726  ВОДОПРОВОД Д-50 ЧУГ.</t>
  </si>
  <si>
    <t>28725  ВОДОПРОВОД Д-50 ЧУГ.</t>
  </si>
  <si>
    <t>28724  ВОДОПРОВОД Д-50 ЧУГ.</t>
  </si>
  <si>
    <t>28723  ВОДОПРОВОД Д-100 ЧУГ.</t>
  </si>
  <si>
    <t>28722  ВОДОПРОВОД Д-50 ЧУГ.</t>
  </si>
  <si>
    <t>28721  ВОДОПРОВОД Д-50 ЧУГ.</t>
  </si>
  <si>
    <t>28720  ВОДОПРОВОД Д-50 ЧУГ.</t>
  </si>
  <si>
    <t>28719  ВОДОПРОВОД Д-50 ЧУГ.</t>
  </si>
  <si>
    <t>28718  ВОДОПРОВОД Д-100 ЧУГ.</t>
  </si>
  <si>
    <t>28717  ВОДОПРОВОД Д-50 ЧУГ.</t>
  </si>
  <si>
    <t>28716  ВОДОПРОВОД Д-100 ЧУГ.</t>
  </si>
  <si>
    <t>28715  ВОДОПРОВОД Д-100 ЧУГ.</t>
  </si>
  <si>
    <t>28714  ВОДОПРОВОД Д-50 СТ.</t>
  </si>
  <si>
    <t>28713  ВОДОПРОВОД Д-100 ЧУГ.</t>
  </si>
  <si>
    <t>28712  ВОДОПРОВОД Д-50 СТ.</t>
  </si>
  <si>
    <t>28711  ВОДОПРОВОД Д-80 СТ.</t>
  </si>
  <si>
    <t>28710  ВОДОПРОВОД Д-40 СТ.</t>
  </si>
  <si>
    <t>28709  ВОДОПРОВОД Д-50 СТ.</t>
  </si>
  <si>
    <t>28708  ВОДОПРОВОД Д-50 ЧУГ.</t>
  </si>
  <si>
    <t>28707  ВОДОПРОВОД Д-40 СТ.</t>
  </si>
  <si>
    <t>город Калуга, улица Пухова, д.25/27</t>
  </si>
  <si>
    <t>28706  ВОДОПРОВОД Д-100 ЧУГ.</t>
  </si>
  <si>
    <t>28700  ВОДОПРОВОД D80, СТАЛЬ</t>
  </si>
  <si>
    <t>28699  ВОДОПРОВОД D150, ЧУГ</t>
  </si>
  <si>
    <t>28698  ВОДОПРОВОД D100, ЧУГ</t>
  </si>
  <si>
    <t>28697  ВОДОПРОВОД D100, ЧУГ</t>
  </si>
  <si>
    <t>28143  ТЕХ.ВОДОПРОВОД D150,СТАЛЬ</t>
  </si>
  <si>
    <t>28142  ТЕХ.ВОДОПРОВОД D200,СТАЛЬ</t>
  </si>
  <si>
    <t>28141  ТЕХ.ВОДОПРОВОД D100,СТАЛЬ</t>
  </si>
  <si>
    <t>28140  ТЕХ.ВОДОПРОВОД D150,СТАЛЬ</t>
  </si>
  <si>
    <t>28139  ТЕХ.ВОДОПРОВОД D300,СТАЛЬ</t>
  </si>
  <si>
    <t>28138  ВОДОВОД D100,ЧУГ</t>
  </si>
  <si>
    <t>28137  ВОДОВОД D100,ЧУГ</t>
  </si>
  <si>
    <t>28136  ВОДОВОД D100,ЧУГ</t>
  </si>
  <si>
    <t>28135  ВОДОВОД D100,ЧУГ</t>
  </si>
  <si>
    <t>28134  ВОДОВОД D100,СТАЛЬ</t>
  </si>
  <si>
    <t>28131  ВОДОПРОВОД D150, ЧУГ</t>
  </si>
  <si>
    <t>город Калуга, поселок Резвань, улица Железнодорожная, 5</t>
  </si>
  <si>
    <t>28129  ВВОД К Ж/Д D50,СТАЛЬ</t>
  </si>
  <si>
    <t>город Калуга, поселок Резвань, улица Железнодорожная, 4</t>
  </si>
  <si>
    <t>28128  ВВОД К Ж/Д D50,СТАЛЬ</t>
  </si>
  <si>
    <t>город Калуга, поселок Резвань, улица Железнодорожная,</t>
  </si>
  <si>
    <t>28127  ВВОД К Ж/Д D50,СТАЛЬ</t>
  </si>
  <si>
    <t>город Калуга, поселок Резвань, улица Железнодорожная, 2</t>
  </si>
  <si>
    <t>28126  ВВОД К Ж/Д D50,СТАЛЬ</t>
  </si>
  <si>
    <t>город Калуга, поселок Резвань, улица Железнодорожная, 1</t>
  </si>
  <si>
    <t>28125  ВВОД К Ж/Д D50,СТАЛЬ</t>
  </si>
  <si>
    <t>город Калуга, поселок Резвань, улица Буровая, 9</t>
  </si>
  <si>
    <t>28124  ВВОД К Ж/Д D100,СТАЛЬ</t>
  </si>
  <si>
    <t>город Калуга, поселок Резвань, улица Буровая, 7</t>
  </si>
  <si>
    <t>28123  ВВОД К Ж/Д D100,СТАЛЬ</t>
  </si>
  <si>
    <t>город Калуга, поселок Резвань, улица Буровая, 5</t>
  </si>
  <si>
    <t>28122  ВВОД К Ж/Д D100,СТАЛЬ</t>
  </si>
  <si>
    <t>город Калуга, поселок Резвань, улица Буровая, 3</t>
  </si>
  <si>
    <t>28121  ВВОД К Ж/Д D100,СТАЛЬ</t>
  </si>
  <si>
    <t>город Калуга, поселок Резвань, улица Буровая, 1</t>
  </si>
  <si>
    <t>28120  ВВОД К Ж/Д D100,СТАЛЬ</t>
  </si>
  <si>
    <t>город Калуга, поселок Резвань, улица Микрорайон</t>
  </si>
  <si>
    <t>28112  ВОДОПРОВОД D100,СТАЛЬ</t>
  </si>
  <si>
    <t>28111  ВОДОПРОВОД D100,СТАЛЬ</t>
  </si>
  <si>
    <t>город Калуга, поселок Резвань, улица Школьная</t>
  </si>
  <si>
    <t>28110  ВОДОПРОВОД D100,ЧУГ</t>
  </si>
  <si>
    <t>28109  ВОДОПРОВОД D100,ЧУГ</t>
  </si>
  <si>
    <t>28108  ВОДОПРОВОД D150,ЧУГ</t>
  </si>
  <si>
    <t>город Калуга, поселок Резвань, улица Буровая</t>
  </si>
  <si>
    <t>28107  ВОДОПРОВОД D150,ЧУГ</t>
  </si>
  <si>
    <t>28106  ВОДОПРОВОД D150,ЧУГ</t>
  </si>
  <si>
    <t>28091  НАСОС К 80-50-200</t>
  </si>
  <si>
    <t>27923  ВОДОПРОВОД Д-100 чуг.</t>
  </si>
  <si>
    <t>27922  ВОДОПРОВОД Д-219 ст.</t>
  </si>
  <si>
    <t>27874  ВОДОПРОВОД D100 СТАЛЬ</t>
  </si>
  <si>
    <t>27873  ВОДОПРОВОД D100 СТАЛЬ</t>
  </si>
  <si>
    <t>27872  ВОДОПРОВОД D100 СТАЛЬ</t>
  </si>
  <si>
    <t>27871  ВОДОПРОВОД D500 СТАЛЬ</t>
  </si>
  <si>
    <t>27870  ВОДОПРОВОД D100 СТАЛЬ</t>
  </si>
  <si>
    <t>27869  ВОДОПРОВОД D100 СТАЛЬ</t>
  </si>
  <si>
    <t>27868  ВОДОПРОВОД D100 СТАЛЬ</t>
  </si>
  <si>
    <t>27867  ВОДОПРОВОД D100 СТАЛЬ</t>
  </si>
  <si>
    <t>27866  ВОДОПРОВОД D100 СТАЛЬ</t>
  </si>
  <si>
    <t>27865  ВОДОПРОВОД D100 СТАЛЬ</t>
  </si>
  <si>
    <t>27864  ВОДОПРОВОД D400 СТАЛЬ</t>
  </si>
  <si>
    <t>27863  ВОДОПРОВОД D500 СТАЛЬ</t>
  </si>
  <si>
    <t>27862  ВОДОПРОВОД D100 ЧУГ.</t>
  </si>
  <si>
    <t>27861  ВОДОПРОВОД D200 СТАЛЬ</t>
  </si>
  <si>
    <t>27860  ВОДОПРОВОД D200 СТАЛЬ</t>
  </si>
  <si>
    <t>27859  ВОДОПРОВОД D300 ЧУГ.</t>
  </si>
  <si>
    <t>27858  ВОДОПРОВОД D300 ЧУГ.</t>
  </si>
  <si>
    <t>27857  ВОДОПРОВОД D100 СТАЛЬ</t>
  </si>
  <si>
    <t>27856  ВОДОПРОВОД D250 ЧУГ.</t>
  </si>
  <si>
    <t>27855  ВОДОПРОВОД D100 СТАЛЬ</t>
  </si>
  <si>
    <t>27854  ВОДОПРОВОД D50 СТАЛЬ</t>
  </si>
  <si>
    <t>27852  ВОДОПРОВОД D100 ЧУГ.</t>
  </si>
  <si>
    <t>27851  ВОДОПРОВОД D200 СТАЛЬ</t>
  </si>
  <si>
    <t>27850  ВОДОПРОВОД D300 ЧУГ.</t>
  </si>
  <si>
    <t>27849  ВОДОПРОВОД D50 СТАЛЬ</t>
  </si>
  <si>
    <t>27848  ВОДОПРОВОД D100 СТАЛЬ</t>
  </si>
  <si>
    <t>27847  ВОДОПРОВОД D100 СТАЛЬ</t>
  </si>
  <si>
    <t>27846  ВОДОПРОВОД D200 СТАЛЬ</t>
  </si>
  <si>
    <t>27845  ВОДОПРОВОД D300 ЧУГ.</t>
  </si>
  <si>
    <t>27844  ВОДОПРОВОД D300 ЧУГ.</t>
  </si>
  <si>
    <t>27843  ВОДОПРОВОД D100 ЧУГ.</t>
  </si>
  <si>
    <t>27842  ВОДОПРОВОД D100 СТАЛЬ</t>
  </si>
  <si>
    <t>27841  ВОДОПРОВОД D100 СТАЛЬ</t>
  </si>
  <si>
    <t>27840  ВОДОПРОВОД D100 СТАЛЬ</t>
  </si>
  <si>
    <t>27839  ВОДОПРОВОД D100 ЧУГ.</t>
  </si>
  <si>
    <t>27838  ВОДОПРОВОД D200 ЧУГ.</t>
  </si>
  <si>
    <t>27837  ВОДОПРОВОД D100 ЧУГ.</t>
  </si>
  <si>
    <t>27836  ВОДОПРОВОД D100 СТАЛЬ</t>
  </si>
  <si>
    <t>27835  ВОДОПРОВОД D200 СТАЛЬ</t>
  </si>
  <si>
    <t>27834  ВОДОПРОВОД D100 ЧУГ.</t>
  </si>
  <si>
    <t>27833  ВОДОПРОВОД D100, 110</t>
  </si>
  <si>
    <t>27832  ВОДОПРОВОД D150 СТАЛЬ</t>
  </si>
  <si>
    <t>27700  ВОДОПРОВОД D100 ЧУГУН</t>
  </si>
  <si>
    <t>28936  ЗАДВИЖКА d=400</t>
  </si>
  <si>
    <t>28915  ВОДОПРОВОД Д-108, ст.</t>
  </si>
  <si>
    <t>28913  ВОДОПРОВОД Д-100 ЧУГ.</t>
  </si>
  <si>
    <t>28911  ВОДОПРОВОД Д-100 ст.</t>
  </si>
  <si>
    <t>г.Калуга УЛ. БАРРИКАД 126 К1</t>
  </si>
  <si>
    <t>28909  ВОДОПРОВОД Д-57 СТ.</t>
  </si>
  <si>
    <t>28429  ЗАДВИЖКА d=400</t>
  </si>
  <si>
    <t>28816  ВОДОПРОВОД Д-100 чуг.</t>
  </si>
  <si>
    <t>28815  ВОДОПРОВОД Д-100 чуг.</t>
  </si>
  <si>
    <t>28814  ВОДОПРОВОД Д-100 чуг.</t>
  </si>
  <si>
    <t>28813  ВОДОПРОВОД Д-150 ст.</t>
  </si>
  <si>
    <t>28812  ВОДОПРОВОД Д-50 чуг.</t>
  </si>
  <si>
    <t>28811  ВОДОПРОВОД Д-100 чуг.</t>
  </si>
  <si>
    <t>28810  ВОДОПРОВОД Д-50 ст.</t>
  </si>
  <si>
    <t>28809  ВОДОПРОВОД Д-100 ст.</t>
  </si>
  <si>
    <t>28808  ВОДОПРОВОД Д-100 ст.</t>
  </si>
  <si>
    <t>город Калуга, улица В.Андриановой, д.63</t>
  </si>
  <si>
    <t>28807  ВОДОПРОВОД Д-100 чуг.</t>
  </si>
  <si>
    <t>28806  ВОДОПРОВОД Д-100 ст.</t>
  </si>
  <si>
    <t>28805  ВОДОПРОВОД Д-100 ст.</t>
  </si>
  <si>
    <t>28804  ВОДОПРОВОД Д-50 ст.</t>
  </si>
  <si>
    <t>28803  ВОДОПРОВОД Д-50 ст.</t>
  </si>
  <si>
    <t>город Калуга, улица Ленина, д.17 (19)</t>
  </si>
  <si>
    <t>28802  ВОДОПРОВОД Д-150 ст.</t>
  </si>
  <si>
    <t>28801  ВОДОПРОВОД Д-80 ст.</t>
  </si>
  <si>
    <t>28800  ВОДОПРОВОД Д-100 чуг.</t>
  </si>
  <si>
    <t>28799  ВОДОПРОВОД Д-200 чуг.</t>
  </si>
  <si>
    <t>28798  ВОДОПРОВОД Д-100 ст.</t>
  </si>
  <si>
    <t>28797  ВОДОПРОВОД Д-100 чуг.</t>
  </si>
  <si>
    <t>28796  ВОДОПРОВОД Д-100 ст.</t>
  </si>
  <si>
    <t>28795  ВОДОПРОВОД Д-100 чуг.</t>
  </si>
  <si>
    <t>28794  ВОДОПРОВОД Д-100 ст.</t>
  </si>
  <si>
    <t>город Калуга, улица Моторная, 36/15, 38, 42, 44, 48, 50</t>
  </si>
  <si>
    <t>28793  ВОДОПРОВОД Д-100 ст.</t>
  </si>
  <si>
    <t>город Калуга, улица Моторная, д.36/15 38, 42, 44, 46, 48</t>
  </si>
  <si>
    <t>28792  ВОДОПРОВОД Д-50 ст.</t>
  </si>
  <si>
    <t>город Калуга, улица Чехова, д.15/17</t>
  </si>
  <si>
    <t>28791  ВОДОПРОВОД Д-50 ст.</t>
  </si>
  <si>
    <t>28790  ВОДОПРОВОД Д-100 чуг.</t>
  </si>
  <si>
    <t>28789  ВОДОПРОВОД Д-50 ст.</t>
  </si>
  <si>
    <t>28788  ВОДОПРОВОД Д-50 ст.</t>
  </si>
  <si>
    <t>28787  ВОДОПРОВОД Д-50 ст.</t>
  </si>
  <si>
    <t>28786  ВОДОПРОВОД Д-100 чуг.</t>
  </si>
  <si>
    <t>28785  ВОДОПРОВОД Д-50 ст.</t>
  </si>
  <si>
    <t>28784  ВОДОПРОВОД Д-100 чуг.</t>
  </si>
  <si>
    <t>28783  ВОДОПРОВОД Д-100 чуг.</t>
  </si>
  <si>
    <t>28782  ВОДОПРОВОД Д-50 ст.</t>
  </si>
  <si>
    <t>город Калуга, улица Жукова, д.39</t>
  </si>
  <si>
    <t>28781  ВОДОПРОВОД Д-50 ст.</t>
  </si>
  <si>
    <t>28780  ВОДОПРОВОД Д-50 чуг.</t>
  </si>
  <si>
    <t>28779  ВОДОПРОВОД Д-50 ст.</t>
  </si>
  <si>
    <t>28778  ВОДОПРОВОД Д-50 ст.</t>
  </si>
  <si>
    <t>28777  ВОДОПРОВОД Д-50 ст.</t>
  </si>
  <si>
    <t>28696  ВОДОПРОВОД D50, СТАЛЬ</t>
  </si>
  <si>
    <t>28684  ВОДОВОД Д-400 ст.</t>
  </si>
  <si>
    <t>01.10.2001</t>
  </si>
  <si>
    <t>город Калуга, улица Маяковского, 49, 51</t>
  </si>
  <si>
    <t>28408  ВОДОПРОВОД Д-100 чуг.</t>
  </si>
  <si>
    <t>34829  КОЛОДЦЫ Д-1 Ж/Б</t>
  </si>
  <si>
    <t>28326  ЗАДВИЖКА Д-100 ЧУГ.</t>
  </si>
  <si>
    <t>28325  ЗАДВИЖКА Д-300 ЧУГ.</t>
  </si>
  <si>
    <t>город Калуга, улица Кибальчича, 18</t>
  </si>
  <si>
    <t>28324  ПОЖАРНЫЙ ГИДРАНТ</t>
  </si>
  <si>
    <t>28323  КОЛОДЦЫ Д-1 Ж/Б</t>
  </si>
  <si>
    <t>28322  ВОДОПРОВОД Д-100 ЧУГ.</t>
  </si>
  <si>
    <t>28321  ВОДОПРОВОД Д-100 ЧУГ.</t>
  </si>
  <si>
    <t>28320  ВОДОПРОВОД D100 ЧУГ.</t>
  </si>
  <si>
    <t>28179  КАБЕЛЬН. ЛЭП-0.4КВТ</t>
  </si>
  <si>
    <t>28176  ВОДОПРОВОД D200 ЧУГ</t>
  </si>
  <si>
    <t>28174  ВОДОПРОВОД D100,СТАЛЬ</t>
  </si>
  <si>
    <t>28133  ВВОД D100,СТАЛЬ</t>
  </si>
  <si>
    <t>28012  ВОДОПРОВОД Д-100 ст.</t>
  </si>
  <si>
    <t>28011  ВОДОПРОВОД Д-100 чуг.</t>
  </si>
  <si>
    <t>28010  ВОДОПРОВОД Д-200 ст.</t>
  </si>
  <si>
    <t>28009  ВОДОПРОВОД Д-100 ст.</t>
  </si>
  <si>
    <t>28008  ВОДОПРОВОД Д-100 ст.</t>
  </si>
  <si>
    <t>28007  ВОДОПРОВОД Д-100 чуг.</t>
  </si>
  <si>
    <t>28006  ВОДОПРОВОД Д-100 чуг.</t>
  </si>
  <si>
    <t>28005  ВОДОПРОВОД Д-100 чуг.</t>
  </si>
  <si>
    <t>28004  ВОДОПРОВОД Д-50 чуг.</t>
  </si>
  <si>
    <t>28003  ВОДОПРОВОД Д-76 ст.</t>
  </si>
  <si>
    <t>28002  ВОДОПРОВОД Д-50 чуг.</t>
  </si>
  <si>
    <t>28000  ВОДОПРОВОД Д-114 СТ.</t>
  </si>
  <si>
    <t>27934  НАСОС К 80-50-200</t>
  </si>
  <si>
    <t>27921  ВОДОПРОВОД Д-100 чуг.</t>
  </si>
  <si>
    <t>27920  ВОДОПРОВОД Д-100 чуг.</t>
  </si>
  <si>
    <t>27917  ВОДОПРОВОД D100 ОЦИНК.</t>
  </si>
  <si>
    <t>27853  ВОДОПРОВОД D 100 СТАЛЬ</t>
  </si>
  <si>
    <t>17.07.2000</t>
  </si>
  <si>
    <t>город Калуга, улица Турынинские Дворики,</t>
  </si>
  <si>
    <t>27883  ВОДОПРОВОД Д-250 ст.</t>
  </si>
  <si>
    <t>27784  ВОДОПРОВОД Д-100 чуг.</t>
  </si>
  <si>
    <t>г. Калуга, ул. Огарева, д. 40, корп. 2</t>
  </si>
  <si>
    <t>27783 ВОДОПРОВОД Д-76 СТ. протяженностью 12,5 м., глубина 2,5м.: г.Калуга, ул.Огарева, д.4</t>
  </si>
  <si>
    <t>27782 ВОДОПРОВОД Д-159 СТ. протяженностью 24,5 м, глубина 2,5 м: г.калуга, ул.Огарева, д.4</t>
  </si>
  <si>
    <t>27780 ВОДОПРОВОД Д-57 СТ. L3,5 п.м., глубина 2,5 м.:г.Калуга, ул.Огарева, д.40, к.1</t>
  </si>
  <si>
    <t>27779 ВОДОПРОВОД Д-159 СТ. протяженностью 57 п.м. глубина 2,5 м: г.Калуга, ул. Огарева, д.</t>
  </si>
  <si>
    <t>27775  ВОДОПРОВОД D100 ЧУГ.</t>
  </si>
  <si>
    <t>34029  ЗАДВИЖКА Д-400 ЧУГ.</t>
  </si>
  <si>
    <t>01.06.2000</t>
  </si>
  <si>
    <t>24003  ЗАДВИЖКА Д-400 ЧУГ.</t>
  </si>
  <si>
    <t>27675  ВОДОПРОВОД Д-32 ст.</t>
  </si>
  <si>
    <t>город Калуга, бульвар Моторостроителей, д.12</t>
  </si>
  <si>
    <t>27674  ВОДОПРОВОД Д-100 СТ.</t>
  </si>
  <si>
    <t>город Калуга, улица Грабцевское шоссе, д.160</t>
  </si>
  <si>
    <t>27649  ВОДОПРОВОД Д-114 ст.</t>
  </si>
  <si>
    <t>01.03.2000</t>
  </si>
  <si>
    <t>27648  ВОДОПРОВОД Д-100 чуг.</t>
  </si>
  <si>
    <t>22994  ЗАТВОР Д-600 чуг.</t>
  </si>
  <si>
    <t>01.02.2000</t>
  </si>
  <si>
    <t>34821  КЛАПАН Д-400 ст.</t>
  </si>
  <si>
    <t>27574  КЛАПАН Д-400 ст.</t>
  </si>
  <si>
    <t>27571  ВОДОПРОВОД Д-150 СТ.</t>
  </si>
  <si>
    <t>23004  ЗАДВИЖКА d=350 чуг.</t>
  </si>
  <si>
    <t>27543  ВОДОПРОВОД Д-50 СТ.</t>
  </si>
  <si>
    <t>27390  ВОДОПРОВОД D-89 СТ.</t>
  </si>
  <si>
    <t>город Калуга, улица Рылеева, 39</t>
  </si>
  <si>
    <t>27389  ВОДОПРОВОД D-100 ЧУГ.</t>
  </si>
  <si>
    <t>27359  ЗАТВОР Д-600</t>
  </si>
  <si>
    <t>01.11.1999</t>
  </si>
  <si>
    <t>город Калуга, деревня Колюпаново, лит.I</t>
  </si>
  <si>
    <t>27356  СКВАЖИНА № 2 д.Колюпаново. Новая.</t>
  </si>
  <si>
    <t>город Калуга, улица Льва Толстого, д.43</t>
  </si>
  <si>
    <t>27297  ПНС</t>
  </si>
  <si>
    <t>27294  ВОДОПРОВОД Д-159 ст.</t>
  </si>
  <si>
    <t>27292  ВОДОПРОВОД Д-89-100 ст.</t>
  </si>
  <si>
    <t>27286  ВОДОПРОВОД Д-100 ЧУГ.</t>
  </si>
  <si>
    <t>27285  ВОДОПРОВОД Д-50 СТ.</t>
  </si>
  <si>
    <t>27284  ВОДОПРОВОД Д-80 СТ.</t>
  </si>
  <si>
    <t>г.Калуга ул.ДРУЖБЫ 15</t>
  </si>
  <si>
    <t>27266  ВОДОПРОВОД Д-100 ст.</t>
  </si>
  <si>
    <t>г.Калуга ул.ДРУЖБЫ 12</t>
  </si>
  <si>
    <t>27265  ВОДОПРОВОД Д-100-250 ст.</t>
  </si>
  <si>
    <t>27264  ВОДОПРОВОД Д-50 чуг.</t>
  </si>
  <si>
    <t>город Калуга, улица Черновская,</t>
  </si>
  <si>
    <t>27263  ВОДОПРОВОД Д-100 чуг.</t>
  </si>
  <si>
    <t>27254  ВОДОПРОВОД Д-100 ЧУГ.</t>
  </si>
  <si>
    <t>27253  ВОДОПРОВОД Д-100 ЧУГ.</t>
  </si>
  <si>
    <t>27252  ВОДОПРОВОД Д-100 ЧУГ.</t>
  </si>
  <si>
    <t>27251  ВОДОПРОВОД Д-100 ЧУГ.</t>
  </si>
  <si>
    <t>27250  ВОДОПРОВОД Д-100 ЧУГ.</t>
  </si>
  <si>
    <t>27249  ВОДОПРОВОД Д-100 ЧУГ.</t>
  </si>
  <si>
    <t>город Калуга, улица К.Либкнехта, д.15</t>
  </si>
  <si>
    <t>27248  ВОДОПРОВОД СТ. D-100</t>
  </si>
  <si>
    <t>27247  ВОДОПРОВОД Д-100 ЧУГ.</t>
  </si>
  <si>
    <t>27246  ВОДОПРОВОД Д-100 ЧУГ.</t>
  </si>
  <si>
    <t>город Калуга, улица Азаровская</t>
  </si>
  <si>
    <t>27245  ВОДОПРОВОД ЧУГ. D-100</t>
  </si>
  <si>
    <t>город Калуга, улица Советская, д.1а , 2а, 3а</t>
  </si>
  <si>
    <t>27232  ВОДОПРОВОД Д-70 чуг.</t>
  </si>
  <si>
    <t>город Калуга, улица Советская, д.1а 2а, 3а</t>
  </si>
  <si>
    <t>27231  ВОДОПРОВОД Д-50 ст.</t>
  </si>
  <si>
    <t>27228  ВОДОПРОВОД Д-50 ст.</t>
  </si>
  <si>
    <t>27227  ВОДОПРОВОД Д-100 чуг.</t>
  </si>
  <si>
    <t>27225  ВОДОПРОВОД Д-200 чуг.</t>
  </si>
  <si>
    <t>27223  ВОДОПРОВОД Д-100 ст.</t>
  </si>
  <si>
    <t>27221  ВОДОПРОВОД Д-50 ст.</t>
  </si>
  <si>
    <t>27219  ВОДОПРОВОД Д-50 ст.</t>
  </si>
  <si>
    <t>город Калуга, улица Маршала Жукова, д.11 11а</t>
  </si>
  <si>
    <t>27217  ВОДОПРОВОД Д-50-100 ст.</t>
  </si>
  <si>
    <t>27215  ВОДОПРОВОД Д-50 ст.</t>
  </si>
  <si>
    <t>27213  ВОДОПРОВОД Д-100 ст.</t>
  </si>
  <si>
    <t>27211  ВОДОПРОВОД Д-100 ст.</t>
  </si>
  <si>
    <t>27209  ВОДОПРОВОД Д-76 ст.</t>
  </si>
  <si>
    <t>27207  ВОДОПРОВОД Д-76 ст.</t>
  </si>
  <si>
    <t>27206  ВОДОПРОВОД Д-100 чуг.</t>
  </si>
  <si>
    <t>27204  ВОДОПРОВОД Д-100 ст.</t>
  </si>
  <si>
    <t>27202  ВОДОПРОВОД Д-100 ст.</t>
  </si>
  <si>
    <t>27200  ВОДОПРОВОД Д-75 ст.</t>
  </si>
  <si>
    <t>27198  ВОДОПРОВОД Д-100 ст.</t>
  </si>
  <si>
    <t>27196  ВОДОПРОВОД Д-100 чуг.</t>
  </si>
  <si>
    <t>27194  ВОДОПРОВОД Д-76-100 ст.</t>
  </si>
  <si>
    <t>27192  ВОДОПРОВОД Д-89 ст.</t>
  </si>
  <si>
    <t>город Калуга, улица Пролетарская, д.135а/135б</t>
  </si>
  <si>
    <t>27189  ВОДОПРОВОД Д-100 чуг.</t>
  </si>
  <si>
    <t>27187  ВОДОПРОВОД Д-76 ст.</t>
  </si>
  <si>
    <t>27185  ВОДОПРОВОД Д-100 ст.</t>
  </si>
  <si>
    <t>город Калуга, улица Грабцевское шоссе, д.40</t>
  </si>
  <si>
    <t>27183  ВОДОПРОВОД Д-50 ст.</t>
  </si>
  <si>
    <t>27181  ВОДОПРОВОД Д-50 ст.</t>
  </si>
  <si>
    <t>27178  ВОДОПРОВОД Д-200 чуг.</t>
  </si>
  <si>
    <t>27177  ВОДОПРОВОД Д-50 ст.</t>
  </si>
  <si>
    <t>27172  ВОДОПРОВОД Д-100-200 ст.</t>
  </si>
  <si>
    <t>27171  ВОДОПРОВОД Д-25-65 ст.</t>
  </si>
  <si>
    <t>27168  ВОДОПРОВОД Д-100 чуг.</t>
  </si>
  <si>
    <t>23030  ЗАДВИЖКА С ЭЛ. ПР. Д-600 СТ.</t>
  </si>
  <si>
    <t>27136  ВОДОПРОВОД Д-150 ст.</t>
  </si>
  <si>
    <t>27081  ВОДОПРОВОД Д-50 ст.оцинк.</t>
  </si>
  <si>
    <t>27080  ВОДОПРОВОД Д-100 чуг.</t>
  </si>
  <si>
    <t>27079  ВОДОПРОВОД Д-200 чуг.</t>
  </si>
  <si>
    <t>27075  ВОДОПРОВОД Д-50 ст.</t>
  </si>
  <si>
    <t>27028  ВОДОПРОВОД Д-200 ст.</t>
  </si>
  <si>
    <t>27027  ВОДОПРОВОД Д-200 чуг.</t>
  </si>
  <si>
    <t>27023  ВОДОПРОВОД Д-250 СТ.</t>
  </si>
  <si>
    <t>город Калуга, улица Глаголева, котельная</t>
  </si>
  <si>
    <t>26995  ВОДОПРОВОД Д-150 СТ.</t>
  </si>
  <si>
    <t>26993  ВОДОПРОВОД Д-100 СТ.</t>
  </si>
  <si>
    <t>город Калуга, деревня Железняки</t>
  </si>
  <si>
    <t>26978  ВОДОВОД Д-426 СТ.</t>
  </si>
  <si>
    <t>26976  ВОДОПРОВОД Д-100 ЧУГ.</t>
  </si>
  <si>
    <t>26972  ВОДОПРОВОД Д-150 ЧУГ.</t>
  </si>
  <si>
    <t>26971  ВОДОПРОВОД Д-50 ЧУГ.</t>
  </si>
  <si>
    <t>26970  ВОДОПРОВОД Д-150 ЧУГ.</t>
  </si>
  <si>
    <t>26969  ВОДОПРОВОД Д-50 ЧУГ.</t>
  </si>
  <si>
    <t>26968  ВОДОПРОВОД Д-150 ЧУГ.</t>
  </si>
  <si>
    <t>26967  ВОДОПРОВОД Д-50 ЧУГ.</t>
  </si>
  <si>
    <t>26963  ВОДОПРОВОД Д-200 ЧУГ.</t>
  </si>
  <si>
    <t>26962  ВОДОПРОВОД Д-100 ЧУГ.</t>
  </si>
  <si>
    <t>26961  ВОДОПРОВОД Д-200 ЧУГ.</t>
  </si>
  <si>
    <t>26960  ВОДОПРОВОД Д-100 ЧУГ.</t>
  </si>
  <si>
    <t>26959  ВОДОПРОВОД Д-150 СТ.</t>
  </si>
  <si>
    <t>город Калуга, улица Билибина, д.21</t>
  </si>
  <si>
    <t>26947  ВОДОПРОВОД Д-100 ЧУГ.</t>
  </si>
  <si>
    <t>26946  ВОДОПРОВОД Д-80 СТ.</t>
  </si>
  <si>
    <t>26945  ВОДОПРОВОД Д-80 СТ.</t>
  </si>
  <si>
    <t>26944  ВОДОПРОВОД Д-100 ЧУГ.</t>
  </si>
  <si>
    <t>26943  ВОДОПРОВОД Д-80 СТ.</t>
  </si>
  <si>
    <t>26942  ВОДОПРОВОД Д-100 ЧУГ.</t>
  </si>
  <si>
    <t>город Калуга, улица Билибина, д.8</t>
  </si>
  <si>
    <t>26941  ВОДОПРОВОД Д-150 СТ.</t>
  </si>
  <si>
    <t>26940  ВОДОПРОВОД Д-100 СТ.</t>
  </si>
  <si>
    <t>26939  ВОДОПРОВОД Д-125 СТ.</t>
  </si>
  <si>
    <t>город Калуга, улица Билибина, д.2</t>
  </si>
  <si>
    <t>26938  ВОДОПРОВОД Д-50 СТ.</t>
  </si>
  <si>
    <t>город Калуга, улица Тельмана, 35</t>
  </si>
  <si>
    <t>26937  МАГИСТРАЛЬНЫЙ ВОДОПРОВОД СТ. D-100</t>
  </si>
  <si>
    <t>город Калуга, улица Билибина, 21</t>
  </si>
  <si>
    <t>26936  МАГИСТРАЛЬНЫЙ ВОДОПРОВОД СТ. D-150</t>
  </si>
  <si>
    <t>город Калуга, улица Билибина, 9-15</t>
  </si>
  <si>
    <t>26935  МАГИСТРАЛЬНЫЙ ВОДОПРОВОД СТ. D-100</t>
  </si>
  <si>
    <t>26931  ВОДОПРОВОД Д-300 СТ.</t>
  </si>
  <si>
    <t>26930  ВОДОПРОВОД Д-150 СТ.</t>
  </si>
  <si>
    <t>город Калуга, улица Билибина</t>
  </si>
  <si>
    <t>26929  ВОДОВОД Д-300 СТ.</t>
  </si>
  <si>
    <t>26918  ВОДОПРОВОД Д-50 ЧУГ.</t>
  </si>
  <si>
    <t>26917  ВОДОПРОВОД Д-100 ЧУГ.</t>
  </si>
  <si>
    <t>26916  ВОДОПРОВОД Д-100 ЧУГ.</t>
  </si>
  <si>
    <t>26915  ВОДОПРОВОД Д-200 ЧУГ.</t>
  </si>
  <si>
    <t>26914  ВОДОПРОВОД Д-100 ЧУГ.</t>
  </si>
  <si>
    <t>город Калуга, улица Московская, д.219</t>
  </si>
  <si>
    <t>26913  ВОДОПРОВОД Д-1010 ЧУГ.</t>
  </si>
  <si>
    <t>26912  ВОДОПРОВОД Д-100 ЧУГ.</t>
  </si>
  <si>
    <t>26911  ВОДОПРОВОД Д-100 ЧУГ.</t>
  </si>
  <si>
    <t>26910  ВОДОПРОВОД Д-100 ЧУГ.</t>
  </si>
  <si>
    <t>26903  ВОДОПРОВОД Д-100 ЧУГ.</t>
  </si>
  <si>
    <t>26902  ВОДОПРОВОД Д-50 ЧУГ.</t>
  </si>
  <si>
    <t>26901  ВОДОПРОВОД Д-50 ЧУГ.</t>
  </si>
  <si>
    <t>26900  ВОДОПРОВОД Д-100 ЧУГ.</t>
  </si>
  <si>
    <t>26899  ВОДОПРОВОД Д-50 ЧУГ.</t>
  </si>
  <si>
    <t>26898  ВОДОПРОВОД Д-100 ЧУГ.</t>
  </si>
  <si>
    <t>26897  ВОДОПРОВОД Д-50 ЧУГ.</t>
  </si>
  <si>
    <t>26896  ВОДОПРОВОД Д-100 ЧУГ.</t>
  </si>
  <si>
    <t>26895  ВОДОПРОВОД Д-50 ЧУГ.</t>
  </si>
  <si>
    <t>26893  ВОДОПРОВОД Д-50 ЧУГ.</t>
  </si>
  <si>
    <t>34552  ЗАТВОР 32 ДУ-500 ЧУГ.</t>
  </si>
  <si>
    <t>34551  ЗАТВОР 32 ДУ-500 ЧУГ.</t>
  </si>
  <si>
    <t>34550  ЗАТВОР 32 ДУ-500 ЧУГ.</t>
  </si>
  <si>
    <t>34547  ЗАТВОР 32  906 БР Д-500 ЧУГ.</t>
  </si>
  <si>
    <t>34118  ЗАДВИЖКА Д-600 ЧУГ.</t>
  </si>
  <si>
    <t>34117  ЗАДВИЖКА Д-600 ЧУГ.</t>
  </si>
  <si>
    <t>26890  ЗАДВИЖКИ Д-400 ЧУГ.</t>
  </si>
  <si>
    <t>26889  ЗАДВИЖКА Д-600 ЧУГ.</t>
  </si>
  <si>
    <t>26886  ЗАТВОР 32  906 БР Д-500 ЧУГ.</t>
  </si>
  <si>
    <t>26882  ЗАТВОР 32 ДУ-500 ЧУГ.</t>
  </si>
  <si>
    <t>г.Калуга ул.ХРУСТАЛЬНАЯ 27</t>
  </si>
  <si>
    <t>26845  ВОДОПРОВОД Д-150 чуг.</t>
  </si>
  <si>
    <t>26843  ВОДОПРОВОД Д-50 ст.</t>
  </si>
  <si>
    <t>26841  ВОДОПРОВОД СТ. D-114</t>
  </si>
  <si>
    <t>24909  ЗАДВИЖКА Д-600 ЧУГ.</t>
  </si>
  <si>
    <t>город Калуга, улица Кибальчича, д.22</t>
  </si>
  <si>
    <t>26812  ВОДОПРОВОД Д-100 ЧУГ.</t>
  </si>
  <si>
    <t>26808  ВОДОПРОВОД Д-114 СТ.</t>
  </si>
  <si>
    <t>26807  ВОДОПРОВОД Д-100 ЧУГ.</t>
  </si>
  <si>
    <t>город Калуга, улица Ароматная</t>
  </si>
  <si>
    <t>26806  ВОДОПРОВОД Д-426 СТ.</t>
  </si>
  <si>
    <t>город Калуга, улица Дзержинского, д.39</t>
  </si>
  <si>
    <t>26755  ВОДОПРОВОД ЧУГ. D-100</t>
  </si>
  <si>
    <t>город Калуга, улица Комсомольская Роща, д.13а</t>
  </si>
  <si>
    <t>26754  ВОДОПРОВОД Д-50 ЧУГ.</t>
  </si>
  <si>
    <t>26753  ВОДОПРОВОД Д-50 ЧУГ.</t>
  </si>
  <si>
    <t>26752  ВОДОПРОВОД Д-50 ЧУГ.</t>
  </si>
  <si>
    <t>26751  ВОДОПРОВОД Д-50 ЧУГ.</t>
  </si>
  <si>
    <t>26750  ВОДОПРОВОД Д-50 ЧУГ.</t>
  </si>
  <si>
    <t>26749  ВОДОПРОВОД Д-50 ЧУГ.</t>
  </si>
  <si>
    <t>26748  ВОДОПРОВОД Д-50 ЧУГ.</t>
  </si>
  <si>
    <t>26747  ВОДОПРОВОД Д-50 ЧУГ.</t>
  </si>
  <si>
    <t>26746  ВОДОПРОВОД Д-50 ЧУГ.</t>
  </si>
  <si>
    <t>26745  ВОДОПРОВОД Д-50 ЧУГ.</t>
  </si>
  <si>
    <t>26744  ВОДОПРОВОД Д-100 ЧУГ.</t>
  </si>
  <si>
    <t>26743  ВОДОПРОВОД Д-100 ЧУГ.</t>
  </si>
  <si>
    <t>26742  ВОДОПРОВОД Д-100 ЧУГ.</t>
  </si>
  <si>
    <t>26741  ВОДОПРОВОД Д-100 ЧУГ.</t>
  </si>
  <si>
    <t>26740  ВОДОПРОВОД Д-100 ЧУГ.</t>
  </si>
  <si>
    <t>26739  ВОДОПРОВОД Д-100 ЧУГ.</t>
  </si>
  <si>
    <t>26738  ВОДОПРОВОД Д-100 ЧУГ.</t>
  </si>
  <si>
    <t>26737  ВОДОПРОВОД Д-100 ЧУГ.</t>
  </si>
  <si>
    <t>город Калуга, переулок Чичерина, д.9</t>
  </si>
  <si>
    <t>26736  ВОДОПРОВОД Д-100 ЧУГ.</t>
  </si>
  <si>
    <t>26735  ВОДОПРОВОД Д-100 ЧУГ.</t>
  </si>
  <si>
    <t>26734  ВОДОПРОВОД Д-100 ЧУГ.</t>
  </si>
  <si>
    <t>26733  ВОДОПРОВОД Д-100 ЧУГ.</t>
  </si>
  <si>
    <t>26732  ВОДОПРОВОД Д-100 ЧУГ.</t>
  </si>
  <si>
    <t>город Калуга, улица Калинина, д.15</t>
  </si>
  <si>
    <t>26731  ВОДОПРОВОД Д-100 ЧУГ.</t>
  </si>
  <si>
    <t>26730  ВОДОПРОВОД Д-100 ЧУГ.</t>
  </si>
  <si>
    <t>26729  ВОДОПРОВОД Д-100 ЧУГ.</t>
  </si>
  <si>
    <t>26728  ВОДОПРОВОД Д-100 ЧУГ.</t>
  </si>
  <si>
    <t>город Калуга, улица Социалистическая, д.6 корп.1</t>
  </si>
  <si>
    <t>26727  ВОДОПРОВОД Д-100 ЧУГ.</t>
  </si>
  <si>
    <t>26726  ВОДОПРОВОД Д-100 ЧУГ.</t>
  </si>
  <si>
    <t>26725  ВОДОПРОВОД Д-100 ЧУГ.</t>
  </si>
  <si>
    <t>26724  ВОДОПРОВОД Д-100 ЧУГ.</t>
  </si>
  <si>
    <t>город Калуга, улица Социалистическая, д.6</t>
  </si>
  <si>
    <t>26723  ВОДОПРОВОД Д-100 ЧУГ.</t>
  </si>
  <si>
    <t>26722  ВОДОПРОВОД Д-100 ЧУГ.</t>
  </si>
  <si>
    <t>26721  ВОДОПРОВОД Д-100 ЧУГ.</t>
  </si>
  <si>
    <t>26720  ВОДОПРОВОД Д-100 ЧУГ.</t>
  </si>
  <si>
    <t>город Калуга, улица Чичерина, д.13а</t>
  </si>
  <si>
    <t>26719  ВОДОПРОВОД Д-50 ЧУГ.</t>
  </si>
  <si>
    <t>26718  ВОДОПРОВОД Д-100 ЧУГ.</t>
  </si>
  <si>
    <t>26717  ВОДОПРОВОД Д-100 ЧУГ.</t>
  </si>
  <si>
    <t>26716  ВОДОПРОВОД Д-100 ЧУГ.</t>
  </si>
  <si>
    <t>26715  ВОДОПРОВОД Д-100 ЧУГ.</t>
  </si>
  <si>
    <t>26714  ВОДОПРОВОД Д-100 ЧУГ.</t>
  </si>
  <si>
    <t>26713  ВОДОПРОВОД Д-100 ЧУГ.</t>
  </si>
  <si>
    <t>26712  ВОДОПРОВОД Д-100 ЧУГ.</t>
  </si>
  <si>
    <t>26711  ВОДОПРОВОД Д-100 ЧУГ.</t>
  </si>
  <si>
    <t>26710  ВОДОПРОВОД Д-100 ЧУГ.</t>
  </si>
  <si>
    <t>26709  ВОДОПРОВОД Д-100 ЧУГ.</t>
  </si>
  <si>
    <t>26708  ВОДОПРОВОД Д-100 ЧУГ.</t>
  </si>
  <si>
    <t>26707  ВОДОПРОВОД Д-100 ЧУГ.</t>
  </si>
  <si>
    <t>26706  ВОДОПРОВОД Д-100 ЧУГ.</t>
  </si>
  <si>
    <t>город Калуга, переулок Загородносадский, д.4</t>
  </si>
  <si>
    <t>26705  ВОДОПРОВОД D-50 СТ.</t>
  </si>
  <si>
    <t>город Калуга, улица Советская, д.4</t>
  </si>
  <si>
    <t>26660  ВОДОПРОВОД Д-100 ст.</t>
  </si>
  <si>
    <t>город Калуга, улица Алексеевская, д.125</t>
  </si>
  <si>
    <t>26659  ВОДОПРОВОД Д-100 ЧУГ.</t>
  </si>
  <si>
    <t>город Калуга, улица Ленина, д.119</t>
  </si>
  <si>
    <t>26658  ВОДОПРОВОД ЧУГ. D-50</t>
  </si>
  <si>
    <t>26657  ВОДОПРОВОД ЧУГ. D-100</t>
  </si>
  <si>
    <t>город Калуга, улица Карачевская, д.4 к д/с Вишенка</t>
  </si>
  <si>
    <t>26656  ВОДОПРОВОД Д-100 ЧУГ.</t>
  </si>
  <si>
    <t>город Калуга, улица Гурьянова, д.55 к д/с Чебурашка</t>
  </si>
  <si>
    <t>26655  ВОДОПРОВОД Д-100 ЧУГ.</t>
  </si>
  <si>
    <t>город Калуга, улица Пролетарская, д.100 к дет.саду-24</t>
  </si>
  <si>
    <t>26654  ВОДОПРОВОД Д-50 ЧУГ.</t>
  </si>
  <si>
    <t>город Калуга, улица К.Либкнехта, д.7а к дет.саду-35</t>
  </si>
  <si>
    <t>26653  ВОДОПРОВОД Д-50 ЧУГ.</t>
  </si>
  <si>
    <t>город Калуга, улица Московская, д.125 корп.1 д/с Василек</t>
  </si>
  <si>
    <t>26652  ВОДОПРОВОД Д-50 ЧУГ.</t>
  </si>
  <si>
    <t>город Калуга, улица Московская, д.119 к дет.саду-21</t>
  </si>
  <si>
    <t>26651  ВОДОПРОВОД Д-80 СТ.</t>
  </si>
  <si>
    <t>город Калуга, улица Московская, д.53а к дет.саду-16</t>
  </si>
  <si>
    <t>26650  ВОДОПРОВОД Д-50 ЧУГ.</t>
  </si>
  <si>
    <t>город Калуга, переулок Труда, д.4 корп.1, 2, 3, 4, 5</t>
  </si>
  <si>
    <t>26649  ВОДОПРОВОД Д-100 ЧУГ.</t>
  </si>
  <si>
    <t>город Калуга, переулок Труда, д.4  корп.1, 2, 3, 4, 5</t>
  </si>
  <si>
    <t>26648  ВОДОПРОВОД Д-50 ЧУГ.</t>
  </si>
  <si>
    <t>город Калуга, улица Труда, д.9 9а</t>
  </si>
  <si>
    <t>26647  ВОДОПРОВОД Д-50 ЧУГ.</t>
  </si>
  <si>
    <t>26646  ВОДОПРОВОД Д-25 СТ.</t>
  </si>
  <si>
    <t>26645  ВОДОПРОВОД Д-50 ЧУГ.</t>
  </si>
  <si>
    <t>город Калуга, улица Труда, д.5а корп.1, 2</t>
  </si>
  <si>
    <t>26644  ВОДОПРОВОД Д-50 ЧУГ.</t>
  </si>
  <si>
    <t>город Калуга, улица Труда, д.3</t>
  </si>
  <si>
    <t>26643  ВОДОПРОВОД Д-50 ЧУГ.</t>
  </si>
  <si>
    <t>26642  ВОДОПРОВОД Д-50 СТ.</t>
  </si>
  <si>
    <t>город Калуга, улица Малоярославецкая, д.16</t>
  </si>
  <si>
    <t>26641  ВОДОПРОВОД Д-100 ЧУГ.</t>
  </si>
  <si>
    <t>город Калуга, улица Карачевская, д.5 корп.1</t>
  </si>
  <si>
    <t>26640  ВОДОПРОВОД Д-100 ЧУГ.</t>
  </si>
  <si>
    <t>26639  ВОДОПРОВОД Д-100 ЧУГ.</t>
  </si>
  <si>
    <t>город Калуга, улица Карачевская, д.1</t>
  </si>
  <si>
    <t>26638  ВОДОПРОВОД Д-100 ЧУГ.</t>
  </si>
  <si>
    <t>город Калуга, улица Гурьянова, д.5</t>
  </si>
  <si>
    <t>26637  ВОДОПРОВОД Д-100 ЧУГ.</t>
  </si>
  <si>
    <t>26636  ВОДОПРОВОД Д-100 СТ.</t>
  </si>
  <si>
    <t>город Калуга, улица Гурьянова, д.4 корп.1, 2</t>
  </si>
  <si>
    <t>26635  ВОДОПРОВОД Д-100 ЧУГ.</t>
  </si>
  <si>
    <t>город Калуга, улица Гурьянова, д.33</t>
  </si>
  <si>
    <t>26634  ВОДОПРОВОД Д-100 ЧУГ.</t>
  </si>
  <si>
    <t>город Калуга, улица Гурьянова, д.16 корп.1</t>
  </si>
  <si>
    <t>26633  ВОДОПРОВОД Д-100 ЧУГ.</t>
  </si>
  <si>
    <t>26631  ВОДОПРОВОД Д-100 ЧУГ.</t>
  </si>
  <si>
    <t>26630  ВОДОПРОВОД Д-100 ЧУГ.</t>
  </si>
  <si>
    <t>26629  ВОДОПРОВОД Д-100 ЧУГ.</t>
  </si>
  <si>
    <t>город Калуга, улица Гурьянова, д.8 корп.1</t>
  </si>
  <si>
    <t>26628  ВОДОПРОВОД Д-100 СТ.</t>
  </si>
  <si>
    <t>город Калуга, улица Гурьянова, д.7</t>
  </si>
  <si>
    <t>26627  ВОДОПРОВОД Д-100 ЧУГ.</t>
  </si>
  <si>
    <t>26626  ВОДОПРОВОД Д-50 ЧУГ.</t>
  </si>
  <si>
    <t>26625  ВОДОПРОВОД Д-50 ЧУГ.</t>
  </si>
  <si>
    <t>26624  ВОДОПРОВОД Д-50 ЧУГ.</t>
  </si>
  <si>
    <t>26623  ВОДОПРОВОД Д-50 ЧУГ.</t>
  </si>
  <si>
    <t>26622  ВОДОПРОВОД Д-100 ЧУГ.</t>
  </si>
  <si>
    <t>26621  ВОДОПРОВОД Д-100 СТ.</t>
  </si>
  <si>
    <t>26620  ВОДОПРОВОД Д-100 ЧУГ.</t>
  </si>
  <si>
    <t>26619  ВОДОПРОВОД Д-100 ЧУГ.</t>
  </si>
  <si>
    <t>город Калуга, улица Баррикад, д.127</t>
  </si>
  <si>
    <t>26618  ВОДОПРОВОД Д-50 ЧУГ.</t>
  </si>
  <si>
    <t>26617  ВОДОПРОВОД Д-65 ЧУГ.</t>
  </si>
  <si>
    <t>26616  ВОДОПРОВОД Д-100 ЧУГ.</t>
  </si>
  <si>
    <t>26615  ВОДОПРОВОД Д-100 ЧУГ.</t>
  </si>
  <si>
    <t>26614  ВОДОПРОВОД Д-100 ЧУГ.</t>
  </si>
  <si>
    <t>26613  ВОДОПРОВОД Д-100 ЧУГ.</t>
  </si>
  <si>
    <t>26612  ВОДОПРОВОД Д-150 ЧУГ.</t>
  </si>
  <si>
    <t>26611  ВОДОПРОВОД Д-100 ЧУГ.</t>
  </si>
  <si>
    <t>26610  ВОДОПРОВОД Д-50 ЧУГ.</t>
  </si>
  <si>
    <t>26609  ВОДОПРОВОД Д-100 ЧУГ.</t>
  </si>
  <si>
    <t>26608  ВОДОПРОВОД Д-50 ЧУГ.</t>
  </si>
  <si>
    <t>город Калуга, улица Московская, д.298</t>
  </si>
  <si>
    <t>26607  ВОДОПРОВОД Д-76 СТ.</t>
  </si>
  <si>
    <t>26606  ВОДОПРОВОД Д-150 ЧУГ.</t>
  </si>
  <si>
    <t>26605  ВОДОПРОВОД Д-100 ЧУГ.</t>
  </si>
  <si>
    <t>26604  ВОДОПРОВОД Д-100 ЧУГ.</t>
  </si>
  <si>
    <t>26602  ВОДОПРОВОД Д-100 ЧУГ.</t>
  </si>
  <si>
    <t>26601  ВОДОПРОВОД Д-100 ЧУГ.</t>
  </si>
  <si>
    <t>город Калуга, улица Московская, д.291</t>
  </si>
  <si>
    <t>26600  ВОДОПРОВОД Д-100 ЧУГ.</t>
  </si>
  <si>
    <t>26599  ВОДОПРОВОД Д-100 ЧУГ.</t>
  </si>
  <si>
    <t>26598  ВОДОПРОВОД Д-100 ЧУГ.</t>
  </si>
  <si>
    <t>26597  ВОДОПРОВОД Д-100 ЧУГ.</t>
  </si>
  <si>
    <t>26596  ВОДОПРОВОД Д-100 ЧУГ.</t>
  </si>
  <si>
    <t>г.Калуга МОСКОВСКАЯ 121</t>
  </si>
  <si>
    <t>26595  ВОДОПРОВОД Д-100 ЧУГ.</t>
  </si>
  <si>
    <t>26594  ВОДОПРОВОД Д-100 ЧУГ.</t>
  </si>
  <si>
    <t>26593  ВОДОПРОВОД Д-100 ЧУГ.</t>
  </si>
  <si>
    <t>26592  ВОДОПРОВОД Д-100 ЧУГ.</t>
  </si>
  <si>
    <t>26591  ВОДОПРОВОД Д-100 ЧУГ.</t>
  </si>
  <si>
    <t>26590  ВОДОПРОВОД Д-50 СТ.</t>
  </si>
  <si>
    <t>26589  ВОДОПРОВОД Д-100 ЧУГ.</t>
  </si>
  <si>
    <t>26587  ВОДОПРОВОД Д-100 СТ.</t>
  </si>
  <si>
    <t>26585  БЫТОВКА</t>
  </si>
  <si>
    <t>город Калуга, улица Новая, дет. сад</t>
  </si>
  <si>
    <t>26583  ВВОД БВОДОПРОВОДА СТ. D-50</t>
  </si>
  <si>
    <t>город Калуга, улица Новая,</t>
  </si>
  <si>
    <t>26582  ВВОД ВОДОПРОВОДА ЧУГ. D-50</t>
  </si>
  <si>
    <t>город Калуга, улица Новая, дет.сад</t>
  </si>
  <si>
    <t>26581  ВВОД ВОДОПРОВОДА ЧУГ. D-100</t>
  </si>
  <si>
    <t>город Калуга, улица Новая, здание школы</t>
  </si>
  <si>
    <t>26580  ВВОД ВОДОПРОВОДА ЧУГ. D-100</t>
  </si>
  <si>
    <t>26576  ВВОД ВОДОПРОВОДА СТ. D-50</t>
  </si>
  <si>
    <t>город Калуга, ВК-50 до ВК-59</t>
  </si>
  <si>
    <t>26575  ВОДОПРОВОД ВНУТРИКВАРТАЛЬНЫЙ ЧУГ. D-100</t>
  </si>
  <si>
    <t>город Калуга, ВК-44 до ВК-88</t>
  </si>
  <si>
    <t>26574  ВОДОПРОВОД ВНУТРИКВАРТАЛЬНЫЙ ЧУГ. D-100</t>
  </si>
  <si>
    <t>город Калуга, ВК-44 до ВК-45</t>
  </si>
  <si>
    <t>26573  ВОДОПРОВОД ВНУТРИКВАРТАЛЬНЫЙ ЧУГ. D-100</t>
  </si>
  <si>
    <t>город Калуга, улица Кондрова,</t>
  </si>
  <si>
    <t>26572  ВОДОПРОВОД ВНУТРИКВАРТАЛЬНЫЙ ЧУГ. D-50</t>
  </si>
  <si>
    <t>город Калуга, улица Кондрова</t>
  </si>
  <si>
    <t>26571  ВОДОПРОВОД ВНУТРИКВАРТАЛЬНЫЙ ЧУГ. D-100</t>
  </si>
  <si>
    <t>город Калуга, улица Новая, к ж.д. 9</t>
  </si>
  <si>
    <t>26570  ВОДОПРОВОД ВНУТРИКВАРТАЛЬНЫЙ ЧУГ. D-150</t>
  </si>
  <si>
    <t>город Калуга, улица Новая, здание магазина</t>
  </si>
  <si>
    <t>26568  ВОДОПРОВОД ЧУГ. D-100</t>
  </si>
  <si>
    <t>город Калуга, улица Новая, здание сельсовета</t>
  </si>
  <si>
    <t>26566  ВОДОПРОВОД СТ. D-50</t>
  </si>
  <si>
    <t>26564  ВОДОПРОВОД ЧУГ. D-100</t>
  </si>
  <si>
    <t>26562  ВОДОПРОВОД СТ. D-100</t>
  </si>
  <si>
    <t>26560  ВОДОПРОВОД CТ. D-50</t>
  </si>
  <si>
    <t>город Калуга, улица Новая, д.7</t>
  </si>
  <si>
    <t>26558  ВОДОПРОВОД СТ. D-100</t>
  </si>
  <si>
    <t>26556  ВОДОПРОВОД СТ. D-50</t>
  </si>
  <si>
    <t>26554  ВОДОПРОВОД СТ. D-50</t>
  </si>
  <si>
    <t>26552  ВОДОПРОВОД СТ. D-50</t>
  </si>
  <si>
    <t>26550  ВОДОПРОВОД ЧУГ. D-100</t>
  </si>
  <si>
    <t>26548  ВОДОПРОВОД СТ. D-50</t>
  </si>
  <si>
    <t>26546  ВОДОПРОВОД ЧУГ. D-100</t>
  </si>
  <si>
    <t>26545  ВОДОПРОВОД СТ. D-50</t>
  </si>
  <si>
    <t>26539  КАСКАД 32 КВТ  Р-12</t>
  </si>
  <si>
    <t>26483  ВОДОПРОВОД Д-150 чуг.</t>
  </si>
  <si>
    <t>26482  ВОДОПРОВОД Д-100 чуг.</t>
  </si>
  <si>
    <t>26481  ВОДОПРОВОД Д-50 чуг.</t>
  </si>
  <si>
    <t>26480  ВОДОПРОВОД Д-100 ст.</t>
  </si>
  <si>
    <t>26479  ВОДОПРОВОД Д-150 ст.</t>
  </si>
  <si>
    <t>город Калуга, улица Вишневского, 29в</t>
  </si>
  <si>
    <t>26466  ВОДОПРОВОД D-100 ЧУГ.</t>
  </si>
  <si>
    <t>24004  ЗАДВИЖКИ Д-400 ЧУГ.</t>
  </si>
  <si>
    <t>26425  ВОДОПРОВОД СТ. D-100</t>
  </si>
  <si>
    <t>26424  ВОДОПРОВОД ЧУГ. D-100</t>
  </si>
  <si>
    <t>26423  ВОДОПРОВОД СТ. D-100</t>
  </si>
  <si>
    <t>город Калуга, улица Льва Толстого,</t>
  </si>
  <si>
    <t>26294  ВОДОВОД Д-150 чуг.</t>
  </si>
  <si>
    <t>город Калуга, улица Отбойная, 25, 27, 29/2</t>
  </si>
  <si>
    <t>26291  ВОДОПРОВОД Д-100 чуг.</t>
  </si>
  <si>
    <t>26261  ВОДОПРОВОД Д-159 ст.</t>
  </si>
  <si>
    <t>26260  ВОДОПРОВОД Д-150 чуг.</t>
  </si>
  <si>
    <t>город Калуга, улица Молодежная</t>
  </si>
  <si>
    <t>26254  ВОДОВОД Д-200 чуг.</t>
  </si>
  <si>
    <t>26253  ВОДОВОД Д-250 чуг.</t>
  </si>
  <si>
    <t>город Калуга, улица Новая, 1-33</t>
  </si>
  <si>
    <t>26252  ВОДОПРОВОД Д-100 чуг.</t>
  </si>
  <si>
    <t>26250  ВВОД ВОДОПРОВОД ОЦИНКОВ. D-50</t>
  </si>
  <si>
    <t>город Калуга, улица Воскресенская, д.30 , 32</t>
  </si>
  <si>
    <t>26249  ВОДОПРОВОД СТ. D-150*6</t>
  </si>
  <si>
    <t>город Калуга, улица Ромодановские Дворики</t>
  </si>
  <si>
    <t>26248  МАГИСТРАЛЬНЫЙ ВОДОПРОВОД П/Э D-100</t>
  </si>
  <si>
    <t>26247  МАГИСТРАЛЬНЫЙ ВОДОПРОВОД СТ. D-108*8</t>
  </si>
  <si>
    <t>26246  МАГИСТРАЛЬНЫЙ ВОДОПРОВОД СТ. D-219*8</t>
  </si>
  <si>
    <t>26204  ВОДОПРОВОД Д-50 ст.</t>
  </si>
  <si>
    <t>26203  ВОДОПРОВОД Д-100 ст.</t>
  </si>
  <si>
    <t>город Калуга, улица Суворова, 147</t>
  </si>
  <si>
    <t>26201  ПНС НАСОСНАЯ СТАНЦИЯ</t>
  </si>
  <si>
    <t>26176  ВОДОПРОВОД Д-50 ЧУГ.</t>
  </si>
  <si>
    <t>26175  ВОДОПРОВОД Д-50 ЧУГ.</t>
  </si>
  <si>
    <t>26174  ВОДОПРОВОД Д-50 ЧУГ.</t>
  </si>
  <si>
    <t>26173  ВОДОПРОВОД Д-150 ЧУГ.</t>
  </si>
  <si>
    <t>26172  ВОДОПРОВОД Д-50 ЧУГ.</t>
  </si>
  <si>
    <t>26171  ВОДОПРОВОД Д-50 ЧУГ.</t>
  </si>
  <si>
    <t>26170  ВОДОПРОВОД Д-150 ЧУГ.</t>
  </si>
  <si>
    <t>26169  ВОДОПРОВОД Д-50 ЧУГ.</t>
  </si>
  <si>
    <t>26168  ВОДОПРОВОД Д-150 ЧУГ.</t>
  </si>
  <si>
    <t>26160  ВОДОПРОВОД Д-50 ЧУГ.</t>
  </si>
  <si>
    <t>26159  ВОДОПРОВОД Д-150 ЧУГ.</t>
  </si>
  <si>
    <t>город Калуга, улица Переходная, д.9</t>
  </si>
  <si>
    <t>26158  ВОДОПРОВОД Д-50 ЧУГ.</t>
  </si>
  <si>
    <t>26157  ВОДОПРОВОД Д-150 ЧУГ.</t>
  </si>
  <si>
    <t>26156  ВОДОПРОВОД Д-50 ЧУГ.</t>
  </si>
  <si>
    <t>26155  ВОДОПРОВОД Д-150 ЧУГ.</t>
  </si>
  <si>
    <t>26145  ВОДОПРОВОД Д-50 ЧУГ.</t>
  </si>
  <si>
    <t>26144  ВОДОПРОВОД Д-50 ЧУГ.</t>
  </si>
  <si>
    <t>26143  ВОДОПРОВОД Д-150 ЧУГ.</t>
  </si>
  <si>
    <t>26142  ВОДОПРОВОД Д-50 ЧУГ.</t>
  </si>
  <si>
    <t>26141  ВОДОПРОВОД Д-150 ЧУГ.</t>
  </si>
  <si>
    <t>26140  ВОДОПРОВОД Д-150 ЧУГ.</t>
  </si>
  <si>
    <t>26139  ВОДОПРОВОД Д-50 ЧУГ.</t>
  </si>
  <si>
    <t>26138  ВОДОПРОВОД Д-150 ЧУГ.</t>
  </si>
  <si>
    <t>город Калуга, улица Георгиевская</t>
  </si>
  <si>
    <t>26137  ВОДОПРОВОД ЧУГ. D-300</t>
  </si>
  <si>
    <t>город Калуга, улица Гагарина</t>
  </si>
  <si>
    <t>26136  ВОДОПРОВОД ЧУГ. D-300</t>
  </si>
  <si>
    <t>город Калуга, улица Комарова</t>
  </si>
  <si>
    <t>26135  ВОДОПРОВОД ЧУГ. D-300</t>
  </si>
  <si>
    <t>35183  НАСОС К 20/30</t>
  </si>
  <si>
    <t>город Калуга, улица Маяковского, 47</t>
  </si>
  <si>
    <t>26095  Повысительная насосная станция</t>
  </si>
  <si>
    <t>город Калуга, улица Гагарина, д.11</t>
  </si>
  <si>
    <t>26094  ВОДОПРОВОД ЧУГ. D-100</t>
  </si>
  <si>
    <t>город Калуга, улица Циолковского, д.60</t>
  </si>
  <si>
    <t>26092  ВОДОПРОВОД СТ. D-100</t>
  </si>
  <si>
    <t>26079  НАСОС К 20/30</t>
  </si>
  <si>
    <t>26078  НАСОСНАЯ СТАНЦИЯ</t>
  </si>
  <si>
    <t>город Калуга, улица Кооперативная, д.8</t>
  </si>
  <si>
    <t>26077  ВОДОПРОВОД-100 ЧУГ.</t>
  </si>
  <si>
    <t>26076  ВОДОПРОВОД Д-100 ЧУГ.</t>
  </si>
  <si>
    <t>город Калуга, поселок Трудовой, д.15</t>
  </si>
  <si>
    <t>26075  ВОДОПРОВОД Д-100 ЧУГ.</t>
  </si>
  <si>
    <t>26074  ВОДОПРОВОД Д-50 СТ.</t>
  </si>
  <si>
    <t>26073  ВОДОПРОВОД Д-50 СТ.</t>
  </si>
  <si>
    <t>26072  ВОДОПРОВОД Д-50 СТ.</t>
  </si>
  <si>
    <t>26071  ВОДОПРОВОД Д-100 ЧУГ.</t>
  </si>
  <si>
    <t>город Калуга, поселок Трудовой, д.4</t>
  </si>
  <si>
    <t>26070  ВОДОПРОВОД Д-100 ЧУГ.</t>
  </si>
  <si>
    <t>город Калуга, улица Гурьянова, д.20</t>
  </si>
  <si>
    <t>26069  ВОДОПРОВОД Д-50 ЧУГ.</t>
  </si>
  <si>
    <t>город Калуга, улица Гурьянова, д.18</t>
  </si>
  <si>
    <t>26068  ВОДОПРОВОД Д-100 ЧУГ.</t>
  </si>
  <si>
    <t>город Калуга, переулок Чичерина, д.11</t>
  </si>
  <si>
    <t>26067  ВОДОПРОВОД Д-100 ЧУГ.</t>
  </si>
  <si>
    <t>26066  ВОДОПРОВОД Д-100 ЧУГ.</t>
  </si>
  <si>
    <t>26064  ВВОД ВОДОПРОВОДА Д-100 ЧУГ.</t>
  </si>
  <si>
    <t>город Калуга, поселок Северный, д.8б</t>
  </si>
  <si>
    <t>26060  ВОДОПРОВОД ЧУГ. D-250</t>
  </si>
  <si>
    <t>26059  МАГИСТРАЛЬНЫЙ ВОДОПРОВОД Д-426*9 СТ.</t>
  </si>
  <si>
    <t>26058  ВОДОПРОВОД МАГИСТРАЛЬНЫЙ  ЧУГ. D-400</t>
  </si>
  <si>
    <t>26040  ВОДОПРОВОД ЧУГ. D-150</t>
  </si>
  <si>
    <t>26039  ВОДОПРОВОД ЧУГ. D-100</t>
  </si>
  <si>
    <t>26038  ВОДОПРОВОД ЧУГ. D-100</t>
  </si>
  <si>
    <t>26037  ВОДОПРОВОД ЧУГ. D-100,150</t>
  </si>
  <si>
    <t>город Калуга, улица Привокзальная, лит.II</t>
  </si>
  <si>
    <t>26036  ВОДОПРОВОД ЧУГ. D-100</t>
  </si>
  <si>
    <t>26035  ВОДОПРОВОД НАРУЖНЫЙ ЧУГ. D-100</t>
  </si>
  <si>
    <t>26034  ВОДОПРОВОД ЧУГ. D-50,100</t>
  </si>
  <si>
    <t>26033  ВОДОПРОВОД СТ. D-75</t>
  </si>
  <si>
    <t>город Калуга, станция Калуга - 2, лит.I</t>
  </si>
  <si>
    <t>26032  СКВАЖИНА АРТЕЗИАНСКАЯ</t>
  </si>
  <si>
    <t>26031  ВОДОНАПОРНАЯ БАШНЯ</t>
  </si>
  <si>
    <t>26016  ВОДОПРОВОД Д-100 чуг.</t>
  </si>
  <si>
    <t>26015  ВОДОПРОВОД Д-50 чуг.</t>
  </si>
  <si>
    <t>26011  ВОДОПРОВОД Д-80 чуг.</t>
  </si>
  <si>
    <t>26009  ВОДОПРОВОД Д-80 чуг.</t>
  </si>
  <si>
    <t>26005  ВОДОПРОВОД Д-100 чуг.</t>
  </si>
  <si>
    <t>26004  ВОДОПРОВОД Д-200 чуг.</t>
  </si>
  <si>
    <t>26001  ВОДОПРОВОД Д-150 чуг.</t>
  </si>
  <si>
    <t>город Калуга, улица Суворова,</t>
  </si>
  <si>
    <t>25998  ВВОД ВОДОПРОВОДА Д-76 СТ.</t>
  </si>
  <si>
    <t>25997  ВОДОПРОВОД ВВОД Д-65 ЧУГ.</t>
  </si>
  <si>
    <t>25996  ВОДОПРОВОД СТ. D-100</t>
  </si>
  <si>
    <t>25920  ВОДОПРОВОД Д-100 чуг.</t>
  </si>
  <si>
    <t>25919  ВОДОВОД Д-300 чуг.</t>
  </si>
  <si>
    <t>город Калуга, улица Пестеля, к котельной</t>
  </si>
  <si>
    <t>25913  ВОДОПРОВОД ЧУГ. D-100</t>
  </si>
  <si>
    <t>город Калуга, улица Тульская, к котельной</t>
  </si>
  <si>
    <t>25912  ВОДОПРОВОД  ЧУГ. D-100</t>
  </si>
  <si>
    <t>город Калуга, улица Заводская, к д/саду</t>
  </si>
  <si>
    <t>25885  ВОДОПРОВОД Д-100 чуг.</t>
  </si>
  <si>
    <t>город Калуга, улица Советская, 5-7</t>
  </si>
  <si>
    <t>25884  ВОДОПРОВОД Д-100 ст.</t>
  </si>
  <si>
    <t>25883  ВОДОПРОВОД Д-100 чуг.</t>
  </si>
  <si>
    <t>25882  ВОДОПРОВОД Д-150 чуг.</t>
  </si>
  <si>
    <t>25881  ВОДОПРОВОД Д-100 чуг.</t>
  </si>
  <si>
    <t>город Калуга, улица Октябрьская, д.14</t>
  </si>
  <si>
    <t>25880  ВОДОПРОВОД Д-100 чуг.</t>
  </si>
  <si>
    <t>город Калуга, улица Заводская, д.13</t>
  </si>
  <si>
    <t>25879  ВОДОПРОВОД Д-100 чуг.</t>
  </si>
  <si>
    <t>город Калуга, улица Степана Разина, д.6</t>
  </si>
  <si>
    <t>25810  ВОДОПРОВОД ЧУГ. D-150</t>
  </si>
  <si>
    <t>город Калуга, деревня Ольговка</t>
  </si>
  <si>
    <t>25809  МАГИСТРАЛЬНЫЙ ВОДОПРОВОД Д-159 ст.</t>
  </si>
  <si>
    <t>25808  МАГИСТРАЛЬНЫЙ ВОДОПРОВОД Д-150 чуг.</t>
  </si>
  <si>
    <t>город Калуга, улица Окружная, д.2</t>
  </si>
  <si>
    <t>25797  ВОДОПРОВОД Д-100 СТ.</t>
  </si>
  <si>
    <t>город Калуга, улица Окружная, д.4 корп.2</t>
  </si>
  <si>
    <t>25796  ВОДОПРОВОД Д-100 СТ.</t>
  </si>
  <si>
    <t>город Калуга, улица Окружная, д.4 корп.1</t>
  </si>
  <si>
    <t>25795  ВОДОПРОВОД Д-150 СТ.</t>
  </si>
  <si>
    <t>25794  ВОДОПРОВОД Д-100 СТ.</t>
  </si>
  <si>
    <t>25793  ВОДОПРОВОД Д-150 СТ.</t>
  </si>
  <si>
    <t>город Калуга, улица Окружная, д.6</t>
  </si>
  <si>
    <t>25792  ВОДОПРОВОД Д-100 СТ.</t>
  </si>
  <si>
    <t>25791  ВОДОПРОВОД Д-100 ЧУГ.</t>
  </si>
  <si>
    <t>25790  ВОДОПРОВОД Д-100 ЧУГ.</t>
  </si>
  <si>
    <t>25781  ВОДОПРОВОД Д-100 СТ.</t>
  </si>
  <si>
    <t>город Калуга, улица Глаголева, д.11</t>
  </si>
  <si>
    <t>25780  ВОДОПРОВОД Д-100 СТ.</t>
  </si>
  <si>
    <t>25779  ВОДОПРОВОД Д-85 СТ.</t>
  </si>
  <si>
    <t>25778  ВОДОПРОВОД Д-100 СТ.</t>
  </si>
  <si>
    <t>25777  ВОДОПРОВОД Д-85 СТ.</t>
  </si>
  <si>
    <t>25776  ВОДОПРОВОД Д-100 ЧУГ.</t>
  </si>
  <si>
    <t>25775  ВОДОПРОВОД Д-100 СТ.</t>
  </si>
  <si>
    <t>25774  ВОДОПРОВОД Д-100 ЧУГ.</t>
  </si>
  <si>
    <t>25773  ВВОД ВОДОПРОВОДА Д-150 ЧУГ.</t>
  </si>
  <si>
    <t>город Калуга, улица Азаровская, детский дом</t>
  </si>
  <si>
    <t>25769  ВОДОПРОВОД ЧУГ. D-65</t>
  </si>
  <si>
    <t>25768  ВОДОПРОВОД ЧУГ. D-100</t>
  </si>
  <si>
    <t>город Калуга, улица Луначарского, 62</t>
  </si>
  <si>
    <t>25766  ВОДОПРОВОД D-100 ЧУГ.</t>
  </si>
  <si>
    <t>25764  ВОДОПРОВОД ЧУГ. D-250-300</t>
  </si>
  <si>
    <t>25758  ВВОД ВОДОПРОВОДА ЧУГ. D-100</t>
  </si>
  <si>
    <t>25756  ВОДОПРОВОД ЧУГ. D-100</t>
  </si>
  <si>
    <t>25754  ВОДОПРОВОД ЧУГ. D-100</t>
  </si>
  <si>
    <t>25752  ВОДОПРОВОД СТ. D-100</t>
  </si>
  <si>
    <t>25751  ВОДОПРОВОД ЧУГ. D-150</t>
  </si>
  <si>
    <t>25748  ВОДОПРОВОД ЧУГ. D-100</t>
  </si>
  <si>
    <t>25746  ВВОД ВОДОПРОВОДА ЧУГ. D-100</t>
  </si>
  <si>
    <t>25744  ВВОД ВОДОПРОВОДА ЧУГ. D-100</t>
  </si>
  <si>
    <t>25742  ВОДОПРОВОД ЧУГ. D-100</t>
  </si>
  <si>
    <t>город Калуга, улица Мичурина</t>
  </si>
  <si>
    <t>25741  ВОДОПРОВОД ЧУГ. D-150</t>
  </si>
  <si>
    <t>25739  ВОДОПРОВОД ЧУГ. D-100</t>
  </si>
  <si>
    <t>город Калуга, улица Ф.Энгельса, 110</t>
  </si>
  <si>
    <t>25736  ВОДОПРОВОД ЧУГ. D-100</t>
  </si>
  <si>
    <t>25734  ВОДОПРОВОД ЧУГ. D-100</t>
  </si>
  <si>
    <t>город Калуга, деревня Колюпаново, лит.II</t>
  </si>
  <si>
    <t>25733  СКВАЖИНА  №1, д.Колюпаново АРТЕЗИАНСКАЯ</t>
  </si>
  <si>
    <t>25705  БАШНЯ РОЖНОВСКОГО БР-254 д. Колюпаново</t>
  </si>
  <si>
    <t>город Калуга, улица Генерала Попова, д.19 , 24</t>
  </si>
  <si>
    <t>25685  ВОДОПРОВОД СТ. D-80</t>
  </si>
  <si>
    <t>город Калуга, улица Генерала Попова, д.27</t>
  </si>
  <si>
    <t>25684  ВОДОПРОВОД СТ. D-50</t>
  </si>
  <si>
    <t>город Калуга, улица Генерала Попова, д.25</t>
  </si>
  <si>
    <t>25683  ВОДОПРОВОД СТ. D-50</t>
  </si>
  <si>
    <t>город Калуга, улица Генерала Попова, ВК-16 до ВК-18</t>
  </si>
  <si>
    <t>25682  ВОДОПРОВОД СТ. D-50</t>
  </si>
  <si>
    <t>город Калуга, улица Генерала Попова, ВК-21 до ВК-26</t>
  </si>
  <si>
    <t>25681  ВОДОПРОВОД П/ЭТ D-50</t>
  </si>
  <si>
    <t>25680  ВВОД СТ. D-50</t>
  </si>
  <si>
    <t>город Калуга, улица Генерала Попова, общеж. №1, 2</t>
  </si>
  <si>
    <t>25679  ВВОД СТ. D-50</t>
  </si>
  <si>
    <t>25678  ВВОД СТ. D-50</t>
  </si>
  <si>
    <t>город Калуга, улица Генерала Попова, д.3</t>
  </si>
  <si>
    <t>25677  ВВОД СТ. D-50</t>
  </si>
  <si>
    <t>город Калуга, улица Генерала Попова, ж.д.№6, 4, 5, 7</t>
  </si>
  <si>
    <t>25676  ВВОД СТ. D-50</t>
  </si>
  <si>
    <t>город Калуга, улица Генерала Попова, ВК-16 до ВК-17</t>
  </si>
  <si>
    <t>25675  ВОДОПРОВОД СТ. D-50</t>
  </si>
  <si>
    <t>город Калуга, улица Генерала Попова, ВК-10 до ВК-16</t>
  </si>
  <si>
    <t>25674  ВОДОПРОВОД ЧУГ. D-100</t>
  </si>
  <si>
    <t>город Калуга, улица Генерала Попова, к дет. саду</t>
  </si>
  <si>
    <t>25673  ВОДОПРОВОД СТ. D-50</t>
  </si>
  <si>
    <t>город Калуга, улица Генерала Попова, ВК-9 до ВК-21</t>
  </si>
  <si>
    <t>25672  ВОДОПРОВОД ЧУГ. D-100</t>
  </si>
  <si>
    <t>Калужская обл, Калуга г, Колюпаново д</t>
  </si>
  <si>
    <t>25671  ВВОД ВОДОПРОВОДА СТ. D-50</t>
  </si>
  <si>
    <t>25670  ВВОД ВОДОПРОВОДА СТ. D-50</t>
  </si>
  <si>
    <t>25669  ВВОД ВОДОПРОВОДА СТ. D-50</t>
  </si>
  <si>
    <t>25668  ВВОД СТ. D-50</t>
  </si>
  <si>
    <t>25667  ВОДОПРОВОД ЧУГ.  D-100</t>
  </si>
  <si>
    <t>25666  ВОДОПРОВОД СТ. D-50</t>
  </si>
  <si>
    <t>город Калуга, ВК-100 до ВК-4</t>
  </si>
  <si>
    <t>25665  ВОДОПРОВОД ЧУГ. D-100</t>
  </si>
  <si>
    <t>город Калуга, ж/д №1, 2</t>
  </si>
  <si>
    <t>25664  ВВОД ВОДОПРОВОДА СТ. D-50</t>
  </si>
  <si>
    <t>25663  ВОДОПРОВОД СТ. D-50</t>
  </si>
  <si>
    <t>25395  ВОДОПРОВОД Д-100 ст.</t>
  </si>
  <si>
    <t>25394  ВОДОПРОВОД Д-100 ст.</t>
  </si>
  <si>
    <t>25393  ВОДОПРОВОД Д-100 ст.</t>
  </si>
  <si>
    <t>город Калуга, улица Лесная, д.12 , 14, 16, 18, 20, 22, 24</t>
  </si>
  <si>
    <t>25389  ВОДОПРОВОД Д-50 ст.</t>
  </si>
  <si>
    <t>25387  ВОДОПРОВОД Д-100 чуг.</t>
  </si>
  <si>
    <t>25386  ВОДОПРОВОД Д-100 ст.</t>
  </si>
  <si>
    <t>25385  ВОДОПРОВОД Д-100 чуг.</t>
  </si>
  <si>
    <t>г.Калуга ул.РАДИЩЕВА 3,5,7,11,13,19</t>
  </si>
  <si>
    <t>25380  ВОДОПРОВОД Д-50 ст.</t>
  </si>
  <si>
    <t>25379  ВОДОПРОВОД Д-100 чуг.</t>
  </si>
  <si>
    <t>25378  ВОДОПРОВОД Д-100 чуг.</t>
  </si>
  <si>
    <t>25361  ВОДОПРОВОД Д-100 чуг.</t>
  </si>
  <si>
    <t>25360  ВОДОПРОВОД Д-100 чуг.</t>
  </si>
  <si>
    <t>25359  ВОДОПРОВОД Д-100 чуг.</t>
  </si>
  <si>
    <t>25358  ВОДОПРОВОД Д-100 ст.</t>
  </si>
  <si>
    <t>25357  ВОДОПРОВОД Д-100 чуг.</t>
  </si>
  <si>
    <t>город Калуга, улица В.Никитиной, д.34</t>
  </si>
  <si>
    <t>25356  ВОДОПРОВОД Д-100 чуг.</t>
  </si>
  <si>
    <t>25355  ВОДОПРОВОД Д-100 чуг.</t>
  </si>
  <si>
    <t>город Калуга, улица В.Никитиной, д.33</t>
  </si>
  <si>
    <t>25354  ВОДОПРОВОД Д-50 чуг.</t>
  </si>
  <si>
    <t>25353  ВОДОПРОВОД Д-100 чуг.</t>
  </si>
  <si>
    <t>25352  ВОДОПРОВОД Д-100 ст.</t>
  </si>
  <si>
    <t>25351  ВОДОПРОВОД Д-100 чуг.</t>
  </si>
  <si>
    <t>25350  ВОДОПРОВОД Д-100 ст.</t>
  </si>
  <si>
    <t>город Калуга, улица В.Никитиной, д.12 , 16, 18, 20, 22</t>
  </si>
  <si>
    <t>25349  ВОДОПРОВОД Д-40 ст.</t>
  </si>
  <si>
    <t>город Калуга, улица Поле Свободы,</t>
  </si>
  <si>
    <t>25347  ВВОД ВОДОПРОВОДА  Д-40 СТ.</t>
  </si>
  <si>
    <t>25342  ВОДОПРОВОД ЧУГ. D-50</t>
  </si>
  <si>
    <t>25341  ВОДОПРОВОД ЧУГ. D-50</t>
  </si>
  <si>
    <t>25340  ВОДОПРОВОД ЧУГ. D-50</t>
  </si>
  <si>
    <t>город Калуга, улица Циолковского, 62</t>
  </si>
  <si>
    <t>25338  ПРОТИВОПОЖАРНЫЙ ВОДОПРОВОД СТ. D-200</t>
  </si>
  <si>
    <t>25337  ПРОТИВОПОЖАРНЫЙ ВОДОПРОВОД СТ. D-150</t>
  </si>
  <si>
    <t>25336  ВОДОПРОВОД СТ. D-200</t>
  </si>
  <si>
    <t>25335  ВОДОПРОВОД СТ. D-150</t>
  </si>
  <si>
    <t>25333  ВОДОПРОВОД ЧУГ. D-100</t>
  </si>
  <si>
    <t>25331  ВОДОПРОВОД ЧУГ. D-50</t>
  </si>
  <si>
    <t>25329  ВОДОПРОВОД ЧУГ. D-50</t>
  </si>
  <si>
    <t>25328  ВОДОПРОВОД ЧУГ. D-50</t>
  </si>
  <si>
    <t>город Калуга, улица Зеленая</t>
  </si>
  <si>
    <t>24999  ВОДОПРОВОД Д-100 чуг.</t>
  </si>
  <si>
    <t>город Калуга, улица 5 Линия, д.1 корп.3</t>
  </si>
  <si>
    <t>24993  ВОДОПРОВОД Д-100 ст.</t>
  </si>
  <si>
    <t>город Калуга, улица 5 Линия, д.1 корп.2</t>
  </si>
  <si>
    <t>24992  ВОДОПРОВОД Д-100 ст.</t>
  </si>
  <si>
    <t>24991  ВОДОПРОВОД Д-300 ст.</t>
  </si>
  <si>
    <t>город Калуга, улица 5 Линия, лит.I</t>
  </si>
  <si>
    <t>24990  ВОДОПРОВОД Д-100 ст.</t>
  </si>
  <si>
    <t>город Калуга, улица 5 Линия, д.1 корп.1</t>
  </si>
  <si>
    <t>24989  ВОДОПРОВОД Д-200 ст.</t>
  </si>
  <si>
    <t>24988  ВОДОПРОВОД Д-100 чуг.</t>
  </si>
  <si>
    <t>24987  ВОДОПРОВОД Д-200 ст.</t>
  </si>
  <si>
    <t>город Калуга, улица 5 Линия, д.1 корп.4</t>
  </si>
  <si>
    <t>24986  ВОДОПРОВОД Д-100 ст.</t>
  </si>
  <si>
    <t>24973  ВОДОПРОВОД Д-80 ст.</t>
  </si>
  <si>
    <t>город Калуга, улица Л.Толстого, д.33</t>
  </si>
  <si>
    <t>24972  ВОДОПРОВОД Д-100 ст.</t>
  </si>
  <si>
    <t>24971  ВОДОПРОВОД Д-100 чуг.</t>
  </si>
  <si>
    <t>24970  ВОДОПРОВОД Д-100 чуг.</t>
  </si>
  <si>
    <t>24969  ВОДОПРОВОД Д-250 чуг.</t>
  </si>
  <si>
    <t>24968  ВОДОПРОВОД Д-80 ст.</t>
  </si>
  <si>
    <t>24967  ВОДОПРОВОД Д-300 чуг.</t>
  </si>
  <si>
    <t>24966  ВОДОПРОВОД Д-100 чуг.</t>
  </si>
  <si>
    <t>24965  ВОДОПРОВОД Д-100 чуг.</t>
  </si>
  <si>
    <t>24964  ВОДОПРОВОД Д-100 чуг.</t>
  </si>
  <si>
    <t>24963  ВОДОПРОВОД Д-100 чуг.</t>
  </si>
  <si>
    <t>город Калуга, улица Л.Толстого, д.37</t>
  </si>
  <si>
    <t>24962  ВОДОПРОВОД Д-70 ст.</t>
  </si>
  <si>
    <t>24961  ВОДОПРОВОД Д-100 чуг.</t>
  </si>
  <si>
    <t>24960  ВОДОПРОВОД Д-150 чуг.</t>
  </si>
  <si>
    <t>24959  ВОДОПРОВОД Д-100 чуг.</t>
  </si>
  <si>
    <t>24958  ВОДОПРОВОД Д-200 чуг.</t>
  </si>
  <si>
    <t>24957  ВОДОПРОВОД Д-100 чуг.</t>
  </si>
  <si>
    <t>24955  ВОДОПРОВОД Д-100 чуг.</t>
  </si>
  <si>
    <t>24954  ВОДОПРОВОД Д-100 ст.</t>
  </si>
  <si>
    <t>город Калуга Учхоз,</t>
  </si>
  <si>
    <t>24948  ВОДОПРОВОД D-50 ЧУГ.</t>
  </si>
  <si>
    <t>24947  ВОДОПРОВОД Д-50 ЧУГ.</t>
  </si>
  <si>
    <t>город Калуга, улица Московская, 301-303</t>
  </si>
  <si>
    <t>24946  ВОДОПРОВОД D-50 ЧУГ.</t>
  </si>
  <si>
    <t>24945  ВОДОПРОВОД D-65 ЧУГ.</t>
  </si>
  <si>
    <t>24944  ВОДОПРОВОД D-100 ЧУГ.</t>
  </si>
  <si>
    <t>город Калуга, улица Забойная, д.11</t>
  </si>
  <si>
    <t>24941  ВОДОПРОВОД D-100 СТ.</t>
  </si>
  <si>
    <t>24940  ВОДОПРОВОД D-150 ЧУГ.</t>
  </si>
  <si>
    <t>24938  ВОДОПРОВОД D-125 СТ.</t>
  </si>
  <si>
    <t>24937  ВОДОПРОВОД ЧУГ. D-100</t>
  </si>
  <si>
    <t>24907  ВОДОПРОВОД Д-100 чуг.</t>
  </si>
  <si>
    <t>24906  ВОДОПРОВОД Д-114 СТ.</t>
  </si>
  <si>
    <t>город Калуга Сосновый бор, д.3</t>
  </si>
  <si>
    <t>24872  ВОДОПРОВОД ЧУГ. D-100</t>
  </si>
  <si>
    <t>город Калуга Сосновый бор, д.1</t>
  </si>
  <si>
    <t>24871  ВОДОПРОВОД СТ. D-150</t>
  </si>
  <si>
    <t>24870  ВОДОПРОВОД Д-100 ЧУГ.</t>
  </si>
  <si>
    <t>24869  ВОДОПРОВОД Д-150 ЧУГ.</t>
  </si>
  <si>
    <t>24868  ВОДОПРОВОД Д-150 СТ.</t>
  </si>
  <si>
    <t>24862  ВОДОПРОВОД Д-100 ЧУГ.</t>
  </si>
  <si>
    <t>24861  ВОДОПРОВОД Д-100 ЧУГ.</t>
  </si>
  <si>
    <t>город Калуга, улица Советская</t>
  </si>
  <si>
    <t>24856  ВОДОВОД Д-200-400 чуг.</t>
  </si>
  <si>
    <t>город Калуга, улица Баумана,</t>
  </si>
  <si>
    <t>24854  ВОДОПРОВОД ЧУГ. D-100</t>
  </si>
  <si>
    <t>24794  ВОДОПРОВОД Д-50 ЧУГ.</t>
  </si>
  <si>
    <t>24793  ВОДОПРОВОД Д-150 ЧУГ.</t>
  </si>
  <si>
    <t>город Калуга, улица Телевизионная, д.23</t>
  </si>
  <si>
    <t>24792  ВОДОПРОВОД Д-80 ЧУГ.</t>
  </si>
  <si>
    <t>город Калуга, улица Телевизионная, д.25</t>
  </si>
  <si>
    <t>24791  ВОДОПРОВОД Д-100 ЧУГ.</t>
  </si>
  <si>
    <t>город Калуга, улица Телевизионная, д.27</t>
  </si>
  <si>
    <t>24790  ВОДОПРОВОД Д-50 СТ.</t>
  </si>
  <si>
    <t>город Калуга, улица Телевизионная, д.6</t>
  </si>
  <si>
    <t>24789  ВОДОПРОВОД Д-50 ЧУГ.</t>
  </si>
  <si>
    <t>город Калуга, улица Телевизионная, д.8</t>
  </si>
  <si>
    <t>24788  ВОДОПРОВОД Д-50 ЧУГ.</t>
  </si>
  <si>
    <t>24787  ВОДОПРОВОД Д-50 ЧУГ.</t>
  </si>
  <si>
    <t>город Калуга, улица Телевизионная, д.22</t>
  </si>
  <si>
    <t>24786  ВОДОПРОВОД Д-50 СТ.</t>
  </si>
  <si>
    <t>24785  ВОДОПРОВОД Д-50 СТ.</t>
  </si>
  <si>
    <t>24784  ВОДОПРОВОД Д-50 СТ.</t>
  </si>
  <si>
    <t>город Калуга, улица Пухова, д.43 корп.3</t>
  </si>
  <si>
    <t>24779  ВОДОПРОВОД Д-100 ЧУГ.</t>
  </si>
  <si>
    <t>город Калуга, улица Пухова, д.43 корп.2 , корп.2</t>
  </si>
  <si>
    <t>24778  ВОДОПРОВОД Д-100 СТ.</t>
  </si>
  <si>
    <t>город Калуга, улица Пухова, д.43 корп.2</t>
  </si>
  <si>
    <t>24777  ВОДОПРОВОД Д-100 ЧУГ.</t>
  </si>
  <si>
    <t>город Калуга, улица Пухова, д.43 корп.1</t>
  </si>
  <si>
    <t>24776  ВОДОПРОВОД Д-100 ЧУГ.</t>
  </si>
  <si>
    <t>24775  ВОДОПРОВОД Д-50 ЧУГ.</t>
  </si>
  <si>
    <t>24772  ВОДОПРОВОД Д-100 ЧУГ.</t>
  </si>
  <si>
    <t>24771  ВОДОПРОВОД Д-100 ЧУГ.</t>
  </si>
  <si>
    <t>24770  ВОДОПРОВОД Д-50 СТ.</t>
  </si>
  <si>
    <t>24769  ВОДОПРОВОД Д-50 СТ.</t>
  </si>
  <si>
    <t>24768  ВОДОПРОВОД Д-50 СТ.</t>
  </si>
  <si>
    <t>24767  ВОДОПРОВОД Д-50 ЧУГ.</t>
  </si>
  <si>
    <t>24766  ВОДОПРОВОД Д-50 СТ.</t>
  </si>
  <si>
    <t>24765  ВОДОПРОВОД Д-50 СТ.</t>
  </si>
  <si>
    <t>24764  ВОДОПРОВОД Д-50 ЧУГ.</t>
  </si>
  <si>
    <t>город Калуга, улица Чичерина, д.22</t>
  </si>
  <si>
    <t>24763  ВОДОПРОВОД Д-50 СТ.</t>
  </si>
  <si>
    <t>город Калуга, улица Грабцевское шоссе, д.45</t>
  </si>
  <si>
    <t>24734  ВОДОПРОВОД Д-400 чуг.</t>
  </si>
  <si>
    <t>город Калуга, улица Калужка</t>
  </si>
  <si>
    <t>24733  ВОДОПРОВОД D-100 ЧУГ.</t>
  </si>
  <si>
    <t>город Калуга, улица Войкова, 16а</t>
  </si>
  <si>
    <t>24730  СЕТИ ВОДОПРОВОДА ЧУГ. D-50</t>
  </si>
  <si>
    <t>город Калуга, улица Никитина, д.43</t>
  </si>
  <si>
    <t>24622  ВОДОПРОВОД Д-100 ст.</t>
  </si>
  <si>
    <t>24600  ВОДОПРОВОД Д-200 ЧУГ.</t>
  </si>
  <si>
    <t>24598  ВОДОПРОВОД Д-100 ЧУГ.</t>
  </si>
  <si>
    <t>24597  ВОДОПРОВОД Д-200 ЧУГ.</t>
  </si>
  <si>
    <t>город Калуга, улица Тельмана, д.11</t>
  </si>
  <si>
    <t>24596  ВОДОПРОВОД Д-100 ЧУГ.</t>
  </si>
  <si>
    <t>город Калуга, улица Литейная, д.11</t>
  </si>
  <si>
    <t>24592  ВОДОПРОВОД Д-80 СТ.</t>
  </si>
  <si>
    <t>24591  ВОДОПРОВОД Д-80 СТ.</t>
  </si>
  <si>
    <t>24590  ВОДОПРОВОД Д-50 СТ.</t>
  </si>
  <si>
    <t>город Калуга, улица Литейная, д.5</t>
  </si>
  <si>
    <t>24589  ВОДОПРОВОД Д-50 СТ.</t>
  </si>
  <si>
    <t>город Калуга, улица Литейная, д.3</t>
  </si>
  <si>
    <t>24588  ВОДОПРОВОД Д-50 СТ.</t>
  </si>
  <si>
    <t>24579  ВОДОПРОВОД Д-76 ЧУГ.</t>
  </si>
  <si>
    <t>24578  ВОДОПРОВОД Д-100 СТ.</t>
  </si>
  <si>
    <t>город Калуга, переулок Литейный, д.5</t>
  </si>
  <si>
    <t>24577  ВОДОПРОВОД Д-50 СТ.</t>
  </si>
  <si>
    <t>24573  ВОДОПРОВОД Д-300 ст.</t>
  </si>
  <si>
    <t>24571  ВОДОПРОВОД Д-100 чуг.</t>
  </si>
  <si>
    <t>24569  ВОДОПРОВОД СТ. D-100</t>
  </si>
  <si>
    <t>г.Калуга Ленинский р-н ОКТЯБРЬСКАЯ</t>
  </si>
  <si>
    <t>35335  ПЕРЕВРЕЗКА ВОДОПРОВОДА D-50, СТ.</t>
  </si>
  <si>
    <t>35334  ПЕРЕВРЕЗКА ВОДОПРОВОДА D-50, СТ.</t>
  </si>
  <si>
    <t>35333  ПЕРЕВРЕЗКА ВОДОПРОВОДА D-50, СТ.</t>
  </si>
  <si>
    <t>35332  ПЕРЕВРЕЗКА ВОДОПРОВОДА D-50, СТ.</t>
  </si>
  <si>
    <t>35331  ПЕРЕВРЕЗКА ВОДОПРОВОДА D-50, СТ.</t>
  </si>
  <si>
    <t>35330  ПЕРЕВРЕЗКА ВОДОПРОВОДА D-50, СТ.</t>
  </si>
  <si>
    <t>35329  ПЕРЕВРЕЗКА ВОДОПРОВОДА D-50, СТ.</t>
  </si>
  <si>
    <t>35328  ПЕРЕВРЕЗКА ВОДОПРОВОДА D-50, СТ.</t>
  </si>
  <si>
    <t>35327  ПЕРЕВРЕЗКА ВОДОПРОВОДА D-50, СТ.</t>
  </si>
  <si>
    <t>35326  ПЕРЕВРЕЗКА ВОДОПРОВОДА D-50, СТ.</t>
  </si>
  <si>
    <t>35325  ПЕРЕВРЕЗКА ВОДОПРОВОДА D-50, СТ.</t>
  </si>
  <si>
    <t>35324  ПЕРЕВРЕЗКА ВОДОПРОВОДА D-50, СТ.</t>
  </si>
  <si>
    <t>35323  ПЕРЕВРЕЗКА ВОДОПРОВОДА D-50, СТ.</t>
  </si>
  <si>
    <t>35322  ПЕРЕВРЕЗКА ВОДОПРОВОДА D-50, СТ.</t>
  </si>
  <si>
    <t>35321  ПЕРЕВРЕЗКА ВОДОПРОВОДА D-114,СТ.</t>
  </si>
  <si>
    <t>35320  ПЕРЕВРЕЗКА ВОДОПРОВОДА D-114,СТ.</t>
  </si>
  <si>
    <t>35319  ПЕРЕВРЕЗКА ВОДОПРОВОДА D-114,СТ.</t>
  </si>
  <si>
    <t>35318  ПЕРЕВРЕЗКА ВОДОПРОВОДА D-114,СТ.</t>
  </si>
  <si>
    <t>35317  ПЕРЕВРЕЗКА ВОДОПРОВОДА D-114,СТ.</t>
  </si>
  <si>
    <t>35316  ПЕРЕВРЕЗКА ВОДОПРОВОДА D-114,СТ.</t>
  </si>
  <si>
    <t>35315  ПЕРЕВРЕЗКА ВОДОПРОВОДА D-114,СТ.</t>
  </si>
  <si>
    <t>35314  ПЕРЕВРЕЗКА ВОДОПРОВОДА D-114,СТ.</t>
  </si>
  <si>
    <t>35313  ПЕРЕВРЕЗКА ВОДОПРОВОДА D-114,СТ.</t>
  </si>
  <si>
    <t>35312  ПЕРЕВРЕЗКА ВОДОПРОВОДА D-114,СТ.</t>
  </si>
  <si>
    <t>35311  ПЕРЕВРЕЗКА ВОДОПРОВОДА D-114,СТ.</t>
  </si>
  <si>
    <t>35310  ПЕРЕВРЕЗКА ВОДОПРОВОДА D-114,СТ.</t>
  </si>
  <si>
    <t>35309  ПЕРЕВРЕЗКА ВОДОПРОВОДА D-114,СТ.</t>
  </si>
  <si>
    <t>35308  ПЕРЕВРЕЗКА ВОДОПРОВОДА D-114,СТ.</t>
  </si>
  <si>
    <t>35307  ПЕРЕВРЕЗКА ВОДОПРОВОДА D-114,СТ.</t>
  </si>
  <si>
    <t>35306  ПЕРЕВРЕЗКА ВОДОПРОВОДА D-114,СТ.</t>
  </si>
  <si>
    <t>35305  ПЕРЕВРЕЗКА ВОДОПРОВОДА D-114,СТ.</t>
  </si>
  <si>
    <t>35304  ПЕРЕВРЕЗКА ВОДОПРОВОДА D-114,СТ.</t>
  </si>
  <si>
    <t>35303  ПЕРЕВРЕЗКА ВОДОПРОВОДА D-114,СТ.</t>
  </si>
  <si>
    <t>35302  ПЕРЕВРЕЗКА ВОДОПРОВОДА D-114,СТ.</t>
  </si>
  <si>
    <t>35301  ПЕРЕВРЕЗКА ВОДОПРОВОДА D-114,СТ.</t>
  </si>
  <si>
    <t>35300  ПЕРЕВРЕЗКА ВОДОПРОВОДА D-114,СТ.</t>
  </si>
  <si>
    <t>35299  ПЕРЕВРЕЗКА ВОДОПРОВОДА D-114,СТ.</t>
  </si>
  <si>
    <t>35298  ПЕРЕВРЕЗКА ВОДОПРОВОДА D-114,СТ.</t>
  </si>
  <si>
    <t>город Калуга, улица Советская, 152 - 123</t>
  </si>
  <si>
    <t>24537  ВОДОПРОВОД Д-100 чуг.</t>
  </si>
  <si>
    <t>город Калуга, от дамбы вдоль набережной водохранилища</t>
  </si>
  <si>
    <t>24536  ВОДОПРОВОД D-600, ЧУГ.</t>
  </si>
  <si>
    <t>24535  ВОДОПРОВОД D-325, СТ.</t>
  </si>
  <si>
    <t>город Калуга, в р-не р. Оки</t>
  </si>
  <si>
    <t>24534  ВОДОПРОВОД D-300,ЧУГ.</t>
  </si>
  <si>
    <t>г.Калуга ОКТЯБРЬСКАЯ</t>
  </si>
  <si>
    <t>24533  ПЕРЕВРЕЗКА ВОДОПРОВОДА D-50, СТ.</t>
  </si>
  <si>
    <t>24532  ПЕРЕВРЕЗКА ВОДОПРОВОДА D-114,СТ.</t>
  </si>
  <si>
    <t>город Калуга, улица Комсомольская</t>
  </si>
  <si>
    <t>24528  ВОДОПРОВОД ЧУГ. D-200</t>
  </si>
  <si>
    <t>город Калуга, улица Заводская</t>
  </si>
  <si>
    <t>24514  ВОДОПРОВОД Д-400 чуг.</t>
  </si>
  <si>
    <t>город Калуга, улица Комсомольская, д.5</t>
  </si>
  <si>
    <t>24513  ПНС ВОДОПРОВОДА</t>
  </si>
  <si>
    <t>24511  ВОДОПРОВОД D-100, ЧУГ, СТ.</t>
  </si>
  <si>
    <t>город Калуга, микрорайон Дубрава,</t>
  </si>
  <si>
    <t>24508  ВОДОПРОВОД Д-100 ст.</t>
  </si>
  <si>
    <t>город Калуга, микрорайон Дубрава</t>
  </si>
  <si>
    <t>24505  ВОДОПРОВОД Д-100-150 чуг.</t>
  </si>
  <si>
    <t>24503  ВОДОПРОВОД D-100, ЧУГ.</t>
  </si>
  <si>
    <t>город Калуга, улица Тульская</t>
  </si>
  <si>
    <t>24502  ВОДОПРОВОД D-300,ЧУГ.</t>
  </si>
  <si>
    <t>город Калуга, улица Суворова, д.21</t>
  </si>
  <si>
    <t>24499  ВОДОПРОВОД НАРУЖНЫЙ Д-100 ЧУГ.</t>
  </si>
  <si>
    <t>24466  ЗАДВИЖКИ Д-500 чуг.</t>
  </si>
  <si>
    <t>город Калуга, улица Молодежная,</t>
  </si>
  <si>
    <t>24413  ВОДОПРОВОД Д-200-300 чуг.</t>
  </si>
  <si>
    <t>24411  ВОДОПРОВОД Д-100 чуг.</t>
  </si>
  <si>
    <t>24382  ВОДОПРОВОД Д-100 ЧУГ.</t>
  </si>
  <si>
    <t>24381  ВОДОПРОВОД Д-100 СТ.</t>
  </si>
  <si>
    <t>город Калуга, улица Майская</t>
  </si>
  <si>
    <t>24380  ПОВЫСИТЕЛЬНАЯ НАСОСНАЯ СТАНЦИЯ</t>
  </si>
  <si>
    <t>город Калуга, улица Комарова, 45, корп.1</t>
  </si>
  <si>
    <t>24376  ВОДОПРОВОД D-100 ЧУГ.</t>
  </si>
  <si>
    <t>24375  ВОДОПРОВОД D-100 ЧУГ.</t>
  </si>
  <si>
    <t>город Калуга, улица Гурьянова, лит.I ул. Карачевская</t>
  </si>
  <si>
    <t>24360  ВОДОПРОВОД Д-50-200 ЧУГ.</t>
  </si>
  <si>
    <t>город Калуга, улица Пролетарская, д.110</t>
  </si>
  <si>
    <t>24357  ВОДОПРОВОД Д-108 СТ.</t>
  </si>
  <si>
    <t>24340  ВОДОПРОВОД Д-200 чуг.</t>
  </si>
  <si>
    <t>24339  ВОДОПРОВОД Д-300 чуг.</t>
  </si>
  <si>
    <t>24338  ВОДОПРОВОД Д-150 чуг.</t>
  </si>
  <si>
    <t>24337  ВОДОПРОВОД Д-219 ст.</t>
  </si>
  <si>
    <t>г.Калуга "ТАЙФУН"</t>
  </si>
  <si>
    <t>24336  ВОДОПРОВОД Д-150 ст.</t>
  </si>
  <si>
    <t>24335  ВОДОПРОВОД Д-133 ст.</t>
  </si>
  <si>
    <t>город Калуга, микрорайон Табачникова, Тайфун</t>
  </si>
  <si>
    <t>24334  ВОДОПРОВОД Д-100 ст.</t>
  </si>
  <si>
    <t>24333  ВОДОПРОВОД Д-300 чуг.</t>
  </si>
  <si>
    <t>24332  ВОДОПРОВОД Д-150 чуг.</t>
  </si>
  <si>
    <t>24331  ВОДОПРОВОД Д-100 чуг.</t>
  </si>
  <si>
    <t>город Калуга, проезд Заводской 2-й,</t>
  </si>
  <si>
    <t>24329  ВОДОПРОВОД Д-100 чуг.</t>
  </si>
  <si>
    <t>24305  ВОДОПРОВОД Д-200 ЧУГ.</t>
  </si>
  <si>
    <t>24303  ВОДОПРОВОД Д-65 СТ.</t>
  </si>
  <si>
    <t>24296  ПРОКОЛ ЧЕРЕЗ А/ДОРОГУ Д-273 СТ.</t>
  </si>
  <si>
    <t>24259  ВОДОПРОВОД СТ. D-146</t>
  </si>
  <si>
    <t>34694  К 20/30 C ЭЛ.ДВИГ.</t>
  </si>
  <si>
    <t>город Калуга, улица Дубрава, лит.I</t>
  </si>
  <si>
    <t>24244  ВОДОПРОВОД Д-150-100 чуг.</t>
  </si>
  <si>
    <t>24242  ВОДОПРОВОД Д-250 чуг.</t>
  </si>
  <si>
    <t>24239  ВОДОПРОВОД ЧУГ. D-600</t>
  </si>
  <si>
    <t>город Калуга, улица Тульская, лит.II</t>
  </si>
  <si>
    <t>24237  ВОДОПРОВОД ОЦИНК. D-100</t>
  </si>
  <si>
    <t>24236  ВОДОПРОВОД ЧУГ. D-100</t>
  </si>
  <si>
    <t>24234  ВОДОПРОВОД ЧУГ. D-100</t>
  </si>
  <si>
    <t>24218  ВОДОПРОВОД Д-100 ЧУГ.</t>
  </si>
  <si>
    <t>город Калуга, улица Вишневского</t>
  </si>
  <si>
    <t>24216  ВВОД ВОДОПРОВОДА ЧУГ. D=100</t>
  </si>
  <si>
    <t>24215  ВОДОПРОВОД СТ. D-159</t>
  </si>
  <si>
    <t>24214  ВОДОПРОВОД СТ. D-146</t>
  </si>
  <si>
    <t>город Калуга, улица М.Горького, 100 БАЗА</t>
  </si>
  <si>
    <t>24212  ПНС</t>
  </si>
  <si>
    <t>город Калуга, улица Грабцевское шоссе, д.150 корп.1</t>
  </si>
  <si>
    <t>24189  ВОДОПРОВОД Д-57 ст.</t>
  </si>
  <si>
    <t>01.04.1996</t>
  </si>
  <si>
    <t>24158  ВОДОПРОВОД D-100,ЧУГ</t>
  </si>
  <si>
    <t>24157  ВОДОПРОВОД D-150,ЧУГ.</t>
  </si>
  <si>
    <t>город Калуга, улица Достоевского, 35</t>
  </si>
  <si>
    <t>24156  МАГИСТР. ВОДОПРОВОД D-200,ЧУГ.</t>
  </si>
  <si>
    <t>24144  К 20/30 C ЭЛ.ДВИГ.</t>
  </si>
  <si>
    <t>24127  ВОДОПРОВОД Д-100 чуг.</t>
  </si>
  <si>
    <t>24125  ВОДОПРОВОД Д-100 чуг.</t>
  </si>
  <si>
    <t>город Калуга, улица Вагонная,</t>
  </si>
  <si>
    <t>24123  ВОДОПРОВОД Д-100,110</t>
  </si>
  <si>
    <t>город Калуга, улица Пушкина, д.2</t>
  </si>
  <si>
    <t>24121  ВОДОПРОВОД ЧУГ. D-108</t>
  </si>
  <si>
    <t>город Калуга, улица Тарутинская, 198</t>
  </si>
  <si>
    <t>24118  РЕЗЕРВУАР ЧИСТОЙ ВОДЫ V 250М3</t>
  </si>
  <si>
    <t>24117  ВОДОПРОВОД Д-200 чуг.</t>
  </si>
  <si>
    <t>24116  ВОДОПРОВОД Д-600 чуг.</t>
  </si>
  <si>
    <t>город Калуга, улица Чебышева,</t>
  </si>
  <si>
    <t>24115  ВОДОПРОВОД ЧУГ. D-100</t>
  </si>
  <si>
    <t>24114  СЕТИ ВОДОПРОВОДА П/Э,Ж/Б</t>
  </si>
  <si>
    <t>24090  ВОДОПРОВОД ЧУГ. D-100</t>
  </si>
  <si>
    <t>город Калуга, улица Каракозова</t>
  </si>
  <si>
    <t>24089  ВОДОПРОВОД ЧУГ. D-300</t>
  </si>
  <si>
    <t>город Калуга, улица Дзержинского</t>
  </si>
  <si>
    <t>24087  СЕТИ ВОДОПРОВОДА ЧУГ.</t>
  </si>
  <si>
    <t>24085  ВОДОПРОВОД ЧУГ. D-100</t>
  </si>
  <si>
    <t>город Калуга, переулок Малый,</t>
  </si>
  <si>
    <t>24083  ВОДОПРОВОД ЧУГ. D-100</t>
  </si>
  <si>
    <t>город Калуга, улица Пестеля</t>
  </si>
  <si>
    <t>24082  ВОДОПРОВОД ЧУГ. D-250</t>
  </si>
  <si>
    <t>город Калуга, переулок Малинники, д.2</t>
  </si>
  <si>
    <t>24081  ПНС водопроводная пер.Малинники 2</t>
  </si>
  <si>
    <t>24079  ВОДОПРОВОД ЧУГ. D-100</t>
  </si>
  <si>
    <t>город Калуга, улица Болдина, д.2а</t>
  </si>
  <si>
    <t>24078  ВОДОПРОВОД СТ. D-89</t>
  </si>
  <si>
    <t>24066  СЕТИ ВОДОПРОВОДА Ж.Б</t>
  </si>
  <si>
    <t>24065  ВОДОПРОВОД ЧУГ. D-200</t>
  </si>
  <si>
    <t>24064  ВОДОПРОВОД ЧУГ. D-150</t>
  </si>
  <si>
    <t>24063  ВОДОПРОВОД СТ. D-219</t>
  </si>
  <si>
    <t>24062  ВОДОПРОВОД СТ. D-80</t>
  </si>
  <si>
    <t>24061  ВОДОПРОВОД СТ. D-100</t>
  </si>
  <si>
    <t>24060  ВОДОПРОВОД СТ. D-50</t>
  </si>
  <si>
    <t>город Калуга, поселок Бушмановка, улица Новый, д.53</t>
  </si>
  <si>
    <t>24059  ВОДОПРОВОД Д-100 чуг.</t>
  </si>
  <si>
    <t>город Калуга, поселок Турынино, улица Советская</t>
  </si>
  <si>
    <t>24058  МАГИСТРАЛЬНЫЙ ВОДОПРОВОД Д-100 СТ.</t>
  </si>
  <si>
    <t>24037  ОГРАЖДЕНИЕ СКВАЖИНЫ И ВОД. БАШНИ</t>
  </si>
  <si>
    <t>24032  ВОДОПРОВОД К ОЧИСТНЫМ СООР. ЧУГ.</t>
  </si>
  <si>
    <t>24029  ВОДОНАПОРНАЯ БАШНЯ КИРПИЧНАЯ</t>
  </si>
  <si>
    <t>24027  ВНУТРИПЛОЩАДОЧНЫЕ СЕТИ ВОДОПРОВОДА ЧУГ.</t>
  </si>
  <si>
    <t>город Калуга, улица Баумана, д.30 корп.1</t>
  </si>
  <si>
    <t>23699  ВОДОПРОВОД СТ. D-57</t>
  </si>
  <si>
    <t>23697  ВОДОПРОВОД ЧУГ. D-100</t>
  </si>
  <si>
    <t>23695  ВОДОПРОВОД Д-200(ЧУГ.),100(СТ.)</t>
  </si>
  <si>
    <t>23693  ВОДОПРОВОД Д-100 чуг.</t>
  </si>
  <si>
    <t>23633  ПНС (ПОДКАЧИВАЮЩАЯ НАСОСНАЯ СТАНЦИЯ)</t>
  </si>
  <si>
    <t>город Калуга, переулок Малинники, 8</t>
  </si>
  <si>
    <t>23630  ВВОД ВОДОПРОВОДА Д-200 чуг.</t>
  </si>
  <si>
    <t>город Калуга, переулок Малинники,</t>
  </si>
  <si>
    <t>23629  ВВОД ВОДОПРОВОДА Д-100 чуг.</t>
  </si>
  <si>
    <t>23628  ВОДОПРОВОД Д-100 чуг.</t>
  </si>
  <si>
    <t>23627  ВОДОПРОВОД Д-200 чуг.</t>
  </si>
  <si>
    <t>23626  ВОДОПРОВОД Д-200 чуг.</t>
  </si>
  <si>
    <t>23625  ВОДОПРОВОД Д-100 чуг.</t>
  </si>
  <si>
    <t>город Калуга, улица Воскресенская, д.28</t>
  </si>
  <si>
    <t>23622  ВОДОПРОВОД ЧУГ. D-100</t>
  </si>
  <si>
    <t>город Калуга, переулок Песчаный,</t>
  </si>
  <si>
    <t>23620  ВОДОПРОВОД Д-100 чуг.</t>
  </si>
  <si>
    <t>город Калуга, переулок Суворова,</t>
  </si>
  <si>
    <t>23598  ВОДОПРОВОД Д-108 СТ.</t>
  </si>
  <si>
    <t>23596  ВОДОПРОВОД ЧУГ. D-100</t>
  </si>
  <si>
    <t>23594  ВОДОПРОВОД ЧУГ. D-100</t>
  </si>
  <si>
    <t>23592  ВОДОПРОВОД ЧУГ. D-100</t>
  </si>
  <si>
    <t>23590  ВОДОПРОВОД ЧУГ. D-100</t>
  </si>
  <si>
    <t>город Калуга, бульвар Моторостроителей, д.6</t>
  </si>
  <si>
    <t>23589  ВОДОПРОВОД ЧУГ. D-100</t>
  </si>
  <si>
    <t>23587  ВОДОПРОВОД ЧУГ. D-150</t>
  </si>
  <si>
    <t>23585  ВОДОПРОВОД ЧУГ. D-100</t>
  </si>
  <si>
    <t>23583  ВОДОПРОВОД ЧУГ. D-100,200</t>
  </si>
  <si>
    <t>23581  ВОДОПРОВОД Д-100 ЧУГ.</t>
  </si>
  <si>
    <t>23580  ВОДОПРОВОД Д-100 ЧУГ.</t>
  </si>
  <si>
    <t>город Калуга, улица Плеханова, д.2 корп.1</t>
  </si>
  <si>
    <t>23577  ВОДОПРОВОД Д-100 ЧУГ.</t>
  </si>
  <si>
    <t>город Калуга, улица Пролетарская, д.40</t>
  </si>
  <si>
    <t>23575  ВОДОПРОВОД Д-100 ЧУГ.</t>
  </si>
  <si>
    <t>город Калуга, улица Огарева, д.22</t>
  </si>
  <si>
    <t>23573  ВОДОПРОВОД Д-100 ЧУГ.</t>
  </si>
  <si>
    <t>город Калуга, улица Огарева, д.20</t>
  </si>
  <si>
    <t>23571  ВОДОПРОВОД Д-100 ЧУГ.</t>
  </si>
  <si>
    <t>23570  ВОДОПРОВОД ОЦИНК. D-76*4</t>
  </si>
  <si>
    <t>город Калуга, улица Пушкина,</t>
  </si>
  <si>
    <t>23569  ВВОД ВОДОПРОВОДА СТ. D-76,89(ОЦИНК.)</t>
  </si>
  <si>
    <t>город Калуга, улица Механизаторов,</t>
  </si>
  <si>
    <t>23542  ВВОД ВОДОПРОВОДА Д-100 ст.</t>
  </si>
  <si>
    <t>г.Калуга УЛ.ГР.ШОССЕ</t>
  </si>
  <si>
    <t>23540  ВОДОПРОВОД Д-100 чуг.</t>
  </si>
  <si>
    <t>город Калуга, улица Пролетарская, д.163</t>
  </si>
  <si>
    <t>23389  ВОДОПРОВОД Д-100 чуг.</t>
  </si>
  <si>
    <t>23508  ВОДОПРОВОД ЧУГ. D-100</t>
  </si>
  <si>
    <t>город Калуга, улица Московская, д.53</t>
  </si>
  <si>
    <t>23451  ВОДОПРОВОД Д-76 СТ.</t>
  </si>
  <si>
    <t>23450  ВОДОПРОВОД ЧУГ. D-100,200,300,219(СТ.)</t>
  </si>
  <si>
    <t>город Калуга, бульвар Моторостроителей, д.2 , 8</t>
  </si>
  <si>
    <t>23449  ВОДОПРОВОД ЧУГ. D-100</t>
  </si>
  <si>
    <t>23448  ВОДОПРОВОД СТ. D-65</t>
  </si>
  <si>
    <t>23447  ВОДОПРОВОД Д-100 ЧУГ.</t>
  </si>
  <si>
    <t>23446  ВОДОПРОВОД Д-100 ЧУГ.</t>
  </si>
  <si>
    <t>23445  ВОДОПРОВОД Д-100 ЧУГ.</t>
  </si>
  <si>
    <t>город Калуга, улица Огарева, д.9/7</t>
  </si>
  <si>
    <t>23444  ВОДОПРОВОД Д-100 ЧУГ.</t>
  </si>
  <si>
    <t>23443  ВОДОПРОВОД Д-100 ЧУГ.</t>
  </si>
  <si>
    <t>23442  ВОДОПРОВОД Д-100 ЧУГ.</t>
  </si>
  <si>
    <t>23441  ВОДОПРОВОД Д-100 ЧУГ.</t>
  </si>
  <si>
    <t>23440  ВОДОПРОВОД Д-100 ЧУГ.</t>
  </si>
  <si>
    <t>23439  ВОДОПРОВОД Д-100 ЧУГ.</t>
  </si>
  <si>
    <t>23438  ВОДОПРОВОД Д-100 ЧУГ.</t>
  </si>
  <si>
    <t>23437  ВОДОПРОВОД Д-100 ЧУГ.</t>
  </si>
  <si>
    <t>23436  ВОДОПРОВОД Д-100 ЧУГ.</t>
  </si>
  <si>
    <t>23435  ВОДОПРОВОД Д-100 ЧУГ.</t>
  </si>
  <si>
    <t>23434  ВОДОПРОВОД Д-100 ЧУГ.</t>
  </si>
  <si>
    <t>23433  ВОДОПРОВОД Д-100 ЧУГ.</t>
  </si>
  <si>
    <t>23432  ВОДОПРОВОД Д-100-200 ЧУГ.</t>
  </si>
  <si>
    <t>23431  ВОДОПРОВОД Д-100 ЧУГ.</t>
  </si>
  <si>
    <t>23430  ВОДОПРОВОД Д-100 ЧУГ.</t>
  </si>
  <si>
    <t>23429  ВОДОПРОВОД Д-100 ЧУГ.</t>
  </si>
  <si>
    <t>23428  ВОДОПРОВОД Д-100 ЧУГ.</t>
  </si>
  <si>
    <t>23427  ВОДОПРОВОД Д-100 ЧУГ.</t>
  </si>
  <si>
    <t>23426  ВОДОПРОВОД Д-100 ЧУГ.</t>
  </si>
  <si>
    <t>23425  ВОДОПРОВОД Д-100 ЧУГ.</t>
  </si>
  <si>
    <t>23424  ВОДОПРОВОД Д-50 СТ.</t>
  </si>
  <si>
    <t>23423  ВОДОПРОВОД Д-100 ЧУГ.</t>
  </si>
  <si>
    <t>23422  ВОДОПРОВОД Д-100 ЧУГ.</t>
  </si>
  <si>
    <t>23421  ВОДОПРОВОД Д-100 ЧУГ.</t>
  </si>
  <si>
    <t>23420  ВОДОПРОВОД Д-100 ЧУГ.</t>
  </si>
  <si>
    <t>23419  ВОДОПРОВОД Д-100 ЧУГ.</t>
  </si>
  <si>
    <t>23418  ВОДОПРОВОД Д-100 ЧУГ.</t>
  </si>
  <si>
    <t>23417  ВОДОПРОВОД Д-89 СТ.</t>
  </si>
  <si>
    <t>23416  ВОДОПРОВОД Д-100 ЧУГ.</t>
  </si>
  <si>
    <t>город Калуга, улица Пролетарская, д.90</t>
  </si>
  <si>
    <t>23415  ВОДОПРОВОД Д-100 ЧУГ.</t>
  </si>
  <si>
    <t>город Калуга, улица Карачевская, д.9</t>
  </si>
  <si>
    <t>23414  ВОДОПРОВОД Д-100 СТ.</t>
  </si>
  <si>
    <t>23413  ВОДОПРОВОД Д-100 ЧУГ.</t>
  </si>
  <si>
    <t>город Калуга, улица Никитина, д.85а</t>
  </si>
  <si>
    <t>23390  ВОДОПРОВОД ЧУГ. D-150,65(СТ.)</t>
  </si>
  <si>
    <t>23388  ВОДОПРОВОД Д-100 СТ.</t>
  </si>
  <si>
    <t>23368  ВОДОПРОВОД ЧУГ. D-100</t>
  </si>
  <si>
    <t>23367  ВОДОПРОВОД ЧУГ. D-100</t>
  </si>
  <si>
    <t>23366  ВОДОПРОВОД ЧУГ. D-50</t>
  </si>
  <si>
    <t>23365  ВОДОПРОВОД ЧУГ. D-100</t>
  </si>
  <si>
    <t>23364  ВОДОПРОВОД ЧУГ. D-76</t>
  </si>
  <si>
    <t>23363  ВОДОПРОВОД ЧУГ.</t>
  </si>
  <si>
    <t>город Калуга, улица Константиновых, д.7</t>
  </si>
  <si>
    <t>11462  ВОДОПРОВОД Д-100-200 чуг.</t>
  </si>
  <si>
    <t>11461  ВОДОПРОВОД Д-50 ст.</t>
  </si>
  <si>
    <t>город Калуга, переулок Луговой, лит.Стр, 3</t>
  </si>
  <si>
    <t>11448  НАСОСНАЯ СТАНЦИЯ</t>
  </si>
  <si>
    <t>город Калуга, улица Промышленная, д.4</t>
  </si>
  <si>
    <t>11446  ВОДОПРОВОД Д-100-150 чуг.</t>
  </si>
  <si>
    <t>11445  ВОДОПРОВОД П/Э D-50,90*110, СТ.D-108</t>
  </si>
  <si>
    <t>город Калуга, улица Первых Космонавтов, лит.I Бульвар Байконур, ул. Звездная</t>
  </si>
  <si>
    <t>11444  ВОДОПРОВОД СТ. D-159</t>
  </si>
  <si>
    <t>11441  ВОДОПРОВОД Д-100 чуг.</t>
  </si>
  <si>
    <t>город Калуга, АОЗТ КСМАО-БЫТ</t>
  </si>
  <si>
    <t>11440  ВОДОПРОВОД ЧВР. D-100</t>
  </si>
  <si>
    <t>город Калуга, микрорайон Байконур</t>
  </si>
  <si>
    <t>11439  ПОВЫСИТЕЛЬНАЯ НАСОСНАЯ СТАНЦИЯ</t>
  </si>
  <si>
    <t>город Калуга, микрорайон Байконур,</t>
  </si>
  <si>
    <t>11438  КАБЕЛЬНЫЕ ЛИНИИ СВЯЗИ</t>
  </si>
  <si>
    <t>11436  ВОДОПРОВОД  Д-100 ЧУГ.</t>
  </si>
  <si>
    <t>город Калуга, бульвар Моторостроителей, д.10</t>
  </si>
  <si>
    <t>11433  ВОДОПРОВОД СТ. D-100</t>
  </si>
  <si>
    <t>11430  ВОДОПРОВОД СТ. D-100</t>
  </si>
  <si>
    <t>город Калуга, улица Тульская, д.69 (1 очередь)</t>
  </si>
  <si>
    <t>11410  ВОДОПРОВОД СТ. D-100</t>
  </si>
  <si>
    <t>11407  ВОДОПРОВОД СТ. КОЛЬЦЕВОЙ, D-325,400</t>
  </si>
  <si>
    <t>11405  ВОДОПРОВОД СТ. D-100</t>
  </si>
  <si>
    <t>33597  ЗАДВИЖКА d=400</t>
  </si>
  <si>
    <t>33596  ЗАДВИЖКА d=400</t>
  </si>
  <si>
    <t>33595  ЗАДВИЖКА d=400</t>
  </si>
  <si>
    <t>33594  ЗАДВИЖКА d=400</t>
  </si>
  <si>
    <t>город Калуга, улица Московская, д.315 корп.5</t>
  </si>
  <si>
    <t>11401  ВОДОПРОВ.МОСКОВ. ДОМ 315 КОР. 5 ЧУГ. D-100</t>
  </si>
  <si>
    <t>11400  СЕТИ ВОДОПРОВ.МОСКОВСКАЯ ДОМ 315 КР.4 ЧУГ. D-100</t>
  </si>
  <si>
    <t>11398  ВОДОПРОВОДА Д-150 СТ.МОСКОВСКАЯ ДОМ 315 КР 3</t>
  </si>
  <si>
    <t>город Калуга, улица Маяковского, д.47</t>
  </si>
  <si>
    <t>11387  ВОДОПРОВОД Д-200 чуг.</t>
  </si>
  <si>
    <t>11384  ВОДОПРОВОД Д-150 чуг.</t>
  </si>
  <si>
    <t>город Калуга, улица Хрустальная, 72</t>
  </si>
  <si>
    <t>11382  СЕТИ ВОДОПРОВОДА Д-100 чуг.</t>
  </si>
  <si>
    <t>город Калуга, улица Дружбы, 19</t>
  </si>
  <si>
    <t>11381  СЕТИ ВОДОПРОВОДА Д-200 чуг.</t>
  </si>
  <si>
    <t>11368  ВОДОПРОВОД Д-200 чуг.</t>
  </si>
  <si>
    <t>г.Калуга Ленинский р-н Ф.ЭНГЕЛЬСА (от 113 до 1Б)</t>
  </si>
  <si>
    <t>11367  ВОДОПРОВОД ЧВР d=250 ул. Ф.ЭНГЕЛЬСА (от 113 до 1Б)</t>
  </si>
  <si>
    <t>11352  ВОДОПРОВОД СТ. D-30 Ф.Энгельса, 113</t>
  </si>
  <si>
    <t>11351  ВОДОПРОВОД ЧВР Д.33</t>
  </si>
  <si>
    <t>город Калуга, улица В.Андриановой, д.23</t>
  </si>
  <si>
    <t>11348  ВОДОПРОВОД Д-50 чуг.</t>
  </si>
  <si>
    <t>город Калуга, улица Шахтеров, д.13</t>
  </si>
  <si>
    <t>11347  ВОДОПРОВОД Д-114 ст.</t>
  </si>
  <si>
    <t>11346  ВОДОПРОВОД ЧВР</t>
  </si>
  <si>
    <t>11345  ВОДОПРОВОД ЧВР Д.14 ДО Д.121</t>
  </si>
  <si>
    <t>01.07.1994</t>
  </si>
  <si>
    <t>город Калуга, деревня Тимошево,</t>
  </si>
  <si>
    <t>11342  ВОДОПРОВОД Д-100 ЧУГ.</t>
  </si>
  <si>
    <t>01.06.1994</t>
  </si>
  <si>
    <t>11336  ВОДОПРОВОД ЧВР d=100</t>
  </si>
  <si>
    <t>город Калуга, Канищево</t>
  </si>
  <si>
    <t>11338  ВОДОПРОВОД СТ. D-100</t>
  </si>
  <si>
    <t>город Калуга, улица Хрустальная</t>
  </si>
  <si>
    <t>11331  ВОДОПРОВОД Д-400 чуг.</t>
  </si>
  <si>
    <t>11325  НАСОС 40/25 ГНОМ</t>
  </si>
  <si>
    <t>11316  ЗАДВИЖКА Д-100 чуг.</t>
  </si>
  <si>
    <t>город Калуга, улица Хрустальная, д.8</t>
  </si>
  <si>
    <t>11315  ВОДОПРОВОД Д-150 ст.</t>
  </si>
  <si>
    <t>11313  ВОДОПРОВОД Д-100, 200 ЧВР</t>
  </si>
  <si>
    <t>город Калуга, улица Кибальчича, д.1</t>
  </si>
  <si>
    <t>11311  ВОДОПРОВОД Д-100 ЧВР</t>
  </si>
  <si>
    <t>город Калуга, улица Гурьянова, д.6 корп.1</t>
  </si>
  <si>
    <t>11297  ВОДОПРОВОД Д-100 ЧУГ.</t>
  </si>
  <si>
    <t>11296  ВОДОПРОВОД Д-500 СТ.</t>
  </si>
  <si>
    <t>11295  ВОДОПРОВОД Д-100 ст.</t>
  </si>
  <si>
    <t>11286  ВОДОПРОВОД пл.Мира, 2, бл. А-1</t>
  </si>
  <si>
    <t>11280  ВОДОПРОВОД</t>
  </si>
  <si>
    <t>34301  ЗАДВИЖКИ Д-250 чуг.</t>
  </si>
  <si>
    <t>34300  ЗАДВИЖКИ Д-250 чуг.</t>
  </si>
  <si>
    <t>34299  ЗАДВИЖКИ Д-250 чуг.</t>
  </si>
  <si>
    <t>34298  ЗАДВИЖКИ Д-250 чуг.</t>
  </si>
  <si>
    <t>34297  ЗАДВИЖКИ Д-250 чуг.</t>
  </si>
  <si>
    <t>34134  ЗАДВИЖКА Д-800 чуг.</t>
  </si>
  <si>
    <t>34133  ЗАДВИЖКА Д-800 чуг.</t>
  </si>
  <si>
    <t>34132  ЗАДВИЖКА Д-800 чуг.</t>
  </si>
  <si>
    <t>34095  ЗАДВИЖКА Д-600 чуг.</t>
  </si>
  <si>
    <t>34094  ЗАДВИЖКА Д-600 чуг.</t>
  </si>
  <si>
    <t>34093  ЗАДВИЖКА Д-600 чуг.</t>
  </si>
  <si>
    <t>34092  ЗАДВИЖКА Д-600 чуг.</t>
  </si>
  <si>
    <t>34091  ЗАДВИЖКА Д-600 чуг.</t>
  </si>
  <si>
    <t>34090  ЗАДВИЖКА Д-600 чуг.</t>
  </si>
  <si>
    <t>34089  ЗАДВИЖКА Д-600 чуг.</t>
  </si>
  <si>
    <t>34088  ЗАДВИЖКА Д-600 чуг.</t>
  </si>
  <si>
    <t>34087  ЗАДВИЖКА Д-600 чуг.</t>
  </si>
  <si>
    <t>34086  ЗАДВИЖКА Д-600 чуг.</t>
  </si>
  <si>
    <t>34085  ЗАДВИЖКА Д-600 чуг.</t>
  </si>
  <si>
    <t>34084  ЗАДВИЖКА Д-600 чуг.</t>
  </si>
  <si>
    <t>34064  ЗАДВИЖКА Д-500 чуг.</t>
  </si>
  <si>
    <t>34063  ЗАДВИЖКА Д-500 чуг.</t>
  </si>
  <si>
    <t>34062  ЗАДВИЖКА Д-500 чуг.</t>
  </si>
  <si>
    <t>34061  ЗАДВИЖКА Д-500 чуг.</t>
  </si>
  <si>
    <t>34060  ЗАДВИЖКА Д-500 чуг.</t>
  </si>
  <si>
    <t>34059  ЗАДВИЖКА Д-500 чуг.</t>
  </si>
  <si>
    <t>34058  ЗАДВИЖКА Д-500 чуг.</t>
  </si>
  <si>
    <t>34057  ЗАДВИЖКА Д-500 чуг.</t>
  </si>
  <si>
    <t>34056  ЗАДВИЖКА Д-500 чуг.</t>
  </si>
  <si>
    <t>34055  ЗАДВИЖКА Д-500 чуг.</t>
  </si>
  <si>
    <t>34054  ЗАДВИЖКА Д-500 чуг.</t>
  </si>
  <si>
    <t>34053  ЗАДВИЖКА Д-500 чуг.</t>
  </si>
  <si>
    <t>34052  ЗАДВИЖКА Д-500 чуг.</t>
  </si>
  <si>
    <t>34051  ЗАДВИЖКА Д-500 чуг.</t>
  </si>
  <si>
    <t>34050  ЗАДВИЖКА Д-500 чуг.</t>
  </si>
  <si>
    <t>34049  ЗАДВИЖКА Д-500 чуг.</t>
  </si>
  <si>
    <t>34048  ЗАДВИЖКА Д-500 чуг.</t>
  </si>
  <si>
    <t>34047  ЗАДВИЖКА Д-500 чуг.</t>
  </si>
  <si>
    <t>34046  ЗАДВИЖКА Д-500 чуг.</t>
  </si>
  <si>
    <t>34045  ЗАДВИЖКА Д-500 чуг.</t>
  </si>
  <si>
    <t>34044  ЗАДВИЖКА Д-500 чуг.</t>
  </si>
  <si>
    <t>34043  ЗАДВИЖКА Д-500 чуг.</t>
  </si>
  <si>
    <t>34042  ЗАДВИЖКА Д-500 чуг.</t>
  </si>
  <si>
    <t>34041  ЗАДВИЖКА Д-500 чуг.</t>
  </si>
  <si>
    <t>34040  ЗАДВИЖКА Д-500 чуг.</t>
  </si>
  <si>
    <t>34039  ЗАДВИЖКА Д-500 чуг.</t>
  </si>
  <si>
    <t>34038  ЗАДВИЖКА Д-500 чуг.</t>
  </si>
  <si>
    <t>34037  ЗАДВИЖКА Д-500 чуг.</t>
  </si>
  <si>
    <t>34036  ЗАДВИЖКА Д-500 чуг.</t>
  </si>
  <si>
    <t>34035  ЗАДВИЖКА Д-500 чуг.</t>
  </si>
  <si>
    <t>34034  ЗАДВИЖКА Д-500 чуг.</t>
  </si>
  <si>
    <t>34014  ЗАДВИЖКА Д-400 чуг.</t>
  </si>
  <si>
    <t>34013  ЗАДВИЖКА Д-400 чуг.</t>
  </si>
  <si>
    <t>34012  ЗАДВИЖКА Д-400 чуг.</t>
  </si>
  <si>
    <t>34011  ЗАДВИЖКА Д-400 чуг.</t>
  </si>
  <si>
    <t>34010  ЗАДВИЖКА Д-400 чуг.</t>
  </si>
  <si>
    <t>34009  ЗАДВИЖКА Д-400 чуг.</t>
  </si>
  <si>
    <t>34008  ЗАДВИЖКА Д-400 чуг.</t>
  </si>
  <si>
    <t>34007  ЗАДВИЖКА Д-400 чуг.</t>
  </si>
  <si>
    <t>34006  ЗАДВИЖКА Д-400 чуг.</t>
  </si>
  <si>
    <t>34005  ЗАДВИЖКА Д-400 чуг.</t>
  </si>
  <si>
    <t>34004  ЗАДВИЖКА Д-400 чуг.</t>
  </si>
  <si>
    <t>34003  ЗАДВИЖКА Д-400 чуг.</t>
  </si>
  <si>
    <t>34002  ЗАДВИЖКА Д-400 чуг.</t>
  </si>
  <si>
    <t>34001  ЗАДВИЖКА Д-400 чуг.</t>
  </si>
  <si>
    <t>33945  ЗАДВИЖКА Д-300 чуг.</t>
  </si>
  <si>
    <t>33944  ЗАДВИЖКА Д-300 чуг.</t>
  </si>
  <si>
    <t>33943  ЗАДВИЖКА Д-300 чуг.</t>
  </si>
  <si>
    <t>33942  ЗАДВИЖКА Д-300 чуг.</t>
  </si>
  <si>
    <t>33941  ЗАДВИЖКА Д-300 чуг.</t>
  </si>
  <si>
    <t>33940  ЗАДВИЖКА Д-300 чуг.</t>
  </si>
  <si>
    <t>33939  ЗАДВИЖКА Д-300 чуг.</t>
  </si>
  <si>
    <t>33938  ЗАДВИЖКА Д-300 чуг.</t>
  </si>
  <si>
    <t>33937  ЗАДВИЖКА Д-300 чуг.</t>
  </si>
  <si>
    <t>33936  ЗАДВИЖКА Д-300 чуг.</t>
  </si>
  <si>
    <t>33935  ЗАДВИЖКА Д-300 чуг.</t>
  </si>
  <si>
    <t>33934  ЗАДВИЖКА Д-300 чуг.</t>
  </si>
  <si>
    <t>33933  ЗАДВИЖКА Д-300 чуг.</t>
  </si>
  <si>
    <t>33932  ЗАДВИЖКА Д-300 чуг.</t>
  </si>
  <si>
    <t>33885  ЗАДВИЖКА Д-200 чуг.</t>
  </si>
  <si>
    <t>33884  ЗАДВИЖКА Д-200 чуг.</t>
  </si>
  <si>
    <t>33883  ЗАДВИЖКА Д-200 чуг.</t>
  </si>
  <si>
    <t>33882  ЗАДВИЖКА Д-200 чуг.</t>
  </si>
  <si>
    <t>33881  ЗАДВИЖКА Д-200 чуг.</t>
  </si>
  <si>
    <t>33880  ЗАДВИЖКА Д-200 чуг.</t>
  </si>
  <si>
    <t>33879  ЗАДВИЖКА Д-200 чуг.</t>
  </si>
  <si>
    <t>33878  ЗАДВИЖКА Д-200 чуг.</t>
  </si>
  <si>
    <t>33877  ЗАДВИЖКА Д-200 чуг.</t>
  </si>
  <si>
    <t>33876  ЗАДВИЖКА Д-200 чуг.</t>
  </si>
  <si>
    <t>33875  ЗАДВИЖКА Д-200 чуг.</t>
  </si>
  <si>
    <t>33874  ЗАДВИЖКА Д-200 чуг.</t>
  </si>
  <si>
    <t>33873  ЗАДВИЖКА Д-200 чуг.</t>
  </si>
  <si>
    <t>33872  ЗАДВИЖКА Д-200 чуг.</t>
  </si>
  <si>
    <t>33871  ЗАДВИЖКА Д-200 чуг.</t>
  </si>
  <si>
    <t>33870  ЗАДВИЖКА Д-200 чуг.</t>
  </si>
  <si>
    <t>33869  ЗАДВИЖКА Д-200 чуг.</t>
  </si>
  <si>
    <t>33868  ЗАДВИЖКА Д-200 чуг.</t>
  </si>
  <si>
    <t>33867  ЗАДВИЖКА Д-200 чуг.</t>
  </si>
  <si>
    <t>33866  ЗАДВИЖКА Д-200 чуг.</t>
  </si>
  <si>
    <t>33865  ЗАДВИЖКА Д-200 чуг.</t>
  </si>
  <si>
    <t>33864  ЗАДВИЖКА Д-200 чуг.</t>
  </si>
  <si>
    <t>33863  ЗАДВИЖКА Д-200 чуг.</t>
  </si>
  <si>
    <t>33862  ЗАДВИЖКА Д-200 чуг.</t>
  </si>
  <si>
    <t>33861  ЗАДВИЖКА Д-200 чуг.</t>
  </si>
  <si>
    <t>33860  ЗАДВИЖКА Д-200 чуг.</t>
  </si>
  <si>
    <t>33859  ЗАДВИЖКА Д-200 чуг.</t>
  </si>
  <si>
    <t>33858  ЗАДВИЖКА Д-200 чуг.</t>
  </si>
  <si>
    <t>33857  ЗАДВИЖКА Д-200 чуг.</t>
  </si>
  <si>
    <t>33856  ЗАДВИЖКА Д-200 чуг.</t>
  </si>
  <si>
    <t>33855  ЗАДВИЖКА Д-200 чуг.</t>
  </si>
  <si>
    <t>33854  ЗАДВИЖКА Д-200 чуг.</t>
  </si>
  <si>
    <t>33853  ЗАДВИЖКА Д-200 чуг.</t>
  </si>
  <si>
    <t>33852  ЗАДВИЖКА Д-200 чуг.</t>
  </si>
  <si>
    <t>33800  ЗАДВИЖКА Д-150 чуг.</t>
  </si>
  <si>
    <t>33799  ЗАДВИЖКА Д-150 чуг.</t>
  </si>
  <si>
    <t>33798  ЗАДВИЖКА Д-150 чуг.</t>
  </si>
  <si>
    <t>33797  ЗАДВИЖКА Д-150 чуг.</t>
  </si>
  <si>
    <t>33796  ЗАДВИЖКА Д-150 чуг.</t>
  </si>
  <si>
    <t>33795  ЗАДВИЖКА Д-150 чуг.</t>
  </si>
  <si>
    <t>33794  ЗАДВИЖКА Д-150 чуг.</t>
  </si>
  <si>
    <t>33793  ЗАДВИЖКА Д-150 чуг.</t>
  </si>
  <si>
    <t>33792  ЗАДВИЖКА Д-150 чуг.</t>
  </si>
  <si>
    <t>33791  ЗАДВИЖКА Д-150 чуг.</t>
  </si>
  <si>
    <t>33790  ЗАДВИЖКА Д-150 чуг.</t>
  </si>
  <si>
    <t>33778  ЗАДВИЖКА Д-100 чуг.</t>
  </si>
  <si>
    <t>33777  ЗАДВИЖКА Д-100 чуг.</t>
  </si>
  <si>
    <t>33776  ЗАДВИЖКА Д-100 чуг.</t>
  </si>
  <si>
    <t>33775  ЗАДВИЖКА Д-100 чуг.</t>
  </si>
  <si>
    <t>33774  ЗАДВИЖКА Д-100 чуг.</t>
  </si>
  <si>
    <t>33773  ЗАДВИЖКА Д-100 чуг.</t>
  </si>
  <si>
    <t>33772  ЗАДВИЖКА Д-100 чуг.</t>
  </si>
  <si>
    <t>33771  ЗАДВИЖКА Д-100 чуг.</t>
  </si>
  <si>
    <t>33770  ЗАДВИЖКА Д-100 чуг.</t>
  </si>
  <si>
    <t>33769  ЗАДВИЖКА Д-100 чуг.</t>
  </si>
  <si>
    <t>33768  ЗАДВИЖКА Д-100 чуг.</t>
  </si>
  <si>
    <t>33767  ЗАДВИЖКА Д-100 чуг.</t>
  </si>
  <si>
    <t>11274  ВОДОПРОВОД</t>
  </si>
  <si>
    <t>11271  ВОДОПРОВОД Д-65 чуг.</t>
  </si>
  <si>
    <t>город Калуга, улица Клюквина, д.3</t>
  </si>
  <si>
    <t>11270  ПОВЫСИТЕЛЬНАЯ НАСОСНАЯ СТАНЦИЯ</t>
  </si>
  <si>
    <t>11269  ЗАДВИЖКА Д-800 чуг.</t>
  </si>
  <si>
    <t>11268  ЗАДВИЖКА Д-600 чуг.</t>
  </si>
  <si>
    <t>11267  ЗАДВИЖКА Д-500 чуг.</t>
  </si>
  <si>
    <t>11266  ЗАДВИЖКА Д-400 чуг.</t>
  </si>
  <si>
    <t>11265  ЗАДВИЖКА Д-200 чуг.</t>
  </si>
  <si>
    <t>11264  ЗАДВИЖКА Д-150 чуг.</t>
  </si>
  <si>
    <t>11263  ЗАДВИЖКА Д-100 чуг.</t>
  </si>
  <si>
    <t>11262  ЗАДВИЖКА Д-300 чуг.</t>
  </si>
  <si>
    <t>11261  ВОДОПРОВОД Д-100 чуг.</t>
  </si>
  <si>
    <t>11260  ЗАДВИЖКИ Д-250 чуг.</t>
  </si>
  <si>
    <t>34458  ЗАДВИЖКИ ЧВР ТР-Е d=400</t>
  </si>
  <si>
    <t>34457  ЗАДВИЖКИ ЧВР ТР-Е d=400</t>
  </si>
  <si>
    <t>34456  ЗАДВИЖКИ ЧВР ТР-Е d=400</t>
  </si>
  <si>
    <t>34455  ЗАДВИЖКИ ЧВР ТР-Е d=400</t>
  </si>
  <si>
    <t>34454  ЗАДВИЖКИ ЧВР ТР-Е d=400</t>
  </si>
  <si>
    <t>34453  ЗАДВИЖКИ ЧВР ТР-Е d=400</t>
  </si>
  <si>
    <t>34452  ЗАДВИЖКИ ЧВР ТР-Е d=400</t>
  </si>
  <si>
    <t>34451  ЗАДВИЖКИ ЧВР ТР-Е d=400</t>
  </si>
  <si>
    <t>34450  ЗАДВИЖКИ ЧВР ТР-Е d=400</t>
  </si>
  <si>
    <t>34449  ЗАДВИЖКИ ЧВР ТР-Е d=400</t>
  </si>
  <si>
    <t>34448  ЗАДВИЖКИ ЧВР ТР-Е d=400</t>
  </si>
  <si>
    <t>34447  ЗАДВИЖКИ ЧВР ТР-Е d=400</t>
  </si>
  <si>
    <t>34446  ЗАДВИЖКИ ЧВР ТР-Е d=300</t>
  </si>
  <si>
    <t>34445  ЗАДВИЖКИ ЧВР ТР-Е d=300</t>
  </si>
  <si>
    <t>34444  ЗАДВИЖКИ ЧВР ТР-Е d=300</t>
  </si>
  <si>
    <t>34443  ЗАДВИЖКИ ЧВР ТР-Е d=300</t>
  </si>
  <si>
    <t>34442  ЗАДВИЖКИ ЧВР ТР-Е d=300</t>
  </si>
  <si>
    <t>34441  ЗАДВИЖКИ ЧВР ТР-Е d=300</t>
  </si>
  <si>
    <t>34440  ЗАДВИЖКИ ЧВР ТР-Е d=300</t>
  </si>
  <si>
    <t>34439  ЗАДВИЖКИ ЧВР ТР-Е d=300</t>
  </si>
  <si>
    <t>34438  ЗАДВИЖКИ ЧВР ТР-Е d=300</t>
  </si>
  <si>
    <t>34437  ЗАДВИЖКИ ЧВР ТР-Е d=300</t>
  </si>
  <si>
    <t>34436  ЗАДВИЖКИ ЧВР ТР-Е d=300</t>
  </si>
  <si>
    <t>34435  ЗАДВИЖКИ ЧВР ТР-Е d=300</t>
  </si>
  <si>
    <t>34434  ЗАДВИЖКИ ЧВР ТР-Е d=300</t>
  </si>
  <si>
    <t>34433  ЗАДВИЖКИ ЧВР ТР-Е d=300</t>
  </si>
  <si>
    <t>34432  ЗАДВИЖКИ ЧВР ТР-Е d=300</t>
  </si>
  <si>
    <t>34431  ЗАДВИЖКИ ЧВР ТР-Е d=300</t>
  </si>
  <si>
    <t>34430  ЗАДВИЖКИ ЧВР ТР-Е d=300</t>
  </si>
  <si>
    <t>34429  ЗАДВИЖКИ ЧВР ТР-Е d=300</t>
  </si>
  <si>
    <t>34428  ЗАДВИЖКИ ЧВР ТР-Е d=300</t>
  </si>
  <si>
    <t>34427  ЗАДВИЖКИ ЧВР ТР-Е d=300</t>
  </si>
  <si>
    <t>34426  ЗАДВИЖКИ ЧВР ТР-Е d=300</t>
  </si>
  <si>
    <t>34425  ЗАДВИЖКИ ЧВР ТР-Е d=300</t>
  </si>
  <si>
    <t>34424  ЗАДВИЖКИ ЧВР ТР-Е d=300</t>
  </si>
  <si>
    <t>34423  ЗАДВИЖКИ ЧВР ТР-Е d=300</t>
  </si>
  <si>
    <t>34422  ЗАДВИЖКИ ЧВР ТР-Е d=300</t>
  </si>
  <si>
    <t>34421  ЗАДВИЖКИ ЧВР ТР-Е d=300</t>
  </si>
  <si>
    <t>34420  ЗАДВИЖКИ ЧВР ТР-Е d=300</t>
  </si>
  <si>
    <t>34419  ЗАДВИЖКИ ЧВР ТР-Е d=300</t>
  </si>
  <si>
    <t>34418  ЗАДВИЖКИ ЧВР ТР-Е d=300</t>
  </si>
  <si>
    <t>34417  ЗАДВИЖКИ ЧВР ТР-Е d=300</t>
  </si>
  <si>
    <t>34416  ЗАДВИЖКИ ЧВР ТР-Е d=200</t>
  </si>
  <si>
    <t>34415  ЗАДВИЖКИ ЧВР ТР-Е d=200</t>
  </si>
  <si>
    <t>34414  ЗАДВИЖКИ ЧВР ТР-Е d=200</t>
  </si>
  <si>
    <t>34413  ЗАДВИЖКИ ЧВР ТР-Е d=200</t>
  </si>
  <si>
    <t>34412  ЗАДВИЖКИ ЧВР ТР-Е d=200</t>
  </si>
  <si>
    <t>34411  ЗАДВИЖКИ ЧВР ТР-Е d=200</t>
  </si>
  <si>
    <t>34410  ЗАДВИЖКИ ЧВР ТР-Е d=200</t>
  </si>
  <si>
    <t>34409  ЗАДВИЖКИ ЧВР ТР-Е d=200</t>
  </si>
  <si>
    <t>34408  ЗАДВИЖКИ ЧВР ТР-Е d=200</t>
  </si>
  <si>
    <t>34407  ЗАДВИЖКИ ЧВР ТР-Е d=200</t>
  </si>
  <si>
    <t>34406  ЗАДВИЖКИ ЧВР ТР-Е d=200</t>
  </si>
  <si>
    <t>34405  ЗАДВИЖКИ ЧВР ТР-Е d=200</t>
  </si>
  <si>
    <t>34404  ЗАДВИЖКИ ЧВР ТР-Е d=200</t>
  </si>
  <si>
    <t>34403  ЗАДВИЖКИ ЧВР ТР-Е d=200</t>
  </si>
  <si>
    <t>34402  ЗАДВИЖКИ ЧВР ТР-Е d=200</t>
  </si>
  <si>
    <t>34401  ЗАДВИЖКИ ЧВР ТР-Е d=200</t>
  </si>
  <si>
    <t>34400  ЗАДВИЖКИ ЧВР ТР-Е d=200</t>
  </si>
  <si>
    <t>34399  ЗАДВИЖКИ ЧВР ТР-Е d=200</t>
  </si>
  <si>
    <t>34398  ЗАДВИЖКИ ЧВР ТР-Е d=200</t>
  </si>
  <si>
    <t>34397  ЗАДВИЖКИ ЧВР ТР-Е d=200</t>
  </si>
  <si>
    <t>34396  ЗАДВИЖКИ ЧВР ТР-Е d=200</t>
  </si>
  <si>
    <t>34395  ЗАДВИЖКИ ЧВР ТР-Е d=200</t>
  </si>
  <si>
    <t>34394  ЗАДВИЖКИ ЧВР ТР-Е d=200</t>
  </si>
  <si>
    <t>34393  ЗАДВИЖКИ ЧВР ТР-Е d=200</t>
  </si>
  <si>
    <t>34392  ЗАДВИЖКИ ЧВР ТР-Е d=200</t>
  </si>
  <si>
    <t>34391  ЗАДВИЖКИ ЧВР ТР-Е d=200</t>
  </si>
  <si>
    <t>34390  ЗАДВИЖКИ ЧВР ТР-Е d=200</t>
  </si>
  <si>
    <t>34389  ЗАДВИЖКИ ЧВР ТР-Е d=200</t>
  </si>
  <si>
    <t>34388  ЗАДВИЖКИ ЧВР ТР-Е d=200</t>
  </si>
  <si>
    <t>34387  ЗАДВИЖКИ ЧВР ТР-Е d=200</t>
  </si>
  <si>
    <t>34386  ЗАДВИЖКИ ЧВР ТР-Е d=200</t>
  </si>
  <si>
    <t>34385  ЗАДВИЖКИ ЧВР ТР-Е d=200</t>
  </si>
  <si>
    <t>34384  ЗАДВИЖКИ ЧВР ТР-Е d=200</t>
  </si>
  <si>
    <t>34383  ЗАДВИЖКИ ЧВР ТР-Е d=200</t>
  </si>
  <si>
    <t>34382  ЗАДВИЖКИ ЧВР ТР-Е d=200</t>
  </si>
  <si>
    <t>34381  ЗАДВИЖКИ ЧВР ТР-Е d=200</t>
  </si>
  <si>
    <t>34380  ЗАДВИЖКИ ЧВР ТР-Е d=200</t>
  </si>
  <si>
    <t>34379  ЗАДВИЖКИ ЧВР ТР-Е d=200</t>
  </si>
  <si>
    <t>34378  ЗАДВИЖКИ ЧВР ТР-Е d=200</t>
  </si>
  <si>
    <t>34377  ЗАДВИЖКИ ЧВР ТР-Е d=200</t>
  </si>
  <si>
    <t>34376  ЗАДВИЖКИ ЧВР ТР-Е d=200</t>
  </si>
  <si>
    <t>34375  ЗАДВИЖКИ ЧВР ТР-Е d=200</t>
  </si>
  <si>
    <t>34374  ЗАДВИЖКИ ЧВР ТР-Е d=200</t>
  </si>
  <si>
    <t>34373  ЗАДВИЖКИ ЧВР ТР-Е d=200</t>
  </si>
  <si>
    <t>34372  ЗАДВИЖКИ ЧВР ТР-Е d=200</t>
  </si>
  <si>
    <t>34371  ЗАДВИЖКИ УСТАНОВЛ.d=1000</t>
  </si>
  <si>
    <t>34359  ЗАДВИЖКИ УСТАНОВЛ.d=1000 (камера №25 Окский в/з)</t>
  </si>
  <si>
    <t>34355  ЗАДВИЖКИ УСТАНОВЛ. d=500</t>
  </si>
  <si>
    <t>34354  ЗАДВИЖКИ УСТАНОВЛ. d=500</t>
  </si>
  <si>
    <t>34351  ЗАДВИЖКИ НА СТ.ТРУБ-Х d=800</t>
  </si>
  <si>
    <t>34350  ЗАДВИЖКИ НА СТ.ТРУБ-Х d=800</t>
  </si>
  <si>
    <t>34349  ЗАДВИЖКИ НА СТ.ТРУБ-Х d=800</t>
  </si>
  <si>
    <t>34348  ЗАДВИЖКИ НА СТ.ТРУБ-Х d=800</t>
  </si>
  <si>
    <t>34347  ЗАДВИЖКИ НА СТ.ТРУБ-Х d=800</t>
  </si>
  <si>
    <t>34346  ЗАДВИЖКИ НА СТ.ТРУБ-Х d=800</t>
  </si>
  <si>
    <t>34345  ЗАДВИЖКИ НА СТ.ТРУБ-Х d=800</t>
  </si>
  <si>
    <t>34341  ЗАДВИЖКИ Д-300 ЧУГ.</t>
  </si>
  <si>
    <t>34340  ЗАДВИЖКИ Д-300 ЧУГ.</t>
  </si>
  <si>
    <t>34339  ЗАДВИЖКИ Д-300 ЧУГ.</t>
  </si>
  <si>
    <t>34338  ЗАДВИЖКИ Д-300 ЧУГ.</t>
  </si>
  <si>
    <t>34337  ЗАДВИЖКИ Д-300 ЧУГ.</t>
  </si>
  <si>
    <t>34336  ЗАДВИЖКИ Д-300 ЧУГ.</t>
  </si>
  <si>
    <t>34335  ЗАДВИЖКИ Д-300 ЧУГ.</t>
  </si>
  <si>
    <t>34334  ЗАДВИЖКИ Д-300 ЧУГ.</t>
  </si>
  <si>
    <t>34333  ЗАДВИЖКИ Д-300 ЧУГ.</t>
  </si>
  <si>
    <t>34332  ЗАДВИЖКИ Д-300 ЧУГ.</t>
  </si>
  <si>
    <t>34331  ЗАДВИЖКИ Д-300 ЧУГ.</t>
  </si>
  <si>
    <t>34330  ЗАДВИЖКИ Д-300 ЧУГ.</t>
  </si>
  <si>
    <t>34329  ЗАДВИЖКИ Д-300 ЧУГ.</t>
  </si>
  <si>
    <t>34328  ЗАДВИЖКИ Д-300 ЧУГ.</t>
  </si>
  <si>
    <t>34327  ЗАДВИЖКИ Д-300 ЧУГ.</t>
  </si>
  <si>
    <t>34326  ЗАДВИЖКИ Д-300 ЧУГ.</t>
  </si>
  <si>
    <t>34325  ЗАДВИЖКИ Д-300 ЧУГ.</t>
  </si>
  <si>
    <t>34324  ЗАДВИЖКИ Д-300 ЧУГ.</t>
  </si>
  <si>
    <t>34323  ЗАДВИЖКИ Д-300 ЧУГ.</t>
  </si>
  <si>
    <t>34322  ЗАДВИЖКИ Д-300 ЧУГ.</t>
  </si>
  <si>
    <t>34321  ЗАДВИЖКИ Д-300 ЧУГ.</t>
  </si>
  <si>
    <t>34320  ЗАДВИЖКИ Д-300 ЧУГ.</t>
  </si>
  <si>
    <t>34319  ЗАДВИЖКИ Д-300 ЧУГ.</t>
  </si>
  <si>
    <t>34318  ЗАДВИЖКИ Д-300 ЧУГ.</t>
  </si>
  <si>
    <t>34317  ЗАДВИЖКИ Д-300 ЧУГ.</t>
  </si>
  <si>
    <t>34316  ЗАДВИЖКИ Д-300 ЧУГ.</t>
  </si>
  <si>
    <t>34315  ЗАДВИЖКИ Д-300 ЧУГ.</t>
  </si>
  <si>
    <t>34314  ЗАДВИЖКИ Д-300 ЧУГ.</t>
  </si>
  <si>
    <t>34313  ЗАДВИЖКИ Д-300 ЧУГ.</t>
  </si>
  <si>
    <t>34312  ЗАДВИЖКИ Д-300 ЧУГ.</t>
  </si>
  <si>
    <t>34311  ЗАДВИЖКИ Д-300 ЧУГ.</t>
  </si>
  <si>
    <t>34310  ЗАДВИЖКИ Д-300 ЧУГ.</t>
  </si>
  <si>
    <t>34309  ЗАДВИЖКИ Д-300 ЧУГ.</t>
  </si>
  <si>
    <t>34308  ЗАДВИЖКИ Д-300 ЧУГ.</t>
  </si>
  <si>
    <t>34307  ЗАДВИЖКИ Д-300 ЧУГ.</t>
  </si>
  <si>
    <t>34306  ЗАДВИЖКИ Д-300 ЧУГ.</t>
  </si>
  <si>
    <t>34305  ЗАДВИЖКИ Д-300 ЧУГ.</t>
  </si>
  <si>
    <t>34304  ЗАДВИЖКИ Д-300 ЧУГ.</t>
  </si>
  <si>
    <t>34303  ЗАДВИЖКИ Д-300 ЧУГ.</t>
  </si>
  <si>
    <t>34302  ЗАДВИЖКИ Д-300 ЧУГ.</t>
  </si>
  <si>
    <t>34235  ЗАДВИЖКИ d=250 мм</t>
  </si>
  <si>
    <t>34234  ЗАДВИЖКИ d=250 мм</t>
  </si>
  <si>
    <t>34233  ЗАДВИЖКИ d=250 мм</t>
  </si>
  <si>
    <t>34232  ЗАДВИЖКИ d=250 мм</t>
  </si>
  <si>
    <t>34231  ЗАДВИЖКИ d=250 мм</t>
  </si>
  <si>
    <t>34230  ЗАДВИЖКИ d=250 мм</t>
  </si>
  <si>
    <t>34229  ЗАДВИЖКИ d=250 мм</t>
  </si>
  <si>
    <t>34228  ЗАДВИЖКИ d=250 мм</t>
  </si>
  <si>
    <t>34227  ЗАДВИЖКИ d=250 мм</t>
  </si>
  <si>
    <t>34131  ЗАДВИЖКА Д-800 ЧУГ.</t>
  </si>
  <si>
    <t>34130  ЗАДВИЖКА Д-800 ЧУГ.</t>
  </si>
  <si>
    <t>34129  ЗАДВИЖКА Д-800 ЧУГ.</t>
  </si>
  <si>
    <t>34128  ЗАДВИЖКА Д-800 ЧУГ.</t>
  </si>
  <si>
    <t>34127  ЗАДВИЖКА Д-800 ЧУГ.</t>
  </si>
  <si>
    <t>34126  ЗАДВИЖКА Д-800 ЧУГ.</t>
  </si>
  <si>
    <t>34125  ЗАДВИЖКА Д-800 ЧУГ.</t>
  </si>
  <si>
    <t>34124  ЗАДВИЖКА Д-800 СТ.</t>
  </si>
  <si>
    <t>34116  ЗАДВИЖКА Д-600 ЧУГ.</t>
  </si>
  <si>
    <t>34115  ЗАДВИЖКА Д-600 ЧУГ.</t>
  </si>
  <si>
    <t>34114  ЗАДВИЖКА Д-600 ЧУГ.</t>
  </si>
  <si>
    <t>34113  ЗАДВИЖКА Д-600 ЧУГ.</t>
  </si>
  <si>
    <t>34112  ЗАДВИЖКА Д-600 ЧУГ.</t>
  </si>
  <si>
    <t>34111  ЗАДВИЖКА Д-600 ЧУГ.</t>
  </si>
  <si>
    <t>34110  ЗАДВИЖКА Д-600 ЧУГ.</t>
  </si>
  <si>
    <t>34109  ЗАДВИЖКА Д-600 ЧУГ.</t>
  </si>
  <si>
    <t>34108  ЗАДВИЖКА Д-600 ЧУГ.</t>
  </si>
  <si>
    <t>34107  ЗАДВИЖКА Д-600 ЧУГ.</t>
  </si>
  <si>
    <t>34106  ЗАДВИЖКА Д-600 ЧУГ.</t>
  </si>
  <si>
    <t>34105  ЗАДВИЖКА Д-600 ЧУГ.</t>
  </si>
  <si>
    <t>34104  ЗАДВИЖКА Д-600 ЧУГ.</t>
  </si>
  <si>
    <t>34103  ЗАДВИЖКА Д-600 ЧУГ.</t>
  </si>
  <si>
    <t>34102  ЗАДВИЖКА Д-600 ЧУГ.</t>
  </si>
  <si>
    <t>34101  ЗАДВИЖКА Д-600 ЧУГ.</t>
  </si>
  <si>
    <t>34100  ЗАДВИЖКА Д-600 ЧУГ.</t>
  </si>
  <si>
    <t>34099  ЗАДВИЖКА Д-600 ЧУГ.</t>
  </si>
  <si>
    <t>34098  ЗАДВИЖКА Д-600 ЧУГ.</t>
  </si>
  <si>
    <t>34097  ЗАДВИЖКА Д-600 ЧУГ.</t>
  </si>
  <si>
    <t>34096  ЗАДВИЖКА Д-600 ЧУГ.</t>
  </si>
  <si>
    <t>34083  ЗАДВИЖКА Д-600 ЧУГ.</t>
  </si>
  <si>
    <t>34082  ЗАДВИЖКА Д-600 ЧУГ.</t>
  </si>
  <si>
    <t>34081  ЗАДВИЖКА Д-600 ЧУГ.</t>
  </si>
  <si>
    <t>34080  ЗАДВИЖКА Д-600 ЧУГ.</t>
  </si>
  <si>
    <t>34079  ЗАДВИЖКА Д-600 ЧУГ.</t>
  </si>
  <si>
    <t>34078  ЗАДВИЖКА Д-600 ЧУГ.</t>
  </si>
  <si>
    <t>34077  ЗАДВИЖКА Д-600 СТ.</t>
  </si>
  <si>
    <t>34076  ЗАДВИЖКА Д-600 СТ.</t>
  </si>
  <si>
    <t>34075  ЗАДВИЖКА Д-600 СТ.</t>
  </si>
  <si>
    <t>34074  ЗАДВИЖКА Д-600 СТ.</t>
  </si>
  <si>
    <t>34073  ЗАДВИЖКА Д-600 СТ.</t>
  </si>
  <si>
    <t>34072  ЗАДВИЖКА Д-500 ЧУГ.</t>
  </si>
  <si>
    <t>34071  ЗАДВИЖКА Д-500 ЧУГ.</t>
  </si>
  <si>
    <t>34070  ЗАДВИЖКА Д-500 ЧУГ.</t>
  </si>
  <si>
    <t>34069  ЗАДВИЖКА Д-500 ЧУГ.</t>
  </si>
  <si>
    <t>34068  ЗАДВИЖКА Д-500 ЧУГ.</t>
  </si>
  <si>
    <t>34067  ЗАДВИЖКА Д-500 ЧУГ.</t>
  </si>
  <si>
    <t>34066  ЗАДВИЖКА Д-500 ЧУГ.</t>
  </si>
  <si>
    <t>34065  ЗАДВИЖКА Д-500 ЧУГ.</t>
  </si>
  <si>
    <t>34032  ЗАДВИЖКА Д-500 ЧУГ.</t>
  </si>
  <si>
    <t>34031  ЗАДВИЖКА Д-500 ЧУГ.</t>
  </si>
  <si>
    <t>34030  ЗАДВИЖКА Д-500 СТ.</t>
  </si>
  <si>
    <t>34028  ЗАДВИЖКА Д-400 ЧУГ.</t>
  </si>
  <si>
    <t>34027  ЗАДВИЖКА Д-400 ЧУГ.</t>
  </si>
  <si>
    <t>34026  ЗАДВИЖКА Д-400 ЧУГ.</t>
  </si>
  <si>
    <t>34025  ЗАДВИЖКА Д-400 ЧУГ.</t>
  </si>
  <si>
    <t>34024  ЗАДВИЖКА Д-400 ЧУГ.</t>
  </si>
  <si>
    <t>34023  ЗАДВИЖКА Д-400 ЧУГ.</t>
  </si>
  <si>
    <t>34022  ЗАДВИЖКА Д-400 ЧУГ.</t>
  </si>
  <si>
    <t>34021  ЗАДВИЖКА Д-400 ЧУГ.</t>
  </si>
  <si>
    <t>34020  ЗАДВИЖКА Д-400 ЧУГ.</t>
  </si>
  <si>
    <t>34019  ЗАДВИЖКА Д-400 ЧУГ.</t>
  </si>
  <si>
    <t>34018  ЗАДВИЖКА Д-400 ЧУГ.</t>
  </si>
  <si>
    <t>34017  ЗАДВИЖКА Д-400 ЧУГ.</t>
  </si>
  <si>
    <t>34016  ЗАДВИЖКА Д-400 ЧУГ.</t>
  </si>
  <si>
    <t>34015  ЗАДВИЖКА Д-400 ЧУГ.</t>
  </si>
  <si>
    <t>34000  ЗАДВИЖКА Д-400 ЧУГ.</t>
  </si>
  <si>
    <t>33999  ЗАДВИЖКА Д-400 ЧУГ.</t>
  </si>
  <si>
    <t>33998  ЗАДВИЖКА Д-400 ЧУГ.</t>
  </si>
  <si>
    <t>33997  ЗАДВИЖКА Д-400 ЧУГ.</t>
  </si>
  <si>
    <t>33996  ЗАДВИЖКА Д-400 ЧУГ.</t>
  </si>
  <si>
    <t>33995  ЗАДВИЖКА Д-400 ЧУГ.</t>
  </si>
  <si>
    <t>33994  ЗАДВИЖКА Д-400 ЧУГ.</t>
  </si>
  <si>
    <t>33993  ЗАДВИЖКА Д-400 ЧУГ.</t>
  </si>
  <si>
    <t>33992  ЗАДВИЖКА Д-400 ЧУГ.</t>
  </si>
  <si>
    <t>33991  ЗАДВИЖКА Д-400 ЧУГ.</t>
  </si>
  <si>
    <t>33990  ЗАДВИЖКА Д-400 ЧУГ.</t>
  </si>
  <si>
    <t>33989  ЗАДВИЖКА Д-400 ЧУГ.</t>
  </si>
  <si>
    <t>33988  ЗАДВИЖКА Д-400 ЧУГ.</t>
  </si>
  <si>
    <t>33987  ЗАДВИЖКА Д-400 ЧУГ.</t>
  </si>
  <si>
    <t>33986  ЗАДВИЖКА Д-400 ЧУГ.</t>
  </si>
  <si>
    <t>33985  ЗАДВИЖКА Д-400 ЧУГ.</t>
  </si>
  <si>
    <t>33984  ЗАДВИЖКА Д-400 ЧУГ.</t>
  </si>
  <si>
    <t>33983  ЗАДВИЖКА Д-400 ЧУГ.</t>
  </si>
  <si>
    <t>33982  ЗАДВИЖКА Д-400 ЧУГ.</t>
  </si>
  <si>
    <t>33981  ЗАДВИЖКА Д-400 ЧУГ.</t>
  </si>
  <si>
    <t>33980  ЗАДВИЖКА Д-400 ЧУГ.</t>
  </si>
  <si>
    <t>33979  ЗАДВИЖКА Д-400 ЧУГ.</t>
  </si>
  <si>
    <t>33978  ЗАДВИЖКА Д-400 ЧУГ.</t>
  </si>
  <si>
    <t>33977  ЗАДВИЖКА Д-400 ЧУГ.</t>
  </si>
  <si>
    <t>33976  ЗАДВИЖКА Д-400 ЧУГ.</t>
  </si>
  <si>
    <t>33975  ЗАДВИЖКА Д-400 ЧУГ.</t>
  </si>
  <si>
    <t>33974  ЗАДВИЖКА Д-400 ЧУГ.</t>
  </si>
  <si>
    <t>33973  ЗАДВИЖКА Д-400 ЧУГ.</t>
  </si>
  <si>
    <t>33972  ЗАДВИЖКА Д-400 ЧУГ.</t>
  </si>
  <si>
    <t>33971  ЗАДВИЖКА Д-400 СТ.</t>
  </si>
  <si>
    <t>33970  ЗАДВИЖКА Д-400 СТ.</t>
  </si>
  <si>
    <t>33969  ЗАДВИЖКА Д-400 СТ.</t>
  </si>
  <si>
    <t>33968  ЗАДВИЖКА Д-300 ЧУГ.</t>
  </si>
  <si>
    <t>33967  ЗАДВИЖКА Д-300 ЧУГ.</t>
  </si>
  <si>
    <t>33966  ЗАДВИЖКА Д-300 ЧУГ.</t>
  </si>
  <si>
    <t>33965  ЗАДВИЖКА Д-300 ЧУГ.</t>
  </si>
  <si>
    <t>33964  ЗАДВИЖКА Д-300 ЧУГ.</t>
  </si>
  <si>
    <t>33963  ЗАДВИЖКА Д-300 ЧУГ.</t>
  </si>
  <si>
    <t>33962  ЗАДВИЖКА Д-300 ЧУГ.</t>
  </si>
  <si>
    <t>33961  ЗАДВИЖКА Д-300 ЧУГ.</t>
  </si>
  <si>
    <t>33960  ЗАДВИЖКА Д-300 ЧУГ.</t>
  </si>
  <si>
    <t>33959  ЗАДВИЖКА Д-300 ЧУГ.</t>
  </si>
  <si>
    <t>33958  ЗАДВИЖКА Д-300 ЧУГ.</t>
  </si>
  <si>
    <t>33957  ЗАДВИЖКА Д-300 ЧУГ.</t>
  </si>
  <si>
    <t>33956  ЗАДВИЖКА Д-300 ЧУГ.</t>
  </si>
  <si>
    <t>33955  ЗАДВИЖКА Д-300 ЧУГ.</t>
  </si>
  <si>
    <t>33954  ЗАДВИЖКА Д-300 ЧУГ.</t>
  </si>
  <si>
    <t>33953  ЗАДВИЖКА Д-300 ЧУГ.</t>
  </si>
  <si>
    <t>33952  ЗАДВИЖКА Д-300 ЧУГ.</t>
  </si>
  <si>
    <t>33951  ЗАДВИЖКА Д-300 ЧУГ.</t>
  </si>
  <si>
    <t>33950  ЗАДВИЖКА Д-300 ЧУГ.</t>
  </si>
  <si>
    <t>33949  ЗАДВИЖКА Д-300 ЧУГ.</t>
  </si>
  <si>
    <t>33948  ЗАДВИЖКА Д-300 ЧУГ.</t>
  </si>
  <si>
    <t>33947  ЗАДВИЖКА Д-300 ЧУГ.</t>
  </si>
  <si>
    <t>33946  ЗАДВИЖКА Д-300 ЧУГ.</t>
  </si>
  <si>
    <t>33931  ЗАДВИЖКА Д-300 СТ.</t>
  </si>
  <si>
    <t>33930  ЗАДВИЖКА Д-300 СТ.</t>
  </si>
  <si>
    <t>33929  ЗАДВИЖКА Д-300 СТ.</t>
  </si>
  <si>
    <t>33928  ЗАДВИЖКА Д-300 СТ.</t>
  </si>
  <si>
    <t>33927  ЗАДВИЖКА Д-200 ЧУГ.</t>
  </si>
  <si>
    <t>33926  ЗАДВИЖКА Д-200 ЧУГ.</t>
  </si>
  <si>
    <t>33925  ЗАДВИЖКА Д-200 ЧУГ.</t>
  </si>
  <si>
    <t>33924  ЗАДВИЖКА Д-200 ЧУГ.</t>
  </si>
  <si>
    <t>33923  ЗАДВИЖКА Д-200 ЧУГ.</t>
  </si>
  <si>
    <t>33922  ЗАДВИЖКА Д-200 ЧУГ.</t>
  </si>
  <si>
    <t>33921  ЗАДВИЖКА Д-200 ЧУГ.</t>
  </si>
  <si>
    <t>33920  ЗАДВИЖКА Д-200 ЧУГ.</t>
  </si>
  <si>
    <t>33919  ЗАДВИЖКА Д-200 ЧУГ.</t>
  </si>
  <si>
    <t>33918  ЗАДВИЖКА Д-200 ЧУГ.</t>
  </si>
  <si>
    <t>33917  ЗАДВИЖКА Д-200 ЧУГ.</t>
  </si>
  <si>
    <t>33916  ЗАДВИЖКА Д-200 ЧУГ.</t>
  </si>
  <si>
    <t>33915  ЗАДВИЖКА Д-200 ЧУГ.</t>
  </si>
  <si>
    <t>33914  ЗАДВИЖКА Д-200 ЧУГ.</t>
  </si>
  <si>
    <t>33913  ЗАДВИЖКА Д-200 ЧУГ.</t>
  </si>
  <si>
    <t>33912  ЗАДВИЖКА Д-200 ЧУГ.</t>
  </si>
  <si>
    <t>33911  ЗАДВИЖКА Д-200 ЧУГ.</t>
  </si>
  <si>
    <t>33910  ЗАДВИЖКА Д-200 ЧУГ.</t>
  </si>
  <si>
    <t>33909  ЗАДВИЖКА Д-200 ЧУГ.</t>
  </si>
  <si>
    <t>33908  ЗАДВИЖКА Д-200 ЧУГ.</t>
  </si>
  <si>
    <t>33907  ЗАДВИЖКА Д-200 ЧУГ.</t>
  </si>
  <si>
    <t>33906  ЗАДВИЖКА Д-200 ЧУГ.</t>
  </si>
  <si>
    <t>33905  ЗАДВИЖКА Д-200 ЧУГ.</t>
  </si>
  <si>
    <t>33904  ЗАДВИЖКА Д-200 ЧУГ.</t>
  </si>
  <si>
    <t>33903  ЗАДВИЖКА Д-200 ЧУГ.</t>
  </si>
  <si>
    <t>33902  ЗАДВИЖКА Д-200 ЧУГ.</t>
  </si>
  <si>
    <t>33901  ЗАДВИЖКА Д-200 ЧУГ.</t>
  </si>
  <si>
    <t>33900  ЗАДВИЖКА Д-200 ЧУГ.</t>
  </si>
  <si>
    <t>33899  ЗАДВИЖКА Д-200 ЧУГ.</t>
  </si>
  <si>
    <t>33898  ЗАДВИЖКА Д-200 ЧУГ.</t>
  </si>
  <si>
    <t>33897  ЗАДВИЖКА Д-200 ЧУГ.</t>
  </si>
  <si>
    <t>33896  ЗАДВИЖКА Д-200 ЧУГ.</t>
  </si>
  <si>
    <t>33895  ЗАДВИЖКА Д-200 ЧУГ.</t>
  </si>
  <si>
    <t>33894  ЗАДВИЖКА Д-200 ЧУГ.</t>
  </si>
  <si>
    <t>33893  ЗАДВИЖКА Д-200 ЧУГ.</t>
  </si>
  <si>
    <t>33892  ЗАДВИЖКА Д-200 ЧУГ.</t>
  </si>
  <si>
    <t>33891  ЗАДВИЖКА Д-200 ЧУГ.</t>
  </si>
  <si>
    <t>33890  ЗАДВИЖКА Д-200 ЧУГ.</t>
  </si>
  <si>
    <t>33889  ЗАДВИЖКА Д-200 ЧУГ.</t>
  </si>
  <si>
    <t>33888  ЗАДВИЖКА Д-200 ЧУГ.</t>
  </si>
  <si>
    <t>33887  ЗАДВИЖКА Д-200 ЧУГ.</t>
  </si>
  <si>
    <t>33886  ЗАДВИЖКА Д-200 ЧУГ.</t>
  </si>
  <si>
    <t>33851  ЗАДВИЖКА Д-200 СТ.</t>
  </si>
  <si>
    <t>33850  ЗАДВИЖКА Д-200 СТ.</t>
  </si>
  <si>
    <t>33849  ЗАДВИЖКА Д-200 СТ.</t>
  </si>
  <si>
    <t>33848  ЗАДВИЖКА Д-200 СТ.</t>
  </si>
  <si>
    <t>33847  ЗАДВИЖКА Д-200 СТ.</t>
  </si>
  <si>
    <t>33846  ЗАДВИЖКА Д-200 СТ.</t>
  </si>
  <si>
    <t>33845  ЗАДВИЖКА Д-200 СТ.</t>
  </si>
  <si>
    <t>33844  ЗАДВИЖКА Д-200 СТ.</t>
  </si>
  <si>
    <t>33843  ЗАДВИЖКА Д-200 СТ.</t>
  </si>
  <si>
    <t>33842  ЗАДВИЖКА Д-200 СТ.</t>
  </si>
  <si>
    <t>33841  ЗАДВИЖКА Д-200 СТ.</t>
  </si>
  <si>
    <t>33840  ЗАДВИЖКА Д-200 СТ.</t>
  </si>
  <si>
    <t>33839  ЗАДВИЖКА Д-200 СТ.</t>
  </si>
  <si>
    <t>33838  ЗАДВИЖКА Д-200 СТ.</t>
  </si>
  <si>
    <t>33837  ЗАДВИЖКА Д-200 СТ.</t>
  </si>
  <si>
    <t>33836  ЗАДВИЖКА Д-200 СТ.</t>
  </si>
  <si>
    <t>33835  ЗАДВИЖКА Д-200 СТ.</t>
  </si>
  <si>
    <t>33834  ЗАДВИЖКА Д-200 СТ.</t>
  </si>
  <si>
    <t>33833  ЗАДВИЖКА Д-200 СТ.</t>
  </si>
  <si>
    <t>33832  ЗАДВИЖКА Д-200 СТ.</t>
  </si>
  <si>
    <t>33831  ЗАДВИЖКА Д-200 СТ.</t>
  </si>
  <si>
    <t>33830  ЗАДВИЖКА Д-200 СТ.</t>
  </si>
  <si>
    <t>33829  ЗАДВИЖКА Д-200 СТ.</t>
  </si>
  <si>
    <t>33828  ЗАДВИЖКА Д-200 СТ.</t>
  </si>
  <si>
    <t>33827  ЗАДВИЖКА Д-200 СТ.</t>
  </si>
  <si>
    <t>33826  ЗАДВИЖКА Д-150 ЧУГ.</t>
  </si>
  <si>
    <t>33825  ЗАДВИЖКА Д-150 ЧУГ.</t>
  </si>
  <si>
    <t>33824  ЗАДВИЖКА Д-150 ЧУГ.</t>
  </si>
  <si>
    <t>33823  ЗАДВИЖКА Д-150 ЧУГ.</t>
  </si>
  <si>
    <t>33822  ЗАДВИЖКА Д-150 ЧУГ.</t>
  </si>
  <si>
    <t>33821  ЗАДВИЖКА Д-150 ЧУГ.</t>
  </si>
  <si>
    <t>33820  ЗАДВИЖКА Д-150 ЧУГ.</t>
  </si>
  <si>
    <t>33819  ЗАДВИЖКА Д-150 ЧУГ.</t>
  </si>
  <si>
    <t>33818  ЗАДВИЖКА Д-150 ЧУГ.</t>
  </si>
  <si>
    <t>33817  ЗАДВИЖКА Д-150 ЧУГ.</t>
  </si>
  <si>
    <t>33816  ЗАДВИЖКА Д-150 ЧУГ.</t>
  </si>
  <si>
    <t>33815  ЗАДВИЖКА Д-150 ЧУГ.</t>
  </si>
  <si>
    <t>33814  ЗАДВИЖКА Д-150 ЧУГ.</t>
  </si>
  <si>
    <t>33813  ЗАДВИЖКА Д-150 ЧУГ.</t>
  </si>
  <si>
    <t>33812  ЗАДВИЖКА Д-150 ЧУГ.</t>
  </si>
  <si>
    <t>33811  ЗАДВИЖКА Д-150 ЧУГ.</t>
  </si>
  <si>
    <t>33810  ЗАДВИЖКА Д-150 ЧУГ.</t>
  </si>
  <si>
    <t>33809  ЗАДВИЖКА Д-150 ЧУГ.</t>
  </si>
  <si>
    <t>33808  ЗАДВИЖКА Д-150 ЧУГ.</t>
  </si>
  <si>
    <t>33807  ЗАДВИЖКА Д-150 ЧУГ.</t>
  </si>
  <si>
    <t>33806  ЗАДВИЖКА Д-150 ЧУГ.</t>
  </si>
  <si>
    <t>33805  ЗАДВИЖКА Д-150 ЧУГ.</t>
  </si>
  <si>
    <t>33804  ЗАДВИЖКА Д-150 ЧУГ.</t>
  </si>
  <si>
    <t>33803  ЗАДВИЖКА Д-150 ЧУГ.</t>
  </si>
  <si>
    <t>33802  ЗАДВИЖКА Д-150 ЧУГ.</t>
  </si>
  <si>
    <t>33801  ЗАДВИЖКА Д-150 ЧУГ.</t>
  </si>
  <si>
    <t>33789  ЗАДВИЖКА Д-150 чуг.</t>
  </si>
  <si>
    <t>33666  ЗАДВИЖКА d=600мм</t>
  </si>
  <si>
    <t>33664  ЗАДВИЖКА d=600</t>
  </si>
  <si>
    <t>33663  ЗАДВИЖКА d=600</t>
  </si>
  <si>
    <t>33662  ЗАДВИЖКА d=600</t>
  </si>
  <si>
    <t>33661  ЗАДВИЖКА d=600</t>
  </si>
  <si>
    <t>33660  ЗАДВИЖКА d=600</t>
  </si>
  <si>
    <t>33659  ЗАДВИЖКА d=600</t>
  </si>
  <si>
    <t>33658  ЗАДВИЖКА d=600</t>
  </si>
  <si>
    <t>33657  ЗАДВИЖКА d=600</t>
  </si>
  <si>
    <t>33656  ЗАДВИЖКА d=600</t>
  </si>
  <si>
    <t>33655  ЗАДВИЖКА d=600</t>
  </si>
  <si>
    <t>33654  ЗАДВИЖКА d=600</t>
  </si>
  <si>
    <t>33649  ЗАДВИЖКА d=500 мм</t>
  </si>
  <si>
    <t>33646  ЗАДВИЖКА d=500</t>
  </si>
  <si>
    <t>33645  ЗАДВИЖКА d=500</t>
  </si>
  <si>
    <t>33644  ЗАДВИЖКА d=500</t>
  </si>
  <si>
    <t>33643  ЗАДВИЖКА d=500</t>
  </si>
  <si>
    <t>33642  ЗАДВИЖКА d=500</t>
  </si>
  <si>
    <t>33641  ЗАДВИЖКА d=500</t>
  </si>
  <si>
    <t>33640  ЗАДВИЖКА d=500</t>
  </si>
  <si>
    <t>33639  ЗАДВИЖКА d=500</t>
  </si>
  <si>
    <t>33601  ЗАДВИЖКА d=400</t>
  </si>
  <si>
    <t>33600  ЗАДВИЖКА d=400</t>
  </si>
  <si>
    <t>33599  ЗАДВИЖКА d=400</t>
  </si>
  <si>
    <t>33598  ЗАДВИЖКА d=400</t>
  </si>
  <si>
    <t>33570  ЗАДВИЖКА d=400</t>
  </si>
  <si>
    <t>33569  ЗАДВИЖКА d=400</t>
  </si>
  <si>
    <t>33568  ЗАДВИЖКА d=400</t>
  </si>
  <si>
    <t>33567  ЗАДВИЖКА d=400</t>
  </si>
  <si>
    <t>33561  ЗАДВИЖКА d=300</t>
  </si>
  <si>
    <t>33560  ЗАДВИЖКА d=300</t>
  </si>
  <si>
    <t>33559  ЗАДВИЖКА d=300</t>
  </si>
  <si>
    <t>33558  ЗАДВИЖКА d=300</t>
  </si>
  <si>
    <t>33549  ЗАДВИЖКА d=250</t>
  </si>
  <si>
    <t>33548  ЗАДВИЖКА d=250</t>
  </si>
  <si>
    <t>33547  ЗАДВИЖКА d=250</t>
  </si>
  <si>
    <t>33546  ЗАДВИЖКА d=250</t>
  </si>
  <si>
    <t>33545  ЗАДВИЖКА d=250</t>
  </si>
  <si>
    <t>33508  ЗАДВИЖКА d=150</t>
  </si>
  <si>
    <t>33507  ЗАДВИЖКА d=150</t>
  </si>
  <si>
    <t>33506  ЗАДВИЖКА d=150</t>
  </si>
  <si>
    <t>33505  ЗАДВИЖКА d=150</t>
  </si>
  <si>
    <t>33429  ЗАДВИЖКА  Д-150 СТ.</t>
  </si>
  <si>
    <t>33428  ЗАДВИЖКА  Д-150 СТ.</t>
  </si>
  <si>
    <t>33427  ЗАДВИЖКА  Д-150 СТ.</t>
  </si>
  <si>
    <t>33426  ЗАДВИЖКА  Д-150 СТ.</t>
  </si>
  <si>
    <t>33425  ЗАДВИЖКА  Д-150 СТ.</t>
  </si>
  <si>
    <t>33424  ЗАДВИЖКА  Д-150 СТ.</t>
  </si>
  <si>
    <t>33423  ЗАДВИЖКА  Д-150 СТ.</t>
  </si>
  <si>
    <t>33422  ЗАДВИЖКА  Д-150 СТ.</t>
  </si>
  <si>
    <t>33421  ЗАДВИЖКА  Д-150 СТ.</t>
  </si>
  <si>
    <t>33420  ЗАДВИЖКА  Д-150 СТ.</t>
  </si>
  <si>
    <t>33419  ЗАДВИЖКА  Д-150 СТ.</t>
  </si>
  <si>
    <t>33418  ЗАДВИЖКА  Д-150 СТ.</t>
  </si>
  <si>
    <t>33417  ЗАДВИЖКА  Д-150 СТ.</t>
  </si>
  <si>
    <t>33416  ЗАДВИЖКА  Д-150 СТ.</t>
  </si>
  <si>
    <t>33415  ЗАДВИЖКА  Д-150 СТ.</t>
  </si>
  <si>
    <t>33414  ЗАДВИЖКА  Д-150 СТ.</t>
  </si>
  <si>
    <t>33413  ЗАДВИЖКА  Д-150 СТ.</t>
  </si>
  <si>
    <t>33412  ЗАДВИЖКА  Д-150 СТ.</t>
  </si>
  <si>
    <t>33411  ЗАДВИЖКА  Д-150 СТ.</t>
  </si>
  <si>
    <t>33410  ЗАДВИЖКА  Д-150 СТ.</t>
  </si>
  <si>
    <t>33409  ЗАДВИЖКА  Д-150 СТ.</t>
  </si>
  <si>
    <t>33408  ЗАДВИЖКА  Д-150 СТ.</t>
  </si>
  <si>
    <t>33407  ЗАДВИЖКА  Д-150 СТ.</t>
  </si>
  <si>
    <t>33406  ЗАДВИЖКА  Д-150 СТ.</t>
  </si>
  <si>
    <t>33405  ЗАДВИЖКА  Д-150 СТ.</t>
  </si>
  <si>
    <t>33404  ЗАДВИЖКА  Д-150 СТ.</t>
  </si>
  <si>
    <t>33403  ЗАДВИЖКА  Д-150 СТ.</t>
  </si>
  <si>
    <t>33402  ЗАДВИЖКА  Д-150 СТ.</t>
  </si>
  <si>
    <t>33401  ЗАДВИЖКА  Д-150 СТ.</t>
  </si>
  <si>
    <t>33400  ЗАДВИЖКА  Д-150 СТ.</t>
  </si>
  <si>
    <t>33399  ЗАДВИЖКА  Д-150 СТ.</t>
  </si>
  <si>
    <t>33398  ЗАДВИЖКА  Д-150 СТ.</t>
  </si>
  <si>
    <t>33397  ЗАДВИЖКА  Д-150 СТ.</t>
  </si>
  <si>
    <t>33396  ЗАДВИЖКА  Д-150 СТ.</t>
  </si>
  <si>
    <t>33395  ЗАДВИЖКА  Д-150 СТ.</t>
  </si>
  <si>
    <t>33394  ЗАДВИЖКА  Д-150 СТ.</t>
  </si>
  <si>
    <t>33393  ЗАДВИЖКА  Д-150 СТ.</t>
  </si>
  <si>
    <t>33392  ЗАДВИЖКА  Д-150 СТ.</t>
  </si>
  <si>
    <t>33391  ЗАДВИЖКА  Д-150 СТ.</t>
  </si>
  <si>
    <t>33390  ЗАДВИЖКА  Д-150 СТ.</t>
  </si>
  <si>
    <t>33389  ЗАДВИЖКА  Д-150 СТ.</t>
  </si>
  <si>
    <t>33388  ЗАДВИЖКА  Д-150 СТ.</t>
  </si>
  <si>
    <t>33387  ЗАДВИЖКА  Д-150 СТ.</t>
  </si>
  <si>
    <t>33386  ЗАДВИЖКА  Д-150 СТ.</t>
  </si>
  <si>
    <t>33385  ЗАДВИЖКА  Д-150 СТ.</t>
  </si>
  <si>
    <t>33384  ЗАДВИЖКА  Д-150 СТ.</t>
  </si>
  <si>
    <t>33383  ЗАДВИЖКА  Д-150 СТ.</t>
  </si>
  <si>
    <t>31404  ЗАДВИЖКА d=400</t>
  </si>
  <si>
    <t>31403  ЗАДВИЖКА d=500</t>
  </si>
  <si>
    <t>31402  ЗАДВИЖКА d=600</t>
  </si>
  <si>
    <t>26894  ВОДОПРОВОД Д-150 ЧУГ.</t>
  </si>
  <si>
    <t>20996  СЕТИ ВОДОПРОВОДНЫЕ ТРУБЫ ЧУГУННЫЕ</t>
  </si>
  <si>
    <t>11519  ЗАДВИЖКА Д-600 ЧУГ.</t>
  </si>
  <si>
    <t>11518  ЗАДВИЖКА Д-500 ЧУГ.</t>
  </si>
  <si>
    <t>11517  ЗАДВИЖКА Д-300 ЧУГ.</t>
  </si>
  <si>
    <t>11516  ЗАДВИЖКА Д-300 ЧУГ.</t>
  </si>
  <si>
    <t>11515  ЗАДВИЖКА Д-200 ЧУГ.</t>
  </si>
  <si>
    <t>11514  ЗАДВИЖКА Д-200 ЧУГ.</t>
  </si>
  <si>
    <t>11513  ЗАДВИЖКА Д-150 ЧУГ.</t>
  </si>
  <si>
    <t>11512  ЗАДВИЖКА Д-150 ЧУГ.</t>
  </si>
  <si>
    <t>11511  ЗАДВИЖКА Д-100 ЧУГ.</t>
  </si>
  <si>
    <t>11510  ЗАДВИЖКА Д-100 ЧУГ.</t>
  </si>
  <si>
    <t>11509  ЗАДВИЖКА Д-600 ЧУГ.</t>
  </si>
  <si>
    <t>11508  ЗАДВИЖКА Д-600 ЧУГ.</t>
  </si>
  <si>
    <t>11507  ЗАДВИЖКА Д-500 ЧУГ.</t>
  </si>
  <si>
    <t>11506  ЗАДВИЖКА Д-500 ЧУГ.</t>
  </si>
  <si>
    <t>11505  ЗАДВИЖКА Д-400 ЧУГ.</t>
  </si>
  <si>
    <t>11504  ЗАДВИЖКА Д-400 ЧУГ.</t>
  </si>
  <si>
    <t>11503  ЗАДВИЖКА Д-300 ЧУГ.</t>
  </si>
  <si>
    <t>11502  ЗАДВИЖКА Д-300 ЧУГ.</t>
  </si>
  <si>
    <t>11501  ЗАДВИЖКА Д-200 ЧУГ.</t>
  </si>
  <si>
    <t>11500  ЗАДВИЖКА Д-150 ЧУГ.</t>
  </si>
  <si>
    <t>11499  ЗАДВИЖКА Д-100 ЧУГ.</t>
  </si>
  <si>
    <t>11498  ЗАДВИЖКА Д-100 ЧУГ.</t>
  </si>
  <si>
    <t>11497  ЗАДВИЖКА Д-100 ЧУГ.</t>
  </si>
  <si>
    <t>город Калуга, переулок Пестеля 2-й,</t>
  </si>
  <si>
    <t>11477  ВОДОПРОВОД ЧВР ст. сад (от 2 пер.Пестеля до кот.)</t>
  </si>
  <si>
    <t>город Калуга, улица Вишневского, д.15</t>
  </si>
  <si>
    <t>11476  ВОДОПРОВОД ЧВР Вишневского, 15</t>
  </si>
  <si>
    <t>г.Калуга Ленинский р-н ул.Хрустальная</t>
  </si>
  <si>
    <t>11475  ВОДОПРОВОД СЕТ.</t>
  </si>
  <si>
    <t>11474  ВОДОПРОВОД  ТЕХНИЧ. Д-500-600 СТ.</t>
  </si>
  <si>
    <t>г.Калуга Московский р-н ТЕРЕПЕЦКАЯ ВЕТ.ЛАБОРАТОРИЯ</t>
  </si>
  <si>
    <t>11472  ВОДОПРОВОД СЕТ. D=100</t>
  </si>
  <si>
    <t>11470  СЕТИ ВОДОПРОВОДА Д-150 чуг.</t>
  </si>
  <si>
    <t>г.Калуга Октябрьский р-н Тарутинская прачечная №1</t>
  </si>
  <si>
    <t>11469  СЕТИ ВОДОПРОВОДА Д-150 чуг.</t>
  </si>
  <si>
    <t>11251  ВОДОПРОВОД Д-100 ЧУГ.</t>
  </si>
  <si>
    <t>11250  ВОДОПРОВОД Д-100 ЧУГ.</t>
  </si>
  <si>
    <t>город Калуга, улица Кибальчича, д.7</t>
  </si>
  <si>
    <t>11249  ВОДОПРОВОД Д-100 ЧУГ.</t>
  </si>
  <si>
    <t>11248  ВОДОПРОВОД Д-100 ЧУГ.</t>
  </si>
  <si>
    <t>11246  ВОДОПРОВОД Д-600 ЧУГ.</t>
  </si>
  <si>
    <t>город Калуга, улица Молодежная, д.5а</t>
  </si>
  <si>
    <t>11245  ВОДОПРОВОД Д-100 чуг.</t>
  </si>
  <si>
    <t>11244  ВОДОПРОВОД Ст.Разина, 7</t>
  </si>
  <si>
    <t>11237  ВОДОПРОВОД В ДЕРЕВНЕ МСТИХИНО</t>
  </si>
  <si>
    <t>11234  ВОДОПРОВОД Д-65 чуг.</t>
  </si>
  <si>
    <t>11233  ВОДОПРОВОД ул. С-Щедрина</t>
  </si>
  <si>
    <t>город Калуга, улица Терепецкая</t>
  </si>
  <si>
    <t>11207  ВОДОПРОВОД Д-426-500 СТ.</t>
  </si>
  <si>
    <t>город Калуга, улица Тульская, д.139</t>
  </si>
  <si>
    <t>11206  ВОДОПРОВОД ул. Тульская, 139</t>
  </si>
  <si>
    <t>11205  ВОДОПРОВОД ул. Тульская, 139</t>
  </si>
  <si>
    <t>11199  УРОВНОМЕР ДУЕ-10</t>
  </si>
  <si>
    <t>11195  СЕТИ ПИТЬЕВОЙ ВОДЫ  Д-150 ЧУГ.</t>
  </si>
  <si>
    <t>г.Калуга Московский р-н Северный</t>
  </si>
  <si>
    <t>11183  ВОДОПРОВОД Д-100 СТ.</t>
  </si>
  <si>
    <t>11035  ОГРАЖДЕНИЕ ИЗ Ж/Б ПЛИТ</t>
  </si>
  <si>
    <t>11034 АВТОДОРОГА С ТВЕРДЫМ ПОКРЫТИЕМ</t>
  </si>
  <si>
    <t>10927  СБОРНОЙ ВОДОВОД</t>
  </si>
  <si>
    <t>10581  ЗАДВИЖКИ ЧВР ТР-Е d=100</t>
  </si>
  <si>
    <t>10580  ЗАДВИЖКИ ЧВР ТР-Е d =150</t>
  </si>
  <si>
    <t>10579  ЗАДВИЖКИ ЧВР ТР-Е d=200</t>
  </si>
  <si>
    <t>10578  ЗАДВИЖКИ ЧВР ТР-Е d=250</t>
  </si>
  <si>
    <t>10577  ЗАДВИЖКИ ЧВР ТР-Е d=300</t>
  </si>
  <si>
    <t>10576  ЗАДВИЖКИ ЧВР ТР-Е d=400</t>
  </si>
  <si>
    <t>10575  ЗАДВИЖКИ УСТАНОВЛ. d=500</t>
  </si>
  <si>
    <t>10574  ЗАДВИЖКА d=150</t>
  </si>
  <si>
    <t>10573  ЗАДВИЖКА d=250</t>
  </si>
  <si>
    <t>10572  ЗАДВИЖКА d=300</t>
  </si>
  <si>
    <t>10570  ЗАДВИЖКА d=400</t>
  </si>
  <si>
    <t>10569  ЗАДВИЖКА d=500</t>
  </si>
  <si>
    <t>10568  ЗАДВИЖКА d=600</t>
  </si>
  <si>
    <t>10566  ЗАДВИЖКИ НА СТ.ТРУБ-Х d=800</t>
  </si>
  <si>
    <t>10565  ЗАДВИЖКИ УСТАНОВЛ.d=1000</t>
  </si>
  <si>
    <t>10564  ВОДОПРОВОД ЧВР</t>
  </si>
  <si>
    <t>10563  ВОДОПРОВОД СТАЛЬНОЙ</t>
  </si>
  <si>
    <t>10559  ЗАДВИЖКА d=500</t>
  </si>
  <si>
    <t>10557  ВОДОПРОВОД ЧВР</t>
  </si>
  <si>
    <t>10556  ВОДОСНАБЖ.ЧВР Ж.Д.УЗЛА КАЛУГА-I</t>
  </si>
  <si>
    <t>10553  ВОДОПРОВОД ЧВР</t>
  </si>
  <si>
    <t>10551  ВОДОПРОВОД СТ. D-89 мм</t>
  </si>
  <si>
    <t>10550  ЗАДВИЖКА d=300</t>
  </si>
  <si>
    <t>10546  ЗАДВИЖКИ d=250 мм</t>
  </si>
  <si>
    <t>10543  ЗАДВИЖКА d=500 мм</t>
  </si>
  <si>
    <t>10541  ЗАДВИЖКА Д-300 чуг.</t>
  </si>
  <si>
    <t>10507  ЗАДВИЖКА Д-150 чуг.</t>
  </si>
  <si>
    <t>10506  ЗАДВИЖКА Д-150 чуг.</t>
  </si>
  <si>
    <t>10505  ЗАДВИЖКА Д-100 чуг.</t>
  </si>
  <si>
    <t>город Калуга, улица Песчаная,</t>
  </si>
  <si>
    <t>10504  ВОДОПРОВОД Д-300 чуг.</t>
  </si>
  <si>
    <t>248009,Калужская обл,Калуга г,Грабцевское шоссе ул</t>
  </si>
  <si>
    <t>10503  ВОДОВОД Д-500 чуг.</t>
  </si>
  <si>
    <t>г.Калуга,Октябрьский округ</t>
  </si>
  <si>
    <t>10502  ВОДОПРОВОД Д-530 ст.</t>
  </si>
  <si>
    <t>город Калуга, улица Маяковского</t>
  </si>
  <si>
    <t>10501  Водопроводная сеть по ул.Маяковского г.Калуга</t>
  </si>
  <si>
    <t>город Калуга,2-й Городской проезд</t>
  </si>
  <si>
    <t>10500  Водопроводная сеть по 2-му Городскому проезду г.Калуги</t>
  </si>
  <si>
    <t>10438  ВОДОПРОВОД ЧВР</t>
  </si>
  <si>
    <t>10433  ВОДОПРОВОД ЧВР</t>
  </si>
  <si>
    <t>10432  ВОДОПРОВОД ЧВР К 143 кв.ж.д.</t>
  </si>
  <si>
    <t>10431  ВОДОПРОВОД ЧВР</t>
  </si>
  <si>
    <t>10430  ВОДОПРОВОД ЧВР</t>
  </si>
  <si>
    <t>10321  ВОДОВОД Д-300 СТ.</t>
  </si>
  <si>
    <t>10320  ВОДОВОД 2/Д-600 СТ.</t>
  </si>
  <si>
    <t>10319  ВОДОВОД Д-150 ЧУГ.</t>
  </si>
  <si>
    <t>10318  ВОДОВОД Д-150 СТ.</t>
  </si>
  <si>
    <t>10317  ЗАДВИЖКА Д-800 ЧУГ.</t>
  </si>
  <si>
    <t>10316  ВОДОПРОВОД Д-800 СТ.</t>
  </si>
  <si>
    <t>10315  ВОДОПРОВОД D-400 СТ.</t>
  </si>
  <si>
    <t>10314  ЗАДВИЖКА Д-800 ЧУГ.</t>
  </si>
  <si>
    <t>10313  ЗАДВИЖКА Д-600 ЧУГ.</t>
  </si>
  <si>
    <t>10312  ЗАДВИЖКА Д-500 ЧУГ.</t>
  </si>
  <si>
    <t>10311  ЗАДВИЖКА Д-400 ЧУГ.</t>
  </si>
  <si>
    <t>10310  ЗАДВИЖКИ Д-300 ЧУГ.</t>
  </si>
  <si>
    <t>10309  ЗАДВИЖКА Д-200 ЧУГ.</t>
  </si>
  <si>
    <t>10308  ЗАДВИЖКА Д-150 ЧУГ.</t>
  </si>
  <si>
    <t>10307  ЗАДВИЖКА Д-100 ЧУГ.</t>
  </si>
  <si>
    <t>10306  ЗАДВИЖКА Д-800 СТ.</t>
  </si>
  <si>
    <t>10305  ЗАДВИЖКА Д-600 СТ.</t>
  </si>
  <si>
    <t>10304  ЗАДВИЖКА Д-500 СТ.</t>
  </si>
  <si>
    <t>10303  ЗАДВИЖКА Д-400 СТ.</t>
  </si>
  <si>
    <t>10302  ЗАДВИЖКА Д-300 СТ.</t>
  </si>
  <si>
    <t>10301  ЗАДВИЖКА Д-200 СТ.</t>
  </si>
  <si>
    <t>10300  ЗАДВИЖКА  Д-150 СТ.</t>
  </si>
  <si>
    <t>10299  ЗАДВИЖКА Д-100 СТ.</t>
  </si>
  <si>
    <t>10179  ЗАДВИЖКИ Д-300 ЧУГ.</t>
  </si>
  <si>
    <t>Цех транспортировки воды и повысительных насосных станций</t>
  </si>
  <si>
    <t>Всети</t>
  </si>
  <si>
    <t>47441 Сеть водоснабжения_подвод сети ВС с территории Северного ВЗУ для заправки машин водой_d63 L100</t>
  </si>
  <si>
    <t xml:space="preserve">47441    </t>
  </si>
  <si>
    <t>47396 Насос ЭЦВ 10-65-150 (нро) агрегат 37кВт (ЛН) на арт.скв. №22 Северный й в/з</t>
  </si>
  <si>
    <t xml:space="preserve">47396    </t>
  </si>
  <si>
    <t>47051 Насос ЭЦВ 8-40-120 (ЛН) на арт.скв. №11а Северный в/з Калуга</t>
  </si>
  <si>
    <t xml:space="preserve">47051    </t>
  </si>
  <si>
    <t>46950 Сеть водоотведения станции очистки питьевой воды  д Григоровка г. Калуга L6п.м.</t>
  </si>
  <si>
    <t xml:space="preserve">46950    </t>
  </si>
  <si>
    <t>46949 Сеть водоснабжения станции очистки питьевой воды д. Григоровка г. Калуга L-34п.м.</t>
  </si>
  <si>
    <t xml:space="preserve">46949    </t>
  </si>
  <si>
    <t>46948 Блок управления, автоматизации, диспетчеризации станции очистки питьевой воды д. Григоровка г.</t>
  </si>
  <si>
    <t xml:space="preserve">46948    </t>
  </si>
  <si>
    <t>46947 Технологическое оборудование станции очистки питьевой воды д. Григоровка г. Калуга</t>
  </si>
  <si>
    <t xml:space="preserve">46947    </t>
  </si>
  <si>
    <t>46946 Блок-контейнер станции очистки питьевой воды  д. Григоровка г. Калуга</t>
  </si>
  <si>
    <t xml:space="preserve">46946    </t>
  </si>
  <si>
    <t>46945 Фундамент станции очистки питьевой воды д. Григоровка г. Калуга</t>
  </si>
  <si>
    <t xml:space="preserve">46945    </t>
  </si>
  <si>
    <t>ППАаз291 _Горуправа_Договор аренды 448/22 от 26.09.2022_кадастровый номер_40:25:000044:1130</t>
  </si>
  <si>
    <t>26.09.2022</t>
  </si>
  <si>
    <t xml:space="preserve"> ППАаз291</t>
  </si>
  <si>
    <t>46284 Насос (агрегат) ЭЦВ 8-25-150 Северный в-р</t>
  </si>
  <si>
    <t xml:space="preserve">46284    </t>
  </si>
  <si>
    <t>46279 Насос (агрегат) ЭЦВ 6-10-140 Северный в-р</t>
  </si>
  <si>
    <t xml:space="preserve">46279    </t>
  </si>
  <si>
    <t>45355_Артезианская скважина г.Калуга, д.Григоровка</t>
  </si>
  <si>
    <t xml:space="preserve">45355_   </t>
  </si>
  <si>
    <t>45354_Водонапорная башня Рожновского д.Починки (объем 15 м3)</t>
  </si>
  <si>
    <t xml:space="preserve">45354_   </t>
  </si>
  <si>
    <t>45353_Насосная станция г.Калуга д.Починки</t>
  </si>
  <si>
    <t xml:space="preserve">45353_   </t>
  </si>
  <si>
    <t>45352_Насосная станция г.Калуга д.Доможирово - д.Груздово</t>
  </si>
  <si>
    <t xml:space="preserve">45352_   </t>
  </si>
  <si>
    <t>45351_Насосная станция г.Калуга д.Григоровка</t>
  </si>
  <si>
    <t xml:space="preserve">45351_   </t>
  </si>
  <si>
    <t>45350_Водонапорная башня Рожновского д.Григоровка (объем 25 м3)</t>
  </si>
  <si>
    <t xml:space="preserve">45350_   </t>
  </si>
  <si>
    <t>45349_Водонапорная башня Рожновского д.Доможирово-д.Груздово (объем 20 м3)</t>
  </si>
  <si>
    <t xml:space="preserve">45349_   </t>
  </si>
  <si>
    <t>Калужская область, г.Калуга, д.Починки</t>
  </si>
  <si>
    <t>44758_Артезианская скважина г.Калуга, д.Починки</t>
  </si>
  <si>
    <t xml:space="preserve">44758_   </t>
  </si>
  <si>
    <t>Калужская область, г.Калуга, д.Косарево</t>
  </si>
  <si>
    <t>приказ МЭР №1512-п от 09.09.2020г.</t>
  </si>
  <si>
    <t>44680_Водонапорная башня Рожновского г.Калуга, д.Косарево</t>
  </si>
  <si>
    <t xml:space="preserve">44680_   </t>
  </si>
  <si>
    <t>Калужская область, г.Калуга, с.Муратовка, ул.Малая Лесная</t>
  </si>
  <si>
    <t>44539_Артезианская скважина г.Калуга, с.Муратовка, ул.Малая Лесная</t>
  </si>
  <si>
    <t xml:space="preserve">44539_   </t>
  </si>
  <si>
    <t>Постановка на баланс ОС в связи с тех.ошибкой</t>
  </si>
  <si>
    <t>10837_Артскважина №4а (разведочно-эксплуатационная скважина)_д.Тимошево, глуб.53,5 м</t>
  </si>
  <si>
    <t xml:space="preserve">10837_   </t>
  </si>
  <si>
    <t>Калужская обл, г.Калуга, д.Тимашево, Северный водозабор</t>
  </si>
  <si>
    <t>10588_Артскважина №11 (разведочно-эксплуатационная скважина №13646) р-н д.Тимашево, глуб.</t>
  </si>
  <si>
    <t xml:space="preserve">10588_   </t>
  </si>
  <si>
    <t>ППАаз120 _Калуга МЭР_Договор аренды 347 от 18.09.2015_кадастровый номер_40:25:000005:4</t>
  </si>
  <si>
    <t xml:space="preserve"> ППАаз120</t>
  </si>
  <si>
    <t>ППАаз116 _Калуга МЭР_Договор аренды 327 от 30.07.2015_кадастровый номер_40:25:000072:255</t>
  </si>
  <si>
    <t xml:space="preserve"> ППАаз116</t>
  </si>
  <si>
    <t>ППАаз115 _Калуга МЭР_Договор аренды 325 от 10.07.2015_кадастровый номер_40:25:000063:94</t>
  </si>
  <si>
    <t xml:space="preserve"> ППАаз115</t>
  </si>
  <si>
    <t>ППАаз113 _Калуга МЭР_Договор аренды 321 от 03.07.2015_кадастровый номер_40:25:000069:11</t>
  </si>
  <si>
    <t xml:space="preserve"> ППАаз113</t>
  </si>
  <si>
    <t>ППАаз105 _Калуга МЭР_Договор аренды 114/09 от 06.02.2009_кадастровый номер_40:25:000124:202</t>
  </si>
  <si>
    <t xml:space="preserve"> ППАаз105</t>
  </si>
  <si>
    <t>ППАаз104 _Калуга МЭР_Договор аренды 113/09 от 06.02.2009_кадастровый номер_40:25:000135:281</t>
  </si>
  <si>
    <t xml:space="preserve"> ППАаз104</t>
  </si>
  <si>
    <t>ППАаз103 _Калуга МЭР_Договор аренды 111/09 от 06.02.2009_кадастровый номер_40:25:000092:189</t>
  </si>
  <si>
    <t xml:space="preserve"> ППАаз103</t>
  </si>
  <si>
    <t>ППАаз102 _Калуга МЭР_Договор аренды 110/09 от 06.02.2009_кадастровый номер_40:25:000132:323</t>
  </si>
  <si>
    <t xml:space="preserve"> ППАаз102</t>
  </si>
  <si>
    <t>ППАаз101 _Калуга МЭР_Договор аренды 109/09 от 04.02.2009_кадастровый номер_40:25:000092:190</t>
  </si>
  <si>
    <t xml:space="preserve"> ППАаз101</t>
  </si>
  <si>
    <t>ППАаз100 _Калуга МЭР_Договор аренды 108/09 от 04.02.2009_кадастровый номер_40:25:000092:188</t>
  </si>
  <si>
    <t xml:space="preserve"> ППАаз100</t>
  </si>
  <si>
    <t>ППАаз099 _Калуга МЭР_Договор аренды 107/09 от 04.02.2009_кадастровый номер_40:25:000092:436</t>
  </si>
  <si>
    <t xml:space="preserve"> ППАаз099</t>
  </si>
  <si>
    <t>ППАаз098 _Калуга МЭР_Договор аренды 105/09 от 04.02.2009_кадастровый номер_40:25:000135:278</t>
  </si>
  <si>
    <t xml:space="preserve"> ППАаз098</t>
  </si>
  <si>
    <t>ППАаз097 _Калуга МЭР_Договор аренды 104/09 от 04.02.2009_кадастровый номер_40:25:000135:280</t>
  </si>
  <si>
    <t xml:space="preserve"> ППАаз097</t>
  </si>
  <si>
    <t>ППАаз096 _Калуга МЭР_Договор аренды 103/09 от 04.02.2009_кадастровый номер_40:25:000135:279</t>
  </si>
  <si>
    <t xml:space="preserve"> ППАаз096</t>
  </si>
  <si>
    <t>ППАаз095 _Калуга МЭР_Договор аренды 102/09 от 04.02.2009_кадастровый номер_40:25:000034:18</t>
  </si>
  <si>
    <t xml:space="preserve"> ППАаз095</t>
  </si>
  <si>
    <t>ООО "КПМ" дог.Т/1957-ЕД от 16.09.2021</t>
  </si>
  <si>
    <t>45943 Трансформатор сухой ТСЗ-630/10 УЗ</t>
  </si>
  <si>
    <t>09.12.2021</t>
  </si>
  <si>
    <t xml:space="preserve">45943    </t>
  </si>
  <si>
    <t>45972 Водопроводная сеть от скважины №2 до станции водоочистки д.Жерело L26м</t>
  </si>
  <si>
    <t xml:space="preserve">45972    </t>
  </si>
  <si>
    <t>45971 Артезианская скважина д.Жерело г. Калуга_125 м</t>
  </si>
  <si>
    <t xml:space="preserve">45971    </t>
  </si>
  <si>
    <t>45910 Ограждение скважины и станции водоочистки в д.Жерело</t>
  </si>
  <si>
    <t xml:space="preserve">45910    </t>
  </si>
  <si>
    <t xml:space="preserve">ООО "ПРИВОД ПЛЮС" по дог.Т/1872-ЕД от 29.06.2021 </t>
  </si>
  <si>
    <t>45854 Преобразователь частоты FC-202N315T4E54H4XGC</t>
  </si>
  <si>
    <t>26.11.2021</t>
  </si>
  <si>
    <t xml:space="preserve">45854    </t>
  </si>
  <si>
    <t>45832 Насос ЭЦВ 12-160-100 (нро) агрегат 55кВт (ЛН)</t>
  </si>
  <si>
    <t>03.11.2021</t>
  </si>
  <si>
    <t xml:space="preserve">45832    </t>
  </si>
  <si>
    <t>45831 Насос ЭЦВ 10-120-100 (нро) агрегат 45кВт (ЛН)</t>
  </si>
  <si>
    <t xml:space="preserve">45831    </t>
  </si>
  <si>
    <t>ООО "ГК ПрофЭлектроДрайв" по дог.Т/1894-ЕД от 29.0</t>
  </si>
  <si>
    <t>45673 Насос К 200-150-250 30кВт</t>
  </si>
  <si>
    <t>10.09.2021</t>
  </si>
  <si>
    <t xml:space="preserve">45673    </t>
  </si>
  <si>
    <t>45672 Насос К 200-150-250 30кВт</t>
  </si>
  <si>
    <t xml:space="preserve">45672    </t>
  </si>
  <si>
    <t>сч№ 812/4 от 03.08.21г</t>
  </si>
  <si>
    <t>45634 Агрегат погружной ЭЦВ 4-4-140</t>
  </si>
  <si>
    <t>17.08.2021</t>
  </si>
  <si>
    <t xml:space="preserve">45634    </t>
  </si>
  <si>
    <t>45629 Сети водоотведения станции водоочистки д.Жерело г. Калуга D63 L5п.м</t>
  </si>
  <si>
    <t xml:space="preserve">45629    </t>
  </si>
  <si>
    <t>45628 Сети водоснабжения станции очистки д.Жерело г. Калуга ПЭ L=10 п.м.</t>
  </si>
  <si>
    <t xml:space="preserve">45628    </t>
  </si>
  <si>
    <t>45627 Блок управления, автоматизации, диспетчеризации станции очистки питьевой воды д.Жере</t>
  </si>
  <si>
    <t xml:space="preserve">45627    </t>
  </si>
  <si>
    <t>45626 Технологическое оборудование станции водоподготовки в д.Жерело г. Калуга</t>
  </si>
  <si>
    <t xml:space="preserve">45626    </t>
  </si>
  <si>
    <t>45625 Блок-контейнер станции водоподготовки в д.Жерело г. Калуга</t>
  </si>
  <si>
    <t xml:space="preserve">45625    </t>
  </si>
  <si>
    <t>45624 Фундамент станции очистки питьевой воды д.Жерело г.Калуга</t>
  </si>
  <si>
    <t xml:space="preserve">45624    </t>
  </si>
  <si>
    <t>7361/ПР от 06.07.2021</t>
  </si>
  <si>
    <t>45549 Расходомер АКРОН-01 с блоком токового выхода и блоком интерфейса RS-232</t>
  </si>
  <si>
    <t>06.07.2021</t>
  </si>
  <si>
    <t xml:space="preserve">45549    </t>
  </si>
  <si>
    <t>ПАО "Ростелеком" дог.Т/1079-ЭК от 06.05.2020</t>
  </si>
  <si>
    <t>45643 Шкаф управления ШСКВ-6k3-1f-16A-DS (UPS, ПЧ)_для насоса до 6,3 кВт</t>
  </si>
  <si>
    <t>01.07.2021</t>
  </si>
  <si>
    <t xml:space="preserve">45643    </t>
  </si>
  <si>
    <t>45642 Шкаф управления ШДиК с UPS</t>
  </si>
  <si>
    <t xml:space="preserve">45642    </t>
  </si>
  <si>
    <t>45641 Шкаф управления ШСКВ-11-1f-32A-DS (UPS, ПЧ)_для насоса до 11,0 кВт</t>
  </si>
  <si>
    <t xml:space="preserve">45641    </t>
  </si>
  <si>
    <t>ООО Завод Водоприбор (№Т/1175-ЕД от 19.05.20)</t>
  </si>
  <si>
    <t>45657 Диспетчеризация расхода и учета воды (АИСКУЭ) на Северном водозаборе</t>
  </si>
  <si>
    <t xml:space="preserve">45657    </t>
  </si>
  <si>
    <t>Т/1507-ЕД от 20.10.2020</t>
  </si>
  <si>
    <t>45490 Блок-контейнер БКСП-00 100мм (2,0х2,45х2,70)</t>
  </si>
  <si>
    <t xml:space="preserve">45490    </t>
  </si>
  <si>
    <t>дог. №Т/1815-ЕД от 21.05.2021г.</t>
  </si>
  <si>
    <t>45388 Трансформатор силовой масляный ТМГ-СЭЩ-630/10-11 УХЛ1 10.00/0.40 Д/Yн-11</t>
  </si>
  <si>
    <t>27.05.2021</t>
  </si>
  <si>
    <t xml:space="preserve">45388    </t>
  </si>
  <si>
    <t>45387 Трансформатор силовой масляный ТМГ-СЭЩ-630/10-11 УХЛ1 10.00/0.40 Д/Yн-11</t>
  </si>
  <si>
    <t xml:space="preserve">45387    </t>
  </si>
  <si>
    <t>45358 Шкаф управления ШСКВ-40-090A-DS (UPS, УПП PSE142, АПЗД MS-495-90 (70..90A), Контакто</t>
  </si>
  <si>
    <t>26.05.2021</t>
  </si>
  <si>
    <t xml:space="preserve">45358    </t>
  </si>
  <si>
    <t>45378 Шкаф управления ШСКВ-75-1f(e)-150A-DS (UPS, ПЧ)_для насоса до 75 кВт</t>
  </si>
  <si>
    <t xml:space="preserve">45378    </t>
  </si>
  <si>
    <t>45377 Шкаф управления ШАСВ с UPS</t>
  </si>
  <si>
    <t xml:space="preserve">45377    </t>
  </si>
  <si>
    <t>45376 Шкаф управления ШАНС с UPS</t>
  </si>
  <si>
    <t xml:space="preserve">45376    </t>
  </si>
  <si>
    <t>45375 Шкаф управления ШАОПФ с UPS</t>
  </si>
  <si>
    <t xml:space="preserve">45375    </t>
  </si>
  <si>
    <t>45374 Шкаф управления ШАПФ с UPS</t>
  </si>
  <si>
    <t xml:space="preserve">45374    </t>
  </si>
  <si>
    <t>45373 Шкаф управления ШАПФ с UPS</t>
  </si>
  <si>
    <t xml:space="preserve">45373    </t>
  </si>
  <si>
    <t>45372 Шкаф управления ШАПФ с UPS</t>
  </si>
  <si>
    <t xml:space="preserve">45372    </t>
  </si>
  <si>
    <t>45371 Шкаф управления ШАПФ с UPS</t>
  </si>
  <si>
    <t xml:space="preserve">45371    </t>
  </si>
  <si>
    <t>45370 Шкаф управления ШАПФ с UPS</t>
  </si>
  <si>
    <t xml:space="preserve">45370    </t>
  </si>
  <si>
    <t>45369 Шкаф управления ШАПФ с UPS</t>
  </si>
  <si>
    <t xml:space="preserve">45369    </t>
  </si>
  <si>
    <t>45368 Шкаф управления ШСКВ-6k3-1f-16A-DS (UPS, ПЧ)_для насоса до 6,3 кВт</t>
  </si>
  <si>
    <t xml:space="preserve">45368    </t>
  </si>
  <si>
    <t>45367 Шкаф управления ШДиК с UPS</t>
  </si>
  <si>
    <t xml:space="preserve">45367    </t>
  </si>
  <si>
    <t>45366 Шкаф управления ШСКВ-6k3-1f-16A-DS (UPS, ПЧ)_для насоса до 6,3 кВт</t>
  </si>
  <si>
    <t xml:space="preserve">45366    </t>
  </si>
  <si>
    <t>45365 Шкаф управления ШДиК с UPS</t>
  </si>
  <si>
    <t xml:space="preserve">45365    </t>
  </si>
  <si>
    <t>45364 Шкаф управления ШСКВ-7k5-1f(e)-25A-DS (UPS, ПЧ)_для насоса до 7,5 кВт</t>
  </si>
  <si>
    <t xml:space="preserve">45364    </t>
  </si>
  <si>
    <t>45363 Шкаф управления ШДиК с UPS</t>
  </si>
  <si>
    <t xml:space="preserve">45363    </t>
  </si>
  <si>
    <t>45362 Шкаф управления ШСКВ-7k5-1f-25A-DS (UPS, ПЧ)_для насоса до 7,5 кВт</t>
  </si>
  <si>
    <t xml:space="preserve">45362    </t>
  </si>
  <si>
    <t>45361 Шкаф управления ШДиК с UPS</t>
  </si>
  <si>
    <t xml:space="preserve">45361    </t>
  </si>
  <si>
    <t>45360 Шкаф управления ШСКВ-7k5-1f-25A-DS (UPS, ПЧ)_для насоса до 7,5 кВт</t>
  </si>
  <si>
    <t xml:space="preserve">45360    </t>
  </si>
  <si>
    <t>45359 Шкаф управления ШДиК с UPS</t>
  </si>
  <si>
    <t xml:space="preserve">45359    </t>
  </si>
  <si>
    <t>45357 Шкаф управления ШАВХ с UPS</t>
  </si>
  <si>
    <t xml:space="preserve">45357    </t>
  </si>
  <si>
    <t>45356 Шкаф управления ШДиК с UPS</t>
  </si>
  <si>
    <t xml:space="preserve">45356    </t>
  </si>
  <si>
    <t>45280 Шкаф управления ШСКВ-25-065A-DS (UPS, УПП PSE72, АПЗД MS-165-65 (52..65A), Контактор</t>
  </si>
  <si>
    <t>31.03.2021</t>
  </si>
  <si>
    <t xml:space="preserve">45280    </t>
  </si>
  <si>
    <t>45279 Шкаф управления ШСКВ-22-060A-DS (UPS, УПП PSE72, АПЗД MS-165-54 (40..54A), Контактор</t>
  </si>
  <si>
    <t xml:space="preserve">45279    </t>
  </si>
  <si>
    <t>45278 Шкаф управления ШСКВ-32-075A-DS (UPS, УПП PSE85, АПЗД MS-495-75 (57..75A), Контактор</t>
  </si>
  <si>
    <t xml:space="preserve">45278    </t>
  </si>
  <si>
    <t>45277 Шкаф управления ШСКВ-22-060A-DS (UPS, УПП PSE72, АПЗД MS-165-54 (40..54A), Контактор</t>
  </si>
  <si>
    <t xml:space="preserve">45277    </t>
  </si>
  <si>
    <t>45276 Шкаф управления ШСКВ-32-075A-DS (UPS, УПП PSE85, АПЗД MS-495-75 (57..75A), Контактор</t>
  </si>
  <si>
    <t xml:space="preserve">45276    </t>
  </si>
  <si>
    <t>45275 Шкаф управления ШСКВ-55-125A-DS (UPS, УПП PSE170, АПЗД XT4N 160 MA 125, Контактор АF</t>
  </si>
  <si>
    <t xml:space="preserve">45275    </t>
  </si>
  <si>
    <t>45274 Шкаф управления ШСКВ-18-042A-DS (UPS, УПП PSE45, АПЗД MS-165-42(30..42A), Контактор</t>
  </si>
  <si>
    <t xml:space="preserve">45274    </t>
  </si>
  <si>
    <t>45273 Шкаф управления ШСКВ-25-065A-DS (UPS, УПП PSE72, АПЗД MS-165-65 (52..65A), Контактор</t>
  </si>
  <si>
    <t xml:space="preserve">45273    </t>
  </si>
  <si>
    <t>45272 Шкаф управления ШСКВ-25-065A-DS (UPS, УПП PSE72, АПЗД MS-165-65 (52..65A), Контактор</t>
  </si>
  <si>
    <t xml:space="preserve">45272    </t>
  </si>
  <si>
    <t>45271 Шкаф управления ШСКВ-60-160A-DS (UPS, УПП PSE170, АПЗД XT4N 160 MA 160, Контактор АF</t>
  </si>
  <si>
    <t xml:space="preserve">45271    </t>
  </si>
  <si>
    <t>45270 Шкаф управления ШСКВ-18-042А-DS (UPS, УПП PSE45, АПЗД MS-165-42 (30..42A), Контактор</t>
  </si>
  <si>
    <t xml:space="preserve">45270    </t>
  </si>
  <si>
    <t>45269 Шкаф управления ШСКВ-75-200A-DS (UPS, УПП PSE250, АПЗД XT4N 250 MA 200, Контактор AF</t>
  </si>
  <si>
    <t xml:space="preserve">45269    </t>
  </si>
  <si>
    <t>45268 Шкаф управления ШСКВ-55-125A-DS (UPS, УПП PSE170, АПЗД XT4N 160 MA 125, Контактор АF</t>
  </si>
  <si>
    <t xml:space="preserve">45268    </t>
  </si>
  <si>
    <t>45267 Шкаф управления ШСКВ-37-090А-DS (UPS, УПП PSE105, АПЗД MS-495-90 (70..90A), Контакто</t>
  </si>
  <si>
    <t xml:space="preserve">45267    </t>
  </si>
  <si>
    <t>45266 Шкаф управления ШСКВ-35-075A-DS (UPS, УПП PSE105, АПЗД MS-495-75 (57..75A), Контакто</t>
  </si>
  <si>
    <t xml:space="preserve">45266    </t>
  </si>
  <si>
    <t>45265 Шкаф управления ШСКВ-35-075A-DS (UPS, УПП PSE105, АПЗД MS-495-75 (57..75A), Контакто</t>
  </si>
  <si>
    <t xml:space="preserve">45265    </t>
  </si>
  <si>
    <t>45264 Шкаф управления ШСКВ-22-060A-DS (UPS, УПП PSE72, АПЗД MS-165-54 (40..54A), Контактор</t>
  </si>
  <si>
    <t xml:space="preserve">45264    </t>
  </si>
  <si>
    <t>45263 Шкаф управления ШСКВ-40-090A-DS (UPS, УПП PSE142, АПЗД MS-495-90 (70..90A), Контакто</t>
  </si>
  <si>
    <t xml:space="preserve">45263    </t>
  </si>
  <si>
    <t>45262 Шкаф управления ШСКВ-40-090A-DS (UPS, УПП PSE142, АПЗД MS-495-90 (70..90A), Контакто</t>
  </si>
  <si>
    <t xml:space="preserve">45262    </t>
  </si>
  <si>
    <t>45261 Шкаф управления ШСКВ-37-090А-DS (UPS, УПП PSE105, АПЗД MS-495-90 (70..90A), Контакто</t>
  </si>
  <si>
    <t xml:space="preserve">45261    </t>
  </si>
  <si>
    <t>45260 Шкаф управления ШСКВ-25-065A-DS (UPS, УПП PSE72, АПЗД MS-165-65 (52..65A), Контактор</t>
  </si>
  <si>
    <t xml:space="preserve">45260    </t>
  </si>
  <si>
    <t>45259 Шкаф управления ШСКВ-20-042A-DS (UPS, УПП PSE60, АПЗД MS-165-42 (30..42A), Контактор</t>
  </si>
  <si>
    <t xml:space="preserve">45259    </t>
  </si>
  <si>
    <t>45258 Шкаф управления ШСКВ-65-200А-DS (UPS, УПП PSE210, АПЗД XT4N 250 MA 200, Контактор AF</t>
  </si>
  <si>
    <t xml:space="preserve">45258    </t>
  </si>
  <si>
    <t>дог. №Т/1583-ЕД от 11.12.2020г.</t>
  </si>
  <si>
    <t>44811 Насос ЭЦВ 10-65-110 (нро) агрегат 33кВт (ЛН)</t>
  </si>
  <si>
    <t>15.12.2020</t>
  </si>
  <si>
    <t xml:space="preserve">44811    </t>
  </si>
  <si>
    <t>счет №95 от 09.11.2020г.</t>
  </si>
  <si>
    <t>44816 Насос скважинный SQ 3-105</t>
  </si>
  <si>
    <t>10.12.2020</t>
  </si>
  <si>
    <t xml:space="preserve">44816    </t>
  </si>
  <si>
    <t>Приказ МЭР КО №1512-п от 09.09.2020г.</t>
  </si>
  <si>
    <t>44681 Артезианская скважина г.Калуга, д.Косарево</t>
  </si>
  <si>
    <t>20.10.2020</t>
  </si>
  <si>
    <t xml:space="preserve">44681    </t>
  </si>
  <si>
    <t>договор №Т/1362-ЭА от 11.09.2020г.</t>
  </si>
  <si>
    <t>44596 Шкаф управления Оникс МК3-100-IP54-У3.1</t>
  </si>
  <si>
    <t>13.10.2020</t>
  </si>
  <si>
    <t xml:space="preserve">44596    </t>
  </si>
  <si>
    <t>Счет №81 от 01.10.2020г. (65 178,00 насос)</t>
  </si>
  <si>
    <t>44585 Насос СД 50/10 агрегат с эл.дв. 4 кВт*1500 об/мин.</t>
  </si>
  <si>
    <t>12.10.2020</t>
  </si>
  <si>
    <t xml:space="preserve">44585    </t>
  </si>
  <si>
    <t>Счет №87 от 05.10.2020г. (65 178,00 насос)</t>
  </si>
  <si>
    <t>44584 Насос СД 50/10 агрегат с эл.дв. 4 кВт*1500 об/мин.</t>
  </si>
  <si>
    <t xml:space="preserve">44584    </t>
  </si>
  <si>
    <t>счет №1331 от 15.09.2020г.</t>
  </si>
  <si>
    <t>44587 Котел электрический "Невский" КЭН-У-10-100 кВт "Универсал"</t>
  </si>
  <si>
    <t>01.10.2020</t>
  </si>
  <si>
    <t xml:space="preserve">44587    </t>
  </si>
  <si>
    <t>Т-885-ЕД от 13.12.2019</t>
  </si>
  <si>
    <t>44257 Шкаф управления 2-мя насосами специального исполнения LS300-200-489C, P2=160кВт, In=</t>
  </si>
  <si>
    <t>03.06.2020</t>
  </si>
  <si>
    <t xml:space="preserve">44257    </t>
  </si>
  <si>
    <t>Т/883-ЕД от 13.12.2019</t>
  </si>
  <si>
    <t>44256 Насосный агрегат специального исполнения с рабочим колесом двухстороннего входа</t>
  </si>
  <si>
    <t xml:space="preserve">44256    </t>
  </si>
  <si>
    <t>44255 Насосный агрегат специального исполнения с рабочим колесом двухстороннего входа</t>
  </si>
  <si>
    <t xml:space="preserve">44255    </t>
  </si>
  <si>
    <t>Т/1075-ЕД от 26.03.2020</t>
  </si>
  <si>
    <t>44191 Насос ЭЦВ 10-120-100 (нро) агрегат 45кВт (ЛН)</t>
  </si>
  <si>
    <t>15.04.2020</t>
  </si>
  <si>
    <t xml:space="preserve">44191    </t>
  </si>
  <si>
    <t>Т/892-ЕД от 18.12.2019</t>
  </si>
  <si>
    <t>43708 Насос ЭЦВ 8-40-120 (нрк) агрегат 22 кВт (ЛН)</t>
  </si>
  <si>
    <t>25.12.2019</t>
  </si>
  <si>
    <t xml:space="preserve">43708    </t>
  </si>
  <si>
    <t>Т/669-ЕД от 19.08.2019</t>
  </si>
  <si>
    <t>43431 Агрегат ЭЦВ10-65-110 нрк</t>
  </si>
  <si>
    <t>23.08.2019</t>
  </si>
  <si>
    <t xml:space="preserve">43431    </t>
  </si>
  <si>
    <t>Т/669-ЕД от 15.08.2019</t>
  </si>
  <si>
    <t>43430 Агрегат ЭЦВ10-65-110 нрк</t>
  </si>
  <si>
    <t xml:space="preserve">43430    </t>
  </si>
  <si>
    <t>43426 Агрегат ЭЦВ10-65-110 нрк</t>
  </si>
  <si>
    <t xml:space="preserve">43426    </t>
  </si>
  <si>
    <t>43409 Агрегат ЭЦВ 8-25-100</t>
  </si>
  <si>
    <t xml:space="preserve">43409    </t>
  </si>
  <si>
    <t>Т/369-ЕД от 04.03.2019</t>
  </si>
  <si>
    <t>43148 Агрегат 2ЭЦВ 10-120-100 нро</t>
  </si>
  <si>
    <t>12.03.2019</t>
  </si>
  <si>
    <t xml:space="preserve">43148    </t>
  </si>
  <si>
    <t>Т/4154-ЭА от 16.05.2018</t>
  </si>
  <si>
    <t>42922 Агрегат погружной 2ЭЦВ 10-65-110нрк</t>
  </si>
  <si>
    <t>12.12.2018</t>
  </si>
  <si>
    <t xml:space="preserve">42922    </t>
  </si>
  <si>
    <t>счет № 316 от 06.12.18</t>
  </si>
  <si>
    <t>42883 Преобразователь частоты N700E-110HF/150HFP 11/15кВт 23А 380-480В</t>
  </si>
  <si>
    <t>11.12.2018</t>
  </si>
  <si>
    <t xml:space="preserve">42883    </t>
  </si>
  <si>
    <t>42728 Электрокотел ТЭНовые (напольные) ЭКТ-105Р</t>
  </si>
  <si>
    <t>01.10.2018</t>
  </si>
  <si>
    <t xml:space="preserve">42728    </t>
  </si>
  <si>
    <t>42673 Агрегат ЭЦВ 8-40-120 нрк</t>
  </si>
  <si>
    <t>28.09.2018</t>
  </si>
  <si>
    <t xml:space="preserve">42673    </t>
  </si>
  <si>
    <t>42321 Преобразователь частоты Advanced Control ADV 90.0 M420-M, 380B (3 фазы), 90/75 кВт,</t>
  </si>
  <si>
    <t xml:space="preserve">42321    </t>
  </si>
  <si>
    <t>42177 Система видеонаблюдения на станции обезжелезивания Северного водозабора</t>
  </si>
  <si>
    <t>04.08.2017</t>
  </si>
  <si>
    <t xml:space="preserve">42177    </t>
  </si>
  <si>
    <t>42072 Преобразователь частоты №700Е- 370HF/450HFP</t>
  </si>
  <si>
    <t>04.05.2017</t>
  </si>
  <si>
    <t xml:space="preserve">42072    </t>
  </si>
  <si>
    <t>Т/157/ЗЦ от 30.12.2016г</t>
  </si>
  <si>
    <t>42026 Задвижка 30ч906 Бр Ру10 Ду400 с эл.приводом</t>
  </si>
  <si>
    <t>30.03.2017</t>
  </si>
  <si>
    <t xml:space="preserve">42026    </t>
  </si>
  <si>
    <t>41909 Агрегат СМ 100-65-200-2 АИР200М2 37кВт</t>
  </si>
  <si>
    <t xml:space="preserve">41909    </t>
  </si>
  <si>
    <t>41534 АПС и СО людей о пожаре в помещениях 1-го этажа Северного водозабора (д.Тимашово)</t>
  </si>
  <si>
    <t>30.09.2016</t>
  </si>
  <si>
    <t xml:space="preserve">41534    </t>
  </si>
  <si>
    <t>41533 АПС и СО людей о пожаре в помещениях 2-го и 3 этажей Северного водозабора (д.Тимашо</t>
  </si>
  <si>
    <t xml:space="preserve">41533    </t>
  </si>
  <si>
    <t>41535 Трансформатор масляный трехфазный ТМ-400 6 кВА</t>
  </si>
  <si>
    <t xml:space="preserve">41535    </t>
  </si>
  <si>
    <t>41536 Задвижка обрез.кл. ДУ400 РУ10 EPDM до 120гр.</t>
  </si>
  <si>
    <t xml:space="preserve">41536    </t>
  </si>
  <si>
    <t>41449 Насос дозирующий Grundfos DDC 9-7 A-PVC/V/C-F-31I002FG</t>
  </si>
  <si>
    <t>20.06.2016</t>
  </si>
  <si>
    <t xml:space="preserve">41449    </t>
  </si>
  <si>
    <t>41389 Задвижка чугунная ДУ 400 Ру 10 чугунная с электроприводом</t>
  </si>
  <si>
    <t xml:space="preserve">41389    </t>
  </si>
  <si>
    <t>41253 Насос 1Д500-63</t>
  </si>
  <si>
    <t>28.12.2015</t>
  </si>
  <si>
    <t xml:space="preserve">41253    </t>
  </si>
  <si>
    <t>41218 Агрегат 1К150-125-315/а</t>
  </si>
  <si>
    <t>26.11.2015</t>
  </si>
  <si>
    <t xml:space="preserve">41218    </t>
  </si>
  <si>
    <t>41171 Электростанция сварочная WS 230DC ES бензиновая с электростартером</t>
  </si>
  <si>
    <t xml:space="preserve">41171    </t>
  </si>
  <si>
    <t>г.Калуга, д. Ильинка, д.б/н</t>
  </si>
  <si>
    <t>41070 Артезианская скважина (лит.III) г.Калуга, д. Ильинка, д.б/н</t>
  </si>
  <si>
    <t xml:space="preserve">41070    </t>
  </si>
  <si>
    <t>40722 Насос TWI 08.80-B-6 NU501-2/22</t>
  </si>
  <si>
    <t>23.12.2014</t>
  </si>
  <si>
    <t xml:space="preserve">40722    </t>
  </si>
  <si>
    <t>40680 Задвижка 30ч973бр Ду400</t>
  </si>
  <si>
    <t>15.12.2014</t>
  </si>
  <si>
    <t xml:space="preserve">40680    </t>
  </si>
  <si>
    <t>40679 Электропривод РП-Б-04 в комплекте с ВП-4М</t>
  </si>
  <si>
    <t xml:space="preserve">40679    </t>
  </si>
  <si>
    <t>40610 Преобразователь частоты FDU 2.0 NGD 48-375-20CE 200 кВт 380В IP20</t>
  </si>
  <si>
    <t>01.09.2014</t>
  </si>
  <si>
    <t xml:space="preserve">40610    </t>
  </si>
  <si>
    <t>40547 Насос 2ЭЦВ 10-65-110 нрк</t>
  </si>
  <si>
    <t>25.06.2014</t>
  </si>
  <si>
    <t xml:space="preserve">40547    </t>
  </si>
  <si>
    <t>40530 Насос TWI 08.80-B-9NU611-2/34 в охл кожухе</t>
  </si>
  <si>
    <t>28.05.2014</t>
  </si>
  <si>
    <t xml:space="preserve">40530    </t>
  </si>
  <si>
    <t>40529 Насос TWI 08.80-B-8NU801-2/40</t>
  </si>
  <si>
    <t xml:space="preserve">40529    </t>
  </si>
  <si>
    <t>40528 Насос TWI 08.80-B-8NU801-2/40</t>
  </si>
  <si>
    <t xml:space="preserve">40528    </t>
  </si>
  <si>
    <t>40527 Насос TWI 08.80-B-8NU801-2/40</t>
  </si>
  <si>
    <t xml:space="preserve">40527    </t>
  </si>
  <si>
    <t>40525 Погружной насос TWI010.125 в комплекте</t>
  </si>
  <si>
    <t>13.05.2014</t>
  </si>
  <si>
    <t xml:space="preserve">40525    </t>
  </si>
  <si>
    <t>39919 Миксер MS112M4P08E1500, 200 об/мин, PVH 800мм с насосом дозирующим TEKNA EVO AKL 800</t>
  </si>
  <si>
    <t>21.11.2012</t>
  </si>
  <si>
    <t xml:space="preserve">39919    </t>
  </si>
  <si>
    <t>39844 Электропривод типа НВ-02-КУ 2</t>
  </si>
  <si>
    <t>30.07.2012</t>
  </si>
  <si>
    <t xml:space="preserve">39844    </t>
  </si>
  <si>
    <t>39877 Задвижка 30ч915бр Ду600 Ру10+эл.пр.(1шт.)+фланец (2шт.)</t>
  </si>
  <si>
    <t xml:space="preserve">39877    </t>
  </si>
  <si>
    <t>39873 Задвижка 30ч915Бр Ду 600 Ру 10/осн.ср-во</t>
  </si>
  <si>
    <t xml:space="preserve">39873    </t>
  </si>
  <si>
    <t>39870 Задвижка 30с541 нж Ду 400 Ру 16</t>
  </si>
  <si>
    <t xml:space="preserve">39870    </t>
  </si>
  <si>
    <t>39867 Трансформатор ТСЗ-400 10/0,4 IP21 УЗ (10кВ/380В; 400кВА; IP21) (СН:930371) (Северный</t>
  </si>
  <si>
    <t xml:space="preserve">39867    </t>
  </si>
  <si>
    <t>39865 Трансформатор силовой ТСЗЛ-250/10/0,4 D/Yn-11</t>
  </si>
  <si>
    <t xml:space="preserve">39865    </t>
  </si>
  <si>
    <t>39859 Счетчик воды-расходомер "ИРВИКОН СВ-200" Ду 600 мм</t>
  </si>
  <si>
    <t xml:space="preserve">39859    </t>
  </si>
  <si>
    <t>39858 Счетчик воды-расходомер "ИРВИКОН СВ-200" Ду 600 мм</t>
  </si>
  <si>
    <t xml:space="preserve">39858    </t>
  </si>
  <si>
    <t>39853 Трансформатор масляный трехфазный ТМ-160 6 кВА</t>
  </si>
  <si>
    <t xml:space="preserve">39853    </t>
  </si>
  <si>
    <t>39825 Система управления насосом с преобразователем частоты Danfoss VLT FC202 AQUA Drive</t>
  </si>
  <si>
    <t xml:space="preserve">39825    </t>
  </si>
  <si>
    <t>39824 Насосный агрегат RITZ ACS 300-440.1,1400/60 (Северный водозабор-насос.станция 2-го п</t>
  </si>
  <si>
    <t xml:space="preserve">39824    </t>
  </si>
  <si>
    <t>39509 Фланец д=600/16</t>
  </si>
  <si>
    <t>39508 Фланец д=600/16</t>
  </si>
  <si>
    <t>39497 Задвижка чугун. невыд. штоком Ду600, Ру16</t>
  </si>
  <si>
    <t>город Калуга, деревня Тимошево, стр.1</t>
  </si>
  <si>
    <t>10166  СТАНЦИЯ ОБЕЗЖЕЛЕЗИВАНИЯ</t>
  </si>
  <si>
    <t>29.07.2011</t>
  </si>
  <si>
    <t>37829  Контейнер для мусора</t>
  </si>
  <si>
    <t>01.06.2005</t>
  </si>
  <si>
    <t>37828  Контейнер для мусора</t>
  </si>
  <si>
    <t>37384  Охранное электроосвещение</t>
  </si>
  <si>
    <t>33198  предупридительное ограждение</t>
  </si>
  <si>
    <t>33197  предупридительное ограждение</t>
  </si>
  <si>
    <t>33195  Охранное электроосвещение</t>
  </si>
  <si>
    <t>г.Калуга Московский р-н</t>
  </si>
  <si>
    <t>33190  Электрооборудование скважины №15а</t>
  </si>
  <si>
    <t>33130  Ограждение на 2 узле скважин №5,6</t>
  </si>
  <si>
    <t>29324  ЗАДВИЖКИ 30 Ч 530 БР Д=600</t>
  </si>
  <si>
    <t>31527  Конденсаторная установка</t>
  </si>
  <si>
    <t>31557  Узел учета расхода пара</t>
  </si>
  <si>
    <t>37566  Электродвигатель 32 квт</t>
  </si>
  <si>
    <t>01.04.2004</t>
  </si>
  <si>
    <t>29979  Панель распределительная ЩО-70-1-0,8 УЗ</t>
  </si>
  <si>
    <t>29978  Панель вводная ЩО-70-1-32 УЗ</t>
  </si>
  <si>
    <t>город Калуга, район деревни Тимошево, лит.II Северный водозабор</t>
  </si>
  <si>
    <t>31174_Сооружение-артскважина №9а (разведочно-эксплуатационная скважина №9а),д.Тимошево,глу</t>
  </si>
  <si>
    <t>31149 Водовод Д-600 ст.</t>
  </si>
  <si>
    <t>город Калуга, район деревни Тимошево, лит.I Северный водозабор</t>
  </si>
  <si>
    <t>31146_Ссооружение-артскважина №2а (разведочно-эксплуатационная скважина №2902) д.Тимошево,</t>
  </si>
  <si>
    <t>31131  Водопровод Д-225 п/э</t>
  </si>
  <si>
    <t>31130  Водопровод Д-159 ст.</t>
  </si>
  <si>
    <t>31016  Система видеонаблюдения</t>
  </si>
  <si>
    <t>29947  ЩИТ ЩО 70-25</t>
  </si>
  <si>
    <t>31.10.2003</t>
  </si>
  <si>
    <t>29869  Насос НД 1,0 Р 10/100 К14А</t>
  </si>
  <si>
    <t>29846  Станок заточный</t>
  </si>
  <si>
    <t>26509  Трансформатор ТМ 630/10-0,4 кВ</t>
  </si>
  <si>
    <t>25644  ЭЛ. ДВИГАТЕЛЬ 4 АМН 250 S2-75 КВТ 3000 ОБ/М</t>
  </si>
  <si>
    <t>30424  Контактор 400А</t>
  </si>
  <si>
    <t>30415  Транс-р сварочный ТДМ</t>
  </si>
  <si>
    <t>30413  Насос ГНОМ 10/10</t>
  </si>
  <si>
    <t>29834  Задвижка Ду-500 с под эл. привод</t>
  </si>
  <si>
    <t>29833  Задвижка Ду-500 с под эл. привод</t>
  </si>
  <si>
    <t>29793  ЗАДВИЖКИ d=400</t>
  </si>
  <si>
    <t>29791  ЩИТЫ ПР-11</t>
  </si>
  <si>
    <t>29066 ЯЩИК ПР11 9242</t>
  </si>
  <si>
    <t>26850  НАСОС КА 290/18</t>
  </si>
  <si>
    <t>29544  НАСОС Д 1250/125</t>
  </si>
  <si>
    <t>26505  НАСОС БЕЗ ЭЛ. ДВИГАТЕЛЯ</t>
  </si>
  <si>
    <t>01.11.2002</t>
  </si>
  <si>
    <t>29389  ТРАНСФОРМАТОР НАМИ-6</t>
  </si>
  <si>
    <t>29048  ЭЛ.ДВИГ. 3150КВТ 1500ОБ/МИН</t>
  </si>
  <si>
    <t>29159  НАСОС К 80-50-200</t>
  </si>
  <si>
    <t>29027  КОНТАКТОР 630 А</t>
  </si>
  <si>
    <t>29026  ПУ-САУНА 125</t>
  </si>
  <si>
    <t>28938  НАСОС К 45/30</t>
  </si>
  <si>
    <t>28446  НАСОС Д 315-80 БЕЗ ЭЛ. ДВ.</t>
  </si>
  <si>
    <t>01.06.2001</t>
  </si>
  <si>
    <t>27647  НАСОС К 45\30</t>
  </si>
  <si>
    <t>01.01.2001</t>
  </si>
  <si>
    <t>33342  ЕМКОСТЬ ЭМАЛИРОВ. 2,3 М КУБ</t>
  </si>
  <si>
    <t>27936  ЕМКОСТЬ ЭМАЛИРОВ. 2,3 М КУБ</t>
  </si>
  <si>
    <t>27677  НАСОС НС 160/45 С ЭЛ.ДВИГ. 37КВТ</t>
  </si>
  <si>
    <t>22969  НАСОС 200 Д/90 С ЭЛ.</t>
  </si>
  <si>
    <t>26855  СТАНОК НАСТОЛЬНО-СВЕРЛИЛЬНЫЙ 2Н 106П</t>
  </si>
  <si>
    <t>34867  КОНДЕНСАТОРНАЯ БАТАРЕЯ</t>
  </si>
  <si>
    <t>34866  КОНДЕНСАТОРНАЯ БАТАРЕЯ</t>
  </si>
  <si>
    <t>34865  КОНДЕНСАТОРНАЯ БАТАРЕЯ</t>
  </si>
  <si>
    <t>34864  КОНДЕНСАТОРНАЯ БАТАРЕЯ</t>
  </si>
  <si>
    <t>34863  КОНДЕНСАТОРНАЯ БАТАРЕЯ</t>
  </si>
  <si>
    <t>34862  КОНДЕНСАТОРНАЯ БАТАРЕЯ</t>
  </si>
  <si>
    <t>34861  КОНДЕНСАТОРНАЯ БАТАРЕЯ</t>
  </si>
  <si>
    <t>34860  КОНДЕНСАТОРНАЯ БАТАРЕЯ</t>
  </si>
  <si>
    <t>34859  КОНДЕНСАТОРНАЯ БАТАРЕЯ</t>
  </si>
  <si>
    <t>26869  КОНДЕНСАТОРНАЯ БАТАРЕЯ</t>
  </si>
  <si>
    <t>26533  НАСОС Д 1255/65</t>
  </si>
  <si>
    <t>24450  ЭЛ.ДВИГ. 400 КВТ(ЧЕХИЯ)</t>
  </si>
  <si>
    <t>26200  ВОДОПРОВОД П/Э D-32</t>
  </si>
  <si>
    <t>26028  НАСОСНАЯ СТАНЦИЯ НАД А/СКВ N-4</t>
  </si>
  <si>
    <t>город Калуга, улица Салтыкова-Щедрина, д.80</t>
  </si>
  <si>
    <t>25878  ЗДАНИЕ ПИЛОРАМЫ</t>
  </si>
  <si>
    <t>город Калуга, улица Московская, д.321</t>
  </si>
  <si>
    <t>37888  КАБЕЛЬНАЯ ЛИНИЯ ААБлУ  10 кВ (3х240)</t>
  </si>
  <si>
    <t>город Калуга, улица Московская</t>
  </si>
  <si>
    <t>37887  КАБЕЛЬНАЯ ЛИНИЯ 10 кВ ААБлУ (3х240)</t>
  </si>
  <si>
    <t>24328  КАБЕЛЬНАЯ ЛИНИЯ 2ААБгл-10-3-240</t>
  </si>
  <si>
    <t>37295  ЩИТЫ ЩО-70</t>
  </si>
  <si>
    <t>24253  ЩИТЫ ЩО-70</t>
  </si>
  <si>
    <t>23056  Трансформатор ТМ 250/10-0,4 кВ</t>
  </si>
  <si>
    <t>24228  ПУ-САУНА 125</t>
  </si>
  <si>
    <t>23289  ЗАДВИЖКА d=500</t>
  </si>
  <si>
    <t>34344  ЗАДВИЖКИ ЗОС 90ДУ-600</t>
  </si>
  <si>
    <t>24046  ЗАДВИЖКИ ЗОС 90ДУ-600</t>
  </si>
  <si>
    <t>24041  ЗАДВИЖКИ d=500</t>
  </si>
  <si>
    <t>22812  ЗАДВИЖКИ d-100</t>
  </si>
  <si>
    <t>37889  Воздушная линия</t>
  </si>
  <si>
    <t>36797  Трансфоматор ТМ 1000/10-6 кВ</t>
  </si>
  <si>
    <t>35494  РУ-6 кв</t>
  </si>
  <si>
    <t>35493  РУ-6 кв</t>
  </si>
  <si>
    <t>35492  РУ-6 кв</t>
  </si>
  <si>
    <t>35491  РУ-6 кв</t>
  </si>
  <si>
    <t>35490  РУ-6 кв</t>
  </si>
  <si>
    <t>35489  РУ-6 кв</t>
  </si>
  <si>
    <t>35488  РУ-6 кв</t>
  </si>
  <si>
    <t>город Калуга, деревня Тимошево, лит.II</t>
  </si>
  <si>
    <t>35472  РЕЗЕРВУАРЫ d=5000 КУБ.М Ж.Б.</t>
  </si>
  <si>
    <t>34989  ЛИНИИ ЭЛ.ПЕРЕДАЧ</t>
  </si>
  <si>
    <t>34905  КРАН БАЛКА ЭЛЕКТР.</t>
  </si>
  <si>
    <t>34343  ЗАДВИЖКИ ДУ-600</t>
  </si>
  <si>
    <t>34294  ЗАДВИЖКИ d=800</t>
  </si>
  <si>
    <t>34293  ЗАДВИЖКИ d=800</t>
  </si>
  <si>
    <t>34292  ЗАДВИЖКИ d=800</t>
  </si>
  <si>
    <t>34291  ЗАДВИЖКИ d=800</t>
  </si>
  <si>
    <t>34290  ЗАДВИЖКИ d=80</t>
  </si>
  <si>
    <t>34289  ЗАДВИЖКИ d=80</t>
  </si>
  <si>
    <t>34288  ЗАДВИЖКИ d=80</t>
  </si>
  <si>
    <t>34286  ЗАДВИЖКИ d=600</t>
  </si>
  <si>
    <t>34285  ЗАДВИЖКИ d=600</t>
  </si>
  <si>
    <t>34284  ЗАДВИЖКИ d=600</t>
  </si>
  <si>
    <t>34283  ЗАДВИЖКИ d=600</t>
  </si>
  <si>
    <t>34281  ЗАДВИЖКИ d=600</t>
  </si>
  <si>
    <t>34277  ЗАДВИЖКИ d=600</t>
  </si>
  <si>
    <t>34276  ЗАДВИЖКИ d=600</t>
  </si>
  <si>
    <t>34275  ЗАДВИЖКИ d=600</t>
  </si>
  <si>
    <t>34274  ЗАДВИЖКИ d=600</t>
  </si>
  <si>
    <t>34273  ЗАДВИЖКИ d=600</t>
  </si>
  <si>
    <t>34272  ЗАДВИЖКИ d=600</t>
  </si>
  <si>
    <t>34256  ЗАДВИЖКИ d=500</t>
  </si>
  <si>
    <t>34255  ЗАДВИЖКИ d=500</t>
  </si>
  <si>
    <t>34253  ЗАДВИЖКИ d=500</t>
  </si>
  <si>
    <t>34252  ЗАДВИЖКИ d=500</t>
  </si>
  <si>
    <t>34251  ЗАДВИЖКИ d=500</t>
  </si>
  <si>
    <t>34250  ЗАДВИЖКИ d=500</t>
  </si>
  <si>
    <t>34249  ЗАДВИЖКИ d=500</t>
  </si>
  <si>
    <t>34248  ЗАДВИЖКИ d=500</t>
  </si>
  <si>
    <t>34236  ЗАДВИЖКИ d=300</t>
  </si>
  <si>
    <t>34226  ЗАДВИЖКИ d=200</t>
  </si>
  <si>
    <t>34225  ЗАДВИЖКИ d=200</t>
  </si>
  <si>
    <t>34224  ЗАДВИЖКИ d=200</t>
  </si>
  <si>
    <t>34223  ЗАДВИЖКИ d=200</t>
  </si>
  <si>
    <t>34222  ЗАДВИЖКИ d=200</t>
  </si>
  <si>
    <t>34221  ЗАДВИЖКИ d=200</t>
  </si>
  <si>
    <t>34220  ЗАДВИЖКИ d=200</t>
  </si>
  <si>
    <t>34219  ЗАДВИЖКИ d=200</t>
  </si>
  <si>
    <t>34218  ЗАДВИЖКИ d=200</t>
  </si>
  <si>
    <t>34217  ЗАДВИЖКИ d=200</t>
  </si>
  <si>
    <t>34216  ЗАДВИЖКИ d=200</t>
  </si>
  <si>
    <t>34215  ЗАДВИЖКИ d=200</t>
  </si>
  <si>
    <t>34214  ЗАДВИЖКИ d=200</t>
  </si>
  <si>
    <t>34213  ЗАДВИЖКИ d=200</t>
  </si>
  <si>
    <t>34212  ЗАДВИЖКИ d=200</t>
  </si>
  <si>
    <t>34211  ЗАДВИЖКИ d=150</t>
  </si>
  <si>
    <t>34210  ЗАДВИЖКИ d=150</t>
  </si>
  <si>
    <t>34209  ЗАДВИЖКИ d=150</t>
  </si>
  <si>
    <t>34208  ЗАДВИЖКИ d=150</t>
  </si>
  <si>
    <t>34207  ЗАДВИЖКИ d=150</t>
  </si>
  <si>
    <t>34206  ЗАДВИЖКИ d=150</t>
  </si>
  <si>
    <t>34205  ЗАДВИЖКИ d=150</t>
  </si>
  <si>
    <t>34196  ЗАДВИЖКИ d=100</t>
  </si>
  <si>
    <t>34195  ЗАДВИЖКИ d=100</t>
  </si>
  <si>
    <t>34194  ЗАДВИЖКИ d=100</t>
  </si>
  <si>
    <t>34193  ЗАДВИЖКИ d=100</t>
  </si>
  <si>
    <t>34192  ЗАДВИЖКИ d=100</t>
  </si>
  <si>
    <t>34191  ЗАДВИЖКИ d=100</t>
  </si>
  <si>
    <t>34190  ЗАДВИЖКИ d=100</t>
  </si>
  <si>
    <t>34189  ЗАДВИЖКИ d=100</t>
  </si>
  <si>
    <t>34188  ЗАДВИЖКИ d=100</t>
  </si>
  <si>
    <t>34187  ЗАДВИЖКИ d=100</t>
  </si>
  <si>
    <t>34186  ЗАДВИЖКИ d=100</t>
  </si>
  <si>
    <t>34185  ЗАДВИЖКИ d=100</t>
  </si>
  <si>
    <t>34184  ЗАДВИЖКИ d=100</t>
  </si>
  <si>
    <t>33504  ЗАДВИЖКА d=125</t>
  </si>
  <si>
    <t>23046  ЗАДВИЖКА d=600</t>
  </si>
  <si>
    <t>22993  ЗАДВИЖКИ d=400</t>
  </si>
  <si>
    <t>22811  ЗАДВИЖКИ ДУ-600</t>
  </si>
  <si>
    <t>11175  ВОДОПРОВОД ЧУГУННЫЙ</t>
  </si>
  <si>
    <t>11174  ВОДОПРОВОД СТАЛЬНОЙ</t>
  </si>
  <si>
    <t>11173  ВОДОВОД ЧУГ.</t>
  </si>
  <si>
    <t>город Калуга, деревня Тимошево, Северный водозабор (инв. № 32280), 2-ой водозаборный узел</t>
  </si>
  <si>
    <t>11171  ПАВИЛЬОН МЕТАЛЛИЧЕСКИЙ</t>
  </si>
  <si>
    <t>11169  ТАЛЬ ЭЛЕКТРИЧЕСКАЯ</t>
  </si>
  <si>
    <t>11168_Сооружение-артскважина №9 (разведочно-эксплуатационная скважина №2414/9)_62м_д.Тимош</t>
  </si>
  <si>
    <t>11166  ЗАДВИЖКА d=150</t>
  </si>
  <si>
    <t>11165  ЗАДВИЖКА d=200</t>
  </si>
  <si>
    <t>11164  ЗДАНИЕ КИРПИЧНОЕ</t>
  </si>
  <si>
    <t>11163 ЭЛЕКТРОСТАНЦИЯ "ЧЕХОСЛОВАКИЯ"</t>
  </si>
  <si>
    <t>город Калуга, село Росва, лит.I</t>
  </si>
  <si>
    <t>11028_сооружение-артскважина №15а (разведочно-эксплуатационная скважина)_д.Тимошево,глуб.7</t>
  </si>
  <si>
    <t>10603_сооружение-артскважина №24а (разведочно-эксплуатационная скважина №21248)_д.Тимошево</t>
  </si>
  <si>
    <t>город Калуга, район деревни Тимошево, лит.IV Северный водозабор</t>
  </si>
  <si>
    <t>10602_сооружение-артскважина №17 (разведочно-эксплуатационная скважина №21245)_д.Тимошево,</t>
  </si>
  <si>
    <t>10599_сооружение-артскважина №22 (разведочно-эксплуатационная скважина)_д.Тимошево, глуб.5</t>
  </si>
  <si>
    <t>город Калуга, район деревни Тимошево, лит.III Северный водозабор</t>
  </si>
  <si>
    <t>10598_сооружение-артскважина №15 (разведочно-эксплуатационная скважина №4148)_д.Тимошево,</t>
  </si>
  <si>
    <t>10597_Cооружение-артскважина №14 (разведочно-эксплуатационная скважина №4147)_д.Тимошево,</t>
  </si>
  <si>
    <t>10596_Сооружение-артскважина №13 (разведочно-эксплуатационная скважина №13/4146),д.Тимошев</t>
  </si>
  <si>
    <t>10595  СКВАЖИНА №12</t>
  </si>
  <si>
    <t>10594_сооружение-артскважина №11а (разведочно-эксплуатационная скважина №21173)_д.Тимошево</t>
  </si>
  <si>
    <t>10592_Сооружение-артскважина №8 (разведочно-эксплуатационная скважина №8/2412),д.Тимошево,</t>
  </si>
  <si>
    <t>10591_Сооружение-артскважина №7 (разведочно-эксплуатационная скважина №2413),д.Тимошево,гл</t>
  </si>
  <si>
    <t>10590_Сооружение-артскважина №6 (разведочно-эксплуатационная скважина №150347/3724)д.Тимош</t>
  </si>
  <si>
    <t>10589_Сооружение-артскважина №5 (разведочно-эксплуатационная скважина №3901/1456), д.Тимош</t>
  </si>
  <si>
    <t>10587_Сооружение-артскважина №3б (разведочно-эксплуатационная скважина №3б/4928), д.Тимоше</t>
  </si>
  <si>
    <t>город Калуга, район деревни Тимошево, лит.VII Северный водозабор</t>
  </si>
  <si>
    <t>10585_Сооружение-артскважина №3 (разведочно-эксплуатационная скважина №2903), д.Тимошево,</t>
  </si>
  <si>
    <t>город Калуга, район деревни Тимошево, лит.VI Северный водозабор</t>
  </si>
  <si>
    <t>10584_Сооружение-артскважина №2 (разведочно-эксплуатационная скважина №2902)_д.Тимошево, г</t>
  </si>
  <si>
    <t>город Калуга, район деревни Тимошево, лит.V Северный водозабор</t>
  </si>
  <si>
    <t>10583_Сооружение-артскважина №1 (разведочно-эксплуатационная скважина №2901)_д.Тимошево гл</t>
  </si>
  <si>
    <t>10582_сооружение-артскважина №18 (разведочно-эксплуатационная скважина №18)_д.Тимошево, гл</t>
  </si>
  <si>
    <t>10555  ЗДАНИЯ ТП N 4 ( ВОДОПР.)</t>
  </si>
  <si>
    <t>10297  КАНАЛИЗАЦИЯ ОТ НАСОСНОЙ СТАНЦИИ</t>
  </si>
  <si>
    <t>10296  ЛИНИИ ЭЛ.ПЕРЕДАЧ</t>
  </si>
  <si>
    <t>город Калуга, деревня Тимошево, стр.3</t>
  </si>
  <si>
    <t>10295  ПРОХОДНАЯ</t>
  </si>
  <si>
    <t>10291  Трансформатор собственных нужд 200/10-0,4 кВ</t>
  </si>
  <si>
    <t>10290  Трансформатор ТМ 1000/10-6 кВ</t>
  </si>
  <si>
    <t>10289  РУ-6 кв</t>
  </si>
  <si>
    <t>10288  ТАЛЬ ГРУЗОВАЯ</t>
  </si>
  <si>
    <t>10287 ЭЛЕКТРОТЕЛЬФЕР</t>
  </si>
  <si>
    <t>10279  ЗАДВИЖКИ d=600</t>
  </si>
  <si>
    <t>город Калуга, деревня Тимошево, стр.2</t>
  </si>
  <si>
    <t>10278  НАСОСНАЯ СТАНЦИЯ II-ПОДЪЕМА</t>
  </si>
  <si>
    <t>10277  Транформатор собственных нужд 250/10-0,4 кВ</t>
  </si>
  <si>
    <t>10271  ЗАДВИЖКА d=150</t>
  </si>
  <si>
    <t>10270  ЗАДВИЖКА d=200</t>
  </si>
  <si>
    <t>10268  ЗАДВИЖКА d=150</t>
  </si>
  <si>
    <t>10267  ЗАДВИЖКА d=200</t>
  </si>
  <si>
    <t>10266  ПРОХОДНАЯ БУДКА</t>
  </si>
  <si>
    <t>10265  Трансформатор ТМ 400/10-0,4 кВ</t>
  </si>
  <si>
    <t>10260  ЗДАНИЕ кирпичное</t>
  </si>
  <si>
    <t>10257  ЗАДВИЖКА d=150</t>
  </si>
  <si>
    <t>10256  ЗАДВИЖКА d=200</t>
  </si>
  <si>
    <t>10255  ЗДАНИЕ кирпичное</t>
  </si>
  <si>
    <t>10253  ЗАДВИЖКА d=150</t>
  </si>
  <si>
    <t>10252  ЗАДВИЖКА d=200</t>
  </si>
  <si>
    <t>10251  ПРОХОДНАЯ БУДКА</t>
  </si>
  <si>
    <t>10248  ЗАДВИЖКА d=200</t>
  </si>
  <si>
    <t>10246  ЗАДВИЖКИ d=100</t>
  </si>
  <si>
    <t>г.Калуга СЕВЕРНЫЙ ВОДОЗАБОР</t>
  </si>
  <si>
    <t>10243  ЗДАНИЕ КИРПИЧНОЕ</t>
  </si>
  <si>
    <t>10240  ЗАДВИЖКА d=100</t>
  </si>
  <si>
    <t>10239  ЗАДВИЖКА d=200</t>
  </si>
  <si>
    <t>10238  ЗДАНИЕ КИРПИЧНОЕ</t>
  </si>
  <si>
    <t>10235  ЗАТВОР d=150</t>
  </si>
  <si>
    <t>10234  ЗАДВИЖКА d=200</t>
  </si>
  <si>
    <t>10233  ЗДАНИЕ КИРПИЧНОЕ</t>
  </si>
  <si>
    <t>10232  ПРОХОДНАЯ БУДКА</t>
  </si>
  <si>
    <t>10231  Трансформатор ТМ 250/10-0,4 кВ</t>
  </si>
  <si>
    <t>10230  Трансформатор ТМ 250/10-0,4 кВ</t>
  </si>
  <si>
    <t>10228  ТАЛЬ ЭЛЕКТРИЧЕСКАЯ</t>
  </si>
  <si>
    <t>10225  ЗАДВИЖКА d=150</t>
  </si>
  <si>
    <t>10224  ЗАДВИЖКА d=200</t>
  </si>
  <si>
    <t>10222  ТАЛЬ ЭЛЕКТРИЧЕСКАЯ</t>
  </si>
  <si>
    <t>10219  ЗАДВИЖКИ d=150</t>
  </si>
  <si>
    <t>10217  ЗДАНИЕ КИРПИЧ</t>
  </si>
  <si>
    <t>10211  ЗДАНИЕ КИРПИЧНОЕ</t>
  </si>
  <si>
    <t>10210  ПРОХОДНАЯ СТОРОЖКА</t>
  </si>
  <si>
    <t>10206  ЗАДВИЖКА d=125</t>
  </si>
  <si>
    <t>10205 ЗДАНИЕ СКВ 3б</t>
  </si>
  <si>
    <t>10199_Сооружение-артскважина №3а (разведочно-эксплуатационная скважина №4927), д.Тимошево,</t>
  </si>
  <si>
    <t>10198  ПРОХОДНАЯ УЗЛА N 1</t>
  </si>
  <si>
    <t>10193  ЗАДВИЖКА d=200</t>
  </si>
  <si>
    <t>10192  ЗДАНИЕ</t>
  </si>
  <si>
    <t>10190  ЗАДВИЖКА d=200</t>
  </si>
  <si>
    <t>10189  ЗДАНИЕ</t>
  </si>
  <si>
    <t>10187  ЗАДВИЖКА d=150</t>
  </si>
  <si>
    <t>10186  ЗАДВИЖКА d=200</t>
  </si>
  <si>
    <t>город Калуга, деревня Тимошево, стр.4</t>
  </si>
  <si>
    <t>10185  ЗДАНИЕ</t>
  </si>
  <si>
    <t>10181  ЗАДВИЖКА  d=150</t>
  </si>
  <si>
    <t>город Калуга, деревня Тимошево, лит.I</t>
  </si>
  <si>
    <t>10175 Ограждение станции обезжелезования д.Жерело</t>
  </si>
  <si>
    <t>10173  КРАН БАЛКА ЭЛЕКТР.</t>
  </si>
  <si>
    <t>10172  ЗАДВИЖКИ d=200</t>
  </si>
  <si>
    <t>10170  ЗАДВИЖКИ d=150</t>
  </si>
  <si>
    <t>10165  ЭЛЕКТРО.ТЕЛЬФЕР</t>
  </si>
  <si>
    <t>город Калуга, деревня Тимошево, стр.5</t>
  </si>
  <si>
    <t>10164  СКЛАД ХЛОРА ЗДАНИЕ КИРПИЧНОЕ</t>
  </si>
  <si>
    <t>10162  КОТЕЛЬНАЯ ЗДАНИЕ КИРПИЧНОЕ</t>
  </si>
  <si>
    <t>10161  ЗАДВИЖКИ d=50</t>
  </si>
  <si>
    <t>10160  ЗАДВИЖКИ d=80</t>
  </si>
  <si>
    <t>10159  ЗАДВИЖКИ d=100</t>
  </si>
  <si>
    <t>город Калуга, деревня Тимошево, стр.6</t>
  </si>
  <si>
    <t>10154  ХЛОРАТОРНАЯ ЗДАНИЕ КИРПИЧНОЕ</t>
  </si>
  <si>
    <t>10152  ЗАДВИЖКИ d=100</t>
  </si>
  <si>
    <t>10151  ЗАДВИЖКИ d=150</t>
  </si>
  <si>
    <t>10148  ЗАДВИЖКИ d=600</t>
  </si>
  <si>
    <t>10147  ЗАДВИЖКИ d=800</t>
  </si>
  <si>
    <t>город Калуга, деревня Тимошево, лит.III</t>
  </si>
  <si>
    <t>10146  РЕЗЕРВУАРЫ d=5000 КУБ.М Ж.Б.</t>
  </si>
  <si>
    <t>10143  ЗАТВОР</t>
  </si>
  <si>
    <t>10142  ЗАДВИЖКИ d=300</t>
  </si>
  <si>
    <t>10141  ЗАДВИЖКИ d=200</t>
  </si>
  <si>
    <t>10140  ЗАДВИЖКИ d=100</t>
  </si>
  <si>
    <t>город Калуга, деревня Тимошево, стр.7</t>
  </si>
  <si>
    <t>10138  ЗДАНИЕ ПО ОБРАБОТКЕ ПРОМЫВНЫХ ВОД</t>
  </si>
  <si>
    <t>Северный водозабор</t>
  </si>
  <si>
    <t>Всооружения</t>
  </si>
  <si>
    <t>ООО "Завод Водоприбор" по дог.Т/2239-ЕД от 28.04.2</t>
  </si>
  <si>
    <t>47427 Узел учета холодной воды и АИИСУВ (ул.Кибальчича, д.1)</t>
  </si>
  <si>
    <t xml:space="preserve">47427    </t>
  </si>
  <si>
    <t>47426 Узел учета холодной воды и АИИСУВ (ул.Гвардейская, д.9)</t>
  </si>
  <si>
    <t xml:space="preserve">47426    </t>
  </si>
  <si>
    <t>47425 Узел учета холодной воды и АИИСУВ (бульвар Байконур, д.5)</t>
  </si>
  <si>
    <t xml:space="preserve">47425    </t>
  </si>
  <si>
    <t>ООО "Завод Водоприбор" по дог.Т/985-ЭК от 14.04.20</t>
  </si>
  <si>
    <t>47413 Узел учета холодной воды и АИИСУВ (ул.Суворова, д.21)</t>
  </si>
  <si>
    <t xml:space="preserve">47413    </t>
  </si>
  <si>
    <t>47412 Узел учета холодной воды и АИИСУВ (ул.Суворова, д.17)</t>
  </si>
  <si>
    <t xml:space="preserve">47412    </t>
  </si>
  <si>
    <t>47411 Узел учета холодной воды и АИИСУВ (ул.Суворова, д.15)</t>
  </si>
  <si>
    <t xml:space="preserve">47411    </t>
  </si>
  <si>
    <t>47410 Узел учета холодной воды и АИИСУВ (ул.Суворова, д.11)</t>
  </si>
  <si>
    <t xml:space="preserve">47410    </t>
  </si>
  <si>
    <t>47406 Узел учета холодной воды и АИИСУВ (ул.Степана Разина, Дом №40)</t>
  </si>
  <si>
    <t xml:space="preserve">47406    </t>
  </si>
  <si>
    <t>47404 Узел учета холодной воды и АИИСУВ (ул.Степана Разина, Дом №38)</t>
  </si>
  <si>
    <t xml:space="preserve">47404    </t>
  </si>
  <si>
    <t>47401 Узел учета холодной воды и АИИСУВ (ул.Сиреневый бульвар, д.6, к.1)</t>
  </si>
  <si>
    <t xml:space="preserve">47401    </t>
  </si>
  <si>
    <t>47400 Узел учета холодной воды и АИИСУВ (ул.65 лет Победы, д.43, ввод противопожарный)</t>
  </si>
  <si>
    <t xml:space="preserve">47400    </t>
  </si>
  <si>
    <t>47399 Узел учета холодной воды и АИИСУВ (ул.65 лет Победы, д.43)</t>
  </si>
  <si>
    <t xml:space="preserve">47399    </t>
  </si>
  <si>
    <t>47398 Узел учета холодной воды и АИИСУВ (ул.65 лет Победы, д.41, ввод противопожарный)</t>
  </si>
  <si>
    <t xml:space="preserve">47398    </t>
  </si>
  <si>
    <t>47397 Узел учета холодной воды и АИИСУВ (ул.65 лет Победы, д.41, ввод 2)</t>
  </si>
  <si>
    <t xml:space="preserve">47397    </t>
  </si>
  <si>
    <t>47392 Узел учета холодной воды и АИИСУВ (ул.65 лет Победы, д.41, ввод 1)</t>
  </si>
  <si>
    <t xml:space="preserve">47392    </t>
  </si>
  <si>
    <t>47390 Узел учета холодной воды и АИИСУВ (ул.Ленина, д.55)</t>
  </si>
  <si>
    <t xml:space="preserve">47390    </t>
  </si>
  <si>
    <t>47389 Узел учета холодной воды и АИИСУВ (ул.Кибальчича, д.9)</t>
  </si>
  <si>
    <t xml:space="preserve">47389    </t>
  </si>
  <si>
    <t>47388 Узел учета холодной воды и АИИСУВ (ул.Гурьянова, д.59 к.4, ввод 2)</t>
  </si>
  <si>
    <t xml:space="preserve">47388    </t>
  </si>
  <si>
    <t>47387 Узел учета холодной воды и АИИСУВ (ул.Гурьянова, д.14 к.3)</t>
  </si>
  <si>
    <t xml:space="preserve">47387    </t>
  </si>
  <si>
    <t>47386 Узел учета холодной воды и АИИСУВ (ул.Гурьянова, д.14 к.2)</t>
  </si>
  <si>
    <t xml:space="preserve">47386    </t>
  </si>
  <si>
    <t>47385 Узел учета холодной воды и АИИСУВ (ул.Георгия Димитрова, д.4)</t>
  </si>
  <si>
    <t xml:space="preserve">47385    </t>
  </si>
  <si>
    <t>47383 Узел учета холодной воды и АИИСУВ (ул.Болдина, д.7 а)</t>
  </si>
  <si>
    <t xml:space="preserve">47383    </t>
  </si>
  <si>
    <t>47538 Узел учета холодной воды и АИИСУВ_г.Калуга, ул. Степана Разина, д.42/38</t>
  </si>
  <si>
    <t>29.12.2022</t>
  </si>
  <si>
    <t xml:space="preserve">47538    </t>
  </si>
  <si>
    <t>47537 Узел учета холодной воды и АИИСУВ_г.Калуга, ул. Спартака, д.9</t>
  </si>
  <si>
    <t xml:space="preserve">47537    </t>
  </si>
  <si>
    <t>47536 Узел учета холодной воды и АИИСУВ_г.Калуга, Советский переулок, д.6</t>
  </si>
  <si>
    <t xml:space="preserve">47536    </t>
  </si>
  <si>
    <t>47535 Узел учета холодной воды и АИИСУВ_г.Калуга, Сиреневый бульвар, д.3</t>
  </si>
  <si>
    <t xml:space="preserve">47535    </t>
  </si>
  <si>
    <t>47534 Узел учета холодной воды и АИИСУВ_г.Калуга, Сиреневый бульвар, д.2</t>
  </si>
  <si>
    <t xml:space="preserve">47534    </t>
  </si>
  <si>
    <t>47533 Узел учета холодной воды и АИИСУВ_г.Калуга, ул.Салтыкова-Щедрина, д.93</t>
  </si>
  <si>
    <t xml:space="preserve">47533    </t>
  </si>
  <si>
    <t>47532 Узел учета холодной воды и АИИСУВ_г.Калуга, ул.Салтыкова-Щедрина, д.89</t>
  </si>
  <si>
    <t xml:space="preserve">47532    </t>
  </si>
  <si>
    <t>47531 Узел учета холодной воды и АИИСУВ_г.Калуга, ул.Салтыкова-Щедрина, д.81</t>
  </si>
  <si>
    <t xml:space="preserve">47531    </t>
  </si>
  <si>
    <t>47530 Узел учета холодной воды и АИИСУВ_г.Калуга, ул.Рылеева, д.34 а</t>
  </si>
  <si>
    <t xml:space="preserve">47530    </t>
  </si>
  <si>
    <t>47529 Узел учета холодной воды и АИИСУВ_г.Калуга, ул.Ромодановские Дворики, д.51</t>
  </si>
  <si>
    <t xml:space="preserve">47529    </t>
  </si>
  <si>
    <t>47528 Узел учета холодной воды и АИИСУВ (ул.Платова, д.1/44)</t>
  </si>
  <si>
    <t xml:space="preserve">47528    </t>
  </si>
  <si>
    <t>47437 Узел учета холодной воды и АИИСУВ_г.Калуга, ул.Пролетарская, д.118</t>
  </si>
  <si>
    <t xml:space="preserve">47437    </t>
  </si>
  <si>
    <t>47436 Узел учета холодной воды и АИИСУВ_г.Калуга, ул.Ромодановские Дворики, д.39</t>
  </si>
  <si>
    <t xml:space="preserve">47436    </t>
  </si>
  <si>
    <t>47354 Узел учета холодной воды и АИИСУВ (ул.Первомайская, д.12)</t>
  </si>
  <si>
    <t xml:space="preserve">47354    </t>
  </si>
  <si>
    <t>47353 Узел учета холодной воды и АИИСУВ (ул.Льва Толстого, д.3)</t>
  </si>
  <si>
    <t xml:space="preserve">47353    </t>
  </si>
  <si>
    <t>47352 Узел учета холодной воды и АИИСУВ (ул.Дубрава, д.10)</t>
  </si>
  <si>
    <t xml:space="preserve">47352    </t>
  </si>
  <si>
    <t>47351 Узел учета холодной воды и АИИСУВ (ул.Дорожная, д.9)</t>
  </si>
  <si>
    <t xml:space="preserve">47351    </t>
  </si>
  <si>
    <t>47350 Узел учета холодной воды и АИИСУВ (ул.Валентины Никитиной, д.45)</t>
  </si>
  <si>
    <t xml:space="preserve">47350    </t>
  </si>
  <si>
    <t>47349 Узел учета холодной воды и АИИСУВ_г.Калуга, ул.Веры Андриановой, д.5</t>
  </si>
  <si>
    <t xml:space="preserve">47349    </t>
  </si>
  <si>
    <t>47235 Узел учета холодной воды и АИИСУВ (г.Калуга, ул.Циолковского, д.44)</t>
  </si>
  <si>
    <t>24.11.2022</t>
  </si>
  <si>
    <t xml:space="preserve">47235    </t>
  </si>
  <si>
    <t>47234 Узел учета холодной воды и АИИСУВ (г.Калуга, ул.Фридриха Энгельса, д.110)</t>
  </si>
  <si>
    <t xml:space="preserve">47234    </t>
  </si>
  <si>
    <t>47233 Узел учета холодной воды и АИИСУВ (г.Калуга, ул.Степана Разина, д.58)</t>
  </si>
  <si>
    <t xml:space="preserve">47233    </t>
  </si>
  <si>
    <t>47232 Узел учета холодной воды и АИИСУВ (г.Калуга, ул.Салтыкова-Щедрина, д.37)</t>
  </si>
  <si>
    <t xml:space="preserve">47232    </t>
  </si>
  <si>
    <t>47231 Узел учета холодной воды и АИИСУВ (г.Калуга, ул.Промышленная, д.36)</t>
  </si>
  <si>
    <t xml:space="preserve">47231    </t>
  </si>
  <si>
    <t>47230 Узел учета холодной воды и АИИСУВ (г.Калуга, ул.Промышленная, д.10)</t>
  </si>
  <si>
    <t xml:space="preserve">47230    </t>
  </si>
  <si>
    <t>47229 Узел учета холодной воды и АИИСУВ (г.Калуга, ул.Поле Свободы, д.77)</t>
  </si>
  <si>
    <t xml:space="preserve">47229    </t>
  </si>
  <si>
    <t>47228 Узел учета холодной воды и АИИСУВ (г.Калуга, ул. Октябрьская, д.26)</t>
  </si>
  <si>
    <t xml:space="preserve">47228    </t>
  </si>
  <si>
    <t>47227 Узел учета холодной воды и АИИСУВ (г.Калуга, бульвар Моторостроителей, д.5)</t>
  </si>
  <si>
    <t xml:space="preserve">47227    </t>
  </si>
  <si>
    <t>47226 Узел учета холодной воды и АИИСУВ (г.Калуга, бульвар Моторостроителей, д.4)</t>
  </si>
  <si>
    <t xml:space="preserve">47226    </t>
  </si>
  <si>
    <t>47225 Узел учета холодной воды и АИИСУВ (г.Калуга, ул.Луначарского, д.9/2)</t>
  </si>
  <si>
    <t xml:space="preserve">47225    </t>
  </si>
  <si>
    <t>47224 Узел учета холодной воды и АИИСУВ_г.Калуга, ул.Луначарского, д.6</t>
  </si>
  <si>
    <t xml:space="preserve">47224    </t>
  </si>
  <si>
    <t>47223 Узел учета холодной воды и АИИСУВ_г.Калуга, ул.Ломоносова, д.1</t>
  </si>
  <si>
    <t xml:space="preserve">47223    </t>
  </si>
  <si>
    <t>47222 Узел учета холодной воды и АИИСУВ_г.Калуга, ул.Красная гора, д.29 а</t>
  </si>
  <si>
    <t xml:space="preserve">47222    </t>
  </si>
  <si>
    <t>47221 Узел учета холодной воды и АИИСУВ_г.Калуга, ул.Кирова, д.32</t>
  </si>
  <si>
    <t xml:space="preserve">47221    </t>
  </si>
  <si>
    <t>47220 Узел учета холодной воды и АИИСУВ_г.Калуга, ул.Дубрава, д.8</t>
  </si>
  <si>
    <t xml:space="preserve">47220    </t>
  </si>
  <si>
    <t>47219 Узел учета холодной воды и АИИСУВ_г.Калуга, ул.Достоевского, д.35</t>
  </si>
  <si>
    <t xml:space="preserve">47219    </t>
  </si>
  <si>
    <t>47218 Узел учета холодной воды и АИИСУВ_г.Калуга, ул.Гурьянова, д.16, корп.1</t>
  </si>
  <si>
    <t xml:space="preserve">47218    </t>
  </si>
  <si>
    <t>47217 Узел учета холодной воды и АИИСУВ_г.Калуга, Грабцевское шоссе, д.81</t>
  </si>
  <si>
    <t xml:space="preserve">47217    </t>
  </si>
  <si>
    <t>47216 Узел учета холодной воды и АИИСУВ_г.Калуга, ул.Веры Андриановой, д.28</t>
  </si>
  <si>
    <t xml:space="preserve">47216    </t>
  </si>
  <si>
    <t>47215 Узел учета холодной воды и АИИСУВ_г.Калуга, ул.Билибина, д.11</t>
  </si>
  <si>
    <t xml:space="preserve">47215    </t>
  </si>
  <si>
    <t>47214 Узел учета холодной воды и АИИСУВ_г.Калуга, ул.Белинского, д.9</t>
  </si>
  <si>
    <t xml:space="preserve">47214    </t>
  </si>
  <si>
    <t>47213 Узел учета холодной воды и АИИСУВ г.Калуга, ул.Хрустальная, д.10</t>
  </si>
  <si>
    <t>08.11.2022</t>
  </si>
  <si>
    <t xml:space="preserve">47213    </t>
  </si>
  <si>
    <t>47212 Узел учета холодной воды и АИИСУВ г.Калуга, ул.Труда, д.14/2</t>
  </si>
  <si>
    <t xml:space="preserve">47212    </t>
  </si>
  <si>
    <t>47211 Узел учета холодной воды и АИИСУВ г.Калуга, ул.Суворова, д.144</t>
  </si>
  <si>
    <t xml:space="preserve">47211    </t>
  </si>
  <si>
    <t>47210 Узел учета холодной воды и АИИСУВ г.Калуга, ул.Степана Разина, д. 44</t>
  </si>
  <si>
    <t xml:space="preserve">47210    </t>
  </si>
  <si>
    <t>47209 Узел учета холодной воды и АИИСУВ г.Калуга, ул.Плеханова, д.2, к.1</t>
  </si>
  <si>
    <t xml:space="preserve">47209    </t>
  </si>
  <si>
    <t>47208 Узел учета холодной воды и АИИСУВ г.Калуга, ул.Никитина, д.53</t>
  </si>
  <si>
    <t xml:space="preserve">47208    </t>
  </si>
  <si>
    <t>47207 Узел учета холодной воды и АИИСУВ г.Калуга, ул.Нефтебаза, д.7</t>
  </si>
  <si>
    <t xml:space="preserve">47207    </t>
  </si>
  <si>
    <t>47206 Узел учета холодной воды и АИИСУВ г.Калуга, ул.Московская, д.317 а (котельная)</t>
  </si>
  <si>
    <t xml:space="preserve">47206    </t>
  </si>
  <si>
    <t>47205 Узел учета холодной воды и АИИСУВ г.Калуга, ул.Клюквина, д.30</t>
  </si>
  <si>
    <t xml:space="preserve">47205    </t>
  </si>
  <si>
    <t>47204 Узел учета холодной воды и АИИСУВ г.Калуга, ул.Дубрава, д.11</t>
  </si>
  <si>
    <t xml:space="preserve">47204    </t>
  </si>
  <si>
    <t>47203 Узел учета холодной воды и АИИСУВ г.Калуга, ул.Болотникова, д.14 к.1</t>
  </si>
  <si>
    <t xml:space="preserve">47203    </t>
  </si>
  <si>
    <t>47013 Узел учета холодной воды и АИИСУВ (пер. Яченский, Дом № 2)</t>
  </si>
  <si>
    <t>28.09.2022</t>
  </si>
  <si>
    <t xml:space="preserve">47013    </t>
  </si>
  <si>
    <t>47012 Узел учета холодной воды и АИИСУВ (ул.Николо-Козинская ул, Дом № 116)</t>
  </si>
  <si>
    <t xml:space="preserve">47012    </t>
  </si>
  <si>
    <t>47011 Узел учета холодной воды и АИИСУВ (ул.Московская, Дом № 7)</t>
  </si>
  <si>
    <t xml:space="preserve">47011    </t>
  </si>
  <si>
    <t>47010 Узел учета холодной воды и АИИСУВ (ул.Фридриха Энгельса, Дом № 113)</t>
  </si>
  <si>
    <t xml:space="preserve">47010    </t>
  </si>
  <si>
    <t>47009 Узел учета холодной воды и АИИСУВ (ул.Степана Разина, Дом № 95, корп.2)</t>
  </si>
  <si>
    <t xml:space="preserve">47009    </t>
  </si>
  <si>
    <t>47008 Узел учета холодной воды и АИИСУВ (ул.Степана Разина, Дом № 60)</t>
  </si>
  <si>
    <t xml:space="preserve">47008    </t>
  </si>
  <si>
    <t>47007 Узел учета холодной воды и АИИСУВ (ул.Степана Разина, Дом № 56)</t>
  </si>
  <si>
    <t xml:space="preserve">47007    </t>
  </si>
  <si>
    <t>47006 Узел учета холодной воды и АИИСУВ (ул.Степана Разина, Дом № 54)</t>
  </si>
  <si>
    <t xml:space="preserve">47006    </t>
  </si>
  <si>
    <t>47005 Узел учета холодной воды и АИИСУВ (ул.Степана Разина, Дом № 52)</t>
  </si>
  <si>
    <t xml:space="preserve">47005    </t>
  </si>
  <si>
    <t>47004 Узел учета холодной воды и АИИСУВ (ул.Степана Разина, Дом № 50)</t>
  </si>
  <si>
    <t xml:space="preserve">47004    </t>
  </si>
  <si>
    <t>47003 Узел учета холодной воды и АИИСУВ (Степана Разина ул, Дом № 46)</t>
  </si>
  <si>
    <t xml:space="preserve">47003    </t>
  </si>
  <si>
    <t>47002 Узел учета холодной воды и АИИСУВ (ул.Степана Разина, Дом № 4)</t>
  </si>
  <si>
    <t xml:space="preserve">47002    </t>
  </si>
  <si>
    <t>47001 Узел учета холодной воды и АИИСУВ (1-й Пестеля пер, Дом № 19)</t>
  </si>
  <si>
    <t xml:space="preserve">47001    </t>
  </si>
  <si>
    <t>47000 Узел учета холодной воды и АИИСУВ (ул.Пестеля, Дом № 15А )</t>
  </si>
  <si>
    <t xml:space="preserve">47000    </t>
  </si>
  <si>
    <t>46999 Узел учета холодной воды и АИИСУВ (ул.Октябрьская, Дом № 24)</t>
  </si>
  <si>
    <t xml:space="preserve">46999    </t>
  </si>
  <si>
    <t>46998 Узел учета холодной воды и АИИСУВ (ул.Монастырская ул, Дом № 1)</t>
  </si>
  <si>
    <t xml:space="preserve">46998    </t>
  </si>
  <si>
    <t>46997 Узел учета холодной воды и АИИСУВ (ул.Маршала Жукова, Дом № 34)</t>
  </si>
  <si>
    <t xml:space="preserve">46997    </t>
  </si>
  <si>
    <t>46996 Узел учета холодной воды и АИИСУВ (ул.Маршала Жукова, Дом № 29)</t>
  </si>
  <si>
    <t xml:space="preserve">46996    </t>
  </si>
  <si>
    <t>46995 Узел учета холодной воды и АИИСУВ (ул.Маршала Жукова, Дом № 9)</t>
  </si>
  <si>
    <t xml:space="preserve">46995    </t>
  </si>
  <si>
    <t>46994 Узел учета холодной воды и АИИСУВ (пер. Малый, Дом №2)</t>
  </si>
  <si>
    <t xml:space="preserve">46994    </t>
  </si>
  <si>
    <t>46993 Узел учета холодной воды и АИИСУВ (Карачевская ул, Дом № 23/1)</t>
  </si>
  <si>
    <t xml:space="preserve">46993    </t>
  </si>
  <si>
    <t>46992 Узел учета холодной воды и АИИСУВ ( Белинского ул, Дом № 6 )</t>
  </si>
  <si>
    <t xml:space="preserve">46992    </t>
  </si>
  <si>
    <t>46991 Узел учета холодной воды и АИИСУВ ( ул.Белинского, дом № 3 )</t>
  </si>
  <si>
    <t xml:space="preserve">46991    </t>
  </si>
  <si>
    <t>46816 Узел учета холодной воды и АИИСУВ (ул.Энгельса, д.151)</t>
  </si>
  <si>
    <t>24.08.2022</t>
  </si>
  <si>
    <t xml:space="preserve">46816    </t>
  </si>
  <si>
    <t>46815 Узел учета холодной воды и АИИСУВ (ул.Энгельса, д.7/20)</t>
  </si>
  <si>
    <t xml:space="preserve">46815    </t>
  </si>
  <si>
    <t>46814 Узел учета холодной воды и АИИСУВ (ул.Песчаная, д.2)</t>
  </si>
  <si>
    <t xml:space="preserve">46814    </t>
  </si>
  <si>
    <t>46813 Узел учета холодной воды и АИИСУВ (1-й пер.Пестеля, д.28)</t>
  </si>
  <si>
    <t xml:space="preserve">46813    </t>
  </si>
  <si>
    <t>46812 Узел учета холодной воды и АИИСУВ (ул.Маршала Жукова, д.42)</t>
  </si>
  <si>
    <t xml:space="preserve">46812    </t>
  </si>
  <si>
    <t>46811 Узел учета холодной воды и АИИСУВ (ул.Грабцевское шоссе, д.134)</t>
  </si>
  <si>
    <t xml:space="preserve">46811    </t>
  </si>
  <si>
    <t>46808 Узел учета холодной воды и АИИСУВ (ул.Генерала Попова, д.13)</t>
  </si>
  <si>
    <t xml:space="preserve">46808    </t>
  </si>
  <si>
    <t>46807 Узел учета холодной воды и АИИСУВ (ул.Врубовая, д.4)</t>
  </si>
  <si>
    <t xml:space="preserve">46807    </t>
  </si>
  <si>
    <t>46806 Узел учета холодной воды и АИИСУВ (ул.Болотникова, д.11)</t>
  </si>
  <si>
    <t xml:space="preserve">46806    </t>
  </si>
  <si>
    <t>46803 Узел учета холодной воды и АИИСУВ (ул.Баумана, д.4)</t>
  </si>
  <si>
    <t xml:space="preserve">46803    </t>
  </si>
  <si>
    <t>46760 Узел учета холодной воды и АИИСУВ (ул.Хрустальная, д.64)</t>
  </si>
  <si>
    <t>28.07.2022</t>
  </si>
  <si>
    <t xml:space="preserve">46760    </t>
  </si>
  <si>
    <t>46759 Узел учета холодной воды и АИИСУВ (ул.Хрустальная, д.60)</t>
  </si>
  <si>
    <t xml:space="preserve">46759    </t>
  </si>
  <si>
    <t>46758 Узел учета холодной воды и АИИСУВ (ул.Хрустальная, д.54)</t>
  </si>
  <si>
    <t xml:space="preserve">46758    </t>
  </si>
  <si>
    <t>46757 Узел учета холодной воды и АИИСУВ (ул.Суворова, д.60)</t>
  </si>
  <si>
    <t xml:space="preserve">46757    </t>
  </si>
  <si>
    <t>46756 Узел учета холодной воды и АИИСУВ (ул.Первомайская, д.30, ввод 2)</t>
  </si>
  <si>
    <t xml:space="preserve">46756    </t>
  </si>
  <si>
    <t>46755 Узел учета холодной воды и АИИСУВ (ул.Первомайская, д.30, ввод 1)</t>
  </si>
  <si>
    <t xml:space="preserve">46755    </t>
  </si>
  <si>
    <t>46754 Узел учета холодной воды и АИИСУВ (ул.Окружная, д.2, оч.1)</t>
  </si>
  <si>
    <t xml:space="preserve">46754    </t>
  </si>
  <si>
    <t>46753 Узел учета холодной воды и АИИСУВ (ул.Кирова, д.78)</t>
  </si>
  <si>
    <t xml:space="preserve">46753    </t>
  </si>
  <si>
    <t>46752 Узел учета холодной воды и АИИСУВ (ул.Кибальчича, д.22, ввод 2)</t>
  </si>
  <si>
    <t xml:space="preserve">46752    </t>
  </si>
  <si>
    <t>46751 Узел учета холодной воды и АИИСУВ (ул.Кибальчича, д.22, ввод 1)</t>
  </si>
  <si>
    <t xml:space="preserve">46751    </t>
  </si>
  <si>
    <t>46750 Узел учета холодной воды и АИИСУВ (ул.Николо-Козинская, д.22)</t>
  </si>
  <si>
    <t xml:space="preserve">46750    </t>
  </si>
  <si>
    <t>46749 Узел учета холодной воды и АИИСУВ (ул.Знаменская, д.6)</t>
  </si>
  <si>
    <t xml:space="preserve">46749    </t>
  </si>
  <si>
    <t>46748 Узел учета холодной воды и АИИСУВ (ул.Грабцевское шоссе, д.158)</t>
  </si>
  <si>
    <t xml:space="preserve">46748    </t>
  </si>
  <si>
    <t>46747 Узел учета холодной воды и АИИСУВ (ул.Грабцевское шоссе, д.152)</t>
  </si>
  <si>
    <t xml:space="preserve">46747    </t>
  </si>
  <si>
    <t>46746 Узел учета холодной воды и АИИСУВ (ул.Грабцевское шоссе, д.150)</t>
  </si>
  <si>
    <t xml:space="preserve">46746    </t>
  </si>
  <si>
    <t>46745 Узел учета холодной воды и АИИСУВ (ул.Веры Андриановой, д.22)</t>
  </si>
  <si>
    <t xml:space="preserve">46745    </t>
  </si>
  <si>
    <t>ООО "Арчер" по сч.220101-2 от 18.04.22 и сч.220101</t>
  </si>
  <si>
    <t>46551 Стеллаж с дверями</t>
  </si>
  <si>
    <t>28.06.2022</t>
  </si>
  <si>
    <t xml:space="preserve">46551    </t>
  </si>
  <si>
    <t>46676 Узел учета холодной воды и АИИСУВ (ул.Центральная, д.20)</t>
  </si>
  <si>
    <t>15.06.2022</t>
  </si>
  <si>
    <t xml:space="preserve">46676    </t>
  </si>
  <si>
    <t>46675 Узел учета холодной воды и АИИСУВ (ул.Центральная, д.18)</t>
  </si>
  <si>
    <t xml:space="preserve">46675    </t>
  </si>
  <si>
    <t>46674 Узел учета холодной воды и АИИСУВ (ул.Светлая, д.8)</t>
  </si>
  <si>
    <t xml:space="preserve">46674    </t>
  </si>
  <si>
    <t>46673 Узел учета холодной воды и АИИСУВ (ул.Светлая, д.6)</t>
  </si>
  <si>
    <t xml:space="preserve">46673    </t>
  </si>
  <si>
    <t>46672 Узел учета холодной воды и АИИСУВ (ул.Калужского Ополчения, д.3, к.2)</t>
  </si>
  <si>
    <t xml:space="preserve">46672    </t>
  </si>
  <si>
    <t>46671 Узел учета холодной воды и АИИСУВ (ул.Грабцевское шоссе, д.128, к.1)</t>
  </si>
  <si>
    <t xml:space="preserve">46671    </t>
  </si>
  <si>
    <t>46670 Узел учета холодной воды и АИИСУВ (ул.Грабцевское шоссе, д.154)</t>
  </si>
  <si>
    <t xml:space="preserve">46670    </t>
  </si>
  <si>
    <t>46669 Узел учета холодной воды и АИИСУВ (ул.Суворова, д.52)</t>
  </si>
  <si>
    <t xml:space="preserve">46669    </t>
  </si>
  <si>
    <t>46564 Узел учета холодной воды и АИИСУВ (ул.Турынинская, д.10)</t>
  </si>
  <si>
    <t xml:space="preserve">46564    </t>
  </si>
  <si>
    <t>46563 Узел учета холодной воды и АИИСУВ (пер.Теренинский, д.8)</t>
  </si>
  <si>
    <t xml:space="preserve">46563    </t>
  </si>
  <si>
    <t>46562 Узел учета холодной воды и АИИСУВ (пл.Победы, д.15)</t>
  </si>
  <si>
    <t xml:space="preserve">46562    </t>
  </si>
  <si>
    <t>46561 Узел учета холодной воды и АИИСУВ (ул.Октябрьская, д.48 ввод 2)</t>
  </si>
  <si>
    <t xml:space="preserve">46561    </t>
  </si>
  <si>
    <t>46560 Узел учета холодной воды и АИИСУВ (ул.Октябрьская, д.48 ввод 1)</t>
  </si>
  <si>
    <t xml:space="preserve">46560    </t>
  </si>
  <si>
    <t>46559 Узел учета холодной воды и АИИСУВ (ул.Маяковского, д.37)</t>
  </si>
  <si>
    <t xml:space="preserve">46559    </t>
  </si>
  <si>
    <t>46558 Узел учета холодной воды и АИИСУВ (ул.Калужского Ополчения, д.3 к.1)</t>
  </si>
  <si>
    <t xml:space="preserve">46558    </t>
  </si>
  <si>
    <t>46557 Узел учета холодной воды и АИИСУВ (ул.Знаменская, д.4 к.2)</t>
  </si>
  <si>
    <t xml:space="preserve">46557    </t>
  </si>
  <si>
    <t>46556 Узел учета холодной воды и АИИСУВ (ул.Знаменская, д.4 к.1)</t>
  </si>
  <si>
    <t xml:space="preserve">46556    </t>
  </si>
  <si>
    <t>46555 Узел учета холодной воды и АИИСУВ (ул.Звездная, д.29)</t>
  </si>
  <si>
    <t xml:space="preserve">46555    </t>
  </si>
  <si>
    <t>46554 Узел учета холодной воды и АИИСУВ (ул.Звездная, д.28)</t>
  </si>
  <si>
    <t xml:space="preserve">46554    </t>
  </si>
  <si>
    <t>46553 Узел учета холодной воды и АИИСУВ (ул.Дачная, д.4 а)</t>
  </si>
  <si>
    <t xml:space="preserve">46553    </t>
  </si>
  <si>
    <t>46552 Узел учета холодной воды и АИИСУВ (ул.Кирова, д.67 а)</t>
  </si>
  <si>
    <t xml:space="preserve">46552    </t>
  </si>
  <si>
    <t>46435 Узел учета холодной воды и АИИСУВ (ул.Тульская, д.19)</t>
  </si>
  <si>
    <t xml:space="preserve">46435    </t>
  </si>
  <si>
    <t>46434 Узел учета холодной воды и АИИСУВ (ул.Окружная, д.6)</t>
  </si>
  <si>
    <t xml:space="preserve">46434    </t>
  </si>
  <si>
    <t>46433 Узел учета холодной воды и АИИСУВ (ул.Окружная, д.4/2)</t>
  </si>
  <si>
    <t xml:space="preserve">46433    </t>
  </si>
  <si>
    <t>46432 Узел учета холодной воды и АИИСУВ (ул.Московская, д.315, к.5)</t>
  </si>
  <si>
    <t xml:space="preserve">46432    </t>
  </si>
  <si>
    <t>46431 Узел учета холодной воды и АИИСУВ (ул.Молодежная, д.44)</t>
  </si>
  <si>
    <t xml:space="preserve">46431    </t>
  </si>
  <si>
    <t>46430 Узел учета холодной воды и АИИСУВ (ул.Маяковского, д.49)</t>
  </si>
  <si>
    <t xml:space="preserve">46430    </t>
  </si>
  <si>
    <t>46429 Узел учета холодной воды и АИИСУВ (ул.Маяковского, д.45)</t>
  </si>
  <si>
    <t xml:space="preserve">46429    </t>
  </si>
  <si>
    <t>46428 Узел учета холодной воды и АИИСУВ (ул.Маяковского, д.43)</t>
  </si>
  <si>
    <t xml:space="preserve">46428    </t>
  </si>
  <si>
    <t>46427 Узел учета холодной воды и АИИСУВ (ул.Маяковского, д.41)</t>
  </si>
  <si>
    <t xml:space="preserve">46427    </t>
  </si>
  <si>
    <t>46426 Узел учета холодной воды и АИИСУВ (ул.Кирова, д.80)</t>
  </si>
  <si>
    <t xml:space="preserve">46426    </t>
  </si>
  <si>
    <t>46425 Узел учета холодной воды и АИИСУВ (ул.Кирова, д.74)</t>
  </si>
  <si>
    <t xml:space="preserve">46425    </t>
  </si>
  <si>
    <t>46424 Узел учета холодной воды и АИИСУВ (ул.Кирова, д.70)</t>
  </si>
  <si>
    <t xml:space="preserve">46424    </t>
  </si>
  <si>
    <t>46423 Узел учета холодной воды и АИИСУВ (ул.Дачная, д.20)</t>
  </si>
  <si>
    <t xml:space="preserve">46423    </t>
  </si>
  <si>
    <t>46422 Узел учета холодной воды и АИИСУВ (ул.Дачная, д.18)</t>
  </si>
  <si>
    <t xml:space="preserve">46422    </t>
  </si>
  <si>
    <t>46421 Узел учета холодной воды и АИИСУВ (ул.Гурьянова, д.12, к.2)</t>
  </si>
  <si>
    <t xml:space="preserve">46421    </t>
  </si>
  <si>
    <t>46420 Узел учета холодной воды и АИИСУВ (Грабцевское шоссе, д.122)</t>
  </si>
  <si>
    <t xml:space="preserve">46420    </t>
  </si>
  <si>
    <t>46419 Узел учета холодной воды и АИИСУВ (Грабцевское шоссе, д.118)</t>
  </si>
  <si>
    <t xml:space="preserve">46419    </t>
  </si>
  <si>
    <t>46418 Узел учета холодной воды и АИИСУВ (Грабцевское шоссе, д.112)</t>
  </si>
  <si>
    <t xml:space="preserve">46418    </t>
  </si>
  <si>
    <t>46417 Узел учета холодной воды и АИИСУВ (Грабцевское шоссе, д.110)</t>
  </si>
  <si>
    <t xml:space="preserve">46417    </t>
  </si>
  <si>
    <t>46416 Узел учета холодной воды и АИИСУВ (Грабцевское шоссе, д.108)</t>
  </si>
  <si>
    <t xml:space="preserve">46416    </t>
  </si>
  <si>
    <t>46415 Узел учета холодной воды и АИИСУВ (ул.Генерала Попова, д.16)</t>
  </si>
  <si>
    <t xml:space="preserve">46415    </t>
  </si>
  <si>
    <t>46414 Узел учета холодной воды и АИИСУВ (ул.Генерала Попова, д.7)</t>
  </si>
  <si>
    <t xml:space="preserve">46414    </t>
  </si>
  <si>
    <t>46413 Узел учета холодной воды и АИИСУВ (ул.Генерала Попова, д.2/1, к.3)</t>
  </si>
  <si>
    <t xml:space="preserve">46413    </t>
  </si>
  <si>
    <t>46412 Узел учета холодной воды и АИИСУВ (ул.Врубовая, д.45)</t>
  </si>
  <si>
    <t xml:space="preserve">46412    </t>
  </si>
  <si>
    <t>46411 Узел учета холодной воды и АИИСУВ (пер.Вагонный, д.15)</t>
  </si>
  <si>
    <t xml:space="preserve">46411    </t>
  </si>
  <si>
    <t>46410 Узел учета холодной воды и АИИСУВ (ул.Маяковского, д.47)</t>
  </si>
  <si>
    <t xml:space="preserve">46410    </t>
  </si>
  <si>
    <t>46457 Узел учета холодной воды и АИИСУВ (ул.Циолковского, д.67, к.1)</t>
  </si>
  <si>
    <t>22.04.2022</t>
  </si>
  <si>
    <t xml:space="preserve">46457    </t>
  </si>
  <si>
    <t>46456 Узел учета холодной воды и АИИСУВ (ул.Кирова, д.67)</t>
  </si>
  <si>
    <t xml:space="preserve">46456    </t>
  </si>
  <si>
    <t>46453 Узел учета холодной воды и АИИСУВ (ул.Звездная, д.19 а)</t>
  </si>
  <si>
    <t xml:space="preserve">46453    </t>
  </si>
  <si>
    <t>46452 Узел учета холодной воды и АИИСУВ (ул.Генерала Попова, д.8)</t>
  </si>
  <si>
    <t xml:space="preserve">46452    </t>
  </si>
  <si>
    <t>46451 Узел учета холодной воды и АИИСУВ (ул.Болотникова, д.14)</t>
  </si>
  <si>
    <t xml:space="preserve">46451    </t>
  </si>
  <si>
    <t>46450 Узел учета холодной воды и АИИСУВ (ул.Герцена, д.29)</t>
  </si>
  <si>
    <t xml:space="preserve">46450    </t>
  </si>
  <si>
    <t>46449 Узел учета холодной воды и АИИСУВ (ул.Генерала Попова, д.18)</t>
  </si>
  <si>
    <t xml:space="preserve">46449    </t>
  </si>
  <si>
    <t>46448 Узел учета холодной воды и АИИСУВ (ул.Генерала Попова, д.9)</t>
  </si>
  <si>
    <t xml:space="preserve">46448    </t>
  </si>
  <si>
    <t>46447 Узел учета холодной воды и АИИСУВ (ул.Генерала Попова, д.8 а)</t>
  </si>
  <si>
    <t xml:space="preserve">46447    </t>
  </si>
  <si>
    <t>46446 Узел учета холодной воды и АИИСУВ (ул.Генерала Попова, д.5)</t>
  </si>
  <si>
    <t xml:space="preserve">46446    </t>
  </si>
  <si>
    <t>46445 Узел учета холодной воды и АИИСУВ (ул.Генерала Попова, д.2/1, к.4)</t>
  </si>
  <si>
    <t xml:space="preserve">46445    </t>
  </si>
  <si>
    <t>46444 Узел учета холодной воды и АИИСУВ (пер.Воскресенский, д.19)</t>
  </si>
  <si>
    <t xml:space="preserve">46444    </t>
  </si>
  <si>
    <t>46443 Узел учета холодной воды и АИИСУВ (ул.Вооруженного Восстания, Дом №1)</t>
  </si>
  <si>
    <t xml:space="preserve">46443    </t>
  </si>
  <si>
    <t>46442 Узел учета холодной воды и АИИСУВ (пер.Воинский, д.6)</t>
  </si>
  <si>
    <t xml:space="preserve">46442    </t>
  </si>
  <si>
    <t>46441 Узел учета холодной воды и АИИСУВ (ул.Вилонова, д.38)</t>
  </si>
  <si>
    <t xml:space="preserve">46441    </t>
  </si>
  <si>
    <t>46440 Узел учета холодной воды и АИИСУВ (ул.Веры Андриановой, д.64)</t>
  </si>
  <si>
    <t xml:space="preserve">46440    </t>
  </si>
  <si>
    <t>46439 Узел учета холодной воды и АИИСУВ (ул.Валентины Никитиной, д.47, к.1)</t>
  </si>
  <si>
    <t xml:space="preserve">46439    </t>
  </si>
  <si>
    <t>46438 Узел учета холодной воды и АИИСУВ (ул.Валентины Никитиной, д.33)</t>
  </si>
  <si>
    <t xml:space="preserve">46438    </t>
  </si>
  <si>
    <t>46437 Узел учета холодной воды и АИИСУВ (ул.Валентины Никитиной, д.29)</t>
  </si>
  <si>
    <t xml:space="preserve">46437    </t>
  </si>
  <si>
    <t>46436 Узел учета холодной воды и АИИСУВ (ул.Большевиков, д.2)</t>
  </si>
  <si>
    <t xml:space="preserve">46436    </t>
  </si>
  <si>
    <t>46140 Узел учета холодной воды и АИИСУВ (ул.Турынинская, д.11)</t>
  </si>
  <si>
    <t xml:space="preserve">46140    </t>
  </si>
  <si>
    <t>46139 Узел учета холодной воды и АИИСУВ (ул.Промежуточная, д.9)</t>
  </si>
  <si>
    <t xml:space="preserve">46139    </t>
  </si>
  <si>
    <t>46138 Узел учета холодной воды и АИИСУВ (ул.Московская, д.309, к.1)</t>
  </si>
  <si>
    <t xml:space="preserve">46138    </t>
  </si>
  <si>
    <t>46124 Узел учета холодной воды и АИИСУВ (ул.Московская, д.214)</t>
  </si>
  <si>
    <t xml:space="preserve">46124    </t>
  </si>
  <si>
    <t>46123 Узел учета холодной воды и АИИСУВ (ул.Окружная, д.10, 2-й ввод)</t>
  </si>
  <si>
    <t xml:space="preserve">46123    </t>
  </si>
  <si>
    <t>45979 Узел учета холодной воды и АИИСУВ (ул.Тельмана, д.35, п.2, 3)</t>
  </si>
  <si>
    <t xml:space="preserve">45979    </t>
  </si>
  <si>
    <t>45978 Узел учета холодной воды и АИИСУВ (ул.Тельмана, д.35, п.1)</t>
  </si>
  <si>
    <t xml:space="preserve">45978    </t>
  </si>
  <si>
    <t>45977 Узел учета холодной воды и АИИСУВ (ул.Кубяка, д.16)</t>
  </si>
  <si>
    <t xml:space="preserve">45977    </t>
  </si>
  <si>
    <t>45976 Узел учета холодной воды и АИИСУВ (ул.Кубяка, д.9, к.4)</t>
  </si>
  <si>
    <t xml:space="preserve">45976    </t>
  </si>
  <si>
    <t>45975 Узел учета холодной воды и АИИСУВ (ул.Кубяка, д.9, к.3)</t>
  </si>
  <si>
    <t xml:space="preserve">45975    </t>
  </si>
  <si>
    <t>45974 Узел учета холодной воды и АИИСУВ (ул.Кубяка, д.9, к.2)</t>
  </si>
  <si>
    <t xml:space="preserve">45974    </t>
  </si>
  <si>
    <t>45973 Узел учета холодной воды и АИИСУВ (ул.Дзержинского, д.92, к.2)</t>
  </si>
  <si>
    <t xml:space="preserve">45973    </t>
  </si>
  <si>
    <t>45965 Узел учета холодной воды и АИИСУВ (ул.Турынинская, д.17)</t>
  </si>
  <si>
    <t>01.11.2021</t>
  </si>
  <si>
    <t xml:space="preserve">45965    </t>
  </si>
  <si>
    <t>45964 Узел учета холодной воды и АИИСУВ (ул.Пестеля, д.32 б)</t>
  </si>
  <si>
    <t xml:space="preserve">45964    </t>
  </si>
  <si>
    <t>45963 Узел учета холодной воды и АИИСУВ (ул.Советская, д.34)</t>
  </si>
  <si>
    <t xml:space="preserve">45963    </t>
  </si>
  <si>
    <t>45962 Узел учета холодной воды и АИИСУВ (ул.Кубяка, д.9)</t>
  </si>
  <si>
    <t xml:space="preserve">45962    </t>
  </si>
  <si>
    <t>45961 Узел учета холодной воды и АИИСУВ (ул.Кубяка, д.7)</t>
  </si>
  <si>
    <t xml:space="preserve">45961    </t>
  </si>
  <si>
    <t>45960 Узел учета холодной воды и АИИСУВ (ул.Кубяка, д.6)</t>
  </si>
  <si>
    <t xml:space="preserve">45960    </t>
  </si>
  <si>
    <t>45959 Узел учета холодной воды и АИИСУВ (ул.Кибальчича, д.24)</t>
  </si>
  <si>
    <t xml:space="preserve">45959    </t>
  </si>
  <si>
    <t>45958 Узел учета холодной воды и АИИСУВ (ул.Звездная, д.22)</t>
  </si>
  <si>
    <t xml:space="preserve">45958    </t>
  </si>
  <si>
    <t>45957 Узел учета холодной воды и АИИСУВ (ул.Звездная, д.21)</t>
  </si>
  <si>
    <t xml:space="preserve">45957    </t>
  </si>
  <si>
    <t>45956 Узел учета холодной воды и АИИСУВ (ул.Звездная, д.5)</t>
  </si>
  <si>
    <t xml:space="preserve">45956    </t>
  </si>
  <si>
    <t>45955 Узел учета холодной воды и АИИСУВ (ул.Дзержинского, д.92 б)</t>
  </si>
  <si>
    <t xml:space="preserve">45955    </t>
  </si>
  <si>
    <t>45954 Узел учета холодной воды и АИИСУВ (бульвар Байконур, д.1)</t>
  </si>
  <si>
    <t xml:space="preserve">45954    </t>
  </si>
  <si>
    <t>45845 Узел учета холодной воды и АИИСУВ (ул.Тельмана, д.33)</t>
  </si>
  <si>
    <t>01.10.2021</t>
  </si>
  <si>
    <t xml:space="preserve">45845    </t>
  </si>
  <si>
    <t>45844 Узел учета холодной воды и АИИСУВ (ул.Вишневского, д.3а)</t>
  </si>
  <si>
    <t xml:space="preserve">45844    </t>
  </si>
  <si>
    <t>45843 Узел учета холодной воды и АИИСУВ (ул.Кубяка, д.3а)</t>
  </si>
  <si>
    <t xml:space="preserve">45843    </t>
  </si>
  <si>
    <t>45842 Узел учета холодной воды и АИИСУВ (ул.Нижняя Усадебная, д.2)</t>
  </si>
  <si>
    <t xml:space="preserve">45842    </t>
  </si>
  <si>
    <t>45841 Узел учета холодной воды и АИИСУВ (ул.Пролетарская, д.21а)</t>
  </si>
  <si>
    <t xml:space="preserve">45841    </t>
  </si>
  <si>
    <t>45840 Узел учета холодной воды и АИИСУВ (ул.Октябрьская, д.3)</t>
  </si>
  <si>
    <t xml:space="preserve">45840    </t>
  </si>
  <si>
    <t>45839 Узел учета холодной воды и АИИСУВ (ул.Байконурская, д.11)</t>
  </si>
  <si>
    <t xml:space="preserve">45839    </t>
  </si>
  <si>
    <t>45674 Моноблок Lenovo V30a-24IML Black 23.8" FHD i5-10210U/8Gb/512Gb SSD/DVDRW/DOS/k+m</t>
  </si>
  <si>
    <t>01.09.2021</t>
  </si>
  <si>
    <t xml:space="preserve">45674    </t>
  </si>
  <si>
    <t>45656 Узел учета холодной воды и АИИСУВ (ул.Чичерина, д.1/5)</t>
  </si>
  <si>
    <t xml:space="preserve">45656    </t>
  </si>
  <si>
    <t>45655 Узел учета холодной воды и АИИСУВ (ул.Турынинская, д.8)</t>
  </si>
  <si>
    <t xml:space="preserve">45655    </t>
  </si>
  <si>
    <t>45654 Узел учета холодной воды и АИИСУВ (ул.Звездная, д.12)</t>
  </si>
  <si>
    <t xml:space="preserve">45654    </t>
  </si>
  <si>
    <t>45684 Узел учета холодной воды и АИИСУВ (ул.Новаторская, д.5/1)</t>
  </si>
  <si>
    <t xml:space="preserve">45684    </t>
  </si>
  <si>
    <t>45683 Узел учета холодной воды и АИИСУВ (ул.Звездная, д.1)</t>
  </si>
  <si>
    <t xml:space="preserve">45683    </t>
  </si>
  <si>
    <t>45682 Узел учета холодной воды и АИИСУВ (ул.Звездная, д.11)</t>
  </si>
  <si>
    <t xml:space="preserve">45682    </t>
  </si>
  <si>
    <t>45681 Узел учета холодной воды и АИИСУВ (ул.Глаголева, д.6)</t>
  </si>
  <si>
    <t xml:space="preserve">45681    </t>
  </si>
  <si>
    <t>45680 Узел учета холодной воды и АИИСУВ (ул.Ленина, д.26 а)</t>
  </si>
  <si>
    <t xml:space="preserve">45680    </t>
  </si>
  <si>
    <t>45679 Узел учета холодной воды и АИИСУВ (ул.Турынинская, д.14)</t>
  </si>
  <si>
    <t xml:space="preserve">45679    </t>
  </si>
  <si>
    <t>45678 Узел учета холодной воды и АИИСУВ (ул.Маяковского, д.35а)</t>
  </si>
  <si>
    <t xml:space="preserve">45678    </t>
  </si>
  <si>
    <t>45677 Узел учета холодной воды и АИИСУВ (ул.Гвардейская, д.1)</t>
  </si>
  <si>
    <t xml:space="preserve">45677    </t>
  </si>
  <si>
    <t>45676 Узел учета холодной воды и АИИСУВ (ул.Гвардейская, д.3)</t>
  </si>
  <si>
    <t xml:space="preserve">45676    </t>
  </si>
  <si>
    <t>45675 Узел учета холодной воды и АИИСУВ (ул.Турынинская, д.9)</t>
  </si>
  <si>
    <t xml:space="preserve">45675    </t>
  </si>
  <si>
    <t>45618 Узел учета холодной воды и АИИСУВ (пл.Победы, д.3)</t>
  </si>
  <si>
    <t>04.08.2021</t>
  </si>
  <si>
    <t xml:space="preserve">45618    </t>
  </si>
  <si>
    <t>45617 Узел учета холодной воды и АИИСУВ (ул.Звездная, д.19)</t>
  </si>
  <si>
    <t xml:space="preserve">45617    </t>
  </si>
  <si>
    <t>45616 Узел учета холодной воды и АИИСУВ (ул.Звездная, д.14)</t>
  </si>
  <si>
    <t xml:space="preserve">45616    </t>
  </si>
  <si>
    <t>45615 Узел учета холодной воды и АИИСУВ (ул.Звездная, д.13)</t>
  </si>
  <si>
    <t xml:space="preserve">45615    </t>
  </si>
  <si>
    <t>45614 Узел учета холодной воды и АИИСУВ (ул.Ленина, д.58, к.1)</t>
  </si>
  <si>
    <t xml:space="preserve">45614    </t>
  </si>
  <si>
    <t>45613 Узел учета холодной воды и АИИСУВ (ул.Ленина, д.42)</t>
  </si>
  <si>
    <t xml:space="preserve">45613    </t>
  </si>
  <si>
    <t>45612 Узел учета холодной воды и АИИСУВ (ул.Московская, д.178)</t>
  </si>
  <si>
    <t xml:space="preserve">45612    </t>
  </si>
  <si>
    <t>45611 Узел учета холодной воды и АИИСУВ (ул.Окружная, д.10)</t>
  </si>
  <si>
    <t xml:space="preserve">45611    </t>
  </si>
  <si>
    <t>по дог.Т/985-ЭК от 14.04.20</t>
  </si>
  <si>
    <t>45610 Узел учета холодной воды и АИИСУВ (ул.Турынинская, д.16)</t>
  </si>
  <si>
    <t xml:space="preserve">45610    </t>
  </si>
  <si>
    <t>Т/985-ЭК от 14.04.2020</t>
  </si>
  <si>
    <t>45609 Узел учета холодной воды и АИИСУВ (ул.Турынинская, д.12)</t>
  </si>
  <si>
    <t xml:space="preserve">45609    </t>
  </si>
  <si>
    <t>45457 Узел учета холодной воды и АИИСУВ (ул.В.Андриановой, д.5а)</t>
  </si>
  <si>
    <t xml:space="preserve">45457    </t>
  </si>
  <si>
    <t>45456 Узел учета холодной воды и АИИСУВ (мкрн.Куровской, котельная Теплость)</t>
  </si>
  <si>
    <t xml:space="preserve">45456    </t>
  </si>
  <si>
    <t>45455 Узел учета холодной воды и АИИСУВ (д.Шопино, котельная Теплость)</t>
  </si>
  <si>
    <t xml:space="preserve">45455    </t>
  </si>
  <si>
    <t>45454 Узел учета холодной воды и АИИСУВ (ул.Тарутинская, д.171)</t>
  </si>
  <si>
    <t xml:space="preserve">45454    </t>
  </si>
  <si>
    <t>45453 Узел учета холодной воды и АИИСУВ (ул.Гвардейская, д.12)</t>
  </si>
  <si>
    <t xml:space="preserve">45453    </t>
  </si>
  <si>
    <t>45452 Узел учета холодной воды и АИИСУВ (ул.Вишневского, д.3)</t>
  </si>
  <si>
    <t xml:space="preserve">45452    </t>
  </si>
  <si>
    <t>45451 Узел учета холодной воды и АИИСУВ (ул.Кубяка, д.11)</t>
  </si>
  <si>
    <t xml:space="preserve">45451    </t>
  </si>
  <si>
    <t>45450 Узел учета холодной воды и АИИСУВ (ул.Кубяка, д.18)</t>
  </si>
  <si>
    <t xml:space="preserve">45450    </t>
  </si>
  <si>
    <t>45449 Узел учета холодной воды и АИИСУВ (ул.Кубяка, д.17)</t>
  </si>
  <si>
    <t xml:space="preserve">45449    </t>
  </si>
  <si>
    <t>45448 Узел учета холодной воды и АИИСУВ (ул.Кубяка, д.14)</t>
  </si>
  <si>
    <t xml:space="preserve">45448    </t>
  </si>
  <si>
    <t>45447 Узел учета холодной воды и АИИСУВ (ул.Кубяка, д.13)</t>
  </si>
  <si>
    <t xml:space="preserve">45447    </t>
  </si>
  <si>
    <t>45446 Узел учета холодной воды и АИИСУВ (ул.Кубяка, д.5)</t>
  </si>
  <si>
    <t xml:space="preserve">45446    </t>
  </si>
  <si>
    <t>45445 Узел учета холодной воды и АИИСУВ (ул.Кубяка, д.4)</t>
  </si>
  <si>
    <t xml:space="preserve">45445    </t>
  </si>
  <si>
    <t>45285 Узел учета холодной воды и АИИСУВ (Пионерская д.13/18)</t>
  </si>
  <si>
    <t xml:space="preserve">45285    </t>
  </si>
  <si>
    <t>45284 Узел учета холодной воды и АИИСУВ (Калинина д.18)</t>
  </si>
  <si>
    <t xml:space="preserve">45284    </t>
  </si>
  <si>
    <t>45232 Узел учета холодной воды и АИИСУВ (ул.Дорожная. д.21)</t>
  </si>
  <si>
    <t xml:space="preserve">45232    </t>
  </si>
  <si>
    <t>45231 Узел учета холодной воды и АИИСУВ (ул.Советская. д.20в)</t>
  </si>
  <si>
    <t xml:space="preserve">45231    </t>
  </si>
  <si>
    <t>45230 Узел учета холодной воды и АИИСУВ (Одоевское ш. д.5а)</t>
  </si>
  <si>
    <t xml:space="preserve">45230    </t>
  </si>
  <si>
    <t>45229 Узел учета холодной воды и АИИСУВ (пл.Победы, д.5)</t>
  </si>
  <si>
    <t xml:space="preserve">45229    </t>
  </si>
  <si>
    <t>45228 Узел учета холодной воды и АИИСУВ (пл.Победы, д.4)</t>
  </si>
  <si>
    <t xml:space="preserve">45228    </t>
  </si>
  <si>
    <t>45227 Узел учета холодной воды и АИИСУВ (ул.Хрустальная, д.72)</t>
  </si>
  <si>
    <t xml:space="preserve">45227    </t>
  </si>
  <si>
    <t>45226 Узел учета холодной воды и АИИСУВ (ул.Хрустальная, д.58)</t>
  </si>
  <si>
    <t xml:space="preserve">45226    </t>
  </si>
  <si>
    <t>дог.Т/985-ЭК от 14.04.20</t>
  </si>
  <si>
    <t>45170 Узел учета холодной воды и АИИСУВ (ул.Калинина, д.23)</t>
  </si>
  <si>
    <t xml:space="preserve">45170    </t>
  </si>
  <si>
    <t>Т-680-ЕД от 27.08.19</t>
  </si>
  <si>
    <t>43460 МФУ лазерный Kyosera Color M8130cidn (1102P33NLO) A3 Duplex Net белый</t>
  </si>
  <si>
    <t>29.08.2019</t>
  </si>
  <si>
    <t xml:space="preserve">43460    </t>
  </si>
  <si>
    <t>Дирекция по сбыту</t>
  </si>
  <si>
    <t>Узлы учета воды</t>
  </si>
  <si>
    <t>47395 Насос ЭЦВ 10-65-100 нро (ЛН) на арт.скв. №22 Южный в/з</t>
  </si>
  <si>
    <t xml:space="preserve">47395    </t>
  </si>
  <si>
    <t>47394 Насос ЭЦВ 10-65-100 (нро) агрегат 33 кВт (ЛН) на арт.скв. №12 Южный в/з</t>
  </si>
  <si>
    <t xml:space="preserve">47394    </t>
  </si>
  <si>
    <t>ППАаз294 _Горуправа_Договор аренды 602/22/ПР от 07.12.2022_кадастровый номер_40:25:000138:1076</t>
  </si>
  <si>
    <t>07.12.2022</t>
  </si>
  <si>
    <t xml:space="preserve"> ППАаз294</t>
  </si>
  <si>
    <t xml:space="preserve">№Т/2379-ЕД от 04.08.22 </t>
  </si>
  <si>
    <t>47037 Насос Д 200-36 агрегат АИР 200М4 37 кВт 1500об/мин (ЛГМ) Б. Малинники</t>
  </si>
  <si>
    <t xml:space="preserve">47037    </t>
  </si>
  <si>
    <t>Счет №2007-131000-01194 от 15.07.20</t>
  </si>
  <si>
    <t>47036 Насос погружной Джилекс</t>
  </si>
  <si>
    <t xml:space="preserve">47036    </t>
  </si>
  <si>
    <t>46926 Насос (агрегат) ЭЦВ 5-4-75 на арт. скв. №1 Кемпинг-Угра (Южный в/з)</t>
  </si>
  <si>
    <t xml:space="preserve">46926    </t>
  </si>
  <si>
    <t>46399 Насос (агрегат) ЭЦВ 6-10-110</t>
  </si>
  <si>
    <t xml:space="preserve">46399    </t>
  </si>
  <si>
    <t>42459_разведочно-эксплуатационная скважина №21262/№3_КАЛУГА, водозаборОЖД (подножье Яченки</t>
  </si>
  <si>
    <t xml:space="preserve">42459_   </t>
  </si>
  <si>
    <t>42458_разведочно-эксплуатационная скважина №21261/№2_КАЛУГА, водозаборОЖД (подзавалье 300</t>
  </si>
  <si>
    <t xml:space="preserve">42458_   </t>
  </si>
  <si>
    <t>42457_разведочно-эксплуатационная скважина (№21260) №1_КАЛУГА, водозабор ОДЖ (Позавалье у</t>
  </si>
  <si>
    <t xml:space="preserve">42457_   </t>
  </si>
  <si>
    <t>41969_Артезианская скважина №1689 Плетеневского водозабора (г. Калуга, д.Плетеневка, ул.То</t>
  </si>
  <si>
    <t xml:space="preserve">41969_   </t>
  </si>
  <si>
    <t>город Калуга, с. Сосновый бор</t>
  </si>
  <si>
    <t>41967_Артезианская скважина №1 (Лит.I) г.Калуга, с.Сосновый бор</t>
  </si>
  <si>
    <t xml:space="preserve">41967_   </t>
  </si>
  <si>
    <t>ППАаз135 _Калуга МЭР_Договор аренды 2822 от 04.09.2002_кадастровый номер_40:26:000147:5</t>
  </si>
  <si>
    <t xml:space="preserve"> ППАаз135</t>
  </si>
  <si>
    <t>ППАаз134 _Калуга МЭР_Договор аренды 2821 от 04.09.2002_кадастровый номер_40:26:000337:1</t>
  </si>
  <si>
    <t xml:space="preserve"> ППАаз134</t>
  </si>
  <si>
    <t>ППАаз133 _Калуга МЭР_Договор аренды 2819 от 04.09.2002_кадастровый номер_40:26:000178:3</t>
  </si>
  <si>
    <t xml:space="preserve"> ППАаз133</t>
  </si>
  <si>
    <t>ППАаз132 _Калуга МЭР_Договор аренды 2682 от 15.07.2002_кадастровый номер_40:25:000146:5</t>
  </si>
  <si>
    <t xml:space="preserve"> ППАаз132</t>
  </si>
  <si>
    <t>ППАаз126 _Калуга МЭР_Договор аренды 1133/09 от 14.12.2009_кадастровый номер_40:26:000178:59</t>
  </si>
  <si>
    <t xml:space="preserve"> ППАаз126</t>
  </si>
  <si>
    <t>ППАаз125 _Калуга МЭР_Договор аренды 1033/09 от 11.11.2009_кадастровый номер_40:26:000316:59</t>
  </si>
  <si>
    <t xml:space="preserve"> ППАаз125</t>
  </si>
  <si>
    <t>ППАаз110 _Калуга МЭР_Договор аренды 309 от 23.06.2015_кадастровый номер_40:26:000075:13</t>
  </si>
  <si>
    <t xml:space="preserve"> ППАаз110</t>
  </si>
  <si>
    <t>ППАаз107 _Калуга МЭР_Договор аренды 297 от 25.12.2014_кадастровый номер_40:25:000130:876</t>
  </si>
  <si>
    <t xml:space="preserve"> ППАаз107</t>
  </si>
  <si>
    <t>ППАаз106 _Калуга МЭР_Договор аренды 269/08 от 26.06.2008_кадастровый номер_40:26:000292:378</t>
  </si>
  <si>
    <t xml:space="preserve"> ППАаз106</t>
  </si>
  <si>
    <t>ППАаз074 _Калуга МЭР_Договор аренды 2820 от 04.09.2002_кадастровый номер_40:26:000000:2</t>
  </si>
  <si>
    <t xml:space="preserve"> ППАаз074</t>
  </si>
  <si>
    <t>ППАаз050 _Горуправа_Договор аренды 707/21 от 12.11.2021_кадастровый номер_40:25:000130:2603</t>
  </si>
  <si>
    <t xml:space="preserve"> ППАаз050</t>
  </si>
  <si>
    <t>ППАаз048 _Горуправа_Договор аренды 163/21/Т/1702-ЕД от 05.04.2021_кадастровый номер_40:26:000121:2</t>
  </si>
  <si>
    <t xml:space="preserve"> ППАаз048</t>
  </si>
  <si>
    <t>ППАаз047 _Горуправа_Договор аренды 235/14 от 08.05.2014_кадастровый номер_40:25:000130:2604</t>
  </si>
  <si>
    <t xml:space="preserve"> ППАаз047</t>
  </si>
  <si>
    <t>ППАаз046 _Горуправа_Договор аренды 233/14 от 08.05.2014_кадастровый номер_40:25:000130:2599</t>
  </si>
  <si>
    <t xml:space="preserve"> ППАаз046</t>
  </si>
  <si>
    <t>45936 Ограждение скважины № 8 п.Резвань Южного водозабора</t>
  </si>
  <si>
    <t xml:space="preserve">45936    </t>
  </si>
  <si>
    <t>45935 Ограждение скважины № 10 п.Резвань Южного водозабора</t>
  </si>
  <si>
    <t xml:space="preserve">45935    </t>
  </si>
  <si>
    <t>45751 Станция умягчения воды Калуга - Бор</t>
  </si>
  <si>
    <t xml:space="preserve">45751    </t>
  </si>
  <si>
    <t>сч.715/4 от 02.07.21; сч.715/3 от 02.07.21</t>
  </si>
  <si>
    <t>45547 Насос ЭЦВ 10-65-100 нро в комплекте с электродвигателем</t>
  </si>
  <si>
    <t>20.07.2021</t>
  </si>
  <si>
    <t xml:space="preserve">45547    </t>
  </si>
  <si>
    <t>45645 Диспетчеризация расхода и учета воды (АИСКУЭ) на Южном водозаборе</t>
  </si>
  <si>
    <t xml:space="preserve">45645    </t>
  </si>
  <si>
    <t>по сч. №544 от 27.05.2021г.; сч.544/2 от 27.05.202</t>
  </si>
  <si>
    <t>45467 Насос ЭЦВ 10-65-100нро в комплекте с электродвигателем</t>
  </si>
  <si>
    <t>15.06.2021</t>
  </si>
  <si>
    <t xml:space="preserve">45467    </t>
  </si>
  <si>
    <t>45438 Сети водоотведения станции водоочистки г. Калуга, д. Крутицы</t>
  </si>
  <si>
    <t xml:space="preserve">45438    </t>
  </si>
  <si>
    <t>45437 Водопроводная сеть станции водоподготовки г. Калуга, д. Крутицы_83 п..м</t>
  </si>
  <si>
    <t xml:space="preserve">45437    </t>
  </si>
  <si>
    <t>45436 Блок управления, автоматизации, диспетчеризации станции очистки питьевой воды д.Крут</t>
  </si>
  <si>
    <t xml:space="preserve">45436    </t>
  </si>
  <si>
    <t>45435 Станция водоподготовки производительностью 10 м/ч (д.Крутицы)</t>
  </si>
  <si>
    <t xml:space="preserve">45435    </t>
  </si>
  <si>
    <t>45434 Фундамент станции очистки питьевой воды д.Крутицы г.Калуга</t>
  </si>
  <si>
    <t xml:space="preserve">45434    </t>
  </si>
  <si>
    <t>45384 Насос ЭЦВ 10-65-100нро в комплекте с электродвигателем</t>
  </si>
  <si>
    <t>14.05.2021</t>
  </si>
  <si>
    <t xml:space="preserve">45384    </t>
  </si>
  <si>
    <t>сч.25 от 05.02.2021</t>
  </si>
  <si>
    <t>45147 Установка ионообменная DUPLEX 1354/S5ED</t>
  </si>
  <si>
    <t>16.02.2021</t>
  </si>
  <si>
    <t xml:space="preserve">45147    </t>
  </si>
  <si>
    <t>№Т/1090-ЕД от 07.04.20</t>
  </si>
  <si>
    <t>44817 Насос SCP 150/530НА-132/4-Т4-С0/Р0-WMP-REPIE2FС</t>
  </si>
  <si>
    <t>22.12.2020</t>
  </si>
  <si>
    <t xml:space="preserve">44817    </t>
  </si>
  <si>
    <t>дог.Т/1459-ЕД от 05.10.2020</t>
  </si>
  <si>
    <t>44815 Преобразователь частоты ПЧ-ТТПТ-1000-400-50-04 УХЛ4-ЭИН с пультом д/у ПДУ-05</t>
  </si>
  <si>
    <t>21.12.2020</t>
  </si>
  <si>
    <t xml:space="preserve">44815    </t>
  </si>
  <si>
    <t>44810 Насос ЭЦВ 10-65-110 (нро) агрегат 33кВт (ЛН)</t>
  </si>
  <si>
    <t xml:space="preserve">44810    </t>
  </si>
  <si>
    <t>Т/1287-ЕД от 16.07.2020г.</t>
  </si>
  <si>
    <t>44515 Насос 2К100-80-160 с эл. двиг. 15кВт 3000 об/мин, 380В</t>
  </si>
  <si>
    <t xml:space="preserve">44515    </t>
  </si>
  <si>
    <t>44514 Насос 2К100-80-160 с эл. двиг. 15кВт 3000 об/мин, 380В</t>
  </si>
  <si>
    <t xml:space="preserve">44514    </t>
  </si>
  <si>
    <t>Т/1358-ЕД от 10.08.2020</t>
  </si>
  <si>
    <t>44500 Насос 2ЭЦВ 6-16-110</t>
  </si>
  <si>
    <t>09.09.2020</t>
  </si>
  <si>
    <t xml:space="preserve">44500    </t>
  </si>
  <si>
    <t>Т/1187-ЕД от 19.05.2020</t>
  </si>
  <si>
    <t>44264 Электротельфер канатный 13Т10326</t>
  </si>
  <si>
    <t>16.06.2020</t>
  </si>
  <si>
    <t xml:space="preserve">44264    </t>
  </si>
  <si>
    <t>3884/ПР от 03.04.2020</t>
  </si>
  <si>
    <t>43956 Молоток отбойный HM1317СВ</t>
  </si>
  <si>
    <t>08.04.2020</t>
  </si>
  <si>
    <t xml:space="preserve">43956    </t>
  </si>
  <si>
    <t>Т/940-ЕД от 17.01.2020</t>
  </si>
  <si>
    <t>43917 Затвор фланцевый со штурвалом с электроприводом AUMA SA10.2 380V</t>
  </si>
  <si>
    <t>30.01.2020</t>
  </si>
  <si>
    <t xml:space="preserve">43917    </t>
  </si>
  <si>
    <t>43916 Затвор фланцевый со штурвалом с электроприводом AUMA SA10.2 380V</t>
  </si>
  <si>
    <t xml:space="preserve">43916    </t>
  </si>
  <si>
    <t>Т/195-ЭА от 24.12.2018</t>
  </si>
  <si>
    <t>43155 Трансформатор сухой ТСЗ-630/6/0,4 УЗ</t>
  </si>
  <si>
    <t>19.03.2019</t>
  </si>
  <si>
    <t xml:space="preserve">43155    </t>
  </si>
  <si>
    <t>43149 Агрегат 2ЭЦВ 10-120-100 нро</t>
  </si>
  <si>
    <t xml:space="preserve">43149    </t>
  </si>
  <si>
    <t>Т/324-ЕД от 07.02.2018</t>
  </si>
  <si>
    <t>43139 Насос Д 200-36б агрегат АИР 180S4 22 кВт</t>
  </si>
  <si>
    <t xml:space="preserve">43139    </t>
  </si>
  <si>
    <t>644/ПР от 04.12.2018</t>
  </si>
  <si>
    <t>42888 Компрессор METABO MEGA 520/200 D/601541000</t>
  </si>
  <si>
    <t xml:space="preserve">42888    </t>
  </si>
  <si>
    <t>42416 Проезды по территории водозабора д.Мстихино</t>
  </si>
  <si>
    <t xml:space="preserve">42416    </t>
  </si>
  <si>
    <t>42415 Ограждение водозабора д.Мстихино г.Калуга</t>
  </si>
  <si>
    <t xml:space="preserve">42415    </t>
  </si>
  <si>
    <t>42702 Устройство плавного пуска АТS22 480А УПР 220В</t>
  </si>
  <si>
    <t>24.09.2018</t>
  </si>
  <si>
    <t xml:space="preserve">42702    </t>
  </si>
  <si>
    <t>Т/411-ЭА от 10.05.2018</t>
  </si>
  <si>
    <t>42564 Электродвигатель А4-400Х-4УЗ 500/1500</t>
  </si>
  <si>
    <t xml:space="preserve">42564    </t>
  </si>
  <si>
    <t>322/ПР от 23.10.2017</t>
  </si>
  <si>
    <t>42277 Блок управления 293 Magnum 742F 2"</t>
  </si>
  <si>
    <t>30.10.2017</t>
  </si>
  <si>
    <t xml:space="preserve">42277    </t>
  </si>
  <si>
    <t>42159 Резервуар "Айсберг" №2_водозабор д.Мстихино</t>
  </si>
  <si>
    <t xml:space="preserve">42159    </t>
  </si>
  <si>
    <t>42158 Резервуар "Айсберг" №1_водозабор д.Мстихино</t>
  </si>
  <si>
    <t xml:space="preserve">42158    </t>
  </si>
  <si>
    <t>42157 Станция водоподготовки_водозабор д.Мстихино</t>
  </si>
  <si>
    <t xml:space="preserve">42157    </t>
  </si>
  <si>
    <t>42156 Скважина №1_водозабор д.Мстихино</t>
  </si>
  <si>
    <t xml:space="preserve">42156    </t>
  </si>
  <si>
    <t>42155 Насосная станция II подъёма_водозабор д.Мстихино</t>
  </si>
  <si>
    <t xml:space="preserve">42155    </t>
  </si>
  <si>
    <t>42154 Наружные сети электроснабжения и электроосвещение_водозабор д.Мстихино</t>
  </si>
  <si>
    <t xml:space="preserve">42154    </t>
  </si>
  <si>
    <t>42152 Ёмкость для сбора промывных вод_водозабор д.Мстихино</t>
  </si>
  <si>
    <t xml:space="preserve">42152    </t>
  </si>
  <si>
    <t>42151 Хозяйственно-противопожарный водопровод внутриплощадочный_вод-бор д.Мстихино (L=189,</t>
  </si>
  <si>
    <t xml:space="preserve">42151    </t>
  </si>
  <si>
    <t>42150 Водопровод производственный (промывной воды) внутриплощадочный_вод-бор д.Мстихино (L</t>
  </si>
  <si>
    <t xml:space="preserve">42150    </t>
  </si>
  <si>
    <t>42149 Водопровод из подземных источников внутриплощадочный_водозабор д.Мстихино (L=75,4 п.</t>
  </si>
  <si>
    <t xml:space="preserve">42149    </t>
  </si>
  <si>
    <t>42148 Внутриплощадочные сети канализации_водозабор д.Мстихино</t>
  </si>
  <si>
    <t xml:space="preserve">42148    </t>
  </si>
  <si>
    <t>41575 Агрегат 2ЭЦВ 6-16-110</t>
  </si>
  <si>
    <t>28.10.2016</t>
  </si>
  <si>
    <t xml:space="preserve">41575    </t>
  </si>
  <si>
    <t>41592 Преобразователь частоты N700E-370HF/450HFP 37/45 кВт 75А 380-480В</t>
  </si>
  <si>
    <t>04.10.2016</t>
  </si>
  <si>
    <t xml:space="preserve">41592    </t>
  </si>
  <si>
    <t>41513 Агрегат 1К100-65-200 5АМХ180М2</t>
  </si>
  <si>
    <t>08.08.2016</t>
  </si>
  <si>
    <t xml:space="preserve">41513    </t>
  </si>
  <si>
    <t>41512 Агрегат 1К100-65-200 5АМХ180М2</t>
  </si>
  <si>
    <t xml:space="preserve">41512    </t>
  </si>
  <si>
    <t>41270 Задвижка стальная ДУ 300 Ру 16 с электроприводом</t>
  </si>
  <si>
    <t>22.12.2015</t>
  </si>
  <si>
    <t xml:space="preserve">41270    </t>
  </si>
  <si>
    <t>41217 Пожарная сигнализация автоматическая (АПС) на 2 и 3 этаже Южного водозабора</t>
  </si>
  <si>
    <t xml:space="preserve">41217    </t>
  </si>
  <si>
    <t>41087 Преобразователь частоты N700E-300HF</t>
  </si>
  <si>
    <t>03.09.2015</t>
  </si>
  <si>
    <t xml:space="preserve">41087    </t>
  </si>
  <si>
    <t>40898 Насосный агрегат Wilo SCP150/530 HA</t>
  </si>
  <si>
    <t>03.06.2015</t>
  </si>
  <si>
    <t xml:space="preserve">40898    </t>
  </si>
  <si>
    <t>40897 Насосный агрегат Wilo SCP150/530 HA</t>
  </si>
  <si>
    <t xml:space="preserve">40897    </t>
  </si>
  <si>
    <t>40896 Насосный агрегат Wilo SCP150/530 HA</t>
  </si>
  <si>
    <t xml:space="preserve">40896    </t>
  </si>
  <si>
    <t>40728 Узел учета тепловой энергии на станции II-го подъема Южного водозабора</t>
  </si>
  <si>
    <t xml:space="preserve">40728    </t>
  </si>
  <si>
    <t>40616 Преобразователь частоты FDU 2.0 NGD 48-1КО-20CE 500 кВт</t>
  </si>
  <si>
    <t>29.09.2014</t>
  </si>
  <si>
    <t xml:space="preserve">40616    </t>
  </si>
  <si>
    <t>40601 Затвор дисковый поворотный межфланцевый "Tecofi" тип VP 4408-00-03 с голой осью; PN1</t>
  </si>
  <si>
    <t>02.09.2014</t>
  </si>
  <si>
    <t xml:space="preserve">40601    </t>
  </si>
  <si>
    <t>40609 Преобразователь частоты FDU 2.0 NGD 48-375-20CE 200 кВт 380В IP20</t>
  </si>
  <si>
    <t xml:space="preserve">40609    </t>
  </si>
  <si>
    <t>40574 Задвижка фланцевая с обрезининым клином F4 DN0400 PN10 со штурвалом</t>
  </si>
  <si>
    <t xml:space="preserve">40574    </t>
  </si>
  <si>
    <t>40568 Задвижка с обрезининым клином VCR23400 Ду=400 Ру10 бренд Испания</t>
  </si>
  <si>
    <t>17.07.2014</t>
  </si>
  <si>
    <t xml:space="preserve">40568    </t>
  </si>
  <si>
    <t>40519 Насос TWI08.80-7+NU611-2/26 в верт охл</t>
  </si>
  <si>
    <t xml:space="preserve">40519    </t>
  </si>
  <si>
    <t>40517 Насос TWI08.80-7+NU611-2/26 в верт охл</t>
  </si>
  <si>
    <t xml:space="preserve">40517    </t>
  </si>
  <si>
    <t>40515 Насос TWI08.80-7+NU611-2/26 в верт охл</t>
  </si>
  <si>
    <t xml:space="preserve">40515    </t>
  </si>
  <si>
    <t>40514 Насос TWI08.80-7+NU611-2/26 в верт охл</t>
  </si>
  <si>
    <t xml:space="preserve">40514    </t>
  </si>
  <si>
    <t>40513 Насос TWI08.80-7+NU611-2/26 в верт охл</t>
  </si>
  <si>
    <t xml:space="preserve">40513    </t>
  </si>
  <si>
    <t>40512 Насос TWI08.80-7+NU611-2/26 в верт охл</t>
  </si>
  <si>
    <t xml:space="preserve">40512    </t>
  </si>
  <si>
    <t>40470 Электроагрегат сварочный АСПБВ220-6,5/3,5-Т400/230ВХ</t>
  </si>
  <si>
    <t>28.03.2014</t>
  </si>
  <si>
    <t xml:space="preserve">40470    </t>
  </si>
  <si>
    <t>40444 Водонапорная башня Рожновского_25 м_Калуга г_Крутицы д.</t>
  </si>
  <si>
    <t>05.03.2014</t>
  </si>
  <si>
    <t xml:space="preserve">40444    </t>
  </si>
  <si>
    <t>40443 Артезианская скважина_68 м_Калуга г_Крутицы д.</t>
  </si>
  <si>
    <t xml:space="preserve">40443    </t>
  </si>
  <si>
    <t>40441 Установка для ультрафиолетового обеззараживания подземных вод 10 куб.м/ч</t>
  </si>
  <si>
    <t>03.03.2014</t>
  </si>
  <si>
    <t xml:space="preserve">40441    </t>
  </si>
  <si>
    <t>40440 Установка водоподготовки блочно-модульная производительностью 10 куб.м/час</t>
  </si>
  <si>
    <t xml:space="preserve">40440    </t>
  </si>
  <si>
    <t>40356 Затвор поворотный дисковый фланцевый Ду500 Ру16 с ручным редуктором</t>
  </si>
  <si>
    <t>31.01.2014</t>
  </si>
  <si>
    <t xml:space="preserve">40356    </t>
  </si>
  <si>
    <t>40224 Затвор 32ч926р Ду500 Ру10 с электроприводом НБ</t>
  </si>
  <si>
    <t>01.08.2013</t>
  </si>
  <si>
    <t xml:space="preserve">40224    </t>
  </si>
  <si>
    <t>40189 Задвижка с обрезиненным клином Ду400 МЗВ</t>
  </si>
  <si>
    <t xml:space="preserve">40189    </t>
  </si>
  <si>
    <t>40174 Смеситель-мешалка MS112M4P08E1500 с насосом TEKNA EVO</t>
  </si>
  <si>
    <t>15.04.2013</t>
  </si>
  <si>
    <t xml:space="preserve">40174    </t>
  </si>
  <si>
    <t>39845 Электропривод типа НВ-02-КУ 2</t>
  </si>
  <si>
    <t xml:space="preserve">39845    </t>
  </si>
  <si>
    <t>39876 Задвижка 30ч906бр-300 (НЗТА0 с эл.пр. Б099.098-12М1 (Н-Б1-12)У2</t>
  </si>
  <si>
    <t xml:space="preserve">39876    </t>
  </si>
  <si>
    <t>39872 Затвор поворотный BV-10-2325E Ду 500 с электроприводом AUMA</t>
  </si>
  <si>
    <t xml:space="preserve">39872    </t>
  </si>
  <si>
    <t>39861 Счетчик воды-расходомер "ИРВИКОН СВ-200" Ду 600 мм</t>
  </si>
  <si>
    <t xml:space="preserve">39861    </t>
  </si>
  <si>
    <t>39860 Счетчик воды-расходомер "ИРВИКОН СВ-200" Ду 600 мм</t>
  </si>
  <si>
    <t xml:space="preserve">39860    </t>
  </si>
  <si>
    <t>39855 Счетчик воды-расходомер "ИРВИКОН СВ-200" Ду 500 мм</t>
  </si>
  <si>
    <t xml:space="preserve">39855    </t>
  </si>
  <si>
    <t>39846 Счетчик воды-расходомер "ИРВИКОН СВ-200" Ду 300 мм</t>
  </si>
  <si>
    <t xml:space="preserve">39846    </t>
  </si>
  <si>
    <t>39501 Фланец д=500</t>
  </si>
  <si>
    <t>39500 Фланец д=500</t>
  </si>
  <si>
    <t>39423  Насос 1 Д  1600-90 с двигат 500 кВт об</t>
  </si>
  <si>
    <t>28132  ВВОД D200,ЧУГ</t>
  </si>
  <si>
    <t>37980  Преобразователь частоты VLT 30 квт</t>
  </si>
  <si>
    <t>30.11.2005</t>
  </si>
  <si>
    <t>38071  Водовод  d=100</t>
  </si>
  <si>
    <t>г. Калуга Ленинский р-н</t>
  </si>
  <si>
    <t>33148_Скважина №18 артезианская</t>
  </si>
  <si>
    <t>37884  ВОДОВОД Д-150 п/эт</t>
  </si>
  <si>
    <t>01.07.2005</t>
  </si>
  <si>
    <t>город Калуга, лит.XX Береговой водозабор, пойма р. Оки</t>
  </si>
  <si>
    <t>37811 Разведочно-эксплуатационная скважина №17а/21243 (инв.31401 Лит.XX) глубиной 66,5 м</t>
  </si>
  <si>
    <t>37434_Скважина №25 артезианская</t>
  </si>
  <si>
    <t>01.02.2005</t>
  </si>
  <si>
    <t>33200  Охранное электроосвещение</t>
  </si>
  <si>
    <t>33199  Охранное электроосвещение</t>
  </si>
  <si>
    <t>33097  Амперметр Э 365 600/5А</t>
  </si>
  <si>
    <t>33096  Амперметр Э 365 600/5А</t>
  </si>
  <si>
    <t>г. Калуга, п. Резвань</t>
  </si>
  <si>
    <t>36870  ФИЛЬТР МЕХАН.(ДУ-200, РУ-16)</t>
  </si>
  <si>
    <t>36869  ФИЛЬТР МЕХАН.(ДУ-200, РУ-16)</t>
  </si>
  <si>
    <t>36868  ФИЛЬТР МЕХАН.(ДУ-200, РУ-16)</t>
  </si>
  <si>
    <t>33129  Система видеонаблюдения</t>
  </si>
  <si>
    <t>33024  Ограждение станции обезжелезивания из ж/б панелей</t>
  </si>
  <si>
    <t>01.11.2004</t>
  </si>
  <si>
    <t>33023  Предупридитеьное ограждение станции обезжелез.</t>
  </si>
  <si>
    <t>28285  ЭД. ДВ. 55КВТ</t>
  </si>
  <si>
    <t>31647  ГАРАЖ НА 2 АВТОМ.</t>
  </si>
  <si>
    <t>35362  Привод Н-Б1-03</t>
  </si>
  <si>
    <t>34819  Клапан D-300</t>
  </si>
  <si>
    <t>31341  Привод Н-Б1-03</t>
  </si>
  <si>
    <t>31518  Прокладка провода ПВ 3*70</t>
  </si>
  <si>
    <t>г.Калуга, Ленинский округ.желязники</t>
  </si>
  <si>
    <t>31424 АВТОМАТ 630 А</t>
  </si>
  <si>
    <t>31324  Преобразователь частоты ПЧ-ТТПТ-200-380-50-02 УХЛ4</t>
  </si>
  <si>
    <t>28170  КОНТАКТОР 630 А</t>
  </si>
  <si>
    <t>36613  Счетчик СЭТ ЗА 02-03 (1-6)</t>
  </si>
  <si>
    <t>35178  НАСОС Д630-90</t>
  </si>
  <si>
    <t>29770  Эл. двигатель 250 КВт 1380 об/мин.</t>
  </si>
  <si>
    <t>29678  Эл.двигатель 250КВт. 1380об./мин.Тип А03-500 М4</t>
  </si>
  <si>
    <t>28040  НАСОС Д630-90 С ЭЛ.ДВ.200КВТ/1500</t>
  </si>
  <si>
    <t>город Калуга, территория Городской Бор</t>
  </si>
  <si>
    <t>35546_Разведочно-эксплуатационная скважина (№ А-738/3) №2</t>
  </si>
  <si>
    <t>город Калуга, улица Железняки</t>
  </si>
  <si>
    <t>31196  Сооруж-е по эксплуатации в/в преобразоват. частоты</t>
  </si>
  <si>
    <t>31190  Периметральная сигнализация</t>
  </si>
  <si>
    <t>31157  Тревожная сигнализация в помещении охраны</t>
  </si>
  <si>
    <t>31142  Пускатель 5100 для подключения насоса-дозатора</t>
  </si>
  <si>
    <t>31070  Преобразователь частоты ПЧ-ТТПТ-100-380-50-02 УХЛ4</t>
  </si>
  <si>
    <t>31069  Преобразователь частоты ПЧ-ТТПТ-500-380-50-02 УХЛ4</t>
  </si>
  <si>
    <t>29822  Электроводонагреватель ЭПЗ-100И6М</t>
  </si>
  <si>
    <t>37270  Щит ПР-10</t>
  </si>
  <si>
    <t>30449  Насос К 8/18</t>
  </si>
  <si>
    <t>30448  Щит ПР-10</t>
  </si>
  <si>
    <t>29704  ЗАТВОР 32 ДУ-610</t>
  </si>
  <si>
    <t>01.04.2003</t>
  </si>
  <si>
    <t>29645  НАСОС "БОЛГАРИЯ" 200 Д 90</t>
  </si>
  <si>
    <t>01.03.2003</t>
  </si>
  <si>
    <t>28359  ЭЛ. ДВИГАТЕЛЬ А4 500КВТ 1500</t>
  </si>
  <si>
    <t>25645  ЭЛ.ДВИГАТЕЛЬ 4 А 225 М2 55КВТ 3000 ОБ/М</t>
  </si>
  <si>
    <t>28105  НИЗКОВОЛЬТН. КАБЕЛЬН. СЕТИ (0,4КВТ)</t>
  </si>
  <si>
    <t>28104  ЩИТ УПРАВЛ. НАСОСН. СТ.</t>
  </si>
  <si>
    <t>28103  ПОКРЫТИЕ ТЕРР. АРТСКВ.№10</t>
  </si>
  <si>
    <t>28102  СКВАЖИНА №10 С НАСОС. СТ. АРТЕЗИАНСКАЯ</t>
  </si>
  <si>
    <t>28101  ПОКРЫТИЕ ТЕР. АРТСКВ.№9</t>
  </si>
  <si>
    <t>28100  ОГРАЖДЕНИЕ ТЕРР. АРТСКВ.№9</t>
  </si>
  <si>
    <t>город Калуга, поселок Резвань, лит.I</t>
  </si>
  <si>
    <t>28099  СКВАЖИНА №9 С НАСОС СТ (D426) АРТЕЗИАНСКАЯ</t>
  </si>
  <si>
    <t>28098  СКВАЖИНА №8 С НАСОС СТ (D273) АРТЕЗИАНСКАЯ</t>
  </si>
  <si>
    <t>28097  СКВАЖИНА №7 С НАСОС СТ (D273) АРТЕЗИАНСКАЯ</t>
  </si>
  <si>
    <t>28090  ФИЛЬТР МЕХАН.(ДУ-200, РУ-16)</t>
  </si>
  <si>
    <t>28088  ОГРАЖДЕНИЕ ТЕРРИТОРИИ СТАНЦИИ п.Резвань (Ж/Б)</t>
  </si>
  <si>
    <t>город Калуга, улица Школьная, лит.Стр, 4</t>
  </si>
  <si>
    <t>28087  ВОДОНАПОРНАЯ БАШНЯ</t>
  </si>
  <si>
    <t>город Калуга, улица Школьная, лит.III</t>
  </si>
  <si>
    <t>28086  Резервуар промывания</t>
  </si>
  <si>
    <t>город Калуга, улица Школьная, лит.II</t>
  </si>
  <si>
    <t>28085  РЕЗЕРВУАР ЧИСТОЙ ВОДЫ</t>
  </si>
  <si>
    <t>город Калуга, улица Школьная, лит.I</t>
  </si>
  <si>
    <t>28084  РЕЗЕРВУАР ЧИСТОЙ ВОДЫ</t>
  </si>
  <si>
    <t>город Калуга, улица Школьная, лит.Стр, 3</t>
  </si>
  <si>
    <t>28083  ЗДАНИЕ ОБЕЗЖЕЛЕЗОВАНИЯ</t>
  </si>
  <si>
    <t>город Калуга, улица Школьная, лит.Стр, 2</t>
  </si>
  <si>
    <t>28082  ЗДАНИЕ ДЛЯ ХЛОРИРОВАНИЯ</t>
  </si>
  <si>
    <t>город Калуга, улица Школьная, лит.Стр, 1</t>
  </si>
  <si>
    <t>28081  ЗДАНИЕ НАСОСН. СТАНЦИИ</t>
  </si>
  <si>
    <t>28889  СТАНОК СВЕРЛИЛЬНО-ВЕРТИКАЛЬНЫЙ</t>
  </si>
  <si>
    <t>28694  НАСОС НД 40\25</t>
  </si>
  <si>
    <t>28640  ПОДСТАНЦИЯ УКТП 400/10-0,4 ( 160 кВт) н/ст"Железнодорожная"</t>
  </si>
  <si>
    <t>01.09.2001</t>
  </si>
  <si>
    <t>28482 АВТОМАТ 600 А</t>
  </si>
  <si>
    <t>01.07.2001</t>
  </si>
  <si>
    <t>Калужская область, Мещовский р-н, город Мещовск, улица Освободителей, лит.I ул. Малая Коммуна труда</t>
  </si>
  <si>
    <t>28369 АВТОМАТ 600 А</t>
  </si>
  <si>
    <t>28367  ЗАТВОР 32 Ч 906 БР D-500</t>
  </si>
  <si>
    <t>28041  ЭЛ. ДВ. 250КВТ/1500</t>
  </si>
  <si>
    <t>37901  КАБЕЛЬН. ЛЭП-0.4КВТ ААШВ10</t>
  </si>
  <si>
    <t>37900  КАБЕЛЬН. ЛЭП-0.4КВТ Железнодорожная</t>
  </si>
  <si>
    <t>37899  КАБЕЛЬНАЯ ЛИНИЯ Ф.12</t>
  </si>
  <si>
    <t>27545  КЛАПАН 19С ДУ-600</t>
  </si>
  <si>
    <t>23235  ЭЛ. ДВИГАТЕЛЬ АЕ 160М ЧУ-2</t>
  </si>
  <si>
    <t>34247  ЗАДВИЖКИ d=400</t>
  </si>
  <si>
    <t>27163  ЗАДВИЖКИ d=400</t>
  </si>
  <si>
    <t>26881  ЗАТВОР 32 ДУ-600</t>
  </si>
  <si>
    <t>город Калуга, улица Механизаторов, 6 водонап</t>
  </si>
  <si>
    <t>25989  НАСОСНАЯ СТАНЦИЯ (СТАРАЯ)</t>
  </si>
  <si>
    <t>24449  НАСОС ТИПА 200 Д 90</t>
  </si>
  <si>
    <t>24848  ЗАДВИЖКА D-600</t>
  </si>
  <si>
    <t>24005  ЗАДВИЖКИ 30 Ч 930 D-600</t>
  </si>
  <si>
    <t>город Калуга, станица Калуга - 2, лит.I</t>
  </si>
  <si>
    <t>26030  СКВАЖИНА N-3 АРТЕЗИАНСКАЯ</t>
  </si>
  <si>
    <t>город Калуга - 2, лит.I</t>
  </si>
  <si>
    <t>26029  СКВАЖИНА N-2 АРТЕЗИАНСКАЯ</t>
  </si>
  <si>
    <t>город Калуга, село Сосновый бор, лит.I</t>
  </si>
  <si>
    <t>26027  НАСОСНАЯ СТАНЦИЯ НАД А/СКВАЖИНОЙ N3</t>
  </si>
  <si>
    <t>город Калуга, улица Механизаторов, стр.1</t>
  </si>
  <si>
    <t>25990  НАСОСНАЯ СТАНЦИЯ (СЕЛЬХОЗТЕХНИКА)</t>
  </si>
  <si>
    <t>25988  НАСОСНАЯ СТАНЦИЯ НАД А/СКВ N 2</t>
  </si>
  <si>
    <t>город Калуга, водозабор</t>
  </si>
  <si>
    <t>25986  НАСОСНАЯ СТАНЦИЯ "Железнодорожная"</t>
  </si>
  <si>
    <t>город Калуга, переулок Октябрьский</t>
  </si>
  <si>
    <t>25983  ЗДАНИЕ РЕЗЕРВУАРА  н/ст "Железнодорожная"</t>
  </si>
  <si>
    <t>25981  НАСОСНАЯ СТАНЦИЯ НАД А/СКВ N 1</t>
  </si>
  <si>
    <t>23544  ЭЛ. ДВИГАТЕЛЬ 37 КВТ 1500 ОБ/МИН</t>
  </si>
  <si>
    <t>24709  КРАН КОНСУЛЬНЫЙ 1 Т</t>
  </si>
  <si>
    <t>01.06.1997</t>
  </si>
  <si>
    <t>24289  ЭЛ. ТЕЛЬФЕР Г/П 2ТН</t>
  </si>
  <si>
    <t>22800  ЭЛ.ТЕЛЬФЕР</t>
  </si>
  <si>
    <t>город Калуга, село Сосновый бор, лит.II</t>
  </si>
  <si>
    <t>24026_Артскважина №2 (Лит.II) г.Калуга, с.Сосновый бор (КЕМПИНГ УГРА)</t>
  </si>
  <si>
    <t>город Калуга, деревня Мстихино, лит.I</t>
  </si>
  <si>
    <t>25939  ОТД.СТОЯЩАЯ СКВАЖИНА</t>
  </si>
  <si>
    <t>город Калуга, улица Прончищева, 25</t>
  </si>
  <si>
    <t>25936  СКВАЖИНА ОТД.СТОЯЩАЯ</t>
  </si>
  <si>
    <t>г.Калуга Малинники БАШНЯ N-2</t>
  </si>
  <si>
    <t>25934_Артезианская скважина №2</t>
  </si>
  <si>
    <t>35567  СТ.УПРАВЛЕНИЯ</t>
  </si>
  <si>
    <t>11394  СТ.УПРАВЛЕНИЯ</t>
  </si>
  <si>
    <t>37321  ЭЛ.ТЕЛЬФЕР</t>
  </si>
  <si>
    <t>37318  ЭЛ.ДВИГАТЕЛЬ 90 кВТ  (1993г)</t>
  </si>
  <si>
    <t>36790  ТРАНСФОРМАТОР ТМ 630/6/0,4</t>
  </si>
  <si>
    <t>36784  ТРАНСФОРМАТОР НАПРЯЖЕНИЯ НТНП</t>
  </si>
  <si>
    <t>35610  СТАНЦИЯ УПР.СУНО-250</t>
  </si>
  <si>
    <t>35609  СТАНЦИЯ УПР.СУНО-250</t>
  </si>
  <si>
    <t>35608  СТАНЦИЯ УПР.СУНО-250</t>
  </si>
  <si>
    <t>город Калуга, улица Октябрьская, лит.IV станция обезжелезивания ПУ ВКХ</t>
  </si>
  <si>
    <t>35558 Разведочно-эксплуатационная скважина №7280/№20 (инв.31401 Лит.IV) глубиной 99 м.</t>
  </si>
  <si>
    <t>город Калуга, территория Городской Бор,</t>
  </si>
  <si>
    <t>35557 Разведочно-эксплуатационная скважина №6877/19 (Лит.XXI) глубиной 105 м</t>
  </si>
  <si>
    <t>город Калуга, лит.XI Южный водозабор</t>
  </si>
  <si>
    <t>35556 Разведочно-эксплуатационная скважина (№152611) №17 (лит.XI) глубиной 63,2 м</t>
  </si>
  <si>
    <t>город Калуга, лит.X Южный водозабор</t>
  </si>
  <si>
    <t>35555 Разведочно-эксплуатационная скважина (№21234) №16 (Лит.X) глубиной 62 м</t>
  </si>
  <si>
    <t>город Калуга, лит.XV Береговой водозабор, управление ВКХ</t>
  </si>
  <si>
    <t>35554 Разведочно-эксплуатационная скважина №8161 / №15 (Лит.XV) глубиной 65 м</t>
  </si>
  <si>
    <t>город Калуга, лит.XVIII Южный водозабор</t>
  </si>
  <si>
    <t>35553 Разведочно-эксплуатационная скважина №14/ 6373 (Лит.XVIII) глубиной 68 м</t>
  </si>
  <si>
    <t>город Калуга, лит.VIII Южный водозабор</t>
  </si>
  <si>
    <t>35552 Разведочно-эксплуатационная скважина (№6372) N13 лит.VIII глубиной 64 м</t>
  </si>
  <si>
    <t>город Калуга, территория Городской Бор, лит.IXX водохранилище на р. Яченка</t>
  </si>
  <si>
    <t>35550 Разведочно-эксплуатационная скважина №12133923 (скважина N23) глубиной 43,5 м с пави</t>
  </si>
  <si>
    <t>город Калуга, территория Городской Бор, лит.III водохранилище на р. Яченка</t>
  </si>
  <si>
    <t>35549 Разведочно-эксплуатационная скважина №5/11702 (скважина №22) глубиной 42 м с павильо</t>
  </si>
  <si>
    <t>город Калуга, территория Городской Бор, лит.XII</t>
  </si>
  <si>
    <t>35548_Разведочно-эксплуатационная скважина №А-731/№4</t>
  </si>
  <si>
    <t>город Калуга, территория Городской Бор, лит.XVII</t>
  </si>
  <si>
    <t>35547_Разведочно-эксплуатационная скважина № А-736/№3</t>
  </si>
  <si>
    <t>35456  РАСПРЕДУСТРОЙСТВО КРУ-6 кв I П -600</t>
  </si>
  <si>
    <t>35455  РАСПРЕДУСТРОЙСТВО КРУ-6 кв I П -600</t>
  </si>
  <si>
    <t>35454  РАСПРЕДУСТРОЙСТВО КРУ-6 кв I П -600</t>
  </si>
  <si>
    <t>35453  РАСПРЕДУСТРОЙСТВО КРУ-6 кв I П -600</t>
  </si>
  <si>
    <t>35452  РАСПРЕДУСТРОЙСТВО КРУ-6 кв I П -600</t>
  </si>
  <si>
    <t>35451  РАСПРЕДУСТРОЙСТВО КРУ-6 кв I П -600</t>
  </si>
  <si>
    <t>35450  РАСПРЕДУСТРОЙСТВО КРУ-6 кв I П -600</t>
  </si>
  <si>
    <t>35449  РАСПРЕДУСТРОЙСТВО КРУ-6 кв I П -600</t>
  </si>
  <si>
    <t>35448  РАСПРЕДУСТРОЙСТВО КРУ-6 кв I П -600</t>
  </si>
  <si>
    <t>35292_ПАВИЛЬОН артезианской скважиной №А-731/№4</t>
  </si>
  <si>
    <t>35291_ПАВИЛЬОН разведочно-эксплуатационной скважиной №А-736/№3</t>
  </si>
  <si>
    <t>35288  ОБРАТНЫЙ КЛАПАН d=600</t>
  </si>
  <si>
    <t>35286  ОБРАТНЫЙ КЛАПАН d=600</t>
  </si>
  <si>
    <t>35282  ОБРАТНЫЙ КЛАПАН d=300</t>
  </si>
  <si>
    <t>35261  НСД 1250х125</t>
  </si>
  <si>
    <t>35176  НАСОС Д-320-50</t>
  </si>
  <si>
    <t>35144  НАСОС 8 КМ-12А</t>
  </si>
  <si>
    <t>33718  ЗАТВОР d=800</t>
  </si>
  <si>
    <t>33717  ЗАТВОР d=800</t>
  </si>
  <si>
    <t>33716  ЗАТВОР d=800</t>
  </si>
  <si>
    <t>33715  ЗАТВОР d=800</t>
  </si>
  <si>
    <t>33714  ЗАТВОР d=800</t>
  </si>
  <si>
    <t>33554  ЗАДВИЖКА d=250</t>
  </si>
  <si>
    <t>33553  ЗАДВИЖКА d=250</t>
  </si>
  <si>
    <t>33442  ЗАДВИЖКА 30 Ч 515 БР d=500</t>
  </si>
  <si>
    <t>33441  ЗАДВИЖКА 30 Ч 515 БР d=500</t>
  </si>
  <si>
    <t>33440  ЗАДВИЖКА 30 Ч 515 БР d=300 БЕЗ ЭЛ.ПРИВОДА</t>
  </si>
  <si>
    <t>33439  ЗАДВИЖКА 30 Ч 515 БР d=300 БЕЗ ЭЛ.ПРИВОДА</t>
  </si>
  <si>
    <t>33438  ЗАДВИЖКА 30 Ч 515 БР d=300 БЕЗ ЭЛ.ПРИВОДА</t>
  </si>
  <si>
    <t>33437  ЗАДВИЖКА 30 Ч 515 БР d=300 БЕЗ ЭЛ.ПРИВОДА</t>
  </si>
  <si>
    <t>33436  ЗАДВИЖКА 30 Ч 515 БР d=300 БЕЗ ЭЛ.ПРИВОДА</t>
  </si>
  <si>
    <t>33435  ЗАДВИЖКА 30 Ч 515 БР d=300 БЕЗ ЭЛ.ПРИВОДА</t>
  </si>
  <si>
    <t>33434  ЗАДВИЖКА 30 Ч 515 БР d=200</t>
  </si>
  <si>
    <t>33433  ЗАДВИЖКА 30 Ч 515 БР d=200</t>
  </si>
  <si>
    <t>33432  ЗАДВИЖКА 30 Ч 515 БР d=200</t>
  </si>
  <si>
    <t>33431  ЗАДВИЖКА 30 Ч 515 БР d=200</t>
  </si>
  <si>
    <t>33430  ЗАДВИЖКА 30 Ч 515 БР d=200</t>
  </si>
  <si>
    <t>город Калуга, проезд Октябрьский, д.5а лит.4</t>
  </si>
  <si>
    <t>25994  РЕЗЕРВУАР-3</t>
  </si>
  <si>
    <t>25993  РЕЗЕРВУАР-2</t>
  </si>
  <si>
    <t>11216  ПРИСТРОЙКА К Н/СТ. 2 ПОДЪЕМА</t>
  </si>
  <si>
    <t>11099  СТАНЦИЯ УПРАВЛЕНИЯ ШЭП-5802</t>
  </si>
  <si>
    <t>11098  СТАНЦИЯ УПРАВЛЕНИЯ ЯЛ-5102-3Е</t>
  </si>
  <si>
    <t>11096  ЭЛ.ДВИГАТЕЛЬ 1,1 КВТ</t>
  </si>
  <si>
    <t>11015  НАСОС 8 КМ-12А</t>
  </si>
  <si>
    <t>11012  ЗАДВИЖКА 30 Ч 515 БР d=200</t>
  </si>
  <si>
    <t>11011  ЗАДВИЖКА 30 Ч 515 БР d=300 БЕЗ ЭЛ.ПРИВОДА</t>
  </si>
  <si>
    <t>11009  ЗАДВИЖКА 30 Ч 515 БР d=500</t>
  </si>
  <si>
    <t>10885  ВОДОВОД ПРОМЫВОЧНЫЙ</t>
  </si>
  <si>
    <t>10877  СТАНЦИЯ ОБЕЗЖЕЛЕЗИВАНИЯ</t>
  </si>
  <si>
    <t>10876  ПРИСТРОЙКА К СТАНЦИИ ОБЕЗЖЕЛЕЗИВАНИЯ</t>
  </si>
  <si>
    <t>10868  ЭЛ.ТЕЛЬФЕР</t>
  </si>
  <si>
    <t>город Калуга, проезд Октябрьский, д.5а лит.3</t>
  </si>
  <si>
    <t>10859  ЗДАНИЕ ПРОХОДНОЙ II ПОДЪЕМА</t>
  </si>
  <si>
    <t>10843  СТАНЦИЯ УПР.СУНО-250</t>
  </si>
  <si>
    <t>10836  РЕЗЕРВУАР-1</t>
  </si>
  <si>
    <t>город Калуга, проезд Октябрьский, лит.2</t>
  </si>
  <si>
    <t>10835  НАСОСНАЯ СТАНЦИЯ II ПОДЪЕМА</t>
  </si>
  <si>
    <t>Калужская область, тер.Городского Бора, водохранилище на р.Яченка</t>
  </si>
  <si>
    <t>10834_Разведочно-эксплуатационная скважина №(№11704) №21 глубиной 46 м с павильоном</t>
  </si>
  <si>
    <t>г. Калуга , Южный водозабор</t>
  </si>
  <si>
    <t>558-п от 13.06.2007</t>
  </si>
  <si>
    <t>10833 Разведочно-эксплуатационная скважина №152612/N12 (литXIV) глубиной 61,5</t>
  </si>
  <si>
    <t>10832  СКВАЖИНЫ N 11</t>
  </si>
  <si>
    <t>город Калуга, улица Беговая, лит.I</t>
  </si>
  <si>
    <t>10831_ПАВИЛЬОН разведочно-эксплуатационной скважины (№А-738/3) №2</t>
  </si>
  <si>
    <t>10830  НАСОСНАЯ СТАНЦИЯ I ПОДЪЕМА</t>
  </si>
  <si>
    <t>10829  ВЕРАНДА НАСОСНОЙ СТАНЦИИ I ПОДЪЕМА</t>
  </si>
  <si>
    <t>10605  ДОРОГА АСФАЛЬТОБЕТОННЫЕ S-1215 КВ.М.</t>
  </si>
  <si>
    <t>10604  ЗАБОР ЖЕЛЕЗОБЕТОННЫЙ</t>
  </si>
  <si>
    <t>10510  ЭЛЕКТРОДВИГАТЕЛЬ 37 квт</t>
  </si>
  <si>
    <t>10498  НАСОС АИ-2-К-9</t>
  </si>
  <si>
    <t>10495  КРАН РУЧНОЙ</t>
  </si>
  <si>
    <t>город Калуга, улица Тарутинская</t>
  </si>
  <si>
    <t>10493  КАБЕЛЬНЫЕ СЕТИ</t>
  </si>
  <si>
    <t>10492  ПОКРЫТИЕ АСФАЛЬТНОЕ</t>
  </si>
  <si>
    <t>город Калуга, переулок Луговой</t>
  </si>
  <si>
    <t>10491  ОГРАЖДЕНИЕ ТЕРРИТОРИИ</t>
  </si>
  <si>
    <t>10488  ВОДОНАПОРНАЯ БАШНЯ</t>
  </si>
  <si>
    <t>10486  ЭЛ.ДВИГАТЕЛЬ 90 кВТ  (1993г)</t>
  </si>
  <si>
    <t>10482  НАСОС Д-320-50</t>
  </si>
  <si>
    <t>10481  РЕЗЕРВУАР Ж/Б</t>
  </si>
  <si>
    <t>город Калуга, переулок Луговой, лит.Стр, 1</t>
  </si>
  <si>
    <t>10480  ХЛОРАТОРНАЯ (Малинники -используется как помещение для эл.монтера, сварщика и кладовая)</t>
  </si>
  <si>
    <t>город Калуга, переулок Луговой, лит.Стр, 2</t>
  </si>
  <si>
    <t>10479  НАСОСНАЯ СТАНЦИЯ (Малинники)</t>
  </si>
  <si>
    <t>10354  ЗАТВОР d=800</t>
  </si>
  <si>
    <t>10353  ЗАДВИЖКА d=1000</t>
  </si>
  <si>
    <t>10351  ЭЛ.ТЕЛЬФЕР</t>
  </si>
  <si>
    <t>10350  НС ТУР 200х90</t>
  </si>
  <si>
    <t>10349  Насосный агрегат НСД 1600х90</t>
  </si>
  <si>
    <t>10346  ВНЕШНИЕ СЕТИ ВОДОПРОВОДА</t>
  </si>
  <si>
    <t>10345  ЩИТ ЩУС</t>
  </si>
  <si>
    <t>10344  ЩИТ ЩСУ</t>
  </si>
  <si>
    <t>10343  РАЗЪЕДИНИТЕЛЬ 10 Т</t>
  </si>
  <si>
    <t>10342  ТРАНСФОРМАТОР НАПРЯЖЕНИЯ НТНП</t>
  </si>
  <si>
    <t>10341  РАСПРЕДУСТРОЙСТВО КРУ-6 кв 5 П -600</t>
  </si>
  <si>
    <t>10340  РАСПРЕДУСТРОЙСТВО КРУ-6 кв I П -600</t>
  </si>
  <si>
    <t>10339  ТРАНСФОРМАТОР ТМ 630/6/0,4</t>
  </si>
  <si>
    <t>10337  ТЕХНОЛОГИЧЕСКИЕ КОММУНИКАЦИИ  d=800 Ж/Б</t>
  </si>
  <si>
    <t>город Калуга, улица Парковая, лит.I</t>
  </si>
  <si>
    <t>10336_Насосная станция III подъема "Железняки", резервуар, объем 1000 куб.м</t>
  </si>
  <si>
    <t>город Калуга, улица Парковая, лит.Стр, 2</t>
  </si>
  <si>
    <t>10335_Насосная станция III подъема "Железняки", проходная</t>
  </si>
  <si>
    <t>город Калуга, улица Парковая, лит.Стр, 1</t>
  </si>
  <si>
    <t>10334_Насосная станция III подъема "Железняки"</t>
  </si>
  <si>
    <t>Комплекс водопроводных сооружений "Южный"</t>
  </si>
  <si>
    <t>ООО "Электроагрегат" по сч.27281 от 14.11.2022</t>
  </si>
  <si>
    <t xml:space="preserve">46310 Насос фекальный Вихрь ФН-750 </t>
  </si>
  <si>
    <t>05.12.2022</t>
  </si>
  <si>
    <t xml:space="preserve">46310    </t>
  </si>
  <si>
    <t xml:space="preserve">46309 Насос фекальный Вихрь ФН-750 </t>
  </si>
  <si>
    <t xml:space="preserve">46309    </t>
  </si>
  <si>
    <t xml:space="preserve">46308 Насос фекальный Вихрь ФН-750 </t>
  </si>
  <si>
    <t xml:space="preserve">46308    </t>
  </si>
  <si>
    <t xml:space="preserve">46307 Насос фекальный Вихрь ФН-750 </t>
  </si>
  <si>
    <t xml:space="preserve">46307    </t>
  </si>
  <si>
    <t xml:space="preserve">46306 Насос фекальный Вихрь ФН-750 </t>
  </si>
  <si>
    <t xml:space="preserve">46306    </t>
  </si>
  <si>
    <t xml:space="preserve">46305 Насос фекальный Вихрь ФН-750 </t>
  </si>
  <si>
    <t xml:space="preserve">46305    </t>
  </si>
  <si>
    <t xml:space="preserve">46304 Насос фекальный Вихрь ФН-750 </t>
  </si>
  <si>
    <t xml:space="preserve">46304    </t>
  </si>
  <si>
    <t xml:space="preserve">46303 Насос фекальный Вихрь ФН-750 </t>
  </si>
  <si>
    <t xml:space="preserve">46303    </t>
  </si>
  <si>
    <t xml:space="preserve">46302 Насос фекальный Вихрь ФН-750 </t>
  </si>
  <si>
    <t xml:space="preserve">46302    </t>
  </si>
  <si>
    <t xml:space="preserve">46301 Насос фекальный Вихрь ФН-750 </t>
  </si>
  <si>
    <t xml:space="preserve">46301    </t>
  </si>
  <si>
    <t xml:space="preserve">46300 Насос фекальный Вихрь ФН-750 </t>
  </si>
  <si>
    <t xml:space="preserve">46300    </t>
  </si>
  <si>
    <t xml:space="preserve">46299 Насос фекальный Вихрь ФН-750 </t>
  </si>
  <si>
    <t xml:space="preserve">46299    </t>
  </si>
  <si>
    <t xml:space="preserve">Т/2290-ЕД от 26.05.2022 </t>
  </si>
  <si>
    <t>47142 Насос Иртыш НФ2 65/200.188-18,5/2-300 КНС Аэропорт</t>
  </si>
  <si>
    <t xml:space="preserve">47142    </t>
  </si>
  <si>
    <t>Счет №167 от 20.07.2022г.</t>
  </si>
  <si>
    <t>47057 Насос DTm 17-22-1,1F LadAna КНС Терепец</t>
  </si>
  <si>
    <t xml:space="preserve">47057    </t>
  </si>
  <si>
    <t>47056 Насос DTm 17-22-1,1F LadAna КНС Мстихино</t>
  </si>
  <si>
    <t xml:space="preserve">47056    </t>
  </si>
  <si>
    <t>47055 Насос DTm 17-22-1,1F LadAna КНС Резвань</t>
  </si>
  <si>
    <t xml:space="preserve">47055    </t>
  </si>
  <si>
    <t>№Т/2379-ЕД от 04.08.22</t>
  </si>
  <si>
    <t>47031 Насос СД 250/22,5 агрегат АИР 200М4 37кВт 1500об/мин (ЛГМ) КНС Ольговка</t>
  </si>
  <si>
    <t xml:space="preserve">47031    </t>
  </si>
  <si>
    <t>Инжиниринг РЭД ООО Договор №Т/1620-ЕД от 26.12.202</t>
  </si>
  <si>
    <t>46859 Шкаф управления насосами к системе управления насосами Control_PT.55.2110.FC.A2.MS.54_21.C.UPS</t>
  </si>
  <si>
    <t xml:space="preserve">46859    </t>
  </si>
  <si>
    <t>46858 Шкаф управления насосами к системе управления насосами Control_PT.55.2110.FC.A2.MS.54_21.C.UPS</t>
  </si>
  <si>
    <t xml:space="preserve">46858    </t>
  </si>
  <si>
    <t>46857 Шкаф управления насосами к системе управления насосами Control_PT.55.2110.FC.A2.MS.54_21.C.UPS</t>
  </si>
  <si>
    <t xml:space="preserve">46857    </t>
  </si>
  <si>
    <t>46856 Шкаф управления насосами к системе управления насосами Control_PT.55.2110.FC.A2.MS.54_21.C.UPS</t>
  </si>
  <si>
    <t xml:space="preserve">46856    </t>
  </si>
  <si>
    <t>46855 Шкаф управления насосами к системе управления насосами Control_PT.55.2110.FC.A2.MS.54_21.C.UPS</t>
  </si>
  <si>
    <t xml:space="preserve">46855    </t>
  </si>
  <si>
    <t>46854 Шкаф контроллера к системе управления насосами Control_PT.55.2110.FC.A2.MS.54_21.C.UPS</t>
  </si>
  <si>
    <t xml:space="preserve">46854    </t>
  </si>
  <si>
    <t xml:space="preserve">АналитТеплоКонтроль ООО №Т/2369-ЕД от 21.07.22 </t>
  </si>
  <si>
    <t>46863 Газоанализатор стационарный исп. для КНС Хоббит</t>
  </si>
  <si>
    <t>16.09.2022</t>
  </si>
  <si>
    <t xml:space="preserve">46863    </t>
  </si>
  <si>
    <t>46862 Газоанализатор стационарный исп. для КНС Хоббит</t>
  </si>
  <si>
    <t xml:space="preserve">46862    </t>
  </si>
  <si>
    <t xml:space="preserve">46897 Фундамент к шкафу управления насосами "Кампус" Региональный университет г.Калуга д.Пучково </t>
  </si>
  <si>
    <t xml:space="preserve">46897    </t>
  </si>
  <si>
    <t>46895 Кабельные линии подземные к электрощитовой "Кампус" Региональный университет г.Калуга д.Пучков</t>
  </si>
  <si>
    <t xml:space="preserve">46895    </t>
  </si>
  <si>
    <t>46894 Ограждение вокруг КНС "Кампус" Региональный университет г.Калуга д.Пучково</t>
  </si>
  <si>
    <t xml:space="preserve">46894    </t>
  </si>
  <si>
    <t>ГК ПрофЭлектроДрайф ООО Счет №173 от 27.09.2021</t>
  </si>
  <si>
    <t>46853 Насос DTm 17-22-1,1 F КНС Резвань</t>
  </si>
  <si>
    <t xml:space="preserve">46853    </t>
  </si>
  <si>
    <t>46852 Насос DTm 17-22-1,1 F КНС Мстихино</t>
  </si>
  <si>
    <t xml:space="preserve">46852    </t>
  </si>
  <si>
    <t>46851 Насос DTm 17-22-1,1 F КНС Шопино 13</t>
  </si>
  <si>
    <t xml:space="preserve">46851    </t>
  </si>
  <si>
    <t>46850 Насос DTm 17-22-1,1 F КНС Колюпаново</t>
  </si>
  <si>
    <t xml:space="preserve">46850    </t>
  </si>
  <si>
    <t>46849 Насос DTm 17-22-1,1 F КНС Ольговка</t>
  </si>
  <si>
    <t xml:space="preserve">46849    </t>
  </si>
  <si>
    <t>46848 Насос DTm 17-22-1,1 F КНС Подгорная</t>
  </si>
  <si>
    <t xml:space="preserve">46848    </t>
  </si>
  <si>
    <t>46847 Насос DTm 17-22-1,1 F КНС Канищево</t>
  </si>
  <si>
    <t xml:space="preserve">46847    </t>
  </si>
  <si>
    <t>46846 Насос DTm 17-22-1,1 F КНС Аэропорт</t>
  </si>
  <si>
    <t xml:space="preserve">46846    </t>
  </si>
  <si>
    <t>46805 Канализационная насосная станция (КНС) Региональный университет г.Калуга д.Пучково</t>
  </si>
  <si>
    <t xml:space="preserve">46805    </t>
  </si>
  <si>
    <t>46590 Канализационная насосная станция пл 4 кв. м.  г.Калуга, д. Терепецкая, дом 17, корп 1,2</t>
  </si>
  <si>
    <t xml:space="preserve">46590    </t>
  </si>
  <si>
    <t>46470 Капитальный ремонт (инв № 10396) ГКНС ул.С-Щедрина, д.80</t>
  </si>
  <si>
    <t xml:space="preserve">46470    </t>
  </si>
  <si>
    <t>46469 Затвор щитовой поверхностный ГКНС ул.С-Щедрина, д.80</t>
  </si>
  <si>
    <t xml:space="preserve">46469    </t>
  </si>
  <si>
    <t>46468 Система вентиляции помещения резервуара ГКНС ул.С-Щедрина, д.80</t>
  </si>
  <si>
    <t xml:space="preserve">46468    </t>
  </si>
  <si>
    <t>46467 Площадка ремонтная для тельфера ГКНС ул.С-Щедрина, д.80</t>
  </si>
  <si>
    <t xml:space="preserve">46467    </t>
  </si>
  <si>
    <t>46377 Шкаф управления комплексом механической очистки ШУ-К 2-1-1</t>
  </si>
  <si>
    <t xml:space="preserve">46377    </t>
  </si>
  <si>
    <t>46268 Насосный агрегат Flygt NP 3315.185 LT 3~620, 90KW, 185A/400V, 985rpm (№5)</t>
  </si>
  <si>
    <t xml:space="preserve">46268    </t>
  </si>
  <si>
    <t>46267 Насосный агрегат Flygt NP 3315.185 LT 3~620, 90KW, 185A/400V, 985rpm (№4)</t>
  </si>
  <si>
    <t xml:space="preserve">46267    </t>
  </si>
  <si>
    <t>46266 Насосный агрегат Flygt NP 3315.185 LT 3~620, 90KW, 185A/400V, 985rpm (№3)</t>
  </si>
  <si>
    <t xml:space="preserve">46266    </t>
  </si>
  <si>
    <t>46265 Насосный агрегат Flygt NP 3315.185 LT 3~620, 90KW, 185A/400V, 985rpm (№2)</t>
  </si>
  <si>
    <t xml:space="preserve">46265    </t>
  </si>
  <si>
    <t>46264 Насосный агрегат Flygt NP 3315.185 LT 3~620, 90KW, 185A/400V, 985rpm (№1)</t>
  </si>
  <si>
    <t xml:space="preserve">46264    </t>
  </si>
  <si>
    <t>46263 Решетки вертикальная грубой очистки без ШУ</t>
  </si>
  <si>
    <t xml:space="preserve">46263    </t>
  </si>
  <si>
    <t>46262 Пресс винтовой промывочный без ШУ,ЭПВП 2-220-500</t>
  </si>
  <si>
    <t xml:space="preserve">46262    </t>
  </si>
  <si>
    <t>46261 Конвейер винтовой без ШУ ЭВК 2-200-6-2-1</t>
  </si>
  <si>
    <t xml:space="preserve">46261    </t>
  </si>
  <si>
    <t>46260 Кабельные линии подземные к ГКНС по адресу: г.Калуга, ул.Салтыкова-щедрина, д.80 (ин</t>
  </si>
  <si>
    <t xml:space="preserve">46260    </t>
  </si>
  <si>
    <t>МЭР КО приказ №1761-п от 17.11.2021</t>
  </si>
  <si>
    <t>46000_Канализационная насосная станция ул.Полесская в р-не д.37</t>
  </si>
  <si>
    <t xml:space="preserve">46000_   </t>
  </si>
  <si>
    <t>Калужская область, г.Калуга, ул.Октябрьская</t>
  </si>
  <si>
    <t>44951_Канализационная насосная станция г.Калуга, ул.Октябрьская</t>
  </si>
  <si>
    <t xml:space="preserve">44951_   </t>
  </si>
  <si>
    <t>42834_Канализационная насосная станция Калуга, ул.Привокзальная, территория ПМС-101</t>
  </si>
  <si>
    <t xml:space="preserve">42834_   </t>
  </si>
  <si>
    <t>248033, Калужская обл, Калуга г, Трамплинная ул, дом № б/н</t>
  </si>
  <si>
    <t>42581_Канализационная насосная станция_г.Калуга_ ул.Трамплинная_д. б/н</t>
  </si>
  <si>
    <t xml:space="preserve">42581_   </t>
  </si>
  <si>
    <t>ППАаз258 _Горуправа_Договор аренды 493/21 от 27.07.2021_кадастровый номер_40:26:000317:1511</t>
  </si>
  <si>
    <t xml:space="preserve"> ППАаз258</t>
  </si>
  <si>
    <t>ППАаз253 _Горуправа_Договор аренды 809/20/ПР от 18.12.2020_кадастровый номер_40:25:000194:176</t>
  </si>
  <si>
    <t xml:space="preserve"> ППАаз253</t>
  </si>
  <si>
    <t>ППАаз123 _Калуга МЭР_Договор аренды 360 от 22.12.2015_кадастровый номер_40:26:000365:107</t>
  </si>
  <si>
    <t xml:space="preserve"> ППАаз123</t>
  </si>
  <si>
    <t>ППАаз118 _Калуга МЭР_Договор аренды 330 от 21.08.2015_кадастровый номер_40:26:000018:9</t>
  </si>
  <si>
    <t xml:space="preserve"> ППАаз118</t>
  </si>
  <si>
    <t>ППАаз114 _Калуга МЭР_Договор аренды 323 от 10.07.2015_кадастровый номер_40:26:000074:21</t>
  </si>
  <si>
    <t xml:space="preserve"> ППАаз114</t>
  </si>
  <si>
    <t>ППАаз108 _Калуга МЭР_Договор аренды 301 от 12.01.2015_кадастровый номер_40:25:000239:2</t>
  </si>
  <si>
    <t xml:space="preserve"> ППАаз108</t>
  </si>
  <si>
    <t>ППАаз051 _Горуправа_Договор аренды 750/21 от 09.12.2021_кадастровый номер_40:25:000064:2224</t>
  </si>
  <si>
    <t xml:space="preserve"> ППАаз051</t>
  </si>
  <si>
    <t>ООО "Аквилон ЛТД" по дог.№Т/1947-ЕД от 08.09.2021</t>
  </si>
  <si>
    <t>45996 Канализационный насос SL.100.240.2.52S.S.N.51D.A.T с кабелем 15 м и принадлежностями</t>
  </si>
  <si>
    <t>30.12.2021</t>
  </si>
  <si>
    <t xml:space="preserve">45996    </t>
  </si>
  <si>
    <t>ООО "СПЕЦТРЕЙД" дог.Т/2000-ЕД от 11.10.2021</t>
  </si>
  <si>
    <t>45813 Тельфер электрический Т10,436 2т 12м (Болгария)</t>
  </si>
  <si>
    <t>26.10.2021</t>
  </si>
  <si>
    <t xml:space="preserve">45813    </t>
  </si>
  <si>
    <t>ООО "ТС ИНЖИНИРИНГ" дог.Т/1999-ЕД от 11.10.2021</t>
  </si>
  <si>
    <t>45808 Насос REXA UNI V06/Т25-540</t>
  </si>
  <si>
    <t>21.10.2021</t>
  </si>
  <si>
    <t xml:space="preserve">45808    </t>
  </si>
  <si>
    <t>45807 Насос REXA UNI V06/Т25-540</t>
  </si>
  <si>
    <t xml:space="preserve">45807    </t>
  </si>
  <si>
    <t>Т/1842-ЗП от 12.07.21</t>
  </si>
  <si>
    <t>45710 Насосный агрегат Flygt NP 3153, SH 3-272, 15 kW, FLS</t>
  </si>
  <si>
    <t>28.09.2021</t>
  </si>
  <si>
    <t xml:space="preserve">45710    </t>
  </si>
  <si>
    <t>Т/1842-ЗП от 12.07.2021</t>
  </si>
  <si>
    <t>45709 Насосный агрегат Flygt NP 3153, SH 3-272, 15 kW, FLS</t>
  </si>
  <si>
    <t xml:space="preserve">45709    </t>
  </si>
  <si>
    <t>ООО "МАДИКС" по дог.Т/1892-ЕД от 16.07.2021</t>
  </si>
  <si>
    <t>45689 Насос REXA UNI V06/Т15-540 c устройством для погружного монтажа насоса DN65/2RK</t>
  </si>
  <si>
    <t>22.09.2021</t>
  </si>
  <si>
    <t xml:space="preserve">45689    </t>
  </si>
  <si>
    <t>45688 Насос REXA UNI V06/Т15-540 c устройством для погружного монтажа насоса DN65/2RK</t>
  </si>
  <si>
    <t xml:space="preserve">45688    </t>
  </si>
  <si>
    <t>Т/590-ЕД; Т-591-ЕД; Т/588-ЕД от 05.07.19</t>
  </si>
  <si>
    <t>45630 Насос горизонтальный сухой Flygt NZ 3312</t>
  </si>
  <si>
    <t xml:space="preserve">45630    </t>
  </si>
  <si>
    <t>Т/1694-ЗП от 29.03.21</t>
  </si>
  <si>
    <t>45579 Насос канализационный специального исполнения S1.100.125.220.4.58М.Н.297.Q.N.D.511.Z</t>
  </si>
  <si>
    <t>30.07.2021</t>
  </si>
  <si>
    <t xml:space="preserve">45579    </t>
  </si>
  <si>
    <t>45567 Канализационная насосная станция г.Калуга, д.Секиотово</t>
  </si>
  <si>
    <t>05.07.2021</t>
  </si>
  <si>
    <t xml:space="preserve">45567    </t>
  </si>
  <si>
    <t>по дог. №Т/1840-ЕД от 07.06.2021г.</t>
  </si>
  <si>
    <t>45466 Электродвигатель АИР 225М4 55кВт 1500 об/мин 1081 лапы</t>
  </si>
  <si>
    <t>16.06.2021</t>
  </si>
  <si>
    <t xml:space="preserve">45466    </t>
  </si>
  <si>
    <t xml:space="preserve">по дог. №Т/1840-ЕД от 07.06.2021 </t>
  </si>
  <si>
    <t>45465 Насос СМ 150-125-400/4</t>
  </si>
  <si>
    <t xml:space="preserve">45465    </t>
  </si>
  <si>
    <t>ООО "Аквилон ЛТД" по дог.№Т/1669-ЗП от 11.03.2021</t>
  </si>
  <si>
    <t>45469 Канализационный насос S2.100.200.1600.4.70Н.Н.430.G.N.D.Z</t>
  </si>
  <si>
    <t>10.06.2021</t>
  </si>
  <si>
    <t xml:space="preserve">45469    </t>
  </si>
  <si>
    <t>ООО "Новая автоматика" по дог. №Т/1750-ЕД от 01.04</t>
  </si>
  <si>
    <t>45345 Шкаф управления ОНИКС МК4-3х110А-3хП-IP54-УЗ.1</t>
  </si>
  <si>
    <t>29.04.2021</t>
  </si>
  <si>
    <t xml:space="preserve">45345    </t>
  </si>
  <si>
    <t>ООО "Аквилон ЛТД" по дог.Т/1732-ЕД от 23.03.2021</t>
  </si>
  <si>
    <t>45224 Канализационный насос SEG 40.40.2.50B GRUNDFOS</t>
  </si>
  <si>
    <t>02.04.2021</t>
  </si>
  <si>
    <t xml:space="preserve">45224    </t>
  </si>
  <si>
    <t>45223 Канализационный насос SEG 40.40.2.50B GRUNDFOS</t>
  </si>
  <si>
    <t xml:space="preserve">45223    </t>
  </si>
  <si>
    <t>45222 Канализационный насос SEG 40.40.2.50B GRUNDFOS</t>
  </si>
  <si>
    <t xml:space="preserve">45222    </t>
  </si>
  <si>
    <t>45221 Канализационный насос SEG 40.40.2.50B GRUNDFOS</t>
  </si>
  <si>
    <t xml:space="preserve">45221    </t>
  </si>
  <si>
    <t>45220 Канализационный насос SEG 40.40.2.50B GRUNDFOS</t>
  </si>
  <si>
    <t xml:space="preserve">45220    </t>
  </si>
  <si>
    <t>45219 Канализационный насос SEG 40.40.2.50B GRUNDFOS</t>
  </si>
  <si>
    <t xml:space="preserve">45219    </t>
  </si>
  <si>
    <t>по дог. №Т/1680-ЕД от 18.02.21</t>
  </si>
  <si>
    <t>45178 Шкаф управления ОНИКС АВР-3х800А-2хТП-1ДГУ-IP 54-УЗ.1</t>
  </si>
  <si>
    <t>17.03.2021</t>
  </si>
  <si>
    <t xml:space="preserve">45178    </t>
  </si>
  <si>
    <t>по сч.18 от 01.02.2021</t>
  </si>
  <si>
    <t>45181 Насос СМ 80-50-200б-2 с эл.дв.11/3000</t>
  </si>
  <si>
    <t>12.03.2021</t>
  </si>
  <si>
    <t xml:space="preserve">45181    </t>
  </si>
  <si>
    <t>по сч.15 от 28.01.2021</t>
  </si>
  <si>
    <t>45180 Насос СМ 80-50-200б-2 с эл.дв.11/3000</t>
  </si>
  <si>
    <t xml:space="preserve">45180    </t>
  </si>
  <si>
    <t>дог. №Т/1633-ЕД от 26.01.2021</t>
  </si>
  <si>
    <t>45169 Насосный агрегат специального исполнения S1.100.125.350.4.62М.S.322.G.N.D.501.Z</t>
  </si>
  <si>
    <t xml:space="preserve">45169    </t>
  </si>
  <si>
    <t>45168 Насосный агрегат специального исполнения S1.100.125.350.4.62М.S.322.G.N.D.501.Z</t>
  </si>
  <si>
    <t xml:space="preserve">45168    </t>
  </si>
  <si>
    <t>45167 Насосный агрегат специального исполнения S1.100.125.350.4.62М.S.322.G.N.D.501.Z</t>
  </si>
  <si>
    <t xml:space="preserve">45167    </t>
  </si>
  <si>
    <t>дог.Т/1532-ЕД от 13.11.2020</t>
  </si>
  <si>
    <t>45165 Насос WILO FA 10.78Z-korr+FK202-4/27 (15 м.кабеля, электрод протечек, прямой пуск) с</t>
  </si>
  <si>
    <t>09.03.2021</t>
  </si>
  <si>
    <t xml:space="preserve">45165    </t>
  </si>
  <si>
    <t>45164 Насос WILO FA 10.78Z-korr+T24-4/36K (10 метров кабеля, электрод протечек, прямой пус</t>
  </si>
  <si>
    <t xml:space="preserve">45164    </t>
  </si>
  <si>
    <t>дог. №Т/1516-ЕД от 23.10.2020г.</t>
  </si>
  <si>
    <t>44941 Насосный агрегат специального исполнения S1.100.125.350.4.62М.S.322.G.N.D.501.Z</t>
  </si>
  <si>
    <t>21.01.2021</t>
  </si>
  <si>
    <t xml:space="preserve">44941    </t>
  </si>
  <si>
    <t>44940 Насосный агрегат специального исполнения S1.100.125.350.4.62М.S.322.G.N.D.501.Z</t>
  </si>
  <si>
    <t xml:space="preserve">44940    </t>
  </si>
  <si>
    <t>дог. №Т/1515-ЕД от 23.10.2020г.</t>
  </si>
  <si>
    <t>44822 Шкаф управления двумя насосами Control_PT.22.1620.SS.A0.MC.65.ASP.H</t>
  </si>
  <si>
    <t xml:space="preserve">44822    </t>
  </si>
  <si>
    <t>44821 Насос Flygt NP 3301. 180 НТ 53-454, 70 кВт, кабель 20 м.</t>
  </si>
  <si>
    <t xml:space="preserve">44821    </t>
  </si>
  <si>
    <t>44820 Насос Flygt NP 3301. 180 НТ 53-454, 70 кВт, кабель 20 м.</t>
  </si>
  <si>
    <t xml:space="preserve">44820    </t>
  </si>
  <si>
    <t>Калужская область, г.Калуга, д.Лихун, дом б/н</t>
  </si>
  <si>
    <t>Приказ МЭР №1736-п от 09.10.2020г.</t>
  </si>
  <si>
    <t>44741 Канализационная насосная станция г.Калуга, д.Лихун</t>
  </si>
  <si>
    <t xml:space="preserve">44741    </t>
  </si>
  <si>
    <t>договор №Т/1266-ЕД от 30.06.2020г.</t>
  </si>
  <si>
    <t>44655 Насосный агрегат S1.80.125.260.4.58Н.S.341.Q.N.D.511</t>
  </si>
  <si>
    <t>15.10.2020</t>
  </si>
  <si>
    <t xml:space="preserve">44655    </t>
  </si>
  <si>
    <t>44654 Насос канализационный специального исполнения S1.80.125.400.4.62Н.S.374.G.N.D.Z кабе</t>
  </si>
  <si>
    <t xml:space="preserve">44654    </t>
  </si>
  <si>
    <t>44653 Насос канализационный специального исполнения S1.80.125.400.4.62Н.S.374.G.N.D кабель</t>
  </si>
  <si>
    <t xml:space="preserve">44653    </t>
  </si>
  <si>
    <t>44614 Шкаф управления Оникс МК3-100-IP54-У3.1</t>
  </si>
  <si>
    <t xml:space="preserve">44614    </t>
  </si>
  <si>
    <t>44612 Шкаф управления Оникс МК3-100-IP54-У3.1</t>
  </si>
  <si>
    <t xml:space="preserve">44612    </t>
  </si>
  <si>
    <t>44609 Шкаф управления Оникс МК3-100-IP54-У3.1</t>
  </si>
  <si>
    <t xml:space="preserve">44609    </t>
  </si>
  <si>
    <t>44608 Шкаф управления Оникс МК3-100-IP54-У3.1</t>
  </si>
  <si>
    <t xml:space="preserve">44608    </t>
  </si>
  <si>
    <t>44607 Шкаф управления Оникс МК3-100-IP54-У3.1</t>
  </si>
  <si>
    <t xml:space="preserve">44607    </t>
  </si>
  <si>
    <t>44606 Шкаф управления Оникс МК3-100-IP54-У3.1</t>
  </si>
  <si>
    <t xml:space="preserve">44606    </t>
  </si>
  <si>
    <t>44601 Шкаф управления Оникс МК3-100-IP54-У3.1</t>
  </si>
  <si>
    <t xml:space="preserve">44601    </t>
  </si>
  <si>
    <t>44600 Шкаф управления Оникс МК3-100-IP54-У3.1</t>
  </si>
  <si>
    <t xml:space="preserve">44600    </t>
  </si>
  <si>
    <t>44594 Шкаф управления Оникс МК3-80-IP54-У3.1</t>
  </si>
  <si>
    <t xml:space="preserve">44594    </t>
  </si>
  <si>
    <t>44591 Шкаф управления Оникс МК3-80-IP54-У3.1</t>
  </si>
  <si>
    <t xml:space="preserve">44591    </t>
  </si>
  <si>
    <t>44589 Шкаф управления Оникс МК3-80-IP54-У3.1</t>
  </si>
  <si>
    <t xml:space="preserve">44589    </t>
  </si>
  <si>
    <t>Т/1362-ЭА от 11.09.2020г.</t>
  </si>
  <si>
    <t>44532 Шкаф управления Оникс МК3-80-IP54-У3.1</t>
  </si>
  <si>
    <t xml:space="preserve">44532    </t>
  </si>
  <si>
    <t>44531 Шкаф управления Оникс МК3-80-IP54-У3.1</t>
  </si>
  <si>
    <t xml:space="preserve">44531    </t>
  </si>
  <si>
    <t>дог№Т/590-ЕД; Т/591-ЕД; Т/588-ЕД от 05.07.2019</t>
  </si>
  <si>
    <t>44507 Насос сухой горизонтальный Flygt NZ 3312</t>
  </si>
  <si>
    <t xml:space="preserve">44507    </t>
  </si>
  <si>
    <t>Т/1324-ЕД от 27.07.2020</t>
  </si>
  <si>
    <t>44050 Насос канализационный SLV.80.80.75.2.51D.C в комп-те c подъемной цепью</t>
  </si>
  <si>
    <t>10.08.2020</t>
  </si>
  <si>
    <t xml:space="preserve">44050    </t>
  </si>
  <si>
    <t>44399 Насос канализационный SLV.80.80.75.2.51D.C c подъемной цепью</t>
  </si>
  <si>
    <t xml:space="preserve">44399    </t>
  </si>
  <si>
    <t>Т-1223-ЕД от 10.06.2020</t>
  </si>
  <si>
    <t>44378 Трансформатор силовой масляный ТМГ-СЭЩ-630/10-11 УХЛ1 6.00/0.40 Д/Yн-1 1</t>
  </si>
  <si>
    <t xml:space="preserve">44378    </t>
  </si>
  <si>
    <t>ООО "Аквилон ЛТД" по дог.Т/1169-ЕД от 07.05.2020</t>
  </si>
  <si>
    <t>44364 Канализационный насос с кабелем 15 м SEV 80.80.110.2.51D</t>
  </si>
  <si>
    <t>17.07.2020</t>
  </si>
  <si>
    <t xml:space="preserve">44364    </t>
  </si>
  <si>
    <t>44363 Канализационный насос SLV.80.80.150.2.52H.S.N.51D</t>
  </si>
  <si>
    <t xml:space="preserve">44363    </t>
  </si>
  <si>
    <t>44362 Канализационный насос SLV.80.80.150.2.52H.S.N.51D</t>
  </si>
  <si>
    <t xml:space="preserve">44362    </t>
  </si>
  <si>
    <t>дог.Т/1170-ЕД от 07.05.2020</t>
  </si>
  <si>
    <t>44359 Насос Flygt NP 3153. SH 3~272, 15kW, FLS (4G4+2*1.5-10 м, рубашка охлаждения</t>
  </si>
  <si>
    <t>09.07.2020</t>
  </si>
  <si>
    <t xml:space="preserve">44359    </t>
  </si>
  <si>
    <t>Т/1223-ЕД от 10.06.2020</t>
  </si>
  <si>
    <t>44263 Трансформатор силовой масляный ТМГ-СЭЩ-630/10-11 УХЛ1 6.00/0.40 Д/Yн-1 1</t>
  </si>
  <si>
    <t>15.06.2020</t>
  </si>
  <si>
    <t xml:space="preserve">44263    </t>
  </si>
  <si>
    <t>Т/975-ЕД от 12.02.2020</t>
  </si>
  <si>
    <t>44260 Насос КRTD 100-315/552UEG-S IE3</t>
  </si>
  <si>
    <t>09.06.2020</t>
  </si>
  <si>
    <t xml:space="preserve">44260    </t>
  </si>
  <si>
    <t>44259 Насос КRTD 100-315/552UEG-S IE3</t>
  </si>
  <si>
    <t xml:space="preserve">44259    </t>
  </si>
  <si>
    <t>Т-1035-ЕД от 02.03.2020</t>
  </si>
  <si>
    <t>44198 Шкаф управления насосами Control_PT.22.3600.FC.A1.MS.54C</t>
  </si>
  <si>
    <t>29.04.2020</t>
  </si>
  <si>
    <t xml:space="preserve">44198    </t>
  </si>
  <si>
    <t>Т/906-ЕД от 19.12.2019</t>
  </si>
  <si>
    <t>44054 Насос СД 450/22,5 с эл.двиг. 75 кВт 1000 об/мин</t>
  </si>
  <si>
    <t>03.03.2020</t>
  </si>
  <si>
    <t xml:space="preserve">44054    </t>
  </si>
  <si>
    <t>Т/925-ЕД от 25.12.2019</t>
  </si>
  <si>
    <t>43805 Электронасосный агрегат SEG.40,40,2,50В-96075917</t>
  </si>
  <si>
    <t>17.01.2020</t>
  </si>
  <si>
    <t xml:space="preserve">43805    </t>
  </si>
  <si>
    <t>43807 Электронасосный агрегат SEG.40,40,2,50В-96075917</t>
  </si>
  <si>
    <t xml:space="preserve">43807    </t>
  </si>
  <si>
    <t>43806 Электронасосный агрегат SEG.40,40,2,50В-96075917</t>
  </si>
  <si>
    <t xml:space="preserve">43806    </t>
  </si>
  <si>
    <t>Т/925-ЕД от 25.10.2019</t>
  </si>
  <si>
    <t>43804 Электронасосный агрегат SEG.40,40,2,50В-96075917</t>
  </si>
  <si>
    <t xml:space="preserve">43804    </t>
  </si>
  <si>
    <t>Т/664-ЕД от 13.08.2019</t>
  </si>
  <si>
    <t>43705 Насосный агрегат канализ. S1.100.200.805.4.70Н.S.432.Q.N.D.511.Z кабель15м, раб.коле</t>
  </si>
  <si>
    <t>19.12.2019</t>
  </si>
  <si>
    <t xml:space="preserve">43705    </t>
  </si>
  <si>
    <t>Т/724-ЕД от 13.09.2019</t>
  </si>
  <si>
    <t>43638 Насос СД 160/45а 30кВт с эл.двиг. 1500 об/мин</t>
  </si>
  <si>
    <t>13.11.2019</t>
  </si>
  <si>
    <t xml:space="preserve">43638    </t>
  </si>
  <si>
    <t>43571 Насос СД 100-40 с эл.двиг.30кВт 3000об/мин</t>
  </si>
  <si>
    <t>29.10.2019</t>
  </si>
  <si>
    <t xml:space="preserve">43571    </t>
  </si>
  <si>
    <t>Т/706-ЕД от 03.09.2019</t>
  </si>
  <si>
    <t>43482 Агрегат электронасосный SEG 40.40.2.50B 96075917</t>
  </si>
  <si>
    <t>12.09.2019</t>
  </si>
  <si>
    <t xml:space="preserve">43482    </t>
  </si>
  <si>
    <t>43481 Агрегат электронасосный SEG 40.40.2.50B 96075917</t>
  </si>
  <si>
    <t xml:space="preserve">43481    </t>
  </si>
  <si>
    <t>Т/706-ЕД от 03.09.19</t>
  </si>
  <si>
    <t>43480 Насос канализационный SEG 40.31.2.50B 96075915</t>
  </si>
  <si>
    <t xml:space="preserve">43480    </t>
  </si>
  <si>
    <t>43479 Насос канализационный SEG 40.31.2.50B 96075915</t>
  </si>
  <si>
    <t xml:space="preserve">43479    </t>
  </si>
  <si>
    <t>43478 Насос канализационный SEG 40.26.2.50B Grundfos 96075913</t>
  </si>
  <si>
    <t xml:space="preserve">43478    </t>
  </si>
  <si>
    <t>43477 Насос канализационный SEG 40.26.2.50B Grundfos 96075913</t>
  </si>
  <si>
    <t xml:space="preserve">43477    </t>
  </si>
  <si>
    <t>43476 Насос канализационный SEG 40.15.2.50/96075909</t>
  </si>
  <si>
    <t xml:space="preserve">43476    </t>
  </si>
  <si>
    <t>Т/571-ЕД от 01.07.2019</t>
  </si>
  <si>
    <t>43399 Насос ВВН 1-3 7,5кВт</t>
  </si>
  <si>
    <t>12.08.2019</t>
  </si>
  <si>
    <t xml:space="preserve">43399    </t>
  </si>
  <si>
    <t>43442 Канализационная насосная станция_г.Калуга, ул.Верховая</t>
  </si>
  <si>
    <t xml:space="preserve">43442    </t>
  </si>
  <si>
    <t>Т/446-ЕД от 16.04.2019</t>
  </si>
  <si>
    <t>43359 Насос СД 100/40б с эл. дв. 18,5 кВт</t>
  </si>
  <si>
    <t>02.07.2019</t>
  </si>
  <si>
    <t xml:space="preserve">43359    </t>
  </si>
  <si>
    <t>Т/446-ЕД от 16.04.2019г</t>
  </si>
  <si>
    <t>43358 Насос СД 100/40а с эл. дв. 22 кВт</t>
  </si>
  <si>
    <t xml:space="preserve">43358    </t>
  </si>
  <si>
    <t>43357 Насос СД 100/40 с эл. дв. 30 кВт</t>
  </si>
  <si>
    <t xml:space="preserve">43357    </t>
  </si>
  <si>
    <t>43356 Насос СД 160/45а с эл.дв.30 кВт</t>
  </si>
  <si>
    <t xml:space="preserve">43356    </t>
  </si>
  <si>
    <t>43354 Насос СД 160/45 с эл.дв.37 кВт</t>
  </si>
  <si>
    <t xml:space="preserve">43354    </t>
  </si>
  <si>
    <t>43353 Насос СД 160/45 с эл.дв.37 кВт</t>
  </si>
  <si>
    <t xml:space="preserve">43353    </t>
  </si>
  <si>
    <t>43355 Насос СД 160/45а с эл.дв.30 кВт</t>
  </si>
  <si>
    <t xml:space="preserve">43355    </t>
  </si>
  <si>
    <t>Т/319-ЕД от 04.04.2019</t>
  </si>
  <si>
    <t>43239 Насосный агрегат канализационный Grundfos S1.100.125.350.4.62.М.S.322.G.N.D.Z 986563</t>
  </si>
  <si>
    <t>05.04.2019</t>
  </si>
  <si>
    <t xml:space="preserve">43239    </t>
  </si>
  <si>
    <t>Т/319-ЕД от 07.02.2019</t>
  </si>
  <si>
    <t>43240 Насосный агрегат канализационный Grundfos S1.100.125.350.4.62.М.S.322.G.N.D.Z 986563</t>
  </si>
  <si>
    <t xml:space="preserve">43240    </t>
  </si>
  <si>
    <t>Т/254-ЕД от 24.12.2018</t>
  </si>
  <si>
    <t>43126 Насосный агрегат GRUNDFOS S2.100.200.1600.4.70Н.Н.430.G.N.D.511.Z</t>
  </si>
  <si>
    <t>20.03.2019</t>
  </si>
  <si>
    <t xml:space="preserve">43126    </t>
  </si>
  <si>
    <t>43189 Насос S1.100.200.850.4.70H.S.432.G.N.D.Z</t>
  </si>
  <si>
    <t>17.03.2019</t>
  </si>
  <si>
    <t xml:space="preserve">43189    </t>
  </si>
  <si>
    <t>43186 Насос S1.80.125.260.4.58H.S.341.Q.N.D.</t>
  </si>
  <si>
    <t xml:space="preserve">43186    </t>
  </si>
  <si>
    <t>Т/212-ЕД от 03.12.2018</t>
  </si>
  <si>
    <t>43129 Насосный агрегат S1.100.125.220.4.58М.Н.297.Q.N.D.511.Z канализационный</t>
  </si>
  <si>
    <t>15.03.2019</t>
  </si>
  <si>
    <t xml:space="preserve">43129    </t>
  </si>
  <si>
    <t>43128 Насосный агрегат S1.100.125.220.4.58М.Н.297.Q.N.D.511.Z канализационный</t>
  </si>
  <si>
    <t xml:space="preserve">43128    </t>
  </si>
  <si>
    <t>Т/272-ЕД от 10.01.2019г</t>
  </si>
  <si>
    <t>43073 Насос 2СМ 200-150-500/4 200кВт</t>
  </si>
  <si>
    <t>18.01.2019</t>
  </si>
  <si>
    <t xml:space="preserve">43073    </t>
  </si>
  <si>
    <t>№790/ПР от 25.12.2018</t>
  </si>
  <si>
    <t>42899 Насос WILO Rexa UNI V06/T25-540</t>
  </si>
  <si>
    <t>26.12.2018</t>
  </si>
  <si>
    <t xml:space="preserve">42899    </t>
  </si>
  <si>
    <t>Т/196-ЕД от 20.11.2018</t>
  </si>
  <si>
    <t>42810 Насос 2СМ 250-200-400/4 б/дв н/р п/м:d90</t>
  </si>
  <si>
    <t xml:space="preserve">42810    </t>
  </si>
  <si>
    <t>42782 Канализационная насосная станция_г.Калуга_ ул.Тарутинская</t>
  </si>
  <si>
    <t xml:space="preserve">42782    </t>
  </si>
  <si>
    <t>42682 Насос PRO V06DA-224/EAD1X2-T0039-540-O</t>
  </si>
  <si>
    <t>19.09.2018</t>
  </si>
  <si>
    <t xml:space="preserve">42682    </t>
  </si>
  <si>
    <t>42708 Насосный агрегат SLV.80.80.75.2.51D.C GRUNDFOS</t>
  </si>
  <si>
    <t>14.09.2018</t>
  </si>
  <si>
    <t xml:space="preserve">42708    </t>
  </si>
  <si>
    <t>42707 Насосный агрегат SEG 40.40.2.50B GRUNDFOS</t>
  </si>
  <si>
    <t xml:space="preserve">42707    </t>
  </si>
  <si>
    <t>42706 Насос SEG 40.15.2.50В</t>
  </si>
  <si>
    <t xml:space="preserve">42706    </t>
  </si>
  <si>
    <t>42717 Система центровки валов со стрелочными индикаторами BALTECH SA-4000</t>
  </si>
  <si>
    <t>04.09.2018</t>
  </si>
  <si>
    <t xml:space="preserve">42717    </t>
  </si>
  <si>
    <t>Т/445-ЭА от 15.06.2018г</t>
  </si>
  <si>
    <t>42633 Насос агрегатный СД450/22,5 75кВт, 1000 об/мин</t>
  </si>
  <si>
    <t>15.08.2018</t>
  </si>
  <si>
    <t xml:space="preserve">42633    </t>
  </si>
  <si>
    <t>846/ПР от 10.05.2018</t>
  </si>
  <si>
    <t>42557 Насосный агрегат СМ 150-125-315б/4 с э/дв 22 кВт 1500 об/мин</t>
  </si>
  <si>
    <t>01.06.2018</t>
  </si>
  <si>
    <t xml:space="preserve">42557    </t>
  </si>
  <si>
    <t>838/ПР от 03.04.18 + 847/ПР от 18.04.18</t>
  </si>
  <si>
    <t>42535 Насосный агрегат SLV.80.80.60.2.51D.C-GRUNDFOS</t>
  </si>
  <si>
    <t>17.05.2018</t>
  </si>
  <si>
    <t xml:space="preserve">42535    </t>
  </si>
  <si>
    <t>Т/265-ЭА от 12.12.2017</t>
  </si>
  <si>
    <t>42490 Насосный агрегат ГрАУ 1600/25 с двигателем 250кВт/750об.мин.(6000В.)</t>
  </si>
  <si>
    <t>02.04.2018</t>
  </si>
  <si>
    <t xml:space="preserve">42490    </t>
  </si>
  <si>
    <t>42438 Канализационная насосная станция (КНС) №6 ул.Генерала Попова г.Калуга</t>
  </si>
  <si>
    <t xml:space="preserve">42438    </t>
  </si>
  <si>
    <t>Т/198-ЭА от 20.09.2017</t>
  </si>
  <si>
    <t>42409 Насосный агрегат ГрАУ 1600/25-А в ком-те с эл.двиг.ДАЗО4-400У-8МУ1(250/750, 6кВ) на</t>
  </si>
  <si>
    <t>20.12.2017</t>
  </si>
  <si>
    <t xml:space="preserve">42409    </t>
  </si>
  <si>
    <t>№23 от 20.04.2017</t>
  </si>
  <si>
    <t>42069 Электротельфер Т10532 3,2т 12м (Болгария)</t>
  </si>
  <si>
    <t>15.05.2017</t>
  </si>
  <si>
    <t xml:space="preserve">42069    </t>
  </si>
  <si>
    <t>№Т/143-ЗЦ от 26.12.2016</t>
  </si>
  <si>
    <t>41913 Электротельфер Т10532 3,2т 12м (Болгария)</t>
  </si>
  <si>
    <t>10.01.2017</t>
  </si>
  <si>
    <t xml:space="preserve">41913    </t>
  </si>
  <si>
    <t>41607 Задвижка с обрезин.клином 30ч39р - 400</t>
  </si>
  <si>
    <t>09.11.2016</t>
  </si>
  <si>
    <t xml:space="preserve">41607    </t>
  </si>
  <si>
    <t>41606 Задвижка с обрезин.клином 30ч39р - 400</t>
  </si>
  <si>
    <t xml:space="preserve">41606    </t>
  </si>
  <si>
    <t>41605 Задвижка с обрезин.клином 30ч39р - 400</t>
  </si>
  <si>
    <t xml:space="preserve">41605    </t>
  </si>
  <si>
    <t>41604 Задвижка с обрезин.клином 30ч39р - 400</t>
  </si>
  <si>
    <t xml:space="preserve">41604    </t>
  </si>
  <si>
    <t>№Т/280-ЗП от 05.09.2016</t>
  </si>
  <si>
    <t>41529 Насос SLV 80.75.2.51D.С</t>
  </si>
  <si>
    <t>13.09.2016</t>
  </si>
  <si>
    <t xml:space="preserve">41529    </t>
  </si>
  <si>
    <t>41528 Насос SLV 80.80.110.2.51D.С</t>
  </si>
  <si>
    <t xml:space="preserve">41528    </t>
  </si>
  <si>
    <t>41527 Насос SEG 40.40.2.50В</t>
  </si>
  <si>
    <t xml:space="preserve">41527    </t>
  </si>
  <si>
    <t>41526 Насос SEG 40.31.2.50В</t>
  </si>
  <si>
    <t xml:space="preserve">41526    </t>
  </si>
  <si>
    <t>41524 Насос SEG 40.26.2.50В</t>
  </si>
  <si>
    <t xml:space="preserve">41524    </t>
  </si>
  <si>
    <t>41523 Насос SEG 40.15.2.50В</t>
  </si>
  <si>
    <t xml:space="preserve">41523    </t>
  </si>
  <si>
    <t>41490 Насос SEG 40.40.2.50 В</t>
  </si>
  <si>
    <t>14.07.2016</t>
  </si>
  <si>
    <t xml:space="preserve">41490    </t>
  </si>
  <si>
    <t>41401 Насосный агрегат СМ 125-80-315/4</t>
  </si>
  <si>
    <t>22.01.2016</t>
  </si>
  <si>
    <t xml:space="preserve">41401    </t>
  </si>
  <si>
    <t>41298 Канализационная насосная станция в с.Воскресенское</t>
  </si>
  <si>
    <t xml:space="preserve">41298    </t>
  </si>
  <si>
    <t>41295 насос СМ150-125-400/4</t>
  </si>
  <si>
    <t>29.12.2015</t>
  </si>
  <si>
    <t xml:space="preserve">41295    </t>
  </si>
  <si>
    <t>41178 Дробилка Muffin Monster 300005-0032 DI привод редуктор ATEX, электродвигатель 3-х фа</t>
  </si>
  <si>
    <t>30.10.2015</t>
  </si>
  <si>
    <t xml:space="preserve">41178    </t>
  </si>
  <si>
    <t>41174 Электростанция сварочная WS 230DC ES бензиновая с электростартером</t>
  </si>
  <si>
    <t xml:space="preserve">41174    </t>
  </si>
  <si>
    <t>40977 Агрегат СМ 125-100-250/4</t>
  </si>
  <si>
    <t>13.08.2015</t>
  </si>
  <si>
    <t xml:space="preserve">40977    </t>
  </si>
  <si>
    <t>г.Калуга ул.Каштановая, д. б/н</t>
  </si>
  <si>
    <t>41078 Канализационно-насосная станция г.Калуга ул.Каштановая, д.52 (ТИЗ Заречье)</t>
  </si>
  <si>
    <t xml:space="preserve">41078    </t>
  </si>
  <si>
    <t>40934 Задвижка шиберная двухторонняя, штурвал, выдв. шток, нож</t>
  </si>
  <si>
    <t>14.07.2015</t>
  </si>
  <si>
    <t xml:space="preserve">40934    </t>
  </si>
  <si>
    <t>40907 Агрегат СМ 200-150-500/4</t>
  </si>
  <si>
    <t>22.06.2015</t>
  </si>
  <si>
    <t xml:space="preserve">40907    </t>
  </si>
  <si>
    <t>40808 Трансформатор масляный трехфазный ТМ-250 10 кВА</t>
  </si>
  <si>
    <t>17.02.2015</t>
  </si>
  <si>
    <t xml:space="preserve">40808    </t>
  </si>
  <si>
    <t>40678 Насос FA 10.78Z в комплекте</t>
  </si>
  <si>
    <t>11.12.2014</t>
  </si>
  <si>
    <t xml:space="preserve">40678    </t>
  </si>
  <si>
    <t>40677 Задвижка фланцевая короткая ARI GV PN 16 Ду 400 мм со штурвалом</t>
  </si>
  <si>
    <t>01.12.2014</t>
  </si>
  <si>
    <t xml:space="preserve">40677    </t>
  </si>
  <si>
    <t>40620 Устройство плавного пуска MCD5-0360С-Т5-G4X-00-CV2/360А 525В</t>
  </si>
  <si>
    <t>01.10.2014</t>
  </si>
  <si>
    <t xml:space="preserve">40620    </t>
  </si>
  <si>
    <t>40617 Устройство плавного пуска MCD 201-090-T4-CV3 90кВт,</t>
  </si>
  <si>
    <t xml:space="preserve">40617    </t>
  </si>
  <si>
    <t>40577 Трансформатор масляный трехфазный ТМ-630 10 кВА</t>
  </si>
  <si>
    <t>09.07.2014</t>
  </si>
  <si>
    <t xml:space="preserve">40577    </t>
  </si>
  <si>
    <t>40566 Шкаф управления насосным оборудованием S2.100.200.1600.4.70 в комплекте</t>
  </si>
  <si>
    <t>02.07.2014</t>
  </si>
  <si>
    <t xml:space="preserve">40566    </t>
  </si>
  <si>
    <t>40553 Станция управления СН 0-01-500/0500/380-1-П00063</t>
  </si>
  <si>
    <t>24.06.2014</t>
  </si>
  <si>
    <t xml:space="preserve">40553    </t>
  </si>
  <si>
    <t>40546 ТРАНСФОРМАТОР однофозныйТМCRES 630/882</t>
  </si>
  <si>
    <t xml:space="preserve">40546    </t>
  </si>
  <si>
    <t>40526 Станция управления насосами SK-712/d-2-22</t>
  </si>
  <si>
    <t xml:space="preserve">40526    </t>
  </si>
  <si>
    <t>40523 Станция управления насосами SK-712/d-2-18</t>
  </si>
  <si>
    <t xml:space="preserve">40523    </t>
  </si>
  <si>
    <t>40521 Насос FA 10.94 в комплекте</t>
  </si>
  <si>
    <t xml:space="preserve">40521    </t>
  </si>
  <si>
    <t>40476 Выключатель авт.3 п 2000А ВА55-43 344710 660В РН 220 VAC</t>
  </si>
  <si>
    <t>03.04.2014</t>
  </si>
  <si>
    <t xml:space="preserve">40476    </t>
  </si>
  <si>
    <t>40475 Выключатель авт.3 п 2000А ВА55-43 344710 660В РН 220 VAC</t>
  </si>
  <si>
    <t xml:space="preserve">40475    </t>
  </si>
  <si>
    <t>40474 Выключатель авт.3 п 2000А ВА55-43 344710 660В РН 220 VAC</t>
  </si>
  <si>
    <t xml:space="preserve">40474    </t>
  </si>
  <si>
    <t>40390 Насос К 90/85</t>
  </si>
  <si>
    <t>13.02.2014</t>
  </si>
  <si>
    <t xml:space="preserve">40390    </t>
  </si>
  <si>
    <t>40388 Насос К 90/85</t>
  </si>
  <si>
    <t xml:space="preserve">40388    </t>
  </si>
  <si>
    <t>40358 Преобразователь частоты FDU 2.0 NGD 48-375-20CE 200кВт 380В IP20</t>
  </si>
  <si>
    <t xml:space="preserve">40358    </t>
  </si>
  <si>
    <t>40312 КОТЕЛ паровой прямоточный (парогенератор) STEAMMATE в комплекте</t>
  </si>
  <si>
    <t xml:space="preserve">40312    </t>
  </si>
  <si>
    <t>40309 Затвор шиберный DN400 PN10</t>
  </si>
  <si>
    <t xml:space="preserve">40309    </t>
  </si>
  <si>
    <t>40303 Мягкий пускатель 2,0 MSF-110</t>
  </si>
  <si>
    <t>09.12.2013</t>
  </si>
  <si>
    <t xml:space="preserve">40303    </t>
  </si>
  <si>
    <t>40272 Насос S3.110.500.1300.6.70.L.H.442.G.N.D</t>
  </si>
  <si>
    <t>12.09.2013</t>
  </si>
  <si>
    <t xml:space="preserve">40272    </t>
  </si>
  <si>
    <t>40260 Насос S3.110.500.1300.6.70.L.H.442.G.N.D</t>
  </si>
  <si>
    <t>28.08.2013</t>
  </si>
  <si>
    <t xml:space="preserve">40260    </t>
  </si>
  <si>
    <t>40193 Мягкий пускатель 2,0 MSF-370</t>
  </si>
  <si>
    <t>19.06.2013</t>
  </si>
  <si>
    <t xml:space="preserve">40193    </t>
  </si>
  <si>
    <t>40192 Мягкий пускатель 2,0 MSF-370</t>
  </si>
  <si>
    <t xml:space="preserve">40192    </t>
  </si>
  <si>
    <t>40187 Насос S1.80.125.260.4.58.H.S.341.G.N.D.511 (Grundfos)</t>
  </si>
  <si>
    <t>24.05.2013</t>
  </si>
  <si>
    <t xml:space="preserve">40187    </t>
  </si>
  <si>
    <t>40178 Насос СМ 250-200-400/4 с эл.дв.А4-355L4-УЗ</t>
  </si>
  <si>
    <t>29.04.2013</t>
  </si>
  <si>
    <t xml:space="preserve">40178    </t>
  </si>
  <si>
    <t>40106 Насос Grundfos S1.100.200.850.4.70.Н.S.432.G.N.D.Z (с кабелем 15 м) в к-те с ЗИП</t>
  </si>
  <si>
    <t>18.04.2013</t>
  </si>
  <si>
    <t xml:space="preserve">40106    </t>
  </si>
  <si>
    <t>40097 Насос Grundfos S1.80.125.400.4.62.Н.S.374.G.N.D.Z (с кабелем 15 м)</t>
  </si>
  <si>
    <t>05.04.2013</t>
  </si>
  <si>
    <t xml:space="preserve">40097    </t>
  </si>
  <si>
    <t>40096 Насос Grundfos S1.80.125.400.4.62.Н.S.374.G.N.D.Z (с кабелем 15 м)</t>
  </si>
  <si>
    <t xml:space="preserve">40096    </t>
  </si>
  <si>
    <t>40095 Насос Grundfos S1.80.125.400.4.62.Н.S.374.G.N.D.Z (с кабелем 15 м)</t>
  </si>
  <si>
    <t xml:space="preserve">40095    </t>
  </si>
  <si>
    <t>40098 Шкаф управления Grundfos, тип Control WW-S 3 x 80-94.9 A SS ABP</t>
  </si>
  <si>
    <t xml:space="preserve">40098    </t>
  </si>
  <si>
    <t>40093 Насос СМ 150-125-400/4 на раме с электродвигателем 5АИ 225 М4 (55кВт*1500об/мин)</t>
  </si>
  <si>
    <t xml:space="preserve">40093    </t>
  </si>
  <si>
    <t>40090 Насос Grundfos SEV.80.100.110.2</t>
  </si>
  <si>
    <t xml:space="preserve">40090    </t>
  </si>
  <si>
    <t>40089 Насос Grundfos SEV.80.100.110.2</t>
  </si>
  <si>
    <t xml:space="preserve">40089    </t>
  </si>
  <si>
    <t>40004 Насос канализационный погружной Grundfos S1.80.125.260.4.58.H.S.341.G.N.D.</t>
  </si>
  <si>
    <t>06.02.2013</t>
  </si>
  <si>
    <t xml:space="preserve">40004    </t>
  </si>
  <si>
    <t>40002 Шкаф управления 2-мя насосами Grundfos тип Control LCD 108.400.3.2x20A SD</t>
  </si>
  <si>
    <t xml:space="preserve">40002    </t>
  </si>
  <si>
    <t>40000 Насос Grundfos SLV.80.80.75.2.51D</t>
  </si>
  <si>
    <t xml:space="preserve">40000    </t>
  </si>
  <si>
    <t>39999 Насос Grundfos SEG.40.26.2.50В</t>
  </si>
  <si>
    <t xml:space="preserve">39999    </t>
  </si>
  <si>
    <t>39912 Насос SEG 40.26.2.50 В</t>
  </si>
  <si>
    <t>24.10.2012</t>
  </si>
  <si>
    <t xml:space="preserve">39912    </t>
  </si>
  <si>
    <t>39903 Насос СМ 200-150-500/4 без рамы, без эл.дв.</t>
  </si>
  <si>
    <t>01.09.2012</t>
  </si>
  <si>
    <t xml:space="preserve">39903    </t>
  </si>
  <si>
    <t>39904 Датчик уровня ЭХО-АС-01-АП-11-5,0м.-0-4,,20 МА-RS</t>
  </si>
  <si>
    <t xml:space="preserve">39904    </t>
  </si>
  <si>
    <t>39862 Трансформатор ТМГ-160/6/0,4 (КНС №6 ТП-196)</t>
  </si>
  <si>
    <t xml:space="preserve">39862    </t>
  </si>
  <si>
    <t>39822 Насос ПФ1 100/240.238-7,5/4-016 (зав.№722)</t>
  </si>
  <si>
    <t xml:space="preserve">39822    </t>
  </si>
  <si>
    <t>39821 Насос СМ 250-200-400/4 без рамы, без эл.дв.</t>
  </si>
  <si>
    <t xml:space="preserve">39821    </t>
  </si>
  <si>
    <t>39820 Насос СМ 250-200-400/4 без рамы, без эл.дв.</t>
  </si>
  <si>
    <t xml:space="preserve">39820    </t>
  </si>
  <si>
    <t>39758 Насос канализационный Grundfos</t>
  </si>
  <si>
    <t>15.03.2012</t>
  </si>
  <si>
    <t xml:space="preserve">39758    </t>
  </si>
  <si>
    <t>город Калуга, урочище Ромодановские дворики, лит.Г</t>
  </si>
  <si>
    <t>39074  КНС подземная ж/б</t>
  </si>
  <si>
    <t>город Калуга, деревня Плетеневка</t>
  </si>
  <si>
    <t>39004  КНС одноэтажное кирпичное  строение</t>
  </si>
  <si>
    <t>37933  Таль электрическая</t>
  </si>
  <si>
    <t>30.12.2005</t>
  </si>
  <si>
    <t>38158  Таль ТРШП г/п 1т Н=9м</t>
  </si>
  <si>
    <t>23.11.2005</t>
  </si>
  <si>
    <t>38129  Канализационная насосная станция</t>
  </si>
  <si>
    <t>город Калуга, улица Богородицкая, стр.1</t>
  </si>
  <si>
    <t>37540  Здание КНС "Правый берег"</t>
  </si>
  <si>
    <t>29759  Насос СМ 200-150-500/4 б/дв.</t>
  </si>
  <si>
    <t>35222  НАСОС СМ 150-125-31П4</t>
  </si>
  <si>
    <t>32499  насос СМ 250-200-400</t>
  </si>
  <si>
    <t>32498  насос ВКС 2/26</t>
  </si>
  <si>
    <t>32491  насос НС-100*40</t>
  </si>
  <si>
    <t>34836  Комплектная трансформаторная подстанция</t>
  </si>
  <si>
    <t>31393  Комплектная трансформаторная подстанция</t>
  </si>
  <si>
    <t>г.Калуга Ленинский р-н п.СИЛИКАТНЫЙ КНС</t>
  </si>
  <si>
    <t>31391  Распредустройство, котельная</t>
  </si>
  <si>
    <t>31389  Эл. тельфер</t>
  </si>
  <si>
    <t>Калужская область, Мещовский р-н, город Мещовск, улица Чернышевского, лит.I</t>
  </si>
  <si>
    <t>31384  Связь воздушная линия</t>
  </si>
  <si>
    <t>29825  Задвижка Д-600 чуг.</t>
  </si>
  <si>
    <t>29.02.2004</t>
  </si>
  <si>
    <t>33212  АГРЕГАТ НАСОСНЫЙ НС 100/40 30 КВТ</t>
  </si>
  <si>
    <t>31296  АГРЕГАТ НАСОСНЫЙ НС 100/40 30 КВТ</t>
  </si>
  <si>
    <t>34295  Задвижки Д-150мм, чуг.</t>
  </si>
  <si>
    <t>31204  ЗАТВОР 32 ДУ-600</t>
  </si>
  <si>
    <t>31203  НАСОС 1 СДН-630/6000, 1 СД 2400/75</t>
  </si>
  <si>
    <t>31028  Задвижка Д-600 чуг.</t>
  </si>
  <si>
    <t>30.11.2003</t>
  </si>
  <si>
    <t>29895  Насос ЦВК 4-112 с эл.двигателем 22кВт</t>
  </si>
  <si>
    <t>30.09.2003</t>
  </si>
  <si>
    <t>30476  Трансформатор сварочный</t>
  </si>
  <si>
    <t>29652  ТЕЛЬФЕР 0.5Т.</t>
  </si>
  <si>
    <t>29622  НАСОСНЫЙ АГРЕГАТ НС 100/40</t>
  </si>
  <si>
    <t>01.02.2003</t>
  </si>
  <si>
    <t>35218  НАСОС СД-160/35, ДВИГАТЕЛЬ 30КВТ.</t>
  </si>
  <si>
    <t>29509  АГРЕГАТ НАСОСНЫЙ НС 100/40 30 КВТ</t>
  </si>
  <si>
    <t>город Калуга, улица Курсантов, д.20 стр.28</t>
  </si>
  <si>
    <t>29467  КНС "КАЛТУ"</t>
  </si>
  <si>
    <t>35226  НАСОС ФГ 450/22.5 С ЭЛ ДВИГ</t>
  </si>
  <si>
    <t>01.01.2002</t>
  </si>
  <si>
    <t>город Калуга, от ТП до КНС</t>
  </si>
  <si>
    <t>28054  НИЗКОВОЛЬТНЫЕ КАБ СЕТИ</t>
  </si>
  <si>
    <t>г.Калуга Подгорная, 57</t>
  </si>
  <si>
    <t>27788  Канализационная насосная станция</t>
  </si>
  <si>
    <t>22897  НАСОС ГРУНТОВЫЙ ГРУ-12 1600/25</t>
  </si>
  <si>
    <t>28663  АГРЕГАТ НАСОСНЫЙ ВАКУУМНЫЙ ВВН 1-3 С ЭЛ.ДВ</t>
  </si>
  <si>
    <t>27987  ЭЛ ДВИГАТЕЛЬ 6000В 400КВТ/750</t>
  </si>
  <si>
    <t>город Калуга, деревня Мстихино, лит.Стр, 1</t>
  </si>
  <si>
    <t>28177  КНС D7.5 (ЗДАНИЕ)</t>
  </si>
  <si>
    <t>28051  КНС (860М КУБ ФУНД.-Ж/Б, СТЕНЫ-КИРПИЧ) п.Резвань</t>
  </si>
  <si>
    <t>22.11.2000</t>
  </si>
  <si>
    <t>г.Калуга, ул. Подгорная</t>
  </si>
  <si>
    <t>34698  КАБЕЛЬ 3*2.5+1*1.5</t>
  </si>
  <si>
    <t>34697  КАБЕЛЬ 3*2.5+1*1.5</t>
  </si>
  <si>
    <t>34696  КАБЕЛЬ 3*2.5+1*1.5</t>
  </si>
  <si>
    <t>34695  КАБЕЛЬ 3*2.5+1*1.5</t>
  </si>
  <si>
    <t>33762  ЗАДВИЖКА D80,100,150</t>
  </si>
  <si>
    <t>33761  ЗАДВИЖКА D80,100,150</t>
  </si>
  <si>
    <t>33760  ЗАДВИЖКА D80,100,150</t>
  </si>
  <si>
    <t>33759  ЗАДВИЖКА D80,100,150</t>
  </si>
  <si>
    <t>33300  ВОЗДУХОСБОРНИК D150</t>
  </si>
  <si>
    <t>29693  НАСОС ГОРИЗОНТАЛЬНЫЙ СН 100-65</t>
  </si>
  <si>
    <t>город Калуга, улица Подгорная, 57</t>
  </si>
  <si>
    <t>27916  КАБЕЛЬ 3*4+1*2.5</t>
  </si>
  <si>
    <t>27915  КАБЕЛЬ 3*2.5+1*1.5</t>
  </si>
  <si>
    <t>27914  ВОЗДУХОСБОРНИК D150</t>
  </si>
  <si>
    <t>27913  ТРУБЫ ВОДОГАЗОПР. D15</t>
  </si>
  <si>
    <t>27912  ЗАДВИЖКА D80,100,150</t>
  </si>
  <si>
    <t>27905  НАСОС ГОРИЗОНТАЛЬНЫЙ СН 100-65</t>
  </si>
  <si>
    <t>город Калуга, улица Стеклянников сад, стр.1</t>
  </si>
  <si>
    <t>27904  КНС ЗДАНИЕ ул.Подгорная</t>
  </si>
  <si>
    <t>24284  АГРЕГАТ НАСОСА НС 160-45 18.5КВТ</t>
  </si>
  <si>
    <t>27650  ЗАДВИЖКИ 30 Ч 6 БК D-400</t>
  </si>
  <si>
    <t>27242  ЭЛ. ТЕЛЬФЕР 0.5 Т</t>
  </si>
  <si>
    <t>26510  НАСОС НС 16/25 4 КВТ</t>
  </si>
  <si>
    <t>26988  ДВИГ. 55 КВТ 1500 ОБ/МИН</t>
  </si>
  <si>
    <t>23288  КЛАПАН d=600</t>
  </si>
  <si>
    <t>34548  ЗАТВОР 32 ДУ-500</t>
  </si>
  <si>
    <t>26888  НАСОС НС 160/45, ПЛИТА 37 КВТ</t>
  </si>
  <si>
    <t>26887  НАСОС НС 160/45, ПЛИТА 37 КВТ</t>
  </si>
  <si>
    <t>26880  ЗАТВОР 32 ДУ-500</t>
  </si>
  <si>
    <t>26868  КЛАПАН d=600</t>
  </si>
  <si>
    <t>26840  ЭЛ.ДВ. АССИНХРОННЫЙ М 280 М 1-4</t>
  </si>
  <si>
    <t>26584  КНС №20 ул.Широкая (г.Калуга Московский р-н)</t>
  </si>
  <si>
    <t>город Калуга, территория аэропорта, стр.19</t>
  </si>
  <si>
    <t>26492  КНС АЭРОПОРТ</t>
  </si>
  <si>
    <t>26046  ГОРИЗОНТАЛЬНАЯ ПЕСКОЛОВКА</t>
  </si>
  <si>
    <t>26045  ПОДСОБНОЕ ЗДАНИЕ</t>
  </si>
  <si>
    <t>26044  КНС "Калуга-2"</t>
  </si>
  <si>
    <t>34287  ЗАДВИЖКИ d=600</t>
  </si>
  <si>
    <t>город Калуга, переулок Дорожный, лит.Стр, 1</t>
  </si>
  <si>
    <t>25991  КНС "Ольговка"</t>
  </si>
  <si>
    <t>25949  ЗАДВИЖКИ d=600</t>
  </si>
  <si>
    <t>город Калуга, КНС</t>
  </si>
  <si>
    <t>25948  ДОМИК ВАГОННОГО ТИПА АДД</t>
  </si>
  <si>
    <t>город Калуга, деревня Колюпаново, КИСП-1</t>
  </si>
  <si>
    <t>25947  ДОМИК ВАГОННОГО ТИПА АДД. КНС - 21 д.Колюпаново</t>
  </si>
  <si>
    <t>25731  ЗДАНИЕ КИРПИЧНОЕ КНС - 21 д.Колюпаново</t>
  </si>
  <si>
    <t>25726  МАГНИТНЫЙ ПУСКАТЕЛЬ МДС-Т-16-Р</t>
  </si>
  <si>
    <t>25658  Т-21 И КАБЕЛЬНЫЕ СЕТИ 0.4 КВТ</t>
  </si>
  <si>
    <t>23027  ЗАДВИЖКИ РУ-10-600</t>
  </si>
  <si>
    <t>23021  ЗАДВИЖКИ d=600</t>
  </si>
  <si>
    <t>город Калуга, улица Московская, лит.Стр, 1</t>
  </si>
  <si>
    <t>24830  ЗДАНИЕ КНС "КЗАЭ"</t>
  </si>
  <si>
    <t>24828  ОБРАТНЫЙ КЛАПАН D-400</t>
  </si>
  <si>
    <t>24827  ТАЛЬ РУЧНАЯ Н-2 ТН</t>
  </si>
  <si>
    <t>24826  ТАЛЬ РУЧНАЯ Н-5 ТН</t>
  </si>
  <si>
    <t>24824  ЭЛ.ТЕЛЬФЕР Н-2 ТН</t>
  </si>
  <si>
    <t>24816  ЭЛ.ДВИГАТЕЛЬ А 4-450 УК-8УЗ 500КВТ</t>
  </si>
  <si>
    <t>24814  НАСОС ФГ-2400/75</t>
  </si>
  <si>
    <t>23394  СТАНОК ОБДИРОЧНО-ШЛИФОВАЛЬНЫЙ</t>
  </si>
  <si>
    <t>23327  СТАНОК ВЕРТИКАЛЬНО-СВЕРЛ. 2Н-125</t>
  </si>
  <si>
    <t>24564  НАСОС ГРАУ 1600/25</t>
  </si>
  <si>
    <t>01.04.1997</t>
  </si>
  <si>
    <t>24302  ЕМКОСТЬ 3.94ТН</t>
  </si>
  <si>
    <t>24299  ЕМКОСТЬ 3.94ТН</t>
  </si>
  <si>
    <t>город Калуга, улица Михалевская, лит.Стр, 1</t>
  </si>
  <si>
    <t>24240  КНС (пос.СИЛИКАТНЫЙ)</t>
  </si>
  <si>
    <t>город Калуга, деревня Шопино, улица Новая, лит.Стр, 1</t>
  </si>
  <si>
    <t>25992  КНС - 12. П.Шопино. Ул.Новая</t>
  </si>
  <si>
    <t>город Калуга, улица Калуга-Бор, лит.Стр, 1</t>
  </si>
  <si>
    <t>24076  КНС №13 п.Шопино</t>
  </si>
  <si>
    <t>24039  БЛАГОУСТРОЙСТВО ВОКРУГ КНС</t>
  </si>
  <si>
    <t>24036  БЛАГОУСТР. ВОКРУГ КНС</t>
  </si>
  <si>
    <t>24030  КНС N 15 НА 2 НАСОСА "Угра"</t>
  </si>
  <si>
    <t>35479  РЕШЕТКА РШУ</t>
  </si>
  <si>
    <t>35216  НАСОС СД 250/22,5</t>
  </si>
  <si>
    <t>35215  НАСОС СД 250/22,5</t>
  </si>
  <si>
    <t>35172  НАСОС ГРУ 1600/25</t>
  </si>
  <si>
    <t>34570  ЗАТВОР d=500</t>
  </si>
  <si>
    <t>33592  ЗАДВИЖКА d=400</t>
  </si>
  <si>
    <t>25995  КНС N 6,7</t>
  </si>
  <si>
    <t>248017, Калужская обл, Калуга г, Прирельсовая ул, дом № 22</t>
  </si>
  <si>
    <t>11134 КНС г.Калуга, ул.Прирельсовая, д 22</t>
  </si>
  <si>
    <t>11124  КРАН-БАЛКА</t>
  </si>
  <si>
    <t>город Калуга, улица Волковская, лит.Стр, 1</t>
  </si>
  <si>
    <t>11120  КАНАЛИЗАЦИОННАЯ НАСОСНАЯ СТАНЦИЯ ТЕРЕПЕЦ</t>
  </si>
  <si>
    <t>11106  ТАЛЬ ЭЛЕКТРИЧЕСКАЯ</t>
  </si>
  <si>
    <t>11105  ТАЛЬ РУЧНАЯ</t>
  </si>
  <si>
    <t>11103  НАСОС СД 250/22,5</t>
  </si>
  <si>
    <t>11101  ДРОБИЛКА Д-3б</t>
  </si>
  <si>
    <t>11100  РЕШЕТКА РШУ</t>
  </si>
  <si>
    <t>10948  КНС МАЛИННИКИ (СТАНЦИЯ ПЕРЕКАЧКИ)</t>
  </si>
  <si>
    <t>10571  ЗАТВОР d=500</t>
  </si>
  <si>
    <t>10434  КРАН-БАЛКА</t>
  </si>
  <si>
    <t>10424  ТЕЛЬФЕР 2Т ТЭ3-531</t>
  </si>
  <si>
    <t>10418  ЗАТВОР d=500</t>
  </si>
  <si>
    <t>10410  КНС N 6</t>
  </si>
  <si>
    <t>10396  СБОРНЫЙ РЕЗЕРВУАР</t>
  </si>
  <si>
    <t>10395  РЕЗЕРВУАР КНС</t>
  </si>
  <si>
    <t>10394  Канализационная наносная станция перекачки №1 (КНСП) строение 7</t>
  </si>
  <si>
    <t>10348 НС СД 2400х75</t>
  </si>
  <si>
    <t xml:space="preserve">Цех канализационных насосных станций </t>
  </si>
  <si>
    <t>Ксооружения</t>
  </si>
  <si>
    <t>Корпорация климат ООО Счет № УТ-756 от 15.03.2022</t>
  </si>
  <si>
    <t>46845 Насос АС 258-180 отопительная система н/ст 3 подъема Турынино</t>
  </si>
  <si>
    <t xml:space="preserve">46845    </t>
  </si>
  <si>
    <t>Калужская область, г Калуга, ул Советская</t>
  </si>
  <si>
    <t>Приказ МЭРиП №574-п от 07.04.2022</t>
  </si>
  <si>
    <t>46480 Внеплощадочные сети водопровода, протяженность 1240 п.м.</t>
  </si>
  <si>
    <t>19.04.2022</t>
  </si>
  <si>
    <t xml:space="preserve">46480    </t>
  </si>
  <si>
    <t>Калужская область, г Калуга, п Турынино</t>
  </si>
  <si>
    <t>46482 Насосная станция 3-го подъема (нежилое здание) п.Турынино</t>
  </si>
  <si>
    <t xml:space="preserve">46482    </t>
  </si>
  <si>
    <t>46481 Резервуары с поглотительными фильтрами, объем 16000 куб.м.</t>
  </si>
  <si>
    <t xml:space="preserve">46481    </t>
  </si>
  <si>
    <t>46478 Внутриплощадочные сети водопровода, протяженность 810 м</t>
  </si>
  <si>
    <t xml:space="preserve">46478    </t>
  </si>
  <si>
    <t>46477 Внутриплощадочные сети канализации, протяженность 263 м</t>
  </si>
  <si>
    <t xml:space="preserve">46477    </t>
  </si>
  <si>
    <t>ППАаз111 _Калуга МЭР_Договор аренды 313 от 03.07.2015_кадастровый номер_40:26:000222:28</t>
  </si>
  <si>
    <t xml:space="preserve"> ППАаз111</t>
  </si>
  <si>
    <t>45852 Водопроводная сеть внеплощадочная г.Калуга, ул. Советская протяженность 1240 м.</t>
  </si>
  <si>
    <t xml:space="preserve">45852    </t>
  </si>
  <si>
    <t>45851 Водопроводная сеть внутриплощадочные Калуга, ул. Советская, протяженность 810 м</t>
  </si>
  <si>
    <t xml:space="preserve">45851    </t>
  </si>
  <si>
    <t>45850 Канализационная сеть внутриплощадочная г.Калуга, Советская, протяженность 263 м</t>
  </si>
  <si>
    <t xml:space="preserve">45850    </t>
  </si>
  <si>
    <t>45849 Резервуары с поглотительными фильтрами (2 шт по 8000 куб.м.) г.Калуга, ул. Советская</t>
  </si>
  <si>
    <t xml:space="preserve">45849    </t>
  </si>
  <si>
    <t>сч № 140 от 14.04.2020</t>
  </si>
  <si>
    <t>44254 Сварочный аппарат электромуфтовый Просвар Электро 315 (20-315 мм) с функцией протоко</t>
  </si>
  <si>
    <t>01.06.2020</t>
  </si>
  <si>
    <t xml:space="preserve">44254    </t>
  </si>
  <si>
    <t>39605 Втулка под фланец удл. ПЭ 100 Ду 800</t>
  </si>
  <si>
    <t>31.12.2011</t>
  </si>
  <si>
    <t>39604 Втулка под фланец удл. ПЭ 100 Ду 800</t>
  </si>
  <si>
    <t>39603 Втулка под фланец удл. ПЭ 100 Ду 800</t>
  </si>
  <si>
    <t>39602 Втулка под фланец удл. ПЭ 100 Ду 800</t>
  </si>
  <si>
    <t>39601 Тройник ПЭ 100 Ду 800х800х800</t>
  </si>
  <si>
    <t>39600 Тройник ПЭ 100 Ду 800х800х800</t>
  </si>
  <si>
    <t>39599 Задвижка Ду 800 с ручным приводом</t>
  </si>
  <si>
    <t>39598 Задвижка Ду 800 с ручным приводом</t>
  </si>
  <si>
    <t>31381  Воздушная линия эл.передачи и освещения</t>
  </si>
  <si>
    <t>31380  Дождевая канализация Д-800ст.</t>
  </si>
  <si>
    <t>31377  Эл. тельфер</t>
  </si>
  <si>
    <t>34779  КАМЕРЫ КСО-298</t>
  </si>
  <si>
    <t>34778  КАМЕРЫ КСО-298</t>
  </si>
  <si>
    <t>34777  КАМЕРЫ КСО-298</t>
  </si>
  <si>
    <t>34776  КАМЕРЫ КСО-298</t>
  </si>
  <si>
    <t>34775  КАМЕРЫ КСО-298</t>
  </si>
  <si>
    <t>34774  КАМЕРЫ КСО-298</t>
  </si>
  <si>
    <t>34773  КАМЕРЫ КСО-298</t>
  </si>
  <si>
    <t>34772  КАМЕРЫ КСО-298</t>
  </si>
  <si>
    <t>34771  КАМЕРЫ КСО-298</t>
  </si>
  <si>
    <t>34770  КАМЕРЫ КСО-298</t>
  </si>
  <si>
    <t>34769  КАМЕРЫ КСО-298</t>
  </si>
  <si>
    <t>34768  КАМЕРЫ КСО-298</t>
  </si>
  <si>
    <t>город Калуга, поселок Турынино</t>
  </si>
  <si>
    <t>28885  ОГРАЖДЕНИЕ Ж/Б</t>
  </si>
  <si>
    <t>28884  БЛАГОУСТРОЙСТВО</t>
  </si>
  <si>
    <t>город Калуга, улица Турынинская</t>
  </si>
  <si>
    <t>28883  СТАЛЬНЫЕ ВОДОВОДЫ С КАМЕРАМИ</t>
  </si>
  <si>
    <t>г.Калуга Октябрьский р-н</t>
  </si>
  <si>
    <t>28882  КАБЕЛЬНЫЕ ЛИНИИ</t>
  </si>
  <si>
    <t>28881  ПРОХОДНАЯ</t>
  </si>
  <si>
    <t>28874  КАМЕРЫ КСО-298</t>
  </si>
  <si>
    <t>28872  КАМЕРЫ КСО-298</t>
  </si>
  <si>
    <t>28856 НАСОСНАЯ СТАНЦИЯ III подъем п.Турынино</t>
  </si>
  <si>
    <t xml:space="preserve">Насосная станция водопровода третьего подъема п. Турынино </t>
  </si>
  <si>
    <t>ППАаз289 _Калуга МЭР_Договор аренды 907 от 31.08.2022_кадастровый номер_40:26:000279:5</t>
  </si>
  <si>
    <t>16.08.2022</t>
  </si>
  <si>
    <t xml:space="preserve"> ППАаз289</t>
  </si>
  <si>
    <t>Ферзиковский район, д.Авчурино - очистные сооружения</t>
  </si>
  <si>
    <t>приказ МЭР №993-п от 26.10.2006</t>
  </si>
  <si>
    <t>45186_Одноэтажное бетонное здание КНС (стр.3) д.Авчурино - очистные сооружения</t>
  </si>
  <si>
    <t xml:space="preserve">45186_   </t>
  </si>
  <si>
    <t>ППАаз122 _Калуга МЭР_Договор аренды 354 от 19.10.2015_кадастровый номер_40:26:000279:5</t>
  </si>
  <si>
    <t xml:space="preserve"> ППАаз122</t>
  </si>
  <si>
    <t>42060 Кабельная линия КЛ-04 кВ</t>
  </si>
  <si>
    <t>11.04.2017</t>
  </si>
  <si>
    <t xml:space="preserve">42060    </t>
  </si>
  <si>
    <t>42061 Кабельная линия КЛ 6 кВ</t>
  </si>
  <si>
    <t xml:space="preserve">42061    </t>
  </si>
  <si>
    <t>42059 Трансформаторная подстанция 2КТП 1250/6/0,4 кВ с двумя трансформаторами ТСЛ-1250/6/0</t>
  </si>
  <si>
    <t xml:space="preserve">42059    </t>
  </si>
  <si>
    <t>42058 Энергосберегающая воздуходувная машина (турбовоздуходувка) MAX-600D-060S1TURBOMAX CO</t>
  </si>
  <si>
    <t xml:space="preserve">42058    </t>
  </si>
  <si>
    <t>42056 Энергосберегающая воздуходувная машина (турбовоздуходувка) MAX-300TURBOMAX CO.ltd</t>
  </si>
  <si>
    <t xml:space="preserve">42056    </t>
  </si>
  <si>
    <t>36932_Шибер У-2904-01</t>
  </si>
  <si>
    <t>02.12.2016</t>
  </si>
  <si>
    <t xml:space="preserve">36932    </t>
  </si>
  <si>
    <t>36931_Шибер У-2904-01</t>
  </si>
  <si>
    <t xml:space="preserve">36931    </t>
  </si>
  <si>
    <t>36929_Шибер 1000*2100ХЖ 4124237-02</t>
  </si>
  <si>
    <t xml:space="preserve">36929    </t>
  </si>
  <si>
    <t>36928_Шибер 1000*2100ХЖ 4124237-02</t>
  </si>
  <si>
    <t xml:space="preserve">36928    </t>
  </si>
  <si>
    <t>36927_Шибер 1000*2100ХЖ 4124237-02</t>
  </si>
  <si>
    <t xml:space="preserve">36927    </t>
  </si>
  <si>
    <t>31549_Шибер У-2904</t>
  </si>
  <si>
    <t xml:space="preserve">31549    </t>
  </si>
  <si>
    <t>31548_Шибер У-2904-01</t>
  </si>
  <si>
    <t xml:space="preserve">31548    </t>
  </si>
  <si>
    <t>31544_Шибер 1000*2100ХЖ 4124237-02</t>
  </si>
  <si>
    <t xml:space="preserve">31544    </t>
  </si>
  <si>
    <t>31534_Шибер У-2904</t>
  </si>
  <si>
    <t xml:space="preserve">31534    </t>
  </si>
  <si>
    <t>36903  ХЖ 4124237 щитовой затвор</t>
  </si>
  <si>
    <t>14.08.2012</t>
  </si>
  <si>
    <t xml:space="preserve">36903    </t>
  </si>
  <si>
    <t>36902  ХЖ 4124237 щитовой затвор</t>
  </si>
  <si>
    <t xml:space="preserve">36902    </t>
  </si>
  <si>
    <t>36901  ХЖ 4124237 щитовой затвор</t>
  </si>
  <si>
    <t xml:space="preserve">36901    </t>
  </si>
  <si>
    <t>31550  ХЖ 4124237 щитовой затвор</t>
  </si>
  <si>
    <t xml:space="preserve">31550    </t>
  </si>
  <si>
    <t>31545  Бункер для сбора отходов</t>
  </si>
  <si>
    <t xml:space="preserve">31545    </t>
  </si>
  <si>
    <t>39852 Трансформатор масляный трехфазный ТМ-100 6 кВА</t>
  </si>
  <si>
    <t xml:space="preserve">39852    </t>
  </si>
  <si>
    <t>город Калуга, район ул. 40 лет Октября, очистные, сооружения</t>
  </si>
  <si>
    <t>31172  Первый аэротенк аэробного минерализатора</t>
  </si>
  <si>
    <t>город Калуга, улица 40 лет Октября, лит.III</t>
  </si>
  <si>
    <t>31444  Воздуховод-338м1 Д-426мм ст.</t>
  </si>
  <si>
    <t>31432  Трубопровод отвода фугата-163м1 Д-150мм ст.</t>
  </si>
  <si>
    <t>24517  КРАН ЗКЛ (ПИОНЕР)</t>
  </si>
  <si>
    <t>37608  Электродвигатель 37 кВт 1500 об/мин</t>
  </si>
  <si>
    <t>37549_Иловые площадки очистных сооружений</t>
  </si>
  <si>
    <t>37548_Иловые площадки очистных сооружений</t>
  </si>
  <si>
    <t>37547_Иловые площадки очистных сооружений</t>
  </si>
  <si>
    <t>37546_Иловые площадки очистных сооружений</t>
  </si>
  <si>
    <t>37545_Иловые площадки очистных сооружений</t>
  </si>
  <si>
    <t>37544_Иловые площадки очистных сооружений</t>
  </si>
  <si>
    <t>37543_Иловые площадки очистных сооружений</t>
  </si>
  <si>
    <t>город Калуга, улица 40 лет Октября, лит.V</t>
  </si>
  <si>
    <t>37542_Иловые площадки очистных сооружений</t>
  </si>
  <si>
    <t>37541 Электрощит управления скребковым механизмом</t>
  </si>
  <si>
    <t>33173  Шкаф для спецодежды</t>
  </si>
  <si>
    <t>33120  Шкафчик для одежды</t>
  </si>
  <si>
    <t>33119  Шкафчик для одежды</t>
  </si>
  <si>
    <t>33118  Шкафчик для одежды</t>
  </si>
  <si>
    <t>33117  Шкафчик для одежды</t>
  </si>
  <si>
    <t>33116  Шкафчик для одежды</t>
  </si>
  <si>
    <t>33115  Шкафчик для одежды</t>
  </si>
  <si>
    <t>33113  Шкафчик для одежды</t>
  </si>
  <si>
    <t>33112  Шкафчик для одежды</t>
  </si>
  <si>
    <t>33111  Шкафчик для одежды</t>
  </si>
  <si>
    <t>33110  Шкафчик для одежды</t>
  </si>
  <si>
    <t>33109  Шкафчик для одежды</t>
  </si>
  <si>
    <t>33127  Площадки для дополнительной выдержки осадка 260х65</t>
  </si>
  <si>
    <t>33037  Шкафчик для спец одежды</t>
  </si>
  <si>
    <t>33036  Шкафчик для спец одежды</t>
  </si>
  <si>
    <t>33035  Шкафчик для спец одежды</t>
  </si>
  <si>
    <t>33034  Шкафчик для спец одежды</t>
  </si>
  <si>
    <t>33033  Шкафчик для спец одежды</t>
  </si>
  <si>
    <t>33032  Шкафчик для спец одежды</t>
  </si>
  <si>
    <t>33031  Шкафчик для спец одежды</t>
  </si>
  <si>
    <t>33030  Шкафчик для спец одежды</t>
  </si>
  <si>
    <t>33029  Шкафчик для спец одежды</t>
  </si>
  <si>
    <t>33028  Шкафчик для спец одежды</t>
  </si>
  <si>
    <t>33027  Шкафчик для спец одежды</t>
  </si>
  <si>
    <t>33026  Шкафчик для спец одежды</t>
  </si>
  <si>
    <t>23115  НАСОС К-100-80-160</t>
  </si>
  <si>
    <t>32955  Сигнализатор горючих газов</t>
  </si>
  <si>
    <t>37062  шкаф для спецодежды</t>
  </si>
  <si>
    <t>37061  шкаф для спецодежды</t>
  </si>
  <si>
    <t>37060  шкаф для спецодежды</t>
  </si>
  <si>
    <t>37059  шкаф для спецодежды</t>
  </si>
  <si>
    <t>37058  шкаф для спецодежды</t>
  </si>
  <si>
    <t>37057  шкаф для спецодежды</t>
  </si>
  <si>
    <t>37056  шкаф для спецодежды</t>
  </si>
  <si>
    <t>36939  шкаф</t>
  </si>
  <si>
    <t>32778  Нутрометр идикаторн 18-35</t>
  </si>
  <si>
    <t>32759  стелаждля инструментов</t>
  </si>
  <si>
    <t>31905  Насос КМ 8/18</t>
  </si>
  <si>
    <t>31899  дрель эл.</t>
  </si>
  <si>
    <t>31898  Вентилятор ВР 86-77-2,5 0,55 квт</t>
  </si>
  <si>
    <t>36933_Шибер У-2904-01</t>
  </si>
  <si>
    <t>31533  Затвор щитовой с эл. приводом 1600*1500</t>
  </si>
  <si>
    <t xml:space="preserve">31533    </t>
  </si>
  <si>
    <t>35561  Скребковые механизмы</t>
  </si>
  <si>
    <t>35560  Скребковые механизмы</t>
  </si>
  <si>
    <t>35559  Скребковые механизмы</t>
  </si>
  <si>
    <t>31524  Скребковые механизмы</t>
  </si>
  <si>
    <t>31445  Самотечный труб-п-д х/б и произв.вод-187м1Д-100чуг</t>
  </si>
  <si>
    <t>31443  Водовод-271м Д-65мм ст.</t>
  </si>
  <si>
    <t>31442  Напорный трубопровод х/б стоков-186м1 Д-100мм ст.</t>
  </si>
  <si>
    <t>31441  Всасывающий водопровод-400м1 Д-200мм ст.</t>
  </si>
  <si>
    <t>31440  Напорный трубопровод сырого осадка-239м1Д-200мм ст</t>
  </si>
  <si>
    <t>31439  Напорный трубопровод прокачки-128м1 Д-200мм ст.</t>
  </si>
  <si>
    <t>31438  Всасывающий трубопровод прокачки-121м1 Д-200мм ст</t>
  </si>
  <si>
    <t>31437  Напорный водопровод-157м1 Д-325мм ст.</t>
  </si>
  <si>
    <t>31435  Всасывающий трубопровод-154м1 Д-325мм ст.</t>
  </si>
  <si>
    <t>31434  Напорный трубопровод мин.уплот. ила-163 Д-200мм ст</t>
  </si>
  <si>
    <t>31433  Пульпопровод-394м1 Д-100мм ст.</t>
  </si>
  <si>
    <t>31431  Трубопровод сброженного осадка-601м1 Д-200мм чуг.</t>
  </si>
  <si>
    <t>31430  Напорный трубопр-д избыт.акт ила-845м1 Д-200мм ст.</t>
  </si>
  <si>
    <t>31373  Выгульная площадка для животных</t>
  </si>
  <si>
    <t>город Калуга, район ул. 40 лет Октября,</t>
  </si>
  <si>
    <t>31372  Подсобное помещение</t>
  </si>
  <si>
    <t>31371  Подсобное помещение_г.Калуга, район ул. 40-летия Октября_80 кв.м.</t>
  </si>
  <si>
    <t>31363  Решетка-дробилка РД-200</t>
  </si>
  <si>
    <t>31362  Решетка-дробилка РД-200</t>
  </si>
  <si>
    <t>31304  Станок сверлильный настольный</t>
  </si>
  <si>
    <t>33211  АГРЕГАТ МЕХ ОЧИСТКИ ВОДЫ ХЖ 2966021-09 АМОСВ</t>
  </si>
  <si>
    <t>28665  АГРЕГАТ МЕХ ОЧИСТКИ ВОДЫ ХЖ 2966021-09 АМОСВ</t>
  </si>
  <si>
    <t>35563  Скребковый механизм</t>
  </si>
  <si>
    <t>34635  Затвор щитовой 600х900</t>
  </si>
  <si>
    <t>34634  Затвор щитовой 600х900</t>
  </si>
  <si>
    <t>34633  Затвор щитовой 600х900</t>
  </si>
  <si>
    <t>34632  Затвор щитовой 600х900</t>
  </si>
  <si>
    <t>34631  Затвор щитовой 600х900</t>
  </si>
  <si>
    <t>34630  Затвор щитовой 600х900</t>
  </si>
  <si>
    <t>34629  Затвор щитовой 600х900</t>
  </si>
  <si>
    <t>34628  Затвор щитовой 600х900</t>
  </si>
  <si>
    <t>34627  Затвор щитовой 600х900</t>
  </si>
  <si>
    <t>34626  Затвор щитовой 600х900</t>
  </si>
  <si>
    <t>34625  Затвор щитовой 600х900</t>
  </si>
  <si>
    <t>34624  Затвор щитовой 600х900</t>
  </si>
  <si>
    <t>34623  Затвор щитовой 600х900</t>
  </si>
  <si>
    <t>34622  Затвор щитовой 600х900</t>
  </si>
  <si>
    <t>34621  Затвор щитовой 600х900</t>
  </si>
  <si>
    <t>34620  Затвор щитовой 600х900</t>
  </si>
  <si>
    <t>34619  Затвор щитовой 600х900</t>
  </si>
  <si>
    <t>34618  Затвор щитовой 600х900</t>
  </si>
  <si>
    <t>34617  Затвор щитовой 600х900</t>
  </si>
  <si>
    <t>34616  Затвор щитовой 600х900</t>
  </si>
  <si>
    <t>34615  Затвор щитовой 600х900</t>
  </si>
  <si>
    <t>34614  Затвор щитовой 600х900</t>
  </si>
  <si>
    <t>34613  Затвор щитовой 600х900</t>
  </si>
  <si>
    <t>34612  Затвор щитовой 600х900</t>
  </si>
  <si>
    <t>34611  Затвор щитовой 600х900</t>
  </si>
  <si>
    <t>34610  Затвор щитовой 1200х1200</t>
  </si>
  <si>
    <t>34609  Затвор щитовой 1200х1200</t>
  </si>
  <si>
    <t>34608  Затвор щитовой 1200х1200</t>
  </si>
  <si>
    <t>31316  Затвор щитовой 600х900</t>
  </si>
  <si>
    <t>31314  Скребковый механизм</t>
  </si>
  <si>
    <t>31237  Щит ПР-11</t>
  </si>
  <si>
    <t>31158  Тревожная сигнализация</t>
  </si>
  <si>
    <t>город Калуга, улица 40 лет Октября, стр.12</t>
  </si>
  <si>
    <t>29929  Здание котельной двухэтажное 9х15, кирп., ж/б пере</t>
  </si>
  <si>
    <t>23996  ВЕНТИЛЯТОР Ц-14-46 N 3,15</t>
  </si>
  <si>
    <t>37118  Шкаф управления ШР-1;2</t>
  </si>
  <si>
    <t>01.10.2003</t>
  </si>
  <si>
    <t>36871  ФИЛЬТР НАТРИЙ-КАТИОНОВЫЙ</t>
  </si>
  <si>
    <t>35189  НАСОС К 20/30 С ЭЛ.ДВ.</t>
  </si>
  <si>
    <t>35182  НАСОС К 100-80-160 С ЭЛ. ДВ.</t>
  </si>
  <si>
    <t>35160  Насос АХ 40-25-160 с дв.</t>
  </si>
  <si>
    <t>34900  КОТЛЫ ФНКВ 1.25  0.5</t>
  </si>
  <si>
    <t>34899  КОТЛЫ ФНКВ 1.25  0.5</t>
  </si>
  <si>
    <t>34898  КОТЛЫ ФНКВ 1.25  0.5</t>
  </si>
  <si>
    <t>33280  Водонагреватель ВВП №14-273*4000</t>
  </si>
  <si>
    <t>29946  ВЕНТИЛЯТОР Ц-14-46 N 2,5</t>
  </si>
  <si>
    <t>29931  НАСОС К 20/30 С ЭЛ.ДВ.</t>
  </si>
  <si>
    <t>29930  НАСОС К 100-65-200</t>
  </si>
  <si>
    <t>29784  Шкаф управления ШР-1;2</t>
  </si>
  <si>
    <t>29783  ВРУ 1-11-10</t>
  </si>
  <si>
    <t>29241  ИЗМЕРИТЕЛЬНЫЙ КОМПЛЕКС ЕК-88; Р=0,15-0,75 МПА</t>
  </si>
  <si>
    <t>28681  КОТЛЫ ФНКВ 1.25  0.5</t>
  </si>
  <si>
    <t>28628  НАСОС КМ 40-32-180/2-5 С ЭЛ ДВ 3 КВТ</t>
  </si>
  <si>
    <t>28626  ФИЛЬТР НАТРИЙ-КАТИОНОВЫЙ</t>
  </si>
  <si>
    <t>28623  НАСОС К 100-65-200 С ЭЛ.ДВ.</t>
  </si>
  <si>
    <t>28622  НАСОС К 20/30 С ЭЛ.ДВ.</t>
  </si>
  <si>
    <t>28621  НАСОС К 100-80-160 С ЭЛ. ДВ.</t>
  </si>
  <si>
    <t>28510  Эл. двигатель А180М2УЗ</t>
  </si>
  <si>
    <t>28504  НАСОС К 100-65-200\30</t>
  </si>
  <si>
    <t>26519  Насос АХ 40-25-160 с дв.</t>
  </si>
  <si>
    <t>35465  Редуктор Ц2У-200-10-21-У2</t>
  </si>
  <si>
    <t>33267  Вентилятор осевой №4</t>
  </si>
  <si>
    <t>30574  Станок точильно-шлифовальный</t>
  </si>
  <si>
    <t>30513  Редуктор Ц2У-200-10-21-У2</t>
  </si>
  <si>
    <t>30512  Вентилятор №4</t>
  </si>
  <si>
    <t>30508  Баллон ацетиленовый</t>
  </si>
  <si>
    <t>30503  Вентилятор осевой №4</t>
  </si>
  <si>
    <t>30500  Шкаф для одежды</t>
  </si>
  <si>
    <t>30491  Насос ГНОМ 10/10</t>
  </si>
  <si>
    <t>30487  Редуктор Ц2У-125-31,5</t>
  </si>
  <si>
    <t>30466  Станция управления "Каскад 307"</t>
  </si>
  <si>
    <t>30276  Станок вертикал. сверлильный</t>
  </si>
  <si>
    <t>29787  Редуктор РЦД-350-31,5-23-У2</t>
  </si>
  <si>
    <t>29640  Редуктор РЦД-350-31,5-23-У2</t>
  </si>
  <si>
    <t>35220  Насос СМ 125-80-315/4</t>
  </si>
  <si>
    <t>29740  Насос СМ 125-80-315/4</t>
  </si>
  <si>
    <t>29613  ЗАДВИЖКИ Д-400 чуг.</t>
  </si>
  <si>
    <t>29577  Задвижка Д-1000мм.</t>
  </si>
  <si>
    <t>29576  Задвижка Д-1000мм.</t>
  </si>
  <si>
    <t>29575  Обводной трубопровод Д-1000-1200 ст.</t>
  </si>
  <si>
    <t>29574  Камера КСО-366</t>
  </si>
  <si>
    <t>29573  Камера КСО-366</t>
  </si>
  <si>
    <t>29572 Ячейка ЩО-70</t>
  </si>
  <si>
    <t>29571 Ячейка ЩО-70</t>
  </si>
  <si>
    <t>29570  Эл.щит ЩО-70-1-74</t>
  </si>
  <si>
    <t>29569  Эл.щит ЩО-70-1-10</t>
  </si>
  <si>
    <t>29568  Эл.щит ЩО-70-1-10</t>
  </si>
  <si>
    <t>29567  Эл.щит ЩО-70-1-10</t>
  </si>
  <si>
    <t>29566  Эл.щит ЩО-70-1-10</t>
  </si>
  <si>
    <t>29565  Эл.щит ЩО-70-1-42</t>
  </si>
  <si>
    <t>29564  Эл.щит ЩО-70-1-42</t>
  </si>
  <si>
    <t>29563  Трансформатор ТМ 250/6</t>
  </si>
  <si>
    <t>29562  Трансформатор ТМ 250/6</t>
  </si>
  <si>
    <t>29561  Трансформаторная подстанция №2</t>
  </si>
  <si>
    <t>29515  ЭЛ.ДВИГАТЕЛЬ ВАО 200КВТ. 3000 ОБ/М 6000В.</t>
  </si>
  <si>
    <t>29472  СЧЕТЧИК ГАЗОВЫЙ СГ-16М-200</t>
  </si>
  <si>
    <t>29378  ТРАНСФОРМАТОР ТМВ 630/10/1000</t>
  </si>
  <si>
    <t>28042  ЭЛ.ДВ.90КВТ/1500</t>
  </si>
  <si>
    <t>37312  ЭЛ. ЩИТ ЩО-70-42</t>
  </si>
  <si>
    <t>35632  СТАНЦИЯ УПРАВЛЕНИЯ НАСОСВМИ</t>
  </si>
  <si>
    <t>34637  ЗДАНИЕ ЭЛ. ЩИТОВОЙ</t>
  </si>
  <si>
    <t>28991  КРАН-БАЛКА 2Т</t>
  </si>
  <si>
    <t>город Калуга, улица 40 лет Октября, стр.20</t>
  </si>
  <si>
    <t>28959  ЗДАНИЕ ЭЛ. ЩИТОВОЙ</t>
  </si>
  <si>
    <t>28958  ЭЛ. ЩИТ ЩО-70-42</t>
  </si>
  <si>
    <t>28957  ЭЛ. ЩИТ ЩО-70</t>
  </si>
  <si>
    <t>28956  Станция обслуживания минерализатора (строение № 21)</t>
  </si>
  <si>
    <t>28954  НАСОС ФГ 450/22.5 С ЭЛ ДВИГ</t>
  </si>
  <si>
    <t>28953  СТАНЦИЯ УПРАВЛЕНИЯ НАСОСВМИ</t>
  </si>
  <si>
    <t>28905  БУНКЕР А 2321</t>
  </si>
  <si>
    <t>28523  РП-6КВТ</t>
  </si>
  <si>
    <t>01.08.2001</t>
  </si>
  <si>
    <t>28447  РП 6кв</t>
  </si>
  <si>
    <t>37896  Кабельная линия фидр32</t>
  </si>
  <si>
    <t>37296  ЩИТЫ ЩР-11</t>
  </si>
  <si>
    <t>37117  ШКАФ УПРАВЛЕНИЯ</t>
  </si>
  <si>
    <t>37116  ШКАФ УПРАВЛЕНИЯ</t>
  </si>
  <si>
    <t>37115  ШКАФ УПРАВЛЕНИЯ</t>
  </si>
  <si>
    <t>37114  ШКАФ УПРАВЛЕНИЯ</t>
  </si>
  <si>
    <t>37113  ШКАФ УПРАВЛЕНИЯ</t>
  </si>
  <si>
    <t>37112  ШКАФ УПРАВЛЕНИЯ</t>
  </si>
  <si>
    <t>37111  ШКАФ УПРАВЛЕНИЯ</t>
  </si>
  <si>
    <t>37110  ШКАФ УПРАВЛЕНИЯ</t>
  </si>
  <si>
    <t>37109  ШКАФ УПРАВЛЕНИЯ</t>
  </si>
  <si>
    <t>37108  ШКАФ УПРАВЛЕНИЯ</t>
  </si>
  <si>
    <t>37107  ШКАФ УПРАВЛЕНИЯ</t>
  </si>
  <si>
    <t>37106  ШКАФ УПРАВЛЕНИЯ</t>
  </si>
  <si>
    <t>36631  ТАЛЬ ЭЛ. Г/П 1Т</t>
  </si>
  <si>
    <t>35501  СБРАСЫВАТЕЛЬ</t>
  </si>
  <si>
    <t>35500  СБРАСЫВАТЕЛЬ</t>
  </si>
  <si>
    <t>35499  СБРАСЫВАТЕЛЬ</t>
  </si>
  <si>
    <t>35498  СБРАСЫВАТЕЛЬ</t>
  </si>
  <si>
    <t>35461  РАСПРЕДУСТРОЙСТВО КСО-386</t>
  </si>
  <si>
    <t>35460  РАСПРЕДУСТРОЙСТВО КСО-386</t>
  </si>
  <si>
    <t>35459  РАСПРЕДУСТРОЙСТВО КСО-386</t>
  </si>
  <si>
    <t>35458  РАСПРЕДУСТРОЙСТВО КСО-386</t>
  </si>
  <si>
    <t>35457  РАСПРЕДУСТРОЙСТВО КСО-386</t>
  </si>
  <si>
    <t>35221  НАСОС СМ 150-125-315/4</t>
  </si>
  <si>
    <t>34852  КОНВЕЙРЫ</t>
  </si>
  <si>
    <t>34780  КАНДЕНСАТОРНАЯ УСТАНОВКА</t>
  </si>
  <si>
    <t>28357  КРАН-БАЛКА Г/П 1Т</t>
  </si>
  <si>
    <t>28356  ТАЛЬ ЭЛ. Г/П 1Т</t>
  </si>
  <si>
    <t>28354  РЕШЕТКА РМУ-1</t>
  </si>
  <si>
    <t>28353  ШКАФ УПРАВЛЕНИЯ 5920</t>
  </si>
  <si>
    <t>28351  НАСОС СМ 150-125-315/4</t>
  </si>
  <si>
    <t>город Калуга, улица 40 лет Октября, стр.22</t>
  </si>
  <si>
    <t>28350  ЗДАНИЕ КНС</t>
  </si>
  <si>
    <t>28349  ПОЖАРНАЯ СИГНАЛИЗАЦИЯ</t>
  </si>
  <si>
    <t>28348  РАСПРЕДУСТРОЙСТВО КСО-366</t>
  </si>
  <si>
    <t>28347  ШКАФ ШР-11</t>
  </si>
  <si>
    <t>28346  ГИДРОЦИКЛОН</t>
  </si>
  <si>
    <t>28345  РАСПРЕДУСТРОЙСТВО КСО-386</t>
  </si>
  <si>
    <t>28344  БАК ОСАДКА</t>
  </si>
  <si>
    <t>28343  ПОДСТАНЦИЯ КТП-630</t>
  </si>
  <si>
    <t>28342  ТРАНСФОРМАТОР ТМЗ-630</t>
  </si>
  <si>
    <t>28341  ШКАФ УПРАВЛЕНИЯ</t>
  </si>
  <si>
    <t>28340  ЩИТЫ ЩР-11</t>
  </si>
  <si>
    <t>28339  КАНДЕНСАТОРНАЯ УСТАНОВКА</t>
  </si>
  <si>
    <t>28338  КАМЕРЫ КСО</t>
  </si>
  <si>
    <t>28336  НАСОС ПР-66/22.5</t>
  </si>
  <si>
    <t>28335  СБРАСЫВАТЕЛЬ</t>
  </si>
  <si>
    <t>28334  КОНВЕЙРЫ</t>
  </si>
  <si>
    <t>28333  ЭЛ. КРАН-БАЛКА 5Т</t>
  </si>
  <si>
    <t>28331  ЦЕНТРИФУГА ОГШ-631</t>
  </si>
  <si>
    <t>28330  БАК ЕМКОСТЬЮ 5 КУБ.М.</t>
  </si>
  <si>
    <t>город Калуга, улица 40 лет Октября, стр.16</t>
  </si>
  <si>
    <t>28329  ЗДАНИЕ ЦМО</t>
  </si>
  <si>
    <t>26513  ВОЗДУХОДУВКА ФГ</t>
  </si>
  <si>
    <t>23001  НАСОС ПР 63-22,5</t>
  </si>
  <si>
    <t>27686  НАСОС-ДОЗАТОР</t>
  </si>
  <si>
    <t>27628  ЭЛ. ДВИГАТЕЛЬ BA 02-45LB-2Y2 400КВТ</t>
  </si>
  <si>
    <t>27627  ЭЛ. ДВИГАТЕЛЬ BA 02-450LB-2Y2 400КВТ</t>
  </si>
  <si>
    <t>27590  РЕДУКТОР Ц2У-106-40-11-У1</t>
  </si>
  <si>
    <t>24454  ЭЛ.ДВИГ. 37КВТ 1500 ОБ/МИН</t>
  </si>
  <si>
    <t>36930  ШИБЕР РЕЕЧНЫЙ</t>
  </si>
  <si>
    <t>35485  РЕШЕТКИ МЕТАЛЛИЧЕСКИЕ</t>
  </si>
  <si>
    <t>33247  БУНКЕР ДЛЯ ПЕСКА</t>
  </si>
  <si>
    <t>27238  ШИБЕР РЕЕЧНЫЙ</t>
  </si>
  <si>
    <t>27237  РЕШЕТКИ МЕТАЛЛИЧЕСКИЕ</t>
  </si>
  <si>
    <t>27060  НАСОС ФГ 450/22,5</t>
  </si>
  <si>
    <t>26879  НАСОС НС 160/45 30 КВТ</t>
  </si>
  <si>
    <t>26858  СТАНОК ВЕРТИКАЛЬНО-ФРЕЗЕРНЫЙ FV 36/40 RP</t>
  </si>
  <si>
    <t>26428  СТАНОК ТОКАРНЫЙ К-62 М</t>
  </si>
  <si>
    <t>34858  КОНДЕНСАТОРНАЯ БАТАРЕЯ</t>
  </si>
  <si>
    <t>34857  КОНДЕНСАТОРНАЯ БАТАРЕЯ</t>
  </si>
  <si>
    <t>34856  КОНДЕНСАТОРНАЯ БАТАРЕЯ</t>
  </si>
  <si>
    <t>34855  КОНДЕНСАТОРНАЯ БАТАРЕЯ</t>
  </si>
  <si>
    <t>34854  КОНДЕНСАТОРНАЯ БАТАРЕЯ</t>
  </si>
  <si>
    <t>24006  ЩИТ ЩО-70</t>
  </si>
  <si>
    <t>26221  БАК</t>
  </si>
  <si>
    <t>01.07.1998</t>
  </si>
  <si>
    <t>26220  БАК СЫРОГО ОСАДКА</t>
  </si>
  <si>
    <t>25717  ЗДАНИЕ КИРПИЧНОЕ</t>
  </si>
  <si>
    <t>25716  АЭРОТЕНКИ (д.Колюпаново)</t>
  </si>
  <si>
    <t>24695  СТАНОК ТОКАРНЫЙ</t>
  </si>
  <si>
    <t>24353  ЭЛ. ДВИГАТЕЛЬ 2.2КВТ 1500 ОБ/МИН.</t>
  </si>
  <si>
    <t>23640  К 20/30 C ЭЛ.ДВИГ.</t>
  </si>
  <si>
    <t>24208  ВЫПРЯМИТЕЛЬ ВТ-61/5</t>
  </si>
  <si>
    <t>24174  СТАНЦИЯ "КАСКАД"</t>
  </si>
  <si>
    <t>24040  ОТСТОЙНИК КАНАЛИЗ. ВТОРИЧНЫЙ</t>
  </si>
  <si>
    <t>24038  СТАНЦИЯ БИОЛОГИЧЕСКОЙ ОЧИСТКИ "Угра"</t>
  </si>
  <si>
    <t>23379  НАСОС СМ 150-125-315/4</t>
  </si>
  <si>
    <t>23322  АГРЕГАТ СВАРОЧНЫЙ</t>
  </si>
  <si>
    <t>11396  НАСОС ФГ 160-45</t>
  </si>
  <si>
    <t>11343  ЭЛЕКТРОДВИГАТЕЛЬ 1,1 КВТ</t>
  </si>
  <si>
    <t>11294  СТАНЦИЯ УПРАВЛЕНИЯ К НАСОСУ</t>
  </si>
  <si>
    <t>35575  СТАНЦИЯ "КАСКАД"</t>
  </si>
  <si>
    <t>11284  СТАНЦИЯ "КАСКАД"</t>
  </si>
  <si>
    <t>город Калуга, улица Болдина</t>
  </si>
  <si>
    <t>37894  В/В КАБЕЛЬНАЯ ЛЭП ОТ ПОДСТАНЦИИ "ПРИОКСКАЯ" фидр 7</t>
  </si>
  <si>
    <t>37293  ЩИТЫ УПРАВЛЕНИЯ ЩО-59-11:23</t>
  </si>
  <si>
    <t>37292  ЩИТЫ УПРАВЛЕНИЯ ЩО-59-11:23</t>
  </si>
  <si>
    <t>37291  ЩИТЫ УПРАВЛЕНИЯ ЩО-59-11:23</t>
  </si>
  <si>
    <t>37290  ЩИТЫ УПРАВЛЕНИЯ ЩО-59-11:23</t>
  </si>
  <si>
    <t>37289  ЩИТЫ УПРАВЛЕНИЯ ЩО-59-11:23</t>
  </si>
  <si>
    <t>37288  ЩИТЫ УПРАВЛЕНИЯ ЩО-59-11:23</t>
  </si>
  <si>
    <t>37120  ШКАФ УПРАВЛЕНИЯ ЩУ-45</t>
  </si>
  <si>
    <t>37119  ШКАФ УПРАВЛЕНИЯ ЩУ-45</t>
  </si>
  <si>
    <t>35646  СТАНЦИЯ УПРАВЛЕНИЯ СЭТ</t>
  </si>
  <si>
    <t>35645  СТАНЦИЯ УПРАВЛЕНИЯ СЭТ</t>
  </si>
  <si>
    <t>35644  СТАНЦИЯ УПРАВЛЕНИЯ СУНО-250</t>
  </si>
  <si>
    <t>35638  СТАНЦИЯ УПРАВЛЕНИЯ ПЭХ-5027-13 М2</t>
  </si>
  <si>
    <t>35637  СТАНЦИЯ УПРАВЛЕНИЯ ПЭХ-5027-13 М2</t>
  </si>
  <si>
    <t>35636  СТАНЦИЯ УПРАВЛЕНИЯ ПЭХ-5027-13 М2</t>
  </si>
  <si>
    <t>35635  СТАНЦИЯ УПРАВЛЕНИЯ ПЭХ-5027-13 М2</t>
  </si>
  <si>
    <t>35634  СТАНЦИЯ УПРАВЛЕНИЯ ПЭХ-5027-13 М2</t>
  </si>
  <si>
    <t>35633  СТАНЦИЯ УПРАВЛЕНИЯ ПЭХ-5027-13 М2</t>
  </si>
  <si>
    <t>35562  СКРЕБКОВЫЕ МЕХАНИЗМЫ НА ПРИЕМНОЙ КАМЕРЕ</t>
  </si>
  <si>
    <t>35214  НАСОС СД 216/24</t>
  </si>
  <si>
    <t>34692  ИЛОСКРЕБ I-го ОТСТОЙНИКА</t>
  </si>
  <si>
    <t>34690  ИЛОСКРЕБ I-го ОТСТОЙНИКА</t>
  </si>
  <si>
    <t>34689  ИЛОСКРЕБ I-го ОТСТОЙНИКА</t>
  </si>
  <si>
    <t>34688  ИЛОСКРЕБ I-го ОТСТОЙНИКА</t>
  </si>
  <si>
    <t>34686  ИЛОСКРЕБ I-го ОТСТОЙНИКА</t>
  </si>
  <si>
    <t>34680  ИЛОВЫЕ ПЛОЩАДКИ НА ИСКУСТВЕННОМ ОСНОВАНИ</t>
  </si>
  <si>
    <t>34667  ИЛОВЫЕ ПЛАЩАДКИ НА ЕСТЕСТВЕННОМ ОСНОВАНИИ (карт)</t>
  </si>
  <si>
    <t>34666  ИЛОВЫЕ ПЛАЩАДКИ НА ЕСТЕСТВЕННОМ ОСНОВАНИИ (карт)</t>
  </si>
  <si>
    <t>34665  ИЛОВЫЕ ПЛАЩАДКИ НА ЕСТЕСТВЕННОМ ОСНОВАНИИ (карт)</t>
  </si>
  <si>
    <t>34664  ИЛОВЫЕ ПЛАЩАДКИ НА ЕСТЕСТВЕННОМ ОСНОВАНИИ (карт)</t>
  </si>
  <si>
    <t>34663  ИЛОВЫЕ ПЛАЩАДКИ НА ЕСТЕСТВЕННОМ ОСНОВАНИИ (карт)</t>
  </si>
  <si>
    <t>34662  ИЛОВЫЕ ПЛАЩАДКИ НА ЕСТЕСТВЕННОМ ОСНОВАНИИ (карт)</t>
  </si>
  <si>
    <t>34661  ИЛОВЫЕ ПЛАЩАДКИ НА ЕСТЕСТВЕННОМ ОСНОВАНИИ (карт)</t>
  </si>
  <si>
    <t>34660  ИЛОВЫЕ ПЛАЩАДКИ НА ЕСТЕСТВЕННОМ ОСНОВАНИИ (карт)</t>
  </si>
  <si>
    <t>34659  ИЛОВЫЕ ПЛАЩАДКИ НА ЕСТЕСТВЕННОМ ОСНОВАНИИ (карт)</t>
  </si>
  <si>
    <t>34658  ИЛОВЫЕ ПЛАЩАДКИ НА ЕСТЕСТВЕННОМ ОСНОВАНИИ (карт)</t>
  </si>
  <si>
    <t>34657  ИЛОВЫЕ ПЛАЩАДКИ НА ЕСТЕСТВЕННОМ ОСНОВАНИИ (карт)</t>
  </si>
  <si>
    <t>34656  ИЛОВЫЕ ПЛАЩАДКИ НА ЕСТЕСТВЕННОМ ОСНОВАНИИ (карт)</t>
  </si>
  <si>
    <t>34655  ИЛОВЫЕ ПЛАЩАДКИ НА ЕСТЕСТВЕННОМ ОСНОВАНИИ (карт)</t>
  </si>
  <si>
    <t>34654  ИЛОВЫЕ ПЛАЩАДКИ НА ЕСТЕСТВЕННОМ ОСНОВАНИИ (карт)</t>
  </si>
  <si>
    <t>34546  ЗАДВИЖКИ ЧУГУННЫЕ d=400 ММ</t>
  </si>
  <si>
    <t>34545  ЗАДВИЖКИ ЧУГУННЫЕ d=400 ММ</t>
  </si>
  <si>
    <t>34544  ЗАДВИЖКИ ЧУГУННЫЕ d=400 ММ</t>
  </si>
  <si>
    <t>34543  ЗАДВИЖКИ ЧУГУННЫЕ d=400 ММ</t>
  </si>
  <si>
    <t>34542  ЗАДВИЖКИ ЧУГУННЫЕ d=400 ММ</t>
  </si>
  <si>
    <t>34540  ЗАДВИЖКИ ЧУГУННЫЕ d=300ММ</t>
  </si>
  <si>
    <t>34539  ЗАДВИЖКИ ЧУГУННЫЕ d=300ММ</t>
  </si>
  <si>
    <t>34538  ЗАДВИЖКИ ЧУГУННЫЕ d=300ММ</t>
  </si>
  <si>
    <t>34537  ЗАДВИЖКИ ЧУГУННЫЕ d=300ММ</t>
  </si>
  <si>
    <t>34536  ЗАДВИЖКИ ЧУГУННЫЕ d=300ММ</t>
  </si>
  <si>
    <t>34535  ЗАДВИЖКИ ЧУГУННЫЕ d=300ММ</t>
  </si>
  <si>
    <t>34534  ЗАДВИЖКИ ЧУГУННЫЕ d=300ММ</t>
  </si>
  <si>
    <t>34533  ЗАДВИЖКИ ЧУГУННЫЕ d=300ММ</t>
  </si>
  <si>
    <t>34532  ЗАДВИЖКИ ЧУГУННЫЕ d=300ММ</t>
  </si>
  <si>
    <t>34531  ЗАДВИЖКИ ЧУГУННЫЕ d=300ММ</t>
  </si>
  <si>
    <t>34530  ЗАДВИЖКИ ЧУГУННЫЕ d=300ММ</t>
  </si>
  <si>
    <t>34529  ЗАДВИЖКИ ЧУГУННЫЕ d=300ММ</t>
  </si>
  <si>
    <t>34528  ЗАДВИЖКИ ЧУГУННЫЕ d=300ММ</t>
  </si>
  <si>
    <t>34527  ЗАДВИЖКИ ЧУГУННЫЕ d=300ММ</t>
  </si>
  <si>
    <t>34526  ЗАДВИЖКИ ЧУГУННЫЕ d=200ММ</t>
  </si>
  <si>
    <t>34525  ЗАДВИЖКИ ЧУГУННЫЕ d=200ММ</t>
  </si>
  <si>
    <t>34524  ЗАДВИЖКИ ЧУГУННЫЕ d=200ММ</t>
  </si>
  <si>
    <t>34523  ЗАДВИЖКИ ЧУГУННЫЕ d=200ММ</t>
  </si>
  <si>
    <t>34522  ЗАДВИЖКИ ЧУГУННЫЕ d=200ММ</t>
  </si>
  <si>
    <t>34521  ЗАДВИЖКИ ЧУГУННЫЕ d=200ММ</t>
  </si>
  <si>
    <t>34520  ЗАДВИЖКИ ЧУГУННЫЕ d=200ММ</t>
  </si>
  <si>
    <t>34519  ЗАДВИЖКИ ЧУГУННЫЕ d=200ММ</t>
  </si>
  <si>
    <t>34518  ЗАДВИЖКИ ЧУГУННЫЕ d=200ММ</t>
  </si>
  <si>
    <t>34517  ЗАДВИЖКИ ЧУГУННЫЕ d=200ММ</t>
  </si>
  <si>
    <t>34516  ЗАДВИЖКИ ЧУГУННЫЕ d=200ММ</t>
  </si>
  <si>
    <t>34515  ЗАДВИЖКИ ЧУГУННЫЕ d=200ММ</t>
  </si>
  <si>
    <t>34514  ЗАДВИЖКИ ЧУГУННЫЕ d=200ММ</t>
  </si>
  <si>
    <t>34513  ЗАДВИЖКИ ЧУГУННЫЕ d=200ММ</t>
  </si>
  <si>
    <t>34512  ЗАДВИЖКИ ЧУГУННЫЕ d=200ММ</t>
  </si>
  <si>
    <t>34511  ЗАДВИЖКИ ЧУГУННЫЕ d=200ММ</t>
  </si>
  <si>
    <t>34510  ЗАДВИЖКИ ЧУГУННЫЕ d=200ММ</t>
  </si>
  <si>
    <t>34509  ЗАДВИЖКИ ЧУГУННЫЕ d=200ММ</t>
  </si>
  <si>
    <t>34507  ЗАДВИЖКИ ЧУГУННЫЕ d=200ММ</t>
  </si>
  <si>
    <t>34506  ЗАДВИЖКИ ЧУГУННЫЕ d=200ММ</t>
  </si>
  <si>
    <t>34505  ЗАДВИЖКИ ЧУГУННЫЕ d=200ММ</t>
  </si>
  <si>
    <t>34504  ЗАДВИЖКИ ЧУГУННЫЕ d=200ММ</t>
  </si>
  <si>
    <t>34503  ЗАДВИЖКИ ЧУГУННЫЕ d=200ММ</t>
  </si>
  <si>
    <t>34502  ЗАДВИЖКИ ЧУГУННЫЕ d=200ММ</t>
  </si>
  <si>
    <t>34501  ЗАДВИЖКИ ЧУГУННЫЕ d=200ММ</t>
  </si>
  <si>
    <t>34500  ЗАДВИЖКИ ЧУГУННЫЕ d=200ММ</t>
  </si>
  <si>
    <t>34499  ЗАДВИЖКИ ЧУГУННЫЕ d=200ММ</t>
  </si>
  <si>
    <t>34498  ЗАДВИЖКИ ЧУГУННЫЕ d=200ММ</t>
  </si>
  <si>
    <t>34497  ЗАДВИЖКИ ЧУГУННЫЕ d=200ММ</t>
  </si>
  <si>
    <t>34495  ЗАДВИЖКИ ЧУГУННЫЕ d=200ММ</t>
  </si>
  <si>
    <t>34494  ЗАДВИЖКИ ЧУГУННЫЕ d=200ММ</t>
  </si>
  <si>
    <t>34493  ЗАДВИЖКИ ЧУГУННЫЕ d=200ММ</t>
  </si>
  <si>
    <t>34492  ЗАДВИЖКИ ЧУГУННЫЕ d=200ММ</t>
  </si>
  <si>
    <t>34491  ЗАДВИЖКИ ЧУГУННЫЕ d=200ММ</t>
  </si>
  <si>
    <t>34490  ЗАДВИЖКИ ЧУГУННЫЕ d=200ММ</t>
  </si>
  <si>
    <t>34489  ЗАДВИЖКИ ЧУГУННЫЕ d=200ММ</t>
  </si>
  <si>
    <t>34488  ЗАДВИЖКИ ЧУГУННЫЕ d=200ММ</t>
  </si>
  <si>
    <t>34487  ЗАДВИЖКИ ЧУГУННЫЕ d=200ММ</t>
  </si>
  <si>
    <t>34486  ЗАДВИЖКИ ЧУГУННЫЕ d=200ММ</t>
  </si>
  <si>
    <t>34485  ЗАДВИЖКИ ЧУГУННЫЕ d=200ММ</t>
  </si>
  <si>
    <t>34484  ЗАДВИЖКИ ЧУГУННЫЕ d=200ММ</t>
  </si>
  <si>
    <t>34483  ЗАДВИЖКИ ЧУГУННЫЕ d=200 ММ 30 Ч 6 БР</t>
  </si>
  <si>
    <t>34482  ЗАДВИЖКИ ЧУГУННЫЕ d=200 ММ 30 Ч 6 БР</t>
  </si>
  <si>
    <t>34481  ЗАДВИЖКИ ЧУГ. d=200 ММ 30 Ч 6Б/Р</t>
  </si>
  <si>
    <t>34480  ЗАДВИЖКИ ЧУГ. d=200 ММ 30 Ч 6Б/Р</t>
  </si>
  <si>
    <t>34479  ЗАДВИЖКИ ЧУГ. d=200 ММ 30 Ч 6Б/Р</t>
  </si>
  <si>
    <t>34478  ЗАДВИЖКИ ЧУГ. d=200 ММ 30 Ч 6Б/Р</t>
  </si>
  <si>
    <t>34477  ЗАДВИЖКИ ЧУГ. d=200 ММ 30 Ч 6Б/Р</t>
  </si>
  <si>
    <t>34476  ЗАДВИЖКИ ЧУГ. d=200 ММ 30 Ч 6Б/Р</t>
  </si>
  <si>
    <t>34475  ЗАДВИЖКИ ЧУГ. d=200 ММ 30 Ч 6Б/Р</t>
  </si>
  <si>
    <t>34474  ЗАДВИЖКИ ЧУГ. d=200 ММ 30 Ч 6Б/Р</t>
  </si>
  <si>
    <t>34473  ЗАДВИЖКИ ЧУГ. d=200 ММ 30 Ч 6Б/Р</t>
  </si>
  <si>
    <t>34472  ЗАДВИЖКИ ЧУГ. d=200 ММ 30 Ч 6Б/Р</t>
  </si>
  <si>
    <t>34471  ЗАДВИЖКИ ЧУГ. d=200 ММ 30 Ч 6Б/Р</t>
  </si>
  <si>
    <t>34470  ЗАДВИЖКИ ЧУГ. d=200 ММ 30 Ч 6Б/Р</t>
  </si>
  <si>
    <t>34469  ЗАДВИЖКИ ЧУГ. d=200 ММ 30 Ч 6Б/Р</t>
  </si>
  <si>
    <t>34468  ЗАДВИЖКИ ЧУГ. d=200 ММ 30 Ч 6Б/Р</t>
  </si>
  <si>
    <t>34467  ЗАДВИЖКИ ЧУГ. d=200 ММ 30 Ч 6Б/Р</t>
  </si>
  <si>
    <t>34466  ЗАДВИЖКИ ЧУГ. d=200 ММ 30 Ч 6Б/Р</t>
  </si>
  <si>
    <t>34465  ЗАДВИЖКИ ЧУГ. d=200 ММ 30 Ч 6Б/Р</t>
  </si>
  <si>
    <t>34464  ЗАДВИЖКИ ЧУГ. d=200 ММ 30 Ч 6Б/Р</t>
  </si>
  <si>
    <t>34463  ЗАДВИЖКИ ЧУГ. d=200 ММ 30 Ч 6Б/Р</t>
  </si>
  <si>
    <t>34462  ЗАДВИЖКИ ЧУГ. d=200 ММ 30 Ч 6Б/Р</t>
  </si>
  <si>
    <t>34461  ЗАДВИЖКИ ЧУГ. d=200 ММ 30 Ч 6Б/Р</t>
  </si>
  <si>
    <t>34460  ЗАДВИЖКИ ЧУГ. d=200 ММ 30 Ч 6Б/Р</t>
  </si>
  <si>
    <t>34459  ЗАДВИЖКИ ЧУГ. d=200 ММ 30 Ч 6Б/Р</t>
  </si>
  <si>
    <t>34352  ЗАДВИЖКИ С ЭЛ.ПРИВОДОМ d=400 ММ</t>
  </si>
  <si>
    <t>33298  ВОЗДУХОДУВКИ ТВ 300/1,6</t>
  </si>
  <si>
    <t>33297  ВОЗДУХОДУВКИ ТВ 300/1,6</t>
  </si>
  <si>
    <t>33296  ВОЗДУХОДУВКИ ТВ 300/1,6</t>
  </si>
  <si>
    <t>33295  ВОЗДУХОДУВКИ ТВ 300/1,6</t>
  </si>
  <si>
    <t>г.Калуга Октябрьский р-н, район ул. 40-летия Октября</t>
  </si>
  <si>
    <t>22579  ЗДАНИЕ КИРПИЧНОЕ</t>
  </si>
  <si>
    <t>11194  СТАНЦИЯ УПРАВЛЕНИЯ К НАСОСАМ</t>
  </si>
  <si>
    <t>11193  ЭЛ.ДВИГАТЕЛЬ 37 КВТ 900/1</t>
  </si>
  <si>
    <t>г.Калуга База</t>
  </si>
  <si>
    <t xml:space="preserve">11152  ГИДРОНАМЫВ </t>
  </si>
  <si>
    <t>Калужская область, Ферзиковский р-н, деревня Авчурино, стр.1</t>
  </si>
  <si>
    <t>10137 Кирпичное строение №1 бытового помещения</t>
  </si>
  <si>
    <t>10136  ТРУБОПРОВОД ДРЕНАЖНЫХ ВОД А/Ц d=200 (в П.М.)</t>
  </si>
  <si>
    <t>10133  ЗАДВИЖКИ ЧУГ. d=200 ММ 30 Ч 6Б/Р</t>
  </si>
  <si>
    <t>10132  НАСОС СД 160/45</t>
  </si>
  <si>
    <t>10131  НАСОС СД 160/45</t>
  </si>
  <si>
    <t>10130  ТРАНСФОРМАТОР ТМ  63/10</t>
  </si>
  <si>
    <t>10129 ТРАНСФОРМАТОРНАЯ ПОДСТАНЦИЯ КТПН 63/10</t>
  </si>
  <si>
    <t>город Калуга, улица 40 лет Октября, стр.25а, стр25б</t>
  </si>
  <si>
    <t>10128 НАСОС.СТ-ЦИЯ ПРОИЗВ.СТОКОВ (Ж/Б ПОЗЕМ.С МЕТ.ПАВИЛ)</t>
  </si>
  <si>
    <t>Калуга, Октябрьский  район</t>
  </si>
  <si>
    <t>10127 ИЛОПРОВОД ОТ ОЧ.СООРУЖЕНИЙ (СТАЛЬ)</t>
  </si>
  <si>
    <t>10126 ИЛОВЫЕ ПЛОЩАДКИ НА ИСКУСТВЕННОМ ОСНОВАНИ</t>
  </si>
  <si>
    <t>10125 ИЛОВЫЕ ПЛОЩАДКИ НА ЕСТЕСТВЕННОМ ОСНОВАНИИ(ДВОЙНАЯ)</t>
  </si>
  <si>
    <t>город Калуга, деревня Тимошево, лит.1</t>
  </si>
  <si>
    <t>10124 ИЛОВЫЕ ПЛОЩАДКИ НА ЕСТЕСТВЕННОМ ОСНОВАНИИ (карт)</t>
  </si>
  <si>
    <t>10118 ТРУБОПРОВОД СТОЧНОЙ ЖИДКОСТИ СТ.1420</t>
  </si>
  <si>
    <t>10117 ТРУБОПРОВОД ТЕХВОДЫ СТ.d=150</t>
  </si>
  <si>
    <t>10116 ПУЛЬПОПРОВОД НА ПЕСКОЛОВКАХ</t>
  </si>
  <si>
    <t>10115 ВОЗДУХОВОД К БЛОКУ ЕМКОСТЕЙ</t>
  </si>
  <si>
    <t>10112 БЕРЕГОВОЙ ВЫПУСК</t>
  </si>
  <si>
    <t>10111 АВАРИЙНЫЙ ВЫПУСК СТОКОВ СТ.d=1420</t>
  </si>
  <si>
    <t>10110 ОБЛИЦОВКА ОТКОСОВ ПЛОЩАДКИ ОЧИСТНЫХ СООРУЖЕНИЙ</t>
  </si>
  <si>
    <t>город Калуга, улица 40 лет Октября, лит.I</t>
  </si>
  <si>
    <t>10109 ЗАБОР ИЗ Ж/Б ДЕТАЛЕЙ</t>
  </si>
  <si>
    <t>10108 ЗАДВИЖКИ ЧУГУННЫЕ d=200 ММ 30 Ч 6 БР</t>
  </si>
  <si>
    <t>10106 В/В ВОЗДУШНАЯ ЛЭП</t>
  </si>
  <si>
    <t>10105 БЛАГОУСТРОЙСТВО АВТОДОРОГИ (территория ОСК)</t>
  </si>
  <si>
    <t>10104 ХОЗБЫТОВАЯ КАНАЛИЗАЦИЯ ЧУГУН.ТР.</t>
  </si>
  <si>
    <t>10103 ХОЗПИТЬЕВОЙ ВОДОПРОВОД d=100 ММ ЧУГУННЫЙ</t>
  </si>
  <si>
    <t>10102 ВНЕШН.И ВНУТРИПЛОЩ.КАБЕЛЬНЫЕ ЛИНИИ СВЯЗИ НА ОПОРАХ</t>
  </si>
  <si>
    <t>10101 ЭЛ.СЕТИ ПО ПЛОЩАДКЕ ВОЗДУШНЫЕ НА Ж/Б ОПОРАХ</t>
  </si>
  <si>
    <t>10100 В/В КАБЕЛЬНАЯ ЛЭП ОТ ПОДСТАНЦИИ "ПРИОКСКАЯ"</t>
  </si>
  <si>
    <t>г. Калуга, район ул. 40-летия Октября</t>
  </si>
  <si>
    <t>10094 Одноэтажное металлическое здание канализационной насосной станции</t>
  </si>
  <si>
    <t>10093 КРАН-БАЛКА Г/П 1 ТН</t>
  </si>
  <si>
    <t>10092 ГАРАЖ НА 20 А/МАШИН 1 ЭТАЖ.ИЗ Ж/Б ПАНЕЛЕЙ</t>
  </si>
  <si>
    <t>10091 ЭЛЕКТРОТЕЛЬФЕР Г/П 2 ТН</t>
  </si>
  <si>
    <t>10090 ПРИЕМНАЯ КАМЕРА Ж/БЕТОННАЯ</t>
  </si>
  <si>
    <t>10089 ЗДАНИЕ БАРБАТАЖНОГО ГИДРОЗАТВОРА КИРПИЧНОЕ 1 ЭТАЖ.</t>
  </si>
  <si>
    <t>10088 ЗДАНИЕ ПЕСКОВЫХ БУНКЕРОВ 2-Х ЭТАЖНОЕ КИРПИЧНОЕ</t>
  </si>
  <si>
    <t>10086 ЩИТЫ УПРАВЛЕНИЯ ЩО-59-11:23</t>
  </si>
  <si>
    <t>город Калуга, улица 40 лет Октября, стр.7</t>
  </si>
  <si>
    <t>10083 ЗДАНИЕ ТРАНСФОРМАТОРНОЙ ПОДСТАНЦИИ КИРП. 1 ЭТАЖНОЕ</t>
  </si>
  <si>
    <t>10082 ЭЛЕКТРОТЕЛЬФЕР Г/П 3 ТН</t>
  </si>
  <si>
    <t>10081 КРАН-БАЛКА Г/П 3 ТН</t>
  </si>
  <si>
    <t>10078 ЗДАНИЕ ХЛОРАТОРНОЙ 2-Х ЭТАЖНОЕ КИРПИЧНОЕ</t>
  </si>
  <si>
    <t>10072 ШКАФ УПРАВЛЕНИЯ ЩУ-45</t>
  </si>
  <si>
    <t>10071 СТАНЦИЯ УПРАВЛЕНИЯ СУНО-250</t>
  </si>
  <si>
    <t>10068 БАК СЫРОГО ОСАДКА</t>
  </si>
  <si>
    <t>10066 ЗАДВИЖКИ ЧУГУННЫЕ d=200ММ</t>
  </si>
  <si>
    <t>10065 ЗАДВИЖКИ ЧУГУННЫЕ d=300ММ</t>
  </si>
  <si>
    <t>10064 ЗАДВИЖКИ ЧУГУННЫЕ d=400 ММ</t>
  </si>
  <si>
    <t>10063 СКРЕБКОВЫЕ МЕХАНИЗМЫ НА ПРИЕМНОЙ КАМЕРЕ</t>
  </si>
  <si>
    <t>10061 ИЛОСКРЕБ I-го ОТСТОЙНИКА</t>
  </si>
  <si>
    <t>10060 НАСОС СД 216/24</t>
  </si>
  <si>
    <t>10057 НАСОС ФГ 450/22,5 ( N 7,8)</t>
  </si>
  <si>
    <t>10055 НАСОС ФГ 540/95 ( N 11+10)</t>
  </si>
  <si>
    <t>10054 БЛОК ЕМКОСТЕЙ 4 СЕКЦИИ_г. Калуга, район ул. 40-летия Октября_25313.00 кв.м</t>
  </si>
  <si>
    <t>10048 ЗАДВИЖКИ С ЭЛ.ПРИВОДОМ d=400 ММ</t>
  </si>
  <si>
    <t>10047 ЭЛЕКТРОТЕЛЬФЕР Г/П 2Т</t>
  </si>
  <si>
    <t>10046 ВОЗДУХОДУВКИ ТВ 300/1,6</t>
  </si>
  <si>
    <t>10045 РАСПРЕДЕЛИТЕЛЬНОЕ УСТРОЙСТВО КРУ К-12</t>
  </si>
  <si>
    <t>10040 СТАНЦИЯ УПРАВЛЕНИЯ ПЭХ-5027-13 М2</t>
  </si>
  <si>
    <t>10039 СТАНОК СВЕРЛИЛЬНО-УНИВЕРСАЛЬНЫЙ 2А-135</t>
  </si>
  <si>
    <t>10035 СТАНОК ТОЧИЛЬНО-ШЛИФОВАЛЬНЫЙ 56634</t>
  </si>
  <si>
    <t>10034 СТАНОК НОЖОВОЧНЫЙ ОТРЕЗНОЙ 872 М</t>
  </si>
  <si>
    <t>10033 СТАНОК ФРЕЗЕРНЫЙ 6 Р11</t>
  </si>
  <si>
    <t>10025 КРАН-БАЛКА РУЧНАЯ С ЭЛЕКТРОТЕЛЬФЕРОМ Г/П 5 ТН</t>
  </si>
  <si>
    <t>10024 КРАН-БАЛКА РУЧНАЯ С ЭЛЕКТРОТЕЛЬФЕРОМ Г/П 3 ТН</t>
  </si>
  <si>
    <t>10023 ПРОИЗВОДСТВЕННЫЙ КОРПУС ПЛОЩАДЬЮ ДО 5000 КВ М_Калуга, ОС,район ул. 40-летия Октября</t>
  </si>
  <si>
    <t>город Калуга, поселок 40 лет Октября, очистные</t>
  </si>
  <si>
    <t>10001 ПРОИЗВОДСТВЕННЫЙ КОРПУС ПЛОЩАДЬЮ ПОЛА ДО 5000 КВ.М</t>
  </si>
  <si>
    <t>Цех очистных сооружений канализации</t>
  </si>
  <si>
    <t>АО "Химреактивснаб" по дог.Т/2315-ЕД от 03.06.2022</t>
  </si>
  <si>
    <t>46682 Стерилизатор паровой ВКа-75 ПЗ полуавтоматический</t>
  </si>
  <si>
    <t>15.07.2022</t>
  </si>
  <si>
    <t xml:space="preserve">46682    </t>
  </si>
  <si>
    <t>Т/1858-ЕД от 21.06.21г</t>
  </si>
  <si>
    <t>45548 Анализатор ртути (3 модификация) без ПК, Юлия-5К</t>
  </si>
  <si>
    <t>22.07.2021</t>
  </si>
  <si>
    <t xml:space="preserve">45548    </t>
  </si>
  <si>
    <t>45391 Аквадистиллятор АЭ-25</t>
  </si>
  <si>
    <t>03.06.2021</t>
  </si>
  <si>
    <t xml:space="preserve">45391    </t>
  </si>
  <si>
    <t>45380 Спектрофотометр В-1100 (ТМ ЭКОВЬЮ)</t>
  </si>
  <si>
    <t>20.05.2021</t>
  </si>
  <si>
    <t xml:space="preserve">45380    </t>
  </si>
  <si>
    <t>сч№ЛЮ-41847 от 30.09.2020</t>
  </si>
  <si>
    <t>44698 Испаритель ротационный XD-52АА, Stegler</t>
  </si>
  <si>
    <t>28.10.2020</t>
  </si>
  <si>
    <t xml:space="preserve">44698    </t>
  </si>
  <si>
    <t>Т/413-ЭК от 07.05.19</t>
  </si>
  <si>
    <t>43935 шкаф сушильный ПЭ-4610</t>
  </si>
  <si>
    <t xml:space="preserve">43935    </t>
  </si>
  <si>
    <t>858/ЕД от 10.12.19</t>
  </si>
  <si>
    <t>43712 Радиометр альфа-бета для измерений малых активностей УМФ-2000</t>
  </si>
  <si>
    <t>24.12.2019</t>
  </si>
  <si>
    <t xml:space="preserve">43712    </t>
  </si>
  <si>
    <t>получен безвозмездно</t>
  </si>
  <si>
    <t>43069 Плита нагревательная серии ES-H3040</t>
  </si>
  <si>
    <t>19.02.2019</t>
  </si>
  <si>
    <t xml:space="preserve">43069    </t>
  </si>
  <si>
    <t>1235/ПР от 37.07.2018г.</t>
  </si>
  <si>
    <t>42662 Спектрофотометр В-1100</t>
  </si>
  <si>
    <t>24.08.2018</t>
  </si>
  <si>
    <t xml:space="preserve">42662    </t>
  </si>
  <si>
    <t>41904 Источник бесперебойного питания (ИБП) Eaton 9SX 6000i RT3U (6кВА)</t>
  </si>
  <si>
    <t>29.12.2016</t>
  </si>
  <si>
    <t xml:space="preserve">41904    </t>
  </si>
  <si>
    <t>41494 Спекторофотометр B-1100</t>
  </si>
  <si>
    <t>27.07.2016</t>
  </si>
  <si>
    <t xml:space="preserve">41494    </t>
  </si>
  <si>
    <t>40921 Ламинарный шкаф для лаборатории</t>
  </si>
  <si>
    <t xml:space="preserve">40921    </t>
  </si>
  <si>
    <t>40814 Система капилярного электрофореза "Капель-105М"</t>
  </si>
  <si>
    <t>24.03.2015</t>
  </si>
  <si>
    <t xml:space="preserve">40814    </t>
  </si>
  <si>
    <t>40813 Спектрофотометр атомно-абсорбционный SOLAAR 969AA</t>
  </si>
  <si>
    <t xml:space="preserve">40813    </t>
  </si>
  <si>
    <t>40812 Программно-аппаратный газохроматографический комплекс</t>
  </si>
  <si>
    <t xml:space="preserve">40812    </t>
  </si>
  <si>
    <t>38151  Экстрактор ЭЛ-1</t>
  </si>
  <si>
    <t>37784  Определитель чистоты воды</t>
  </si>
  <si>
    <t>37072  Шкаф книжный</t>
  </si>
  <si>
    <t>35788  Стол медицинский</t>
  </si>
  <si>
    <t>35262  Облучатель бактрицидный</t>
  </si>
  <si>
    <t>31892  Шкаф металлический</t>
  </si>
  <si>
    <t>31891  Шкаф медицинский</t>
  </si>
  <si>
    <t>31890  Шкаф медицинский</t>
  </si>
  <si>
    <t>31887  Шкаф дв. медицинский</t>
  </si>
  <si>
    <t>31877  Стол руководителя</t>
  </si>
  <si>
    <t>31870  Опредилитель чистоты воды</t>
  </si>
  <si>
    <t>31869  Облучатель бактрицидный</t>
  </si>
  <si>
    <t>31868  Облучатель бактрицидный</t>
  </si>
  <si>
    <t>31862  Измеритель регулятор ТРМ 1А, ТП</t>
  </si>
  <si>
    <t>31325  КФК-3-01</t>
  </si>
  <si>
    <t>29886  рН211 микропроцессорный рН/мВ/С-метр</t>
  </si>
  <si>
    <t>29850  Термореактор (с подставкой и съемным штативом)</t>
  </si>
  <si>
    <t>29849  Анализатор жидкости</t>
  </si>
  <si>
    <t>35857  Стол-мойка</t>
  </si>
  <si>
    <t>33260  Вентилятор ВР-807541С</t>
  </si>
  <si>
    <t>30106  Стол-мойка</t>
  </si>
  <si>
    <t>30101  Вентилятор ВР-807541С</t>
  </si>
  <si>
    <t>30097  Экстроктор эл1</t>
  </si>
  <si>
    <t>30095  Вентилятор 3</t>
  </si>
  <si>
    <t>30094  Вентилятор 4</t>
  </si>
  <si>
    <t>29243  ТЕРМОСТАТ АТ-1</t>
  </si>
  <si>
    <t>29113  ИСПАРИТЕЛЬ ИР-1М2</t>
  </si>
  <si>
    <t>29073  СТЕРИЛИЗАТОР ПАРОВОЙ ВК-75-01</t>
  </si>
  <si>
    <t>01.03.2002</t>
  </si>
  <si>
    <t>29008  КОНЦЕНТРАТОМЕР КН-2</t>
  </si>
  <si>
    <t>28962  ВЕСЫ ВЛР-200Г С ГИР</t>
  </si>
  <si>
    <t>28926  ВЕСЫ ВЛТ 510-П</t>
  </si>
  <si>
    <t>28924  КОМПЛЕКС "КАМЕРА" (для измер.активн.радона в воде)</t>
  </si>
  <si>
    <t>28693  ШКАФ ВЫТЯЖНОЙ</t>
  </si>
  <si>
    <t>28675  СТОЛ-МОЙКА</t>
  </si>
  <si>
    <t>37095  ШКАФ СУШИЛЬНЫЙ СТЕРИЛИЗ. ШСС-80</t>
  </si>
  <si>
    <t>28627  ШКАФ СУШИЛЬНЫЙ СТЕРИЛИЗ. ШСС-80</t>
  </si>
  <si>
    <t>27657  ШКАФ-СНОЛ</t>
  </si>
  <si>
    <t>27655  ТЕРМОСТАТ ТС-80М-2</t>
  </si>
  <si>
    <t>27587  СТОЛ С ВЫТЯЖКОЙ</t>
  </si>
  <si>
    <t>25306  АНАЛИЗАТОР ФЛЮОРАТ-02-1</t>
  </si>
  <si>
    <t>24186  ШКАФ СУШИЛЬНЫЙ ШСС-80</t>
  </si>
  <si>
    <t>24168  ШКАФ СУШИЛЬНЫЙ ШСС-80</t>
  </si>
  <si>
    <t>24151  КАЛОРИМЕТР</t>
  </si>
  <si>
    <t>23601  ЛАБ.ПРИБОР АТОМНО-АБСОРБЦИОННЫЙ СПЕКТРОМЕТР ААS-3</t>
  </si>
  <si>
    <t>36989  ШКАФ ВЫТЯЖНОЙ</t>
  </si>
  <si>
    <t>город Калуга, улица Салтыкова-Щедрина, 80</t>
  </si>
  <si>
    <t>11243  ПОДСОБНОЕ ПОМЕЩЕНИЕ (СКЛАД)</t>
  </si>
  <si>
    <t>10531 АВТОКЛАВ АВ-75</t>
  </si>
  <si>
    <t>10529  ШКАФ ВЫТЯЖНОЙ</t>
  </si>
  <si>
    <t>10527  ПРИБОР КФК-2</t>
  </si>
  <si>
    <t>10526  ХОЛОДИЛЬНИК "БИРЮСА"</t>
  </si>
  <si>
    <t>Испытательная базовая лаборатория питьевой воды</t>
  </si>
  <si>
    <t>лаборатория</t>
  </si>
  <si>
    <t>46241 Диспетчеризация расхода и учета воды (АИСКУЭ) на скважинах ГНС</t>
  </si>
  <si>
    <t xml:space="preserve">46241    </t>
  </si>
  <si>
    <t>Калуга г, Животинки д,</t>
  </si>
  <si>
    <t>44153_Артезианская скважина_д.Животинки, площадь 9,1 кв.м</t>
  </si>
  <si>
    <t xml:space="preserve">44153_   </t>
  </si>
  <si>
    <t>г.Калуга, с.Некрасово</t>
  </si>
  <si>
    <t>41968_Артскважина №3 Городской насосной станции с.Некрасово</t>
  </si>
  <si>
    <t xml:space="preserve">41968_   </t>
  </si>
  <si>
    <t>ППАаз136 _Калуга МЭР_Договор аренды 4327 от 24.04.2003_кадастровый номер_40:26:000360:10</t>
  </si>
  <si>
    <t xml:space="preserve"> ППАаз136</t>
  </si>
  <si>
    <t>ППАаз131 _Калуга МЭР_Договор аренды 2681 от 15.07.2002_кадастровый номер_40:25:000206:5</t>
  </si>
  <si>
    <t xml:space="preserve"> ППАаз131</t>
  </si>
  <si>
    <t>ППАаз130 _Калуга МЭР_Договор аренды 2680 от 15.07.2002_кадастровый номер_40:25:000206:4</t>
  </si>
  <si>
    <t xml:space="preserve"> ППАаз130</t>
  </si>
  <si>
    <t>ППАаз129 _Калуга МЭР_Договор аренды 2679 от 15.07.2002_кадастровый номер_40:26:000345:2</t>
  </si>
  <si>
    <t xml:space="preserve"> ППАаз129</t>
  </si>
  <si>
    <t>ППАаз117 _Калуга МЭР_Договор аренды 328 от 21.08.2015_кадастровый номер_40:26:000360:57</t>
  </si>
  <si>
    <t xml:space="preserve"> ППАаз117</t>
  </si>
  <si>
    <t>ППАаз045 _Горуправа_Договор аренды 828/15 от 02.11.2015_кадастровый номер_40:25:000000:578</t>
  </si>
  <si>
    <t xml:space="preserve"> ППАаз045</t>
  </si>
  <si>
    <t>ООО "ДАРЪСТРОЙ" дог.Т/1926-ЕД от 13.08.2021</t>
  </si>
  <si>
    <t>45810 Насос К 160/30а на раме с эл.двиг.22кВт/1500 об.мин. общепром(Катайск)</t>
  </si>
  <si>
    <t>25.10.2021</t>
  </si>
  <si>
    <t xml:space="preserve">45810    </t>
  </si>
  <si>
    <t>45631 Ячейка вводного выключателя РУ 6 кВ</t>
  </si>
  <si>
    <t xml:space="preserve">45631    </t>
  </si>
  <si>
    <t>44616 Шкаф управления Оникс МК3-100-IP54-У3.1</t>
  </si>
  <si>
    <t xml:space="preserve">44616    </t>
  </si>
  <si>
    <t>44602 Шкаф управления Оникс МК3-100-IP54-У3.1</t>
  </si>
  <si>
    <t xml:space="preserve">44602    </t>
  </si>
  <si>
    <t>44512 Насос 1Д630-90 с эл. двиг. 250кВт 1500 об/мин, 380В</t>
  </si>
  <si>
    <t xml:space="preserve">44512    </t>
  </si>
  <si>
    <t>44510 Насос 1Д630-90а с эл. двиг. 200кВт 1500 об/мин, 380В</t>
  </si>
  <si>
    <t xml:space="preserve">44510    </t>
  </si>
  <si>
    <t>Т/961-ЕД от 28.01.2020</t>
  </si>
  <si>
    <t>43950 Пункт коммерческого учета ПКУ/ЭТМ 211/1130110 ( в комплекте)</t>
  </si>
  <si>
    <t xml:space="preserve">43950    </t>
  </si>
  <si>
    <t>3188/ПР от 19.12.2019</t>
  </si>
  <si>
    <t>43713 Трансформатор напряжения 3х3НОЛ-ЭК-10 М1Т-6000/V3</t>
  </si>
  <si>
    <t xml:space="preserve">43713    </t>
  </si>
  <si>
    <t>43429 Агрегат ЭЦВ10-65-110 нрк</t>
  </si>
  <si>
    <t xml:space="preserve">43429    </t>
  </si>
  <si>
    <t>43138 Насос Д 200-36б агрегат АИР 180S4 22 кВт</t>
  </si>
  <si>
    <t xml:space="preserve">43138    </t>
  </si>
  <si>
    <t>счет № 183, 184 от 05.02.2019</t>
  </si>
  <si>
    <t>43120 Насос 2ЭЦВ 12-160-100 в комплекте с электродвигателем</t>
  </si>
  <si>
    <t>21.02.2019</t>
  </si>
  <si>
    <t xml:space="preserve">43120    </t>
  </si>
  <si>
    <t>42563 Электродвигатель АИР 315 М4, 200х1500</t>
  </si>
  <si>
    <t xml:space="preserve">42563    </t>
  </si>
  <si>
    <t>Дог.№Т/50-ЭА от 17.05.17 (6 508 001,06)</t>
  </si>
  <si>
    <t>42098 Агрегат ЭЦВ 10-160-35 нро</t>
  </si>
  <si>
    <t>05.06.2017</t>
  </si>
  <si>
    <t xml:space="preserve">42098    </t>
  </si>
  <si>
    <t>42027 Задвижка 30ч906 Бр Ру10 Ду400 с эл.приводом</t>
  </si>
  <si>
    <t xml:space="preserve">42027    </t>
  </si>
  <si>
    <t>41611 Насос дозирующий Grundfos DDC 9-7</t>
  </si>
  <si>
    <t xml:space="preserve">41611    </t>
  </si>
  <si>
    <t>41493 Электродвигатель 5АИ 200 L4 45/1500 IM 1001</t>
  </si>
  <si>
    <t>20.07.2016</t>
  </si>
  <si>
    <t xml:space="preserve">41493    </t>
  </si>
  <si>
    <t>40-40-01/068/2009-612</t>
  </si>
  <si>
    <t>248912, Калужская обл, Калуга г, Андреевское д</t>
  </si>
  <si>
    <t>41509 Артезианская скважина_д. Андреевское_глубина 90 м</t>
  </si>
  <si>
    <t xml:space="preserve">41509    </t>
  </si>
  <si>
    <t>41429 Пожарная сигнализация автоматическая (АПС) в городской насосной станции водопровода</t>
  </si>
  <si>
    <t>25.04.2016</t>
  </si>
  <si>
    <t xml:space="preserve">41429    </t>
  </si>
  <si>
    <t>город Калуга, улица Подвойского</t>
  </si>
  <si>
    <t>42011 Артезианская скважина №6</t>
  </si>
  <si>
    <t>01.02.2016</t>
  </si>
  <si>
    <t>42010 Артезианская скважина №2</t>
  </si>
  <si>
    <t>41392 Задвижка чугунная ДУ 500</t>
  </si>
  <si>
    <t xml:space="preserve">41392    </t>
  </si>
  <si>
    <t>41391 Задвижка чугунная ДУ 500</t>
  </si>
  <si>
    <t xml:space="preserve">41391    </t>
  </si>
  <si>
    <t>41245 Задвижка чугунная ДУ 400</t>
  </si>
  <si>
    <t>23.12.2015</t>
  </si>
  <si>
    <t xml:space="preserve">41245    </t>
  </si>
  <si>
    <t>40943 Насос ЭЦВ 12-250-35</t>
  </si>
  <si>
    <t>29.07.2015</t>
  </si>
  <si>
    <t xml:space="preserve">40943    </t>
  </si>
  <si>
    <t>248911, Калужская обл, Калуга г, Колюпаново д</t>
  </si>
  <si>
    <t>40780 Скважина разведочно-эксплуатационная в д.Колюпаново мкрн.СНП"Лесное" №163410</t>
  </si>
  <si>
    <t>29.12.2014</t>
  </si>
  <si>
    <t xml:space="preserve">40780    </t>
  </si>
  <si>
    <t>40721 Насос TWI 08.80-B-6 NU501-2/22</t>
  </si>
  <si>
    <t xml:space="preserve">40721    </t>
  </si>
  <si>
    <t>40720 Насос TWI 08.80-B-6 NU501-2/22</t>
  </si>
  <si>
    <t xml:space="preserve">40720    </t>
  </si>
  <si>
    <t>40719 Насос TWI 08.80-B-6 NU501-2/22</t>
  </si>
  <si>
    <t xml:space="preserve">40719    </t>
  </si>
  <si>
    <t>40718 Насос TWI 08.80-B-6 NU501-2/22</t>
  </si>
  <si>
    <t xml:space="preserve">40718    </t>
  </si>
  <si>
    <t>40717 Насос TWI 08.80-B-6 NU501-2/22</t>
  </si>
  <si>
    <t xml:space="preserve">40717    </t>
  </si>
  <si>
    <t>40716 Насос TWI 08.80-B-6 NU501-2/22</t>
  </si>
  <si>
    <t xml:space="preserve">40716    </t>
  </si>
  <si>
    <t>40520 Насос TWI08.80-7+NU611-2/26 в верт охл</t>
  </si>
  <si>
    <t xml:space="preserve">40520    </t>
  </si>
  <si>
    <t>40439 Преобразователь частоты FDU 2.0 NGD 48-600-20CE 315 кВт 380В IP20</t>
  </si>
  <si>
    <t>18.03.2014</t>
  </si>
  <si>
    <t xml:space="preserve">40439    </t>
  </si>
  <si>
    <t>40427 Агрегат погружной 2ЭЦВ 10-65-110</t>
  </si>
  <si>
    <t>24.02.2014</t>
  </si>
  <si>
    <t xml:space="preserve">40427    </t>
  </si>
  <si>
    <t>40222 Задвижка стальная 30с941нж Ду300Ру16 в комплекте с электроприводом</t>
  </si>
  <si>
    <t xml:space="preserve">40222    </t>
  </si>
  <si>
    <t>39917 Миксер MS112M4P08E1500, 200 об/мин, PVH 800мм с насосом дозирующим TEKNA EVO AKL 800</t>
  </si>
  <si>
    <t>09.11.2012</t>
  </si>
  <si>
    <t xml:space="preserve">39917    </t>
  </si>
  <si>
    <t>39864 Трансформатор масляный трехфазный ТМ-630 6 кВА</t>
  </si>
  <si>
    <t xml:space="preserve">39864    </t>
  </si>
  <si>
    <t>39854 Счетчик воды-расходомер "ИРВИКОН СВ-200" Ду 300 мм</t>
  </si>
  <si>
    <t xml:space="preserve">39854    </t>
  </si>
  <si>
    <t>39817 Насос 2ЭЦВ 10-120-100 нро</t>
  </si>
  <si>
    <t xml:space="preserve">39817    </t>
  </si>
  <si>
    <t>39813 Задвижка 30ч515бр Ду600</t>
  </si>
  <si>
    <t xml:space="preserve">39813    </t>
  </si>
  <si>
    <t>248000,Калужская обл,Калуга г,</t>
  </si>
  <si>
    <t>10888  ВОДОВОДЫ D -200, 500,150 от ГНС</t>
  </si>
  <si>
    <t>30.09.2011</t>
  </si>
  <si>
    <t>38222  АВТОМАТ 630 А</t>
  </si>
  <si>
    <t>21.12.2005</t>
  </si>
  <si>
    <t>32899  Эл.двигатель 315 кВт</t>
  </si>
  <si>
    <t>37385  Охранное электроосвещение</t>
  </si>
  <si>
    <t>33196  Охранное электроосвещение</t>
  </si>
  <si>
    <t>33194  Забор из ж/б панелей</t>
  </si>
  <si>
    <t>33193  Забор из ж/б панелей</t>
  </si>
  <si>
    <t>31679  Кабельная линия АСБ 3х150х95 кВт (правый берег до скв.№10)</t>
  </si>
  <si>
    <t>31360  Эл. двигатель 45квт 1500об/мин.</t>
  </si>
  <si>
    <t>08.04.2004</t>
  </si>
  <si>
    <t>город Калуга, улица Зеленый Крупец, д.16 лит.I</t>
  </si>
  <si>
    <t>31509_Артезианская скважина №1</t>
  </si>
  <si>
    <t>31410  НАСОС К 20/18 С ЭЛ.ДВ.</t>
  </si>
  <si>
    <t>город Калуга, улица Зеленый Крупец</t>
  </si>
  <si>
    <t>31022_Скважина №8</t>
  </si>
  <si>
    <t>28925  ЭЛ. ДВИГ. 630КВТ 1500 ОБ/МИН (нас.агрегат №6)</t>
  </si>
  <si>
    <t>29788  ЗАДВИЖКА D-300</t>
  </si>
  <si>
    <t>29412  НАСОС НС 250/22.5 30 КВТ</t>
  </si>
  <si>
    <t>29042  НАСОС СМ 150-125-315/4</t>
  </si>
  <si>
    <t>01.08.2002</t>
  </si>
  <si>
    <t>29156  ЗАДВИЖКА D-300</t>
  </si>
  <si>
    <t>город Калуга, улица Зеленый Крупец,</t>
  </si>
  <si>
    <t>29144  СКВАЖИНА №9 АРТЕЗИАНСКАЯ</t>
  </si>
  <si>
    <t>37735  НАСОС Д 200/90 (нас.агрегат №5)</t>
  </si>
  <si>
    <t>37734  Насос 200 Д/90 (нас.агрегат №7)</t>
  </si>
  <si>
    <t>27880  ЕМКОСТЬ ЭМАЛИРОВ. 2,3 М КУБ (хлораторная)</t>
  </si>
  <si>
    <t>27901  ЕМКОСТЬ ЭМАЛИРОВ. 2,3 М КУБ (хлораторная)</t>
  </si>
  <si>
    <t>37897  КАБЕЛЬНАЯ ЛИНИЯ фидр 12</t>
  </si>
  <si>
    <t>город Калуга, улица Зеленый Крупец, д.16 лит.II</t>
  </si>
  <si>
    <t>35466  РЕЗЕРВУАР</t>
  </si>
  <si>
    <t>город Калуга, район деревни Тимошево, Северный водозабор (инв. № 32279), 1-ый водозаборный узел</t>
  </si>
  <si>
    <t>10940 ЭЛ.КАБЕЛЬ</t>
  </si>
  <si>
    <t>10939 ЭЛ.КАБЕЛЬНЫЕ ЛИНИИ</t>
  </si>
  <si>
    <t>город Калуга, улица Беляева, 35</t>
  </si>
  <si>
    <t>10935  ПРОХОДНАЯ (КАРАУЛ)</t>
  </si>
  <si>
    <t>10932  ТРАНСФОРМАТОР</t>
  </si>
  <si>
    <t>10928  ДЮКЕР ЧЕРЕЗ Р.ОКУ</t>
  </si>
  <si>
    <t>10926  ТРУБОПРОВОД</t>
  </si>
  <si>
    <t>город Калуга, улица Беляева, лит.I</t>
  </si>
  <si>
    <t>10925  СКВАЖИНА N 2</t>
  </si>
  <si>
    <t>10923  ТРУБОПРОВОД ПРОМЫВНОЙ</t>
  </si>
  <si>
    <t>10922  ТРУБЫ СЛИВНЫЕ</t>
  </si>
  <si>
    <t>город Калуга, улица Беляева, д.35 лит.I</t>
  </si>
  <si>
    <t>10921  СКВАЖИНА N 10</t>
  </si>
  <si>
    <t>город Калуга, деревня Некрасово, лит.I ПНС</t>
  </si>
  <si>
    <t>10920  ГАЛЕРЕЯ ПОКРОВСКИХ КЛЮЧЕЙ</t>
  </si>
  <si>
    <t>10919  ДЮКЕР ЧЕРЕЗ Р.ОКУ</t>
  </si>
  <si>
    <t>10918  ПОДЗЕМНЫЙ ПРИЕМНЫЙ РЕЗЕРВУАР</t>
  </si>
  <si>
    <t>10916  ПАВИЛЬОН МЕТАЛЛИЧЕСКИЙ</t>
  </si>
  <si>
    <t>город Калуга, улица Беляева, д.35 лит.Стр, 2</t>
  </si>
  <si>
    <t>10915  СТРОЕНИЕ ВЕРХНЕЕ</t>
  </si>
  <si>
    <t>город Калуга, улица Беляева, д.35 лит.Стр, 1</t>
  </si>
  <si>
    <t>10914  НАСОСНАЯ СТАНЦИЯ</t>
  </si>
  <si>
    <t>10913  ПАВИЛЬОН ДЛЯ СКВАЖИНЫ</t>
  </si>
  <si>
    <t>10911  ТЕЛЬФЕР (маш.зал)</t>
  </si>
  <si>
    <t>город Калуга, улица Зеленый Крупец, д.16 лит.Стр, 4</t>
  </si>
  <si>
    <t>10908_ПРОХОДНАЯ</t>
  </si>
  <si>
    <t>10893  НАСОС Д-250-125 (D-250-125)</t>
  </si>
  <si>
    <t>город Калуга, улица Зеленый Крупец, лит.III</t>
  </si>
  <si>
    <t>10890_Артезианская скважина №3</t>
  </si>
  <si>
    <t>город Калуга, улица Зеленый Крупец, д.16 лит.IV</t>
  </si>
  <si>
    <t>10889_Артезианская скважина №7</t>
  </si>
  <si>
    <t>10887  КАБЕЛЬНАЯ ЛИНИЯ Ф.РП-14</t>
  </si>
  <si>
    <t>10884  КОЛОДЕЦ.СТВОР</t>
  </si>
  <si>
    <t>город Калуга, улица Зеленый Крупец, д.16 лит.III</t>
  </si>
  <si>
    <t>10883_ГАЛЕРЕЯ КЛЮЧЕЙ</t>
  </si>
  <si>
    <t>10882  РЕЗЕРВУАР</t>
  </si>
  <si>
    <t>город Калуга, улица Зеленый Крупец, д.16 лит.Стр, 3</t>
  </si>
  <si>
    <t>10881  ДИЗЕЛЬНАЯ</t>
  </si>
  <si>
    <t>город Калуга, улица Зеленый Крупец, д.16 лит.Стр, 2</t>
  </si>
  <si>
    <t>10880  ХЛОРАТОРНАЯ</t>
  </si>
  <si>
    <t>город Калуга, улица Зеленый Крупец, д.16 лит.Стр, 1</t>
  </si>
  <si>
    <t>10879  НАСОСНАЯ СТАНЦИЯ</t>
  </si>
  <si>
    <t>Городская насосная станция водопровода</t>
  </si>
  <si>
    <t>ППАаз049 _Горуправа_Договор аренды 527/21 от 18.08.2021_кадастровый номер_40:26:000246:10</t>
  </si>
  <si>
    <t xml:space="preserve"> ППАаз049</t>
  </si>
  <si>
    <t>44513 Насос Д320-50 с эл. двиг. 75кВт 1500 об/мин, 380В</t>
  </si>
  <si>
    <t xml:space="preserve">44513    </t>
  </si>
  <si>
    <t>44511 Насос 1Д630-90 с эл. двиг. 250кВт 1500 об/мин, 380В</t>
  </si>
  <si>
    <t xml:space="preserve">44511    </t>
  </si>
  <si>
    <t>41269 Задвижка стальная ДУ 300 Ру 16 с электроприводом</t>
  </si>
  <si>
    <t xml:space="preserve">41269    </t>
  </si>
  <si>
    <t>40682 Трансформатор масляный трехфазный ТМ-400 10 кВА</t>
  </si>
  <si>
    <t>22.12.2014</t>
  </si>
  <si>
    <t xml:space="preserve">40682    </t>
  </si>
  <si>
    <t>40712 Задвижка 30ч915бр Д=500 ру=10 с электроприводом НВ</t>
  </si>
  <si>
    <t>17.12.2014</t>
  </si>
  <si>
    <t xml:space="preserve">40712    </t>
  </si>
  <si>
    <t>40615 Преобразователь частоты FDU 2.0 NGD 48-500-20CE 250 кВт</t>
  </si>
  <si>
    <t xml:space="preserve">40615    </t>
  </si>
  <si>
    <t>40373 Насос 1Д 315/50</t>
  </si>
  <si>
    <t xml:space="preserve">40373    </t>
  </si>
  <si>
    <t>40372 Насос 1Д 315/50</t>
  </si>
  <si>
    <t xml:space="preserve">40372    </t>
  </si>
  <si>
    <t>40277 Преобразователь частоты FDU 2.0 NGD 48-375-20CE 200 кВт 380В IP20</t>
  </si>
  <si>
    <t>23.10.2013</t>
  </si>
  <si>
    <t xml:space="preserve">40277    </t>
  </si>
  <si>
    <t>40220 Насосный агрегат 1Д800-56 5АМН315S4 200кВт</t>
  </si>
  <si>
    <t>23.07.2013</t>
  </si>
  <si>
    <t xml:space="preserve">40220    </t>
  </si>
  <si>
    <t>40185 Задвижка 30ч906 Бр Ду400 Ру10</t>
  </si>
  <si>
    <t xml:space="preserve">40185    </t>
  </si>
  <si>
    <t>39868 Задвижка 30ч530Бр (с редуктором) Ру 10 Ду 600</t>
  </si>
  <si>
    <t xml:space="preserve">39868    </t>
  </si>
  <si>
    <t>39857 Счетчик воды-расходомер "ИРВИКОН СВ-200" Ду 500 мм</t>
  </si>
  <si>
    <t xml:space="preserve">39857    </t>
  </si>
  <si>
    <t>39856 Счетчик воды-расходомер "ИРВИКОН СВ-200" Ду 500 мм</t>
  </si>
  <si>
    <t xml:space="preserve">39856    </t>
  </si>
  <si>
    <t>39828 Сварочный генератор АСПВ 220-6,5/3,5-Т400/230 ВХ (двигатель HONDA)</t>
  </si>
  <si>
    <t xml:space="preserve">39828    </t>
  </si>
  <si>
    <t>39496 Задвижка чугун. невыд. штоком Ду600, Ру16</t>
  </si>
  <si>
    <t>39481 Задвижка чугун. невыд.штоком Ду500</t>
  </si>
  <si>
    <t>37491  Электропривод d 400 "Б"</t>
  </si>
  <si>
    <t>38068  Коллекторно-дренажная сеть</t>
  </si>
  <si>
    <t>31427  ЭЛ.ДВИГ. 250КВТ 380ВТ</t>
  </si>
  <si>
    <t>22810  ЗАДВИЖКИ ЗОС 90ДУ-600</t>
  </si>
  <si>
    <t>36792  Трансформатор ТМ-250/6-0,4</t>
  </si>
  <si>
    <t>29907  Трансформатор ТМ-250/6-0,4</t>
  </si>
  <si>
    <t>29790  КАМЕРА КСО-287</t>
  </si>
  <si>
    <t>27318  КАМЕРА КСО-287</t>
  </si>
  <si>
    <t>23017  ЗАДВИЖКИ d=500</t>
  </si>
  <si>
    <t>29054  ЭЛ.ДВИГ. 250КВТ М 315 МК 4</t>
  </si>
  <si>
    <t>29614  ЗАДВИЖКИ d=400</t>
  </si>
  <si>
    <t>29612  ЗАДВИЖКА D-500</t>
  </si>
  <si>
    <t>22899  ЭЛ.ДВИГАТЕЛЬ 630 КВТ Н-4-400-У-43п-1500</t>
  </si>
  <si>
    <t>29377  НАСОС 1Д 1250/125</t>
  </si>
  <si>
    <t>23100  ЭЛ. ДВИГ. А4-400-4</t>
  </si>
  <si>
    <t>27342  ЭЛ.ДВИГАТЕЛЬ 4А 320КВТ/1500 ОБ.</t>
  </si>
  <si>
    <t>26313  ЗАДВИЖКИ 30 Ч 930 D-600</t>
  </si>
  <si>
    <t>37893  Кабельная линия Ф.12</t>
  </si>
  <si>
    <t>город Калуга, улица Салтыкова-Щедрина,</t>
  </si>
  <si>
    <t>37892  Кабельная линия  ф.3</t>
  </si>
  <si>
    <t>город Калуга, улица Хрустальная,</t>
  </si>
  <si>
    <t>37891  Кабельная линия 6 кВ ф.25</t>
  </si>
  <si>
    <t>37890  Кабельная линия 6 кВ ф.11</t>
  </si>
  <si>
    <t>37336 ЭЛЕКТРОТЕЛЬФЕР Т 1 Т 2 N 013,N 11,N 12</t>
  </si>
  <si>
    <t>37335 ЭЛЕКТРОТЕЛЬФЕР Т 1 Т 2 N 013,N 11,N 12</t>
  </si>
  <si>
    <t>35219  НАСОС СДВ -80/18 ДРЕНАЖНЫЙ</t>
  </si>
  <si>
    <t>34767  КАМЕРЫ КСО-206</t>
  </si>
  <si>
    <t>34766  КАМЕРЫ КСО-206</t>
  </si>
  <si>
    <t>34765  КАМЕРЫ КСО-206</t>
  </si>
  <si>
    <t>34764  КАМЕРЫ КСО-206</t>
  </si>
  <si>
    <t>34763  КАМЕРЫ КСО-206</t>
  </si>
  <si>
    <t>34762  КАМЕРЫ КСО-206</t>
  </si>
  <si>
    <t>34761  КАМЕРЫ КСО-206</t>
  </si>
  <si>
    <t>34760  КАМЕРЫ КСО-206</t>
  </si>
  <si>
    <t>34759  КАМЕРЫ КСО-206</t>
  </si>
  <si>
    <t>34758  КАМЕРЫ КСО-206</t>
  </si>
  <si>
    <t>34757  КАМЕРЫ КСО-206</t>
  </si>
  <si>
    <t>34756  КАМЕРЫ КСО-206</t>
  </si>
  <si>
    <t>34755  КАМЕРЫ КСО-206</t>
  </si>
  <si>
    <t>34754  КАМЕРЫ КСО-206</t>
  </si>
  <si>
    <t>34753  КАМЕРЫ КСО-206</t>
  </si>
  <si>
    <t>34752  КАМЕРЫ КСО-206</t>
  </si>
  <si>
    <t>34751  КАМЕРЫ КСО-206</t>
  </si>
  <si>
    <t>34750  КАМЕРЫ КСО-206</t>
  </si>
  <si>
    <t>34749  КАМЕРЫ КСО-206</t>
  </si>
  <si>
    <t>34748  КАМЕРЫ КСО-206</t>
  </si>
  <si>
    <t>34747  КАМЕРЫ КСО-206</t>
  </si>
  <si>
    <t>34746  КАМЕРЫ КСО-206</t>
  </si>
  <si>
    <t>33725  ЗАДВИЖКА d=800мм</t>
  </si>
  <si>
    <t>33648  ЗАДВИЖКА d=500 мм</t>
  </si>
  <si>
    <t>33647  ЗАДВИЖКА d=500 мм</t>
  </si>
  <si>
    <t>23036  ЭЛ.ДВИГАТЕЛЬ А-12-52-4 800 КВТ</t>
  </si>
  <si>
    <t>11374  ГОРИЗОНТ.НАСОС Д-1 250/65</t>
  </si>
  <si>
    <t>10393  ЗАДВИЖКА d=200 мм</t>
  </si>
  <si>
    <t>10392  ЗАДВИЖКА d=500мм</t>
  </si>
  <si>
    <t>10391  ЗАДВИЖКА d=400 мм</t>
  </si>
  <si>
    <t>10389  ЗАДВИЖКА d=500 мм</t>
  </si>
  <si>
    <t>10388 ЭЛЕКТРОТЕЛЬФЕР N 014</t>
  </si>
  <si>
    <t>город Калуга, территория насосной станции Технического водоснабжения</t>
  </si>
  <si>
    <t>10386  ВНЕПЛЩ.ЭЛЕКТРООСВЕЩЕНИЕ</t>
  </si>
  <si>
    <t>10380  НАСОС N 2 МАРКИ 300 Д-90</t>
  </si>
  <si>
    <t>10378  НАСОСНАЯ СТАНЦИЯ II ПОДЪЕМА</t>
  </si>
  <si>
    <t>10377  ЗАДВИЖКА d=400 мм</t>
  </si>
  <si>
    <t>10375  ЗАДВИЖКА d=500 мм</t>
  </si>
  <si>
    <t>10374  ЗАДВИЖКА d=500 мм</t>
  </si>
  <si>
    <t>10371  ЗАДВИЖКА d=800мм</t>
  </si>
  <si>
    <t>10368  КАМЕРЫ КСО-206</t>
  </si>
  <si>
    <t>10366 ЭЛЕКТРОТЕЛЬФЕР Т 1 Т 2 N 013,N 11,N 12</t>
  </si>
  <si>
    <t>10361  НАСОС СДВ -80/18 ДРЕНАЖНЫЙ</t>
  </si>
  <si>
    <t>10357  НАСОС N 1 МАРКИ 20 Д 6</t>
  </si>
  <si>
    <t>город Калуга, улица Салтыкова-Щедрина, стр.1</t>
  </si>
  <si>
    <t>10356  НАСОСНАЯ СТАНЦИЯ I ПОДЪЕМА</t>
  </si>
  <si>
    <t>Насосная станция технического водоснабжения</t>
  </si>
  <si>
    <t>ППАаз137 _Калуга МЭР_Договор аренды 4203 от 17.05.2004_кадастровый номер_40:25:000180:3</t>
  </si>
  <si>
    <t xml:space="preserve"> ППАаз137</t>
  </si>
  <si>
    <t>ППАаз109 _Калуга МЭР_Договор аренды 308 от 17.06.2015_кадастровый номер_40:25:000212:3</t>
  </si>
  <si>
    <t xml:space="preserve"> ППАаз109</t>
  </si>
  <si>
    <t>Т/307-ЗП от 12.01.2017</t>
  </si>
  <si>
    <t>42078 Насосный агрегат Delium D350-390A в комп-те с электродвигателем АДЧР315М4УЗ</t>
  </si>
  <si>
    <t xml:space="preserve">42078    </t>
  </si>
  <si>
    <t>дог.Т/83-ЕД от 28.04.2017</t>
  </si>
  <si>
    <t>42070 Электродвигатель А13-62-8УХЛ4,630 кВт, 750 об/мин, 6000 В</t>
  </si>
  <si>
    <t xml:space="preserve">42070    </t>
  </si>
  <si>
    <t>42054 Насосный агрегат Д3200-33-а2 в к-те с электродвигателем АДЧР 315-038/066/6У1</t>
  </si>
  <si>
    <t>20.04.2017</t>
  </si>
  <si>
    <t xml:space="preserve">42054    </t>
  </si>
  <si>
    <t>41294 Затвор Ду 500 Ру10 с электроприводом</t>
  </si>
  <si>
    <t>02.12.2015</t>
  </si>
  <si>
    <t xml:space="preserve">41294    </t>
  </si>
  <si>
    <t>40608 Преобразователь частоты FDU 2.0 NGD 48-375-20CE 200 кВт 380В IP20</t>
  </si>
  <si>
    <t xml:space="preserve">40608    </t>
  </si>
  <si>
    <t>40534 Преобразователь частоты NXS03855A2L0SSAA1A2 в комплекте с графической панелью и пуль</t>
  </si>
  <si>
    <t>30.05.2014</t>
  </si>
  <si>
    <t xml:space="preserve">40534    </t>
  </si>
  <si>
    <t>40471 Насос DME 375-10 AR-PP/V/C-F-31A2A2F в комплекте с двигателем</t>
  </si>
  <si>
    <t>25.03.2014</t>
  </si>
  <si>
    <t xml:space="preserve">40471    </t>
  </si>
  <si>
    <t>40352 Электродвигатель А13-62-8УХЛ4,630*750</t>
  </si>
  <si>
    <t>03.01.2014</t>
  </si>
  <si>
    <t xml:space="preserve">40352    </t>
  </si>
  <si>
    <t>40290 Частотный преобразователь VFPS1-4400KPC-WP</t>
  </si>
  <si>
    <t>05.11.2013</t>
  </si>
  <si>
    <t xml:space="preserve">40290    </t>
  </si>
  <si>
    <t>39960 ЗАДВИЖКА 30с541нж Ду1000Ру16 с редуктором сталь</t>
  </si>
  <si>
    <t>31.12.2012</t>
  </si>
  <si>
    <t xml:space="preserve">39960    </t>
  </si>
  <si>
    <t>39959 ЗАДВИЖКА 30с541нж Ду1000Ру16 с редуктором сталь</t>
  </si>
  <si>
    <t xml:space="preserve">39959    </t>
  </si>
  <si>
    <t>39958 ЗАДВИЖКА Ду1000 30ч530бр сталь</t>
  </si>
  <si>
    <t xml:space="preserve">39958    </t>
  </si>
  <si>
    <t>39957 ЗАДВИЖКА Ду1000 30ч530бр сталь</t>
  </si>
  <si>
    <t xml:space="preserve">39957    </t>
  </si>
  <si>
    <t>39478 Задвижка стальная Ду 800 Ру 25</t>
  </si>
  <si>
    <t>12.01.2012</t>
  </si>
  <si>
    <t xml:space="preserve">39478    </t>
  </si>
  <si>
    <t>39506 Фланец д=600/16</t>
  </si>
  <si>
    <t>39425  Насос 1 Д 500-63  с двиг 160кВт*1150 об/мин</t>
  </si>
  <si>
    <t>37873  Электропривод "Б"</t>
  </si>
  <si>
    <t>25.01.2007</t>
  </si>
  <si>
    <t>37872  Электропривод "Б"</t>
  </si>
  <si>
    <t>37871  Электропривод "Б"</t>
  </si>
  <si>
    <t>37870  Электропривод "Б"</t>
  </si>
  <si>
    <t>37869  Электропривод "Б"</t>
  </si>
  <si>
    <t>37496 Электропривод d 400 "ВО6"</t>
  </si>
  <si>
    <t>37495 Электропривод d 400 "ВО6"</t>
  </si>
  <si>
    <t>38127  Дренажная сеть</t>
  </si>
  <si>
    <t>37743  Асфальтовая дорога</t>
  </si>
  <si>
    <t>37609  Ротор Д 800-57 в сборе</t>
  </si>
  <si>
    <t>19.04.2005</t>
  </si>
  <si>
    <t>37679  Электрооборудование для ввода коагулянта</t>
  </si>
  <si>
    <t>37494  Электропривод d 400 "ВО6"</t>
  </si>
  <si>
    <t>37472  Шкаф для спецодежды</t>
  </si>
  <si>
    <t>37471  Шкаф для спецодежды</t>
  </si>
  <si>
    <t>37470  Шкаф для спецодежды</t>
  </si>
  <si>
    <t>33185  Шкаф для спецодежды</t>
  </si>
  <si>
    <t>33184  Шкаф для спецодежды</t>
  </si>
  <si>
    <t>33183  Шкаф для спецодежды</t>
  </si>
  <si>
    <t>33182  Шкаф для спецодежды</t>
  </si>
  <si>
    <t>33181  Шкаф для спецодежды</t>
  </si>
  <si>
    <t>33178  Шкаф для спецодежды</t>
  </si>
  <si>
    <t>33177  Шкаф для спецодежды</t>
  </si>
  <si>
    <t>33176  Шкаф для спецодежды</t>
  </si>
  <si>
    <t>33175  Шкаф для спецодежды</t>
  </si>
  <si>
    <t>33174  Шкаф для спецодежды</t>
  </si>
  <si>
    <t>37497 Электропривод d 400 "Г"</t>
  </si>
  <si>
    <t>37493  Электропривод d 400 "ВО6"</t>
  </si>
  <si>
    <t>37489  Электропривод d 400 "Б"</t>
  </si>
  <si>
    <t>37485  Насос ХМ 80-50-200 К-СД с эл. дв. 22 кВт</t>
  </si>
  <si>
    <t>37484  Насос Х 50-32-125 К-С эл. дв. АИР 9022 (3х3)</t>
  </si>
  <si>
    <t>32950  Шкаф д/одежды</t>
  </si>
  <si>
    <t>36992  Шкаф д/одежды</t>
  </si>
  <si>
    <t>36991  Шкаф д/одежды</t>
  </si>
  <si>
    <t>36990  Шкаф д/одежды</t>
  </si>
  <si>
    <t>32921  Шкаф д/одежды</t>
  </si>
  <si>
    <t>37124  шкафдля спец одежды</t>
  </si>
  <si>
    <t>36963  шкаф 2-х дверн</t>
  </si>
  <si>
    <t>32088  шкаф прихожая</t>
  </si>
  <si>
    <t>32086  шкафдля спец одежды</t>
  </si>
  <si>
    <t>32085  шкаф 2-х дверн</t>
  </si>
  <si>
    <t>31648  ТРУБОПРОВОД ПРОМЫВНЫХ ВОД</t>
  </si>
  <si>
    <t>31309  Охранные электроосвещения</t>
  </si>
  <si>
    <t>01.02.2004</t>
  </si>
  <si>
    <t>31308  Охранные электроосвещения</t>
  </si>
  <si>
    <t>31064  Переносное уст-во считывания информации УС-Н1 с ПО</t>
  </si>
  <si>
    <t>31194  Автоматы, контакторы, кабеля, провода</t>
  </si>
  <si>
    <t>город Калуга, район деревни Чижовка</t>
  </si>
  <si>
    <t>31192  Гараж одноэтажный на 5 машин</t>
  </si>
  <si>
    <t>31153  Предупредит. огражд-е водооч.станции с резервуаром</t>
  </si>
  <si>
    <t>31039  Эл.двигатель 315КВт. 1500об./мин.Тип ДАН 3559-4У3</t>
  </si>
  <si>
    <t>27985  ЭЛ ДВИГАТЕЛЬ 315*1500</t>
  </si>
  <si>
    <t>31013  Система видеонаблюдения</t>
  </si>
  <si>
    <t>29037  НАСОС Д-1250-65А С ЭЛ. ДВ.</t>
  </si>
  <si>
    <t>29036  НАСОС Д-1250-65А С ЭЛ. ДВ</t>
  </si>
  <si>
    <t>29819  Пульт дист. управления к ПЧ 160 кВт</t>
  </si>
  <si>
    <t>29817  Преобразователь частоты ПЧ-ТТПТ-315-380-50-02</t>
  </si>
  <si>
    <t>29667  Преобразователь частоты ПЧ-ТГПТ-630-380-50-02 УХЛ4</t>
  </si>
  <si>
    <t>29665  Пульт дистанционного управления</t>
  </si>
  <si>
    <t>29662  Выпрямитель сварочный ВДУ-506</t>
  </si>
  <si>
    <t>29106  ЭЛ.ДВИГ 160КВТ 1500ОБ/М</t>
  </si>
  <si>
    <t>29611  НАСОС 1Д 315-50</t>
  </si>
  <si>
    <t>29024  НАСОС К 45\30</t>
  </si>
  <si>
    <t>29023  НАСОС К 45\30</t>
  </si>
  <si>
    <t>28963  НАСОС НД 1.0Р 63/63 К 13 Н</t>
  </si>
  <si>
    <t>33334  ЕМКОСТЬ 2М КУБ</t>
  </si>
  <si>
    <t>27989  ЕМКОСТЬ 2М КУБ</t>
  </si>
  <si>
    <t>28268  ЩИТ УПРАВЛЕНИЯ РСЦ</t>
  </si>
  <si>
    <t>27939  НАСОС К 20/30 С ЭЛ.ДВ.</t>
  </si>
  <si>
    <t>10646  ТРАНСФОРМАТОРЫ</t>
  </si>
  <si>
    <t>27281  ЭЛ.ДВИГАТЕЛЬ 55КВТ 1500 ОБ/МИН</t>
  </si>
  <si>
    <t>26857  СТАНОК ТОКАРНО-ВИНТОРЕЗНЫЙ 1К 625</t>
  </si>
  <si>
    <t>22990  ЗАДВИЖКИ d=1000</t>
  </si>
  <si>
    <t>01.04.1998</t>
  </si>
  <si>
    <t>25987  ЗДАНИЕ ОСАДКО-УПЛОТНИТЕЛЯ</t>
  </si>
  <si>
    <t>23114  ТЕЛЬФЕР</t>
  </si>
  <si>
    <t>24526  ТРАНСФОРМАТОРЫ</t>
  </si>
  <si>
    <t>37329  ЭЛЕКТРИЧЕСКАЯ ТАЛЬ</t>
  </si>
  <si>
    <t>37328  ЭЛЕКТРИЧЕСКАЯ ТАЛЬ</t>
  </si>
  <si>
    <t>37327  ЭЛЕКТРИЧЕСКАЯ ТАЛЬ</t>
  </si>
  <si>
    <t>37326  ЭЛЕКТРИЧЕСКАЯ ТАЛЬ</t>
  </si>
  <si>
    <t>37285  ЩИТ УПРАВЛЕНИЯ</t>
  </si>
  <si>
    <t>37284  ЩИТ УПРАВЛЕНИЯ</t>
  </si>
  <si>
    <t>37283  ЩИТ УПРАВЛЕНИЯ</t>
  </si>
  <si>
    <t>37282  ЩИТ УПРАВЛЕНИЯ</t>
  </si>
  <si>
    <t>37281  ЩИТ УПРАВЛЕНИЯ</t>
  </si>
  <si>
    <t>37279  ЩИТ УПРАВЛЕНИЯ</t>
  </si>
  <si>
    <t>37278  ЩИТ УПРАВЛЕНИЯ</t>
  </si>
  <si>
    <t>37277  ЩИТ УПРАВЛЕНИЯ</t>
  </si>
  <si>
    <t>37276  ЩИТ УПРАВЛЕНИЯ</t>
  </si>
  <si>
    <t>37275  ЩИТ УПРАВЛЕНИЯ</t>
  </si>
  <si>
    <t>37274  ЩИТ УПРАВЛЕНИЯ</t>
  </si>
  <si>
    <t>37273  ЩИТ УПРАВЛЕНИЯ</t>
  </si>
  <si>
    <t>37102  ШКАФ УПРАВЛЕНИЯ</t>
  </si>
  <si>
    <t>37101  ШКАФ УПРАВЛЕНИЯ</t>
  </si>
  <si>
    <t>37100  ШКАФ УПРАВЛЕНИЯ</t>
  </si>
  <si>
    <t>37099  ШКАФ УПРАВЛЕНИЯ</t>
  </si>
  <si>
    <t>36908  ХОЗ-ФЕКАЛЬНАЯ КАНАЛИЗАЦИЯ</t>
  </si>
  <si>
    <t>36907  ХОЗ-ПИТЬЕВОЙ ВОДОПРОВОД НА ВОС</t>
  </si>
  <si>
    <t>г. Калуга, Окский водозабор</t>
  </si>
  <si>
    <t>36878  ФИЛЬТР С ТРУБОЙ</t>
  </si>
  <si>
    <t>36877  ФИЛЬТР С ТРУБОЙ</t>
  </si>
  <si>
    <t>36876  ФИЛЬТР С ТРУБОЙ</t>
  </si>
  <si>
    <t>36875  ФИЛЬТР С ТРУБОЙ</t>
  </si>
  <si>
    <t>36874  ФИЛЬТР С ТРУБОЙ</t>
  </si>
  <si>
    <t>36873  ФИЛЬТР С ТРУБОЙ</t>
  </si>
  <si>
    <t>36872  ФИЛЬТР С ТРУБОЙ</t>
  </si>
  <si>
    <t>36791  ТРАНСФОРМАТОР ТМ-250</t>
  </si>
  <si>
    <t>г. Калкга,   д.Чижовка</t>
  </si>
  <si>
    <t>35468  РЕЗЕРВУАР ЧИСТОЙ ВОДЫ</t>
  </si>
  <si>
    <t>35447  РАСПРЕДЕЛИТЕЛЬНЫЙ ПУНКТ</t>
  </si>
  <si>
    <t>35446  РАСПРЕДЕЛИТЕЛЬНЫЙ ПУНКТ</t>
  </si>
  <si>
    <t>35445  РАСПРЕДЕЛИТЕЛЬНЫЙ ПУНКТ</t>
  </si>
  <si>
    <t>35289  ОБРАТНЫЙ КЛАПАН ВСАС.d=150</t>
  </si>
  <si>
    <t>35279  ОБРАТНЫЙ КЛАПАН d=150</t>
  </si>
  <si>
    <t>35275  ОБР. КЛАПАН d=800</t>
  </si>
  <si>
    <t>35274  ОБР. КЛАПАН d=800</t>
  </si>
  <si>
    <t>35273  ОБР. КЛАПАН d=400</t>
  </si>
  <si>
    <t>35272  ОБР. КЛАПАН d=400</t>
  </si>
  <si>
    <t>35271  ОБР. КЛАПАН d=400</t>
  </si>
  <si>
    <t>35270  ОБР. КЛАПАН d=400</t>
  </si>
  <si>
    <t>35269  ОБР. КЛАПАН d=400</t>
  </si>
  <si>
    <t>35267  ОБР. КЛАПАН d=400</t>
  </si>
  <si>
    <t>35253  НАСОС 3к-9</t>
  </si>
  <si>
    <t>35252  НАСОС 3к-9</t>
  </si>
  <si>
    <t>35251  НАСОС 6х-9д-1</t>
  </si>
  <si>
    <t>35245  НАСОС-ДОЗАТОР НД-2500</t>
  </si>
  <si>
    <t>35244  НАСОС-ДОЗАТОР 1600/10</t>
  </si>
  <si>
    <t>35243  НАСОС-ДОЗАТОР 1600/10</t>
  </si>
  <si>
    <t>35174  НАСОС Д 5000-32</t>
  </si>
  <si>
    <t>35173  НАСОС Д 5000-32</t>
  </si>
  <si>
    <t>35163  НАСОС ВВН-5</t>
  </si>
  <si>
    <t>35158  НАСОС АР-100</t>
  </si>
  <si>
    <t>35157  НАСОС D4500-90</t>
  </si>
  <si>
    <t>35156  НАСОС D4500-90</t>
  </si>
  <si>
    <t>35155  НАСОС D 800/57</t>
  </si>
  <si>
    <t>35154  НАСОС D 800/57</t>
  </si>
  <si>
    <t>35153  НАСОС D 800/57</t>
  </si>
  <si>
    <t>35152  НАСОС D 800/57 без электродвигателя</t>
  </si>
  <si>
    <t>35151  НАСОС D 800/57</t>
  </si>
  <si>
    <t>35150  НАСОС D 6300/27</t>
  </si>
  <si>
    <t>35149  НАСОС D 2500/62</t>
  </si>
  <si>
    <t>35148  НАСОС D 2500/62</t>
  </si>
  <si>
    <t>35147  НАСОС D 2500/62</t>
  </si>
  <si>
    <t>35085  МЕШАЛКИ</t>
  </si>
  <si>
    <t>34824  КЛАПАН ОБРАТНЫЙ d=800</t>
  </si>
  <si>
    <t>34823  КЛАПАН ОБРАТНЫЙ d=800</t>
  </si>
  <si>
    <t>34822  КЛАПАН ОБРАТНЫЙ d=800</t>
  </si>
  <si>
    <t>34653  ИЗВЕСТЕГАСИЛКИ</t>
  </si>
  <si>
    <t>34607  ЗАТВОР ЧУГ. d=500</t>
  </si>
  <si>
    <t>34606  ЗАТВОР ЧУГ. d=500</t>
  </si>
  <si>
    <t>34605  ЗАТВОР ЧУГ. d=500</t>
  </si>
  <si>
    <t>34604  ЗАТВОР ЧУГ. d=500</t>
  </si>
  <si>
    <t>34603  ЗАТВОР ЧУГ. d=500</t>
  </si>
  <si>
    <t>34602  ЗАТВОР ЧУГ. d=500</t>
  </si>
  <si>
    <t>34601  ЗАТВОР ЧУГ. d=500</t>
  </si>
  <si>
    <t>34600  ЗАТВОР ЧУГ. d=500</t>
  </si>
  <si>
    <t>34589  ЗАТВОР d=800</t>
  </si>
  <si>
    <t>34588  ЗАТВОР d=800</t>
  </si>
  <si>
    <t>34587  ЗАТВОР d=800</t>
  </si>
  <si>
    <t>34586  ЗАТВОР d=800</t>
  </si>
  <si>
    <t>34584  ЗАТВОР d=800</t>
  </si>
  <si>
    <t>34583  ЗАТВОР d=800</t>
  </si>
  <si>
    <t>34582  ЗАТВОР d=800</t>
  </si>
  <si>
    <t>34568  ЗАТВОР d=1200</t>
  </si>
  <si>
    <t>34358  ЗАДВИЖКИ УСТАНОВЛ.d=1000 (насосная ст.II подъём Окский в/з)</t>
  </si>
  <si>
    <t>34357  ЗАДВИЖКИ УСТАНОВЛ.d=1000</t>
  </si>
  <si>
    <t>34270  ЗАДВИЖКИ d=500,600</t>
  </si>
  <si>
    <t>34269  ЗАДВИЖКИ d=500,600</t>
  </si>
  <si>
    <t>34268  ЗАДВИЖКИ d=500,600</t>
  </si>
  <si>
    <t>34267  ЗАДВИЖКИ d=500,600</t>
  </si>
  <si>
    <t>34266  ЗАДВИЖКИ d=500,600</t>
  </si>
  <si>
    <t>34265  ЗАДВИЖКИ d=500,600</t>
  </si>
  <si>
    <t>34264  ЗАДВИЖКИ d=500,600</t>
  </si>
  <si>
    <t>34263  ЗАДВИЖКИ d=500,600</t>
  </si>
  <si>
    <t>34262  ЗАДВИЖКИ d=500,600</t>
  </si>
  <si>
    <t>34261  ЗАДВИЖКИ d=500,600</t>
  </si>
  <si>
    <t>34260  ЗАДВИЖКИ d=500,600</t>
  </si>
  <si>
    <t>34259  ЗАДВИЖКИ d=500,600</t>
  </si>
  <si>
    <t>34258  ЗАДВИЖКИ d=500,600</t>
  </si>
  <si>
    <t>34257  ЗАДВИЖКИ d=600</t>
  </si>
  <si>
    <t>34176  ЗАДВИЖКАd=150</t>
  </si>
  <si>
    <t>34175  ЗАДВИЖКАd=150</t>
  </si>
  <si>
    <t>34174  ЗАДВИЖКАd=150</t>
  </si>
  <si>
    <t>34173  ЗАДВИЖКАd=150</t>
  </si>
  <si>
    <t>34172  ЗАДВИЖКАd=150</t>
  </si>
  <si>
    <t>34171  ЗАДВИЖКАd=150</t>
  </si>
  <si>
    <t>34170  ЗАДВИЖКАd=150</t>
  </si>
  <si>
    <t>34169  ЗАДВИЖКАd=150</t>
  </si>
  <si>
    <t>34168  ЗАДВИЖКАd=150</t>
  </si>
  <si>
    <t>34167  ЗАДВИЖКАd=150</t>
  </si>
  <si>
    <t>34166  ЗАДВИЖКАd=150</t>
  </si>
  <si>
    <t>34165  ЗАДВИЖКАd=150</t>
  </si>
  <si>
    <t>34164  ЗАДВИЖКАd=150</t>
  </si>
  <si>
    <t>34163  ЗАДВИЖКАd=150</t>
  </si>
  <si>
    <t>34162  ЗАДВИЖКАd=150</t>
  </si>
  <si>
    <t>34161  ЗАДВИЖКАd=150</t>
  </si>
  <si>
    <t>34160  ЗАДВИЖКАd=150</t>
  </si>
  <si>
    <t>34159  ЗАДВИЖКАd=150</t>
  </si>
  <si>
    <t>34158  ЗАДВИЖКАd=150</t>
  </si>
  <si>
    <t>34157  ЗАДВИЖКАd=150</t>
  </si>
  <si>
    <t>34156  ЗАДВИЖКАd=150</t>
  </si>
  <si>
    <t>34155  ЗАДВИЖКАd=150</t>
  </si>
  <si>
    <t>34154  ЗАДВИЖКАd=150</t>
  </si>
  <si>
    <t>34153  ЗАДВИЖКАd=150</t>
  </si>
  <si>
    <t>34152  ЗАДВИЖКАd=150</t>
  </si>
  <si>
    <t>34151  ЗАДВИЖКАd=150</t>
  </si>
  <si>
    <t>34150  ЗАДВИЖКАd=150</t>
  </si>
  <si>
    <t>34149  ЗАДВИЖКАd=150</t>
  </si>
  <si>
    <t>33724  ЗАДВИЖКА d=800 С ЭЛ.ПРИВОДОМ</t>
  </si>
  <si>
    <t>33723  ЗАДВИЖКА d=800 С ЭЛ.ПРИВОДОМ</t>
  </si>
  <si>
    <t>33721  ЗАДВИЖКА d=800 С ЭЛ.ПРИВОДОМ</t>
  </si>
  <si>
    <t>33720  ЗАДВИЖКА d=800 С ЭЛ.ПРИВОДОМ</t>
  </si>
  <si>
    <t>33719  ЗАДВИЖКА d=800 С ЭЛ.ПРИВОДОМ</t>
  </si>
  <si>
    <t>33713  ЗАДВИЖКА d=80</t>
  </si>
  <si>
    <t>33712  ЗАДВИЖКА d=80</t>
  </si>
  <si>
    <t>33711  ЗАДВИЖКА d=80</t>
  </si>
  <si>
    <t>33710  ЗАДВИЖКА d=80</t>
  </si>
  <si>
    <t>33709  ЗАДВИЖКА d=80</t>
  </si>
  <si>
    <t>33708  ЗАДВИЖКА d=80</t>
  </si>
  <si>
    <t>33707  ЗАДВИЖКА d=80</t>
  </si>
  <si>
    <t>33706  ЗАДВИЖКА d=80</t>
  </si>
  <si>
    <t>33705  ЗАДВИЖКА d=80</t>
  </si>
  <si>
    <t>33704  ЗАДВИЖКА d=80</t>
  </si>
  <si>
    <t>33703  ЗАДВИЖКА d=80</t>
  </si>
  <si>
    <t>33702  ЗАДВИЖКА d=80</t>
  </si>
  <si>
    <t>33701  ЗАДВИЖКА d=80</t>
  </si>
  <si>
    <t>33700  ЗАДВИЖКА d=80</t>
  </si>
  <si>
    <t>33699  ЗАДВИЖКА d=80</t>
  </si>
  <si>
    <t>33698  ЗАДВИЖКА d=80</t>
  </si>
  <si>
    <t>33697  ЗАДВИЖКА d=80</t>
  </si>
  <si>
    <t>33696  ЗАДВИЖКА d=80</t>
  </si>
  <si>
    <t>33695  ЗАДВИЖКА d=80</t>
  </si>
  <si>
    <t>33694  ЗАДВИЖКА d=80</t>
  </si>
  <si>
    <t>33693  ЗАДВИЖКА d=80</t>
  </si>
  <si>
    <t>33692  ЗАДВИЖКА d=80</t>
  </si>
  <si>
    <t>33691  ЗАДВИЖКА d=80</t>
  </si>
  <si>
    <t>33690  ЗАДВИЖКА d=80</t>
  </si>
  <si>
    <t>33689  ЗАДВИЖКА d=80</t>
  </si>
  <si>
    <t>33688  ЗАДВИЖКА d=80</t>
  </si>
  <si>
    <t>33687  ЗАДВИЖКА d=80</t>
  </si>
  <si>
    <t>33686  ЗАДВИЖКА d=80</t>
  </si>
  <si>
    <t>33685  ЗАДВИЖКА d=80</t>
  </si>
  <si>
    <t>33684  ЗАДВИЖКА d=80</t>
  </si>
  <si>
    <t>33683  ЗАДВИЖКА d=80</t>
  </si>
  <si>
    <t>33682  ЗАДВИЖКА d=80</t>
  </si>
  <si>
    <t>33681  ЗАДВИЖКА d=80</t>
  </si>
  <si>
    <t>33680  ЗАДВИЖКА d=80</t>
  </si>
  <si>
    <t>33679  ЗАДВИЖКА d=80</t>
  </si>
  <si>
    <t>33678  ЗАДВИЖКА d=80</t>
  </si>
  <si>
    <t>33677  ЗАДВИЖКА d=80</t>
  </si>
  <si>
    <t>33676  ЗАДВИЖКА d=80</t>
  </si>
  <si>
    <t>33675  ЗАДВИЖКА d=80</t>
  </si>
  <si>
    <t>33674  ЗАДВИЖКА d=80</t>
  </si>
  <si>
    <t>33673  ЗАДВИЖКА d=80</t>
  </si>
  <si>
    <t>33672  ЗАДВИЖКА d=80</t>
  </si>
  <si>
    <t>33671  ЗАДВИЖКА d=80</t>
  </si>
  <si>
    <t>33670  ЗАДВИЖКА d=80</t>
  </si>
  <si>
    <t>33669  ЗАДВИЖКА d=80</t>
  </si>
  <si>
    <t>33668  ЗАДВИЖКА d=80</t>
  </si>
  <si>
    <t>33667  ЗАДВИЖКА d=80</t>
  </si>
  <si>
    <t>33665  ЗАДВИЖКА d=600 С ЭЛ.ПРИВОДОМ</t>
  </si>
  <si>
    <t>33638  ЗАДВИЖКА d=50</t>
  </si>
  <si>
    <t>33637  ЗАДВИЖКА d=50</t>
  </si>
  <si>
    <t>33636  ЗАДВИЖКА d=50</t>
  </si>
  <si>
    <t>33635  ЗАДВИЖКА d=50</t>
  </si>
  <si>
    <t>33634  ЗАДВИЖКА d=50</t>
  </si>
  <si>
    <t>33633  ЗАДВИЖКА d=50</t>
  </si>
  <si>
    <t>33632  ЗАДВИЖКА d=50</t>
  </si>
  <si>
    <t>33631  ЗАДВИЖКА d=50</t>
  </si>
  <si>
    <t>33630  ЗАДВИЖКА d=50</t>
  </si>
  <si>
    <t>33629  ЗАДВИЖКА d=50</t>
  </si>
  <si>
    <t>33628  ЗАДВИЖКА d=50</t>
  </si>
  <si>
    <t>33627  ЗАДВИЖКА d=50</t>
  </si>
  <si>
    <t>33626  ЗАДВИЖКА d=50</t>
  </si>
  <si>
    <t>33625  ЗАДВИЖКА d=50</t>
  </si>
  <si>
    <t>33624  ЗАДВИЖКА d=50</t>
  </si>
  <si>
    <t>33623  ЗАДВИЖКА d=50</t>
  </si>
  <si>
    <t>33622  ЗАДВИЖКА d=50</t>
  </si>
  <si>
    <t>33621  ЗАДВИЖКА d=50</t>
  </si>
  <si>
    <t>33620  ЗАДВИЖКА d=50</t>
  </si>
  <si>
    <t>33619  ЗАДВИЖКА d=50</t>
  </si>
  <si>
    <t>33618  ЗАДВИЖКА d=50</t>
  </si>
  <si>
    <t>33617  ЗАДВИЖКА d=50</t>
  </si>
  <si>
    <t>33616  ЗАДВИЖКА d=50</t>
  </si>
  <si>
    <t>33615  ЗАДВИЖКА d=50</t>
  </si>
  <si>
    <t>33614  ЗАДВИЖКА d=50</t>
  </si>
  <si>
    <t>33613  ЗАДВИЖКА d=50</t>
  </si>
  <si>
    <t>33612  ЗАДВИЖКА d=50</t>
  </si>
  <si>
    <t>33611  ЗАДВИЖКА d=50</t>
  </si>
  <si>
    <t>33610  ЗАДВИЖКА d=50</t>
  </si>
  <si>
    <t>33609  ЗАДВИЖКА d=50</t>
  </si>
  <si>
    <t>33608  ЗАДВИЖКА d=50</t>
  </si>
  <si>
    <t>33607  ЗАДВИЖКА d=50</t>
  </si>
  <si>
    <t>33606  ЗАДВИЖКА d=50</t>
  </si>
  <si>
    <t>33605  ЗАДВИЖКА d=50</t>
  </si>
  <si>
    <t>33604  ЗАДВИЖКА d=50</t>
  </si>
  <si>
    <t>33603  ЗАДВИЖКА d=50</t>
  </si>
  <si>
    <t>33602  ЗАДВИЖКА d=50</t>
  </si>
  <si>
    <t>33590  ЗАДВИЖКА d=400</t>
  </si>
  <si>
    <t>33589  ЗАДВИЖКА d=400</t>
  </si>
  <si>
    <t>33588  ЗАДВИЖКА d=400</t>
  </si>
  <si>
    <t>33587  ЗАДВИЖКА d=400</t>
  </si>
  <si>
    <t>33586  ЗАДВИЖКА d=400</t>
  </si>
  <si>
    <t>33585  ЗАДВИЖКА d=400</t>
  </si>
  <si>
    <t>33583  ЗАДВИЖКА d=400</t>
  </si>
  <si>
    <t>33582  ЗАДВИЖКА d=400</t>
  </si>
  <si>
    <t>33581  ЗАДВИЖКА d=400</t>
  </si>
  <si>
    <t>33580  ЗАДВИЖКА d=400</t>
  </si>
  <si>
    <t>33579  ЗАДВИЖКА d=400</t>
  </si>
  <si>
    <t>33578  ЗАДВИЖКА d=400</t>
  </si>
  <si>
    <t>33577  ЗАДВИЖКА d=400</t>
  </si>
  <si>
    <t>33576  ЗАДВИЖКА d=400</t>
  </si>
  <si>
    <t>33575  ЗАДВИЖКА d=400</t>
  </si>
  <si>
    <t>33574  ЗАДВИЖКА d=400</t>
  </si>
  <si>
    <t>33573  ЗАДВИЖКА d=400</t>
  </si>
  <si>
    <t>33572  ЗАДВИЖКА d=400</t>
  </si>
  <si>
    <t>33571  ЗАДВИЖКА d=400</t>
  </si>
  <si>
    <t>33566  ЗАДВИЖКА d=300</t>
  </si>
  <si>
    <t>33565  ЗАДВИЖКА d=300</t>
  </si>
  <si>
    <t>33564  ЗАДВИЖКА d=300</t>
  </si>
  <si>
    <t>33563  ЗАДВИЖКА d=300</t>
  </si>
  <si>
    <t>33543  ЗАДВИЖКА d=200</t>
  </si>
  <si>
    <t>33542  ЗАДВИЖКА d=200</t>
  </si>
  <si>
    <t>33541  ЗАДВИЖКА d=200</t>
  </si>
  <si>
    <t>33540  ЗАДВИЖКА d=200</t>
  </si>
  <si>
    <t>33539  ЗАДВИЖКА d=200</t>
  </si>
  <si>
    <t>33535  ЗАДВИЖКА d=200</t>
  </si>
  <si>
    <t>33534  ЗАДВИЖКА d=200</t>
  </si>
  <si>
    <t>33533  ЗАДВИЖКА d=200</t>
  </si>
  <si>
    <t>33532  ЗАДВИЖКА d=200</t>
  </si>
  <si>
    <t>33531  ЗАДВИЖКА d=200</t>
  </si>
  <si>
    <t>33530  ЗАДВИЖКА d=200</t>
  </si>
  <si>
    <t>33529  ЗАДВИЖКА d=200</t>
  </si>
  <si>
    <t>33528  ЗАДВИЖКА d=200</t>
  </si>
  <si>
    <t>33527  ЗАДВИЖКА d=200</t>
  </si>
  <si>
    <t>33526  ЗАДВИЖКА d=200</t>
  </si>
  <si>
    <t>33525  ЗАДВИЖКА d=150</t>
  </si>
  <si>
    <t>33524  ЗАДВИЖКА d=150</t>
  </si>
  <si>
    <t>33519  ЗАДВИЖКА d=150</t>
  </si>
  <si>
    <t>33518  ЗАДВИЖКА d=150</t>
  </si>
  <si>
    <t>33517  ЗАДВИЖКА d=150</t>
  </si>
  <si>
    <t>33516  ЗАДВИЖКА d=150</t>
  </si>
  <si>
    <t>33515  ЗАДВИЖКА d=150</t>
  </si>
  <si>
    <t>33514  ЗАДВИЖКА d=150</t>
  </si>
  <si>
    <t>33513  ЗАДВИЖКА d=150</t>
  </si>
  <si>
    <t>33512  ЗАДВИЖКА d=150</t>
  </si>
  <si>
    <t>33511  ЗАДВИЖКА d=150</t>
  </si>
  <si>
    <t>33510  ЗАДВИЖКА d=150</t>
  </si>
  <si>
    <t>33509  ЗАДВИЖКА d=150</t>
  </si>
  <si>
    <t>33503  ЗАДВИЖКА d=1200 С ЭЛ.ПРИВОДОМ</t>
  </si>
  <si>
    <t>33502  ЗАДВИЖКА d=1000 С ЭЛ.ПРИВОДОМ</t>
  </si>
  <si>
    <t>33501  ЗАДВИЖКА d=1000 С ЭЛ.ПРИВОДОМ</t>
  </si>
  <si>
    <t>33500  ЗАДВИЖКА d=1000</t>
  </si>
  <si>
    <t>33499  ЗАДВИЖКА d=1000</t>
  </si>
  <si>
    <t>33498  ЗАДВИЖКА d=1000</t>
  </si>
  <si>
    <t>33497  ЗАДВИЖКА d=1000</t>
  </si>
  <si>
    <t>33496  ЗАДВИЖКА d=100 И d=50</t>
  </si>
  <si>
    <t>33495  ЗАДВИЖКА d=100 И d=50</t>
  </si>
  <si>
    <t>33494  ЗАДВИЖКА d=100 И d=50</t>
  </si>
  <si>
    <t>33493  ЗАДВИЖКА d=100 И d=50</t>
  </si>
  <si>
    <t>33492  ЗАДВИЖКА d=100 И d=50</t>
  </si>
  <si>
    <t>33491  ЗАДВИЖКА d=100 И d=50</t>
  </si>
  <si>
    <t>33490  ЗАДВИЖКА d=100 И d=50</t>
  </si>
  <si>
    <t>33489  ЗАДВИЖКА d=100 И d=50</t>
  </si>
  <si>
    <t>33488  ЗАДВИЖКА d=100 И d=50</t>
  </si>
  <si>
    <t>33487  ЗАДВИЖКА d=100 И d=50</t>
  </si>
  <si>
    <t>33486  ЗАДВИЖКА d=100 И d=50</t>
  </si>
  <si>
    <t>33484  ЗАДВИЖКА d=100</t>
  </si>
  <si>
    <t>33483  ЗАДВИЖКА d=100</t>
  </si>
  <si>
    <t>33482  ЗАДВИЖКА d=100</t>
  </si>
  <si>
    <t>33481  ЗАДВИЖКА d=100</t>
  </si>
  <si>
    <t>33480  ЗАДВИЖКА d=100</t>
  </si>
  <si>
    <t>33479  ЗАДВИЖКА d=100</t>
  </si>
  <si>
    <t>33478  ЗАДВИЖКА d=100</t>
  </si>
  <si>
    <t>33477  ЗАДВИЖКА d=100</t>
  </si>
  <si>
    <t>33476  ЗАДВИЖКА d=100</t>
  </si>
  <si>
    <t>33475  ЗАДВИЖКА d=100</t>
  </si>
  <si>
    <t>33474  ЗАДВИЖКА d=100</t>
  </si>
  <si>
    <t>33473  ЗАДВИЖКА d=100</t>
  </si>
  <si>
    <t>33472  ЗАДВИЖКА d=100</t>
  </si>
  <si>
    <t>33471  ЗАДВИЖКА d=100</t>
  </si>
  <si>
    <t>33470  ЗАДВИЖКА d=100</t>
  </si>
  <si>
    <t>33469  ЗАДВИЖКА d=100</t>
  </si>
  <si>
    <t>33468  ЗАДВИЖКА d=100</t>
  </si>
  <si>
    <t>33467  ЗАДВИЖКА d=100</t>
  </si>
  <si>
    <t>33466  ЗАДВИЖКА d=100</t>
  </si>
  <si>
    <t>33465  ЗАДВИЖКА d=100</t>
  </si>
  <si>
    <t>33464  ЗАДВИЖКА d=100</t>
  </si>
  <si>
    <t>33463  ЗАДВИЖКА d=100</t>
  </si>
  <si>
    <t>33462  ЗАДВИЖКА d=100</t>
  </si>
  <si>
    <t>33461  ЗАДВИЖКА d=100</t>
  </si>
  <si>
    <t>33460  ЗАДВИЖКА d=100</t>
  </si>
  <si>
    <t>33459  ЗАДВИЖКА d=100</t>
  </si>
  <si>
    <t>33456  ЗАДВИЖКА d=100</t>
  </si>
  <si>
    <t>33294  ВОЗДУХОДУВКИ</t>
  </si>
  <si>
    <t>33293  ВОЗДУХОДУВКИ</t>
  </si>
  <si>
    <t>Калужская область, Тарусский р-н, лит.II , "Березовая роща"</t>
  </si>
  <si>
    <t>33227  БАК ЗАТВОРНЫЙ</t>
  </si>
  <si>
    <t>10814  ЗАДВИЖКА d=200</t>
  </si>
  <si>
    <t>10813  ЗАДВИЖКА d=400</t>
  </si>
  <si>
    <t>10812  ЗАДВИЖКА d=300</t>
  </si>
  <si>
    <t>10811  ФИЛЬТР С ТРУБОЙ</t>
  </si>
  <si>
    <t>10810  ЭЛЕКТРИЧЕСКАЯ ТАЛЬ</t>
  </si>
  <si>
    <t>10804  ПЕСОК КВАРЦЕВЫЙ</t>
  </si>
  <si>
    <t>10803  ШКАФ УПРАВЛЕНИЯ</t>
  </si>
  <si>
    <t>10799  РАСПРЕДЕЛИТЕЛЬНЫЙ ПУНКТ</t>
  </si>
  <si>
    <t>10796  ЗАДВИЖКИ d=500,600</t>
  </si>
  <si>
    <t>10795  ЗАДВИЖКИ d=1000</t>
  </si>
  <si>
    <t>10792  ТАЛЬ ЭЛЕКТРИЧЕСКАЯ</t>
  </si>
  <si>
    <t>10791  БЛАГОУСТРОЙСТВО ДОРОГ</t>
  </si>
  <si>
    <t>10790  ОТДЕЛЬНО СТОЯЩЕЕ ЗАГЛУБЛЕННОЕ ЗДАНИЕ</t>
  </si>
  <si>
    <t>10789  АДМИНИСТРАТИВНОЕ ЗДАНИЕ</t>
  </si>
  <si>
    <t>10788  ПЕСКОВОЕ ХОЗЯЙСТВО</t>
  </si>
  <si>
    <t>город Калуга, район деревни Чижовка,</t>
  </si>
  <si>
    <t>10787  РЕЗЕРВУАР ЧИСТОЙ ВОДЫ</t>
  </si>
  <si>
    <t>10786  ВЕРТИКАЛЬНАЯ ПЛАНИРОВКА ВОС</t>
  </si>
  <si>
    <t>10784  ВНУТРИПЛОЩАДОЧНЫЕ КАБЕЛЬНЫЕ СЕТИ</t>
  </si>
  <si>
    <t>10783  ВНЕШНЕЕ ЭЛЕКТРООСВЕЩЕНИЕ</t>
  </si>
  <si>
    <t>10782  НАРУЖНОЕ ЭЛЕКТРООСВЕЩЕНИЕ</t>
  </si>
  <si>
    <t>10781  ХОЗ-ПИТЬЕВОЙ ВОДОПРОВОД НА ВОС</t>
  </si>
  <si>
    <t>10780  ТЕХНОЛОГИЧЕСКИЙ ТРУБОПРОВОД</t>
  </si>
  <si>
    <t>10779 ЗДАНИЕ ВОДОПРОВОДНО-ОЧИСТНАЯ СТАНЦИЯ_площ.10230,2кв.м_г.Калуга_д.Чижовка</t>
  </si>
  <si>
    <t>10778  НАСОС 3 К-9</t>
  </si>
  <si>
    <t>10777  ХОЗ-ФЕКАЛЬНАЯ КАНАЛИЗАЦИЯ</t>
  </si>
  <si>
    <t>10776  РЕЗЕРВУАР ВЫГРЕБНОЙ 25 М3</t>
  </si>
  <si>
    <t>10775  НАСОС Фб 115/80</t>
  </si>
  <si>
    <t>10774  ХЛОРАТОРНАЯ УСТАНОВКА</t>
  </si>
  <si>
    <t>10773  КОМПАКТНАЯ УСТАНОВКА</t>
  </si>
  <si>
    <t>10772  СТАНЦИЯ БИОЛОГИЧЕСКОЙ ОЧИСТКИ СТ.ВОД</t>
  </si>
  <si>
    <t>10771  ТЕПЛОСЕТЬ</t>
  </si>
  <si>
    <t>10764  ЗДАНИЕ КОТЕЛЬНОЙ НА 6 КОТЛОВ</t>
  </si>
  <si>
    <t>10750  ЗАДВИЖКА d=100</t>
  </si>
  <si>
    <t>10749  ЗАДВИЖКА d=200</t>
  </si>
  <si>
    <t>10745  ЗДАНИЕ РЕЗЕРВУАР-УСРЕДНИТЕЛЬ</t>
  </si>
  <si>
    <t>10742 ЭЛЕКТРОТЕЛЬФЕР ГР.8 ТН</t>
  </si>
  <si>
    <t>10741  РАДИАЛЬНАЯ КРАН-БАЛКА 8 ТН</t>
  </si>
  <si>
    <t>10739  ОБРАТНЫЙ КЛАПАН d=150</t>
  </si>
  <si>
    <t>10738  ЗАДВИЖКА d=150</t>
  </si>
  <si>
    <t>10737  ОБРАТНЫЙ КЛАПАН ВСАС.d=150</t>
  </si>
  <si>
    <t>10736  НАСОС АР-100</t>
  </si>
  <si>
    <t>10735  ЗАДВИЖКА d=1000 С ЭЛ.ПРИВОДОМ</t>
  </si>
  <si>
    <t>10734  ЗАДВИЖКА d=800 С ЭЛ.ПРИВОДОМ</t>
  </si>
  <si>
    <t>10733  ЗАДВИЖКА d=1200 С ЭЛ.ПРИВОДОМ</t>
  </si>
  <si>
    <t>10731  НАСОС ВВН-5</t>
  </si>
  <si>
    <t>10730  НАСОС Д 5000-32</t>
  </si>
  <si>
    <t>10729  ЗДАНИЕ НАСОСНАЯ СТАНЦИЯ I ПОДЪЕМА</t>
  </si>
  <si>
    <t>10724  КРАН-БАЛКА</t>
  </si>
  <si>
    <t>10723  НАСОС-ДОЗАТОР НД-2500</t>
  </si>
  <si>
    <t>10721  ТАЛЬ ЭЛЕКТРИЧЕСКАЯ</t>
  </si>
  <si>
    <t>10718  НАСОС-ДОЗАТОР НД-2500/100</t>
  </si>
  <si>
    <t>10717  КРАН-БАЛКА</t>
  </si>
  <si>
    <t>10714  ЗАДВИЖКА d=50</t>
  </si>
  <si>
    <t>10713  ЗАДВИЖКА d=80</t>
  </si>
  <si>
    <t>10712  ЗАДВИЖКА d=200</t>
  </si>
  <si>
    <t>10711  ЗАДВИЖКАd=150</t>
  </si>
  <si>
    <t>10710  ЗАДВИЖКА d=100</t>
  </si>
  <si>
    <t>10708  СВАРОЧНЫЙ АППАРАТ</t>
  </si>
  <si>
    <t>10707  ЭЛЕКТРОДВИГАТЕЛЬ 37 КВТ</t>
  </si>
  <si>
    <t>10705  ТРАНСФОРМАТОР ТМ-250</t>
  </si>
  <si>
    <t>10701  ТОКАРНЫЙ СТАНОК Б/У</t>
  </si>
  <si>
    <t>10700  МЕШАЛКА</t>
  </si>
  <si>
    <t>10698  ВОЗДУХОДУВКИ</t>
  </si>
  <si>
    <t>10697  ВОЗДУХОЗАБОРНОЕ УСТРОЙСТВО</t>
  </si>
  <si>
    <t>10695  ИЗВЕСТЕГАСИЛКИ</t>
  </si>
  <si>
    <t>10693  МЕШАЛКИ</t>
  </si>
  <si>
    <t>10692  БАК ЗАТВОРНЫЙ</t>
  </si>
  <si>
    <t>10691  ЗДАНИЕ РЕАГЕНТНОЕ ХОЗЯЙСТВО</t>
  </si>
  <si>
    <t>10690  ЗАДВИЖКА d=50</t>
  </si>
  <si>
    <t>10689  ЗАДВИЖКА d=80</t>
  </si>
  <si>
    <t>10688  ЗАДВИЖКА d=150</t>
  </si>
  <si>
    <t>10679  ТАЛЬ ЭЛЕКТРИЧЕСКАЯ</t>
  </si>
  <si>
    <t>10678  НАСОС 6х-9д-1</t>
  </si>
  <si>
    <t>10677  ХЛОРАТОРНАЯ</t>
  </si>
  <si>
    <t>10676  ВОДОВОД ОТ СТ.I ПОД. ДО II ПОД. d=1000 MM</t>
  </si>
  <si>
    <t>10675  ВОДОВОД СОБСТВЕННЫХ НУЖД</t>
  </si>
  <si>
    <t>10674  ОГРАЖДЕНИЕ СТАНЦИИ ДОП.ПОДЪЕМА</t>
  </si>
  <si>
    <t>10673 разведочно-эксплуатационная скважина №1689/№11 глубиной 40,5 м</t>
  </si>
  <si>
    <t>10670  ЗДАНИЕ  ПРОХОДНОЙ ПУНКТ</t>
  </si>
  <si>
    <t>10669  ЩИТ УПРАВЛЕНИЯ</t>
  </si>
  <si>
    <t>10668  ТРАНСФОРМАТОРНАЯ ПОДСТАНЦИЯ 2 КТП/400</t>
  </si>
  <si>
    <t>10662  МОСТОВОЙ КРАН 10 Т</t>
  </si>
  <si>
    <t>10661  ЗАДВИЖКА d=100 И d=50</t>
  </si>
  <si>
    <t>10660  ЗАДВИЖКА d=400</t>
  </si>
  <si>
    <t>10659  ЗАДВИЖКА d=600 С ЭЛ.ПРИВОДОМ</t>
  </si>
  <si>
    <t>10658  КЛАПАН ОБРАТНЫЙ d=800</t>
  </si>
  <si>
    <t>10657  ЗАДВИЖКА d=800 С ЭЛ.ПРИВОДОМ</t>
  </si>
  <si>
    <t>10656  НАСОС D4500-90</t>
  </si>
  <si>
    <t>10655  НАСОСНАЯ СТАНЦИЯ ДОП.ПОДЪЕМА_Окский в-р_679.9 кв.м</t>
  </si>
  <si>
    <t>10640  ТАЛЬ РУЧНАЯ</t>
  </si>
  <si>
    <t>10636  ЗАДВИЖКА d=100</t>
  </si>
  <si>
    <t>10635  ЗАДВИЖКА d=150</t>
  </si>
  <si>
    <t>10634  ЗАДВИЖКА d=300</t>
  </si>
  <si>
    <t>10632  ЗАТВОР ЧУГ. d=500</t>
  </si>
  <si>
    <t>10630  НАСОС D 800/57</t>
  </si>
  <si>
    <t>10629  СООРУЖЕНИЕ ПОВТОРНОГО ИСПОЛЬЗОВАНИЯ ВОДЫ</t>
  </si>
  <si>
    <t>10628  ЗАДВИЖКА d=100</t>
  </si>
  <si>
    <t>10627  ЗАДВИЖКА d=200</t>
  </si>
  <si>
    <t>10626  ЗАДВИЖКА d=400</t>
  </si>
  <si>
    <t>10625  ЗАДВИЖКА d=500</t>
  </si>
  <si>
    <t>10624  ЗАДВИЖКА d=1000</t>
  </si>
  <si>
    <t>10623  ОБР. КЛАПАН d=400</t>
  </si>
  <si>
    <t>10619  ЗАТВОР d=1200</t>
  </si>
  <si>
    <t>10617  ТОКАРНЫЙ СТАНОК</t>
  </si>
  <si>
    <t>10616  ФРЕЗЕРНЫЙ СТАНОК</t>
  </si>
  <si>
    <t>10615  НАЖДАЧНЫЙ СТАНОК</t>
  </si>
  <si>
    <t>10614  ЩИТ УПРАВЛЕНИЯ</t>
  </si>
  <si>
    <t>10613  ЩИТ УПРАВЛЕНИЯ</t>
  </si>
  <si>
    <t>10612  НАСОС D 200/90</t>
  </si>
  <si>
    <t>10611  НАСОС D 800/57</t>
  </si>
  <si>
    <t>10610  НАСОС D 2500/62 без электродвигателя</t>
  </si>
  <si>
    <t>10609  НАСОС D 6300/27</t>
  </si>
  <si>
    <t>10607  КРАН ПОДВЕСНОЙ</t>
  </si>
  <si>
    <t>10606  НАСОСНАЯ СТАНЦИЯ II ПОДЪЕМА</t>
  </si>
  <si>
    <t>Окский водозабор</t>
  </si>
  <si>
    <t>ООО "Промторг" дог.Т/1748-ЕД от 31.05.2021</t>
  </si>
  <si>
    <t>46137 Система вентиляции 30 бокс</t>
  </si>
  <si>
    <t>01.12.2021</t>
  </si>
  <si>
    <t xml:space="preserve">46137    </t>
  </si>
  <si>
    <t>Т/1873-ЕД от 29.06.21</t>
  </si>
  <si>
    <t>45578 Насос Lowara 10НМЕ03S15Т05VВЕ 230/400</t>
  </si>
  <si>
    <t>29.07.2021</t>
  </si>
  <si>
    <t xml:space="preserve">45578    </t>
  </si>
  <si>
    <t>45577 Насос Lowara 10НМЕ03S15Т05VВЕ 230/400</t>
  </si>
  <si>
    <t xml:space="preserve">45577    </t>
  </si>
  <si>
    <t>ИП Матвеев С.В. по сч.№357 от 28.05.2021</t>
  </si>
  <si>
    <t>45463 Ручной сварочный экструдер Лидер-2</t>
  </si>
  <si>
    <t>11.06.2021</t>
  </si>
  <si>
    <t xml:space="preserve">45463    </t>
  </si>
  <si>
    <t>Участок по техническому обслуживанию станций очистки питьевой воды</t>
  </si>
  <si>
    <t>45857 Баня водяная многоместная (6-мест) ПЭ-4300</t>
  </si>
  <si>
    <t>12.11.2021</t>
  </si>
  <si>
    <t xml:space="preserve">45857    </t>
  </si>
  <si>
    <t>Т/1880-ЕД от 09.07.2021</t>
  </si>
  <si>
    <t>45632 Дозатор механический (титратор) BIOНIТ 1-канальный Biotrate, 50 мл, LH-723080</t>
  </si>
  <si>
    <t>13.08.2021</t>
  </si>
  <si>
    <t xml:space="preserve">45632    </t>
  </si>
  <si>
    <t>дог. №1607-ЕД от 24.12.2020г.</t>
  </si>
  <si>
    <t>44908 Стерилизатор паровой ВК-75</t>
  </si>
  <si>
    <t>19.01.2021</t>
  </si>
  <si>
    <t xml:space="preserve">44908    </t>
  </si>
  <si>
    <t>сч9 от 27.04.2020</t>
  </si>
  <si>
    <t>44227 Сплит-система OS OT 18</t>
  </si>
  <si>
    <t>28.05.2020</t>
  </si>
  <si>
    <t xml:space="preserve">44227    </t>
  </si>
  <si>
    <t>сч.09 от 27.04.2020</t>
  </si>
  <si>
    <t>44226 Сплит-система OS OT 09</t>
  </si>
  <si>
    <t xml:space="preserve">44226    </t>
  </si>
  <si>
    <t>1857/ПР от 01.07.2019</t>
  </si>
  <si>
    <t>43473 Термореактор лабораторный "Термион"</t>
  </si>
  <si>
    <t>18.09.2019</t>
  </si>
  <si>
    <t xml:space="preserve">43473    </t>
  </si>
  <si>
    <t>1849/ПР от 27.06.2019г.</t>
  </si>
  <si>
    <t>43351 Бюретка цифровая Titrette, 50мл, без интерфейса, Brand</t>
  </si>
  <si>
    <t xml:space="preserve">43351    </t>
  </si>
  <si>
    <t>Т-11-ЕД от 31.10.2018</t>
  </si>
  <si>
    <t>42798 Концентратомер КН-3</t>
  </si>
  <si>
    <t>13.11.2018</t>
  </si>
  <si>
    <t xml:space="preserve">42798    </t>
  </si>
  <si>
    <t>42611 Кондиционер Dantex RK-24 ENT2</t>
  </si>
  <si>
    <t>02.07.2018</t>
  </si>
  <si>
    <t xml:space="preserve">42611    </t>
  </si>
  <si>
    <t>42610 Кондиционер Dantex RK-24 ENT2</t>
  </si>
  <si>
    <t xml:space="preserve">42610    </t>
  </si>
  <si>
    <t>Т/41-ЭА от 24.04.2017</t>
  </si>
  <si>
    <t>42101 Термостат медицинский ЭкспОт-НТ.260</t>
  </si>
  <si>
    <t>29.06.2017</t>
  </si>
  <si>
    <t xml:space="preserve">42101    </t>
  </si>
  <si>
    <t>41883 Бюретка цифровая Biohit BIOTRATE</t>
  </si>
  <si>
    <t>01.12.2016</t>
  </si>
  <si>
    <t xml:space="preserve">41883    </t>
  </si>
  <si>
    <t>38133  Баня ПЭ-4300 водяная многоместная (6-мест) (ком.№2)</t>
  </si>
  <si>
    <t>21.11.2005</t>
  </si>
  <si>
    <t>38087  Дистилятор мембранный МД-5 (ком.№1)</t>
  </si>
  <si>
    <t>37633  Термореактор (с подставкой и съемным штативом) (ком.№4)</t>
  </si>
  <si>
    <t>37632  Анализатор "Флюорат-02-3М" (ком.№1)</t>
  </si>
  <si>
    <t>31941  Холодильник "Атлант" (ком.№6)</t>
  </si>
  <si>
    <t>31938  Карманный кондуктометр PWT "HANNA" (ком.№1)</t>
  </si>
  <si>
    <t>31937  облучатель бактерицидный (ком.№6)</t>
  </si>
  <si>
    <t>31594  Эл. плитка "Мечта-31" (ком.№3)</t>
  </si>
  <si>
    <t>31593  Эл. плитка "Мечта-31" (ком.№6)</t>
  </si>
  <si>
    <t>30402  Печь муфельная МИМП-10 (ком.№9)</t>
  </si>
  <si>
    <t>29011 ВЕСЫ ВЛР-200Г (ком.№10)</t>
  </si>
  <si>
    <t>29012  ВЛР-500Г (ком.№7)</t>
  </si>
  <si>
    <t>28887  МИКРОСКОП (ком.№5)</t>
  </si>
  <si>
    <t>28671  БАНЯ ВОДЯНАЯ 6-МЕСТ ПЭ-4300 (ком.№3)</t>
  </si>
  <si>
    <t>33262  ВЕНТИЛЯТОР Д-4-75 N5 (3 этаж)</t>
  </si>
  <si>
    <t>23107  ВЕНТИЛЯТОР Д-4-75 N5 (3 этаж)</t>
  </si>
  <si>
    <t>26222  ТЕРМОСТАТ ДЛЯ ОПРЕДЕЛЕНИЯ БПК (ком.№3)</t>
  </si>
  <si>
    <t>37097  ШКАФ СУШИЛЬНЫЙ ШСС-80 (ком.№9)</t>
  </si>
  <si>
    <t>11456  Спектрометр атомно-абсорбционный "КВАНТ-АФА" (ком.№8)</t>
  </si>
  <si>
    <t>36988  ШКАФ ВЫТЯЖНОЙ (ком.№2)</t>
  </si>
  <si>
    <t>36987  ШКАФ ВЫТЯЖНОЙ (ком.№6)</t>
  </si>
  <si>
    <t>36986  ШКАФ ВЫТЯЖНОЙ (ком.№4)</t>
  </si>
  <si>
    <t>36985  ШКАФ ВЫТЯЖНОЙ (ком.№1)</t>
  </si>
  <si>
    <t>36984  ШКАФ ВЫТЯЖНОЙ (ком.№3)</t>
  </si>
  <si>
    <t>35850  СТОЛ ХИМИЧЕСКИЙ (ком.№3)</t>
  </si>
  <si>
    <t>35849  СТОЛ ХИМИЧЕСКИЙ (ком.№2)</t>
  </si>
  <si>
    <t>35848  СТОЛ ФИЗИЧЕСКИЙ (ком.№3)</t>
  </si>
  <si>
    <t>35847  СТОЛ ФИЗИЧЕСКИЙ (ком.№1)</t>
  </si>
  <si>
    <t>35785  СТОЛ ЛАБОРАТОРНЫЙ ХИМИЧЕСКИЙ ПРИСТАВНОЙ (ком.№5)</t>
  </si>
  <si>
    <t>35784  СТОЛ ЛАБОРАТОРНЫЙ ХИМИЧЕСКИЙ ПРИСТАВНОЙ (ком.№1)</t>
  </si>
  <si>
    <t>35783  СТОЛ ЛАБОРАТОРНЫЙ ХИМИЧЕСКИЙ ПРИСТАВНОЙ (ком.№1)</t>
  </si>
  <si>
    <t>10015 СТОЛ ФИЗИЧЕСКИЙ (ком.№2)</t>
  </si>
  <si>
    <t>10014 СТОЛ ХИМИЧЕСКИЙ (ком.№1)</t>
  </si>
  <si>
    <t>10013 ШКАФ ВЫТЯЖНОЙ (ком.№4)</t>
  </si>
  <si>
    <t>Базовая лаборатория сточных вод</t>
  </si>
  <si>
    <t>счет №10792 от 12.11.2020г.</t>
  </si>
  <si>
    <t>44739 Спектрофотометр (диапазон измерения коэф. пропускания (Т) от 0 до 200%)</t>
  </si>
  <si>
    <t>24.11.2020</t>
  </si>
  <si>
    <t xml:space="preserve">44739    </t>
  </si>
  <si>
    <t>сч№лю-22152 от 09.06.2020</t>
  </si>
  <si>
    <t>44304 Термостат медицинский водяной серии TW, вариант исполнения: TW-2.02, ELMI</t>
  </si>
  <si>
    <t>29.06.2020</t>
  </si>
  <si>
    <t xml:space="preserve">44304    </t>
  </si>
  <si>
    <t>44097 Механический дозатор (титратор) 1-канальный варьируемого объема BIOTRATE 50 мл</t>
  </si>
  <si>
    <t>26.03.2020</t>
  </si>
  <si>
    <t xml:space="preserve">44097    </t>
  </si>
  <si>
    <t>41221 Ламинарный шкаф для лаборатории</t>
  </si>
  <si>
    <t xml:space="preserve">41221    </t>
  </si>
  <si>
    <t>40815 Стерилизатор паровой ВК-30-01</t>
  </si>
  <si>
    <t xml:space="preserve">40815    </t>
  </si>
  <si>
    <t>35834  стол Тембр</t>
  </si>
  <si>
    <t>32566  стол Тембр</t>
  </si>
  <si>
    <t>32560  облучатель ОБН-150</t>
  </si>
  <si>
    <t>32559  облучатель бактерицидный</t>
  </si>
  <si>
    <t>32555  вакуумная станция</t>
  </si>
  <si>
    <t>35837  Стол ученический</t>
  </si>
  <si>
    <t>29070  АКВАДИСТИЛЯТОР АЭ-25МО</t>
  </si>
  <si>
    <t>28968  КФК-3</t>
  </si>
  <si>
    <t>28965  ТЕРМОСТАТ ТС-1/80 СПУ</t>
  </si>
  <si>
    <t>28362  СТЕРИЛИЗАТОР ПАРОВОЙ ВК-75ПТ</t>
  </si>
  <si>
    <t>01.04.2001</t>
  </si>
  <si>
    <t>27629  ШКАФ-СТОЛ</t>
  </si>
  <si>
    <t>27564  СТОЛ С ВЫТЯЖКОЙ</t>
  </si>
  <si>
    <t>22379  ХОЛОДИЛЬНИК "ОРСК"</t>
  </si>
  <si>
    <t>Отделение испытательной базовой лаборатории питьевой воды на Угорском водозаборе</t>
  </si>
  <si>
    <t>цвж000004025 от 12.12.2019</t>
  </si>
  <si>
    <t>44051 Насос НД 1,0Р-40/25 К-14А</t>
  </si>
  <si>
    <t>26.02.2020</t>
  </si>
  <si>
    <t xml:space="preserve">44051    </t>
  </si>
  <si>
    <t>дог.Т/133-ЭА от 09.08.2017</t>
  </si>
  <si>
    <t>42392 Преобразователь частоты Advanced Control ADV 200 M420-M, 380B (3 фазы), 200/185 кВт,</t>
  </si>
  <si>
    <t>19.12.2017</t>
  </si>
  <si>
    <t xml:space="preserve">42392    </t>
  </si>
  <si>
    <t>40592 Счетчик воды-расходомер "ИРВИКОН СВ-200" Ду 400 мм в комплекте</t>
  </si>
  <si>
    <t>18.08.2014</t>
  </si>
  <si>
    <t xml:space="preserve">40592    </t>
  </si>
  <si>
    <t>40591 Счетчик воды-расходомер "ИРВИКОН СВ-200" Ду 400 мм в комплекте</t>
  </si>
  <si>
    <t xml:space="preserve">40591    </t>
  </si>
  <si>
    <t>40305 Преобразователь частоты VFPSI-4400KPC-WP</t>
  </si>
  <si>
    <t>19.12.2013</t>
  </si>
  <si>
    <t xml:space="preserve">40305    </t>
  </si>
  <si>
    <t>40191 Насос НД 2,5 1000/25 К14А (зав.378/1206171231)</t>
  </si>
  <si>
    <t>07.06.2013</t>
  </si>
  <si>
    <t xml:space="preserve">40191    </t>
  </si>
  <si>
    <t>39799 Задвижка 30ч906 Бр Ду300 с эл.приводом</t>
  </si>
  <si>
    <t>02.04.2012</t>
  </si>
  <si>
    <t xml:space="preserve">39799    </t>
  </si>
  <si>
    <t>39798 Задвижка 30ч906 Бр Ду400 с эл.приводом НБ</t>
  </si>
  <si>
    <t xml:space="preserve">39798    </t>
  </si>
  <si>
    <t>39428  Насос 1 Д 500-63  с двиг 160кВт*1150 об/мин</t>
  </si>
  <si>
    <t>39426  Насос 1 Д 500-63  с двиг 160кВт*1150 об/мин</t>
  </si>
  <si>
    <t>37851  Сигнализатор СГГ 6М П10</t>
  </si>
  <si>
    <t>37533  Насос НД 1,0 Р 10/100 Т14А</t>
  </si>
  <si>
    <t>29063  ЭЛ.ДВИГ. 250КВТ 380ВТ</t>
  </si>
  <si>
    <t>29752  Насос НД 1.0 Р 25/40 Т13А</t>
  </si>
  <si>
    <t>29146  ЭЛ. ДВИГ. 315 КВТ</t>
  </si>
  <si>
    <t>31681  НАСОС 1Д 630-90</t>
  </si>
  <si>
    <t>35191  Насос К 20-30</t>
  </si>
  <si>
    <t>30294  Насос К 20-30</t>
  </si>
  <si>
    <t>30291  Контейнер для мусора</t>
  </si>
  <si>
    <t>30287  Газоанализатор</t>
  </si>
  <si>
    <t>29839  ЗАТВОР 32 ДУ-610</t>
  </si>
  <si>
    <t>29837  ЗАДВИЖКИ 30 Ч 6БР РУ10 Д=400</t>
  </si>
  <si>
    <t>29773 Электроталь г/п 1тн. Н=18м</t>
  </si>
  <si>
    <t>34554  ЗАТВОР 32 ДУ-600</t>
  </si>
  <si>
    <t>29767  ЗАТВОР 32 ДУ-600</t>
  </si>
  <si>
    <t>29760  НАСОС НС 100/40</t>
  </si>
  <si>
    <t>29639  Пульт дистанционного управления</t>
  </si>
  <si>
    <t>Калужская область КОНДРОВО</t>
  </si>
  <si>
    <t>29638  Преобразователь частоты ПЧ-ТГПТ-630-380-50-02 УХЛ4</t>
  </si>
  <si>
    <t>29353  НАСОС НД 1.0Р 40/25Т 13А</t>
  </si>
  <si>
    <t>01.09.2002</t>
  </si>
  <si>
    <t>29135  ГАЗОАНАЛИЗАТОР АНКАТ-7631-07</t>
  </si>
  <si>
    <t>28247  ЭЛ.ДВ. 200КВТ/1500</t>
  </si>
  <si>
    <t>27876  ДВИГАТЕЛЬ 315КВТ</t>
  </si>
  <si>
    <t>34979  КУМ 5 С АГУ 9СЕКЦИЙ</t>
  </si>
  <si>
    <t>34553  ЗАТВОР 32 ДУ-600</t>
  </si>
  <si>
    <t>28049  ЗАТВОР 32 ДУ-600</t>
  </si>
  <si>
    <t>27021  ЗАДВИЖКА d=400</t>
  </si>
  <si>
    <t>26980  ГАЗОАНАЛИЗАТОР "АНКАТ-7621-ОЧПА-1"</t>
  </si>
  <si>
    <t>23121  НАСОС К 20/30</t>
  </si>
  <si>
    <t>26097  СЧЕТЧИК-РАСХОДОМЕР</t>
  </si>
  <si>
    <t>37440  КЛАПАН d=400</t>
  </si>
  <si>
    <t>22888  ЗАДВИЖКА d=600</t>
  </si>
  <si>
    <t>01.05.1994</t>
  </si>
  <si>
    <t>22562  ТЕПЛОГЕНЕРАТОР ТГ</t>
  </si>
  <si>
    <t>11276  РАСХОДОМЕР ДАТЧИК</t>
  </si>
  <si>
    <t>37323  ЭЛ.ТЕЛЬФЕР</t>
  </si>
  <si>
    <t>36630  ТАЛЬ РУЧНАЯ</t>
  </si>
  <si>
    <t>36629  ТАЛЬ РУЧНАЯ</t>
  </si>
  <si>
    <t>Калужская область, Дзержинский р-н, город Кондрово, ОТ ксош №2</t>
  </si>
  <si>
    <t>35474  РЕЗЕРВУАРЫ V-500,250,25</t>
  </si>
  <si>
    <t>35473  РЕЗЕРВУАРЫ V-500,250,25</t>
  </si>
  <si>
    <t>35141  НАСОС 300/120</t>
  </si>
  <si>
    <t>35134  НАСОС</t>
  </si>
  <si>
    <t>35133  НАСОС</t>
  </si>
  <si>
    <t>35132  НАСОС</t>
  </si>
  <si>
    <t>35131  НАСОС</t>
  </si>
  <si>
    <t>35130  НАСОС</t>
  </si>
  <si>
    <t>35129  НАСОС</t>
  </si>
  <si>
    <t>35128  НАСОС</t>
  </si>
  <si>
    <t>35127  НАСОС</t>
  </si>
  <si>
    <t>35126  НАСОС</t>
  </si>
  <si>
    <t>35125  НАСОС</t>
  </si>
  <si>
    <t>35124  НАСОС</t>
  </si>
  <si>
    <t>35123  НАСОС</t>
  </si>
  <si>
    <t>35122  НАСОС</t>
  </si>
  <si>
    <t>35121  НАСОС</t>
  </si>
  <si>
    <t>35120  НАСОС</t>
  </si>
  <si>
    <t>35119  НАСОС</t>
  </si>
  <si>
    <t>35118  НАСОС</t>
  </si>
  <si>
    <t>35117  НАСОС</t>
  </si>
  <si>
    <t>35116  НАСОС</t>
  </si>
  <si>
    <t>35115  НАСОС</t>
  </si>
  <si>
    <t>35114  НАСОС</t>
  </si>
  <si>
    <t>35113  НАСОС</t>
  </si>
  <si>
    <t>35112  НАСОС</t>
  </si>
  <si>
    <t>35111  НАСОС</t>
  </si>
  <si>
    <t>35110  НАСОС</t>
  </si>
  <si>
    <t>35086  МЕШАЛКИ</t>
  </si>
  <si>
    <t>34904  КРАН БАЛКА 5 ТН</t>
  </si>
  <si>
    <t>34903  КРАН БАЛКА 5 ТН</t>
  </si>
  <si>
    <t>34902  КРАН БАЛКА 5 ТН</t>
  </si>
  <si>
    <t>34901  КРАН БАЛКА 5 ТН</t>
  </si>
  <si>
    <t>34892  КОРЫТО</t>
  </si>
  <si>
    <t>34571  ЗАТВОР d=500</t>
  </si>
  <si>
    <t>34244  ЗАДВИЖКИ d=400</t>
  </si>
  <si>
    <t>22380  ЛОДКА "ПРОГРЕСС"</t>
  </si>
  <si>
    <t>22365  ТРАНСФОРМ. АГРЕГАТ</t>
  </si>
  <si>
    <t>22360  ЗАТВОР ДУ-500</t>
  </si>
  <si>
    <t>22355  КОРЫТО</t>
  </si>
  <si>
    <t>22353  МЕШАЛКИ</t>
  </si>
  <si>
    <t>22352  СВАРОЧНЫЙ АППАРАТ</t>
  </si>
  <si>
    <t>22351  ТРАНСФОРМАТОР ТМ-3-6</t>
  </si>
  <si>
    <t>22350  ЭЛ.ТЕЛЬФЕР</t>
  </si>
  <si>
    <t>22349  ТАЛЬ РУЧНАЯ</t>
  </si>
  <si>
    <t>22348  КРАН БАЛКА 5 ТН</t>
  </si>
  <si>
    <t>22347  КОМПРЕССОР ВК-12</t>
  </si>
  <si>
    <t>22345  НАСОС</t>
  </si>
  <si>
    <t>22342  СТАН.УПРАВЛЕНИЯ</t>
  </si>
  <si>
    <t>22341  ЗАДВИЖКА d=300</t>
  </si>
  <si>
    <t>22340  ЗАДВИЖКИ d=400</t>
  </si>
  <si>
    <t>22339  СВАРОЧНЫЙ АГРЕГАТ</t>
  </si>
  <si>
    <t>22338  КРАН БАЛКА</t>
  </si>
  <si>
    <t>22337  ЗАТВОР С ЭЛЕКТРОПРИВОДОМ</t>
  </si>
  <si>
    <t>22334  ЗАТОЧНЫЙ СТАНОК</t>
  </si>
  <si>
    <t>22333  СВЕРЛИЛЬНЫЙ СТАНОК</t>
  </si>
  <si>
    <t>22331  ЗАТВОР d=500</t>
  </si>
  <si>
    <t>22330  НАСОС 300/120</t>
  </si>
  <si>
    <t>Калужская область, Дзержинский р-н, город Кондрово</t>
  </si>
  <si>
    <t>22326  ОГРАЖДЕНИЕ СТ. II-ПОДЪЕМА</t>
  </si>
  <si>
    <t>22325  ТЕПЛОСЕТЬ</t>
  </si>
  <si>
    <t>22324  ЗДАНИЕ КНС</t>
  </si>
  <si>
    <t>22323  ПРОХОДНАЯ 1- ЭТАЖНОЕ ЗДАНИЕ</t>
  </si>
  <si>
    <t>22322  ШЛАМОНАКОПИТЕЛЬ</t>
  </si>
  <si>
    <t>22321  ВОДОНАПОРНАЯ БАШНЯ</t>
  </si>
  <si>
    <t>22320  РЕЗЕРВУАРЫ V-500,250,25</t>
  </si>
  <si>
    <t>22319  НАСОСНАЯ СТАНЦИЯ II-ПОДЪЕМА</t>
  </si>
  <si>
    <t>22318  ХЛОРАТОРНАЯ</t>
  </si>
  <si>
    <t>22316  ВОДОЗАБОР НА РЕКЕ "УГРЕ"</t>
  </si>
  <si>
    <t>22315  ВОДОПРОВОД РЕЧНОЙ ВОДЫ</t>
  </si>
  <si>
    <t>22311  ПРОХОДНАЯ НА СТ. I-ПОДЪЕМА</t>
  </si>
  <si>
    <t>22310  ОГРАЖДЕНИЕ СТАНЦИИ I ПОДЪЕМА</t>
  </si>
  <si>
    <t>22307  НАСОСНАЯ СТАНЦИЯ I-ПОДЪЕМА</t>
  </si>
  <si>
    <t>22306  РЕЗЕРВУАР ЧИСТОЙ ВОДЫ</t>
  </si>
  <si>
    <t>Калужская область, Дзержинский р-н, город Кондрово, улица Циолковского</t>
  </si>
  <si>
    <t>22294  НАСОСНАЯ СТАНЦИЯ ОЧИСТКИ РЕЧНОЙ ВОДЫ</t>
  </si>
  <si>
    <t>22291 НАСОСНОЕ ЗДАНИЕ</t>
  </si>
  <si>
    <t>11033  ЭЛЕКТРОДВИГАТЕЛЬ 4 АС 80 А4</t>
  </si>
  <si>
    <t>Угорский водозабор</t>
  </si>
  <si>
    <t>сч.№200177 от 16.01.2020</t>
  </si>
  <si>
    <t>43952 Спектрофотометр В-1100 (ТМ ЭКОВЬЮ)</t>
  </si>
  <si>
    <t>03.02.2020</t>
  </si>
  <si>
    <t xml:space="preserve">43952    </t>
  </si>
  <si>
    <t>525/ПР от 02.02.2018</t>
  </si>
  <si>
    <t>42433 Спекторофотометр B-1100</t>
  </si>
  <si>
    <t>19.02.2018</t>
  </si>
  <si>
    <t xml:space="preserve">42433    </t>
  </si>
  <si>
    <t>41219 Ламинарный шкаф для лаборатории</t>
  </si>
  <si>
    <t xml:space="preserve">41219    </t>
  </si>
  <si>
    <t>38295  Весы В 1502</t>
  </si>
  <si>
    <t>38196  Баня БКЛ</t>
  </si>
  <si>
    <t>29.11.2005</t>
  </si>
  <si>
    <t>32782  Станция вакуумная ВС-09</t>
  </si>
  <si>
    <t>31930  облучатель бактерицидный</t>
  </si>
  <si>
    <t>31929  облучатель бактерицидный</t>
  </si>
  <si>
    <t>31928  облучатель бактерицидный</t>
  </si>
  <si>
    <t>31582  Эл. плитка "Мечта-31"</t>
  </si>
  <si>
    <t>29072  СТЕРИЛИЗАТОР ПАРОВОЙ ВК-75-01</t>
  </si>
  <si>
    <t>27656  ТЕРМОСТАТ ТС-80М-2</t>
  </si>
  <si>
    <t>34834  КОЛОРИМЕТР</t>
  </si>
  <si>
    <t>10761  КФК-2 МП</t>
  </si>
  <si>
    <t>10754  ЛАБОРАТОРИЯ КХП-75</t>
  </si>
  <si>
    <t>10752  ЗДАНИЕ ЛАБОРАТОРНЫЙ КОРПУС</t>
  </si>
  <si>
    <t>Отделение испытательной базовой лаборатории питьевой воды на Окском водозаборе</t>
  </si>
  <si>
    <t>на конец периода</t>
  </si>
  <si>
    <t>за период</t>
  </si>
  <si>
    <t>на начало периода</t>
  </si>
  <si>
    <t>остаточная</t>
  </si>
  <si>
    <t>изменение</t>
  </si>
  <si>
    <t xml:space="preserve">первоначальная </t>
  </si>
  <si>
    <t>8_Право собст-ти предыдущего собств-ка_Номер ЕГРП (св-во Основное средство)</t>
  </si>
  <si>
    <t>Протяженность (метров) (св-во Основное средство)</t>
  </si>
  <si>
    <t>Вода - 1; Канализация - 2; Прочие - 3 (св-во Основное средство)</t>
  </si>
  <si>
    <t>4_Адрес (местоположение) REDСART (св-во Основное средство)</t>
  </si>
  <si>
    <t>Поставщик ОС_Дата и номер договора (св-во Основное средство)</t>
  </si>
  <si>
    <t>Способ поступления (св-во Основное средство)</t>
  </si>
  <si>
    <t>Основное средство</t>
  </si>
  <si>
    <t>Инвентарный номер</t>
  </si>
  <si>
    <t>Стоимость</t>
  </si>
  <si>
    <t>Подразделение</t>
  </si>
  <si>
    <t>Сортировка: Дата ввода в эксплуатацию (По возрастанию); Инвентарный номер (По возрастанию);</t>
  </si>
  <si>
    <t>Дополнительные поля:
Инвентарный номер (Отдельно, Перед группировкой);
Дата ввода в эксплуатацию (Отдельно, Перед группировкой);
Способ поступления (св-во Основное средство) (Отдельно, После группировки);
Поставщик ОС_Дата и номер договора (св-во Основное средство) (Отдельно, После группировки);
4_Адрес (местоположение) REDСART (св-во Основное средство) (Отдельно, После группировки);
Вода - 1; Канализация - 2; Прочие - 3 (св-во Основное средство) (Отдельно, После группировки);
Протяженность (метров) (св-во Основное средство) (Отдельно, После группировки);
8_Право собст-ти предыдущего собств-ка_Номер ЕГРП (св-во Основное средство) (Отдельно, После группировки);</t>
  </si>
  <si>
    <t>Отборы:
Организация Равно ГП "Калугаоблводоканал";</t>
  </si>
  <si>
    <t>Группировки строк: Подразделение (Элементы); Основное средство (Элементы);</t>
  </si>
  <si>
    <t>Показатели: Стоимость(первоначальная , на начало периода, изменение, на конец периода, остаточная); Амортизация(на начало периода, за период, на конец периода);</t>
  </si>
  <si>
    <t>Ведомость амортизации ОС за период (бухгалтерский учет)</t>
  </si>
  <si>
    <t xml:space="preserve">Строительство  водовода Д=160 мм от границ застройки до точки подключения к водоводу Д=500 мм общей протяженностью 3 п.м. Строительство водовода Д=160 мм от границ застройки до точки подключения к водоводу Д=315 мм общей протяженностью 5 п.м.  </t>
  </si>
  <si>
    <t>Строительство водопровода Д-160 мм от площадки застройки до существующего водопровода по пер.Баррикад протяженностью 6 п.м, закрытым способом, 
Выполнить подключение водопровода Ду-160 мм, по ул. Грабцевское шоссе в существующей камере и Ду-200  по ул. В. Андриановой к реконструированному трубопроводу Ду-200 мм</t>
  </si>
  <si>
    <t>Строительство водопровода Д-110 мм  от границы земельного участка  до существующего водопровода Д-200 мм  по ул.Знаменская  открытым способом, протяженностью 17,5 п.м.в месте врезки построить новый колодец диаметром 1,5 м, глубиной 2,0 м. в точке подключения  произвести врезку с установкой на ввод  задвижки Д=110 мм. - 1 шт.</t>
  </si>
  <si>
    <t>Строительство водопровод Д=110 мм от границ площадки застройки (границ земельного участка 40:26:000384:12390) до ВК1 (существующие водовод Ду = 315 мм), протяженностью 15 п.м. открытым способом</t>
  </si>
  <si>
    <t>Осуществление мероприятий, направленных на повышение экологической эффективности, достижение плановых значений показателей надежности, качества и энергоэффективности объектов централизованных систем водоотведения, не включенных в прочие группу мероприятий</t>
  </si>
  <si>
    <t xml:space="preserve">мероприятий по подключению по канализации НЕТ, подключение в границах, общесистемных по канализации тоже нет </t>
  </si>
  <si>
    <t>2028год</t>
  </si>
  <si>
    <t>Строительство сетей водоснабжения Ду=300мм, протяженностью около 1000 п.м, строительство сетей водоснабженияДу=300мм, подключение  к водоводу Ду 500 в районе ОСК, протяженностью около 250 п.м.</t>
  </si>
  <si>
    <t>ООО СЗ «Кошелев-проект»</t>
  </si>
  <si>
    <t>Кадастровый номер земельного участка:</t>
  </si>
  <si>
    <t xml:space="preserve"> расположенный по адресу: .г. Калуга, ул.40 лет Октября</t>
  </si>
  <si>
    <t>"Комплексное освоение территории, в рамках которого предусматривается жилищное строительство"</t>
  </si>
  <si>
    <t>Расчет платы за подключение (технологическое присоединение) к централизованной системе водоснабжения  по объекту:</t>
  </si>
  <si>
    <t>24896 / 24898</t>
  </si>
  <si>
    <t>КП в наличии</t>
  </si>
  <si>
    <t>ИНВ. №</t>
  </si>
  <si>
    <t xml:space="preserve">Остаточная стоимость на 01.01.2023, тыс. рублей </t>
  </si>
  <si>
    <t>Амортизация на 01.01.2023, тыс. рублей</t>
  </si>
  <si>
    <t>Стоимость на 01.01.2024, тыс. рублей без НДС</t>
  </si>
  <si>
    <t>Стоимость на 01.01.2025, тыс. рублей без НДС</t>
  </si>
  <si>
    <t>Стоимость на 01.01.2026, тыс. рублей без НДС</t>
  </si>
  <si>
    <t>Стоимость на 01.01.2027, тыс. рублей без НДС</t>
  </si>
  <si>
    <t>Стоимость на 01.01.2028, тыс. рублей без НДС</t>
  </si>
  <si>
    <t>Стоимость на 01.01.2029, тыс. рублей без НДС</t>
  </si>
  <si>
    <t>Амортизация
на 01.01.2025</t>
  </si>
  <si>
    <t>Амортизация
на 01.01.2027</t>
  </si>
  <si>
    <t>Амортизация
на 01.01.2026</t>
  </si>
  <si>
    <t>Амортизация
на 01.01.2028</t>
  </si>
  <si>
    <t>Амортизация
на 01.01.2029</t>
  </si>
  <si>
    <t>ИЗНОС</t>
  </si>
  <si>
    <t>Стоимость на 01.01.2023, тыс. рублей</t>
  </si>
  <si>
    <t>Расчет износа</t>
  </si>
  <si>
    <t xml:space="preserve">40855    </t>
  </si>
  <si>
    <t>05.05.2015</t>
  </si>
  <si>
    <t>40855 Водопроводная сеть г. Калуга с.Росва ул. Советская, д.20</t>
  </si>
  <si>
    <t>248903, Калужская обл, Калуга г, Росва с, Советская ул, дом № 20</t>
  </si>
  <si>
    <t>39063  Водопроводная сеть прот. 779 п.м.</t>
  </si>
  <si>
    <t>город Калуга, село Спас,</t>
  </si>
  <si>
    <t>Строительство (проектирование) станции водоочистки  с. Козлово  ГО Калуга 5 м3/час</t>
  </si>
  <si>
    <t>г.Калуга.с.Козлово</t>
  </si>
  <si>
    <t xml:space="preserve">11139 и 28144 </t>
  </si>
  <si>
    <t>ВОДООТВЕДЕНИЕ МЕРОПРИЯТИЯ ИП</t>
  </si>
  <si>
    <t>ВОДОСНАБЖЕНИЕ МЕРОПРИЯТИЯ ИП</t>
  </si>
  <si>
    <t>ВОДОСНАБЖЕНИЕ ВСЕГО</t>
  </si>
  <si>
    <t>ВОДООТВЕДЕНИЕ ВСЕГО</t>
  </si>
  <si>
    <t xml:space="preserve">средства, полученные в виде платы за негативное воздействие на работу централизованной системы водоотведения </t>
  </si>
  <si>
    <t>Срок полезного использования (max)</t>
  </si>
  <si>
    <t>Внедрение программного обеспечения</t>
  </si>
  <si>
    <t>Средства, полученные в виде платы за негативное воздействие на работу централизованной системы водоотведения</t>
  </si>
  <si>
    <t>Собственные средства, учтенные при установлении тарифов, в том числе:</t>
  </si>
  <si>
    <t>амортизационные отчисления</t>
  </si>
  <si>
    <t>расходы на капитальные вложения (инвестиции), финансируемые за счет нормативной прибыли, учитываемые в необходимой валовой выручке</t>
  </si>
  <si>
    <t>плата за подключение, рассчитанная по тарифам на подключение</t>
  </si>
  <si>
    <t>Иные собственные средства, в том числе:</t>
  </si>
  <si>
    <t xml:space="preserve">Строительство водопровод Д=110 мм от границ площадки застройки (границ земельного участка 40:26:000384:12390) до ВК1 (существующие водовод Ду = 315 мм), протяженностью 15 п.м. открытым способом;
 В точке подключения ВК1 произвести врезу с установкой арматуры:
 Hawle-A (№4000А) Ду=110 мм - 2 шт.;
 Фланец System 2000 (№0400) DN100/110 – 1 шт.
 Седелка электросварная ПЭ100 Д315х110 SDR 17 – 1 шт.
</t>
  </si>
  <si>
    <t>ООО СЗ "Лидер-Бетон"</t>
  </si>
  <si>
    <t>2026-2028гг.</t>
  </si>
  <si>
    <t>1.1.17.</t>
  </si>
  <si>
    <t>1.1.18.</t>
  </si>
  <si>
    <t>1.1.19.</t>
  </si>
  <si>
    <t>1.1.20.</t>
  </si>
  <si>
    <t>1.1.21.</t>
  </si>
  <si>
    <t>1.2.2.</t>
  </si>
  <si>
    <t>1.2.3.</t>
  </si>
  <si>
    <t>2024г.</t>
  </si>
  <si>
    <t>Амортизационные отчисления</t>
  </si>
  <si>
    <t>здание ЦДС Салтыкова – Щедрина,80</t>
  </si>
  <si>
    <t>?</t>
  </si>
  <si>
    <t>Инженерно-технические мероприятия по обеспечению антитеррористической защищенности объектов водоснабжения и (или) водоотведения</t>
  </si>
  <si>
    <t>Режимно-охранные мероприятия по обеспечению антитеррористической защищенности объектов водоснабжения и (или) водоотведения</t>
  </si>
  <si>
    <t>Организационно-распорядительные мероприятия по обеспечению антитеррористической защищенности объектов водоснабжения и (или) водоотведения</t>
  </si>
  <si>
    <t>Закупка приборов ВПХР (прибор войсковой хим.разведки) (2 шт.)</t>
  </si>
  <si>
    <t>Закупка противогазов ГП-7 (100 шт.)</t>
  </si>
  <si>
    <t>2024 год - 20 шт., 2025 год - 20 шт., 2026 год - 20 шт., 2027 год - 20 шт., 2028 год - 20 шт.</t>
  </si>
  <si>
    <t>руб. без НДС</t>
  </si>
  <si>
    <t>Монтаж Автоматической Пожарной Сигнализации и Системы Оповещенияи  Управления Эвакуацией людей при пожаре на объектах:</t>
  </si>
  <si>
    <t xml:space="preserve">Монтаж и пусконаладка системы видеонаблюдения </t>
  </si>
  <si>
    <t>объект</t>
  </si>
  <si>
    <t>Инвестиции в основной капитал</t>
  </si>
  <si>
    <t>Водовод "Турынино" Д-800 L = 10 км - прокладка дублирующей нитки Ду 800 мм от насосной ст. I подъема до водоочистной станции</t>
  </si>
  <si>
    <t>Строительство водопровода Д-110 мм, протяженностью 474,8 п.м, открытым способом; 
Строительство водопровода Д-110 мм, протяженностью 162,9 п.м, закрытым способом; 
Строительство водопровода Д-63 мм, протяженностью 186,8 п.м, открытым способом; 
При прокладке водовода учесть переход под а/дорогой с обустройством футляра из трубы Ду = 225 мм, протяженностью не менее 92,6 п.м., и из трубы Ду = 315 мм, протяженностью 55,3 п.м.</t>
  </si>
  <si>
    <t>ООО "Вольта" выполнение монтажных и пусконаладочных работ системы видеонаблюдения на объекте "НС Малинники"</t>
  </si>
  <si>
    <t>Амортизация на 01.01.2024</t>
  </si>
  <si>
    <t>Реконструкция насосной станции 2-го подъема Окского водозабора с 1 800 м куб. в час до 2300 куб. м. в час</t>
  </si>
  <si>
    <t>1-й кв-л 2023г</t>
  </si>
  <si>
    <t>Запрашивали</t>
  </si>
  <si>
    <t xml:space="preserve"> Отклонение</t>
  </si>
  <si>
    <t>8843,55587 -ГП</t>
  </si>
  <si>
    <t>2011,42565-ГП</t>
  </si>
  <si>
    <t>83,07024-ГП</t>
  </si>
  <si>
    <t>На величину доп. нагрузки= 100 м3</t>
  </si>
  <si>
    <t>Исключен К=1,15 - стесненность</t>
  </si>
  <si>
    <t>Без изм.</t>
  </si>
  <si>
    <t>ПЗП установлена</t>
  </si>
  <si>
    <t>тыс.руб. без НДС</t>
  </si>
  <si>
    <t xml:space="preserve">руб. без НДС </t>
  </si>
  <si>
    <t>тыс. рублей без НДС</t>
  </si>
  <si>
    <t>2025-2026гг.</t>
  </si>
  <si>
    <t>инв. №№</t>
  </si>
  <si>
    <t>Дата ввода</t>
  </si>
  <si>
    <t>Срок полезного использования, мес.</t>
  </si>
  <si>
    <t>Максимальный срок полезного использования, мес.</t>
  </si>
  <si>
    <t>Фактический срок эксплуатации</t>
  </si>
  <si>
    <t>передан на баланс предприятия</t>
  </si>
  <si>
    <t>Примечание</t>
  </si>
  <si>
    <t>1с</t>
  </si>
  <si>
    <t>О.Климова</t>
  </si>
  <si>
    <t>Амортизация в ПП 2024-2028</t>
  </si>
  <si>
    <t>В рамках заключенных Договоров между  ГП "Калугаоблводоканал" и ООО "Завод Водоприбор" с начала их действия и по 16.06.2023 г.</t>
  </si>
  <si>
    <t>№ договора</t>
  </si>
  <si>
    <t>объекты</t>
  </si>
  <si>
    <t>всего по договору УУХВ и АИИСУВ</t>
  </si>
  <si>
    <t xml:space="preserve">Проведено обследование </t>
  </si>
  <si>
    <t>Смонтировано УУХВ и АИИСУВ</t>
  </si>
  <si>
    <t>Передано на баланс УУХВ и АИИСУВ</t>
  </si>
  <si>
    <t>Допущено в эксплуатацию УУХВ и АИИСУВ</t>
  </si>
  <si>
    <t>всего</t>
  </si>
  <si>
    <t>в т.ч. в июне 2023 г.</t>
  </si>
  <si>
    <t>Т-985-ЭК от 14.04.2020 в редакции Дополнительного соглашения №1 от 29.05.2023 г.</t>
  </si>
  <si>
    <t>МКД, котельные</t>
  </si>
  <si>
    <t>Т-2239/ЕД от 28.04.2022</t>
  </si>
  <si>
    <t>диктующие точки</t>
  </si>
  <si>
    <t>насосные станции</t>
  </si>
  <si>
    <t xml:space="preserve">итого </t>
  </si>
  <si>
    <t xml:space="preserve">№Т/985-ЭК от 14.04.2020 (98 842 800,00) АИИСУВ холодного водоснабжения </t>
  </si>
  <si>
    <t>ИТОГО нар. Итогом 2022-2023</t>
  </si>
  <si>
    <t>г.Калуга, д. Яглово</t>
  </si>
  <si>
    <r>
      <t xml:space="preserve">Строительство напорной канализации </t>
    </r>
    <r>
      <rPr>
        <u/>
        <sz val="12"/>
        <rFont val="Times New Roman"/>
        <family val="1"/>
        <charset val="204"/>
      </rPr>
      <t>в 2 нитки</t>
    </r>
    <r>
      <rPr>
        <sz val="12"/>
        <rFont val="Times New Roman"/>
        <family val="1"/>
        <charset val="204"/>
      </rPr>
      <t xml:space="preserve"> Ду200 до КНС "Росва" (д. Яглово)</t>
    </r>
  </si>
  <si>
    <t>Строительство напорной канализации в 2 нитки Ду200 до КНС "Росва" протяженностью 2500 п.м. (д. Яглово)</t>
  </si>
  <si>
    <t>г.Калуга (д. Яглово)</t>
  </si>
  <si>
    <t>Строительство напорной линии канализации от КНС до камеры гашения (район развлекательного комплекса "Ёлки-палки")  протяженностью 1000 п.м., восстановление КНС</t>
  </si>
  <si>
    <t>ФАКТ</t>
  </si>
  <si>
    <t>ПЛАН</t>
  </si>
  <si>
    <t>1 Полугодие 2020</t>
  </si>
  <si>
    <t>2 Полугодие 2020</t>
  </si>
  <si>
    <t>1 Полугодие 2021</t>
  </si>
  <si>
    <t>2 Полугодие 2021</t>
  </si>
  <si>
    <t>1 Полугодие 2022</t>
  </si>
  <si>
    <t>2 Полугодие 2022</t>
  </si>
  <si>
    <t>1 Полугодие 2024</t>
  </si>
  <si>
    <t>2 Полугодие 2024</t>
  </si>
  <si>
    <t>1 Полугодие 2025</t>
  </si>
  <si>
    <t>2 Полугодие 2025</t>
  </si>
  <si>
    <t>1 Полугодие 2026</t>
  </si>
  <si>
    <t>2 Полугодие 2026</t>
  </si>
  <si>
    <t>1 Полугодие 2027</t>
  </si>
  <si>
    <t>2 Полугодие 2027</t>
  </si>
  <si>
    <t>1 Полугодие 2028</t>
  </si>
  <si>
    <t>2 Полугодие 2028</t>
  </si>
  <si>
    <t>1.1.4.2</t>
  </si>
  <si>
    <t>Расходы на приобретение материалов, связанные со сбытовой деятельностью, за исключением расходов, учтенных в расходах на содержание помещений, использ</t>
  </si>
  <si>
    <t>1.1.4.3</t>
  </si>
  <si>
    <t>Расходы на содержание помещений, используемых при осуществлении сбытовой деятельности</t>
  </si>
  <si>
    <t>1.1.4.3.1</t>
  </si>
  <si>
    <t>Расходы на приобретение сырья и материалов</t>
  </si>
  <si>
    <t>1.1.4.3.2</t>
  </si>
  <si>
    <t>Расходы на приобретаемые электрическую энергию (мощность), тепловую энергию, другие виды энергетических ресурсов и холодную воду</t>
  </si>
  <si>
    <t>1.1.4.3.3</t>
  </si>
  <si>
    <t>Расходы на оплату выполняемых работ и услуг сторонними организациями, связанных с содержанием помещений в части сбытовой деятельности</t>
  </si>
  <si>
    <t>1.1.4.4</t>
  </si>
  <si>
    <t>Расходы на амортизацию основных средств и нематериальных активов, используемых при осуществлении сбытовой деятельности</t>
  </si>
  <si>
    <t>1.1.4.5</t>
  </si>
  <si>
    <t>Расходы на аренду, лизинг имущества, используемого при осуществлении сбытовой деятельности</t>
  </si>
  <si>
    <t>1.1.4.6</t>
  </si>
  <si>
    <t>Расходы на уплату процентов по займам и кредитам, привлечение которых обосновано ростом дебиторской задолженности абонентов за регулируемые услуги водоснабжения и (или) водоотведения</t>
  </si>
  <si>
    <t>1.1.4.7</t>
  </si>
  <si>
    <t>Расходы на оплату работ и (или) услуг, выполняемых сторонними организациями или индивидуальными предпринимателями, связанных со сбытовой деятельностью</t>
  </si>
  <si>
    <t>1.1.4.7.1</t>
  </si>
  <si>
    <t>ремонт и техническое обслуживание подрядным способом</t>
  </si>
  <si>
    <t>1.1.4.7.2</t>
  </si>
  <si>
    <t>транспортные и логистические услуги</t>
  </si>
  <si>
    <t>1.1.4.7.3</t>
  </si>
  <si>
    <t>услуги связи, юридические, архивные услуги</t>
  </si>
  <si>
    <t>1.1.4.7.4</t>
  </si>
  <si>
    <t>обучение сбытового персонала</t>
  </si>
  <si>
    <t>1.1.4.7.6</t>
  </si>
  <si>
    <t>контроль состава и свойств сточных вод, сбрасываемых абонентами в централизованную систему водоотведения</t>
  </si>
  <si>
    <t>1.1.4.7.7</t>
  </si>
  <si>
    <t>услуги банков и расчетных центров, услуг по снятию и сбору показаний приборов учета, услуг по истребованию задолженности по оплате коммунальных услуг с учетом положения пункта 27  методических указаний № 1746-э</t>
  </si>
  <si>
    <t>1.1.4.7.5</t>
  </si>
  <si>
    <t>автоматизация и сопровождение действующего программного обеспечения</t>
  </si>
  <si>
    <t>1.1.4.8</t>
  </si>
  <si>
    <t>Расходы на оплату труда и отчисления на социальные нужды сбытового персонала, в том числе налоги и сборы</t>
  </si>
  <si>
    <t>1.1.4.8.1</t>
  </si>
  <si>
    <t>Расходы на оплату труда сбытового персонала</t>
  </si>
  <si>
    <t>1.1.4.8.1.1</t>
  </si>
  <si>
    <t>Среднемесячная оплата труда сбытового персонала</t>
  </si>
  <si>
    <t>1.1.4.8.1.1.2</t>
  </si>
  <si>
    <t>руб/чел./мес.</t>
  </si>
  <si>
    <t>1.1.4.8.1.1.5</t>
  </si>
  <si>
    <t>1.1.4.8.1.1.1</t>
  </si>
  <si>
    <t>1.1.4.8.1.1.1.1</t>
  </si>
  <si>
    <t>1.1.4.8.1.1.1.2</t>
  </si>
  <si>
    <t>1.1.4.8.1.9</t>
  </si>
  <si>
    <t>1.1.4.8.1.10</t>
  </si>
  <si>
    <t>1.1.4.8.1.2</t>
  </si>
  <si>
    <t>1.1.4.8.2</t>
  </si>
  <si>
    <t>Отчисления на социальные нужды сбытового персонала, в том числе налоги и сборы</t>
  </si>
  <si>
    <t>Расходы по сомнительным долгам для гарантирующей организации в размере не более 2 процентов от необходимой валовой выручки, относимой на население (абонентов, предоставляющих коммунальные услуги в сфере водоснабжения и водоотведения населению) за предыдущий период регулирования</t>
  </si>
  <si>
    <t>1.3.10.1</t>
  </si>
  <si>
    <t xml:space="preserve">Расходы на обслуживание займов у концессионера  (бнковская гарантия) </t>
  </si>
  <si>
    <t>1.3.10.2</t>
  </si>
  <si>
    <t>Расходы концессионера на осуществление государственного кадастрового учета и (или) государственной регистрации права собственности концедента</t>
  </si>
  <si>
    <t>17.</t>
  </si>
  <si>
    <t>Величина сглаживания НВВ</t>
  </si>
  <si>
    <t>подпись</t>
  </si>
  <si>
    <t>М.П.</t>
  </si>
  <si>
    <t>РАСЧЕТ ФИНАНСОВЫХ ПОТРЕБНОСТЕЙ по водоотведению на 2024-2028 гг. ГП Калугаоблводоканал" МО "Город Калуга"</t>
  </si>
  <si>
    <t>12% к НВВ</t>
  </si>
  <si>
    <t xml:space="preserve">Объем реализации услуг </t>
  </si>
  <si>
    <t>Тариф на водоотведение (эксплуатационный)</t>
  </si>
  <si>
    <t>Тариф на водоотведение с учетом инвестиционной составляющей</t>
  </si>
  <si>
    <t>Корректировка Проектной документации на объект капитального строительства: «Строительство сетей водоотведения микрорайонов «Кошелев-проект, Ташир, кварталов № 5-19, 22, 23 в районе д. Верховая, д. Квань, г. Калуга»</t>
  </si>
  <si>
    <t>РАСЧЕТ ФИНАНСОВЫХ ПОТРЕБНОСТЕЙ по водоотведению при самотечной системе сточных вод на 2024-2028 гг. ГП Калугаоблводоканал" МО "Город Калуга"</t>
  </si>
  <si>
    <t>дер. Мстихино</t>
  </si>
  <si>
    <t>Стоки на ОСК главные г.Калуги</t>
  </si>
  <si>
    <t>дер. Плетеневка</t>
  </si>
  <si>
    <t>с. Сосновый Бор</t>
  </si>
  <si>
    <t>Стоки на ОСК с.Сосновый Бор</t>
  </si>
  <si>
    <t>дер. Андреевское</t>
  </si>
  <si>
    <t>Нет централизованной канализации</t>
  </si>
  <si>
    <t>дер. Верхняя Вырка</t>
  </si>
  <si>
    <t>дер. Георгиевское</t>
  </si>
  <si>
    <t>с. Горенское</t>
  </si>
  <si>
    <t>дер. Животинки</t>
  </si>
  <si>
    <t>дер. Колюпаново</t>
  </si>
  <si>
    <t>Стоки на ОСК д.Колюпаново</t>
  </si>
  <si>
    <t>с. Некрасово</t>
  </si>
  <si>
    <t>дер. Нижняя Вырка</t>
  </si>
  <si>
    <t>дер. Пучково</t>
  </si>
  <si>
    <t>дер. Сивково</t>
  </si>
  <si>
    <t>дер. Тинино</t>
  </si>
  <si>
    <t>с. Подстанция Колюпановская</t>
  </si>
  <si>
    <t>с. Приокское лесничество</t>
  </si>
  <si>
    <t>дер. Шопино</t>
  </si>
  <si>
    <t>дер. Воровая</t>
  </si>
  <si>
    <t>дер. Желыбино</t>
  </si>
  <si>
    <t>дер. Рождествено</t>
  </si>
  <si>
    <t>дер. Чижовка</t>
  </si>
  <si>
    <t>с. Шахты</t>
  </si>
  <si>
    <t>п. Мирный</t>
  </si>
  <si>
    <t>дер. Большая Каменка</t>
  </si>
  <si>
    <t>ж.-д. ст. Горенская</t>
  </si>
  <si>
    <t>п. Зеленый</t>
  </si>
  <si>
    <t>с. Муратовка</t>
  </si>
  <si>
    <t>с. Рябинки</t>
  </si>
  <si>
    <t>ж.-д. ст. Тихонова Пустынь</t>
  </si>
  <si>
    <t>дер. Юрьевка</t>
  </si>
  <si>
    <t>с. Росва</t>
  </si>
  <si>
    <t>Завод Фукс-Ойл  ТП "Росва"</t>
  </si>
  <si>
    <t>Завод Континенталь ТП "Росва"</t>
  </si>
  <si>
    <t>дер. Городок</t>
  </si>
  <si>
    <t>с. Козлово</t>
  </si>
  <si>
    <t>дер. Николо-Лапиносово</t>
  </si>
  <si>
    <t>дер. Орешково</t>
  </si>
  <si>
    <t>дер. Сокорево</t>
  </si>
  <si>
    <t>с. Спас</t>
  </si>
  <si>
    <t>дер. Угра</t>
  </si>
  <si>
    <t>дер. Яглово</t>
  </si>
  <si>
    <t>дер. Бабенки</t>
  </si>
  <si>
    <t>дер. Белая</t>
  </si>
  <si>
    <t>дер. Карачево</t>
  </si>
  <si>
    <t>дер. Горенское</t>
  </si>
  <si>
    <t>дер. Крутицы</t>
  </si>
  <si>
    <t>с. Муратовского щебзавода</t>
  </si>
  <si>
    <t>Стоки на ОСК с.Муратовский Щебзавод</t>
  </si>
  <si>
    <t>п. Новый</t>
  </si>
  <si>
    <t>с. Пригородного лесничества</t>
  </si>
  <si>
    <t>дер. Ильинка</t>
  </si>
  <si>
    <t>дер. Аргуново</t>
  </si>
  <si>
    <t>дер. Жерело</t>
  </si>
  <si>
    <t>дер. Лихун</t>
  </si>
  <si>
    <t>дер. Лобаново</t>
  </si>
  <si>
    <t>дер. Марьино</t>
  </si>
  <si>
    <t>дер. Матюнино</t>
  </si>
  <si>
    <t>дер. Новоселки</t>
  </si>
  <si>
    <t>с. Рожки</t>
  </si>
  <si>
    <t>дер. Макаровка</t>
  </si>
  <si>
    <t>дер. Галкино</t>
  </si>
  <si>
    <t>дер. Григоровка</t>
  </si>
  <si>
    <t>дер. Груздово</t>
  </si>
  <si>
    <t>дер. Доможирово</t>
  </si>
  <si>
    <t>дер. Заречье</t>
  </si>
  <si>
    <t>дер. Канищево</t>
  </si>
  <si>
    <t>дер. Малая Каменка</t>
  </si>
  <si>
    <t>дер. Косарево</t>
  </si>
  <si>
    <t>дер. Петрово</t>
  </si>
  <si>
    <t>дер. Починки</t>
  </si>
  <si>
    <t>дер. Тимошево</t>
  </si>
  <si>
    <t>дер. Уварово</t>
  </si>
  <si>
    <t>дер. Березовка</t>
  </si>
  <si>
    <t>дер. Калашников Хутор</t>
  </si>
  <si>
    <t>дер. Переселенец</t>
  </si>
  <si>
    <t>ОСК</t>
  </si>
  <si>
    <t>Водоисточник</t>
  </si>
  <si>
    <t>не связанная с Калугой система</t>
  </si>
  <si>
    <t>с. Грабцево</t>
  </si>
  <si>
    <t>дер. Бутырки</t>
  </si>
  <si>
    <t>с. Воскресенское</t>
  </si>
  <si>
    <t>дер. Горневская Слобода</t>
  </si>
  <si>
    <t>водоисточник Окский водозабор</t>
  </si>
  <si>
    <t>Сети не наши, стоки принимаем в наш коллектор, качает на главные ОСК г.Калуга</t>
  </si>
  <si>
    <r>
      <rPr>
        <sz val="10"/>
        <color rgb="FFC00000"/>
        <rFont val="Arial"/>
        <family val="2"/>
        <charset val="204"/>
      </rPr>
      <t>п.</t>
    </r>
    <r>
      <rPr>
        <sz val="10"/>
        <rFont val="Arial"/>
        <family val="2"/>
        <charset val="204"/>
      </rPr>
      <t xml:space="preserve"> Муратовка</t>
    </r>
  </si>
  <si>
    <r>
      <rPr>
        <sz val="10"/>
        <color rgb="FFC00000"/>
        <rFont val="Arial"/>
        <family val="2"/>
        <charset val="204"/>
      </rPr>
      <t>п.</t>
    </r>
    <r>
      <rPr>
        <sz val="10"/>
        <rFont val="Arial"/>
        <family val="2"/>
        <charset val="204"/>
      </rPr>
      <t>Росва</t>
    </r>
  </si>
  <si>
    <r>
      <rPr>
        <sz val="10"/>
        <color rgb="FFC00000"/>
        <rFont val="Arial"/>
        <family val="2"/>
        <charset val="204"/>
      </rPr>
      <t>д.</t>
    </r>
    <r>
      <rPr>
        <sz val="10"/>
        <rFont val="Arial"/>
        <family val="2"/>
        <charset val="204"/>
      </rPr>
      <t>Козлово</t>
    </r>
  </si>
  <si>
    <r>
      <rPr>
        <sz val="10"/>
        <color rgb="FFC00000"/>
        <rFont val="Arial"/>
        <family val="2"/>
        <charset val="204"/>
      </rPr>
      <t>д.</t>
    </r>
    <r>
      <rPr>
        <sz val="10"/>
        <rFont val="Arial"/>
        <family val="2"/>
        <charset val="204"/>
      </rPr>
      <t>Спас</t>
    </r>
  </si>
  <si>
    <r>
      <rPr>
        <sz val="10"/>
        <color rgb="FFC00000"/>
        <rFont val="Arial"/>
        <family val="2"/>
        <charset val="204"/>
      </rPr>
      <t>д</t>
    </r>
    <r>
      <rPr>
        <sz val="10"/>
        <rFont val="Arial"/>
        <family val="2"/>
        <charset val="204"/>
      </rPr>
      <t>.Воскресенское (Ферзик. р-он)</t>
    </r>
  </si>
  <si>
    <r>
      <rPr>
        <sz val="10"/>
        <color rgb="FFC00000"/>
        <rFont val="Arial"/>
        <family val="2"/>
        <charset val="204"/>
      </rPr>
      <t>д</t>
    </r>
    <r>
      <rPr>
        <sz val="10"/>
        <rFont val="Arial"/>
        <family val="2"/>
        <charset val="204"/>
      </rPr>
      <t>.Воскресенское (коттеждная застройка)</t>
    </r>
  </si>
  <si>
    <t>→мероприятие в ИП, применять</t>
  </si>
  <si>
    <t>→применять</t>
  </si>
  <si>
    <t>→не применять</t>
  </si>
  <si>
    <t>дер. Яглово  (п. Фонда поддержки доступного жилья)</t>
  </si>
  <si>
    <t>МО СП "Село Грабцево" Ферзиковский район</t>
  </si>
  <si>
    <t>система Калуга</t>
  </si>
  <si>
    <t>мероприятие за счет платы за негативное воздействие окружающей среды
→не применять</t>
  </si>
  <si>
    <t>Данные С.Б. Задиран (для корректировки наименования населенных пунктов)</t>
  </si>
  <si>
    <t>Наименование населенного пункт согласно 51-ОЗ</t>
  </si>
  <si>
    <t>п. Куровской (не выделен в 51-ОЗ как отдельный н.п.)</t>
  </si>
  <si>
    <t>д.Волково (не выделен в 51-ОЗ как отдельный н.п.)</t>
  </si>
  <si>
    <t>д. Хитровка (не выделен в 51-ОЗ как отдельный н.п.)</t>
  </si>
  <si>
    <t>д. Секиотово (не выделен в 51-ОЗ как отдельный н.п.)</t>
  </si>
  <si>
    <t>Применение 
увеличенного 
тарифа по 
водоснабжению в
связи с утверждением ИП</t>
  </si>
  <si>
    <t>Применение 
увеличенного
тарифа по водоотведению в 
вязи с утверждением ИП</t>
  </si>
  <si>
    <t>→не применяется изначально</t>
  </si>
  <si>
    <t>МО ГО "ГОРОД КАЛУГА"</t>
  </si>
  <si>
    <t>2027-2028гг.</t>
  </si>
  <si>
    <t>Тариф на водоотведение при самотечной системе сточных вод (эксплуатационный)</t>
  </si>
  <si>
    <t>Тариф на водоотведение при самотечной системы сточных вод с учетом инвестиционной составляющей</t>
  </si>
  <si>
    <t>Строительство футляра Д=400 мм от КК (внутр.пл.) до КК-1, протяженностью 30 п.м. закрытым методом; протаскивание самотечного канализационного коллектора Д=225 в футляр Д=400 мм, протяженностью 30 п.м. Строительство самотечного канализационного коллектора  от КК-1 до КК (сущ.), протяженностью 134 п.м. закрытым методом; строительство ж/б колодцев Д-1,0 м, глубиной до 2 м – 3 шт.</t>
  </si>
  <si>
    <t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t>
  </si>
  <si>
    <t>внести изменения в ТЗ</t>
  </si>
  <si>
    <t>Фактический объем реализации по воде за 2022 год, м3</t>
  </si>
  <si>
    <t>Система Калуга</t>
  </si>
  <si>
    <t>ВСЕГО объем реализации к исключению из расчета тарифа</t>
  </si>
  <si>
    <t>Строительство футляра Д=560 мм от ВК-1 до ВК-1- 34 п.м. закрытым методом. Протаскивание трубопровода Д=315 в футляр Д=560 мм - 34 п.м. Строительство трубопровода Д=315 - 94 п.м. отрытым методом. Строительство трубопровода Д=315 до существующей камеры ВК (сущ.) - 52 п.м. закрытым методом. Строительство трубопровода 2хД=110 мм от границы земельного участка до проектируемого водовода Д=315мм. (ВК-2) - 4 п.м. каждый открытым способом. Строительство в/камеры ВК-1 2х2,5м глубиной 3 м с установкой арматуры: крест фланцевый Д=200х200 мм – 1 шт.; переходник фланцевый Д=200х300 мм – 1 шт.; переходник фланцевый Д=200х100 мм – 1 шт.; фланец Systems Д=300 мм – 1 шт.; фланец Systems Д=200 – 2 шт.; задвижка Hawle (4000Е1+) Д=300мм – 1 шт.; задвижка Hawle (4000Е1+) Д=100 мм – 1 шт.; ПГ Hawle Duo – Gost (2500 мм) – 1 шт. Строительство в/камеры (ВК-2) 2х2,5 м глубиной 3 м с установкой запорной арматуры: тройник фланцевый Д=300-100 мм – 2 шт.; задвижка Hawle (4000Е1+) Д=100мм – 2 шт.; Ф=фланец Systems Д=100 – 2 шт.; фланец Systems Д=300 – 2 шт. В существующей камере (ВКсущ.) 2х2,5 м глубиной 3 м с установкой запорной арматуры: тройник фланцевый Д=300х300 мм, Systems 300 – 3 шт., Hawle 4000A Д=300мм – 1 шт.</t>
  </si>
  <si>
    <t>не связанная с Калугой система,
водоистоник не принадлежит ГП (ГП принадлежат только сети)</t>
  </si>
  <si>
    <t>лицензия</t>
  </si>
  <si>
    <t>оформляется лицензия</t>
  </si>
  <si>
    <t>не требуется лицензия, каптаж</t>
  </si>
  <si>
    <t>Наличие на право пользования недрами</t>
  </si>
  <si>
    <t>лицензия на проектируемые скважины</t>
  </si>
  <si>
    <t>нет лицензии, скважина не принадлежит ГП (скважины только в с. Муратовка и п. Новый)</t>
  </si>
  <si>
    <t>Применение 
тарифа по 
водоснабжению в
соответствии с  ИП</t>
  </si>
  <si>
    <t>Применение 
тарифа по 
водоотведению в
соответствии с  ИП</t>
  </si>
  <si>
    <t>Система г.Калуга</t>
  </si>
  <si>
    <t>Отдельные системы г.Калуга</t>
  </si>
  <si>
    <t>Право пользования недрами</t>
  </si>
  <si>
    <t>д.Воскресенское</t>
  </si>
  <si>
    <t>система Калуга( Окский вз-р)</t>
  </si>
  <si>
    <t>лицензия Северный водозабор,ГНС,Южный водозабор</t>
  </si>
  <si>
    <t>Объем реализации услуг Системы Калуга</t>
  </si>
  <si>
    <t xml:space="preserve">нет лицензии, скважина не принадлежит ГП </t>
  </si>
  <si>
    <t>в том числе населению</t>
  </si>
  <si>
    <t>п. Куровской (не выделен в 51-ОЗ )</t>
  </si>
  <si>
    <t xml:space="preserve">Объем реализации услуг отдельных Систем Калуга </t>
  </si>
  <si>
    <t xml:space="preserve">Решение о представлении водного объекта в пользование для сброса сточных вод </t>
  </si>
  <si>
    <t>Фактический объем реализации по стокам за 2022 год, м3</t>
  </si>
  <si>
    <t>решение</t>
  </si>
  <si>
    <t>в работе</t>
  </si>
  <si>
    <t>в том числе объемы для ИП</t>
  </si>
  <si>
    <t>без С.Воскресенское СП Грабцево</t>
  </si>
  <si>
    <t>в том числе население</t>
  </si>
  <si>
    <t>Область факт 2022</t>
  </si>
  <si>
    <t>Плановый объем реализациипо водоснабжению на 2024 год</t>
  </si>
  <si>
    <t>ВСЕГО МО Город Калуга</t>
  </si>
  <si>
    <t>Фактический объем реализации по водоснабжению за 2022 год, м3</t>
  </si>
  <si>
    <t>Плановый объем реализации по водоснабжению на 2024 год,м3</t>
  </si>
  <si>
    <t>в т. ч. объемы для отнесения к общему тарифу(область)</t>
  </si>
  <si>
    <t xml:space="preserve">не связанная с Калугой система,
отсутствует источник </t>
  </si>
  <si>
    <t>мероприятие ИП за счет платы за негативное воздействие окружающей среды
→не применять</t>
  </si>
  <si>
    <t>Необходимая валовая выручка по водоотведению ГП "Калугаоблводоканал"</t>
  </si>
  <si>
    <t>ПЛАН 2024 год</t>
  </si>
  <si>
    <t>Область очистка</t>
  </si>
  <si>
    <t>Калуга очистка</t>
  </si>
  <si>
    <t>Область +Калуга очистка</t>
  </si>
  <si>
    <t>Область очистка- пропорционально объемам</t>
  </si>
  <si>
    <t>Калуга очистка- пропорционально объемам</t>
  </si>
  <si>
    <t>таруса</t>
  </si>
  <si>
    <t>Финансовый директор</t>
  </si>
  <si>
    <t>Н.Л.Дуцу</t>
  </si>
  <si>
    <t>тариф</t>
  </si>
  <si>
    <t>нвв</t>
  </si>
  <si>
    <t>область</t>
  </si>
  <si>
    <t>исп.</t>
  </si>
  <si>
    <t>Ведущий экономист ПЭО Голубкова Л.А.</t>
  </si>
  <si>
    <t>Область перекачка</t>
  </si>
  <si>
    <t>Калуга перекачка</t>
  </si>
  <si>
    <t>Область +Калуга перекачка</t>
  </si>
  <si>
    <t>Область перекачка пропорционально объемам</t>
  </si>
  <si>
    <t>Калуга перекачка - пропорционально объмам</t>
  </si>
  <si>
    <t>Область транспортировка</t>
  </si>
  <si>
    <t>Калуга транспортировка</t>
  </si>
  <si>
    <t>Область +Калуга транспортировка</t>
  </si>
  <si>
    <t>Область транспортировка пропорционально объемам</t>
  </si>
  <si>
    <t>Калуга транспортировка - пропорционально объмам</t>
  </si>
  <si>
    <t>полный цикл</t>
  </si>
  <si>
    <t>самотечная система</t>
  </si>
  <si>
    <t>РАСЧЕТ ФИНАНСОВЫХ ПОТРЕБНОСТЕЙ по очистке сточных вод на 2024-2028 гг. ГП Калугаоблводоканал" МО "Город Калуга"</t>
  </si>
  <si>
    <t xml:space="preserve">ПЛАН </t>
  </si>
  <si>
    <t>Тариф на очистке сточных вод (эксплуатационный)</t>
  </si>
  <si>
    <t>ГБОУ ДОД КО "ДЮСШ "Многоборец"</t>
  </si>
  <si>
    <t>с.Воскресенское население</t>
  </si>
  <si>
    <t>ООО ИК Воскресенское</t>
  </si>
  <si>
    <t>Факт 2021 год</t>
  </si>
  <si>
    <t>Факт 2022 год</t>
  </si>
  <si>
    <t>Факт 9 месяцев 2023 год</t>
  </si>
  <si>
    <t>План 2023 год</t>
  </si>
  <si>
    <t>Бюджет</t>
  </si>
  <si>
    <t>население</t>
  </si>
  <si>
    <t>по нормативам</t>
  </si>
  <si>
    <t>по приборам учета</t>
  </si>
  <si>
    <t>Население</t>
  </si>
  <si>
    <t>Прочие</t>
  </si>
  <si>
    <t>Факт 2019 год</t>
  </si>
  <si>
    <t>Факт 2020 год</t>
  </si>
  <si>
    <t>д. Бутырки</t>
  </si>
  <si>
    <t>д. Горневская Слобода</t>
  </si>
  <si>
    <t>д. Каптевка</t>
  </si>
  <si>
    <t>в т.ч. Население</t>
  </si>
  <si>
    <t>в т.ч. Прочие</t>
  </si>
  <si>
    <t>в т.ч. Бюджет</t>
  </si>
  <si>
    <t>От собственных абонентов</t>
  </si>
  <si>
    <t>Статья баланса</t>
  </si>
  <si>
    <t>Производственные нужды организации</t>
  </si>
  <si>
    <t>От бюджетных потребителей</t>
  </si>
  <si>
    <t>От населения</t>
  </si>
  <si>
    <t>От прочих потребителей</t>
  </si>
  <si>
    <t xml:space="preserve">ГО_Город Калуга </t>
  </si>
  <si>
    <t>отклонение от баланса</t>
  </si>
  <si>
    <t>СП_Село Грабцево_ПРЕДСТАВЛЕНО в МинКор ранее</t>
  </si>
  <si>
    <t>ОБЛАСТЬ</t>
  </si>
  <si>
    <t>КАЛУГА</t>
  </si>
  <si>
    <t>Изменение предложения ГП</t>
  </si>
  <si>
    <t>Заявлено в ПП 1 мая</t>
  </si>
  <si>
    <t>к</t>
  </si>
  <si>
    <t>Населенные пункты к исключению из ПП Калуга</t>
  </si>
  <si>
    <t>лицензия КЛЖ 00269 ВЭ</t>
  </si>
  <si>
    <t>лицензия КЛЖ 013487 ВЭ</t>
  </si>
  <si>
    <t>лицензия КЛЖ 012916 ВЭ</t>
  </si>
  <si>
    <t>лицензия КЛЖ 013482 ВЭ</t>
  </si>
  <si>
    <t>лицензия КЛЖ 80328 ВЭ</t>
  </si>
  <si>
    <t>лицензия КЛЖ 80439 ВЭ</t>
  </si>
  <si>
    <t>лицензия КЛЖ 80703 ВЭ</t>
  </si>
  <si>
    <t>лицензия КЛЖ 80502 ВЭ</t>
  </si>
  <si>
    <t>лицензия КЛЖ 80191ВЭ</t>
  </si>
  <si>
    <t>мероприятие состоит в ИП →применять</t>
  </si>
  <si>
    <t>лицензия КЛЖ 80192 ВЭ</t>
  </si>
  <si>
    <t>лицензия КЛЖ 80469 ВЭ</t>
  </si>
  <si>
    <t>лицензия КЛЖ 80370 ВЭ</t>
  </si>
  <si>
    <t>лицензия КЛЖ 80559 ВЭ</t>
  </si>
  <si>
    <t>лицензия КЛЖ 012915 ВЭ</t>
  </si>
  <si>
    <t>с. Муратовка (ул. Лесная)</t>
  </si>
  <si>
    <t>лицензия КЛЖ 80534 ВЭ на проектируемые скважины</t>
  </si>
  <si>
    <t>не связанная с Калугой система, 
водоистоник не принадлежит ГП (ГП принадлежат только сети)</t>
  </si>
  <si>
    <t>лицензия КЛЖ 013486 ВЭ</t>
  </si>
  <si>
    <t>лицензия КЛЖ 80684 ВЭ</t>
  </si>
  <si>
    <t>лицензия КЛЖ 00373ВЭ</t>
  </si>
  <si>
    <t>Транспортировка, 
тыс. м3</t>
  </si>
  <si>
    <t>Перекачка, 
тыс. м3</t>
  </si>
  <si>
    <t>Очистка, 
тыс. м3</t>
  </si>
  <si>
    <t>в том числе:</t>
  </si>
  <si>
    <t>Объем реализации план 2024, 
тыс. м3</t>
  </si>
  <si>
    <t>Объем реализации 
факт 2022, 
тыс. м3</t>
  </si>
  <si>
    <t>Применение 
увеличенного
тарифа по водоотведению в 
связи с утверждением ИП</t>
  </si>
  <si>
    <t>Объем реализации по водоснабжению 
план 2024, тыс. м3</t>
  </si>
  <si>
    <t>Объемы реализации по водоснабжению факт 2022, тыс. м3</t>
  </si>
  <si>
    <t>Наличие лицензии на природопользование</t>
  </si>
  <si>
    <t>Наименование населенного
 пункта согласно 51-ОЗ</t>
  </si>
  <si>
    <t>Долгосрочные тарифы на водоотведение при самотечной системе сточных вод устанавливаются для государственного предприятия Калужской области «Калугаоблводоканал» на 2024-2028 гг. на территории МО ГО «Город Калуга» за исключением с. Сосновый Бор, дер. Колюпаново, с. Муратовский щебзавод, п. Новый и на территории МО СП Село «Грабцево».</t>
  </si>
  <si>
    <t>Долгосрочные тарифы на водоотведение устанавливаются для государственного предприятия Калужской области «Калугаоблводоканал» на 2024-2028 гг. на территории МО ГО «Город Калуга» за исключением с. Сосновый Бор, дер. Колюпаново, с. Муратовский щебзавод, п. Новый и на территории МО СП Село «Грабцево».</t>
  </si>
  <si>
    <t xml:space="preserve">Долгосрочные тарифы на питьевую воду (питьевое водоснабжение) устанавливаются для государственного предприятия Калужской области «Калугаоблводоканал» на 2024-2028 гг. на территории МО ГО «Город Калуга» за исключением с. Сосновый Бор, дер. Андреевское, дер. Животинки, дер. Колюпаново, п. Мирный, с. Муратовка, с. Козлово, дер. Николо-Лапиносово, дер. Яглово, дер. Крутицы, с. Муратовский щебзавод, п. Новый, дер. Ильинка, дер. Жерело, дер. Григоровка, дер. Груздово, дер. Доможирово, дер. Косарево, дер. Петрово, дер. Починки и на территории МО СП «Село Грабцево» за исключением с. Воскресенское. </t>
  </si>
  <si>
    <t>Информация о применении тарифа с учетом капитальных вложений, финансируемых из нормативной прибыли, учитываемой в необходимой валовой выручке на 2024-2028 гг. на территории МО ГО "Город Калуга" и МО СП "Село Грабцево"</t>
  </si>
  <si>
    <t>с. Воскресенское коттеджная застройка</t>
  </si>
  <si>
    <t>с.Воскресенское</t>
  </si>
  <si>
    <t>дер. Каптевка</t>
  </si>
  <si>
    <t>дер. Фелисово</t>
  </si>
  <si>
    <t xml:space="preserve">нет данных </t>
  </si>
  <si>
    <t>нет данных</t>
  </si>
  <si>
    <t>46792 МОУ "Грабцевская средняя общеобразовательная школа"</t>
  </si>
  <si>
    <t>1159 АНО "Калужская международная школа" (договор расторгнут с 01.09.2020)</t>
  </si>
  <si>
    <t>2498 ГБОУ ДОД КО "ДЮСШ "Многоборец"</t>
  </si>
  <si>
    <t>1497 ООО "Самородок"</t>
  </si>
  <si>
    <t>1225 Артюхов</t>
  </si>
  <si>
    <t>1369 Чернина</t>
  </si>
  <si>
    <t>936 Парашютный клуб</t>
  </si>
  <si>
    <t>443 ООО "Самородок"</t>
  </si>
  <si>
    <t>569 Старостин</t>
  </si>
  <si>
    <t>1100 Приход</t>
  </si>
  <si>
    <t xml:space="preserve">1629 Тандер </t>
  </si>
  <si>
    <t>706 Газпромавиа</t>
  </si>
  <si>
    <t>94 КТС</t>
  </si>
</sst>
</file>

<file path=xl/styles.xml><?xml version="1.0" encoding="utf-8"?>
<styleSheet xmlns="http://schemas.openxmlformats.org/spreadsheetml/2006/main">
  <numFmts count="29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.000"/>
    <numFmt numFmtId="167" formatCode="_-* #,##0.00[$€-1]_-;\-* #,##0.00[$€-1]_-;_-* &quot;-&quot;??[$€-1]_-"/>
    <numFmt numFmtId="168" formatCode="\ #,##0.00&quot;р. &quot;;\-#,##0.00&quot;р. &quot;;&quot; -&quot;#&quot;р. &quot;;@\ "/>
    <numFmt numFmtId="169" formatCode="0.0"/>
    <numFmt numFmtId="170" formatCode="_-* #,##0.000\ _₽_-;\-* #,##0.000\ _₽_-;_-* &quot;-&quot;???\ _₽_-;_-@_-"/>
    <numFmt numFmtId="171" formatCode="_-* #,##0.000_р_._-;\-* #,##0.000_р_._-;_-* &quot;-&quot;??_р_._-;_-@_-"/>
    <numFmt numFmtId="172" formatCode="#,##0.00_ ;\-#,##0.00\ "/>
    <numFmt numFmtId="173" formatCode="#,##0_ ;\-#,##0\ "/>
    <numFmt numFmtId="174" formatCode="_-* #,##0_р_._-;\-* #,##0_р_._-;_-* &quot;-&quot;??_р_._-;_-@_-"/>
    <numFmt numFmtId="175" formatCode="#,##0.0"/>
    <numFmt numFmtId="176" formatCode="0.000"/>
    <numFmt numFmtId="177" formatCode="00.00"/>
    <numFmt numFmtId="178" formatCode="#,##0.00;[Red]\-#,##0.00"/>
    <numFmt numFmtId="179" formatCode="0.000_ ;[Red]\-0.000\ "/>
    <numFmt numFmtId="180" formatCode="0.000;[Red]\-0.000"/>
    <numFmt numFmtId="181" formatCode="_-* #,##0.000_р_._-;\-* #,##0.000_р_._-;_-* &quot;-&quot;???_р_._-;_-@_-"/>
    <numFmt numFmtId="182" formatCode="0.0000"/>
    <numFmt numFmtId="183" formatCode="_-* #,##0.00_р_._-;\-* #,##0.00_р_._-;_-* &quot;-&quot;???_р_._-;_-@_-"/>
    <numFmt numFmtId="184" formatCode="#,##0.00000"/>
    <numFmt numFmtId="185" formatCode="000000000"/>
    <numFmt numFmtId="186" formatCode="0&quot;.&quot;"/>
    <numFmt numFmtId="187" formatCode="#,##0.0000"/>
    <numFmt numFmtId="188" formatCode="#,##0.00_ ;[Red]\-#,##0.00\ "/>
    <numFmt numFmtId="189" formatCode="0.00;[Red]\-0.00"/>
    <numFmt numFmtId="190" formatCode="0.0%"/>
    <numFmt numFmtId="191" formatCode="#,##0.00\ _₽"/>
  </numFmts>
  <fonts count="18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Times New Roman Cyr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4"/>
      <color indexed="17"/>
      <name val="Arial Cyr"/>
      <family val="2"/>
      <charset val="204"/>
    </font>
    <font>
      <b/>
      <sz val="13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color indexed="9"/>
      <name val="Arial Cyr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color rgb="FF1F497D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5"/>
      <color indexed="17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indexed="9"/>
      <name val="Arial Cyr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indexed="17"/>
      <name val="Arial Cyr"/>
      <charset val="204"/>
    </font>
    <font>
      <b/>
      <sz val="13"/>
      <color rgb="FFFF0000"/>
      <name val="Arial"/>
      <family val="2"/>
      <charset val="204"/>
    </font>
    <font>
      <b/>
      <sz val="13"/>
      <color indexed="9"/>
      <name val="Arial Cyr"/>
      <charset val="204"/>
    </font>
    <font>
      <sz val="13"/>
      <color theme="1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name val="Arial"/>
      <family val="2"/>
      <charset val="204"/>
    </font>
    <font>
      <sz val="14"/>
      <color rgb="FF9C0006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C00000"/>
      <name val="Times New Roman"/>
      <family val="1"/>
      <charset val="204"/>
    </font>
    <font>
      <b/>
      <sz val="14"/>
      <color rgb="FFC00000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</font>
    <font>
      <b/>
      <i/>
      <sz val="11"/>
      <color theme="1"/>
      <name val="Calibri"/>
      <family val="2"/>
      <charset val="204"/>
      <scheme val="minor"/>
    </font>
    <font>
      <sz val="11"/>
      <color theme="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color rgb="FF0061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6"/>
      <color rgb="FF006100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b/>
      <i/>
      <sz val="16"/>
      <color theme="0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C00000"/>
      <name val="Times New Roman"/>
      <family val="1"/>
      <charset val="204"/>
    </font>
    <font>
      <sz val="22"/>
      <color rgb="FFC0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rgb="FFFF0000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8"/>
      <color indexed="26"/>
      <name val="Arial"/>
      <family val="2"/>
    </font>
    <font>
      <b/>
      <sz val="8"/>
      <color indexed="30"/>
      <name val="Arial"/>
      <family val="2"/>
    </font>
    <font>
      <sz val="8"/>
      <color indexed="24"/>
      <name val="Arial"/>
      <family val="2"/>
    </font>
    <font>
      <b/>
      <sz val="12"/>
      <color indexed="24"/>
      <name val="Arial"/>
      <family val="2"/>
    </font>
    <font>
      <sz val="9"/>
      <name val="Times New Roman"/>
      <family val="1"/>
      <charset val="204"/>
    </font>
    <font>
      <b/>
      <sz val="22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8"/>
      <color theme="6" tint="-0.499984740745262"/>
      <name val="Arial"/>
      <family val="2"/>
    </font>
    <font>
      <sz val="8"/>
      <color theme="6"/>
      <name val="Arial"/>
      <family val="2"/>
    </font>
    <font>
      <sz val="8"/>
      <color theme="3"/>
      <name val="Arial"/>
      <family val="2"/>
    </font>
    <font>
      <sz val="8"/>
      <name val="Verdana"/>
      <family val="2"/>
      <charset val="204"/>
    </font>
    <font>
      <b/>
      <sz val="12"/>
      <color rgb="FFFF0000"/>
      <name val="Arial Cyr"/>
      <charset val="204"/>
    </font>
    <font>
      <sz val="12"/>
      <color theme="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Arial"/>
      <family val="2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"/>
      <name val="Arial"/>
      <family val="2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Arial Cyr"/>
      <charset val="204"/>
    </font>
    <font>
      <sz val="10"/>
      <color rgb="FFC00000"/>
      <name val="Arial"/>
      <family val="2"/>
      <charset val="204"/>
    </font>
    <font>
      <b/>
      <sz val="12"/>
      <color rgb="FFFF0000"/>
      <name val="Arial"/>
      <family val="2"/>
    </font>
    <font>
      <sz val="10"/>
      <color rgb="FFFF0000"/>
      <name val="Arial"/>
      <family val="2"/>
      <charset val="204"/>
    </font>
    <font>
      <sz val="10"/>
      <color theme="3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Arial"/>
      <family val="2"/>
      <charset val="204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theme="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sz val="12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theme="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  <font>
      <sz val="8"/>
      <color rgb="FFC00000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8"/>
      <color theme="1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FF"/>
      </patternFill>
    </fill>
    <fill>
      <patternFill patternType="solid">
        <fgColor rgb="FFCCC085"/>
      </patternFill>
    </fill>
    <fill>
      <patternFill patternType="solid">
        <fgColor rgb="FFC0C0C0"/>
      </patternFill>
    </fill>
    <fill>
      <patternFill patternType="solid">
        <fgColor rgb="FF6495ED"/>
      </patternFill>
    </fill>
    <fill>
      <patternFill patternType="solid">
        <fgColor rgb="FFDCDCD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2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indexed="64"/>
      </right>
      <top/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/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3F3F3F"/>
      </bottom>
      <diagonal/>
    </border>
    <border>
      <left style="double">
        <color rgb="FF3F3F3F"/>
      </left>
      <right style="thin">
        <color indexed="64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/>
      <top/>
      <bottom/>
      <diagonal/>
    </border>
    <border>
      <left/>
      <right style="double">
        <color indexed="63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 style="medium">
        <color indexed="64"/>
      </left>
      <right style="double">
        <color indexed="63"/>
      </right>
      <top style="medium">
        <color indexed="64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medium">
        <color indexed="64"/>
      </top>
      <bottom style="double">
        <color indexed="63"/>
      </bottom>
      <diagonal/>
    </border>
    <border>
      <left style="double">
        <color indexed="63"/>
      </left>
      <right style="medium">
        <color indexed="64"/>
      </right>
      <top style="medium">
        <color indexed="64"/>
      </top>
      <bottom style="double">
        <color indexed="63"/>
      </bottom>
      <diagonal/>
    </border>
    <border>
      <left style="medium">
        <color indexed="64"/>
      </left>
      <right style="double">
        <color indexed="63"/>
      </right>
      <top style="double">
        <color indexed="63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medium">
        <color indexed="64"/>
      </bottom>
      <diagonal/>
    </border>
    <border>
      <left style="double">
        <color indexed="63"/>
      </left>
      <right style="medium">
        <color indexed="64"/>
      </right>
      <top style="double">
        <color indexed="63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3"/>
      </right>
      <top style="medium">
        <color indexed="64"/>
      </top>
      <bottom style="double">
        <color indexed="63"/>
      </bottom>
      <diagonal/>
    </border>
    <border>
      <left/>
      <right style="double">
        <color indexed="63"/>
      </right>
      <top style="double">
        <color indexed="63"/>
      </top>
      <bottom style="medium">
        <color indexed="64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/>
      <diagonal/>
    </border>
  </borders>
  <cellStyleXfs count="124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0" fontId="5" fillId="0" borderId="0">
      <alignment horizontal="right" vertical="top" wrapText="1"/>
    </xf>
    <xf numFmtId="0" fontId="5" fillId="0" borderId="1">
      <alignment horizontal="center" wrapText="1"/>
    </xf>
    <xf numFmtId="0" fontId="5" fillId="0" borderId="0">
      <alignment horizontal="center"/>
    </xf>
    <xf numFmtId="0" fontId="5" fillId="0" borderId="0">
      <alignment horizontal="left" vertical="top"/>
    </xf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0" fontId="8" fillId="7" borderId="18" applyNumberFormat="0" applyFont="0" applyAlignment="0" applyProtection="0"/>
    <xf numFmtId="0" fontId="8" fillId="8" borderId="0" applyNumberFormat="0" applyBorder="0" applyAlignment="0" applyProtection="0"/>
    <xf numFmtId="0" fontId="9" fillId="0" borderId="20" applyNumberFormat="0" applyFill="0" applyAlignment="0" applyProtection="0"/>
    <xf numFmtId="0" fontId="10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7" borderId="0" applyNumberFormat="0" applyBorder="0" applyAlignment="0" applyProtection="0"/>
    <xf numFmtId="0" fontId="13" fillId="15" borderId="21" applyNumberFormat="0" applyAlignment="0" applyProtection="0"/>
    <xf numFmtId="0" fontId="14" fillId="28" borderId="22" applyNumberFormat="0" applyAlignment="0" applyProtection="0"/>
    <xf numFmtId="0" fontId="15" fillId="28" borderId="21" applyNumberFormat="0" applyAlignment="0" applyProtection="0"/>
    <xf numFmtId="0" fontId="16" fillId="0" borderId="0" applyBorder="0">
      <alignment horizontal="center" vertical="center" wrapText="1"/>
    </xf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9" applyBorder="0">
      <alignment horizontal="center" vertical="center" wrapText="1"/>
    </xf>
    <xf numFmtId="4" fontId="21" fillId="29" borderId="1" applyBorder="0">
      <alignment horizontal="right"/>
    </xf>
    <xf numFmtId="0" fontId="22" fillId="0" borderId="26" applyNumberFormat="0" applyFill="0" applyAlignment="0" applyProtection="0"/>
    <xf numFmtId="0" fontId="23" fillId="30" borderId="27" applyNumberFormat="0" applyAlignment="0" applyProtection="0"/>
    <xf numFmtId="0" fontId="24" fillId="31" borderId="0" applyNumberFormat="0" applyBorder="0" applyAlignment="0" applyProtection="0"/>
    <xf numFmtId="0" fontId="25" fillId="0" borderId="0"/>
    <xf numFmtId="0" fontId="8" fillId="0" borderId="0"/>
    <xf numFmtId="0" fontId="26" fillId="0" borderId="0"/>
    <xf numFmtId="0" fontId="8" fillId="0" borderId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4" fillId="32" borderId="28" applyNumberFormat="0" applyFont="0" applyAlignment="0" applyProtection="0"/>
    <xf numFmtId="0" fontId="30" fillId="0" borderId="29" applyNumberFormat="0" applyFill="0" applyAlignment="0" applyProtection="0"/>
    <xf numFmtId="0" fontId="31" fillId="0" borderId="0" applyNumberFormat="0" applyFill="0" applyBorder="0" applyAlignment="0" applyProtection="0"/>
    <xf numFmtId="165" fontId="27" fillId="0" borderId="0" applyFont="0" applyFill="0" applyBorder="0" applyAlignment="0" applyProtection="0"/>
    <xf numFmtId="4" fontId="21" fillId="33" borderId="15" applyBorder="0">
      <alignment horizontal="right"/>
    </xf>
    <xf numFmtId="0" fontId="32" fillId="12" borderId="0" applyNumberFormat="0" applyBorder="0" applyAlignment="0" applyProtection="0"/>
    <xf numFmtId="0" fontId="8" fillId="0" borderId="0"/>
    <xf numFmtId="0" fontId="33" fillId="0" borderId="0"/>
    <xf numFmtId="168" fontId="33" fillId="0" borderId="0" applyFill="0" applyBorder="0" applyAlignment="0" applyProtection="0"/>
    <xf numFmtId="0" fontId="4" fillId="0" borderId="0" applyProtection="0"/>
    <xf numFmtId="0" fontId="5" fillId="0" borderId="1">
      <alignment horizontal="center"/>
    </xf>
    <xf numFmtId="0" fontId="5" fillId="0" borderId="0"/>
    <xf numFmtId="0" fontId="4" fillId="0" borderId="0"/>
    <xf numFmtId="0" fontId="5" fillId="0" borderId="1" applyFill="0" applyProtection="0">
      <alignment horizontal="center"/>
    </xf>
    <xf numFmtId="0" fontId="5" fillId="0" borderId="1">
      <alignment horizontal="center"/>
    </xf>
    <xf numFmtId="0" fontId="4" fillId="0" borderId="0">
      <alignment vertical="top"/>
    </xf>
    <xf numFmtId="0" fontId="5" fillId="0" borderId="1">
      <alignment horizontal="center"/>
    </xf>
    <xf numFmtId="0" fontId="5" fillId="0" borderId="0">
      <alignment vertical="top"/>
    </xf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/>
    <xf numFmtId="0" fontId="5" fillId="0" borderId="0"/>
    <xf numFmtId="0" fontId="5" fillId="0" borderId="1">
      <alignment horizontal="center" wrapText="1"/>
    </xf>
    <xf numFmtId="0" fontId="5" fillId="0" borderId="1">
      <alignment horizontal="center"/>
    </xf>
    <xf numFmtId="0" fontId="5" fillId="0" borderId="1">
      <alignment horizontal="center" wrapText="1"/>
    </xf>
    <xf numFmtId="0" fontId="4" fillId="0" borderId="0"/>
    <xf numFmtId="0" fontId="5" fillId="0" borderId="0"/>
    <xf numFmtId="0" fontId="4" fillId="0" borderId="0"/>
    <xf numFmtId="0" fontId="8" fillId="35" borderId="0" applyNumberFormat="0" applyBorder="0" applyAlignment="0" applyProtection="0"/>
    <xf numFmtId="0" fontId="8" fillId="0" borderId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4" fillId="7" borderId="18" applyNumberFormat="0" applyFont="0" applyAlignment="0" applyProtection="0"/>
    <xf numFmtId="0" fontId="4" fillId="0" borderId="0"/>
    <xf numFmtId="0" fontId="35" fillId="0" borderId="35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60" fillId="40" borderId="0" applyNumberFormat="0" applyBorder="0" applyAlignment="0" applyProtection="0"/>
    <xf numFmtId="0" fontId="4" fillId="0" borderId="0"/>
    <xf numFmtId="0" fontId="4" fillId="0" borderId="0"/>
    <xf numFmtId="9" fontId="10" fillId="0" borderId="0" applyFont="0" applyFill="0" applyBorder="0" applyAlignment="0" applyProtection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0" fontId="63" fillId="0" borderId="0"/>
    <xf numFmtId="0" fontId="4" fillId="0" borderId="0"/>
    <xf numFmtId="0" fontId="70" fillId="0" borderId="0"/>
    <xf numFmtId="0" fontId="70" fillId="0" borderId="0"/>
    <xf numFmtId="0" fontId="73" fillId="47" borderId="0" applyNumberFormat="0" applyBorder="0" applyAlignment="0" applyProtection="0"/>
    <xf numFmtId="0" fontId="74" fillId="48" borderId="0" applyNumberFormat="0" applyBorder="0" applyAlignment="0" applyProtection="0"/>
    <xf numFmtId="0" fontId="75" fillId="49" borderId="117" applyNumberFormat="0" applyAlignment="0" applyProtection="0"/>
    <xf numFmtId="0" fontId="7" fillId="50" borderId="0" applyNumberFormat="0" applyBorder="0" applyAlignment="0" applyProtection="0"/>
    <xf numFmtId="0" fontId="8" fillId="0" borderId="0"/>
    <xf numFmtId="0" fontId="10" fillId="0" borderId="1" applyBorder="0" applyAlignment="0">
      <alignment horizontal="center" wrapText="1"/>
    </xf>
    <xf numFmtId="0" fontId="8" fillId="0" borderId="0"/>
    <xf numFmtId="0" fontId="102" fillId="0" borderId="0"/>
    <xf numFmtId="0" fontId="70" fillId="0" borderId="0"/>
    <xf numFmtId="0" fontId="70" fillId="0" borderId="0"/>
    <xf numFmtId="9" fontId="8" fillId="0" borderId="0" applyFont="0" applyFill="0" applyBorder="0" applyAlignment="0" applyProtection="0"/>
  </cellStyleXfs>
  <cellXfs count="3584">
    <xf numFmtId="0" fontId="0" fillId="0" borderId="0" xfId="0"/>
    <xf numFmtId="0" fontId="0" fillId="0" borderId="0" xfId="0" applyFill="1"/>
    <xf numFmtId="0" fontId="34" fillId="0" borderId="0" xfId="0" applyFont="1"/>
    <xf numFmtId="0" fontId="36" fillId="0" borderId="0" xfId="0" applyFont="1"/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justify" wrapText="1"/>
    </xf>
    <xf numFmtId="49" fontId="36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4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40" fillId="12" borderId="27" xfId="62" applyFont="1" applyBorder="1" applyAlignment="1">
      <alignment wrapText="1"/>
    </xf>
    <xf numFmtId="0" fontId="41" fillId="0" borderId="0" xfId="0" applyFont="1" applyAlignment="1">
      <alignment horizontal="left" wrapText="1"/>
    </xf>
    <xf numFmtId="0" fontId="39" fillId="0" borderId="0" xfId="0" applyFont="1"/>
    <xf numFmtId="0" fontId="42" fillId="0" borderId="0" xfId="0" applyFont="1"/>
    <xf numFmtId="0" fontId="39" fillId="0" borderId="0" xfId="0" applyFont="1" applyAlignment="1">
      <alignment horizontal="center"/>
    </xf>
    <xf numFmtId="0" fontId="43" fillId="26" borderId="38" xfId="34" applyFont="1" applyBorder="1"/>
    <xf numFmtId="0" fontId="39" fillId="7" borderId="39" xfId="10" applyFont="1" applyBorder="1" applyAlignment="1">
      <alignment horizontal="center"/>
    </xf>
    <xf numFmtId="0" fontId="39" fillId="7" borderId="40" xfId="10" applyFont="1" applyBorder="1"/>
    <xf numFmtId="0" fontId="39" fillId="7" borderId="40" xfId="10" applyFont="1" applyBorder="1" applyAlignment="1">
      <alignment horizontal="center" wrapText="1"/>
    </xf>
    <xf numFmtId="166" fontId="39" fillId="7" borderId="40" xfId="10" applyNumberFormat="1" applyFont="1" applyBorder="1" applyAlignment="1">
      <alignment horizontal="center" wrapText="1"/>
    </xf>
    <xf numFmtId="0" fontId="39" fillId="7" borderId="41" xfId="10" applyFont="1" applyBorder="1"/>
    <xf numFmtId="0" fontId="39" fillId="7" borderId="42" xfId="10" applyFont="1" applyBorder="1" applyAlignment="1">
      <alignment horizontal="center"/>
    </xf>
    <xf numFmtId="0" fontId="39" fillId="7" borderId="43" xfId="10" applyFont="1" applyBorder="1"/>
    <xf numFmtId="166" fontId="39" fillId="7" borderId="43" xfId="10" applyNumberFormat="1" applyFont="1" applyBorder="1"/>
    <xf numFmtId="3" fontId="43" fillId="7" borderId="43" xfId="10" applyNumberFormat="1" applyFont="1" applyBorder="1"/>
    <xf numFmtId="3" fontId="39" fillId="7" borderId="43" xfId="10" applyNumberFormat="1" applyFont="1" applyBorder="1"/>
    <xf numFmtId="0" fontId="39" fillId="7" borderId="44" xfId="10" applyFont="1" applyBorder="1"/>
    <xf numFmtId="0" fontId="44" fillId="7" borderId="45" xfId="10" applyFont="1" applyBorder="1" applyAlignment="1">
      <alignment horizontal="center"/>
    </xf>
    <xf numFmtId="0" fontId="44" fillId="7" borderId="18" xfId="10" applyFont="1" applyBorder="1" applyAlignment="1">
      <alignment horizontal="center"/>
    </xf>
    <xf numFmtId="0" fontId="44" fillId="7" borderId="18" xfId="10" applyFont="1" applyBorder="1"/>
    <xf numFmtId="14" fontId="44" fillId="7" borderId="18" xfId="10" applyNumberFormat="1" applyFont="1" applyBorder="1"/>
    <xf numFmtId="166" fontId="44" fillId="34" borderId="18" xfId="10" applyNumberFormat="1" applyFont="1" applyFill="1" applyBorder="1"/>
    <xf numFmtId="3" fontId="44" fillId="7" borderId="18" xfId="10" applyNumberFormat="1" applyFont="1" applyBorder="1"/>
    <xf numFmtId="0" fontId="44" fillId="7" borderId="46" xfId="10" applyFont="1" applyBorder="1"/>
    <xf numFmtId="0" fontId="44" fillId="0" borderId="0" xfId="0" applyFont="1"/>
    <xf numFmtId="0" fontId="45" fillId="0" borderId="0" xfId="0" applyFont="1"/>
    <xf numFmtId="0" fontId="44" fillId="7" borderId="47" xfId="10" applyFont="1" applyBorder="1" applyAlignment="1">
      <alignment horizontal="center"/>
    </xf>
    <xf numFmtId="0" fontId="44" fillId="7" borderId="48" xfId="10" applyFont="1" applyBorder="1" applyAlignment="1">
      <alignment horizontal="center"/>
    </xf>
    <xf numFmtId="0" fontId="44" fillId="7" borderId="48" xfId="10" applyFont="1" applyBorder="1"/>
    <xf numFmtId="14" fontId="44" fillId="7" borderId="48" xfId="10" applyNumberFormat="1" applyFont="1" applyBorder="1"/>
    <xf numFmtId="166" fontId="44" fillId="34" borderId="48" xfId="10" applyNumberFormat="1" applyFont="1" applyFill="1" applyBorder="1"/>
    <xf numFmtId="3" fontId="44" fillId="7" borderId="48" xfId="10" applyNumberFormat="1" applyFont="1" applyBorder="1"/>
    <xf numFmtId="0" fontId="44" fillId="7" borderId="49" xfId="10" applyFont="1" applyBorder="1"/>
    <xf numFmtId="0" fontId="43" fillId="0" borderId="0" xfId="34" applyFont="1" applyFill="1" applyBorder="1"/>
    <xf numFmtId="166" fontId="39" fillId="0" borderId="0" xfId="0" applyNumberFormat="1" applyFont="1"/>
    <xf numFmtId="166" fontId="46" fillId="32" borderId="60" xfId="57" applyNumberFormat="1" applyFont="1" applyBorder="1" applyAlignment="1">
      <alignment horizontal="center" vertical="center" wrapText="1"/>
    </xf>
    <xf numFmtId="166" fontId="46" fillId="32" borderId="61" xfId="57" applyNumberFormat="1" applyFont="1" applyBorder="1" applyAlignment="1">
      <alignment horizontal="center" vertical="center" wrapText="1"/>
    </xf>
    <xf numFmtId="0" fontId="39" fillId="32" borderId="50" xfId="57" applyFont="1" applyBorder="1" applyAlignment="1">
      <alignment horizontal="center" vertical="center" wrapText="1"/>
    </xf>
    <xf numFmtId="0" fontId="46" fillId="32" borderId="51" xfId="57" applyFont="1" applyBorder="1" applyAlignment="1">
      <alignment horizontal="left" vertical="center" wrapText="1"/>
    </xf>
    <xf numFmtId="166" fontId="46" fillId="32" borderId="52" xfId="57" applyNumberFormat="1" applyFont="1" applyBorder="1" applyAlignment="1">
      <alignment horizontal="center" vertical="center" wrapText="1"/>
    </xf>
    <xf numFmtId="166" fontId="46" fillId="32" borderId="53" xfId="57" applyNumberFormat="1" applyFont="1" applyBorder="1" applyAlignment="1">
      <alignment horizontal="center" vertical="center" wrapText="1"/>
    </xf>
    <xf numFmtId="166" fontId="46" fillId="32" borderId="53" xfId="57" applyNumberFormat="1" applyFont="1" applyBorder="1" applyAlignment="1">
      <alignment horizontal="right" vertical="center" wrapText="1"/>
    </xf>
    <xf numFmtId="166" fontId="46" fillId="32" borderId="56" xfId="57" applyNumberFormat="1" applyFont="1" applyBorder="1" applyAlignment="1">
      <alignment horizontal="right" vertical="center" wrapText="1"/>
    </xf>
    <xf numFmtId="3" fontId="46" fillId="32" borderId="53" xfId="57" applyNumberFormat="1" applyFont="1" applyBorder="1" applyAlignment="1">
      <alignment horizontal="right" vertical="center" wrapText="1"/>
    </xf>
    <xf numFmtId="3" fontId="46" fillId="32" borderId="56" xfId="57" applyNumberFormat="1" applyFont="1" applyBorder="1" applyAlignment="1">
      <alignment horizontal="right" vertical="center" wrapText="1"/>
    </xf>
    <xf numFmtId="0" fontId="39" fillId="32" borderId="62" xfId="57" applyFont="1" applyBorder="1" applyAlignment="1">
      <alignment horizontal="center" vertical="center" wrapText="1"/>
    </xf>
    <xf numFmtId="0" fontId="39" fillId="32" borderId="63" xfId="57" applyFont="1" applyBorder="1" applyAlignment="1">
      <alignment horizontal="left" wrapText="1" indent="1"/>
    </xf>
    <xf numFmtId="166" fontId="46" fillId="32" borderId="64" xfId="57" applyNumberFormat="1" applyFont="1" applyBorder="1" applyAlignment="1">
      <alignment horizontal="center" vertical="center" wrapText="1"/>
    </xf>
    <xf numFmtId="166" fontId="46" fillId="32" borderId="28" xfId="57" applyNumberFormat="1" applyFont="1" applyBorder="1" applyAlignment="1">
      <alignment horizontal="center" vertical="center" wrapText="1"/>
    </xf>
    <xf numFmtId="166" fontId="46" fillId="32" borderId="28" xfId="57" applyNumberFormat="1" applyFont="1" applyBorder="1" applyAlignment="1">
      <alignment horizontal="right" vertical="center" wrapText="1"/>
    </xf>
    <xf numFmtId="166" fontId="46" fillId="32" borderId="65" xfId="57" applyNumberFormat="1" applyFont="1" applyBorder="1" applyAlignment="1">
      <alignment horizontal="right" vertical="center" wrapText="1"/>
    </xf>
    <xf numFmtId="3" fontId="46" fillId="32" borderId="28" xfId="57" applyNumberFormat="1" applyFont="1" applyBorder="1" applyAlignment="1">
      <alignment horizontal="right" vertical="center" wrapText="1"/>
    </xf>
    <xf numFmtId="3" fontId="46" fillId="32" borderId="65" xfId="57" applyNumberFormat="1" applyFont="1" applyBorder="1" applyAlignment="1">
      <alignment horizontal="right" vertical="center" wrapText="1"/>
    </xf>
    <xf numFmtId="0" fontId="39" fillId="32" borderId="66" xfId="57" applyFont="1" applyBorder="1" applyAlignment="1">
      <alignment horizontal="center" vertical="center" wrapText="1"/>
    </xf>
    <xf numFmtId="0" fontId="39" fillId="32" borderId="67" xfId="57" applyFont="1" applyBorder="1" applyAlignment="1">
      <alignment horizontal="left" wrapText="1" indent="1"/>
    </xf>
    <xf numFmtId="166" fontId="46" fillId="32" borderId="68" xfId="57" applyNumberFormat="1" applyFont="1" applyBorder="1" applyAlignment="1">
      <alignment horizontal="center" vertical="center" wrapText="1"/>
    </xf>
    <xf numFmtId="166" fontId="46" fillId="32" borderId="69" xfId="57" applyNumberFormat="1" applyFont="1" applyBorder="1" applyAlignment="1">
      <alignment horizontal="center" vertical="center" wrapText="1"/>
    </xf>
    <xf numFmtId="166" fontId="46" fillId="32" borderId="69" xfId="57" applyNumberFormat="1" applyFont="1" applyBorder="1" applyAlignment="1">
      <alignment horizontal="right" vertical="center" wrapText="1"/>
    </xf>
    <xf numFmtId="166" fontId="46" fillId="32" borderId="70" xfId="57" applyNumberFormat="1" applyFont="1" applyBorder="1" applyAlignment="1">
      <alignment horizontal="right" vertical="center" wrapText="1"/>
    </xf>
    <xf numFmtId="3" fontId="46" fillId="32" borderId="69" xfId="57" applyNumberFormat="1" applyFont="1" applyBorder="1" applyAlignment="1">
      <alignment horizontal="right" vertical="center" wrapText="1"/>
    </xf>
    <xf numFmtId="3" fontId="46" fillId="32" borderId="70" xfId="57" applyNumberFormat="1" applyFont="1" applyBorder="1" applyAlignment="1">
      <alignment horizontal="right" vertical="center" wrapText="1"/>
    </xf>
    <xf numFmtId="0" fontId="39" fillId="32" borderId="50" xfId="57" applyFont="1" applyBorder="1" applyAlignment="1">
      <alignment horizontal="center"/>
    </xf>
    <xf numFmtId="166" fontId="46" fillId="32" borderId="52" xfId="57" applyNumberFormat="1" applyFont="1" applyBorder="1" applyAlignment="1">
      <alignment horizontal="right" vertical="center" wrapText="1"/>
    </xf>
    <xf numFmtId="0" fontId="39" fillId="41" borderId="0" xfId="0" applyFont="1" applyFill="1"/>
    <xf numFmtId="0" fontId="39" fillId="32" borderId="62" xfId="57" applyFont="1" applyBorder="1" applyAlignment="1">
      <alignment horizontal="center"/>
    </xf>
    <xf numFmtId="0" fontId="39" fillId="32" borderId="66" xfId="57" applyFont="1" applyBorder="1" applyAlignment="1">
      <alignment horizontal="center"/>
    </xf>
    <xf numFmtId="2" fontId="39" fillId="32" borderId="51" xfId="57" applyNumberFormat="1" applyFont="1" applyBorder="1" applyAlignment="1">
      <alignment vertical="center" wrapText="1"/>
    </xf>
    <xf numFmtId="166" fontId="39" fillId="32" borderId="52" xfId="57" applyNumberFormat="1" applyFont="1" applyBorder="1"/>
    <xf numFmtId="166" fontId="39" fillId="32" borderId="53" xfId="57" applyNumberFormat="1" applyFont="1" applyBorder="1"/>
    <xf numFmtId="166" fontId="39" fillId="32" borderId="56" xfId="57" applyNumberFormat="1" applyFont="1" applyBorder="1"/>
    <xf numFmtId="3" fontId="39" fillId="32" borderId="53" xfId="57" applyNumberFormat="1" applyFont="1" applyBorder="1"/>
    <xf numFmtId="3" fontId="39" fillId="32" borderId="56" xfId="57" applyNumberFormat="1" applyFont="1" applyBorder="1"/>
    <xf numFmtId="0" fontId="44" fillId="32" borderId="62" xfId="57" applyFont="1" applyBorder="1" applyAlignment="1">
      <alignment horizontal="center"/>
    </xf>
    <xf numFmtId="0" fontId="44" fillId="32" borderId="63" xfId="57" applyFont="1" applyBorder="1" applyAlignment="1">
      <alignment horizontal="left" wrapText="1" indent="1"/>
    </xf>
    <xf numFmtId="166" fontId="44" fillId="32" borderId="64" xfId="57" applyNumberFormat="1" applyFont="1" applyBorder="1"/>
    <xf numFmtId="166" fontId="44" fillId="32" borderId="28" xfId="57" applyNumberFormat="1" applyFont="1" applyBorder="1"/>
    <xf numFmtId="166" fontId="44" fillId="32" borderId="65" xfId="57" applyNumberFormat="1" applyFont="1" applyBorder="1"/>
    <xf numFmtId="3" fontId="44" fillId="32" borderId="28" xfId="57" applyNumberFormat="1" applyFont="1" applyBorder="1"/>
    <xf numFmtId="3" fontId="44" fillId="32" borderId="65" xfId="57" applyNumberFormat="1" applyFont="1" applyBorder="1"/>
    <xf numFmtId="0" fontId="44" fillId="41" borderId="0" xfId="0" applyFont="1" applyFill="1"/>
    <xf numFmtId="166" fontId="44" fillId="41" borderId="0" xfId="0" applyNumberFormat="1" applyFont="1" applyFill="1"/>
    <xf numFmtId="0" fontId="44" fillId="32" borderId="66" xfId="57" applyFont="1" applyBorder="1" applyAlignment="1">
      <alignment horizontal="center"/>
    </xf>
    <xf numFmtId="0" fontId="44" fillId="32" borderId="67" xfId="57" applyFont="1" applyBorder="1" applyAlignment="1">
      <alignment horizontal="left" wrapText="1" indent="1"/>
    </xf>
    <xf numFmtId="166" fontId="44" fillId="32" borderId="68" xfId="57" applyNumberFormat="1" applyFont="1" applyBorder="1"/>
    <xf numFmtId="166" fontId="44" fillId="32" borderId="69" xfId="57" applyNumberFormat="1" applyFont="1" applyBorder="1"/>
    <xf numFmtId="166" fontId="44" fillId="32" borderId="70" xfId="57" applyNumberFormat="1" applyFont="1" applyBorder="1"/>
    <xf numFmtId="3" fontId="39" fillId="41" borderId="0" xfId="0" applyNumberFormat="1" applyFont="1" applyFill="1"/>
    <xf numFmtId="166" fontId="39" fillId="41" borderId="0" xfId="0" applyNumberFormat="1" applyFont="1" applyFill="1"/>
    <xf numFmtId="3" fontId="44" fillId="41" borderId="0" xfId="0" applyNumberFormat="1" applyFont="1" applyFill="1"/>
    <xf numFmtId="0" fontId="39" fillId="32" borderId="51" xfId="57" applyFont="1" applyBorder="1" applyAlignment="1">
      <alignment wrapText="1"/>
    </xf>
    <xf numFmtId="166" fontId="44" fillId="32" borderId="56" xfId="57" applyNumberFormat="1" applyFont="1" applyBorder="1"/>
    <xf numFmtId="0" fontId="39" fillId="32" borderId="71" xfId="57" applyFont="1" applyBorder="1" applyAlignment="1">
      <alignment horizontal="center"/>
    </xf>
    <xf numFmtId="0" fontId="39" fillId="32" borderId="72" xfId="57" applyFont="1" applyBorder="1" applyAlignment="1">
      <alignment horizontal="left" wrapText="1"/>
    </xf>
    <xf numFmtId="166" fontId="39" fillId="32" borderId="73" xfId="57" applyNumberFormat="1" applyFont="1" applyBorder="1"/>
    <xf numFmtId="0" fontId="39" fillId="3" borderId="0" xfId="0" applyFont="1" applyFill="1"/>
    <xf numFmtId="166" fontId="39" fillId="32" borderId="64" xfId="57" applyNumberFormat="1" applyFont="1" applyBorder="1"/>
    <xf numFmtId="166" fontId="39" fillId="32" borderId="28" xfId="57" applyNumberFormat="1" applyFont="1" applyBorder="1"/>
    <xf numFmtId="166" fontId="39" fillId="32" borderId="65" xfId="57" applyNumberFormat="1" applyFont="1" applyBorder="1"/>
    <xf numFmtId="3" fontId="39" fillId="32" borderId="28" xfId="57" applyNumberFormat="1" applyFont="1" applyBorder="1"/>
    <xf numFmtId="3" fontId="39" fillId="32" borderId="65" xfId="57" applyNumberFormat="1" applyFont="1" applyBorder="1"/>
    <xf numFmtId="0" fontId="39" fillId="32" borderId="57" xfId="57" applyFont="1" applyBorder="1" applyAlignment="1">
      <alignment horizontal="center"/>
    </xf>
    <xf numFmtId="0" fontId="39" fillId="32" borderId="58" xfId="57" applyFont="1" applyBorder="1" applyAlignment="1">
      <alignment horizontal="left" wrapText="1" indent="1"/>
    </xf>
    <xf numFmtId="166" fontId="39" fillId="32" borderId="59" xfId="57" applyNumberFormat="1" applyFont="1" applyBorder="1"/>
    <xf numFmtId="166" fontId="39" fillId="32" borderId="60" xfId="57" applyNumberFormat="1" applyFont="1" applyBorder="1"/>
    <xf numFmtId="166" fontId="39" fillId="32" borderId="61" xfId="57" applyNumberFormat="1" applyFont="1" applyBorder="1"/>
    <xf numFmtId="3" fontId="39" fillId="32" borderId="60" xfId="57" applyNumberFormat="1" applyFont="1" applyBorder="1"/>
    <xf numFmtId="3" fontId="39" fillId="32" borderId="61" xfId="57" applyNumberFormat="1" applyFont="1" applyBorder="1"/>
    <xf numFmtId="2" fontId="39" fillId="32" borderId="51" xfId="57" applyNumberFormat="1" applyFont="1" applyBorder="1" applyAlignment="1">
      <alignment wrapText="1"/>
    </xf>
    <xf numFmtId="0" fontId="44" fillId="3" borderId="0" xfId="0" applyFont="1" applyFill="1"/>
    <xf numFmtId="3" fontId="44" fillId="32" borderId="69" xfId="57" applyNumberFormat="1" applyFont="1" applyBorder="1"/>
    <xf numFmtId="3" fontId="44" fillId="32" borderId="70" xfId="57" applyNumberFormat="1" applyFont="1" applyBorder="1"/>
    <xf numFmtId="2" fontId="39" fillId="32" borderId="51" xfId="57" applyNumberFormat="1" applyFont="1" applyBorder="1" applyAlignment="1">
      <alignment horizontal="left" vertical="top" wrapText="1"/>
    </xf>
    <xf numFmtId="3" fontId="39" fillId="32" borderId="52" xfId="57" applyNumberFormat="1" applyFont="1" applyBorder="1"/>
    <xf numFmtId="3" fontId="44" fillId="32" borderId="64" xfId="57" applyNumberFormat="1" applyFont="1" applyBorder="1"/>
    <xf numFmtId="3" fontId="44" fillId="32" borderId="68" xfId="57" applyNumberFormat="1" applyFont="1" applyBorder="1"/>
    <xf numFmtId="0" fontId="44" fillId="0" borderId="0" xfId="0" applyFont="1" applyAlignment="1">
      <alignment horizontal="center"/>
    </xf>
    <xf numFmtId="4" fontId="44" fillId="0" borderId="0" xfId="0" applyNumberFormat="1" applyFont="1"/>
    <xf numFmtId="0" fontId="39" fillId="34" borderId="0" xfId="0" applyFont="1" applyFill="1" applyAlignment="1">
      <alignment horizontal="right" wrapText="1"/>
    </xf>
    <xf numFmtId="14" fontId="39" fillId="34" borderId="0" xfId="0" applyNumberFormat="1" applyFont="1" applyFill="1" applyAlignment="1">
      <alignment horizontal="right" wrapText="1"/>
    </xf>
    <xf numFmtId="0" fontId="47" fillId="0" borderId="0" xfId="0" applyFont="1"/>
    <xf numFmtId="0" fontId="48" fillId="0" borderId="0" xfId="0" applyFont="1" applyAlignment="1">
      <alignment horizontal="left"/>
    </xf>
    <xf numFmtId="0" fontId="49" fillId="12" borderId="27" xfId="62" applyFont="1" applyBorder="1" applyAlignment="1">
      <alignment wrapText="1"/>
    </xf>
    <xf numFmtId="0" fontId="48" fillId="0" borderId="0" xfId="0" applyFont="1" applyAlignment="1">
      <alignment horizontal="right" wrapText="1"/>
    </xf>
    <xf numFmtId="0" fontId="48" fillId="9" borderId="0" xfId="0" applyFont="1" applyFill="1" applyAlignment="1">
      <alignment horizontal="right" wrapText="1"/>
    </xf>
    <xf numFmtId="14" fontId="48" fillId="9" borderId="0" xfId="0" applyNumberFormat="1" applyFont="1" applyFill="1" applyAlignment="1">
      <alignment horizontal="right" wrapText="1"/>
    </xf>
    <xf numFmtId="0" fontId="48" fillId="0" borderId="0" xfId="0" applyFont="1"/>
    <xf numFmtId="0" fontId="50" fillId="0" borderId="0" xfId="0" applyFont="1"/>
    <xf numFmtId="0" fontId="48" fillId="0" borderId="0" xfId="0" applyFont="1" applyAlignment="1">
      <alignment horizontal="center"/>
    </xf>
    <xf numFmtId="0" fontId="51" fillId="26" borderId="38" xfId="34" applyFont="1" applyBorder="1"/>
    <xf numFmtId="0" fontId="48" fillId="7" borderId="39" xfId="10" applyFont="1" applyBorder="1" applyAlignment="1">
      <alignment horizontal="center"/>
    </xf>
    <xf numFmtId="0" fontId="48" fillId="7" borderId="40" xfId="10" applyFont="1" applyBorder="1"/>
    <xf numFmtId="0" fontId="48" fillId="7" borderId="40" xfId="10" applyFont="1" applyBorder="1" applyAlignment="1">
      <alignment horizontal="center" wrapText="1"/>
    </xf>
    <xf numFmtId="166" fontId="48" fillId="7" borderId="40" xfId="10" applyNumberFormat="1" applyFont="1" applyBorder="1" applyAlignment="1">
      <alignment horizontal="center" wrapText="1"/>
    </xf>
    <xf numFmtId="0" fontId="48" fillId="7" borderId="41" xfId="10" applyFont="1" applyBorder="1"/>
    <xf numFmtId="0" fontId="48" fillId="7" borderId="42" xfId="10" applyFont="1" applyBorder="1" applyAlignment="1">
      <alignment horizontal="center"/>
    </xf>
    <xf numFmtId="0" fontId="48" fillId="7" borderId="43" xfId="10" applyFont="1" applyBorder="1"/>
    <xf numFmtId="166" fontId="48" fillId="7" borderId="43" xfId="10" applyNumberFormat="1" applyFont="1" applyBorder="1"/>
    <xf numFmtId="3" fontId="51" fillId="7" borderId="43" xfId="10" applyNumberFormat="1" applyFont="1" applyBorder="1"/>
    <xf numFmtId="3" fontId="48" fillId="7" borderId="43" xfId="10" applyNumberFormat="1" applyFont="1" applyBorder="1"/>
    <xf numFmtId="0" fontId="48" fillId="7" borderId="44" xfId="10" applyFont="1" applyBorder="1"/>
    <xf numFmtId="0" fontId="52" fillId="7" borderId="45" xfId="10" applyFont="1" applyBorder="1" applyAlignment="1">
      <alignment horizontal="center"/>
    </xf>
    <xf numFmtId="0" fontId="52" fillId="7" borderId="18" xfId="10" applyFont="1" applyBorder="1" applyAlignment="1">
      <alignment horizontal="center"/>
    </xf>
    <xf numFmtId="0" fontId="52" fillId="7" borderId="18" xfId="10" applyFont="1" applyBorder="1"/>
    <xf numFmtId="14" fontId="52" fillId="7" borderId="18" xfId="10" applyNumberFormat="1" applyFont="1" applyBorder="1"/>
    <xf numFmtId="166" fontId="52" fillId="9" borderId="18" xfId="10" applyNumberFormat="1" applyFont="1" applyFill="1" applyBorder="1"/>
    <xf numFmtId="3" fontId="52" fillId="7" borderId="18" xfId="10" applyNumberFormat="1" applyFont="1" applyBorder="1"/>
    <xf numFmtId="0" fontId="52" fillId="7" borderId="46" xfId="10" applyFont="1" applyBorder="1"/>
    <xf numFmtId="0" fontId="52" fillId="0" borderId="0" xfId="0" applyFont="1"/>
    <xf numFmtId="0" fontId="52" fillId="7" borderId="47" xfId="10" applyFont="1" applyBorder="1" applyAlignment="1">
      <alignment horizontal="center"/>
    </xf>
    <xf numFmtId="0" fontId="52" fillId="7" borderId="48" xfId="10" applyFont="1" applyBorder="1" applyAlignment="1">
      <alignment horizontal="center"/>
    </xf>
    <xf numFmtId="0" fontId="52" fillId="7" borderId="48" xfId="10" applyFont="1" applyBorder="1"/>
    <xf numFmtId="14" fontId="52" fillId="7" borderId="48" xfId="10" applyNumberFormat="1" applyFont="1" applyBorder="1"/>
    <xf numFmtId="166" fontId="52" fillId="9" borderId="48" xfId="10" applyNumberFormat="1" applyFont="1" applyFill="1" applyBorder="1"/>
    <xf numFmtId="3" fontId="52" fillId="7" borderId="48" xfId="10" applyNumberFormat="1" applyFont="1" applyBorder="1"/>
    <xf numFmtId="0" fontId="52" fillId="7" borderId="49" xfId="10" applyFont="1" applyBorder="1"/>
    <xf numFmtId="0" fontId="51" fillId="0" borderId="0" xfId="34" applyFont="1" applyFill="1" applyBorder="1"/>
    <xf numFmtId="166" fontId="48" fillId="0" borderId="0" xfId="0" applyNumberFormat="1" applyFont="1"/>
    <xf numFmtId="166" fontId="53" fillId="32" borderId="60" xfId="57" applyNumberFormat="1" applyFont="1" applyBorder="1" applyAlignment="1">
      <alignment horizontal="center" vertical="center" wrapText="1"/>
    </xf>
    <xf numFmtId="166" fontId="53" fillId="32" borderId="61" xfId="57" applyNumberFormat="1" applyFont="1" applyBorder="1" applyAlignment="1">
      <alignment horizontal="center" vertical="center" wrapText="1"/>
    </xf>
    <xf numFmtId="0" fontId="48" fillId="32" borderId="50" xfId="57" applyFont="1" applyBorder="1" applyAlignment="1">
      <alignment horizontal="center" vertical="center" wrapText="1"/>
    </xf>
    <xf numFmtId="0" fontId="53" fillId="32" borderId="51" xfId="57" applyFont="1" applyBorder="1" applyAlignment="1">
      <alignment horizontal="left" vertical="center" wrapText="1"/>
    </xf>
    <xf numFmtId="166" fontId="53" fillId="32" borderId="52" xfId="57" applyNumberFormat="1" applyFont="1" applyBorder="1" applyAlignment="1">
      <alignment horizontal="center" vertical="center" wrapText="1"/>
    </xf>
    <xf numFmtId="166" fontId="53" fillId="32" borderId="53" xfId="57" applyNumberFormat="1" applyFont="1" applyBorder="1" applyAlignment="1">
      <alignment horizontal="center" vertical="center" wrapText="1"/>
    </xf>
    <xf numFmtId="166" fontId="53" fillId="32" borderId="53" xfId="57" applyNumberFormat="1" applyFont="1" applyBorder="1" applyAlignment="1">
      <alignment horizontal="right" vertical="center" wrapText="1"/>
    </xf>
    <xf numFmtId="166" fontId="53" fillId="32" borderId="56" xfId="57" applyNumberFormat="1" applyFont="1" applyBorder="1" applyAlignment="1">
      <alignment horizontal="right" vertical="center" wrapText="1"/>
    </xf>
    <xf numFmtId="3" fontId="53" fillId="32" borderId="53" xfId="57" applyNumberFormat="1" applyFont="1" applyBorder="1" applyAlignment="1">
      <alignment horizontal="right" vertical="center" wrapText="1"/>
    </xf>
    <xf numFmtId="3" fontId="53" fillId="32" borderId="56" xfId="57" applyNumberFormat="1" applyFont="1" applyBorder="1" applyAlignment="1">
      <alignment horizontal="right" vertical="center" wrapText="1"/>
    </xf>
    <xf numFmtId="0" fontId="48" fillId="32" borderId="62" xfId="57" applyFont="1" applyBorder="1" applyAlignment="1">
      <alignment horizontal="center" vertical="center" wrapText="1"/>
    </xf>
    <xf numFmtId="0" fontId="48" fillId="32" borderId="63" xfId="57" applyFont="1" applyBorder="1" applyAlignment="1">
      <alignment horizontal="left" wrapText="1" indent="1"/>
    </xf>
    <xf numFmtId="166" fontId="53" fillId="32" borderId="64" xfId="57" applyNumberFormat="1" applyFont="1" applyBorder="1" applyAlignment="1">
      <alignment horizontal="center" vertical="center" wrapText="1"/>
    </xf>
    <xf numFmtId="166" fontId="53" fillId="32" borderId="28" xfId="57" applyNumberFormat="1" applyFont="1" applyBorder="1" applyAlignment="1">
      <alignment horizontal="center" vertical="center" wrapText="1"/>
    </xf>
    <xf numFmtId="166" fontId="53" fillId="32" borderId="28" xfId="57" applyNumberFormat="1" applyFont="1" applyBorder="1" applyAlignment="1">
      <alignment horizontal="right" vertical="center" wrapText="1"/>
    </xf>
    <xf numFmtId="166" fontId="53" fillId="32" borderId="65" xfId="57" applyNumberFormat="1" applyFont="1" applyBorder="1" applyAlignment="1">
      <alignment horizontal="right" vertical="center" wrapText="1"/>
    </xf>
    <xf numFmtId="3" fontId="53" fillId="32" borderId="28" xfId="57" applyNumberFormat="1" applyFont="1" applyBorder="1" applyAlignment="1">
      <alignment horizontal="right" vertical="center" wrapText="1"/>
    </xf>
    <xf numFmtId="3" fontId="53" fillId="32" borderId="65" xfId="57" applyNumberFormat="1" applyFont="1" applyBorder="1" applyAlignment="1">
      <alignment horizontal="right" vertical="center" wrapText="1"/>
    </xf>
    <xf numFmtId="0" fontId="48" fillId="32" borderId="66" xfId="57" applyFont="1" applyBorder="1" applyAlignment="1">
      <alignment horizontal="center" vertical="center" wrapText="1"/>
    </xf>
    <xf numFmtId="0" fontId="48" fillId="32" borderId="67" xfId="57" applyFont="1" applyBorder="1" applyAlignment="1">
      <alignment horizontal="left" wrapText="1" indent="1"/>
    </xf>
    <xf numFmtId="166" fontId="53" fillId="32" borderId="68" xfId="57" applyNumberFormat="1" applyFont="1" applyBorder="1" applyAlignment="1">
      <alignment horizontal="center" vertical="center" wrapText="1"/>
    </xf>
    <xf numFmtId="166" fontId="53" fillId="32" borderId="69" xfId="57" applyNumberFormat="1" applyFont="1" applyBorder="1" applyAlignment="1">
      <alignment horizontal="center" vertical="center" wrapText="1"/>
    </xf>
    <xf numFmtId="166" fontId="53" fillId="32" borderId="69" xfId="57" applyNumberFormat="1" applyFont="1" applyBorder="1" applyAlignment="1">
      <alignment horizontal="right" vertical="center" wrapText="1"/>
    </xf>
    <xf numFmtId="166" fontId="53" fillId="32" borderId="70" xfId="57" applyNumberFormat="1" applyFont="1" applyBorder="1" applyAlignment="1">
      <alignment horizontal="right" vertical="center" wrapText="1"/>
    </xf>
    <xf numFmtId="3" fontId="53" fillId="32" borderId="69" xfId="57" applyNumberFormat="1" applyFont="1" applyBorder="1" applyAlignment="1">
      <alignment horizontal="right" vertical="center" wrapText="1"/>
    </xf>
    <xf numFmtId="3" fontId="53" fillId="32" borderId="70" xfId="57" applyNumberFormat="1" applyFont="1" applyBorder="1" applyAlignment="1">
      <alignment horizontal="right" vertical="center" wrapText="1"/>
    </xf>
    <xf numFmtId="0" fontId="48" fillId="32" borderId="50" xfId="57" applyFont="1" applyBorder="1" applyAlignment="1">
      <alignment horizontal="center"/>
    </xf>
    <xf numFmtId="166" fontId="53" fillId="32" borderId="52" xfId="57" applyNumberFormat="1" applyFont="1" applyBorder="1" applyAlignment="1">
      <alignment horizontal="right" vertical="center" wrapText="1"/>
    </xf>
    <xf numFmtId="0" fontId="48" fillId="41" borderId="0" xfId="0" applyFont="1" applyFill="1"/>
    <xf numFmtId="0" fontId="48" fillId="32" borderId="62" xfId="57" applyFont="1" applyBorder="1" applyAlignment="1">
      <alignment horizontal="center"/>
    </xf>
    <xf numFmtId="0" fontId="48" fillId="32" borderId="66" xfId="57" applyFont="1" applyBorder="1" applyAlignment="1">
      <alignment horizontal="center"/>
    </xf>
    <xf numFmtId="0" fontId="48" fillId="32" borderId="51" xfId="57" applyFont="1" applyBorder="1" applyAlignment="1">
      <alignment wrapText="1"/>
    </xf>
    <xf numFmtId="166" fontId="48" fillId="32" borderId="52" xfId="57" applyNumberFormat="1" applyFont="1" applyBorder="1"/>
    <xf numFmtId="166" fontId="48" fillId="32" borderId="53" xfId="57" applyNumberFormat="1" applyFont="1" applyBorder="1"/>
    <xf numFmtId="166" fontId="48" fillId="32" borderId="56" xfId="57" applyNumberFormat="1" applyFont="1" applyBorder="1"/>
    <xf numFmtId="3" fontId="48" fillId="32" borderId="53" xfId="57" applyNumberFormat="1" applyFont="1" applyBorder="1"/>
    <xf numFmtId="3" fontId="48" fillId="32" borderId="56" xfId="57" applyNumberFormat="1" applyFont="1" applyBorder="1"/>
    <xf numFmtId="0" fontId="52" fillId="32" borderId="62" xfId="57" applyFont="1" applyBorder="1" applyAlignment="1">
      <alignment horizontal="center"/>
    </xf>
    <xf numFmtId="0" fontId="52" fillId="32" borderId="63" xfId="57" applyFont="1" applyBorder="1" applyAlignment="1">
      <alignment horizontal="left" wrapText="1" indent="1"/>
    </xf>
    <xf numFmtId="166" fontId="52" fillId="32" borderId="64" xfId="57" applyNumberFormat="1" applyFont="1" applyBorder="1"/>
    <xf numFmtId="166" fontId="52" fillId="32" borderId="28" xfId="57" applyNumberFormat="1" applyFont="1" applyBorder="1"/>
    <xf numFmtId="166" fontId="52" fillId="32" borderId="65" xfId="57" applyNumberFormat="1" applyFont="1" applyBorder="1"/>
    <xf numFmtId="3" fontId="52" fillId="32" borderId="28" xfId="57" applyNumberFormat="1" applyFont="1" applyBorder="1"/>
    <xf numFmtId="3" fontId="52" fillId="32" borderId="65" xfId="57" applyNumberFormat="1" applyFont="1" applyBorder="1"/>
    <xf numFmtId="0" fontId="52" fillId="41" borderId="0" xfId="0" applyFont="1" applyFill="1"/>
    <xf numFmtId="0" fontId="52" fillId="32" borderId="66" xfId="57" applyFont="1" applyBorder="1" applyAlignment="1">
      <alignment horizontal="center"/>
    </xf>
    <xf numFmtId="0" fontId="52" fillId="32" borderId="67" xfId="57" applyFont="1" applyBorder="1" applyAlignment="1">
      <alignment horizontal="left" wrapText="1" indent="1"/>
    </xf>
    <xf numFmtId="166" fontId="52" fillId="32" borderId="68" xfId="57" applyNumberFormat="1" applyFont="1" applyBorder="1"/>
    <xf numFmtId="166" fontId="52" fillId="32" borderId="69" xfId="57" applyNumberFormat="1" applyFont="1" applyBorder="1"/>
    <xf numFmtId="3" fontId="48" fillId="41" borderId="0" xfId="0" applyNumberFormat="1" applyFont="1" applyFill="1"/>
    <xf numFmtId="166" fontId="48" fillId="41" borderId="0" xfId="0" applyNumberFormat="1" applyFont="1" applyFill="1"/>
    <xf numFmtId="3" fontId="52" fillId="41" borderId="0" xfId="0" applyNumberFormat="1" applyFont="1" applyFill="1"/>
    <xf numFmtId="166" fontId="52" fillId="41" borderId="0" xfId="0" applyNumberFormat="1" applyFont="1" applyFill="1"/>
    <xf numFmtId="166" fontId="52" fillId="32" borderId="56" xfId="57" applyNumberFormat="1" applyFont="1" applyBorder="1"/>
    <xf numFmtId="166" fontId="52" fillId="32" borderId="70" xfId="57" applyNumberFormat="1" applyFont="1" applyBorder="1"/>
    <xf numFmtId="0" fontId="48" fillId="32" borderId="71" xfId="57" applyFont="1" applyBorder="1" applyAlignment="1">
      <alignment horizontal="center"/>
    </xf>
    <xf numFmtId="0" fontId="48" fillId="32" borderId="72" xfId="57" applyFont="1" applyBorder="1" applyAlignment="1">
      <alignment horizontal="left" wrapText="1"/>
    </xf>
    <xf numFmtId="166" fontId="48" fillId="32" borderId="73" xfId="57" applyNumberFormat="1" applyFont="1" applyBorder="1"/>
    <xf numFmtId="0" fontId="48" fillId="3" borderId="0" xfId="0" applyFont="1" applyFill="1"/>
    <xf numFmtId="166" fontId="48" fillId="32" borderId="64" xfId="57" applyNumberFormat="1" applyFont="1" applyBorder="1"/>
    <xf numFmtId="166" fontId="48" fillId="32" borderId="28" xfId="57" applyNumberFormat="1" applyFont="1" applyBorder="1"/>
    <xf numFmtId="166" fontId="48" fillId="32" borderId="65" xfId="57" applyNumberFormat="1" applyFont="1" applyBorder="1"/>
    <xf numFmtId="3" fontId="48" fillId="32" borderId="28" xfId="57" applyNumberFormat="1" applyFont="1" applyBorder="1"/>
    <xf numFmtId="3" fontId="48" fillId="32" borderId="65" xfId="57" applyNumberFormat="1" applyFont="1" applyBorder="1"/>
    <xf numFmtId="0" fontId="48" fillId="32" borderId="57" xfId="57" applyFont="1" applyBorder="1" applyAlignment="1">
      <alignment horizontal="center"/>
    </xf>
    <xf numFmtId="0" fontId="48" fillId="32" borderId="58" xfId="57" applyFont="1" applyBorder="1" applyAlignment="1">
      <alignment horizontal="left" wrapText="1" indent="1"/>
    </xf>
    <xf numFmtId="166" fontId="48" fillId="32" borderId="59" xfId="57" applyNumberFormat="1" applyFont="1" applyBorder="1"/>
    <xf numFmtId="166" fontId="48" fillId="32" borderId="60" xfId="57" applyNumberFormat="1" applyFont="1" applyBorder="1"/>
    <xf numFmtId="166" fontId="48" fillId="32" borderId="61" xfId="57" applyNumberFormat="1" applyFont="1" applyBorder="1"/>
    <xf numFmtId="3" fontId="48" fillId="32" borderId="60" xfId="57" applyNumberFormat="1" applyFont="1" applyBorder="1"/>
    <xf numFmtId="3" fontId="48" fillId="32" borderId="61" xfId="57" applyNumberFormat="1" applyFont="1" applyBorder="1"/>
    <xf numFmtId="0" fontId="52" fillId="3" borderId="0" xfId="0" applyFont="1" applyFill="1"/>
    <xf numFmtId="3" fontId="52" fillId="32" borderId="69" xfId="57" applyNumberFormat="1" applyFont="1" applyBorder="1"/>
    <xf numFmtId="3" fontId="52" fillId="32" borderId="70" xfId="57" applyNumberFormat="1" applyFont="1" applyBorder="1"/>
    <xf numFmtId="3" fontId="48" fillId="32" borderId="52" xfId="57" applyNumberFormat="1" applyFont="1" applyBorder="1"/>
    <xf numFmtId="3" fontId="52" fillId="32" borderId="64" xfId="57" applyNumberFormat="1" applyFont="1" applyBorder="1"/>
    <xf numFmtId="3" fontId="52" fillId="32" borderId="68" xfId="57" applyNumberFormat="1" applyFont="1" applyBorder="1"/>
    <xf numFmtId="0" fontId="52" fillId="0" borderId="0" xfId="0" applyFont="1" applyAlignment="1">
      <alignment horizontal="center"/>
    </xf>
    <xf numFmtId="4" fontId="52" fillId="0" borderId="0" xfId="0" applyNumberFormat="1" applyFont="1"/>
    <xf numFmtId="0" fontId="41" fillId="0" borderId="0" xfId="0" applyFont="1" applyAlignment="1">
      <alignment horizontal="left"/>
    </xf>
    <xf numFmtId="0" fontId="54" fillId="12" borderId="27" xfId="62" applyFont="1" applyBorder="1" applyAlignment="1">
      <alignment wrapText="1"/>
    </xf>
    <xf numFmtId="0" fontId="41" fillId="0" borderId="0" xfId="0" applyFont="1" applyAlignment="1">
      <alignment horizontal="right" wrapText="1"/>
    </xf>
    <xf numFmtId="0" fontId="41" fillId="0" borderId="0" xfId="0" applyFont="1" applyFill="1" applyAlignment="1">
      <alignment horizontal="right" wrapText="1"/>
    </xf>
    <xf numFmtId="14" fontId="41" fillId="0" borderId="0" xfId="0" applyNumberFormat="1" applyFont="1" applyFill="1" applyAlignment="1">
      <alignment horizontal="right" wrapText="1"/>
    </xf>
    <xf numFmtId="0" fontId="41" fillId="0" borderId="0" xfId="0" applyFont="1"/>
    <xf numFmtId="0" fontId="55" fillId="0" borderId="0" xfId="0" applyFont="1"/>
    <xf numFmtId="0" fontId="41" fillId="0" borderId="0" xfId="0" applyFont="1" applyAlignment="1">
      <alignment horizontal="center"/>
    </xf>
    <xf numFmtId="0" fontId="56" fillId="26" borderId="38" xfId="34" applyFont="1" applyBorder="1"/>
    <xf numFmtId="0" fontId="41" fillId="7" borderId="39" xfId="10" applyFont="1" applyBorder="1" applyAlignment="1">
      <alignment horizontal="center"/>
    </xf>
    <xf numFmtId="0" fontId="41" fillId="7" borderId="40" xfId="10" applyFont="1" applyBorder="1"/>
    <xf numFmtId="0" fontId="41" fillId="7" borderId="40" xfId="10" applyFont="1" applyBorder="1" applyAlignment="1">
      <alignment horizontal="center" wrapText="1"/>
    </xf>
    <xf numFmtId="166" fontId="41" fillId="7" borderId="40" xfId="10" applyNumberFormat="1" applyFont="1" applyBorder="1" applyAlignment="1">
      <alignment horizontal="center" wrapText="1"/>
    </xf>
    <xf numFmtId="0" fontId="41" fillId="7" borderId="41" xfId="10" applyFont="1" applyBorder="1"/>
    <xf numFmtId="0" fontId="41" fillId="7" borderId="42" xfId="10" applyFont="1" applyBorder="1" applyAlignment="1">
      <alignment horizontal="center"/>
    </xf>
    <xf numFmtId="0" fontId="41" fillId="7" borderId="43" xfId="10" applyFont="1" applyBorder="1"/>
    <xf numFmtId="4" fontId="41" fillId="7" borderId="43" xfId="10" applyNumberFormat="1" applyFont="1" applyBorder="1"/>
    <xf numFmtId="3" fontId="56" fillId="7" borderId="43" xfId="10" applyNumberFormat="1" applyFont="1" applyBorder="1"/>
    <xf numFmtId="3" fontId="41" fillId="7" borderId="43" xfId="10" applyNumberFormat="1" applyFont="1" applyBorder="1"/>
    <xf numFmtId="0" fontId="41" fillId="7" borderId="44" xfId="10" applyFont="1" applyBorder="1"/>
    <xf numFmtId="0" fontId="57" fillId="7" borderId="45" xfId="10" applyFont="1" applyBorder="1" applyAlignment="1">
      <alignment horizontal="center"/>
    </xf>
    <xf numFmtId="0" fontId="57" fillId="7" borderId="18" xfId="10" applyFont="1" applyBorder="1" applyAlignment="1">
      <alignment horizontal="center"/>
    </xf>
    <xf numFmtId="0" fontId="57" fillId="7" borderId="18" xfId="10" applyFont="1" applyBorder="1"/>
    <xf numFmtId="14" fontId="57" fillId="7" borderId="18" xfId="10" applyNumberFormat="1" applyFont="1" applyBorder="1"/>
    <xf numFmtId="4" fontId="57" fillId="7" borderId="18" xfId="10" applyNumberFormat="1" applyFont="1" applyBorder="1"/>
    <xf numFmtId="3" fontId="57" fillId="7" borderId="18" xfId="10" applyNumberFormat="1" applyFont="1" applyBorder="1"/>
    <xf numFmtId="0" fontId="57" fillId="7" borderId="46" xfId="10" applyFont="1" applyBorder="1"/>
    <xf numFmtId="0" fontId="57" fillId="0" borderId="0" xfId="0" applyFont="1"/>
    <xf numFmtId="0" fontId="58" fillId="0" borderId="0" xfId="0" applyFont="1"/>
    <xf numFmtId="0" fontId="57" fillId="7" borderId="47" xfId="10" applyFont="1" applyBorder="1" applyAlignment="1">
      <alignment horizontal="center"/>
    </xf>
    <xf numFmtId="0" fontId="57" fillId="7" borderId="48" xfId="10" applyFont="1" applyBorder="1" applyAlignment="1">
      <alignment horizontal="center"/>
    </xf>
    <xf numFmtId="0" fontId="57" fillId="7" borderId="48" xfId="10" applyFont="1" applyBorder="1"/>
    <xf numFmtId="14" fontId="57" fillId="7" borderId="48" xfId="10" applyNumberFormat="1" applyFont="1" applyBorder="1"/>
    <xf numFmtId="4" fontId="57" fillId="7" borderId="48" xfId="10" applyNumberFormat="1" applyFont="1" applyBorder="1"/>
    <xf numFmtId="3" fontId="57" fillId="7" borderId="48" xfId="10" applyNumberFormat="1" applyFont="1" applyBorder="1"/>
    <xf numFmtId="0" fontId="57" fillId="7" borderId="49" xfId="10" applyFont="1" applyBorder="1"/>
    <xf numFmtId="0" fontId="56" fillId="0" borderId="0" xfId="34" applyFont="1" applyFill="1" applyBorder="1"/>
    <xf numFmtId="166" fontId="41" fillId="0" borderId="0" xfId="0" applyNumberFormat="1" applyFont="1"/>
    <xf numFmtId="166" fontId="59" fillId="32" borderId="60" xfId="57" applyNumberFormat="1" applyFont="1" applyBorder="1" applyAlignment="1">
      <alignment horizontal="center" vertical="center" wrapText="1"/>
    </xf>
    <xf numFmtId="166" fontId="59" fillId="32" borderId="61" xfId="57" applyNumberFormat="1" applyFont="1" applyBorder="1" applyAlignment="1">
      <alignment horizontal="center" vertical="center" wrapText="1"/>
    </xf>
    <xf numFmtId="0" fontId="41" fillId="32" borderId="50" xfId="57" applyFont="1" applyBorder="1" applyAlignment="1">
      <alignment horizontal="center" vertical="center" wrapText="1"/>
    </xf>
    <xf numFmtId="0" fontId="59" fillId="32" borderId="51" xfId="57" applyFont="1" applyBorder="1" applyAlignment="1">
      <alignment horizontal="left" vertical="center" wrapText="1"/>
    </xf>
    <xf numFmtId="166" fontId="59" fillId="32" borderId="52" xfId="57" applyNumberFormat="1" applyFont="1" applyBorder="1" applyAlignment="1">
      <alignment horizontal="center" vertical="center" wrapText="1"/>
    </xf>
    <xf numFmtId="166" fontId="59" fillId="32" borderId="53" xfId="57" applyNumberFormat="1" applyFont="1" applyBorder="1" applyAlignment="1">
      <alignment horizontal="center" vertical="center" wrapText="1"/>
    </xf>
    <xf numFmtId="166" fontId="59" fillId="32" borderId="53" xfId="57" applyNumberFormat="1" applyFont="1" applyBorder="1" applyAlignment="1">
      <alignment horizontal="right" vertical="center" wrapText="1"/>
    </xf>
    <xf numFmtId="166" fontId="59" fillId="32" borderId="56" xfId="57" applyNumberFormat="1" applyFont="1" applyBorder="1" applyAlignment="1">
      <alignment horizontal="right" vertical="center" wrapText="1"/>
    </xf>
    <xf numFmtId="3" fontId="59" fillId="32" borderId="53" xfId="57" applyNumberFormat="1" applyFont="1" applyBorder="1" applyAlignment="1">
      <alignment horizontal="right" vertical="center" wrapText="1"/>
    </xf>
    <xf numFmtId="3" fontId="59" fillId="32" borderId="56" xfId="57" applyNumberFormat="1" applyFont="1" applyBorder="1" applyAlignment="1">
      <alignment horizontal="right" vertical="center" wrapText="1"/>
    </xf>
    <xf numFmtId="0" fontId="41" fillId="32" borderId="62" xfId="57" applyFont="1" applyBorder="1" applyAlignment="1">
      <alignment horizontal="center" vertical="center" wrapText="1"/>
    </xf>
    <xf numFmtId="0" fontId="41" fillId="32" borderId="63" xfId="57" applyFont="1" applyBorder="1" applyAlignment="1">
      <alignment horizontal="left" wrapText="1" indent="1"/>
    </xf>
    <xf numFmtId="166" fontId="59" fillId="32" borderId="64" xfId="57" applyNumberFormat="1" applyFont="1" applyBorder="1" applyAlignment="1">
      <alignment horizontal="center" vertical="center" wrapText="1"/>
    </xf>
    <xf numFmtId="166" fontId="59" fillId="32" borderId="28" xfId="57" applyNumberFormat="1" applyFont="1" applyBorder="1" applyAlignment="1">
      <alignment horizontal="center" vertical="center" wrapText="1"/>
    </xf>
    <xf numFmtId="166" fontId="59" fillId="32" borderId="28" xfId="57" applyNumberFormat="1" applyFont="1" applyBorder="1" applyAlignment="1">
      <alignment horizontal="right" vertical="center" wrapText="1"/>
    </xf>
    <xf numFmtId="166" fontId="59" fillId="32" borderId="65" xfId="57" applyNumberFormat="1" applyFont="1" applyBorder="1" applyAlignment="1">
      <alignment horizontal="right" vertical="center" wrapText="1"/>
    </xf>
    <xf numFmtId="3" fontId="59" fillId="32" borderId="28" xfId="57" applyNumberFormat="1" applyFont="1" applyBorder="1" applyAlignment="1">
      <alignment horizontal="right" vertical="center" wrapText="1"/>
    </xf>
    <xf numFmtId="3" fontId="59" fillId="32" borderId="65" xfId="57" applyNumberFormat="1" applyFont="1" applyBorder="1" applyAlignment="1">
      <alignment horizontal="right" vertical="center" wrapText="1"/>
    </xf>
    <xf numFmtId="0" fontId="41" fillId="32" borderId="66" xfId="57" applyFont="1" applyBorder="1" applyAlignment="1">
      <alignment horizontal="center" vertical="center" wrapText="1"/>
    </xf>
    <xf numFmtId="0" fontId="41" fillId="32" borderId="67" xfId="57" applyFont="1" applyBorder="1" applyAlignment="1">
      <alignment horizontal="left" wrapText="1" indent="1"/>
    </xf>
    <xf numFmtId="166" fontId="59" fillId="32" borderId="68" xfId="57" applyNumberFormat="1" applyFont="1" applyBorder="1" applyAlignment="1">
      <alignment horizontal="center" vertical="center" wrapText="1"/>
    </xf>
    <xf numFmtId="166" fontId="59" fillId="32" borderId="69" xfId="57" applyNumberFormat="1" applyFont="1" applyBorder="1" applyAlignment="1">
      <alignment horizontal="center" vertical="center" wrapText="1"/>
    </xf>
    <xf numFmtId="166" fontId="59" fillId="32" borderId="69" xfId="57" applyNumberFormat="1" applyFont="1" applyBorder="1" applyAlignment="1">
      <alignment horizontal="right" vertical="center" wrapText="1"/>
    </xf>
    <xf numFmtId="166" fontId="59" fillId="32" borderId="70" xfId="57" applyNumberFormat="1" applyFont="1" applyBorder="1" applyAlignment="1">
      <alignment horizontal="right" vertical="center" wrapText="1"/>
    </xf>
    <xf numFmtId="3" fontId="59" fillId="32" borderId="69" xfId="57" applyNumberFormat="1" applyFont="1" applyBorder="1" applyAlignment="1">
      <alignment horizontal="right" vertical="center" wrapText="1"/>
    </xf>
    <xf numFmtId="3" fontId="59" fillId="32" borderId="70" xfId="57" applyNumberFormat="1" applyFont="1" applyBorder="1" applyAlignment="1">
      <alignment horizontal="right" vertical="center" wrapText="1"/>
    </xf>
    <xf numFmtId="0" fontId="41" fillId="32" borderId="50" xfId="57" applyFont="1" applyBorder="1" applyAlignment="1">
      <alignment horizontal="center"/>
    </xf>
    <xf numFmtId="166" fontId="59" fillId="32" borderId="52" xfId="57" applyNumberFormat="1" applyFont="1" applyBorder="1" applyAlignment="1">
      <alignment horizontal="right" vertical="center" wrapText="1"/>
    </xf>
    <xf numFmtId="0" fontId="41" fillId="41" borderId="0" xfId="0" applyFont="1" applyFill="1"/>
    <xf numFmtId="0" fontId="41" fillId="32" borderId="62" xfId="57" applyFont="1" applyBorder="1" applyAlignment="1">
      <alignment horizontal="center"/>
    </xf>
    <xf numFmtId="0" fontId="41" fillId="32" borderId="66" xfId="57" applyFont="1" applyBorder="1" applyAlignment="1">
      <alignment horizontal="center"/>
    </xf>
    <xf numFmtId="2" fontId="41" fillId="32" borderId="51" xfId="57" applyNumberFormat="1" applyFont="1" applyBorder="1" applyAlignment="1">
      <alignment vertical="center" wrapText="1"/>
    </xf>
    <xf numFmtId="166" fontId="41" fillId="32" borderId="52" xfId="57" applyNumberFormat="1" applyFont="1" applyBorder="1"/>
    <xf numFmtId="166" fontId="41" fillId="32" borderId="53" xfId="57" applyNumberFormat="1" applyFont="1" applyBorder="1"/>
    <xf numFmtId="166" fontId="41" fillId="32" borderId="56" xfId="57" applyNumberFormat="1" applyFont="1" applyBorder="1"/>
    <xf numFmtId="3" fontId="41" fillId="32" borderId="53" xfId="57" applyNumberFormat="1" applyFont="1" applyBorder="1"/>
    <xf numFmtId="3" fontId="41" fillId="32" borderId="56" xfId="57" applyNumberFormat="1" applyFont="1" applyBorder="1"/>
    <xf numFmtId="0" fontId="57" fillId="32" borderId="62" xfId="57" applyFont="1" applyBorder="1" applyAlignment="1">
      <alignment horizontal="center"/>
    </xf>
    <xf numFmtId="0" fontId="57" fillId="32" borderId="63" xfId="57" applyFont="1" applyBorder="1" applyAlignment="1">
      <alignment horizontal="left" wrapText="1" indent="1"/>
    </xf>
    <xf numFmtId="166" fontId="57" fillId="32" borderId="64" xfId="57" applyNumberFormat="1" applyFont="1" applyBorder="1"/>
    <xf numFmtId="166" fontId="57" fillId="32" borderId="28" xfId="57" applyNumberFormat="1" applyFont="1" applyBorder="1"/>
    <xf numFmtId="166" fontId="57" fillId="32" borderId="65" xfId="57" applyNumberFormat="1" applyFont="1" applyBorder="1"/>
    <xf numFmtId="3" fontId="57" fillId="32" borderId="28" xfId="57" applyNumberFormat="1" applyFont="1" applyBorder="1"/>
    <xf numFmtId="3" fontId="57" fillId="32" borderId="65" xfId="57" applyNumberFormat="1" applyFont="1" applyBorder="1"/>
    <xf numFmtId="0" fontId="57" fillId="41" borderId="0" xfId="0" applyFont="1" applyFill="1"/>
    <xf numFmtId="0" fontId="57" fillId="32" borderId="66" xfId="57" applyFont="1" applyBorder="1" applyAlignment="1">
      <alignment horizontal="center"/>
    </xf>
    <xf numFmtId="0" fontId="57" fillId="32" borderId="67" xfId="57" applyFont="1" applyBorder="1" applyAlignment="1">
      <alignment horizontal="left" wrapText="1" indent="1"/>
    </xf>
    <xf numFmtId="166" fontId="57" fillId="32" borderId="68" xfId="57" applyNumberFormat="1" applyFont="1" applyBorder="1"/>
    <xf numFmtId="166" fontId="57" fillId="32" borderId="69" xfId="57" applyNumberFormat="1" applyFont="1" applyBorder="1"/>
    <xf numFmtId="166" fontId="57" fillId="32" borderId="70" xfId="57" applyNumberFormat="1" applyFont="1" applyBorder="1"/>
    <xf numFmtId="3" fontId="41" fillId="41" borderId="0" xfId="0" applyNumberFormat="1" applyFont="1" applyFill="1"/>
    <xf numFmtId="166" fontId="41" fillId="41" borderId="0" xfId="0" applyNumberFormat="1" applyFont="1" applyFill="1"/>
    <xf numFmtId="3" fontId="57" fillId="41" borderId="0" xfId="0" applyNumberFormat="1" applyFont="1" applyFill="1"/>
    <xf numFmtId="166" fontId="57" fillId="41" borderId="0" xfId="0" applyNumberFormat="1" applyFont="1" applyFill="1"/>
    <xf numFmtId="0" fontId="41" fillId="32" borderId="51" xfId="57" applyFont="1" applyBorder="1" applyAlignment="1">
      <alignment wrapText="1"/>
    </xf>
    <xf numFmtId="166" fontId="57" fillId="32" borderId="56" xfId="57" applyNumberFormat="1" applyFont="1" applyBorder="1"/>
    <xf numFmtId="0" fontId="41" fillId="32" borderId="71" xfId="57" applyFont="1" applyBorder="1" applyAlignment="1">
      <alignment horizontal="center"/>
    </xf>
    <xf numFmtId="0" fontId="41" fillId="32" borderId="72" xfId="57" applyFont="1" applyBorder="1" applyAlignment="1">
      <alignment horizontal="left" wrapText="1"/>
    </xf>
    <xf numFmtId="166" fontId="41" fillId="32" borderId="73" xfId="57" applyNumberFormat="1" applyFont="1" applyBorder="1"/>
    <xf numFmtId="0" fontId="41" fillId="3" borderId="0" xfId="0" applyFont="1" applyFill="1"/>
    <xf numFmtId="166" fontId="41" fillId="32" borderId="64" xfId="57" applyNumberFormat="1" applyFont="1" applyBorder="1"/>
    <xf numFmtId="166" fontId="41" fillId="32" borderId="28" xfId="57" applyNumberFormat="1" applyFont="1" applyBorder="1"/>
    <xf numFmtId="166" fontId="41" fillId="32" borderId="65" xfId="57" applyNumberFormat="1" applyFont="1" applyBorder="1"/>
    <xf numFmtId="3" fontId="41" fillId="32" borderId="28" xfId="57" applyNumberFormat="1" applyFont="1" applyBorder="1"/>
    <xf numFmtId="3" fontId="41" fillId="32" borderId="65" xfId="57" applyNumberFormat="1" applyFont="1" applyBorder="1"/>
    <xf numFmtId="0" fontId="41" fillId="32" borderId="57" xfId="57" applyFont="1" applyBorder="1" applyAlignment="1">
      <alignment horizontal="center"/>
    </xf>
    <xf numFmtId="0" fontId="41" fillId="32" borderId="58" xfId="57" applyFont="1" applyBorder="1" applyAlignment="1">
      <alignment horizontal="left" wrapText="1" indent="1"/>
    </xf>
    <xf numFmtId="166" fontId="41" fillId="32" borderId="59" xfId="57" applyNumberFormat="1" applyFont="1" applyBorder="1"/>
    <xf numFmtId="166" fontId="41" fillId="32" borderId="60" xfId="57" applyNumberFormat="1" applyFont="1" applyBorder="1"/>
    <xf numFmtId="166" fontId="41" fillId="32" borderId="61" xfId="57" applyNumberFormat="1" applyFont="1" applyBorder="1"/>
    <xf numFmtId="3" fontId="41" fillId="32" borderId="60" xfId="57" applyNumberFormat="1" applyFont="1" applyBorder="1"/>
    <xf numFmtId="3" fontId="41" fillId="32" borderId="61" xfId="57" applyNumberFormat="1" applyFont="1" applyBorder="1"/>
    <xf numFmtId="2" fontId="41" fillId="32" borderId="51" xfId="57" applyNumberFormat="1" applyFont="1" applyBorder="1" applyAlignment="1">
      <alignment wrapText="1"/>
    </xf>
    <xf numFmtId="0" fontId="57" fillId="3" borderId="0" xfId="0" applyFont="1" applyFill="1"/>
    <xf numFmtId="3" fontId="57" fillId="32" borderId="69" xfId="57" applyNumberFormat="1" applyFont="1" applyBorder="1"/>
    <xf numFmtId="3" fontId="57" fillId="32" borderId="70" xfId="57" applyNumberFormat="1" applyFont="1" applyBorder="1"/>
    <xf numFmtId="3" fontId="41" fillId="32" borderId="52" xfId="57" applyNumberFormat="1" applyFont="1" applyBorder="1"/>
    <xf numFmtId="3" fontId="57" fillId="32" borderId="64" xfId="57" applyNumberFormat="1" applyFont="1" applyBorder="1"/>
    <xf numFmtId="3" fontId="57" fillId="32" borderId="68" xfId="57" applyNumberFormat="1" applyFont="1" applyBorder="1"/>
    <xf numFmtId="0" fontId="57" fillId="0" borderId="0" xfId="0" applyFont="1" applyAlignment="1">
      <alignment horizontal="center"/>
    </xf>
    <xf numFmtId="4" fontId="57" fillId="0" borderId="0" xfId="0" applyNumberFormat="1" applyFont="1"/>
    <xf numFmtId="16" fontId="39" fillId="32" borderId="72" xfId="57" applyNumberFormat="1" applyFont="1" applyBorder="1" applyAlignment="1">
      <alignment horizontal="center" vertical="top"/>
    </xf>
    <xf numFmtId="2" fontId="39" fillId="32" borderId="72" xfId="57" applyNumberFormat="1" applyFont="1" applyBorder="1" applyAlignment="1">
      <alignment horizontal="left" vertical="center" wrapText="1"/>
    </xf>
    <xf numFmtId="3" fontId="46" fillId="32" borderId="74" xfId="57" applyNumberFormat="1" applyFont="1" applyBorder="1" applyAlignment="1">
      <alignment horizontal="right" wrapText="1"/>
    </xf>
    <xf numFmtId="4" fontId="39" fillId="32" borderId="75" xfId="57" applyNumberFormat="1" applyFont="1" applyBorder="1" applyAlignment="1">
      <alignment horizontal="right"/>
    </xf>
    <xf numFmtId="166" fontId="39" fillId="3" borderId="0" xfId="0" applyNumberFormat="1" applyFont="1" applyFill="1"/>
    <xf numFmtId="166" fontId="39" fillId="32" borderId="69" xfId="57" applyNumberFormat="1" applyFont="1" applyBorder="1"/>
    <xf numFmtId="2" fontId="39" fillId="32" borderId="1" xfId="57" applyNumberFormat="1" applyFont="1" applyBorder="1" applyAlignment="1">
      <alignment horizontal="left" vertical="center" wrapText="1"/>
    </xf>
    <xf numFmtId="3" fontId="46" fillId="32" borderId="76" xfId="57" applyNumberFormat="1" applyFont="1" applyBorder="1" applyAlignment="1">
      <alignment horizontal="right" wrapText="1"/>
    </xf>
    <xf numFmtId="4" fontId="39" fillId="32" borderId="77" xfId="57" applyNumberFormat="1" applyFont="1" applyBorder="1" applyAlignment="1">
      <alignment horizontal="right"/>
    </xf>
    <xf numFmtId="166" fontId="39" fillId="32" borderId="78" xfId="57" applyNumberFormat="1" applyFont="1" applyBorder="1"/>
    <xf numFmtId="166" fontId="39" fillId="32" borderId="79" xfId="57" applyNumberFormat="1" applyFont="1" applyBorder="1"/>
    <xf numFmtId="0" fontId="44" fillId="32" borderId="72" xfId="57" applyFont="1" applyBorder="1" applyAlignment="1">
      <alignment horizontal="left" wrapText="1" indent="1"/>
    </xf>
    <xf numFmtId="166" fontId="44" fillId="32" borderId="80" xfId="57" applyNumberFormat="1" applyFont="1" applyBorder="1"/>
    <xf numFmtId="166" fontId="44" fillId="32" borderId="53" xfId="57" applyNumberFormat="1" applyFont="1" applyBorder="1"/>
    <xf numFmtId="166" fontId="46" fillId="32" borderId="74" xfId="57" applyNumberFormat="1" applyFont="1" applyBorder="1" applyAlignment="1">
      <alignment horizontal="right" wrapText="1"/>
    </xf>
    <xf numFmtId="166" fontId="39" fillId="32" borderId="75" xfId="57" applyNumberFormat="1" applyFont="1" applyBorder="1" applyAlignment="1">
      <alignment horizontal="right"/>
    </xf>
    <xf numFmtId="166" fontId="39" fillId="32" borderId="77" xfId="57" applyNumberFormat="1" applyFont="1" applyBorder="1" applyAlignment="1">
      <alignment horizontal="right"/>
    </xf>
    <xf numFmtId="2" fontId="46" fillId="32" borderId="72" xfId="57" applyNumberFormat="1" applyFont="1" applyBorder="1" applyAlignment="1">
      <alignment horizontal="left" vertical="center" wrapText="1"/>
    </xf>
    <xf numFmtId="166" fontId="39" fillId="32" borderId="75" xfId="57" applyNumberFormat="1" applyFont="1" applyBorder="1" applyAlignment="1">
      <alignment horizontal="center"/>
    </xf>
    <xf numFmtId="166" fontId="39" fillId="32" borderId="81" xfId="57" applyNumberFormat="1" applyFont="1" applyBorder="1" applyAlignment="1">
      <alignment horizontal="center"/>
    </xf>
    <xf numFmtId="14" fontId="61" fillId="2" borderId="3" xfId="102" applyNumberFormat="1" applyFont="1" applyFill="1" applyBorder="1" applyAlignment="1">
      <alignment horizontal="center" vertical="top" wrapText="1"/>
    </xf>
    <xf numFmtId="166" fontId="44" fillId="3" borderId="0" xfId="0" applyNumberFormat="1" applyFont="1" applyFill="1"/>
    <xf numFmtId="0" fontId="39" fillId="32" borderId="50" xfId="57" applyFont="1" applyBorder="1" applyAlignment="1">
      <alignment horizontal="center" vertical="center" wrapText="1"/>
    </xf>
    <xf numFmtId="166" fontId="46" fillId="32" borderId="53" xfId="57" applyNumberFormat="1" applyFont="1" applyBorder="1" applyAlignment="1">
      <alignment horizontal="center" vertical="center" wrapText="1"/>
    </xf>
    <xf numFmtId="166" fontId="46" fillId="32" borderId="60" xfId="57" applyNumberFormat="1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2" borderId="37" xfId="0" applyFont="1" applyFill="1" applyBorder="1" applyAlignment="1">
      <alignment horizontal="center" vertical="center" wrapText="1"/>
    </xf>
    <xf numFmtId="3" fontId="36" fillId="0" borderId="1" xfId="0" applyNumberFormat="1" applyFont="1" applyBorder="1" applyAlignment="1">
      <alignment horizontal="center" vertical="center" wrapText="1"/>
    </xf>
    <xf numFmtId="4" fontId="36" fillId="0" borderId="1" xfId="0" applyNumberFormat="1" applyFont="1" applyBorder="1" applyAlignment="1">
      <alignment horizontal="center" vertical="center" wrapText="1"/>
    </xf>
    <xf numFmtId="2" fontId="65" fillId="32" borderId="51" xfId="57" applyNumberFormat="1" applyFont="1" applyBorder="1" applyAlignment="1">
      <alignment vertical="center" wrapText="1"/>
    </xf>
    <xf numFmtId="2" fontId="65" fillId="32" borderId="72" xfId="57" applyNumberFormat="1" applyFont="1" applyBorder="1" applyAlignment="1">
      <alignment horizontal="left" vertical="center" wrapText="1"/>
    </xf>
    <xf numFmtId="166" fontId="46" fillId="32" borderId="80" xfId="57" applyNumberFormat="1" applyFont="1" applyBorder="1" applyAlignment="1">
      <alignment horizontal="right" wrapText="1"/>
    </xf>
    <xf numFmtId="0" fontId="0" fillId="0" borderId="1" xfId="0" applyBorder="1"/>
    <xf numFmtId="0" fontId="36" fillId="0" borderId="1" xfId="0" applyFont="1" applyBorder="1" applyAlignment="1">
      <alignment horizontal="center" vertical="center" wrapText="1"/>
    </xf>
    <xf numFmtId="0" fontId="36" fillId="3" borderId="0" xfId="0" applyFont="1" applyFill="1"/>
    <xf numFmtId="0" fontId="37" fillId="0" borderId="3" xfId="104" applyFont="1" applyFill="1" applyBorder="1" applyAlignment="1">
      <alignment horizontal="center" vertical="center" wrapText="1"/>
    </xf>
    <xf numFmtId="0" fontId="36" fillId="0" borderId="34" xfId="104" applyFont="1" applyFill="1" applyBorder="1" applyAlignment="1">
      <alignment horizontal="center" vertical="center" wrapText="1"/>
    </xf>
    <xf numFmtId="0" fontId="37" fillId="0" borderId="0" xfId="0" applyFont="1"/>
    <xf numFmtId="0" fontId="36" fillId="0" borderId="0" xfId="0" applyFont="1" applyAlignment="1">
      <alignment horizontal="left" vertical="center" wrapText="1"/>
    </xf>
    <xf numFmtId="2" fontId="36" fillId="0" borderId="0" xfId="0" applyNumberFormat="1" applyFont="1" applyAlignment="1">
      <alignment horizontal="left" vertical="center" wrapText="1"/>
    </xf>
    <xf numFmtId="176" fontId="36" fillId="0" borderId="0" xfId="0" applyNumberFormat="1" applyFont="1" applyAlignment="1">
      <alignment horizontal="left" vertical="center" wrapText="1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6" fillId="0" borderId="0" xfId="0" applyFont="1" applyFill="1" applyAlignment="1">
      <alignment horizontal="left"/>
    </xf>
    <xf numFmtId="0" fontId="37" fillId="0" borderId="0" xfId="0" applyFont="1" applyFill="1" applyAlignment="1"/>
    <xf numFmtId="43" fontId="36" fillId="0" borderId="0" xfId="0" applyNumberFormat="1" applyFont="1" applyFill="1" applyAlignment="1">
      <alignment vertical="center"/>
    </xf>
    <xf numFmtId="43" fontId="36" fillId="0" borderId="0" xfId="0" applyNumberFormat="1" applyFont="1" applyFill="1" applyAlignment="1"/>
    <xf numFmtId="0" fontId="36" fillId="0" borderId="0" xfId="0" applyNumberFormat="1" applyFont="1" applyFill="1" applyAlignment="1">
      <alignment horizontal="center"/>
    </xf>
    <xf numFmtId="0" fontId="36" fillId="0" borderId="0" xfId="0" applyFont="1" applyAlignment="1"/>
    <xf numFmtId="0" fontId="36" fillId="0" borderId="0" xfId="0" applyFont="1" applyFill="1" applyBorder="1" applyAlignment="1">
      <alignment horizontal="left"/>
    </xf>
    <xf numFmtId="0" fontId="37" fillId="0" borderId="20" xfId="12" applyFont="1" applyFill="1" applyAlignment="1">
      <alignment horizontal="left" vertical="center" wrapText="1"/>
    </xf>
    <xf numFmtId="3" fontId="36" fillId="0" borderId="0" xfId="0" applyNumberFormat="1" applyFont="1" applyFill="1" applyBorder="1" applyAlignment="1">
      <alignment horizontal="left"/>
    </xf>
    <xf numFmtId="0" fontId="37" fillId="0" borderId="1" xfId="11" applyFont="1" applyFill="1" applyBorder="1" applyAlignment="1">
      <alignment horizontal="center" wrapText="1"/>
    </xf>
    <xf numFmtId="0" fontId="37" fillId="0" borderId="1" xfId="11" applyFont="1" applyFill="1" applyBorder="1" applyAlignment="1">
      <alignment horizontal="center" vertical="center" wrapText="1"/>
    </xf>
    <xf numFmtId="43" fontId="37" fillId="0" borderId="1" xfId="11" applyNumberFormat="1" applyFont="1" applyFill="1" applyBorder="1" applyAlignment="1">
      <alignment vertical="center" wrapText="1"/>
    </xf>
    <xf numFmtId="173" fontId="37" fillId="0" borderId="6" xfId="11" applyNumberFormat="1" applyFont="1" applyFill="1" applyBorder="1" applyAlignment="1">
      <alignment horizontal="center" vertical="center" wrapText="1"/>
    </xf>
    <xf numFmtId="173" fontId="37" fillId="0" borderId="1" xfId="11" applyNumberFormat="1" applyFont="1" applyFill="1" applyBorder="1" applyAlignment="1">
      <alignment horizontal="center" vertical="center" wrapText="1"/>
    </xf>
    <xf numFmtId="0" fontId="37" fillId="0" borderId="1" xfId="11" applyNumberFormat="1" applyFont="1" applyFill="1" applyBorder="1" applyAlignment="1">
      <alignment horizontal="center" vertical="center" wrapText="1"/>
    </xf>
    <xf numFmtId="0" fontId="37" fillId="0" borderId="1" xfId="11" applyFont="1" applyFill="1" applyBorder="1" applyAlignment="1">
      <alignment horizontal="left" vertical="center" wrapText="1"/>
    </xf>
    <xf numFmtId="0" fontId="37" fillId="0" borderId="0" xfId="0" applyFont="1" applyFill="1" applyAlignment="1">
      <alignment horizontal="center"/>
    </xf>
    <xf numFmtId="0" fontId="37" fillId="6" borderId="1" xfId="11" applyFont="1" applyFill="1" applyBorder="1" applyAlignment="1">
      <alignment horizontal="center" wrapText="1"/>
    </xf>
    <xf numFmtId="0" fontId="37" fillId="6" borderId="1" xfId="11" applyNumberFormat="1" applyFont="1" applyFill="1" applyBorder="1" applyAlignment="1">
      <alignment horizontal="center" vertical="center" wrapText="1"/>
    </xf>
    <xf numFmtId="0" fontId="37" fillId="6" borderId="1" xfId="11" applyFont="1" applyFill="1" applyBorder="1" applyAlignment="1">
      <alignment horizontal="left" vertical="center" wrapText="1"/>
    </xf>
    <xf numFmtId="0" fontId="37" fillId="6" borderId="0" xfId="0" applyFont="1" applyFill="1" applyAlignment="1">
      <alignment horizontal="center"/>
    </xf>
    <xf numFmtId="2" fontId="37" fillId="2" borderId="1" xfId="10" applyNumberFormat="1" applyFont="1" applyFill="1" applyBorder="1" applyAlignment="1">
      <alignment horizontal="center" vertical="center" wrapText="1"/>
    </xf>
    <xf numFmtId="2" fontId="37" fillId="2" borderId="1" xfId="10" applyNumberFormat="1" applyFont="1" applyFill="1" applyBorder="1" applyAlignment="1">
      <alignment vertical="center" wrapText="1"/>
    </xf>
    <xf numFmtId="165" fontId="37" fillId="2" borderId="1" xfId="10" applyNumberFormat="1" applyFont="1" applyFill="1" applyBorder="1" applyAlignment="1">
      <alignment vertical="center" wrapText="1"/>
    </xf>
    <xf numFmtId="165" fontId="37" fillId="2" borderId="1" xfId="10" applyNumberFormat="1" applyFont="1" applyFill="1" applyBorder="1" applyAlignment="1">
      <alignment horizontal="right" vertical="center" wrapText="1"/>
    </xf>
    <xf numFmtId="0" fontId="37" fillId="2" borderId="1" xfId="10" applyNumberFormat="1" applyFont="1" applyFill="1" applyBorder="1" applyAlignment="1">
      <alignment horizontal="center" vertical="center" wrapText="1"/>
    </xf>
    <xf numFmtId="165" fontId="37" fillId="2" borderId="1" xfId="10" applyNumberFormat="1" applyFont="1" applyFill="1" applyBorder="1" applyAlignment="1">
      <alignment horizontal="left" vertical="center" wrapText="1"/>
    </xf>
    <xf numFmtId="4" fontId="37" fillId="2" borderId="0" xfId="0" applyNumberFormat="1" applyFont="1" applyFill="1"/>
    <xf numFmtId="165" fontId="37" fillId="2" borderId="0" xfId="0" applyNumberFormat="1" applyFont="1" applyFill="1"/>
    <xf numFmtId="0" fontId="37" fillId="2" borderId="0" xfId="0" applyFont="1" applyFill="1"/>
    <xf numFmtId="2" fontId="36" fillId="0" borderId="1" xfId="10" applyNumberFormat="1" applyFont="1" applyFill="1" applyBorder="1" applyAlignment="1">
      <alignment horizontal="center" vertical="center" wrapText="1"/>
    </xf>
    <xf numFmtId="2" fontId="36" fillId="0" borderId="1" xfId="10" applyNumberFormat="1" applyFont="1" applyFill="1" applyBorder="1" applyAlignment="1">
      <alignment vertical="center" wrapText="1"/>
    </xf>
    <xf numFmtId="0" fontId="36" fillId="0" borderId="1" xfId="10" applyNumberFormat="1" applyFont="1" applyFill="1" applyBorder="1" applyAlignment="1">
      <alignment horizontal="center" vertical="center" wrapText="1"/>
    </xf>
    <xf numFmtId="2" fontId="36" fillId="0" borderId="1" xfId="10" applyNumberFormat="1" applyFont="1" applyFill="1" applyBorder="1" applyAlignment="1">
      <alignment horizontal="left" vertical="center" wrapText="1"/>
    </xf>
    <xf numFmtId="4" fontId="36" fillId="0" borderId="0" xfId="0" applyNumberFormat="1" applyFont="1" applyFill="1"/>
    <xf numFmtId="43" fontId="36" fillId="0" borderId="1" xfId="10" applyNumberFormat="1" applyFont="1" applyFill="1" applyBorder="1" applyAlignment="1">
      <alignment horizontal="right" vertical="center" wrapText="1"/>
    </xf>
    <xf numFmtId="4" fontId="37" fillId="0" borderId="0" xfId="0" applyNumberFormat="1" applyFont="1" applyFill="1"/>
    <xf numFmtId="0" fontId="37" fillId="0" borderId="0" xfId="0" applyFont="1" applyFill="1"/>
    <xf numFmtId="165" fontId="37" fillId="0" borderId="0" xfId="0" applyNumberFormat="1" applyFont="1" applyFill="1"/>
    <xf numFmtId="165" fontId="37" fillId="0" borderId="1" xfId="10" applyNumberFormat="1" applyFont="1" applyFill="1" applyBorder="1" applyAlignment="1">
      <alignment horizontal="left" vertical="center" wrapText="1"/>
    </xf>
    <xf numFmtId="165" fontId="36" fillId="0" borderId="1" xfId="10" applyNumberFormat="1" applyFont="1" applyFill="1" applyBorder="1" applyAlignment="1">
      <alignment vertical="center" wrapText="1"/>
    </xf>
    <xf numFmtId="0" fontId="37" fillId="0" borderId="1" xfId="10" applyNumberFormat="1" applyFont="1" applyFill="1" applyBorder="1" applyAlignment="1">
      <alignment horizontal="center" vertical="center" wrapText="1"/>
    </xf>
    <xf numFmtId="2" fontId="37" fillId="6" borderId="1" xfId="10" applyNumberFormat="1" applyFont="1" applyFill="1" applyBorder="1" applyAlignment="1">
      <alignment horizontal="center" vertical="center" wrapText="1"/>
    </xf>
    <xf numFmtId="2" fontId="37" fillId="6" borderId="6" xfId="10" applyNumberFormat="1" applyFont="1" applyFill="1" applyBorder="1" applyAlignment="1">
      <alignment vertical="center" wrapText="1"/>
    </xf>
    <xf numFmtId="165" fontId="37" fillId="6" borderId="1" xfId="10" applyNumberFormat="1" applyFont="1" applyFill="1" applyBorder="1" applyAlignment="1">
      <alignment horizontal="left" vertical="center" wrapText="1"/>
    </xf>
    <xf numFmtId="4" fontId="37" fillId="6" borderId="0" xfId="0" applyNumberFormat="1" applyFont="1" applyFill="1"/>
    <xf numFmtId="0" fontId="37" fillId="6" borderId="0" xfId="0" applyFont="1" applyFill="1"/>
    <xf numFmtId="2" fontId="37" fillId="0" borderId="1" xfId="10" applyNumberFormat="1" applyFont="1" applyFill="1" applyBorder="1" applyAlignment="1">
      <alignment horizontal="center" vertical="center" wrapText="1"/>
    </xf>
    <xf numFmtId="2" fontId="37" fillId="0" borderId="1" xfId="10" applyNumberFormat="1" applyFont="1" applyFill="1" applyBorder="1" applyAlignment="1">
      <alignment vertical="center" wrapText="1"/>
    </xf>
    <xf numFmtId="165" fontId="37" fillId="0" borderId="1" xfId="10" applyNumberFormat="1" applyFont="1" applyFill="1" applyBorder="1" applyAlignment="1">
      <alignment vertical="center" wrapText="1"/>
    </xf>
    <xf numFmtId="4" fontId="37" fillId="0" borderId="0" xfId="0" applyNumberFormat="1" applyFont="1" applyFill="1" applyAlignment="1">
      <alignment horizontal="right"/>
    </xf>
    <xf numFmtId="4" fontId="37" fillId="6" borderId="0" xfId="0" applyNumberFormat="1" applyFont="1" applyFill="1" applyAlignment="1">
      <alignment horizontal="right"/>
    </xf>
    <xf numFmtId="2" fontId="37" fillId="39" borderId="6" xfId="10" applyNumberFormat="1" applyFont="1" applyFill="1" applyBorder="1" applyAlignment="1">
      <alignment vertical="center" wrapText="1"/>
    </xf>
    <xf numFmtId="165" fontId="36" fillId="0" borderId="1" xfId="10" applyNumberFormat="1" applyFont="1" applyFill="1" applyBorder="1" applyAlignment="1">
      <alignment horizontal="left" vertical="center" wrapText="1"/>
    </xf>
    <xf numFmtId="2" fontId="37" fillId="2" borderId="1" xfId="10" applyNumberFormat="1" applyFont="1" applyFill="1" applyBorder="1" applyAlignment="1">
      <alignment horizontal="left" vertical="center" wrapText="1"/>
    </xf>
    <xf numFmtId="49" fontId="37" fillId="6" borderId="1" xfId="10" applyNumberFormat="1" applyFont="1" applyFill="1" applyBorder="1" applyAlignment="1">
      <alignment horizontal="center" vertical="center" wrapText="1"/>
    </xf>
    <xf numFmtId="0" fontId="37" fillId="39" borderId="6" xfId="0" applyFont="1" applyFill="1" applyBorder="1" applyAlignment="1">
      <alignment vertical="center" wrapText="1"/>
    </xf>
    <xf numFmtId="165" fontId="36" fillId="2" borderId="1" xfId="10" applyNumberFormat="1" applyFont="1" applyFill="1" applyBorder="1" applyAlignment="1">
      <alignment horizontal="left" vertical="center" wrapText="1"/>
    </xf>
    <xf numFmtId="165" fontId="37" fillId="0" borderId="1" xfId="11" applyNumberFormat="1" applyFont="1" applyFill="1" applyBorder="1" applyAlignment="1">
      <alignment horizontal="left" vertical="center" wrapText="1"/>
    </xf>
    <xf numFmtId="4" fontId="37" fillId="0" borderId="0" xfId="0" applyNumberFormat="1" applyFont="1" applyFill="1" applyAlignment="1">
      <alignment horizontal="center"/>
    </xf>
    <xf numFmtId="0" fontId="37" fillId="0" borderId="0" xfId="0" applyFont="1" applyFill="1" applyAlignment="1">
      <alignment horizontal="left"/>
    </xf>
    <xf numFmtId="0" fontId="37" fillId="3" borderId="1" xfId="11" applyFont="1" applyFill="1" applyBorder="1" applyAlignment="1">
      <alignment horizontal="center" vertical="center" wrapText="1"/>
    </xf>
    <xf numFmtId="0" fontId="37" fillId="3" borderId="6" xfId="11" applyFont="1" applyFill="1" applyBorder="1" applyAlignment="1">
      <alignment vertical="center" wrapText="1"/>
    </xf>
    <xf numFmtId="2" fontId="37" fillId="36" borderId="1" xfId="10" applyNumberFormat="1" applyFont="1" applyFill="1" applyBorder="1" applyAlignment="1">
      <alignment horizontal="center" vertical="center" wrapText="1"/>
    </xf>
    <xf numFmtId="2" fontId="37" fillId="36" borderId="1" xfId="10" applyNumberFormat="1" applyFont="1" applyFill="1" applyBorder="1" applyAlignment="1">
      <alignment vertical="center" wrapText="1"/>
    </xf>
    <xf numFmtId="165" fontId="37" fillId="36" borderId="1" xfId="10" applyNumberFormat="1" applyFont="1" applyFill="1" applyBorder="1" applyAlignment="1">
      <alignment vertical="center" wrapText="1"/>
    </xf>
    <xf numFmtId="165" fontId="37" fillId="36" borderId="1" xfId="10" applyNumberFormat="1" applyFont="1" applyFill="1" applyBorder="1" applyAlignment="1">
      <alignment horizontal="left" vertical="center" wrapText="1"/>
    </xf>
    <xf numFmtId="0" fontId="37" fillId="36" borderId="0" xfId="0" applyFont="1" applyFill="1"/>
    <xf numFmtId="2" fontId="36" fillId="5" borderId="1" xfId="10" applyNumberFormat="1" applyFont="1" applyFill="1" applyBorder="1" applyAlignment="1">
      <alignment horizontal="left" vertical="center" wrapText="1"/>
    </xf>
    <xf numFmtId="2" fontId="37" fillId="3" borderId="1" xfId="10" applyNumberFormat="1" applyFont="1" applyFill="1" applyBorder="1" applyAlignment="1">
      <alignment horizontal="center" vertical="center" wrapText="1"/>
    </xf>
    <xf numFmtId="2" fontId="37" fillId="3" borderId="6" xfId="10" applyNumberFormat="1" applyFont="1" applyFill="1" applyBorder="1" applyAlignment="1">
      <alignment vertical="center" wrapText="1"/>
    </xf>
    <xf numFmtId="2" fontId="37" fillId="36" borderId="1" xfId="10" applyNumberFormat="1" applyFont="1" applyFill="1" applyBorder="1" applyAlignment="1">
      <alignment horizontal="left" vertical="center" wrapText="1"/>
    </xf>
    <xf numFmtId="49" fontId="37" fillId="3" borderId="1" xfId="0" applyNumberFormat="1" applyFont="1" applyFill="1" applyBorder="1" applyAlignment="1">
      <alignment horizontal="center" vertical="center"/>
    </xf>
    <xf numFmtId="49" fontId="37" fillId="3" borderId="6" xfId="0" applyNumberFormat="1" applyFont="1" applyFill="1" applyBorder="1" applyAlignment="1">
      <alignment vertical="center" wrapText="1"/>
    </xf>
    <xf numFmtId="0" fontId="36" fillId="3" borderId="0" xfId="0" applyFont="1" applyFill="1" applyAlignment="1">
      <alignment horizontal="left"/>
    </xf>
    <xf numFmtId="49" fontId="36" fillId="38" borderId="1" xfId="0" applyNumberFormat="1" applyFont="1" applyFill="1" applyBorder="1" applyAlignment="1">
      <alignment horizontal="center" vertical="center" wrapText="1"/>
    </xf>
    <xf numFmtId="49" fontId="36" fillId="38" borderId="1" xfId="0" applyNumberFormat="1" applyFont="1" applyFill="1" applyBorder="1" applyAlignment="1">
      <alignment vertical="center" wrapText="1"/>
    </xf>
    <xf numFmtId="49" fontId="36" fillId="38" borderId="1" xfId="0" applyNumberFormat="1" applyFont="1" applyFill="1" applyBorder="1"/>
    <xf numFmtId="49" fontId="36" fillId="38" borderId="1" xfId="0" applyNumberFormat="1" applyFont="1" applyFill="1" applyBorder="1" applyAlignment="1">
      <alignment horizontal="right" vertical="center" wrapText="1"/>
    </xf>
    <xf numFmtId="49" fontId="36" fillId="36" borderId="1" xfId="0" applyNumberFormat="1" applyFont="1" applyFill="1" applyBorder="1"/>
    <xf numFmtId="0" fontId="36" fillId="38" borderId="1" xfId="0" applyFont="1" applyFill="1" applyBorder="1" applyAlignment="1">
      <alignment horizontal="center" vertical="center"/>
    </xf>
    <xf numFmtId="0" fontId="36" fillId="38" borderId="1" xfId="0" applyFont="1" applyFill="1" applyBorder="1" applyAlignment="1">
      <alignment vertical="center" wrapText="1"/>
    </xf>
    <xf numFmtId="0" fontId="36" fillId="38" borderId="1" xfId="0" applyFont="1" applyFill="1" applyBorder="1"/>
    <xf numFmtId="0" fontId="36" fillId="0" borderId="0" xfId="0" applyFont="1" applyFill="1" applyBorder="1" applyAlignment="1"/>
    <xf numFmtId="0" fontId="36" fillId="0" borderId="0" xfId="103" applyFont="1"/>
    <xf numFmtId="0" fontId="36" fillId="0" borderId="0" xfId="103" applyFont="1" applyAlignment="1">
      <alignment horizontal="left" wrapText="1"/>
    </xf>
    <xf numFmtId="0" fontId="36" fillId="0" borderId="0" xfId="103" applyFont="1" applyAlignment="1">
      <alignment wrapText="1"/>
    </xf>
    <xf numFmtId="0" fontId="37" fillId="0" borderId="0" xfId="103" applyFont="1"/>
    <xf numFmtId="0" fontId="36" fillId="0" borderId="1" xfId="103" applyFont="1" applyBorder="1"/>
    <xf numFmtId="0" fontId="37" fillId="0" borderId="1" xfId="103" applyFont="1" applyFill="1" applyBorder="1" applyAlignment="1">
      <alignment horizontal="center" vertical="center" wrapText="1"/>
    </xf>
    <xf numFmtId="0" fontId="36" fillId="0" borderId="1" xfId="103" applyFont="1" applyFill="1" applyBorder="1" applyAlignment="1">
      <alignment horizontal="left" vertical="center" wrapText="1"/>
    </xf>
    <xf numFmtId="3" fontId="37" fillId="0" borderId="1" xfId="103" applyNumberFormat="1" applyFont="1" applyFill="1" applyBorder="1" applyAlignment="1">
      <alignment horizontal="center" vertical="center" wrapText="1"/>
    </xf>
    <xf numFmtId="0" fontId="37" fillId="0" borderId="0" xfId="103" applyFont="1" applyFill="1" applyAlignment="1">
      <alignment horizontal="center" wrapText="1"/>
    </xf>
    <xf numFmtId="0" fontId="36" fillId="4" borderId="1" xfId="103" applyFont="1" applyFill="1" applyBorder="1" applyAlignment="1">
      <alignment horizontal="center" vertical="center" wrapText="1"/>
    </xf>
    <xf numFmtId="0" fontId="36" fillId="4" borderId="1" xfId="103" applyFont="1" applyFill="1" applyBorder="1" applyAlignment="1">
      <alignment horizontal="left" vertical="center" wrapText="1"/>
    </xf>
    <xf numFmtId="0" fontId="37" fillId="4" borderId="1" xfId="103" applyFont="1" applyFill="1" applyBorder="1" applyAlignment="1">
      <alignment horizontal="center" vertical="center" wrapText="1"/>
    </xf>
    <xf numFmtId="0" fontId="36" fillId="4" borderId="1" xfId="103" applyFont="1" applyFill="1" applyBorder="1" applyAlignment="1">
      <alignment horizontal="center" vertical="center"/>
    </xf>
    <xf numFmtId="4" fontId="37" fillId="4" borderId="1" xfId="103" applyNumberFormat="1" applyFont="1" applyFill="1" applyBorder="1" applyAlignment="1">
      <alignment horizontal="center" vertical="center"/>
    </xf>
    <xf numFmtId="3" fontId="37" fillId="4" borderId="1" xfId="103" applyNumberFormat="1" applyFont="1" applyFill="1" applyBorder="1" applyAlignment="1">
      <alignment horizontal="center" vertical="center"/>
    </xf>
    <xf numFmtId="0" fontId="36" fillId="0" borderId="0" xfId="103" applyFont="1" applyAlignment="1">
      <alignment horizontal="center" vertical="center"/>
    </xf>
    <xf numFmtId="0" fontId="36" fillId="0" borderId="0" xfId="103" applyFont="1" applyAlignment="1">
      <alignment horizontal="left" vertical="center" wrapText="1"/>
    </xf>
    <xf numFmtId="0" fontId="36" fillId="0" borderId="0" xfId="103" applyFont="1" applyAlignment="1">
      <alignment horizontal="center" vertical="center" wrapText="1"/>
    </xf>
    <xf numFmtId="4" fontId="36" fillId="0" borderId="0" xfId="103" applyNumberFormat="1" applyFont="1" applyAlignment="1">
      <alignment horizontal="center" vertical="center"/>
    </xf>
    <xf numFmtId="4" fontId="37" fillId="0" borderId="0" xfId="103" applyNumberFormat="1" applyFont="1"/>
    <xf numFmtId="0" fontId="36" fillId="0" borderId="0" xfId="103" applyFont="1" applyBorder="1"/>
    <xf numFmtId="0" fontId="36" fillId="0" borderId="0" xfId="103" applyFont="1" applyBorder="1" applyAlignment="1">
      <alignment horizontal="left" wrapText="1"/>
    </xf>
    <xf numFmtId="0" fontId="36" fillId="0" borderId="0" xfId="103" applyFont="1" applyBorder="1" applyAlignment="1">
      <alignment wrapText="1"/>
    </xf>
    <xf numFmtId="0" fontId="37" fillId="0" borderId="0" xfId="103" applyFont="1" applyBorder="1"/>
    <xf numFmtId="0" fontId="64" fillId="0" borderId="0" xfId="103" applyFont="1"/>
    <xf numFmtId="0" fontId="37" fillId="0" borderId="5" xfId="103" applyFont="1" applyBorder="1" applyAlignment="1"/>
    <xf numFmtId="0" fontId="37" fillId="0" borderId="6" xfId="103" applyFont="1" applyBorder="1" applyAlignment="1"/>
    <xf numFmtId="0" fontId="36" fillId="0" borderId="0" xfId="103" applyFont="1" applyBorder="1" applyAlignment="1">
      <alignment horizontal="center"/>
    </xf>
    <xf numFmtId="0" fontId="36" fillId="0" borderId="0" xfId="103" applyFont="1" applyAlignment="1">
      <alignment vertical="center" wrapText="1"/>
    </xf>
    <xf numFmtId="0" fontId="37" fillId="0" borderId="1" xfId="103" applyFont="1" applyBorder="1"/>
    <xf numFmtId="0" fontId="37" fillId="0" borderId="1" xfId="103" applyFont="1" applyFill="1" applyBorder="1" applyAlignment="1">
      <alignment horizontal="center" wrapText="1"/>
    </xf>
    <xf numFmtId="0" fontId="36" fillId="0" borderId="1" xfId="103" applyFont="1" applyFill="1" applyBorder="1" applyAlignment="1">
      <alignment horizontal="center" vertical="center"/>
    </xf>
    <xf numFmtId="0" fontId="36" fillId="0" borderId="1" xfId="103" applyFont="1" applyFill="1" applyBorder="1" applyAlignment="1">
      <alignment vertical="center" wrapText="1"/>
    </xf>
    <xf numFmtId="0" fontId="36" fillId="0" borderId="1" xfId="103" applyFont="1" applyFill="1" applyBorder="1" applyAlignment="1">
      <alignment horizontal="center" vertical="center" wrapText="1"/>
    </xf>
    <xf numFmtId="4" fontId="36" fillId="0" borderId="1" xfId="103" applyNumberFormat="1" applyFont="1" applyFill="1" applyBorder="1" applyAlignment="1">
      <alignment horizontal="center" vertical="center" wrapText="1"/>
    </xf>
    <xf numFmtId="4" fontId="36" fillId="0" borderId="1" xfId="105" applyNumberFormat="1" applyFont="1" applyFill="1" applyBorder="1" applyAlignment="1">
      <alignment horizontal="center" vertical="center" wrapText="1"/>
    </xf>
    <xf numFmtId="0" fontId="36" fillId="0" borderId="0" xfId="103" applyFont="1" applyFill="1"/>
    <xf numFmtId="175" fontId="36" fillId="0" borderId="1" xfId="103" applyNumberFormat="1" applyFont="1" applyFill="1" applyBorder="1" applyAlignment="1">
      <alignment vertical="center" wrapText="1"/>
    </xf>
    <xf numFmtId="3" fontId="36" fillId="0" borderId="1" xfId="105" applyNumberFormat="1" applyFont="1" applyFill="1" applyBorder="1" applyAlignment="1">
      <alignment horizontal="center" vertical="center" wrapText="1"/>
    </xf>
    <xf numFmtId="0" fontId="37" fillId="0" borderId="1" xfId="103" applyFont="1" applyFill="1" applyBorder="1" applyAlignment="1">
      <alignment wrapText="1"/>
    </xf>
    <xf numFmtId="0" fontId="37" fillId="0" borderId="1" xfId="103" applyFont="1" applyFill="1" applyBorder="1" applyAlignment="1">
      <alignment vertical="center" wrapText="1"/>
    </xf>
    <xf numFmtId="4" fontId="37" fillId="0" borderId="1" xfId="103" applyNumberFormat="1" applyFont="1" applyFill="1" applyBorder="1" applyAlignment="1">
      <alignment horizontal="center" vertical="center" wrapText="1"/>
    </xf>
    <xf numFmtId="175" fontId="37" fillId="0" borderId="1" xfId="103" applyNumberFormat="1" applyFont="1" applyFill="1" applyBorder="1" applyAlignment="1">
      <alignment horizontal="center" vertical="center" wrapText="1"/>
    </xf>
    <xf numFmtId="0" fontId="37" fillId="0" borderId="0" xfId="103" applyFont="1" applyFill="1"/>
    <xf numFmtId="0" fontId="36" fillId="0" borderId="0" xfId="103" applyFont="1" applyBorder="1" applyAlignment="1">
      <alignment horizontal="center" wrapText="1"/>
    </xf>
    <xf numFmtId="0" fontId="36" fillId="0" borderId="0" xfId="103" applyFont="1" applyBorder="1" applyAlignment="1">
      <alignment vertical="center" wrapText="1"/>
    </xf>
    <xf numFmtId="0" fontId="36" fillId="37" borderId="0" xfId="103" applyFont="1" applyFill="1" applyBorder="1" applyAlignment="1">
      <alignment vertical="center" wrapText="1"/>
    </xf>
    <xf numFmtId="0" fontId="36" fillId="0" borderId="0" xfId="103" applyFont="1" applyBorder="1" applyAlignment="1">
      <alignment horizontal="center" vertical="center" wrapText="1"/>
    </xf>
    <xf numFmtId="4" fontId="36" fillId="0" borderId="0" xfId="103" applyNumberFormat="1" applyFont="1" applyBorder="1" applyAlignment="1">
      <alignment horizontal="center" vertical="center" wrapText="1"/>
    </xf>
    <xf numFmtId="4" fontId="36" fillId="4" borderId="0" xfId="103" applyNumberFormat="1" applyFont="1" applyFill="1" applyBorder="1" applyAlignment="1">
      <alignment horizontal="center" vertical="center" wrapText="1"/>
    </xf>
    <xf numFmtId="3" fontId="36" fillId="0" borderId="0" xfId="103" applyNumberFormat="1" applyFont="1" applyBorder="1" applyAlignment="1">
      <alignment horizontal="center" vertical="center" wrapText="1"/>
    </xf>
    <xf numFmtId="0" fontId="36" fillId="37" borderId="0" xfId="103" applyFont="1" applyFill="1" applyBorder="1" applyAlignment="1">
      <alignment horizontal="center"/>
    </xf>
    <xf numFmtId="3" fontId="36" fillId="0" borderId="0" xfId="103" applyNumberFormat="1" applyFont="1" applyAlignment="1">
      <alignment vertical="center" wrapText="1"/>
    </xf>
    <xf numFmtId="0" fontId="36" fillId="0" borderId="0" xfId="103" applyFont="1" applyAlignment="1">
      <alignment horizontal="center"/>
    </xf>
    <xf numFmtId="0" fontId="36" fillId="37" borderId="0" xfId="103" applyFont="1" applyFill="1" applyAlignment="1">
      <alignment horizontal="center"/>
    </xf>
    <xf numFmtId="4" fontId="36" fillId="0" borderId="0" xfId="103" applyNumberFormat="1" applyFont="1" applyAlignment="1">
      <alignment vertical="center" wrapText="1"/>
    </xf>
    <xf numFmtId="0" fontId="37" fillId="0" borderId="1" xfId="103" applyFont="1" applyFill="1" applyBorder="1" applyAlignment="1">
      <alignment horizontal="left" vertical="center" wrapText="1"/>
    </xf>
    <xf numFmtId="4" fontId="37" fillId="4" borderId="1" xfId="103" applyNumberFormat="1" applyFont="1" applyFill="1" applyBorder="1" applyAlignment="1">
      <alignment horizontal="right" vertical="center"/>
    </xf>
    <xf numFmtId="4" fontId="36" fillId="4" borderId="1" xfId="103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left"/>
    </xf>
    <xf numFmtId="165" fontId="36" fillId="0" borderId="1" xfId="0" applyNumberFormat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1" fontId="37" fillId="4" borderId="1" xfId="103" applyNumberFormat="1" applyFont="1" applyFill="1" applyBorder="1" applyAlignment="1">
      <alignment horizontal="center" vertical="center" wrapText="1"/>
    </xf>
    <xf numFmtId="17" fontId="0" fillId="0" borderId="0" xfId="0" applyNumberFormat="1"/>
    <xf numFmtId="17" fontId="0" fillId="0" borderId="1" xfId="0" applyNumberFormat="1" applyBorder="1"/>
    <xf numFmtId="3" fontId="0" fillId="0" borderId="0" xfId="0" applyNumberFormat="1"/>
    <xf numFmtId="0" fontId="67" fillId="0" borderId="0" xfId="0" applyNumberFormat="1" applyFont="1" applyAlignment="1">
      <alignment horizontal="centerContinuous" wrapText="1"/>
    </xf>
    <xf numFmtId="0" fontId="0" fillId="0" borderId="0" xfId="0" applyNumberFormat="1" applyAlignment="1">
      <alignment horizontal="centerContinuous"/>
    </xf>
    <xf numFmtId="177" fontId="66" fillId="0" borderId="0" xfId="0" applyNumberFormat="1" applyFont="1" applyAlignment="1">
      <alignment horizontal="centerContinuous" wrapText="1"/>
    </xf>
    <xf numFmtId="0" fontId="66" fillId="0" borderId="0" xfId="0" applyNumberFormat="1" applyFont="1" applyAlignment="1">
      <alignment horizontal="centerContinuous" wrapText="1"/>
    </xf>
    <xf numFmtId="0" fontId="68" fillId="0" borderId="0" xfId="0" applyNumberFormat="1" applyFont="1" applyAlignment="1">
      <alignment wrapText="1"/>
    </xf>
    <xf numFmtId="0" fontId="69" fillId="0" borderId="83" xfId="0" applyNumberFormat="1" applyFont="1" applyBorder="1" applyAlignment="1">
      <alignment horizontal="center" vertical="top"/>
    </xf>
    <xf numFmtId="0" fontId="69" fillId="0" borderId="83" xfId="0" applyNumberFormat="1" applyFont="1" applyBorder="1" applyAlignment="1">
      <alignment horizontal="center" vertical="top" wrapText="1"/>
    </xf>
    <xf numFmtId="0" fontId="0" fillId="0" borderId="3" xfId="0" applyNumberFormat="1" applyFont="1" applyBorder="1" applyAlignment="1">
      <alignment vertical="top" wrapText="1"/>
    </xf>
    <xf numFmtId="178" fontId="0" fillId="0" borderId="3" xfId="0" applyNumberFormat="1" applyFont="1" applyBorder="1" applyAlignment="1">
      <alignment horizontal="right" vertical="top"/>
    </xf>
    <xf numFmtId="0" fontId="0" fillId="0" borderId="3" xfId="0" applyNumberFormat="1" applyFont="1" applyBorder="1" applyAlignment="1">
      <alignment vertical="top"/>
    </xf>
    <xf numFmtId="179" fontId="0" fillId="0" borderId="0" xfId="0" applyNumberFormat="1"/>
    <xf numFmtId="0" fontId="0" fillId="0" borderId="2" xfId="0" applyNumberFormat="1" applyFont="1" applyBorder="1"/>
    <xf numFmtId="0" fontId="0" fillId="0" borderId="86" xfId="0" applyNumberFormat="1" applyFont="1" applyBorder="1"/>
    <xf numFmtId="0" fontId="0" fillId="0" borderId="87" xfId="0" applyNumberFormat="1" applyFont="1" applyBorder="1"/>
    <xf numFmtId="180" fontId="0" fillId="0" borderId="88" xfId="0" applyNumberFormat="1" applyFont="1" applyBorder="1" applyAlignment="1">
      <alignment horizontal="right"/>
    </xf>
    <xf numFmtId="0" fontId="0" fillId="0" borderId="87" xfId="0" applyNumberFormat="1" applyFont="1" applyBorder="1" applyAlignment="1">
      <alignment horizontal="right"/>
    </xf>
    <xf numFmtId="0" fontId="0" fillId="0" borderId="88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vertical="top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89" xfId="0" applyFont="1" applyBorder="1"/>
    <xf numFmtId="0" fontId="0" fillId="0" borderId="90" xfId="0" applyFont="1" applyBorder="1"/>
    <xf numFmtId="0" fontId="0" fillId="0" borderId="91" xfId="0" applyFont="1" applyBorder="1"/>
    <xf numFmtId="178" fontId="0" fillId="0" borderId="1" xfId="0" applyNumberFormat="1" applyFont="1" applyBorder="1" applyAlignment="1">
      <alignment horizontal="right" vertical="top"/>
    </xf>
    <xf numFmtId="4" fontId="0" fillId="0" borderId="0" xfId="0" applyNumberFormat="1" applyBorder="1"/>
    <xf numFmtId="0" fontId="67" fillId="0" borderId="0" xfId="111" applyNumberFormat="1" applyFont="1" applyAlignment="1">
      <alignment horizontal="centerContinuous" wrapText="1"/>
    </xf>
    <xf numFmtId="0" fontId="70" fillId="0" borderId="0" xfId="111" applyNumberFormat="1" applyAlignment="1">
      <alignment horizontal="centerContinuous"/>
    </xf>
    <xf numFmtId="177" fontId="66" fillId="0" borderId="0" xfId="111" applyNumberFormat="1" applyFont="1" applyAlignment="1">
      <alignment horizontal="centerContinuous" wrapText="1"/>
    </xf>
    <xf numFmtId="0" fontId="66" fillId="0" borderId="0" xfId="111" applyNumberFormat="1" applyFont="1" applyAlignment="1">
      <alignment horizontal="centerContinuous" wrapText="1"/>
    </xf>
    <xf numFmtId="0" fontId="70" fillId="0" borderId="0" xfId="111"/>
    <xf numFmtId="0" fontId="68" fillId="0" borderId="0" xfId="111" applyNumberFormat="1" applyFont="1" applyAlignment="1">
      <alignment wrapText="1"/>
    </xf>
    <xf numFmtId="0" fontId="69" fillId="0" borderId="83" xfId="111" applyNumberFormat="1" applyFont="1" applyBorder="1" applyAlignment="1">
      <alignment horizontal="center" vertical="top"/>
    </xf>
    <xf numFmtId="0" fontId="69" fillId="0" borderId="83" xfId="111" applyNumberFormat="1" applyFont="1" applyBorder="1" applyAlignment="1">
      <alignment horizontal="center" vertical="top" wrapText="1"/>
    </xf>
    <xf numFmtId="0" fontId="70" fillId="0" borderId="3" xfId="111" applyNumberFormat="1" applyFont="1" applyBorder="1" applyAlignment="1">
      <alignment vertical="top" wrapText="1"/>
    </xf>
    <xf numFmtId="178" fontId="70" fillId="0" borderId="3" xfId="111" applyNumberFormat="1" applyFont="1" applyBorder="1" applyAlignment="1">
      <alignment horizontal="right" vertical="top"/>
    </xf>
    <xf numFmtId="0" fontId="70" fillId="0" borderId="85" xfId="111" applyNumberFormat="1" applyFont="1" applyBorder="1" applyAlignment="1">
      <alignment vertical="top" wrapText="1"/>
    </xf>
    <xf numFmtId="0" fontId="70" fillId="0" borderId="3" xfId="111" applyNumberFormat="1" applyFont="1" applyBorder="1" applyAlignment="1">
      <alignment vertical="top"/>
    </xf>
    <xf numFmtId="0" fontId="70" fillId="0" borderId="2" xfId="111" applyNumberFormat="1" applyFont="1" applyBorder="1"/>
    <xf numFmtId="0" fontId="70" fillId="0" borderId="86" xfId="111" applyNumberFormat="1" applyFont="1" applyBorder="1"/>
    <xf numFmtId="180" fontId="70" fillId="0" borderId="88" xfId="111" applyNumberFormat="1" applyFont="1" applyBorder="1" applyAlignment="1">
      <alignment horizontal="right"/>
    </xf>
    <xf numFmtId="0" fontId="70" fillId="0" borderId="88" xfId="111" applyNumberFormat="1" applyFont="1" applyBorder="1" applyAlignment="1">
      <alignment horizontal="right"/>
    </xf>
    <xf numFmtId="0" fontId="70" fillId="0" borderId="2" xfId="111" applyNumberFormat="1" applyFont="1" applyBorder="1" applyAlignment="1">
      <alignment vertical="top"/>
    </xf>
    <xf numFmtId="0" fontId="70" fillId="0" borderId="2" xfId="111" applyNumberFormat="1" applyFont="1" applyBorder="1" applyAlignment="1">
      <alignment vertical="top" wrapText="1"/>
    </xf>
    <xf numFmtId="0" fontId="70" fillId="0" borderId="4" xfId="111" applyFont="1" applyBorder="1"/>
    <xf numFmtId="0" fontId="70" fillId="0" borderId="5" xfId="111" applyFont="1" applyBorder="1"/>
    <xf numFmtId="0" fontId="70" fillId="0" borderId="6" xfId="111" applyFont="1" applyBorder="1"/>
    <xf numFmtId="0" fontId="70" fillId="0" borderId="89" xfId="111" applyFont="1" applyBorder="1"/>
    <xf numFmtId="0" fontId="70" fillId="0" borderId="91" xfId="111" applyFont="1" applyBorder="1"/>
    <xf numFmtId="178" fontId="70" fillId="0" borderId="1" xfId="111" applyNumberFormat="1" applyFont="1" applyBorder="1" applyAlignment="1">
      <alignment horizontal="right" vertical="top"/>
    </xf>
    <xf numFmtId="0" fontId="0" fillId="43" borderId="1" xfId="0" applyFill="1" applyBorder="1" applyAlignment="1">
      <alignment wrapText="1"/>
    </xf>
    <xf numFmtId="0" fontId="0" fillId="43" borderId="1" xfId="0" applyFill="1" applyBorder="1"/>
    <xf numFmtId="0" fontId="0" fillId="43" borderId="0" xfId="0" applyFill="1"/>
    <xf numFmtId="4" fontId="0" fillId="43" borderId="1" xfId="0" applyNumberFormat="1" applyFill="1" applyBorder="1"/>
    <xf numFmtId="0" fontId="0" fillId="5" borderId="1" xfId="0" applyFill="1" applyBorder="1"/>
    <xf numFmtId="0" fontId="0" fillId="5" borderId="0" xfId="0" applyFill="1"/>
    <xf numFmtId="4" fontId="0" fillId="5" borderId="1" xfId="0" applyNumberFormat="1" applyFill="1" applyBorder="1"/>
    <xf numFmtId="0" fontId="2" fillId="5" borderId="1" xfId="0" applyFont="1" applyFill="1" applyBorder="1"/>
    <xf numFmtId="4" fontId="2" fillId="5" borderId="1" xfId="0" applyNumberFormat="1" applyFont="1" applyFill="1" applyBorder="1"/>
    <xf numFmtId="0" fontId="2" fillId="5" borderId="0" xfId="0" applyFont="1" applyFill="1"/>
    <xf numFmtId="0" fontId="2" fillId="5" borderId="1" xfId="0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right"/>
    </xf>
    <xf numFmtId="0" fontId="2" fillId="5" borderId="0" xfId="0" applyFont="1" applyFill="1" applyAlignment="1">
      <alignment horizontal="center"/>
    </xf>
    <xf numFmtId="0" fontId="0" fillId="4" borderId="0" xfId="0" applyFill="1"/>
    <xf numFmtId="0" fontId="0" fillId="4" borderId="1" xfId="0" applyFill="1" applyBorder="1"/>
    <xf numFmtId="17" fontId="0" fillId="4" borderId="1" xfId="0" applyNumberFormat="1" applyFill="1" applyBorder="1"/>
    <xf numFmtId="4" fontId="0" fillId="4" borderId="1" xfId="0" applyNumberFormat="1" applyFill="1" applyBorder="1"/>
    <xf numFmtId="4" fontId="2" fillId="4" borderId="1" xfId="0" applyNumberFormat="1" applyFont="1" applyFill="1" applyBorder="1"/>
    <xf numFmtId="4" fontId="2" fillId="4" borderId="1" xfId="0" applyNumberFormat="1" applyFont="1" applyFill="1" applyBorder="1" applyAlignment="1">
      <alignment horizontal="right"/>
    </xf>
    <xf numFmtId="4" fontId="0" fillId="4" borderId="0" xfId="0" applyNumberFormat="1" applyFill="1" applyBorder="1"/>
    <xf numFmtId="0" fontId="0" fillId="4" borderId="0" xfId="0" applyNumberFormat="1" applyFill="1" applyAlignment="1">
      <alignment horizontal="centerContinuous"/>
    </xf>
    <xf numFmtId="0" fontId="0" fillId="4" borderId="87" xfId="0" applyNumberFormat="1" applyFont="1" applyFill="1" applyBorder="1"/>
    <xf numFmtId="0" fontId="0" fillId="4" borderId="90" xfId="0" applyFont="1" applyFill="1" applyBorder="1"/>
    <xf numFmtId="0" fontId="70" fillId="4" borderId="0" xfId="111" applyNumberFormat="1" applyFill="1" applyAlignment="1">
      <alignment horizontal="centerContinuous"/>
    </xf>
    <xf numFmtId="0" fontId="70" fillId="4" borderId="0" xfId="111" applyFill="1"/>
    <xf numFmtId="0" fontId="69" fillId="4" borderId="83" xfId="111" applyNumberFormat="1" applyFont="1" applyFill="1" applyBorder="1" applyAlignment="1">
      <alignment horizontal="center" vertical="top"/>
    </xf>
    <xf numFmtId="0" fontId="70" fillId="4" borderId="0" xfId="111" applyNumberFormat="1" applyFont="1" applyFill="1" applyBorder="1" applyAlignment="1">
      <alignment vertical="top"/>
    </xf>
    <xf numFmtId="0" fontId="70" fillId="4" borderId="0" xfId="111" applyNumberFormat="1" applyFont="1" applyFill="1" applyBorder="1" applyAlignment="1">
      <alignment horizontal="right"/>
    </xf>
    <xf numFmtId="0" fontId="70" fillId="4" borderId="0" xfId="111" applyFont="1" applyFill="1" applyBorder="1"/>
    <xf numFmtId="0" fontId="0" fillId="4" borderId="1" xfId="0" applyFill="1" applyBorder="1" applyAlignment="1">
      <alignment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79" fontId="0" fillId="4" borderId="0" xfId="0" applyNumberFormat="1" applyFill="1"/>
    <xf numFmtId="17" fontId="0" fillId="4" borderId="4" xfId="0" applyNumberFormat="1" applyFill="1" applyBorder="1"/>
    <xf numFmtId="17" fontId="0" fillId="44" borderId="92" xfId="0" applyNumberFormat="1" applyFill="1" applyBorder="1"/>
    <xf numFmtId="17" fontId="0" fillId="44" borderId="32" xfId="0" applyNumberFormat="1" applyFill="1" applyBorder="1"/>
    <xf numFmtId="17" fontId="0" fillId="44" borderId="33" xfId="0" applyNumberFormat="1" applyFill="1" applyBorder="1"/>
    <xf numFmtId="0" fontId="0" fillId="4" borderId="4" xfId="0" applyFill="1" applyBorder="1"/>
    <xf numFmtId="3" fontId="0" fillId="4" borderId="4" xfId="0" applyNumberForma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4" fontId="0" fillId="4" borderId="4" xfId="0" applyNumberFormat="1" applyFill="1" applyBorder="1"/>
    <xf numFmtId="0" fontId="0" fillId="4" borderId="11" xfId="0" applyFill="1" applyBorder="1"/>
    <xf numFmtId="0" fontId="0" fillId="4" borderId="14" xfId="0" applyFill="1" applyBorder="1"/>
    <xf numFmtId="0" fontId="2" fillId="4" borderId="11" xfId="0" applyFont="1" applyFill="1" applyBorder="1"/>
    <xf numFmtId="0" fontId="2" fillId="4" borderId="14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71" fillId="0" borderId="1" xfId="0" applyFont="1" applyBorder="1"/>
    <xf numFmtId="0" fontId="71" fillId="4" borderId="1" xfId="0" applyFont="1" applyFill="1" applyBorder="1"/>
    <xf numFmtId="17" fontId="71" fillId="0" borderId="1" xfId="0" applyNumberFormat="1" applyFont="1" applyBorder="1"/>
    <xf numFmtId="17" fontId="71" fillId="4" borderId="1" xfId="0" applyNumberFormat="1" applyFont="1" applyFill="1" applyBorder="1"/>
    <xf numFmtId="17" fontId="71" fillId="4" borderId="4" xfId="0" applyNumberFormat="1" applyFont="1" applyFill="1" applyBorder="1"/>
    <xf numFmtId="17" fontId="71" fillId="4" borderId="93" xfId="0" applyNumberFormat="1" applyFont="1" applyFill="1" applyBorder="1"/>
    <xf numFmtId="17" fontId="71" fillId="4" borderId="2" xfId="0" applyNumberFormat="1" applyFont="1" applyFill="1" applyBorder="1"/>
    <xf numFmtId="17" fontId="71" fillId="4" borderId="94" xfId="0" applyNumberFormat="1" applyFont="1" applyFill="1" applyBorder="1"/>
    <xf numFmtId="17" fontId="71" fillId="0" borderId="0" xfId="0" applyNumberFormat="1" applyFont="1"/>
    <xf numFmtId="0" fontId="71" fillId="0" borderId="0" xfId="0" applyFont="1"/>
    <xf numFmtId="4" fontId="71" fillId="0" borderId="0" xfId="0" applyNumberFormat="1" applyFont="1" applyBorder="1"/>
    <xf numFmtId="4" fontId="71" fillId="4" borderId="0" xfId="0" applyNumberFormat="1" applyFont="1" applyFill="1" applyBorder="1"/>
    <xf numFmtId="17" fontId="0" fillId="0" borderId="0" xfId="0" applyNumberFormat="1" applyFill="1"/>
    <xf numFmtId="0" fontId="71" fillId="0" borderId="0" xfId="0" applyFont="1" applyFill="1" applyBorder="1"/>
    <xf numFmtId="4" fontId="71" fillId="0" borderId="0" xfId="0" applyNumberFormat="1" applyFont="1" applyFill="1" applyBorder="1"/>
    <xf numFmtId="0" fontId="71" fillId="0" borderId="0" xfId="0" applyFont="1" applyFill="1"/>
    <xf numFmtId="0" fontId="71" fillId="0" borderId="95" xfId="0" applyFont="1" applyFill="1" applyBorder="1"/>
    <xf numFmtId="0" fontId="71" fillId="0" borderId="96" xfId="0" applyFont="1" applyFill="1" applyBorder="1"/>
    <xf numFmtId="0" fontId="0" fillId="4" borderId="97" xfId="0" applyFill="1" applyBorder="1"/>
    <xf numFmtId="0" fontId="0" fillId="4" borderId="3" xfId="0" applyFill="1" applyBorder="1"/>
    <xf numFmtId="0" fontId="0" fillId="4" borderId="98" xfId="0" applyFill="1" applyBorder="1"/>
    <xf numFmtId="0" fontId="2" fillId="4" borderId="93" xfId="0" applyFont="1" applyFill="1" applyBorder="1"/>
    <xf numFmtId="0" fontId="2" fillId="4" borderId="2" xfId="0" applyFont="1" applyFill="1" applyBorder="1"/>
    <xf numFmtId="0" fontId="2" fillId="4" borderId="94" xfId="0" applyFont="1" applyFill="1" applyBorder="1"/>
    <xf numFmtId="3" fontId="0" fillId="44" borderId="15" xfId="0" applyNumberFormat="1" applyFill="1" applyBorder="1"/>
    <xf numFmtId="3" fontId="0" fillId="44" borderId="30" xfId="0" applyNumberFormat="1" applyFill="1" applyBorder="1"/>
    <xf numFmtId="3" fontId="0" fillId="44" borderId="31" xfId="0" applyNumberFormat="1" applyFill="1" applyBorder="1"/>
    <xf numFmtId="3" fontId="0" fillId="44" borderId="10" xfId="0" applyNumberFormat="1" applyFill="1" applyBorder="1"/>
    <xf numFmtId="3" fontId="0" fillId="44" borderId="9" xfId="0" applyNumberFormat="1" applyFill="1" applyBorder="1"/>
    <xf numFmtId="3" fontId="0" fillId="44" borderId="16" xfId="0" applyNumberFormat="1" applyFill="1" applyBorder="1"/>
    <xf numFmtId="0" fontId="66" fillId="0" borderId="0" xfId="112" applyNumberFormat="1" applyFont="1" applyAlignment="1">
      <alignment horizontal="centerContinuous" wrapText="1"/>
    </xf>
    <xf numFmtId="0" fontId="70" fillId="0" borderId="0" xfId="112" applyNumberFormat="1" applyAlignment="1">
      <alignment horizontal="centerContinuous"/>
    </xf>
    <xf numFmtId="0" fontId="70" fillId="0" borderId="0" xfId="112"/>
    <xf numFmtId="0" fontId="68" fillId="0" borderId="99" xfId="112" applyFont="1" applyBorder="1"/>
    <xf numFmtId="0" fontId="68" fillId="0" borderId="100" xfId="112" applyFont="1" applyBorder="1"/>
    <xf numFmtId="0" fontId="68" fillId="0" borderId="101" xfId="112" applyFont="1" applyBorder="1"/>
    <xf numFmtId="0" fontId="68" fillId="0" borderId="86" xfId="112" applyFont="1" applyBorder="1"/>
    <xf numFmtId="0" fontId="68" fillId="0" borderId="102" xfId="112" applyFont="1" applyBorder="1"/>
    <xf numFmtId="0" fontId="68" fillId="0" borderId="13" xfId="112" applyFont="1" applyBorder="1"/>
    <xf numFmtId="0" fontId="66" fillId="0" borderId="103" xfId="112" applyNumberFormat="1" applyFont="1" applyBorder="1" applyAlignment="1">
      <alignment vertical="top"/>
    </xf>
    <xf numFmtId="0" fontId="66" fillId="0" borderId="104" xfId="112" applyNumberFormat="1" applyFont="1" applyBorder="1" applyAlignment="1">
      <alignment vertical="top" wrapText="1"/>
    </xf>
    <xf numFmtId="0" fontId="68" fillId="0" borderId="104" xfId="112" applyNumberFormat="1" applyFont="1" applyBorder="1" applyAlignment="1">
      <alignment horizontal="right" vertical="top"/>
    </xf>
    <xf numFmtId="0" fontId="68" fillId="0" borderId="105" xfId="112" applyNumberFormat="1" applyFont="1" applyBorder="1" applyAlignment="1">
      <alignment horizontal="right" vertical="top"/>
    </xf>
    <xf numFmtId="0" fontId="68" fillId="0" borderId="93" xfId="112" applyNumberFormat="1" applyFont="1" applyBorder="1" applyAlignment="1">
      <alignment vertical="top" wrapText="1"/>
    </xf>
    <xf numFmtId="0" fontId="68" fillId="0" borderId="34" xfId="112" applyNumberFormat="1" applyFont="1" applyBorder="1" applyAlignment="1">
      <alignment vertical="top" wrapText="1"/>
    </xf>
    <xf numFmtId="0" fontId="68" fillId="0" borderId="34" xfId="112" applyNumberFormat="1" applyFont="1" applyBorder="1" applyAlignment="1">
      <alignment horizontal="right" vertical="top"/>
    </xf>
    <xf numFmtId="0" fontId="68" fillId="0" borderId="106" xfId="112" applyNumberFormat="1" applyFont="1" applyBorder="1" applyAlignment="1">
      <alignment horizontal="right" vertical="top"/>
    </xf>
    <xf numFmtId="0" fontId="68" fillId="0" borderId="107" xfId="112" applyNumberFormat="1" applyFont="1" applyBorder="1" applyAlignment="1">
      <alignment vertical="top" wrapText="1"/>
    </xf>
    <xf numFmtId="1" fontId="68" fillId="0" borderId="108" xfId="112" applyNumberFormat="1" applyFont="1" applyBorder="1" applyAlignment="1">
      <alignment horizontal="left" vertical="top" wrapText="1"/>
    </xf>
    <xf numFmtId="0" fontId="68" fillId="0" borderId="109" xfId="112" applyNumberFormat="1" applyFont="1" applyBorder="1" applyAlignment="1">
      <alignment horizontal="right" vertical="top"/>
    </xf>
    <xf numFmtId="178" fontId="68" fillId="0" borderId="96" xfId="112" applyNumberFormat="1" applyFont="1" applyBorder="1" applyAlignment="1">
      <alignment horizontal="right" vertical="top"/>
    </xf>
    <xf numFmtId="178" fontId="68" fillId="0" borderId="109" xfId="112" applyNumberFormat="1" applyFont="1" applyBorder="1" applyAlignment="1">
      <alignment horizontal="right" vertical="top"/>
    </xf>
    <xf numFmtId="0" fontId="68" fillId="0" borderId="96" xfId="112" applyNumberFormat="1" applyFont="1" applyBorder="1" applyAlignment="1">
      <alignment horizontal="right" vertical="top"/>
    </xf>
    <xf numFmtId="0" fontId="68" fillId="0" borderId="97" xfId="112" applyNumberFormat="1" applyFont="1" applyBorder="1" applyAlignment="1">
      <alignment vertical="top" wrapText="1"/>
    </xf>
    <xf numFmtId="0" fontId="68" fillId="0" borderId="17" xfId="112" applyNumberFormat="1" applyFont="1" applyBorder="1" applyAlignment="1">
      <alignment vertical="top" wrapText="1"/>
    </xf>
    <xf numFmtId="178" fontId="68" fillId="0" borderId="17" xfId="112" applyNumberFormat="1" applyFont="1" applyBorder="1" applyAlignment="1">
      <alignment horizontal="right" vertical="top"/>
    </xf>
    <xf numFmtId="178" fontId="68" fillId="0" borderId="110" xfId="112" applyNumberFormat="1" applyFont="1" applyBorder="1" applyAlignment="1">
      <alignment horizontal="right" vertical="top"/>
    </xf>
    <xf numFmtId="178" fontId="68" fillId="0" borderId="34" xfId="112" applyNumberFormat="1" applyFont="1" applyBorder="1" applyAlignment="1">
      <alignment horizontal="right" vertical="top"/>
    </xf>
    <xf numFmtId="0" fontId="66" fillId="0" borderId="99" xfId="112" applyNumberFormat="1" applyFont="1" applyBorder="1" applyAlignment="1">
      <alignment vertical="top"/>
    </xf>
    <xf numFmtId="0" fontId="66" fillId="0" borderId="111" xfId="112" applyNumberFormat="1" applyFont="1" applyBorder="1" applyAlignment="1">
      <alignment vertical="top" wrapText="1"/>
    </xf>
    <xf numFmtId="178" fontId="68" fillId="0" borderId="111" xfId="112" applyNumberFormat="1" applyFont="1" applyBorder="1" applyAlignment="1">
      <alignment horizontal="right" vertical="top"/>
    </xf>
    <xf numFmtId="178" fontId="68" fillId="0" borderId="112" xfId="112" applyNumberFormat="1" applyFont="1" applyBorder="1" applyAlignment="1">
      <alignment horizontal="right" vertical="top"/>
    </xf>
    <xf numFmtId="0" fontId="66" fillId="0" borderId="86" xfId="112" applyNumberFormat="1" applyFont="1" applyBorder="1" applyAlignment="1">
      <alignment vertical="top"/>
    </xf>
    <xf numFmtId="0" fontId="66" fillId="0" borderId="113" xfId="112" applyNumberFormat="1" applyFont="1" applyBorder="1" applyAlignment="1">
      <alignment vertical="top" wrapText="1"/>
    </xf>
    <xf numFmtId="178" fontId="68" fillId="0" borderId="113" xfId="112" applyNumberFormat="1" applyFont="1" applyBorder="1" applyAlignment="1">
      <alignment horizontal="right" vertical="top"/>
    </xf>
    <xf numFmtId="0" fontId="68" fillId="0" borderId="88" xfId="112" applyNumberFormat="1" applyFont="1" applyBorder="1" applyAlignment="1">
      <alignment horizontal="right" vertical="top"/>
    </xf>
    <xf numFmtId="4" fontId="0" fillId="43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4" fontId="0" fillId="4" borderId="11" xfId="0" applyNumberFormat="1" applyFill="1" applyBorder="1"/>
    <xf numFmtId="4" fontId="0" fillId="4" borderId="14" xfId="0" applyNumberFormat="1" applyFill="1" applyBorder="1"/>
    <xf numFmtId="4" fontId="0" fillId="43" borderId="0" xfId="0" applyNumberFormat="1" applyFill="1"/>
    <xf numFmtId="4" fontId="0" fillId="5" borderId="0" xfId="0" applyNumberFormat="1" applyFill="1"/>
    <xf numFmtId="4" fontId="2" fillId="5" borderId="0" xfId="0" applyNumberFormat="1" applyFont="1" applyFill="1" applyAlignment="1">
      <alignment horizontal="center"/>
    </xf>
    <xf numFmtId="4" fontId="71" fillId="4" borderId="0" xfId="0" applyNumberFormat="1" applyFont="1" applyFill="1"/>
    <xf numFmtId="4" fontId="71" fillId="4" borderId="95" xfId="0" applyNumberFormat="1" applyFont="1" applyFill="1" applyBorder="1"/>
    <xf numFmtId="4" fontId="71" fillId="4" borderId="96" xfId="0" applyNumberFormat="1" applyFont="1" applyFill="1" applyBorder="1"/>
    <xf numFmtId="4" fontId="71" fillId="0" borderId="0" xfId="0" applyNumberFormat="1" applyFont="1"/>
    <xf numFmtId="4" fontId="2" fillId="5" borderId="0" xfId="0" applyNumberFormat="1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5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0" fontId="72" fillId="0" borderId="0" xfId="0" applyFont="1" applyFill="1" applyAlignment="1">
      <alignment horizontal="center"/>
    </xf>
    <xf numFmtId="4" fontId="0" fillId="4" borderId="10" xfId="0" applyNumberFormat="1" applyFill="1" applyBorder="1"/>
    <xf numFmtId="4" fontId="0" fillId="4" borderId="9" xfId="0" applyNumberFormat="1" applyFill="1" applyBorder="1"/>
    <xf numFmtId="4" fontId="0" fillId="4" borderId="16" xfId="0" applyNumberFormat="1" applyFill="1" applyBorder="1"/>
    <xf numFmtId="4" fontId="36" fillId="46" borderId="0" xfId="0" applyNumberFormat="1" applyFont="1" applyFill="1"/>
    <xf numFmtId="0" fontId="36" fillId="0" borderId="1" xfId="0" applyFont="1" applyBorder="1" applyAlignment="1">
      <alignment horizontal="center" vertical="center" wrapText="1"/>
    </xf>
    <xf numFmtId="4" fontId="41" fillId="41" borderId="0" xfId="0" applyNumberFormat="1" applyFont="1" applyFill="1"/>
    <xf numFmtId="4" fontId="57" fillId="41" borderId="0" xfId="0" applyNumberFormat="1" applyFont="1" applyFill="1"/>
    <xf numFmtId="4" fontId="41" fillId="3" borderId="0" xfId="0" applyNumberFormat="1" applyFont="1" applyFill="1"/>
    <xf numFmtId="4" fontId="57" fillId="3" borderId="0" xfId="0" applyNumberFormat="1" applyFont="1" applyFill="1"/>
    <xf numFmtId="2" fontId="37" fillId="6" borderId="1" xfId="10" applyNumberFormat="1" applyFont="1" applyFill="1" applyBorder="1" applyAlignment="1">
      <alignment vertical="center" wrapText="1"/>
    </xf>
    <xf numFmtId="43" fontId="37" fillId="0" borderId="0" xfId="0" applyNumberFormat="1" applyFont="1"/>
    <xf numFmtId="2" fontId="37" fillId="6" borderId="4" xfId="10" applyNumberFormat="1" applyFont="1" applyFill="1" applyBorder="1" applyAlignment="1">
      <alignment vertical="center" wrapText="1"/>
    </xf>
    <xf numFmtId="0" fontId="37" fillId="6" borderId="1" xfId="0" applyFont="1" applyFill="1" applyBorder="1" applyAlignment="1">
      <alignment vertical="center" wrapText="1"/>
    </xf>
    <xf numFmtId="0" fontId="37" fillId="6" borderId="1" xfId="11" applyFont="1" applyFill="1" applyBorder="1" applyAlignment="1">
      <alignment vertical="center" wrapText="1"/>
    </xf>
    <xf numFmtId="0" fontId="36" fillId="0" borderId="0" xfId="0" applyFont="1" applyFill="1" applyAlignment="1">
      <alignment horizontal="right"/>
    </xf>
    <xf numFmtId="0" fontId="37" fillId="0" borderId="0" xfId="0" applyFont="1" applyAlignment="1">
      <alignment horizontal="right"/>
    </xf>
    <xf numFmtId="2" fontId="36" fillId="0" borderId="1" xfId="10" applyNumberFormat="1" applyFont="1" applyFill="1" applyBorder="1" applyAlignment="1">
      <alignment horizontal="right" vertical="center" wrapText="1"/>
    </xf>
    <xf numFmtId="2" fontId="37" fillId="6" borderId="1" xfId="10" applyNumberFormat="1" applyFont="1" applyFill="1" applyBorder="1" applyAlignment="1">
      <alignment horizontal="right" vertical="center" wrapText="1"/>
    </xf>
    <xf numFmtId="165" fontId="37" fillId="0" borderId="1" xfId="10" applyNumberFormat="1" applyFont="1" applyFill="1" applyBorder="1" applyAlignment="1">
      <alignment horizontal="right" vertical="center" wrapText="1"/>
    </xf>
    <xf numFmtId="2" fontId="37" fillId="2" borderId="1" xfId="10" applyNumberFormat="1" applyFont="1" applyFill="1" applyBorder="1" applyAlignment="1">
      <alignment horizontal="right" vertical="center" wrapText="1"/>
    </xf>
    <xf numFmtId="2" fontId="37" fillId="6" borderId="1" xfId="0" applyNumberFormat="1" applyFont="1" applyFill="1" applyBorder="1" applyAlignment="1">
      <alignment horizontal="right" vertical="center" wrapText="1"/>
    </xf>
    <xf numFmtId="165" fontId="37" fillId="0" borderId="1" xfId="11" applyNumberFormat="1" applyFont="1" applyFill="1" applyBorder="1" applyAlignment="1">
      <alignment horizontal="right" vertical="center" wrapText="1"/>
    </xf>
    <xf numFmtId="165" fontId="37" fillId="36" borderId="1" xfId="10" applyNumberFormat="1" applyFont="1" applyFill="1" applyBorder="1" applyAlignment="1">
      <alignment horizontal="right" vertical="center" wrapText="1"/>
    </xf>
    <xf numFmtId="0" fontId="36" fillId="38" borderId="1" xfId="0" applyFont="1" applyFill="1" applyBorder="1" applyAlignment="1">
      <alignment horizontal="right" vertical="center"/>
    </xf>
    <xf numFmtId="165" fontId="37" fillId="5" borderId="1" xfId="10" applyNumberFormat="1" applyFont="1" applyFill="1" applyBorder="1" applyAlignment="1">
      <alignment horizontal="left" vertical="center" wrapText="1"/>
    </xf>
    <xf numFmtId="0" fontId="37" fillId="3" borderId="1" xfId="0" applyNumberFormat="1" applyFont="1" applyFill="1" applyBorder="1" applyAlignment="1">
      <alignment vertical="center" wrapText="1"/>
    </xf>
    <xf numFmtId="2" fontId="37" fillId="3" borderId="1" xfId="10" applyNumberFormat="1" applyFont="1" applyFill="1" applyBorder="1" applyAlignment="1">
      <alignment vertical="center" wrapText="1"/>
    </xf>
    <xf numFmtId="43" fontId="36" fillId="0" borderId="0" xfId="0" applyNumberFormat="1" applyFont="1" applyFill="1" applyAlignment="1">
      <alignment horizontal="right"/>
    </xf>
    <xf numFmtId="43" fontId="37" fillId="6" borderId="1" xfId="11" applyNumberFormat="1" applyFont="1" applyFill="1" applyBorder="1" applyAlignment="1">
      <alignment horizontal="right" vertical="center" wrapText="1"/>
    </xf>
    <xf numFmtId="43" fontId="37" fillId="0" borderId="1" xfId="11" applyNumberFormat="1" applyFont="1" applyFill="1" applyBorder="1" applyAlignment="1">
      <alignment horizontal="right" vertical="center" wrapText="1"/>
    </xf>
    <xf numFmtId="0" fontId="64" fillId="5" borderId="0" xfId="0" applyFont="1" applyFill="1"/>
    <xf numFmtId="164" fontId="36" fillId="0" borderId="2" xfId="0" applyNumberFormat="1" applyFont="1" applyFill="1" applyBorder="1" applyAlignment="1">
      <alignment horizontal="left" vertical="center" wrapText="1"/>
    </xf>
    <xf numFmtId="164" fontId="36" fillId="0" borderId="1" xfId="0" applyNumberFormat="1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left" vertical="center" wrapText="1"/>
    </xf>
    <xf numFmtId="165" fontId="37" fillId="0" borderId="1" xfId="0" applyNumberFormat="1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36" borderId="6" xfId="10" applyNumberFormat="1" applyFont="1" applyFill="1" applyBorder="1" applyAlignment="1">
      <alignment horizontal="center" vertical="center" wrapText="1"/>
    </xf>
    <xf numFmtId="0" fontId="37" fillId="0" borderId="6" xfId="10" applyNumberFormat="1" applyFont="1" applyFill="1" applyBorder="1" applyAlignment="1">
      <alignment horizontal="center" vertical="center" wrapText="1"/>
    </xf>
    <xf numFmtId="165" fontId="37" fillId="36" borderId="6" xfId="10" applyNumberFormat="1" applyFont="1" applyFill="1" applyBorder="1" applyAlignment="1">
      <alignment horizontal="center" vertical="center" wrapText="1"/>
    </xf>
    <xf numFmtId="0" fontId="36" fillId="0" borderId="6" xfId="10" applyNumberFormat="1" applyFont="1" applyFill="1" applyBorder="1" applyAlignment="1">
      <alignment horizontal="center" vertical="center" wrapText="1"/>
    </xf>
    <xf numFmtId="0" fontId="37" fillId="3" borderId="1" xfId="11" applyFont="1" applyFill="1" applyBorder="1" applyAlignment="1">
      <alignment vertical="center" wrapText="1"/>
    </xf>
    <xf numFmtId="43" fontId="37" fillId="3" borderId="1" xfId="11" applyNumberFormat="1" applyFont="1" applyFill="1" applyBorder="1" applyAlignment="1">
      <alignment horizontal="right" vertical="center" wrapText="1"/>
    </xf>
    <xf numFmtId="43" fontId="37" fillId="3" borderId="1" xfId="11" applyNumberFormat="1" applyFont="1" applyFill="1" applyBorder="1" applyAlignment="1">
      <alignment vertical="center" wrapText="1"/>
    </xf>
    <xf numFmtId="165" fontId="37" fillId="6" borderId="1" xfId="11" applyNumberFormat="1" applyFont="1" applyFill="1" applyBorder="1" applyAlignment="1">
      <alignment horizontal="right" vertical="center" wrapText="1"/>
    </xf>
    <xf numFmtId="165" fontId="37" fillId="6" borderId="6" xfId="11" applyNumberFormat="1" applyFont="1" applyFill="1" applyBorder="1" applyAlignment="1">
      <alignment horizontal="right" vertical="center" wrapText="1"/>
    </xf>
    <xf numFmtId="43" fontId="37" fillId="2" borderId="1" xfId="10" applyNumberFormat="1" applyFont="1" applyFill="1" applyBorder="1" applyAlignment="1">
      <alignment horizontal="right" vertical="center" wrapText="1"/>
    </xf>
    <xf numFmtId="2" fontId="37" fillId="6" borderId="6" xfId="10" applyNumberFormat="1" applyFont="1" applyFill="1" applyBorder="1" applyAlignment="1">
      <alignment horizontal="right" vertical="center" wrapText="1"/>
    </xf>
    <xf numFmtId="43" fontId="37" fillId="2" borderId="6" xfId="10" applyNumberFormat="1" applyFont="1" applyFill="1" applyBorder="1" applyAlignment="1">
      <alignment horizontal="right" vertical="center" wrapText="1"/>
    </xf>
    <xf numFmtId="43" fontId="37" fillId="0" borderId="1" xfId="10" applyNumberFormat="1" applyFont="1" applyFill="1" applyBorder="1" applyAlignment="1">
      <alignment horizontal="right" vertical="center" wrapText="1"/>
    </xf>
    <xf numFmtId="43" fontId="37" fillId="0" borderId="6" xfId="10" applyNumberFormat="1" applyFont="1" applyFill="1" applyBorder="1" applyAlignment="1">
      <alignment horizontal="right" vertical="center" wrapText="1"/>
    </xf>
    <xf numFmtId="43" fontId="37" fillId="6" borderId="1" xfId="0" applyNumberFormat="1" applyFont="1" applyFill="1" applyBorder="1" applyAlignment="1">
      <alignment horizontal="right" vertical="center" wrapText="1"/>
    </xf>
    <xf numFmtId="43" fontId="37" fillId="6" borderId="6" xfId="0" applyNumberFormat="1" applyFont="1" applyFill="1" applyBorder="1" applyAlignment="1">
      <alignment horizontal="right" vertical="center" wrapText="1"/>
    </xf>
    <xf numFmtId="43" fontId="36" fillId="0" borderId="6" xfId="10" applyNumberFormat="1" applyFont="1" applyFill="1" applyBorder="1" applyAlignment="1">
      <alignment horizontal="right" vertical="center" wrapText="1"/>
    </xf>
    <xf numFmtId="43" fontId="37" fillId="36" borderId="1" xfId="10" applyNumberFormat="1" applyFont="1" applyFill="1" applyBorder="1" applyAlignment="1">
      <alignment horizontal="right" vertical="center" wrapText="1"/>
    </xf>
    <xf numFmtId="2" fontId="37" fillId="3" borderId="1" xfId="10" applyNumberFormat="1" applyFont="1" applyFill="1" applyBorder="1" applyAlignment="1">
      <alignment horizontal="right" vertical="center" wrapText="1"/>
    </xf>
    <xf numFmtId="0" fontId="37" fillId="3" borderId="1" xfId="0" applyNumberFormat="1" applyFont="1" applyFill="1" applyBorder="1" applyAlignment="1">
      <alignment horizontal="right" vertical="center" wrapText="1"/>
    </xf>
    <xf numFmtId="43" fontId="36" fillId="0" borderId="0" xfId="0" applyNumberFormat="1" applyFont="1" applyFill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76" fillId="0" borderId="0" xfId="0" applyFont="1" applyFill="1"/>
    <xf numFmtId="0" fontId="61" fillId="0" borderId="11" xfId="0" applyFont="1" applyFill="1" applyBorder="1"/>
    <xf numFmtId="4" fontId="61" fillId="0" borderId="1" xfId="0" applyNumberFormat="1" applyFont="1" applyFill="1" applyBorder="1"/>
    <xf numFmtId="0" fontId="77" fillId="0" borderId="0" xfId="0" applyFont="1" applyFill="1"/>
    <xf numFmtId="0" fontId="78" fillId="0" borderId="11" xfId="0" applyFont="1" applyFill="1" applyBorder="1" applyAlignment="1">
      <alignment horizontal="left" wrapText="1" indent="2"/>
    </xf>
    <xf numFmtId="4" fontId="78" fillId="0" borderId="1" xfId="0" applyNumberFormat="1" applyFont="1" applyFill="1" applyBorder="1"/>
    <xf numFmtId="4" fontId="78" fillId="0" borderId="14" xfId="0" applyNumberFormat="1" applyFont="1" applyFill="1" applyBorder="1"/>
    <xf numFmtId="0" fontId="80" fillId="0" borderId="0" xfId="0" applyFont="1" applyFill="1"/>
    <xf numFmtId="165" fontId="76" fillId="0" borderId="0" xfId="0" applyNumberFormat="1" applyFont="1" applyFill="1"/>
    <xf numFmtId="43" fontId="76" fillId="0" borderId="0" xfId="0" applyNumberFormat="1" applyFont="1" applyFill="1"/>
    <xf numFmtId="0" fontId="81" fillId="0" borderId="0" xfId="97" applyFont="1" applyFill="1" applyAlignment="1">
      <alignment horizontal="left"/>
    </xf>
    <xf numFmtId="0" fontId="81" fillId="0" borderId="0" xfId="97" applyFont="1" applyFill="1"/>
    <xf numFmtId="0" fontId="82" fillId="0" borderId="0" xfId="97" applyFont="1" applyFill="1"/>
    <xf numFmtId="0" fontId="83" fillId="0" borderId="0" xfId="97" applyFont="1" applyFill="1"/>
    <xf numFmtId="0" fontId="84" fillId="0" borderId="0" xfId="97" applyFont="1" applyFill="1"/>
    <xf numFmtId="0" fontId="84" fillId="0" borderId="0" xfId="97" applyFont="1" applyFill="1" applyAlignment="1">
      <alignment horizontal="right"/>
    </xf>
    <xf numFmtId="0" fontId="83" fillId="0" borderId="0" xfId="97" applyFont="1" applyFill="1" applyAlignment="1">
      <alignment horizontal="right"/>
    </xf>
    <xf numFmtId="0" fontId="81" fillId="0" borderId="0" xfId="97" applyFont="1" applyFill="1" applyAlignment="1">
      <alignment horizontal="right"/>
    </xf>
    <xf numFmtId="0" fontId="82" fillId="0" borderId="0" xfId="52" applyFont="1" applyFill="1" applyAlignment="1">
      <alignment horizontal="right"/>
    </xf>
    <xf numFmtId="4" fontId="81" fillId="33" borderId="118" xfId="61" applyFont="1" applyBorder="1" applyAlignment="1"/>
    <xf numFmtId="4" fontId="81" fillId="33" borderId="119" xfId="61" applyFont="1" applyBorder="1" applyAlignment="1"/>
    <xf numFmtId="0" fontId="85" fillId="0" borderId="0" xfId="113" applyFont="1" applyFill="1" applyBorder="1" applyAlignment="1"/>
    <xf numFmtId="0" fontId="84" fillId="0" borderId="0" xfId="97" applyFont="1" applyFill="1" applyBorder="1" applyAlignment="1">
      <alignment horizontal="right"/>
    </xf>
    <xf numFmtId="0" fontId="82" fillId="0" borderId="0" xfId="97" applyFont="1" applyFill="1" applyAlignment="1">
      <alignment horizontal="right"/>
    </xf>
    <xf numFmtId="0" fontId="82" fillId="0" borderId="0" xfId="97" applyFont="1" applyFill="1" applyAlignment="1">
      <alignment horizontal="center" vertical="center" wrapText="1"/>
    </xf>
    <xf numFmtId="0" fontId="82" fillId="0" borderId="0" xfId="97" applyFont="1" applyFill="1" applyAlignment="1">
      <alignment vertical="center" wrapText="1"/>
    </xf>
    <xf numFmtId="0" fontId="82" fillId="0" borderId="0" xfId="97" applyFont="1" applyFill="1" applyAlignment="1">
      <alignment horizontal="left" vertical="center" wrapText="1"/>
    </xf>
    <xf numFmtId="170" fontId="82" fillId="0" borderId="0" xfId="97" applyNumberFormat="1" applyFont="1" applyFill="1" applyAlignment="1">
      <alignment horizontal="left" vertical="center" wrapText="1"/>
    </xf>
    <xf numFmtId="181" fontId="82" fillId="0" borderId="0" xfId="97" applyNumberFormat="1" applyFont="1" applyFill="1" applyAlignment="1">
      <alignment horizontal="left" vertical="center" wrapText="1"/>
    </xf>
    <xf numFmtId="171" fontId="82" fillId="0" borderId="0" xfId="2" applyNumberFormat="1" applyFont="1" applyFill="1"/>
    <xf numFmtId="182" fontId="82" fillId="0" borderId="0" xfId="97" applyNumberFormat="1" applyFont="1" applyFill="1"/>
    <xf numFmtId="182" fontId="82" fillId="0" borderId="0" xfId="97" applyNumberFormat="1" applyFont="1" applyFill="1" applyAlignment="1">
      <alignment horizontal="right"/>
    </xf>
    <xf numFmtId="166" fontId="82" fillId="0" borderId="0" xfId="97" applyNumberFormat="1" applyFont="1" applyFill="1" applyAlignment="1">
      <alignment horizontal="right"/>
    </xf>
    <xf numFmtId="166" fontId="81" fillId="0" borderId="0" xfId="97" applyNumberFormat="1" applyFont="1" applyFill="1" applyAlignment="1">
      <alignment horizontal="right"/>
    </xf>
    <xf numFmtId="182" fontId="81" fillId="0" borderId="0" xfId="97" applyNumberFormat="1" applyFont="1" applyFill="1" applyAlignment="1">
      <alignment horizontal="right"/>
    </xf>
    <xf numFmtId="0" fontId="82" fillId="0" borderId="1" xfId="97" applyFont="1" applyBorder="1" applyAlignment="1">
      <alignment horizontal="center" vertical="center" wrapText="1"/>
    </xf>
    <xf numFmtId="0" fontId="82" fillId="0" borderId="1" xfId="97" applyFont="1" applyBorder="1" applyAlignment="1">
      <alignment horizontal="center" vertical="center"/>
    </xf>
    <xf numFmtId="0" fontId="82" fillId="51" borderId="1" xfId="97" applyFont="1" applyFill="1" applyBorder="1" applyAlignment="1">
      <alignment horizontal="center" vertical="center" wrapText="1"/>
    </xf>
    <xf numFmtId="0" fontId="82" fillId="4" borderId="1" xfId="97" applyFont="1" applyFill="1" applyBorder="1" applyAlignment="1">
      <alignment horizontal="center" vertical="center" wrapText="1"/>
    </xf>
    <xf numFmtId="0" fontId="82" fillId="4" borderId="6" xfId="97" applyFont="1" applyFill="1" applyBorder="1" applyAlignment="1">
      <alignment horizontal="center" vertical="center" wrapText="1"/>
    </xf>
    <xf numFmtId="0" fontId="81" fillId="0" borderId="0" xfId="97" applyFont="1"/>
    <xf numFmtId="0" fontId="81" fillId="48" borderId="121" xfId="114" applyFont="1" applyBorder="1" applyAlignment="1">
      <alignment horizontal="left" vertical="center"/>
    </xf>
    <xf numFmtId="0" fontId="81" fillId="48" borderId="117" xfId="114" applyFont="1" applyBorder="1" applyAlignment="1">
      <alignment horizontal="left" vertical="center"/>
    </xf>
    <xf numFmtId="0" fontId="81" fillId="48" borderId="117" xfId="114" applyFont="1" applyBorder="1" applyAlignment="1">
      <alignment horizontal="center" vertical="center"/>
    </xf>
    <xf numFmtId="0" fontId="82" fillId="48" borderId="117" xfId="114" applyFont="1" applyBorder="1" applyAlignment="1">
      <alignment horizontal="center" vertical="center"/>
    </xf>
    <xf numFmtId="166" fontId="82" fillId="48" borderId="117" xfId="114" applyNumberFormat="1" applyFont="1" applyBorder="1" applyAlignment="1">
      <alignment horizontal="center" vertical="center"/>
    </xf>
    <xf numFmtId="166" fontId="81" fillId="48" borderId="117" xfId="114" applyNumberFormat="1" applyFont="1" applyBorder="1" applyAlignment="1">
      <alignment horizontal="center" vertical="center"/>
    </xf>
    <xf numFmtId="166" fontId="81" fillId="48" borderId="117" xfId="114" applyNumberFormat="1" applyFont="1" applyBorder="1" applyAlignment="1">
      <alignment horizontal="right" vertical="center"/>
    </xf>
    <xf numFmtId="4" fontId="81" fillId="48" borderId="117" xfId="114" applyNumberFormat="1" applyFont="1" applyBorder="1" applyAlignment="1">
      <alignment horizontal="right" vertical="center"/>
    </xf>
    <xf numFmtId="166" fontId="82" fillId="48" borderId="117" xfId="114" applyNumberFormat="1" applyFont="1" applyBorder="1" applyAlignment="1">
      <alignment horizontal="right" vertical="center"/>
    </xf>
    <xf numFmtId="166" fontId="81" fillId="48" borderId="122" xfId="114" applyNumberFormat="1" applyFont="1" applyBorder="1" applyAlignment="1">
      <alignment horizontal="right" vertical="center"/>
    </xf>
    <xf numFmtId="0" fontId="86" fillId="49" borderId="117" xfId="115" applyFont="1"/>
    <xf numFmtId="0" fontId="82" fillId="2" borderId="1" xfId="97" applyFont="1" applyFill="1" applyBorder="1" applyAlignment="1">
      <alignment horizontal="left" vertical="center"/>
    </xf>
    <xf numFmtId="0" fontId="82" fillId="2" borderId="1" xfId="97" applyFont="1" applyFill="1" applyBorder="1" applyAlignment="1">
      <alignment horizontal="left" vertical="center" wrapText="1"/>
    </xf>
    <xf numFmtId="0" fontId="82" fillId="2" borderId="1" xfId="97" applyFont="1" applyFill="1" applyBorder="1" applyAlignment="1">
      <alignment horizontal="center" vertical="center"/>
    </xf>
    <xf numFmtId="181" fontId="82" fillId="2" borderId="1" xfId="97" applyNumberFormat="1" applyFont="1" applyFill="1" applyBorder="1" applyAlignment="1">
      <alignment horizontal="right" vertical="center"/>
    </xf>
    <xf numFmtId="181" fontId="82" fillId="4" borderId="1" xfId="97" applyNumberFormat="1" applyFont="1" applyFill="1" applyBorder="1" applyAlignment="1">
      <alignment horizontal="right" vertical="center"/>
    </xf>
    <xf numFmtId="181" fontId="82" fillId="4" borderId="6" xfId="97" applyNumberFormat="1" applyFont="1" applyFill="1" applyBorder="1" applyAlignment="1">
      <alignment horizontal="right" vertical="center"/>
    </xf>
    <xf numFmtId="0" fontId="81" fillId="2" borderId="0" xfId="97" applyFont="1" applyFill="1"/>
    <xf numFmtId="0" fontId="82" fillId="2" borderId="1" xfId="97" applyFont="1" applyFill="1" applyBorder="1" applyAlignment="1">
      <alignment horizontal="center" vertical="center" wrapText="1"/>
    </xf>
    <xf numFmtId="0" fontId="82" fillId="0" borderId="1" xfId="97" applyFont="1" applyFill="1" applyBorder="1" applyAlignment="1">
      <alignment horizontal="left" vertical="center"/>
    </xf>
    <xf numFmtId="0" fontId="82" fillId="0" borderId="1" xfId="97" applyFont="1" applyFill="1" applyBorder="1" applyAlignment="1">
      <alignment horizontal="left" vertical="center" wrapText="1" indent="1"/>
    </xf>
    <xf numFmtId="0" fontId="82" fillId="0" borderId="1" xfId="97" applyFont="1" applyFill="1" applyBorder="1" applyAlignment="1">
      <alignment horizontal="center" vertical="center"/>
    </xf>
    <xf numFmtId="181" fontId="82" fillId="0" borderId="1" xfId="97" applyNumberFormat="1" applyFont="1" applyFill="1" applyBorder="1" applyAlignment="1">
      <alignment horizontal="right" vertical="center"/>
    </xf>
    <xf numFmtId="0" fontId="81" fillId="0" borderId="1" xfId="97" applyFont="1" applyBorder="1" applyAlignment="1">
      <alignment horizontal="left" vertical="center"/>
    </xf>
    <xf numFmtId="0" fontId="81" fillId="0" borderId="1" xfId="97" applyFont="1" applyBorder="1" applyAlignment="1">
      <alignment horizontal="left" vertical="center" wrapText="1" indent="2"/>
    </xf>
    <xf numFmtId="0" fontId="81" fillId="0" borderId="1" xfId="97" applyFont="1" applyBorder="1" applyAlignment="1">
      <alignment horizontal="center" vertical="center"/>
    </xf>
    <xf numFmtId="181" fontId="85" fillId="47" borderId="117" xfId="113" applyNumberFormat="1" applyFont="1" applyBorder="1" applyAlignment="1">
      <alignment horizontal="right" vertical="center"/>
    </xf>
    <xf numFmtId="181" fontId="87" fillId="47" borderId="117" xfId="113" applyNumberFormat="1" applyFont="1" applyBorder="1" applyAlignment="1">
      <alignment horizontal="right" vertical="center"/>
    </xf>
    <xf numFmtId="181" fontId="87" fillId="47" borderId="123" xfId="113" applyNumberFormat="1" applyFont="1" applyBorder="1" applyAlignment="1">
      <alignment horizontal="right" vertical="center"/>
    </xf>
    <xf numFmtId="181" fontId="81" fillId="0" borderId="0" xfId="97" applyNumberFormat="1" applyFont="1"/>
    <xf numFmtId="181" fontId="81" fillId="4" borderId="1" xfId="97" applyNumberFormat="1" applyFont="1" applyFill="1" applyBorder="1" applyAlignment="1">
      <alignment horizontal="right" vertical="center"/>
    </xf>
    <xf numFmtId="181" fontId="81" fillId="0" borderId="1" xfId="97" applyNumberFormat="1" applyFont="1" applyFill="1" applyBorder="1" applyAlignment="1">
      <alignment horizontal="right" vertical="center"/>
    </xf>
    <xf numFmtId="181" fontId="81" fillId="4" borderId="6" xfId="97" applyNumberFormat="1" applyFont="1" applyFill="1" applyBorder="1" applyAlignment="1">
      <alignment horizontal="right" vertical="center"/>
    </xf>
    <xf numFmtId="0" fontId="81" fillId="0" borderId="1" xfId="97" applyFont="1" applyBorder="1" applyAlignment="1">
      <alignment horizontal="left" vertical="center" wrapText="1" indent="4"/>
    </xf>
    <xf numFmtId="181" fontId="82" fillId="0" borderId="1" xfId="114" applyNumberFormat="1" applyFont="1" applyFill="1" applyBorder="1" applyAlignment="1">
      <alignment horizontal="right" vertical="center" wrapText="1"/>
    </xf>
    <xf numFmtId="0" fontId="81" fillId="0" borderId="1" xfId="114" applyFont="1" applyFill="1" applyBorder="1" applyAlignment="1">
      <alignment horizontal="left" vertical="center" wrapText="1" indent="4"/>
    </xf>
    <xf numFmtId="181" fontId="81" fillId="4" borderId="0" xfId="97" applyNumberFormat="1" applyFont="1" applyFill="1" applyBorder="1" applyAlignment="1">
      <alignment horizontal="right" vertical="center"/>
    </xf>
    <xf numFmtId="181" fontId="81" fillId="4" borderId="124" xfId="97" applyNumberFormat="1" applyFont="1" applyFill="1" applyBorder="1" applyAlignment="1">
      <alignment horizontal="right" vertical="center"/>
    </xf>
    <xf numFmtId="181" fontId="81" fillId="4" borderId="109" xfId="97" applyNumberFormat="1" applyFont="1" applyFill="1" applyBorder="1" applyAlignment="1">
      <alignment horizontal="right" vertical="center"/>
    </xf>
    <xf numFmtId="0" fontId="81" fillId="48" borderId="1" xfId="114" applyFont="1" applyBorder="1" applyAlignment="1">
      <alignment horizontal="left" vertical="center"/>
    </xf>
    <xf numFmtId="0" fontId="81" fillId="48" borderId="1" xfId="114" applyFont="1" applyBorder="1" applyAlignment="1">
      <alignment horizontal="left" vertical="center" wrapText="1" indent="4"/>
    </xf>
    <xf numFmtId="0" fontId="81" fillId="48" borderId="1" xfId="114" applyFont="1" applyBorder="1" applyAlignment="1">
      <alignment horizontal="center" vertical="center" wrapText="1"/>
    </xf>
    <xf numFmtId="181" fontId="82" fillId="48" borderId="1" xfId="114" applyNumberFormat="1" applyFont="1" applyBorder="1" applyAlignment="1">
      <alignment vertical="center" wrapText="1"/>
    </xf>
    <xf numFmtId="181" fontId="81" fillId="51" borderId="1" xfId="97" applyNumberFormat="1" applyFont="1" applyFill="1" applyBorder="1" applyAlignment="1">
      <alignment horizontal="right" vertical="center"/>
    </xf>
    <xf numFmtId="181" fontId="82" fillId="48" borderId="1" xfId="114" applyNumberFormat="1" applyFont="1" applyBorder="1" applyAlignment="1">
      <alignment horizontal="right" vertical="center" wrapText="1"/>
    </xf>
    <xf numFmtId="181" fontId="87" fillId="47" borderId="125" xfId="113" applyNumberFormat="1" applyFont="1" applyBorder="1" applyAlignment="1">
      <alignment horizontal="right" vertical="center"/>
    </xf>
    <xf numFmtId="0" fontId="84" fillId="48" borderId="1" xfId="114" applyFont="1" applyBorder="1" applyAlignment="1">
      <alignment horizontal="left" vertical="center" wrapText="1" indent="6"/>
    </xf>
    <xf numFmtId="0" fontId="84" fillId="48" borderId="1" xfId="114" applyFont="1" applyBorder="1" applyAlignment="1">
      <alignment horizontal="center" vertical="center" wrapText="1"/>
    </xf>
    <xf numFmtId="181" fontId="83" fillId="48" borderId="1" xfId="114" applyNumberFormat="1" applyFont="1" applyBorder="1" applyAlignment="1">
      <alignment vertical="center" wrapText="1"/>
    </xf>
    <xf numFmtId="181" fontId="84" fillId="48" borderId="1" xfId="114" applyNumberFormat="1" applyFont="1" applyBorder="1" applyAlignment="1">
      <alignment vertical="center" wrapText="1"/>
    </xf>
    <xf numFmtId="181" fontId="84" fillId="48" borderId="1" xfId="114" applyNumberFormat="1" applyFont="1" applyBorder="1" applyAlignment="1">
      <alignment horizontal="right" vertical="center" wrapText="1"/>
    </xf>
    <xf numFmtId="181" fontId="83" fillId="48" borderId="1" xfId="114" applyNumberFormat="1" applyFont="1" applyBorder="1" applyAlignment="1">
      <alignment horizontal="right" vertical="center" wrapText="1"/>
    </xf>
    <xf numFmtId="0" fontId="84" fillId="0" borderId="0" xfId="97" applyFont="1"/>
    <xf numFmtId="0" fontId="81" fillId="5" borderId="1" xfId="97" applyFont="1" applyFill="1" applyBorder="1" applyAlignment="1">
      <alignment horizontal="left" vertical="center"/>
    </xf>
    <xf numFmtId="0" fontId="82" fillId="5" borderId="1" xfId="97" applyFont="1" applyFill="1" applyBorder="1" applyAlignment="1">
      <alignment horizontal="left" vertical="center" wrapText="1" indent="2"/>
    </xf>
    <xf numFmtId="0" fontId="81" fillId="5" borderId="1" xfId="97" applyFont="1" applyFill="1" applyBorder="1" applyAlignment="1">
      <alignment horizontal="center" vertical="center"/>
    </xf>
    <xf numFmtId="181" fontId="82" fillId="5" borderId="1" xfId="97" applyNumberFormat="1" applyFont="1" applyFill="1" applyBorder="1" applyAlignment="1">
      <alignment horizontal="right" vertical="center"/>
    </xf>
    <xf numFmtId="0" fontId="81" fillId="52" borderId="1" xfId="97" applyFont="1" applyFill="1" applyBorder="1" applyAlignment="1">
      <alignment horizontal="left" vertical="center"/>
    </xf>
    <xf numFmtId="0" fontId="81" fillId="52" borderId="1" xfId="97" applyFont="1" applyFill="1" applyBorder="1" applyAlignment="1">
      <alignment horizontal="left" vertical="center" wrapText="1" indent="2"/>
    </xf>
    <xf numFmtId="0" fontId="81" fillId="52" borderId="1" xfId="97" applyFont="1" applyFill="1" applyBorder="1" applyAlignment="1">
      <alignment horizontal="center" vertical="center"/>
    </xf>
    <xf numFmtId="181" fontId="82" fillId="52" borderId="1" xfId="97" applyNumberFormat="1" applyFont="1" applyFill="1" applyBorder="1" applyAlignment="1">
      <alignment horizontal="right" vertical="center"/>
    </xf>
    <xf numFmtId="170" fontId="81" fillId="0" borderId="0" xfId="97" applyNumberFormat="1" applyFont="1"/>
    <xf numFmtId="0" fontId="81" fillId="5" borderId="1" xfId="97" applyFont="1" applyFill="1" applyBorder="1" applyAlignment="1">
      <alignment horizontal="left" vertical="center" wrapText="1" indent="2"/>
    </xf>
    <xf numFmtId="181" fontId="81" fillId="52" borderId="1" xfId="97" applyNumberFormat="1" applyFont="1" applyFill="1" applyBorder="1" applyAlignment="1">
      <alignment horizontal="right" vertical="center"/>
    </xf>
    <xf numFmtId="181" fontId="81" fillId="5" borderId="1" xfId="97" applyNumberFormat="1" applyFont="1" applyFill="1" applyBorder="1" applyAlignment="1">
      <alignment horizontal="right" vertical="center"/>
    </xf>
    <xf numFmtId="181" fontId="82" fillId="0" borderId="3" xfId="97" applyNumberFormat="1" applyFont="1" applyFill="1" applyBorder="1" applyAlignment="1">
      <alignment horizontal="right" vertical="center"/>
    </xf>
    <xf numFmtId="0" fontId="82" fillId="0" borderId="1" xfId="97" applyFont="1" applyFill="1" applyBorder="1" applyAlignment="1">
      <alignment horizontal="justify" vertical="center" wrapText="1"/>
    </xf>
    <xf numFmtId="0" fontId="81" fillId="0" borderId="1" xfId="97" applyFont="1" applyFill="1" applyBorder="1" applyAlignment="1">
      <alignment horizontal="left" vertical="center"/>
    </xf>
    <xf numFmtId="0" fontId="81" fillId="0" borderId="1" xfId="97" applyFont="1" applyFill="1" applyBorder="1" applyAlignment="1">
      <alignment horizontal="left" vertical="center" wrapText="1" indent="2"/>
    </xf>
    <xf numFmtId="0" fontId="81" fillId="0" borderId="1" xfId="97" applyFont="1" applyFill="1" applyBorder="1" applyAlignment="1">
      <alignment horizontal="center" vertical="center"/>
    </xf>
    <xf numFmtId="0" fontId="82" fillId="0" borderId="1" xfId="97" applyFont="1" applyBorder="1" applyAlignment="1">
      <alignment horizontal="left" vertical="center"/>
    </xf>
    <xf numFmtId="0" fontId="82" fillId="0" borderId="1" xfId="97" applyFont="1" applyBorder="1" applyAlignment="1">
      <alignment horizontal="left" vertical="center" wrapText="1" indent="1"/>
    </xf>
    <xf numFmtId="181" fontId="82" fillId="0" borderId="4" xfId="97" applyNumberFormat="1" applyFont="1" applyFill="1" applyBorder="1" applyAlignment="1">
      <alignment horizontal="right" vertical="center"/>
    </xf>
    <xf numFmtId="181" fontId="81" fillId="4" borderId="4" xfId="97" applyNumberFormat="1" applyFont="1" applyFill="1" applyBorder="1" applyAlignment="1">
      <alignment horizontal="right" vertical="center"/>
    </xf>
    <xf numFmtId="181" fontId="82" fillId="0" borderId="6" xfId="97" applyNumberFormat="1" applyFont="1" applyFill="1" applyBorder="1" applyAlignment="1">
      <alignment horizontal="right" vertical="center"/>
    </xf>
    <xf numFmtId="0" fontId="82" fillId="0" borderId="1" xfId="97" applyFont="1" applyFill="1" applyBorder="1" applyAlignment="1">
      <alignment horizontal="center" vertical="center" wrapText="1"/>
    </xf>
    <xf numFmtId="183" fontId="82" fillId="0" borderId="1" xfId="97" applyNumberFormat="1" applyFont="1" applyFill="1" applyBorder="1" applyAlignment="1">
      <alignment horizontal="right" vertical="center"/>
    </xf>
    <xf numFmtId="183" fontId="82" fillId="4" borderId="1" xfId="97" applyNumberFormat="1" applyFont="1" applyFill="1" applyBorder="1" applyAlignment="1">
      <alignment horizontal="right" vertical="center"/>
    </xf>
    <xf numFmtId="0" fontId="82" fillId="0" borderId="2" xfId="97" applyFont="1" applyFill="1" applyBorder="1" applyAlignment="1">
      <alignment horizontal="left" vertical="center"/>
    </xf>
    <xf numFmtId="0" fontId="82" fillId="0" borderId="2" xfId="97" applyFont="1" applyFill="1" applyBorder="1" applyAlignment="1">
      <alignment horizontal="justify" vertical="center" wrapText="1"/>
    </xf>
    <xf numFmtId="0" fontId="82" fillId="0" borderId="2" xfId="97" applyFont="1" applyFill="1" applyBorder="1" applyAlignment="1">
      <alignment horizontal="center" vertical="center" wrapText="1"/>
    </xf>
    <xf numFmtId="181" fontId="82" fillId="0" borderId="2" xfId="97" applyNumberFormat="1" applyFont="1" applyFill="1" applyBorder="1" applyAlignment="1">
      <alignment horizontal="right" vertical="center"/>
    </xf>
    <xf numFmtId="181" fontId="82" fillId="4" borderId="2" xfId="97" applyNumberFormat="1" applyFont="1" applyFill="1" applyBorder="1" applyAlignment="1">
      <alignment horizontal="right" vertical="center"/>
    </xf>
    <xf numFmtId="181" fontId="82" fillId="4" borderId="34" xfId="97" applyNumberFormat="1" applyFont="1" applyFill="1" applyBorder="1" applyAlignment="1">
      <alignment horizontal="right" vertical="center"/>
    </xf>
    <xf numFmtId="0" fontId="82" fillId="0" borderId="0" xfId="97" applyFont="1" applyFill="1" applyBorder="1" applyAlignment="1">
      <alignment horizontal="left" vertical="center"/>
    </xf>
    <xf numFmtId="0" fontId="82" fillId="0" borderId="0" xfId="97" applyFont="1" applyFill="1" applyBorder="1" applyAlignment="1">
      <alignment horizontal="left" vertical="center" wrapText="1" indent="1"/>
    </xf>
    <xf numFmtId="0" fontId="82" fillId="0" borderId="0" xfId="97" applyFont="1" applyFill="1" applyBorder="1" applyAlignment="1">
      <alignment horizontal="center" vertical="center" wrapText="1"/>
    </xf>
    <xf numFmtId="4" fontId="82" fillId="0" borderId="0" xfId="97" applyNumberFormat="1" applyFont="1" applyFill="1" applyBorder="1" applyAlignment="1">
      <alignment horizontal="center" vertical="center"/>
    </xf>
    <xf numFmtId="4" fontId="83" fillId="0" borderId="0" xfId="97" applyNumberFormat="1" applyFont="1" applyFill="1" applyBorder="1" applyAlignment="1">
      <alignment horizontal="center" vertical="center"/>
    </xf>
    <xf numFmtId="4" fontId="83" fillId="0" borderId="0" xfId="97" applyNumberFormat="1" applyFont="1" applyFill="1" applyBorder="1" applyAlignment="1">
      <alignment horizontal="right" vertical="center"/>
    </xf>
    <xf numFmtId="4" fontId="82" fillId="0" borderId="0" xfId="97" applyNumberFormat="1" applyFont="1" applyFill="1" applyBorder="1" applyAlignment="1">
      <alignment horizontal="right" vertical="center"/>
    </xf>
    <xf numFmtId="0" fontId="82" fillId="0" borderId="0" xfId="97" applyFont="1" applyFill="1" applyAlignment="1">
      <alignment horizontal="left"/>
    </xf>
    <xf numFmtId="0" fontId="82" fillId="0" borderId="0" xfId="97" applyFont="1" applyFill="1" applyBorder="1" applyAlignment="1">
      <alignment horizontal="center" vertical="center"/>
    </xf>
    <xf numFmtId="166" fontId="82" fillId="0" borderId="0" xfId="97" applyNumberFormat="1" applyFont="1" applyFill="1" applyBorder="1" applyAlignment="1">
      <alignment vertical="center"/>
    </xf>
    <xf numFmtId="166" fontId="83" fillId="0" borderId="0" xfId="97" applyNumberFormat="1" applyFont="1" applyFill="1" applyBorder="1" applyAlignment="1">
      <alignment horizontal="right" vertical="center"/>
    </xf>
    <xf numFmtId="166" fontId="82" fillId="0" borderId="0" xfId="97" applyNumberFormat="1" applyFont="1" applyFill="1" applyBorder="1" applyAlignment="1">
      <alignment horizontal="right" vertical="center"/>
    </xf>
    <xf numFmtId="166" fontId="83" fillId="0" borderId="0" xfId="97" applyNumberFormat="1" applyFont="1" applyFill="1"/>
    <xf numFmtId="166" fontId="82" fillId="0" borderId="0" xfId="97" applyNumberFormat="1" applyFont="1" applyFill="1" applyBorder="1" applyAlignment="1">
      <alignment horizontal="center" vertical="center"/>
    </xf>
    <xf numFmtId="0" fontId="82" fillId="0" borderId="0" xfId="97" applyFont="1" applyFill="1" applyBorder="1" applyAlignment="1">
      <alignment vertical="center"/>
    </xf>
    <xf numFmtId="0" fontId="82" fillId="0" borderId="0" xfId="97" applyFont="1" applyFill="1" applyBorder="1"/>
    <xf numFmtId="0" fontId="81" fillId="0" borderId="0" xfId="97" applyFont="1" applyFill="1" applyAlignment="1">
      <alignment vertical="top"/>
    </xf>
    <xf numFmtId="184" fontId="88" fillId="16" borderId="27" xfId="20" applyNumberFormat="1" applyFont="1" applyBorder="1" applyAlignment="1">
      <alignment vertical="top"/>
    </xf>
    <xf numFmtId="0" fontId="84" fillId="0" borderId="127" xfId="97" applyFont="1" applyFill="1" applyBorder="1" applyAlignment="1">
      <alignment vertical="top" wrapText="1"/>
    </xf>
    <xf numFmtId="166" fontId="89" fillId="0" borderId="0" xfId="116" applyNumberFormat="1" applyFont="1" applyFill="1" applyBorder="1" applyAlignment="1">
      <alignment horizontal="right" vertical="top"/>
    </xf>
    <xf numFmtId="0" fontId="83" fillId="0" borderId="0" xfId="97" applyFont="1" applyFill="1" applyBorder="1" applyAlignment="1">
      <alignment horizontal="right"/>
    </xf>
    <xf numFmtId="0" fontId="83" fillId="0" borderId="0" xfId="97" applyFont="1" applyFill="1" applyBorder="1" applyAlignment="1">
      <alignment horizontal="right" vertical="center" wrapText="1"/>
    </xf>
    <xf numFmtId="166" fontId="88" fillId="16" borderId="27" xfId="20" applyNumberFormat="1" applyFont="1" applyBorder="1" applyAlignment="1">
      <alignment vertical="top"/>
    </xf>
    <xf numFmtId="0" fontId="81" fillId="0" borderId="0" xfId="97" applyFont="1" applyFill="1" applyBorder="1"/>
    <xf numFmtId="0" fontId="84" fillId="0" borderId="0" xfId="97" applyFont="1" applyFill="1" applyAlignment="1">
      <alignment horizontal="right" wrapText="1"/>
    </xf>
    <xf numFmtId="0" fontId="84" fillId="0" borderId="126" xfId="97" applyFont="1" applyFill="1" applyBorder="1" applyAlignment="1">
      <alignment horizontal="left" vertical="top" wrapText="1"/>
    </xf>
    <xf numFmtId="0" fontId="84" fillId="0" borderId="0" xfId="97" applyFont="1" applyFill="1" applyBorder="1" applyAlignment="1">
      <alignment horizontal="left" vertical="top" wrapText="1"/>
    </xf>
    <xf numFmtId="0" fontId="88" fillId="16" borderId="27" xfId="20" applyFont="1" applyBorder="1" applyAlignment="1">
      <alignment horizontal="right" wrapText="1"/>
    </xf>
    <xf numFmtId="0" fontId="83" fillId="0" borderId="0" xfId="97" applyFont="1" applyFill="1" applyBorder="1" applyAlignment="1">
      <alignment vertical="top" wrapText="1"/>
    </xf>
    <xf numFmtId="184" fontId="88" fillId="16" borderId="27" xfId="20" applyNumberFormat="1" applyFont="1" applyBorder="1" applyAlignment="1">
      <alignment vertical="top" wrapText="1"/>
    </xf>
    <xf numFmtId="0" fontId="83" fillId="0" borderId="0" xfId="97" applyFont="1" applyFill="1" applyBorder="1" applyAlignment="1">
      <alignment horizontal="right" wrapText="1"/>
    </xf>
    <xf numFmtId="176" fontId="88" fillId="16" borderId="27" xfId="20" applyNumberFormat="1" applyFont="1" applyBorder="1" applyAlignment="1">
      <alignment horizontal="right" wrapText="1"/>
    </xf>
    <xf numFmtId="166" fontId="88" fillId="16" borderId="27" xfId="20" applyNumberFormat="1" applyFont="1" applyBorder="1" applyAlignment="1">
      <alignment vertical="top" wrapText="1"/>
    </xf>
    <xf numFmtId="184" fontId="90" fillId="16" borderId="27" xfId="20" applyNumberFormat="1" applyFont="1" applyBorder="1" applyAlignment="1">
      <alignment horizontal="right" vertical="center" wrapText="1"/>
    </xf>
    <xf numFmtId="166" fontId="90" fillId="16" borderId="27" xfId="20" applyNumberFormat="1" applyFont="1" applyBorder="1" applyAlignment="1">
      <alignment horizontal="right" wrapText="1"/>
    </xf>
    <xf numFmtId="0" fontId="83" fillId="0" borderId="0" xfId="97" applyFont="1" applyFill="1" applyBorder="1" applyAlignment="1">
      <alignment horizontal="left"/>
    </xf>
    <xf numFmtId="0" fontId="83" fillId="0" borderId="0" xfId="97" applyFont="1" applyFill="1" applyBorder="1" applyAlignment="1">
      <alignment horizontal="right" vertical="center"/>
    </xf>
    <xf numFmtId="166" fontId="90" fillId="16" borderId="27" xfId="20" applyNumberFormat="1" applyFont="1" applyBorder="1" applyAlignment="1">
      <alignment horizontal="right" vertical="center" wrapText="1"/>
    </xf>
    <xf numFmtId="0" fontId="81" fillId="0" borderId="0" xfId="97" applyFont="1" applyAlignment="1">
      <alignment horizontal="left"/>
    </xf>
    <xf numFmtId="0" fontId="82" fillId="0" borderId="0" xfId="97" applyFont="1"/>
    <xf numFmtId="0" fontId="83" fillId="0" borderId="0" xfId="97" applyFont="1"/>
    <xf numFmtId="0" fontId="84" fillId="4" borderId="0" xfId="97" applyFont="1" applyFill="1"/>
    <xf numFmtId="0" fontId="84" fillId="4" borderId="0" xfId="97" applyFont="1" applyFill="1" applyAlignment="1">
      <alignment horizontal="right"/>
    </xf>
    <xf numFmtId="0" fontId="83" fillId="0" borderId="0" xfId="97" applyFont="1" applyAlignment="1">
      <alignment horizontal="right"/>
    </xf>
    <xf numFmtId="0" fontId="84" fillId="4" borderId="0" xfId="97" applyFont="1" applyFill="1" applyBorder="1" applyAlignment="1">
      <alignment horizontal="right"/>
    </xf>
    <xf numFmtId="0" fontId="83" fillId="0" borderId="0" xfId="97" applyFont="1" applyBorder="1" applyAlignment="1">
      <alignment horizontal="right"/>
    </xf>
    <xf numFmtId="0" fontId="84" fillId="0" borderId="0" xfId="97" applyFont="1" applyAlignment="1">
      <alignment horizontal="right"/>
    </xf>
    <xf numFmtId="0" fontId="82" fillId="0" borderId="0" xfId="97" applyFont="1" applyBorder="1" applyAlignment="1">
      <alignment horizontal="right"/>
    </xf>
    <xf numFmtId="166" fontId="84" fillId="4" borderId="0" xfId="97" applyNumberFormat="1" applyFont="1" applyFill="1" applyBorder="1" applyAlignment="1">
      <alignment horizontal="right"/>
    </xf>
    <xf numFmtId="0" fontId="82" fillId="0" borderId="0" xfId="97" applyFont="1" applyAlignment="1">
      <alignment horizontal="right"/>
    </xf>
    <xf numFmtId="0" fontId="38" fillId="0" borderId="0" xfId="0" applyFont="1" applyFill="1"/>
    <xf numFmtId="170" fontId="82" fillId="0" borderId="0" xfId="97" applyNumberFormat="1" applyFont="1" applyFill="1" applyAlignment="1">
      <alignment vertical="center" wrapText="1"/>
    </xf>
    <xf numFmtId="170" fontId="82" fillId="0" borderId="0" xfId="97" applyNumberFormat="1" applyFont="1" applyFill="1" applyAlignment="1">
      <alignment horizontal="center" vertical="center" wrapText="1"/>
    </xf>
    <xf numFmtId="170" fontId="83" fillId="0" borderId="0" xfId="97" applyNumberFormat="1" applyFont="1" applyFill="1" applyAlignment="1">
      <alignment horizontal="right"/>
    </xf>
    <xf numFmtId="170" fontId="84" fillId="0" borderId="0" xfId="97" applyNumberFormat="1" applyFont="1" applyFill="1" applyAlignment="1">
      <alignment horizontal="right"/>
    </xf>
    <xf numFmtId="0" fontId="84" fillId="0" borderId="0" xfId="97" applyFont="1" applyFill="1" applyBorder="1" applyAlignment="1">
      <alignment vertical="top" wrapText="1"/>
    </xf>
    <xf numFmtId="170" fontId="84" fillId="0" borderId="0" xfId="97" applyNumberFormat="1" applyFont="1" applyFill="1" applyBorder="1" applyAlignment="1">
      <alignment vertical="top" wrapText="1"/>
    </xf>
    <xf numFmtId="184" fontId="84" fillId="0" borderId="0" xfId="97" applyNumberFormat="1" applyFont="1" applyFill="1" applyBorder="1" applyAlignment="1">
      <alignment vertical="top" wrapText="1"/>
    </xf>
    <xf numFmtId="165" fontId="36" fillId="0" borderId="1" xfId="10" applyNumberFormat="1" applyFont="1" applyFill="1" applyBorder="1" applyAlignment="1">
      <alignment horizontal="right" vertical="center" wrapText="1"/>
    </xf>
    <xf numFmtId="4" fontId="36" fillId="0" borderId="1" xfId="10" applyNumberFormat="1" applyFont="1" applyFill="1" applyBorder="1" applyAlignment="1">
      <alignment horizontal="right" vertical="center" wrapText="1"/>
    </xf>
    <xf numFmtId="2" fontId="36" fillId="0" borderId="1" xfId="10" applyNumberFormat="1" applyFont="1" applyFill="1" applyBorder="1" applyAlignment="1">
      <alignment vertical="justify" wrapText="1"/>
    </xf>
    <xf numFmtId="0" fontId="36" fillId="0" borderId="1" xfId="0" applyNumberFormat="1" applyFont="1" applyFill="1" applyBorder="1" applyAlignment="1">
      <alignment horizontal="center"/>
    </xf>
    <xf numFmtId="2" fontId="36" fillId="0" borderId="1" xfId="10" applyNumberFormat="1" applyFont="1" applyFill="1" applyBorder="1" applyAlignment="1">
      <alignment horizontal="left" vertical="justify" wrapText="1"/>
    </xf>
    <xf numFmtId="2" fontId="36" fillId="0" borderId="6" xfId="10" applyNumberFormat="1" applyFont="1" applyFill="1" applyBorder="1" applyAlignment="1">
      <alignment horizontal="right" vertical="center" wrapText="1"/>
    </xf>
    <xf numFmtId="2" fontId="36" fillId="0" borderId="6" xfId="10" applyNumberFormat="1" applyFont="1" applyFill="1" applyBorder="1" applyAlignment="1">
      <alignment horizontal="center" vertical="center" wrapText="1"/>
    </xf>
    <xf numFmtId="0" fontId="37" fillId="0" borderId="34" xfId="104" applyFont="1" applyFill="1" applyBorder="1" applyAlignment="1">
      <alignment horizontal="center" vertical="center" wrapText="1"/>
    </xf>
    <xf numFmtId="1" fontId="36" fillId="0" borderId="1" xfId="103" applyNumberFormat="1" applyFont="1" applyFill="1" applyBorder="1" applyAlignment="1">
      <alignment horizontal="center" vertical="center"/>
    </xf>
    <xf numFmtId="4" fontId="37" fillId="0" borderId="1" xfId="103" applyNumberFormat="1" applyFont="1" applyFill="1" applyBorder="1" applyAlignment="1">
      <alignment horizontal="right" vertical="center"/>
    </xf>
    <xf numFmtId="4" fontId="36" fillId="0" borderId="1" xfId="103" applyNumberFormat="1" applyFont="1" applyFill="1" applyBorder="1" applyAlignment="1">
      <alignment horizontal="right" vertical="center"/>
    </xf>
    <xf numFmtId="4" fontId="37" fillId="0" borderId="1" xfId="103" applyNumberFormat="1" applyFont="1" applyFill="1" applyBorder="1" applyAlignment="1">
      <alignment horizontal="right" vertical="center" wrapText="1"/>
    </xf>
    <xf numFmtId="4" fontId="36" fillId="0" borderId="1" xfId="105" applyNumberFormat="1" applyFont="1" applyFill="1" applyBorder="1" applyAlignment="1">
      <alignment horizontal="right" vertical="center"/>
    </xf>
    <xf numFmtId="4" fontId="36" fillId="0" borderId="1" xfId="105" applyNumberFormat="1" applyFont="1" applyFill="1" applyBorder="1" applyAlignment="1">
      <alignment horizontal="right" vertical="center" wrapText="1"/>
    </xf>
    <xf numFmtId="4" fontId="36" fillId="0" borderId="1" xfId="103" applyNumberFormat="1" applyFont="1" applyFill="1" applyBorder="1" applyAlignment="1">
      <alignment horizontal="center" vertical="center"/>
    </xf>
    <xf numFmtId="0" fontId="36" fillId="0" borderId="1" xfId="103" applyFont="1" applyFill="1" applyBorder="1" applyAlignment="1">
      <alignment horizontal="center" vertical="center" wrapText="1" shrinkToFit="1"/>
    </xf>
    <xf numFmtId="0" fontId="36" fillId="0" borderId="3" xfId="103" applyFont="1" applyFill="1" applyBorder="1" applyAlignment="1">
      <alignment horizontal="center" vertical="center" wrapText="1"/>
    </xf>
    <xf numFmtId="1" fontId="36" fillId="0" borderId="1" xfId="103" applyNumberFormat="1" applyFont="1" applyFill="1" applyBorder="1" applyAlignment="1">
      <alignment horizontal="center" vertical="center" wrapText="1"/>
    </xf>
    <xf numFmtId="4" fontId="37" fillId="0" borderId="1" xfId="105" applyNumberFormat="1" applyFont="1" applyFill="1" applyBorder="1" applyAlignment="1">
      <alignment horizontal="right" vertical="center" wrapText="1"/>
    </xf>
    <xf numFmtId="4" fontId="37" fillId="0" borderId="1" xfId="105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center"/>
    </xf>
    <xf numFmtId="49" fontId="36" fillId="0" borderId="1" xfId="0" applyNumberFormat="1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2" fontId="36" fillId="0" borderId="0" xfId="103" applyNumberFormat="1" applyFont="1"/>
    <xf numFmtId="0" fontId="91" fillId="0" borderId="0" xfId="12" applyFont="1" applyFill="1" applyBorder="1" applyAlignment="1">
      <alignment horizontal="left" vertical="center"/>
    </xf>
    <xf numFmtId="0" fontId="91" fillId="0" borderId="0" xfId="12" applyNumberFormat="1" applyFont="1" applyFill="1" applyBorder="1" applyAlignment="1">
      <alignment vertical="justify" wrapText="1"/>
    </xf>
    <xf numFmtId="0" fontId="91" fillId="0" borderId="0" xfId="12" applyFont="1" applyFill="1" applyBorder="1" applyAlignment="1">
      <alignment vertical="center" wrapText="1"/>
    </xf>
    <xf numFmtId="165" fontId="92" fillId="0" borderId="0" xfId="12" applyNumberFormat="1" applyFont="1" applyFill="1" applyBorder="1" applyAlignment="1">
      <alignment vertical="center"/>
    </xf>
    <xf numFmtId="165" fontId="92" fillId="0" borderId="0" xfId="12" applyNumberFormat="1" applyFont="1" applyFill="1" applyBorder="1" applyAlignment="1">
      <alignment vertical="center" wrapText="1"/>
    </xf>
    <xf numFmtId="0" fontId="91" fillId="0" borderId="0" xfId="12" applyFont="1" applyFill="1" applyBorder="1" applyAlignment="1">
      <alignment vertical="center"/>
    </xf>
    <xf numFmtId="4" fontId="91" fillId="0" borderId="0" xfId="12" applyNumberFormat="1" applyFont="1" applyFill="1" applyBorder="1" applyAlignment="1">
      <alignment vertical="center" wrapText="1"/>
    </xf>
    <xf numFmtId="0" fontId="91" fillId="0" borderId="20" xfId="12" applyFont="1" applyFill="1" applyAlignment="1">
      <alignment vertical="center" wrapText="1"/>
    </xf>
    <xf numFmtId="43" fontId="91" fillId="0" borderId="0" xfId="12" applyNumberFormat="1" applyFont="1" applyFill="1" applyBorder="1" applyAlignment="1">
      <alignment vertical="center" wrapText="1"/>
    </xf>
    <xf numFmtId="0" fontId="91" fillId="0" borderId="0" xfId="12" applyFont="1" applyFill="1" applyBorder="1" applyAlignment="1">
      <alignment horizontal="center" vertical="center" wrapText="1"/>
    </xf>
    <xf numFmtId="4" fontId="91" fillId="0" borderId="0" xfId="0" applyNumberFormat="1" applyFont="1" applyFill="1" applyAlignment="1">
      <alignment vertical="center" wrapText="1"/>
    </xf>
    <xf numFmtId="0" fontId="91" fillId="0" borderId="0" xfId="0" applyFont="1" applyFill="1" applyAlignment="1">
      <alignment vertical="center" wrapText="1"/>
    </xf>
    <xf numFmtId="0" fontId="91" fillId="0" borderId="0" xfId="0" applyFont="1" applyFill="1" applyBorder="1" applyAlignment="1">
      <alignment vertical="center" wrapText="1"/>
    </xf>
    <xf numFmtId="166" fontId="91" fillId="0" borderId="0" xfId="0" applyNumberFormat="1" applyFont="1" applyFill="1" applyBorder="1" applyAlignment="1">
      <alignment horizontal="center" vertical="center" wrapText="1"/>
    </xf>
    <xf numFmtId="166" fontId="91" fillId="0" borderId="1" xfId="0" applyNumberFormat="1" applyFont="1" applyFill="1" applyBorder="1" applyAlignment="1">
      <alignment vertical="center" wrapText="1"/>
    </xf>
    <xf numFmtId="0" fontId="91" fillId="6" borderId="1" xfId="0" applyFont="1" applyFill="1" applyBorder="1" applyAlignment="1">
      <alignment horizontal="center" vertical="center" wrapText="1"/>
    </xf>
    <xf numFmtId="0" fontId="91" fillId="6" borderId="1" xfId="0" applyNumberFormat="1" applyFont="1" applyFill="1" applyBorder="1" applyAlignment="1">
      <alignment vertical="justify" wrapText="1"/>
    </xf>
    <xf numFmtId="165" fontId="92" fillId="6" borderId="1" xfId="0" applyNumberFormat="1" applyFont="1" applyFill="1" applyBorder="1" applyAlignment="1">
      <alignment vertical="center" wrapText="1"/>
    </xf>
    <xf numFmtId="164" fontId="92" fillId="6" borderId="1" xfId="0" applyNumberFormat="1" applyFont="1" applyFill="1" applyBorder="1" applyAlignment="1">
      <alignment vertical="center" wrapText="1"/>
    </xf>
    <xf numFmtId="165" fontId="91" fillId="6" borderId="1" xfId="0" applyNumberFormat="1" applyFont="1" applyFill="1" applyBorder="1" applyAlignment="1">
      <alignment vertical="center" wrapText="1"/>
    </xf>
    <xf numFmtId="4" fontId="92" fillId="6" borderId="0" xfId="0" applyNumberFormat="1" applyFont="1" applyFill="1" applyAlignment="1">
      <alignment vertical="center" wrapText="1"/>
    </xf>
    <xf numFmtId="0" fontId="92" fillId="6" borderId="0" xfId="0" applyFont="1" applyFill="1" applyAlignment="1">
      <alignment vertical="center" wrapText="1"/>
    </xf>
    <xf numFmtId="0" fontId="92" fillId="6" borderId="0" xfId="0" applyFont="1" applyFill="1" applyBorder="1" applyAlignment="1">
      <alignment vertical="center" wrapText="1"/>
    </xf>
    <xf numFmtId="166" fontId="91" fillId="6" borderId="0" xfId="0" applyNumberFormat="1" applyFont="1" applyFill="1" applyAlignment="1">
      <alignment vertical="center" wrapText="1"/>
    </xf>
    <xf numFmtId="0" fontId="91" fillId="6" borderId="0" xfId="0" applyFont="1" applyFill="1" applyAlignment="1">
      <alignment vertical="center" wrapText="1"/>
    </xf>
    <xf numFmtId="0" fontId="91" fillId="6" borderId="0" xfId="0" applyFont="1" applyFill="1" applyBorder="1" applyAlignment="1">
      <alignment vertical="center" wrapText="1"/>
    </xf>
    <xf numFmtId="0" fontId="92" fillId="6" borderId="1" xfId="0" applyFont="1" applyFill="1" applyBorder="1" applyAlignment="1">
      <alignment horizontal="center" vertical="center" wrapText="1"/>
    </xf>
    <xf numFmtId="0" fontId="91" fillId="6" borderId="1" xfId="0" applyNumberFormat="1" applyFont="1" applyFill="1" applyBorder="1" applyAlignment="1">
      <alignment horizontal="left" vertical="justify" wrapText="1"/>
    </xf>
    <xf numFmtId="0" fontId="91" fillId="6" borderId="1" xfId="0" applyNumberFormat="1" applyFont="1" applyFill="1" applyBorder="1" applyAlignment="1">
      <alignment vertical="center" wrapText="1"/>
    </xf>
    <xf numFmtId="49" fontId="91" fillId="6" borderId="1" xfId="0" applyNumberFormat="1" applyFont="1" applyFill="1" applyBorder="1" applyAlignment="1">
      <alignment horizontal="center" vertical="center" wrapText="1"/>
    </xf>
    <xf numFmtId="49" fontId="92" fillId="6" borderId="1" xfId="0" applyNumberFormat="1" applyFont="1" applyFill="1" applyBorder="1" applyAlignment="1">
      <alignment horizontal="center" vertical="center" wrapText="1"/>
    </xf>
    <xf numFmtId="49" fontId="91" fillId="2" borderId="1" xfId="0" applyNumberFormat="1" applyFont="1" applyFill="1" applyBorder="1" applyAlignment="1">
      <alignment horizontal="center" vertical="center" wrapText="1"/>
    </xf>
    <xf numFmtId="165" fontId="91" fillId="2" borderId="1" xfId="0" applyNumberFormat="1" applyFont="1" applyFill="1" applyBorder="1" applyAlignment="1">
      <alignment vertical="center" wrapText="1"/>
    </xf>
    <xf numFmtId="165" fontId="91" fillId="2" borderId="1" xfId="0" applyNumberFormat="1" applyFont="1" applyFill="1" applyBorder="1" applyAlignment="1">
      <alignment horizontal="center" vertical="center" wrapText="1"/>
    </xf>
    <xf numFmtId="166" fontId="91" fillId="2" borderId="0" xfId="0" applyNumberFormat="1" applyFont="1" applyFill="1" applyAlignment="1">
      <alignment vertical="center" wrapText="1"/>
    </xf>
    <xf numFmtId="0" fontId="91" fillId="2" borderId="0" xfId="0" applyFont="1" applyFill="1" applyAlignment="1">
      <alignment vertical="center" wrapText="1"/>
    </xf>
    <xf numFmtId="0" fontId="91" fillId="2" borderId="0" xfId="0" applyFont="1" applyFill="1" applyBorder="1" applyAlignment="1">
      <alignment vertical="center" wrapText="1"/>
    </xf>
    <xf numFmtId="49" fontId="92" fillId="0" borderId="1" xfId="0" applyNumberFormat="1" applyFont="1" applyFill="1" applyBorder="1" applyAlignment="1">
      <alignment horizontal="center" vertical="center" wrapText="1"/>
    </xf>
    <xf numFmtId="0" fontId="92" fillId="0" borderId="1" xfId="0" applyNumberFormat="1" applyFont="1" applyFill="1" applyBorder="1" applyAlignment="1">
      <alignment horizontal="left" vertical="center" wrapText="1"/>
    </xf>
    <xf numFmtId="165" fontId="92" fillId="0" borderId="1" xfId="0" applyNumberFormat="1" applyFont="1" applyFill="1" applyBorder="1" applyAlignment="1">
      <alignment vertical="center" wrapText="1"/>
    </xf>
    <xf numFmtId="165" fontId="92" fillId="0" borderId="1" xfId="0" applyNumberFormat="1" applyFont="1" applyFill="1" applyBorder="1" applyAlignment="1">
      <alignment horizontal="center" vertical="center" wrapText="1"/>
    </xf>
    <xf numFmtId="166" fontId="91" fillId="0" borderId="0" xfId="0" applyNumberFormat="1" applyFont="1" applyFill="1" applyAlignment="1">
      <alignment horizontal="right" vertical="center" wrapText="1"/>
    </xf>
    <xf numFmtId="166" fontId="91" fillId="0" borderId="0" xfId="0" applyNumberFormat="1" applyFont="1" applyFill="1" applyAlignment="1">
      <alignment vertical="center" wrapText="1"/>
    </xf>
    <xf numFmtId="0" fontId="92" fillId="0" borderId="0" xfId="0" applyFont="1" applyFill="1" applyAlignment="1">
      <alignment vertical="center" wrapText="1"/>
    </xf>
    <xf numFmtId="165" fontId="92" fillId="0" borderId="0" xfId="0" applyNumberFormat="1" applyFont="1" applyFill="1" applyBorder="1" applyAlignment="1">
      <alignment vertical="center" wrapText="1"/>
    </xf>
    <xf numFmtId="0" fontId="92" fillId="0" borderId="0" xfId="0" applyFont="1" applyFill="1" applyBorder="1" applyAlignment="1">
      <alignment vertical="center" wrapText="1"/>
    </xf>
    <xf numFmtId="0" fontId="91" fillId="2" borderId="1" xfId="0" applyNumberFormat="1" applyFont="1" applyFill="1" applyBorder="1" applyAlignment="1">
      <alignment vertical="center" wrapText="1"/>
    </xf>
    <xf numFmtId="0" fontId="92" fillId="0" borderId="1" xfId="0" applyNumberFormat="1" applyFont="1" applyFill="1" applyBorder="1" applyAlignment="1">
      <alignment horizontal="left" vertical="center"/>
    </xf>
    <xf numFmtId="49" fontId="93" fillId="2" borderId="1" xfId="0" applyNumberFormat="1" applyFont="1" applyFill="1" applyBorder="1" applyAlignment="1">
      <alignment horizontal="center" vertical="center" wrapText="1"/>
    </xf>
    <xf numFmtId="165" fontId="93" fillId="2" borderId="1" xfId="0" applyNumberFormat="1" applyFont="1" applyFill="1" applyBorder="1" applyAlignment="1">
      <alignment vertical="center" wrapText="1"/>
    </xf>
    <xf numFmtId="165" fontId="93" fillId="2" borderId="1" xfId="0" applyNumberFormat="1" applyFont="1" applyFill="1" applyBorder="1" applyAlignment="1">
      <alignment horizontal="center" vertical="center" wrapText="1"/>
    </xf>
    <xf numFmtId="166" fontId="93" fillId="2" borderId="0" xfId="0" applyNumberFormat="1" applyFont="1" applyFill="1" applyAlignment="1">
      <alignment vertical="center" wrapText="1"/>
    </xf>
    <xf numFmtId="0" fontId="94" fillId="2" borderId="0" xfId="0" applyFont="1" applyFill="1" applyAlignment="1">
      <alignment vertical="center" wrapText="1"/>
    </xf>
    <xf numFmtId="49" fontId="94" fillId="0" borderId="1" xfId="0" applyNumberFormat="1" applyFont="1" applyFill="1" applyBorder="1" applyAlignment="1">
      <alignment horizontal="center" vertical="center" wrapText="1"/>
    </xf>
    <xf numFmtId="0" fontId="94" fillId="0" borderId="1" xfId="0" applyNumberFormat="1" applyFont="1" applyFill="1" applyBorder="1" applyAlignment="1">
      <alignment horizontal="left" vertical="center"/>
    </xf>
    <xf numFmtId="165" fontId="94" fillId="0" borderId="1" xfId="0" applyNumberFormat="1" applyFont="1" applyFill="1" applyBorder="1" applyAlignment="1">
      <alignment vertical="center" wrapText="1"/>
    </xf>
    <xf numFmtId="165" fontId="94" fillId="0" borderId="1" xfId="0" applyNumberFormat="1" applyFont="1" applyFill="1" applyBorder="1" applyAlignment="1">
      <alignment horizontal="center" vertical="center" wrapText="1"/>
    </xf>
    <xf numFmtId="166" fontId="93" fillId="0" borderId="0" xfId="0" applyNumberFormat="1" applyFont="1" applyFill="1" applyAlignment="1">
      <alignment vertical="center" wrapText="1"/>
    </xf>
    <xf numFmtId="0" fontId="94" fillId="0" borderId="0" xfId="0" applyFont="1" applyFill="1" applyAlignment="1">
      <alignment vertical="center" wrapText="1"/>
    </xf>
    <xf numFmtId="0" fontId="94" fillId="0" borderId="1" xfId="0" applyNumberFormat="1" applyFont="1" applyFill="1" applyBorder="1" applyAlignment="1">
      <alignment horizontal="left" vertical="center" wrapText="1"/>
    </xf>
    <xf numFmtId="172" fontId="92" fillId="0" borderId="1" xfId="0" applyNumberFormat="1" applyFont="1" applyFill="1" applyBorder="1" applyAlignment="1">
      <alignment vertical="center" wrapText="1"/>
    </xf>
    <xf numFmtId="49" fontId="91" fillId="2" borderId="1" xfId="0" applyNumberFormat="1" applyFont="1" applyFill="1" applyBorder="1" applyAlignment="1">
      <alignment vertical="center" wrapText="1"/>
    </xf>
    <xf numFmtId="166" fontId="92" fillId="0" borderId="0" xfId="0" applyNumberFormat="1" applyFont="1" applyFill="1" applyAlignment="1">
      <alignment vertical="center" wrapText="1"/>
    </xf>
    <xf numFmtId="0" fontId="92" fillId="2" borderId="0" xfId="0" applyFont="1" applyFill="1" applyAlignment="1">
      <alignment vertical="center" wrapText="1"/>
    </xf>
    <xf numFmtId="0" fontId="91" fillId="2" borderId="1" xfId="0" applyNumberFormat="1" applyFont="1" applyFill="1" applyBorder="1" applyAlignment="1">
      <alignment horizontal="left" vertical="center" wrapText="1"/>
    </xf>
    <xf numFmtId="165" fontId="92" fillId="2" borderId="1" xfId="0" applyNumberFormat="1" applyFont="1" applyFill="1" applyBorder="1" applyAlignment="1">
      <alignment vertical="center" wrapText="1"/>
    </xf>
    <xf numFmtId="0" fontId="92" fillId="0" borderId="1" xfId="0" applyNumberFormat="1" applyFont="1" applyFill="1" applyBorder="1" applyAlignment="1">
      <alignment horizontal="left" vertical="center" indent="2"/>
    </xf>
    <xf numFmtId="0" fontId="91" fillId="2" borderId="1" xfId="12" applyNumberFormat="1" applyFont="1" applyFill="1" applyBorder="1" applyAlignment="1">
      <alignment vertical="center" wrapText="1"/>
    </xf>
    <xf numFmtId="166" fontId="92" fillId="0" borderId="1" xfId="0" applyNumberFormat="1" applyFont="1" applyFill="1" applyBorder="1" applyAlignment="1">
      <alignment vertical="center" wrapText="1"/>
    </xf>
    <xf numFmtId="0" fontId="92" fillId="0" borderId="1" xfId="0" applyNumberFormat="1" applyFont="1" applyFill="1" applyBorder="1" applyAlignment="1">
      <alignment horizontal="left" vertical="justify" wrapText="1"/>
    </xf>
    <xf numFmtId="0" fontId="92" fillId="0" borderId="1" xfId="0" applyNumberFormat="1" applyFont="1" applyFill="1" applyBorder="1" applyAlignment="1">
      <alignment horizontal="left" vertical="justify"/>
    </xf>
    <xf numFmtId="165" fontId="91" fillId="6" borderId="1" xfId="0" applyNumberFormat="1" applyFont="1" applyFill="1" applyBorder="1" applyAlignment="1">
      <alignment horizontal="center" vertical="center" wrapText="1"/>
    </xf>
    <xf numFmtId="49" fontId="91" fillId="0" borderId="1" xfId="0" applyNumberFormat="1" applyFont="1" applyFill="1" applyBorder="1" applyAlignment="1">
      <alignment horizontal="center" vertical="center" wrapText="1"/>
    </xf>
    <xf numFmtId="165" fontId="91" fillId="0" borderId="1" xfId="0" applyNumberFormat="1" applyFont="1" applyFill="1" applyBorder="1" applyAlignment="1">
      <alignment vertical="center" wrapText="1"/>
    </xf>
    <xf numFmtId="43" fontId="91" fillId="6" borderId="1" xfId="0" applyNumberFormat="1" applyFont="1" applyFill="1" applyBorder="1" applyAlignment="1">
      <alignment vertical="center" wrapText="1"/>
    </xf>
    <xf numFmtId="43" fontId="91" fillId="6" borderId="1" xfId="0" applyNumberFormat="1" applyFont="1" applyFill="1" applyBorder="1" applyAlignment="1">
      <alignment horizontal="center" vertical="center" wrapText="1"/>
    </xf>
    <xf numFmtId="165" fontId="92" fillId="6" borderId="1" xfId="0" applyNumberFormat="1" applyFont="1" applyFill="1" applyBorder="1" applyAlignment="1">
      <alignment horizontal="center" vertical="center" wrapText="1"/>
    </xf>
    <xf numFmtId="43" fontId="91" fillId="2" borderId="1" xfId="0" applyNumberFormat="1" applyFont="1" applyFill="1" applyBorder="1" applyAlignment="1">
      <alignment vertical="center"/>
    </xf>
    <xf numFmtId="43" fontId="91" fillId="2" borderId="1" xfId="0" applyNumberFormat="1" applyFont="1" applyFill="1" applyBorder="1" applyAlignment="1">
      <alignment vertical="center" wrapText="1"/>
    </xf>
    <xf numFmtId="43" fontId="91" fillId="0" borderId="1" xfId="0" applyNumberFormat="1" applyFont="1" applyFill="1" applyBorder="1" applyAlignment="1">
      <alignment vertical="center"/>
    </xf>
    <xf numFmtId="43" fontId="92" fillId="0" borderId="1" xfId="0" applyNumberFormat="1" applyFont="1" applyFill="1" applyBorder="1" applyAlignment="1">
      <alignment vertical="center" wrapText="1"/>
    </xf>
    <xf numFmtId="43" fontId="92" fillId="6" borderId="1" xfId="0" applyNumberFormat="1" applyFont="1" applyFill="1" applyBorder="1" applyAlignment="1">
      <alignment vertical="center" wrapText="1"/>
    </xf>
    <xf numFmtId="166" fontId="92" fillId="6" borderId="0" xfId="0" applyNumberFormat="1" applyFont="1" applyFill="1" applyAlignment="1">
      <alignment vertical="center" wrapText="1"/>
    </xf>
    <xf numFmtId="0" fontId="91" fillId="2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 wrapText="1"/>
    </xf>
    <xf numFmtId="43" fontId="91" fillId="0" borderId="1" xfId="0" applyNumberFormat="1" applyFont="1" applyFill="1" applyBorder="1" applyAlignment="1">
      <alignment vertical="center" wrapText="1"/>
    </xf>
    <xf numFmtId="43" fontId="91" fillId="6" borderId="1" xfId="0" applyNumberFormat="1" applyFont="1" applyFill="1" applyBorder="1" applyAlignment="1"/>
    <xf numFmtId="165" fontId="91" fillId="6" borderId="1" xfId="0" applyNumberFormat="1" applyFont="1" applyFill="1" applyBorder="1" applyAlignment="1">
      <alignment horizontal="center"/>
    </xf>
    <xf numFmtId="43" fontId="91" fillId="2" borderId="1" xfId="0" applyNumberFormat="1" applyFont="1" applyFill="1" applyBorder="1" applyAlignment="1"/>
    <xf numFmtId="165" fontId="91" fillId="2" borderId="1" xfId="0" applyNumberFormat="1" applyFont="1" applyFill="1" applyBorder="1" applyAlignment="1">
      <alignment horizontal="center"/>
    </xf>
    <xf numFmtId="43" fontId="91" fillId="0" borderId="1" xfId="0" applyNumberFormat="1" applyFont="1" applyFill="1" applyBorder="1" applyAlignment="1"/>
    <xf numFmtId="165" fontId="91" fillId="0" borderId="1" xfId="0" applyNumberFormat="1" applyFont="1" applyFill="1" applyBorder="1" applyAlignment="1">
      <alignment horizontal="center"/>
    </xf>
    <xf numFmtId="0" fontId="91" fillId="3" borderId="1" xfId="12" applyNumberFormat="1" applyFont="1" applyFill="1" applyBorder="1" applyAlignment="1">
      <alignment vertical="justify" wrapText="1"/>
    </xf>
    <xf numFmtId="166" fontId="91" fillId="3" borderId="0" xfId="0" applyNumberFormat="1" applyFont="1" applyFill="1" applyAlignment="1">
      <alignment vertical="center" wrapText="1"/>
    </xf>
    <xf numFmtId="0" fontId="91" fillId="3" borderId="0" xfId="0" applyFont="1" applyFill="1" applyAlignment="1">
      <alignment vertical="center" wrapText="1"/>
    </xf>
    <xf numFmtId="0" fontId="91" fillId="3" borderId="0" xfId="0" applyFont="1" applyFill="1" applyBorder="1" applyAlignment="1">
      <alignment vertical="center" wrapText="1"/>
    </xf>
    <xf numFmtId="0" fontId="91" fillId="3" borderId="1" xfId="0" applyFont="1" applyFill="1" applyBorder="1" applyAlignment="1">
      <alignment horizontal="center" vertical="center" wrapText="1"/>
    </xf>
    <xf numFmtId="0" fontId="91" fillId="3" borderId="1" xfId="0" applyNumberFormat="1" applyFont="1" applyFill="1" applyBorder="1" applyAlignment="1">
      <alignment horizontal="left" vertical="justify" wrapText="1"/>
    </xf>
    <xf numFmtId="43" fontId="91" fillId="3" borderId="1" xfId="0" applyNumberFormat="1" applyFont="1" applyFill="1" applyBorder="1" applyAlignment="1">
      <alignment vertical="center" wrapText="1"/>
    </xf>
    <xf numFmtId="0" fontId="92" fillId="3" borderId="1" xfId="0" applyFont="1" applyFill="1" applyBorder="1" applyAlignment="1">
      <alignment horizontal="center" vertical="center" wrapText="1"/>
    </xf>
    <xf numFmtId="0" fontId="92" fillId="3" borderId="0" xfId="0" applyFont="1" applyFill="1" applyAlignment="1">
      <alignment vertical="center" wrapText="1"/>
    </xf>
    <xf numFmtId="0" fontId="92" fillId="3" borderId="0" xfId="0" applyFont="1" applyFill="1" applyBorder="1" applyAlignment="1">
      <alignment vertical="center" wrapText="1"/>
    </xf>
    <xf numFmtId="0" fontId="91" fillId="3" borderId="1" xfId="0" applyNumberFormat="1" applyFont="1" applyFill="1" applyBorder="1" applyAlignment="1">
      <alignment vertical="justify" wrapText="1"/>
    </xf>
    <xf numFmtId="43" fontId="92" fillId="3" borderId="1" xfId="0" applyNumberFormat="1" applyFont="1" applyFill="1" applyBorder="1" applyAlignment="1">
      <alignment vertical="center" wrapText="1"/>
    </xf>
    <xf numFmtId="165" fontId="91" fillId="3" borderId="1" xfId="0" applyNumberFormat="1" applyFont="1" applyFill="1" applyBorder="1" applyAlignment="1">
      <alignment horizontal="center" vertical="center" wrapText="1"/>
    </xf>
    <xf numFmtId="165" fontId="92" fillId="3" borderId="1" xfId="0" applyNumberFormat="1" applyFont="1" applyFill="1" applyBorder="1" applyAlignment="1">
      <alignment horizontal="center" vertical="center" wrapText="1"/>
    </xf>
    <xf numFmtId="0" fontId="91" fillId="3" borderId="1" xfId="0" applyNumberFormat="1" applyFont="1" applyFill="1" applyBorder="1" applyAlignment="1">
      <alignment horizontal="left" vertical="center" wrapText="1"/>
    </xf>
    <xf numFmtId="0" fontId="91" fillId="3" borderId="1" xfId="0" applyNumberFormat="1" applyFont="1" applyFill="1" applyBorder="1" applyAlignment="1">
      <alignment vertical="center" wrapText="1"/>
    </xf>
    <xf numFmtId="43" fontId="91" fillId="3" borderId="0" xfId="0" applyNumberFormat="1" applyFont="1" applyFill="1" applyAlignment="1">
      <alignment vertical="center" wrapText="1"/>
    </xf>
    <xf numFmtId="49" fontId="91" fillId="36" borderId="1" xfId="0" applyNumberFormat="1" applyFont="1" applyFill="1" applyBorder="1" applyAlignment="1">
      <alignment horizontal="center" vertical="center" wrapText="1"/>
    </xf>
    <xf numFmtId="43" fontId="93" fillId="36" borderId="1" xfId="0" applyNumberFormat="1" applyFont="1" applyFill="1" applyBorder="1" applyAlignment="1">
      <alignment vertical="center" wrapText="1"/>
    </xf>
    <xf numFmtId="43" fontId="91" fillId="36" borderId="1" xfId="0" applyNumberFormat="1" applyFont="1" applyFill="1" applyBorder="1" applyAlignment="1">
      <alignment vertical="center" wrapText="1"/>
    </xf>
    <xf numFmtId="165" fontId="91" fillId="36" borderId="1" xfId="0" applyNumberFormat="1" applyFont="1" applyFill="1" applyBorder="1" applyAlignment="1">
      <alignment horizontal="center" vertical="center" wrapText="1"/>
    </xf>
    <xf numFmtId="170" fontId="91" fillId="0" borderId="0" xfId="0" applyNumberFormat="1" applyFont="1" applyFill="1" applyAlignment="1">
      <alignment vertical="center" wrapText="1"/>
    </xf>
    <xf numFmtId="170" fontId="92" fillId="0" borderId="0" xfId="0" applyNumberFormat="1" applyFont="1" applyFill="1" applyAlignment="1">
      <alignment vertical="center" wrapText="1"/>
    </xf>
    <xf numFmtId="49" fontId="93" fillId="36" borderId="1" xfId="0" applyNumberFormat="1" applyFont="1" applyFill="1" applyBorder="1" applyAlignment="1">
      <alignment horizontal="center" vertical="center" wrapText="1"/>
    </xf>
    <xf numFmtId="2" fontId="93" fillId="36" borderId="1" xfId="0" applyNumberFormat="1" applyFont="1" applyFill="1" applyBorder="1" applyAlignment="1">
      <alignment horizontal="left" vertical="center" wrapText="1"/>
    </xf>
    <xf numFmtId="166" fontId="93" fillId="36" borderId="0" xfId="0" applyNumberFormat="1" applyFont="1" applyFill="1" applyAlignment="1">
      <alignment vertical="center" wrapText="1"/>
    </xf>
    <xf numFmtId="0" fontId="93" fillId="36" borderId="0" xfId="0" applyFont="1" applyFill="1" applyAlignment="1">
      <alignment vertical="center" wrapText="1"/>
    </xf>
    <xf numFmtId="0" fontId="93" fillId="36" borderId="0" xfId="0" applyFont="1" applyFill="1" applyBorder="1" applyAlignment="1">
      <alignment vertical="center" wrapText="1"/>
    </xf>
    <xf numFmtId="0" fontId="94" fillId="0" borderId="1" xfId="0" applyNumberFormat="1" applyFont="1" applyFill="1" applyBorder="1" applyAlignment="1">
      <alignment horizontal="left" vertical="justify" wrapText="1"/>
    </xf>
    <xf numFmtId="43" fontId="94" fillId="0" borderId="1" xfId="0" applyNumberFormat="1" applyFont="1" applyFill="1" applyBorder="1" applyAlignment="1">
      <alignment vertical="center" wrapText="1"/>
    </xf>
    <xf numFmtId="0" fontId="94" fillId="0" borderId="0" xfId="0" applyFont="1" applyFill="1" applyBorder="1" applyAlignment="1">
      <alignment vertical="center" wrapText="1"/>
    </xf>
    <xf numFmtId="0" fontId="91" fillId="36" borderId="1" xfId="12" applyNumberFormat="1" applyFont="1" applyFill="1" applyBorder="1" applyAlignment="1">
      <alignment vertical="justify" wrapText="1"/>
    </xf>
    <xf numFmtId="0" fontId="91" fillId="36" borderId="1" xfId="0" applyNumberFormat="1" applyFont="1" applyFill="1" applyBorder="1" applyAlignment="1">
      <alignment horizontal="left" vertical="justify" wrapText="1"/>
    </xf>
    <xf numFmtId="0" fontId="91" fillId="36" borderId="1" xfId="0" applyNumberFormat="1" applyFont="1" applyFill="1" applyBorder="1" applyAlignment="1">
      <alignment horizontal="left" vertical="center" wrapText="1"/>
    </xf>
    <xf numFmtId="49" fontId="91" fillId="3" borderId="1" xfId="0" applyNumberFormat="1" applyFont="1" applyFill="1" applyBorder="1" applyAlignment="1">
      <alignment horizontal="center" vertical="center" wrapText="1"/>
    </xf>
    <xf numFmtId="166" fontId="91" fillId="36" borderId="0" xfId="0" applyNumberFormat="1" applyFont="1" applyFill="1" applyAlignment="1">
      <alignment vertical="center" wrapText="1"/>
    </xf>
    <xf numFmtId="0" fontId="92" fillId="36" borderId="0" xfId="0" applyFont="1" applyFill="1" applyAlignment="1">
      <alignment vertical="center" wrapText="1"/>
    </xf>
    <xf numFmtId="166" fontId="92" fillId="3" borderId="0" xfId="0" applyNumberFormat="1" applyFont="1" applyFill="1" applyAlignment="1">
      <alignment vertical="center" wrapText="1"/>
    </xf>
    <xf numFmtId="43" fontId="91" fillId="36" borderId="1" xfId="0" applyNumberFormat="1" applyFont="1" applyFill="1" applyBorder="1" applyAlignment="1"/>
    <xf numFmtId="0" fontId="91" fillId="36" borderId="0" xfId="0" applyFont="1" applyFill="1" applyAlignment="1">
      <alignment vertical="center" wrapText="1"/>
    </xf>
    <xf numFmtId="43" fontId="92" fillId="36" borderId="1" xfId="0" applyNumberFormat="1" applyFont="1" applyFill="1" applyBorder="1" applyAlignment="1">
      <alignment vertical="center" wrapText="1"/>
    </xf>
    <xf numFmtId="0" fontId="92" fillId="36" borderId="0" xfId="0" applyFont="1" applyFill="1" applyBorder="1" applyAlignment="1">
      <alignment vertical="center" wrapText="1"/>
    </xf>
    <xf numFmtId="0" fontId="91" fillId="0" borderId="1" xfId="0" applyNumberFormat="1" applyFont="1" applyFill="1" applyBorder="1" applyAlignment="1">
      <alignment horizontal="left" vertical="center" wrapText="1"/>
    </xf>
    <xf numFmtId="43" fontId="91" fillId="3" borderId="1" xfId="0" applyNumberFormat="1" applyFont="1" applyFill="1" applyBorder="1" applyAlignment="1"/>
    <xf numFmtId="0" fontId="93" fillId="36" borderId="1" xfId="0" applyFont="1" applyFill="1" applyBorder="1" applyAlignment="1">
      <alignment horizontal="center" vertical="center" wrapText="1"/>
    </xf>
    <xf numFmtId="2" fontId="93" fillId="36" borderId="1" xfId="0" applyNumberFormat="1" applyFont="1" applyFill="1" applyBorder="1" applyAlignment="1">
      <alignment horizontal="left" vertical="justify" wrapText="1"/>
    </xf>
    <xf numFmtId="0" fontId="94" fillId="0" borderId="1" xfId="0" applyFont="1" applyFill="1" applyBorder="1" applyAlignment="1">
      <alignment horizontal="center" vertical="center" wrapText="1"/>
    </xf>
    <xf numFmtId="43" fontId="93" fillId="0" borderId="1" xfId="0" applyNumberFormat="1" applyFont="1" applyFill="1" applyBorder="1" applyAlignment="1">
      <alignment vertical="center" wrapText="1"/>
    </xf>
    <xf numFmtId="0" fontId="91" fillId="36" borderId="1" xfId="0" applyFont="1" applyFill="1" applyBorder="1" applyAlignment="1">
      <alignment horizontal="center" vertical="center" wrapText="1"/>
    </xf>
    <xf numFmtId="0" fontId="91" fillId="36" borderId="0" xfId="0" applyFont="1" applyFill="1" applyBorder="1" applyAlignment="1">
      <alignment vertical="center" wrapText="1"/>
    </xf>
    <xf numFmtId="49" fontId="92" fillId="3" borderId="1" xfId="0" applyNumberFormat="1" applyFont="1" applyFill="1" applyBorder="1" applyAlignment="1">
      <alignment horizontal="center" vertical="center" wrapText="1"/>
    </xf>
    <xf numFmtId="49" fontId="93" fillId="3" borderId="1" xfId="0" applyNumberFormat="1" applyFont="1" applyFill="1" applyBorder="1" applyAlignment="1">
      <alignment horizontal="center" vertical="center" wrapText="1"/>
    </xf>
    <xf numFmtId="43" fontId="93" fillId="3" borderId="1" xfId="0" applyNumberFormat="1" applyFont="1" applyFill="1" applyBorder="1" applyAlignment="1">
      <alignment vertical="center" wrapText="1"/>
    </xf>
    <xf numFmtId="165" fontId="94" fillId="3" borderId="1" xfId="0" applyNumberFormat="1" applyFont="1" applyFill="1" applyBorder="1" applyAlignment="1">
      <alignment horizontal="center" vertical="center" wrapText="1"/>
    </xf>
    <xf numFmtId="166" fontId="93" fillId="3" borderId="0" xfId="0" applyNumberFormat="1" applyFont="1" applyFill="1" applyAlignment="1">
      <alignment vertical="center" wrapText="1"/>
    </xf>
    <xf numFmtId="0" fontId="94" fillId="3" borderId="0" xfId="0" applyFont="1" applyFill="1" applyAlignment="1">
      <alignment vertical="center" wrapText="1"/>
    </xf>
    <xf numFmtId="166" fontId="92" fillId="36" borderId="0" xfId="0" applyNumberFormat="1" applyFont="1" applyFill="1" applyAlignment="1">
      <alignment vertical="center" wrapText="1"/>
    </xf>
    <xf numFmtId="0" fontId="92" fillId="0" borderId="0" xfId="0" applyFont="1" applyFill="1" applyAlignment="1">
      <alignment horizontal="center" vertical="center" wrapText="1"/>
    </xf>
    <xf numFmtId="0" fontId="92" fillId="0" borderId="0" xfId="0" applyNumberFormat="1" applyFont="1" applyFill="1" applyAlignment="1">
      <alignment vertical="justify" wrapText="1"/>
    </xf>
    <xf numFmtId="165" fontId="92" fillId="0" borderId="0" xfId="0" applyNumberFormat="1" applyFont="1" applyFill="1" applyAlignment="1">
      <alignment vertical="center" wrapText="1"/>
    </xf>
    <xf numFmtId="166" fontId="92" fillId="3" borderId="0" xfId="0" applyNumberFormat="1" applyFont="1" applyFill="1" applyAlignment="1">
      <alignment horizontal="center" vertical="center" wrapText="1"/>
    </xf>
    <xf numFmtId="166" fontId="91" fillId="3" borderId="0" xfId="0" applyNumberFormat="1" applyFont="1" applyFill="1" applyAlignment="1">
      <alignment horizontal="center" vertical="center" wrapText="1"/>
    </xf>
    <xf numFmtId="43" fontId="92" fillId="0" borderId="1" xfId="0" applyNumberFormat="1" applyFont="1" applyFill="1" applyBorder="1" applyAlignment="1"/>
    <xf numFmtId="0" fontId="36" fillId="0" borderId="0" xfId="103" applyFont="1" applyAlignment="1">
      <alignment vertical="center"/>
    </xf>
    <xf numFmtId="0" fontId="37" fillId="0" borderId="0" xfId="103" applyFont="1" applyFill="1" applyAlignment="1">
      <alignment horizontal="center" vertical="center" wrapText="1"/>
    </xf>
    <xf numFmtId="0" fontId="36" fillId="0" borderId="0" xfId="103" applyFont="1" applyFill="1" applyAlignment="1">
      <alignment vertical="center" wrapText="1"/>
    </xf>
    <xf numFmtId="0" fontId="36" fillId="0" borderId="0" xfId="103" applyFont="1" applyBorder="1" applyAlignment="1">
      <alignment vertical="center"/>
    </xf>
    <xf numFmtId="0" fontId="64" fillId="0" borderId="0" xfId="103" applyFont="1" applyAlignment="1">
      <alignment vertical="center"/>
    </xf>
    <xf numFmtId="0" fontId="98" fillId="0" borderId="0" xfId="0" applyFont="1" applyAlignment="1">
      <alignment wrapText="1"/>
    </xf>
    <xf numFmtId="0" fontId="98" fillId="0" borderId="0" xfId="0" applyFont="1" applyAlignment="1">
      <alignment vertical="center" wrapText="1"/>
    </xf>
    <xf numFmtId="0" fontId="98" fillId="5" borderId="1" xfId="0" applyFont="1" applyFill="1" applyBorder="1" applyAlignment="1">
      <alignment wrapText="1"/>
    </xf>
    <xf numFmtId="0" fontId="98" fillId="0" borderId="1" xfId="0" applyFont="1" applyBorder="1" applyAlignment="1">
      <alignment wrapText="1"/>
    </xf>
    <xf numFmtId="0" fontId="98" fillId="5" borderId="1" xfId="0" applyFont="1" applyFill="1" applyBorder="1" applyAlignment="1">
      <alignment vertical="center" wrapText="1"/>
    </xf>
    <xf numFmtId="0" fontId="38" fillId="0" borderId="0" xfId="103" applyFont="1" applyAlignment="1">
      <alignment vertical="center"/>
    </xf>
    <xf numFmtId="43" fontId="37" fillId="3" borderId="1" xfId="10" applyNumberFormat="1" applyFont="1" applyFill="1" applyBorder="1" applyAlignment="1">
      <alignment horizontal="right" vertical="center" wrapText="1"/>
    </xf>
    <xf numFmtId="49" fontId="37" fillId="3" borderId="1" xfId="10" applyNumberFormat="1" applyFont="1" applyFill="1" applyBorder="1" applyAlignment="1">
      <alignment horizontal="right" vertical="center" wrapText="1"/>
    </xf>
    <xf numFmtId="0" fontId="92" fillId="2" borderId="1" xfId="0" applyFont="1" applyFill="1" applyBorder="1" applyAlignment="1">
      <alignment vertical="center" wrapText="1"/>
    </xf>
    <xf numFmtId="0" fontId="92" fillId="0" borderId="1" xfId="0" applyFont="1" applyFill="1" applyBorder="1" applyAlignment="1">
      <alignment vertical="center" wrapText="1"/>
    </xf>
    <xf numFmtId="0" fontId="91" fillId="0" borderId="0" xfId="12" applyFont="1" applyFill="1" applyBorder="1" applyAlignment="1">
      <alignment horizontal="center" vertical="center"/>
    </xf>
    <xf numFmtId="165" fontId="91" fillId="6" borderId="1" xfId="0" applyNumberFormat="1" applyFont="1" applyFill="1" applyBorder="1" applyAlignment="1">
      <alignment horizontal="center" vertical="center"/>
    </xf>
    <xf numFmtId="165" fontId="93" fillId="36" borderId="1" xfId="0" applyNumberFormat="1" applyFont="1" applyFill="1" applyBorder="1" applyAlignment="1">
      <alignment horizontal="center" vertical="center" wrapText="1"/>
    </xf>
    <xf numFmtId="43" fontId="36" fillId="0" borderId="0" xfId="103" applyNumberFormat="1" applyFont="1"/>
    <xf numFmtId="4" fontId="38" fillId="29" borderId="1" xfId="47" applyFont="1" applyBorder="1">
      <alignment horizontal="right"/>
    </xf>
    <xf numFmtId="4" fontId="38" fillId="29" borderId="1" xfId="47" applyFont="1" applyBorder="1" applyAlignment="1">
      <alignment horizontal="center" vertical="center" wrapText="1"/>
    </xf>
    <xf numFmtId="0" fontId="36" fillId="0" borderId="0" xfId="103" applyFont="1" applyFill="1" applyAlignment="1">
      <alignment wrapText="1"/>
    </xf>
    <xf numFmtId="4" fontId="38" fillId="29" borderId="1" xfId="47" applyFont="1" applyBorder="1" applyAlignment="1">
      <alignment horizontal="right" vertical="center"/>
    </xf>
    <xf numFmtId="0" fontId="38" fillId="0" borderId="0" xfId="103" applyFont="1" applyBorder="1" applyAlignment="1">
      <alignment vertical="center"/>
    </xf>
    <xf numFmtId="0" fontId="38" fillId="0" borderId="0" xfId="103" applyFont="1" applyAlignment="1">
      <alignment horizontal="left" vertical="center"/>
    </xf>
    <xf numFmtId="1" fontId="38" fillId="0" borderId="0" xfId="103" applyNumberFormat="1" applyFont="1" applyAlignment="1">
      <alignment vertical="center"/>
    </xf>
    <xf numFmtId="0" fontId="38" fillId="0" borderId="0" xfId="103" applyFont="1" applyAlignment="1">
      <alignment vertical="center" wrapText="1"/>
    </xf>
    <xf numFmtId="3" fontId="38" fillId="0" borderId="0" xfId="103" applyNumberFormat="1" applyFont="1" applyAlignment="1">
      <alignment vertical="center" wrapText="1"/>
    </xf>
    <xf numFmtId="3" fontId="38" fillId="0" borderId="0" xfId="103" applyNumberFormat="1" applyFont="1" applyAlignment="1">
      <alignment vertical="center"/>
    </xf>
    <xf numFmtId="0" fontId="38" fillId="0" borderId="0" xfId="103" applyFont="1" applyAlignment="1">
      <alignment horizontal="center" vertical="center"/>
    </xf>
    <xf numFmtId="2" fontId="38" fillId="0" borderId="0" xfId="104" applyNumberFormat="1" applyFont="1" applyBorder="1" applyAlignment="1">
      <alignment vertical="center"/>
    </xf>
    <xf numFmtId="0" fontId="38" fillId="0" borderId="0" xfId="104" applyFont="1" applyAlignment="1">
      <alignment vertical="center" wrapText="1"/>
    </xf>
    <xf numFmtId="0" fontId="38" fillId="0" borderId="0" xfId="104" applyFont="1" applyBorder="1" applyAlignment="1">
      <alignment vertical="center" wrapText="1"/>
    </xf>
    <xf numFmtId="0" fontId="38" fillId="0" borderId="0" xfId="110" applyFont="1" applyBorder="1" applyAlignment="1">
      <alignment horizontal="center" vertical="center"/>
    </xf>
    <xf numFmtId="0" fontId="38" fillId="0" borderId="0" xfId="110" applyFont="1" applyBorder="1" applyAlignment="1">
      <alignment vertical="center"/>
    </xf>
    <xf numFmtId="0" fontId="38" fillId="0" borderId="0" xfId="110" applyFont="1" applyBorder="1" applyAlignment="1">
      <alignment horizontal="left" vertical="center"/>
    </xf>
    <xf numFmtId="0" fontId="38" fillId="0" borderId="0" xfId="104" applyFont="1" applyAlignment="1">
      <alignment horizontal="left" vertical="center"/>
    </xf>
    <xf numFmtId="0" fontId="38" fillId="0" borderId="0" xfId="104" applyFont="1" applyAlignment="1">
      <alignment vertical="center"/>
    </xf>
    <xf numFmtId="1" fontId="38" fillId="0" borderId="0" xfId="104" applyNumberFormat="1" applyFont="1" applyAlignment="1">
      <alignment vertical="center"/>
    </xf>
    <xf numFmtId="0" fontId="62" fillId="0" borderId="0" xfId="103" applyFont="1" applyBorder="1" applyAlignment="1">
      <alignment vertical="center"/>
    </xf>
    <xf numFmtId="0" fontId="62" fillId="0" borderId="1" xfId="103" applyFont="1" applyBorder="1" applyAlignment="1">
      <alignment vertical="center"/>
    </xf>
    <xf numFmtId="0" fontId="62" fillId="0" borderId="1" xfId="103" applyFont="1" applyBorder="1" applyAlignment="1">
      <alignment horizontal="center" vertical="center"/>
    </xf>
    <xf numFmtId="0" fontId="62" fillId="0" borderId="0" xfId="103" applyFont="1" applyAlignment="1">
      <alignment vertical="center" wrapText="1"/>
    </xf>
    <xf numFmtId="0" fontId="62" fillId="0" borderId="0" xfId="103" applyFont="1" applyAlignment="1">
      <alignment vertical="center"/>
    </xf>
    <xf numFmtId="3" fontId="62" fillId="0" borderId="1" xfId="103" applyNumberFormat="1" applyFont="1" applyBorder="1" applyAlignment="1">
      <alignment horizontal="center" vertical="center" wrapText="1"/>
    </xf>
    <xf numFmtId="0" fontId="38" fillId="42" borderId="1" xfId="103" applyFont="1" applyFill="1" applyBorder="1" applyAlignment="1">
      <alignment vertical="center" wrapText="1"/>
    </xf>
    <xf numFmtId="3" fontId="38" fillId="42" borderId="1" xfId="103" applyNumberFormat="1" applyFont="1" applyFill="1" applyBorder="1" applyAlignment="1">
      <alignment vertical="center" wrapText="1"/>
    </xf>
    <xf numFmtId="0" fontId="38" fillId="42" borderId="1" xfId="103" applyFont="1" applyFill="1" applyBorder="1" applyAlignment="1">
      <alignment vertical="center"/>
    </xf>
    <xf numFmtId="3" fontId="38" fillId="42" borderId="1" xfId="103" applyNumberFormat="1" applyFont="1" applyFill="1" applyBorder="1" applyAlignment="1">
      <alignment vertical="center"/>
    </xf>
    <xf numFmtId="0" fontId="38" fillId="42" borderId="1" xfId="103" applyFont="1" applyFill="1" applyBorder="1" applyAlignment="1">
      <alignment horizontal="center" vertical="center"/>
    </xf>
    <xf numFmtId="0" fontId="38" fillId="5" borderId="0" xfId="103" applyFont="1" applyFill="1" applyBorder="1" applyAlignment="1">
      <alignment vertical="center"/>
    </xf>
    <xf numFmtId="0" fontId="38" fillId="5" borderId="1" xfId="103" applyFont="1" applyFill="1" applyBorder="1" applyAlignment="1">
      <alignment vertical="center"/>
    </xf>
    <xf numFmtId="0" fontId="38" fillId="5" borderId="0" xfId="103" applyFont="1" applyFill="1" applyAlignment="1">
      <alignment vertical="center" wrapText="1"/>
    </xf>
    <xf numFmtId="0" fontId="38" fillId="5" borderId="0" xfId="103" applyFont="1" applyFill="1" applyAlignment="1">
      <alignment vertical="center"/>
    </xf>
    <xf numFmtId="0" fontId="38" fillId="0" borderId="0" xfId="103" applyFont="1" applyFill="1" applyBorder="1" applyAlignment="1">
      <alignment vertical="center"/>
    </xf>
    <xf numFmtId="0" fontId="38" fillId="0" borderId="1" xfId="103" applyFont="1" applyFill="1" applyBorder="1" applyAlignment="1">
      <alignment vertical="center" wrapText="1"/>
    </xf>
    <xf numFmtId="3" fontId="38" fillId="0" borderId="1" xfId="103" applyNumberFormat="1" applyFont="1" applyFill="1" applyBorder="1" applyAlignment="1">
      <alignment vertical="center" wrapText="1"/>
    </xf>
    <xf numFmtId="4" fontId="38" fillId="0" borderId="1" xfId="103" applyNumberFormat="1" applyFont="1" applyFill="1" applyBorder="1" applyAlignment="1">
      <alignment vertical="center" wrapText="1"/>
    </xf>
    <xf numFmtId="3" fontId="38" fillId="0" borderId="1" xfId="103" applyNumberFormat="1" applyFont="1" applyFill="1" applyBorder="1" applyAlignment="1">
      <alignment horizontal="right" vertical="center" wrapText="1"/>
    </xf>
    <xf numFmtId="3" fontId="38" fillId="0" borderId="1" xfId="103" applyNumberFormat="1" applyFont="1" applyFill="1" applyBorder="1" applyAlignment="1">
      <alignment horizontal="center" vertical="center" wrapText="1"/>
    </xf>
    <xf numFmtId="0" fontId="38" fillId="0" borderId="0" xfId="103" applyFont="1" applyFill="1" applyAlignment="1">
      <alignment vertical="center" wrapText="1"/>
    </xf>
    <xf numFmtId="0" fontId="38" fillId="0" borderId="0" xfId="103" applyFont="1" applyFill="1" applyAlignment="1">
      <alignment vertical="center"/>
    </xf>
    <xf numFmtId="0" fontId="38" fillId="0" borderId="1" xfId="104" applyFont="1" applyFill="1" applyBorder="1" applyAlignment="1">
      <alignment horizontal="center" vertical="center" wrapText="1"/>
    </xf>
    <xf numFmtId="0" fontId="38" fillId="0" borderId="1" xfId="104" applyFont="1" applyFill="1" applyBorder="1" applyAlignment="1">
      <alignment horizontal="left" vertical="center" wrapText="1"/>
    </xf>
    <xf numFmtId="0" fontId="38" fillId="0" borderId="1" xfId="107" applyFont="1" applyFill="1" applyBorder="1" applyAlignment="1">
      <alignment horizontal="left" vertical="center" wrapText="1"/>
    </xf>
    <xf numFmtId="3" fontId="38" fillId="0" borderId="1" xfId="104" applyNumberFormat="1" applyFont="1" applyFill="1" applyBorder="1" applyAlignment="1">
      <alignment horizontal="center" vertical="center" wrapText="1"/>
    </xf>
    <xf numFmtId="1" fontId="38" fillId="0" borderId="1" xfId="104" applyNumberFormat="1" applyFont="1" applyFill="1" applyBorder="1" applyAlignment="1">
      <alignment horizontal="center" vertical="center" wrapText="1"/>
    </xf>
    <xf numFmtId="4" fontId="38" fillId="0" borderId="1" xfId="103" applyNumberFormat="1" applyFont="1" applyFill="1" applyBorder="1" applyAlignment="1">
      <alignment horizontal="right" vertical="center" wrapText="1"/>
    </xf>
    <xf numFmtId="9" fontId="38" fillId="0" borderId="1" xfId="105" applyFont="1" applyFill="1" applyBorder="1" applyAlignment="1">
      <alignment horizontal="right" vertical="center" wrapText="1"/>
    </xf>
    <xf numFmtId="3" fontId="38" fillId="0" borderId="1" xfId="105" applyNumberFormat="1" applyFont="1" applyFill="1" applyBorder="1" applyAlignment="1">
      <alignment horizontal="right" vertical="center" wrapText="1"/>
    </xf>
    <xf numFmtId="0" fontId="38" fillId="0" borderId="1" xfId="103" applyFont="1" applyFill="1" applyBorder="1" applyAlignment="1">
      <alignment vertical="center"/>
    </xf>
    <xf numFmtId="3" fontId="38" fillId="0" borderId="1" xfId="105" applyNumberFormat="1" applyFont="1" applyFill="1" applyBorder="1" applyAlignment="1">
      <alignment horizontal="center" vertical="center" wrapText="1"/>
    </xf>
    <xf numFmtId="4" fontId="38" fillId="0" borderId="1" xfId="103" applyNumberFormat="1" applyFont="1" applyFill="1" applyBorder="1" applyAlignment="1">
      <alignment horizontal="right" vertical="center"/>
    </xf>
    <xf numFmtId="3" fontId="64" fillId="0" borderId="1" xfId="103" applyNumberFormat="1" applyFont="1" applyFill="1" applyBorder="1" applyAlignment="1">
      <alignment horizontal="right" vertical="center" wrapText="1"/>
    </xf>
    <xf numFmtId="49" fontId="38" fillId="0" borderId="0" xfId="103" applyNumberFormat="1" applyFont="1" applyFill="1" applyAlignment="1">
      <alignment vertical="center" wrapText="1"/>
    </xf>
    <xf numFmtId="4" fontId="38" fillId="42" borderId="1" xfId="103" applyNumberFormat="1" applyFont="1" applyFill="1" applyBorder="1" applyAlignment="1">
      <alignment vertical="center" wrapText="1"/>
    </xf>
    <xf numFmtId="3" fontId="38" fillId="42" borderId="1" xfId="103" applyNumberFormat="1" applyFont="1" applyFill="1" applyBorder="1" applyAlignment="1">
      <alignment horizontal="right" vertical="center"/>
    </xf>
    <xf numFmtId="0" fontId="38" fillId="42" borderId="1" xfId="103" applyFont="1" applyFill="1" applyBorder="1" applyAlignment="1">
      <alignment horizontal="right" vertical="center"/>
    </xf>
    <xf numFmtId="9" fontId="38" fillId="42" borderId="1" xfId="105" applyFont="1" applyFill="1" applyBorder="1" applyAlignment="1">
      <alignment horizontal="right" vertical="center"/>
    </xf>
    <xf numFmtId="9" fontId="38" fillId="42" borderId="1" xfId="105" applyFont="1" applyFill="1" applyBorder="1" applyAlignment="1">
      <alignment vertical="center"/>
    </xf>
    <xf numFmtId="9" fontId="38" fillId="42" borderId="1" xfId="105" applyFont="1" applyFill="1" applyBorder="1" applyAlignment="1">
      <alignment horizontal="center" vertical="center"/>
    </xf>
    <xf numFmtId="3" fontId="38" fillId="42" borderId="1" xfId="105" applyNumberFormat="1" applyFont="1" applyFill="1" applyBorder="1" applyAlignment="1">
      <alignment horizontal="right" vertical="center"/>
    </xf>
    <xf numFmtId="3" fontId="38" fillId="42" borderId="1" xfId="103" applyNumberFormat="1" applyFont="1" applyFill="1" applyBorder="1" applyAlignment="1">
      <alignment horizontal="right" vertical="center" wrapText="1"/>
    </xf>
    <xf numFmtId="3" fontId="38" fillId="42" borderId="1" xfId="105" applyNumberFormat="1" applyFont="1" applyFill="1" applyBorder="1" applyAlignment="1">
      <alignment vertical="center"/>
    </xf>
    <xf numFmtId="3" fontId="38" fillId="42" borderId="1" xfId="103" applyNumberFormat="1" applyFont="1" applyFill="1" applyBorder="1" applyAlignment="1">
      <alignment horizontal="center" vertical="center" wrapText="1"/>
    </xf>
    <xf numFmtId="1" fontId="38" fillId="0" borderId="1" xfId="104" applyNumberFormat="1" applyFont="1" applyFill="1" applyBorder="1" applyAlignment="1">
      <alignment horizontal="center" vertical="center"/>
    </xf>
    <xf numFmtId="4" fontId="38" fillId="0" borderId="1" xfId="103" applyNumberFormat="1" applyFont="1" applyFill="1" applyBorder="1" applyAlignment="1">
      <alignment horizontal="center" vertical="center"/>
    </xf>
    <xf numFmtId="0" fontId="101" fillId="54" borderId="27" xfId="49" applyFont="1" applyFill="1" applyAlignment="1">
      <alignment horizontal="center" vertical="center" textRotation="90" wrapText="1"/>
    </xf>
    <xf numFmtId="0" fontId="101" fillId="55" borderId="27" xfId="49" applyFont="1" applyFill="1" applyAlignment="1">
      <alignment horizontal="center" vertical="center" textRotation="90" wrapText="1"/>
    </xf>
    <xf numFmtId="0" fontId="101" fillId="45" borderId="27" xfId="49" applyFont="1" applyFill="1" applyAlignment="1">
      <alignment horizontal="center" vertical="center" textRotation="90" wrapText="1"/>
    </xf>
    <xf numFmtId="4" fontId="38" fillId="29" borderId="1" xfId="47" applyFont="1" applyBorder="1" applyAlignment="1">
      <alignment horizontal="center" vertical="center"/>
    </xf>
    <xf numFmtId="0" fontId="6" fillId="34" borderId="92" xfId="0" applyFont="1" applyFill="1" applyBorder="1" applyAlignment="1">
      <alignment horizontal="right" wrapText="1"/>
    </xf>
    <xf numFmtId="0" fontId="58" fillId="0" borderId="0" xfId="120" applyFont="1" applyFill="1" applyAlignment="1">
      <alignment horizontal="left" wrapText="1"/>
    </xf>
    <xf numFmtId="0" fontId="58" fillId="0" borderId="0" xfId="120" applyFont="1" applyFill="1"/>
    <xf numFmtId="0" fontId="58" fillId="0" borderId="0" xfId="120" applyFont="1" applyAlignment="1">
      <alignment horizontal="left" wrapText="1"/>
    </xf>
    <xf numFmtId="0" fontId="58" fillId="0" borderId="95" xfId="120" applyFont="1" applyBorder="1" applyAlignment="1">
      <alignment horizontal="left" wrapText="1"/>
    </xf>
    <xf numFmtId="0" fontId="58" fillId="0" borderId="0" xfId="120" applyFont="1" applyBorder="1" applyAlignment="1">
      <alignment horizontal="left" wrapText="1"/>
    </xf>
    <xf numFmtId="0" fontId="103" fillId="0" borderId="96" xfId="120" applyFont="1" applyBorder="1" applyAlignment="1">
      <alignment horizontal="left" wrapText="1"/>
    </xf>
    <xf numFmtId="185" fontId="58" fillId="0" borderId="0" xfId="120" applyNumberFormat="1" applyFont="1" applyAlignment="1">
      <alignment horizontal="left" wrapText="1"/>
    </xf>
    <xf numFmtId="0" fontId="103" fillId="3" borderId="92" xfId="120" applyFont="1" applyFill="1" applyBorder="1" applyAlignment="1">
      <alignment horizontal="right" wrapText="1"/>
    </xf>
    <xf numFmtId="0" fontId="103" fillId="3" borderId="32" xfId="120" applyFont="1" applyFill="1" applyBorder="1" applyAlignment="1">
      <alignment horizontal="right" wrapText="1"/>
    </xf>
    <xf numFmtId="4" fontId="103" fillId="3" borderId="92" xfId="120" applyNumberFormat="1" applyFont="1" applyFill="1" applyBorder="1" applyAlignment="1">
      <alignment horizontal="right" wrapText="1"/>
    </xf>
    <xf numFmtId="4" fontId="104" fillId="3" borderId="33" xfId="120" applyNumberFormat="1" applyFont="1" applyFill="1" applyBorder="1" applyAlignment="1">
      <alignment horizontal="right" vertical="center" wrapText="1"/>
    </xf>
    <xf numFmtId="0" fontId="58" fillId="58" borderId="93" xfId="120" applyFont="1" applyFill="1" applyBorder="1" applyAlignment="1">
      <alignment horizontal="right" wrapText="1"/>
    </xf>
    <xf numFmtId="0" fontId="103" fillId="58" borderId="2" xfId="120" applyFont="1" applyFill="1" applyBorder="1" applyAlignment="1">
      <alignment horizontal="right" wrapText="1"/>
    </xf>
    <xf numFmtId="4" fontId="58" fillId="58" borderId="93" xfId="120" applyNumberFormat="1" applyFont="1" applyFill="1" applyBorder="1" applyAlignment="1">
      <alignment horizontal="right" wrapText="1"/>
    </xf>
    <xf numFmtId="4" fontId="58" fillId="58" borderId="2" xfId="120" applyNumberFormat="1" applyFont="1" applyFill="1" applyBorder="1" applyAlignment="1">
      <alignment horizontal="right" wrapText="1"/>
    </xf>
    <xf numFmtId="4" fontId="104" fillId="56" borderId="94" xfId="120" applyNumberFormat="1" applyFont="1" applyFill="1" applyBorder="1" applyAlignment="1">
      <alignment horizontal="right" vertical="center" wrapText="1"/>
    </xf>
    <xf numFmtId="186" fontId="58" fillId="58" borderId="11" xfId="120" applyNumberFormat="1" applyFont="1" applyFill="1" applyBorder="1" applyAlignment="1">
      <alignment horizontal="right" wrapText="1"/>
    </xf>
    <xf numFmtId="0" fontId="103" fillId="58" borderId="1" xfId="120" applyFont="1" applyFill="1" applyBorder="1" applyAlignment="1">
      <alignment horizontal="right" wrapText="1"/>
    </xf>
    <xf numFmtId="4" fontId="58" fillId="58" borderId="11" xfId="120" applyNumberFormat="1" applyFont="1" applyFill="1" applyBorder="1" applyAlignment="1">
      <alignment horizontal="right" wrapText="1"/>
    </xf>
    <xf numFmtId="4" fontId="58" fillId="58" borderId="1" xfId="120" applyNumberFormat="1" applyFont="1" applyFill="1" applyBorder="1" applyAlignment="1">
      <alignment horizontal="right" wrapText="1"/>
    </xf>
    <xf numFmtId="4" fontId="104" fillId="56" borderId="14" xfId="120" applyNumberFormat="1" applyFont="1" applyFill="1" applyBorder="1" applyAlignment="1">
      <alignment horizontal="right" vertical="center" wrapText="1"/>
    </xf>
    <xf numFmtId="0" fontId="104" fillId="59" borderId="97" xfId="120" applyFont="1" applyFill="1" applyBorder="1" applyAlignment="1">
      <alignment horizontal="right" wrapText="1"/>
    </xf>
    <xf numFmtId="0" fontId="103" fillId="58" borderId="3" xfId="120" applyFont="1" applyFill="1" applyBorder="1" applyAlignment="1">
      <alignment horizontal="right" wrapText="1"/>
    </xf>
    <xf numFmtId="4" fontId="58" fillId="58" borderId="97" xfId="120" applyNumberFormat="1" applyFont="1" applyFill="1" applyBorder="1" applyAlignment="1">
      <alignment horizontal="right" wrapText="1"/>
    </xf>
    <xf numFmtId="4" fontId="58" fillId="58" borderId="3" xfId="120" applyNumberFormat="1" applyFont="1" applyFill="1" applyBorder="1" applyAlignment="1">
      <alignment horizontal="right" wrapText="1"/>
    </xf>
    <xf numFmtId="4" fontId="104" fillId="56" borderId="98" xfId="120" applyNumberFormat="1" applyFont="1" applyFill="1" applyBorder="1" applyAlignment="1">
      <alignment horizontal="right" vertical="center" wrapText="1"/>
    </xf>
    <xf numFmtId="0" fontId="58" fillId="5" borderId="92" xfId="120" applyFont="1" applyFill="1" applyBorder="1" applyAlignment="1">
      <alignment horizontal="right" wrapText="1"/>
    </xf>
    <xf numFmtId="0" fontId="103" fillId="5" borderId="32" xfId="120" applyFont="1" applyFill="1" applyBorder="1" applyAlignment="1">
      <alignment horizontal="right" wrapText="1"/>
    </xf>
    <xf numFmtId="4" fontId="58" fillId="5" borderId="92" xfId="120" applyNumberFormat="1" applyFont="1" applyFill="1" applyBorder="1" applyAlignment="1">
      <alignment horizontal="right" wrapText="1"/>
    </xf>
    <xf numFmtId="4" fontId="58" fillId="5" borderId="32" xfId="120" applyNumberFormat="1" applyFont="1" applyFill="1" applyBorder="1" applyAlignment="1">
      <alignment horizontal="right" wrapText="1"/>
    </xf>
    <xf numFmtId="4" fontId="104" fillId="5" borderId="33" xfId="120" applyNumberFormat="1" applyFont="1" applyFill="1" applyBorder="1" applyAlignment="1">
      <alignment horizontal="right" vertical="center" wrapText="1"/>
    </xf>
    <xf numFmtId="0" fontId="58" fillId="58" borderId="11" xfId="120" applyFont="1" applyFill="1" applyBorder="1" applyAlignment="1">
      <alignment horizontal="right" wrapText="1"/>
    </xf>
    <xf numFmtId="0" fontId="58" fillId="58" borderId="1" xfId="120" applyFont="1" applyFill="1" applyBorder="1" applyAlignment="1">
      <alignment horizontal="right" wrapText="1"/>
    </xf>
    <xf numFmtId="0" fontId="58" fillId="60" borderId="11" xfId="120" applyFont="1" applyFill="1" applyBorder="1" applyAlignment="1">
      <alignment horizontal="right" wrapText="1"/>
    </xf>
    <xf numFmtId="0" fontId="58" fillId="60" borderId="1" xfId="120" applyFont="1" applyFill="1" applyBorder="1" applyAlignment="1">
      <alignment horizontal="right" wrapText="1"/>
    </xf>
    <xf numFmtId="4" fontId="58" fillId="60" borderId="11" xfId="120" applyNumberFormat="1" applyFont="1" applyFill="1" applyBorder="1" applyAlignment="1" applyProtection="1">
      <alignment horizontal="right" wrapText="1"/>
      <protection locked="0"/>
    </xf>
    <xf numFmtId="4" fontId="58" fillId="60" borderId="1" xfId="120" applyNumberFormat="1" applyFont="1" applyFill="1" applyBorder="1" applyAlignment="1" applyProtection="1">
      <alignment horizontal="right" wrapText="1"/>
      <protection locked="0"/>
    </xf>
    <xf numFmtId="0" fontId="58" fillId="59" borderId="11" xfId="120" applyFont="1" applyFill="1" applyBorder="1" applyAlignment="1">
      <alignment horizontal="right" wrapText="1"/>
    </xf>
    <xf numFmtId="0" fontId="58" fillId="59" borderId="1" xfId="120" applyFont="1" applyFill="1" applyBorder="1" applyAlignment="1">
      <alignment horizontal="right" wrapText="1"/>
    </xf>
    <xf numFmtId="4" fontId="58" fillId="59" borderId="11" xfId="120" applyNumberFormat="1" applyFont="1" applyFill="1" applyBorder="1" applyAlignment="1" applyProtection="1">
      <alignment horizontal="right" wrapText="1"/>
      <protection locked="0"/>
    </xf>
    <xf numFmtId="4" fontId="58" fillId="59" borderId="1" xfId="120" applyNumberFormat="1" applyFont="1" applyFill="1" applyBorder="1" applyAlignment="1" applyProtection="1">
      <alignment horizontal="right" wrapText="1"/>
      <protection locked="0"/>
    </xf>
    <xf numFmtId="0" fontId="103" fillId="60" borderId="1" xfId="120" applyFont="1" applyFill="1" applyBorder="1" applyAlignment="1">
      <alignment horizontal="right" wrapText="1"/>
    </xf>
    <xf numFmtId="0" fontId="58" fillId="60" borderId="97" xfId="120" applyFont="1" applyFill="1" applyBorder="1" applyAlignment="1">
      <alignment horizontal="right" wrapText="1"/>
    </xf>
    <xf numFmtId="0" fontId="58" fillId="60" borderId="3" xfId="120" applyFont="1" applyFill="1" applyBorder="1" applyAlignment="1">
      <alignment horizontal="right" wrapText="1"/>
    </xf>
    <xf numFmtId="4" fontId="58" fillId="60" borderId="97" xfId="120" applyNumberFormat="1" applyFont="1" applyFill="1" applyBorder="1" applyAlignment="1" applyProtection="1">
      <alignment horizontal="right" wrapText="1"/>
      <protection locked="0"/>
    </xf>
    <xf numFmtId="4" fontId="58" fillId="60" borderId="3" xfId="120" applyNumberFormat="1" applyFont="1" applyFill="1" applyBorder="1" applyAlignment="1" applyProtection="1">
      <alignment horizontal="right" wrapText="1"/>
      <protection locked="0"/>
    </xf>
    <xf numFmtId="4" fontId="104" fillId="56" borderId="33" xfId="120" applyNumberFormat="1" applyFont="1" applyFill="1" applyBorder="1" applyAlignment="1">
      <alignment horizontal="right" vertical="center" wrapText="1"/>
    </xf>
    <xf numFmtId="0" fontId="58" fillId="60" borderId="93" xfId="120" applyFont="1" applyFill="1" applyBorder="1" applyAlignment="1">
      <alignment horizontal="right" wrapText="1"/>
    </xf>
    <xf numFmtId="0" fontId="103" fillId="60" borderId="2" xfId="120" applyFont="1" applyFill="1" applyBorder="1" applyAlignment="1">
      <alignment horizontal="right" wrapText="1"/>
    </xf>
    <xf numFmtId="4" fontId="58" fillId="60" borderId="93" xfId="120" applyNumberFormat="1" applyFont="1" applyFill="1" applyBorder="1" applyAlignment="1" applyProtection="1">
      <alignment horizontal="right" wrapText="1"/>
      <protection locked="0"/>
    </xf>
    <xf numFmtId="4" fontId="58" fillId="60" borderId="2" xfId="120" applyNumberFormat="1" applyFont="1" applyFill="1" applyBorder="1" applyAlignment="1" applyProtection="1">
      <alignment horizontal="right" wrapText="1"/>
      <protection locked="0"/>
    </xf>
    <xf numFmtId="0" fontId="58" fillId="59" borderId="97" xfId="120" applyFont="1" applyFill="1" applyBorder="1" applyAlignment="1">
      <alignment horizontal="right" wrapText="1"/>
    </xf>
    <xf numFmtId="0" fontId="58" fillId="59" borderId="3" xfId="120" applyFont="1" applyFill="1" applyBorder="1" applyAlignment="1">
      <alignment horizontal="right" wrapText="1"/>
    </xf>
    <xf numFmtId="4" fontId="58" fillId="59" borderId="97" xfId="120" applyNumberFormat="1" applyFont="1" applyFill="1" applyBorder="1" applyAlignment="1" applyProtection="1">
      <alignment horizontal="right" wrapText="1"/>
      <protection locked="0"/>
    </xf>
    <xf numFmtId="4" fontId="58" fillId="59" borderId="3" xfId="120" applyNumberFormat="1" applyFont="1" applyFill="1" applyBorder="1" applyAlignment="1" applyProtection="1">
      <alignment horizontal="right" wrapText="1"/>
      <protection locked="0"/>
    </xf>
    <xf numFmtId="0" fontId="58" fillId="34" borderId="92" xfId="120" applyFont="1" applyFill="1" applyBorder="1" applyAlignment="1">
      <alignment horizontal="right" wrapText="1"/>
    </xf>
    <xf numFmtId="0" fontId="103" fillId="34" borderId="32" xfId="120" applyFont="1" applyFill="1" applyBorder="1" applyAlignment="1">
      <alignment horizontal="right" wrapText="1"/>
    </xf>
    <xf numFmtId="4" fontId="58" fillId="34" borderId="92" xfId="120" applyNumberFormat="1" applyFont="1" applyFill="1" applyBorder="1" applyAlignment="1">
      <alignment horizontal="right" wrapText="1"/>
    </xf>
    <xf numFmtId="4" fontId="58" fillId="34" borderId="32" xfId="120" applyNumberFormat="1" applyFont="1" applyFill="1" applyBorder="1" applyAlignment="1">
      <alignment horizontal="right" wrapText="1"/>
    </xf>
    <xf numFmtId="4" fontId="104" fillId="34" borderId="33" xfId="120" applyNumberFormat="1" applyFont="1" applyFill="1" applyBorder="1" applyAlignment="1">
      <alignment horizontal="right" vertical="center" wrapText="1"/>
    </xf>
    <xf numFmtId="0" fontId="58" fillId="60" borderId="107" xfId="120" applyFont="1" applyFill="1" applyBorder="1" applyAlignment="1">
      <alignment horizontal="right" wrapText="1"/>
    </xf>
    <xf numFmtId="0" fontId="58" fillId="60" borderId="108" xfId="120" applyFont="1" applyFill="1" applyBorder="1" applyAlignment="1">
      <alignment horizontal="right" wrapText="1"/>
    </xf>
    <xf numFmtId="4" fontId="58" fillId="60" borderId="107" xfId="120" applyNumberFormat="1" applyFont="1" applyFill="1" applyBorder="1" applyAlignment="1" applyProtection="1">
      <alignment horizontal="right" wrapText="1"/>
      <protection locked="0"/>
    </xf>
    <xf numFmtId="4" fontId="58" fillId="60" borderId="108" xfId="120" applyNumberFormat="1" applyFont="1" applyFill="1" applyBorder="1" applyAlignment="1" applyProtection="1">
      <alignment horizontal="right" wrapText="1"/>
      <protection locked="0"/>
    </xf>
    <xf numFmtId="4" fontId="104" fillId="56" borderId="130" xfId="120" applyNumberFormat="1" applyFont="1" applyFill="1" applyBorder="1" applyAlignment="1">
      <alignment horizontal="right" vertical="center" wrapText="1"/>
    </xf>
    <xf numFmtId="0" fontId="103" fillId="34" borderId="92" xfId="120" applyFont="1" applyFill="1" applyBorder="1" applyAlignment="1">
      <alignment horizontal="right" wrapText="1"/>
    </xf>
    <xf numFmtId="4" fontId="103" fillId="34" borderId="92" xfId="120" applyNumberFormat="1" applyFont="1" applyFill="1" applyBorder="1" applyAlignment="1">
      <alignment horizontal="right" wrapText="1"/>
    </xf>
    <xf numFmtId="4" fontId="103" fillId="34" borderId="32" xfId="120" applyNumberFormat="1" applyFont="1" applyFill="1" applyBorder="1" applyAlignment="1">
      <alignment horizontal="right" wrapText="1"/>
    </xf>
    <xf numFmtId="0" fontId="104" fillId="34" borderId="92" xfId="120" applyFont="1" applyFill="1" applyBorder="1" applyAlignment="1">
      <alignment horizontal="right" wrapText="1"/>
    </xf>
    <xf numFmtId="49" fontId="58" fillId="60" borderId="11" xfId="120" applyNumberFormat="1" applyFont="1" applyFill="1" applyBorder="1" applyAlignment="1">
      <alignment horizontal="right" wrapText="1"/>
    </xf>
    <xf numFmtId="1" fontId="58" fillId="58" borderId="11" xfId="120" applyNumberFormat="1" applyFont="1" applyFill="1" applyBorder="1" applyAlignment="1">
      <alignment horizontal="right" wrapText="1"/>
    </xf>
    <xf numFmtId="0" fontId="103" fillId="59" borderId="1" xfId="120" applyFont="1" applyFill="1" applyBorder="1" applyAlignment="1">
      <alignment horizontal="right" wrapText="1"/>
    </xf>
    <xf numFmtId="4" fontId="58" fillId="59" borderId="11" xfId="120" applyNumberFormat="1" applyFont="1" applyFill="1" applyBorder="1" applyAlignment="1">
      <alignment horizontal="right" wrapText="1"/>
    </xf>
    <xf numFmtId="4" fontId="58" fillId="59" borderId="1" xfId="120" applyNumberFormat="1" applyFont="1" applyFill="1" applyBorder="1" applyAlignment="1">
      <alignment horizontal="right" wrapText="1"/>
    </xf>
    <xf numFmtId="1" fontId="58" fillId="59" borderId="11" xfId="120" applyNumberFormat="1" applyFont="1" applyFill="1" applyBorder="1" applyAlignment="1">
      <alignment horizontal="right" wrapText="1"/>
    </xf>
    <xf numFmtId="186" fontId="58" fillId="34" borderId="92" xfId="120" applyNumberFormat="1" applyFont="1" applyFill="1" applyBorder="1" applyAlignment="1">
      <alignment horizontal="right" wrapText="1"/>
    </xf>
    <xf numFmtId="0" fontId="58" fillId="60" borderId="15" xfId="120" applyFont="1" applyFill="1" applyBorder="1" applyAlignment="1">
      <alignment horizontal="right" wrapText="1"/>
    </xf>
    <xf numFmtId="0" fontId="58" fillId="60" borderId="30" xfId="120" applyFont="1" applyFill="1" applyBorder="1" applyAlignment="1">
      <alignment horizontal="right" wrapText="1"/>
    </xf>
    <xf numFmtId="4" fontId="58" fillId="60" borderId="15" xfId="120" applyNumberFormat="1" applyFont="1" applyFill="1" applyBorder="1" applyAlignment="1" applyProtection="1">
      <alignment horizontal="right" wrapText="1"/>
      <protection locked="0"/>
    </xf>
    <xf numFmtId="4" fontId="58" fillId="60" borderId="30" xfId="120" applyNumberFormat="1" applyFont="1" applyFill="1" applyBorder="1" applyAlignment="1" applyProtection="1">
      <alignment horizontal="right" wrapText="1"/>
      <protection locked="0"/>
    </xf>
    <xf numFmtId="4" fontId="104" fillId="56" borderId="31" xfId="120" applyNumberFormat="1" applyFont="1" applyFill="1" applyBorder="1" applyAlignment="1">
      <alignment horizontal="right" vertical="center" wrapText="1"/>
    </xf>
    <xf numFmtId="1" fontId="104" fillId="34" borderId="92" xfId="120" applyNumberFormat="1" applyFont="1" applyFill="1" applyBorder="1" applyAlignment="1">
      <alignment horizontal="right" wrapText="1"/>
    </xf>
    <xf numFmtId="0" fontId="58" fillId="38" borderId="97" xfId="120" applyFont="1" applyFill="1" applyBorder="1" applyAlignment="1">
      <alignment horizontal="right" wrapText="1"/>
    </xf>
    <xf numFmtId="0" fontId="58" fillId="38" borderId="3" xfId="120" applyFont="1" applyFill="1" applyBorder="1" applyAlignment="1">
      <alignment horizontal="right" wrapText="1"/>
    </xf>
    <xf numFmtId="0" fontId="58" fillId="37" borderId="15" xfId="120" applyFont="1" applyFill="1" applyBorder="1" applyAlignment="1">
      <alignment horizontal="right" wrapText="1"/>
    </xf>
    <xf numFmtId="0" fontId="103" fillId="37" borderId="30" xfId="120" applyFont="1" applyFill="1" applyBorder="1" applyAlignment="1">
      <alignment horizontal="right" wrapText="1"/>
    </xf>
    <xf numFmtId="0" fontId="58" fillId="37" borderId="11" xfId="120" applyFont="1" applyFill="1" applyBorder="1" applyAlignment="1">
      <alignment horizontal="right" wrapText="1"/>
    </xf>
    <xf numFmtId="0" fontId="58" fillId="37" borderId="1" xfId="120" applyFont="1" applyFill="1" applyBorder="1" applyAlignment="1">
      <alignment horizontal="right" wrapText="1"/>
    </xf>
    <xf numFmtId="0" fontId="103" fillId="37" borderId="1" xfId="120" applyFont="1" applyFill="1" applyBorder="1" applyAlignment="1">
      <alignment horizontal="right" wrapText="1"/>
    </xf>
    <xf numFmtId="0" fontId="58" fillId="37" borderId="10" xfId="120" applyFont="1" applyFill="1" applyBorder="1" applyAlignment="1">
      <alignment horizontal="right" wrapText="1"/>
    </xf>
    <xf numFmtId="0" fontId="58" fillId="37" borderId="9" xfId="120" applyFont="1" applyFill="1" applyBorder="1" applyAlignment="1">
      <alignment horizontal="right" wrapText="1"/>
    </xf>
    <xf numFmtId="4" fontId="58" fillId="34" borderId="92" xfId="120" applyNumberFormat="1" applyFont="1" applyFill="1" applyBorder="1" applyAlignment="1" applyProtection="1">
      <alignment horizontal="right" wrapText="1"/>
      <protection locked="0"/>
    </xf>
    <xf numFmtId="4" fontId="58" fillId="34" borderId="32" xfId="120" applyNumberFormat="1" applyFont="1" applyFill="1" applyBorder="1" applyAlignment="1" applyProtection="1">
      <alignment horizontal="right" wrapText="1"/>
      <protection locked="0"/>
    </xf>
    <xf numFmtId="0" fontId="58" fillId="0" borderId="0" xfId="120" applyFont="1"/>
    <xf numFmtId="0" fontId="58" fillId="0" borderId="0" xfId="120" applyFont="1" applyAlignment="1">
      <alignment horizontal="center" wrapText="1"/>
    </xf>
    <xf numFmtId="0" fontId="103" fillId="3" borderId="10" xfId="120" applyFont="1" applyFill="1" applyBorder="1" applyAlignment="1">
      <alignment horizontal="center" wrapText="1"/>
    </xf>
    <xf numFmtId="0" fontId="103" fillId="3" borderId="9" xfId="120" applyFont="1" applyFill="1" applyBorder="1" applyAlignment="1">
      <alignment horizontal="center" wrapText="1"/>
    </xf>
    <xf numFmtId="0" fontId="103" fillId="3" borderId="16" xfId="120" applyFont="1" applyFill="1" applyBorder="1" applyAlignment="1">
      <alignment horizontal="center" wrapText="1"/>
    </xf>
    <xf numFmtId="4" fontId="103" fillId="3" borderId="10" xfId="120" applyNumberFormat="1" applyFont="1" applyFill="1" applyBorder="1" applyAlignment="1">
      <alignment horizontal="center" wrapText="1"/>
    </xf>
    <xf numFmtId="4" fontId="103" fillId="3" borderId="9" xfId="120" applyNumberFormat="1" applyFont="1" applyFill="1" applyBorder="1" applyAlignment="1">
      <alignment horizontal="center" wrapText="1"/>
    </xf>
    <xf numFmtId="4" fontId="103" fillId="3" borderId="16" xfId="120" applyNumberFormat="1" applyFont="1" applyFill="1" applyBorder="1" applyAlignment="1">
      <alignment horizontal="left" wrapText="1"/>
    </xf>
    <xf numFmtId="0" fontId="58" fillId="0" borderId="0" xfId="120" applyFont="1" applyAlignment="1">
      <alignment horizontal="center"/>
    </xf>
    <xf numFmtId="0" fontId="103" fillId="0" borderId="0" xfId="120" applyFont="1"/>
    <xf numFmtId="4" fontId="104" fillId="6" borderId="14" xfId="120" applyNumberFormat="1" applyFont="1" applyFill="1" applyBorder="1" applyAlignment="1">
      <alignment horizontal="right" vertical="center" wrapText="1"/>
    </xf>
    <xf numFmtId="0" fontId="58" fillId="6" borderId="0" xfId="120" applyFont="1" applyFill="1" applyAlignment="1">
      <alignment horizontal="left" wrapText="1"/>
    </xf>
    <xf numFmtId="0" fontId="58" fillId="6" borderId="1" xfId="0" applyFont="1" applyFill="1" applyBorder="1" applyAlignment="1">
      <alignment vertical="center" wrapText="1"/>
    </xf>
    <xf numFmtId="4" fontId="106" fillId="6" borderId="14" xfId="120" applyNumberFormat="1" applyFont="1" applyFill="1" applyBorder="1" applyAlignment="1">
      <alignment horizontal="right" vertical="center" wrapText="1"/>
    </xf>
    <xf numFmtId="0" fontId="58" fillId="6" borderId="0" xfId="120" applyFont="1" applyFill="1"/>
    <xf numFmtId="2" fontId="58" fillId="0" borderId="1" xfId="120" applyNumberFormat="1" applyFont="1" applyBorder="1" applyAlignment="1">
      <alignment horizontal="left" vertical="center" wrapText="1"/>
    </xf>
    <xf numFmtId="4" fontId="104" fillId="56" borderId="4" xfId="120" applyNumberFormat="1" applyFont="1" applyFill="1" applyBorder="1" applyAlignment="1">
      <alignment horizontal="right" vertical="center" wrapText="1"/>
    </xf>
    <xf numFmtId="4" fontId="104" fillId="56" borderId="1" xfId="120" applyNumberFormat="1" applyFont="1" applyFill="1" applyBorder="1" applyAlignment="1">
      <alignment horizontal="right" vertical="center" wrapText="1"/>
    </xf>
    <xf numFmtId="4" fontId="104" fillId="56" borderId="133" xfId="120" applyNumberFormat="1" applyFont="1" applyFill="1" applyBorder="1" applyAlignment="1">
      <alignment horizontal="right" vertical="center" wrapText="1"/>
    </xf>
    <xf numFmtId="0" fontId="103" fillId="6" borderId="0" xfId="120" applyFont="1" applyFill="1" applyAlignment="1">
      <alignment horizontal="left" vertical="center" wrapText="1"/>
    </xf>
    <xf numFmtId="0" fontId="103" fillId="6" borderId="0" xfId="120" applyFont="1" applyFill="1" applyAlignment="1">
      <alignment vertical="center"/>
    </xf>
    <xf numFmtId="10" fontId="104" fillId="56" borderId="16" xfId="120" applyNumberFormat="1" applyFont="1" applyFill="1" applyBorder="1" applyAlignment="1">
      <alignment horizontal="right" vertical="center" wrapText="1"/>
    </xf>
    <xf numFmtId="0" fontId="58" fillId="0" borderId="0" xfId="120" applyFont="1" applyAlignment="1">
      <alignment horizontal="left" vertical="center" wrapText="1"/>
    </xf>
    <xf numFmtId="0" fontId="58" fillId="0" borderId="15" xfId="120" applyFont="1" applyBorder="1" applyAlignment="1">
      <alignment horizontal="left" vertical="center" wrapText="1"/>
    </xf>
    <xf numFmtId="2" fontId="103" fillId="0" borderId="30" xfId="98" applyNumberFormat="1" applyFont="1" applyFill="1" applyBorder="1" applyAlignment="1">
      <alignment vertical="center" wrapText="1"/>
    </xf>
    <xf numFmtId="4" fontId="58" fillId="60" borderId="15" xfId="120" applyNumberFormat="1" applyFont="1" applyFill="1" applyBorder="1" applyAlignment="1" applyProtection="1">
      <alignment horizontal="right" vertical="center" wrapText="1"/>
      <protection locked="0"/>
    </xf>
    <xf numFmtId="4" fontId="58" fillId="60" borderId="30" xfId="120" applyNumberFormat="1" applyFont="1" applyFill="1" applyBorder="1" applyAlignment="1" applyProtection="1">
      <alignment horizontal="right" vertical="center" wrapText="1"/>
      <protection locked="0"/>
    </xf>
    <xf numFmtId="0" fontId="58" fillId="0" borderId="0" xfId="120" applyFont="1" applyAlignment="1">
      <alignment vertical="center"/>
    </xf>
    <xf numFmtId="0" fontId="58" fillId="0" borderId="11" xfId="120" applyFont="1" applyBorder="1" applyAlignment="1">
      <alignment horizontal="left" vertical="center" wrapText="1"/>
    </xf>
    <xf numFmtId="2" fontId="103" fillId="0" borderId="1" xfId="98" applyNumberFormat="1" applyFont="1" applyFill="1" applyBorder="1" applyAlignment="1">
      <alignment vertical="center" wrapText="1"/>
    </xf>
    <xf numFmtId="4" fontId="58" fillId="60" borderId="11" xfId="120" applyNumberFormat="1" applyFont="1" applyFill="1" applyBorder="1" applyAlignment="1" applyProtection="1">
      <alignment horizontal="right" vertical="center" wrapText="1"/>
      <protection locked="0"/>
    </xf>
    <xf numFmtId="4" fontId="58" fillId="60" borderId="1" xfId="120" applyNumberFormat="1" applyFont="1" applyFill="1" applyBorder="1" applyAlignment="1" applyProtection="1">
      <alignment horizontal="right" vertical="center" wrapText="1"/>
      <protection locked="0"/>
    </xf>
    <xf numFmtId="2" fontId="107" fillId="0" borderId="9" xfId="98" applyNumberFormat="1" applyFont="1" applyFill="1" applyBorder="1" applyAlignment="1">
      <alignment vertical="center" wrapText="1"/>
    </xf>
    <xf numFmtId="0" fontId="58" fillId="0" borderId="10" xfId="120" applyFont="1" applyBorder="1" applyAlignment="1">
      <alignment horizontal="left" vertical="center" wrapText="1"/>
    </xf>
    <xf numFmtId="10" fontId="58" fillId="60" borderId="10" xfId="120" applyNumberFormat="1" applyFont="1" applyFill="1" applyBorder="1" applyAlignment="1" applyProtection="1">
      <alignment horizontal="right" vertical="center" wrapText="1"/>
      <protection locked="0"/>
    </xf>
    <xf numFmtId="2" fontId="58" fillId="0" borderId="0" xfId="120" applyNumberFormat="1" applyFont="1" applyAlignment="1">
      <alignment horizontal="left" vertical="center" wrapText="1"/>
    </xf>
    <xf numFmtId="2" fontId="58" fillId="0" borderId="92" xfId="120" applyNumberFormat="1" applyFont="1" applyBorder="1" applyAlignment="1">
      <alignment horizontal="left" vertical="center" wrapText="1"/>
    </xf>
    <xf numFmtId="2" fontId="103" fillId="0" borderId="32" xfId="98" applyNumberFormat="1" applyFont="1" applyFill="1" applyBorder="1" applyAlignment="1">
      <alignment vertical="center" wrapText="1"/>
    </xf>
    <xf numFmtId="2" fontId="58" fillId="0" borderId="0" xfId="120" applyNumberFormat="1" applyFont="1" applyAlignment="1">
      <alignment vertical="center"/>
    </xf>
    <xf numFmtId="4" fontId="58" fillId="60" borderId="92" xfId="120" applyNumberFormat="1" applyFont="1" applyFill="1" applyBorder="1" applyAlignment="1" applyProtection="1">
      <alignment horizontal="right" vertical="center" wrapText="1"/>
      <protection locked="0"/>
    </xf>
    <xf numFmtId="4" fontId="58" fillId="60" borderId="32" xfId="120" applyNumberFormat="1" applyFont="1" applyFill="1" applyBorder="1" applyAlignment="1" applyProtection="1">
      <alignment horizontal="right" vertical="center" wrapText="1"/>
      <protection locked="0"/>
    </xf>
    <xf numFmtId="4" fontId="58" fillId="6" borderId="11" xfId="120" applyNumberFormat="1" applyFont="1" applyFill="1" applyBorder="1" applyAlignment="1" applyProtection="1">
      <alignment horizontal="right" vertical="center" wrapText="1"/>
      <protection locked="0"/>
    </xf>
    <xf numFmtId="4" fontId="58" fillId="6" borderId="1" xfId="120" applyNumberFormat="1" applyFont="1" applyFill="1" applyBorder="1" applyAlignment="1" applyProtection="1">
      <alignment horizontal="right" vertical="center" wrapText="1"/>
      <protection locked="0"/>
    </xf>
    <xf numFmtId="4" fontId="58" fillId="6" borderId="132" xfId="120" applyNumberFormat="1" applyFont="1" applyFill="1" applyBorder="1" applyAlignment="1" applyProtection="1">
      <alignment horizontal="right" vertical="center" wrapText="1"/>
      <protection locked="0"/>
    </xf>
    <xf numFmtId="10" fontId="106" fillId="0" borderId="9" xfId="47" applyNumberFormat="1" applyFont="1" applyFill="1" applyBorder="1" applyAlignment="1">
      <alignment horizontal="right" vertical="center"/>
    </xf>
    <xf numFmtId="0" fontId="58" fillId="0" borderId="0" xfId="120" applyFont="1" applyFill="1" applyBorder="1" applyAlignment="1" applyProtection="1">
      <alignment horizontal="left" wrapText="1"/>
      <protection locked="0"/>
    </xf>
    <xf numFmtId="0" fontId="58" fillId="0" borderId="0" xfId="120" applyFont="1" applyFill="1" applyBorder="1" applyAlignment="1">
      <alignment horizontal="left" wrapText="1"/>
    </xf>
    <xf numFmtId="0" fontId="103" fillId="0" borderId="0" xfId="120" applyFont="1" applyFill="1" applyBorder="1" applyAlignment="1">
      <alignment horizontal="center" wrapText="1"/>
    </xf>
    <xf numFmtId="0" fontId="58" fillId="0" borderId="0" xfId="120" applyFont="1" applyFill="1" applyBorder="1"/>
    <xf numFmtId="0" fontId="104" fillId="57" borderId="107" xfId="120" applyFont="1" applyFill="1" applyBorder="1" applyAlignment="1">
      <alignment horizontal="center" vertical="center" wrapText="1"/>
    </xf>
    <xf numFmtId="0" fontId="104" fillId="57" borderId="108" xfId="120" applyFont="1" applyFill="1" applyBorder="1" applyAlignment="1">
      <alignment horizontal="left" vertical="center" wrapText="1"/>
    </xf>
    <xf numFmtId="0" fontId="104" fillId="57" borderId="130" xfId="120" applyFont="1" applyFill="1" applyBorder="1" applyAlignment="1">
      <alignment horizontal="center" vertical="center" wrapText="1"/>
    </xf>
    <xf numFmtId="0" fontId="104" fillId="56" borderId="10" xfId="120" applyFont="1" applyFill="1" applyBorder="1" applyAlignment="1">
      <alignment horizontal="center" vertical="center" wrapText="1"/>
    </xf>
    <xf numFmtId="0" fontId="104" fillId="56" borderId="9" xfId="120" applyFont="1" applyFill="1" applyBorder="1" applyAlignment="1">
      <alignment horizontal="center" vertical="center" wrapText="1"/>
    </xf>
    <xf numFmtId="0" fontId="104" fillId="56" borderId="13" xfId="120" applyFont="1" applyFill="1" applyBorder="1" applyAlignment="1">
      <alignment horizontal="center" vertical="center" wrapText="1"/>
    </xf>
    <xf numFmtId="0" fontId="58" fillId="0" borderId="0" xfId="120" applyFont="1" applyBorder="1"/>
    <xf numFmtId="0" fontId="103" fillId="0" borderId="0" xfId="120" applyFont="1" applyBorder="1"/>
    <xf numFmtId="0" fontId="103" fillId="0" borderId="96" xfId="120" applyFont="1" applyBorder="1"/>
    <xf numFmtId="0" fontId="106" fillId="0" borderId="0" xfId="52" applyFont="1" applyBorder="1" applyAlignment="1">
      <alignment horizontal="left" wrapText="1"/>
    </xf>
    <xf numFmtId="4" fontId="58" fillId="0" borderId="0" xfId="120" applyNumberFormat="1" applyFont="1" applyBorder="1"/>
    <xf numFmtId="0" fontId="58" fillId="0" borderId="11" xfId="120" applyFont="1" applyBorder="1" applyAlignment="1">
      <alignment horizontal="right" wrapText="1"/>
    </xf>
    <xf numFmtId="0" fontId="58" fillId="0" borderId="95" xfId="120" applyFont="1" applyFill="1" applyBorder="1" applyAlignment="1">
      <alignment horizontal="left" wrapText="1"/>
    </xf>
    <xf numFmtId="0" fontId="103" fillId="0" borderId="0" xfId="120" applyFont="1" applyFill="1" applyBorder="1" applyAlignment="1">
      <alignment horizontal="left" wrapText="1"/>
    </xf>
    <xf numFmtId="4" fontId="103" fillId="0" borderId="0" xfId="120" applyNumberFormat="1" applyFont="1" applyBorder="1"/>
    <xf numFmtId="0" fontId="58" fillId="6" borderId="11" xfId="120" applyFont="1" applyFill="1" applyBorder="1" applyAlignment="1">
      <alignment horizontal="right" vertical="center" wrapText="1"/>
    </xf>
    <xf numFmtId="0" fontId="104" fillId="56" borderId="102" xfId="120" applyFont="1" applyFill="1" applyBorder="1" applyAlignment="1">
      <alignment horizontal="center" vertical="center" wrapText="1"/>
    </xf>
    <xf numFmtId="0" fontId="104" fillId="56" borderId="104" xfId="120" applyFont="1" applyFill="1" applyBorder="1" applyAlignment="1">
      <alignment horizontal="center" vertical="center" wrapText="1"/>
    </xf>
    <xf numFmtId="0" fontId="103" fillId="6" borderId="15" xfId="120" applyFont="1" applyFill="1" applyBorder="1" applyAlignment="1">
      <alignment horizontal="right" vertical="center" wrapText="1"/>
    </xf>
    <xf numFmtId="0" fontId="103" fillId="6" borderId="30" xfId="0" applyFont="1" applyFill="1" applyBorder="1" applyAlignment="1">
      <alignment vertical="center" wrapText="1"/>
    </xf>
    <xf numFmtId="4" fontId="103" fillId="6" borderId="30" xfId="120" applyNumberFormat="1" applyFont="1" applyFill="1" applyBorder="1" applyAlignment="1" applyProtection="1">
      <alignment horizontal="right" vertical="center" wrapText="1"/>
      <protection locked="0"/>
    </xf>
    <xf numFmtId="4" fontId="103" fillId="6" borderId="15" xfId="120" applyNumberFormat="1" applyFont="1" applyFill="1" applyBorder="1" applyAlignment="1" applyProtection="1">
      <alignment horizontal="right" vertical="center" wrapText="1"/>
      <protection locked="0"/>
    </xf>
    <xf numFmtId="4" fontId="104" fillId="6" borderId="133" xfId="120" applyNumberFormat="1" applyFont="1" applyFill="1" applyBorder="1" applyAlignment="1">
      <alignment horizontal="right" vertical="center" wrapText="1"/>
    </xf>
    <xf numFmtId="4" fontId="58" fillId="0" borderId="97" xfId="120" applyNumberFormat="1" applyFont="1" applyFill="1" applyBorder="1" applyAlignment="1" applyProtection="1">
      <alignment horizontal="right" wrapText="1"/>
      <protection locked="0"/>
    </xf>
    <xf numFmtId="4" fontId="58" fillId="0" borderId="3" xfId="120" applyNumberFormat="1" applyFont="1" applyFill="1" applyBorder="1" applyAlignment="1" applyProtection="1">
      <alignment horizontal="right" wrapText="1"/>
      <protection locked="0"/>
    </xf>
    <xf numFmtId="4" fontId="104" fillId="0" borderId="98" xfId="120" applyNumberFormat="1" applyFont="1" applyFill="1" applyBorder="1" applyAlignment="1">
      <alignment horizontal="right" vertical="center" wrapText="1"/>
    </xf>
    <xf numFmtId="0" fontId="58" fillId="0" borderId="93" xfId="120" applyFont="1" applyBorder="1" applyAlignment="1">
      <alignment horizontal="right" wrapText="1"/>
    </xf>
    <xf numFmtId="2" fontId="58" fillId="0" borderId="2" xfId="120" applyNumberFormat="1" applyFont="1" applyBorder="1" applyAlignment="1">
      <alignment horizontal="left" vertical="center" wrapText="1"/>
    </xf>
    <xf numFmtId="4" fontId="58" fillId="60" borderId="93" xfId="120" applyNumberFormat="1" applyFont="1" applyFill="1" applyBorder="1" applyAlignment="1" applyProtection="1">
      <alignment horizontal="right" vertical="center" wrapText="1"/>
      <protection locked="0"/>
    </xf>
    <xf numFmtId="4" fontId="58" fillId="60" borderId="2" xfId="120" applyNumberFormat="1" applyFont="1" applyFill="1" applyBorder="1" applyAlignment="1" applyProtection="1">
      <alignment horizontal="right" vertical="center" wrapText="1"/>
      <protection locked="0"/>
    </xf>
    <xf numFmtId="4" fontId="104" fillId="6" borderId="31" xfId="120" applyNumberFormat="1" applyFont="1" applyFill="1" applyBorder="1" applyAlignment="1">
      <alignment horizontal="right" vertical="center" wrapText="1"/>
    </xf>
    <xf numFmtId="4" fontId="103" fillId="6" borderId="137" xfId="120" applyNumberFormat="1" applyFont="1" applyFill="1" applyBorder="1" applyAlignment="1" applyProtection="1">
      <alignment horizontal="right" vertical="center" wrapText="1"/>
      <protection locked="0"/>
    </xf>
    <xf numFmtId="4" fontId="104" fillId="6" borderId="116" xfId="120" applyNumberFormat="1" applyFont="1" applyFill="1" applyBorder="1" applyAlignment="1">
      <alignment horizontal="right" vertical="center" wrapText="1"/>
    </xf>
    <xf numFmtId="0" fontId="36" fillId="0" borderId="1" xfId="0" applyFont="1" applyBorder="1" applyAlignment="1">
      <alignment vertical="center"/>
    </xf>
    <xf numFmtId="0" fontId="77" fillId="56" borderId="10" xfId="0" applyFont="1" applyFill="1" applyBorder="1" applyAlignment="1">
      <alignment horizontal="center" vertical="center" wrapText="1"/>
    </xf>
    <xf numFmtId="0" fontId="77" fillId="56" borderId="9" xfId="0" applyFont="1" applyFill="1" applyBorder="1" applyAlignment="1">
      <alignment horizontal="center" vertical="center" wrapText="1"/>
    </xf>
    <xf numFmtId="4" fontId="77" fillId="56" borderId="31" xfId="120" applyNumberFormat="1" applyFont="1" applyFill="1" applyBorder="1" applyAlignment="1">
      <alignment horizontal="right" vertical="center" wrapText="1"/>
    </xf>
    <xf numFmtId="4" fontId="77" fillId="56" borderId="14" xfId="120" applyNumberFormat="1" applyFont="1" applyFill="1" applyBorder="1" applyAlignment="1">
      <alignment horizontal="right" vertical="center" wrapText="1"/>
    </xf>
    <xf numFmtId="4" fontId="77" fillId="56" borderId="94" xfId="120" applyNumberFormat="1" applyFont="1" applyFill="1" applyBorder="1" applyAlignment="1">
      <alignment horizontal="right" vertical="center" wrapText="1"/>
    </xf>
    <xf numFmtId="10" fontId="77" fillId="56" borderId="16" xfId="120" applyNumberFormat="1" applyFont="1" applyFill="1" applyBorder="1" applyAlignment="1">
      <alignment horizontal="right" vertical="center" wrapText="1"/>
    </xf>
    <xf numFmtId="4" fontId="77" fillId="56" borderId="33" xfId="120" applyNumberFormat="1" applyFont="1" applyFill="1" applyBorder="1" applyAlignment="1">
      <alignment horizontal="right" vertical="center" wrapText="1"/>
    </xf>
    <xf numFmtId="4" fontId="6" fillId="6" borderId="30" xfId="120" applyNumberFormat="1" applyFont="1" applyFill="1" applyBorder="1" applyAlignment="1" applyProtection="1">
      <alignment horizontal="right" vertical="center" wrapText="1"/>
      <protection locked="0"/>
    </xf>
    <xf numFmtId="4" fontId="6" fillId="6" borderId="15" xfId="120" applyNumberFormat="1" applyFont="1" applyFill="1" applyBorder="1" applyAlignment="1" applyProtection="1">
      <alignment horizontal="right" vertical="center" wrapText="1"/>
      <protection locked="0"/>
    </xf>
    <xf numFmtId="4" fontId="76" fillId="6" borderId="1" xfId="120" applyNumberFormat="1" applyFont="1" applyFill="1" applyBorder="1" applyAlignment="1">
      <alignment horizontal="right" vertical="center" wrapText="1"/>
    </xf>
    <xf numFmtId="4" fontId="76" fillId="6" borderId="11" xfId="120" applyNumberFormat="1" applyFont="1" applyFill="1" applyBorder="1" applyAlignment="1">
      <alignment horizontal="right" vertical="center" wrapText="1"/>
    </xf>
    <xf numFmtId="4" fontId="77" fillId="6" borderId="14" xfId="120" applyNumberFormat="1" applyFont="1" applyFill="1" applyBorder="1" applyAlignment="1">
      <alignment horizontal="right" vertical="center" wrapText="1"/>
    </xf>
    <xf numFmtId="4" fontId="77" fillId="6" borderId="4" xfId="120" applyNumberFormat="1" applyFont="1" applyFill="1" applyBorder="1" applyAlignment="1">
      <alignment horizontal="right" vertical="center" wrapText="1"/>
    </xf>
    <xf numFmtId="4" fontId="77" fillId="56" borderId="4" xfId="120" applyNumberFormat="1" applyFont="1" applyFill="1" applyBorder="1" applyAlignment="1">
      <alignment horizontal="right" vertical="center" wrapText="1"/>
    </xf>
    <xf numFmtId="4" fontId="77" fillId="56" borderId="7" xfId="120" applyNumberFormat="1" applyFont="1" applyFill="1" applyBorder="1" applyAlignment="1">
      <alignment horizontal="right" vertical="center" wrapText="1"/>
    </xf>
    <xf numFmtId="0" fontId="103" fillId="3" borderId="33" xfId="120" applyFont="1" applyFill="1" applyBorder="1" applyAlignment="1">
      <alignment horizontal="center" wrapText="1"/>
    </xf>
    <xf numFmtId="0" fontId="58" fillId="58" borderId="94" xfId="120" applyFont="1" applyFill="1" applyBorder="1" applyAlignment="1">
      <alignment horizontal="center" wrapText="1"/>
    </xf>
    <xf numFmtId="0" fontId="58" fillId="58" borderId="14" xfId="120" applyFont="1" applyFill="1" applyBorder="1" applyAlignment="1">
      <alignment horizontal="center" wrapText="1"/>
    </xf>
    <xf numFmtId="0" fontId="58" fillId="58" borderId="98" xfId="120" applyFont="1" applyFill="1" applyBorder="1" applyAlignment="1">
      <alignment horizontal="center" wrapText="1"/>
    </xf>
    <xf numFmtId="0" fontId="58" fillId="5" borderId="33" xfId="120" applyFont="1" applyFill="1" applyBorder="1" applyAlignment="1">
      <alignment horizontal="center" wrapText="1"/>
    </xf>
    <xf numFmtId="0" fontId="58" fillId="60" borderId="14" xfId="120" applyFont="1" applyFill="1" applyBorder="1" applyAlignment="1">
      <alignment horizontal="center" wrapText="1"/>
    </xf>
    <xf numFmtId="0" fontId="58" fillId="59" borderId="14" xfId="120" applyFont="1" applyFill="1" applyBorder="1" applyAlignment="1">
      <alignment horizontal="center" wrapText="1"/>
    </xf>
    <xf numFmtId="0" fontId="58" fillId="60" borderId="98" xfId="120" applyFont="1" applyFill="1" applyBorder="1" applyAlignment="1">
      <alignment horizontal="center" wrapText="1"/>
    </xf>
    <xf numFmtId="0" fontId="58" fillId="60" borderId="94" xfId="120" applyFont="1" applyFill="1" applyBorder="1" applyAlignment="1">
      <alignment horizontal="center" wrapText="1"/>
    </xf>
    <xf numFmtId="0" fontId="58" fillId="59" borderId="98" xfId="120" applyFont="1" applyFill="1" applyBorder="1" applyAlignment="1">
      <alignment horizontal="center" wrapText="1"/>
    </xf>
    <xf numFmtId="0" fontId="58" fillId="34" borderId="33" xfId="120" applyFont="1" applyFill="1" applyBorder="1" applyAlignment="1">
      <alignment horizontal="center" wrapText="1"/>
    </xf>
    <xf numFmtId="0" fontId="58" fillId="60" borderId="130" xfId="120" applyFont="1" applyFill="1" applyBorder="1" applyAlignment="1">
      <alignment horizontal="center" wrapText="1"/>
    </xf>
    <xf numFmtId="0" fontId="103" fillId="34" borderId="33" xfId="120" applyFont="1" applyFill="1" applyBorder="1" applyAlignment="1">
      <alignment horizontal="center" wrapText="1"/>
    </xf>
    <xf numFmtId="0" fontId="58" fillId="0" borderId="14" xfId="120" applyFont="1" applyFill="1" applyBorder="1" applyAlignment="1">
      <alignment horizontal="center" wrapText="1"/>
    </xf>
    <xf numFmtId="0" fontId="58" fillId="60" borderId="31" xfId="120" applyFont="1" applyFill="1" applyBorder="1" applyAlignment="1">
      <alignment horizontal="center" wrapText="1"/>
    </xf>
    <xf numFmtId="0" fontId="58" fillId="38" borderId="98" xfId="120" applyFont="1" applyFill="1" applyBorder="1" applyAlignment="1">
      <alignment horizontal="center" wrapText="1"/>
    </xf>
    <xf numFmtId="0" fontId="58" fillId="37" borderId="31" xfId="120" applyFont="1" applyFill="1" applyBorder="1" applyAlignment="1">
      <alignment horizontal="center" wrapText="1"/>
    </xf>
    <xf numFmtId="0" fontId="58" fillId="37" borderId="14" xfId="120" applyFont="1" applyFill="1" applyBorder="1" applyAlignment="1">
      <alignment horizontal="center" wrapText="1"/>
    </xf>
    <xf numFmtId="0" fontId="58" fillId="37" borderId="16" xfId="120" applyFont="1" applyFill="1" applyBorder="1" applyAlignment="1">
      <alignment horizontal="center" wrapText="1"/>
    </xf>
    <xf numFmtId="0" fontId="106" fillId="0" borderId="0" xfId="52" applyFont="1" applyBorder="1" applyAlignment="1">
      <alignment horizontal="center" wrapText="1"/>
    </xf>
    <xf numFmtId="0" fontId="104" fillId="0" borderId="30" xfId="52" applyFont="1" applyBorder="1" applyAlignment="1">
      <alignment horizontal="center" vertical="center" wrapText="1"/>
    </xf>
    <xf numFmtId="0" fontId="104" fillId="0" borderId="1" xfId="52" applyFont="1" applyBorder="1" applyAlignment="1">
      <alignment horizontal="center" vertical="center" wrapText="1"/>
    </xf>
    <xf numFmtId="0" fontId="103" fillId="0" borderId="1" xfId="120" applyFont="1" applyBorder="1" applyAlignment="1">
      <alignment horizontal="center" vertical="center" wrapText="1"/>
    </xf>
    <xf numFmtId="10" fontId="107" fillId="0" borderId="16" xfId="120" applyNumberFormat="1" applyFont="1" applyBorder="1" applyAlignment="1">
      <alignment horizontal="center" vertical="center" wrapText="1"/>
    </xf>
    <xf numFmtId="2" fontId="103" fillId="0" borderId="32" xfId="120" applyNumberFormat="1" applyFont="1" applyBorder="1" applyAlignment="1">
      <alignment horizontal="center" vertical="center" wrapText="1"/>
    </xf>
    <xf numFmtId="0" fontId="103" fillId="6" borderId="30" xfId="120" applyFont="1" applyFill="1" applyBorder="1" applyAlignment="1">
      <alignment horizontal="center" vertical="center" wrapText="1"/>
    </xf>
    <xf numFmtId="0" fontId="58" fillId="6" borderId="1" xfId="120" applyFont="1" applyFill="1" applyBorder="1" applyAlignment="1">
      <alignment horizontal="center" wrapText="1"/>
    </xf>
    <xf numFmtId="0" fontId="58" fillId="0" borderId="1" xfId="120" applyFont="1" applyBorder="1" applyAlignment="1">
      <alignment horizontal="center" wrapText="1"/>
    </xf>
    <xf numFmtId="0" fontId="58" fillId="0" borderId="2" xfId="120" applyFont="1" applyBorder="1" applyAlignment="1">
      <alignment horizontal="center" wrapText="1"/>
    </xf>
    <xf numFmtId="10" fontId="109" fillId="29" borderId="9" xfId="47" applyNumberFormat="1" applyFont="1" applyBorder="1" applyAlignment="1">
      <alignment horizontal="right" vertical="center"/>
    </xf>
    <xf numFmtId="49" fontId="93" fillId="0" borderId="1" xfId="0" applyNumberFormat="1" applyFont="1" applyFill="1" applyBorder="1" applyAlignment="1">
      <alignment horizontal="center" vertical="center" wrapText="1"/>
    </xf>
    <xf numFmtId="165" fontId="93" fillId="0" borderId="1" xfId="0" applyNumberFormat="1" applyFont="1" applyFill="1" applyBorder="1" applyAlignment="1">
      <alignment horizontal="center" vertical="center" wrapText="1"/>
    </xf>
    <xf numFmtId="0" fontId="93" fillId="0" borderId="0" xfId="0" applyFont="1" applyFill="1" applyAlignment="1">
      <alignment vertical="center" wrapText="1"/>
    </xf>
    <xf numFmtId="0" fontId="93" fillId="0" borderId="0" xfId="0" applyFont="1" applyFill="1" applyBorder="1" applyAlignment="1">
      <alignment vertical="center" wrapText="1"/>
    </xf>
    <xf numFmtId="43" fontId="97" fillId="0" borderId="1" xfId="0" applyNumberFormat="1" applyFont="1" applyFill="1" applyBorder="1" applyAlignment="1"/>
    <xf numFmtId="49" fontId="36" fillId="0" borderId="1" xfId="12" applyNumberFormat="1" applyFont="1" applyFill="1" applyBorder="1" applyAlignment="1">
      <alignment vertical="center" wrapText="1"/>
    </xf>
    <xf numFmtId="43" fontId="93" fillId="2" borderId="1" xfId="0" applyNumberFormat="1" applyFont="1" applyFill="1" applyBorder="1" applyAlignment="1">
      <alignment vertical="center"/>
    </xf>
    <xf numFmtId="43" fontId="93" fillId="2" borderId="1" xfId="0" applyNumberFormat="1" applyFont="1" applyFill="1" applyBorder="1" applyAlignment="1">
      <alignment vertical="center" wrapText="1"/>
    </xf>
    <xf numFmtId="0" fontId="93" fillId="2" borderId="0" xfId="0" applyFont="1" applyFill="1" applyAlignment="1">
      <alignment vertical="center" wrapText="1"/>
    </xf>
    <xf numFmtId="0" fontId="93" fillId="0" borderId="1" xfId="0" applyFont="1" applyFill="1" applyBorder="1" applyAlignment="1">
      <alignment horizontal="center" vertical="center" wrapText="1"/>
    </xf>
    <xf numFmtId="43" fontId="93" fillId="0" borderId="1" xfId="0" applyNumberFormat="1" applyFont="1" applyFill="1" applyBorder="1" applyAlignment="1">
      <alignment vertical="center"/>
    </xf>
    <xf numFmtId="0" fontId="92" fillId="6" borderId="1" xfId="0" applyFont="1" applyFill="1" applyBorder="1" applyAlignment="1">
      <alignment vertical="center" wrapText="1"/>
    </xf>
    <xf numFmtId="0" fontId="38" fillId="45" borderId="1" xfId="103" applyFont="1" applyFill="1" applyBorder="1" applyAlignment="1">
      <alignment horizontal="center" vertical="center"/>
    </xf>
    <xf numFmtId="0" fontId="38" fillId="45" borderId="1" xfId="107" applyFont="1" applyFill="1" applyBorder="1" applyAlignment="1">
      <alignment horizontal="left" vertical="center" wrapText="1"/>
    </xf>
    <xf numFmtId="0" fontId="38" fillId="45" borderId="1" xfId="104" applyFont="1" applyFill="1" applyBorder="1" applyAlignment="1">
      <alignment horizontal="center" vertical="center" wrapText="1"/>
    </xf>
    <xf numFmtId="0" fontId="38" fillId="45" borderId="1" xfId="103" applyFont="1" applyFill="1" applyBorder="1" applyAlignment="1">
      <alignment horizontal="left" vertical="center" wrapText="1"/>
    </xf>
    <xf numFmtId="0" fontId="38" fillId="45" borderId="1" xfId="103" applyFont="1" applyFill="1" applyBorder="1" applyAlignment="1">
      <alignment horizontal="center" vertical="center" wrapText="1"/>
    </xf>
    <xf numFmtId="0" fontId="38" fillId="45" borderId="1" xfId="103" applyFont="1" applyFill="1" applyBorder="1" applyAlignment="1">
      <alignment vertical="center" wrapText="1"/>
    </xf>
    <xf numFmtId="4" fontId="38" fillId="45" borderId="1" xfId="103" applyNumberFormat="1" applyFont="1" applyFill="1" applyBorder="1" applyAlignment="1">
      <alignment horizontal="center" vertical="center" wrapText="1"/>
    </xf>
    <xf numFmtId="175" fontId="38" fillId="45" borderId="1" xfId="103" applyNumberFormat="1" applyFont="1" applyFill="1" applyBorder="1" applyAlignment="1">
      <alignment vertical="center" wrapText="1"/>
    </xf>
    <xf numFmtId="4" fontId="38" fillId="45" borderId="1" xfId="105" applyNumberFormat="1" applyFont="1" applyFill="1" applyBorder="1" applyAlignment="1">
      <alignment horizontal="center" vertical="center" wrapText="1"/>
    </xf>
    <xf numFmtId="0" fontId="38" fillId="45" borderId="0" xfId="103" applyFont="1" applyFill="1" applyAlignment="1">
      <alignment wrapText="1"/>
    </xf>
    <xf numFmtId="0" fontId="38" fillId="45" borderId="0" xfId="103" applyFont="1" applyFill="1"/>
    <xf numFmtId="0" fontId="62" fillId="53" borderId="1" xfId="103" applyFont="1" applyFill="1" applyBorder="1" applyAlignment="1">
      <alignment horizontal="center" vertical="center" wrapText="1"/>
    </xf>
    <xf numFmtId="0" fontId="38" fillId="53" borderId="1" xfId="103" applyFont="1" applyFill="1" applyBorder="1" applyAlignment="1">
      <alignment horizontal="left" vertical="center" wrapText="1"/>
    </xf>
    <xf numFmtId="0" fontId="62" fillId="53" borderId="1" xfId="104" applyFont="1" applyFill="1" applyBorder="1" applyAlignment="1">
      <alignment horizontal="center" vertical="center" wrapText="1"/>
    </xf>
    <xf numFmtId="0" fontId="38" fillId="53" borderId="1" xfId="103" applyFont="1" applyFill="1" applyBorder="1" applyAlignment="1">
      <alignment horizontal="center" vertical="center"/>
    </xf>
    <xf numFmtId="1" fontId="38" fillId="53" borderId="1" xfId="103" applyNumberFormat="1" applyFont="1" applyFill="1" applyBorder="1" applyAlignment="1">
      <alignment horizontal="center" vertical="center" wrapText="1"/>
    </xf>
    <xf numFmtId="0" fontId="38" fillId="53" borderId="1" xfId="103" applyFont="1" applyFill="1" applyBorder="1" applyAlignment="1">
      <alignment horizontal="center" vertical="center" wrapText="1" shrinkToFit="1"/>
    </xf>
    <xf numFmtId="0" fontId="38" fillId="53" borderId="1" xfId="103" applyFont="1" applyFill="1" applyBorder="1" applyAlignment="1">
      <alignment horizontal="center" vertical="center" wrapText="1"/>
    </xf>
    <xf numFmtId="4" fontId="38" fillId="53" borderId="1" xfId="103" applyNumberFormat="1" applyFont="1" applyFill="1" applyBorder="1" applyAlignment="1">
      <alignment horizontal="center" vertical="center" wrapText="1"/>
    </xf>
    <xf numFmtId="4" fontId="62" fillId="53" borderId="1" xfId="103" applyNumberFormat="1" applyFont="1" applyFill="1" applyBorder="1" applyAlignment="1">
      <alignment horizontal="right" vertical="center"/>
    </xf>
    <xf numFmtId="4" fontId="62" fillId="53" borderId="1" xfId="103" applyNumberFormat="1" applyFont="1" applyFill="1" applyBorder="1" applyAlignment="1">
      <alignment horizontal="right" vertical="center" wrapText="1"/>
    </xf>
    <xf numFmtId="4" fontId="38" fillId="53" borderId="1" xfId="103" applyNumberFormat="1" applyFont="1" applyFill="1" applyBorder="1" applyAlignment="1">
      <alignment horizontal="right" vertical="center"/>
    </xf>
    <xf numFmtId="4" fontId="38" fillId="53" borderId="1" xfId="105" applyNumberFormat="1" applyFont="1" applyFill="1" applyBorder="1" applyAlignment="1">
      <alignment horizontal="right" vertical="center"/>
    </xf>
    <xf numFmtId="4" fontId="38" fillId="53" borderId="1" xfId="105" applyNumberFormat="1" applyFont="1" applyFill="1" applyBorder="1" applyAlignment="1">
      <alignment horizontal="right" vertical="center" wrapText="1"/>
    </xf>
    <xf numFmtId="4" fontId="38" fillId="53" borderId="1" xfId="105" applyNumberFormat="1" applyFont="1" applyFill="1" applyBorder="1" applyAlignment="1">
      <alignment horizontal="center" vertical="center" wrapText="1"/>
    </xf>
    <xf numFmtId="3" fontId="38" fillId="53" borderId="1" xfId="105" applyNumberFormat="1" applyFont="1" applyFill="1" applyBorder="1" applyAlignment="1">
      <alignment horizontal="center" vertical="center" wrapText="1"/>
    </xf>
    <xf numFmtId="0" fontId="38" fillId="53" borderId="0" xfId="103" applyFont="1" applyFill="1" applyAlignment="1">
      <alignment vertical="center" wrapText="1"/>
    </xf>
    <xf numFmtId="0" fontId="38" fillId="53" borderId="0" xfId="103" applyFont="1" applyFill="1"/>
    <xf numFmtId="165" fontId="92" fillId="0" borderId="1" xfId="0" applyNumberFormat="1" applyFont="1" applyFill="1" applyBorder="1" applyAlignment="1">
      <alignment horizontal="center" wrapText="1"/>
    </xf>
    <xf numFmtId="4" fontId="58" fillId="38" borderId="97" xfId="120" applyNumberFormat="1" applyFont="1" applyFill="1" applyBorder="1" applyAlignment="1">
      <alignment horizontal="right" wrapText="1"/>
    </xf>
    <xf numFmtId="4" fontId="58" fillId="38" borderId="3" xfId="120" applyNumberFormat="1" applyFont="1" applyFill="1" applyBorder="1" applyAlignment="1">
      <alignment horizontal="right" wrapText="1"/>
    </xf>
    <xf numFmtId="4" fontId="58" fillId="58" borderId="15" xfId="120" applyNumberFormat="1" applyFont="1" applyFill="1" applyBorder="1" applyAlignment="1">
      <alignment horizontal="right" wrapText="1"/>
    </xf>
    <xf numFmtId="4" fontId="58" fillId="58" borderId="30" xfId="120" applyNumberFormat="1" applyFont="1" applyFill="1" applyBorder="1" applyAlignment="1">
      <alignment horizontal="right" wrapText="1"/>
    </xf>
    <xf numFmtId="0" fontId="103" fillId="37" borderId="9" xfId="120" applyFont="1" applyFill="1" applyBorder="1" applyAlignment="1">
      <alignment horizontal="right" wrapText="1"/>
    </xf>
    <xf numFmtId="4" fontId="58" fillId="58" borderId="10" xfId="120" applyNumberFormat="1" applyFont="1" applyFill="1" applyBorder="1" applyAlignment="1">
      <alignment horizontal="right" wrapText="1"/>
    </xf>
    <xf numFmtId="4" fontId="58" fillId="58" borderId="9" xfId="120" applyNumberFormat="1" applyFont="1" applyFill="1" applyBorder="1" applyAlignment="1">
      <alignment horizontal="right" wrapText="1"/>
    </xf>
    <xf numFmtId="4" fontId="104" fillId="56" borderId="16" xfId="120" applyNumberFormat="1" applyFont="1" applyFill="1" applyBorder="1" applyAlignment="1">
      <alignment horizontal="right" vertical="center" wrapText="1"/>
    </xf>
    <xf numFmtId="0" fontId="38" fillId="0" borderId="1" xfId="103" applyFont="1" applyFill="1" applyBorder="1" applyAlignment="1">
      <alignment horizontal="center" vertical="center"/>
    </xf>
    <xf numFmtId="0" fontId="38" fillId="0" borderId="1" xfId="103" applyFont="1" applyFill="1" applyBorder="1" applyAlignment="1">
      <alignment horizontal="left" vertical="center" wrapText="1"/>
    </xf>
    <xf numFmtId="0" fontId="38" fillId="0" borderId="34" xfId="104" applyFont="1" applyFill="1" applyBorder="1" applyAlignment="1">
      <alignment horizontal="center" vertical="center" wrapText="1"/>
    </xf>
    <xf numFmtId="0" fontId="38" fillId="0" borderId="1" xfId="103" applyFont="1" applyFill="1" applyBorder="1" applyAlignment="1">
      <alignment horizontal="center" vertical="center" wrapText="1"/>
    </xf>
    <xf numFmtId="4" fontId="38" fillId="0" borderId="1" xfId="103" applyNumberFormat="1" applyFont="1" applyFill="1" applyBorder="1" applyAlignment="1">
      <alignment horizontal="center" vertical="center" wrapText="1"/>
    </xf>
    <xf numFmtId="175" fontId="38" fillId="0" borderId="1" xfId="103" applyNumberFormat="1" applyFont="1" applyFill="1" applyBorder="1" applyAlignment="1">
      <alignment vertical="center" wrapText="1"/>
    </xf>
    <xf numFmtId="4" fontId="38" fillId="0" borderId="1" xfId="105" applyNumberFormat="1" applyFont="1" applyFill="1" applyBorder="1" applyAlignment="1">
      <alignment horizontal="center" vertical="center" wrapText="1"/>
    </xf>
    <xf numFmtId="0" fontId="38" fillId="0" borderId="0" xfId="103" applyFont="1" applyFill="1" applyAlignment="1">
      <alignment wrapText="1"/>
    </xf>
    <xf numFmtId="0" fontId="38" fillId="0" borderId="0" xfId="103" applyFont="1" applyFill="1"/>
    <xf numFmtId="0" fontId="76" fillId="0" borderId="0" xfId="0" applyFont="1" applyAlignment="1">
      <alignment horizontal="left" wrapText="1"/>
    </xf>
    <xf numFmtId="0" fontId="76" fillId="0" borderId="1" xfId="0" applyFont="1" applyBorder="1" applyAlignment="1">
      <alignment horizontal="center" vertical="center" wrapText="1"/>
    </xf>
    <xf numFmtId="4" fontId="76" fillId="60" borderId="11" xfId="120" applyNumberFormat="1" applyFont="1" applyFill="1" applyBorder="1" applyAlignment="1" applyProtection="1">
      <alignment horizontal="right" vertical="center" wrapText="1"/>
      <protection locked="0"/>
    </xf>
    <xf numFmtId="4" fontId="76" fillId="60" borderId="1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11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1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14" xfId="120" applyNumberFormat="1" applyFont="1" applyFill="1" applyBorder="1" applyAlignment="1" applyProtection="1">
      <alignment horizontal="right" vertical="center" wrapText="1"/>
      <protection locked="0"/>
    </xf>
    <xf numFmtId="0" fontId="76" fillId="0" borderId="0" xfId="0" applyFont="1"/>
    <xf numFmtId="3" fontId="38" fillId="0" borderId="1" xfId="103" applyNumberFormat="1" applyFont="1" applyFill="1" applyBorder="1" applyAlignment="1">
      <alignment horizontal="right" vertical="center"/>
    </xf>
    <xf numFmtId="0" fontId="38" fillId="0" borderId="1" xfId="103" applyFont="1" applyFill="1" applyBorder="1" applyAlignment="1">
      <alignment horizontal="right" vertical="center"/>
    </xf>
    <xf numFmtId="0" fontId="36" fillId="0" borderId="1" xfId="0" applyFont="1" applyBorder="1" applyAlignment="1">
      <alignment horizontal="justify"/>
    </xf>
    <xf numFmtId="0" fontId="36" fillId="0" borderId="1" xfId="0" applyFont="1" applyBorder="1"/>
    <xf numFmtId="43" fontId="37" fillId="3" borderId="1" xfId="0" applyNumberFormat="1" applyFont="1" applyFill="1" applyBorder="1" applyAlignment="1">
      <alignment horizontal="right" vertical="center" wrapText="1"/>
    </xf>
    <xf numFmtId="166" fontId="91" fillId="6" borderId="0" xfId="0" applyNumberFormat="1" applyFont="1" applyFill="1" applyBorder="1" applyAlignment="1">
      <alignment vertical="center" wrapText="1"/>
    </xf>
    <xf numFmtId="49" fontId="36" fillId="38" borderId="1" xfId="0" applyNumberFormat="1" applyFont="1" applyFill="1" applyBorder="1" applyAlignment="1">
      <alignment horizontal="right"/>
    </xf>
    <xf numFmtId="0" fontId="36" fillId="38" borderId="1" xfId="0" applyFont="1" applyFill="1" applyBorder="1" applyAlignment="1">
      <alignment horizontal="right"/>
    </xf>
    <xf numFmtId="4" fontId="36" fillId="0" borderId="1" xfId="0" applyNumberFormat="1" applyFont="1" applyBorder="1"/>
    <xf numFmtId="0" fontId="70" fillId="0" borderId="0" xfId="121"/>
    <xf numFmtId="10" fontId="70" fillId="0" borderId="1" xfId="121" applyNumberFormat="1" applyFill="1" applyBorder="1"/>
    <xf numFmtId="188" fontId="70" fillId="0" borderId="1" xfId="121" applyNumberFormat="1" applyBorder="1"/>
    <xf numFmtId="0" fontId="70" fillId="0" borderId="1" xfId="121" applyBorder="1"/>
    <xf numFmtId="178" fontId="70" fillId="0" borderId="1" xfId="121" applyNumberFormat="1" applyBorder="1"/>
    <xf numFmtId="10" fontId="70" fillId="0" borderId="0" xfId="121" applyNumberFormat="1"/>
    <xf numFmtId="178" fontId="110" fillId="62" borderId="140" xfId="121" applyNumberFormat="1" applyFont="1" applyFill="1" applyBorder="1" applyAlignment="1">
      <alignment horizontal="right" vertical="top" wrapText="1"/>
    </xf>
    <xf numFmtId="0" fontId="70" fillId="60" borderId="140" xfId="121" applyNumberFormat="1" applyFont="1" applyFill="1" applyBorder="1" applyAlignment="1">
      <alignment horizontal="right" vertical="top" wrapText="1"/>
    </xf>
    <xf numFmtId="178" fontId="70" fillId="60" borderId="140" xfId="121" applyNumberFormat="1" applyFont="1" applyFill="1" applyBorder="1" applyAlignment="1">
      <alignment horizontal="right" vertical="top" wrapText="1"/>
    </xf>
    <xf numFmtId="0" fontId="70" fillId="60" borderId="140" xfId="121" applyNumberFormat="1" applyFont="1" applyFill="1" applyBorder="1" applyAlignment="1">
      <alignment vertical="top" wrapText="1"/>
    </xf>
    <xf numFmtId="2" fontId="70" fillId="60" borderId="140" xfId="121" applyNumberFormat="1" applyFont="1" applyFill="1" applyBorder="1" applyAlignment="1">
      <alignment horizontal="left" vertical="top" wrapText="1"/>
    </xf>
    <xf numFmtId="1" fontId="70" fillId="60" borderId="140" xfId="121" applyNumberFormat="1" applyFont="1" applyFill="1" applyBorder="1" applyAlignment="1">
      <alignment horizontal="right" vertical="top" wrapText="1"/>
    </xf>
    <xf numFmtId="0" fontId="70" fillId="60" borderId="140" xfId="121" applyNumberFormat="1" applyFont="1" applyFill="1" applyBorder="1" applyAlignment="1">
      <alignment vertical="top" wrapText="1" indent="1"/>
    </xf>
    <xf numFmtId="169" fontId="70" fillId="60" borderId="140" xfId="121" applyNumberFormat="1" applyFont="1" applyFill="1" applyBorder="1" applyAlignment="1">
      <alignment horizontal="left" vertical="top" wrapText="1"/>
    </xf>
    <xf numFmtId="1" fontId="70" fillId="60" borderId="140" xfId="121" applyNumberFormat="1" applyFont="1" applyFill="1" applyBorder="1" applyAlignment="1">
      <alignment horizontal="left" vertical="top" wrapText="1"/>
    </xf>
    <xf numFmtId="189" fontId="70" fillId="60" borderId="140" xfId="121" applyNumberFormat="1" applyFont="1" applyFill="1" applyBorder="1" applyAlignment="1">
      <alignment horizontal="right" vertical="top" wrapText="1"/>
    </xf>
    <xf numFmtId="1" fontId="70" fillId="60" borderId="140" xfId="121" applyNumberFormat="1" applyFont="1" applyFill="1" applyBorder="1" applyAlignment="1">
      <alignment horizontal="left" vertical="top" wrapText="1" indent="1"/>
    </xf>
    <xf numFmtId="178" fontId="111" fillId="63" borderId="140" xfId="121" applyNumberFormat="1" applyFont="1" applyFill="1" applyBorder="1" applyAlignment="1">
      <alignment horizontal="right" vertical="top" wrapText="1"/>
    </xf>
    <xf numFmtId="0" fontId="111" fillId="64" borderId="140" xfId="121" applyNumberFormat="1" applyFont="1" applyFill="1" applyBorder="1" applyAlignment="1">
      <alignment vertical="top" wrapText="1"/>
    </xf>
    <xf numFmtId="0" fontId="110" fillId="62" borderId="140" xfId="121" applyNumberFormat="1" applyFont="1" applyFill="1" applyBorder="1" applyAlignment="1">
      <alignment horizontal="center" vertical="top" wrapText="1"/>
    </xf>
    <xf numFmtId="0" fontId="110" fillId="62" borderId="140" xfId="121" applyNumberFormat="1" applyFont="1" applyFill="1" applyBorder="1" applyAlignment="1">
      <alignment horizontal="left" vertical="top" wrapText="1"/>
    </xf>
    <xf numFmtId="0" fontId="110" fillId="62" borderId="140" xfId="121" applyNumberFormat="1" applyFont="1" applyFill="1" applyBorder="1" applyAlignment="1">
      <alignment vertical="top"/>
    </xf>
    <xf numFmtId="0" fontId="112" fillId="0" borderId="0" xfId="121" applyNumberFormat="1" applyFont="1" applyAlignment="1">
      <alignment vertical="top"/>
    </xf>
    <xf numFmtId="0" fontId="113" fillId="0" borderId="0" xfId="121" applyNumberFormat="1" applyFont="1" applyAlignment="1">
      <alignment vertical="top"/>
    </xf>
    <xf numFmtId="1" fontId="70" fillId="61" borderId="140" xfId="121" applyNumberFormat="1" applyFont="1" applyFill="1" applyBorder="1" applyAlignment="1">
      <alignment horizontal="left" vertical="top" wrapText="1" indent="1"/>
    </xf>
    <xf numFmtId="0" fontId="70" fillId="61" borderId="140" xfId="121" applyNumberFormat="1" applyFont="1" applyFill="1" applyBorder="1" applyAlignment="1">
      <alignment vertical="top" wrapText="1"/>
    </xf>
    <xf numFmtId="1" fontId="70" fillId="61" borderId="140" xfId="121" applyNumberFormat="1" applyFont="1" applyFill="1" applyBorder="1" applyAlignment="1">
      <alignment horizontal="right" vertical="top" wrapText="1"/>
    </xf>
    <xf numFmtId="189" fontId="70" fillId="61" borderId="140" xfId="121" applyNumberFormat="1" applyFont="1" applyFill="1" applyBorder="1" applyAlignment="1">
      <alignment horizontal="right" vertical="top" wrapText="1"/>
    </xf>
    <xf numFmtId="178" fontId="70" fillId="61" borderId="140" xfId="121" applyNumberFormat="1" applyFont="1" applyFill="1" applyBorder="1" applyAlignment="1">
      <alignment horizontal="right" vertical="top" wrapText="1"/>
    </xf>
    <xf numFmtId="0" fontId="70" fillId="61" borderId="140" xfId="121" applyNumberFormat="1" applyFont="1" applyFill="1" applyBorder="1" applyAlignment="1">
      <alignment horizontal="right" vertical="top" wrapText="1"/>
    </xf>
    <xf numFmtId="10" fontId="70" fillId="61" borderId="0" xfId="121" applyNumberFormat="1" applyFill="1"/>
    <xf numFmtId="0" fontId="70" fillId="61" borderId="0" xfId="121" applyFill="1"/>
    <xf numFmtId="165" fontId="38" fillId="0" borderId="1" xfId="0" applyNumberFormat="1" applyFont="1" applyFill="1" applyBorder="1" applyAlignment="1">
      <alignment horizontal="left" vertical="center" wrapText="1"/>
    </xf>
    <xf numFmtId="0" fontId="111" fillId="53" borderId="140" xfId="121" applyNumberFormat="1" applyFont="1" applyFill="1" applyBorder="1" applyAlignment="1">
      <alignment vertical="top" wrapText="1"/>
    </xf>
    <xf numFmtId="178" fontId="111" fillId="53" borderId="140" xfId="121" applyNumberFormat="1" applyFont="1" applyFill="1" applyBorder="1" applyAlignment="1">
      <alignment horizontal="right" vertical="top" wrapText="1"/>
    </xf>
    <xf numFmtId="10" fontId="70" fillId="53" borderId="0" xfId="121" applyNumberFormat="1" applyFill="1"/>
    <xf numFmtId="0" fontId="70" fillId="53" borderId="0" xfId="121" applyFill="1"/>
    <xf numFmtId="1" fontId="70" fillId="53" borderId="140" xfId="121" applyNumberFormat="1" applyFont="1" applyFill="1" applyBorder="1" applyAlignment="1">
      <alignment horizontal="left" vertical="top" wrapText="1" indent="1"/>
    </xf>
    <xf numFmtId="0" fontId="70" fillId="53" borderId="140" xfId="121" applyNumberFormat="1" applyFont="1" applyFill="1" applyBorder="1" applyAlignment="1">
      <alignment vertical="top" wrapText="1"/>
    </xf>
    <xf numFmtId="1" fontId="70" fillId="53" borderId="140" xfId="121" applyNumberFormat="1" applyFont="1" applyFill="1" applyBorder="1" applyAlignment="1">
      <alignment horizontal="right" vertical="top" wrapText="1"/>
    </xf>
    <xf numFmtId="178" fontId="70" fillId="53" borderId="140" xfId="121" applyNumberFormat="1" applyFont="1" applyFill="1" applyBorder="1" applyAlignment="1">
      <alignment horizontal="right" vertical="top" wrapText="1"/>
    </xf>
    <xf numFmtId="0" fontId="70" fillId="53" borderId="140" xfId="121" applyNumberFormat="1" applyFont="1" applyFill="1" applyBorder="1" applyAlignment="1">
      <alignment horizontal="right" vertical="top" wrapText="1"/>
    </xf>
    <xf numFmtId="189" fontId="70" fillId="53" borderId="140" xfId="121" applyNumberFormat="1" applyFont="1" applyFill="1" applyBorder="1" applyAlignment="1">
      <alignment horizontal="right" vertical="top" wrapText="1"/>
    </xf>
    <xf numFmtId="0" fontId="70" fillId="53" borderId="140" xfId="121" applyNumberFormat="1" applyFont="1" applyFill="1" applyBorder="1" applyAlignment="1">
      <alignment vertical="top" wrapText="1" indent="1"/>
    </xf>
    <xf numFmtId="1" fontId="70" fillId="53" borderId="140" xfId="121" applyNumberFormat="1" applyFont="1" applyFill="1" applyBorder="1" applyAlignment="1">
      <alignment horizontal="left" vertical="top" wrapText="1"/>
    </xf>
    <xf numFmtId="1" fontId="70" fillId="0" borderId="140" xfId="121" applyNumberFormat="1" applyFont="1" applyFill="1" applyBorder="1" applyAlignment="1">
      <alignment horizontal="left" vertical="top" wrapText="1" indent="1"/>
    </xf>
    <xf numFmtId="0" fontId="70" fillId="0" borderId="140" xfId="121" applyNumberFormat="1" applyFont="1" applyFill="1" applyBorder="1" applyAlignment="1">
      <alignment vertical="top" wrapText="1"/>
    </xf>
    <xf numFmtId="1" fontId="70" fillId="0" borderId="140" xfId="121" applyNumberFormat="1" applyFont="1" applyFill="1" applyBorder="1" applyAlignment="1">
      <alignment horizontal="right" vertical="top" wrapText="1"/>
    </xf>
    <xf numFmtId="189" fontId="70" fillId="0" borderId="140" xfId="121" applyNumberFormat="1" applyFont="1" applyFill="1" applyBorder="1" applyAlignment="1">
      <alignment horizontal="right" vertical="top" wrapText="1"/>
    </xf>
    <xf numFmtId="178" fontId="70" fillId="0" borderId="140" xfId="121" applyNumberFormat="1" applyFont="1" applyFill="1" applyBorder="1" applyAlignment="1">
      <alignment horizontal="right" vertical="top" wrapText="1"/>
    </xf>
    <xf numFmtId="0" fontId="70" fillId="0" borderId="140" xfId="121" applyNumberFormat="1" applyFont="1" applyFill="1" applyBorder="1" applyAlignment="1">
      <alignment horizontal="right" vertical="top" wrapText="1"/>
    </xf>
    <xf numFmtId="10" fontId="70" fillId="0" borderId="0" xfId="121" applyNumberFormat="1" applyFill="1"/>
    <xf numFmtId="0" fontId="70" fillId="0" borderId="0" xfId="121" applyFill="1"/>
    <xf numFmtId="1" fontId="70" fillId="0" borderId="140" xfId="121" applyNumberFormat="1" applyFont="1" applyFill="1" applyBorder="1" applyAlignment="1">
      <alignment horizontal="left" vertical="top" wrapText="1"/>
    </xf>
    <xf numFmtId="169" fontId="70" fillId="0" borderId="140" xfId="121" applyNumberFormat="1" applyFont="1" applyFill="1" applyBorder="1" applyAlignment="1">
      <alignment horizontal="left" vertical="top" wrapText="1"/>
    </xf>
    <xf numFmtId="0" fontId="70" fillId="0" borderId="140" xfId="121" applyNumberFormat="1" applyFont="1" applyFill="1" applyBorder="1" applyAlignment="1">
      <alignment vertical="top" wrapText="1" indent="1"/>
    </xf>
    <xf numFmtId="2" fontId="70" fillId="0" borderId="140" xfId="121" applyNumberFormat="1" applyFont="1" applyFill="1" applyBorder="1" applyAlignment="1">
      <alignment horizontal="left" vertical="top" wrapText="1"/>
    </xf>
    <xf numFmtId="0" fontId="84" fillId="0" borderId="126" xfId="97" applyFont="1" applyFill="1" applyBorder="1" applyAlignment="1">
      <alignment horizontal="left" vertical="top" wrapText="1"/>
    </xf>
    <xf numFmtId="0" fontId="84" fillId="0" borderId="0" xfId="97" applyFont="1" applyFill="1" applyBorder="1" applyAlignment="1">
      <alignment horizontal="left" vertical="top" wrapText="1"/>
    </xf>
    <xf numFmtId="0" fontId="82" fillId="0" borderId="0" xfId="97" applyFont="1" applyFill="1" applyAlignment="1">
      <alignment horizontal="center" vertical="center" wrapText="1"/>
    </xf>
    <xf numFmtId="0" fontId="82" fillId="0" borderId="0" xfId="97" applyFont="1" applyFill="1" applyAlignment="1">
      <alignment horizontal="left" vertical="center" wrapText="1"/>
    </xf>
    <xf numFmtId="0" fontId="84" fillId="0" borderId="127" xfId="97" applyFont="1" applyFill="1" applyBorder="1" applyAlignment="1">
      <alignment horizontal="left" vertical="top" wrapText="1"/>
    </xf>
    <xf numFmtId="0" fontId="70" fillId="0" borderId="0" xfId="121" applyAlignment="1">
      <alignment horizontal="center"/>
    </xf>
    <xf numFmtId="188" fontId="70" fillId="0" borderId="0" xfId="121" applyNumberFormat="1"/>
    <xf numFmtId="43" fontId="91" fillId="6" borderId="1" xfId="0" applyNumberFormat="1" applyFont="1" applyFill="1" applyBorder="1" applyAlignment="1">
      <alignment horizontal="center"/>
    </xf>
    <xf numFmtId="43" fontId="91" fillId="2" borderId="1" xfId="0" applyNumberFormat="1" applyFont="1" applyFill="1" applyBorder="1" applyAlignment="1">
      <alignment horizontal="center"/>
    </xf>
    <xf numFmtId="43" fontId="91" fillId="0" borderId="1" xfId="0" applyNumberFormat="1" applyFont="1" applyFill="1" applyBorder="1" applyAlignment="1">
      <alignment horizontal="center"/>
    </xf>
    <xf numFmtId="43" fontId="91" fillId="3" borderId="1" xfId="0" applyNumberFormat="1" applyFont="1" applyFill="1" applyBorder="1" applyAlignment="1">
      <alignment horizontal="center" vertical="center" wrapText="1"/>
    </xf>
    <xf numFmtId="43" fontId="91" fillId="3" borderId="1" xfId="0" applyNumberFormat="1" applyFont="1" applyFill="1" applyBorder="1" applyAlignment="1">
      <alignment horizontal="center"/>
    </xf>
    <xf numFmtId="43" fontId="91" fillId="36" borderId="1" xfId="0" applyNumberFormat="1" applyFont="1" applyFill="1" applyBorder="1" applyAlignment="1">
      <alignment horizontal="center" vertical="center" wrapText="1"/>
    </xf>
    <xf numFmtId="43" fontId="91" fillId="0" borderId="1" xfId="0" applyNumberFormat="1" applyFont="1" applyFill="1" applyBorder="1" applyAlignment="1">
      <alignment horizontal="center" vertical="center" wrapText="1"/>
    </xf>
    <xf numFmtId="43" fontId="93" fillId="3" borderId="1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78" fontId="70" fillId="0" borderId="0" xfId="121" applyNumberFormat="1"/>
    <xf numFmtId="190" fontId="70" fillId="0" borderId="0" xfId="121" applyNumberFormat="1"/>
    <xf numFmtId="0" fontId="92" fillId="0" borderId="1" xfId="0" applyNumberFormat="1" applyFont="1" applyFill="1" applyBorder="1" applyAlignment="1">
      <alignment vertical="center"/>
    </xf>
    <xf numFmtId="43" fontId="91" fillId="36" borderId="1" xfId="0" applyNumberFormat="1" applyFont="1" applyFill="1" applyBorder="1" applyAlignment="1">
      <alignment vertical="center"/>
    </xf>
    <xf numFmtId="181" fontId="87" fillId="47" borderId="0" xfId="113" applyNumberFormat="1" applyFont="1" applyBorder="1" applyAlignment="1">
      <alignment horizontal="right" vertical="center"/>
    </xf>
    <xf numFmtId="176" fontId="38" fillId="0" borderId="1" xfId="104" applyNumberFormat="1" applyFont="1" applyFill="1" applyBorder="1" applyAlignment="1">
      <alignment horizontal="center" vertical="center"/>
    </xf>
    <xf numFmtId="0" fontId="38" fillId="0" borderId="1" xfId="104" applyNumberFormat="1" applyFont="1" applyFill="1" applyBorder="1" applyAlignment="1">
      <alignment horizontal="center" vertical="center"/>
    </xf>
    <xf numFmtId="0" fontId="38" fillId="0" borderId="1" xfId="107" applyFont="1" applyFill="1" applyBorder="1" applyAlignment="1">
      <alignment horizontal="center" vertical="center" wrapText="1"/>
    </xf>
    <xf numFmtId="4" fontId="76" fillId="60" borderId="10" xfId="120" applyNumberFormat="1" applyFont="1" applyFill="1" applyBorder="1" applyAlignment="1" applyProtection="1">
      <alignment horizontal="right" vertical="center" wrapText="1"/>
      <protection locked="0"/>
    </xf>
    <xf numFmtId="4" fontId="76" fillId="60" borderId="9" xfId="120" applyNumberFormat="1" applyFont="1" applyFill="1" applyBorder="1" applyAlignment="1" applyProtection="1">
      <alignment horizontal="right" vertical="center" wrapText="1"/>
      <protection locked="0"/>
    </xf>
    <xf numFmtId="4" fontId="77" fillId="56" borderId="16" xfId="120" applyNumberFormat="1" applyFont="1" applyFill="1" applyBorder="1" applyAlignment="1">
      <alignment horizontal="right" vertical="center" wrapText="1"/>
    </xf>
    <xf numFmtId="4" fontId="77" fillId="56" borderId="136" xfId="120" applyNumberFormat="1" applyFont="1" applyFill="1" applyBorder="1" applyAlignment="1">
      <alignment horizontal="right" vertical="center" wrapText="1"/>
    </xf>
    <xf numFmtId="4" fontId="77" fillId="6" borderId="10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9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16" xfId="120" applyNumberFormat="1" applyFont="1" applyFill="1" applyBorder="1" applyAlignment="1" applyProtection="1">
      <alignment horizontal="right" vertical="center" wrapText="1"/>
      <protection locked="0"/>
    </xf>
    <xf numFmtId="4" fontId="38" fillId="0" borderId="1" xfId="105" applyNumberFormat="1" applyFont="1" applyFill="1" applyBorder="1" applyAlignment="1">
      <alignment horizontal="right" vertical="center"/>
    </xf>
    <xf numFmtId="4" fontId="38" fillId="0" borderId="1" xfId="105" applyNumberFormat="1" applyFont="1" applyFill="1" applyBorder="1" applyAlignment="1">
      <alignment horizontal="right" vertical="center" wrapText="1"/>
    </xf>
    <xf numFmtId="175" fontId="38" fillId="0" borderId="1" xfId="105" applyNumberFormat="1" applyFont="1" applyFill="1" applyBorder="1" applyAlignment="1">
      <alignment horizontal="right" vertical="center" wrapText="1"/>
    </xf>
    <xf numFmtId="0" fontId="94" fillId="0" borderId="5" xfId="1" applyFont="1" applyFill="1" applyBorder="1" applyAlignment="1"/>
    <xf numFmtId="0" fontId="94" fillId="0" borderId="6" xfId="1" applyFont="1" applyFill="1" applyBorder="1" applyAlignment="1"/>
    <xf numFmtId="166" fontId="91" fillId="6" borderId="6" xfId="0" applyNumberFormat="1" applyFont="1" applyFill="1" applyBorder="1" applyAlignment="1">
      <alignment vertical="center" wrapText="1"/>
    </xf>
    <xf numFmtId="166" fontId="91" fillId="2" borderId="6" xfId="0" applyNumberFormat="1" applyFont="1" applyFill="1" applyBorder="1" applyAlignment="1">
      <alignment vertical="center" wrapText="1"/>
    </xf>
    <xf numFmtId="166" fontId="92" fillId="0" borderId="6" xfId="0" applyNumberFormat="1" applyFont="1" applyFill="1" applyBorder="1" applyAlignment="1">
      <alignment vertical="center" wrapText="1"/>
    </xf>
    <xf numFmtId="1" fontId="70" fillId="6" borderId="140" xfId="121" applyNumberFormat="1" applyFont="1" applyFill="1" applyBorder="1" applyAlignment="1">
      <alignment horizontal="left" vertical="top" wrapText="1" indent="1"/>
    </xf>
    <xf numFmtId="0" fontId="70" fillId="6" borderId="140" xfId="121" applyNumberFormat="1" applyFont="1" applyFill="1" applyBorder="1" applyAlignment="1">
      <alignment vertical="top" wrapText="1"/>
    </xf>
    <xf numFmtId="1" fontId="70" fillId="6" borderId="140" xfId="121" applyNumberFormat="1" applyFont="1" applyFill="1" applyBorder="1" applyAlignment="1">
      <alignment horizontal="right" vertical="top" wrapText="1"/>
    </xf>
    <xf numFmtId="189" fontId="70" fillId="6" borderId="140" xfId="121" applyNumberFormat="1" applyFont="1" applyFill="1" applyBorder="1" applyAlignment="1">
      <alignment horizontal="right" vertical="top" wrapText="1"/>
    </xf>
    <xf numFmtId="178" fontId="70" fillId="6" borderId="140" xfId="121" applyNumberFormat="1" applyFont="1" applyFill="1" applyBorder="1" applyAlignment="1">
      <alignment horizontal="right" vertical="top" wrapText="1"/>
    </xf>
    <xf numFmtId="0" fontId="70" fillId="6" borderId="140" xfId="121" applyNumberFormat="1" applyFont="1" applyFill="1" applyBorder="1" applyAlignment="1">
      <alignment horizontal="right" vertical="top" wrapText="1"/>
    </xf>
    <xf numFmtId="10" fontId="70" fillId="6" borderId="0" xfId="121" applyNumberFormat="1" applyFill="1"/>
    <xf numFmtId="0" fontId="70" fillId="6" borderId="0" xfId="121" applyFill="1"/>
    <xf numFmtId="0" fontId="91" fillId="2" borderId="1" xfId="0" applyNumberFormat="1" applyFont="1" applyFill="1" applyBorder="1" applyAlignment="1">
      <alignment horizontal="left" vertical="justify" wrapText="1"/>
    </xf>
    <xf numFmtId="49" fontId="92" fillId="0" borderId="1" xfId="0" applyNumberFormat="1" applyFont="1" applyFill="1" applyBorder="1" applyAlignment="1">
      <alignment vertical="center" wrapText="1"/>
    </xf>
    <xf numFmtId="0" fontId="114" fillId="5" borderId="1" xfId="0" applyFont="1" applyFill="1" applyBorder="1" applyAlignment="1">
      <alignment vertical="center" wrapText="1"/>
    </xf>
    <xf numFmtId="0" fontId="38" fillId="5" borderId="1" xfId="0" applyFont="1" applyFill="1" applyBorder="1" applyAlignment="1">
      <alignment vertical="center"/>
    </xf>
    <xf numFmtId="0" fontId="38" fillId="0" borderId="0" xfId="0" applyFont="1" applyFill="1" applyAlignment="1">
      <alignment vertical="center" wrapText="1"/>
    </xf>
    <xf numFmtId="0" fontId="38" fillId="0" borderId="1" xfId="0" applyFont="1" applyFill="1" applyBorder="1" applyAlignment="1">
      <alignment vertical="center" wrapText="1"/>
    </xf>
    <xf numFmtId="43" fontId="115" fillId="0" borderId="1" xfId="0" applyNumberFormat="1" applyFont="1" applyFill="1" applyBorder="1" applyAlignment="1"/>
    <xf numFmtId="43" fontId="116" fillId="0" borderId="1" xfId="0" applyNumberFormat="1" applyFont="1" applyFill="1" applyBorder="1" applyAlignment="1"/>
    <xf numFmtId="0" fontId="37" fillId="0" borderId="0" xfId="0" applyFont="1" applyAlignment="1">
      <alignment horizontal="center"/>
    </xf>
    <xf numFmtId="0" fontId="0" fillId="6" borderId="0" xfId="0" applyFill="1"/>
    <xf numFmtId="3" fontId="93" fillId="0" borderId="0" xfId="0" applyNumberFormat="1" applyFont="1" applyFill="1" applyBorder="1" applyAlignment="1">
      <alignment horizontal="center" vertical="center" wrapText="1"/>
    </xf>
    <xf numFmtId="166" fontId="93" fillId="0" borderId="0" xfId="0" applyNumberFormat="1" applyFont="1" applyFill="1" applyBorder="1" applyAlignment="1">
      <alignment horizontal="left" vertical="center" wrapText="1"/>
    </xf>
    <xf numFmtId="0" fontId="93" fillId="0" borderId="0" xfId="0" applyFont="1" applyFill="1" applyBorder="1" applyAlignment="1">
      <alignment horizontal="left" vertical="center" wrapText="1"/>
    </xf>
    <xf numFmtId="166" fontId="94" fillId="0" borderId="0" xfId="0" applyNumberFormat="1" applyFont="1" applyFill="1" applyBorder="1" applyAlignment="1">
      <alignment horizontal="left" vertical="center" wrapText="1"/>
    </xf>
    <xf numFmtId="0" fontId="94" fillId="0" borderId="0" xfId="0" applyFont="1" applyFill="1" applyBorder="1" applyAlignment="1">
      <alignment horizontal="left" vertical="center" wrapText="1"/>
    </xf>
    <xf numFmtId="3" fontId="94" fillId="0" borderId="0" xfId="1" applyNumberFormat="1" applyFont="1" applyFill="1" applyBorder="1" applyAlignment="1">
      <alignment horizontal="center"/>
    </xf>
    <xf numFmtId="0" fontId="94" fillId="0" borderId="0" xfId="1" applyFont="1" applyFill="1" applyBorder="1" applyAlignment="1">
      <alignment horizontal="left"/>
    </xf>
    <xf numFmtId="166" fontId="94" fillId="0" borderId="0" xfId="0" applyNumberFormat="1" applyFont="1" applyFill="1" applyBorder="1" applyAlignment="1">
      <alignment vertical="center" wrapText="1"/>
    </xf>
    <xf numFmtId="166" fontId="93" fillId="0" borderId="0" xfId="0" applyNumberFormat="1" applyFont="1" applyFill="1" applyBorder="1" applyAlignment="1">
      <alignment horizontal="right" vertical="center" wrapText="1"/>
    </xf>
    <xf numFmtId="165" fontId="91" fillId="0" borderId="0" xfId="0" applyNumberFormat="1" applyFont="1" applyFill="1" applyBorder="1" applyAlignment="1">
      <alignment horizontal="center" vertical="center" wrapText="1"/>
    </xf>
    <xf numFmtId="166" fontId="91" fillId="0" borderId="0" xfId="0" applyNumberFormat="1" applyFont="1" applyFill="1" applyBorder="1" applyAlignment="1">
      <alignment vertical="center" wrapText="1"/>
    </xf>
    <xf numFmtId="3" fontId="20" fillId="29" borderId="144" xfId="47" applyNumberFormat="1" applyFont="1" applyBorder="1" applyAlignment="1">
      <alignment horizontal="center" vertical="center" wrapText="1"/>
    </xf>
    <xf numFmtId="3" fontId="20" fillId="29" borderId="145" xfId="47" applyNumberFormat="1" applyFont="1" applyBorder="1" applyAlignment="1">
      <alignment horizontal="center" vertical="center" wrapText="1"/>
    </xf>
    <xf numFmtId="3" fontId="20" fillId="29" borderId="146" xfId="47" applyNumberFormat="1" applyFont="1" applyBorder="1" applyAlignment="1">
      <alignment horizontal="center" vertical="center" wrapText="1"/>
    </xf>
    <xf numFmtId="3" fontId="20" fillId="29" borderId="141" xfId="47" applyNumberFormat="1" applyFont="1" applyBorder="1" applyAlignment="1">
      <alignment horizontal="center"/>
    </xf>
    <xf numFmtId="3" fontId="20" fillId="29" borderId="142" xfId="47" applyNumberFormat="1" applyFont="1" applyBorder="1" applyAlignment="1">
      <alignment horizontal="center"/>
    </xf>
    <xf numFmtId="3" fontId="20" fillId="29" borderId="143" xfId="47" applyNumberFormat="1" applyFont="1" applyBorder="1" applyAlignment="1">
      <alignment horizontal="center"/>
    </xf>
    <xf numFmtId="3" fontId="20" fillId="29" borderId="145" xfId="47" applyNumberFormat="1" applyFont="1" applyBorder="1" applyAlignment="1">
      <alignment horizontal="center" vertical="center"/>
    </xf>
    <xf numFmtId="3" fontId="20" fillId="29" borderId="146" xfId="47" applyNumberFormat="1" applyFont="1" applyBorder="1" applyAlignment="1">
      <alignment horizontal="center" vertical="center"/>
    </xf>
    <xf numFmtId="166" fontId="94" fillId="0" borderId="0" xfId="0" applyNumberFormat="1" applyFont="1" applyFill="1" applyAlignment="1">
      <alignment vertical="center" wrapText="1"/>
    </xf>
    <xf numFmtId="4" fontId="103" fillId="0" borderId="0" xfId="120" applyNumberFormat="1" applyFont="1"/>
    <xf numFmtId="3" fontId="20" fillId="29" borderId="152" xfId="47" applyNumberFormat="1" applyFont="1" applyBorder="1" applyAlignment="1">
      <alignment horizontal="center"/>
    </xf>
    <xf numFmtId="3" fontId="20" fillId="29" borderId="153" xfId="47" applyNumberFormat="1" applyFont="1" applyBorder="1" applyAlignment="1">
      <alignment horizontal="center" vertical="center"/>
    </xf>
    <xf numFmtId="3" fontId="77" fillId="6" borderId="2" xfId="0" applyNumberFormat="1" applyFont="1" applyFill="1" applyBorder="1" applyAlignment="1">
      <alignment vertical="center" wrapText="1"/>
    </xf>
    <xf numFmtId="1" fontId="70" fillId="2" borderId="140" xfId="121" applyNumberFormat="1" applyFont="1" applyFill="1" applyBorder="1" applyAlignment="1">
      <alignment horizontal="left" vertical="top" wrapText="1" indent="1"/>
    </xf>
    <xf numFmtId="0" fontId="70" fillId="2" borderId="140" xfId="121" applyNumberFormat="1" applyFont="1" applyFill="1" applyBorder="1" applyAlignment="1">
      <alignment vertical="top" wrapText="1"/>
    </xf>
    <xf numFmtId="1" fontId="70" fillId="2" borderId="140" xfId="121" applyNumberFormat="1" applyFont="1" applyFill="1" applyBorder="1" applyAlignment="1">
      <alignment horizontal="right" vertical="top" wrapText="1"/>
    </xf>
    <xf numFmtId="189" fontId="70" fillId="2" borderId="140" xfId="121" applyNumberFormat="1" applyFont="1" applyFill="1" applyBorder="1" applyAlignment="1">
      <alignment horizontal="right" vertical="top" wrapText="1"/>
    </xf>
    <xf numFmtId="178" fontId="70" fillId="2" borderId="140" xfId="121" applyNumberFormat="1" applyFont="1" applyFill="1" applyBorder="1" applyAlignment="1">
      <alignment horizontal="right" vertical="top" wrapText="1"/>
    </xf>
    <xf numFmtId="0" fontId="70" fillId="2" borderId="140" xfId="121" applyNumberFormat="1" applyFont="1" applyFill="1" applyBorder="1" applyAlignment="1">
      <alignment horizontal="right" vertical="top" wrapText="1"/>
    </xf>
    <xf numFmtId="10" fontId="70" fillId="2" borderId="0" xfId="121" applyNumberFormat="1" applyFill="1"/>
    <xf numFmtId="0" fontId="70" fillId="2" borderId="0" xfId="121" applyFill="1"/>
    <xf numFmtId="169" fontId="70" fillId="2" borderId="140" xfId="121" applyNumberFormat="1" applyFont="1" applyFill="1" applyBorder="1" applyAlignment="1">
      <alignment horizontal="left" vertical="top" wrapText="1"/>
    </xf>
    <xf numFmtId="0" fontId="70" fillId="60" borderId="154" xfId="122" applyNumberFormat="1" applyFont="1" applyFill="1" applyBorder="1" applyAlignment="1">
      <alignment vertical="top" wrapText="1"/>
    </xf>
    <xf numFmtId="1" fontId="70" fillId="60" borderId="154" xfId="122" applyNumberFormat="1" applyFont="1" applyFill="1" applyBorder="1" applyAlignment="1">
      <alignment horizontal="right" vertical="top" wrapText="1"/>
    </xf>
    <xf numFmtId="1" fontId="70" fillId="60" borderId="154" xfId="122" applyNumberFormat="1" applyFont="1" applyFill="1" applyBorder="1" applyAlignment="1">
      <alignment horizontal="left" vertical="top" wrapText="1"/>
    </xf>
    <xf numFmtId="178" fontId="70" fillId="60" borderId="154" xfId="122" applyNumberFormat="1" applyFont="1" applyFill="1" applyBorder="1" applyAlignment="1">
      <alignment horizontal="right" vertical="top" wrapText="1"/>
    </xf>
    <xf numFmtId="0" fontId="70" fillId="60" borderId="154" xfId="122" applyNumberFormat="1" applyFont="1" applyFill="1" applyBorder="1" applyAlignment="1">
      <alignment horizontal="right" vertical="top" wrapText="1"/>
    </xf>
    <xf numFmtId="1" fontId="117" fillId="0" borderId="140" xfId="121" applyNumberFormat="1" applyFont="1" applyFill="1" applyBorder="1" applyAlignment="1">
      <alignment horizontal="left" vertical="top" wrapText="1" indent="1"/>
    </xf>
    <xf numFmtId="0" fontId="117" fillId="0" borderId="140" xfId="121" applyNumberFormat="1" applyFont="1" applyFill="1" applyBorder="1" applyAlignment="1">
      <alignment vertical="top" wrapText="1"/>
    </xf>
    <xf numFmtId="1" fontId="117" fillId="0" borderId="140" xfId="121" applyNumberFormat="1" applyFont="1" applyFill="1" applyBorder="1" applyAlignment="1">
      <alignment horizontal="right" vertical="top" wrapText="1"/>
    </xf>
    <xf numFmtId="178" fontId="117" fillId="0" borderId="140" xfId="121" applyNumberFormat="1" applyFont="1" applyFill="1" applyBorder="1" applyAlignment="1">
      <alignment horizontal="right" vertical="top" wrapText="1"/>
    </xf>
    <xf numFmtId="0" fontId="117" fillId="0" borderId="140" xfId="121" applyNumberFormat="1" applyFont="1" applyFill="1" applyBorder="1" applyAlignment="1">
      <alignment horizontal="right" vertical="top" wrapText="1"/>
    </xf>
    <xf numFmtId="10" fontId="117" fillId="0" borderId="0" xfId="121" applyNumberFormat="1" applyFont="1" applyFill="1"/>
    <xf numFmtId="0" fontId="117" fillId="0" borderId="0" xfId="121" applyFont="1" applyFill="1"/>
    <xf numFmtId="1" fontId="70" fillId="3" borderId="140" xfId="121" applyNumberFormat="1" applyFont="1" applyFill="1" applyBorder="1" applyAlignment="1">
      <alignment horizontal="left" vertical="top" wrapText="1" indent="1"/>
    </xf>
    <xf numFmtId="0" fontId="70" fillId="3" borderId="140" xfId="121" applyNumberFormat="1" applyFont="1" applyFill="1" applyBorder="1" applyAlignment="1">
      <alignment vertical="top" wrapText="1"/>
    </xf>
    <xf numFmtId="1" fontId="70" fillId="3" borderId="140" xfId="121" applyNumberFormat="1" applyFont="1" applyFill="1" applyBorder="1" applyAlignment="1">
      <alignment horizontal="right" vertical="top" wrapText="1"/>
    </xf>
    <xf numFmtId="189" fontId="70" fillId="3" borderId="140" xfId="121" applyNumberFormat="1" applyFont="1" applyFill="1" applyBorder="1" applyAlignment="1">
      <alignment horizontal="right" vertical="top" wrapText="1"/>
    </xf>
    <xf numFmtId="178" fontId="70" fillId="3" borderId="140" xfId="121" applyNumberFormat="1" applyFont="1" applyFill="1" applyBorder="1" applyAlignment="1">
      <alignment horizontal="right" vertical="top" wrapText="1"/>
    </xf>
    <xf numFmtId="0" fontId="70" fillId="3" borderId="140" xfId="121" applyNumberFormat="1" applyFont="1" applyFill="1" applyBorder="1" applyAlignment="1">
      <alignment horizontal="right" vertical="top" wrapText="1"/>
    </xf>
    <xf numFmtId="10" fontId="70" fillId="3" borderId="0" xfId="121" applyNumberFormat="1" applyFill="1"/>
    <xf numFmtId="0" fontId="70" fillId="3" borderId="0" xfId="121" applyFill="1"/>
    <xf numFmtId="1" fontId="117" fillId="0" borderId="140" xfId="121" applyNumberFormat="1" applyFont="1" applyFill="1" applyBorder="1" applyAlignment="1">
      <alignment horizontal="left" vertical="top" wrapText="1"/>
    </xf>
    <xf numFmtId="189" fontId="117" fillId="0" borderId="140" xfId="121" applyNumberFormat="1" applyFont="1" applyFill="1" applyBorder="1" applyAlignment="1">
      <alignment horizontal="right" vertical="top" wrapText="1"/>
    </xf>
    <xf numFmtId="1" fontId="70" fillId="44" borderId="140" xfId="121" applyNumberFormat="1" applyFont="1" applyFill="1" applyBorder="1" applyAlignment="1">
      <alignment horizontal="left" vertical="top" wrapText="1" indent="1"/>
    </xf>
    <xf numFmtId="0" fontId="70" fillId="44" borderId="140" xfId="121" applyNumberFormat="1" applyFont="1" applyFill="1" applyBorder="1" applyAlignment="1">
      <alignment vertical="top" wrapText="1"/>
    </xf>
    <xf numFmtId="1" fontId="70" fillId="44" borderId="140" xfId="121" applyNumberFormat="1" applyFont="1" applyFill="1" applyBorder="1" applyAlignment="1">
      <alignment horizontal="right" vertical="top" wrapText="1"/>
    </xf>
    <xf numFmtId="178" fontId="70" fillId="44" borderId="140" xfId="121" applyNumberFormat="1" applyFont="1" applyFill="1" applyBorder="1" applyAlignment="1">
      <alignment horizontal="right" vertical="top" wrapText="1"/>
    </xf>
    <xf numFmtId="0" fontId="70" fillId="44" borderId="140" xfId="121" applyNumberFormat="1" applyFont="1" applyFill="1" applyBorder="1" applyAlignment="1">
      <alignment horizontal="right" vertical="top" wrapText="1"/>
    </xf>
    <xf numFmtId="10" fontId="70" fillId="44" borderId="0" xfId="121" applyNumberFormat="1" applyFill="1"/>
    <xf numFmtId="0" fontId="70" fillId="44" borderId="0" xfId="121" applyFill="1"/>
    <xf numFmtId="0" fontId="76" fillId="6" borderId="1" xfId="0" applyFont="1" applyFill="1" applyBorder="1" applyAlignment="1">
      <alignment vertical="center" wrapText="1"/>
    </xf>
    <xf numFmtId="0" fontId="76" fillId="6" borderId="1" xfId="0" applyFont="1" applyFill="1" applyBorder="1" applyAlignment="1">
      <alignment horizontal="center" vertical="center"/>
    </xf>
    <xf numFmtId="3" fontId="76" fillId="6" borderId="1" xfId="0" applyNumberFormat="1" applyFont="1" applyFill="1" applyBorder="1" applyAlignment="1">
      <alignment vertical="center"/>
    </xf>
    <xf numFmtId="3" fontId="76" fillId="6" borderId="4" xfId="0" applyNumberFormat="1" applyFont="1" applyFill="1" applyBorder="1" applyAlignment="1">
      <alignment vertical="center"/>
    </xf>
    <xf numFmtId="3" fontId="76" fillId="6" borderId="11" xfId="0" applyNumberFormat="1" applyFont="1" applyFill="1" applyBorder="1" applyAlignment="1">
      <alignment vertical="center"/>
    </xf>
    <xf numFmtId="3" fontId="76" fillId="6" borderId="14" xfId="0" applyNumberFormat="1" applyFont="1" applyFill="1" applyBorder="1" applyAlignment="1">
      <alignment vertical="center"/>
    </xf>
    <xf numFmtId="3" fontId="76" fillId="6" borderId="6" xfId="0" applyNumberFormat="1" applyFont="1" applyFill="1" applyBorder="1" applyAlignment="1">
      <alignment horizontal="center" vertical="center"/>
    </xf>
    <xf numFmtId="3" fontId="76" fillId="6" borderId="151" xfId="0" applyNumberFormat="1" applyFont="1" applyFill="1" applyBorder="1" applyAlignment="1">
      <alignment horizontal="center" vertical="center"/>
    </xf>
    <xf numFmtId="3" fontId="76" fillId="45" borderId="1" xfId="0" applyNumberFormat="1" applyFont="1" applyFill="1" applyBorder="1" applyAlignment="1">
      <alignment horizontal="center" vertical="center"/>
    </xf>
    <xf numFmtId="3" fontId="76" fillId="6" borderId="6" xfId="0" applyNumberFormat="1" applyFont="1" applyFill="1" applyBorder="1" applyAlignment="1">
      <alignment vertical="center"/>
    </xf>
    <xf numFmtId="3" fontId="76" fillId="6" borderId="5" xfId="0" applyNumberFormat="1" applyFont="1" applyFill="1" applyBorder="1" applyAlignment="1">
      <alignment horizontal="center" vertical="center"/>
    </xf>
    <xf numFmtId="0" fontId="76" fillId="6" borderId="6" xfId="0" applyFont="1" applyFill="1" applyBorder="1"/>
    <xf numFmtId="0" fontId="76" fillId="6" borderId="1" xfId="0" applyFont="1" applyFill="1" applyBorder="1"/>
    <xf numFmtId="0" fontId="76" fillId="6" borderId="0" xfId="0" applyFont="1" applyFill="1"/>
    <xf numFmtId="3" fontId="76" fillId="6" borderId="11" xfId="0" applyNumberFormat="1" applyFont="1" applyFill="1" applyBorder="1" applyAlignment="1">
      <alignment horizontal="center" vertical="center"/>
    </xf>
    <xf numFmtId="3" fontId="76" fillId="6" borderId="1" xfId="0" applyNumberFormat="1" applyFont="1" applyFill="1" applyBorder="1" applyAlignment="1">
      <alignment horizontal="center" vertical="center"/>
    </xf>
    <xf numFmtId="3" fontId="76" fillId="6" borderId="14" xfId="0" applyNumberFormat="1" applyFont="1" applyFill="1" applyBorder="1" applyAlignment="1">
      <alignment horizontal="center" vertical="center"/>
    </xf>
    <xf numFmtId="1" fontId="118" fillId="0" borderId="140" xfId="121" applyNumberFormat="1" applyFont="1" applyFill="1" applyBorder="1" applyAlignment="1">
      <alignment horizontal="left" vertical="top" wrapText="1" indent="1"/>
    </xf>
    <xf numFmtId="0" fontId="118" fillId="0" borderId="140" xfId="121" applyNumberFormat="1" applyFont="1" applyFill="1" applyBorder="1" applyAlignment="1">
      <alignment vertical="top" wrapText="1"/>
    </xf>
    <xf numFmtId="1" fontId="118" fillId="0" borderId="140" xfId="121" applyNumberFormat="1" applyFont="1" applyFill="1" applyBorder="1" applyAlignment="1">
      <alignment horizontal="right" vertical="top" wrapText="1"/>
    </xf>
    <xf numFmtId="178" fontId="118" fillId="0" borderId="140" xfId="121" applyNumberFormat="1" applyFont="1" applyFill="1" applyBorder="1" applyAlignment="1">
      <alignment horizontal="right" vertical="top" wrapText="1"/>
    </xf>
    <xf numFmtId="0" fontId="118" fillId="0" borderId="140" xfId="121" applyNumberFormat="1" applyFont="1" applyFill="1" applyBorder="1" applyAlignment="1">
      <alignment horizontal="right" vertical="top" wrapText="1"/>
    </xf>
    <xf numFmtId="10" fontId="118" fillId="0" borderId="0" xfId="121" applyNumberFormat="1" applyFont="1" applyFill="1"/>
    <xf numFmtId="0" fontId="118" fillId="0" borderId="0" xfId="121" applyFont="1" applyFill="1"/>
    <xf numFmtId="0" fontId="119" fillId="60" borderId="140" xfId="121" applyNumberFormat="1" applyFont="1" applyFill="1" applyBorder="1" applyAlignment="1">
      <alignment vertical="top" wrapText="1" indent="1"/>
    </xf>
    <xf numFmtId="0" fontId="119" fillId="60" borderId="140" xfId="121" applyNumberFormat="1" applyFont="1" applyFill="1" applyBorder="1" applyAlignment="1">
      <alignment vertical="top" wrapText="1"/>
    </xf>
    <xf numFmtId="1" fontId="119" fillId="60" borderId="140" xfId="121" applyNumberFormat="1" applyFont="1" applyFill="1" applyBorder="1" applyAlignment="1">
      <alignment horizontal="right" vertical="top" wrapText="1"/>
    </xf>
    <xf numFmtId="1" fontId="119" fillId="60" borderId="140" xfId="121" applyNumberFormat="1" applyFont="1" applyFill="1" applyBorder="1" applyAlignment="1">
      <alignment horizontal="left" vertical="top" wrapText="1"/>
    </xf>
    <xf numFmtId="178" fontId="119" fillId="60" borderId="140" xfId="121" applyNumberFormat="1" applyFont="1" applyFill="1" applyBorder="1" applyAlignment="1">
      <alignment horizontal="right" vertical="top" wrapText="1"/>
    </xf>
    <xf numFmtId="0" fontId="119" fillId="60" borderId="140" xfId="121" applyNumberFormat="1" applyFont="1" applyFill="1" applyBorder="1" applyAlignment="1">
      <alignment horizontal="right" vertical="top" wrapText="1"/>
    </xf>
    <xf numFmtId="10" fontId="119" fillId="0" borderId="0" xfId="121" applyNumberFormat="1" applyFont="1"/>
    <xf numFmtId="0" fontId="119" fillId="0" borderId="0" xfId="121" applyFont="1"/>
    <xf numFmtId="1" fontId="119" fillId="60" borderId="140" xfId="121" applyNumberFormat="1" applyFont="1" applyFill="1" applyBorder="1" applyAlignment="1">
      <alignment horizontal="left" vertical="top" wrapText="1" indent="1"/>
    </xf>
    <xf numFmtId="189" fontId="119" fillId="60" borderId="140" xfId="121" applyNumberFormat="1" applyFont="1" applyFill="1" applyBorder="1" applyAlignment="1">
      <alignment horizontal="right" vertical="top" wrapText="1"/>
    </xf>
    <xf numFmtId="0" fontId="77" fillId="0" borderId="99" xfId="0" applyFont="1" applyBorder="1" applyAlignment="1">
      <alignment horizontal="left" vertical="center" wrapText="1"/>
    </xf>
    <xf numFmtId="0" fontId="76" fillId="0" borderId="139" xfId="0" applyFont="1" applyBorder="1" applyAlignment="1">
      <alignment horizontal="left" vertical="center"/>
    </xf>
    <xf numFmtId="0" fontId="76" fillId="0" borderId="139" xfId="0" applyFont="1" applyBorder="1" applyAlignment="1">
      <alignment horizontal="left" vertical="center" wrapText="1"/>
    </xf>
    <xf numFmtId="0" fontId="76" fillId="0" borderId="114" xfId="0" applyFont="1" applyBorder="1" applyAlignment="1">
      <alignment horizontal="left" vertical="center"/>
    </xf>
    <xf numFmtId="0" fontId="76" fillId="0" borderId="139" xfId="0" applyFont="1" applyBorder="1" applyAlignment="1">
      <alignment horizontal="center" vertical="center"/>
    </xf>
    <xf numFmtId="0" fontId="76" fillId="0" borderId="139" xfId="0" applyFont="1" applyBorder="1" applyAlignment="1">
      <alignment horizontal="center" vertical="center" wrapText="1"/>
    </xf>
    <xf numFmtId="0" fontId="76" fillId="0" borderId="149" xfId="0" applyFont="1" applyBorder="1" applyAlignment="1">
      <alignment horizontal="center" vertical="center"/>
    </xf>
    <xf numFmtId="0" fontId="77" fillId="0" borderId="138" xfId="0" applyFont="1" applyBorder="1" applyAlignment="1">
      <alignment horizontal="center" vertical="center"/>
    </xf>
    <xf numFmtId="0" fontId="77" fillId="0" borderId="30" xfId="0" applyFont="1" applyBorder="1" applyAlignment="1">
      <alignment horizontal="center" vertical="center"/>
    </xf>
    <xf numFmtId="0" fontId="77" fillId="0" borderId="114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77" fillId="0" borderId="31" xfId="0" applyFont="1" applyBorder="1" applyAlignment="1">
      <alignment horizontal="center" vertical="center"/>
    </xf>
    <xf numFmtId="0" fontId="77" fillId="0" borderId="137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10" xfId="0" applyFont="1" applyBorder="1" applyAlignment="1">
      <alignment horizontal="left" vertical="center" wrapText="1"/>
    </xf>
    <xf numFmtId="0" fontId="77" fillId="0" borderId="9" xfId="0" applyFont="1" applyBorder="1" applyAlignment="1">
      <alignment horizontal="center" vertical="center" wrapText="1"/>
    </xf>
    <xf numFmtId="0" fontId="77" fillId="0" borderId="136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04" xfId="0" applyFont="1" applyBorder="1" applyAlignment="1">
      <alignment horizontal="center" vertical="center" wrapText="1"/>
    </xf>
    <xf numFmtId="0" fontId="77" fillId="0" borderId="148" xfId="0" applyFont="1" applyBorder="1" applyAlignment="1">
      <alignment horizontal="center" vertical="center" wrapText="1"/>
    </xf>
    <xf numFmtId="0" fontId="77" fillId="0" borderId="147" xfId="0" applyFont="1" applyBorder="1" applyAlignment="1">
      <alignment horizontal="center" vertical="center" wrapText="1"/>
    </xf>
    <xf numFmtId="0" fontId="77" fillId="0" borderId="103" xfId="0" applyFont="1" applyBorder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77" fillId="6" borderId="2" xfId="0" applyFont="1" applyFill="1" applyBorder="1" applyAlignment="1">
      <alignment vertical="center" wrapText="1"/>
    </xf>
    <xf numFmtId="0" fontId="77" fillId="6" borderId="2" xfId="0" applyFont="1" applyFill="1" applyBorder="1" applyAlignment="1">
      <alignment horizontal="center" vertical="center" wrapText="1"/>
    </xf>
    <xf numFmtId="3" fontId="77" fillId="6" borderId="7" xfId="0" applyNumberFormat="1" applyFont="1" applyFill="1" applyBorder="1" applyAlignment="1">
      <alignment vertical="center" wrapText="1"/>
    </xf>
    <xf numFmtId="3" fontId="77" fillId="6" borderId="93" xfId="0" applyNumberFormat="1" applyFont="1" applyFill="1" applyBorder="1" applyAlignment="1">
      <alignment vertical="center" wrapText="1"/>
    </xf>
    <xf numFmtId="3" fontId="77" fillId="6" borderId="94" xfId="0" applyNumberFormat="1" applyFont="1" applyFill="1" applyBorder="1" applyAlignment="1">
      <alignment vertical="center" wrapText="1"/>
    </xf>
    <xf numFmtId="3" fontId="77" fillId="6" borderId="34" xfId="0" applyNumberFormat="1" applyFont="1" applyFill="1" applyBorder="1" applyAlignment="1">
      <alignment horizontal="center" vertical="center" wrapText="1"/>
    </xf>
    <xf numFmtId="3" fontId="77" fillId="6" borderId="150" xfId="0" applyNumberFormat="1" applyFont="1" applyFill="1" applyBorder="1" applyAlignment="1">
      <alignment horizontal="center" vertical="center" wrapText="1"/>
    </xf>
    <xf numFmtId="3" fontId="77" fillId="6" borderId="2" xfId="0" applyNumberFormat="1" applyFont="1" applyFill="1" applyBorder="1" applyAlignment="1">
      <alignment horizontal="center" vertical="center" wrapText="1"/>
    </xf>
    <xf numFmtId="3" fontId="77" fillId="6" borderId="34" xfId="0" applyNumberFormat="1" applyFont="1" applyFill="1" applyBorder="1" applyAlignment="1">
      <alignment vertical="center" wrapText="1"/>
    </xf>
    <xf numFmtId="3" fontId="77" fillId="6" borderId="12" xfId="0" applyNumberFormat="1" applyFont="1" applyFill="1" applyBorder="1" applyAlignment="1">
      <alignment horizontal="center" vertical="center" wrapText="1"/>
    </xf>
    <xf numFmtId="9" fontId="77" fillId="6" borderId="93" xfId="0" applyNumberFormat="1" applyFont="1" applyFill="1" applyBorder="1" applyAlignment="1">
      <alignment vertical="center" wrapText="1"/>
    </xf>
    <xf numFmtId="9" fontId="77" fillId="6" borderId="94" xfId="0" applyNumberFormat="1" applyFont="1" applyFill="1" applyBorder="1" applyAlignment="1">
      <alignment vertical="center" wrapText="1"/>
    </xf>
    <xf numFmtId="9" fontId="77" fillId="6" borderId="34" xfId="0" applyNumberFormat="1" applyFont="1" applyFill="1" applyBorder="1" applyAlignment="1">
      <alignment vertical="center" wrapText="1"/>
    </xf>
    <xf numFmtId="9" fontId="77" fillId="6" borderId="2" xfId="0" applyNumberFormat="1" applyFont="1" applyFill="1" applyBorder="1" applyAlignment="1">
      <alignment vertical="center" wrapText="1"/>
    </xf>
    <xf numFmtId="0" fontId="77" fillId="6" borderId="0" xfId="0" applyFont="1" applyFill="1" applyAlignment="1">
      <alignment wrapText="1"/>
    </xf>
    <xf numFmtId="0" fontId="77" fillId="6" borderId="1" xfId="0" applyFont="1" applyFill="1" applyBorder="1" applyAlignment="1">
      <alignment vertical="center" wrapText="1"/>
    </xf>
    <xf numFmtId="0" fontId="77" fillId="6" borderId="1" xfId="0" applyFont="1" applyFill="1" applyBorder="1" applyAlignment="1">
      <alignment horizontal="center" vertical="center" wrapText="1"/>
    </xf>
    <xf numFmtId="3" fontId="77" fillId="6" borderId="1" xfId="0" applyNumberFormat="1" applyFont="1" applyFill="1" applyBorder="1" applyAlignment="1">
      <alignment vertical="center" wrapText="1"/>
    </xf>
    <xf numFmtId="3" fontId="77" fillId="6" borderId="4" xfId="0" applyNumberFormat="1" applyFont="1" applyFill="1" applyBorder="1" applyAlignment="1">
      <alignment vertical="center" wrapText="1"/>
    </xf>
    <xf numFmtId="3" fontId="77" fillId="6" borderId="11" xfId="0" applyNumberFormat="1" applyFont="1" applyFill="1" applyBorder="1" applyAlignment="1">
      <alignment vertical="center" wrapText="1"/>
    </xf>
    <xf numFmtId="3" fontId="77" fillId="6" borderId="14" xfId="0" applyNumberFormat="1" applyFont="1" applyFill="1" applyBorder="1" applyAlignment="1">
      <alignment vertical="center" wrapText="1"/>
    </xf>
    <xf numFmtId="3" fontId="77" fillId="6" borderId="6" xfId="0" applyNumberFormat="1" applyFont="1" applyFill="1" applyBorder="1" applyAlignment="1">
      <alignment horizontal="center" vertical="center" wrapText="1"/>
    </xf>
    <xf numFmtId="3" fontId="77" fillId="6" borderId="151" xfId="0" applyNumberFormat="1" applyFont="1" applyFill="1" applyBorder="1" applyAlignment="1">
      <alignment horizontal="center" vertical="center" wrapText="1"/>
    </xf>
    <xf numFmtId="3" fontId="77" fillId="6" borderId="1" xfId="0" applyNumberFormat="1" applyFont="1" applyFill="1" applyBorder="1" applyAlignment="1">
      <alignment horizontal="center" vertical="center" wrapText="1"/>
    </xf>
    <xf numFmtId="3" fontId="77" fillId="6" borderId="6" xfId="0" applyNumberFormat="1" applyFont="1" applyFill="1" applyBorder="1" applyAlignment="1">
      <alignment vertical="center" wrapText="1"/>
    </xf>
    <xf numFmtId="3" fontId="77" fillId="6" borderId="5" xfId="0" applyNumberFormat="1" applyFont="1" applyFill="1" applyBorder="1" applyAlignment="1">
      <alignment horizontal="center" vertical="center" wrapText="1"/>
    </xf>
    <xf numFmtId="3" fontId="76" fillId="6" borderId="4" xfId="0" applyNumberFormat="1" applyFont="1" applyFill="1" applyBorder="1" applyAlignment="1">
      <alignment vertical="center" wrapText="1"/>
    </xf>
    <xf numFmtId="43" fontId="76" fillId="6" borderId="1" xfId="0" applyNumberFormat="1" applyFont="1" applyFill="1" applyBorder="1" applyAlignment="1">
      <alignment vertical="center" wrapText="1"/>
    </xf>
    <xf numFmtId="0" fontId="76" fillId="0" borderId="1" xfId="0" applyFont="1" applyBorder="1" applyAlignment="1">
      <alignment vertical="center" wrapText="1"/>
    </xf>
    <xf numFmtId="0" fontId="76" fillId="0" borderId="1" xfId="0" applyFont="1" applyBorder="1" applyAlignment="1">
      <alignment horizontal="center" vertical="center"/>
    </xf>
    <xf numFmtId="3" fontId="76" fillId="0" borderId="1" xfId="0" applyNumberFormat="1" applyFont="1" applyBorder="1" applyAlignment="1">
      <alignment vertical="center"/>
    </xf>
    <xf numFmtId="3" fontId="76" fillId="0" borderId="4" xfId="0" applyNumberFormat="1" applyFont="1" applyBorder="1" applyAlignment="1">
      <alignment vertical="center"/>
    </xf>
    <xf numFmtId="3" fontId="76" fillId="0" borderId="11" xfId="0" applyNumberFormat="1" applyFont="1" applyBorder="1" applyAlignment="1">
      <alignment vertical="center"/>
    </xf>
    <xf numFmtId="3" fontId="76" fillId="0" borderId="14" xfId="0" applyNumberFormat="1" applyFont="1" applyBorder="1" applyAlignment="1">
      <alignment vertical="center"/>
    </xf>
    <xf numFmtId="3" fontId="76" fillId="0" borderId="6" xfId="0" applyNumberFormat="1" applyFont="1" applyBorder="1" applyAlignment="1">
      <alignment horizontal="center" vertical="center"/>
    </xf>
    <xf numFmtId="3" fontId="76" fillId="0" borderId="4" xfId="0" applyNumberFormat="1" applyFont="1" applyBorder="1" applyAlignment="1">
      <alignment vertical="center" wrapText="1"/>
    </xf>
    <xf numFmtId="3" fontId="76" fillId="0" borderId="151" xfId="0" applyNumberFormat="1" applyFont="1" applyBorder="1" applyAlignment="1">
      <alignment horizontal="center" vertical="center"/>
    </xf>
    <xf numFmtId="3" fontId="76" fillId="0" borderId="1" xfId="0" applyNumberFormat="1" applyFont="1" applyBorder="1" applyAlignment="1">
      <alignment horizontal="center" vertical="center"/>
    </xf>
    <xf numFmtId="3" fontId="76" fillId="0" borderId="6" xfId="0" applyNumberFormat="1" applyFont="1" applyBorder="1" applyAlignment="1">
      <alignment vertical="center"/>
    </xf>
    <xf numFmtId="3" fontId="76" fillId="0" borderId="11" xfId="0" applyNumberFormat="1" applyFont="1" applyFill="1" applyBorder="1" applyAlignment="1">
      <alignment vertical="center"/>
    </xf>
    <xf numFmtId="3" fontId="76" fillId="0" borderId="1" xfId="0" applyNumberFormat="1" applyFont="1" applyFill="1" applyBorder="1" applyAlignment="1">
      <alignment vertical="center"/>
    </xf>
    <xf numFmtId="3" fontId="76" fillId="0" borderId="14" xfId="0" applyNumberFormat="1" applyFont="1" applyFill="1" applyBorder="1" applyAlignment="1">
      <alignment vertical="center"/>
    </xf>
    <xf numFmtId="3" fontId="76" fillId="0" borderId="5" xfId="0" applyNumberFormat="1" applyFont="1" applyBorder="1" applyAlignment="1">
      <alignment horizontal="center" vertical="center"/>
    </xf>
    <xf numFmtId="0" fontId="76" fillId="0" borderId="6" xfId="0" applyFont="1" applyBorder="1"/>
    <xf numFmtId="0" fontId="76" fillId="0" borderId="1" xfId="0" applyFont="1" applyBorder="1"/>
    <xf numFmtId="0" fontId="77" fillId="3" borderId="1" xfId="0" applyFont="1" applyFill="1" applyBorder="1" applyAlignment="1">
      <alignment vertical="center" wrapText="1"/>
    </xf>
    <xf numFmtId="0" fontId="77" fillId="3" borderId="1" xfId="0" applyFont="1" applyFill="1" applyBorder="1" applyAlignment="1">
      <alignment horizontal="center" vertical="center"/>
    </xf>
    <xf numFmtId="3" fontId="77" fillId="3" borderId="1" xfId="0" applyNumberFormat="1" applyFont="1" applyFill="1" applyBorder="1" applyAlignment="1">
      <alignment vertical="center"/>
    </xf>
    <xf numFmtId="3" fontId="77" fillId="3" borderId="4" xfId="0" applyNumberFormat="1" applyFont="1" applyFill="1" applyBorder="1" applyAlignment="1">
      <alignment vertical="center"/>
    </xf>
    <xf numFmtId="3" fontId="77" fillId="3" borderId="11" xfId="0" applyNumberFormat="1" applyFont="1" applyFill="1" applyBorder="1" applyAlignment="1">
      <alignment vertical="center"/>
    </xf>
    <xf numFmtId="3" fontId="77" fillId="3" borderId="14" xfId="0" applyNumberFormat="1" applyFont="1" applyFill="1" applyBorder="1" applyAlignment="1">
      <alignment vertical="center"/>
    </xf>
    <xf numFmtId="3" fontId="77" fillId="3" borderId="6" xfId="0" applyNumberFormat="1" applyFont="1" applyFill="1" applyBorder="1" applyAlignment="1">
      <alignment horizontal="center" vertical="center"/>
    </xf>
    <xf numFmtId="3" fontId="77" fillId="3" borderId="4" xfId="0" applyNumberFormat="1" applyFont="1" applyFill="1" applyBorder="1" applyAlignment="1">
      <alignment vertical="center" wrapText="1"/>
    </xf>
    <xf numFmtId="3" fontId="77" fillId="3" borderId="151" xfId="0" applyNumberFormat="1" applyFont="1" applyFill="1" applyBorder="1" applyAlignment="1">
      <alignment horizontal="center" vertical="center"/>
    </xf>
    <xf numFmtId="3" fontId="77" fillId="3" borderId="1" xfId="0" applyNumberFormat="1" applyFont="1" applyFill="1" applyBorder="1" applyAlignment="1">
      <alignment horizontal="center" vertical="center"/>
    </xf>
    <xf numFmtId="3" fontId="77" fillId="3" borderId="6" xfId="0" applyNumberFormat="1" applyFont="1" applyFill="1" applyBorder="1" applyAlignment="1">
      <alignment vertical="center"/>
    </xf>
    <xf numFmtId="3" fontId="77" fillId="3" borderId="5" xfId="0" applyNumberFormat="1" applyFont="1" applyFill="1" applyBorder="1" applyAlignment="1">
      <alignment horizontal="center" vertical="center"/>
    </xf>
    <xf numFmtId="9" fontId="77" fillId="3" borderId="11" xfId="0" applyNumberFormat="1" applyFont="1" applyFill="1" applyBorder="1" applyAlignment="1">
      <alignment vertical="center" wrapText="1"/>
    </xf>
    <xf numFmtId="9" fontId="77" fillId="3" borderId="14" xfId="0" applyNumberFormat="1" applyFont="1" applyFill="1" applyBorder="1" applyAlignment="1">
      <alignment vertical="center" wrapText="1"/>
    </xf>
    <xf numFmtId="9" fontId="77" fillId="3" borderId="6" xfId="0" applyNumberFormat="1" applyFont="1" applyFill="1" applyBorder="1" applyAlignment="1">
      <alignment vertical="center" wrapText="1"/>
    </xf>
    <xf numFmtId="9" fontId="77" fillId="3" borderId="1" xfId="0" applyNumberFormat="1" applyFont="1" applyFill="1" applyBorder="1" applyAlignment="1">
      <alignment vertical="center" wrapText="1"/>
    </xf>
    <xf numFmtId="0" fontId="77" fillId="3" borderId="0" xfId="0" applyFont="1" applyFill="1"/>
    <xf numFmtId="0" fontId="77" fillId="3" borderId="6" xfId="0" applyFont="1" applyFill="1" applyBorder="1"/>
    <xf numFmtId="0" fontId="77" fillId="3" borderId="1" xfId="0" applyFont="1" applyFill="1" applyBorder="1"/>
    <xf numFmtId="0" fontId="76" fillId="3" borderId="1" xfId="0" applyFont="1" applyFill="1" applyBorder="1" applyAlignment="1">
      <alignment vertical="center" wrapText="1"/>
    </xf>
    <xf numFmtId="0" fontId="76" fillId="3" borderId="1" xfId="0" applyFont="1" applyFill="1" applyBorder="1" applyAlignment="1">
      <alignment horizontal="center" vertical="center"/>
    </xf>
    <xf numFmtId="3" fontId="76" fillId="3" borderId="1" xfId="0" applyNumberFormat="1" applyFont="1" applyFill="1" applyBorder="1" applyAlignment="1">
      <alignment vertical="center"/>
    </xf>
    <xf numFmtId="3" fontId="76" fillId="3" borderId="4" xfId="0" applyNumberFormat="1" applyFont="1" applyFill="1" applyBorder="1" applyAlignment="1">
      <alignment vertical="center"/>
    </xf>
    <xf numFmtId="3" fontId="76" fillId="3" borderId="11" xfId="0" applyNumberFormat="1" applyFont="1" applyFill="1" applyBorder="1" applyAlignment="1">
      <alignment vertical="center"/>
    </xf>
    <xf numFmtId="3" fontId="76" fillId="3" borderId="14" xfId="0" applyNumberFormat="1" applyFont="1" applyFill="1" applyBorder="1" applyAlignment="1">
      <alignment vertical="center"/>
    </xf>
    <xf numFmtId="3" fontId="76" fillId="3" borderId="6" xfId="0" applyNumberFormat="1" applyFont="1" applyFill="1" applyBorder="1" applyAlignment="1">
      <alignment horizontal="center" vertical="center"/>
    </xf>
    <xf numFmtId="3" fontId="76" fillId="3" borderId="4" xfId="0" applyNumberFormat="1" applyFont="1" applyFill="1" applyBorder="1" applyAlignment="1">
      <alignment vertical="center" wrapText="1"/>
    </xf>
    <xf numFmtId="3" fontId="76" fillId="3" borderId="151" xfId="0" applyNumberFormat="1" applyFont="1" applyFill="1" applyBorder="1" applyAlignment="1">
      <alignment horizontal="center" vertical="center"/>
    </xf>
    <xf numFmtId="3" fontId="76" fillId="3" borderId="6" xfId="0" applyNumberFormat="1" applyFont="1" applyFill="1" applyBorder="1" applyAlignment="1">
      <alignment vertical="center"/>
    </xf>
    <xf numFmtId="3" fontId="76" fillId="3" borderId="5" xfId="0" applyNumberFormat="1" applyFont="1" applyFill="1" applyBorder="1" applyAlignment="1">
      <alignment horizontal="center" vertical="center"/>
    </xf>
    <xf numFmtId="0" fontId="76" fillId="3" borderId="6" xfId="0" applyFont="1" applyFill="1" applyBorder="1"/>
    <xf numFmtId="0" fontId="76" fillId="3" borderId="1" xfId="0" applyFont="1" applyFill="1" applyBorder="1"/>
    <xf numFmtId="0" fontId="76" fillId="3" borderId="0" xfId="0" applyFont="1" applyFill="1"/>
    <xf numFmtId="3" fontId="76" fillId="3" borderId="1" xfId="0" applyNumberFormat="1" applyFont="1" applyFill="1" applyBorder="1" applyAlignment="1">
      <alignment horizontal="center" vertical="center"/>
    </xf>
    <xf numFmtId="2" fontId="76" fillId="3" borderId="1" xfId="0" applyNumberFormat="1" applyFont="1" applyFill="1" applyBorder="1" applyAlignment="1">
      <alignment vertical="center" wrapText="1"/>
    </xf>
    <xf numFmtId="0" fontId="76" fillId="3" borderId="1" xfId="0" applyFont="1" applyFill="1" applyBorder="1" applyAlignment="1">
      <alignment horizontal="left" vertical="center" wrapText="1"/>
    </xf>
    <xf numFmtId="43" fontId="76" fillId="3" borderId="1" xfId="0" applyNumberFormat="1" applyFont="1" applyFill="1" applyBorder="1" applyAlignment="1">
      <alignment horizontal="left" vertical="center" wrapText="1"/>
    </xf>
    <xf numFmtId="0" fontId="76" fillId="0" borderId="0" xfId="0" applyFont="1" applyAlignment="1">
      <alignment vertical="center" wrapText="1"/>
    </xf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vertical="center"/>
    </xf>
    <xf numFmtId="2" fontId="58" fillId="0" borderId="1" xfId="120" applyNumberFormat="1" applyFont="1" applyFill="1" applyBorder="1" applyAlignment="1">
      <alignment horizontal="left" vertical="center" wrapText="1"/>
    </xf>
    <xf numFmtId="43" fontId="115" fillId="0" borderId="1" xfId="0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vertical="center" wrapText="1"/>
    </xf>
    <xf numFmtId="0" fontId="98" fillId="0" borderId="1" xfId="0" applyFont="1" applyFill="1" applyBorder="1" applyAlignment="1">
      <alignment wrapText="1"/>
    </xf>
    <xf numFmtId="0" fontId="98" fillId="0" borderId="1" xfId="0" applyFont="1" applyFill="1" applyBorder="1" applyAlignment="1">
      <alignment vertical="center" wrapText="1"/>
    </xf>
    <xf numFmtId="0" fontId="36" fillId="0" borderId="1" xfId="0" applyFont="1" applyFill="1" applyBorder="1"/>
    <xf numFmtId="0" fontId="76" fillId="0" borderId="139" xfId="0" applyFont="1" applyBorder="1" applyAlignment="1">
      <alignment horizontal="right" vertical="center" wrapText="1"/>
    </xf>
    <xf numFmtId="0" fontId="77" fillId="6" borderId="2" xfId="0" applyFont="1" applyFill="1" applyBorder="1" applyAlignment="1">
      <alignment horizontal="right" vertical="center" wrapText="1"/>
    </xf>
    <xf numFmtId="0" fontId="77" fillId="6" borderId="1" xfId="0" applyFont="1" applyFill="1" applyBorder="1" applyAlignment="1">
      <alignment horizontal="right" vertical="center" wrapText="1"/>
    </xf>
    <xf numFmtId="0" fontId="76" fillId="6" borderId="1" xfId="0" applyFont="1" applyFill="1" applyBorder="1" applyAlignment="1">
      <alignment horizontal="right" vertical="center" wrapText="1"/>
    </xf>
    <xf numFmtId="43" fontId="76" fillId="6" borderId="1" xfId="0" applyNumberFormat="1" applyFont="1" applyFill="1" applyBorder="1" applyAlignment="1">
      <alignment horizontal="right" vertical="center" wrapText="1"/>
    </xf>
    <xf numFmtId="0" fontId="76" fillId="0" borderId="1" xfId="0" applyFont="1" applyBorder="1" applyAlignment="1">
      <alignment horizontal="right" vertical="center" wrapText="1"/>
    </xf>
    <xf numFmtId="0" fontId="77" fillId="3" borderId="1" xfId="0" applyFont="1" applyFill="1" applyBorder="1" applyAlignment="1">
      <alignment horizontal="right" vertical="center" wrapText="1"/>
    </xf>
    <xf numFmtId="0" fontId="76" fillId="3" borderId="1" xfId="0" applyFont="1" applyFill="1" applyBorder="1" applyAlignment="1">
      <alignment horizontal="right" vertical="center" wrapText="1"/>
    </xf>
    <xf numFmtId="0" fontId="76" fillId="0" borderId="0" xfId="0" applyFont="1" applyAlignment="1">
      <alignment horizontal="right" vertical="center" wrapText="1"/>
    </xf>
    <xf numFmtId="49" fontId="76" fillId="6" borderId="1" xfId="0" applyNumberFormat="1" applyFont="1" applyFill="1" applyBorder="1" applyAlignment="1">
      <alignment vertical="center" wrapText="1"/>
    </xf>
    <xf numFmtId="4" fontId="61" fillId="0" borderId="14" xfId="0" applyNumberFormat="1" applyFont="1" applyFill="1" applyBorder="1"/>
    <xf numFmtId="0" fontId="61" fillId="0" borderId="10" xfId="0" applyFont="1" applyFill="1" applyBorder="1"/>
    <xf numFmtId="4" fontId="61" fillId="0" borderId="9" xfId="0" applyNumberFormat="1" applyFont="1" applyFill="1" applyBorder="1"/>
    <xf numFmtId="4" fontId="61" fillId="0" borderId="16" xfId="0" applyNumberFormat="1" applyFont="1" applyFill="1" applyBorder="1"/>
    <xf numFmtId="0" fontId="61" fillId="0" borderId="98" xfId="0" applyFont="1" applyFill="1" applyBorder="1" applyAlignment="1">
      <alignment horizontal="center" vertical="center" wrapText="1"/>
    </xf>
    <xf numFmtId="0" fontId="61" fillId="0" borderId="15" xfId="0" applyFont="1" applyFill="1" applyBorder="1"/>
    <xf numFmtId="4" fontId="61" fillId="0" borderId="30" xfId="0" applyNumberFormat="1" applyFont="1" applyFill="1" applyBorder="1"/>
    <xf numFmtId="4" fontId="61" fillId="0" borderId="31" xfId="0" applyNumberFormat="1" applyFont="1" applyFill="1" applyBorder="1"/>
    <xf numFmtId="0" fontId="61" fillId="0" borderId="107" xfId="0" applyFont="1" applyFill="1" applyBorder="1"/>
    <xf numFmtId="4" fontId="61" fillId="0" borderId="108" xfId="0" applyNumberFormat="1" applyFont="1" applyFill="1" applyBorder="1"/>
    <xf numFmtId="4" fontId="79" fillId="0" borderId="108" xfId="0" applyNumberFormat="1" applyFont="1" applyFill="1" applyBorder="1"/>
    <xf numFmtId="4" fontId="79" fillId="0" borderId="130" xfId="0" applyNumberFormat="1" applyFont="1" applyFill="1" applyBorder="1"/>
    <xf numFmtId="0" fontId="61" fillId="0" borderId="15" xfId="0" applyFont="1" applyFill="1" applyBorder="1" applyAlignment="1">
      <alignment wrapText="1"/>
    </xf>
    <xf numFmtId="0" fontId="84" fillId="0" borderId="126" xfId="97" applyFont="1" applyFill="1" applyBorder="1" applyAlignment="1">
      <alignment horizontal="left" vertical="top" wrapText="1"/>
    </xf>
    <xf numFmtId="0" fontId="84" fillId="0" borderId="0" xfId="97" applyFont="1" applyFill="1" applyBorder="1" applyAlignment="1">
      <alignment horizontal="left" vertical="top" wrapText="1"/>
    </xf>
    <xf numFmtId="0" fontId="82" fillId="0" borderId="0" xfId="97" applyFont="1" applyFill="1" applyAlignment="1">
      <alignment horizontal="center" vertical="center" wrapText="1"/>
    </xf>
    <xf numFmtId="0" fontId="82" fillId="0" borderId="0" xfId="97" applyFont="1" applyFill="1" applyAlignment="1">
      <alignment horizontal="left" vertical="center" wrapText="1"/>
    </xf>
    <xf numFmtId="0" fontId="84" fillId="0" borderId="127" xfId="97" applyFont="1" applyFill="1" applyBorder="1" applyAlignment="1">
      <alignment horizontal="left" vertical="top" wrapText="1"/>
    </xf>
    <xf numFmtId="0" fontId="70" fillId="6" borderId="1" xfId="121" applyFill="1" applyBorder="1"/>
    <xf numFmtId="178" fontId="70" fillId="6" borderId="1" xfId="121" applyNumberFormat="1" applyFill="1" applyBorder="1"/>
    <xf numFmtId="10" fontId="70" fillId="6" borderId="1" xfId="121" applyNumberFormat="1" applyFill="1" applyBorder="1"/>
    <xf numFmtId="188" fontId="70" fillId="6" borderId="1" xfId="121" applyNumberFormat="1" applyFill="1" applyBorder="1"/>
    <xf numFmtId="0" fontId="70" fillId="43" borderId="0" xfId="121" applyFill="1"/>
    <xf numFmtId="0" fontId="70" fillId="43" borderId="1" xfId="121" applyFill="1" applyBorder="1"/>
    <xf numFmtId="188" fontId="70" fillId="43" borderId="1" xfId="121" applyNumberFormat="1" applyFill="1" applyBorder="1"/>
    <xf numFmtId="10" fontId="70" fillId="43" borderId="1" xfId="121" applyNumberFormat="1" applyFill="1" applyBorder="1"/>
    <xf numFmtId="178" fontId="70" fillId="43" borderId="1" xfId="121" applyNumberFormat="1" applyFill="1" applyBorder="1"/>
    <xf numFmtId="4" fontId="121" fillId="0" borderId="0" xfId="33" applyNumberFormat="1" applyFont="1" applyFill="1" applyAlignment="1">
      <alignment horizontal="right" wrapText="1"/>
    </xf>
    <xf numFmtId="4" fontId="36" fillId="9" borderId="1" xfId="105" applyNumberFormat="1" applyFont="1" applyFill="1" applyBorder="1" applyAlignment="1">
      <alignment horizontal="center" vertical="center" wrapText="1"/>
    </xf>
    <xf numFmtId="0" fontId="36" fillId="0" borderId="1" xfId="104" applyFont="1" applyFill="1" applyBorder="1" applyAlignment="1">
      <alignment horizontal="center" vertical="center" wrapText="1"/>
    </xf>
    <xf numFmtId="3" fontId="36" fillId="0" borderId="1" xfId="103" applyNumberFormat="1" applyFont="1" applyFill="1" applyBorder="1" applyAlignment="1">
      <alignment vertical="center" wrapText="1"/>
    </xf>
    <xf numFmtId="43" fontId="91" fillId="6" borderId="1" xfId="0" applyNumberFormat="1" applyFont="1" applyFill="1" applyBorder="1" applyAlignment="1">
      <alignment horizontal="center" vertical="center"/>
    </xf>
    <xf numFmtId="0" fontId="61" fillId="0" borderId="3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114" fillId="0" borderId="1" xfId="0" applyFont="1" applyFill="1" applyBorder="1" applyAlignment="1">
      <alignment wrapText="1"/>
    </xf>
    <xf numFmtId="0" fontId="114" fillId="0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vertical="center"/>
    </xf>
    <xf numFmtId="3" fontId="76" fillId="65" borderId="5" xfId="0" applyNumberFormat="1" applyFont="1" applyFill="1" applyBorder="1" applyAlignment="1">
      <alignment horizontal="center" vertical="center"/>
    </xf>
    <xf numFmtId="3" fontId="76" fillId="65" borderId="1" xfId="0" applyNumberFormat="1" applyFont="1" applyFill="1" applyBorder="1" applyAlignment="1">
      <alignment horizontal="center" vertical="center"/>
    </xf>
    <xf numFmtId="4" fontId="36" fillId="0" borderId="0" xfId="0" applyNumberFormat="1" applyFont="1" applyBorder="1"/>
    <xf numFmtId="0" fontId="36" fillId="0" borderId="0" xfId="0" applyFont="1" applyBorder="1" applyAlignment="1">
      <alignment wrapText="1"/>
    </xf>
    <xf numFmtId="4" fontId="36" fillId="0" borderId="1" xfId="0" applyNumberFormat="1" applyFont="1" applyBorder="1" applyAlignment="1">
      <alignment horizontal="right"/>
    </xf>
    <xf numFmtId="4" fontId="36" fillId="0" borderId="0" xfId="0" applyNumberFormat="1" applyFont="1"/>
    <xf numFmtId="4" fontId="37" fillId="0" borderId="1" xfId="0" applyNumberFormat="1" applyFont="1" applyBorder="1" applyAlignment="1">
      <alignment horizontal="right"/>
    </xf>
    <xf numFmtId="0" fontId="37" fillId="0" borderId="1" xfId="0" applyFont="1" applyBorder="1"/>
    <xf numFmtId="4" fontId="37" fillId="0" borderId="1" xfId="0" applyNumberFormat="1" applyFont="1" applyBorder="1"/>
    <xf numFmtId="0" fontId="38" fillId="0" borderId="3" xfId="0" applyFont="1" applyBorder="1" applyAlignment="1">
      <alignment vertical="center" wrapText="1"/>
    </xf>
    <xf numFmtId="43" fontId="92" fillId="6" borderId="1" xfId="0" applyNumberFormat="1" applyFont="1" applyFill="1" applyBorder="1" applyAlignment="1"/>
    <xf numFmtId="166" fontId="92" fillId="6" borderId="0" xfId="0" applyNumberFormat="1" applyFont="1" applyFill="1" applyBorder="1" applyAlignment="1">
      <alignment vertical="center" wrapText="1"/>
    </xf>
    <xf numFmtId="43" fontId="91" fillId="6" borderId="1" xfId="0" applyNumberFormat="1" applyFont="1" applyFill="1" applyBorder="1" applyAlignment="1">
      <alignment vertical="center"/>
    </xf>
    <xf numFmtId="4" fontId="36" fillId="0" borderId="1" xfId="0" applyNumberFormat="1" applyFont="1" applyFill="1" applyBorder="1" applyAlignment="1">
      <alignment horizontal="right" vertical="center" wrapText="1"/>
    </xf>
    <xf numFmtId="4" fontId="38" fillId="0" borderId="1" xfId="0" applyNumberFormat="1" applyFont="1" applyFill="1" applyBorder="1" applyAlignment="1">
      <alignment horizontal="right" vertical="center" wrapText="1"/>
    </xf>
    <xf numFmtId="4" fontId="37" fillId="0" borderId="1" xfId="0" applyNumberFormat="1" applyFont="1" applyFill="1" applyBorder="1" applyAlignment="1">
      <alignment horizontal="right" vertical="center" wrapText="1"/>
    </xf>
    <xf numFmtId="188" fontId="70" fillId="0" borderId="0" xfId="121" applyNumberFormat="1" applyFill="1"/>
    <xf numFmtId="178" fontId="70" fillId="0" borderId="0" xfId="121" applyNumberFormat="1" applyFill="1"/>
    <xf numFmtId="4" fontId="103" fillId="3" borderId="155" xfId="120" applyNumberFormat="1" applyFont="1" applyFill="1" applyBorder="1" applyAlignment="1">
      <alignment horizontal="right" wrapText="1"/>
    </xf>
    <xf numFmtId="0" fontId="58" fillId="37" borderId="30" xfId="120" applyFont="1" applyFill="1" applyBorder="1" applyAlignment="1">
      <alignment horizontal="right" wrapText="1"/>
    </xf>
    <xf numFmtId="4" fontId="58" fillId="60" borderId="10" xfId="120" applyNumberFormat="1" applyFont="1" applyFill="1" applyBorder="1" applyAlignment="1" applyProtection="1">
      <alignment horizontal="right" wrapText="1"/>
      <protection locked="0"/>
    </xf>
    <xf numFmtId="4" fontId="58" fillId="60" borderId="9" xfId="120" applyNumberFormat="1" applyFont="1" applyFill="1" applyBorder="1" applyAlignment="1" applyProtection="1">
      <alignment horizontal="right" wrapText="1"/>
      <protection locked="0"/>
    </xf>
    <xf numFmtId="4" fontId="58" fillId="0" borderId="0" xfId="120" applyNumberFormat="1" applyFont="1" applyAlignment="1">
      <alignment horizontal="left" vertical="center" wrapText="1"/>
    </xf>
    <xf numFmtId="166" fontId="96" fillId="0" borderId="0" xfId="0" applyNumberFormat="1" applyFont="1" applyFill="1" applyAlignment="1">
      <alignment vertical="center" wrapText="1"/>
    </xf>
    <xf numFmtId="43" fontId="122" fillId="0" borderId="1" xfId="10" applyNumberFormat="1" applyFont="1" applyFill="1" applyBorder="1" applyAlignment="1">
      <alignment horizontal="right" vertical="center" wrapText="1"/>
    </xf>
    <xf numFmtId="2" fontId="122" fillId="0" borderId="1" xfId="10" applyNumberFormat="1" applyFont="1" applyFill="1" applyBorder="1" applyAlignment="1">
      <alignment vertical="center" wrapText="1"/>
    </xf>
    <xf numFmtId="2" fontId="122" fillId="0" borderId="1" xfId="10" applyNumberFormat="1" applyFont="1" applyFill="1" applyBorder="1" applyAlignment="1">
      <alignment horizontal="center" vertical="center" wrapText="1"/>
    </xf>
    <xf numFmtId="0" fontId="81" fillId="0" borderId="0" xfId="97" applyFont="1" applyAlignment="1">
      <alignment horizontal="right"/>
    </xf>
    <xf numFmtId="0" fontId="82" fillId="0" borderId="0" xfId="52" applyFont="1" applyAlignment="1">
      <alignment horizontal="right"/>
    </xf>
    <xf numFmtId="0" fontId="82" fillId="0" borderId="0" xfId="97" applyFont="1" applyAlignment="1">
      <alignment horizontal="center" vertical="center" wrapText="1"/>
    </xf>
    <xf numFmtId="0" fontId="82" fillId="0" borderId="0" xfId="97" applyFont="1" applyAlignment="1">
      <alignment vertical="center" wrapText="1"/>
    </xf>
    <xf numFmtId="0" fontId="82" fillId="0" borderId="0" xfId="97" applyFont="1" applyAlignment="1">
      <alignment horizontal="left" vertical="center" wrapText="1"/>
    </xf>
    <xf numFmtId="170" fontId="82" fillId="0" borderId="0" xfId="97" applyNumberFormat="1" applyFont="1" applyAlignment="1">
      <alignment horizontal="left" vertical="center" wrapText="1"/>
    </xf>
    <xf numFmtId="170" fontId="82" fillId="0" borderId="0" xfId="97" applyNumberFormat="1" applyFont="1" applyAlignment="1">
      <alignment vertical="center" wrapText="1"/>
    </xf>
    <xf numFmtId="170" fontId="82" fillId="0" borderId="0" xfId="97" applyNumberFormat="1" applyFont="1" applyAlignment="1">
      <alignment horizontal="center" vertical="center" wrapText="1"/>
    </xf>
    <xf numFmtId="181" fontId="82" fillId="0" borderId="0" xfId="97" applyNumberFormat="1" applyFont="1" applyAlignment="1">
      <alignment horizontal="left" vertical="center" wrapText="1"/>
    </xf>
    <xf numFmtId="182" fontId="82" fillId="0" borderId="0" xfId="97" applyNumberFormat="1" applyFont="1"/>
    <xf numFmtId="0" fontId="81" fillId="66" borderId="0" xfId="97" applyFont="1" applyFill="1" applyAlignment="1">
      <alignment horizontal="right"/>
    </xf>
    <xf numFmtId="182" fontId="82" fillId="0" borderId="0" xfId="97" applyNumberFormat="1" applyFont="1" applyAlignment="1">
      <alignment horizontal="right"/>
    </xf>
    <xf numFmtId="166" fontId="82" fillId="0" borderId="0" xfId="97" applyNumberFormat="1" applyFont="1" applyAlignment="1">
      <alignment horizontal="right"/>
    </xf>
    <xf numFmtId="166" fontId="81" fillId="0" borderId="0" xfId="97" applyNumberFormat="1" applyFont="1" applyAlignment="1">
      <alignment horizontal="right"/>
    </xf>
    <xf numFmtId="182" fontId="81" fillId="0" borderId="0" xfId="97" applyNumberFormat="1" applyFont="1" applyAlignment="1">
      <alignment horizontal="right"/>
    </xf>
    <xf numFmtId="0" fontId="82" fillId="38" borderId="1" xfId="97" applyFont="1" applyFill="1" applyBorder="1" applyAlignment="1">
      <alignment horizontal="center" vertical="center" wrapText="1"/>
    </xf>
    <xf numFmtId="0" fontId="82" fillId="38" borderId="1" xfId="97" applyFont="1" applyFill="1" applyBorder="1" applyAlignment="1">
      <alignment horizontal="center" vertical="center"/>
    </xf>
    <xf numFmtId="0" fontId="86" fillId="49" borderId="123" xfId="115" applyFont="1" applyBorder="1"/>
    <xf numFmtId="0" fontId="81" fillId="38" borderId="1" xfId="114" applyFont="1" applyFill="1" applyBorder="1" applyAlignment="1">
      <alignment horizontal="left" vertical="center"/>
    </xf>
    <xf numFmtId="0" fontId="81" fillId="38" borderId="1" xfId="114" applyFont="1" applyFill="1" applyBorder="1" applyAlignment="1">
      <alignment horizontal="center" vertical="center"/>
    </xf>
    <xf numFmtId="0" fontId="82" fillId="38" borderId="1" xfId="114" applyFont="1" applyFill="1" applyBorder="1" applyAlignment="1">
      <alignment horizontal="center" vertical="center"/>
    </xf>
    <xf numFmtId="166" fontId="82" fillId="51" borderId="1" xfId="114" applyNumberFormat="1" applyFont="1" applyFill="1" applyBorder="1" applyAlignment="1">
      <alignment horizontal="center" vertical="center"/>
    </xf>
    <xf numFmtId="166" fontId="82" fillId="38" borderId="1" xfId="114" applyNumberFormat="1" applyFont="1" applyFill="1" applyBorder="1" applyAlignment="1">
      <alignment horizontal="center" vertical="center"/>
    </xf>
    <xf numFmtId="166" fontId="81" fillId="38" borderId="1" xfId="114" applyNumberFormat="1" applyFont="1" applyFill="1" applyBorder="1" applyAlignment="1">
      <alignment horizontal="center" vertical="center"/>
    </xf>
    <xf numFmtId="166" fontId="81" fillId="38" borderId="1" xfId="114" applyNumberFormat="1" applyFont="1" applyFill="1" applyBorder="1" applyAlignment="1">
      <alignment horizontal="right" vertical="center"/>
    </xf>
    <xf numFmtId="4" fontId="81" fillId="36" borderId="1" xfId="114" applyNumberFormat="1" applyFont="1" applyFill="1" applyBorder="1" applyAlignment="1">
      <alignment horizontal="right" vertical="center"/>
    </xf>
    <xf numFmtId="166" fontId="82" fillId="38" borderId="1" xfId="114" applyNumberFormat="1" applyFont="1" applyFill="1" applyBorder="1" applyAlignment="1">
      <alignment horizontal="right" vertical="center"/>
    </xf>
    <xf numFmtId="166" fontId="82" fillId="51" borderId="1" xfId="114" applyNumberFormat="1" applyFont="1" applyFill="1" applyBorder="1" applyAlignment="1">
      <alignment horizontal="right" vertical="center"/>
    </xf>
    <xf numFmtId="166" fontId="81" fillId="51" borderId="1" xfId="114" applyNumberFormat="1" applyFont="1" applyFill="1" applyBorder="1" applyAlignment="1">
      <alignment horizontal="right" vertical="center"/>
    </xf>
    <xf numFmtId="4" fontId="81" fillId="38" borderId="1" xfId="114" applyNumberFormat="1" applyFont="1" applyFill="1" applyBorder="1" applyAlignment="1">
      <alignment horizontal="right" vertical="center"/>
    </xf>
    <xf numFmtId="0" fontId="86" fillId="49" borderId="122" xfId="115" applyFont="1" applyBorder="1"/>
    <xf numFmtId="0" fontId="82" fillId="38" borderId="1" xfId="97" applyFont="1" applyFill="1" applyBorder="1" applyAlignment="1">
      <alignment horizontal="left" vertical="center"/>
    </xf>
    <xf numFmtId="0" fontId="82" fillId="38" borderId="1" xfId="97" applyFont="1" applyFill="1" applyBorder="1" applyAlignment="1">
      <alignment horizontal="left" vertical="center" wrapText="1"/>
    </xf>
    <xf numFmtId="181" fontId="82" fillId="38" borderId="1" xfId="97" applyNumberFormat="1" applyFont="1" applyFill="1" applyBorder="1" applyAlignment="1">
      <alignment horizontal="right" vertical="center"/>
    </xf>
    <xf numFmtId="181" fontId="82" fillId="51" borderId="1" xfId="97" applyNumberFormat="1" applyFont="1" applyFill="1" applyBorder="1" applyAlignment="1">
      <alignment horizontal="right" vertical="center"/>
    </xf>
    <xf numFmtId="0" fontId="82" fillId="38" borderId="1" xfId="97" applyFont="1" applyFill="1" applyBorder="1" applyAlignment="1">
      <alignment horizontal="left" vertical="center" wrapText="1" indent="1"/>
    </xf>
    <xf numFmtId="0" fontId="81" fillId="38" borderId="1" xfId="97" applyFont="1" applyFill="1" applyBorder="1" applyAlignment="1">
      <alignment horizontal="left" vertical="center"/>
    </xf>
    <xf numFmtId="0" fontId="81" fillId="38" borderId="1" xfId="97" applyFont="1" applyFill="1" applyBorder="1" applyAlignment="1">
      <alignment horizontal="left" vertical="center" wrapText="1" indent="2"/>
    </xf>
    <xf numFmtId="0" fontId="81" fillId="38" borderId="1" xfId="97" applyFont="1" applyFill="1" applyBorder="1" applyAlignment="1">
      <alignment horizontal="center" vertical="center"/>
    </xf>
    <xf numFmtId="181" fontId="82" fillId="36" borderId="1" xfId="113" applyNumberFormat="1" applyFont="1" applyFill="1" applyBorder="1" applyAlignment="1">
      <alignment horizontal="right" vertical="center"/>
    </xf>
    <xf numFmtId="181" fontId="81" fillId="36" borderId="1" xfId="113" applyNumberFormat="1" applyFont="1" applyFill="1" applyBorder="1" applyAlignment="1">
      <alignment horizontal="right" vertical="center"/>
    </xf>
    <xf numFmtId="181" fontId="81" fillId="38" borderId="1" xfId="113" applyNumberFormat="1" applyFont="1" applyFill="1" applyBorder="1" applyAlignment="1">
      <alignment horizontal="right" vertical="center"/>
    </xf>
    <xf numFmtId="181" fontId="82" fillId="38" borderId="1" xfId="113" applyNumberFormat="1" applyFont="1" applyFill="1" applyBorder="1" applyAlignment="1">
      <alignment horizontal="right" vertical="center"/>
    </xf>
    <xf numFmtId="181" fontId="85" fillId="67" borderId="1" xfId="113" applyNumberFormat="1" applyFont="1" applyFill="1" applyBorder="1" applyAlignment="1">
      <alignment horizontal="right" vertical="center"/>
    </xf>
    <xf numFmtId="181" fontId="85" fillId="38" borderId="1" xfId="113" applyNumberFormat="1" applyFont="1" applyFill="1" applyBorder="1" applyAlignment="1">
      <alignment horizontal="right" vertical="center"/>
    </xf>
    <xf numFmtId="181" fontId="87" fillId="38" borderId="1" xfId="113" applyNumberFormat="1" applyFont="1" applyFill="1" applyBorder="1" applyAlignment="1">
      <alignment horizontal="right" vertical="center"/>
    </xf>
    <xf numFmtId="181" fontId="87" fillId="67" borderId="1" xfId="113" applyNumberFormat="1" applyFont="1" applyFill="1" applyBorder="1" applyAlignment="1">
      <alignment horizontal="right" vertical="center"/>
    </xf>
    <xf numFmtId="181" fontId="87" fillId="36" borderId="1" xfId="113" applyNumberFormat="1" applyFont="1" applyFill="1" applyBorder="1" applyAlignment="1">
      <alignment horizontal="right" vertical="center"/>
    </xf>
    <xf numFmtId="181" fontId="81" fillId="38" borderId="1" xfId="97" applyNumberFormat="1" applyFont="1" applyFill="1" applyBorder="1" applyAlignment="1">
      <alignment horizontal="right" vertical="center"/>
    </xf>
    <xf numFmtId="0" fontId="81" fillId="38" borderId="1" xfId="97" applyFont="1" applyFill="1" applyBorder="1" applyAlignment="1">
      <alignment horizontal="left" vertical="center" wrapText="1" indent="4"/>
    </xf>
    <xf numFmtId="181" fontId="82" fillId="38" borderId="1" xfId="114" applyNumberFormat="1" applyFont="1" applyFill="1" applyBorder="1" applyAlignment="1">
      <alignment horizontal="right" vertical="center" wrapText="1"/>
    </xf>
    <xf numFmtId="0" fontId="81" fillId="38" borderId="1" xfId="114" applyFont="1" applyFill="1" applyBorder="1" applyAlignment="1">
      <alignment horizontal="left" vertical="center" wrapText="1" indent="4"/>
    </xf>
    <xf numFmtId="0" fontId="81" fillId="38" borderId="1" xfId="114" applyFont="1" applyFill="1" applyBorder="1" applyAlignment="1">
      <alignment horizontal="center" vertical="center" wrapText="1"/>
    </xf>
    <xf numFmtId="181" fontId="82" fillId="38" borderId="1" xfId="114" applyNumberFormat="1" applyFont="1" applyFill="1" applyBorder="1" applyAlignment="1">
      <alignment vertical="center" wrapText="1"/>
    </xf>
    <xf numFmtId="0" fontId="84" fillId="38" borderId="1" xfId="114" applyFont="1" applyFill="1" applyBorder="1" applyAlignment="1">
      <alignment horizontal="left" vertical="center" wrapText="1" indent="6"/>
    </xf>
    <xf numFmtId="0" fontId="84" fillId="38" borderId="1" xfId="114" applyFont="1" applyFill="1" applyBorder="1" applyAlignment="1">
      <alignment horizontal="center" vertical="center" wrapText="1"/>
    </xf>
    <xf numFmtId="181" fontId="83" fillId="38" borderId="1" xfId="114" applyNumberFormat="1" applyFont="1" applyFill="1" applyBorder="1" applyAlignment="1">
      <alignment vertical="center" wrapText="1"/>
    </xf>
    <xf numFmtId="181" fontId="84" fillId="38" borderId="1" xfId="114" applyNumberFormat="1" applyFont="1" applyFill="1" applyBorder="1" applyAlignment="1">
      <alignment vertical="center" wrapText="1"/>
    </xf>
    <xf numFmtId="181" fontId="84" fillId="38" borderId="1" xfId="114" applyNumberFormat="1" applyFont="1" applyFill="1" applyBorder="1" applyAlignment="1">
      <alignment horizontal="right" vertical="center" wrapText="1"/>
    </xf>
    <xf numFmtId="181" fontId="83" fillId="38" borderId="1" xfId="114" applyNumberFormat="1" applyFont="1" applyFill="1" applyBorder="1" applyAlignment="1">
      <alignment horizontal="right" vertical="center" wrapText="1"/>
    </xf>
    <xf numFmtId="0" fontId="82" fillId="38" borderId="1" xfId="97" applyFont="1" applyFill="1" applyBorder="1" applyAlignment="1">
      <alignment horizontal="left" vertical="center" wrapText="1" indent="2"/>
    </xf>
    <xf numFmtId="0" fontId="82" fillId="38" borderId="1" xfId="97" applyFont="1" applyFill="1" applyBorder="1" applyAlignment="1">
      <alignment horizontal="justify" vertical="center" wrapText="1"/>
    </xf>
    <xf numFmtId="183" fontId="82" fillId="38" borderId="1" xfId="97" applyNumberFormat="1" applyFont="1" applyFill="1" applyBorder="1" applyAlignment="1">
      <alignment horizontal="right" vertical="center"/>
    </xf>
    <xf numFmtId="0" fontId="82" fillId="0" borderId="2" xfId="97" applyFont="1" applyBorder="1" applyAlignment="1">
      <alignment horizontal="left" vertical="center"/>
    </xf>
    <xf numFmtId="0" fontId="82" fillId="0" borderId="2" xfId="97" applyFont="1" applyBorder="1" applyAlignment="1">
      <alignment horizontal="justify" vertical="center" wrapText="1"/>
    </xf>
    <xf numFmtId="0" fontId="82" fillId="0" borderId="2" xfId="97" applyFont="1" applyBorder="1" applyAlignment="1">
      <alignment horizontal="center" vertical="center" wrapText="1"/>
    </xf>
    <xf numFmtId="181" fontId="82" fillId="0" borderId="2" xfId="97" applyNumberFormat="1" applyFont="1" applyBorder="1" applyAlignment="1">
      <alignment horizontal="right" vertical="center"/>
    </xf>
    <xf numFmtId="181" fontId="82" fillId="0" borderId="1" xfId="97" applyNumberFormat="1" applyFont="1" applyBorder="1" applyAlignment="1">
      <alignment horizontal="right" vertical="center"/>
    </xf>
    <xf numFmtId="181" fontId="81" fillId="0" borderId="1" xfId="97" applyNumberFormat="1" applyFont="1" applyBorder="1" applyAlignment="1">
      <alignment horizontal="right" vertical="center"/>
    </xf>
    <xf numFmtId="0" fontId="82" fillId="0" borderId="0" xfId="97" applyFont="1" applyAlignment="1">
      <alignment horizontal="left" vertical="center"/>
    </xf>
    <xf numFmtId="0" fontId="82" fillId="0" borderId="0" xfId="97" applyFont="1" applyAlignment="1">
      <alignment horizontal="left" vertical="center" wrapText="1" indent="1"/>
    </xf>
    <xf numFmtId="4" fontId="82" fillId="0" borderId="0" xfId="97" applyNumberFormat="1" applyFont="1" applyAlignment="1">
      <alignment horizontal="center" vertical="center"/>
    </xf>
    <xf numFmtId="4" fontId="83" fillId="0" borderId="0" xfId="97" applyNumberFormat="1" applyFont="1" applyAlignment="1">
      <alignment horizontal="center" vertical="center"/>
    </xf>
    <xf numFmtId="4" fontId="83" fillId="0" borderId="0" xfId="97" applyNumberFormat="1" applyFont="1" applyAlignment="1">
      <alignment horizontal="right" vertical="center"/>
    </xf>
    <xf numFmtId="4" fontId="82" fillId="0" borderId="0" xfId="97" applyNumberFormat="1" applyFont="1" applyAlignment="1">
      <alignment horizontal="right" vertical="center"/>
    </xf>
    <xf numFmtId="0" fontId="82" fillId="0" borderId="0" xfId="97" applyFont="1" applyAlignment="1">
      <alignment horizontal="left"/>
    </xf>
    <xf numFmtId="0" fontId="82" fillId="0" borderId="0" xfId="97" applyFont="1" applyAlignment="1">
      <alignment horizontal="center" vertical="center"/>
    </xf>
    <xf numFmtId="166" fontId="82" fillId="0" borderId="0" xfId="97" applyNumberFormat="1" applyFont="1" applyAlignment="1">
      <alignment vertical="center"/>
    </xf>
    <xf numFmtId="166" fontId="83" fillId="0" borderId="0" xfId="97" applyNumberFormat="1" applyFont="1" applyAlignment="1">
      <alignment horizontal="right" vertical="center"/>
    </xf>
    <xf numFmtId="166" fontId="82" fillId="0" borderId="0" xfId="97" applyNumberFormat="1" applyFont="1" applyAlignment="1">
      <alignment horizontal="right" vertical="center"/>
    </xf>
    <xf numFmtId="166" fontId="83" fillId="0" borderId="0" xfId="97" applyNumberFormat="1" applyFont="1"/>
    <xf numFmtId="0" fontId="82" fillId="51" borderId="0" xfId="97" applyFont="1" applyFill="1" applyAlignment="1">
      <alignment horizontal="right"/>
    </xf>
    <xf numFmtId="166" fontId="82" fillId="51" borderId="1" xfId="97" applyNumberFormat="1" applyFont="1" applyFill="1" applyBorder="1" applyAlignment="1">
      <alignment vertical="center"/>
    </xf>
    <xf numFmtId="166" fontId="82" fillId="51" borderId="1" xfId="97" applyNumberFormat="1" applyFont="1" applyFill="1" applyBorder="1" applyAlignment="1">
      <alignment horizontal="right" vertical="center"/>
    </xf>
    <xf numFmtId="166" fontId="82" fillId="51" borderId="0" xfId="97" applyNumberFormat="1" applyFont="1" applyFill="1" applyAlignment="1">
      <alignment horizontal="right" vertical="center"/>
    </xf>
    <xf numFmtId="170" fontId="83" fillId="0" borderId="0" xfId="97" applyNumberFormat="1" applyFont="1" applyAlignment="1">
      <alignment horizontal="right"/>
    </xf>
    <xf numFmtId="166" fontId="82" fillId="0" borderId="0" xfId="97" applyNumberFormat="1" applyFont="1" applyAlignment="1">
      <alignment horizontal="center" vertical="center"/>
    </xf>
    <xf numFmtId="0" fontId="82" fillId="0" borderId="0" xfId="97" applyFont="1" applyAlignment="1">
      <alignment vertical="center"/>
    </xf>
    <xf numFmtId="170" fontId="84" fillId="0" borderId="0" xfId="97" applyNumberFormat="1" applyFont="1" applyAlignment="1">
      <alignment horizontal="right"/>
    </xf>
    <xf numFmtId="0" fontId="81" fillId="0" borderId="0" xfId="97" applyFont="1" applyAlignment="1">
      <alignment vertical="top"/>
    </xf>
    <xf numFmtId="0" fontId="84" fillId="0" borderId="0" xfId="97" applyFont="1" applyAlignment="1">
      <alignment vertical="top" wrapText="1"/>
    </xf>
    <xf numFmtId="166" fontId="84" fillId="16" borderId="27" xfId="20" applyNumberFormat="1" applyFont="1" applyBorder="1" applyAlignment="1">
      <alignment vertical="top"/>
    </xf>
    <xf numFmtId="0" fontId="83" fillId="0" borderId="0" xfId="97" applyFont="1" applyAlignment="1">
      <alignment horizontal="right" vertical="center" wrapText="1"/>
    </xf>
    <xf numFmtId="0" fontId="84" fillId="0" borderId="0" xfId="97" applyFont="1" applyAlignment="1">
      <alignment horizontal="right" wrapText="1"/>
    </xf>
    <xf numFmtId="0" fontId="84" fillId="0" borderId="126" xfId="97" applyFont="1" applyBorder="1" applyAlignment="1">
      <alignment horizontal="left" vertical="top" wrapText="1"/>
    </xf>
    <xf numFmtId="0" fontId="84" fillId="0" borderId="0" xfId="97" applyFont="1" applyAlignment="1">
      <alignment horizontal="left" vertical="top" wrapText="1"/>
    </xf>
    <xf numFmtId="0" fontId="83" fillId="0" borderId="0" xfId="97" applyFont="1" applyAlignment="1">
      <alignment horizontal="right" wrapText="1"/>
    </xf>
    <xf numFmtId="0" fontId="84" fillId="0" borderId="126" xfId="97" applyFont="1" applyBorder="1" applyAlignment="1">
      <alignment vertical="top" wrapText="1"/>
    </xf>
    <xf numFmtId="0" fontId="84" fillId="0" borderId="0" xfId="97" applyFont="1" applyAlignment="1">
      <alignment horizontal="left" vertical="top"/>
    </xf>
    <xf numFmtId="0" fontId="83" fillId="0" borderId="0" xfId="97" applyFont="1" applyAlignment="1">
      <alignment horizontal="left"/>
    </xf>
    <xf numFmtId="0" fontId="84" fillId="36" borderId="0" xfId="97" applyFont="1" applyFill="1" applyAlignment="1">
      <alignment horizontal="left" vertical="top" wrapText="1"/>
    </xf>
    <xf numFmtId="0" fontId="84" fillId="0" borderId="0" xfId="97" applyFont="1" applyAlignment="1">
      <alignment horizontal="left" vertical="center"/>
    </xf>
    <xf numFmtId="0" fontId="83" fillId="0" borderId="0" xfId="97" applyFont="1" applyAlignment="1">
      <alignment horizontal="right" vertical="center"/>
    </xf>
    <xf numFmtId="170" fontId="84" fillId="0" borderId="0" xfId="97" applyNumberFormat="1" applyFont="1" applyAlignment="1">
      <alignment vertical="top" wrapText="1"/>
    </xf>
    <xf numFmtId="166" fontId="81" fillId="38" borderId="0" xfId="97" applyNumberFormat="1" applyFont="1" applyFill="1" applyAlignment="1">
      <alignment horizontal="left" vertical="center"/>
    </xf>
    <xf numFmtId="184" fontId="123" fillId="36" borderId="0" xfId="97" applyNumberFormat="1" applyFont="1" applyFill="1" applyAlignment="1">
      <alignment vertical="center" wrapText="1"/>
    </xf>
    <xf numFmtId="166" fontId="84" fillId="4" borderId="0" xfId="97" applyNumberFormat="1" applyFont="1" applyFill="1" applyAlignment="1">
      <alignment horizontal="right"/>
    </xf>
    <xf numFmtId="4" fontId="76" fillId="0" borderId="0" xfId="0" applyNumberFormat="1" applyFont="1"/>
    <xf numFmtId="43" fontId="92" fillId="0" borderId="1" xfId="0" applyNumberFormat="1" applyFont="1" applyFill="1" applyBorder="1" applyAlignment="1">
      <alignment horizontal="right" vertical="center" wrapText="1"/>
    </xf>
    <xf numFmtId="3" fontId="76" fillId="6" borderId="0" xfId="0" applyNumberFormat="1" applyFont="1" applyFill="1"/>
    <xf numFmtId="3" fontId="91" fillId="0" borderId="6" xfId="0" applyNumberFormat="1" applyFont="1" applyFill="1" applyBorder="1" applyAlignment="1">
      <alignment horizontal="left" vertical="center" wrapText="1"/>
    </xf>
    <xf numFmtId="4" fontId="45" fillId="34" borderId="92" xfId="0" applyNumberFormat="1" applyFont="1" applyFill="1" applyBorder="1" applyAlignment="1">
      <alignment horizontal="right" wrapText="1"/>
    </xf>
    <xf numFmtId="4" fontId="124" fillId="34" borderId="33" xfId="0" applyNumberFormat="1" applyFont="1" applyFill="1" applyBorder="1" applyAlignment="1">
      <alignment horizontal="right" vertical="center" wrapText="1"/>
    </xf>
    <xf numFmtId="0" fontId="77" fillId="56" borderId="137" xfId="0" applyNumberFormat="1" applyFont="1" applyFill="1" applyBorder="1" applyAlignment="1">
      <alignment vertical="center" wrapText="1"/>
    </xf>
    <xf numFmtId="0" fontId="77" fillId="56" borderId="115" xfId="0" applyNumberFormat="1" applyFont="1" applyFill="1" applyBorder="1" applyAlignment="1">
      <alignment vertical="center" wrapText="1"/>
    </xf>
    <xf numFmtId="0" fontId="77" fillId="56" borderId="116" xfId="0" applyNumberFormat="1" applyFont="1" applyFill="1" applyBorder="1" applyAlignment="1">
      <alignment vertical="center" wrapText="1"/>
    </xf>
    <xf numFmtId="4" fontId="103" fillId="0" borderId="87" xfId="120" applyNumberFormat="1" applyFont="1" applyFill="1" applyBorder="1" applyAlignment="1">
      <alignment wrapText="1"/>
    </xf>
    <xf numFmtId="4" fontId="58" fillId="60" borderId="6" xfId="120" applyNumberFormat="1" applyFont="1" applyFill="1" applyBorder="1" applyAlignment="1" applyProtection="1">
      <alignment horizontal="right" vertical="center" wrapText="1"/>
      <protection locked="0"/>
    </xf>
    <xf numFmtId="4" fontId="58" fillId="0" borderId="0" xfId="120" applyNumberFormat="1" applyFont="1" applyFill="1" applyBorder="1" applyAlignment="1">
      <alignment horizontal="center" wrapText="1"/>
    </xf>
    <xf numFmtId="4" fontId="58" fillId="0" borderId="95" xfId="120" applyNumberFormat="1" applyFont="1" applyBorder="1" applyAlignment="1">
      <alignment horizontal="left" wrapText="1"/>
    </xf>
    <xf numFmtId="4" fontId="45" fillId="34" borderId="90" xfId="0" applyNumberFormat="1" applyFont="1" applyFill="1" applyBorder="1" applyAlignment="1">
      <alignment horizontal="right" wrapText="1"/>
    </xf>
    <xf numFmtId="4" fontId="124" fillId="34" borderId="156" xfId="0" applyNumberFormat="1" applyFont="1" applyFill="1" applyBorder="1" applyAlignment="1">
      <alignment horizontal="right" vertical="center" wrapText="1"/>
    </xf>
    <xf numFmtId="4" fontId="58" fillId="58" borderId="34" xfId="120" applyNumberFormat="1" applyFont="1" applyFill="1" applyBorder="1" applyAlignment="1">
      <alignment horizontal="right" wrapText="1"/>
    </xf>
    <xf numFmtId="0" fontId="58" fillId="37" borderId="93" xfId="120" applyFont="1" applyFill="1" applyBorder="1" applyAlignment="1">
      <alignment horizontal="right" wrapText="1"/>
    </xf>
    <xf numFmtId="0" fontId="58" fillId="37" borderId="2" xfId="120" applyFont="1" applyFill="1" applyBorder="1" applyAlignment="1">
      <alignment horizontal="right" wrapText="1"/>
    </xf>
    <xf numFmtId="0" fontId="58" fillId="37" borderId="94" xfId="120" applyFont="1" applyFill="1" applyBorder="1" applyAlignment="1">
      <alignment horizontal="center" wrapText="1"/>
    </xf>
    <xf numFmtId="0" fontId="58" fillId="58" borderId="15" xfId="120" applyFont="1" applyFill="1" applyBorder="1" applyAlignment="1">
      <alignment horizontal="right" wrapText="1"/>
    </xf>
    <xf numFmtId="0" fontId="58" fillId="58" borderId="30" xfId="120" applyFont="1" applyFill="1" applyBorder="1" applyAlignment="1">
      <alignment horizontal="right" wrapText="1"/>
    </xf>
    <xf numFmtId="0" fontId="58" fillId="58" borderId="31" xfId="120" applyFont="1" applyFill="1" applyBorder="1" applyAlignment="1">
      <alignment horizontal="center" wrapText="1"/>
    </xf>
    <xf numFmtId="0" fontId="104" fillId="56" borderId="13" xfId="120" applyFont="1" applyFill="1" applyBorder="1" applyAlignment="1">
      <alignment horizontal="center" vertical="center" wrapText="1"/>
    </xf>
    <xf numFmtId="4" fontId="104" fillId="56" borderId="136" xfId="120" applyNumberFormat="1" applyFont="1" applyFill="1" applyBorder="1" applyAlignment="1">
      <alignment horizontal="right" vertical="center" wrapText="1"/>
    </xf>
    <xf numFmtId="4" fontId="58" fillId="0" borderId="0" xfId="120" applyNumberFormat="1" applyFont="1" applyFill="1" applyBorder="1" applyAlignment="1">
      <alignment horizontal="left" wrapText="1"/>
    </xf>
    <xf numFmtId="4" fontId="103" fillId="0" borderId="0" xfId="120" applyNumberFormat="1" applyFont="1" applyFill="1" applyBorder="1" applyAlignment="1">
      <alignment horizontal="right" wrapText="1"/>
    </xf>
    <xf numFmtId="4" fontId="104" fillId="0" borderId="0" xfId="120" applyNumberFormat="1" applyFont="1" applyFill="1" applyBorder="1" applyAlignment="1">
      <alignment horizontal="right" vertical="center" wrapText="1"/>
    </xf>
    <xf numFmtId="4" fontId="58" fillId="0" borderId="0" xfId="120" applyNumberFormat="1" applyFont="1" applyFill="1" applyBorder="1" applyAlignment="1">
      <alignment horizontal="right" wrapText="1"/>
    </xf>
    <xf numFmtId="4" fontId="58" fillId="0" borderId="0" xfId="120" applyNumberFormat="1" applyFont="1" applyFill="1" applyBorder="1" applyAlignment="1" applyProtection="1">
      <alignment horizontal="right" wrapText="1"/>
      <protection locked="0"/>
    </xf>
    <xf numFmtId="4" fontId="45" fillId="0" borderId="0" xfId="0" applyNumberFormat="1" applyFont="1" applyFill="1" applyBorder="1" applyAlignment="1">
      <alignment horizontal="right" wrapText="1"/>
    </xf>
    <xf numFmtId="4" fontId="58" fillId="0" borderId="158" xfId="120" applyNumberFormat="1" applyFont="1" applyBorder="1" applyAlignment="1">
      <alignment horizontal="left" wrapText="1"/>
    </xf>
    <xf numFmtId="4" fontId="58" fillId="0" borderId="8" xfId="120" applyNumberFormat="1" applyFont="1" applyFill="1" applyBorder="1" applyAlignment="1" applyProtection="1">
      <alignment horizontal="right" wrapText="1"/>
      <protection locked="0"/>
    </xf>
    <xf numFmtId="4" fontId="58" fillId="0" borderId="0" xfId="120" applyNumberFormat="1" applyFont="1" applyFill="1" applyBorder="1" applyAlignment="1" applyProtection="1">
      <alignment horizontal="right" vertical="center" wrapText="1"/>
      <protection locked="0"/>
    </xf>
    <xf numFmtId="10" fontId="58" fillId="0" borderId="0" xfId="120" applyNumberFormat="1" applyFont="1" applyFill="1" applyBorder="1" applyAlignment="1" applyProtection="1">
      <alignment horizontal="right" vertical="center" wrapText="1"/>
      <protection locked="0"/>
    </xf>
    <xf numFmtId="10" fontId="104" fillId="0" borderId="0" xfId="120" applyNumberFormat="1" applyFont="1" applyFill="1" applyBorder="1" applyAlignment="1">
      <alignment horizontal="right" vertical="center" wrapText="1"/>
    </xf>
    <xf numFmtId="0" fontId="58" fillId="0" borderId="10" xfId="120" applyFont="1" applyBorder="1" applyAlignment="1">
      <alignment horizontal="right" wrapText="1"/>
    </xf>
    <xf numFmtId="2" fontId="58" fillId="0" borderId="9" xfId="120" applyNumberFormat="1" applyFont="1" applyBorder="1" applyAlignment="1">
      <alignment horizontal="left" vertical="center" wrapText="1"/>
    </xf>
    <xf numFmtId="0" fontId="58" fillId="0" borderId="9" xfId="120" applyFont="1" applyBorder="1" applyAlignment="1">
      <alignment horizontal="center" wrapText="1"/>
    </xf>
    <xf numFmtId="4" fontId="58" fillId="60" borderId="10" xfId="120" applyNumberFormat="1" applyFont="1" applyFill="1" applyBorder="1" applyAlignment="1" applyProtection="1">
      <alignment horizontal="right" vertical="center" wrapText="1"/>
      <protection locked="0"/>
    </xf>
    <xf numFmtId="4" fontId="58" fillId="60" borderId="9" xfId="120" applyNumberFormat="1" applyFont="1" applyFill="1" applyBorder="1" applyAlignment="1" applyProtection="1">
      <alignment horizontal="right" vertical="center" wrapText="1"/>
      <protection locked="0"/>
    </xf>
    <xf numFmtId="4" fontId="104" fillId="56" borderId="9" xfId="120" applyNumberFormat="1" applyFont="1" applyFill="1" applyBorder="1" applyAlignment="1">
      <alignment horizontal="right" vertical="center" wrapText="1"/>
    </xf>
    <xf numFmtId="4" fontId="104" fillId="56" borderId="105" xfId="120" applyNumberFormat="1" applyFont="1" applyFill="1" applyBorder="1" applyAlignment="1">
      <alignment horizontal="right" vertical="center" wrapText="1"/>
    </xf>
    <xf numFmtId="4" fontId="77" fillId="56" borderId="114" xfId="120" applyNumberFormat="1" applyFont="1" applyFill="1" applyBorder="1" applyAlignment="1">
      <alignment horizontal="right" vertical="center" wrapText="1"/>
    </xf>
    <xf numFmtId="10" fontId="77" fillId="56" borderId="136" xfId="120" applyNumberFormat="1" applyFont="1" applyFill="1" applyBorder="1" applyAlignment="1">
      <alignment horizontal="right" vertical="center" wrapText="1"/>
    </xf>
    <xf numFmtId="4" fontId="77" fillId="56" borderId="156" xfId="120" applyNumberFormat="1" applyFont="1" applyFill="1" applyBorder="1" applyAlignment="1">
      <alignment horizontal="right" vertical="center" wrapText="1"/>
    </xf>
    <xf numFmtId="4" fontId="77" fillId="0" borderId="0" xfId="120" applyNumberFormat="1" applyFont="1" applyFill="1" applyBorder="1" applyAlignment="1">
      <alignment horizontal="right" vertical="center" wrapText="1"/>
    </xf>
    <xf numFmtId="10" fontId="77" fillId="0" borderId="0" xfId="120" applyNumberFormat="1" applyFont="1" applyFill="1" applyBorder="1" applyAlignment="1">
      <alignment horizontal="right" vertical="center" wrapText="1"/>
    </xf>
    <xf numFmtId="0" fontId="108" fillId="0" borderId="0" xfId="0" applyFont="1" applyAlignment="1">
      <alignment horizontal="left" wrapText="1"/>
    </xf>
    <xf numFmtId="4" fontId="108" fillId="0" borderId="0" xfId="0" applyNumberFormat="1" applyFont="1" applyAlignment="1">
      <alignment horizontal="left" wrapText="1"/>
    </xf>
    <xf numFmtId="4" fontId="108" fillId="0" borderId="0" xfId="0" applyNumberFormat="1" applyFont="1" applyFill="1" applyAlignment="1">
      <alignment horizontal="left" wrapText="1"/>
    </xf>
    <xf numFmtId="0" fontId="108" fillId="0" borderId="0" xfId="0" applyFont="1"/>
    <xf numFmtId="4" fontId="103" fillId="56" borderId="94" xfId="120" applyNumberFormat="1" applyFont="1" applyFill="1" applyBorder="1" applyAlignment="1">
      <alignment horizontal="right" vertical="center" wrapText="1"/>
    </xf>
    <xf numFmtId="4" fontId="103" fillId="56" borderId="7" xfId="120" applyNumberFormat="1" applyFont="1" applyFill="1" applyBorder="1" applyAlignment="1">
      <alignment horizontal="right" vertical="center" wrapText="1"/>
    </xf>
    <xf numFmtId="4" fontId="103" fillId="56" borderId="2" xfId="120" applyNumberFormat="1" applyFont="1" applyFill="1" applyBorder="1" applyAlignment="1">
      <alignment horizontal="right" vertical="center" wrapText="1"/>
    </xf>
    <xf numFmtId="4" fontId="103" fillId="56" borderId="106" xfId="120" applyNumberFormat="1" applyFont="1" applyFill="1" applyBorder="1" applyAlignment="1">
      <alignment horizontal="right" vertical="center" wrapText="1"/>
    </xf>
    <xf numFmtId="0" fontId="58" fillId="0" borderId="0" xfId="120" applyFont="1" applyFill="1" applyBorder="1" applyAlignment="1">
      <alignment horizontal="left" vertical="center"/>
    </xf>
    <xf numFmtId="0" fontId="58" fillId="0" borderId="0" xfId="120" applyFont="1" applyAlignment="1">
      <alignment horizontal="left" vertical="center"/>
    </xf>
    <xf numFmtId="4" fontId="58" fillId="0" borderId="0" xfId="120" applyNumberFormat="1" applyFont="1" applyAlignment="1">
      <alignment horizontal="left" vertical="center"/>
    </xf>
    <xf numFmtId="4" fontId="58" fillId="0" borderId="0" xfId="120" applyNumberFormat="1" applyFont="1" applyFill="1" applyAlignment="1">
      <alignment horizontal="left" vertical="center"/>
    </xf>
    <xf numFmtId="4" fontId="103" fillId="6" borderId="0" xfId="120" applyNumberFormat="1" applyFont="1" applyFill="1" applyAlignment="1">
      <alignment horizontal="left" vertical="center"/>
    </xf>
    <xf numFmtId="0" fontId="58" fillId="6" borderId="0" xfId="120" applyFont="1" applyFill="1" applyAlignment="1">
      <alignment horizontal="left" vertical="center"/>
    </xf>
    <xf numFmtId="4" fontId="76" fillId="60" borderId="93" xfId="120" applyNumberFormat="1" applyFont="1" applyFill="1" applyBorder="1" applyAlignment="1" applyProtection="1">
      <alignment horizontal="right" vertical="center" wrapText="1"/>
      <protection locked="0"/>
    </xf>
    <xf numFmtId="4" fontId="76" fillId="60" borderId="2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93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2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94" xfId="120" applyNumberFormat="1" applyFont="1" applyFill="1" applyBorder="1" applyAlignment="1" applyProtection="1">
      <alignment horizontal="right" vertical="center" wrapText="1"/>
      <protection locked="0"/>
    </xf>
    <xf numFmtId="4" fontId="76" fillId="6" borderId="1" xfId="120" applyNumberFormat="1" applyFont="1" applyFill="1" applyBorder="1" applyAlignment="1" applyProtection="1">
      <alignment horizontal="right" vertical="center" wrapText="1"/>
      <protection locked="0"/>
    </xf>
    <xf numFmtId="4" fontId="76" fillId="6" borderId="11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4" xfId="120" applyNumberFormat="1" applyFont="1" applyFill="1" applyBorder="1" applyAlignment="1" applyProtection="1">
      <alignment horizontal="right" vertical="center" wrapText="1"/>
      <protection locked="0"/>
    </xf>
    <xf numFmtId="4" fontId="104" fillId="56" borderId="5" xfId="120" applyNumberFormat="1" applyFont="1" applyFill="1" applyBorder="1" applyAlignment="1">
      <alignment horizontal="right" vertical="center" wrapText="1"/>
    </xf>
    <xf numFmtId="4" fontId="104" fillId="6" borderId="5" xfId="120" applyNumberFormat="1" applyFont="1" applyFill="1" applyBorder="1" applyAlignment="1">
      <alignment horizontal="right" vertical="center" wrapText="1"/>
    </xf>
    <xf numFmtId="0" fontId="58" fillId="6" borderId="1" xfId="120" applyFont="1" applyFill="1" applyBorder="1" applyAlignment="1">
      <alignment horizontal="right" vertical="center"/>
    </xf>
    <xf numFmtId="14" fontId="0" fillId="6" borderId="1" xfId="120" applyNumberFormat="1" applyFont="1" applyFill="1" applyBorder="1" applyAlignment="1">
      <alignment horizontal="center" vertical="center" wrapText="1"/>
    </xf>
    <xf numFmtId="14" fontId="0" fillId="6" borderId="1" xfId="120" applyNumberFormat="1" applyFont="1" applyFill="1" applyBorder="1" applyAlignment="1">
      <alignment vertical="center" wrapText="1"/>
    </xf>
    <xf numFmtId="3" fontId="58" fillId="0" borderId="1" xfId="120" applyNumberFormat="1" applyFont="1" applyBorder="1" applyAlignment="1">
      <alignment horizontal="center" vertical="center" wrapText="1"/>
    </xf>
    <xf numFmtId="14" fontId="58" fillId="0" borderId="1" xfId="120" applyNumberFormat="1" applyFont="1" applyBorder="1" applyAlignment="1">
      <alignment horizontal="center" vertical="center" wrapText="1"/>
    </xf>
    <xf numFmtId="0" fontId="58" fillId="0" borderId="1" xfId="120" applyFont="1" applyBorder="1" applyAlignment="1">
      <alignment horizontal="center" vertical="center" wrapText="1"/>
    </xf>
    <xf numFmtId="3" fontId="76" fillId="0" borderId="1" xfId="0" applyNumberFormat="1" applyFont="1" applyBorder="1" applyAlignment="1">
      <alignment horizontal="center" vertical="center" wrapText="1"/>
    </xf>
    <xf numFmtId="14" fontId="76" fillId="0" borderId="1" xfId="0" applyNumberFormat="1" applyFont="1" applyBorder="1" applyAlignment="1">
      <alignment horizontal="center" vertical="center" wrapText="1"/>
    </xf>
    <xf numFmtId="14" fontId="6" fillId="6" borderId="0" xfId="120" applyNumberFormat="1" applyFont="1" applyFill="1" applyAlignment="1">
      <alignment vertical="center"/>
    </xf>
    <xf numFmtId="14" fontId="103" fillId="6" borderId="0" xfId="120" applyNumberFormat="1" applyFont="1" applyFill="1" applyAlignment="1">
      <alignment vertical="center"/>
    </xf>
    <xf numFmtId="0" fontId="105" fillId="0" borderId="1" xfId="12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3" fontId="58" fillId="0" borderId="0" xfId="120" applyNumberFormat="1" applyFont="1"/>
    <xf numFmtId="0" fontId="76" fillId="0" borderId="1" xfId="0" applyFont="1" applyFill="1" applyBorder="1"/>
    <xf numFmtId="4" fontId="76" fillId="0" borderId="1" xfId="0" applyNumberFormat="1" applyFont="1" applyFill="1" applyBorder="1"/>
    <xf numFmtId="0" fontId="125" fillId="0" borderId="1" xfId="0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7" fillId="68" borderId="1" xfId="0" applyFont="1" applyFill="1" applyBorder="1" applyAlignment="1">
      <alignment vertical="center" wrapText="1"/>
    </xf>
    <xf numFmtId="0" fontId="125" fillId="68" borderId="1" xfId="0" applyFont="1" applyFill="1" applyBorder="1" applyAlignment="1">
      <alignment vertical="center" wrapText="1"/>
    </xf>
    <xf numFmtId="0" fontId="127" fillId="68" borderId="1" xfId="0" applyFont="1" applyFill="1" applyBorder="1" applyAlignment="1">
      <alignment horizontal="center" vertical="center" wrapText="1"/>
    </xf>
    <xf numFmtId="0" fontId="126" fillId="68" borderId="1" xfId="0" applyFont="1" applyFill="1" applyBorder="1" applyAlignment="1">
      <alignment horizontal="center" vertical="center" wrapText="1"/>
    </xf>
    <xf numFmtId="3" fontId="0" fillId="44" borderId="11" xfId="0" applyNumberFormat="1" applyFill="1" applyBorder="1"/>
    <xf numFmtId="3" fontId="0" fillId="44" borderId="1" xfId="0" applyNumberFormat="1" applyFill="1" applyBorder="1"/>
    <xf numFmtId="3" fontId="0" fillId="44" borderId="14" xfId="0" applyNumberFormat="1" applyFill="1" applyBorder="1"/>
    <xf numFmtId="3" fontId="0" fillId="44" borderId="132" xfId="0" applyNumberFormat="1" applyFill="1" applyBorder="1"/>
    <xf numFmtId="3" fontId="0" fillId="44" borderId="6" xfId="0" applyNumberFormat="1" applyFill="1" applyBorder="1"/>
    <xf numFmtId="3" fontId="0" fillId="5" borderId="0" xfId="0" applyNumberFormat="1" applyFill="1"/>
    <xf numFmtId="0" fontId="91" fillId="0" borderId="1" xfId="0" applyFont="1" applyFill="1" applyBorder="1" applyAlignment="1">
      <alignment horizontal="center" vertical="center" wrapText="1"/>
    </xf>
    <xf numFmtId="165" fontId="91" fillId="0" borderId="1" xfId="0" applyNumberFormat="1" applyFont="1" applyFill="1" applyBorder="1" applyAlignment="1">
      <alignment horizontal="center" vertical="center" wrapText="1"/>
    </xf>
    <xf numFmtId="166" fontId="91" fillId="0" borderId="1" xfId="0" applyNumberFormat="1" applyFont="1" applyFill="1" applyBorder="1" applyAlignment="1">
      <alignment horizontal="center" vertical="center" wrapText="1"/>
    </xf>
    <xf numFmtId="0" fontId="128" fillId="0" borderId="0" xfId="0" applyFont="1" applyBorder="1" applyAlignment="1">
      <alignment vertical="top" wrapText="1"/>
    </xf>
    <xf numFmtId="4" fontId="76" fillId="0" borderId="0" xfId="0" applyNumberFormat="1" applyFont="1" applyFill="1"/>
    <xf numFmtId="3" fontId="91" fillId="0" borderId="6" xfId="0" applyNumberFormat="1" applyFont="1" applyFill="1" applyBorder="1" applyAlignment="1">
      <alignment horizontal="center" vertical="center" wrapText="1"/>
    </xf>
    <xf numFmtId="0" fontId="91" fillId="0" borderId="1" xfId="0" applyNumberFormat="1" applyFont="1" applyFill="1" applyBorder="1" applyAlignment="1">
      <alignment horizontal="center" vertical="justify" wrapText="1"/>
    </xf>
    <xf numFmtId="0" fontId="91" fillId="0" borderId="1" xfId="0" applyFont="1" applyFill="1" applyBorder="1" applyAlignment="1">
      <alignment vertical="center" wrapText="1"/>
    </xf>
    <xf numFmtId="165" fontId="92" fillId="6" borderId="1" xfId="0" applyNumberFormat="1" applyFont="1" applyFill="1" applyBorder="1" applyAlignment="1"/>
    <xf numFmtId="164" fontId="91" fillId="2" borderId="1" xfId="0" applyNumberFormat="1" applyFont="1" applyFill="1" applyBorder="1" applyAlignment="1">
      <alignment vertical="center" wrapText="1"/>
    </xf>
    <xf numFmtId="165" fontId="91" fillId="2" borderId="1" xfId="0" applyNumberFormat="1" applyFont="1" applyFill="1" applyBorder="1" applyAlignment="1">
      <alignment horizontal="right" vertical="center" wrapText="1"/>
    </xf>
    <xf numFmtId="164" fontId="92" fillId="0" borderId="1" xfId="0" applyNumberFormat="1" applyFont="1" applyFill="1" applyBorder="1" applyAlignment="1">
      <alignment vertical="center" wrapText="1"/>
    </xf>
    <xf numFmtId="174" fontId="91" fillId="2" borderId="1" xfId="0" applyNumberFormat="1" applyFont="1" applyFill="1" applyBorder="1" applyAlignment="1">
      <alignment horizontal="center" vertical="center" wrapText="1"/>
    </xf>
    <xf numFmtId="164" fontId="93" fillId="2" borderId="1" xfId="0" applyNumberFormat="1" applyFont="1" applyFill="1" applyBorder="1" applyAlignment="1">
      <alignment vertical="center" wrapText="1"/>
    </xf>
    <xf numFmtId="165" fontId="93" fillId="0" borderId="1" xfId="0" applyNumberFormat="1" applyFont="1" applyFill="1" applyBorder="1" applyAlignment="1">
      <alignment vertical="center" wrapText="1"/>
    </xf>
    <xf numFmtId="164" fontId="94" fillId="0" borderId="1" xfId="0" applyNumberFormat="1" applyFont="1" applyFill="1" applyBorder="1" applyAlignment="1">
      <alignment vertical="center" wrapText="1"/>
    </xf>
    <xf numFmtId="171" fontId="92" fillId="0" borderId="1" xfId="0" applyNumberFormat="1" applyFont="1" applyFill="1" applyBorder="1" applyAlignment="1">
      <alignment vertical="center" wrapText="1"/>
    </xf>
    <xf numFmtId="171" fontId="91" fillId="2" borderId="1" xfId="0" applyNumberFormat="1" applyFont="1" applyFill="1" applyBorder="1" applyAlignment="1">
      <alignment vertical="center" wrapText="1"/>
    </xf>
    <xf numFmtId="0" fontId="91" fillId="0" borderId="1" xfId="12" applyNumberFormat="1" applyFont="1" applyFill="1" applyBorder="1" applyAlignment="1">
      <alignment vertical="center" wrapText="1"/>
    </xf>
    <xf numFmtId="164" fontId="91" fillId="0" borderId="1" xfId="0" applyNumberFormat="1" applyFont="1" applyFill="1" applyBorder="1" applyAlignment="1">
      <alignment vertical="center" wrapText="1"/>
    </xf>
    <xf numFmtId="0" fontId="93" fillId="2" borderId="1" xfId="0" applyNumberFormat="1" applyFont="1" applyFill="1" applyBorder="1" applyAlignment="1">
      <alignment horizontal="left" vertical="center" wrapText="1"/>
    </xf>
    <xf numFmtId="43" fontId="93" fillId="2" borderId="1" xfId="0" applyNumberFormat="1" applyFont="1" applyFill="1" applyBorder="1" applyAlignment="1">
      <alignment horizontal="center" vertical="center" wrapText="1"/>
    </xf>
    <xf numFmtId="43" fontId="93" fillId="0" borderId="1" xfId="0" applyNumberFormat="1" applyFont="1" applyFill="1" applyBorder="1" applyAlignment="1">
      <alignment horizontal="center" vertical="center"/>
    </xf>
    <xf numFmtId="43" fontId="94" fillId="0" borderId="1" xfId="0" applyNumberFormat="1" applyFont="1" applyFill="1" applyBorder="1" applyAlignment="1">
      <alignment vertical="center"/>
    </xf>
    <xf numFmtId="43" fontId="91" fillId="2" borderId="1" xfId="0" applyNumberFormat="1" applyFont="1" applyFill="1" applyBorder="1" applyAlignment="1">
      <alignment horizontal="center" vertical="center" wrapText="1"/>
    </xf>
    <xf numFmtId="43" fontId="91" fillId="0" borderId="1" xfId="0" applyNumberFormat="1" applyFont="1" applyFill="1" applyBorder="1" applyAlignment="1">
      <alignment horizontal="center" vertical="center"/>
    </xf>
    <xf numFmtId="43" fontId="92" fillId="0" borderId="1" xfId="0" applyNumberFormat="1" applyFont="1" applyFill="1" applyBorder="1" applyAlignment="1">
      <alignment vertical="center"/>
    </xf>
    <xf numFmtId="43" fontId="95" fillId="2" borderId="1" xfId="0" applyNumberFormat="1" applyFont="1" applyFill="1" applyBorder="1" applyAlignment="1">
      <alignment vertical="center" wrapText="1"/>
    </xf>
    <xf numFmtId="43" fontId="96" fillId="0" borderId="1" xfId="0" applyNumberFormat="1" applyFont="1" applyFill="1" applyBorder="1" applyAlignment="1">
      <alignment vertical="center" wrapText="1"/>
    </xf>
    <xf numFmtId="43" fontId="96" fillId="0" borderId="1" xfId="0" applyNumberFormat="1" applyFont="1" applyFill="1" applyBorder="1" applyAlignment="1">
      <alignment vertical="center"/>
    </xf>
    <xf numFmtId="43" fontId="91" fillId="2" borderId="1" xfId="0" applyNumberFormat="1" applyFont="1" applyFill="1" applyBorder="1" applyAlignment="1">
      <alignment horizontal="right" vertical="center" wrapText="1"/>
    </xf>
    <xf numFmtId="0" fontId="91" fillId="6" borderId="1" xfId="0" applyNumberFormat="1" applyFont="1" applyFill="1" applyBorder="1" applyAlignment="1">
      <alignment horizontal="left" vertical="center" wrapText="1"/>
    </xf>
    <xf numFmtId="0" fontId="91" fillId="6" borderId="1" xfId="0" applyNumberFormat="1" applyFont="1" applyFill="1" applyBorder="1" applyAlignment="1">
      <alignment horizontal="left" vertical="center" indent="2"/>
    </xf>
    <xf numFmtId="0" fontId="91" fillId="6" borderId="1" xfId="0" applyNumberFormat="1" applyFont="1" applyFill="1" applyBorder="1" applyAlignment="1">
      <alignment horizontal="left" vertical="center" wrapText="1" indent="2"/>
    </xf>
    <xf numFmtId="43" fontId="91" fillId="2" borderId="1" xfId="0" applyNumberFormat="1" applyFont="1" applyFill="1" applyBorder="1" applyAlignment="1">
      <alignment horizontal="center" vertical="center"/>
    </xf>
    <xf numFmtId="43" fontId="92" fillId="2" borderId="1" xfId="0" applyNumberFormat="1" applyFont="1" applyFill="1" applyBorder="1" applyAlignment="1">
      <alignment horizontal="right" vertical="center" wrapText="1"/>
    </xf>
    <xf numFmtId="0" fontId="93" fillId="0" borderId="1" xfId="12" applyNumberFormat="1" applyFont="1" applyFill="1" applyBorder="1" applyAlignment="1">
      <alignment vertical="center" wrapText="1"/>
    </xf>
    <xf numFmtId="43" fontId="93" fillId="0" borderId="1" xfId="0" applyNumberFormat="1" applyFont="1" applyFill="1" applyBorder="1" applyAlignment="1">
      <alignment horizontal="center" vertical="center" wrapText="1"/>
    </xf>
    <xf numFmtId="0" fontId="93" fillId="0" borderId="1" xfId="0" applyNumberFormat="1" applyFont="1" applyFill="1" applyBorder="1" applyAlignment="1">
      <alignment horizontal="left" vertical="center" wrapText="1"/>
    </xf>
    <xf numFmtId="0" fontId="92" fillId="6" borderId="1" xfId="0" applyNumberFormat="1" applyFont="1" applyFill="1" applyBorder="1" applyAlignment="1">
      <alignment horizontal="left" vertical="center" indent="2"/>
    </xf>
    <xf numFmtId="43" fontId="92" fillId="6" borderId="1" xfId="0" applyNumberFormat="1" applyFont="1" applyFill="1" applyBorder="1" applyAlignment="1">
      <alignment horizontal="center"/>
    </xf>
    <xf numFmtId="0" fontId="92" fillId="6" borderId="1" xfId="0" applyNumberFormat="1" applyFont="1" applyFill="1" applyBorder="1" applyAlignment="1">
      <alignment horizontal="left" vertical="center" wrapText="1" indent="2"/>
    </xf>
    <xf numFmtId="0" fontId="91" fillId="36" borderId="1" xfId="12" applyNumberFormat="1" applyFont="1" applyFill="1" applyBorder="1" applyAlignment="1">
      <alignment vertical="center" wrapText="1"/>
    </xf>
    <xf numFmtId="43" fontId="91" fillId="36" borderId="1" xfId="0" applyNumberFormat="1" applyFont="1" applyFill="1" applyBorder="1" applyAlignment="1">
      <alignment horizontal="right" vertical="center" wrapText="1"/>
    </xf>
    <xf numFmtId="43" fontId="93" fillId="36" borderId="1" xfId="0" applyNumberFormat="1" applyFont="1" applyFill="1" applyBorder="1" applyAlignment="1">
      <alignment horizontal="center" vertical="center" wrapText="1"/>
    </xf>
    <xf numFmtId="0" fontId="91" fillId="36" borderId="1" xfId="12" applyNumberFormat="1" applyFont="1" applyFill="1" applyBorder="1" applyAlignment="1">
      <alignment horizontal="left" vertical="center" wrapText="1"/>
    </xf>
    <xf numFmtId="43" fontId="92" fillId="3" borderId="1" xfId="0" applyNumberFormat="1" applyFont="1" applyFill="1" applyBorder="1" applyAlignment="1"/>
    <xf numFmtId="0" fontId="93" fillId="3" borderId="1" xfId="0" applyNumberFormat="1" applyFont="1" applyFill="1" applyBorder="1" applyAlignment="1">
      <alignment horizontal="left" vertical="center" wrapText="1"/>
    </xf>
    <xf numFmtId="0" fontId="93" fillId="3" borderId="1" xfId="0" applyNumberFormat="1" applyFont="1" applyFill="1" applyBorder="1" applyAlignment="1">
      <alignment horizontal="left" vertical="center" indent="2"/>
    </xf>
    <xf numFmtId="0" fontId="93" fillId="3" borderId="1" xfId="0" applyNumberFormat="1" applyFont="1" applyFill="1" applyBorder="1" applyAlignment="1">
      <alignment horizontal="left" vertical="center" wrapText="1" indent="2"/>
    </xf>
    <xf numFmtId="0" fontId="91" fillId="3" borderId="1" xfId="0" applyNumberFormat="1" applyFont="1" applyFill="1" applyBorder="1" applyAlignment="1">
      <alignment horizontal="left" vertical="center" indent="2"/>
    </xf>
    <xf numFmtId="0" fontId="91" fillId="3" borderId="1" xfId="0" applyNumberFormat="1" applyFont="1" applyFill="1" applyBorder="1" applyAlignment="1">
      <alignment horizontal="left" vertical="center" wrapText="1" indent="2"/>
    </xf>
    <xf numFmtId="0" fontId="93" fillId="3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29" fillId="0" borderId="0" xfId="0" applyFont="1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0" fontId="0" fillId="0" borderId="89" xfId="0" applyBorder="1" applyAlignment="1">
      <alignment horizontal="left" wrapText="1"/>
    </xf>
    <xf numFmtId="0" fontId="129" fillId="0" borderId="90" xfId="0" applyFont="1" applyBorder="1" applyAlignment="1">
      <alignment horizontal="left" wrapText="1"/>
    </xf>
    <xf numFmtId="0" fontId="135" fillId="56" borderId="11" xfId="0" applyFont="1" applyFill="1" applyBorder="1" applyAlignment="1">
      <alignment horizontal="center" vertical="center" wrapText="1"/>
    </xf>
    <xf numFmtId="0" fontId="135" fillId="56" borderId="1" xfId="0" applyFont="1" applyFill="1" applyBorder="1" applyAlignment="1">
      <alignment horizontal="center" vertical="center" wrapText="1"/>
    </xf>
    <xf numFmtId="0" fontId="135" fillId="56" borderId="108" xfId="0" applyFont="1" applyFill="1" applyBorder="1" applyAlignment="1">
      <alignment horizontal="center" vertical="center" wrapText="1"/>
    </xf>
    <xf numFmtId="0" fontId="135" fillId="56" borderId="157" xfId="0" applyFont="1" applyFill="1" applyBorder="1" applyAlignment="1">
      <alignment horizontal="center" vertical="center" wrapText="1"/>
    </xf>
    <xf numFmtId="0" fontId="135" fillId="56" borderId="130" xfId="0" applyFont="1" applyFill="1" applyBorder="1" applyAlignment="1">
      <alignment horizontal="center" vertical="center" wrapText="1"/>
    </xf>
    <xf numFmtId="0" fontId="135" fillId="56" borderId="6" xfId="0" applyFont="1" applyFill="1" applyBorder="1" applyAlignment="1">
      <alignment horizontal="center" vertical="center" wrapText="1"/>
    </xf>
    <xf numFmtId="0" fontId="132" fillId="57" borderId="97" xfId="0" applyFont="1" applyFill="1" applyBorder="1" applyAlignment="1">
      <alignment horizontal="center" vertical="center" wrapText="1"/>
    </xf>
    <xf numFmtId="0" fontId="133" fillId="57" borderId="3" xfId="0" applyFont="1" applyFill="1" applyBorder="1" applyAlignment="1">
      <alignment horizontal="left" vertical="center" wrapText="1"/>
    </xf>
    <xf numFmtId="0" fontId="134" fillId="57" borderId="98" xfId="0" applyFont="1" applyFill="1" applyBorder="1" applyAlignment="1">
      <alignment horizontal="center" vertical="center" wrapText="1"/>
    </xf>
    <xf numFmtId="0" fontId="129" fillId="0" borderId="95" xfId="0" applyFont="1" applyBorder="1" applyAlignment="1">
      <alignment horizontal="left" wrapText="1"/>
    </xf>
    <xf numFmtId="0" fontId="129" fillId="0" borderId="0" xfId="0" applyFont="1" applyBorder="1" applyAlignment="1">
      <alignment horizontal="left" wrapText="1"/>
    </xf>
    <xf numFmtId="0" fontId="129" fillId="0" borderId="96" xfId="0" applyFont="1" applyBorder="1" applyAlignment="1">
      <alignment horizontal="left" wrapText="1"/>
    </xf>
    <xf numFmtId="185" fontId="0" fillId="0" borderId="0" xfId="0" applyNumberFormat="1" applyAlignment="1">
      <alignment horizontal="left" wrapText="1"/>
    </xf>
    <xf numFmtId="0" fontId="136" fillId="3" borderId="92" xfId="0" applyFont="1" applyFill="1" applyBorder="1" applyAlignment="1">
      <alignment horizontal="right" wrapText="1"/>
    </xf>
    <xf numFmtId="0" fontId="131" fillId="3" borderId="32" xfId="0" applyFont="1" applyFill="1" applyBorder="1" applyAlignment="1">
      <alignment horizontal="right" wrapText="1"/>
    </xf>
    <xf numFmtId="0" fontId="136" fillId="3" borderId="33" xfId="0" applyFont="1" applyFill="1" applyBorder="1" applyAlignment="1">
      <alignment horizontal="right" wrapText="1"/>
    </xf>
    <xf numFmtId="4" fontId="136" fillId="3" borderId="92" xfId="0" applyNumberFormat="1" applyFont="1" applyFill="1" applyBorder="1" applyAlignment="1">
      <alignment horizontal="right" wrapText="1"/>
    </xf>
    <xf numFmtId="4" fontId="134" fillId="3" borderId="33" xfId="0" applyNumberFormat="1" applyFont="1" applyFill="1" applyBorder="1" applyAlignment="1">
      <alignment horizontal="right" vertical="center" wrapText="1"/>
    </xf>
    <xf numFmtId="4" fontId="134" fillId="3" borderId="156" xfId="0" applyNumberFormat="1" applyFont="1" applyFill="1" applyBorder="1" applyAlignment="1">
      <alignment horizontal="right" vertical="center" wrapText="1"/>
    </xf>
    <xf numFmtId="4" fontId="136" fillId="3" borderId="155" xfId="0" applyNumberFormat="1" applyFont="1" applyFill="1" applyBorder="1" applyAlignment="1">
      <alignment horizontal="right" wrapText="1"/>
    </xf>
    <xf numFmtId="0" fontId="0" fillId="58" borderId="93" xfId="0" applyFill="1" applyBorder="1" applyAlignment="1">
      <alignment horizontal="right" wrapText="1"/>
    </xf>
    <xf numFmtId="0" fontId="131" fillId="58" borderId="2" xfId="0" applyFont="1" applyFill="1" applyBorder="1" applyAlignment="1">
      <alignment horizontal="right" wrapText="1"/>
    </xf>
    <xf numFmtId="0" fontId="129" fillId="58" borderId="94" xfId="0" applyFont="1" applyFill="1" applyBorder="1" applyAlignment="1">
      <alignment horizontal="right" wrapText="1"/>
    </xf>
    <xf numFmtId="4" fontId="129" fillId="58" borderId="93" xfId="0" applyNumberFormat="1" applyFont="1" applyFill="1" applyBorder="1" applyAlignment="1">
      <alignment horizontal="right" wrapText="1"/>
    </xf>
    <xf numFmtId="4" fontId="129" fillId="58" borderId="2" xfId="0" applyNumberFormat="1" applyFont="1" applyFill="1" applyBorder="1" applyAlignment="1">
      <alignment horizontal="right" wrapText="1"/>
    </xf>
    <xf numFmtId="4" fontId="134" fillId="56" borderId="2" xfId="0" applyNumberFormat="1" applyFont="1" applyFill="1" applyBorder="1" applyAlignment="1">
      <alignment horizontal="right" vertical="center" wrapText="1"/>
    </xf>
    <xf numFmtId="4" fontId="134" fillId="56" borderId="7" xfId="0" applyNumberFormat="1" applyFont="1" applyFill="1" applyBorder="1" applyAlignment="1">
      <alignment horizontal="right" vertical="center" wrapText="1"/>
    </xf>
    <xf numFmtId="4" fontId="134" fillId="56" borderId="94" xfId="0" applyNumberFormat="1" applyFont="1" applyFill="1" applyBorder="1" applyAlignment="1">
      <alignment horizontal="right" vertical="center" wrapText="1"/>
    </xf>
    <xf numFmtId="4" fontId="129" fillId="58" borderId="34" xfId="0" applyNumberFormat="1" applyFont="1" applyFill="1" applyBorder="1" applyAlignment="1">
      <alignment horizontal="right" wrapText="1"/>
    </xf>
    <xf numFmtId="186" fontId="0" fillId="58" borderId="11" xfId="0" applyNumberFormat="1" applyFill="1" applyBorder="1" applyAlignment="1">
      <alignment horizontal="right" wrapText="1"/>
    </xf>
    <xf numFmtId="0" fontId="131" fillId="58" borderId="1" xfId="0" applyFont="1" applyFill="1" applyBorder="1" applyAlignment="1">
      <alignment horizontal="right" wrapText="1"/>
    </xf>
    <xf numFmtId="0" fontId="129" fillId="58" borderId="14" xfId="0" applyFont="1" applyFill="1" applyBorder="1" applyAlignment="1">
      <alignment horizontal="right" wrapText="1"/>
    </xf>
    <xf numFmtId="4" fontId="129" fillId="58" borderId="11" xfId="0" applyNumberFormat="1" applyFont="1" applyFill="1" applyBorder="1" applyAlignment="1">
      <alignment horizontal="right" wrapText="1"/>
    </xf>
    <xf numFmtId="4" fontId="129" fillId="58" borderId="1" xfId="0" applyNumberFormat="1" applyFont="1" applyFill="1" applyBorder="1" applyAlignment="1">
      <alignment horizontal="right" wrapText="1"/>
    </xf>
    <xf numFmtId="4" fontId="134" fillId="56" borderId="1" xfId="0" applyNumberFormat="1" applyFont="1" applyFill="1" applyBorder="1" applyAlignment="1">
      <alignment horizontal="right" vertical="center" wrapText="1"/>
    </xf>
    <xf numFmtId="4" fontId="134" fillId="56" borderId="4" xfId="0" applyNumberFormat="1" applyFont="1" applyFill="1" applyBorder="1" applyAlignment="1">
      <alignment horizontal="right" vertical="center" wrapText="1"/>
    </xf>
    <xf numFmtId="4" fontId="134" fillId="56" borderId="14" xfId="0" applyNumberFormat="1" applyFont="1" applyFill="1" applyBorder="1" applyAlignment="1">
      <alignment horizontal="right" vertical="center" wrapText="1"/>
    </xf>
    <xf numFmtId="4" fontId="129" fillId="58" borderId="6" xfId="0" applyNumberFormat="1" applyFont="1" applyFill="1" applyBorder="1" applyAlignment="1">
      <alignment horizontal="right" wrapText="1"/>
    </xf>
    <xf numFmtId="0" fontId="132" fillId="59" borderId="97" xfId="0" applyFont="1" applyFill="1" applyBorder="1" applyAlignment="1">
      <alignment horizontal="right" wrapText="1"/>
    </xf>
    <xf numFmtId="0" fontId="131" fillId="58" borderId="3" xfId="0" applyFont="1" applyFill="1" applyBorder="1" applyAlignment="1">
      <alignment horizontal="right" wrapText="1"/>
    </xf>
    <xf numFmtId="0" fontId="129" fillId="58" borderId="98" xfId="0" applyFont="1" applyFill="1" applyBorder="1" applyAlignment="1">
      <alignment horizontal="right" wrapText="1"/>
    </xf>
    <xf numFmtId="4" fontId="129" fillId="58" borderId="97" xfId="0" applyNumberFormat="1" applyFont="1" applyFill="1" applyBorder="1" applyAlignment="1">
      <alignment horizontal="right" wrapText="1"/>
    </xf>
    <xf numFmtId="4" fontId="129" fillId="58" borderId="3" xfId="0" applyNumberFormat="1" applyFont="1" applyFill="1" applyBorder="1" applyAlignment="1">
      <alignment horizontal="right" wrapText="1"/>
    </xf>
    <xf numFmtId="4" fontId="134" fillId="56" borderId="3" xfId="0" applyNumberFormat="1" applyFont="1" applyFill="1" applyBorder="1" applyAlignment="1">
      <alignment horizontal="right" vertical="center" wrapText="1"/>
    </xf>
    <xf numFmtId="4" fontId="134" fillId="56" borderId="8" xfId="0" applyNumberFormat="1" applyFont="1" applyFill="1" applyBorder="1" applyAlignment="1">
      <alignment horizontal="right" vertical="center" wrapText="1"/>
    </xf>
    <xf numFmtId="4" fontId="134" fillId="56" borderId="98" xfId="0" applyNumberFormat="1" applyFont="1" applyFill="1" applyBorder="1" applyAlignment="1">
      <alignment horizontal="right" vertical="center" wrapText="1"/>
    </xf>
    <xf numFmtId="4" fontId="129" fillId="58" borderId="17" xfId="0" applyNumberFormat="1" applyFont="1" applyFill="1" applyBorder="1" applyAlignment="1">
      <alignment horizontal="right" wrapText="1"/>
    </xf>
    <xf numFmtId="0" fontId="0" fillId="5" borderId="92" xfId="0" applyFill="1" applyBorder="1" applyAlignment="1">
      <alignment horizontal="right" wrapText="1"/>
    </xf>
    <xf numFmtId="0" fontId="131" fillId="5" borderId="32" xfId="0" applyFont="1" applyFill="1" applyBorder="1" applyAlignment="1">
      <alignment horizontal="right" wrapText="1"/>
    </xf>
    <xf numFmtId="0" fontId="129" fillId="5" borderId="33" xfId="0" applyFont="1" applyFill="1" applyBorder="1" applyAlignment="1">
      <alignment horizontal="right" wrapText="1"/>
    </xf>
    <xf numFmtId="4" fontId="129" fillId="5" borderId="92" xfId="0" applyNumberFormat="1" applyFont="1" applyFill="1" applyBorder="1" applyAlignment="1">
      <alignment horizontal="right" wrapText="1"/>
    </xf>
    <xf numFmtId="4" fontId="134" fillId="5" borderId="33" xfId="0" applyNumberFormat="1" applyFont="1" applyFill="1" applyBorder="1" applyAlignment="1">
      <alignment horizontal="right" vertical="center" wrapText="1"/>
    </xf>
    <xf numFmtId="4" fontId="129" fillId="5" borderId="32" xfId="0" applyNumberFormat="1" applyFont="1" applyFill="1" applyBorder="1" applyAlignment="1">
      <alignment horizontal="right" wrapText="1"/>
    </xf>
    <xf numFmtId="4" fontId="134" fillId="5" borderId="156" xfId="0" applyNumberFormat="1" applyFont="1" applyFill="1" applyBorder="1" applyAlignment="1">
      <alignment horizontal="right" vertical="center" wrapText="1"/>
    </xf>
    <xf numFmtId="4" fontId="129" fillId="5" borderId="155" xfId="0" applyNumberFormat="1" applyFont="1" applyFill="1" applyBorder="1" applyAlignment="1">
      <alignment horizontal="right" wrapText="1"/>
    </xf>
    <xf numFmtId="0" fontId="136" fillId="58" borderId="2" xfId="0" applyFont="1" applyFill="1" applyBorder="1" applyAlignment="1">
      <alignment horizontal="right" wrapText="1"/>
    </xf>
    <xf numFmtId="0" fontId="0" fillId="58" borderId="11" xfId="0" applyFill="1" applyBorder="1" applyAlignment="1">
      <alignment horizontal="right" wrapText="1"/>
    </xf>
    <xf numFmtId="0" fontId="129" fillId="58" borderId="1" xfId="0" applyFont="1" applyFill="1" applyBorder="1" applyAlignment="1">
      <alignment horizontal="right" wrapText="1"/>
    </xf>
    <xf numFmtId="0" fontId="0" fillId="60" borderId="11" xfId="0" applyFill="1" applyBorder="1" applyAlignment="1">
      <alignment horizontal="right" wrapText="1"/>
    </xf>
    <xf numFmtId="0" fontId="129" fillId="60" borderId="1" xfId="0" applyFont="1" applyFill="1" applyBorder="1" applyAlignment="1">
      <alignment horizontal="right" wrapText="1"/>
    </xf>
    <xf numFmtId="0" fontId="129" fillId="60" borderId="14" xfId="0" applyFont="1" applyFill="1" applyBorder="1" applyAlignment="1">
      <alignment horizontal="right" wrapText="1"/>
    </xf>
    <xf numFmtId="4" fontId="129" fillId="60" borderId="11" xfId="0" applyNumberFormat="1" applyFont="1" applyFill="1" applyBorder="1" applyAlignment="1" applyProtection="1">
      <alignment horizontal="right" wrapText="1"/>
      <protection locked="0"/>
    </xf>
    <xf numFmtId="4" fontId="129" fillId="60" borderId="1" xfId="0" applyNumberFormat="1" applyFont="1" applyFill="1" applyBorder="1" applyAlignment="1" applyProtection="1">
      <alignment horizontal="right" wrapText="1"/>
      <protection locked="0"/>
    </xf>
    <xf numFmtId="4" fontId="129" fillId="60" borderId="6" xfId="0" applyNumberFormat="1" applyFont="1" applyFill="1" applyBorder="1" applyAlignment="1" applyProtection="1">
      <alignment horizontal="right" wrapText="1"/>
      <protection locked="0"/>
    </xf>
    <xf numFmtId="0" fontId="0" fillId="59" borderId="11" xfId="0" applyFill="1" applyBorder="1" applyAlignment="1">
      <alignment horizontal="right" wrapText="1"/>
    </xf>
    <xf numFmtId="0" fontId="129" fillId="59" borderId="1" xfId="0" applyFont="1" applyFill="1" applyBorder="1" applyAlignment="1">
      <alignment horizontal="right" wrapText="1"/>
    </xf>
    <xf numFmtId="0" fontId="129" fillId="59" borderId="14" xfId="0" applyFont="1" applyFill="1" applyBorder="1" applyAlignment="1">
      <alignment horizontal="right" wrapText="1"/>
    </xf>
    <xf numFmtId="4" fontId="129" fillId="59" borderId="11" xfId="0" applyNumberFormat="1" applyFont="1" applyFill="1" applyBorder="1" applyAlignment="1" applyProtection="1">
      <alignment horizontal="right" wrapText="1"/>
      <protection locked="0"/>
    </xf>
    <xf numFmtId="4" fontId="129" fillId="59" borderId="1" xfId="0" applyNumberFormat="1" applyFont="1" applyFill="1" applyBorder="1" applyAlignment="1" applyProtection="1">
      <alignment horizontal="right" wrapText="1"/>
      <protection locked="0"/>
    </xf>
    <xf numFmtId="4" fontId="129" fillId="59" borderId="6" xfId="0" applyNumberFormat="1" applyFont="1" applyFill="1" applyBorder="1" applyAlignment="1" applyProtection="1">
      <alignment horizontal="right" wrapText="1"/>
      <protection locked="0"/>
    </xf>
    <xf numFmtId="0" fontId="136" fillId="60" borderId="1" xfId="0" applyFont="1" applyFill="1" applyBorder="1" applyAlignment="1">
      <alignment horizontal="right" wrapText="1"/>
    </xf>
    <xf numFmtId="4" fontId="129" fillId="0" borderId="11" xfId="0" applyNumberFormat="1" applyFont="1" applyFill="1" applyBorder="1" applyAlignment="1" applyProtection="1">
      <alignment horizontal="right" wrapText="1"/>
      <protection locked="0"/>
    </xf>
    <xf numFmtId="0" fontId="136" fillId="58" borderId="1" xfId="0" applyFont="1" applyFill="1" applyBorder="1" applyAlignment="1">
      <alignment horizontal="right" wrapText="1"/>
    </xf>
    <xf numFmtId="4" fontId="129" fillId="0" borderId="1" xfId="0" applyNumberFormat="1" applyFont="1" applyFill="1" applyBorder="1" applyAlignment="1" applyProtection="1">
      <alignment horizontal="right" wrapText="1"/>
      <protection locked="0"/>
    </xf>
    <xf numFmtId="0" fontId="0" fillId="60" borderId="97" xfId="0" applyFill="1" applyBorder="1" applyAlignment="1">
      <alignment horizontal="right" wrapText="1"/>
    </xf>
    <xf numFmtId="0" fontId="129" fillId="60" borderId="3" xfId="0" applyFont="1" applyFill="1" applyBorder="1" applyAlignment="1">
      <alignment horizontal="right" wrapText="1"/>
    </xf>
    <xf numFmtId="0" fontId="129" fillId="60" borderId="98" xfId="0" applyFont="1" applyFill="1" applyBorder="1" applyAlignment="1">
      <alignment horizontal="right" wrapText="1"/>
    </xf>
    <xf numFmtId="4" fontId="129" fillId="60" borderId="97" xfId="0" applyNumberFormat="1" applyFont="1" applyFill="1" applyBorder="1" applyAlignment="1" applyProtection="1">
      <alignment horizontal="right" wrapText="1"/>
      <protection locked="0"/>
    </xf>
    <xf numFmtId="4" fontId="129" fillId="60" borderId="3" xfId="0" applyNumberFormat="1" applyFont="1" applyFill="1" applyBorder="1" applyAlignment="1" applyProtection="1">
      <alignment horizontal="right" wrapText="1"/>
      <protection locked="0"/>
    </xf>
    <xf numFmtId="4" fontId="129" fillId="60" borderId="17" xfId="0" applyNumberFormat="1" applyFont="1" applyFill="1" applyBorder="1" applyAlignment="1" applyProtection="1">
      <alignment horizontal="right" wrapText="1"/>
      <protection locked="0"/>
    </xf>
    <xf numFmtId="4" fontId="134" fillId="56" borderId="33" xfId="0" applyNumberFormat="1" applyFont="1" applyFill="1" applyBorder="1" applyAlignment="1">
      <alignment horizontal="right" vertical="center" wrapText="1"/>
    </xf>
    <xf numFmtId="4" fontId="134" fillId="56" borderId="156" xfId="0" applyNumberFormat="1" applyFont="1" applyFill="1" applyBorder="1" applyAlignment="1">
      <alignment horizontal="right" vertical="center" wrapText="1"/>
    </xf>
    <xf numFmtId="0" fontId="0" fillId="60" borderId="93" xfId="0" applyFill="1" applyBorder="1" applyAlignment="1">
      <alignment horizontal="right" wrapText="1"/>
    </xf>
    <xf numFmtId="0" fontId="136" fillId="60" borderId="2" xfId="0" applyFont="1" applyFill="1" applyBorder="1" applyAlignment="1">
      <alignment horizontal="right" wrapText="1"/>
    </xf>
    <xf numFmtId="0" fontId="129" fillId="60" borderId="94" xfId="0" applyFont="1" applyFill="1" applyBorder="1" applyAlignment="1">
      <alignment horizontal="right" wrapText="1"/>
    </xf>
    <xf numFmtId="4" fontId="129" fillId="60" borderId="93" xfId="0" applyNumberFormat="1" applyFont="1" applyFill="1" applyBorder="1" applyAlignment="1" applyProtection="1">
      <alignment horizontal="right" wrapText="1"/>
      <protection locked="0"/>
    </xf>
    <xf numFmtId="4" fontId="129" fillId="60" borderId="2" xfId="0" applyNumberFormat="1" applyFont="1" applyFill="1" applyBorder="1" applyAlignment="1" applyProtection="1">
      <alignment horizontal="right" wrapText="1"/>
      <protection locked="0"/>
    </xf>
    <xf numFmtId="4" fontId="129" fillId="60" borderId="34" xfId="0" applyNumberFormat="1" applyFont="1" applyFill="1" applyBorder="1" applyAlignment="1" applyProtection="1">
      <alignment horizontal="right" wrapText="1"/>
      <protection locked="0"/>
    </xf>
    <xf numFmtId="0" fontId="0" fillId="59" borderId="97" xfId="0" applyFill="1" applyBorder="1" applyAlignment="1">
      <alignment horizontal="right" wrapText="1"/>
    </xf>
    <xf numFmtId="0" fontId="129" fillId="59" borderId="3" xfId="0" applyFont="1" applyFill="1" applyBorder="1" applyAlignment="1">
      <alignment horizontal="right" wrapText="1"/>
    </xf>
    <xf numFmtId="0" fontId="129" fillId="59" borderId="98" xfId="0" applyFont="1" applyFill="1" applyBorder="1" applyAlignment="1">
      <alignment horizontal="right" wrapText="1"/>
    </xf>
    <xf numFmtId="4" fontId="129" fillId="59" borderId="97" xfId="0" applyNumberFormat="1" applyFont="1" applyFill="1" applyBorder="1" applyAlignment="1" applyProtection="1">
      <alignment horizontal="right" wrapText="1"/>
      <protection locked="0"/>
    </xf>
    <xf numFmtId="4" fontId="129" fillId="59" borderId="3" xfId="0" applyNumberFormat="1" applyFont="1" applyFill="1" applyBorder="1" applyAlignment="1" applyProtection="1">
      <alignment horizontal="right" wrapText="1"/>
      <protection locked="0"/>
    </xf>
    <xf numFmtId="4" fontId="129" fillId="59" borderId="17" xfId="0" applyNumberFormat="1" applyFont="1" applyFill="1" applyBorder="1" applyAlignment="1" applyProtection="1">
      <alignment horizontal="right" wrapText="1"/>
      <protection locked="0"/>
    </xf>
    <xf numFmtId="0" fontId="0" fillId="34" borderId="92" xfId="0" applyFill="1" applyBorder="1" applyAlignment="1">
      <alignment horizontal="right" wrapText="1"/>
    </xf>
    <xf numFmtId="0" fontId="131" fillId="34" borderId="32" xfId="0" applyFont="1" applyFill="1" applyBorder="1" applyAlignment="1">
      <alignment horizontal="right" wrapText="1"/>
    </xf>
    <xf numFmtId="0" fontId="129" fillId="34" borderId="33" xfId="0" applyFont="1" applyFill="1" applyBorder="1" applyAlignment="1">
      <alignment horizontal="right" wrapText="1"/>
    </xf>
    <xf numFmtId="4" fontId="129" fillId="34" borderId="92" xfId="0" applyNumberFormat="1" applyFont="1" applyFill="1" applyBorder="1" applyAlignment="1">
      <alignment horizontal="right" wrapText="1"/>
    </xf>
    <xf numFmtId="4" fontId="129" fillId="34" borderId="32" xfId="0" applyNumberFormat="1" applyFont="1" applyFill="1" applyBorder="1" applyAlignment="1">
      <alignment horizontal="right" wrapText="1"/>
    </xf>
    <xf numFmtId="4" fontId="129" fillId="34" borderId="155" xfId="0" applyNumberFormat="1" applyFont="1" applyFill="1" applyBorder="1" applyAlignment="1">
      <alignment horizontal="right" wrapText="1"/>
    </xf>
    <xf numFmtId="0" fontId="138" fillId="52" borderId="159" xfId="0" applyFont="1" applyFill="1" applyBorder="1" applyAlignment="1">
      <alignment horizontal="right" vertical="top" wrapText="1"/>
    </xf>
    <xf numFmtId="0" fontId="139" fillId="52" borderId="159" xfId="0" applyFont="1" applyFill="1" applyBorder="1" applyAlignment="1">
      <alignment horizontal="right" vertical="top" wrapText="1"/>
    </xf>
    <xf numFmtId="4" fontId="138" fillId="52" borderId="159" xfId="0" applyNumberFormat="1" applyFont="1" applyFill="1" applyBorder="1" applyAlignment="1">
      <alignment horizontal="right" vertical="center" wrapText="1"/>
    </xf>
    <xf numFmtId="4" fontId="138" fillId="52" borderId="160" xfId="0" applyNumberFormat="1" applyFont="1" applyFill="1" applyBorder="1" applyAlignment="1">
      <alignment horizontal="right" vertical="center" wrapText="1"/>
    </xf>
    <xf numFmtId="4" fontId="138" fillId="52" borderId="161" xfId="0" applyNumberFormat="1" applyFont="1" applyFill="1" applyBorder="1" applyAlignment="1">
      <alignment horizontal="right" vertical="center" wrapText="1"/>
    </xf>
    <xf numFmtId="0" fontId="138" fillId="0" borderId="162" xfId="0" applyFont="1" applyFill="1" applyBorder="1" applyAlignment="1">
      <alignment horizontal="right" wrapText="1"/>
    </xf>
    <xf numFmtId="0" fontId="137" fillId="69" borderId="162" xfId="0" applyFont="1" applyFill="1" applyBorder="1" applyAlignment="1">
      <alignment horizontal="right" wrapText="1"/>
    </xf>
    <xf numFmtId="0" fontId="137" fillId="69" borderId="163" xfId="0" applyFont="1" applyFill="1" applyBorder="1" applyAlignment="1">
      <alignment horizontal="right" wrapText="1"/>
    </xf>
    <xf numFmtId="4" fontId="138" fillId="0" borderId="1" xfId="0" applyNumberFormat="1" applyFont="1" applyFill="1" applyBorder="1" applyAlignment="1">
      <alignment horizontal="right" vertical="center" wrapText="1"/>
    </xf>
    <xf numFmtId="4" fontId="138" fillId="70" borderId="164" xfId="0" applyNumberFormat="1" applyFont="1" applyFill="1" applyBorder="1" applyAlignment="1">
      <alignment horizontal="right" vertical="center" wrapText="1"/>
    </xf>
    <xf numFmtId="4" fontId="138" fillId="0" borderId="11" xfId="0" applyNumberFormat="1" applyFont="1" applyFill="1" applyBorder="1" applyAlignment="1">
      <alignment horizontal="right" vertical="center" wrapText="1"/>
    </xf>
    <xf numFmtId="4" fontId="138" fillId="70" borderId="165" xfId="0" applyNumberFormat="1" applyFont="1" applyFill="1" applyBorder="1" applyAlignment="1">
      <alignment horizontal="right" vertical="center" wrapText="1"/>
    </xf>
    <xf numFmtId="4" fontId="138" fillId="0" borderId="6" xfId="0" applyNumberFormat="1" applyFont="1" applyFill="1" applyBorder="1" applyAlignment="1">
      <alignment horizontal="right" vertical="center" wrapText="1"/>
    </xf>
    <xf numFmtId="0" fontId="137" fillId="71" borderId="162" xfId="0" applyFont="1" applyFill="1" applyBorder="1" applyAlignment="1">
      <alignment horizontal="right" wrapText="1"/>
    </xf>
    <xf numFmtId="0" fontId="137" fillId="71" borderId="163" xfId="0" applyFont="1" applyFill="1" applyBorder="1" applyAlignment="1">
      <alignment horizontal="right" wrapText="1"/>
    </xf>
    <xf numFmtId="0" fontId="137" fillId="0" borderId="162" xfId="0" applyFont="1" applyFill="1" applyBorder="1" applyAlignment="1">
      <alignment horizontal="right" wrapText="1"/>
    </xf>
    <xf numFmtId="4" fontId="138" fillId="0" borderId="3" xfId="0" applyNumberFormat="1" applyFont="1" applyFill="1" applyBorder="1" applyAlignment="1">
      <alignment horizontal="right" vertical="center" wrapText="1"/>
    </xf>
    <xf numFmtId="4" fontId="137" fillId="0" borderId="3" xfId="0" applyNumberFormat="1" applyFont="1" applyFill="1" applyBorder="1" applyAlignment="1">
      <alignment horizontal="right" vertical="center" wrapText="1"/>
    </xf>
    <xf numFmtId="4" fontId="137" fillId="0" borderId="97" xfId="0" applyNumberFormat="1" applyFont="1" applyFill="1" applyBorder="1" applyAlignment="1">
      <alignment horizontal="right" vertical="center" wrapText="1"/>
    </xf>
    <xf numFmtId="0" fontId="137" fillId="0" borderId="163" xfId="0" applyFont="1" applyFill="1" applyBorder="1" applyAlignment="1">
      <alignment horizontal="right" wrapText="1"/>
    </xf>
    <xf numFmtId="0" fontId="138" fillId="69" borderId="162" xfId="0" applyFont="1" applyFill="1" applyBorder="1" applyAlignment="1">
      <alignment horizontal="right" wrapText="1"/>
    </xf>
    <xf numFmtId="0" fontId="138" fillId="69" borderId="166" xfId="0" applyFont="1" applyFill="1" applyBorder="1" applyAlignment="1">
      <alignment horizontal="right" wrapText="1"/>
    </xf>
    <xf numFmtId="0" fontId="137" fillId="69" borderId="166" xfId="0" applyFont="1" applyFill="1" applyBorder="1" applyAlignment="1">
      <alignment horizontal="right" wrapText="1"/>
    </xf>
    <xf numFmtId="4" fontId="137" fillId="69" borderId="1" xfId="0" applyNumberFormat="1" applyFont="1" applyFill="1" applyBorder="1" applyAlignment="1">
      <alignment horizontal="right" vertical="center" wrapText="1"/>
    </xf>
    <xf numFmtId="4" fontId="137" fillId="69" borderId="11" xfId="0" applyNumberFormat="1" applyFont="1" applyFill="1" applyBorder="1" applyAlignment="1">
      <alignment horizontal="right" vertical="center" wrapText="1"/>
    </xf>
    <xf numFmtId="4" fontId="137" fillId="69" borderId="6" xfId="0" applyNumberFormat="1" applyFont="1" applyFill="1" applyBorder="1" applyAlignment="1">
      <alignment horizontal="right" vertical="center" wrapText="1"/>
    </xf>
    <xf numFmtId="0" fontId="138" fillId="72" borderId="162" xfId="0" applyFont="1" applyFill="1" applyBorder="1" applyAlignment="1">
      <alignment horizontal="right" wrapText="1"/>
    </xf>
    <xf numFmtId="0" fontId="137" fillId="72" borderId="162" xfId="0" applyFont="1" applyFill="1" applyBorder="1" applyAlignment="1">
      <alignment horizontal="right" wrapText="1"/>
    </xf>
    <xf numFmtId="0" fontId="137" fillId="72" borderId="166" xfId="0" applyFont="1" applyFill="1" applyBorder="1" applyAlignment="1">
      <alignment horizontal="right" wrapText="1"/>
    </xf>
    <xf numFmtId="4" fontId="137" fillId="69" borderId="3" xfId="0" applyNumberFormat="1" applyFont="1" applyFill="1" applyBorder="1" applyAlignment="1">
      <alignment horizontal="right" vertical="center" wrapText="1"/>
    </xf>
    <xf numFmtId="0" fontId="137" fillId="72" borderId="1" xfId="0" applyFont="1" applyFill="1" applyBorder="1" applyAlignment="1">
      <alignment horizontal="right" wrapText="1"/>
    </xf>
    <xf numFmtId="0" fontId="137" fillId="69" borderId="1" xfId="0" applyFont="1" applyFill="1" applyBorder="1" applyAlignment="1">
      <alignment horizontal="right" wrapText="1"/>
    </xf>
    <xf numFmtId="0" fontId="138" fillId="71" borderId="162" xfId="0" applyFont="1" applyFill="1" applyBorder="1" applyAlignment="1">
      <alignment horizontal="right" vertical="top" wrapText="1"/>
    </xf>
    <xf numFmtId="0" fontId="137" fillId="71" borderId="162" xfId="0" applyFont="1" applyFill="1" applyBorder="1" applyAlignment="1">
      <alignment horizontal="right" vertical="top" wrapText="1"/>
    </xf>
    <xf numFmtId="4" fontId="137" fillId="71" borderId="162" xfId="0" applyNumberFormat="1" applyFont="1" applyFill="1" applyBorder="1" applyAlignment="1">
      <alignment horizontal="right" vertical="center" wrapText="1"/>
    </xf>
    <xf numFmtId="4" fontId="138" fillId="70" borderId="163" xfId="0" applyNumberFormat="1" applyFont="1" applyFill="1" applyBorder="1" applyAlignment="1">
      <alignment horizontal="right" vertical="center" wrapText="1"/>
    </xf>
    <xf numFmtId="4" fontId="137" fillId="71" borderId="167" xfId="0" applyNumberFormat="1" applyFont="1" applyFill="1" applyBorder="1" applyAlignment="1">
      <alignment horizontal="right" vertical="center" wrapText="1"/>
    </xf>
    <xf numFmtId="4" fontId="138" fillId="70" borderId="168" xfId="0" applyNumberFormat="1" applyFont="1" applyFill="1" applyBorder="1" applyAlignment="1">
      <alignment horizontal="right" vertical="center" wrapText="1"/>
    </xf>
    <xf numFmtId="4" fontId="137" fillId="71" borderId="169" xfId="0" applyNumberFormat="1" applyFont="1" applyFill="1" applyBorder="1" applyAlignment="1">
      <alignment horizontal="right" vertical="center" wrapText="1"/>
    </xf>
    <xf numFmtId="166" fontId="0" fillId="0" borderId="0" xfId="0" applyNumberFormat="1" applyAlignment="1">
      <alignment horizontal="left" wrapText="1"/>
    </xf>
    <xf numFmtId="0" fontId="137" fillId="69" borderId="162" xfId="0" applyFont="1" applyFill="1" applyBorder="1" applyAlignment="1">
      <alignment horizontal="right" vertical="top" wrapText="1"/>
    </xf>
    <xf numFmtId="4" fontId="137" fillId="69" borderId="162" xfId="0" applyNumberFormat="1" applyFont="1" applyFill="1" applyBorder="1" applyAlignment="1">
      <alignment horizontal="right" vertical="center" wrapText="1"/>
    </xf>
    <xf numFmtId="4" fontId="137" fillId="69" borderId="167" xfId="0" applyNumberFormat="1" applyFont="1" applyFill="1" applyBorder="1" applyAlignment="1">
      <alignment horizontal="right" vertical="center" wrapText="1"/>
    </xf>
    <xf numFmtId="4" fontId="137" fillId="69" borderId="169" xfId="0" applyNumberFormat="1" applyFont="1" applyFill="1" applyBorder="1" applyAlignment="1">
      <alignment horizontal="right" vertical="center" wrapText="1"/>
    </xf>
    <xf numFmtId="0" fontId="137" fillId="59" borderId="162" xfId="0" applyFont="1" applyFill="1" applyBorder="1" applyAlignment="1">
      <alignment horizontal="right" vertical="top" wrapText="1"/>
    </xf>
    <xf numFmtId="0" fontId="137" fillId="73" borderId="162" xfId="0" applyFont="1" applyFill="1" applyBorder="1" applyAlignment="1">
      <alignment horizontal="right" wrapText="1"/>
    </xf>
    <xf numFmtId="0" fontId="137" fillId="73" borderId="162" xfId="0" applyFont="1" applyFill="1" applyBorder="1" applyAlignment="1">
      <alignment horizontal="right" vertical="top" wrapText="1"/>
    </xf>
    <xf numFmtId="4" fontId="137" fillId="73" borderId="162" xfId="0" applyNumberFormat="1" applyFont="1" applyFill="1" applyBorder="1" applyAlignment="1">
      <alignment horizontal="right" vertical="center" wrapText="1"/>
    </xf>
    <xf numFmtId="0" fontId="136" fillId="34" borderId="33" xfId="0" applyFont="1" applyFill="1" applyBorder="1" applyAlignment="1">
      <alignment horizontal="right" wrapText="1"/>
    </xf>
    <xf numFmtId="4" fontId="136" fillId="34" borderId="92" xfId="0" applyNumberFormat="1" applyFont="1" applyFill="1" applyBorder="1" applyAlignment="1">
      <alignment horizontal="right" wrapText="1"/>
    </xf>
    <xf numFmtId="4" fontId="136" fillId="34" borderId="32" xfId="0" applyNumberFormat="1" applyFont="1" applyFill="1" applyBorder="1" applyAlignment="1">
      <alignment horizontal="right" wrapText="1"/>
    </xf>
    <xf numFmtId="4" fontId="134" fillId="34" borderId="33" xfId="0" applyNumberFormat="1" applyFont="1" applyFill="1" applyBorder="1" applyAlignment="1">
      <alignment horizontal="right" vertical="center" wrapText="1"/>
    </xf>
    <xf numFmtId="4" fontId="134" fillId="34" borderId="156" xfId="0" applyNumberFormat="1" applyFont="1" applyFill="1" applyBorder="1" applyAlignment="1">
      <alignment horizontal="right" vertical="center" wrapText="1"/>
    </xf>
    <xf numFmtId="4" fontId="136" fillId="34" borderId="155" xfId="0" applyNumberFormat="1" applyFont="1" applyFill="1" applyBorder="1" applyAlignment="1">
      <alignment horizontal="right" wrapText="1"/>
    </xf>
    <xf numFmtId="4" fontId="129" fillId="58" borderId="132" xfId="0" applyNumberFormat="1" applyFont="1" applyFill="1" applyBorder="1" applyAlignment="1">
      <alignment horizontal="right" wrapText="1"/>
    </xf>
    <xf numFmtId="0" fontId="132" fillId="34" borderId="92" xfId="0" applyFont="1" applyFill="1" applyBorder="1" applyAlignment="1">
      <alignment horizontal="right" wrapText="1"/>
    </xf>
    <xf numFmtId="0" fontId="45" fillId="34" borderId="33" xfId="0" applyFont="1" applyFill="1" applyBorder="1" applyAlignment="1">
      <alignment horizontal="right" wrapText="1"/>
    </xf>
    <xf numFmtId="4" fontId="45" fillId="34" borderId="155" xfId="0" applyNumberFormat="1" applyFont="1" applyFill="1" applyBorder="1" applyAlignment="1">
      <alignment horizontal="right" wrapText="1"/>
    </xf>
    <xf numFmtId="166" fontId="129" fillId="60" borderId="11" xfId="0" applyNumberFormat="1" applyFont="1" applyFill="1" applyBorder="1" applyAlignment="1" applyProtection="1">
      <alignment horizontal="right" wrapText="1"/>
      <protection locked="0"/>
    </xf>
    <xf numFmtId="166" fontId="129" fillId="60" borderId="1" xfId="0" applyNumberFormat="1" applyFont="1" applyFill="1" applyBorder="1" applyAlignment="1" applyProtection="1">
      <alignment horizontal="right" wrapText="1"/>
      <protection locked="0"/>
    </xf>
    <xf numFmtId="49" fontId="0" fillId="60" borderId="11" xfId="0" applyNumberFormat="1" applyFill="1" applyBorder="1" applyAlignment="1">
      <alignment horizontal="right" wrapText="1"/>
    </xf>
    <xf numFmtId="0" fontId="129" fillId="0" borderId="14" xfId="0" applyFont="1" applyFill="1" applyBorder="1" applyAlignment="1">
      <alignment horizontal="right" wrapText="1"/>
    </xf>
    <xf numFmtId="4" fontId="129" fillId="60" borderId="132" xfId="0" applyNumberFormat="1" applyFont="1" applyFill="1" applyBorder="1" applyAlignment="1" applyProtection="1">
      <alignment horizontal="right" wrapText="1"/>
      <protection locked="0"/>
    </xf>
    <xf numFmtId="4" fontId="140" fillId="60" borderId="11" xfId="0" applyNumberFormat="1" applyFont="1" applyFill="1" applyBorder="1" applyAlignment="1" applyProtection="1">
      <alignment horizontal="right" wrapText="1"/>
      <protection locked="0"/>
    </xf>
    <xf numFmtId="4" fontId="140" fillId="60" borderId="1" xfId="0" applyNumberFormat="1" applyFont="1" applyFill="1" applyBorder="1" applyAlignment="1" applyProtection="1">
      <alignment horizontal="right" wrapText="1"/>
      <protection locked="0"/>
    </xf>
    <xf numFmtId="1" fontId="0" fillId="58" borderId="11" xfId="0" applyNumberFormat="1" applyFill="1" applyBorder="1" applyAlignment="1">
      <alignment horizontal="right" wrapText="1"/>
    </xf>
    <xf numFmtId="1" fontId="0" fillId="59" borderId="11" xfId="0" applyNumberFormat="1" applyFill="1" applyBorder="1" applyAlignment="1">
      <alignment horizontal="right" wrapText="1"/>
    </xf>
    <xf numFmtId="0" fontId="136" fillId="59" borderId="1" xfId="0" applyFont="1" applyFill="1" applyBorder="1" applyAlignment="1">
      <alignment horizontal="right" wrapText="1"/>
    </xf>
    <xf numFmtId="49" fontId="6" fillId="60" borderId="97" xfId="0" applyNumberFormat="1" applyFont="1" applyFill="1" applyBorder="1" applyAlignment="1">
      <alignment horizontal="right" wrapText="1"/>
    </xf>
    <xf numFmtId="0" fontId="136" fillId="60" borderId="3" xfId="0" applyFont="1" applyFill="1" applyBorder="1" applyAlignment="1">
      <alignment horizontal="right" wrapText="1"/>
    </xf>
    <xf numFmtId="49" fontId="6" fillId="60" borderId="1" xfId="0" applyNumberFormat="1" applyFont="1" applyFill="1" applyBorder="1" applyAlignment="1">
      <alignment horizontal="right" wrapText="1"/>
    </xf>
    <xf numFmtId="186" fontId="45" fillId="34" borderId="134" xfId="0" applyNumberFormat="1" applyFont="1" applyFill="1" applyBorder="1" applyAlignment="1">
      <alignment horizontal="right" wrapText="1"/>
    </xf>
    <xf numFmtId="0" fontId="131" fillId="34" borderId="135" xfId="0" applyFont="1" applyFill="1" applyBorder="1" applyAlignment="1">
      <alignment horizontal="right" wrapText="1"/>
    </xf>
    <xf numFmtId="0" fontId="45" fillId="34" borderId="13" xfId="0" applyFont="1" applyFill="1" applyBorder="1" applyAlignment="1">
      <alignment horizontal="right" wrapText="1"/>
    </xf>
    <xf numFmtId="4" fontId="45" fillId="34" borderId="134" xfId="0" applyNumberFormat="1" applyFont="1" applyFill="1" applyBorder="1" applyAlignment="1">
      <alignment horizontal="right" wrapText="1"/>
    </xf>
    <xf numFmtId="4" fontId="45" fillId="34" borderId="135" xfId="0" applyNumberFormat="1" applyFont="1" applyFill="1" applyBorder="1" applyAlignment="1">
      <alignment horizontal="right" wrapText="1"/>
    </xf>
    <xf numFmtId="4" fontId="124" fillId="34" borderId="13" xfId="0" applyNumberFormat="1" applyFont="1" applyFill="1" applyBorder="1" applyAlignment="1">
      <alignment horizontal="right" vertical="center" wrapText="1"/>
    </xf>
    <xf numFmtId="4" fontId="124" fillId="34" borderId="102" xfId="0" applyNumberFormat="1" applyFont="1" applyFill="1" applyBorder="1" applyAlignment="1">
      <alignment horizontal="right" vertical="center" wrapText="1"/>
    </xf>
    <xf numFmtId="4" fontId="45" fillId="34" borderId="113" xfId="0" applyNumberFormat="1" applyFont="1" applyFill="1" applyBorder="1" applyAlignment="1">
      <alignment horizontal="right" wrapText="1"/>
    </xf>
    <xf numFmtId="0" fontId="0" fillId="60" borderId="107" xfId="0" applyFill="1" applyBorder="1" applyAlignment="1">
      <alignment horizontal="right" wrapText="1"/>
    </xf>
    <xf numFmtId="0" fontId="129" fillId="60" borderId="108" xfId="0" applyFont="1" applyFill="1" applyBorder="1" applyAlignment="1">
      <alignment horizontal="right" wrapText="1"/>
    </xf>
    <xf numFmtId="0" fontId="129" fillId="60" borderId="130" xfId="0" applyFont="1" applyFill="1" applyBorder="1" applyAlignment="1">
      <alignment horizontal="right" wrapText="1"/>
    </xf>
    <xf numFmtId="4" fontId="129" fillId="60" borderId="107" xfId="0" applyNumberFormat="1" applyFont="1" applyFill="1" applyBorder="1" applyAlignment="1" applyProtection="1">
      <alignment horizontal="right" wrapText="1"/>
      <protection locked="0"/>
    </xf>
    <xf numFmtId="4" fontId="129" fillId="60" borderId="108" xfId="0" applyNumberFormat="1" applyFont="1" applyFill="1" applyBorder="1" applyAlignment="1" applyProtection="1">
      <alignment horizontal="right" wrapText="1"/>
      <protection locked="0"/>
    </xf>
    <xf numFmtId="4" fontId="134" fillId="56" borderId="108" xfId="0" applyNumberFormat="1" applyFont="1" applyFill="1" applyBorder="1" applyAlignment="1">
      <alignment horizontal="right" vertical="center" wrapText="1"/>
    </xf>
    <xf numFmtId="4" fontId="129" fillId="0" borderId="108" xfId="0" applyNumberFormat="1" applyFont="1" applyFill="1" applyBorder="1" applyAlignment="1" applyProtection="1">
      <alignment horizontal="right" wrapText="1"/>
      <protection locked="0"/>
    </xf>
    <xf numFmtId="4" fontId="134" fillId="56" borderId="157" xfId="0" applyNumberFormat="1" applyFont="1" applyFill="1" applyBorder="1" applyAlignment="1">
      <alignment horizontal="right" vertical="center" wrapText="1"/>
    </xf>
    <xf numFmtId="4" fontId="134" fillId="56" borderId="130" xfId="0" applyNumberFormat="1" applyFont="1" applyFill="1" applyBorder="1" applyAlignment="1">
      <alignment horizontal="right" vertical="center" wrapText="1"/>
    </xf>
    <xf numFmtId="4" fontId="129" fillId="60" borderId="109" xfId="0" applyNumberFormat="1" applyFont="1" applyFill="1" applyBorder="1" applyAlignment="1" applyProtection="1">
      <alignment horizontal="right" wrapText="1"/>
      <protection locked="0"/>
    </xf>
    <xf numFmtId="1" fontId="124" fillId="34" borderId="92" xfId="0" applyNumberFormat="1" applyFont="1" applyFill="1" applyBorder="1" applyAlignment="1">
      <alignment horizontal="right" wrapText="1"/>
    </xf>
    <xf numFmtId="4" fontId="45" fillId="34" borderId="32" xfId="0" applyNumberFormat="1" applyFont="1" applyFill="1" applyBorder="1" applyAlignment="1">
      <alignment horizontal="right" wrapText="1"/>
    </xf>
    <xf numFmtId="0" fontId="129" fillId="58" borderId="2" xfId="0" applyFont="1" applyFill="1" applyBorder="1" applyAlignment="1">
      <alignment horizontal="right" wrapText="1"/>
    </xf>
    <xf numFmtId="0" fontId="0" fillId="38" borderId="97" xfId="0" applyFill="1" applyBorder="1" applyAlignment="1">
      <alignment horizontal="right" wrapText="1"/>
    </xf>
    <xf numFmtId="0" fontId="129" fillId="38" borderId="3" xfId="0" applyFont="1" applyFill="1" applyBorder="1" applyAlignment="1">
      <alignment horizontal="right" wrapText="1"/>
    </xf>
    <xf numFmtId="0" fontId="129" fillId="38" borderId="98" xfId="0" applyFont="1" applyFill="1" applyBorder="1" applyAlignment="1">
      <alignment horizontal="right" wrapText="1"/>
    </xf>
    <xf numFmtId="4" fontId="129" fillId="38" borderId="11" xfId="0" applyNumberFormat="1" applyFont="1" applyFill="1" applyBorder="1" applyAlignment="1">
      <alignment horizontal="right" wrapText="1"/>
    </xf>
    <xf numFmtId="4" fontId="129" fillId="38" borderId="1" xfId="0" applyNumberFormat="1" applyFont="1" applyFill="1" applyBorder="1" applyAlignment="1">
      <alignment horizontal="right" wrapText="1"/>
    </xf>
    <xf numFmtId="0" fontId="0" fillId="37" borderId="15" xfId="0" applyFill="1" applyBorder="1" applyAlignment="1">
      <alignment horizontal="right" wrapText="1"/>
    </xf>
    <xf numFmtId="0" fontId="131" fillId="37" borderId="30" xfId="0" applyFont="1" applyFill="1" applyBorder="1" applyAlignment="1">
      <alignment horizontal="right" wrapText="1"/>
    </xf>
    <xf numFmtId="0" fontId="129" fillId="37" borderId="31" xfId="0" applyFont="1" applyFill="1" applyBorder="1" applyAlignment="1">
      <alignment horizontal="right" wrapText="1"/>
    </xf>
    <xf numFmtId="0" fontId="0" fillId="37" borderId="11" xfId="0" applyFill="1" applyBorder="1" applyAlignment="1">
      <alignment horizontal="right" wrapText="1"/>
    </xf>
    <xf numFmtId="0" fontId="129" fillId="37" borderId="1" xfId="0" applyFont="1" applyFill="1" applyBorder="1" applyAlignment="1">
      <alignment horizontal="right" wrapText="1"/>
    </xf>
    <xf numFmtId="0" fontId="129" fillId="37" borderId="14" xfId="0" applyFont="1" applyFill="1" applyBorder="1" applyAlignment="1">
      <alignment horizontal="right" wrapText="1"/>
    </xf>
    <xf numFmtId="0" fontId="131" fillId="37" borderId="1" xfId="0" applyFont="1" applyFill="1" applyBorder="1" applyAlignment="1">
      <alignment horizontal="right" wrapText="1"/>
    </xf>
    <xf numFmtId="0" fontId="136" fillId="37" borderId="1" xfId="0" applyFont="1" applyFill="1" applyBorder="1" applyAlignment="1">
      <alignment horizontal="right" wrapText="1"/>
    </xf>
    <xf numFmtId="0" fontId="0" fillId="37" borderId="10" xfId="0" applyFill="1" applyBorder="1" applyAlignment="1">
      <alignment horizontal="right" wrapText="1"/>
    </xf>
    <xf numFmtId="0" fontId="129" fillId="37" borderId="9" xfId="0" applyFont="1" applyFill="1" applyBorder="1" applyAlignment="1">
      <alignment horizontal="right" wrapText="1"/>
    </xf>
    <xf numFmtId="0" fontId="129" fillId="37" borderId="16" xfId="0" applyFont="1" applyFill="1" applyBorder="1" applyAlignment="1">
      <alignment horizontal="right" wrapText="1"/>
    </xf>
    <xf numFmtId="4" fontId="129" fillId="34" borderId="92" xfId="0" applyNumberFormat="1" applyFont="1" applyFill="1" applyBorder="1" applyAlignment="1" applyProtection="1">
      <alignment horizontal="right" wrapText="1"/>
      <protection locked="0"/>
    </xf>
    <xf numFmtId="4" fontId="129" fillId="34" borderId="32" xfId="0" applyNumberFormat="1" applyFont="1" applyFill="1" applyBorder="1" applyAlignment="1" applyProtection="1">
      <alignment horizontal="right" wrapText="1"/>
      <protection locked="0"/>
    </xf>
    <xf numFmtId="4" fontId="129" fillId="34" borderId="155" xfId="0" applyNumberFormat="1" applyFont="1" applyFill="1" applyBorder="1" applyAlignment="1" applyProtection="1">
      <alignment horizontal="right" wrapText="1"/>
      <protection locked="0"/>
    </xf>
    <xf numFmtId="0" fontId="0" fillId="0" borderId="93" xfId="0" applyBorder="1" applyAlignment="1">
      <alignment horizontal="left" wrapText="1"/>
    </xf>
    <xf numFmtId="0" fontId="136" fillId="0" borderId="2" xfId="0" applyFont="1" applyBorder="1" applyAlignment="1">
      <alignment horizontal="left" wrapText="1"/>
    </xf>
    <xf numFmtId="4" fontId="129" fillId="0" borderId="93" xfId="0" applyNumberFormat="1" applyFont="1" applyBorder="1" applyAlignment="1" applyProtection="1">
      <alignment horizontal="left" wrapText="1"/>
      <protection locked="0"/>
    </xf>
    <xf numFmtId="4" fontId="129" fillId="0" borderId="2" xfId="0" applyNumberFormat="1" applyFont="1" applyBorder="1" applyAlignment="1" applyProtection="1">
      <alignment horizontal="left" wrapText="1"/>
      <protection locked="0"/>
    </xf>
    <xf numFmtId="4" fontId="134" fillId="6" borderId="2" xfId="0" applyNumberFormat="1" applyFont="1" applyFill="1" applyBorder="1" applyAlignment="1">
      <alignment horizontal="right" vertical="center" wrapText="1"/>
    </xf>
    <xf numFmtId="4" fontId="134" fillId="6" borderId="7" xfId="0" applyNumberFormat="1" applyFont="1" applyFill="1" applyBorder="1" applyAlignment="1">
      <alignment horizontal="right" vertical="center" wrapText="1"/>
    </xf>
    <xf numFmtId="4" fontId="134" fillId="6" borderId="94" xfId="0" applyNumberFormat="1" applyFont="1" applyFill="1" applyBorder="1" applyAlignment="1">
      <alignment horizontal="right" vertical="center" wrapText="1"/>
    </xf>
    <xf numFmtId="4" fontId="129" fillId="0" borderId="34" xfId="0" applyNumberFormat="1" applyFont="1" applyBorder="1" applyAlignment="1" applyProtection="1">
      <alignment horizontal="left" wrapText="1"/>
      <protection locked="0"/>
    </xf>
    <xf numFmtId="0" fontId="6" fillId="0" borderId="93" xfId="0" applyFont="1" applyBorder="1" applyAlignment="1">
      <alignment horizontal="left" wrapText="1"/>
    </xf>
    <xf numFmtId="0" fontId="131" fillId="3" borderId="11" xfId="0" applyFont="1" applyFill="1" applyBorder="1" applyAlignment="1">
      <alignment horizontal="left" wrapText="1"/>
    </xf>
    <xf numFmtId="0" fontId="131" fillId="3" borderId="1" xfId="0" applyFont="1" applyFill="1" applyBorder="1" applyAlignment="1">
      <alignment horizontal="left" wrapText="1"/>
    </xf>
    <xf numFmtId="0" fontId="131" fillId="3" borderId="14" xfId="0" applyFont="1" applyFill="1" applyBorder="1" applyAlignment="1">
      <alignment horizontal="right" wrapText="1"/>
    </xf>
    <xf numFmtId="4" fontId="131" fillId="3" borderId="11" xfId="0" applyNumberFormat="1" applyFont="1" applyFill="1" applyBorder="1" applyAlignment="1">
      <alignment horizontal="left" wrapText="1"/>
    </xf>
    <xf numFmtId="4" fontId="131" fillId="3" borderId="1" xfId="0" applyNumberFormat="1" applyFont="1" applyFill="1" applyBorder="1" applyAlignment="1">
      <alignment horizontal="left" wrapText="1"/>
    </xf>
    <xf numFmtId="4" fontId="124" fillId="3" borderId="1" xfId="0" applyNumberFormat="1" applyFont="1" applyFill="1" applyBorder="1" applyAlignment="1">
      <alignment horizontal="right" vertical="center" wrapText="1"/>
    </xf>
    <xf numFmtId="4" fontId="124" fillId="3" borderId="4" xfId="0" applyNumberFormat="1" applyFont="1" applyFill="1" applyBorder="1" applyAlignment="1">
      <alignment horizontal="right" vertical="center" wrapText="1"/>
    </xf>
    <xf numFmtId="4" fontId="124" fillId="3" borderId="14" xfId="0" applyNumberFormat="1" applyFont="1" applyFill="1" applyBorder="1" applyAlignment="1">
      <alignment horizontal="right" vertical="center" wrapText="1"/>
    </xf>
    <xf numFmtId="0" fontId="131" fillId="3" borderId="10" xfId="0" applyFont="1" applyFill="1" applyBorder="1" applyAlignment="1">
      <alignment horizontal="left" wrapText="1"/>
    </xf>
    <xf numFmtId="0" fontId="131" fillId="3" borderId="9" xfId="0" applyFont="1" applyFill="1" applyBorder="1" applyAlignment="1">
      <alignment horizontal="left" wrapText="1"/>
    </xf>
    <xf numFmtId="0" fontId="131" fillId="3" borderId="16" xfId="0" applyFont="1" applyFill="1" applyBorder="1" applyAlignment="1">
      <alignment horizontal="left" wrapText="1"/>
    </xf>
    <xf numFmtId="4" fontId="131" fillId="3" borderId="10" xfId="0" applyNumberFormat="1" applyFont="1" applyFill="1" applyBorder="1" applyAlignment="1">
      <alignment horizontal="left" wrapText="1"/>
    </xf>
    <xf numFmtId="4" fontId="131" fillId="3" borderId="9" xfId="0" applyNumberFormat="1" applyFont="1" applyFill="1" applyBorder="1" applyAlignment="1">
      <alignment horizontal="left" wrapText="1"/>
    </xf>
    <xf numFmtId="4" fontId="131" fillId="3" borderId="16" xfId="0" applyNumberFormat="1" applyFont="1" applyFill="1" applyBorder="1" applyAlignment="1">
      <alignment horizontal="left" wrapText="1"/>
    </xf>
    <xf numFmtId="0" fontId="142" fillId="0" borderId="0" xfId="52" applyFont="1" applyAlignment="1">
      <alignment horizontal="left" wrapText="1"/>
    </xf>
    <xf numFmtId="0" fontId="143" fillId="0" borderId="0" xfId="52" applyFont="1" applyAlignment="1">
      <alignment horizontal="left" wrapText="1"/>
    </xf>
    <xf numFmtId="0" fontId="38" fillId="0" borderId="0" xfId="52" applyFont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129" fillId="0" borderId="0" xfId="0" applyNumberFormat="1" applyFont="1" applyAlignment="1">
      <alignment horizontal="left" wrapText="1"/>
    </xf>
    <xf numFmtId="4" fontId="129" fillId="58" borderId="170" xfId="0" applyNumberFormat="1" applyFont="1" applyFill="1" applyBorder="1" applyAlignment="1">
      <alignment horizontal="right" wrapText="1"/>
    </xf>
    <xf numFmtId="4" fontId="129" fillId="58" borderId="30" xfId="0" applyNumberFormat="1" applyFont="1" applyFill="1" applyBorder="1" applyAlignment="1">
      <alignment horizontal="right" wrapText="1"/>
    </xf>
    <xf numFmtId="4" fontId="129" fillId="59" borderId="132" xfId="0" applyNumberFormat="1" applyFont="1" applyFill="1" applyBorder="1" applyAlignment="1" applyProtection="1">
      <alignment horizontal="right" wrapText="1"/>
      <protection locked="0"/>
    </xf>
    <xf numFmtId="4" fontId="129" fillId="0" borderId="132" xfId="0" applyNumberFormat="1" applyFont="1" applyFill="1" applyBorder="1" applyAlignment="1" applyProtection="1">
      <alignment horizontal="right" wrapText="1"/>
      <protection locked="0"/>
    </xf>
    <xf numFmtId="4" fontId="129" fillId="59" borderId="171" xfId="0" applyNumberFormat="1" applyFont="1" applyFill="1" applyBorder="1" applyAlignment="1" applyProtection="1">
      <alignment horizontal="right" wrapText="1"/>
      <protection locked="0"/>
    </xf>
    <xf numFmtId="4" fontId="129" fillId="59" borderId="9" xfId="0" applyNumberFormat="1" applyFont="1" applyFill="1" applyBorder="1" applyAlignment="1" applyProtection="1">
      <alignment horizontal="right" wrapText="1"/>
      <protection locked="0"/>
    </xf>
    <xf numFmtId="4" fontId="138" fillId="52" borderId="172" xfId="0" applyNumberFormat="1" applyFont="1" applyFill="1" applyBorder="1" applyAlignment="1">
      <alignment horizontal="right" vertical="center" wrapText="1"/>
    </xf>
    <xf numFmtId="4" fontId="137" fillId="0" borderId="1" xfId="0" applyNumberFormat="1" applyFont="1" applyFill="1" applyBorder="1" applyAlignment="1">
      <alignment horizontal="right" vertical="center" wrapText="1"/>
    </xf>
    <xf numFmtId="4" fontId="45" fillId="34" borderId="89" xfId="0" applyNumberFormat="1" applyFont="1" applyFill="1" applyBorder="1" applyAlignment="1">
      <alignment horizontal="right" wrapText="1"/>
    </xf>
    <xf numFmtId="4" fontId="137" fillId="60" borderId="1" xfId="0" applyNumberFormat="1" applyFont="1" applyFill="1" applyBorder="1" applyAlignment="1" applyProtection="1">
      <alignment horizontal="right" wrapText="1"/>
      <protection locked="0"/>
    </xf>
    <xf numFmtId="4" fontId="135" fillId="56" borderId="130" xfId="0" applyNumberFormat="1" applyFont="1" applyFill="1" applyBorder="1" applyAlignment="1">
      <alignment horizontal="center" vertical="center" wrapText="1"/>
    </xf>
    <xf numFmtId="4" fontId="129" fillId="0" borderId="96" xfId="0" applyNumberFormat="1" applyFont="1" applyBorder="1" applyAlignment="1">
      <alignment horizontal="left" wrapText="1"/>
    </xf>
    <xf numFmtId="4" fontId="138" fillId="52" borderId="173" xfId="0" applyNumberFormat="1" applyFont="1" applyFill="1" applyBorder="1" applyAlignment="1">
      <alignment horizontal="right" vertical="center" wrapText="1"/>
    </xf>
    <xf numFmtId="4" fontId="138" fillId="52" borderId="174" xfId="0" applyNumberFormat="1" applyFont="1" applyFill="1" applyBorder="1" applyAlignment="1">
      <alignment horizontal="right" vertical="center" wrapText="1"/>
    </xf>
    <xf numFmtId="4" fontId="138" fillId="52" borderId="175" xfId="0" applyNumberFormat="1" applyFont="1" applyFill="1" applyBorder="1" applyAlignment="1">
      <alignment horizontal="right" vertical="center" wrapText="1"/>
    </xf>
    <xf numFmtId="4" fontId="137" fillId="0" borderId="162" xfId="0" applyNumberFormat="1" applyFont="1" applyFill="1" applyBorder="1" applyAlignment="1">
      <alignment horizontal="right" vertical="center" wrapText="1"/>
    </xf>
    <xf numFmtId="4" fontId="129" fillId="60" borderId="14" xfId="0" applyNumberFormat="1" applyFont="1" applyFill="1" applyBorder="1" applyAlignment="1" applyProtection="1">
      <alignment horizontal="right" wrapText="1"/>
      <protection locked="0"/>
    </xf>
    <xf numFmtId="4" fontId="129" fillId="38" borderId="97" xfId="0" applyNumberFormat="1" applyFont="1" applyFill="1" applyBorder="1" applyAlignment="1">
      <alignment horizontal="right" wrapText="1"/>
    </xf>
    <xf numFmtId="4" fontId="129" fillId="38" borderId="3" xfId="0" applyNumberFormat="1" applyFont="1" applyFill="1" applyBorder="1" applyAlignment="1">
      <alignment horizontal="right" wrapText="1"/>
    </xf>
    <xf numFmtId="4" fontId="129" fillId="58" borderId="15" xfId="0" applyNumberFormat="1" applyFont="1" applyFill="1" applyBorder="1" applyAlignment="1">
      <alignment horizontal="right" wrapText="1"/>
    </xf>
    <xf numFmtId="4" fontId="134" fillId="56" borderId="30" xfId="0" applyNumberFormat="1" applyFont="1" applyFill="1" applyBorder="1" applyAlignment="1">
      <alignment horizontal="right" vertical="center" wrapText="1"/>
    </xf>
    <xf numFmtId="4" fontId="134" fillId="56" borderId="31" xfId="0" applyNumberFormat="1" applyFont="1" applyFill="1" applyBorder="1" applyAlignment="1">
      <alignment horizontal="right" vertical="center" wrapText="1"/>
    </xf>
    <xf numFmtId="4" fontId="129" fillId="60" borderId="10" xfId="0" applyNumberFormat="1" applyFont="1" applyFill="1" applyBorder="1" applyAlignment="1" applyProtection="1">
      <alignment horizontal="right" wrapText="1"/>
      <protection locked="0"/>
    </xf>
    <xf numFmtId="4" fontId="129" fillId="60" borderId="9" xfId="0" applyNumberFormat="1" applyFont="1" applyFill="1" applyBorder="1" applyAlignment="1" applyProtection="1">
      <alignment horizontal="right" wrapText="1"/>
      <protection locked="0"/>
    </xf>
    <xf numFmtId="4" fontId="134" fillId="56" borderId="9" xfId="0" applyNumberFormat="1" applyFont="1" applyFill="1" applyBorder="1" applyAlignment="1">
      <alignment horizontal="right" vertical="center" wrapText="1"/>
    </xf>
    <xf numFmtId="4" fontId="134" fillId="56" borderId="16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145" fillId="0" borderId="0" xfId="52" applyFont="1" applyAlignment="1">
      <alignment horizontal="left" wrapText="1"/>
    </xf>
    <xf numFmtId="0" fontId="146" fillId="0" borderId="0" xfId="52" applyFont="1" applyAlignment="1">
      <alignment horizontal="left" wrapText="1"/>
    </xf>
    <xf numFmtId="190" fontId="145" fillId="0" borderId="0" xfId="123" applyNumberFormat="1" applyFont="1" applyAlignment="1">
      <alignment horizontal="left" wrapText="1"/>
    </xf>
    <xf numFmtId="4" fontId="145" fillId="0" borderId="0" xfId="52" applyNumberFormat="1" applyFont="1" applyAlignment="1">
      <alignment horizontal="left" wrapText="1"/>
    </xf>
    <xf numFmtId="0" fontId="129" fillId="0" borderId="91" xfId="0" applyFont="1" applyBorder="1" applyAlignment="1">
      <alignment horizontal="center" wrapText="1"/>
    </xf>
    <xf numFmtId="0" fontId="136" fillId="3" borderId="33" xfId="0" applyFont="1" applyFill="1" applyBorder="1" applyAlignment="1">
      <alignment horizontal="center" wrapText="1"/>
    </xf>
    <xf numFmtId="4" fontId="7" fillId="0" borderId="0" xfId="0" applyNumberFormat="1" applyFont="1" applyAlignment="1">
      <alignment horizontal="left" wrapText="1"/>
    </xf>
    <xf numFmtId="0" fontId="129" fillId="58" borderId="94" xfId="0" applyFont="1" applyFill="1" applyBorder="1" applyAlignment="1">
      <alignment horizontal="center" wrapText="1"/>
    </xf>
    <xf numFmtId="0" fontId="129" fillId="58" borderId="14" xfId="0" applyFont="1" applyFill="1" applyBorder="1" applyAlignment="1">
      <alignment horizontal="center" wrapText="1"/>
    </xf>
    <xf numFmtId="0" fontId="129" fillId="58" borderId="98" xfId="0" applyFont="1" applyFill="1" applyBorder="1" applyAlignment="1">
      <alignment horizontal="center" wrapText="1"/>
    </xf>
    <xf numFmtId="0" fontId="129" fillId="5" borderId="33" xfId="0" applyFont="1" applyFill="1" applyBorder="1" applyAlignment="1">
      <alignment horizontal="center" wrapText="1"/>
    </xf>
    <xf numFmtId="4" fontId="129" fillId="58" borderId="12" xfId="0" applyNumberFormat="1" applyFont="1" applyFill="1" applyBorder="1" applyAlignment="1">
      <alignment horizontal="right" wrapText="1"/>
    </xf>
    <xf numFmtId="0" fontId="129" fillId="60" borderId="14" xfId="0" applyFont="1" applyFill="1" applyBorder="1" applyAlignment="1">
      <alignment horizontal="center" wrapText="1"/>
    </xf>
    <xf numFmtId="0" fontId="129" fillId="59" borderId="14" xfId="0" applyFont="1" applyFill="1" applyBorder="1" applyAlignment="1">
      <alignment horizontal="center" wrapText="1"/>
    </xf>
    <xf numFmtId="4" fontId="129" fillId="0" borderId="6" xfId="0" applyNumberFormat="1" applyFont="1" applyFill="1" applyBorder="1" applyAlignment="1" applyProtection="1">
      <alignment horizontal="right" wrapText="1"/>
      <protection locked="0"/>
    </xf>
    <xf numFmtId="0" fontId="129" fillId="60" borderId="98" xfId="0" applyFont="1" applyFill="1" applyBorder="1" applyAlignment="1">
      <alignment horizontal="center" wrapText="1"/>
    </xf>
    <xf numFmtId="0" fontId="129" fillId="60" borderId="94" xfId="0" applyFont="1" applyFill="1" applyBorder="1" applyAlignment="1">
      <alignment horizontal="center" wrapText="1"/>
    </xf>
    <xf numFmtId="0" fontId="129" fillId="59" borderId="98" xfId="0" applyFont="1" applyFill="1" applyBorder="1" applyAlignment="1">
      <alignment horizontal="center" wrapText="1"/>
    </xf>
    <xf numFmtId="0" fontId="129" fillId="34" borderId="33" xfId="0" applyFont="1" applyFill="1" applyBorder="1" applyAlignment="1">
      <alignment horizontal="center" wrapText="1"/>
    </xf>
    <xf numFmtId="0" fontId="138" fillId="52" borderId="159" xfId="0" applyFont="1" applyFill="1" applyBorder="1" applyAlignment="1">
      <alignment horizontal="center" vertical="top" wrapText="1"/>
    </xf>
    <xf numFmtId="4" fontId="138" fillId="52" borderId="176" xfId="0" applyNumberFormat="1" applyFont="1" applyFill="1" applyBorder="1" applyAlignment="1">
      <alignment horizontal="right" vertical="center" wrapText="1"/>
    </xf>
    <xf numFmtId="4" fontId="138" fillId="52" borderId="99" xfId="0" applyNumberFormat="1" applyFont="1" applyFill="1" applyBorder="1" applyAlignment="1">
      <alignment horizontal="right" vertical="center" wrapText="1"/>
    </xf>
    <xf numFmtId="4" fontId="138" fillId="52" borderId="114" xfId="0" applyNumberFormat="1" applyFont="1" applyFill="1" applyBorder="1" applyAlignment="1">
      <alignment horizontal="right" vertical="center" wrapText="1"/>
    </xf>
    <xf numFmtId="4" fontId="138" fillId="52" borderId="177" xfId="0" applyNumberFormat="1" applyFont="1" applyFill="1" applyBorder="1" applyAlignment="1">
      <alignment horizontal="right" vertical="center" wrapText="1"/>
    </xf>
    <xf numFmtId="4" fontId="138" fillId="52" borderId="178" xfId="0" applyNumberFormat="1" applyFont="1" applyFill="1" applyBorder="1" applyAlignment="1">
      <alignment horizontal="right" vertical="center" wrapText="1"/>
    </xf>
    <xf numFmtId="4" fontId="138" fillId="52" borderId="139" xfId="0" applyNumberFormat="1" applyFont="1" applyFill="1" applyBorder="1" applyAlignment="1">
      <alignment horizontal="right" vertical="center" wrapText="1"/>
    </xf>
    <xf numFmtId="0" fontId="137" fillId="69" borderId="163" xfId="0" applyFont="1" applyFill="1" applyBorder="1" applyAlignment="1">
      <alignment horizontal="center" wrapText="1"/>
    </xf>
    <xf numFmtId="4" fontId="137" fillId="0" borderId="6" xfId="0" applyNumberFormat="1" applyFont="1" applyFill="1" applyBorder="1" applyAlignment="1">
      <alignment horizontal="right" vertical="center" wrapText="1"/>
    </xf>
    <xf numFmtId="0" fontId="137" fillId="71" borderId="163" xfId="0" applyFont="1" applyFill="1" applyBorder="1" applyAlignment="1">
      <alignment horizontal="center" wrapText="1"/>
    </xf>
    <xf numFmtId="4" fontId="138" fillId="70" borderId="179" xfId="0" applyNumberFormat="1" applyFont="1" applyFill="1" applyBorder="1" applyAlignment="1">
      <alignment horizontal="right" vertical="center" wrapText="1"/>
    </xf>
    <xf numFmtId="4" fontId="138" fillId="70" borderId="180" xfId="0" applyNumberFormat="1" applyFont="1" applyFill="1" applyBorder="1" applyAlignment="1">
      <alignment horizontal="right" vertical="center" wrapText="1"/>
    </xf>
    <xf numFmtId="4" fontId="137" fillId="0" borderId="11" xfId="0" applyNumberFormat="1" applyFont="1" applyFill="1" applyBorder="1" applyAlignment="1">
      <alignment horizontal="right" vertical="center" wrapText="1"/>
    </xf>
    <xf numFmtId="4" fontId="138" fillId="70" borderId="181" xfId="0" applyNumberFormat="1" applyFont="1" applyFill="1" applyBorder="1" applyAlignment="1">
      <alignment horizontal="right" vertical="center" wrapText="1"/>
    </xf>
    <xf numFmtId="0" fontId="137" fillId="0" borderId="163" xfId="0" applyFont="1" applyFill="1" applyBorder="1" applyAlignment="1">
      <alignment horizontal="center" wrapText="1"/>
    </xf>
    <xf numFmtId="4" fontId="138" fillId="70" borderId="182" xfId="0" applyNumberFormat="1" applyFont="1" applyFill="1" applyBorder="1" applyAlignment="1">
      <alignment horizontal="right" vertical="center" wrapText="1"/>
    </xf>
    <xf numFmtId="0" fontId="137" fillId="69" borderId="162" xfId="0" applyFont="1" applyFill="1" applyBorder="1" applyAlignment="1">
      <alignment horizontal="center" wrapText="1"/>
    </xf>
    <xf numFmtId="0" fontId="137" fillId="71" borderId="162" xfId="0" applyFont="1" applyFill="1" applyBorder="1" applyAlignment="1">
      <alignment horizontal="center" wrapText="1"/>
    </xf>
    <xf numFmtId="4" fontId="138" fillId="70" borderId="183" xfId="0" applyNumberFormat="1" applyFont="1" applyFill="1" applyBorder="1" applyAlignment="1">
      <alignment horizontal="right" vertical="center" wrapText="1"/>
    </xf>
    <xf numFmtId="0" fontId="137" fillId="69" borderId="166" xfId="0" applyFont="1" applyFill="1" applyBorder="1" applyAlignment="1">
      <alignment horizontal="center" wrapText="1"/>
    </xf>
    <xf numFmtId="0" fontId="137" fillId="69" borderId="1" xfId="0" applyFont="1" applyFill="1" applyBorder="1" applyAlignment="1">
      <alignment horizontal="center" wrapText="1"/>
    </xf>
    <xf numFmtId="0" fontId="137" fillId="71" borderId="162" xfId="0" applyFont="1" applyFill="1" applyBorder="1" applyAlignment="1">
      <alignment horizontal="center" vertical="top" wrapText="1"/>
    </xf>
    <xf numFmtId="4" fontId="138" fillId="70" borderId="184" xfId="0" applyNumberFormat="1" applyFont="1" applyFill="1" applyBorder="1" applyAlignment="1">
      <alignment horizontal="right" vertical="center" wrapText="1"/>
    </xf>
    <xf numFmtId="4" fontId="138" fillId="70" borderId="185" xfId="0" applyNumberFormat="1" applyFont="1" applyFill="1" applyBorder="1" applyAlignment="1">
      <alignment horizontal="right" vertical="center" wrapText="1"/>
    </xf>
    <xf numFmtId="0" fontId="137" fillId="69" borderId="162" xfId="0" applyFont="1" applyFill="1" applyBorder="1" applyAlignment="1">
      <alignment horizontal="center" vertical="top" wrapText="1"/>
    </xf>
    <xf numFmtId="0" fontId="137" fillId="59" borderId="162" xfId="0" applyFont="1" applyFill="1" applyBorder="1" applyAlignment="1">
      <alignment horizontal="center" vertical="top" wrapText="1"/>
    </xf>
    <xf numFmtId="0" fontId="137" fillId="73" borderId="162" xfId="0" applyFont="1" applyFill="1" applyBorder="1" applyAlignment="1">
      <alignment horizontal="center" vertical="top" wrapText="1"/>
    </xf>
    <xf numFmtId="4" fontId="138" fillId="70" borderId="186" xfId="0" applyNumberFormat="1" applyFont="1" applyFill="1" applyBorder="1" applyAlignment="1">
      <alignment horizontal="right" vertical="center" wrapText="1"/>
    </xf>
    <xf numFmtId="4" fontId="138" fillId="70" borderId="187" xfId="0" applyNumberFormat="1" applyFont="1" applyFill="1" applyBorder="1" applyAlignment="1">
      <alignment horizontal="right" vertical="center" wrapText="1"/>
    </xf>
    <xf numFmtId="4" fontId="138" fillId="70" borderId="188" xfId="0" applyNumberFormat="1" applyFont="1" applyFill="1" applyBorder="1" applyAlignment="1">
      <alignment horizontal="right" vertical="center" wrapText="1"/>
    </xf>
    <xf numFmtId="0" fontId="136" fillId="34" borderId="33" xfId="0" applyFont="1" applyFill="1" applyBorder="1" applyAlignment="1">
      <alignment horizontal="center" wrapText="1"/>
    </xf>
    <xf numFmtId="0" fontId="45" fillId="34" borderId="33" xfId="0" applyFont="1" applyFill="1" applyBorder="1" applyAlignment="1">
      <alignment horizontal="center" wrapText="1"/>
    </xf>
    <xf numFmtId="0" fontId="129" fillId="0" borderId="14" xfId="0" applyFont="1" applyFill="1" applyBorder="1" applyAlignment="1">
      <alignment horizontal="center" wrapText="1"/>
    </xf>
    <xf numFmtId="166" fontId="134" fillId="56" borderId="4" xfId="0" applyNumberFormat="1" applyFont="1" applyFill="1" applyBorder="1" applyAlignment="1">
      <alignment horizontal="right" vertical="center" wrapText="1"/>
    </xf>
    <xf numFmtId="0" fontId="45" fillId="34" borderId="13" xfId="0" applyFont="1" applyFill="1" applyBorder="1" applyAlignment="1">
      <alignment horizontal="center" wrapText="1"/>
    </xf>
    <xf numFmtId="0" fontId="129" fillId="60" borderId="130" xfId="0" applyFont="1" applyFill="1" applyBorder="1" applyAlignment="1">
      <alignment horizontal="center" wrapText="1"/>
    </xf>
    <xf numFmtId="0" fontId="129" fillId="38" borderId="98" xfId="0" applyFont="1" applyFill="1" applyBorder="1" applyAlignment="1">
      <alignment horizontal="center" wrapText="1"/>
    </xf>
    <xf numFmtId="4" fontId="129" fillId="38" borderId="17" xfId="0" applyNumberFormat="1" applyFont="1" applyFill="1" applyBorder="1" applyAlignment="1">
      <alignment horizontal="right" wrapText="1"/>
    </xf>
    <xf numFmtId="0" fontId="129" fillId="37" borderId="31" xfId="0" applyFont="1" applyFill="1" applyBorder="1" applyAlignment="1">
      <alignment horizontal="center" wrapText="1"/>
    </xf>
    <xf numFmtId="4" fontId="134" fillId="56" borderId="114" xfId="0" applyNumberFormat="1" applyFont="1" applyFill="1" applyBorder="1" applyAlignment="1">
      <alignment horizontal="right" vertical="center" wrapText="1"/>
    </xf>
    <xf numFmtId="4" fontId="129" fillId="58" borderId="138" xfId="0" applyNumberFormat="1" applyFont="1" applyFill="1" applyBorder="1" applyAlignment="1">
      <alignment horizontal="right" wrapText="1"/>
    </xf>
    <xf numFmtId="0" fontId="129" fillId="37" borderId="14" xfId="0" applyFont="1" applyFill="1" applyBorder="1" applyAlignment="1">
      <alignment horizontal="center" wrapText="1"/>
    </xf>
    <xf numFmtId="0" fontId="129" fillId="37" borderId="16" xfId="0" applyFont="1" applyFill="1" applyBorder="1" applyAlignment="1">
      <alignment horizontal="center" wrapText="1"/>
    </xf>
    <xf numFmtId="4" fontId="134" fillId="56" borderId="136" xfId="0" applyNumberFormat="1" applyFont="1" applyFill="1" applyBorder="1" applyAlignment="1">
      <alignment horizontal="right" vertical="center" wrapText="1"/>
    </xf>
    <xf numFmtId="4" fontId="129" fillId="60" borderId="104" xfId="0" applyNumberFormat="1" applyFont="1" applyFill="1" applyBorder="1" applyAlignment="1" applyProtection="1">
      <alignment horizontal="right" wrapText="1"/>
      <protection locked="0"/>
    </xf>
    <xf numFmtId="0" fontId="131" fillId="3" borderId="14" xfId="0" applyFont="1" applyFill="1" applyBorder="1" applyAlignment="1">
      <alignment horizontal="center" wrapText="1"/>
    </xf>
    <xf numFmtId="4" fontId="131" fillId="3" borderId="11" xfId="0" applyNumberFormat="1" applyFont="1" applyFill="1" applyBorder="1" applyAlignment="1">
      <alignment horizontal="right" wrapText="1"/>
    </xf>
    <xf numFmtId="4" fontId="131" fillId="3" borderId="1" xfId="0" applyNumberFormat="1" applyFont="1" applyFill="1" applyBorder="1" applyAlignment="1">
      <alignment horizontal="right" wrapText="1"/>
    </xf>
    <xf numFmtId="4" fontId="131" fillId="3" borderId="6" xfId="0" applyNumberFormat="1" applyFont="1" applyFill="1" applyBorder="1" applyAlignment="1">
      <alignment horizontal="right" wrapText="1"/>
    </xf>
    <xf numFmtId="0" fontId="131" fillId="3" borderId="16" xfId="0" applyFont="1" applyFill="1" applyBorder="1" applyAlignment="1">
      <alignment horizontal="center" wrapText="1"/>
    </xf>
    <xf numFmtId="4" fontId="131" fillId="3" borderId="10" xfId="0" applyNumberFormat="1" applyFont="1" applyFill="1" applyBorder="1" applyAlignment="1">
      <alignment horizontal="right" wrapText="1"/>
    </xf>
    <xf numFmtId="4" fontId="131" fillId="3" borderId="9" xfId="0" applyNumberFormat="1" applyFont="1" applyFill="1" applyBorder="1" applyAlignment="1">
      <alignment horizontal="right" wrapText="1"/>
    </xf>
    <xf numFmtId="4" fontId="131" fillId="3" borderId="136" xfId="0" applyNumberFormat="1" applyFont="1" applyFill="1" applyBorder="1" applyAlignment="1">
      <alignment horizontal="right" wrapText="1"/>
    </xf>
    <xf numFmtId="4" fontId="131" fillId="3" borderId="16" xfId="0" applyNumberFormat="1" applyFont="1" applyFill="1" applyBorder="1" applyAlignment="1">
      <alignment horizontal="right" wrapText="1"/>
    </xf>
    <xf numFmtId="4" fontId="131" fillId="3" borderId="104" xfId="0" applyNumberFormat="1" applyFont="1" applyFill="1" applyBorder="1" applyAlignment="1">
      <alignment horizontal="right" wrapText="1"/>
    </xf>
    <xf numFmtId="0" fontId="145" fillId="0" borderId="0" xfId="52" applyFont="1" applyAlignment="1">
      <alignment horizontal="center" wrapText="1"/>
    </xf>
    <xf numFmtId="10" fontId="145" fillId="0" borderId="0" xfId="123" applyNumberFormat="1" applyFont="1" applyAlignment="1">
      <alignment horizontal="right" wrapText="1"/>
    </xf>
    <xf numFmtId="10" fontId="145" fillId="0" borderId="0" xfId="52" applyNumberFormat="1" applyFont="1" applyAlignment="1">
      <alignment horizontal="right" wrapText="1"/>
    </xf>
    <xf numFmtId="4" fontId="145" fillId="0" borderId="0" xfId="52" applyNumberFormat="1" applyFont="1" applyAlignment="1">
      <alignment horizontal="right" wrapText="1"/>
    </xf>
    <xf numFmtId="0" fontId="145" fillId="7" borderId="18" xfId="10" applyFont="1" applyAlignment="1">
      <alignment horizontal="left" wrapText="1"/>
    </xf>
    <xf numFmtId="0" fontId="145" fillId="7" borderId="18" xfId="10" applyFont="1" applyAlignment="1">
      <alignment horizontal="center" wrapText="1"/>
    </xf>
    <xf numFmtId="0" fontId="146" fillId="7" borderId="18" xfId="10" applyFont="1" applyAlignment="1">
      <alignment horizontal="left" wrapText="1"/>
    </xf>
    <xf numFmtId="4" fontId="145" fillId="7" borderId="18" xfId="10" applyNumberFormat="1" applyFont="1" applyAlignment="1">
      <alignment horizontal="right" wrapText="1"/>
    </xf>
    <xf numFmtId="4" fontId="8" fillId="60" borderId="15" xfId="120" applyNumberFormat="1" applyFont="1" applyFill="1" applyBorder="1" applyAlignment="1" applyProtection="1">
      <alignment horizontal="right" vertical="center" wrapText="1"/>
      <protection locked="0"/>
    </xf>
    <xf numFmtId="4" fontId="8" fillId="60" borderId="30" xfId="120" applyNumberFormat="1" applyFont="1" applyFill="1" applyBorder="1" applyAlignment="1" applyProtection="1">
      <alignment horizontal="right" vertical="center" wrapText="1"/>
      <protection locked="0"/>
    </xf>
    <xf numFmtId="4" fontId="8" fillId="60" borderId="11" xfId="120" applyNumberFormat="1" applyFont="1" applyFill="1" applyBorder="1" applyAlignment="1" applyProtection="1">
      <alignment horizontal="right" vertical="center" wrapText="1"/>
      <protection locked="0"/>
    </xf>
    <xf numFmtId="4" fontId="8" fillId="60" borderId="6" xfId="120" applyNumberFormat="1" applyFont="1" applyFill="1" applyBorder="1" applyAlignment="1" applyProtection="1">
      <alignment horizontal="right" vertical="center" wrapText="1"/>
      <protection locked="0"/>
    </xf>
    <xf numFmtId="4" fontId="8" fillId="60" borderId="1" xfId="120" applyNumberFormat="1" applyFont="1" applyFill="1" applyBorder="1" applyAlignment="1" applyProtection="1">
      <alignment horizontal="right" vertical="center" wrapText="1"/>
      <protection locked="0"/>
    </xf>
    <xf numFmtId="10" fontId="8" fillId="60" borderId="10" xfId="120" applyNumberFormat="1" applyFont="1" applyFill="1" applyBorder="1" applyAlignment="1" applyProtection="1">
      <alignment horizontal="right" vertical="center" wrapText="1"/>
      <protection locked="0"/>
    </xf>
    <xf numFmtId="4" fontId="8" fillId="60" borderId="92" xfId="120" applyNumberFormat="1" applyFont="1" applyFill="1" applyBorder="1" applyAlignment="1" applyProtection="1">
      <alignment horizontal="right" vertical="center" wrapText="1"/>
      <protection locked="0"/>
    </xf>
    <xf numFmtId="4" fontId="8" fillId="60" borderId="32" xfId="120" applyNumberFormat="1" applyFont="1" applyFill="1" applyBorder="1" applyAlignment="1" applyProtection="1">
      <alignment horizontal="right" vertical="center" wrapText="1"/>
      <protection locked="0"/>
    </xf>
    <xf numFmtId="0" fontId="58" fillId="6" borderId="11" xfId="120" applyFont="1" applyFill="1" applyBorder="1" applyAlignment="1">
      <alignment horizontal="right" wrapText="1"/>
    </xf>
    <xf numFmtId="2" fontId="58" fillId="6" borderId="1" xfId="120" applyNumberFormat="1" applyFont="1" applyFill="1" applyBorder="1" applyAlignment="1">
      <alignment horizontal="left" vertical="center" wrapText="1"/>
    </xf>
    <xf numFmtId="0" fontId="129" fillId="0" borderId="0" xfId="0" applyFont="1" applyAlignment="1">
      <alignment horizontal="center" wrapText="1"/>
    </xf>
    <xf numFmtId="0" fontId="0" fillId="0" borderId="139" xfId="0" applyBorder="1" applyAlignment="1">
      <alignment horizontal="left" vertical="center" wrapText="1"/>
    </xf>
    <xf numFmtId="0" fontId="0" fillId="0" borderId="139" xfId="0" applyBorder="1" applyAlignment="1">
      <alignment horizontal="center" vertical="center" wrapText="1"/>
    </xf>
    <xf numFmtId="0" fontId="129" fillId="0" borderId="139" xfId="0" applyFon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" fontId="58" fillId="0" borderId="9" xfId="120" applyNumberFormat="1" applyFont="1" applyFill="1" applyBorder="1" applyAlignment="1">
      <alignment horizontal="left" vertical="center" wrapText="1"/>
    </xf>
    <xf numFmtId="0" fontId="129" fillId="0" borderId="87" xfId="0" applyFont="1" applyBorder="1" applyAlignment="1">
      <alignment horizontal="left" wrapText="1"/>
    </xf>
    <xf numFmtId="4" fontId="0" fillId="0" borderId="0" xfId="0" applyNumberFormat="1" applyAlignment="1">
      <alignment horizontal="left" wrapText="1"/>
    </xf>
    <xf numFmtId="4" fontId="137" fillId="4" borderId="1" xfId="0" applyNumberFormat="1" applyFont="1" applyFill="1" applyBorder="1" applyAlignment="1">
      <alignment horizontal="right" vertical="center" wrapText="1"/>
    </xf>
    <xf numFmtId="4" fontId="137" fillId="74" borderId="11" xfId="0" applyNumberFormat="1" applyFont="1" applyFill="1" applyBorder="1" applyAlignment="1">
      <alignment horizontal="right" vertical="center" wrapText="1"/>
    </xf>
    <xf numFmtId="4" fontId="137" fillId="38" borderId="11" xfId="0" applyNumberFormat="1" applyFont="1" applyFill="1" applyBorder="1" applyAlignment="1">
      <alignment horizontal="right" vertical="center" wrapText="1"/>
    </xf>
    <xf numFmtId="4" fontId="137" fillId="38" borderId="97" xfId="0" applyNumberFormat="1" applyFont="1" applyFill="1" applyBorder="1" applyAlignment="1">
      <alignment horizontal="right" vertical="center" wrapText="1"/>
    </xf>
    <xf numFmtId="4" fontId="129" fillId="58" borderId="5" xfId="0" applyNumberFormat="1" applyFont="1" applyFill="1" applyBorder="1" applyAlignment="1">
      <alignment horizontal="right" wrapText="1"/>
    </xf>
    <xf numFmtId="4" fontId="129" fillId="60" borderId="5" xfId="0" applyNumberFormat="1" applyFont="1" applyFill="1" applyBorder="1" applyAlignment="1" applyProtection="1">
      <alignment horizontal="right" wrapText="1"/>
      <protection locked="0"/>
    </xf>
    <xf numFmtId="4" fontId="0" fillId="0" borderId="0" xfId="0" applyNumberFormat="1"/>
    <xf numFmtId="0" fontId="147" fillId="0" borderId="0" xfId="0" applyFont="1" applyAlignment="1">
      <alignment horizontal="left" wrapText="1"/>
    </xf>
    <xf numFmtId="10" fontId="108" fillId="0" borderId="0" xfId="123" applyNumberFormat="1" applyFont="1"/>
    <xf numFmtId="190" fontId="108" fillId="0" borderId="0" xfId="123" applyNumberFormat="1" applyFont="1"/>
    <xf numFmtId="0" fontId="0" fillId="6" borderId="6" xfId="120" applyFont="1" applyFill="1" applyBorder="1" applyAlignment="1">
      <alignment horizontal="center" vertical="center" wrapText="1"/>
    </xf>
    <xf numFmtId="3" fontId="76" fillId="0" borderId="6" xfId="0" applyNumberFormat="1" applyFont="1" applyBorder="1" applyAlignment="1">
      <alignment horizontal="center" vertical="center" wrapText="1"/>
    </xf>
    <xf numFmtId="4" fontId="76" fillId="0" borderId="0" xfId="0" applyNumberFormat="1" applyFont="1" applyAlignment="1">
      <alignment horizontal="left" wrapText="1"/>
    </xf>
    <xf numFmtId="4" fontId="76" fillId="0" borderId="0" xfId="120" applyNumberFormat="1" applyFont="1" applyFill="1" applyBorder="1" applyAlignment="1" applyProtection="1">
      <alignment horizontal="right" vertical="center" wrapText="1"/>
      <protection locked="0"/>
    </xf>
    <xf numFmtId="10" fontId="76" fillId="0" borderId="0" xfId="120" applyNumberFormat="1" applyFont="1" applyFill="1" applyBorder="1" applyAlignment="1" applyProtection="1">
      <alignment horizontal="right" vertical="center" wrapText="1"/>
      <protection locked="0"/>
    </xf>
    <xf numFmtId="4" fontId="76" fillId="0" borderId="0" xfId="0" applyNumberFormat="1" applyFont="1" applyFill="1" applyAlignment="1">
      <alignment horizontal="left" wrapText="1"/>
    </xf>
    <xf numFmtId="4" fontId="148" fillId="0" borderId="0" xfId="33" applyNumberFormat="1" applyFont="1" applyFill="1" applyAlignment="1">
      <alignment horizontal="right" wrapText="1"/>
    </xf>
    <xf numFmtId="4" fontId="77" fillId="6" borderId="15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30" xfId="120" applyNumberFormat="1" applyFont="1" applyFill="1" applyBorder="1" applyAlignment="1" applyProtection="1">
      <alignment horizontal="right" vertical="center" wrapText="1"/>
      <protection locked="0"/>
    </xf>
    <xf numFmtId="4" fontId="77" fillId="6" borderId="31" xfId="120" applyNumberFormat="1" applyFont="1" applyFill="1" applyBorder="1" applyAlignment="1" applyProtection="1">
      <alignment horizontal="right" vertical="center" wrapText="1"/>
      <protection locked="0"/>
    </xf>
    <xf numFmtId="4" fontId="108" fillId="0" borderId="0" xfId="0" applyNumberFormat="1" applyFont="1"/>
    <xf numFmtId="4" fontId="146" fillId="0" borderId="0" xfId="52" applyNumberFormat="1" applyFont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103" fillId="0" borderId="0" xfId="120" applyFont="1" applyFill="1" applyBorder="1" applyAlignment="1">
      <alignment horizontal="center" wrapText="1"/>
    </xf>
    <xf numFmtId="0" fontId="34" fillId="0" borderId="0" xfId="0" applyFont="1" applyBorder="1" applyAlignment="1">
      <alignment horizontal="left" wrapText="1"/>
    </xf>
    <xf numFmtId="0" fontId="10" fillId="0" borderId="0" xfId="0" applyFont="1" applyFill="1" applyBorder="1"/>
    <xf numFmtId="0" fontId="10" fillId="0" borderId="0" xfId="0" applyFont="1" applyFill="1" applyAlignment="1">
      <alignment wrapText="1"/>
    </xf>
    <xf numFmtId="0" fontId="10" fillId="0" borderId="4" xfId="0" applyFont="1" applyFill="1" applyBorder="1" applyAlignment="1">
      <alignment wrapText="1"/>
    </xf>
    <xf numFmtId="0" fontId="10" fillId="0" borderId="4" xfId="0" applyFont="1" applyFill="1" applyBorder="1"/>
    <xf numFmtId="0" fontId="10" fillId="0" borderId="4" xfId="0" applyFont="1" applyFill="1" applyBorder="1" applyAlignment="1">
      <alignment vertical="top" wrapText="1"/>
    </xf>
    <xf numFmtId="0" fontId="10" fillId="0" borderId="132" xfId="0" applyFont="1" applyFill="1" applyBorder="1" applyAlignment="1">
      <alignment wrapText="1"/>
    </xf>
    <xf numFmtId="0" fontId="10" fillId="34" borderId="14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wrapText="1"/>
    </xf>
    <xf numFmtId="0" fontId="10" fillId="0" borderId="103" xfId="0" applyFont="1" applyFill="1" applyBorder="1" applyAlignment="1">
      <alignment wrapText="1"/>
    </xf>
    <xf numFmtId="0" fontId="10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horizontal="left" vertical="top" wrapText="1" indent="2"/>
    </xf>
    <xf numFmtId="0" fontId="10" fillId="0" borderId="11" xfId="0" applyFont="1" applyFill="1" applyBorder="1" applyAlignment="1">
      <alignment horizontal="left" indent="2"/>
    </xf>
    <xf numFmtId="0" fontId="10" fillId="0" borderId="10" xfId="0" applyFont="1" applyFill="1" applyBorder="1" applyAlignment="1">
      <alignment horizontal="left" indent="2"/>
    </xf>
    <xf numFmtId="0" fontId="10" fillId="0" borderId="136" xfId="0" applyFont="1" applyFill="1" applyBorder="1"/>
    <xf numFmtId="0" fontId="10" fillId="0" borderId="8" xfId="0" applyFont="1" applyFill="1" applyBorder="1" applyAlignment="1">
      <alignment vertical="top" wrapText="1"/>
    </xf>
    <xf numFmtId="0" fontId="10" fillId="0" borderId="171" xfId="0" applyFont="1" applyFill="1" applyBorder="1" applyAlignment="1">
      <alignment wrapText="1"/>
    </xf>
    <xf numFmtId="0" fontId="10" fillId="0" borderId="97" xfId="0" applyFont="1" applyFill="1" applyBorder="1" applyAlignment="1">
      <alignment vertical="top" wrapText="1"/>
    </xf>
    <xf numFmtId="0" fontId="53" fillId="59" borderId="15" xfId="0" applyFont="1" applyFill="1" applyBorder="1"/>
    <xf numFmtId="0" fontId="10" fillId="59" borderId="114" xfId="0" applyFont="1" applyFill="1" applyBorder="1"/>
    <xf numFmtId="0" fontId="10" fillId="59" borderId="137" xfId="0" applyFont="1" applyFill="1" applyBorder="1" applyAlignment="1">
      <alignment wrapText="1"/>
    </xf>
    <xf numFmtId="0" fontId="10" fillId="59" borderId="31" xfId="0" applyFont="1" applyFill="1" applyBorder="1" applyAlignment="1">
      <alignment wrapText="1"/>
    </xf>
    <xf numFmtId="0" fontId="10" fillId="59" borderId="15" xfId="0" applyFont="1" applyFill="1" applyBorder="1" applyAlignment="1">
      <alignment wrapText="1"/>
    </xf>
    <xf numFmtId="0" fontId="53" fillId="59" borderId="93" xfId="0" applyFont="1" applyFill="1" applyBorder="1"/>
    <xf numFmtId="0" fontId="53" fillId="59" borderId="7" xfId="0" applyFont="1" applyFill="1" applyBorder="1"/>
    <xf numFmtId="0" fontId="10" fillId="59" borderId="170" xfId="0" applyFont="1" applyFill="1" applyBorder="1" applyAlignment="1">
      <alignment wrapText="1"/>
    </xf>
    <xf numFmtId="0" fontId="53" fillId="59" borderId="94" xfId="0" applyFont="1" applyFill="1" applyBorder="1" applyAlignment="1">
      <alignment wrapText="1"/>
    </xf>
    <xf numFmtId="0" fontId="53" fillId="59" borderId="93" xfId="0" applyFont="1" applyFill="1" applyBorder="1" applyAlignment="1">
      <alignment wrapText="1"/>
    </xf>
    <xf numFmtId="0" fontId="53" fillId="0" borderId="92" xfId="0" applyFont="1" applyFill="1" applyBorder="1" applyAlignment="1">
      <alignment vertical="center"/>
    </xf>
    <xf numFmtId="0" fontId="53" fillId="0" borderId="156" xfId="0" applyFont="1" applyFill="1" applyBorder="1" applyAlignment="1">
      <alignment vertical="center" wrapText="1"/>
    </xf>
    <xf numFmtId="0" fontId="53" fillId="0" borderId="89" xfId="0" applyFont="1" applyFill="1" applyBorder="1" applyAlignment="1">
      <alignment vertical="center" wrapText="1"/>
    </xf>
    <xf numFmtId="0" fontId="53" fillId="0" borderId="33" xfId="0" applyFont="1" applyFill="1" applyBorder="1" applyAlignment="1">
      <alignment vertical="center" wrapText="1"/>
    </xf>
    <xf numFmtId="0" fontId="53" fillId="0" borderId="92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top" wrapText="1"/>
    </xf>
    <xf numFmtId="0" fontId="10" fillId="0" borderId="98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0" fontId="10" fillId="59" borderId="14" xfId="0" applyFont="1" applyFill="1" applyBorder="1" applyAlignment="1">
      <alignment vertical="top" wrapText="1"/>
    </xf>
    <xf numFmtId="165" fontId="91" fillId="0" borderId="1" xfId="0" applyNumberFormat="1" applyFont="1" applyFill="1" applyBorder="1" applyAlignment="1">
      <alignment horizontal="center" vertical="center" wrapText="1"/>
    </xf>
    <xf numFmtId="4" fontId="145" fillId="0" borderId="1" xfId="105" applyNumberFormat="1" applyFont="1" applyFill="1" applyBorder="1" applyAlignment="1">
      <alignment horizontal="right" vertical="center" wrapText="1"/>
    </xf>
    <xf numFmtId="4" fontId="150" fillId="0" borderId="0" xfId="0" applyNumberFormat="1" applyFont="1" applyFill="1" applyBorder="1" applyAlignment="1">
      <alignment horizontal="right" vertical="center" wrapText="1"/>
    </xf>
    <xf numFmtId="0" fontId="135" fillId="56" borderId="10" xfId="0" applyFont="1" applyFill="1" applyBorder="1" applyAlignment="1">
      <alignment horizontal="center" vertical="center" wrapText="1"/>
    </xf>
    <xf numFmtId="0" fontId="135" fillId="56" borderId="9" xfId="0" applyFont="1" applyFill="1" applyBorder="1" applyAlignment="1">
      <alignment horizontal="center" vertical="center" wrapText="1"/>
    </xf>
    <xf numFmtId="4" fontId="145" fillId="0" borderId="0" xfId="123" applyNumberFormat="1" applyFont="1" applyAlignment="1">
      <alignment horizontal="left" wrapText="1"/>
    </xf>
    <xf numFmtId="165" fontId="91" fillId="0" borderId="1" xfId="0" applyNumberFormat="1" applyFont="1" applyFill="1" applyBorder="1" applyAlignment="1">
      <alignment horizontal="center" vertical="center" wrapText="1"/>
    </xf>
    <xf numFmtId="3" fontId="76" fillId="6" borderId="133" xfId="0" applyNumberFormat="1" applyFont="1" applyFill="1" applyBorder="1" applyAlignment="1">
      <alignment vertical="center"/>
    </xf>
    <xf numFmtId="165" fontId="91" fillId="0" borderId="1" xfId="0" applyNumberFormat="1" applyFont="1" applyFill="1" applyBorder="1" applyAlignment="1">
      <alignment horizontal="center" vertical="center" wrapText="1"/>
    </xf>
    <xf numFmtId="4" fontId="138" fillId="52" borderId="112" xfId="0" applyNumberFormat="1" applyFont="1" applyFill="1" applyBorder="1" applyAlignment="1">
      <alignment horizontal="right" vertical="center" wrapText="1"/>
    </xf>
    <xf numFmtId="4" fontId="138" fillId="52" borderId="189" xfId="0" applyNumberFormat="1" applyFont="1" applyFill="1" applyBorder="1" applyAlignment="1">
      <alignment horizontal="right" vertical="center" wrapText="1"/>
    </xf>
    <xf numFmtId="166" fontId="91" fillId="0" borderId="0" xfId="0" applyNumberFormat="1" applyFont="1" applyFill="1" applyAlignment="1">
      <alignment horizontal="left" vertical="center" wrapText="1"/>
    </xf>
    <xf numFmtId="49" fontId="120" fillId="0" borderId="116" xfId="0" applyNumberFormat="1" applyFont="1" applyFill="1" applyBorder="1" applyAlignment="1" applyProtection="1">
      <alignment horizontal="left" vertical="center" wrapText="1"/>
    </xf>
    <xf numFmtId="43" fontId="91" fillId="6" borderId="0" xfId="0" applyNumberFormat="1" applyFont="1" applyFill="1" applyAlignment="1">
      <alignment vertical="center" wrapText="1"/>
    </xf>
    <xf numFmtId="43" fontId="92" fillId="3" borderId="0" xfId="0" applyNumberFormat="1" applyFont="1" applyFill="1" applyAlignment="1">
      <alignment vertical="center" wrapText="1"/>
    </xf>
    <xf numFmtId="43" fontId="92" fillId="3" borderId="0" xfId="0" applyNumberFormat="1" applyFont="1" applyFill="1" applyBorder="1" applyAlignment="1">
      <alignment vertical="center" wrapText="1"/>
    </xf>
    <xf numFmtId="0" fontId="128" fillId="0" borderId="0" xfId="0" applyFont="1"/>
    <xf numFmtId="0" fontId="53" fillId="0" borderId="90" xfId="0" applyFont="1" applyFill="1" applyBorder="1" applyAlignment="1">
      <alignment vertical="center" wrapText="1"/>
    </xf>
    <xf numFmtId="0" fontId="53" fillId="0" borderId="91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top" wrapText="1"/>
    </xf>
    <xf numFmtId="0" fontId="10" fillId="59" borderId="16" xfId="0" applyFont="1" applyFill="1" applyBorder="1" applyAlignment="1">
      <alignment vertical="top" wrapText="1"/>
    </xf>
    <xf numFmtId="4" fontId="53" fillId="59" borderId="12" xfId="0" applyNumberFormat="1" applyFont="1" applyFill="1" applyBorder="1" applyAlignment="1">
      <alignment wrapText="1"/>
    </xf>
    <xf numFmtId="4" fontId="10" fillId="0" borderId="5" xfId="0" applyNumberFormat="1" applyFont="1" applyFill="1" applyBorder="1" applyAlignment="1">
      <alignment vertical="top" wrapText="1"/>
    </xf>
    <xf numFmtId="4" fontId="10" fillId="34" borderId="5" xfId="0" applyNumberFormat="1" applyFont="1" applyFill="1" applyBorder="1" applyAlignment="1">
      <alignment vertical="top" wrapText="1"/>
    </xf>
    <xf numFmtId="4" fontId="10" fillId="0" borderId="128" xfId="0" applyNumberFormat="1" applyFont="1" applyFill="1" applyBorder="1" applyAlignment="1">
      <alignment vertical="top" wrapText="1"/>
    </xf>
    <xf numFmtId="4" fontId="10" fillId="59" borderId="115" xfId="0" applyNumberFormat="1" applyFont="1" applyFill="1" applyBorder="1" applyAlignment="1">
      <alignment wrapText="1"/>
    </xf>
    <xf numFmtId="4" fontId="10" fillId="0" borderId="147" xfId="0" applyNumberFormat="1" applyFont="1" applyFill="1" applyBorder="1" applyAlignment="1">
      <alignment vertical="top" wrapText="1"/>
    </xf>
    <xf numFmtId="4" fontId="10" fillId="0" borderId="0" xfId="0" applyNumberFormat="1" applyFont="1" applyFill="1" applyBorder="1" applyAlignment="1">
      <alignment wrapText="1"/>
    </xf>
    <xf numFmtId="4" fontId="53" fillId="59" borderId="106" xfId="0" applyNumberFormat="1" applyFont="1" applyFill="1" applyBorder="1" applyAlignment="1">
      <alignment wrapText="1"/>
    </xf>
    <xf numFmtId="4" fontId="10" fillId="0" borderId="14" xfId="0" applyNumberFormat="1" applyFont="1" applyFill="1" applyBorder="1" applyAlignment="1">
      <alignment vertical="top" wrapText="1"/>
    </xf>
    <xf numFmtId="4" fontId="10" fillId="34" borderId="14" xfId="0" applyNumberFormat="1" applyFont="1" applyFill="1" applyBorder="1" applyAlignment="1">
      <alignment vertical="top" wrapText="1"/>
    </xf>
    <xf numFmtId="4" fontId="10" fillId="59" borderId="14" xfId="0" applyNumberFormat="1" applyFont="1" applyFill="1" applyBorder="1" applyAlignment="1">
      <alignment vertical="top" wrapText="1"/>
    </xf>
    <xf numFmtId="4" fontId="10" fillId="0" borderId="98" xfId="0" applyNumberFormat="1" applyFont="1" applyFill="1" applyBorder="1" applyAlignment="1">
      <alignment vertical="top" wrapText="1"/>
    </xf>
    <xf numFmtId="4" fontId="10" fillId="59" borderId="31" xfId="0" applyNumberFormat="1" applyFont="1" applyFill="1" applyBorder="1" applyAlignment="1">
      <alignment wrapText="1"/>
    </xf>
    <xf numFmtId="4" fontId="10" fillId="59" borderId="16" xfId="0" applyNumberFormat="1" applyFont="1" applyFill="1" applyBorder="1" applyAlignment="1">
      <alignment vertical="top" wrapText="1"/>
    </xf>
    <xf numFmtId="0" fontId="53" fillId="59" borderId="92" xfId="0" applyFont="1" applyFill="1" applyBorder="1"/>
    <xf numFmtId="0" fontId="53" fillId="59" borderId="156" xfId="0" applyFont="1" applyFill="1" applyBorder="1"/>
    <xf numFmtId="0" fontId="10" fillId="59" borderId="89" xfId="0" applyFont="1" applyFill="1" applyBorder="1" applyAlignment="1">
      <alignment wrapText="1"/>
    </xf>
    <xf numFmtId="0" fontId="53" fillId="59" borderId="33" xfId="0" applyFont="1" applyFill="1" applyBorder="1" applyAlignment="1">
      <alignment wrapText="1"/>
    </xf>
    <xf numFmtId="4" fontId="53" fillId="59" borderId="90" xfId="0" applyNumberFormat="1" applyFont="1" applyFill="1" applyBorder="1" applyAlignment="1">
      <alignment wrapText="1"/>
    </xf>
    <xf numFmtId="0" fontId="53" fillId="59" borderId="92" xfId="0" applyFont="1" applyFill="1" applyBorder="1" applyAlignment="1">
      <alignment wrapText="1"/>
    </xf>
    <xf numFmtId="4" fontId="53" fillId="59" borderId="91" xfId="0" applyNumberFormat="1" applyFont="1" applyFill="1" applyBorder="1" applyAlignment="1">
      <alignment wrapText="1"/>
    </xf>
    <xf numFmtId="4" fontId="10" fillId="59" borderId="5" xfId="0" applyNumberFormat="1" applyFont="1" applyFill="1" applyBorder="1" applyAlignment="1">
      <alignment vertical="top" wrapText="1"/>
    </xf>
    <xf numFmtId="0" fontId="10" fillId="0" borderId="132" xfId="0" applyFont="1" applyFill="1" applyBorder="1" applyAlignment="1">
      <alignment vertical="top" wrapText="1"/>
    </xf>
    <xf numFmtId="4" fontId="10" fillId="0" borderId="0" xfId="0" applyNumberFormat="1" applyFont="1" applyFill="1" applyAlignment="1">
      <alignment wrapText="1"/>
    </xf>
    <xf numFmtId="0" fontId="10" fillId="0" borderId="97" xfId="0" applyFont="1" applyFill="1" applyBorder="1" applyAlignment="1">
      <alignment horizontal="left" vertical="top" wrapText="1" indent="2"/>
    </xf>
    <xf numFmtId="4" fontId="10" fillId="0" borderId="1" xfId="0" applyNumberFormat="1" applyFont="1" applyFill="1" applyBorder="1" applyAlignment="1">
      <alignment horizontal="right" vertical="center" wrapText="1"/>
    </xf>
    <xf numFmtId="4" fontId="10" fillId="0" borderId="4" xfId="0" applyNumberFormat="1" applyFont="1" applyFill="1" applyBorder="1" applyAlignment="1">
      <alignment horizontal="right" vertical="center" wrapText="1"/>
    </xf>
    <xf numFmtId="0" fontId="53" fillId="0" borderId="7" xfId="0" applyFont="1" applyFill="1" applyBorder="1" applyAlignment="1">
      <alignment vertical="center" wrapText="1"/>
    </xf>
    <xf numFmtId="0" fontId="53" fillId="0" borderId="2" xfId="0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right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vertical="center" wrapText="1"/>
    </xf>
    <xf numFmtId="4" fontId="53" fillId="0" borderId="4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4" fontId="53" fillId="0" borderId="1" xfId="0" applyNumberFormat="1" applyFont="1" applyFill="1" applyBorder="1" applyAlignment="1">
      <alignment vertical="center" wrapText="1"/>
    </xf>
    <xf numFmtId="4" fontId="53" fillId="0" borderId="1" xfId="0" applyNumberFormat="1" applyFont="1" applyFill="1" applyBorder="1" applyAlignment="1">
      <alignment horizontal="right" vertical="center" wrapText="1"/>
    </xf>
    <xf numFmtId="4" fontId="53" fillId="0" borderId="7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59" borderId="11" xfId="0" applyFont="1" applyFill="1" applyBorder="1" applyAlignment="1">
      <alignment vertical="center" wrapText="1"/>
    </xf>
    <xf numFmtId="0" fontId="53" fillId="59" borderId="1" xfId="0" applyFont="1" applyFill="1" applyBorder="1" applyAlignment="1">
      <alignment vertical="center" wrapText="1"/>
    </xf>
    <xf numFmtId="4" fontId="53" fillId="59" borderId="1" xfId="0" applyNumberFormat="1" applyFont="1" applyFill="1" applyBorder="1" applyAlignment="1">
      <alignment vertical="center" wrapText="1"/>
    </xf>
    <xf numFmtId="4" fontId="53" fillId="59" borderId="4" xfId="0" applyNumberFormat="1" applyFont="1" applyFill="1" applyBorder="1" applyAlignment="1">
      <alignment vertical="center" wrapText="1"/>
    </xf>
    <xf numFmtId="4" fontId="53" fillId="59" borderId="14" xfId="0" applyNumberFormat="1" applyFont="1" applyFill="1" applyBorder="1" applyAlignment="1">
      <alignment vertical="center" wrapText="1"/>
    </xf>
    <xf numFmtId="0" fontId="53" fillId="59" borderId="6" xfId="0" applyFont="1" applyFill="1" applyBorder="1" applyAlignment="1">
      <alignment vertical="center" wrapText="1"/>
    </xf>
    <xf numFmtId="0" fontId="53" fillId="59" borderId="14" xfId="0" applyFont="1" applyFill="1" applyBorder="1" applyAlignment="1">
      <alignment vertical="center" wrapText="1"/>
    </xf>
    <xf numFmtId="0" fontId="10" fillId="42" borderId="11" xfId="0" applyFont="1" applyFill="1" applyBorder="1" applyAlignment="1">
      <alignment vertical="center" wrapText="1"/>
    </xf>
    <xf numFmtId="0" fontId="53" fillId="42" borderId="1" xfId="0" applyFont="1" applyFill="1" applyBorder="1" applyAlignment="1">
      <alignment vertical="center" wrapText="1"/>
    </xf>
    <xf numFmtId="4" fontId="53" fillId="42" borderId="1" xfId="0" applyNumberFormat="1" applyFont="1" applyFill="1" applyBorder="1" applyAlignment="1">
      <alignment vertical="center" wrapText="1"/>
    </xf>
    <xf numFmtId="4" fontId="53" fillId="42" borderId="4" xfId="0" applyNumberFormat="1" applyFont="1" applyFill="1" applyBorder="1" applyAlignment="1">
      <alignment vertical="center" wrapText="1"/>
    </xf>
    <xf numFmtId="175" fontId="53" fillId="42" borderId="4" xfId="0" applyNumberFormat="1" applyFont="1" applyFill="1" applyBorder="1" applyAlignment="1">
      <alignment vertical="center" wrapText="1"/>
    </xf>
    <xf numFmtId="4" fontId="53" fillId="42" borderId="14" xfId="0" applyNumberFormat="1" applyFont="1" applyFill="1" applyBorder="1" applyAlignment="1">
      <alignment vertical="center" wrapText="1"/>
    </xf>
    <xf numFmtId="0" fontId="53" fillId="42" borderId="6" xfId="0" applyFont="1" applyFill="1" applyBorder="1" applyAlignment="1">
      <alignment vertical="center" wrapText="1"/>
    </xf>
    <xf numFmtId="0" fontId="53" fillId="42" borderId="14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4" xfId="0" applyNumberFormat="1" applyFont="1" applyFill="1" applyBorder="1" applyAlignment="1">
      <alignment vertical="center" wrapText="1"/>
    </xf>
    <xf numFmtId="4" fontId="10" fillId="0" borderId="14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4" fontId="10" fillId="0" borderId="8" xfId="0" applyNumberFormat="1" applyFont="1" applyFill="1" applyBorder="1" applyAlignment="1">
      <alignment vertical="center" wrapText="1"/>
    </xf>
    <xf numFmtId="4" fontId="10" fillId="0" borderId="157" xfId="0" applyNumberFormat="1" applyFont="1" applyFill="1" applyBorder="1" applyAlignment="1">
      <alignment vertical="center" wrapText="1"/>
    </xf>
    <xf numFmtId="0" fontId="10" fillId="67" borderId="6" xfId="0" applyFont="1" applyFill="1" applyBorder="1" applyAlignment="1">
      <alignment vertical="center" wrapText="1"/>
    </xf>
    <xf numFmtId="0" fontId="10" fillId="67" borderId="1" xfId="0" applyFont="1" applyFill="1" applyBorder="1" applyAlignment="1">
      <alignment vertical="center" wrapText="1"/>
    </xf>
    <xf numFmtId="4" fontId="10" fillId="67" borderId="1" xfId="0" applyNumberFormat="1" applyFont="1" applyFill="1" applyBorder="1" applyAlignment="1">
      <alignment vertical="center" wrapText="1"/>
    </xf>
    <xf numFmtId="4" fontId="10" fillId="67" borderId="4" xfId="0" applyNumberFormat="1" applyFont="1" applyFill="1" applyBorder="1" applyAlignment="1">
      <alignment vertical="center" wrapText="1"/>
    </xf>
    <xf numFmtId="0" fontId="10" fillId="67" borderId="14" xfId="0" applyFont="1" applyFill="1" applyBorder="1" applyAlignment="1">
      <alignment vertical="center" wrapText="1"/>
    </xf>
    <xf numFmtId="4" fontId="10" fillId="0" borderId="14" xfId="0" applyNumberFormat="1" applyFont="1" applyFill="1" applyBorder="1" applyAlignment="1">
      <alignment vertical="center" wrapText="1"/>
    </xf>
    <xf numFmtId="4" fontId="53" fillId="0" borderId="4" xfId="0" applyNumberFormat="1" applyFont="1" applyFill="1" applyBorder="1" applyAlignment="1">
      <alignment vertical="center" wrapText="1"/>
    </xf>
    <xf numFmtId="0" fontId="10" fillId="51" borderId="0" xfId="0" applyFont="1" applyFill="1" applyAlignment="1">
      <alignment vertical="center" wrapText="1"/>
    </xf>
    <xf numFmtId="4" fontId="151" fillId="0" borderId="4" xfId="0" applyNumberFormat="1" applyFont="1" applyFill="1" applyBorder="1" applyAlignment="1">
      <alignment vertical="center" wrapText="1"/>
    </xf>
    <xf numFmtId="0" fontId="10" fillId="42" borderId="1" xfId="0" applyFont="1" applyFill="1" applyBorder="1" applyAlignment="1">
      <alignment vertical="center" wrapText="1"/>
    </xf>
    <xf numFmtId="4" fontId="10" fillId="42" borderId="4" xfId="0" applyNumberFormat="1" applyFont="1" applyFill="1" applyBorder="1" applyAlignment="1">
      <alignment vertical="center" wrapText="1"/>
    </xf>
    <xf numFmtId="4" fontId="151" fillId="42" borderId="4" xfId="0" applyNumberFormat="1" applyFont="1" applyFill="1" applyBorder="1" applyAlignment="1">
      <alignment vertical="center" wrapText="1"/>
    </xf>
    <xf numFmtId="0" fontId="10" fillId="42" borderId="14" xfId="0" applyFont="1" applyFill="1" applyBorder="1" applyAlignment="1">
      <alignment vertical="center" wrapText="1"/>
    </xf>
    <xf numFmtId="0" fontId="10" fillId="59" borderId="1" xfId="0" applyFont="1" applyFill="1" applyBorder="1" applyAlignment="1">
      <alignment vertical="center" wrapText="1"/>
    </xf>
    <xf numFmtId="4" fontId="10" fillId="59" borderId="1" xfId="0" applyNumberFormat="1" applyFont="1" applyFill="1" applyBorder="1" applyAlignment="1">
      <alignment vertical="center" wrapText="1"/>
    </xf>
    <xf numFmtId="4" fontId="10" fillId="59" borderId="4" xfId="0" applyNumberFormat="1" applyFont="1" applyFill="1" applyBorder="1" applyAlignment="1">
      <alignment vertical="center" wrapText="1"/>
    </xf>
    <xf numFmtId="4" fontId="10" fillId="59" borderId="14" xfId="0" applyNumberFormat="1" applyFont="1" applyFill="1" applyBorder="1" applyAlignment="1">
      <alignment vertical="center" wrapText="1"/>
    </xf>
    <xf numFmtId="0" fontId="10" fillId="59" borderId="6" xfId="0" applyFont="1" applyFill="1" applyBorder="1" applyAlignment="1">
      <alignment vertical="center" wrapText="1"/>
    </xf>
    <xf numFmtId="0" fontId="10" fillId="59" borderId="14" xfId="0" applyFont="1" applyFill="1" applyBorder="1" applyAlignment="1">
      <alignment vertical="center" wrapText="1"/>
    </xf>
    <xf numFmtId="4" fontId="10" fillId="0" borderId="0" xfId="0" applyNumberFormat="1" applyFont="1" applyFill="1" applyAlignment="1">
      <alignment vertical="center" wrapText="1"/>
    </xf>
    <xf numFmtId="0" fontId="10" fillId="41" borderId="11" xfId="0" applyFont="1" applyFill="1" applyBorder="1" applyAlignment="1">
      <alignment vertical="center" wrapText="1"/>
    </xf>
    <xf numFmtId="0" fontId="10" fillId="41" borderId="1" xfId="0" applyFont="1" applyFill="1" applyBorder="1" applyAlignment="1">
      <alignment vertical="center" wrapText="1"/>
    </xf>
    <xf numFmtId="4" fontId="53" fillId="41" borderId="1" xfId="0" applyNumberFormat="1" applyFont="1" applyFill="1" applyBorder="1" applyAlignment="1">
      <alignment vertical="center" wrapText="1"/>
    </xf>
    <xf numFmtId="4" fontId="10" fillId="41" borderId="4" xfId="0" applyNumberFormat="1" applyFont="1" applyFill="1" applyBorder="1" applyAlignment="1">
      <alignment vertical="center" wrapText="1"/>
    </xf>
    <xf numFmtId="4" fontId="53" fillId="41" borderId="4" xfId="0" applyNumberFormat="1" applyFont="1" applyFill="1" applyBorder="1" applyAlignment="1">
      <alignment vertical="center" wrapText="1"/>
    </xf>
    <xf numFmtId="4" fontId="10" fillId="41" borderId="14" xfId="0" applyNumberFormat="1" applyFont="1" applyFill="1" applyBorder="1" applyAlignment="1">
      <alignment vertical="center" wrapText="1"/>
    </xf>
    <xf numFmtId="0" fontId="53" fillId="59" borderId="3" xfId="0" applyFont="1" applyFill="1" applyBorder="1" applyAlignment="1">
      <alignment vertical="center" wrapText="1"/>
    </xf>
    <xf numFmtId="0" fontId="53" fillId="59" borderId="17" xfId="0" applyFont="1" applyFill="1" applyBorder="1" applyAlignment="1">
      <alignment vertical="center" wrapText="1"/>
    </xf>
    <xf numFmtId="0" fontId="53" fillId="59" borderId="8" xfId="0" applyFont="1" applyFill="1" applyBorder="1" applyAlignment="1">
      <alignment vertical="center" wrapText="1"/>
    </xf>
    <xf numFmtId="176" fontId="10" fillId="0" borderId="0" xfId="0" applyNumberFormat="1" applyFont="1" applyFill="1" applyAlignment="1">
      <alignment vertical="center" wrapText="1"/>
    </xf>
    <xf numFmtId="166" fontId="10" fillId="0" borderId="0" xfId="0" applyNumberFormat="1" applyFont="1" applyFill="1" applyAlignment="1">
      <alignment vertical="center" wrapText="1"/>
    </xf>
    <xf numFmtId="175" fontId="10" fillId="0" borderId="0" xfId="0" applyNumberFormat="1" applyFont="1" applyFill="1" applyAlignment="1">
      <alignment vertical="center" wrapText="1"/>
    </xf>
    <xf numFmtId="4" fontId="151" fillId="0" borderId="0" xfId="0" applyNumberFormat="1" applyFont="1" applyFill="1" applyAlignment="1">
      <alignment vertical="center" wrapText="1"/>
    </xf>
    <xf numFmtId="166" fontId="151" fillId="0" borderId="0" xfId="0" applyNumberFormat="1" applyFont="1" applyFill="1" applyAlignment="1">
      <alignment vertical="center" wrapText="1"/>
    </xf>
    <xf numFmtId="176" fontId="151" fillId="0" borderId="0" xfId="0" applyNumberFormat="1" applyFont="1" applyFill="1" applyAlignment="1">
      <alignment vertical="center" wrapText="1"/>
    </xf>
    <xf numFmtId="0" fontId="152" fillId="0" borderId="0" xfId="0" applyFont="1" applyFill="1" applyAlignment="1">
      <alignment vertical="center" wrapText="1"/>
    </xf>
    <xf numFmtId="4" fontId="152" fillId="0" borderId="0" xfId="0" applyNumberFormat="1" applyFont="1" applyFill="1" applyAlignment="1">
      <alignment vertical="center" wrapText="1"/>
    </xf>
    <xf numFmtId="0" fontId="154" fillId="59" borderId="10" xfId="0" applyFont="1" applyFill="1" applyBorder="1" applyAlignment="1">
      <alignment vertical="center" wrapText="1"/>
    </xf>
    <xf numFmtId="0" fontId="153" fillId="59" borderId="9" xfId="0" applyFont="1" applyFill="1" applyBorder="1" applyAlignment="1">
      <alignment vertical="center" wrapText="1"/>
    </xf>
    <xf numFmtId="4" fontId="153" fillId="59" borderId="9" xfId="0" applyNumberFormat="1" applyFont="1" applyFill="1" applyBorder="1" applyAlignment="1">
      <alignment vertical="center" wrapText="1"/>
    </xf>
    <xf numFmtId="4" fontId="53" fillId="59" borderId="16" xfId="0" applyNumberFormat="1" applyFont="1" applyFill="1" applyBorder="1" applyAlignment="1">
      <alignment vertical="center" wrapText="1"/>
    </xf>
    <xf numFmtId="0" fontId="67" fillId="42" borderId="150" xfId="0" applyFont="1" applyFill="1" applyBorder="1" applyAlignment="1">
      <alignment vertical="center" wrapText="1"/>
    </xf>
    <xf numFmtId="0" fontId="10" fillId="0" borderId="151" xfId="0" applyFont="1" applyFill="1" applyBorder="1" applyAlignment="1">
      <alignment horizontal="left" vertical="center" wrapText="1"/>
    </xf>
    <xf numFmtId="0" fontId="67" fillId="0" borderId="151" xfId="0" applyFont="1" applyFill="1" applyBorder="1" applyAlignment="1">
      <alignment horizontal="left" vertical="center" wrapText="1"/>
    </xf>
    <xf numFmtId="0" fontId="10" fillId="42" borderId="151" xfId="0" applyFont="1" applyFill="1" applyBorder="1" applyAlignment="1">
      <alignment horizontal="left" vertical="center" wrapText="1"/>
    </xf>
    <xf numFmtId="0" fontId="53" fillId="59" borderId="83" xfId="0" applyFont="1" applyFill="1" applyBorder="1" applyAlignment="1">
      <alignment vertical="center" wrapText="1"/>
    </xf>
    <xf numFmtId="0" fontId="10" fillId="0" borderId="158" xfId="0" applyFont="1" applyFill="1" applyBorder="1" applyAlignment="1">
      <alignment vertical="center" wrapText="1"/>
    </xf>
    <xf numFmtId="0" fontId="53" fillId="59" borderId="151" xfId="0" applyFont="1" applyFill="1" applyBorder="1" applyAlignment="1">
      <alignment vertical="center" wrapText="1"/>
    </xf>
    <xf numFmtId="0" fontId="153" fillId="59" borderId="148" xfId="0" applyFont="1" applyFill="1" applyBorder="1" applyAlignment="1">
      <alignment vertical="center" wrapText="1"/>
    </xf>
    <xf numFmtId="0" fontId="10" fillId="0" borderId="97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53" fillId="59" borderId="108" xfId="0" applyFont="1" applyFill="1" applyBorder="1" applyAlignment="1">
      <alignment vertical="center" wrapText="1"/>
    </xf>
    <xf numFmtId="4" fontId="53" fillId="59" borderId="130" xfId="0" applyNumberFormat="1" applyFont="1" applyFill="1" applyBorder="1" applyAlignment="1">
      <alignment vertical="center" wrapText="1"/>
    </xf>
    <xf numFmtId="0" fontId="53" fillId="59" borderId="109" xfId="0" applyFont="1" applyFill="1" applyBorder="1" applyAlignment="1">
      <alignment vertical="center" wrapText="1"/>
    </xf>
    <xf numFmtId="0" fontId="10" fillId="59" borderId="92" xfId="0" applyFont="1" applyFill="1" applyBorder="1" applyAlignment="1">
      <alignment vertical="center" wrapText="1"/>
    </xf>
    <xf numFmtId="0" fontId="53" fillId="59" borderId="32" xfId="0" applyFont="1" applyFill="1" applyBorder="1" applyAlignment="1">
      <alignment vertical="center" wrapText="1"/>
    </xf>
    <xf numFmtId="4" fontId="53" fillId="59" borderId="156" xfId="0" applyNumberFormat="1" applyFont="1" applyFill="1" applyBorder="1" applyAlignment="1">
      <alignment vertical="center" wrapText="1"/>
    </xf>
    <xf numFmtId="4" fontId="10" fillId="59" borderId="156" xfId="0" applyNumberFormat="1" applyFont="1" applyFill="1" applyBorder="1" applyAlignment="1">
      <alignment vertical="center" wrapText="1"/>
    </xf>
    <xf numFmtId="4" fontId="53" fillId="59" borderId="33" xfId="0" applyNumberFormat="1" applyFont="1" applyFill="1" applyBorder="1" applyAlignment="1">
      <alignment vertical="center" wrapText="1"/>
    </xf>
    <xf numFmtId="0" fontId="53" fillId="59" borderId="155" xfId="0" applyFont="1" applyFill="1" applyBorder="1" applyAlignment="1">
      <alignment vertical="center" wrapText="1"/>
    </xf>
    <xf numFmtId="4" fontId="53" fillId="59" borderId="32" xfId="0" applyNumberFormat="1" applyFont="1" applyFill="1" applyBorder="1" applyAlignment="1">
      <alignment vertical="center" wrapText="1"/>
    </xf>
    <xf numFmtId="4" fontId="10" fillId="59" borderId="32" xfId="0" applyNumberFormat="1" applyFont="1" applyFill="1" applyBorder="1" applyAlignment="1">
      <alignment vertical="center" wrapText="1"/>
    </xf>
    <xf numFmtId="0" fontId="10" fillId="0" borderId="90" xfId="0" applyFont="1" applyFill="1" applyBorder="1" applyAlignment="1">
      <alignment vertical="center" wrapText="1"/>
    </xf>
    <xf numFmtId="0" fontId="10" fillId="0" borderId="190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vertical="center" wrapText="1"/>
    </xf>
    <xf numFmtId="4" fontId="10" fillId="0" borderId="98" xfId="0" applyNumberFormat="1" applyFont="1" applyFill="1" applyBorder="1" applyAlignment="1">
      <alignment vertical="center" wrapText="1"/>
    </xf>
    <xf numFmtId="0" fontId="10" fillId="67" borderId="17" xfId="0" applyFont="1" applyFill="1" applyBorder="1" applyAlignment="1">
      <alignment vertical="center" wrapText="1"/>
    </xf>
    <xf numFmtId="0" fontId="10" fillId="67" borderId="3" xfId="0" applyFont="1" applyFill="1" applyBorder="1" applyAlignment="1">
      <alignment vertical="center" wrapText="1"/>
    </xf>
    <xf numFmtId="4" fontId="10" fillId="67" borderId="3" xfId="0" applyNumberFormat="1" applyFont="1" applyFill="1" applyBorder="1" applyAlignment="1">
      <alignment vertical="center" wrapText="1"/>
    </xf>
    <xf numFmtId="4" fontId="10" fillId="67" borderId="8" xfId="0" applyNumberFormat="1" applyFont="1" applyFill="1" applyBorder="1" applyAlignment="1">
      <alignment vertical="center" wrapText="1"/>
    </xf>
    <xf numFmtId="0" fontId="10" fillId="67" borderId="98" xfId="0" applyFont="1" applyFill="1" applyBorder="1" applyAlignment="1">
      <alignment vertical="center" wrapText="1"/>
    </xf>
    <xf numFmtId="0" fontId="10" fillId="0" borderId="107" xfId="0" applyFont="1" applyFill="1" applyBorder="1" applyAlignment="1">
      <alignment vertical="center" wrapText="1"/>
    </xf>
    <xf numFmtId="0" fontId="10" fillId="0" borderId="108" xfId="0" applyFont="1" applyFill="1" applyBorder="1" applyAlignment="1">
      <alignment vertical="center" wrapText="1"/>
    </xf>
    <xf numFmtId="0" fontId="10" fillId="0" borderId="157" xfId="0" applyFont="1" applyFill="1" applyBorder="1" applyAlignment="1">
      <alignment vertical="center" wrapText="1"/>
    </xf>
    <xf numFmtId="0" fontId="10" fillId="0" borderId="130" xfId="0" applyFont="1" applyFill="1" applyBorder="1" applyAlignment="1">
      <alignment vertical="center" wrapText="1"/>
    </xf>
    <xf numFmtId="0" fontId="10" fillId="0" borderId="109" xfId="0" applyFont="1" applyFill="1" applyBorder="1" applyAlignment="1">
      <alignment vertical="center" wrapText="1"/>
    </xf>
    <xf numFmtId="0" fontId="53" fillId="59" borderId="33" xfId="0" applyFont="1" applyFill="1" applyBorder="1" applyAlignment="1">
      <alignment vertical="center" wrapText="1"/>
    </xf>
    <xf numFmtId="0" fontId="153" fillId="59" borderId="150" xfId="0" applyFont="1" applyFill="1" applyBorder="1" applyAlignment="1">
      <alignment vertical="center" wrapText="1"/>
    </xf>
    <xf numFmtId="0" fontId="154" fillId="59" borderId="107" xfId="0" applyFont="1" applyFill="1" applyBorder="1" applyAlignment="1">
      <alignment vertical="center" wrapText="1"/>
    </xf>
    <xf numFmtId="0" fontId="153" fillId="59" borderId="108" xfId="0" applyFont="1" applyFill="1" applyBorder="1" applyAlignment="1">
      <alignment vertical="center" wrapText="1"/>
    </xf>
    <xf numFmtId="4" fontId="153" fillId="59" borderId="108" xfId="0" applyNumberFormat="1" applyFont="1" applyFill="1" applyBorder="1" applyAlignment="1">
      <alignment vertical="center" wrapText="1"/>
    </xf>
    <xf numFmtId="0" fontId="53" fillId="59" borderId="157" xfId="0" applyFont="1" applyFill="1" applyBorder="1" applyAlignment="1">
      <alignment vertical="center" wrapText="1"/>
    </xf>
    <xf numFmtId="0" fontId="53" fillId="41" borderId="151" xfId="0" applyFont="1" applyFill="1" applyBorder="1" applyAlignment="1">
      <alignment horizontal="left" vertical="center" wrapText="1"/>
    </xf>
    <xf numFmtId="0" fontId="68" fillId="0" borderId="11" xfId="0" applyFont="1" applyFill="1" applyBorder="1" applyAlignment="1">
      <alignment vertical="center" wrapText="1"/>
    </xf>
    <xf numFmtId="9" fontId="10" fillId="0" borderId="0" xfId="123" applyFont="1" applyFill="1" applyAlignment="1">
      <alignment vertical="center" wrapText="1"/>
    </xf>
    <xf numFmtId="4" fontId="154" fillId="59" borderId="108" xfId="0" applyNumberFormat="1" applyFont="1" applyFill="1" applyBorder="1" applyAlignment="1">
      <alignment vertical="center" wrapText="1"/>
    </xf>
    <xf numFmtId="4" fontId="154" fillId="59" borderId="9" xfId="0" applyNumberFormat="1" applyFont="1" applyFill="1" applyBorder="1" applyAlignment="1">
      <alignment vertical="center" wrapText="1"/>
    </xf>
    <xf numFmtId="0" fontId="68" fillId="0" borderId="1" xfId="0" applyFont="1" applyFill="1" applyBorder="1" applyAlignment="1">
      <alignment vertical="center" wrapText="1"/>
    </xf>
    <xf numFmtId="0" fontId="104" fillId="56" borderId="13" xfId="120" applyFont="1" applyFill="1" applyBorder="1" applyAlignment="1">
      <alignment horizontal="center" vertical="center" wrapText="1"/>
    </xf>
    <xf numFmtId="0" fontId="103" fillId="0" borderId="0" xfId="120" applyFont="1" applyFill="1" applyBorder="1" applyAlignment="1">
      <alignment horizontal="center" wrapText="1"/>
    </xf>
    <xf numFmtId="1" fontId="134" fillId="56" borderId="15" xfId="0" applyNumberFormat="1" applyFont="1" applyFill="1" applyBorder="1" applyAlignment="1">
      <alignment horizontal="center" vertical="center" wrapText="1"/>
    </xf>
    <xf numFmtId="1" fontId="134" fillId="56" borderId="30" xfId="0" applyNumberFormat="1" applyFont="1" applyFill="1" applyBorder="1" applyAlignment="1">
      <alignment horizontal="center" vertical="center" wrapText="1"/>
    </xf>
    <xf numFmtId="0" fontId="77" fillId="56" borderId="13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left" wrapText="1"/>
    </xf>
    <xf numFmtId="4" fontId="129" fillId="51" borderId="11" xfId="0" applyNumberFormat="1" applyFont="1" applyFill="1" applyBorder="1" applyAlignment="1" applyProtection="1">
      <alignment horizontal="right" wrapText="1"/>
      <protection locked="0"/>
    </xf>
    <xf numFmtId="4" fontId="129" fillId="51" borderId="1" xfId="0" applyNumberFormat="1" applyFont="1" applyFill="1" applyBorder="1" applyAlignment="1" applyProtection="1">
      <alignment horizontal="right" wrapText="1"/>
      <protection locked="0"/>
    </xf>
    <xf numFmtId="187" fontId="134" fillId="56" borderId="130" xfId="0" applyNumberFormat="1" applyFont="1" applyFill="1" applyBorder="1" applyAlignment="1">
      <alignment horizontal="right" vertical="center" wrapText="1"/>
    </xf>
    <xf numFmtId="0" fontId="58" fillId="0" borderId="0" xfId="120" applyFont="1" applyAlignment="1">
      <alignment horizontal="right" wrapText="1"/>
    </xf>
    <xf numFmtId="0" fontId="58" fillId="0" borderId="0" xfId="120" applyFont="1" applyAlignment="1">
      <alignment horizontal="right" vertical="center"/>
    </xf>
    <xf numFmtId="0" fontId="58" fillId="0" borderId="0" xfId="120" applyFont="1" applyAlignment="1">
      <alignment horizontal="right"/>
    </xf>
    <xf numFmtId="4" fontId="58" fillId="0" borderId="108" xfId="120" applyNumberFormat="1" applyFont="1" applyBorder="1" applyAlignment="1" applyProtection="1">
      <alignment horizontal="left" wrapText="1"/>
      <protection locked="0"/>
    </xf>
    <xf numFmtId="4" fontId="104" fillId="6" borderId="130" xfId="120" applyNumberFormat="1" applyFont="1" applyFill="1" applyBorder="1" applyAlignment="1">
      <alignment horizontal="right" vertical="center" wrapText="1"/>
    </xf>
    <xf numFmtId="4" fontId="103" fillId="3" borderId="2" xfId="120" applyNumberFormat="1" applyFont="1" applyFill="1" applyBorder="1" applyAlignment="1">
      <alignment horizontal="center" wrapText="1"/>
    </xf>
    <xf numFmtId="4" fontId="104" fillId="3" borderId="94" xfId="120" applyNumberFormat="1" applyFont="1" applyFill="1" applyBorder="1" applyAlignment="1">
      <alignment horizontal="right" vertical="center" wrapText="1"/>
    </xf>
    <xf numFmtId="0" fontId="58" fillId="0" borderId="107" xfId="120" applyFont="1" applyBorder="1" applyAlignment="1">
      <alignment horizontal="left" wrapText="1"/>
    </xf>
    <xf numFmtId="0" fontId="103" fillId="0" borderId="108" xfId="120" applyFont="1" applyBorder="1" applyAlignment="1">
      <alignment horizontal="left" wrapText="1"/>
    </xf>
    <xf numFmtId="4" fontId="58" fillId="0" borderId="107" xfId="120" applyNumberFormat="1" applyFont="1" applyBorder="1" applyAlignment="1" applyProtection="1">
      <alignment horizontal="left" wrapText="1"/>
      <protection locked="0"/>
    </xf>
    <xf numFmtId="0" fontId="103" fillId="3" borderId="93" xfId="120" applyFont="1" applyFill="1" applyBorder="1" applyAlignment="1">
      <alignment horizontal="left" wrapText="1"/>
    </xf>
    <xf numFmtId="0" fontId="103" fillId="3" borderId="2" xfId="120" applyFont="1" applyFill="1" applyBorder="1" applyAlignment="1">
      <alignment horizontal="left" wrapText="1"/>
    </xf>
    <xf numFmtId="0" fontId="103" fillId="3" borderId="94" xfId="120" applyFont="1" applyFill="1" applyBorder="1" applyAlignment="1">
      <alignment horizontal="center" wrapText="1"/>
    </xf>
    <xf numFmtId="4" fontId="103" fillId="3" borderId="93" xfId="120" applyNumberFormat="1" applyFont="1" applyFill="1" applyBorder="1" applyAlignment="1">
      <alignment horizontal="center" wrapText="1"/>
    </xf>
    <xf numFmtId="0" fontId="58" fillId="0" borderId="92" xfId="120" applyFont="1" applyBorder="1" applyAlignment="1">
      <alignment horizontal="right" wrapText="1"/>
    </xf>
    <xf numFmtId="0" fontId="103" fillId="0" borderId="32" xfId="120" applyFont="1" applyBorder="1" applyAlignment="1">
      <alignment horizontal="right" wrapText="1"/>
    </xf>
    <xf numFmtId="0" fontId="58" fillId="60" borderId="33" xfId="120" applyFont="1" applyFill="1" applyBorder="1" applyAlignment="1">
      <alignment horizontal="right" wrapText="1"/>
    </xf>
    <xf numFmtId="4" fontId="58" fillId="0" borderId="92" xfId="120" applyNumberFormat="1" applyFont="1" applyBorder="1" applyAlignment="1" applyProtection="1">
      <alignment horizontal="right" wrapText="1"/>
      <protection locked="0"/>
    </xf>
    <xf numFmtId="4" fontId="58" fillId="0" borderId="32" xfId="120" applyNumberFormat="1" applyFont="1" applyBorder="1" applyAlignment="1" applyProtection="1">
      <alignment horizontal="right" wrapText="1"/>
      <protection locked="0"/>
    </xf>
    <xf numFmtId="4" fontId="104" fillId="6" borderId="33" xfId="120" applyNumberFormat="1" applyFont="1" applyFill="1" applyBorder="1" applyAlignment="1">
      <alignment horizontal="right" vertical="center" wrapText="1"/>
    </xf>
    <xf numFmtId="4" fontId="104" fillId="3" borderId="156" xfId="120" applyNumberFormat="1" applyFont="1" applyFill="1" applyBorder="1" applyAlignment="1">
      <alignment horizontal="right" vertical="center" wrapText="1"/>
    </xf>
    <xf numFmtId="4" fontId="104" fillId="56" borderId="7" xfId="120" applyNumberFormat="1" applyFont="1" applyFill="1" applyBorder="1" applyAlignment="1">
      <alignment horizontal="right" vertical="center" wrapText="1"/>
    </xf>
    <xf numFmtId="4" fontId="104" fillId="56" borderId="8" xfId="120" applyNumberFormat="1" applyFont="1" applyFill="1" applyBorder="1" applyAlignment="1">
      <alignment horizontal="right" vertical="center" wrapText="1"/>
    </xf>
    <xf numFmtId="4" fontId="104" fillId="5" borderId="156" xfId="120" applyNumberFormat="1" applyFont="1" applyFill="1" applyBorder="1" applyAlignment="1">
      <alignment horizontal="right" vertical="center" wrapText="1"/>
    </xf>
    <xf numFmtId="4" fontId="104" fillId="56" borderId="156" xfId="120" applyNumberFormat="1" applyFont="1" applyFill="1" applyBorder="1" applyAlignment="1">
      <alignment horizontal="right" vertical="center" wrapText="1"/>
    </xf>
    <xf numFmtId="4" fontId="104" fillId="34" borderId="156" xfId="120" applyNumberFormat="1" applyFont="1" applyFill="1" applyBorder="1" applyAlignment="1">
      <alignment horizontal="right" vertical="center" wrapText="1"/>
    </xf>
    <xf numFmtId="4" fontId="104" fillId="56" borderId="157" xfId="120" applyNumberFormat="1" applyFont="1" applyFill="1" applyBorder="1" applyAlignment="1">
      <alignment horizontal="right" vertical="center" wrapText="1"/>
    </xf>
    <xf numFmtId="4" fontId="104" fillId="56" borderId="114" xfId="120" applyNumberFormat="1" applyFont="1" applyFill="1" applyBorder="1" applyAlignment="1">
      <alignment horizontal="right" vertical="center" wrapText="1"/>
    </xf>
    <xf numFmtId="4" fontId="104" fillId="6" borderId="157" xfId="120" applyNumberFormat="1" applyFont="1" applyFill="1" applyBorder="1" applyAlignment="1">
      <alignment horizontal="right" vertical="center" wrapText="1"/>
    </xf>
    <xf numFmtId="4" fontId="104" fillId="6" borderId="156" xfId="120" applyNumberFormat="1" applyFont="1" applyFill="1" applyBorder="1" applyAlignment="1">
      <alignment horizontal="right" vertical="center" wrapText="1"/>
    </xf>
    <xf numFmtId="4" fontId="58" fillId="0" borderId="0" xfId="120" applyNumberFormat="1" applyFont="1" applyBorder="1" applyAlignment="1">
      <alignment horizontal="left" wrapText="1"/>
    </xf>
    <xf numFmtId="4" fontId="58" fillId="58" borderId="6" xfId="120" applyNumberFormat="1" applyFont="1" applyFill="1" applyBorder="1" applyAlignment="1">
      <alignment horizontal="right" wrapText="1"/>
    </xf>
    <xf numFmtId="4" fontId="58" fillId="58" borderId="17" xfId="120" applyNumberFormat="1" applyFont="1" applyFill="1" applyBorder="1" applyAlignment="1">
      <alignment horizontal="right" wrapText="1"/>
    </xf>
    <xf numFmtId="4" fontId="58" fillId="5" borderId="155" xfId="120" applyNumberFormat="1" applyFont="1" applyFill="1" applyBorder="1" applyAlignment="1">
      <alignment horizontal="right" wrapText="1"/>
    </xf>
    <xf numFmtId="4" fontId="58" fillId="60" borderId="6" xfId="120" applyNumberFormat="1" applyFont="1" applyFill="1" applyBorder="1" applyAlignment="1" applyProtection="1">
      <alignment horizontal="right" wrapText="1"/>
      <protection locked="0"/>
    </xf>
    <xf numFmtId="4" fontId="58" fillId="34" borderId="155" xfId="120" applyNumberFormat="1" applyFont="1" applyFill="1" applyBorder="1" applyAlignment="1">
      <alignment horizontal="right" wrapText="1"/>
    </xf>
    <xf numFmtId="4" fontId="58" fillId="60" borderId="109" xfId="120" applyNumberFormat="1" applyFont="1" applyFill="1" applyBorder="1" applyAlignment="1" applyProtection="1">
      <alignment horizontal="right" wrapText="1"/>
      <protection locked="0"/>
    </xf>
    <xf numFmtId="4" fontId="58" fillId="58" borderId="138" xfId="120" applyNumberFormat="1" applyFont="1" applyFill="1" applyBorder="1" applyAlignment="1">
      <alignment horizontal="right" wrapText="1"/>
    </xf>
    <xf numFmtId="4" fontId="58" fillId="38" borderId="17" xfId="120" applyNumberFormat="1" applyFont="1" applyFill="1" applyBorder="1" applyAlignment="1">
      <alignment horizontal="right" wrapText="1"/>
    </xf>
    <xf numFmtId="4" fontId="58" fillId="60" borderId="104" xfId="120" applyNumberFormat="1" applyFont="1" applyFill="1" applyBorder="1" applyAlignment="1" applyProtection="1">
      <alignment horizontal="right" wrapText="1"/>
      <protection locked="0"/>
    </xf>
    <xf numFmtId="4" fontId="58" fillId="60" borderId="34" xfId="120" applyNumberFormat="1" applyFont="1" applyFill="1" applyBorder="1" applyAlignment="1" applyProtection="1">
      <alignment horizontal="right" wrapText="1"/>
      <protection locked="0"/>
    </xf>
    <xf numFmtId="4" fontId="58" fillId="58" borderId="104" xfId="120" applyNumberFormat="1" applyFont="1" applyFill="1" applyBorder="1" applyAlignment="1">
      <alignment horizontal="right" wrapText="1"/>
    </xf>
    <xf numFmtId="4" fontId="58" fillId="60" borderId="138" xfId="120" applyNumberFormat="1" applyFont="1" applyFill="1" applyBorder="1" applyAlignment="1" applyProtection="1">
      <alignment horizontal="right" wrapText="1"/>
      <protection locked="0"/>
    </xf>
    <xf numFmtId="4" fontId="58" fillId="34" borderId="155" xfId="120" applyNumberFormat="1" applyFont="1" applyFill="1" applyBorder="1" applyAlignment="1" applyProtection="1">
      <alignment horizontal="right" wrapText="1"/>
      <protection locked="0"/>
    </xf>
    <xf numFmtId="4" fontId="58" fillId="0" borderId="109" xfId="120" applyNumberFormat="1" applyFont="1" applyBorder="1" applyAlignment="1" applyProtection="1">
      <alignment horizontal="left" wrapText="1"/>
      <protection locked="0"/>
    </xf>
    <xf numFmtId="4" fontId="58" fillId="0" borderId="155" xfId="120" applyNumberFormat="1" applyFont="1" applyBorder="1" applyAlignment="1" applyProtection="1">
      <alignment horizontal="right" wrapText="1"/>
      <protection locked="0"/>
    </xf>
    <xf numFmtId="4" fontId="134" fillId="56" borderId="133" xfId="0" applyNumberFormat="1" applyFont="1" applyFill="1" applyBorder="1" applyAlignment="1">
      <alignment horizontal="right" vertical="center" wrapText="1"/>
    </xf>
    <xf numFmtId="4" fontId="134" fillId="56" borderId="5" xfId="0" applyNumberFormat="1" applyFont="1" applyFill="1" applyBorder="1" applyAlignment="1">
      <alignment horizontal="right" vertical="center" wrapText="1"/>
    </xf>
    <xf numFmtId="4" fontId="129" fillId="0" borderId="132" xfId="0" applyNumberFormat="1" applyFont="1" applyFill="1" applyBorder="1" applyAlignment="1">
      <alignment horizontal="right" wrapText="1"/>
    </xf>
    <xf numFmtId="4" fontId="129" fillId="0" borderId="1" xfId="0" applyNumberFormat="1" applyFont="1" applyFill="1" applyBorder="1" applyAlignment="1">
      <alignment horizontal="right" wrapText="1"/>
    </xf>
    <xf numFmtId="4" fontId="129" fillId="59" borderId="132" xfId="0" applyNumberFormat="1" applyFont="1" applyFill="1" applyBorder="1" applyAlignment="1">
      <alignment horizontal="right" wrapText="1"/>
    </xf>
    <xf numFmtId="4" fontId="129" fillId="59" borderId="1" xfId="0" applyNumberFormat="1" applyFont="1" applyFill="1" applyBorder="1" applyAlignment="1">
      <alignment horizontal="right" wrapText="1"/>
    </xf>
    <xf numFmtId="4" fontId="129" fillId="0" borderId="171" xfId="0" applyNumberFormat="1" applyFont="1" applyFill="1" applyBorder="1" applyAlignment="1">
      <alignment horizontal="right" wrapText="1"/>
    </xf>
    <xf numFmtId="4" fontId="129" fillId="0" borderId="3" xfId="0" applyNumberFormat="1" applyFont="1" applyFill="1" applyBorder="1" applyAlignment="1">
      <alignment horizontal="right" wrapText="1"/>
    </xf>
    <xf numFmtId="4" fontId="129" fillId="58" borderId="191" xfId="0" applyNumberFormat="1" applyFont="1" applyFill="1" applyBorder="1" applyAlignment="1">
      <alignment horizontal="right" wrapText="1"/>
    </xf>
    <xf numFmtId="4" fontId="129" fillId="59" borderId="4" xfId="0" applyNumberFormat="1" applyFont="1" applyFill="1" applyBorder="1" applyAlignment="1">
      <alignment horizontal="right" wrapText="1"/>
    </xf>
    <xf numFmtId="0" fontId="155" fillId="0" borderId="0" xfId="0" applyFont="1" applyAlignment="1">
      <alignment horizontal="left" wrapText="1"/>
    </xf>
    <xf numFmtId="0" fontId="155" fillId="0" borderId="0" xfId="0" applyFont="1"/>
    <xf numFmtId="4" fontId="155" fillId="0" borderId="0" xfId="0" applyNumberFormat="1" applyFont="1"/>
    <xf numFmtId="4" fontId="129" fillId="4" borderId="11" xfId="0" applyNumberFormat="1" applyFont="1" applyFill="1" applyBorder="1" applyAlignment="1" applyProtection="1">
      <alignment horizontal="right" wrapText="1"/>
      <protection locked="0"/>
    </xf>
    <xf numFmtId="4" fontId="129" fillId="4" borderId="6" xfId="0" applyNumberFormat="1" applyFont="1" applyFill="1" applyBorder="1" applyAlignment="1" applyProtection="1">
      <alignment horizontal="right" wrapText="1"/>
      <protection locked="0"/>
    </xf>
    <xf numFmtId="4" fontId="136" fillId="3" borderId="32" xfId="0" applyNumberFormat="1" applyFont="1" applyFill="1" applyBorder="1" applyAlignment="1">
      <alignment horizontal="right" wrapText="1"/>
    </xf>
    <xf numFmtId="4" fontId="145" fillId="0" borderId="0" xfId="123" applyNumberFormat="1" applyFont="1" applyAlignment="1">
      <alignment horizontal="right" wrapText="1"/>
    </xf>
    <xf numFmtId="0" fontId="7" fillId="0" borderId="0" xfId="0" applyFont="1" applyFill="1"/>
    <xf numFmtId="0" fontId="155" fillId="0" borderId="0" xfId="0" applyFont="1" applyFill="1"/>
    <xf numFmtId="4" fontId="131" fillId="0" borderId="139" xfId="0" applyNumberFormat="1" applyFont="1" applyBorder="1" applyAlignment="1">
      <alignment horizontal="center" wrapText="1"/>
    </xf>
    <xf numFmtId="0" fontId="131" fillId="0" borderId="139" xfId="0" applyFont="1" applyBorder="1" applyAlignment="1">
      <alignment horizontal="center" wrapText="1"/>
    </xf>
    <xf numFmtId="0" fontId="135" fillId="56" borderId="135" xfId="0" applyFont="1" applyFill="1" applyBorder="1" applyAlignment="1">
      <alignment horizontal="center" vertical="center" wrapText="1"/>
    </xf>
    <xf numFmtId="0" fontId="135" fillId="56" borderId="13" xfId="0" applyFont="1" applyFill="1" applyBorder="1" applyAlignment="1">
      <alignment horizontal="center" vertical="center" wrapText="1"/>
    </xf>
    <xf numFmtId="0" fontId="135" fillId="56" borderId="134" xfId="0" applyFont="1" applyFill="1" applyBorder="1" applyAlignment="1">
      <alignment horizontal="center" vertical="center" wrapText="1"/>
    </xf>
    <xf numFmtId="0" fontId="135" fillId="56" borderId="102" xfId="0" applyFont="1" applyFill="1" applyBorder="1" applyAlignment="1">
      <alignment horizontal="center" vertical="center" wrapText="1"/>
    </xf>
    <xf numFmtId="1" fontId="135" fillId="56" borderId="134" xfId="0" applyNumberFormat="1" applyFont="1" applyFill="1" applyBorder="1" applyAlignment="1">
      <alignment horizontal="center" vertical="center" wrapText="1"/>
    </xf>
    <xf numFmtId="1" fontId="135" fillId="56" borderId="135" xfId="0" applyNumberFormat="1" applyFont="1" applyFill="1" applyBorder="1" applyAlignment="1">
      <alignment horizontal="center" vertical="center" wrapText="1"/>
    </xf>
    <xf numFmtId="0" fontId="132" fillId="57" borderId="107" xfId="0" applyFont="1" applyFill="1" applyBorder="1" applyAlignment="1">
      <alignment horizontal="center" vertical="center" wrapText="1"/>
    </xf>
    <xf numFmtId="0" fontId="133" fillId="57" borderId="108" xfId="0" applyFont="1" applyFill="1" applyBorder="1" applyAlignment="1">
      <alignment horizontal="left" vertical="center" wrapText="1"/>
    </xf>
    <xf numFmtId="0" fontId="134" fillId="57" borderId="130" xfId="0" applyFont="1" applyFill="1" applyBorder="1" applyAlignment="1">
      <alignment horizontal="center" vertical="center" wrapText="1"/>
    </xf>
    <xf numFmtId="1" fontId="129" fillId="0" borderId="95" xfId="0" applyNumberFormat="1" applyFont="1" applyBorder="1" applyAlignment="1">
      <alignment horizontal="left" wrapText="1"/>
    </xf>
    <xf numFmtId="1" fontId="129" fillId="0" borderId="0" xfId="0" applyNumberFormat="1" applyFont="1" applyBorder="1" applyAlignment="1">
      <alignment horizontal="left" wrapText="1"/>
    </xf>
    <xf numFmtId="4" fontId="136" fillId="3" borderId="89" xfId="0" applyNumberFormat="1" applyFont="1" applyFill="1" applyBorder="1" applyAlignment="1">
      <alignment horizontal="right" wrapText="1"/>
    </xf>
    <xf numFmtId="2" fontId="108" fillId="0" borderId="0" xfId="0" applyNumberFormat="1" applyFont="1" applyAlignment="1">
      <alignment horizontal="left" wrapText="1"/>
    </xf>
    <xf numFmtId="4" fontId="129" fillId="5" borderId="89" xfId="0" applyNumberFormat="1" applyFont="1" applyFill="1" applyBorder="1" applyAlignment="1">
      <alignment horizontal="right" wrapText="1"/>
    </xf>
    <xf numFmtId="4" fontId="129" fillId="5" borderId="156" xfId="0" applyNumberFormat="1" applyFont="1" applyFill="1" applyBorder="1" applyAlignment="1">
      <alignment horizontal="right" wrapText="1"/>
    </xf>
    <xf numFmtId="4" fontId="134" fillId="56" borderId="83" xfId="0" applyNumberFormat="1" applyFont="1" applyFill="1" applyBorder="1" applyAlignment="1">
      <alignment horizontal="right" vertical="center" wrapText="1"/>
    </xf>
    <xf numFmtId="4" fontId="129" fillId="60" borderId="170" xfId="0" applyNumberFormat="1" applyFont="1" applyFill="1" applyBorder="1" applyAlignment="1" applyProtection="1">
      <alignment horizontal="right" wrapText="1"/>
      <protection locked="0"/>
    </xf>
    <xf numFmtId="4" fontId="129" fillId="60" borderId="30" xfId="0" applyNumberFormat="1" applyFont="1" applyFill="1" applyBorder="1" applyAlignment="1" applyProtection="1">
      <alignment horizontal="right" wrapText="1"/>
      <protection locked="0"/>
    </xf>
    <xf numFmtId="4" fontId="129" fillId="0" borderId="137" xfId="0" applyNumberFormat="1" applyFont="1" applyFill="1" applyBorder="1" applyAlignment="1">
      <alignment horizontal="right" wrapText="1"/>
    </xf>
    <xf numFmtId="4" fontId="129" fillId="0" borderId="30" xfId="0" applyNumberFormat="1" applyFont="1" applyFill="1" applyBorder="1" applyAlignment="1">
      <alignment horizontal="right" wrapText="1"/>
    </xf>
    <xf numFmtId="4" fontId="129" fillId="0" borderId="170" xfId="0" applyNumberFormat="1" applyFont="1" applyFill="1" applyBorder="1" applyAlignment="1">
      <alignment horizontal="right" wrapText="1"/>
    </xf>
    <xf numFmtId="4" fontId="129" fillId="0" borderId="2" xfId="0" applyNumberFormat="1" applyFont="1" applyFill="1" applyBorder="1" applyAlignment="1">
      <alignment horizontal="right" wrapText="1"/>
    </xf>
    <xf numFmtId="4" fontId="134" fillId="5" borderId="98" xfId="0" applyNumberFormat="1" applyFont="1" applyFill="1" applyBorder="1" applyAlignment="1">
      <alignment horizontal="right" vertical="center" wrapText="1"/>
    </xf>
    <xf numFmtId="4" fontId="138" fillId="52" borderId="192" xfId="0" applyNumberFormat="1" applyFont="1" applyFill="1" applyBorder="1" applyAlignment="1">
      <alignment horizontal="right" vertical="center" wrapText="1"/>
    </xf>
    <xf numFmtId="4" fontId="136" fillId="5" borderId="89" xfId="0" applyNumberFormat="1" applyFont="1" applyFill="1" applyBorder="1" applyAlignment="1">
      <alignment horizontal="right" wrapText="1"/>
    </xf>
    <xf numFmtId="4" fontId="136" fillId="5" borderId="32" xfId="0" applyNumberFormat="1" applyFont="1" applyFill="1" applyBorder="1" applyAlignment="1">
      <alignment horizontal="right" wrapText="1"/>
    </xf>
    <xf numFmtId="4" fontId="137" fillId="4" borderId="132" xfId="0" applyNumberFormat="1" applyFont="1" applyFill="1" applyBorder="1" applyAlignment="1">
      <alignment horizontal="right" vertical="center" wrapText="1"/>
    </xf>
    <xf numFmtId="4" fontId="129" fillId="60" borderId="1" xfId="0" applyNumberFormat="1" applyFont="1" applyFill="1" applyBorder="1" applyAlignment="1" applyProtection="1">
      <alignment horizontal="right" vertical="center" wrapText="1"/>
      <protection locked="0"/>
    </xf>
    <xf numFmtId="4" fontId="129" fillId="60" borderId="11" xfId="0" applyNumberFormat="1" applyFont="1" applyFill="1" applyBorder="1" applyAlignment="1" applyProtection="1">
      <alignment horizontal="right" vertical="center" wrapText="1"/>
      <protection locked="0"/>
    </xf>
    <xf numFmtId="4" fontId="129" fillId="0" borderId="171" xfId="0" applyNumberFormat="1" applyFont="1" applyFill="1" applyBorder="1" applyAlignment="1">
      <alignment horizontal="right" vertical="center" wrapText="1"/>
    </xf>
    <xf numFmtId="4" fontId="129" fillId="0" borderId="3" xfId="0" applyNumberFormat="1" applyFont="1" applyFill="1" applyBorder="1" applyAlignment="1">
      <alignment horizontal="right" vertical="center" wrapText="1"/>
    </xf>
    <xf numFmtId="4" fontId="137" fillId="73" borderId="193" xfId="0" applyNumberFormat="1" applyFont="1" applyFill="1" applyBorder="1" applyAlignment="1">
      <alignment horizontal="right" vertical="center" wrapText="1"/>
    </xf>
    <xf numFmtId="4" fontId="137" fillId="73" borderId="1" xfId="0" applyNumberFormat="1" applyFont="1" applyFill="1" applyBorder="1" applyAlignment="1">
      <alignment horizontal="right" vertical="center" wrapText="1"/>
    </xf>
    <xf numFmtId="4" fontId="137" fillId="69" borderId="194" xfId="0" applyNumberFormat="1" applyFont="1" applyFill="1" applyBorder="1" applyAlignment="1">
      <alignment horizontal="right" vertical="center" wrapText="1"/>
    </xf>
    <xf numFmtId="4" fontId="137" fillId="69" borderId="166" xfId="0" applyNumberFormat="1" applyFont="1" applyFill="1" applyBorder="1" applyAlignment="1">
      <alignment horizontal="right" vertical="center" wrapText="1"/>
    </xf>
    <xf numFmtId="4" fontId="137" fillId="0" borderId="193" xfId="0" applyNumberFormat="1" applyFont="1" applyFill="1" applyBorder="1" applyAlignment="1">
      <alignment horizontal="right" vertical="center" wrapText="1"/>
    </xf>
    <xf numFmtId="4" fontId="137" fillId="0" borderId="167" xfId="0" applyNumberFormat="1" applyFont="1" applyFill="1" applyBorder="1" applyAlignment="1">
      <alignment horizontal="right" vertical="center" wrapText="1"/>
    </xf>
    <xf numFmtId="4" fontId="137" fillId="73" borderId="195" xfId="0" applyNumberFormat="1" applyFont="1" applyFill="1" applyBorder="1" applyAlignment="1">
      <alignment horizontal="right" vertical="center" wrapText="1"/>
    </xf>
    <xf numFmtId="4" fontId="129" fillId="58" borderId="132" xfId="0" applyNumberFormat="1" applyFont="1" applyFill="1" applyBorder="1" applyAlignment="1">
      <alignment horizontal="right" vertical="center" wrapText="1"/>
    </xf>
    <xf numFmtId="4" fontId="129" fillId="58" borderId="1" xfId="0" applyNumberFormat="1" applyFont="1" applyFill="1" applyBorder="1" applyAlignment="1">
      <alignment horizontal="right" vertical="center" wrapText="1"/>
    </xf>
    <xf numFmtId="4" fontId="129" fillId="59" borderId="132" xfId="0" applyNumberFormat="1" applyFont="1" applyFill="1" applyBorder="1" applyAlignment="1">
      <alignment horizontal="right" vertical="center" wrapText="1"/>
    </xf>
    <xf numFmtId="4" fontId="129" fillId="59" borderId="1" xfId="0" applyNumberFormat="1" applyFont="1" applyFill="1" applyBorder="1" applyAlignment="1">
      <alignment horizontal="right" vertical="center" wrapText="1"/>
    </xf>
    <xf numFmtId="4" fontId="136" fillId="34" borderId="89" xfId="0" applyNumberFormat="1" applyFont="1" applyFill="1" applyBorder="1" applyAlignment="1">
      <alignment horizontal="right" wrapText="1"/>
    </xf>
    <xf numFmtId="4" fontId="134" fillId="34" borderId="98" xfId="0" applyNumberFormat="1" applyFont="1" applyFill="1" applyBorder="1" applyAlignment="1">
      <alignment horizontal="right" vertical="center" wrapText="1"/>
    </xf>
    <xf numFmtId="4" fontId="131" fillId="34" borderId="89" xfId="0" applyNumberFormat="1" applyFont="1" applyFill="1" applyBorder="1" applyAlignment="1">
      <alignment horizontal="right" wrapText="1"/>
    </xf>
    <xf numFmtId="4" fontId="131" fillId="34" borderId="32" xfId="0" applyNumberFormat="1" applyFont="1" applyFill="1" applyBorder="1" applyAlignment="1">
      <alignment horizontal="right" wrapText="1"/>
    </xf>
    <xf numFmtId="4" fontId="129" fillId="51" borderId="1" xfId="0" applyNumberFormat="1" applyFont="1" applyFill="1" applyBorder="1" applyAlignment="1">
      <alignment horizontal="right" wrapText="1"/>
    </xf>
    <xf numFmtId="166" fontId="108" fillId="0" borderId="0" xfId="0" applyNumberFormat="1" applyFont="1" applyAlignment="1">
      <alignment horizontal="left" wrapText="1"/>
    </xf>
    <xf numFmtId="4" fontId="129" fillId="51" borderId="171" xfId="0" applyNumberFormat="1" applyFont="1" applyFill="1" applyBorder="1" applyAlignment="1">
      <alignment horizontal="right" wrapText="1"/>
    </xf>
    <xf numFmtId="4" fontId="129" fillId="51" borderId="3" xfId="0" applyNumberFormat="1" applyFont="1" applyFill="1" applyBorder="1" applyAlignment="1">
      <alignment horizontal="right" wrapText="1"/>
    </xf>
    <xf numFmtId="4" fontId="131" fillId="3" borderId="11" xfId="0" applyNumberFormat="1" applyFont="1" applyFill="1" applyBorder="1" applyAlignment="1">
      <alignment horizontal="center" vertical="center" wrapText="1"/>
    </xf>
    <xf numFmtId="4" fontId="131" fillId="3" borderId="1" xfId="0" applyNumberFormat="1" applyFont="1" applyFill="1" applyBorder="1" applyAlignment="1">
      <alignment horizontal="center" vertical="center" wrapText="1"/>
    </xf>
    <xf numFmtId="4" fontId="124" fillId="3" borderId="14" xfId="0" applyNumberFormat="1" applyFont="1" applyFill="1" applyBorder="1" applyAlignment="1">
      <alignment horizontal="center" vertical="center" wrapText="1"/>
    </xf>
    <xf numFmtId="4" fontId="131" fillId="3" borderId="14" xfId="0" applyNumberFormat="1" applyFont="1" applyFill="1" applyBorder="1" applyAlignment="1">
      <alignment horizontal="center" vertical="center" wrapText="1"/>
    </xf>
    <xf numFmtId="4" fontId="131" fillId="3" borderId="103" xfId="0" applyNumberFormat="1" applyFont="1" applyFill="1" applyBorder="1" applyAlignment="1">
      <alignment horizontal="left" wrapText="1"/>
    </xf>
    <xf numFmtId="0" fontId="122" fillId="0" borderId="0" xfId="52" applyFont="1" applyFill="1" applyAlignment="1">
      <alignment horizontal="left" wrapText="1"/>
    </xf>
    <xf numFmtId="0" fontId="122" fillId="0" borderId="0" xfId="52" applyFont="1" applyFill="1" applyAlignment="1">
      <alignment horizontal="center" wrapText="1"/>
    </xf>
    <xf numFmtId="0" fontId="145" fillId="0" borderId="0" xfId="52" applyFont="1" applyFill="1" applyAlignment="1">
      <alignment horizontal="left" wrapText="1"/>
    </xf>
    <xf numFmtId="10" fontId="145" fillId="0" borderId="0" xfId="123" applyNumberFormat="1" applyFont="1" applyFill="1" applyAlignment="1">
      <alignment horizontal="left" wrapText="1"/>
    </xf>
    <xf numFmtId="2" fontId="145" fillId="0" borderId="0" xfId="52" applyNumberFormat="1" applyFont="1" applyFill="1" applyAlignment="1">
      <alignment horizontal="left" wrapText="1"/>
    </xf>
    <xf numFmtId="0" fontId="8" fillId="0" borderId="0" xfId="52"/>
    <xf numFmtId="0" fontId="157" fillId="0" borderId="12" xfId="0" applyFont="1" applyBorder="1" applyAlignment="1">
      <alignment horizontal="right"/>
    </xf>
    <xf numFmtId="0" fontId="158" fillId="0" borderId="0" xfId="0" applyFont="1"/>
    <xf numFmtId="0" fontId="158" fillId="0" borderId="12" xfId="0" applyFont="1" applyBorder="1" applyAlignment="1">
      <alignment vertical="center"/>
    </xf>
    <xf numFmtId="0" fontId="158" fillId="0" borderId="12" xfId="0" applyFont="1" applyBorder="1" applyAlignment="1"/>
    <xf numFmtId="0" fontId="158" fillId="0" borderId="0" xfId="0" applyFont="1" applyBorder="1"/>
    <xf numFmtId="0" fontId="157" fillId="0" borderId="12" xfId="0" applyFont="1" applyBorder="1" applyAlignment="1">
      <alignment horizontal="left"/>
    </xf>
    <xf numFmtId="10" fontId="159" fillId="0" borderId="0" xfId="123" applyNumberFormat="1" applyFont="1" applyFill="1" applyBorder="1" applyAlignment="1">
      <alignment horizontal="right" vertical="center" wrapText="1"/>
    </xf>
    <xf numFmtId="4" fontId="159" fillId="0" borderId="0" xfId="0" applyNumberFormat="1" applyFont="1" applyFill="1" applyBorder="1" applyAlignment="1">
      <alignment horizontal="right" vertical="center" wrapText="1"/>
    </xf>
    <xf numFmtId="0" fontId="158" fillId="0" borderId="0" xfId="0" applyFont="1" applyAlignment="1">
      <alignment horizontal="center" vertical="top"/>
    </xf>
    <xf numFmtId="0" fontId="158" fillId="0" borderId="0" xfId="0" applyFont="1" applyAlignment="1">
      <alignment vertical="top"/>
    </xf>
    <xf numFmtId="0" fontId="15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58" fillId="0" borderId="0" xfId="0" applyFont="1" applyAlignment="1">
      <alignment horizontal="left" vertical="center" wrapText="1"/>
    </xf>
    <xf numFmtId="0" fontId="158" fillId="0" borderId="0" xfId="0" applyFont="1" applyAlignment="1">
      <alignment vertical="center"/>
    </xf>
    <xf numFmtId="0" fontId="160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137" fillId="0" borderId="0" xfId="0" applyFont="1" applyBorder="1" applyAlignment="1">
      <alignment horizontal="left"/>
    </xf>
    <xf numFmtId="0" fontId="157" fillId="0" borderId="0" xfId="0" applyFont="1" applyBorder="1" applyAlignment="1">
      <alignment horizontal="right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" fontId="160" fillId="0" borderId="0" xfId="0" applyNumberFormat="1" applyFont="1" applyFill="1" applyAlignment="1">
      <alignment horizontal="left" wrapText="1"/>
    </xf>
    <xf numFmtId="4" fontId="129" fillId="0" borderId="0" xfId="0" applyNumberFormat="1" applyFont="1" applyAlignment="1">
      <alignment horizontal="left" vertical="center" wrapText="1"/>
    </xf>
    <xf numFmtId="2" fontId="160" fillId="0" borderId="0" xfId="0" applyNumberFormat="1" applyFont="1" applyFill="1" applyAlignment="1">
      <alignment horizontal="center" wrapText="1"/>
    </xf>
    <xf numFmtId="4" fontId="161" fillId="0" borderId="0" xfId="0" applyNumberFormat="1" applyFont="1" applyFill="1" applyBorder="1" applyAlignment="1">
      <alignment horizontal="right" vertical="center" wrapText="1"/>
    </xf>
    <xf numFmtId="0" fontId="160" fillId="0" borderId="0" xfId="0" applyFont="1" applyAlignment="1">
      <alignment horizontal="left" wrapText="1"/>
    </xf>
    <xf numFmtId="2" fontId="160" fillId="0" borderId="0" xfId="0" applyNumberFormat="1" applyFont="1" applyAlignment="1">
      <alignment horizontal="left" wrapText="1"/>
    </xf>
    <xf numFmtId="182" fontId="7" fillId="0" borderId="0" xfId="0" applyNumberFormat="1" applyFont="1" applyAlignment="1">
      <alignment horizontal="left" wrapText="1"/>
    </xf>
    <xf numFmtId="182" fontId="0" fillId="0" borderId="0" xfId="0" applyNumberForma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4" fontId="7" fillId="0" borderId="0" xfId="0" applyNumberFormat="1" applyFont="1" applyFill="1" applyAlignment="1">
      <alignment horizontal="left" wrapText="1"/>
    </xf>
    <xf numFmtId="4" fontId="138" fillId="4" borderId="1" xfId="0" applyNumberFormat="1" applyFont="1" applyFill="1" applyBorder="1" applyAlignment="1">
      <alignment horizontal="right" vertical="center" wrapText="1"/>
    </xf>
    <xf numFmtId="4" fontId="108" fillId="38" borderId="0" xfId="0" applyNumberFormat="1" applyFont="1" applyFill="1" applyAlignment="1">
      <alignment horizontal="left" wrapText="1"/>
    </xf>
    <xf numFmtId="0" fontId="7" fillId="38" borderId="0" xfId="0" applyFont="1" applyFill="1" applyAlignment="1">
      <alignment horizontal="left" wrapText="1"/>
    </xf>
    <xf numFmtId="4" fontId="7" fillId="38" borderId="0" xfId="0" applyNumberFormat="1" applyFont="1" applyFill="1" applyAlignment="1">
      <alignment horizontal="left" wrapText="1"/>
    </xf>
    <xf numFmtId="0" fontId="108" fillId="38" borderId="0" xfId="0" applyFont="1" applyFill="1" applyAlignment="1">
      <alignment horizontal="left" wrapText="1"/>
    </xf>
    <xf numFmtId="4" fontId="137" fillId="0" borderId="196" xfId="0" applyNumberFormat="1" applyFont="1" applyFill="1" applyBorder="1" applyAlignment="1">
      <alignment horizontal="right" vertical="center" wrapText="1"/>
    </xf>
    <xf numFmtId="4" fontId="137" fillId="38" borderId="167" xfId="0" applyNumberFormat="1" applyFont="1" applyFill="1" applyBorder="1" applyAlignment="1">
      <alignment horizontal="right" vertical="center" wrapText="1"/>
    </xf>
    <xf numFmtId="4" fontId="137" fillId="38" borderId="162" xfId="0" applyNumberFormat="1" applyFont="1" applyFill="1" applyBorder="1" applyAlignment="1">
      <alignment horizontal="right" vertical="center" wrapText="1"/>
    </xf>
    <xf numFmtId="4" fontId="129" fillId="4" borderId="132" xfId="0" applyNumberFormat="1" applyFont="1" applyFill="1" applyBorder="1" applyAlignment="1">
      <alignment horizontal="right" wrapText="1"/>
    </xf>
    <xf numFmtId="4" fontId="129" fillId="4" borderId="1" xfId="0" applyNumberFormat="1" applyFont="1" applyFill="1" applyBorder="1" applyAlignment="1">
      <alignment horizontal="right" wrapText="1"/>
    </xf>
    <xf numFmtId="0" fontId="162" fillId="0" borderId="0" xfId="0" applyFont="1" applyAlignment="1">
      <alignment horizontal="center" wrapText="1"/>
    </xf>
    <xf numFmtId="0" fontId="162" fillId="0" borderId="0" xfId="0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190" fontId="145" fillId="0" borderId="0" xfId="123" applyNumberFormat="1" applyFont="1" applyFill="1" applyAlignment="1">
      <alignment horizontal="left" wrapText="1"/>
    </xf>
    <xf numFmtId="10" fontId="163" fillId="0" borderId="0" xfId="123" applyNumberFormat="1" applyFont="1" applyFill="1" applyBorder="1" applyAlignment="1">
      <alignment horizontal="right" vertical="center" wrapText="1"/>
    </xf>
    <xf numFmtId="4" fontId="163" fillId="0" borderId="0" xfId="0" applyNumberFormat="1" applyFont="1" applyFill="1" applyBorder="1" applyAlignment="1">
      <alignment horizontal="right" vertical="center" wrapText="1"/>
    </xf>
    <xf numFmtId="4" fontId="129" fillId="59" borderId="2" xfId="0" applyNumberFormat="1" applyFont="1" applyFill="1" applyBorder="1" applyAlignment="1" applyProtection="1">
      <alignment horizontal="right" wrapText="1"/>
      <protection locked="0"/>
    </xf>
    <xf numFmtId="4" fontId="136" fillId="52" borderId="89" xfId="0" applyNumberFormat="1" applyFont="1" applyFill="1" applyBorder="1" applyAlignment="1">
      <alignment horizontal="right" wrapText="1"/>
    </xf>
    <xf numFmtId="4" fontId="136" fillId="52" borderId="32" xfId="0" applyNumberFormat="1" applyFont="1" applyFill="1" applyBorder="1" applyAlignment="1">
      <alignment horizontal="right" wrapText="1"/>
    </xf>
    <xf numFmtId="4" fontId="66" fillId="0" borderId="1" xfId="0" applyNumberFormat="1" applyFont="1" applyFill="1" applyBorder="1" applyAlignment="1">
      <alignment horizontal="right" vertical="center" wrapText="1"/>
    </xf>
    <xf numFmtId="4" fontId="137" fillId="59" borderId="132" xfId="0" applyNumberFormat="1" applyFont="1" applyFill="1" applyBorder="1" applyAlignment="1">
      <alignment horizontal="right" vertical="center" wrapText="1"/>
    </xf>
    <xf numFmtId="4" fontId="137" fillId="59" borderId="1" xfId="0" applyNumberFormat="1" applyFont="1" applyFill="1" applyBorder="1" applyAlignment="1">
      <alignment horizontal="right" vertical="center" wrapText="1"/>
    </xf>
    <xf numFmtId="4" fontId="140" fillId="58" borderId="1" xfId="0" applyNumberFormat="1" applyFont="1" applyFill="1" applyBorder="1" applyAlignment="1">
      <alignment horizontal="right" wrapText="1"/>
    </xf>
    <xf numFmtId="4" fontId="140" fillId="0" borderId="3" xfId="0" applyNumberFormat="1" applyFont="1" applyFill="1" applyBorder="1" applyAlignment="1">
      <alignment horizontal="right" wrapText="1"/>
    </xf>
    <xf numFmtId="175" fontId="0" fillId="0" borderId="0" xfId="0" applyNumberFormat="1"/>
    <xf numFmtId="10" fontId="150" fillId="51" borderId="0" xfId="123" applyNumberFormat="1" applyFont="1" applyFill="1" applyBorder="1" applyAlignment="1">
      <alignment horizontal="right" vertical="center" wrapText="1"/>
    </xf>
    <xf numFmtId="10" fontId="150" fillId="0" borderId="0" xfId="123" applyNumberFormat="1" applyFont="1" applyFill="1" applyBorder="1" applyAlignment="1">
      <alignment horizontal="right" vertical="center" wrapText="1"/>
    </xf>
    <xf numFmtId="190" fontId="150" fillId="0" borderId="0" xfId="123" applyNumberFormat="1" applyFont="1" applyFill="1" applyBorder="1" applyAlignment="1">
      <alignment horizontal="right" vertical="center" wrapText="1"/>
    </xf>
    <xf numFmtId="175" fontId="108" fillId="0" borderId="0" xfId="0" applyNumberFormat="1" applyFont="1"/>
    <xf numFmtId="4" fontId="155" fillId="0" borderId="0" xfId="0" applyNumberFormat="1" applyFont="1" applyAlignment="1">
      <alignment horizontal="left" wrapText="1"/>
    </xf>
    <xf numFmtId="4" fontId="138" fillId="52" borderId="115" xfId="0" applyNumberFormat="1" applyFont="1" applyFill="1" applyBorder="1" applyAlignment="1">
      <alignment horizontal="right" vertical="center" wrapText="1"/>
    </xf>
    <xf numFmtId="4" fontId="138" fillId="52" borderId="19" xfId="0" applyNumberFormat="1" applyFont="1" applyFill="1" applyBorder="1" applyAlignment="1">
      <alignment horizontal="right" vertical="center" wrapText="1"/>
    </xf>
    <xf numFmtId="4" fontId="137" fillId="71" borderId="197" xfId="0" applyNumberFormat="1" applyFont="1" applyFill="1" applyBorder="1" applyAlignment="1">
      <alignment horizontal="right" vertical="center" wrapText="1"/>
    </xf>
    <xf numFmtId="4" fontId="137" fillId="69" borderId="197" xfId="0" applyNumberFormat="1" applyFont="1" applyFill="1" applyBorder="1" applyAlignment="1">
      <alignment horizontal="right" vertical="center" wrapText="1"/>
    </xf>
    <xf numFmtId="4" fontId="129" fillId="0" borderId="11" xfId="0" applyNumberFormat="1" applyFont="1" applyFill="1" applyBorder="1" applyAlignment="1">
      <alignment horizontal="right" wrapText="1"/>
    </xf>
    <xf numFmtId="185" fontId="0" fillId="0" borderId="0" xfId="0" applyNumberFormat="1" applyFill="1" applyAlignment="1">
      <alignment horizontal="left" wrapText="1"/>
    </xf>
    <xf numFmtId="0" fontId="0" fillId="0" borderId="11" xfId="0" applyFill="1" applyBorder="1" applyAlignment="1">
      <alignment horizontal="right" wrapText="1"/>
    </xf>
    <xf numFmtId="0" fontId="129" fillId="0" borderId="1" xfId="0" applyFont="1" applyFill="1" applyBorder="1" applyAlignment="1">
      <alignment horizontal="right" wrapText="1"/>
    </xf>
    <xf numFmtId="4" fontId="134" fillId="0" borderId="1" xfId="0" applyNumberFormat="1" applyFont="1" applyFill="1" applyBorder="1" applyAlignment="1">
      <alignment horizontal="right" vertical="center" wrapText="1"/>
    </xf>
    <xf numFmtId="4" fontId="134" fillId="0" borderId="14" xfId="0" applyNumberFormat="1" applyFont="1" applyFill="1" applyBorder="1" applyAlignment="1">
      <alignment horizontal="right" vertical="center" wrapText="1"/>
    </xf>
    <xf numFmtId="4" fontId="134" fillId="0" borderId="4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horizontal="left" wrapText="1"/>
    </xf>
    <xf numFmtId="4" fontId="129" fillId="0" borderId="6" xfId="0" applyNumberFormat="1" applyFont="1" applyFill="1" applyBorder="1" applyAlignment="1">
      <alignment horizontal="right" wrapText="1"/>
    </xf>
    <xf numFmtId="0" fontId="137" fillId="0" borderId="162" xfId="0" applyFont="1" applyFill="1" applyBorder="1" applyAlignment="1">
      <alignment horizontal="right" vertical="top" wrapText="1"/>
    </xf>
    <xf numFmtId="0" fontId="137" fillId="0" borderId="162" xfId="0" applyFont="1" applyFill="1" applyBorder="1" applyAlignment="1">
      <alignment horizontal="center" vertical="top" wrapText="1"/>
    </xf>
    <xf numFmtId="4" fontId="138" fillId="0" borderId="163" xfId="0" applyNumberFormat="1" applyFont="1" applyFill="1" applyBorder="1" applyAlignment="1">
      <alignment horizontal="right" vertical="center" wrapText="1"/>
    </xf>
    <xf numFmtId="4" fontId="137" fillId="0" borderId="197" xfId="0" applyNumberFormat="1" applyFont="1" applyFill="1" applyBorder="1" applyAlignment="1">
      <alignment horizontal="right" vertical="center" wrapText="1"/>
    </xf>
    <xf numFmtId="4" fontId="137" fillId="0" borderId="169" xfId="0" applyNumberFormat="1" applyFont="1" applyFill="1" applyBorder="1" applyAlignment="1">
      <alignment horizontal="right" vertical="center" wrapText="1"/>
    </xf>
    <xf numFmtId="4" fontId="138" fillId="0" borderId="168" xfId="0" applyNumberFormat="1" applyFont="1" applyFill="1" applyBorder="1" applyAlignment="1">
      <alignment horizontal="right" vertical="center" wrapText="1"/>
    </xf>
    <xf numFmtId="0" fontId="129" fillId="0" borderId="107" xfId="0" applyFont="1" applyBorder="1" applyAlignment="1">
      <alignment horizontal="left" wrapText="1"/>
    </xf>
    <xf numFmtId="4" fontId="138" fillId="52" borderId="198" xfId="0" applyNumberFormat="1" applyFont="1" applyFill="1" applyBorder="1" applyAlignment="1">
      <alignment horizontal="right" vertical="center" wrapText="1"/>
    </xf>
    <xf numFmtId="4" fontId="155" fillId="0" borderId="0" xfId="0" applyNumberFormat="1" applyFont="1" applyAlignment="1">
      <alignment horizontal="right"/>
    </xf>
    <xf numFmtId="0" fontId="146" fillId="7" borderId="43" xfId="10" applyFont="1" applyBorder="1" applyAlignment="1">
      <alignment horizontal="left" wrapText="1"/>
    </xf>
    <xf numFmtId="4" fontId="145" fillId="7" borderId="43" xfId="10" applyNumberFormat="1" applyFont="1" applyBorder="1" applyAlignment="1">
      <alignment horizontal="right" wrapText="1"/>
    </xf>
    <xf numFmtId="4" fontId="137" fillId="0" borderId="93" xfId="0" applyNumberFormat="1" applyFont="1" applyBorder="1" applyAlignment="1" applyProtection="1">
      <alignment horizontal="right" wrapText="1"/>
      <protection locked="0"/>
    </xf>
    <xf numFmtId="4" fontId="137" fillId="0" borderId="2" xfId="0" applyNumberFormat="1" applyFont="1" applyBorder="1" applyAlignment="1" applyProtection="1">
      <alignment horizontal="right" wrapText="1"/>
      <protection locked="0"/>
    </xf>
    <xf numFmtId="4" fontId="155" fillId="0" borderId="0" xfId="0" applyNumberFormat="1" applyFont="1" applyFill="1"/>
    <xf numFmtId="4" fontId="108" fillId="0" borderId="0" xfId="0" applyNumberFormat="1" applyFont="1" applyAlignment="1">
      <alignment horizontal="right" wrapText="1"/>
    </xf>
    <xf numFmtId="0" fontId="38" fillId="0" borderId="0" xfId="52" applyFont="1" applyFill="1" applyAlignment="1">
      <alignment horizontal="left" wrapText="1"/>
    </xf>
    <xf numFmtId="0" fontId="38" fillId="0" borderId="0" xfId="52" applyFont="1" applyFill="1" applyAlignment="1">
      <alignment horizontal="center" wrapText="1"/>
    </xf>
    <xf numFmtId="191" fontId="76" fillId="0" borderId="0" xfId="0" applyNumberFormat="1" applyFont="1" applyAlignment="1">
      <alignment horizontal="left" wrapText="1"/>
    </xf>
    <xf numFmtId="191" fontId="38" fillId="0" borderId="0" xfId="52" applyNumberFormat="1" applyFont="1" applyFill="1" applyAlignment="1">
      <alignment horizontal="left" wrapText="1"/>
    </xf>
    <xf numFmtId="191" fontId="38" fillId="0" borderId="0" xfId="52" applyNumberFormat="1" applyFont="1" applyFill="1" applyAlignment="1">
      <alignment horizontal="center" wrapText="1"/>
    </xf>
    <xf numFmtId="191" fontId="76" fillId="0" borderId="0" xfId="120" applyNumberFormat="1" applyFont="1" applyFill="1" applyBorder="1" applyAlignment="1" applyProtection="1">
      <alignment horizontal="right" vertical="center" wrapText="1"/>
      <protection locked="0"/>
    </xf>
    <xf numFmtId="191" fontId="76" fillId="0" borderId="0" xfId="0" applyNumberFormat="1" applyFont="1"/>
    <xf numFmtId="0" fontId="48" fillId="0" borderId="92" xfId="0" applyFont="1" applyBorder="1" applyAlignment="1">
      <alignment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52" fillId="0" borderId="0" xfId="0" applyFont="1" applyBorder="1"/>
    <xf numFmtId="0" fontId="165" fillId="4" borderId="15" xfId="0" applyNumberFormat="1" applyFont="1" applyFill="1" applyBorder="1" applyAlignment="1">
      <alignment horizontal="left" vertical="center" wrapText="1"/>
    </xf>
    <xf numFmtId="0" fontId="48" fillId="0" borderId="0" xfId="0" applyFont="1" applyBorder="1"/>
    <xf numFmtId="0" fontId="166" fillId="60" borderId="11" xfId="0" applyNumberFormat="1" applyFont="1" applyFill="1" applyBorder="1" applyAlignment="1">
      <alignment horizontal="left" vertical="center" wrapText="1"/>
    </xf>
    <xf numFmtId="0" fontId="48" fillId="0" borderId="0" xfId="0" applyFont="1" applyFill="1"/>
    <xf numFmtId="0" fontId="52" fillId="0" borderId="0" xfId="0" applyFont="1" applyFill="1"/>
    <xf numFmtId="0" fontId="52" fillId="0" borderId="0" xfId="0" applyFont="1" applyFill="1" applyBorder="1"/>
    <xf numFmtId="0" fontId="166" fillId="60" borderId="11" xfId="0" applyNumberFormat="1" applyFont="1" applyFill="1" applyBorder="1" applyAlignment="1">
      <alignment horizontal="left" vertical="center" wrapText="1" indent="2"/>
    </xf>
    <xf numFmtId="0" fontId="10" fillId="38" borderId="11" xfId="1" applyNumberFormat="1" applyFont="1" applyFill="1" applyBorder="1" applyAlignment="1">
      <alignment horizontal="left" vertical="center" wrapText="1" indent="2"/>
    </xf>
    <xf numFmtId="0" fontId="52" fillId="43" borderId="0" xfId="0" applyFont="1" applyFill="1"/>
    <xf numFmtId="0" fontId="52" fillId="4" borderId="0" xfId="0" applyFont="1" applyFill="1"/>
    <xf numFmtId="0" fontId="52" fillId="4" borderId="0" xfId="0" applyFont="1" applyFill="1" applyBorder="1"/>
    <xf numFmtId="0" fontId="48" fillId="4" borderId="0" xfId="0" applyFont="1" applyFill="1" applyBorder="1"/>
    <xf numFmtId="0" fontId="165" fillId="4" borderId="93" xfId="0" applyNumberFormat="1" applyFont="1" applyFill="1" applyBorder="1" applyAlignment="1">
      <alignment horizontal="left" vertical="center" wrapText="1"/>
    </xf>
    <xf numFmtId="0" fontId="166" fillId="60" borderId="93" xfId="0" applyNumberFormat="1" applyFont="1" applyFill="1" applyBorder="1" applyAlignment="1">
      <alignment horizontal="left" vertical="center" wrapText="1"/>
    </xf>
    <xf numFmtId="0" fontId="48" fillId="4" borderId="11" xfId="0" applyFont="1" applyFill="1" applyBorder="1"/>
    <xf numFmtId="0" fontId="52" fillId="0" borderId="95" xfId="0" applyFont="1" applyFill="1" applyBorder="1"/>
    <xf numFmtId="0" fontId="167" fillId="76" borderId="95" xfId="0" applyFont="1" applyFill="1" applyBorder="1"/>
    <xf numFmtId="166" fontId="48" fillId="4" borderId="2" xfId="0" applyNumberFormat="1" applyFont="1" applyFill="1" applyBorder="1" applyAlignment="1">
      <alignment horizontal="right"/>
    </xf>
    <xf numFmtId="166" fontId="48" fillId="4" borderId="94" xfId="0" applyNumberFormat="1" applyFont="1" applyFill="1" applyBorder="1" applyAlignment="1">
      <alignment horizontal="right"/>
    </xf>
    <xf numFmtId="166" fontId="52" fillId="0" borderId="1" xfId="0" applyNumberFormat="1" applyFont="1" applyBorder="1" applyAlignment="1">
      <alignment horizontal="right"/>
    </xf>
    <xf numFmtId="166" fontId="52" fillId="0" borderId="14" xfId="0" applyNumberFormat="1" applyFont="1" applyBorder="1" applyAlignment="1">
      <alignment horizontal="right"/>
    </xf>
    <xf numFmtId="166" fontId="52" fillId="0" borderId="1" xfId="0" applyNumberFormat="1" applyFont="1" applyFill="1" applyBorder="1" applyAlignment="1">
      <alignment horizontal="right"/>
    </xf>
    <xf numFmtId="166" fontId="48" fillId="4" borderId="30" xfId="0" applyNumberFormat="1" applyFont="1" applyFill="1" applyBorder="1" applyAlignment="1">
      <alignment horizontal="right"/>
    </xf>
    <xf numFmtId="166" fontId="48" fillId="4" borderId="31" xfId="0" applyNumberFormat="1" applyFont="1" applyFill="1" applyBorder="1" applyAlignment="1">
      <alignment horizontal="right"/>
    </xf>
    <xf numFmtId="166" fontId="52" fillId="0" borderId="14" xfId="0" applyNumberFormat="1" applyFont="1" applyFill="1" applyBorder="1" applyAlignment="1">
      <alignment horizontal="right"/>
    </xf>
    <xf numFmtId="166" fontId="52" fillId="0" borderId="9" xfId="0" applyNumberFormat="1" applyFont="1" applyFill="1" applyBorder="1" applyAlignment="1">
      <alignment horizontal="right"/>
    </xf>
    <xf numFmtId="166" fontId="52" fillId="0" borderId="16" xfId="0" applyNumberFormat="1" applyFont="1" applyFill="1" applyBorder="1" applyAlignment="1">
      <alignment horizontal="right"/>
    </xf>
    <xf numFmtId="166" fontId="52" fillId="0" borderId="3" xfId="0" applyNumberFormat="1" applyFont="1" applyFill="1" applyBorder="1" applyAlignment="1">
      <alignment horizontal="right"/>
    </xf>
    <xf numFmtId="166" fontId="52" fillId="0" borderId="98" xfId="0" applyNumberFormat="1" applyFont="1" applyFill="1" applyBorder="1" applyAlignment="1">
      <alignment horizontal="right"/>
    </xf>
    <xf numFmtId="166" fontId="48" fillId="4" borderId="1" xfId="0" applyNumberFormat="1" applyFont="1" applyFill="1" applyBorder="1" applyAlignment="1">
      <alignment horizontal="right"/>
    </xf>
    <xf numFmtId="166" fontId="52" fillId="0" borderId="2" xfId="0" applyNumberFormat="1" applyFont="1" applyBorder="1" applyAlignment="1">
      <alignment horizontal="right"/>
    </xf>
    <xf numFmtId="166" fontId="52" fillId="0" borderId="94" xfId="0" applyNumberFormat="1" applyFont="1" applyBorder="1" applyAlignment="1">
      <alignment horizontal="right"/>
    </xf>
    <xf numFmtId="166" fontId="48" fillId="4" borderId="14" xfId="0" applyNumberFormat="1" applyFont="1" applyFill="1" applyBorder="1" applyAlignment="1">
      <alignment horizontal="right"/>
    </xf>
    <xf numFmtId="166" fontId="52" fillId="0" borderId="0" xfId="0" applyNumberFormat="1" applyFont="1" applyFill="1" applyBorder="1" applyAlignment="1">
      <alignment horizontal="right"/>
    </xf>
    <xf numFmtId="166" fontId="52" fillId="0" borderId="96" xfId="0" applyNumberFormat="1" applyFont="1" applyFill="1" applyBorder="1" applyAlignment="1">
      <alignment horizontal="right"/>
    </xf>
    <xf numFmtId="166" fontId="48" fillId="0" borderId="32" xfId="0" applyNumberFormat="1" applyFont="1" applyBorder="1" applyAlignment="1">
      <alignment horizontal="center" vertical="center" wrapText="1"/>
    </xf>
    <xf numFmtId="166" fontId="48" fillId="0" borderId="33" xfId="0" applyNumberFormat="1" applyFont="1" applyBorder="1" applyAlignment="1">
      <alignment horizontal="center" vertical="center" wrapText="1"/>
    </xf>
    <xf numFmtId="166" fontId="52" fillId="0" borderId="2" xfId="0" applyNumberFormat="1" applyFont="1" applyFill="1" applyBorder="1" applyAlignment="1">
      <alignment horizontal="right"/>
    </xf>
    <xf numFmtId="166" fontId="52" fillId="0" borderId="94" xfId="0" applyNumberFormat="1" applyFont="1" applyFill="1" applyBorder="1" applyAlignment="1">
      <alignment horizontal="right"/>
    </xf>
    <xf numFmtId="0" fontId="168" fillId="0" borderId="167" xfId="1" applyFont="1" applyFill="1" applyBorder="1" applyAlignment="1">
      <alignment horizontal="right" wrapText="1"/>
    </xf>
    <xf numFmtId="166" fontId="169" fillId="0" borderId="1" xfId="0" applyNumberFormat="1" applyFont="1" applyBorder="1" applyAlignment="1">
      <alignment horizontal="right"/>
    </xf>
    <xf numFmtId="166" fontId="169" fillId="0" borderId="14" xfId="0" applyNumberFormat="1" applyFont="1" applyBorder="1" applyAlignment="1">
      <alignment horizontal="right"/>
    </xf>
    <xf numFmtId="0" fontId="169" fillId="0" borderId="0" xfId="0" applyFont="1"/>
    <xf numFmtId="0" fontId="168" fillId="0" borderId="193" xfId="1" applyFont="1" applyFill="1" applyBorder="1" applyAlignment="1">
      <alignment horizontal="right" wrapText="1"/>
    </xf>
    <xf numFmtId="0" fontId="48" fillId="0" borderId="11" xfId="0" applyFont="1" applyBorder="1"/>
    <xf numFmtId="166" fontId="48" fillId="0" borderId="1" xfId="0" applyNumberFormat="1" applyFont="1" applyBorder="1" applyAlignment="1">
      <alignment horizontal="right"/>
    </xf>
    <xf numFmtId="0" fontId="168" fillId="0" borderId="11" xfId="1" applyFont="1" applyFill="1" applyBorder="1" applyAlignment="1">
      <alignment horizontal="right" wrapText="1"/>
    </xf>
    <xf numFmtId="0" fontId="168" fillId="0" borderId="10" xfId="1" applyFont="1" applyFill="1" applyBorder="1" applyAlignment="1">
      <alignment horizontal="right" wrapText="1"/>
    </xf>
    <xf numFmtId="166" fontId="166" fillId="0" borderId="1" xfId="0" applyNumberFormat="1" applyFont="1" applyFill="1" applyBorder="1" applyAlignment="1">
      <alignment horizontal="right" wrapText="1"/>
    </xf>
    <xf numFmtId="166" fontId="166" fillId="0" borderId="9" xfId="0" applyNumberFormat="1" applyFont="1" applyFill="1" applyBorder="1" applyAlignment="1">
      <alignment horizontal="right" wrapText="1"/>
    </xf>
    <xf numFmtId="166" fontId="166" fillId="0" borderId="3" xfId="0" applyNumberFormat="1" applyFont="1" applyFill="1" applyBorder="1" applyAlignment="1">
      <alignment horizontal="right" wrapText="1"/>
    </xf>
    <xf numFmtId="166" fontId="10" fillId="0" borderId="1" xfId="1" applyNumberFormat="1" applyFont="1" applyFill="1" applyBorder="1" applyAlignment="1">
      <alignment horizontal="right" wrapText="1"/>
    </xf>
    <xf numFmtId="166" fontId="166" fillId="0" borderId="2" xfId="0" applyNumberFormat="1" applyFont="1" applyFill="1" applyBorder="1" applyAlignment="1">
      <alignment horizontal="right" wrapText="1"/>
    </xf>
    <xf numFmtId="166" fontId="48" fillId="0" borderId="1" xfId="0" applyNumberFormat="1" applyFont="1" applyFill="1" applyBorder="1" applyAlignment="1">
      <alignment horizontal="right"/>
    </xf>
    <xf numFmtId="166" fontId="169" fillId="0" borderId="1" xfId="0" applyNumberFormat="1" applyFont="1" applyFill="1" applyBorder="1" applyAlignment="1">
      <alignment horizontal="right"/>
    </xf>
    <xf numFmtId="166" fontId="169" fillId="0" borderId="9" xfId="0" applyNumberFormat="1" applyFont="1" applyFill="1" applyBorder="1" applyAlignment="1">
      <alignment horizontal="right"/>
    </xf>
    <xf numFmtId="0" fontId="168" fillId="4" borderId="11" xfId="1" applyFont="1" applyFill="1" applyBorder="1" applyAlignment="1">
      <alignment horizontal="right" wrapText="1"/>
    </xf>
    <xf numFmtId="166" fontId="169" fillId="4" borderId="1" xfId="0" applyNumberFormat="1" applyFont="1" applyFill="1" applyBorder="1" applyAlignment="1">
      <alignment horizontal="right"/>
    </xf>
    <xf numFmtId="0" fontId="169" fillId="4" borderId="0" xfId="0" applyFont="1" applyFill="1"/>
    <xf numFmtId="0" fontId="48" fillId="4" borderId="0" xfId="0" applyFont="1" applyFill="1"/>
    <xf numFmtId="166" fontId="169" fillId="5" borderId="1" xfId="0" applyNumberFormat="1" applyFont="1" applyFill="1" applyBorder="1" applyAlignment="1">
      <alignment horizontal="right"/>
    </xf>
    <xf numFmtId="0" fontId="170" fillId="78" borderId="1" xfId="0" applyFont="1" applyFill="1" applyBorder="1" applyAlignment="1">
      <alignment horizontal="center" wrapText="1"/>
    </xf>
    <xf numFmtId="0" fontId="170" fillId="77" borderId="1" xfId="0" applyFont="1" applyFill="1" applyBorder="1" applyAlignment="1">
      <alignment horizontal="right" wrapText="1"/>
    </xf>
    <xf numFmtId="0" fontId="164" fillId="77" borderId="1" xfId="0" applyFont="1" applyFill="1" applyBorder="1" applyAlignment="1">
      <alignment horizontal="right" wrapText="1"/>
    </xf>
    <xf numFmtId="0" fontId="164" fillId="79" borderId="1" xfId="0" applyFont="1" applyFill="1" applyBorder="1" applyAlignment="1">
      <alignment horizontal="right" wrapText="1"/>
    </xf>
    <xf numFmtId="0" fontId="164" fillId="0" borderId="1" xfId="0" applyFont="1" applyBorder="1" applyAlignment="1">
      <alignment horizontal="right" wrapText="1"/>
    </xf>
    <xf numFmtId="166" fontId="149" fillId="0" borderId="1" xfId="0" applyNumberFormat="1" applyFont="1" applyBorder="1"/>
    <xf numFmtId="0" fontId="169" fillId="0" borderId="0" xfId="0" applyFont="1" applyFill="1"/>
    <xf numFmtId="0" fontId="169" fillId="0" borderId="0" xfId="0" applyFont="1" applyFill="1" applyBorder="1"/>
    <xf numFmtId="4" fontId="169" fillId="0" borderId="0" xfId="0" applyNumberFormat="1" applyFont="1" applyFill="1" applyBorder="1"/>
    <xf numFmtId="166" fontId="169" fillId="0" borderId="14" xfId="0" applyNumberFormat="1" applyFont="1" applyFill="1" applyBorder="1" applyAlignment="1">
      <alignment horizontal="right"/>
    </xf>
    <xf numFmtId="0" fontId="165" fillId="0" borderId="93" xfId="0" applyNumberFormat="1" applyFont="1" applyFill="1" applyBorder="1" applyAlignment="1">
      <alignment horizontal="left" vertical="center" wrapText="1" indent="2"/>
    </xf>
    <xf numFmtId="166" fontId="48" fillId="0" borderId="2" xfId="0" applyNumberFormat="1" applyFont="1" applyFill="1" applyBorder="1" applyAlignment="1">
      <alignment horizontal="right"/>
    </xf>
    <xf numFmtId="0" fontId="48" fillId="0" borderId="0" xfId="0" applyFont="1" applyFill="1" applyBorder="1"/>
    <xf numFmtId="0" fontId="165" fillId="0" borderId="134" xfId="0" applyNumberFormat="1" applyFont="1" applyFill="1" applyBorder="1" applyAlignment="1">
      <alignment horizontal="left" vertical="center" wrapText="1" indent="2"/>
    </xf>
    <xf numFmtId="166" fontId="48" fillId="0" borderId="135" xfId="0" applyNumberFormat="1" applyFont="1" applyFill="1" applyBorder="1" applyAlignment="1">
      <alignment horizontal="right"/>
    </xf>
    <xf numFmtId="166" fontId="48" fillId="0" borderId="108" xfId="0" applyNumberFormat="1" applyFont="1" applyFill="1" applyBorder="1" applyAlignment="1">
      <alignment horizontal="right"/>
    </xf>
    <xf numFmtId="0" fontId="165" fillId="0" borderId="11" xfId="0" applyNumberFormat="1" applyFont="1" applyFill="1" applyBorder="1" applyAlignment="1">
      <alignment horizontal="left" vertical="center" wrapText="1" indent="2"/>
    </xf>
    <xf numFmtId="0" fontId="48" fillId="0" borderId="11" xfId="0" applyFont="1" applyFill="1" applyBorder="1"/>
    <xf numFmtId="166" fontId="48" fillId="0" borderId="14" xfId="0" applyNumberFormat="1" applyFont="1" applyFill="1" applyBorder="1" applyAlignment="1">
      <alignment horizontal="right"/>
    </xf>
    <xf numFmtId="0" fontId="166" fillId="0" borderId="95" xfId="0" applyNumberFormat="1" applyFont="1" applyFill="1" applyBorder="1" applyAlignment="1">
      <alignment horizontal="left" vertical="center" wrapText="1"/>
    </xf>
    <xf numFmtId="166" fontId="166" fillId="0" borderId="0" xfId="0" applyNumberFormat="1" applyFont="1" applyFill="1" applyBorder="1" applyAlignment="1">
      <alignment horizontal="right" wrapText="1"/>
    </xf>
    <xf numFmtId="166" fontId="168" fillId="0" borderId="1" xfId="1" applyNumberFormat="1" applyFont="1" applyFill="1" applyBorder="1" applyAlignment="1">
      <alignment horizontal="right" wrapText="1"/>
    </xf>
    <xf numFmtId="166" fontId="171" fillId="31" borderId="27" xfId="50" applyNumberFormat="1" applyFont="1" applyBorder="1" applyAlignment="1">
      <alignment horizontal="right"/>
    </xf>
    <xf numFmtId="166" fontId="149" fillId="0" borderId="0" xfId="0" applyNumberFormat="1" applyFont="1" applyFill="1" applyBorder="1" applyAlignment="1"/>
    <xf numFmtId="166" fontId="172" fillId="31" borderId="27" xfId="50" applyNumberFormat="1" applyFont="1" applyBorder="1" applyAlignment="1">
      <alignment horizontal="right"/>
    </xf>
    <xf numFmtId="0" fontId="23" fillId="75" borderId="199" xfId="49" applyFill="1" applyBorder="1"/>
    <xf numFmtId="166" fontId="48" fillId="0" borderId="130" xfId="0" applyNumberFormat="1" applyFont="1" applyFill="1" applyBorder="1" applyAlignment="1">
      <alignment horizontal="right"/>
    </xf>
    <xf numFmtId="166" fontId="48" fillId="0" borderId="13" xfId="0" applyNumberFormat="1" applyFont="1" applyFill="1" applyBorder="1" applyAlignment="1">
      <alignment horizontal="right"/>
    </xf>
    <xf numFmtId="166" fontId="149" fillId="0" borderId="96" xfId="0" applyNumberFormat="1" applyFont="1" applyFill="1" applyBorder="1" applyAlignment="1"/>
    <xf numFmtId="166" fontId="48" fillId="0" borderId="0" xfId="0" applyNumberFormat="1" applyFont="1" applyFill="1" applyBorder="1"/>
    <xf numFmtId="166" fontId="48" fillId="0" borderId="94" xfId="0" applyNumberFormat="1" applyFont="1" applyFill="1" applyBorder="1" applyAlignment="1">
      <alignment horizontal="right"/>
    </xf>
    <xf numFmtId="0" fontId="149" fillId="0" borderId="0" xfId="0" applyFont="1" applyFill="1"/>
    <xf numFmtId="166" fontId="149" fillId="0" borderId="0" xfId="0" applyNumberFormat="1" applyFont="1" applyFill="1"/>
    <xf numFmtId="166" fontId="52" fillId="43" borderId="0" xfId="0" applyNumberFormat="1" applyFont="1" applyFill="1"/>
    <xf numFmtId="0" fontId="149" fillId="0" borderId="0" xfId="0" applyFont="1"/>
    <xf numFmtId="0" fontId="173" fillId="79" borderId="1" xfId="0" applyFont="1" applyFill="1" applyBorder="1" applyAlignment="1">
      <alignment horizontal="right" wrapText="1"/>
    </xf>
    <xf numFmtId="0" fontId="173" fillId="0" borderId="1" xfId="0" applyFont="1" applyBorder="1" applyAlignment="1">
      <alignment horizontal="right" wrapText="1"/>
    </xf>
    <xf numFmtId="0" fontId="174" fillId="77" borderId="1" xfId="0" applyFont="1" applyFill="1" applyBorder="1" applyAlignment="1">
      <alignment horizontal="right" wrapText="1"/>
    </xf>
    <xf numFmtId="0" fontId="175" fillId="0" borderId="0" xfId="0" applyFont="1"/>
    <xf numFmtId="0" fontId="176" fillId="77" borderId="1" xfId="0" applyFont="1" applyFill="1" applyBorder="1" applyAlignment="1">
      <alignment horizontal="right" wrapText="1"/>
    </xf>
    <xf numFmtId="0" fontId="176" fillId="79" borderId="1" xfId="0" applyFont="1" applyFill="1" applyBorder="1" applyAlignment="1">
      <alignment horizontal="right" wrapText="1"/>
    </xf>
    <xf numFmtId="0" fontId="177" fillId="77" borderId="1" xfId="0" applyFont="1" applyFill="1" applyBorder="1" applyAlignment="1">
      <alignment horizontal="right" wrapText="1"/>
    </xf>
    <xf numFmtId="0" fontId="176" fillId="0" borderId="1" xfId="0" applyFont="1" applyBorder="1" applyAlignment="1">
      <alignment horizontal="right" wrapText="1"/>
    </xf>
    <xf numFmtId="166" fontId="52" fillId="0" borderId="1" xfId="0" applyNumberFormat="1" applyFont="1" applyBorder="1"/>
    <xf numFmtId="0" fontId="178" fillId="77" borderId="1" xfId="0" applyFont="1" applyFill="1" applyBorder="1" applyAlignment="1">
      <alignment horizontal="right" wrapText="1"/>
    </xf>
    <xf numFmtId="0" fontId="52" fillId="0" borderId="1" xfId="0" applyFont="1" applyBorder="1" applyAlignment="1">
      <alignment horizontal="right"/>
    </xf>
    <xf numFmtId="0" fontId="48" fillId="0" borderId="32" xfId="0" applyFont="1" applyFill="1" applyBorder="1" applyAlignment="1">
      <alignment horizontal="center" vertical="center" wrapText="1"/>
    </xf>
    <xf numFmtId="166" fontId="48" fillId="0" borderId="32" xfId="0" applyNumberFormat="1" applyFont="1" applyFill="1" applyBorder="1" applyAlignment="1">
      <alignment horizontal="center" vertical="center" wrapText="1"/>
    </xf>
    <xf numFmtId="0" fontId="10" fillId="0" borderId="108" xfId="0" applyFont="1" applyFill="1" applyBorder="1" applyAlignment="1">
      <alignment wrapText="1"/>
    </xf>
    <xf numFmtId="4" fontId="50" fillId="5" borderId="105" xfId="0" applyNumberFormat="1" applyFont="1" applyFill="1" applyBorder="1" applyAlignment="1">
      <alignment vertical="top" wrapText="1"/>
    </xf>
    <xf numFmtId="4" fontId="50" fillId="5" borderId="9" xfId="0" applyNumberFormat="1" applyFont="1" applyFill="1" applyBorder="1" applyAlignment="1">
      <alignment vertical="top" wrapText="1"/>
    </xf>
    <xf numFmtId="4" fontId="50" fillId="5" borderId="136" xfId="0" applyNumberFormat="1" applyFont="1" applyFill="1" applyBorder="1" applyAlignment="1">
      <alignment vertical="top" wrapText="1"/>
    </xf>
    <xf numFmtId="4" fontId="50" fillId="5" borderId="16" xfId="0" applyNumberFormat="1" applyFont="1" applyFill="1" applyBorder="1" applyAlignment="1">
      <alignment vertical="top" wrapText="1"/>
    </xf>
    <xf numFmtId="4" fontId="50" fillId="5" borderId="10" xfId="0" applyNumberFormat="1" applyFont="1" applyFill="1" applyBorder="1" applyAlignment="1">
      <alignment vertical="top" wrapText="1"/>
    </xf>
    <xf numFmtId="4" fontId="50" fillId="5" borderId="147" xfId="0" applyNumberFormat="1" applyFont="1" applyFill="1" applyBorder="1" applyAlignment="1">
      <alignment vertical="top" wrapText="1"/>
    </xf>
    <xf numFmtId="0" fontId="50" fillId="5" borderId="136" xfId="0" applyFont="1" applyFill="1" applyBorder="1" applyAlignment="1">
      <alignment vertical="top" wrapText="1"/>
    </xf>
    <xf numFmtId="0" fontId="50" fillId="5" borderId="103" xfId="0" applyFont="1" applyFill="1" applyBorder="1" applyAlignment="1">
      <alignment wrapText="1"/>
    </xf>
    <xf numFmtId="0" fontId="50" fillId="5" borderId="136" xfId="0" applyFont="1" applyFill="1" applyBorder="1" applyAlignment="1">
      <alignment wrapText="1"/>
    </xf>
    <xf numFmtId="0" fontId="50" fillId="5" borderId="10" xfId="0" applyFont="1" applyFill="1" applyBorder="1" applyAlignment="1">
      <alignment horizontal="left" indent="2"/>
    </xf>
    <xf numFmtId="4" fontId="50" fillId="5" borderId="116" xfId="0" applyNumberFormat="1" applyFont="1" applyFill="1" applyBorder="1" applyAlignment="1">
      <alignment vertical="top" wrapText="1"/>
    </xf>
    <xf numFmtId="4" fontId="50" fillId="5" borderId="30" xfId="0" applyNumberFormat="1" applyFont="1" applyFill="1" applyBorder="1" applyAlignment="1">
      <alignment vertical="top" wrapText="1"/>
    </xf>
    <xf numFmtId="4" fontId="50" fillId="5" borderId="114" xfId="0" applyNumberFormat="1" applyFont="1" applyFill="1" applyBorder="1" applyAlignment="1">
      <alignment vertical="top" wrapText="1"/>
    </xf>
    <xf numFmtId="4" fontId="50" fillId="5" borderId="31" xfId="0" applyNumberFormat="1" applyFont="1" applyFill="1" applyBorder="1" applyAlignment="1">
      <alignment vertical="top" wrapText="1"/>
    </xf>
    <xf numFmtId="4" fontId="50" fillId="5" borderId="15" xfId="0" applyNumberFormat="1" applyFont="1" applyFill="1" applyBorder="1" applyAlignment="1">
      <alignment vertical="top" wrapText="1"/>
    </xf>
    <xf numFmtId="4" fontId="50" fillId="5" borderId="115" xfId="0" applyNumberFormat="1" applyFont="1" applyFill="1" applyBorder="1" applyAlignment="1">
      <alignment vertical="top" wrapText="1"/>
    </xf>
    <xf numFmtId="0" fontId="50" fillId="5" borderId="114" xfId="0" applyFont="1" applyFill="1" applyBorder="1" applyAlignment="1">
      <alignment vertical="top" wrapText="1"/>
    </xf>
    <xf numFmtId="0" fontId="50" fillId="5" borderId="137" xfId="0" applyFont="1" applyFill="1" applyBorder="1" applyAlignment="1">
      <alignment wrapText="1"/>
    </xf>
    <xf numFmtId="0" fontId="50" fillId="5" borderId="114" xfId="0" applyFont="1" applyFill="1" applyBorder="1" applyAlignment="1">
      <alignment wrapText="1"/>
    </xf>
    <xf numFmtId="0" fontId="50" fillId="5" borderId="15" xfId="0" applyFont="1" applyFill="1" applyBorder="1" applyAlignment="1">
      <alignment horizontal="left" indent="2"/>
    </xf>
    <xf numFmtId="0" fontId="10" fillId="0" borderId="0" xfId="0" applyFont="1" applyFill="1" applyAlignment="1">
      <alignment horizontal="left" wrapText="1"/>
    </xf>
    <xf numFmtId="4" fontId="50" fillId="5" borderId="0" xfId="0" applyNumberFormat="1" applyFont="1" applyFill="1" applyAlignment="1">
      <alignment horizontal="left" wrapText="1"/>
    </xf>
    <xf numFmtId="0" fontId="50" fillId="5" borderId="0" xfId="0" applyFont="1" applyFill="1" applyAlignment="1">
      <alignment horizontal="left" wrapText="1"/>
    </xf>
    <xf numFmtId="4" fontId="10" fillId="0" borderId="0" xfId="0" applyNumberFormat="1" applyFont="1" applyFill="1" applyAlignment="1">
      <alignment horizontal="left" wrapText="1"/>
    </xf>
    <xf numFmtId="0" fontId="50" fillId="0" borderId="0" xfId="0" applyFont="1" applyFill="1"/>
    <xf numFmtId="4" fontId="50" fillId="5" borderId="105" xfId="0" applyNumberFormat="1" applyFont="1" applyFill="1" applyBorder="1" applyAlignment="1">
      <alignment horizontal="right" vertical="top" wrapText="1"/>
    </xf>
    <xf numFmtId="4" fontId="50" fillId="5" borderId="9" xfId="0" applyNumberFormat="1" applyFont="1" applyFill="1" applyBorder="1" applyAlignment="1">
      <alignment horizontal="right" vertical="top" wrapText="1"/>
    </xf>
    <xf numFmtId="4" fontId="50" fillId="5" borderId="136" xfId="0" applyNumberFormat="1" applyFont="1" applyFill="1" applyBorder="1" applyAlignment="1">
      <alignment horizontal="right" vertical="top" wrapText="1"/>
    </xf>
    <xf numFmtId="4" fontId="50" fillId="5" borderId="116" xfId="0" applyNumberFormat="1" applyFont="1" applyFill="1" applyBorder="1" applyAlignment="1">
      <alignment horizontal="right" vertical="top" wrapText="1"/>
    </xf>
    <xf numFmtId="4" fontId="50" fillId="5" borderId="30" xfId="0" applyNumberFormat="1" applyFont="1" applyFill="1" applyBorder="1" applyAlignment="1">
      <alignment horizontal="right" vertical="top" wrapText="1"/>
    </xf>
    <xf numFmtId="4" fontId="50" fillId="5" borderId="114" xfId="0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left" wrapText="1"/>
    </xf>
    <xf numFmtId="4" fontId="50" fillId="5" borderId="0" xfId="0" applyNumberFormat="1" applyFont="1" applyFill="1" applyAlignment="1">
      <alignment horizontal="right" wrapText="1"/>
    </xf>
    <xf numFmtId="4" fontId="10" fillId="0" borderId="0" xfId="0" applyNumberFormat="1" applyFont="1" applyFill="1" applyAlignment="1">
      <alignment horizontal="right" wrapText="1"/>
    </xf>
    <xf numFmtId="0" fontId="179" fillId="5" borderId="0" xfId="0" applyFont="1" applyFill="1" applyAlignment="1">
      <alignment horizontal="left" wrapText="1"/>
    </xf>
    <xf numFmtId="4" fontId="179" fillId="5" borderId="0" xfId="0" applyNumberFormat="1" applyFont="1" applyFill="1" applyAlignment="1">
      <alignment horizontal="right" vertical="center" wrapText="1"/>
    </xf>
    <xf numFmtId="0" fontId="179" fillId="5" borderId="0" xfId="0" applyFont="1" applyFill="1" applyAlignment="1">
      <alignment horizontal="left" vertical="center" wrapText="1"/>
    </xf>
    <xf numFmtId="4" fontId="10" fillId="0" borderId="0" xfId="0" applyNumberFormat="1" applyFont="1" applyFill="1" applyAlignment="1">
      <alignment horizontal="right"/>
    </xf>
    <xf numFmtId="4" fontId="10" fillId="0" borderId="105" xfId="0" applyNumberFormat="1" applyFont="1" applyFill="1" applyBorder="1" applyAlignment="1">
      <alignment vertical="top" wrapText="1"/>
    </xf>
    <xf numFmtId="4" fontId="10" fillId="0" borderId="9" xfId="0" applyNumberFormat="1" applyFont="1" applyFill="1" applyBorder="1" applyAlignment="1">
      <alignment vertical="top" wrapText="1"/>
    </xf>
    <xf numFmtId="0" fontId="10" fillId="0" borderId="147" xfId="0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 wrapText="1"/>
    </xf>
    <xf numFmtId="0" fontId="10" fillId="0" borderId="9" xfId="0" applyFont="1" applyFill="1" applyBorder="1" applyAlignment="1">
      <alignment wrapText="1"/>
    </xf>
    <xf numFmtId="4" fontId="10" fillId="0" borderId="133" xfId="0" applyNumberFormat="1" applyFont="1" applyFill="1" applyBorder="1" applyAlignment="1">
      <alignment horizontal="right" vertical="top" wrapText="1"/>
    </xf>
    <xf numFmtId="4" fontId="10" fillId="0" borderId="1" xfId="0" applyNumberFormat="1" applyFont="1" applyFill="1" applyBorder="1" applyAlignment="1">
      <alignment horizontal="right" vertical="top" wrapText="1"/>
    </xf>
    <xf numFmtId="4" fontId="10" fillId="0" borderId="5" xfId="0" applyNumberFormat="1" applyFont="1" applyFill="1" applyBorder="1" applyAlignment="1">
      <alignment horizontal="right" vertical="top" wrapText="1"/>
    </xf>
    <xf numFmtId="4" fontId="10" fillId="0" borderId="11" xfId="0" applyNumberFormat="1" applyFont="1" applyFill="1" applyBorder="1" applyAlignment="1">
      <alignment horizontal="right" vertical="top" wrapText="1"/>
    </xf>
    <xf numFmtId="4" fontId="10" fillId="0" borderId="133" xfId="0" applyNumberFormat="1" applyFont="1" applyFill="1" applyBorder="1" applyAlignment="1">
      <alignment vertical="top" wrapText="1"/>
    </xf>
    <xf numFmtId="4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4" fontId="10" fillId="59" borderId="133" xfId="0" applyNumberFormat="1" applyFont="1" applyFill="1" applyBorder="1" applyAlignment="1">
      <alignment horizontal="right" vertical="top" wrapText="1"/>
    </xf>
    <xf numFmtId="4" fontId="10" fillId="59" borderId="1" xfId="0" applyNumberFormat="1" applyFont="1" applyFill="1" applyBorder="1" applyAlignment="1">
      <alignment horizontal="right" vertical="top" wrapText="1"/>
    </xf>
    <xf numFmtId="4" fontId="10" fillId="59" borderId="5" xfId="0" applyNumberFormat="1" applyFont="1" applyFill="1" applyBorder="1" applyAlignment="1">
      <alignment horizontal="right" vertical="top" wrapText="1"/>
    </xf>
    <xf numFmtId="4" fontId="10" fillId="59" borderId="11" xfId="0" applyNumberFormat="1" applyFont="1" applyFill="1" applyBorder="1" applyAlignment="1">
      <alignment horizontal="right" vertical="top" wrapText="1"/>
    </xf>
    <xf numFmtId="0" fontId="10" fillId="59" borderId="4" xfId="0" applyFont="1" applyFill="1" applyBorder="1" applyAlignment="1">
      <alignment vertical="top" wrapText="1"/>
    </xf>
    <xf numFmtId="4" fontId="10" fillId="34" borderId="133" xfId="0" applyNumberFormat="1" applyFont="1" applyFill="1" applyBorder="1" applyAlignment="1">
      <alignment vertical="top" wrapText="1"/>
    </xf>
    <xf numFmtId="4" fontId="10" fillId="34" borderId="1" xfId="0" applyNumberFormat="1" applyFont="1" applyFill="1" applyBorder="1" applyAlignment="1">
      <alignment vertical="top" wrapText="1"/>
    </xf>
    <xf numFmtId="0" fontId="10" fillId="34" borderId="5" xfId="0" applyFont="1" applyFill="1" applyBorder="1" applyAlignment="1">
      <alignment vertical="top" wrapText="1"/>
    </xf>
    <xf numFmtId="0" fontId="10" fillId="34" borderId="1" xfId="0" applyFont="1" applyFill="1" applyBorder="1" applyAlignment="1">
      <alignment vertical="top" wrapText="1"/>
    </xf>
    <xf numFmtId="4" fontId="10" fillId="59" borderId="116" xfId="0" applyNumberFormat="1" applyFont="1" applyFill="1" applyBorder="1" applyAlignment="1">
      <alignment horizontal="right" wrapText="1"/>
    </xf>
    <xf numFmtId="4" fontId="10" fillId="59" borderId="30" xfId="0" applyNumberFormat="1" applyFont="1" applyFill="1" applyBorder="1" applyAlignment="1">
      <alignment horizontal="right" wrapText="1"/>
    </xf>
    <xf numFmtId="4" fontId="10" fillId="59" borderId="115" xfId="0" applyNumberFormat="1" applyFont="1" applyFill="1" applyBorder="1" applyAlignment="1">
      <alignment horizontal="right" wrapText="1"/>
    </xf>
    <xf numFmtId="4" fontId="10" fillId="59" borderId="15" xfId="0" applyNumberFormat="1" applyFont="1" applyFill="1" applyBorder="1" applyAlignment="1">
      <alignment horizontal="right" wrapText="1"/>
    </xf>
    <xf numFmtId="0" fontId="10" fillId="59" borderId="114" xfId="0" applyFont="1" applyFill="1" applyBorder="1" applyAlignment="1">
      <alignment wrapText="1"/>
    </xf>
    <xf numFmtId="4" fontId="10" fillId="59" borderId="116" xfId="0" applyNumberFormat="1" applyFont="1" applyFill="1" applyBorder="1" applyAlignment="1">
      <alignment wrapText="1"/>
    </xf>
    <xf numFmtId="4" fontId="10" fillId="59" borderId="30" xfId="0" applyNumberFormat="1" applyFont="1" applyFill="1" applyBorder="1" applyAlignment="1">
      <alignment wrapText="1"/>
    </xf>
    <xf numFmtId="0" fontId="10" fillId="59" borderId="115" xfId="0" applyFont="1" applyFill="1" applyBorder="1" applyAlignment="1">
      <alignment wrapText="1"/>
    </xf>
    <xf numFmtId="0" fontId="10" fillId="59" borderId="30" xfId="0" applyFont="1" applyFill="1" applyBorder="1" applyAlignment="1">
      <alignment wrapText="1"/>
    </xf>
    <xf numFmtId="4" fontId="10" fillId="0" borderId="110" xfId="0" applyNumberFormat="1" applyFont="1" applyFill="1" applyBorder="1" applyAlignment="1">
      <alignment horizontal="right" vertical="top" wrapText="1"/>
    </xf>
    <xf numFmtId="4" fontId="10" fillId="0" borderId="3" xfId="0" applyNumberFormat="1" applyFont="1" applyFill="1" applyBorder="1" applyAlignment="1">
      <alignment horizontal="right" vertical="top" wrapText="1"/>
    </xf>
    <xf numFmtId="4" fontId="10" fillId="0" borderId="128" xfId="0" applyNumberFormat="1" applyFont="1" applyFill="1" applyBorder="1" applyAlignment="1">
      <alignment horizontal="right" vertical="top" wrapText="1"/>
    </xf>
    <xf numFmtId="4" fontId="10" fillId="0" borderId="97" xfId="0" applyNumberFormat="1" applyFont="1" applyFill="1" applyBorder="1" applyAlignment="1">
      <alignment horizontal="right" vertical="top" wrapText="1"/>
    </xf>
    <xf numFmtId="4" fontId="10" fillId="0" borderId="110" xfId="0" applyNumberFormat="1" applyFont="1" applyFill="1" applyBorder="1" applyAlignment="1">
      <alignment vertical="top" wrapText="1"/>
    </xf>
    <xf numFmtId="4" fontId="10" fillId="0" borderId="3" xfId="0" applyNumberFormat="1" applyFont="1" applyFill="1" applyBorder="1" applyAlignment="1">
      <alignment vertical="top" wrapText="1"/>
    </xf>
    <xf numFmtId="0" fontId="10" fillId="0" borderId="128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wrapText="1"/>
    </xf>
    <xf numFmtId="4" fontId="10" fillId="34" borderId="93" xfId="0" applyNumberFormat="1" applyFont="1" applyFill="1" applyBorder="1" applyAlignment="1">
      <alignment horizontal="right" vertical="center" wrapText="1"/>
    </xf>
    <xf numFmtId="4" fontId="10" fillId="34" borderId="106" xfId="0" applyNumberFormat="1" applyFont="1" applyFill="1" applyBorder="1" applyAlignment="1">
      <alignment horizontal="right" vertical="center" wrapText="1"/>
    </xf>
    <xf numFmtId="4" fontId="10" fillId="34" borderId="2" xfId="0" applyNumberFormat="1" applyFont="1" applyFill="1" applyBorder="1" applyAlignment="1">
      <alignment horizontal="right" vertical="center" wrapText="1"/>
    </xf>
    <xf numFmtId="4" fontId="10" fillId="34" borderId="12" xfId="0" applyNumberFormat="1" applyFont="1" applyFill="1" applyBorder="1" applyAlignment="1">
      <alignment horizontal="right" vertical="center" wrapText="1"/>
    </xf>
    <xf numFmtId="0" fontId="10" fillId="34" borderId="4" xfId="0" applyFont="1" applyFill="1" applyBorder="1" applyAlignment="1">
      <alignment vertical="top" wrapText="1"/>
    </xf>
    <xf numFmtId="4" fontId="10" fillId="34" borderId="97" xfId="0" applyNumberFormat="1" applyFont="1" applyFill="1" applyBorder="1" applyAlignment="1">
      <alignment horizontal="right" vertical="center" wrapText="1"/>
    </xf>
    <xf numFmtId="4" fontId="10" fillId="34" borderId="110" xfId="0" applyNumberFormat="1" applyFont="1" applyFill="1" applyBorder="1" applyAlignment="1">
      <alignment horizontal="right" vertical="center" wrapText="1"/>
    </xf>
    <xf numFmtId="4" fontId="10" fillId="34" borderId="3" xfId="0" applyNumberFormat="1" applyFont="1" applyFill="1" applyBorder="1" applyAlignment="1">
      <alignment horizontal="right" vertical="center" wrapText="1"/>
    </xf>
    <xf numFmtId="4" fontId="10" fillId="34" borderId="128" xfId="0" applyNumberFormat="1" applyFont="1" applyFill="1" applyBorder="1" applyAlignment="1">
      <alignment horizontal="right" vertical="center" wrapText="1"/>
    </xf>
    <xf numFmtId="4" fontId="10" fillId="59" borderId="133" xfId="0" applyNumberFormat="1" applyFont="1" applyFill="1" applyBorder="1" applyAlignment="1">
      <alignment vertical="top" wrapText="1"/>
    </xf>
    <xf numFmtId="4" fontId="10" fillId="59" borderId="1" xfId="0" applyNumberFormat="1" applyFont="1" applyFill="1" applyBorder="1" applyAlignment="1">
      <alignment vertical="top" wrapText="1"/>
    </xf>
    <xf numFmtId="0" fontId="10" fillId="59" borderId="5" xfId="0" applyFont="1" applyFill="1" applyBorder="1" applyAlignment="1">
      <alignment vertical="top" wrapText="1"/>
    </xf>
    <xf numFmtId="0" fontId="10" fillId="59" borderId="1" xfId="0" applyFont="1" applyFill="1" applyBorder="1" applyAlignment="1">
      <alignment vertical="top" wrapText="1"/>
    </xf>
    <xf numFmtId="4" fontId="10" fillId="34" borderId="133" xfId="0" applyNumberFormat="1" applyFont="1" applyFill="1" applyBorder="1" applyAlignment="1">
      <alignment horizontal="right" vertical="top" wrapText="1"/>
    </xf>
    <xf numFmtId="4" fontId="10" fillId="34" borderId="1" xfId="0" applyNumberFormat="1" applyFont="1" applyFill="1" applyBorder="1" applyAlignment="1">
      <alignment horizontal="right" vertical="top" wrapText="1"/>
    </xf>
    <xf numFmtId="4" fontId="10" fillId="34" borderId="5" xfId="0" applyNumberFormat="1" applyFont="1" applyFill="1" applyBorder="1" applyAlignment="1">
      <alignment horizontal="right" vertical="top" wrapText="1"/>
    </xf>
    <xf numFmtId="4" fontId="10" fillId="34" borderId="11" xfId="0" applyNumberFormat="1" applyFont="1" applyFill="1" applyBorder="1" applyAlignment="1">
      <alignment horizontal="right" vertical="top" wrapText="1"/>
    </xf>
    <xf numFmtId="4" fontId="53" fillId="59" borderId="106" xfId="0" applyNumberFormat="1" applyFont="1" applyFill="1" applyBorder="1" applyAlignment="1">
      <alignment horizontal="right" wrapText="1"/>
    </xf>
    <xf numFmtId="4" fontId="53" fillId="59" borderId="2" xfId="0" applyNumberFormat="1" applyFont="1" applyFill="1" applyBorder="1" applyAlignment="1">
      <alignment horizontal="right" wrapText="1"/>
    </xf>
    <xf numFmtId="4" fontId="53" fillId="59" borderId="12" xfId="0" applyNumberFormat="1" applyFont="1" applyFill="1" applyBorder="1" applyAlignment="1">
      <alignment horizontal="right" wrapText="1"/>
    </xf>
    <xf numFmtId="4" fontId="53" fillId="59" borderId="93" xfId="0" applyNumberFormat="1" applyFont="1" applyFill="1" applyBorder="1" applyAlignment="1">
      <alignment horizontal="right" wrapText="1"/>
    </xf>
    <xf numFmtId="0" fontId="53" fillId="59" borderId="7" xfId="0" applyFont="1" applyFill="1" applyBorder="1" applyAlignment="1">
      <alignment wrapText="1"/>
    </xf>
    <xf numFmtId="4" fontId="53" fillId="59" borderId="2" xfId="0" applyNumberFormat="1" applyFont="1" applyFill="1" applyBorder="1" applyAlignment="1">
      <alignment wrapText="1"/>
    </xf>
    <xf numFmtId="0" fontId="53" fillId="59" borderId="12" xfId="0" applyFont="1" applyFill="1" applyBorder="1" applyAlignment="1">
      <alignment wrapText="1"/>
    </xf>
    <xf numFmtId="0" fontId="53" fillId="59" borderId="2" xfId="0" applyFont="1" applyFill="1" applyBorder="1" applyAlignment="1">
      <alignment wrapText="1"/>
    </xf>
    <xf numFmtId="0" fontId="10" fillId="59" borderId="2" xfId="0" applyFont="1" applyFill="1" applyBorder="1" applyAlignment="1">
      <alignment wrapText="1"/>
    </xf>
    <xf numFmtId="0" fontId="53" fillId="0" borderId="88" xfId="0" applyFont="1" applyFill="1" applyBorder="1" applyAlignment="1">
      <alignment vertical="center" wrapText="1"/>
    </xf>
    <xf numFmtId="0" fontId="53" fillId="0" borderId="135" xfId="0" applyFont="1" applyFill="1" applyBorder="1" applyAlignment="1">
      <alignment vertical="center" wrapText="1"/>
    </xf>
    <xf numFmtId="0" fontId="53" fillId="0" borderId="87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53" fillId="0" borderId="0" xfId="0" applyFont="1" applyFill="1"/>
    <xf numFmtId="0" fontId="10" fillId="0" borderId="11" xfId="0" applyFont="1" applyFill="1" applyBorder="1" applyAlignment="1">
      <alignment horizontal="left" wrapText="1" indent="2"/>
    </xf>
    <xf numFmtId="0" fontId="10" fillId="0" borderId="93" xfId="0" applyFont="1" applyFill="1" applyBorder="1" applyAlignment="1">
      <alignment horizontal="left" wrapText="1" indent="2"/>
    </xf>
    <xf numFmtId="0" fontId="10" fillId="0" borderId="7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4" fontId="10" fillId="0" borderId="2" xfId="0" applyNumberFormat="1" applyFont="1" applyFill="1" applyBorder="1" applyAlignment="1">
      <alignment vertical="top" wrapText="1"/>
    </xf>
    <xf numFmtId="4" fontId="10" fillId="0" borderId="106" xfId="0" applyNumberFormat="1" applyFont="1" applyFill="1" applyBorder="1" applyAlignment="1">
      <alignment vertical="top" wrapText="1"/>
    </xf>
    <xf numFmtId="0" fontId="10" fillId="0" borderId="93" xfId="0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4" fontId="10" fillId="0" borderId="93" xfId="0" applyNumberFormat="1" applyFont="1" applyFill="1" applyBorder="1" applyAlignment="1">
      <alignment horizontal="right" vertical="top" wrapText="1"/>
    </xf>
    <xf numFmtId="4" fontId="10" fillId="0" borderId="12" xfId="0" applyNumberFormat="1" applyFont="1" applyFill="1" applyBorder="1" applyAlignment="1">
      <alignment horizontal="right" vertical="top" wrapText="1"/>
    </xf>
    <xf numFmtId="4" fontId="10" fillId="0" borderId="2" xfId="0" applyNumberFormat="1" applyFont="1" applyFill="1" applyBorder="1" applyAlignment="1">
      <alignment horizontal="right" vertical="top" wrapText="1"/>
    </xf>
    <xf numFmtId="4" fontId="10" fillId="0" borderId="106" xfId="0" applyNumberFormat="1" applyFont="1" applyFill="1" applyBorder="1" applyAlignment="1">
      <alignment horizontal="right" vertical="top" wrapText="1"/>
    </xf>
    <xf numFmtId="0" fontId="10" fillId="0" borderId="10" xfId="0" applyFont="1" applyFill="1" applyBorder="1" applyAlignment="1">
      <alignment horizontal="left" wrapText="1" indent="2"/>
    </xf>
    <xf numFmtId="0" fontId="10" fillId="0" borderId="136" xfId="0" applyFont="1" applyFill="1" applyBorder="1" applyAlignment="1">
      <alignment wrapText="1"/>
    </xf>
    <xf numFmtId="0" fontId="10" fillId="0" borderId="136" xfId="0" applyFont="1" applyFill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right" vertical="top" wrapText="1"/>
    </xf>
    <xf numFmtId="4" fontId="10" fillId="0" borderId="147" xfId="0" applyNumberFormat="1" applyFont="1" applyFill="1" applyBorder="1" applyAlignment="1">
      <alignment horizontal="right" vertical="top" wrapText="1"/>
    </xf>
    <xf numFmtId="4" fontId="10" fillId="0" borderId="9" xfId="0" applyNumberFormat="1" applyFont="1" applyFill="1" applyBorder="1" applyAlignment="1">
      <alignment horizontal="right" vertical="top" wrapText="1"/>
    </xf>
    <xf numFmtId="4" fontId="10" fillId="0" borderId="105" xfId="0" applyNumberFormat="1" applyFont="1" applyFill="1" applyBorder="1" applyAlignment="1">
      <alignment horizontal="right" vertical="top" wrapText="1"/>
    </xf>
    <xf numFmtId="0" fontId="166" fillId="0" borderId="11" xfId="0" applyNumberFormat="1" applyFont="1" applyFill="1" applyBorder="1" applyAlignment="1">
      <alignment horizontal="left" vertical="center" wrapText="1" indent="2"/>
    </xf>
    <xf numFmtId="0" fontId="166" fillId="0" borderId="97" xfId="0" applyNumberFormat="1" applyFont="1" applyFill="1" applyBorder="1" applyAlignment="1">
      <alignment horizontal="left" vertical="center" wrapText="1" indent="2"/>
    </xf>
    <xf numFmtId="166" fontId="52" fillId="0" borderId="0" xfId="0" applyNumberFormat="1" applyFont="1" applyFill="1"/>
    <xf numFmtId="0" fontId="166" fillId="0" borderId="10" xfId="0" applyNumberFormat="1" applyFont="1" applyFill="1" applyBorder="1" applyAlignment="1">
      <alignment horizontal="left" vertical="center" wrapText="1" indent="2"/>
    </xf>
    <xf numFmtId="166" fontId="169" fillId="0" borderId="16" xfId="0" applyNumberFormat="1" applyFont="1" applyFill="1" applyBorder="1" applyAlignment="1">
      <alignment horizontal="right"/>
    </xf>
    <xf numFmtId="166" fontId="169" fillId="5" borderId="14" xfId="0" applyNumberFormat="1" applyFont="1" applyFill="1" applyBorder="1" applyAlignment="1">
      <alignment horizontal="right"/>
    </xf>
    <xf numFmtId="166" fontId="48" fillId="4" borderId="4" xfId="0" applyNumberFormat="1" applyFont="1" applyFill="1" applyBorder="1" applyAlignment="1">
      <alignment horizontal="right"/>
    </xf>
    <xf numFmtId="166" fontId="48" fillId="0" borderId="4" xfId="0" applyNumberFormat="1" applyFont="1" applyFill="1" applyBorder="1" applyAlignment="1">
      <alignment horizontal="right"/>
    </xf>
    <xf numFmtId="166" fontId="169" fillId="0" borderId="4" xfId="0" applyNumberFormat="1" applyFont="1" applyFill="1" applyBorder="1" applyAlignment="1">
      <alignment horizontal="right"/>
    </xf>
    <xf numFmtId="0" fontId="170" fillId="80" borderId="0" xfId="0" applyFont="1" applyFill="1" applyBorder="1" applyAlignment="1">
      <alignment horizontal="right"/>
    </xf>
    <xf numFmtId="0" fontId="170" fillId="0" borderId="0" xfId="0" applyFont="1" applyBorder="1" applyAlignment="1">
      <alignment horizontal="right"/>
    </xf>
    <xf numFmtId="0" fontId="180" fillId="0" borderId="0" xfId="0" applyFont="1" applyBorder="1" applyAlignment="1">
      <alignment horizontal="right"/>
    </xf>
    <xf numFmtId="0" fontId="166" fillId="60" borderId="15" xfId="0" applyNumberFormat="1" applyFont="1" applyFill="1" applyBorder="1" applyAlignment="1">
      <alignment horizontal="left" vertical="center" wrapText="1"/>
    </xf>
    <xf numFmtId="166" fontId="166" fillId="0" borderId="30" xfId="0" applyNumberFormat="1" applyFont="1" applyFill="1" applyBorder="1" applyAlignment="1">
      <alignment horizontal="right" wrapText="1"/>
    </xf>
    <xf numFmtId="166" fontId="52" fillId="0" borderId="30" xfId="0" applyNumberFormat="1" applyFont="1" applyFill="1" applyBorder="1" applyAlignment="1">
      <alignment horizontal="right"/>
    </xf>
    <xf numFmtId="166" fontId="52" fillId="0" borderId="30" xfId="0" applyNumberFormat="1" applyFont="1" applyBorder="1" applyAlignment="1">
      <alignment horizontal="right"/>
    </xf>
    <xf numFmtId="166" fontId="52" fillId="0" borderId="31" xfId="0" applyNumberFormat="1" applyFont="1" applyBorder="1" applyAlignment="1">
      <alignment horizontal="right"/>
    </xf>
    <xf numFmtId="166" fontId="169" fillId="0" borderId="136" xfId="0" applyNumberFormat="1" applyFont="1" applyFill="1" applyBorder="1" applyAlignment="1">
      <alignment horizontal="right"/>
    </xf>
    <xf numFmtId="166" fontId="169" fillId="0" borderId="9" xfId="0" applyNumberFormat="1" applyFont="1" applyBorder="1" applyAlignment="1">
      <alignment horizontal="right"/>
    </xf>
    <xf numFmtId="166" fontId="52" fillId="0" borderId="5" xfId="0" applyNumberFormat="1" applyFont="1" applyFill="1" applyBorder="1" applyAlignment="1">
      <alignment horizontal="right"/>
    </xf>
    <xf numFmtId="166" fontId="52" fillId="0" borderId="133" xfId="0" applyNumberFormat="1" applyFont="1" applyFill="1" applyBorder="1" applyAlignment="1">
      <alignment horizontal="right"/>
    </xf>
    <xf numFmtId="0" fontId="169" fillId="0" borderId="0" xfId="0" applyFont="1" applyBorder="1"/>
    <xf numFmtId="166" fontId="171" fillId="31" borderId="27" xfId="50" applyNumberFormat="1" applyFont="1" applyBorder="1" applyAlignment="1">
      <alignment horizontal="left"/>
    </xf>
    <xf numFmtId="0" fontId="136" fillId="0" borderId="0" xfId="0" applyFont="1" applyBorder="1" applyAlignment="1">
      <alignment horizontal="center" vertical="center" wrapText="1"/>
    </xf>
    <xf numFmtId="0" fontId="136" fillId="0" borderId="96" xfId="0" applyFont="1" applyBorder="1" applyAlignment="1">
      <alignment horizontal="center" vertical="center" wrapText="1"/>
    </xf>
    <xf numFmtId="0" fontId="131" fillId="0" borderId="99" xfId="0" applyFont="1" applyBorder="1" applyAlignment="1">
      <alignment horizontal="center" wrapText="1"/>
    </xf>
    <xf numFmtId="0" fontId="131" fillId="0" borderId="139" xfId="0" applyFont="1" applyBorder="1" applyAlignment="1">
      <alignment horizontal="center" wrapText="1"/>
    </xf>
    <xf numFmtId="0" fontId="131" fillId="0" borderId="112" xfId="0" applyFont="1" applyBorder="1" applyAlignment="1">
      <alignment horizontal="center" wrapText="1"/>
    </xf>
    <xf numFmtId="0" fontId="131" fillId="0" borderId="89" xfId="0" applyFont="1" applyBorder="1" applyAlignment="1">
      <alignment horizontal="center" wrapText="1"/>
    </xf>
    <xf numFmtId="0" fontId="131" fillId="0" borderId="90" xfId="0" applyFont="1" applyBorder="1" applyAlignment="1">
      <alignment horizontal="center" wrapText="1"/>
    </xf>
    <xf numFmtId="0" fontId="131" fillId="0" borderId="91" xfId="0" applyFont="1" applyBorder="1" applyAlignment="1">
      <alignment horizontal="center" wrapText="1"/>
    </xf>
    <xf numFmtId="0" fontId="132" fillId="56" borderId="19" xfId="0" applyFont="1" applyFill="1" applyBorder="1" applyAlignment="1">
      <alignment horizontal="center" vertical="center" wrapText="1"/>
    </xf>
    <xf numFmtId="0" fontId="132" fillId="56" borderId="134" xfId="0" applyFont="1" applyFill="1" applyBorder="1" applyAlignment="1">
      <alignment horizontal="center" vertical="center" wrapText="1"/>
    </xf>
    <xf numFmtId="0" fontId="133" fillId="56" borderId="129" xfId="0" applyFont="1" applyFill="1" applyBorder="1" applyAlignment="1">
      <alignment horizontal="center" vertical="center" wrapText="1"/>
    </xf>
    <xf numFmtId="0" fontId="133" fillId="56" borderId="135" xfId="0" applyFont="1" applyFill="1" applyBorder="1" applyAlignment="1">
      <alignment horizontal="center" vertical="center" wrapText="1"/>
    </xf>
    <xf numFmtId="0" fontId="134" fillId="56" borderId="101" xfId="0" applyFont="1" applyFill="1" applyBorder="1" applyAlignment="1">
      <alignment horizontal="center" vertical="center" wrapText="1"/>
    </xf>
    <xf numFmtId="0" fontId="134" fillId="56" borderId="13" xfId="0" applyFont="1" applyFill="1" applyBorder="1" applyAlignment="1">
      <alignment horizontal="center" vertical="center" wrapText="1"/>
    </xf>
    <xf numFmtId="1" fontId="134" fillId="56" borderId="15" xfId="0" applyNumberFormat="1" applyFont="1" applyFill="1" applyBorder="1" applyAlignment="1">
      <alignment horizontal="center" vertical="center" wrapText="1"/>
    </xf>
    <xf numFmtId="1" fontId="134" fillId="56" borderId="30" xfId="0" applyNumberFormat="1" applyFont="1" applyFill="1" applyBorder="1" applyAlignment="1">
      <alignment horizontal="center" vertical="center" wrapText="1"/>
    </xf>
    <xf numFmtId="1" fontId="134" fillId="56" borderId="114" xfId="0" applyNumberFormat="1" applyFont="1" applyFill="1" applyBorder="1" applyAlignment="1">
      <alignment horizontal="center" vertical="center" wrapText="1"/>
    </xf>
    <xf numFmtId="1" fontId="134" fillId="56" borderId="31" xfId="0" applyNumberFormat="1" applyFont="1" applyFill="1" applyBorder="1" applyAlignment="1">
      <alignment horizontal="center" vertical="center" wrapText="1"/>
    </xf>
    <xf numFmtId="0" fontId="160" fillId="0" borderId="0" xfId="0" applyFont="1" applyFill="1" applyAlignment="1">
      <alignment horizontal="center" wrapText="1"/>
    </xf>
    <xf numFmtId="0" fontId="137" fillId="0" borderId="0" xfId="0" applyFont="1" applyBorder="1" applyAlignment="1">
      <alignment horizontal="left"/>
    </xf>
    <xf numFmtId="0" fontId="122" fillId="0" borderId="0" xfId="52" applyFont="1" applyFill="1" applyAlignment="1">
      <alignment horizontal="center" wrapText="1"/>
    </xf>
    <xf numFmtId="0" fontId="38" fillId="0" borderId="0" xfId="52" applyFont="1" applyAlignment="1">
      <alignment horizontal="center" wrapText="1"/>
    </xf>
    <xf numFmtId="0" fontId="158" fillId="0" borderId="128" xfId="0" applyFont="1" applyBorder="1" applyAlignment="1">
      <alignment horizontal="center" vertical="center"/>
    </xf>
    <xf numFmtId="0" fontId="141" fillId="0" borderId="131" xfId="0" applyFont="1" applyBorder="1" applyAlignment="1">
      <alignment horizontal="center" wrapText="1"/>
    </xf>
    <xf numFmtId="0" fontId="141" fillId="0" borderId="0" xfId="0" applyFont="1" applyAlignment="1">
      <alignment horizontal="center" wrapText="1"/>
    </xf>
    <xf numFmtId="0" fontId="162" fillId="0" borderId="0" xfId="0" applyFont="1" applyAlignment="1">
      <alignment horizontal="center" wrapText="1"/>
    </xf>
    <xf numFmtId="0" fontId="53" fillId="59" borderId="132" xfId="0" applyFont="1" applyFill="1" applyBorder="1" applyAlignment="1">
      <alignment horizontal="left" vertical="center" wrapText="1"/>
    </xf>
    <xf numFmtId="0" fontId="53" fillId="59" borderId="6" xfId="0" applyFont="1" applyFill="1" applyBorder="1" applyAlignment="1">
      <alignment horizontal="left" vertical="center" wrapText="1"/>
    </xf>
    <xf numFmtId="0" fontId="10" fillId="0" borderId="98" xfId="0" applyFont="1" applyFill="1" applyBorder="1" applyAlignment="1">
      <alignment horizontal="center" vertical="center" wrapText="1"/>
    </xf>
    <xf numFmtId="0" fontId="10" fillId="0" borderId="9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4" fontId="53" fillId="0" borderId="1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53" fillId="0" borderId="84" xfId="0" applyFont="1" applyFill="1" applyBorder="1" applyAlignment="1">
      <alignment horizontal="center" vertical="center" wrapText="1"/>
    </xf>
    <xf numFmtId="0" fontId="53" fillId="0" borderId="158" xfId="0" applyFont="1" applyFill="1" applyBorder="1" applyAlignment="1">
      <alignment horizontal="center" vertical="center" wrapText="1"/>
    </xf>
    <xf numFmtId="0" fontId="53" fillId="0" borderId="101" xfId="0" applyFont="1" applyFill="1" applyBorder="1" applyAlignment="1">
      <alignment horizontal="center" vertical="center" wrapText="1"/>
    </xf>
    <xf numFmtId="0" fontId="53" fillId="0" borderId="94" xfId="0" applyFont="1" applyFill="1" applyBorder="1" applyAlignment="1">
      <alignment horizontal="center" vertical="center" wrapText="1"/>
    </xf>
    <xf numFmtId="0" fontId="53" fillId="0" borderId="111" xfId="0" applyFont="1" applyFill="1" applyBorder="1" applyAlignment="1">
      <alignment horizontal="center" vertical="center" wrapText="1"/>
    </xf>
    <xf numFmtId="0" fontId="53" fillId="0" borderId="34" xfId="0" applyFont="1" applyFill="1" applyBorder="1" applyAlignment="1">
      <alignment horizontal="center" vertical="center" wrapText="1"/>
    </xf>
    <xf numFmtId="0" fontId="53" fillId="0" borderId="129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114" xfId="0" applyFont="1" applyFill="1" applyBorder="1" applyAlignment="1">
      <alignment horizontal="center" vertical="center" wrapText="1"/>
    </xf>
    <xf numFmtId="0" fontId="53" fillId="0" borderId="115" xfId="0" applyFont="1" applyFill="1" applyBorder="1" applyAlignment="1">
      <alignment horizontal="center" vertical="center" wrapText="1"/>
    </xf>
    <xf numFmtId="0" fontId="53" fillId="0" borderId="138" xfId="0" applyFont="1" applyFill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93" xfId="0" applyFont="1" applyFill="1" applyBorder="1" applyAlignment="1">
      <alignment horizontal="center" vertical="center" wrapText="1"/>
    </xf>
    <xf numFmtId="0" fontId="48" fillId="0" borderId="157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4" fontId="53" fillId="0" borderId="3" xfId="0" applyNumberFormat="1" applyFont="1" applyFill="1" applyBorder="1" applyAlignment="1">
      <alignment horizontal="right" vertical="center" wrapText="1"/>
    </xf>
    <xf numFmtId="4" fontId="53" fillId="0" borderId="2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4" fontId="10" fillId="0" borderId="98" xfId="0" applyNumberFormat="1" applyFont="1" applyFill="1" applyBorder="1" applyAlignment="1">
      <alignment horizontal="left" vertical="center" wrapText="1"/>
    </xf>
    <xf numFmtId="4" fontId="10" fillId="0" borderId="130" xfId="0" applyNumberFormat="1" applyFont="1" applyFill="1" applyBorder="1" applyAlignment="1">
      <alignment horizontal="left" vertical="center" wrapText="1"/>
    </xf>
    <xf numFmtId="0" fontId="48" fillId="0" borderId="0" xfId="0" applyFont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 wrapText="1"/>
    </xf>
    <xf numFmtId="4" fontId="10" fillId="34" borderId="3" xfId="0" applyNumberFormat="1" applyFont="1" applyFill="1" applyBorder="1" applyAlignment="1">
      <alignment horizontal="right" vertical="center" wrapText="1"/>
    </xf>
    <xf numFmtId="4" fontId="10" fillId="34" borderId="2" xfId="0" applyNumberFormat="1" applyFont="1" applyFill="1" applyBorder="1" applyAlignment="1">
      <alignment horizontal="right" vertical="center" wrapText="1"/>
    </xf>
    <xf numFmtId="4" fontId="10" fillId="34" borderId="110" xfId="0" applyNumberFormat="1" applyFont="1" applyFill="1" applyBorder="1" applyAlignment="1">
      <alignment horizontal="center" vertical="center" wrapText="1"/>
    </xf>
    <xf numFmtId="4" fontId="10" fillId="34" borderId="106" xfId="0" applyNumberFormat="1" applyFont="1" applyFill="1" applyBorder="1" applyAlignment="1">
      <alignment horizontal="center" vertical="center" wrapText="1"/>
    </xf>
    <xf numFmtId="4" fontId="10" fillId="34" borderId="110" xfId="0" applyNumberFormat="1" applyFont="1" applyFill="1" applyBorder="1" applyAlignment="1">
      <alignment horizontal="right" vertical="center" wrapText="1"/>
    </xf>
    <xf numFmtId="4" fontId="10" fillId="34" borderId="106" xfId="0" applyNumberFormat="1" applyFont="1" applyFill="1" applyBorder="1" applyAlignment="1">
      <alignment horizontal="right" vertical="center" wrapText="1"/>
    </xf>
    <xf numFmtId="0" fontId="53" fillId="0" borderId="134" xfId="0" applyFont="1" applyFill="1" applyBorder="1" applyAlignment="1">
      <alignment horizontal="center" vertical="center" wrapText="1"/>
    </xf>
    <xf numFmtId="0" fontId="53" fillId="0" borderId="114" xfId="0" applyFont="1" applyFill="1" applyBorder="1" applyAlignment="1">
      <alignment horizontal="center" wrapText="1"/>
    </xf>
    <xf numFmtId="0" fontId="53" fillId="0" borderId="115" xfId="0" applyFont="1" applyFill="1" applyBorder="1" applyAlignment="1">
      <alignment horizontal="center" wrapText="1"/>
    </xf>
    <xf numFmtId="0" fontId="53" fillId="0" borderId="116" xfId="0" applyFont="1" applyFill="1" applyBorder="1" applyAlignment="1">
      <alignment horizontal="center" wrapText="1"/>
    </xf>
    <xf numFmtId="0" fontId="53" fillId="0" borderId="114" xfId="0" applyFont="1" applyFill="1" applyBorder="1" applyAlignment="1">
      <alignment horizontal="center"/>
    </xf>
    <xf numFmtId="0" fontId="53" fillId="0" borderId="115" xfId="0" applyFont="1" applyFill="1" applyBorder="1" applyAlignment="1">
      <alignment horizontal="center"/>
    </xf>
    <xf numFmtId="0" fontId="53" fillId="0" borderId="116" xfId="0" applyFont="1" applyFill="1" applyBorder="1" applyAlignment="1">
      <alignment horizontal="center"/>
    </xf>
    <xf numFmtId="0" fontId="53" fillId="0" borderId="135" xfId="0" applyFont="1" applyFill="1" applyBorder="1" applyAlignment="1">
      <alignment horizontal="center" vertical="center" wrapText="1"/>
    </xf>
    <xf numFmtId="0" fontId="10" fillId="34" borderId="3" xfId="0" applyFont="1" applyFill="1" applyBorder="1" applyAlignment="1">
      <alignment horizontal="center" vertical="center" wrapText="1"/>
    </xf>
    <xf numFmtId="0" fontId="10" fillId="34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53" fillId="0" borderId="139" xfId="0" applyFont="1" applyFill="1" applyBorder="1" applyAlignment="1">
      <alignment horizontal="center" vertical="center" wrapText="1"/>
    </xf>
    <xf numFmtId="0" fontId="53" fillId="0" borderId="87" xfId="0" applyFont="1" applyFill="1" applyBorder="1" applyAlignment="1">
      <alignment horizontal="center" vertical="center" wrapText="1"/>
    </xf>
    <xf numFmtId="0" fontId="53" fillId="0" borderId="99" xfId="0" applyFont="1" applyFill="1" applyBorder="1" applyAlignment="1">
      <alignment horizontal="center" vertical="center" wrapText="1"/>
    </xf>
    <xf numFmtId="0" fontId="53" fillId="0" borderId="86" xfId="0" applyFont="1" applyFill="1" applyBorder="1" applyAlignment="1">
      <alignment horizontal="center" vertical="center"/>
    </xf>
    <xf numFmtId="0" fontId="10" fillId="0" borderId="111" xfId="0" applyFont="1" applyFill="1" applyBorder="1" applyAlignment="1">
      <alignment horizontal="center"/>
    </xf>
    <xf numFmtId="0" fontId="10" fillId="0" borderId="113" xfId="0" applyFont="1" applyFill="1" applyBorder="1" applyAlignment="1">
      <alignment horizontal="center"/>
    </xf>
    <xf numFmtId="0" fontId="53" fillId="0" borderId="112" xfId="0" applyFont="1" applyFill="1" applyBorder="1" applyAlignment="1">
      <alignment horizontal="center" vertical="center" wrapText="1"/>
    </xf>
    <xf numFmtId="0" fontId="53" fillId="0" borderId="88" xfId="0" applyFont="1" applyFill="1" applyBorder="1" applyAlignment="1">
      <alignment horizontal="center" vertical="center" wrapText="1"/>
    </xf>
    <xf numFmtId="0" fontId="53" fillId="0" borderId="100" xfId="0" applyFont="1" applyFill="1" applyBorder="1" applyAlignment="1">
      <alignment horizontal="center" vertical="center" wrapText="1"/>
    </xf>
    <xf numFmtId="0" fontId="53" fillId="0" borderId="102" xfId="0" applyFont="1" applyFill="1" applyBorder="1" applyAlignment="1">
      <alignment horizontal="center" vertical="center" wrapText="1"/>
    </xf>
    <xf numFmtId="4" fontId="10" fillId="34" borderId="128" xfId="0" applyNumberFormat="1" applyFont="1" applyFill="1" applyBorder="1" applyAlignment="1">
      <alignment horizontal="right" vertical="center" wrapText="1"/>
    </xf>
    <xf numFmtId="4" fontId="10" fillId="34" borderId="12" xfId="0" applyNumberFormat="1" applyFont="1" applyFill="1" applyBorder="1" applyAlignment="1">
      <alignment horizontal="right" vertical="center" wrapText="1"/>
    </xf>
    <xf numFmtId="4" fontId="10" fillId="34" borderId="97" xfId="0" applyNumberFormat="1" applyFont="1" applyFill="1" applyBorder="1" applyAlignment="1">
      <alignment horizontal="right" vertical="center" wrapText="1"/>
    </xf>
    <xf numFmtId="4" fontId="10" fillId="34" borderId="93" xfId="0" applyNumberFormat="1" applyFont="1" applyFill="1" applyBorder="1" applyAlignment="1">
      <alignment horizontal="right" vertical="center" wrapText="1"/>
    </xf>
    <xf numFmtId="4" fontId="10" fillId="34" borderId="190" xfId="0" applyNumberFormat="1" applyFont="1" applyFill="1" applyBorder="1" applyAlignment="1">
      <alignment horizontal="right" vertical="center" wrapText="1"/>
    </xf>
    <xf numFmtId="4" fontId="10" fillId="34" borderId="150" xfId="0" applyNumberFormat="1" applyFont="1" applyFill="1" applyBorder="1" applyAlignment="1">
      <alignment horizontal="right" vertical="center" wrapText="1"/>
    </xf>
    <xf numFmtId="0" fontId="77" fillId="0" borderId="15" xfId="0" applyFont="1" applyBorder="1" applyAlignment="1">
      <alignment horizontal="left" vertical="center"/>
    </xf>
    <xf numFmtId="0" fontId="77" fillId="0" borderId="30" xfId="0" applyFont="1" applyBorder="1" applyAlignment="1">
      <alignment horizontal="left" vertical="center"/>
    </xf>
    <xf numFmtId="0" fontId="77" fillId="0" borderId="31" xfId="0" applyFont="1" applyBorder="1" applyAlignment="1">
      <alignment horizontal="left" vertical="center"/>
    </xf>
    <xf numFmtId="0" fontId="112" fillId="0" borderId="0" xfId="121" applyNumberFormat="1" applyFont="1" applyAlignment="1">
      <alignment vertical="top" wrapText="1"/>
    </xf>
    <xf numFmtId="0" fontId="110" fillId="62" borderId="140" xfId="121" applyNumberFormat="1" applyFont="1" applyFill="1" applyBorder="1" applyAlignment="1">
      <alignment horizontal="center" vertical="top" wrapText="1"/>
    </xf>
    <xf numFmtId="0" fontId="110" fillId="62" borderId="140" xfId="121" applyNumberFormat="1" applyFont="1" applyFill="1" applyBorder="1" applyAlignment="1">
      <alignment horizontal="left" vertical="top" wrapText="1"/>
    </xf>
    <xf numFmtId="0" fontId="91" fillId="0" borderId="0" xfId="12" applyFont="1" applyFill="1" applyBorder="1" applyAlignment="1">
      <alignment horizontal="left" vertical="center" wrapText="1"/>
    </xf>
    <xf numFmtId="0" fontId="91" fillId="0" borderId="1" xfId="0" applyFont="1" applyFill="1" applyBorder="1" applyAlignment="1">
      <alignment horizontal="center" vertical="center" wrapText="1"/>
    </xf>
    <xf numFmtId="0" fontId="91" fillId="0" borderId="1" xfId="0" applyNumberFormat="1" applyFont="1" applyFill="1" applyBorder="1" applyAlignment="1">
      <alignment horizontal="center" vertical="center" wrapText="1"/>
    </xf>
    <xf numFmtId="0" fontId="91" fillId="0" borderId="1" xfId="0" applyFont="1" applyFill="1" applyBorder="1" applyAlignment="1">
      <alignment vertical="center" wrapText="1"/>
    </xf>
    <xf numFmtId="165" fontId="91" fillId="0" borderId="1" xfId="0" applyNumberFormat="1" applyFont="1" applyFill="1" applyBorder="1" applyAlignment="1">
      <alignment horizontal="center" vertical="center" wrapText="1"/>
    </xf>
    <xf numFmtId="166" fontId="91" fillId="0" borderId="1" xfId="0" applyNumberFormat="1" applyFont="1" applyFill="1" applyBorder="1" applyAlignment="1">
      <alignment horizontal="center" vertical="center" wrapText="1"/>
    </xf>
    <xf numFmtId="0" fontId="61" fillId="0" borderId="114" xfId="0" applyFont="1" applyFill="1" applyBorder="1" applyAlignment="1">
      <alignment horizontal="center" vertical="center" wrapText="1"/>
    </xf>
    <xf numFmtId="0" fontId="61" fillId="0" borderId="115" xfId="0" applyFont="1" applyFill="1" applyBorder="1" applyAlignment="1">
      <alignment horizontal="center" vertical="center" wrapText="1"/>
    </xf>
    <xf numFmtId="0" fontId="61" fillId="0" borderId="116" xfId="0" applyFont="1" applyFill="1" applyBorder="1" applyAlignment="1">
      <alignment horizontal="center" vertical="center" wrapText="1"/>
    </xf>
    <xf numFmtId="0" fontId="61" fillId="0" borderId="129" xfId="0" applyFont="1" applyFill="1" applyBorder="1" applyAlignment="1">
      <alignment horizontal="center" vertical="center" wrapText="1"/>
    </xf>
    <xf numFmtId="0" fontId="61" fillId="0" borderId="135" xfId="0" applyFont="1" applyFill="1" applyBorder="1" applyAlignment="1">
      <alignment horizontal="center" vertical="center" wrapText="1"/>
    </xf>
    <xf numFmtId="0" fontId="61" fillId="0" borderId="19" xfId="0" applyFont="1" applyFill="1" applyBorder="1" applyAlignment="1">
      <alignment horizontal="center" vertical="center" wrapText="1"/>
    </xf>
    <xf numFmtId="0" fontId="61" fillId="0" borderId="134" xfId="0" applyFont="1" applyFill="1" applyBorder="1" applyAlignment="1">
      <alignment horizontal="center" vertical="center" wrapText="1"/>
    </xf>
    <xf numFmtId="0" fontId="103" fillId="0" borderId="0" xfId="120" applyFont="1" applyFill="1" applyBorder="1" applyAlignment="1">
      <alignment horizontal="center" wrapText="1"/>
    </xf>
    <xf numFmtId="0" fontId="104" fillId="56" borderId="138" xfId="120" applyNumberFormat="1" applyFont="1" applyFill="1" applyBorder="1" applyAlignment="1">
      <alignment horizontal="center" vertical="center" wrapText="1"/>
    </xf>
    <xf numFmtId="0" fontId="104" fillId="56" borderId="30" xfId="120" applyNumberFormat="1" applyFont="1" applyFill="1" applyBorder="1" applyAlignment="1">
      <alignment horizontal="center" vertical="center" wrapText="1"/>
    </xf>
    <xf numFmtId="0" fontId="104" fillId="56" borderId="31" xfId="120" applyNumberFormat="1" applyFont="1" applyFill="1" applyBorder="1" applyAlignment="1">
      <alignment horizontal="center" vertical="center" wrapText="1"/>
    </xf>
    <xf numFmtId="0" fontId="104" fillId="56" borderId="15" xfId="120" applyNumberFormat="1" applyFont="1" applyFill="1" applyBorder="1" applyAlignment="1">
      <alignment horizontal="center" vertical="center" wrapText="1"/>
    </xf>
    <xf numFmtId="0" fontId="104" fillId="56" borderId="114" xfId="120" applyNumberFormat="1" applyFont="1" applyFill="1" applyBorder="1" applyAlignment="1">
      <alignment horizontal="center" vertical="center" wrapText="1"/>
    </xf>
    <xf numFmtId="0" fontId="105" fillId="0" borderId="95" xfId="120" applyFont="1" applyBorder="1" applyAlignment="1">
      <alignment horizontal="center" wrapText="1"/>
    </xf>
    <xf numFmtId="0" fontId="105" fillId="0" borderId="0" xfId="120" applyFont="1" applyBorder="1" applyAlignment="1">
      <alignment horizontal="center" wrapText="1"/>
    </xf>
    <xf numFmtId="0" fontId="104" fillId="56" borderId="19" xfId="120" applyFont="1" applyFill="1" applyBorder="1" applyAlignment="1">
      <alignment horizontal="center" vertical="center" wrapText="1"/>
    </xf>
    <xf numFmtId="0" fontId="104" fillId="56" borderId="134" xfId="120" applyFont="1" applyFill="1" applyBorder="1" applyAlignment="1">
      <alignment horizontal="center" vertical="center" wrapText="1"/>
    </xf>
    <xf numFmtId="0" fontId="104" fillId="56" borderId="129" xfId="120" applyFont="1" applyFill="1" applyBorder="1" applyAlignment="1">
      <alignment horizontal="center" vertical="center" wrapText="1"/>
    </xf>
    <xf numFmtId="0" fontId="104" fillId="56" borderId="135" xfId="120" applyFont="1" applyFill="1" applyBorder="1" applyAlignment="1">
      <alignment horizontal="center" vertical="center" wrapText="1"/>
    </xf>
    <xf numFmtId="0" fontId="104" fillId="56" borderId="101" xfId="120" applyFont="1" applyFill="1" applyBorder="1" applyAlignment="1">
      <alignment horizontal="center" vertical="center" wrapText="1"/>
    </xf>
    <xf numFmtId="0" fontId="104" fillId="56" borderId="13" xfId="12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left" wrapText="1"/>
    </xf>
    <xf numFmtId="0" fontId="139" fillId="0" borderId="89" xfId="0" applyFont="1" applyBorder="1" applyAlignment="1">
      <alignment horizontal="center" wrapText="1"/>
    </xf>
    <xf numFmtId="0" fontId="139" fillId="0" borderId="90" xfId="0" applyFont="1" applyBorder="1" applyAlignment="1">
      <alignment horizontal="center" wrapText="1"/>
    </xf>
    <xf numFmtId="0" fontId="139" fillId="0" borderId="91" xfId="0" applyFont="1" applyBorder="1" applyAlignment="1">
      <alignment horizontal="center" wrapText="1"/>
    </xf>
    <xf numFmtId="1" fontId="134" fillId="56" borderId="93" xfId="0" applyNumberFormat="1" applyFont="1" applyFill="1" applyBorder="1" applyAlignment="1">
      <alignment horizontal="center" vertical="center" wrapText="1"/>
    </xf>
    <xf numFmtId="1" fontId="134" fillId="56" borderId="2" xfId="0" applyNumberFormat="1" applyFont="1" applyFill="1" applyBorder="1" applyAlignment="1">
      <alignment horizontal="center" vertical="center" wrapText="1"/>
    </xf>
    <xf numFmtId="1" fontId="134" fillId="56" borderId="7" xfId="0" applyNumberFormat="1" applyFont="1" applyFill="1" applyBorder="1" applyAlignment="1">
      <alignment horizontal="center" vertical="center" wrapText="1"/>
    </xf>
    <xf numFmtId="1" fontId="134" fillId="56" borderId="94" xfId="0" applyNumberFormat="1" applyFont="1" applyFill="1" applyBorder="1" applyAlignment="1">
      <alignment horizontal="center" vertical="center" wrapText="1"/>
    </xf>
    <xf numFmtId="1" fontId="134" fillId="56" borderId="34" xfId="0" applyNumberFormat="1" applyFont="1" applyFill="1" applyBorder="1" applyAlignment="1">
      <alignment horizontal="center" vertical="center" wrapText="1"/>
    </xf>
    <xf numFmtId="4" fontId="156" fillId="0" borderId="131" xfId="0" applyNumberFormat="1" applyFont="1" applyBorder="1" applyAlignment="1">
      <alignment horizontal="center" wrapText="1"/>
    </xf>
    <xf numFmtId="4" fontId="156" fillId="0" borderId="0" xfId="0" applyNumberFormat="1" applyFont="1" applyAlignment="1">
      <alignment horizontal="center" wrapText="1"/>
    </xf>
    <xf numFmtId="0" fontId="132" fillId="56" borderId="93" xfId="0" applyFont="1" applyFill="1" applyBorder="1" applyAlignment="1">
      <alignment horizontal="center" vertical="center" wrapText="1"/>
    </xf>
    <xf numFmtId="0" fontId="133" fillId="56" borderId="2" xfId="0" applyFont="1" applyFill="1" applyBorder="1" applyAlignment="1">
      <alignment horizontal="center" vertical="center" wrapText="1"/>
    </xf>
    <xf numFmtId="0" fontId="134" fillId="56" borderId="94" xfId="0" applyFont="1" applyFill="1" applyBorder="1" applyAlignment="1">
      <alignment horizontal="center" vertical="center" wrapText="1"/>
    </xf>
    <xf numFmtId="0" fontId="130" fillId="0" borderId="87" xfId="0" applyNumberFormat="1" applyFont="1" applyBorder="1" applyAlignment="1">
      <alignment horizontal="left" vertical="center" wrapText="1"/>
    </xf>
    <xf numFmtId="0" fontId="156" fillId="0" borderId="131" xfId="0" applyFont="1" applyBorder="1" applyAlignment="1">
      <alignment horizontal="center" wrapText="1"/>
    </xf>
    <xf numFmtId="0" fontId="156" fillId="0" borderId="0" xfId="0" applyFont="1" applyAlignment="1">
      <alignment horizontal="center" wrapText="1"/>
    </xf>
    <xf numFmtId="0" fontId="62" fillId="0" borderId="0" xfId="0" applyFont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3" fontId="37" fillId="0" borderId="1" xfId="0" applyNumberFormat="1" applyFont="1" applyFill="1" applyBorder="1" applyAlignment="1">
      <alignment horizontal="center"/>
    </xf>
    <xf numFmtId="0" fontId="37" fillId="0" borderId="4" xfId="103" applyFont="1" applyBorder="1" applyAlignment="1">
      <alignment horizontal="center"/>
    </xf>
    <xf numFmtId="0" fontId="37" fillId="0" borderId="5" xfId="103" applyFont="1" applyBorder="1" applyAlignment="1">
      <alignment horizontal="center"/>
    </xf>
    <xf numFmtId="0" fontId="37" fillId="0" borderId="6" xfId="103" applyFont="1" applyBorder="1" applyAlignment="1">
      <alignment horizontal="center"/>
    </xf>
    <xf numFmtId="0" fontId="37" fillId="0" borderId="1" xfId="103" applyFont="1" applyBorder="1" applyAlignment="1">
      <alignment horizontal="center"/>
    </xf>
    <xf numFmtId="0" fontId="62" fillId="0" borderId="1" xfId="104" applyFont="1" applyFill="1" applyBorder="1" applyAlignment="1">
      <alignment horizontal="center" vertical="center" wrapText="1"/>
    </xf>
    <xf numFmtId="1" fontId="62" fillId="0" borderId="1" xfId="104" applyNumberFormat="1" applyFont="1" applyFill="1" applyBorder="1" applyAlignment="1">
      <alignment horizontal="center" vertical="center" wrapText="1"/>
    </xf>
    <xf numFmtId="176" fontId="99" fillId="0" borderId="8" xfId="104" applyNumberFormat="1" applyFont="1" applyFill="1" applyBorder="1" applyAlignment="1">
      <alignment horizontal="left" vertical="center"/>
    </xf>
    <xf numFmtId="176" fontId="99" fillId="0" borderId="128" xfId="104" applyNumberFormat="1" applyFont="1" applyFill="1" applyBorder="1" applyAlignment="1">
      <alignment horizontal="left" vertical="center"/>
    </xf>
    <xf numFmtId="176" fontId="99" fillId="0" borderId="17" xfId="104" applyNumberFormat="1" applyFont="1" applyFill="1" applyBorder="1" applyAlignment="1">
      <alignment horizontal="left" vertical="center"/>
    </xf>
    <xf numFmtId="176" fontId="99" fillId="42" borderId="1" xfId="104" applyNumberFormat="1" applyFont="1" applyFill="1" applyBorder="1" applyAlignment="1">
      <alignment horizontal="left" vertical="center"/>
    </xf>
    <xf numFmtId="0" fontId="62" fillId="0" borderId="1" xfId="104" applyFont="1" applyFill="1" applyBorder="1" applyAlignment="1">
      <alignment horizontal="left" vertical="center" wrapText="1"/>
    </xf>
    <xf numFmtId="0" fontId="62" fillId="0" borderId="1" xfId="103" applyFont="1" applyBorder="1" applyAlignment="1">
      <alignment horizontal="center" vertical="center" wrapText="1"/>
    </xf>
    <xf numFmtId="0" fontId="62" fillId="0" borderId="1" xfId="103" applyFont="1" applyBorder="1" applyAlignment="1">
      <alignment horizontal="center" vertical="center"/>
    </xf>
    <xf numFmtId="3" fontId="62" fillId="0" borderId="1" xfId="103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6" fillId="2" borderId="36" xfId="0" applyFont="1" applyFill="1" applyBorder="1" applyAlignment="1">
      <alignment horizontal="center" vertical="center" wrapText="1"/>
    </xf>
    <xf numFmtId="0" fontId="36" fillId="6" borderId="82" xfId="0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 wrapText="1"/>
    </xf>
    <xf numFmtId="0" fontId="36" fillId="6" borderId="36" xfId="0" applyFont="1" applyFill="1" applyBorder="1" applyAlignment="1">
      <alignment horizontal="center" vertical="center" wrapText="1"/>
    </xf>
    <xf numFmtId="0" fontId="68" fillId="0" borderId="0" xfId="112" applyNumberFormat="1" applyFont="1" applyAlignment="1">
      <alignment wrapText="1"/>
    </xf>
    <xf numFmtId="0" fontId="70" fillId="0" borderId="0" xfId="112" applyNumberFormat="1" applyAlignment="1">
      <alignment horizontal="center"/>
    </xf>
    <xf numFmtId="0" fontId="70" fillId="0" borderId="3" xfId="111" applyNumberFormat="1" applyFont="1" applyBorder="1" applyAlignment="1">
      <alignment vertical="top" wrapText="1"/>
    </xf>
    <xf numFmtId="0" fontId="70" fillId="0" borderId="2" xfId="111" applyNumberFormat="1" applyFont="1" applyBorder="1" applyAlignment="1">
      <alignment vertical="top" wrapText="1"/>
    </xf>
    <xf numFmtId="0" fontId="70" fillId="0" borderId="84" xfId="111" applyNumberFormat="1" applyFont="1" applyBorder="1" applyAlignment="1">
      <alignment vertical="top"/>
    </xf>
    <xf numFmtId="0" fontId="68" fillId="0" borderId="0" xfId="111" applyNumberFormat="1" applyFont="1" applyAlignment="1">
      <alignment wrapText="1"/>
    </xf>
    <xf numFmtId="0" fontId="69" fillId="0" borderId="83" xfId="111" applyNumberFormat="1" applyFont="1" applyBorder="1" applyAlignment="1">
      <alignment horizontal="center" vertical="top"/>
    </xf>
    <xf numFmtId="0" fontId="0" fillId="0" borderId="3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34" xfId="0" applyNumberFormat="1" applyFont="1" applyBorder="1" applyAlignment="1">
      <alignment vertical="top" wrapText="1"/>
    </xf>
    <xf numFmtId="0" fontId="0" fillId="0" borderId="84" xfId="0" applyNumberFormat="1" applyFont="1" applyBorder="1" applyAlignment="1">
      <alignment vertical="top"/>
    </xf>
    <xf numFmtId="0" fontId="0" fillId="0" borderId="85" xfId="0" applyNumberFormat="1" applyFont="1" applyBorder="1" applyAlignment="1">
      <alignment vertical="top" wrapText="1"/>
    </xf>
    <xf numFmtId="0" fontId="68" fillId="0" borderId="0" xfId="0" applyNumberFormat="1" applyFont="1" applyAlignment="1">
      <alignment wrapText="1"/>
    </xf>
    <xf numFmtId="0" fontId="69" fillId="0" borderId="83" xfId="0" applyNumberFormat="1" applyFont="1" applyBorder="1" applyAlignment="1">
      <alignment horizontal="center" vertical="top"/>
    </xf>
    <xf numFmtId="0" fontId="69" fillId="0" borderId="83" xfId="0" applyNumberFormat="1" applyFont="1" applyBorder="1" applyAlignment="1">
      <alignment horizontal="center" vertical="top" wrapText="1"/>
    </xf>
    <xf numFmtId="0" fontId="0" fillId="0" borderId="85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125" fillId="0" borderId="1" xfId="0" applyFont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 wrapText="1"/>
    </xf>
    <xf numFmtId="0" fontId="125" fillId="0" borderId="12" xfId="0" applyFont="1" applyBorder="1" applyAlignment="1">
      <alignment horizontal="left" vertical="center" wrapText="1"/>
    </xf>
    <xf numFmtId="0" fontId="39" fillId="5" borderId="53" xfId="57" applyFont="1" applyFill="1" applyBorder="1" applyAlignment="1">
      <alignment horizontal="center" wrapText="1"/>
    </xf>
    <xf numFmtId="0" fontId="39" fillId="5" borderId="56" xfId="57" applyFont="1" applyFill="1" applyBorder="1" applyAlignment="1">
      <alignment horizontal="center" wrapText="1"/>
    </xf>
    <xf numFmtId="0" fontId="39" fillId="34" borderId="0" xfId="0" applyFont="1" applyFill="1" applyAlignment="1">
      <alignment horizontal="center" wrapText="1"/>
    </xf>
    <xf numFmtId="0" fontId="39" fillId="32" borderId="50" xfId="57" applyFont="1" applyBorder="1" applyAlignment="1">
      <alignment horizontal="center" vertical="center" wrapText="1"/>
    </xf>
    <xf numFmtId="0" fontId="39" fillId="32" borderId="57" xfId="57" applyFont="1" applyBorder="1" applyAlignment="1">
      <alignment horizontal="center" vertical="center" wrapText="1"/>
    </xf>
    <xf numFmtId="0" fontId="46" fillId="32" borderId="51" xfId="57" applyFont="1" applyBorder="1" applyAlignment="1">
      <alignment horizontal="center" vertical="center" wrapText="1"/>
    </xf>
    <xf numFmtId="0" fontId="46" fillId="32" borderId="58" xfId="57" applyFont="1" applyBorder="1" applyAlignment="1">
      <alignment horizontal="center" vertical="center" wrapText="1"/>
    </xf>
    <xf numFmtId="0" fontId="46" fillId="32" borderId="52" xfId="57" applyFont="1" applyBorder="1" applyAlignment="1">
      <alignment horizontal="center" vertical="center" wrapText="1"/>
    </xf>
    <xf numFmtId="0" fontId="46" fillId="32" borderId="59" xfId="57" applyFont="1" applyBorder="1" applyAlignment="1">
      <alignment horizontal="center" vertical="center" wrapText="1"/>
    </xf>
    <xf numFmtId="166" fontId="46" fillId="32" borderId="53" xfId="57" applyNumberFormat="1" applyFont="1" applyBorder="1" applyAlignment="1">
      <alignment horizontal="center" vertical="center" wrapText="1"/>
    </xf>
    <xf numFmtId="166" fontId="46" fillId="32" borderId="60" xfId="57" applyNumberFormat="1" applyFont="1" applyBorder="1" applyAlignment="1">
      <alignment horizontal="center" vertical="center" wrapText="1"/>
    </xf>
    <xf numFmtId="0" fontId="39" fillId="5" borderId="54" xfId="57" applyFont="1" applyFill="1" applyBorder="1" applyAlignment="1">
      <alignment horizontal="center" vertical="center" wrapText="1"/>
    </xf>
    <xf numFmtId="0" fontId="39" fillId="5" borderId="55" xfId="57" applyFont="1" applyFill="1" applyBorder="1" applyAlignment="1">
      <alignment horizontal="center" vertical="center" wrapText="1"/>
    </xf>
    <xf numFmtId="0" fontId="48" fillId="5" borderId="53" xfId="57" applyFont="1" applyFill="1" applyBorder="1" applyAlignment="1">
      <alignment horizontal="center" wrapText="1"/>
    </xf>
    <xf numFmtId="0" fontId="48" fillId="5" borderId="56" xfId="57" applyFont="1" applyFill="1" applyBorder="1" applyAlignment="1">
      <alignment horizontal="center" wrapText="1"/>
    </xf>
    <xf numFmtId="0" fontId="48" fillId="32" borderId="50" xfId="57" applyFont="1" applyBorder="1" applyAlignment="1">
      <alignment horizontal="center" vertical="center" wrapText="1"/>
    </xf>
    <xf numFmtId="0" fontId="48" fillId="32" borderId="57" xfId="57" applyFont="1" applyBorder="1" applyAlignment="1">
      <alignment horizontal="center" vertical="center" wrapText="1"/>
    </xf>
    <xf numFmtId="0" fontId="53" fillId="32" borderId="51" xfId="57" applyFont="1" applyBorder="1" applyAlignment="1">
      <alignment horizontal="center" vertical="center" wrapText="1"/>
    </xf>
    <xf numFmtId="0" fontId="53" fillId="32" borderId="58" xfId="57" applyFont="1" applyBorder="1" applyAlignment="1">
      <alignment horizontal="center" vertical="center" wrapText="1"/>
    </xf>
    <xf numFmtId="0" fontId="53" fillId="32" borderId="52" xfId="57" applyFont="1" applyBorder="1" applyAlignment="1">
      <alignment horizontal="center" vertical="center" wrapText="1"/>
    </xf>
    <xf numFmtId="0" fontId="53" fillId="32" borderId="59" xfId="57" applyFont="1" applyBorder="1" applyAlignment="1">
      <alignment horizontal="center" vertical="center" wrapText="1"/>
    </xf>
    <xf numFmtId="166" fontId="53" fillId="32" borderId="53" xfId="57" applyNumberFormat="1" applyFont="1" applyBorder="1" applyAlignment="1">
      <alignment horizontal="center" vertical="center" wrapText="1"/>
    </xf>
    <xf numFmtId="166" fontId="53" fillId="32" borderId="60" xfId="57" applyNumberFormat="1" applyFont="1" applyBorder="1" applyAlignment="1">
      <alignment horizontal="center" vertical="center" wrapText="1"/>
    </xf>
    <xf numFmtId="0" fontId="41" fillId="5" borderId="53" xfId="57" applyFont="1" applyFill="1" applyBorder="1" applyAlignment="1">
      <alignment horizontal="center" wrapText="1"/>
    </xf>
    <xf numFmtId="0" fontId="41" fillId="5" borderId="56" xfId="57" applyFont="1" applyFill="1" applyBorder="1" applyAlignment="1">
      <alignment horizontal="center" wrapText="1"/>
    </xf>
    <xf numFmtId="0" fontId="41" fillId="32" borderId="50" xfId="57" applyFont="1" applyBorder="1" applyAlignment="1">
      <alignment horizontal="center" vertical="center" wrapText="1"/>
    </xf>
    <xf numFmtId="0" fontId="41" fillId="32" borderId="57" xfId="57" applyFont="1" applyBorder="1" applyAlignment="1">
      <alignment horizontal="center" vertical="center" wrapText="1"/>
    </xf>
    <xf numFmtId="0" fontId="59" fillId="32" borderId="51" xfId="57" applyFont="1" applyBorder="1" applyAlignment="1">
      <alignment horizontal="center" vertical="center" wrapText="1"/>
    </xf>
    <xf numFmtId="0" fontId="59" fillId="32" borderId="58" xfId="57" applyFont="1" applyBorder="1" applyAlignment="1">
      <alignment horizontal="center" vertical="center" wrapText="1"/>
    </xf>
    <xf numFmtId="0" fontId="59" fillId="32" borderId="52" xfId="57" applyFont="1" applyBorder="1" applyAlignment="1">
      <alignment horizontal="center" vertical="center" wrapText="1"/>
    </xf>
    <xf numFmtId="0" fontId="59" fillId="32" borderId="59" xfId="57" applyFont="1" applyBorder="1" applyAlignment="1">
      <alignment horizontal="center" vertical="center" wrapText="1"/>
    </xf>
    <xf numFmtId="166" fontId="59" fillId="32" borderId="53" xfId="57" applyNumberFormat="1" applyFont="1" applyBorder="1" applyAlignment="1">
      <alignment horizontal="center" vertical="center" wrapText="1"/>
    </xf>
    <xf numFmtId="166" fontId="59" fillId="32" borderId="60" xfId="57" applyNumberFormat="1" applyFont="1" applyBorder="1" applyAlignment="1">
      <alignment horizontal="center" vertical="center" wrapText="1"/>
    </xf>
    <xf numFmtId="0" fontId="41" fillId="5" borderId="54" xfId="57" applyFont="1" applyFill="1" applyBorder="1" applyAlignment="1">
      <alignment horizontal="center" vertical="center" wrapText="1"/>
    </xf>
    <xf numFmtId="0" fontId="41" fillId="5" borderId="55" xfId="57" applyFont="1" applyFill="1" applyBorder="1" applyAlignment="1">
      <alignment horizontal="center" vertical="center" wrapText="1"/>
    </xf>
    <xf numFmtId="14" fontId="81" fillId="33" borderId="119" xfId="61" applyNumberFormat="1" applyFont="1" applyBorder="1" applyAlignment="1">
      <alignment horizontal="center"/>
    </xf>
    <xf numFmtId="14" fontId="81" fillId="33" borderId="120" xfId="61" applyNumberFormat="1" applyFont="1" applyBorder="1" applyAlignment="1">
      <alignment horizontal="center"/>
    </xf>
    <xf numFmtId="14" fontId="85" fillId="0" borderId="0" xfId="113" applyNumberFormat="1" applyFont="1" applyFill="1" applyBorder="1" applyAlignment="1">
      <alignment horizontal="center" wrapText="1"/>
    </xf>
    <xf numFmtId="0" fontId="85" fillId="0" borderId="0" xfId="113" applyFont="1" applyFill="1" applyBorder="1" applyAlignment="1">
      <alignment horizontal="center" wrapText="1"/>
    </xf>
    <xf numFmtId="0" fontId="81" fillId="33" borderId="119" xfId="61" applyNumberFormat="1" applyFont="1" applyBorder="1" applyAlignment="1">
      <alignment horizontal="center"/>
    </xf>
    <xf numFmtId="0" fontId="81" fillId="33" borderId="120" xfId="61" applyNumberFormat="1" applyFont="1" applyBorder="1" applyAlignment="1">
      <alignment horizontal="center"/>
    </xf>
    <xf numFmtId="0" fontId="82" fillId="0" borderId="0" xfId="97" applyFont="1" applyFill="1" applyAlignment="1">
      <alignment horizontal="center" vertical="center" wrapText="1"/>
    </xf>
    <xf numFmtId="0" fontId="82" fillId="0" borderId="0" xfId="97" applyFont="1" applyFill="1" applyAlignment="1">
      <alignment horizontal="left" vertical="center" wrapText="1"/>
    </xf>
    <xf numFmtId="0" fontId="84" fillId="0" borderId="126" xfId="97" applyFont="1" applyFill="1" applyBorder="1" applyAlignment="1">
      <alignment horizontal="left" vertical="top" wrapText="1"/>
    </xf>
    <xf numFmtId="0" fontId="84" fillId="0" borderId="0" xfId="97" applyFont="1" applyFill="1" applyBorder="1" applyAlignment="1">
      <alignment horizontal="left" vertical="top" wrapText="1"/>
    </xf>
    <xf numFmtId="0" fontId="84" fillId="0" borderId="127" xfId="97" applyFont="1" applyFill="1" applyBorder="1" applyAlignment="1">
      <alignment horizontal="left" vertical="top" wrapText="1"/>
    </xf>
    <xf numFmtId="0" fontId="84" fillId="0" borderId="126" xfId="97" applyFont="1" applyFill="1" applyBorder="1" applyAlignment="1">
      <alignment horizontal="center" vertical="top" wrapText="1"/>
    </xf>
    <xf numFmtId="0" fontId="84" fillId="0" borderId="126" xfId="97" applyFont="1" applyBorder="1" applyAlignment="1">
      <alignment horizontal="center" vertical="top" wrapText="1"/>
    </xf>
    <xf numFmtId="0" fontId="84" fillId="0" borderId="126" xfId="97" applyFont="1" applyBorder="1" applyAlignment="1">
      <alignment horizontal="left" vertical="top" wrapText="1"/>
    </xf>
    <xf numFmtId="0" fontId="84" fillId="0" borderId="0" xfId="97" applyFont="1" applyAlignment="1">
      <alignment horizontal="left" vertical="top" wrapText="1"/>
    </xf>
    <xf numFmtId="0" fontId="82" fillId="0" borderId="0" xfId="97" applyFont="1" applyAlignment="1">
      <alignment horizontal="center" vertical="center" wrapText="1"/>
    </xf>
    <xf numFmtId="0" fontId="82" fillId="0" borderId="0" xfId="97" applyFont="1" applyAlignment="1">
      <alignment horizontal="left" vertical="center" wrapText="1"/>
    </xf>
    <xf numFmtId="0" fontId="84" fillId="0" borderId="127" xfId="97" applyFont="1" applyBorder="1" applyAlignment="1">
      <alignment horizontal="left" vertical="top" wrapText="1"/>
    </xf>
  </cellXfs>
  <cellStyles count="124">
    <cellStyle name="_x000a_bidires=100_x000d_" xfId="13"/>
    <cellStyle name="_x000a_bidires=100_x000d_ 2 2 2 2" xfId="99"/>
    <cellStyle name="_x000a_bidires=100_x000d_ 5" xfId="100"/>
    <cellStyle name="20% - Акцент1" xfId="11" builtinId="30"/>
    <cellStyle name="20% - Акцент1 2" xfId="14"/>
    <cellStyle name="20% - Акцент2 2" xfId="15"/>
    <cellStyle name="20% - Акцент3 2" xfId="16"/>
    <cellStyle name="20% - Акцент4 2" xfId="17"/>
    <cellStyle name="20% - Акцент5 2" xfId="18"/>
    <cellStyle name="20% - Акцент6 2" xfId="19"/>
    <cellStyle name="40% - Акцент1 2" xfId="20"/>
    <cellStyle name="40% - Акцент2 2" xfId="21"/>
    <cellStyle name="40% - Акцент2 3" xfId="93"/>
    <cellStyle name="40% - Акцент2 3 2" xfId="94"/>
    <cellStyle name="40% - Акцент2 3 3" xfId="91"/>
    <cellStyle name="40% - Акцент3 2" xfId="22"/>
    <cellStyle name="40% - Акцент4 2" xfId="23"/>
    <cellStyle name="40% - Акцент5 2" xfId="24"/>
    <cellStyle name="40% - Акцент6 2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Euro" xfId="7"/>
    <cellStyle name="Normal_ФОРМЫ для обсуждения - MM" xfId="106"/>
    <cellStyle name="Акт" xfId="71"/>
    <cellStyle name="АктМТСН" xfId="72"/>
    <cellStyle name="Акцент1" xfId="116" builtinId="29"/>
    <cellStyle name="Акцент1 2" xfId="32"/>
    <cellStyle name="Акцент2 2" xfId="33"/>
    <cellStyle name="Акцент3 2" xfId="34"/>
    <cellStyle name="Акцент4 2" xfId="35"/>
    <cellStyle name="Акцент5 2" xfId="36"/>
    <cellStyle name="Акцент6 2" xfId="37"/>
    <cellStyle name="Ввод  2" xfId="38"/>
    <cellStyle name="ВедРесурсов" xfId="73"/>
    <cellStyle name="ВедРесурсовАкт" xfId="74"/>
    <cellStyle name="Вывод 2" xfId="39"/>
    <cellStyle name="Вычисление 2" xfId="40"/>
    <cellStyle name="Денежный 2" xfId="65"/>
    <cellStyle name="Заголовок" xfId="41"/>
    <cellStyle name="Заголовок 1" xfId="12" builtinId="16"/>
    <cellStyle name="Заголовок 1 2" xfId="42"/>
    <cellStyle name="Заголовок 2 2" xfId="43"/>
    <cellStyle name="Заголовок 3" xfId="98" builtinId="18"/>
    <cellStyle name="Заголовок 3 2" xfId="44"/>
    <cellStyle name="Заголовок 4 2" xfId="45"/>
    <cellStyle name="ЗаголовокСтолбца" xfId="46"/>
    <cellStyle name="Значение" xfId="47"/>
    <cellStyle name="Итог 2" xfId="48"/>
    <cellStyle name="Итоги" xfId="3"/>
    <cellStyle name="ИтогоАктБазЦ" xfId="75"/>
    <cellStyle name="ИтогоАктБИМ" xfId="76"/>
    <cellStyle name="ИтогоАктРесМет" xfId="77"/>
    <cellStyle name="ИтогоАктТекЦ" xfId="78"/>
    <cellStyle name="ИтогоБазЦ" xfId="68"/>
    <cellStyle name="ИтогоБИМ" xfId="69"/>
    <cellStyle name="ИтогоРесМет" xfId="79"/>
    <cellStyle name="ИтогоТекЦ" xfId="80"/>
    <cellStyle name="Контрольная ячейка" xfId="115" builtinId="23"/>
    <cellStyle name="Контрольная ячейка 2" xfId="49"/>
    <cellStyle name="ЛокСмета" xfId="4"/>
    <cellStyle name="ЛокСмета 2" xfId="70"/>
    <cellStyle name="ЛокСмМТСН" xfId="81"/>
    <cellStyle name="М29" xfId="82"/>
    <cellStyle name="Нейтральный" xfId="114" builtinId="28"/>
    <cellStyle name="Нейтральный 2" xfId="50"/>
    <cellStyle name="ОбСмета" xfId="83"/>
    <cellStyle name="Обычный" xfId="0" builtinId="0"/>
    <cellStyle name="Обычный 100" xfId="97"/>
    <cellStyle name="Обычный 2" xfId="1"/>
    <cellStyle name="Обычный 2 2" xfId="51"/>
    <cellStyle name="Обычный 2 2 2" xfId="52"/>
    <cellStyle name="Обычный 2 2 3" xfId="101"/>
    <cellStyle name="Обычный 2 3" xfId="90"/>
    <cellStyle name="Обычный 3" xfId="53"/>
    <cellStyle name="Обычный 3 2" xfId="54"/>
    <cellStyle name="Обычный 4" xfId="9"/>
    <cellStyle name="Обычный 4 2" xfId="63"/>
    <cellStyle name="Обычный 4 3" xfId="95"/>
    <cellStyle name="Обычный 4 4" xfId="92"/>
    <cellStyle name="Обычный 4 5" xfId="103"/>
    <cellStyle name="Обычный 5" xfId="64"/>
    <cellStyle name="Обычный 5 2" xfId="109"/>
    <cellStyle name="Обычный 5 3" xfId="119"/>
    <cellStyle name="Обычный 6" xfId="66"/>
    <cellStyle name="Обычный 7" xfId="117"/>
    <cellStyle name="Обычный 8" xfId="120"/>
    <cellStyle name="Обычный 9" xfId="121"/>
    <cellStyle name="Обычный_1_Оренбург 2009-2013" xfId="104"/>
    <cellStyle name="Обычный_Водоприбор" xfId="111"/>
    <cellStyle name="Обычный_Износ" xfId="122"/>
    <cellStyle name="Обычный_Книга1" xfId="110"/>
    <cellStyle name="Обычный_ППфакт-2007г." xfId="107"/>
    <cellStyle name="Обычный_Старт" xfId="112"/>
    <cellStyle name="Параметр" xfId="84"/>
    <cellStyle name="ПеременныеСметы" xfId="85"/>
    <cellStyle name="ПИР" xfId="118"/>
    <cellStyle name="Плохой 2" xfId="55"/>
    <cellStyle name="Плохой 3" xfId="102"/>
    <cellStyle name="Пояснение 2" xfId="56"/>
    <cellStyle name="Примечание" xfId="10" builtinId="10"/>
    <cellStyle name="Примечание 2" xfId="57"/>
    <cellStyle name="Примечание 3" xfId="96"/>
    <cellStyle name="Процентный" xfId="123" builtinId="5"/>
    <cellStyle name="Процентный 2" xfId="8"/>
    <cellStyle name="Процентный 3" xfId="105"/>
    <cellStyle name="Процентный 4" xfId="108"/>
    <cellStyle name="РесСмета" xfId="86"/>
    <cellStyle name="СводкаСтоимРаб" xfId="87"/>
    <cellStyle name="СводРасч" xfId="88"/>
    <cellStyle name="Связанная ячейка 2" xfId="58"/>
    <cellStyle name="Текст предупреждения 2" xfId="59"/>
    <cellStyle name="Титул" xfId="5"/>
    <cellStyle name="Титул 2" xfId="67"/>
    <cellStyle name="Финансовый 2" xfId="2"/>
    <cellStyle name="Финансовый 3" xfId="60"/>
    <cellStyle name="ФормулаВБ_Мониторинг инвестиций" xfId="61"/>
    <cellStyle name="Хвост" xfId="6"/>
    <cellStyle name="Хороший" xfId="113" builtinId="26"/>
    <cellStyle name="Хороший 2" xfId="62"/>
    <cellStyle name="Экспертиза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50" Type="http://schemas.openxmlformats.org/officeDocument/2006/relationships/externalLink" Target="externalLinks/externalLink7.xml"/><Relationship Id="rId55" Type="http://schemas.openxmlformats.org/officeDocument/2006/relationships/externalLink" Target="externalLinks/externalLink12.xml"/><Relationship Id="rId63" Type="http://schemas.openxmlformats.org/officeDocument/2006/relationships/externalLink" Target="externalLinks/externalLink20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53" Type="http://schemas.openxmlformats.org/officeDocument/2006/relationships/externalLink" Target="externalLinks/externalLink10.xml"/><Relationship Id="rId58" Type="http://schemas.openxmlformats.org/officeDocument/2006/relationships/externalLink" Target="externalLinks/externalLink15.xml"/><Relationship Id="rId66" Type="http://schemas.openxmlformats.org/officeDocument/2006/relationships/externalLink" Target="externalLinks/externalLink2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6.xml"/><Relationship Id="rId57" Type="http://schemas.openxmlformats.org/officeDocument/2006/relationships/externalLink" Target="externalLinks/externalLink14.xml"/><Relationship Id="rId61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52" Type="http://schemas.openxmlformats.org/officeDocument/2006/relationships/externalLink" Target="externalLinks/externalLink9.xml"/><Relationship Id="rId60" Type="http://schemas.openxmlformats.org/officeDocument/2006/relationships/externalLink" Target="externalLinks/externalLink17.xml"/><Relationship Id="rId65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56" Type="http://schemas.openxmlformats.org/officeDocument/2006/relationships/externalLink" Target="externalLinks/externalLink13.xml"/><Relationship Id="rId64" Type="http://schemas.openxmlformats.org/officeDocument/2006/relationships/externalLink" Target="externalLinks/externalLink21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3.xml"/><Relationship Id="rId59" Type="http://schemas.openxmlformats.org/officeDocument/2006/relationships/externalLink" Target="externalLinks/externalLink16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1.xml"/><Relationship Id="rId62" Type="http://schemas.openxmlformats.org/officeDocument/2006/relationships/externalLink" Target="externalLinks/externalLink19.xml"/><Relationship Id="rId7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/Desktop/MTR.warm.request.2015/&#1044;&#1083;&#1103;%20&#1087;&#1077;&#1095;&#1072;&#1090;&#1080;/&#1050;&#1086;&#1087;&#1080;&#1103;%203%20&#1050;&#1086;&#1087;&#1080;&#1103;%20&#1040;&#1073;&#1088;&#1072;&#1084;&#1086;&#1074;&#1072;_&#1070;&#1083;&#1080;&#1103;_&#1042;&#1072;&#1083;&#1077;&#1088;&#1100;&#1077;&#1074;&#1085;&#1072;_28-04-2015_16-30_MTR%20warm%20request%202015%20v%201%202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80;&#1085;&#1072;&#1085;&#1089;&#1086;&#1074;&#1099;&#1081;\&#1060;&#1080;&#1085;&#1072;&#1085;&#1089;&#1086;&#1074;&#1099;&#1081;%202\Finans\&#1055;&#1069;&#1054;\&#1055;&#1056;&#1054;&#1048;&#1047;&#1042;&#1054;&#1044;&#1057;&#1058;&#1042;&#1045;&#1053;&#1053;&#1040;&#1071;%202023\!&#1059;&#1090;&#1074;&#1077;&#1088;&#1078;&#1076;&#1077;&#1085;&#1085;&#1099;&#1077;%20&#1090;&#1072;&#1088;&#1080;&#1092;&#1099;%202023%20&#1075;\MKP.HVS.PLAN.2023%20&#1042;&#1054;&#1044;&#1040;%20&#1088;&#1077;&#1075;&#1091;&#1083;&#1103;&#1090;&#1086;&#1088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80;&#1085;&#1072;&#1085;&#1089;&#1086;&#1074;&#1099;&#1081;/&#1060;&#1080;&#1085;&#1072;&#1085;&#1089;&#1086;&#1074;&#1099;&#1081;%202/Finans/&#1055;&#1069;&#1054;/&#1055;&#1056;&#1054;&#1048;&#1047;&#1042;&#1054;&#1044;&#1057;&#1058;&#1042;&#1045;&#1053;&#1053;&#1040;&#1071;%202024/&#1057;&#1054;&#1042;&#1045;&#1065;&#1040;&#1053;&#1048;&#1071;%20&#1055;&#1054;%20&#1058;&#1040;&#1056;&#1048;&#1060;&#1040;&#1052;%202024-2028&#1075;&#1075;/21.09.2023/MKP.VO.PLAN.2024%202028%20&#1090;&#1088;&#1072;&#1085;&#1089;&#1087;&#1086;&#1088;&#1090;&#1080;&#1088;&#1086;&#1074;&#1082;&#1072;%20&#1050;&#1072;&#1083;&#1091;&#1075;&#1072;_&#1074;_&#1048;&#1055;%20&#1087;&#1086;&#1089;&#1083;&#1077;%20&#1079;&#1072;&#1084;&#1077;&#1095;&#1072;&#1085;&#1080;&#1081;%20&#1086;&#1090;%20%2015.09.%20&#1086;&#1090;%2026.09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80;&#1085;&#1072;&#1085;&#1089;&#1086;&#1074;&#1099;&#1081;/&#1060;&#1080;&#1085;&#1072;&#1085;&#1089;&#1086;&#1074;&#1099;&#1081;%202/Finans/&#1055;&#1069;&#1054;/&#1055;&#1056;&#1054;&#1048;&#1047;&#1042;&#1054;&#1044;&#1057;&#1058;&#1042;&#1045;&#1053;&#1053;&#1040;&#1071;%202024/&#1057;&#1054;&#1042;&#1045;&#1065;&#1040;&#1053;&#1048;&#1071;%20&#1055;&#1054;%20&#1058;&#1040;&#1056;&#1048;&#1060;&#1040;&#1052;%202024-2028&#1075;&#1075;/21.09.2023/MKP.VO.PLAN.2024%202028%20&#1086;&#1095;&#1080;&#1089;&#1090;&#1082;&#1072;%20&#1050;&#1072;&#1083;&#1091;&#1075;&#1072;_&#1074;_&#1048;&#1055;%20&#1087;&#1086;&#1089;&#1083;&#1077;%20&#1079;&#1072;&#1084;&#1077;&#1095;&#1072;&#1085;&#1080;&#1081;%20&#1086;&#1090;%2015.09%20&#1086;&#1090;%2026.09.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80;&#1085;&#1072;&#1085;&#1089;&#1086;&#1074;&#1099;&#1081;/&#1060;&#1080;&#1085;&#1072;&#1085;&#1089;&#1086;&#1074;&#1099;&#1081;%202/Finans/&#1055;&#1069;&#1054;/&#1055;&#1056;&#1054;&#1048;&#1047;&#1042;&#1054;&#1044;&#1057;&#1058;&#1042;&#1045;&#1053;&#1053;&#1040;&#1071;%202024/&#1057;&#1054;&#1042;&#1045;&#1065;&#1040;&#1053;&#1048;&#1071;%20&#1055;&#1054;%20&#1058;&#1040;&#1056;&#1048;&#1060;&#1040;&#1052;%202024-2028&#1075;&#1075;/21.09.2023/MKP.VO.PLAN.2024%202028%20&#1087;&#1077;&#1088;&#1077;&#1082;&#1072;&#1095;&#1082;&#1072;%20&#1050;&#1072;&#1083;&#1091;&#1075;&#1072;_&#1074;_&#1048;&#1055;%20&#1087;&#1086;&#1089;&#1083;&#1077;%20&#1079;&#1072;&#1084;&#1077;&#1095;&#1072;&#1085;&#1080;&#1081;%20&#1086;&#1090;%2015.09.&#1086;&#1090;%2026.09_&#1087;&#1086;&#1089;&#1083;&#1077;&#1076;&#1085;&#1080;&#1081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80;&#1085;&#1072;&#1085;&#1089;&#1086;&#1074;&#1099;&#1081;\&#1060;&#1080;&#1085;&#1072;&#1085;&#1089;&#1086;&#1074;&#1099;&#1081;%202\Finans\&#1055;&#1069;&#1054;\&#1055;&#1056;&#1054;&#1048;&#1047;&#1042;&#1054;&#1044;&#1057;&#1058;&#1042;&#1045;&#1053;&#1053;&#1040;&#1071;%202024\&#1057;&#1054;&#1042;&#1045;&#1065;&#1040;&#1053;&#1048;&#1045;%2020.07.23.%20&#1087;&#1086;%20&#1076;&#1080;&#1092;.&#1090;&#1072;&#1088;&#1080;&#1092;&#1072;&#1084;%20&#1089;%20&#1084;&#1077;&#1093;&#1072;&#1085;&#1080;&#1079;&#1084;&#1086;&#1084;%20&#1089;&#1075;&#1083;&#1072;&#1078;&#1080;&#1074;&#1072;&#1085;&#1080;&#1103;\MKP.VO.PLAN.2024%202028%20&#1050;&#1072;&#1083;&#1091;&#1075;&#1072;_new%20&#1086;&#1095;&#1080;&#1089;&#1090;&#1082;&#1072;%20&#1087;&#1077;&#1088;&#1077;&#1082;&#1072;&#1095;&#1082;&#1072;%20&#1090;&#1088;&#1072;&#1085;&#1089;&#1087;&#1086;&#1088;&#1090;&#1080;&#1088;&#1086;&#1074;&#1082;&#1072;%20&#1082;%20&#1089;&#1086;&#1074;&#1077;&#1097;&#1072;&#1085;&#1080;&#110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80;&#1085;&#1072;&#1085;&#1089;&#1086;&#1074;&#1099;&#1081;/&#1060;&#1080;&#1085;&#1072;&#1085;&#1089;&#1086;&#1074;&#1099;&#1081;%202/Finans/&#1055;&#1069;&#1054;/&#1055;&#1056;&#1054;&#1048;&#1047;&#1042;&#1054;&#1044;&#1057;&#1058;&#1042;&#1045;&#1053;&#1053;&#1040;&#1071;%202024/&#1057;&#1054;&#1042;&#1045;&#1065;&#1040;&#1053;&#1048;&#1071;%20&#1055;&#1054;%20&#1058;&#1040;&#1056;&#1048;&#1060;&#1040;&#1052;%202024-2028&#1075;&#1075;/21.09.2023/MKP.HVS.PLAN.20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.smirnova.KALUGAVODA\AppData\Local\Microsoft\Windows\Temporary%20Internet%20Files\Content.Outlook\KRSBOQNM\&#1056;&#1077;&#1082;%20%20&#1089;&#1072;&#1084;&#1086;&#1090;&#1077;&#1095;&#1085;%20%20&#1082;&#1086;&#1083;&#1083;&#1077;&#1082;&#1090;&#1086;&#1088;&#1072;%20&#1050;&#1072;&#1083;&#1091;&#1075;&#1072;%20-%20&#1041;&#1086;&#1088;%20(&#1086;&#1090;%20&#1050;&#1050;49%20&#1076;&#1086;%20&#1050;&#1050;55&#1040;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.smirnova.KALUGAVODA\AppData\Roaming\Microsoft\Excel\&#1050;&#1086;&#1087;&#1080;&#1103;%20&#1050;&#1086;&#1087;&#1080;&#1103;%20&#1048;&#1085;&#1074;&#1077;&#1089;&#1090;&#1085;&#1072;&#1076;&#1073;&#1072;&#1074;&#1082;&#1072;%202024-2028&#1075;&#1075;.%2029.12.22.%20-%20&#1087;&#1088;&#1080;&#1086;&#1088;.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.smirnova.KALUGAVODA\AppData\Roaming\Microsoft\Excel\&#1048;&#1085;&#1074;&#1077;&#1089;&#1090;&#1085;&#1072;&#1076;&#1073;&#1072;&#1074;&#1082;&#1072;%202024-2028&#1075;&#1075;.%2024.01.23.%20-%20&#1080;&#1090;&#1086;&#1075;.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.diachenko\Desktop\&#1056;&#1045;&#1045;&#1057;&#1058;&#1056;&#1067;_&#1044;&#1053;&#1055;_&#1089;&#1074;&#1099;&#1096;&#1077;_&#1080;_&#1076;&#1086;_40%20&#8212;%20&#1074;&#1072;&#1088;&#1080;&#1072;&#1085;&#1090;%20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ch\Desktop\MTR.warm.request.2015\&#1044;&#1083;&#1103;%20&#1087;&#1077;&#1095;&#1072;&#1090;&#1080;\&#1050;&#1086;&#1087;&#1080;&#1103;%203%20&#1050;&#1086;&#1087;&#1080;&#1103;%20&#1040;&#1073;&#1088;&#1072;&#1084;&#1086;&#1074;&#1072;_&#1070;&#1083;&#1080;&#1103;_&#1042;&#1072;&#1083;&#1077;&#1088;&#1100;&#1077;&#1074;&#1085;&#1072;_28-04-2015_16-30_MTR%20warm%20request%202015%20v%201%202%20(2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.diachenko\Desktop\&#1056;&#1045;&#1045;&#1057;&#1058;&#1056;&#1067;_&#1044;&#1053;&#1055;_&#1089;&#1074;&#1099;&#1096;&#1077;_&#1080;_&#1076;&#1086;_40.xlsb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80;&#1085;&#1072;&#1085;&#1089;&#1086;&#1074;&#1099;&#1081;\&#1060;&#1080;&#1085;&#1072;&#1085;&#1089;&#1086;&#1074;&#1099;&#1081;%202\Finans\&#1055;&#1069;&#1054;\&#1048;&#1053;&#1044;&#1048;&#1042;&#1048;&#1044;&#1059;&#1040;&#1051;&#1068;&#1053;&#1040;&#1071;%20&#1087;&#1083;&#1072;&#1090;&#1072;%20&#1079;&#1072;%20&#1087;&#1086;&#1076;&#1082;&#1083;&#1102;&#1095;&#1077;&#1085;&#1080;&#1077;\&#1057;&#1090;&#1088;&#1091;&#1082;&#1090;&#1091;&#1088;&#1072;_&#1091;&#1089;&#1090;&#1072;&#1085;&#1086;&#1074;&#1083;&#1077;&#1085;&#1085;&#1086;&#1081;_&#1052;&#1050;&#1055;_&#1055;&#1047;&#1055;_&#1055;&#1051;&#1040;&#1053;%20&#1076;&#1077;&#1081;&#1089;&#1090;&#1074;.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80;&#1085;&#1072;&#1085;&#1089;&#1086;&#1074;&#1099;&#1081;\&#1060;&#1080;&#1085;&#1072;&#1085;&#1089;&#1086;&#1074;&#1099;&#1081;%202\Finans\&#1055;&#1069;&#1054;\&#1048;&#1053;&#1044;&#1048;&#1042;&#1048;&#1044;&#1059;&#1040;&#1051;&#1068;&#1053;&#1040;&#1071;%20&#1087;&#1083;&#1072;&#1090;&#1072;%20&#1079;&#1072;%20&#1087;&#1086;&#1076;&#1082;&#1083;&#1102;&#1095;&#1077;&#1085;&#1080;&#1077;\&#1054;&#1054;&#1054;%20&#1057;&#1050;%20&#1040;&#1079;&#1080;&#1084;&#1091;&#1090;-&#1050;&#1072;&#1083;&#1091;&#1075;&#1072;\&#1056;&#1072;&#1089;&#1095;&#1077;&#1090;_&#1040;&#1079;&#1080;&#1084;&#1091;&#1090;_14.03.202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80;&#1085;&#1072;&#1085;&#1089;&#1086;&#1074;&#1099;&#1081;\&#1060;&#1080;&#1085;&#1072;&#1085;&#1089;&#1086;&#1074;&#1099;&#1081;%202\Finans\&#1055;&#1069;&#1054;\&#1048;&#1053;&#1044;&#1048;&#1042;&#1048;&#1044;&#1059;&#1040;&#1051;&#1068;&#1053;&#1040;&#1071;%20&#1087;&#1083;&#1072;&#1090;&#1072;%20&#1079;&#1072;%20&#1087;&#1086;&#1076;&#1082;&#1083;&#1102;&#1095;&#1077;&#1085;&#1080;&#1077;\&#1054;&#1054;&#1054;%20&#1057;&#1047;%20&#1059;&#1072;&#1081;&#1090;&#1075;&#1088;&#1091;&#1087;&#1087;-&#1050;&#1072;&#1083;&#1091;&#1075;&#1072;\&#1069;&#1050;&#1057;&#1055;&#1045;&#1056;&#1058;&#1067;\&#1056;&#1072;&#1089;&#1095;&#1077;&#1090;_&#1059;&#1072;&#1081;&#1090;&#1075;&#1088;&#1091;&#1087;&#1087;%20&#1069;&#1082;&#1089;&#108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il\disk_w\&#1060;&#1080;&#1085;&#1072;&#1085;&#1089;&#1086;&#1074;&#1099;&#1081;\&#1060;&#1080;&#1085;&#1072;&#1085;&#1089;&#1086;&#1074;&#1099;&#1081;%202\Finans\&#1055;&#1069;&#1054;\&#1055;&#1056;&#1054;&#1048;&#1047;&#1042;&#1054;&#1044;&#1057;&#1058;&#1042;&#1045;&#1053;&#1053;&#1040;&#1071;%202024\&#1064;&#1040;&#1041;&#1051;&#1054;&#1053;%20&#1057;&#1058;&#1054;&#1050;&#1048;%20&#1044;&#1051;&#1071;%20&#1055;&#1051;&#1040;&#1053;&#1040;%202024&#1075;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il\disk_w\&#1060;&#1080;&#1085;&#1072;&#1085;&#1089;&#1086;&#1074;&#1099;&#1081;\&#1060;&#1080;&#1085;&#1072;&#1085;&#1089;&#1086;&#1074;&#1099;&#1081;%202\Finans\&#1055;&#1069;&#1054;\&#1055;&#1056;&#1054;&#1048;&#1047;&#1042;&#1054;&#1044;&#1057;&#1058;&#1042;&#1045;&#1053;&#1053;&#1040;&#1071;%202024\&#1058;&#1072;&#1088;&#1080;&#1092;&#1099;%20&#1043;&#1055;%20&#1085;&#1072;%202024-2028&#1075;&#1075;\MKP.VO.PLAN.2024%202028%20&#1090;&#1088;&#1072;&#1085;&#1089;-&#1082;&#107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il\disk_w\&#1060;&#1080;&#1085;&#1072;&#1085;&#1089;&#1086;&#1074;&#1099;&#1081;\&#1060;&#1080;&#1085;&#1072;&#1085;&#1089;&#1086;&#1074;&#1099;&#1081;%202\Finans\&#1055;&#1069;&#1054;\&#1055;&#1056;&#1054;&#1048;&#1047;&#1042;&#1054;&#1044;&#1057;&#1058;&#1042;&#1045;&#1053;&#1053;&#1040;&#1071;%202024\&#1054;&#1090;%20&#1087;&#1086;&#1076;&#1088;&#1072;&#1079;&#1076;&#1077;&#1083;&#1077;&#1085;&#1080;&#1081;\&#1041;&#1072;&#1083;&#1072;&#1085;&#1089;%20&#1074;&#1086;&#1076;&#1099;%20&#1080;%20&#1089;&#1090;&#1086;&#1082;&#1086;&#1074;\&#1054;&#1073;&#1098;&#1105;&#1084;&#1099;%20&#1082;%20&#1087;&#1083;&#1072;&#1085;&#1091;%20&#1085;&#1072;%202024&#1075;\&#1055;&#1088;&#1080;&#1083;&#1086;&#1078;&#1077;&#1085;&#1080;&#1077;%20(&#1087;.3.3)%20&#1054;&#1073;&#1098;&#1077;&#1084;%20&#1086;&#1090;&#1087;&#1091;&#1089;&#1082;&#1072;%20&#1074;&#1086;&#1076;&#1099;%20&#1087;&#1086;%20&#1052;&#1054;%20&#1087;&#1083;&#1072;&#1085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80;&#1085;&#1072;&#1085;&#1089;&#1086;&#1074;&#1099;&#1081;/&#1060;&#1080;&#1085;&#1072;&#1085;&#1089;&#1086;&#1074;&#1099;&#1081;%202/Finans/&#1055;&#1069;&#1054;/&#1055;&#1056;&#1054;&#1048;&#1047;&#1042;&#1054;&#1044;&#1057;&#1058;&#1042;&#1045;&#1053;&#1053;&#1040;&#1071;%202024/&#1057;&#1054;&#1042;&#1045;&#1065;&#1040;&#1053;&#1048;&#1071;%20&#1055;&#1054;%20&#1058;&#1040;&#1056;&#1048;&#1060;&#1040;&#1052;%202024-2028&#1075;&#1075;/21.09.2023/&#1050;&#1086;&#1087;&#1080;&#1103;%20&#1050;&#1086;&#1087;&#1080;&#1103;%20MKP.VO.PLAN.2024%202028%20%20&#1057;&#1058;&#1054;&#1050;&#1048;%20&#1086;&#1073;&#1097;&#1080;&#1081;%20&#1086;&#1090;%2006.09.23.%20&#1086;&#1090;%2029.09%20&#1089;%20&#1085;&#1086;&#1074;&#1099;&#1084;%20&#1048;&#1055;&#1062;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il\disk_w\&#1060;&#1080;&#1085;&#1072;&#1085;&#1089;&#1086;&#1074;&#1099;&#1081;\&#1060;&#1080;&#1085;&#1072;&#1085;&#1089;&#1086;&#1074;&#1099;&#1081;%202\Finans\&#1055;&#1069;&#1054;\&#1055;&#1056;&#1054;&#1048;&#1047;&#1042;&#1054;&#1044;&#1057;&#1058;&#1042;&#1045;&#1053;&#1053;&#1040;&#1071;%202024\&#1058;&#1072;&#1088;&#1080;&#1092;&#1099;%20&#1043;&#1055;%20&#1085;&#1072;%202024-2028&#1075;&#1075;\MKP.VO.PLAN.2024%202028%20&#1087;&#1077;&#1088;&#1077;&#1082;&#1072;&#1095;&#1082;&#107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il\disk_w\&#1060;&#1080;&#1085;&#1072;&#1085;&#1089;&#1086;&#1074;&#1099;&#1081;\&#1060;&#1080;&#1085;&#1072;&#1085;&#1089;&#1086;&#1074;&#1099;&#1081;%202\Finans\&#1055;&#1069;&#1054;\&#1055;&#1056;&#1054;&#1048;&#1047;&#1042;&#1054;&#1044;&#1057;&#1058;&#1042;&#1045;&#1053;&#1053;&#1040;&#1071;%202024\&#1058;&#1072;&#1088;&#1080;&#1092;&#1099;%20&#1043;&#1055;%20&#1085;&#1072;%202024-2028&#1075;&#1075;\MKP.VO.PLAN.2024%202028%20&#1086;&#1095;&#1080;&#1089;&#1090;&#1082;&#1072;%20&#1089;%20&#1080;&#1079;&#1084;.&#1041;&#1086;&#1088;&#1086;&#1074;&#1089;&#1082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.smirnova.KALUGAVODA\AppData\Local\Microsoft\Windows\Temporary%20Internet%20Files\Content.Outlook\KRSBOQNM\&#1042;&#1086;&#1089;&#1082;&#1088;&#1077;&#1089;&#1077;&#1085;&#1089;&#1082;&#1086;&#1077;%20+%20&#1043;&#1088;&#1072;&#1073;&#1094;&#1077;&#1074;&#1086;%202019-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"/>
      <sheetName val="СписокОрг"/>
      <sheetName val="СписокМО"/>
      <sheetName val="Баланс"/>
      <sheetName val="Смета"/>
      <sheetName val="Смета18"/>
      <sheetName val="Индексы18"/>
      <sheetName val="Смета23"/>
      <sheetName val="Заявление"/>
      <sheetName val="ВР_Баланс"/>
      <sheetName val="ВР_Топливо"/>
      <sheetName val="Факт 2014"/>
      <sheetName val="ИндексыМЭР"/>
      <sheetName val="ВР_Смета"/>
      <sheetName val="ДляЗаключения"/>
      <sheetName val="Теплоноситель"/>
      <sheetName val="Дифференциация 2016"/>
      <sheetName val="Дифф. 2017"/>
      <sheetName val="Дифф. 2018"/>
      <sheetName val="Свод"/>
      <sheetName val="ДопИнформация"/>
      <sheetName val="Справочники"/>
    </sheetNames>
    <sheetDataSet>
      <sheetData sheetId="0"/>
      <sheetData sheetId="1"/>
      <sheetData sheetId="2" refreshError="1">
        <row r="2">
          <cell r="C2" t="str">
            <v>Поселок Бабынино</v>
          </cell>
        </row>
        <row r="3">
          <cell r="C3" t="str">
            <v>Поселок Воротынск</v>
          </cell>
        </row>
        <row r="4">
          <cell r="C4" t="str">
            <v>Село Бабынино</v>
          </cell>
        </row>
        <row r="5">
          <cell r="C5" t="str">
            <v>Село Муромцево</v>
          </cell>
        </row>
        <row r="6">
          <cell r="C6" t="str">
            <v>Село Сабуровщино</v>
          </cell>
        </row>
        <row r="7">
          <cell r="C7" t="str">
            <v>Село Утешево</v>
          </cell>
        </row>
        <row r="8">
          <cell r="C8" t="str">
            <v>Деревня Асмолово</v>
          </cell>
        </row>
        <row r="9">
          <cell r="C9" t="str">
            <v>Деревня Бахмутово</v>
          </cell>
        </row>
        <row r="10">
          <cell r="C10" t="str">
            <v>Деревня Крисаново-Пятница</v>
          </cell>
        </row>
        <row r="11">
          <cell r="C11" t="str">
            <v>Село Барятино</v>
          </cell>
        </row>
        <row r="12">
          <cell r="C12" t="str">
            <v>Село Сильковичи</v>
          </cell>
        </row>
        <row r="13">
          <cell r="C13" t="str">
            <v>Город Балабаново</v>
          </cell>
        </row>
        <row r="14">
          <cell r="C14" t="str">
            <v>Город Боровск</v>
          </cell>
        </row>
        <row r="15">
          <cell r="C15" t="str">
            <v>Город Ермолино</v>
          </cell>
        </row>
        <row r="16">
          <cell r="C16" t="str">
            <v>Деревня Асеньевское</v>
          </cell>
        </row>
        <row r="17">
          <cell r="C17" t="str">
            <v>Деревня Кривское</v>
          </cell>
        </row>
        <row r="18">
          <cell r="C18" t="str">
            <v>Деревня Совьяки</v>
          </cell>
        </row>
        <row r="19">
          <cell r="C19" t="str">
            <v>Село Ворсино</v>
          </cell>
        </row>
        <row r="20">
          <cell r="C20" t="str">
            <v>Село Совхоз Боровский</v>
          </cell>
        </row>
        <row r="21">
          <cell r="C21" t="str">
            <v>Город Калуга</v>
          </cell>
        </row>
        <row r="22">
          <cell r="C22" t="str">
            <v>Город Обнинск</v>
          </cell>
        </row>
        <row r="23">
          <cell r="C23" t="str">
            <v>Город Кондрово</v>
          </cell>
        </row>
        <row r="24">
          <cell r="C24" t="str">
            <v>Деревня Барсуки</v>
          </cell>
        </row>
        <row r="25">
          <cell r="C25" t="str">
            <v>Деревня Галкино</v>
          </cell>
        </row>
        <row r="26">
          <cell r="C26" t="str">
            <v>Деревня Жилетово</v>
          </cell>
        </row>
        <row r="27">
          <cell r="C27" t="str">
            <v>Деревня Карцово</v>
          </cell>
        </row>
        <row r="28">
          <cell r="C28" t="str">
            <v>Деревня Редькино</v>
          </cell>
        </row>
        <row r="29">
          <cell r="C29" t="str">
            <v>Деревня Рудня</v>
          </cell>
        </row>
        <row r="30">
          <cell r="C30" t="str">
            <v>Деревня Сени</v>
          </cell>
        </row>
        <row r="31">
          <cell r="C31" t="str">
            <v>Деревня Старки</v>
          </cell>
        </row>
        <row r="32">
          <cell r="C32" t="str">
            <v>Поселок Полотняный Завод</v>
          </cell>
        </row>
        <row r="33">
          <cell r="C33" t="str">
            <v>Поселок Пятовский</v>
          </cell>
        </row>
        <row r="34">
          <cell r="C34" t="str">
            <v>Поселок Товарково</v>
          </cell>
        </row>
        <row r="35">
          <cell r="C35" t="str">
            <v>Село Дворцы</v>
          </cell>
        </row>
        <row r="36">
          <cell r="C36" t="str">
            <v>Село Льва Толстого</v>
          </cell>
        </row>
        <row r="37">
          <cell r="C37" t="str">
            <v>Село Совхоз им Ленина</v>
          </cell>
        </row>
        <row r="38">
          <cell r="C38" t="str">
            <v>Село Совхоз Чкаловский</v>
          </cell>
        </row>
        <row r="39">
          <cell r="C39" t="str">
            <v>Угорская волость</v>
          </cell>
        </row>
        <row r="40">
          <cell r="C40" t="str">
            <v>Деревня Буда</v>
          </cell>
        </row>
        <row r="41">
          <cell r="C41" t="str">
            <v>Деревня Верхнее Гульцово</v>
          </cell>
        </row>
        <row r="42">
          <cell r="C42" t="str">
            <v>Деревня Высокое</v>
          </cell>
        </row>
        <row r="43">
          <cell r="C43" t="str">
            <v>Деревня Дубровка</v>
          </cell>
        </row>
        <row r="44">
          <cell r="C44" t="str">
            <v>Деревня Думиничи</v>
          </cell>
        </row>
        <row r="45">
          <cell r="C45" t="str">
            <v>Деревня Маслово</v>
          </cell>
        </row>
        <row r="46">
          <cell r="C46" t="str">
            <v>Поселок Думиничи</v>
          </cell>
        </row>
        <row r="47">
          <cell r="C47" t="str">
            <v>Село Брынь</v>
          </cell>
        </row>
        <row r="48">
          <cell r="C48" t="str">
            <v>Село Вертное</v>
          </cell>
        </row>
        <row r="49">
          <cell r="C49" t="str">
            <v>Село Которь</v>
          </cell>
        </row>
        <row r="50">
          <cell r="C50" t="str">
            <v>Село Маклаки</v>
          </cell>
        </row>
        <row r="51">
          <cell r="C51" t="str">
            <v>Село Новослободск</v>
          </cell>
        </row>
        <row r="52">
          <cell r="C52" t="str">
            <v>Село Хотьково</v>
          </cell>
        </row>
        <row r="53">
          <cell r="C53" t="str">
            <v>Село Чернышено</v>
          </cell>
        </row>
        <row r="54">
          <cell r="C54" t="str">
            <v>Город Жиздра</v>
          </cell>
        </row>
        <row r="55">
          <cell r="C55" t="str">
            <v>Деревня Акимовка</v>
          </cell>
        </row>
        <row r="56">
          <cell r="C56" t="str">
            <v>Деревня Младенск</v>
          </cell>
        </row>
        <row r="57">
          <cell r="C57" t="str">
            <v>Село Овсорок</v>
          </cell>
        </row>
        <row r="58">
          <cell r="C58" t="str">
            <v>Село Огорь</v>
          </cell>
        </row>
        <row r="59">
          <cell r="C59" t="str">
            <v>Село Совхоз "Коллективизатор"</v>
          </cell>
        </row>
        <row r="60">
          <cell r="C60" t="str">
            <v>Село Студенец</v>
          </cell>
        </row>
        <row r="61">
          <cell r="C61" t="str">
            <v>Город Белоусово</v>
          </cell>
        </row>
        <row r="62">
          <cell r="C62" t="str">
            <v>Город Жуков</v>
          </cell>
        </row>
        <row r="63">
          <cell r="C63" t="str">
            <v>Город Кременки</v>
          </cell>
        </row>
        <row r="64">
          <cell r="C64" t="str">
            <v>Деревня Верховье</v>
          </cell>
        </row>
        <row r="65">
          <cell r="C65" t="str">
            <v>Деревня Корсаково</v>
          </cell>
        </row>
        <row r="66">
          <cell r="C66" t="str">
            <v>Деревня Тростье</v>
          </cell>
        </row>
        <row r="67">
          <cell r="C67" t="str">
            <v>Деревня Чубарово</v>
          </cell>
        </row>
        <row r="68">
          <cell r="C68" t="str">
            <v>Село Восход</v>
          </cell>
        </row>
        <row r="69">
          <cell r="C69" t="str">
            <v>Село Высокиничи</v>
          </cell>
        </row>
        <row r="70">
          <cell r="C70" t="str">
            <v>Село Истье</v>
          </cell>
        </row>
        <row r="71">
          <cell r="C71" t="str">
            <v>Село Совхоз "Победа"</v>
          </cell>
        </row>
        <row r="72">
          <cell r="C72" t="str">
            <v>Село Совхоз Чаусово</v>
          </cell>
        </row>
        <row r="73">
          <cell r="C73" t="str">
            <v>Село Тарутино</v>
          </cell>
        </row>
        <row r="74">
          <cell r="C74" t="str">
            <v>Село Троицкое</v>
          </cell>
        </row>
        <row r="75">
          <cell r="C75" t="str">
            <v>Село Трубино</v>
          </cell>
        </row>
        <row r="76">
          <cell r="C76" t="str">
            <v>Деревня Алексеевка</v>
          </cell>
        </row>
        <row r="77">
          <cell r="C77" t="str">
            <v>Деревня Ивановское</v>
          </cell>
        </row>
        <row r="78">
          <cell r="C78" t="str">
            <v>Деревня Михали</v>
          </cell>
        </row>
        <row r="79">
          <cell r="C79" t="str">
            <v>Деревня Ореховня</v>
          </cell>
        </row>
        <row r="80">
          <cell r="C80" t="str">
            <v>Деревня Хвощи</v>
          </cell>
        </row>
        <row r="81">
          <cell r="C81" t="str">
            <v>Поселок Мятлево</v>
          </cell>
        </row>
        <row r="82">
          <cell r="C82" t="str">
            <v>Село Извольск</v>
          </cell>
        </row>
        <row r="83">
          <cell r="C83" t="str">
            <v>Село Износки</v>
          </cell>
        </row>
        <row r="84">
          <cell r="C84" t="str">
            <v>Село Льнозавод</v>
          </cell>
        </row>
        <row r="85">
          <cell r="C85" t="str">
            <v>Село Шанский Завод</v>
          </cell>
        </row>
        <row r="86">
          <cell r="C86" t="str">
            <v>Город Киров</v>
          </cell>
        </row>
        <row r="87">
          <cell r="C87" t="str">
            <v>Деревня Большие Савки</v>
          </cell>
        </row>
        <row r="88">
          <cell r="C88" t="str">
            <v>Деревня Буда</v>
          </cell>
        </row>
        <row r="89">
          <cell r="C89" t="str">
            <v>Деревня Верхняя Песочня</v>
          </cell>
        </row>
        <row r="90">
          <cell r="C90" t="str">
            <v>Деревня Выползово</v>
          </cell>
        </row>
        <row r="91">
          <cell r="C91" t="str">
            <v>Деревня Гавриловка</v>
          </cell>
        </row>
        <row r="92">
          <cell r="C92" t="str">
            <v>Деревня Малая Песочня</v>
          </cell>
        </row>
        <row r="93">
          <cell r="C93" t="str">
            <v>Деревня Тягаево</v>
          </cell>
        </row>
        <row r="94">
          <cell r="C94" t="str">
            <v>Село Бережки</v>
          </cell>
        </row>
        <row r="95">
          <cell r="C95" t="str">
            <v>Село Волое</v>
          </cell>
        </row>
        <row r="96">
          <cell r="C96" t="str">
            <v>Село Воскресенск</v>
          </cell>
        </row>
        <row r="97">
          <cell r="C97" t="str">
            <v>Село Дуброво</v>
          </cell>
        </row>
        <row r="98">
          <cell r="C98" t="str">
            <v>Село Фоминичи</v>
          </cell>
        </row>
        <row r="99">
          <cell r="C99" t="str">
            <v>Город Козельск</v>
          </cell>
        </row>
        <row r="100">
          <cell r="C100" t="str">
            <v>Город Сосенский</v>
          </cell>
        </row>
        <row r="101">
          <cell r="C101" t="str">
            <v>Деревня Дешовки</v>
          </cell>
        </row>
        <row r="102">
          <cell r="C102" t="str">
            <v>Деревня Каменка</v>
          </cell>
        </row>
        <row r="103">
          <cell r="C103" t="str">
            <v>Деревня Киреевское-Первое</v>
          </cell>
        </row>
        <row r="104">
          <cell r="C104" t="str">
            <v>Деревня Лавровск</v>
          </cell>
        </row>
        <row r="105">
          <cell r="C105" t="str">
            <v>Деревня Плюсково</v>
          </cell>
        </row>
        <row r="106">
          <cell r="C106" t="str">
            <v>Деревня Подборки</v>
          </cell>
        </row>
        <row r="107">
          <cell r="C107" t="str">
            <v>Деревня Сенино-Первое</v>
          </cell>
        </row>
        <row r="108">
          <cell r="C108" t="str">
            <v>Село Березичский стеклозавод</v>
          </cell>
        </row>
        <row r="109">
          <cell r="C109" t="str">
            <v>Село Бурнашево</v>
          </cell>
        </row>
        <row r="110">
          <cell r="C110" t="str">
            <v>Село Волконское</v>
          </cell>
        </row>
        <row r="111">
          <cell r="C111" t="str">
            <v>Село Нижние Прыски</v>
          </cell>
        </row>
        <row r="112">
          <cell r="C112" t="str">
            <v>Село Покровск</v>
          </cell>
        </row>
        <row r="113">
          <cell r="C113" t="str">
            <v>Село Попелево</v>
          </cell>
        </row>
        <row r="114">
          <cell r="C114" t="str">
            <v>Село Чернышено</v>
          </cell>
        </row>
        <row r="115">
          <cell r="C115" t="str">
            <v>Деревня Высокое</v>
          </cell>
        </row>
        <row r="116">
          <cell r="C116" t="str">
            <v>Посёлок Бетлица</v>
          </cell>
        </row>
        <row r="117">
          <cell r="C117" t="str">
            <v>Село Бутчино</v>
          </cell>
        </row>
        <row r="118">
          <cell r="C118" t="str">
            <v>Село Жерелево</v>
          </cell>
        </row>
        <row r="119">
          <cell r="C119" t="str">
            <v>Село Мокрое</v>
          </cell>
        </row>
        <row r="120">
          <cell r="C120" t="str">
            <v>Город Людиново</v>
          </cell>
        </row>
        <row r="121">
          <cell r="C121" t="str">
            <v>Деревня Заболотье</v>
          </cell>
        </row>
        <row r="122">
          <cell r="C122" t="str">
            <v>Деревня Игнатовка</v>
          </cell>
        </row>
        <row r="123">
          <cell r="C123" t="str">
            <v>Деревня Манино</v>
          </cell>
        </row>
        <row r="124">
          <cell r="C124" t="str">
            <v>Село Букань</v>
          </cell>
        </row>
        <row r="125">
          <cell r="C125" t="str">
            <v>Село Заречный</v>
          </cell>
        </row>
        <row r="126">
          <cell r="C126" t="str">
            <v>Город Малоярославец</v>
          </cell>
        </row>
        <row r="127">
          <cell r="C127" t="str">
            <v>Деревня Березовка</v>
          </cell>
        </row>
        <row r="128">
          <cell r="C128" t="str">
            <v>Деревня Воробьево</v>
          </cell>
        </row>
        <row r="129">
          <cell r="C129" t="str">
            <v>Деревня Ерденево</v>
          </cell>
        </row>
        <row r="130">
          <cell r="C130" t="str">
            <v>Деревня Захарово</v>
          </cell>
        </row>
        <row r="131">
          <cell r="C131" t="str">
            <v>Деревня Михеево</v>
          </cell>
        </row>
        <row r="132">
          <cell r="C132" t="str">
            <v>Деревня Прудки</v>
          </cell>
        </row>
        <row r="133">
          <cell r="C133" t="str">
            <v>Деревня Рябцево</v>
          </cell>
        </row>
        <row r="134">
          <cell r="C134" t="str">
            <v>Деревня Шумятино</v>
          </cell>
        </row>
        <row r="135">
          <cell r="C135" t="str">
            <v>Поселок Детчино</v>
          </cell>
        </row>
        <row r="136">
          <cell r="C136" t="str">
            <v>Поселок Юбилейный</v>
          </cell>
        </row>
        <row r="137">
          <cell r="C137" t="str">
            <v>Село Головтеево</v>
          </cell>
        </row>
        <row r="138">
          <cell r="C138" t="str">
            <v>Село Ильинское</v>
          </cell>
        </row>
        <row r="139">
          <cell r="C139" t="str">
            <v>Село Коллонтай</v>
          </cell>
        </row>
        <row r="140">
          <cell r="C140" t="str">
            <v>Село Кудиново</v>
          </cell>
        </row>
        <row r="141">
          <cell r="C141" t="str">
            <v>Село Маклино</v>
          </cell>
        </row>
        <row r="142">
          <cell r="C142" t="str">
            <v>Село Недельное</v>
          </cell>
        </row>
        <row r="143">
          <cell r="C143" t="str">
            <v>Село Спас-Загорье</v>
          </cell>
        </row>
        <row r="144">
          <cell r="C144" t="str">
            <v>Город Медынь</v>
          </cell>
        </row>
        <row r="145">
          <cell r="C145" t="str">
            <v>Деревня Брюхово</v>
          </cell>
        </row>
        <row r="146">
          <cell r="C146" t="str">
            <v>Деревня Варваровка</v>
          </cell>
        </row>
        <row r="147">
          <cell r="C147" t="str">
            <v>Деревня Глухово</v>
          </cell>
        </row>
        <row r="148">
          <cell r="C148" t="str">
            <v>Деревня Гусево</v>
          </cell>
        </row>
        <row r="149">
          <cell r="C149" t="str">
            <v>Деревня Михальчуково</v>
          </cell>
        </row>
        <row r="150">
          <cell r="C150" t="str">
            <v>Деревня Михеево</v>
          </cell>
        </row>
        <row r="151">
          <cell r="C151" t="str">
            <v>Деревня Романово</v>
          </cell>
        </row>
        <row r="152">
          <cell r="C152" t="str">
            <v>Село Адуево</v>
          </cell>
        </row>
        <row r="153">
          <cell r="C153" t="str">
            <v>Село Кременское</v>
          </cell>
        </row>
        <row r="154">
          <cell r="C154" t="str">
            <v>Село Никитское</v>
          </cell>
        </row>
        <row r="155">
          <cell r="C155" t="str">
            <v>Село Передел</v>
          </cell>
        </row>
        <row r="156">
          <cell r="C156" t="str">
            <v>Город Мещовск</v>
          </cell>
        </row>
        <row r="157">
          <cell r="C157" t="str">
            <v>железнодорожная станция Кудринская</v>
          </cell>
        </row>
        <row r="158">
          <cell r="C158" t="str">
            <v>Поселок Молодежный</v>
          </cell>
        </row>
        <row r="159">
          <cell r="C159" t="str">
            <v>Село Гаврики</v>
          </cell>
        </row>
        <row r="160">
          <cell r="C160" t="str">
            <v>Село Серпейск</v>
          </cell>
        </row>
        <row r="161">
          <cell r="C161" t="str">
            <v>Город Мосальск</v>
          </cell>
        </row>
        <row r="162">
          <cell r="C162" t="str">
            <v>Деревня Воронино</v>
          </cell>
        </row>
        <row r="163">
          <cell r="C163" t="str">
            <v>Деревня Гачки</v>
          </cell>
        </row>
        <row r="164">
          <cell r="C164" t="str">
            <v>Деревня Долгое</v>
          </cell>
        </row>
        <row r="165">
          <cell r="C165" t="str">
            <v>Деревня Людково</v>
          </cell>
        </row>
        <row r="166">
          <cell r="C166" t="str">
            <v>Деревня Посконь</v>
          </cell>
        </row>
        <row r="167">
          <cell r="C167" t="str">
            <v>Деревня Путогино</v>
          </cell>
        </row>
        <row r="168">
          <cell r="C168" t="str">
            <v>Деревня Савино</v>
          </cell>
        </row>
        <row r="169">
          <cell r="C169" t="str">
            <v>Поселок Раменский</v>
          </cell>
        </row>
        <row r="170">
          <cell r="C170" t="str">
            <v>Село Боровенск</v>
          </cell>
        </row>
        <row r="171">
          <cell r="C171" t="str">
            <v>Село Дашино</v>
          </cell>
        </row>
        <row r="172">
          <cell r="C172" t="str">
            <v>Деревня Большие Козлы</v>
          </cell>
        </row>
        <row r="173">
          <cell r="C173" t="str">
            <v>Деревня Горки</v>
          </cell>
        </row>
        <row r="174">
          <cell r="C174" t="str">
            <v>Деревня Григоровское</v>
          </cell>
        </row>
        <row r="175">
          <cell r="C175" t="str">
            <v>Деревня Песочня</v>
          </cell>
        </row>
        <row r="176">
          <cell r="C176" t="str">
            <v>Деревня Погореловка</v>
          </cell>
        </row>
        <row r="177">
          <cell r="C177" t="str">
            <v>Деревня Покровское</v>
          </cell>
        </row>
        <row r="178">
          <cell r="C178" t="str">
            <v>Деревня Сильково</v>
          </cell>
        </row>
        <row r="179">
          <cell r="C179" t="str">
            <v>Деревня Хотисино</v>
          </cell>
        </row>
        <row r="180">
          <cell r="C180" t="str">
            <v>Село Ахлебинино</v>
          </cell>
        </row>
        <row r="181">
          <cell r="C181" t="str">
            <v>Село Борищево</v>
          </cell>
        </row>
        <row r="182">
          <cell r="C182" t="str">
            <v>Село Гремячево</v>
          </cell>
        </row>
        <row r="183">
          <cell r="C183" t="str">
            <v>Село Ильинское</v>
          </cell>
        </row>
        <row r="184">
          <cell r="C184" t="str">
            <v>Село Калужская опытная сельскохозяйственная станция</v>
          </cell>
        </row>
        <row r="185">
          <cell r="C185" t="str">
            <v>Село Корекозево</v>
          </cell>
        </row>
        <row r="186">
          <cell r="C186" t="str">
            <v>Село Макарово</v>
          </cell>
        </row>
        <row r="187">
          <cell r="C187" t="str">
            <v>Село Перемышль</v>
          </cell>
        </row>
        <row r="188">
          <cell r="C188" t="str">
            <v>Город Спас-Деменск</v>
          </cell>
        </row>
        <row r="189">
          <cell r="C189" t="str">
            <v>Деревня Болва</v>
          </cell>
        </row>
        <row r="190">
          <cell r="C190" t="str">
            <v>Деревня Нестеры</v>
          </cell>
        </row>
        <row r="191">
          <cell r="C191" t="str">
            <v>Деревня Понизовье</v>
          </cell>
        </row>
        <row r="192">
          <cell r="C192" t="str">
            <v>Деревня Снопот</v>
          </cell>
        </row>
        <row r="193">
          <cell r="C193" t="str">
            <v>Деревня Стайки</v>
          </cell>
        </row>
        <row r="194">
          <cell r="C194" t="str">
            <v>Деревня Теплово</v>
          </cell>
        </row>
        <row r="195">
          <cell r="C195" t="str">
            <v>Село Буднянский</v>
          </cell>
        </row>
        <row r="196">
          <cell r="C196" t="str">
            <v>Село Лазинки</v>
          </cell>
        </row>
        <row r="197">
          <cell r="C197" t="str">
            <v>Село Любунь</v>
          </cell>
        </row>
        <row r="198">
          <cell r="C198" t="str">
            <v>Село Павлиново</v>
          </cell>
        </row>
        <row r="199">
          <cell r="C199" t="str">
            <v>Село Чипляево</v>
          </cell>
        </row>
        <row r="200">
          <cell r="C200" t="str">
            <v>Бебелевский сельсовет</v>
          </cell>
        </row>
        <row r="201">
          <cell r="C201" t="str">
            <v>Город Сухиничи</v>
          </cell>
        </row>
        <row r="202">
          <cell r="C202" t="str">
            <v>Деревня Алнеры</v>
          </cell>
        </row>
        <row r="203">
          <cell r="C203" t="str">
            <v>Деревня Бордуково</v>
          </cell>
        </row>
        <row r="204">
          <cell r="C204" t="str">
            <v>Деревня Верховая</v>
          </cell>
        </row>
        <row r="205">
          <cell r="C205" t="str">
            <v>Деревня Глазково</v>
          </cell>
        </row>
        <row r="206">
          <cell r="C206" t="str">
            <v>Деревня Ермолово</v>
          </cell>
        </row>
        <row r="207">
          <cell r="C207" t="str">
            <v>Деревня Радождево</v>
          </cell>
        </row>
        <row r="208">
          <cell r="C208" t="str">
            <v>Деревня Соболевка</v>
          </cell>
        </row>
        <row r="209">
          <cell r="C209" t="str">
            <v>Деревня Субботники</v>
          </cell>
        </row>
        <row r="210">
          <cell r="C210" t="str">
            <v>Деревня Юрьево</v>
          </cell>
        </row>
        <row r="211">
          <cell r="C211" t="str">
            <v>Поселок Середейский</v>
          </cell>
        </row>
        <row r="212">
          <cell r="C212" t="str">
            <v>Село Богдановы Колодези</v>
          </cell>
        </row>
        <row r="213">
          <cell r="C213" t="str">
            <v>Село Брынь</v>
          </cell>
        </row>
        <row r="214">
          <cell r="C214" t="str">
            <v>Село Дабужа</v>
          </cell>
        </row>
        <row r="215">
          <cell r="C215" t="str">
            <v>Село Стрельна</v>
          </cell>
        </row>
        <row r="216">
          <cell r="C216" t="str">
            <v>Село Татаринцы</v>
          </cell>
        </row>
        <row r="217">
          <cell r="C217" t="str">
            <v>Село Фролово</v>
          </cell>
        </row>
        <row r="218">
          <cell r="C218" t="str">
            <v>Село Хотень</v>
          </cell>
        </row>
        <row r="219">
          <cell r="C219" t="str">
            <v>Село Шлиппово</v>
          </cell>
        </row>
        <row r="220">
          <cell r="C220" t="str">
            <v>Город Таруса</v>
          </cell>
        </row>
        <row r="221">
          <cell r="C221" t="str">
            <v>Деревня Алекино</v>
          </cell>
        </row>
        <row r="222">
          <cell r="C222" t="str">
            <v>Деревня Похвиснево</v>
          </cell>
        </row>
        <row r="223">
          <cell r="C223" t="str">
            <v>Село Барятино</v>
          </cell>
        </row>
        <row r="224">
          <cell r="C224" t="str">
            <v>Село Вознесенье</v>
          </cell>
        </row>
        <row r="225">
          <cell r="C225" t="str">
            <v>Село Волковское</v>
          </cell>
        </row>
        <row r="226">
          <cell r="C226" t="str">
            <v>Село Кузьмищево</v>
          </cell>
        </row>
        <row r="227">
          <cell r="C227" t="str">
            <v>Село Лопатино</v>
          </cell>
        </row>
        <row r="228">
          <cell r="C228" t="str">
            <v>Село Некрасово</v>
          </cell>
        </row>
        <row r="229">
          <cell r="C229" t="str">
            <v>Село Петрищево</v>
          </cell>
        </row>
        <row r="230">
          <cell r="C230" t="str">
            <v>Село Роща</v>
          </cell>
        </row>
        <row r="231">
          <cell r="C231" t="str">
            <v>Деревня Мелихово</v>
          </cell>
        </row>
        <row r="232">
          <cell r="C232" t="str">
            <v>Село Волосово-Дудино</v>
          </cell>
        </row>
        <row r="233">
          <cell r="C233" t="str">
            <v>Село Дудоровский</v>
          </cell>
        </row>
        <row r="234">
          <cell r="C234" t="str">
            <v>Село Заречье</v>
          </cell>
        </row>
        <row r="235">
          <cell r="C235" t="str">
            <v>Село Поздняково</v>
          </cell>
        </row>
        <row r="236">
          <cell r="C236" t="str">
            <v>Село Ульяново</v>
          </cell>
        </row>
        <row r="237">
          <cell r="C237" t="str">
            <v>Бебелевский сельсовет</v>
          </cell>
        </row>
        <row r="238">
          <cell r="C238" t="str">
            <v>Деревня Аристово</v>
          </cell>
        </row>
        <row r="239">
          <cell r="C239" t="str">
            <v>Деревня Бронцы</v>
          </cell>
        </row>
        <row r="240">
          <cell r="C240" t="str">
            <v>Деревня Зудна</v>
          </cell>
        </row>
        <row r="241">
          <cell r="C241" t="str">
            <v>Деревня Красный Городок</v>
          </cell>
        </row>
        <row r="242">
          <cell r="C242" t="str">
            <v>Деревня Сугоново</v>
          </cell>
        </row>
        <row r="243">
          <cell r="C243" t="str">
            <v>Деревня Ястребовка</v>
          </cell>
        </row>
        <row r="244">
          <cell r="C244" t="str">
            <v>Октябрьский сельсовет</v>
          </cell>
        </row>
        <row r="245">
          <cell r="C245" t="str">
            <v>Поселок Дугна</v>
          </cell>
        </row>
        <row r="246">
          <cell r="C246" t="str">
            <v>Поселок Ферзиково</v>
          </cell>
        </row>
        <row r="247">
          <cell r="C247" t="str">
            <v>Село Авчурино</v>
          </cell>
        </row>
        <row r="248">
          <cell r="C248" t="str">
            <v>Село Грабцево</v>
          </cell>
        </row>
        <row r="249">
          <cell r="C249" t="str">
            <v>Село Кольцово</v>
          </cell>
        </row>
        <row r="250">
          <cell r="C250" t="str">
            <v>Село Сашкино</v>
          </cell>
        </row>
        <row r="251">
          <cell r="C251" t="str">
            <v>Село Ферзиково</v>
          </cell>
        </row>
        <row r="252">
          <cell r="C252" t="str">
            <v>Деревня Авдеевка</v>
          </cell>
        </row>
        <row r="253">
          <cell r="C253" t="str">
            <v>Деревня Нехочи</v>
          </cell>
        </row>
        <row r="254">
          <cell r="C254" t="str">
            <v>Деревня Стайки</v>
          </cell>
        </row>
        <row r="255">
          <cell r="C255" t="str">
            <v>Поселок Еленский</v>
          </cell>
        </row>
        <row r="256">
          <cell r="C256" t="str">
            <v>Село Бояновичи</v>
          </cell>
        </row>
        <row r="257">
          <cell r="C257" t="str">
            <v>Село Воткино</v>
          </cell>
        </row>
        <row r="258">
          <cell r="C258" t="str">
            <v>Село Колодяссы</v>
          </cell>
        </row>
        <row r="259">
          <cell r="C259" t="str">
            <v>Село Красное</v>
          </cell>
        </row>
        <row r="260">
          <cell r="C260" t="str">
            <v>Село Кудрявец</v>
          </cell>
        </row>
        <row r="261">
          <cell r="C261" t="str">
            <v>Село Ловать</v>
          </cell>
        </row>
        <row r="262">
          <cell r="C262" t="str">
            <v>Село Милеево</v>
          </cell>
        </row>
        <row r="263">
          <cell r="C263" t="str">
            <v>Село Пеневичи</v>
          </cell>
        </row>
        <row r="264">
          <cell r="C264" t="str">
            <v>Село Подбужье</v>
          </cell>
        </row>
        <row r="265">
          <cell r="C265" t="str">
            <v>Село Слобода</v>
          </cell>
        </row>
        <row r="266">
          <cell r="C266" t="str">
            <v>Село Хвастовичи</v>
          </cell>
        </row>
        <row r="267">
          <cell r="C267" t="str">
            <v>Город Юхнов</v>
          </cell>
        </row>
        <row r="268">
          <cell r="C268" t="str">
            <v>Деревня Беляево</v>
          </cell>
        </row>
        <row r="269">
          <cell r="C269" t="str">
            <v>Деревня Емельяновка</v>
          </cell>
        </row>
        <row r="270">
          <cell r="C270" t="str">
            <v>Деревня Колыхманово</v>
          </cell>
        </row>
        <row r="271">
          <cell r="C271" t="str">
            <v>Деревня Куркино</v>
          </cell>
        </row>
        <row r="272">
          <cell r="C272" t="str">
            <v>Деревня Озеро</v>
          </cell>
        </row>
        <row r="273">
          <cell r="C273" t="str">
            <v>Деревня Плоское</v>
          </cell>
        </row>
        <row r="274">
          <cell r="C274" t="str">
            <v>Деревня Погореловка</v>
          </cell>
        </row>
        <row r="275">
          <cell r="C275" t="str">
            <v>Деревня Порослицы</v>
          </cell>
        </row>
        <row r="276">
          <cell r="C276" t="str">
            <v>Деревня Рыляки</v>
          </cell>
        </row>
        <row r="277">
          <cell r="C277" t="str">
            <v>Деревня Упрямово</v>
          </cell>
        </row>
        <row r="278">
          <cell r="C278" t="str">
            <v>Деревня Чемоданово</v>
          </cell>
        </row>
        <row r="279">
          <cell r="C279" t="str">
            <v>Село Климов Завод</v>
          </cell>
        </row>
        <row r="280">
          <cell r="C280" t="str">
            <v>Село Щелканово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Баланс"/>
      <sheetName val="НВВ"/>
      <sheetName val="Лист2"/>
      <sheetName val="Лист3"/>
    </sheetNames>
    <sheetDataSet>
      <sheetData sheetId="0">
        <row r="18">
          <cell r="G18">
            <v>41342.54</v>
          </cell>
        </row>
      </sheetData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НВВ 26.09.23."/>
      <sheetName val="НВВ"/>
      <sheetName val="2024 Калуга+область транспортир"/>
      <sheetName val="Расчет электроэн."/>
      <sheetName val="Норм численность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ПП Раздел 5"/>
      <sheetName val="ПП Раздел 6"/>
      <sheetName val="ПП Раздел 7"/>
      <sheetName val="Раздел 7 отчт"/>
      <sheetName val="ПП Раздел 8"/>
      <sheetName val="Плата за НН и Н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2">
          <cell r="N12">
            <v>3789.2880899814727</v>
          </cell>
          <cell r="O12">
            <v>5598.5330712178611</v>
          </cell>
          <cell r="Q12">
            <v>5598.5330712178611</v>
          </cell>
          <cell r="R12">
            <v>5822.4743940665758</v>
          </cell>
          <cell r="T12">
            <v>5822.4743940665758</v>
          </cell>
          <cell r="U12">
            <v>6055.373369829239</v>
          </cell>
          <cell r="W12">
            <v>6055.373369829239</v>
          </cell>
          <cell r="X12">
            <v>6297.588304622408</v>
          </cell>
          <cell r="Z12">
            <v>6297.588304622408</v>
          </cell>
          <cell r="AA12">
            <v>6549.4918368073058</v>
          </cell>
        </row>
        <row r="16">
          <cell r="N16">
            <v>0</v>
          </cell>
          <cell r="O16">
            <v>687.0920074103019</v>
          </cell>
          <cell r="Q16">
            <v>687.0920074103019</v>
          </cell>
          <cell r="R16">
            <v>714.57568770671401</v>
          </cell>
          <cell r="T16">
            <v>714.57568770671401</v>
          </cell>
          <cell r="U16">
            <v>743.15871521498264</v>
          </cell>
          <cell r="W16">
            <v>743.15871521498264</v>
          </cell>
          <cell r="X16">
            <v>772.88506382358207</v>
          </cell>
          <cell r="Z16">
            <v>772.88506382358207</v>
          </cell>
          <cell r="AA16">
            <v>803.80046637652526</v>
          </cell>
        </row>
        <row r="17">
          <cell r="N17">
            <v>0</v>
          </cell>
          <cell r="O17">
            <v>16.167195767943447</v>
          </cell>
          <cell r="Q17">
            <v>16.167195767943447</v>
          </cell>
          <cell r="R17">
            <v>16.167195767943447</v>
          </cell>
          <cell r="T17">
            <v>16.167195767943447</v>
          </cell>
          <cell r="U17">
            <v>16.167195767943447</v>
          </cell>
          <cell r="W17">
            <v>16.167195767943447</v>
          </cell>
          <cell r="X17">
            <v>16.167195767943447</v>
          </cell>
          <cell r="Z17">
            <v>16.167195767943447</v>
          </cell>
          <cell r="AA17">
            <v>16.167195767943447</v>
          </cell>
        </row>
        <row r="19">
          <cell r="N19">
            <v>0</v>
          </cell>
          <cell r="O19">
            <v>329.64759251164924</v>
          </cell>
          <cell r="Q19">
            <v>329.64759251164924</v>
          </cell>
          <cell r="R19">
            <v>342.83349621211522</v>
          </cell>
          <cell r="T19">
            <v>342.83349621211522</v>
          </cell>
          <cell r="U19">
            <v>356.54683606059984</v>
          </cell>
          <cell r="W19">
            <v>356.54683606059984</v>
          </cell>
          <cell r="X19">
            <v>370.80870950302381</v>
          </cell>
          <cell r="Z19">
            <v>370.80870950302381</v>
          </cell>
          <cell r="AA19">
            <v>385.64105788314481</v>
          </cell>
        </row>
        <row r="20">
          <cell r="N20">
            <v>0</v>
          </cell>
          <cell r="O20">
            <v>7.1789031717533094</v>
          </cell>
          <cell r="Q20">
            <v>7.1789031717533094</v>
          </cell>
          <cell r="R20">
            <v>7.1789031717533094</v>
          </cell>
          <cell r="T20">
            <v>7.1789031717533094</v>
          </cell>
          <cell r="U20">
            <v>7.1789031717533094</v>
          </cell>
          <cell r="W20">
            <v>7.1789031717533094</v>
          </cell>
          <cell r="X20">
            <v>7.1789031717533094</v>
          </cell>
          <cell r="Z20">
            <v>7.1789031717533094</v>
          </cell>
          <cell r="AA20">
            <v>7.1789031717533094</v>
          </cell>
        </row>
        <row r="22">
          <cell r="N22">
            <v>3741.1488414529517</v>
          </cell>
          <cell r="O22">
            <v>4152.0018072213152</v>
          </cell>
          <cell r="Q22">
            <v>4152.0018072213152</v>
          </cell>
          <cell r="R22">
            <v>4318.0818795101677</v>
          </cell>
          <cell r="T22">
            <v>4318.0818795101677</v>
          </cell>
          <cell r="U22">
            <v>4490.8051546905754</v>
          </cell>
          <cell r="W22">
            <v>4490.8051546905754</v>
          </cell>
          <cell r="X22">
            <v>4670.437360878198</v>
          </cell>
          <cell r="Z22">
            <v>4670.437360878198</v>
          </cell>
          <cell r="AA22">
            <v>4857.2548553133265</v>
          </cell>
        </row>
        <row r="23">
          <cell r="N23">
            <v>86.128223466546515</v>
          </cell>
          <cell r="O23">
            <v>86.128223466546515</v>
          </cell>
          <cell r="Q23">
            <v>86.128223466546515</v>
          </cell>
          <cell r="R23">
            <v>86.128223466546515</v>
          </cell>
          <cell r="T23">
            <v>86.128223466546515</v>
          </cell>
          <cell r="U23">
            <v>86.128223466546515</v>
          </cell>
          <cell r="W23">
            <v>86.128223466546515</v>
          </cell>
          <cell r="X23">
            <v>86.128223466546515</v>
          </cell>
          <cell r="Z23">
            <v>86.128223466546515</v>
          </cell>
          <cell r="AA23">
            <v>86.128223466546515</v>
          </cell>
        </row>
        <row r="25">
          <cell r="N25">
            <v>0</v>
          </cell>
          <cell r="O25">
            <v>374.69667988918502</v>
          </cell>
          <cell r="Q25">
            <v>374.69667988918502</v>
          </cell>
          <cell r="R25">
            <v>389.68454708475247</v>
          </cell>
          <cell r="T25">
            <v>389.68454708475247</v>
          </cell>
          <cell r="U25">
            <v>405.27192896814256</v>
          </cell>
          <cell r="W25">
            <v>405.27192896814256</v>
          </cell>
          <cell r="X25">
            <v>421.48280612686824</v>
          </cell>
          <cell r="Z25">
            <v>421.48280612686824</v>
          </cell>
          <cell r="AA25">
            <v>438.342118371943</v>
          </cell>
        </row>
        <row r="26">
          <cell r="N26">
            <v>0</v>
          </cell>
          <cell r="O26">
            <v>1.8532277736178226</v>
          </cell>
          <cell r="Q26">
            <v>1.8532277736178226</v>
          </cell>
          <cell r="R26">
            <v>1.8532277736178226</v>
          </cell>
          <cell r="T26">
            <v>1.8532277736178226</v>
          </cell>
          <cell r="U26">
            <v>1.8532277736178226</v>
          </cell>
          <cell r="W26">
            <v>1.8532277736178226</v>
          </cell>
          <cell r="X26">
            <v>1.8532277736178226</v>
          </cell>
          <cell r="Z26">
            <v>1.8532277736178226</v>
          </cell>
          <cell r="AA26">
            <v>1.8532277736178226</v>
          </cell>
        </row>
        <row r="28">
          <cell r="N28">
            <v>48.139248528521151</v>
          </cell>
          <cell r="O28">
            <v>55.094984185409174</v>
          </cell>
          <cell r="Q28">
            <v>55.094984185409174</v>
          </cell>
          <cell r="R28">
            <v>57.29878355282554</v>
          </cell>
          <cell r="T28">
            <v>57.29878355282554</v>
          </cell>
          <cell r="U28">
            <v>59.590734894938564</v>
          </cell>
          <cell r="W28">
            <v>59.590734894938564</v>
          </cell>
          <cell r="X28">
            <v>61.974364290736105</v>
          </cell>
          <cell r="Z28">
            <v>61.974364290736105</v>
          </cell>
          <cell r="AA28">
            <v>64.453338862365555</v>
          </cell>
        </row>
        <row r="29">
          <cell r="N29">
            <v>5575.0646823797133</v>
          </cell>
          <cell r="O29">
            <v>10191.6990041345</v>
          </cell>
          <cell r="Q29">
            <v>10191.6990041345</v>
          </cell>
          <cell r="R29">
            <v>10599.366964299879</v>
          </cell>
          <cell r="T29">
            <v>10599.366964299879</v>
          </cell>
          <cell r="U29">
            <v>11023.341642871876</v>
          </cell>
          <cell r="W29">
            <v>11023.341642871876</v>
          </cell>
          <cell r="X29">
            <v>11464.275308586752</v>
          </cell>
          <cell r="Z29">
            <v>11464.275308586752</v>
          </cell>
          <cell r="AA29">
            <v>11922.846320930223</v>
          </cell>
        </row>
        <row r="31">
          <cell r="N31">
            <v>31244.073871754317</v>
          </cell>
          <cell r="O31">
            <v>33493.647290963476</v>
          </cell>
          <cell r="Q31">
            <v>33493.647281937701</v>
          </cell>
          <cell r="R31">
            <v>34833.393173215212</v>
          </cell>
          <cell r="T31">
            <v>34833.393173215212</v>
          </cell>
          <cell r="U31">
            <v>36226.728900143818</v>
          </cell>
          <cell r="W31">
            <v>36226.728900143818</v>
          </cell>
          <cell r="X31">
            <v>37675.798056149564</v>
          </cell>
          <cell r="Z31">
            <v>37675.798056149564</v>
          </cell>
          <cell r="AA31">
            <v>39182.829978395559</v>
          </cell>
        </row>
        <row r="32">
          <cell r="N32">
            <v>23996.984512318246</v>
          </cell>
          <cell r="O32">
            <v>25724.767497648005</v>
          </cell>
          <cell r="Q32">
            <v>25724.767497648005</v>
          </cell>
          <cell r="R32">
            <v>26753.758197553925</v>
          </cell>
          <cell r="T32">
            <v>26753.758197553925</v>
          </cell>
          <cell r="U32">
            <v>27823.908525456085</v>
          </cell>
          <cell r="W32">
            <v>27823.908525456085</v>
          </cell>
          <cell r="X32">
            <v>28936.86486647432</v>
          </cell>
          <cell r="Z32">
            <v>28936.86486647432</v>
          </cell>
          <cell r="AA32">
            <v>30094.339461133302</v>
          </cell>
        </row>
        <row r="41">
          <cell r="N41">
            <v>58.126653257687266</v>
          </cell>
          <cell r="O41">
            <v>58.126653257687266</v>
          </cell>
          <cell r="Q41">
            <v>58.126653257687266</v>
          </cell>
          <cell r="R41">
            <v>58.126653257687266</v>
          </cell>
          <cell r="T41">
            <v>58.126653257687266</v>
          </cell>
          <cell r="U41">
            <v>58.126653257687266</v>
          </cell>
          <cell r="W41">
            <v>58.126653257687266</v>
          </cell>
          <cell r="X41">
            <v>58.126653257687266</v>
          </cell>
          <cell r="Z41">
            <v>58.126653257687266</v>
          </cell>
          <cell r="AA41">
            <v>58.126653257687266</v>
          </cell>
        </row>
        <row r="42">
          <cell r="N42">
            <v>7247.0893594360714</v>
          </cell>
          <cell r="O42">
            <v>7768.8797933154692</v>
          </cell>
          <cell r="Q42">
            <v>7768.8797842896975</v>
          </cell>
          <cell r="R42">
            <v>8079.6349756612854</v>
          </cell>
          <cell r="T42">
            <v>8079.6349756612854</v>
          </cell>
          <cell r="U42">
            <v>8402.8203746877371</v>
          </cell>
          <cell r="W42">
            <v>8402.8203746877371</v>
          </cell>
          <cell r="X42">
            <v>8738.9331896752446</v>
          </cell>
          <cell r="Z42">
            <v>8738.9331896752446</v>
          </cell>
          <cell r="AA42">
            <v>9088.4905172622566</v>
          </cell>
        </row>
        <row r="44">
          <cell r="N44">
            <v>0</v>
          </cell>
          <cell r="O44">
            <v>4694.9355866498654</v>
          </cell>
          <cell r="Q44">
            <v>4694.9355866498654</v>
          </cell>
          <cell r="R44">
            <v>4882.7330101158605</v>
          </cell>
          <cell r="T44">
            <v>4882.7330101158605</v>
          </cell>
          <cell r="U44">
            <v>5078.0423305204949</v>
          </cell>
          <cell r="W44">
            <v>5078.0423305204949</v>
          </cell>
          <cell r="X44">
            <v>5281.1640237413148</v>
          </cell>
          <cell r="Z44">
            <v>5281.1640237413148</v>
          </cell>
          <cell r="AA44">
            <v>5492.4105846909679</v>
          </cell>
        </row>
        <row r="45">
          <cell r="N45">
            <v>0</v>
          </cell>
          <cell r="O45">
            <v>2079.8479388518022</v>
          </cell>
          <cell r="Q45">
            <v>2079.8479388518022</v>
          </cell>
          <cell r="R45">
            <v>2163.0418564058741</v>
          </cell>
          <cell r="T45">
            <v>2163.0418564058741</v>
          </cell>
          <cell r="U45">
            <v>2249.5635306621093</v>
          </cell>
          <cell r="W45">
            <v>2249.5635306621093</v>
          </cell>
          <cell r="X45">
            <v>2339.5460718885938</v>
          </cell>
          <cell r="Z45">
            <v>2339.5460718885938</v>
          </cell>
          <cell r="AA45">
            <v>2433.1279147641376</v>
          </cell>
        </row>
        <row r="46">
          <cell r="N46">
            <v>0</v>
          </cell>
          <cell r="O46">
            <v>2615.0876477980632</v>
          </cell>
          <cell r="Q46">
            <v>2615.0876477980632</v>
          </cell>
          <cell r="R46">
            <v>2719.6911537099859</v>
          </cell>
          <cell r="T46">
            <v>2719.6911537099859</v>
          </cell>
          <cell r="U46">
            <v>2828.4787998583856</v>
          </cell>
          <cell r="W46">
            <v>2828.4787998583856</v>
          </cell>
          <cell r="X46">
            <v>2941.617951852721</v>
          </cell>
          <cell r="Z46">
            <v>2941.617951852721</v>
          </cell>
          <cell r="AA46">
            <v>3059.2826699268298</v>
          </cell>
        </row>
        <row r="47">
          <cell r="N47">
            <v>0</v>
          </cell>
          <cell r="O47">
            <v>7561.0886934270175</v>
          </cell>
          <cell r="Q47">
            <v>7561.0886934270175</v>
          </cell>
          <cell r="R47">
            <v>7863.5322411640991</v>
          </cell>
          <cell r="T47">
            <v>7863.5322411640991</v>
          </cell>
          <cell r="U47">
            <v>8178.0735308106623</v>
          </cell>
          <cell r="W47">
            <v>8178.0735308106623</v>
          </cell>
          <cell r="X47">
            <v>8505.1964720430897</v>
          </cell>
          <cell r="Z47">
            <v>8505.1964720430897</v>
          </cell>
          <cell r="AA47">
            <v>8845.4043309248136</v>
          </cell>
        </row>
        <row r="48">
          <cell r="N48">
            <v>0</v>
          </cell>
          <cell r="O48">
            <v>2768.4901999114982</v>
          </cell>
          <cell r="Q48">
            <v>2768.4901999114982</v>
          </cell>
          <cell r="R48">
            <v>2879.2298079079583</v>
          </cell>
          <cell r="T48">
            <v>2879.2298079079583</v>
          </cell>
          <cell r="U48">
            <v>2994.3990002242767</v>
          </cell>
          <cell r="W48">
            <v>2994.3990002242767</v>
          </cell>
          <cell r="X48">
            <v>3114.1749602332479</v>
          </cell>
          <cell r="Z48">
            <v>3114.1749602332479</v>
          </cell>
          <cell r="AA48">
            <v>3238.7419586425781</v>
          </cell>
        </row>
        <row r="50">
          <cell r="N50">
            <v>0</v>
          </cell>
          <cell r="O50">
            <v>2747.5941347684025</v>
          </cell>
          <cell r="Q50">
            <v>2747.5941347684025</v>
          </cell>
          <cell r="R50">
            <v>2857.4979001591387</v>
          </cell>
          <cell r="T50">
            <v>2857.4979001591387</v>
          </cell>
          <cell r="U50">
            <v>2971.7978161655042</v>
          </cell>
          <cell r="W50">
            <v>2971.7978161655042</v>
          </cell>
          <cell r="X50">
            <v>3090.6697288121245</v>
          </cell>
          <cell r="Z50">
            <v>3090.6697288121245</v>
          </cell>
          <cell r="AA50">
            <v>3214.2965179646094</v>
          </cell>
        </row>
        <row r="51">
          <cell r="N51">
            <v>0</v>
          </cell>
          <cell r="O51">
            <v>1975.8762474552505</v>
          </cell>
          <cell r="Q51">
            <v>1975.8762474552505</v>
          </cell>
          <cell r="R51">
            <v>2054.9112973534607</v>
          </cell>
          <cell r="T51">
            <v>2054.9112973534607</v>
          </cell>
          <cell r="U51">
            <v>2137.1077492475993</v>
          </cell>
          <cell r="W51">
            <v>2137.1077492475993</v>
          </cell>
          <cell r="X51">
            <v>2222.5920592175034</v>
          </cell>
          <cell r="Z51">
            <v>2222.5920592175034</v>
          </cell>
          <cell r="AA51">
            <v>2311.4957415862036</v>
          </cell>
        </row>
        <row r="52">
          <cell r="N52">
            <v>0</v>
          </cell>
          <cell r="O52">
            <v>69.12811129186592</v>
          </cell>
          <cell r="Q52">
            <v>69.12811129186592</v>
          </cell>
          <cell r="R52">
            <v>71.893235743540558</v>
          </cell>
          <cell r="T52">
            <v>71.893235743540558</v>
          </cell>
          <cell r="U52">
            <v>74.768965173282183</v>
          </cell>
          <cell r="W52">
            <v>74.768965173282183</v>
          </cell>
          <cell r="X52">
            <v>77.759723780213477</v>
          </cell>
          <cell r="Z52">
            <v>77.759723780213477</v>
          </cell>
          <cell r="AA52">
            <v>80.870112731422026</v>
          </cell>
        </row>
        <row r="55">
          <cell r="N55">
            <v>0</v>
          </cell>
          <cell r="O55">
            <v>824.67539676543765</v>
          </cell>
          <cell r="Q55">
            <v>824.67539676543765</v>
          </cell>
          <cell r="R55">
            <v>857.66241263605514</v>
          </cell>
          <cell r="T55">
            <v>857.66241263605514</v>
          </cell>
          <cell r="U55">
            <v>891.96890914149742</v>
          </cell>
          <cell r="W55">
            <v>891.96890914149742</v>
          </cell>
          <cell r="X55">
            <v>927.6476655071574</v>
          </cell>
          <cell r="Z55">
            <v>927.6476655071574</v>
          </cell>
          <cell r="AA55">
            <v>964.7535721274437</v>
          </cell>
        </row>
        <row r="56">
          <cell r="N56">
            <v>0</v>
          </cell>
          <cell r="O56">
            <v>401.55531927929104</v>
          </cell>
          <cell r="Q56">
            <v>401.55531927929104</v>
          </cell>
          <cell r="R56">
            <v>417.61753205046267</v>
          </cell>
          <cell r="T56">
            <v>417.61753205046267</v>
          </cell>
          <cell r="U56">
            <v>434.32223333248118</v>
          </cell>
          <cell r="W56">
            <v>434.32223333248118</v>
          </cell>
          <cell r="X56">
            <v>451.69512266578045</v>
          </cell>
          <cell r="Z56">
            <v>451.69512266578045</v>
          </cell>
          <cell r="AA56">
            <v>469.76292757241168</v>
          </cell>
        </row>
        <row r="57">
          <cell r="N57">
            <v>38686.832916378466</v>
          </cell>
          <cell r="O57">
            <v>45240.863308016051</v>
          </cell>
          <cell r="Q57">
            <v>45240.863308016051</v>
          </cell>
          <cell r="R57">
            <v>47050.497840336684</v>
          </cell>
          <cell r="T57">
            <v>47050.497840336684</v>
          </cell>
          <cell r="U57">
            <v>48932.51775395016</v>
          </cell>
          <cell r="W57">
            <v>48932.51775395016</v>
          </cell>
          <cell r="X57">
            <v>50889.818464108153</v>
          </cell>
          <cell r="Z57">
            <v>50889.818464108153</v>
          </cell>
          <cell r="AA57">
            <v>52925.411202672491</v>
          </cell>
        </row>
        <row r="58">
          <cell r="N58">
            <v>29713.389337303579</v>
          </cell>
          <cell r="O58">
            <v>34747.206842235631</v>
          </cell>
          <cell r="Q58">
            <v>34747.206842235631</v>
          </cell>
          <cell r="R58">
            <v>36137.095115925047</v>
          </cell>
          <cell r="T58">
            <v>36137.095115925047</v>
          </cell>
          <cell r="U58">
            <v>37582.57892056206</v>
          </cell>
          <cell r="W58">
            <v>37582.57892056206</v>
          </cell>
          <cell r="X58">
            <v>39085.882077384529</v>
          </cell>
          <cell r="Z58">
            <v>39085.882077384529</v>
          </cell>
          <cell r="AA58">
            <v>40649.317360479923</v>
          </cell>
        </row>
        <row r="67">
          <cell r="N67">
            <v>50.453276258935631</v>
          </cell>
          <cell r="O67">
            <v>55.46057742826801</v>
          </cell>
          <cell r="Q67">
            <v>55.46057742826801</v>
          </cell>
          <cell r="R67">
            <v>55.46057742826801</v>
          </cell>
          <cell r="T67">
            <v>55.46057742826801</v>
          </cell>
          <cell r="U67">
            <v>55.46057742826801</v>
          </cell>
          <cell r="W67">
            <v>55.46057742826801</v>
          </cell>
          <cell r="X67">
            <v>55.46057742826801</v>
          </cell>
          <cell r="Z67">
            <v>55.46057742826801</v>
          </cell>
          <cell r="AA67">
            <v>55.46057742826801</v>
          </cell>
        </row>
        <row r="68">
          <cell r="N68">
            <v>8973.4435790748903</v>
          </cell>
          <cell r="O68">
            <v>10493.656465780417</v>
          </cell>
          <cell r="Q68">
            <v>10493.656465780417</v>
          </cell>
          <cell r="R68">
            <v>10913.402724411635</v>
          </cell>
          <cell r="T68">
            <v>10913.402724411635</v>
          </cell>
          <cell r="U68">
            <v>11349.938833388102</v>
          </cell>
          <cell r="W68">
            <v>11349.938833388102</v>
          </cell>
          <cell r="X68">
            <v>11803.936386723626</v>
          </cell>
          <cell r="Z68">
            <v>11803.936386723626</v>
          </cell>
          <cell r="AA68">
            <v>12276.093842192571</v>
          </cell>
        </row>
        <row r="71">
          <cell r="N71">
            <v>0</v>
          </cell>
          <cell r="O71">
            <v>960.86574450278363</v>
          </cell>
          <cell r="Q71">
            <v>960.86574450278363</v>
          </cell>
          <cell r="R71">
            <v>999.30037428289506</v>
          </cell>
          <cell r="T71">
            <v>999.30037428289506</v>
          </cell>
          <cell r="U71">
            <v>1039.2723892542108</v>
          </cell>
          <cell r="W71">
            <v>1039.2723892542108</v>
          </cell>
          <cell r="X71">
            <v>1080.8432848243792</v>
          </cell>
          <cell r="Z71">
            <v>1080.8432848243792</v>
          </cell>
          <cell r="AA71">
            <v>1124.0770162173544</v>
          </cell>
        </row>
        <row r="72">
          <cell r="N72">
            <v>0</v>
          </cell>
          <cell r="O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</row>
        <row r="73">
          <cell r="N73">
            <v>0</v>
          </cell>
          <cell r="O73">
            <v>7.4972210039848246</v>
          </cell>
          <cell r="Q73">
            <v>7.4972210039848246</v>
          </cell>
          <cell r="R73">
            <v>7.7971098441442175</v>
          </cell>
          <cell r="T73">
            <v>7.7971098441442175</v>
          </cell>
          <cell r="U73">
            <v>8.108994237909986</v>
          </cell>
          <cell r="W73">
            <v>8.108994237909986</v>
          </cell>
          <cell r="X73">
            <v>8.4333540074263862</v>
          </cell>
          <cell r="Z73">
            <v>8.4333540074263862</v>
          </cell>
          <cell r="AA73">
            <v>8.7706881677234421</v>
          </cell>
        </row>
        <row r="74">
          <cell r="N74">
            <v>0</v>
          </cell>
          <cell r="O74">
            <v>8.246943104383309</v>
          </cell>
          <cell r="Q74">
            <v>8.246943104383309</v>
          </cell>
          <cell r="R74">
            <v>8.5768208285586418</v>
          </cell>
          <cell r="T74">
            <v>8.5768208285586418</v>
          </cell>
          <cell r="U74">
            <v>8.9198936617009874</v>
          </cell>
          <cell r="W74">
            <v>8.9198936617009874</v>
          </cell>
          <cell r="X74">
            <v>9.2766894081690268</v>
          </cell>
          <cell r="Z74">
            <v>9.2766894081690268</v>
          </cell>
          <cell r="AA74">
            <v>9.6477569844957873</v>
          </cell>
        </row>
        <row r="75">
          <cell r="N75">
            <v>0</v>
          </cell>
          <cell r="O75">
            <v>282.0966556302252</v>
          </cell>
          <cell r="Q75">
            <v>282.0966556302252</v>
          </cell>
          <cell r="R75">
            <v>293.38052185543421</v>
          </cell>
          <cell r="T75">
            <v>293.38052185543421</v>
          </cell>
          <cell r="U75">
            <v>305.11574272965157</v>
          </cell>
          <cell r="W75">
            <v>305.11574272965157</v>
          </cell>
          <cell r="X75">
            <v>317.32037243883764</v>
          </cell>
          <cell r="Z75">
            <v>317.32037243883764</v>
          </cell>
          <cell r="AA75">
            <v>330.01318733639113</v>
          </cell>
        </row>
        <row r="76">
          <cell r="N76">
            <v>0</v>
          </cell>
          <cell r="O76">
            <v>0</v>
          </cell>
        </row>
        <row r="77">
          <cell r="N77">
            <v>13239.30178549037</v>
          </cell>
          <cell r="O77">
            <v>14214.366177913438</v>
          </cell>
          <cell r="Q77">
            <v>14214.366177913438</v>
          </cell>
          <cell r="R77">
            <v>14782.940825029975</v>
          </cell>
          <cell r="T77">
            <v>14782.940825029975</v>
          </cell>
          <cell r="U77">
            <v>15374.258458031176</v>
          </cell>
          <cell r="W77">
            <v>15374.258458031176</v>
          </cell>
          <cell r="X77">
            <v>15989.228796352423</v>
          </cell>
          <cell r="Z77">
            <v>15989.228796352423</v>
          </cell>
          <cell r="AA77">
            <v>16628.79794820652</v>
          </cell>
        </row>
        <row r="78">
          <cell r="N78">
            <v>10184.078296531054</v>
          </cell>
          <cell r="O78">
            <v>10917.331933881289</v>
          </cell>
          <cell r="Q78">
            <v>10917.331933881289</v>
          </cell>
          <cell r="R78">
            <v>11354.02521123654</v>
          </cell>
          <cell r="T78">
            <v>11354.02521123654</v>
          </cell>
          <cell r="U78">
            <v>11808.186219686004</v>
          </cell>
          <cell r="W78">
            <v>11808.186219686004</v>
          </cell>
          <cell r="X78">
            <v>12280.513668473444</v>
          </cell>
          <cell r="Z78">
            <v>12280.513668473444</v>
          </cell>
          <cell r="AA78">
            <v>12771.734215212382</v>
          </cell>
        </row>
        <row r="87">
          <cell r="N87">
            <v>16.275462912152435</v>
          </cell>
          <cell r="O87">
            <v>16.275462912152435</v>
          </cell>
          <cell r="Q87">
            <v>16.275462912152435</v>
          </cell>
          <cell r="R87">
            <v>16.275462912152435</v>
          </cell>
          <cell r="T87">
            <v>16.275462912152435</v>
          </cell>
          <cell r="U87">
            <v>16.275462912152435</v>
          </cell>
          <cell r="W87">
            <v>16.275462912152435</v>
          </cell>
          <cell r="X87">
            <v>16.275462912152435</v>
          </cell>
          <cell r="Z87">
            <v>16.275462912152435</v>
          </cell>
          <cell r="AA87">
            <v>16.275462912152435</v>
          </cell>
        </row>
        <row r="88">
          <cell r="N88">
            <v>3055.2234889593155</v>
          </cell>
          <cell r="O88">
            <v>3297.0342440321488</v>
          </cell>
          <cell r="Q88">
            <v>3297.0342440321488</v>
          </cell>
          <cell r="R88">
            <v>3428.9156137934347</v>
          </cell>
          <cell r="T88">
            <v>3428.9156137934347</v>
          </cell>
          <cell r="U88">
            <v>3566.0722383451721</v>
          </cell>
          <cell r="W88">
            <v>3566.0722383451721</v>
          </cell>
          <cell r="X88">
            <v>3708.7151278789793</v>
          </cell>
          <cell r="Z88">
            <v>3708.7151278789793</v>
          </cell>
          <cell r="AA88">
            <v>3857.0637329941387</v>
          </cell>
        </row>
        <row r="89">
          <cell r="N89">
            <v>0</v>
          </cell>
          <cell r="O89">
            <v>182.48238288652556</v>
          </cell>
          <cell r="Q89">
            <v>182.48238288652556</v>
          </cell>
          <cell r="R89">
            <v>189.78167820198658</v>
          </cell>
          <cell r="T89">
            <v>189.78167820198658</v>
          </cell>
          <cell r="U89">
            <v>197.37294533006605</v>
          </cell>
          <cell r="W89">
            <v>197.37294533006605</v>
          </cell>
          <cell r="X89">
            <v>205.2678631432687</v>
          </cell>
          <cell r="Z89">
            <v>205.2678631432687</v>
          </cell>
          <cell r="AA89">
            <v>213.47857766899946</v>
          </cell>
        </row>
        <row r="90">
          <cell r="N90">
            <v>0</v>
          </cell>
          <cell r="O90">
            <v>967.42820877027532</v>
          </cell>
          <cell r="Q90">
            <v>967.42820877027532</v>
          </cell>
          <cell r="R90">
            <v>1006.1253371210863</v>
          </cell>
          <cell r="T90">
            <v>1006.1253371210863</v>
          </cell>
          <cell r="U90">
            <v>1046.3703506059298</v>
          </cell>
          <cell r="W90">
            <v>1046.3703506059298</v>
          </cell>
          <cell r="X90">
            <v>1088.225164630167</v>
          </cell>
          <cell r="Z90">
            <v>1088.225164630167</v>
          </cell>
          <cell r="AA90">
            <v>1131.7541712153736</v>
          </cell>
        </row>
        <row r="91">
          <cell r="N91">
            <v>0</v>
          </cell>
          <cell r="O91">
            <v>198.36492704323993</v>
          </cell>
          <cell r="Q91">
            <v>198.36492704323993</v>
          </cell>
          <cell r="R91">
            <v>206.29952412496954</v>
          </cell>
          <cell r="T91">
            <v>206.29952412496954</v>
          </cell>
          <cell r="U91">
            <v>214.55150508996832</v>
          </cell>
          <cell r="W91">
            <v>214.55150508996832</v>
          </cell>
          <cell r="X91">
            <v>223.13356529356705</v>
          </cell>
          <cell r="Z91">
            <v>223.13356529356705</v>
          </cell>
          <cell r="AA91">
            <v>232.05890790530972</v>
          </cell>
        </row>
        <row r="92">
          <cell r="N92">
            <v>0</v>
          </cell>
          <cell r="O92">
            <v>269.21570622674176</v>
          </cell>
          <cell r="Q92">
            <v>269.21570622674176</v>
          </cell>
          <cell r="R92">
            <v>279.98433447581147</v>
          </cell>
          <cell r="T92">
            <v>279.98433447581147</v>
          </cell>
          <cell r="U92">
            <v>291.18370785484393</v>
          </cell>
          <cell r="W92">
            <v>291.18370785484393</v>
          </cell>
          <cell r="X92">
            <v>302.83105616903771</v>
          </cell>
          <cell r="Z92">
            <v>302.83105616903771</v>
          </cell>
          <cell r="AA92">
            <v>314.94429841579921</v>
          </cell>
        </row>
        <row r="97">
          <cell r="N97">
            <v>25.022932511773899</v>
          </cell>
          <cell r="O97">
            <v>26.824583652621623</v>
          </cell>
          <cell r="Q97">
            <v>26.824583652621623</v>
          </cell>
          <cell r="R97">
            <v>27.897566998726489</v>
          </cell>
          <cell r="T97">
            <v>27.897566998726489</v>
          </cell>
          <cell r="U97">
            <v>29.013469678675548</v>
          </cell>
          <cell r="W97">
            <v>29.013469678675548</v>
          </cell>
          <cell r="X97">
            <v>30.17400846582257</v>
          </cell>
          <cell r="Z97">
            <v>30.17400846582257</v>
          </cell>
          <cell r="AA97">
            <v>31.380968804455474</v>
          </cell>
        </row>
        <row r="98">
          <cell r="N98">
            <v>14.885055035798045</v>
          </cell>
          <cell r="O98">
            <v>15.956778998375507</v>
          </cell>
          <cell r="Q98">
            <v>15.956778998375505</v>
          </cell>
          <cell r="R98">
            <v>16.595050158310528</v>
          </cell>
          <cell r="T98">
            <v>16.595050158310528</v>
          </cell>
          <cell r="U98">
            <v>17.258852164642949</v>
          </cell>
          <cell r="W98">
            <v>17.258852164642949</v>
          </cell>
          <cell r="X98">
            <v>17.949206251228667</v>
          </cell>
          <cell r="Z98">
            <v>17.949206251228667</v>
          </cell>
          <cell r="AA98">
            <v>18.667174501277813</v>
          </cell>
        </row>
        <row r="100">
          <cell r="N100">
            <v>10.926354497462627</v>
          </cell>
          <cell r="O100">
            <v>11.713052021279937</v>
          </cell>
          <cell r="Q100">
            <v>11.713052021279937</v>
          </cell>
          <cell r="R100">
            <v>12.181574102131135</v>
          </cell>
          <cell r="T100">
            <v>12.181574102131135</v>
          </cell>
          <cell r="U100">
            <v>12.668837066216382</v>
          </cell>
          <cell r="W100">
            <v>12.668837066216382</v>
          </cell>
          <cell r="X100">
            <v>13.175590548865037</v>
          </cell>
          <cell r="Z100">
            <v>13.175590548865037</v>
          </cell>
          <cell r="AA100">
            <v>13.702614170819638</v>
          </cell>
        </row>
        <row r="101">
          <cell r="N101">
            <v>3.9587005383354175</v>
          </cell>
          <cell r="O101">
            <v>4.2437269770955686</v>
          </cell>
          <cell r="Q101">
            <v>4.2437269770955686</v>
          </cell>
          <cell r="R101">
            <v>4.4134760561793911</v>
          </cell>
          <cell r="T101">
            <v>4.4134760561793911</v>
          </cell>
          <cell r="U101">
            <v>4.5900150984265666</v>
          </cell>
          <cell r="W101">
            <v>4.5900150984265666</v>
          </cell>
          <cell r="X101">
            <v>4.7736157023636299</v>
          </cell>
          <cell r="Z101">
            <v>4.7736157023636299</v>
          </cell>
          <cell r="AA101">
            <v>4.9645603304581751</v>
          </cell>
        </row>
        <row r="105">
          <cell r="N105">
            <v>52.523370310364946</v>
          </cell>
          <cell r="O105">
            <v>1559.0038833318235</v>
          </cell>
          <cell r="Q105">
            <v>1559.0038833318235</v>
          </cell>
          <cell r="R105">
            <v>1621.3640386650964</v>
          </cell>
          <cell r="T105">
            <v>1621.3640386650964</v>
          </cell>
          <cell r="U105">
            <v>1686.2186002117003</v>
          </cell>
          <cell r="W105">
            <v>1686.2186002117003</v>
          </cell>
          <cell r="X105">
            <v>1753.6673442201684</v>
          </cell>
          <cell r="Z105">
            <v>1753.6673442201684</v>
          </cell>
          <cell r="AA105">
            <v>1823.8140379889753</v>
          </cell>
        </row>
        <row r="106">
          <cell r="N106">
            <v>4.7568655033056713</v>
          </cell>
          <cell r="O106">
            <v>5.0993598195436807</v>
          </cell>
          <cell r="Q106">
            <v>5.0993598195436807</v>
          </cell>
          <cell r="R106">
            <v>5.3033342123254279</v>
          </cell>
          <cell r="T106">
            <v>5.3033342123254279</v>
          </cell>
          <cell r="U106">
            <v>5.515467580818445</v>
          </cell>
          <cell r="W106">
            <v>5.515467580818445</v>
          </cell>
          <cell r="X106">
            <v>5.7360862840511828</v>
          </cell>
          <cell r="Z106">
            <v>5.7360862840511828</v>
          </cell>
          <cell r="AA106">
            <v>5.96552973541323</v>
          </cell>
        </row>
        <row r="108">
          <cell r="N108">
            <v>26.687868797766889</v>
          </cell>
          <cell r="O108">
            <v>28.609395351206107</v>
          </cell>
          <cell r="Q108">
            <v>28.609395351206107</v>
          </cell>
          <cell r="R108">
            <v>29.753771165254353</v>
          </cell>
          <cell r="T108">
            <v>29.753771165254353</v>
          </cell>
          <cell r="U108">
            <v>30.94392201186453</v>
          </cell>
          <cell r="W108">
            <v>30.94392201186453</v>
          </cell>
          <cell r="X108">
            <v>32.181678892339114</v>
          </cell>
          <cell r="Z108">
            <v>32.181678892339114</v>
          </cell>
          <cell r="AA108">
            <v>33.468946048032677</v>
          </cell>
        </row>
        <row r="109">
          <cell r="N109">
            <v>7.8161057879895406</v>
          </cell>
          <cell r="O109">
            <v>8.3788654047247881</v>
          </cell>
          <cell r="Q109">
            <v>8.3788654047247881</v>
          </cell>
          <cell r="R109">
            <v>8.7140200209137806</v>
          </cell>
          <cell r="T109">
            <v>8.7140200209137806</v>
          </cell>
          <cell r="U109">
            <v>9.0625808217503323</v>
          </cell>
          <cell r="W109">
            <v>9.0625808217503323</v>
          </cell>
          <cell r="X109">
            <v>9.4250840546203456</v>
          </cell>
          <cell r="Z109">
            <v>9.4250840546203456</v>
          </cell>
          <cell r="AA109">
            <v>9.8020874168051595</v>
          </cell>
        </row>
        <row r="111">
          <cell r="N111">
            <v>0</v>
          </cell>
          <cell r="O111">
            <v>1502.6988303591122</v>
          </cell>
          <cell r="Q111">
            <v>1502.6988303591122</v>
          </cell>
          <cell r="R111">
            <v>1562.8067835734767</v>
          </cell>
          <cell r="T111">
            <v>1562.8067835734767</v>
          </cell>
          <cell r="U111">
            <v>1625.3190549164158</v>
          </cell>
          <cell r="W111">
            <v>1625.3190549164158</v>
          </cell>
          <cell r="X111">
            <v>1690.3318171130725</v>
          </cell>
          <cell r="Z111">
            <v>1690.3318171130725</v>
          </cell>
          <cell r="AA111">
            <v>1757.9450897975955</v>
          </cell>
        </row>
        <row r="112">
          <cell r="N112">
            <v>13.262530221302844</v>
          </cell>
          <cell r="O112">
            <v>14.217432397236651</v>
          </cell>
          <cell r="Q112">
            <v>14.217432397236651</v>
          </cell>
          <cell r="R112">
            <v>14.786129693126117</v>
          </cell>
          <cell r="T112">
            <v>14.786129693126117</v>
          </cell>
          <cell r="U112">
            <v>15.377574880851162</v>
          </cell>
          <cell r="W112">
            <v>15.377574880851162</v>
          </cell>
          <cell r="X112">
            <v>15.992677876085208</v>
          </cell>
          <cell r="Z112">
            <v>15.992677876085208</v>
          </cell>
          <cell r="AA112">
            <v>16.632384991128617</v>
          </cell>
        </row>
        <row r="113">
          <cell r="N113">
            <v>2920.2838501886922</v>
          </cell>
          <cell r="O113">
            <v>5427.3849782000216</v>
          </cell>
          <cell r="Q113">
            <v>5427.3849782000216</v>
          </cell>
          <cell r="R113">
            <v>5644.4803773280237</v>
          </cell>
          <cell r="T113">
            <v>5644.4803773280237</v>
          </cell>
          <cell r="U113">
            <v>5870.2595924211455</v>
          </cell>
          <cell r="W113">
            <v>5870.2595924211455</v>
          </cell>
          <cell r="X113">
            <v>6105.0699761179912</v>
          </cell>
          <cell r="Z113">
            <v>6105.0699761179912</v>
          </cell>
          <cell r="AA113">
            <v>6349.2727751627117</v>
          </cell>
        </row>
        <row r="114">
          <cell r="N114">
            <v>2242.9215439237269</v>
          </cell>
          <cell r="O114">
            <v>4168.4984607804963</v>
          </cell>
          <cell r="Q114">
            <v>4168.4984607804963</v>
          </cell>
          <cell r="R114">
            <v>4335.2383992117166</v>
          </cell>
          <cell r="T114">
            <v>4335.2383992117166</v>
          </cell>
          <cell r="U114">
            <v>4508.6479351801863</v>
          </cell>
          <cell r="W114">
            <v>4508.6479351801863</v>
          </cell>
          <cell r="X114">
            <v>4688.9938525873931</v>
          </cell>
          <cell r="Z114">
            <v>4688.9938525873931</v>
          </cell>
          <cell r="AA114">
            <v>4876.5536066908899</v>
          </cell>
        </row>
        <row r="123">
          <cell r="N123">
            <v>4.6501322606149813</v>
          </cell>
          <cell r="O123">
            <v>10.184923106478783</v>
          </cell>
          <cell r="Q123">
            <v>10.184923106478783</v>
          </cell>
          <cell r="R123">
            <v>10.184923106478783</v>
          </cell>
          <cell r="T123">
            <v>10.184923106478783</v>
          </cell>
          <cell r="U123">
            <v>10.184923106478783</v>
          </cell>
          <cell r="W123">
            <v>10.184923106478783</v>
          </cell>
          <cell r="X123">
            <v>10.184923106478783</v>
          </cell>
          <cell r="Z123">
            <v>10.184923106478783</v>
          </cell>
          <cell r="AA123">
            <v>10.184923106478783</v>
          </cell>
        </row>
        <row r="124">
          <cell r="N124">
            <v>677.36230626496535</v>
          </cell>
          <cell r="O124">
            <v>1258.8865174195257</v>
          </cell>
          <cell r="Q124">
            <v>1258.8865174195257</v>
          </cell>
          <cell r="R124">
            <v>1309.2419781163069</v>
          </cell>
          <cell r="T124">
            <v>1309.2419781163069</v>
          </cell>
          <cell r="U124">
            <v>1361.6116572409592</v>
          </cell>
          <cell r="W124">
            <v>1361.6116572409592</v>
          </cell>
          <cell r="X124">
            <v>1416.0761235305977</v>
          </cell>
          <cell r="Z124">
            <v>1416.0761235305977</v>
          </cell>
          <cell r="AA124">
            <v>1472.7191684718216</v>
          </cell>
        </row>
        <row r="127">
          <cell r="N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U127">
            <v>0</v>
          </cell>
          <cell r="W127">
            <v>0</v>
          </cell>
          <cell r="X127">
            <v>0</v>
          </cell>
          <cell r="Z127">
            <v>0</v>
          </cell>
          <cell r="AA127">
            <v>0</v>
          </cell>
        </row>
        <row r="128">
          <cell r="N128">
            <v>0</v>
          </cell>
          <cell r="O128">
            <v>0</v>
          </cell>
        </row>
        <row r="133">
          <cell r="N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U133">
            <v>0</v>
          </cell>
          <cell r="W133">
            <v>0</v>
          </cell>
          <cell r="X133">
            <v>0</v>
          </cell>
          <cell r="Z133">
            <v>0</v>
          </cell>
          <cell r="AA133">
            <v>0</v>
          </cell>
        </row>
        <row r="134">
          <cell r="N134">
            <v>0</v>
          </cell>
          <cell r="O134">
            <v>0</v>
          </cell>
        </row>
        <row r="153">
          <cell r="N153">
            <v>0</v>
          </cell>
          <cell r="O153">
            <v>0</v>
          </cell>
          <cell r="Q153">
            <v>0</v>
          </cell>
          <cell r="R153">
            <v>0</v>
          </cell>
          <cell r="T153">
            <v>0</v>
          </cell>
          <cell r="U153">
            <v>0</v>
          </cell>
          <cell r="W153">
            <v>0</v>
          </cell>
          <cell r="X153">
            <v>0</v>
          </cell>
          <cell r="Z153">
            <v>0</v>
          </cell>
          <cell r="AA153">
            <v>0</v>
          </cell>
        </row>
        <row r="154">
          <cell r="N154">
            <v>0</v>
          </cell>
          <cell r="O154">
            <v>0</v>
          </cell>
        </row>
        <row r="169">
          <cell r="N169">
            <v>0</v>
          </cell>
          <cell r="O169">
            <v>0</v>
          </cell>
          <cell r="Q169">
            <v>0</v>
          </cell>
          <cell r="R169">
            <v>0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Z169">
            <v>0</v>
          </cell>
          <cell r="AA169">
            <v>0</v>
          </cell>
        </row>
        <row r="170">
          <cell r="N170">
            <v>0</v>
          </cell>
          <cell r="O170">
            <v>0</v>
          </cell>
        </row>
        <row r="176">
          <cell r="N176">
            <v>18573.953103705491</v>
          </cell>
          <cell r="O176">
            <v>20400.706740259226</v>
          </cell>
          <cell r="Q176">
            <v>20400.706740259222</v>
          </cell>
          <cell r="R176">
            <v>21484.134721308568</v>
          </cell>
          <cell r="T176">
            <v>21484.134721308568</v>
          </cell>
          <cell r="U176">
            <v>22630.173755511143</v>
          </cell>
          <cell r="W176">
            <v>22630.173755511143</v>
          </cell>
          <cell r="X176">
            <v>23837.469451104575</v>
          </cell>
          <cell r="Z176">
            <v>23837.469451104575</v>
          </cell>
          <cell r="AA176">
            <v>25109.304572623056</v>
          </cell>
        </row>
        <row r="177">
          <cell r="N177">
            <v>115.8762069196672</v>
          </cell>
          <cell r="O177">
            <v>128.85434209466993</v>
          </cell>
          <cell r="Q177">
            <v>128.85434209466993</v>
          </cell>
          <cell r="R177">
            <v>137.87414604129685</v>
          </cell>
          <cell r="T177">
            <v>137.87414604129685</v>
          </cell>
          <cell r="U177">
            <v>147.52533626418764</v>
          </cell>
          <cell r="W177">
            <v>147.52533626418764</v>
          </cell>
          <cell r="X177">
            <v>157.85210980268079</v>
          </cell>
          <cell r="Z177">
            <v>157.85210980268079</v>
          </cell>
          <cell r="AA177">
            <v>168.90175748886844</v>
          </cell>
        </row>
        <row r="178">
          <cell r="N178">
            <v>115.8762069196672</v>
          </cell>
          <cell r="O178">
            <v>128.85434209466993</v>
          </cell>
          <cell r="Q178">
            <v>128.85434209466993</v>
          </cell>
          <cell r="R178">
            <v>137.87414604129685</v>
          </cell>
          <cell r="T178">
            <v>137.87414604129685</v>
          </cell>
          <cell r="U178">
            <v>147.52533626418764</v>
          </cell>
          <cell r="W178">
            <v>147.52533626418764</v>
          </cell>
          <cell r="X178">
            <v>157.85210980268079</v>
          </cell>
          <cell r="Z178">
            <v>157.85210980268079</v>
          </cell>
          <cell r="AA178">
            <v>168.90175748886844</v>
          </cell>
        </row>
        <row r="179">
          <cell r="N179">
            <v>14.336488193979061</v>
          </cell>
          <cell r="O179">
            <v>14.336488193979061</v>
          </cell>
          <cell r="Q179">
            <v>14.336488193979061</v>
          </cell>
          <cell r="R179">
            <v>14.336488193979061</v>
          </cell>
          <cell r="T179">
            <v>14.336488193979061</v>
          </cell>
          <cell r="U179">
            <v>14.336488193979061</v>
          </cell>
          <cell r="W179">
            <v>14.336488193979061</v>
          </cell>
          <cell r="X179">
            <v>14.336488193979061</v>
          </cell>
          <cell r="Z179">
            <v>14.336488193979061</v>
          </cell>
          <cell r="AA179">
            <v>14.336488193979061</v>
          </cell>
        </row>
        <row r="188">
          <cell r="N188">
            <v>264.6537502473883</v>
          </cell>
          <cell r="O188">
            <v>281.32693651297376</v>
          </cell>
          <cell r="Q188">
            <v>281.32693651297376</v>
          </cell>
          <cell r="R188">
            <v>296.23726414816139</v>
          </cell>
          <cell r="T188">
            <v>296.23726414816139</v>
          </cell>
          <cell r="U188">
            <v>316.97387263853267</v>
          </cell>
          <cell r="W188">
            <v>316.97387263853267</v>
          </cell>
          <cell r="X188">
            <v>339.16204372323</v>
          </cell>
          <cell r="Z188">
            <v>339.16204372323</v>
          </cell>
          <cell r="AA188">
            <v>362.90338678385615</v>
          </cell>
        </row>
        <row r="189">
          <cell r="N189">
            <v>0.10048637091430235</v>
          </cell>
          <cell r="O189">
            <v>0.10048637091430235</v>
          </cell>
          <cell r="Q189">
            <v>0.10048637091430235</v>
          </cell>
          <cell r="R189">
            <v>0.10048637091430235</v>
          </cell>
          <cell r="T189">
            <v>0.10048637091430235</v>
          </cell>
          <cell r="U189">
            <v>0.10048637091430235</v>
          </cell>
          <cell r="W189">
            <v>0.10048637091430235</v>
          </cell>
          <cell r="X189">
            <v>0.10048637091430235</v>
          </cell>
          <cell r="Z189">
            <v>0.10048637091430235</v>
          </cell>
          <cell r="AA189">
            <v>0.10048637091430235</v>
          </cell>
        </row>
        <row r="201">
          <cell r="N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U201">
            <v>0</v>
          </cell>
          <cell r="W201">
            <v>0</v>
          </cell>
          <cell r="X201">
            <v>0</v>
          </cell>
          <cell r="Z201">
            <v>0</v>
          </cell>
          <cell r="AA201">
            <v>0</v>
          </cell>
        </row>
        <row r="202">
          <cell r="N202">
            <v>0</v>
          </cell>
          <cell r="O202">
            <v>0</v>
          </cell>
        </row>
        <row r="204">
          <cell r="N204">
            <v>18193.423146538436</v>
          </cell>
          <cell r="O204">
            <v>19990.525461651578</v>
          </cell>
          <cell r="Q204">
            <v>19990.525461651578</v>
          </cell>
          <cell r="R204">
            <v>21050.023311119108</v>
          </cell>
          <cell r="T204">
            <v>21050.023311119108</v>
          </cell>
          <cell r="U204">
            <v>22165.674546608421</v>
          </cell>
          <cell r="W204">
            <v>22165.674546608421</v>
          </cell>
          <cell r="X204">
            <v>23340.455297578665</v>
          </cell>
          <cell r="Z204">
            <v>23340.455297578665</v>
          </cell>
          <cell r="AA204">
            <v>24577.499428350333</v>
          </cell>
        </row>
        <row r="205">
          <cell r="N205">
            <v>1034.2476893289897</v>
          </cell>
          <cell r="O205">
            <v>1083.9909291428316</v>
          </cell>
          <cell r="Q205">
            <v>1083.9909291428316</v>
          </cell>
          <cell r="R205">
            <v>1083.9909291428316</v>
          </cell>
          <cell r="T205">
            <v>1083.9909291428316</v>
          </cell>
          <cell r="U205">
            <v>1083.9909291428316</v>
          </cell>
          <cell r="W205">
            <v>1083.9909291428316</v>
          </cell>
          <cell r="X205">
            <v>1083.9909291428316</v>
          </cell>
          <cell r="Z205">
            <v>1083.9909291428316</v>
          </cell>
          <cell r="AA205">
            <v>1083.9909291428316</v>
          </cell>
        </row>
        <row r="207">
          <cell r="N207">
            <v>0</v>
          </cell>
          <cell r="O207">
            <v>0</v>
          </cell>
          <cell r="Q207">
            <v>0</v>
          </cell>
          <cell r="R207">
            <v>0</v>
          </cell>
          <cell r="T207">
            <v>0</v>
          </cell>
          <cell r="U207">
            <v>0</v>
          </cell>
          <cell r="W207">
            <v>0</v>
          </cell>
          <cell r="X207">
            <v>0</v>
          </cell>
          <cell r="Z207">
            <v>0</v>
          </cell>
          <cell r="AA207">
            <v>0</v>
          </cell>
        </row>
        <row r="208">
          <cell r="N208">
            <v>0.29816379591957004</v>
          </cell>
          <cell r="O208">
            <v>200.1789308616122</v>
          </cell>
          <cell r="Q208">
            <v>200.1789308616122</v>
          </cell>
          <cell r="R208">
            <v>208.18608809607667</v>
          </cell>
          <cell r="T208">
            <v>208.18608809607667</v>
          </cell>
          <cell r="U208">
            <v>216.51353161991975</v>
          </cell>
          <cell r="W208">
            <v>216.51353161991975</v>
          </cell>
          <cell r="X208">
            <v>225.17407288471654</v>
          </cell>
          <cell r="Z208">
            <v>225.17407288471654</v>
          </cell>
          <cell r="AA208">
            <v>234.18103580010521</v>
          </cell>
        </row>
        <row r="211">
          <cell r="N211">
            <v>0.29816379591957004</v>
          </cell>
          <cell r="O211">
            <v>9.6761472103683168</v>
          </cell>
          <cell r="Q211">
            <v>9.6761472103683168</v>
          </cell>
          <cell r="R211">
            <v>10.063193098783049</v>
          </cell>
          <cell r="T211">
            <v>10.063193098783049</v>
          </cell>
          <cell r="U211">
            <v>10.465720822734372</v>
          </cell>
          <cell r="W211">
            <v>10.465720822734372</v>
          </cell>
          <cell r="X211">
            <v>10.884349655643748</v>
          </cell>
          <cell r="Z211">
            <v>10.884349655643748</v>
          </cell>
          <cell r="AA211">
            <v>11.319723641869498</v>
          </cell>
        </row>
        <row r="215">
          <cell r="N215">
            <v>0</v>
          </cell>
          <cell r="O215">
            <v>190.50278365124387</v>
          </cell>
          <cell r="Q215">
            <v>190.50278365124387</v>
          </cell>
          <cell r="R215">
            <v>198.12289499729363</v>
          </cell>
          <cell r="T215">
            <v>198.12289499729363</v>
          </cell>
          <cell r="U215">
            <v>206.04781079718538</v>
          </cell>
          <cell r="W215">
            <v>206.04781079718538</v>
          </cell>
          <cell r="X215">
            <v>214.28972322907279</v>
          </cell>
          <cell r="Z215">
            <v>214.28972322907279</v>
          </cell>
          <cell r="AA215">
            <v>222.86131215823571</v>
          </cell>
        </row>
        <row r="216">
          <cell r="N216">
            <v>0</v>
          </cell>
          <cell r="O216">
            <v>0</v>
          </cell>
        </row>
        <row r="218">
          <cell r="N218">
            <v>0</v>
          </cell>
          <cell r="O218">
            <v>1040.3795059616918</v>
          </cell>
          <cell r="Q218">
            <v>1040.3795059616918</v>
          </cell>
          <cell r="R218">
            <v>1081.9946862001595</v>
          </cell>
          <cell r="T218">
            <v>1081.9946862001595</v>
          </cell>
          <cell r="U218">
            <v>1125.2744736481659</v>
          </cell>
          <cell r="W218">
            <v>1125.2744736481659</v>
          </cell>
          <cell r="X218">
            <v>1170.2854525940925</v>
          </cell>
          <cell r="Z218">
            <v>1170.2854525940925</v>
          </cell>
          <cell r="AA218">
            <v>1217.0968706978563</v>
          </cell>
        </row>
        <row r="222">
          <cell r="N222">
            <v>0</v>
          </cell>
          <cell r="O222">
            <v>1040.3795059616918</v>
          </cell>
          <cell r="Q222">
            <v>1040.3795059616918</v>
          </cell>
          <cell r="R222">
            <v>1081.9946862001595</v>
          </cell>
          <cell r="T222">
            <v>1081.9946862001595</v>
          </cell>
          <cell r="U222">
            <v>1125.2744736481659</v>
          </cell>
          <cell r="W222">
            <v>1125.2744736481659</v>
          </cell>
          <cell r="X222">
            <v>1170.2854525940925</v>
          </cell>
          <cell r="Z222">
            <v>1170.2854525940925</v>
          </cell>
          <cell r="AA222">
            <v>1217.0968706978563</v>
          </cell>
        </row>
        <row r="237">
          <cell r="N237">
            <v>0</v>
          </cell>
          <cell r="Q237">
            <v>0</v>
          </cell>
          <cell r="R237">
            <v>0</v>
          </cell>
          <cell r="T237">
            <v>0</v>
          </cell>
          <cell r="U237">
            <v>0</v>
          </cell>
          <cell r="W237">
            <v>0</v>
          </cell>
          <cell r="X237">
            <v>0</v>
          </cell>
          <cell r="Z237">
            <v>0</v>
          </cell>
          <cell r="AA237">
            <v>0</v>
          </cell>
        </row>
        <row r="240">
          <cell r="N240">
            <v>0</v>
          </cell>
          <cell r="O240">
            <v>3795.232644946148</v>
          </cell>
          <cell r="Q240">
            <v>3795.232644946148</v>
          </cell>
          <cell r="R240">
            <v>3947.0419507439942</v>
          </cell>
          <cell r="T240">
            <v>3947.0419507439942</v>
          </cell>
          <cell r="U240">
            <v>4104.923628773754</v>
          </cell>
          <cell r="W240">
            <v>4104.923628773754</v>
          </cell>
          <cell r="X240">
            <v>4269.1205739247043</v>
          </cell>
          <cell r="Z240">
            <v>4269.1205739247043</v>
          </cell>
          <cell r="AA240">
            <v>4439.8853968816929</v>
          </cell>
        </row>
        <row r="241">
          <cell r="N241">
            <v>0</v>
          </cell>
          <cell r="O241">
            <v>0</v>
          </cell>
        </row>
        <row r="272">
          <cell r="N272">
            <v>0</v>
          </cell>
          <cell r="O272">
            <v>-13000</v>
          </cell>
          <cell r="Q272">
            <v>-13000</v>
          </cell>
          <cell r="R272">
            <v>-23000</v>
          </cell>
          <cell r="T272">
            <v>-23000</v>
          </cell>
          <cell r="U272">
            <v>-12000</v>
          </cell>
          <cell r="W272">
            <v>-12000</v>
          </cell>
          <cell r="X272">
            <v>11000</v>
          </cell>
          <cell r="Z272">
            <v>11000</v>
          </cell>
          <cell r="AA272">
            <v>74000</v>
          </cell>
        </row>
        <row r="274">
          <cell r="N274">
            <v>4.0401824905158552</v>
          </cell>
          <cell r="O274">
            <v>5.4897853385934372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НВВ"/>
      <sheetName val="НВВ 26.09."/>
      <sheetName val="2024 Калуга+область очистка"/>
      <sheetName val="Расчет электроэн."/>
      <sheetName val="Норм численность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ПП Раздел 5"/>
      <sheetName val="ПП Раздел 6"/>
      <sheetName val="ПП Раздел 7"/>
      <sheetName val="Раздел 7 отчт"/>
      <sheetName val="ПП Раздел 8"/>
      <sheetName val="Плата за НН и Н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">
          <cell r="N12">
            <v>1154.349783340223</v>
          </cell>
          <cell r="O12">
            <v>4232.849944806816</v>
          </cell>
          <cell r="Q12">
            <v>4232.849944806816</v>
          </cell>
          <cell r="R12">
            <v>4402.1639425990888</v>
          </cell>
          <cell r="T12">
            <v>4402.1639425990888</v>
          </cell>
          <cell r="U12">
            <v>4578.2505003030528</v>
          </cell>
          <cell r="W12">
            <v>4578.2505003030528</v>
          </cell>
          <cell r="X12">
            <v>4761.3805203151733</v>
          </cell>
          <cell r="Z12">
            <v>4761.3805203151733</v>
          </cell>
          <cell r="AA12">
            <v>4951.8357411277811</v>
          </cell>
        </row>
        <row r="16">
          <cell r="N16">
            <v>142.98768306443688</v>
          </cell>
          <cell r="O16">
            <v>883.6623190853245</v>
          </cell>
          <cell r="Q16">
            <v>883.66231908532461</v>
          </cell>
          <cell r="R16">
            <v>919.00881184873765</v>
          </cell>
          <cell r="T16">
            <v>919.00881184873765</v>
          </cell>
          <cell r="U16">
            <v>955.76916432268717</v>
          </cell>
          <cell r="W16">
            <v>955.76916432268717</v>
          </cell>
          <cell r="X16">
            <v>993.99993089559473</v>
          </cell>
          <cell r="Z16">
            <v>993.99993089559473</v>
          </cell>
          <cell r="AA16">
            <v>1033.7599281314185</v>
          </cell>
        </row>
        <row r="17">
          <cell r="N17">
            <v>3.5226144417859833</v>
          </cell>
          <cell r="O17">
            <v>20.057352964148116</v>
          </cell>
          <cell r="Q17">
            <v>20.057352964148116</v>
          </cell>
          <cell r="R17">
            <v>20.057352964148116</v>
          </cell>
          <cell r="T17">
            <v>20.057352964148116</v>
          </cell>
          <cell r="U17">
            <v>20.057352964148116</v>
          </cell>
          <cell r="W17">
            <v>20.057352964148116</v>
          </cell>
          <cell r="X17">
            <v>20.057352964148116</v>
          </cell>
          <cell r="Z17">
            <v>20.057352964148116</v>
          </cell>
          <cell r="AA17">
            <v>20.057352964148116</v>
          </cell>
        </row>
        <row r="19">
          <cell r="N19">
            <v>68.601504562201995</v>
          </cell>
          <cell r="O19">
            <v>202.16101143148464</v>
          </cell>
          <cell r="Q19">
            <v>202.16101143148464</v>
          </cell>
          <cell r="R19">
            <v>210.24745188874402</v>
          </cell>
          <cell r="T19">
            <v>210.24745188874402</v>
          </cell>
          <cell r="U19">
            <v>218.65734996429379</v>
          </cell>
          <cell r="W19">
            <v>218.65734996429379</v>
          </cell>
          <cell r="X19">
            <v>227.40364396286554</v>
          </cell>
          <cell r="Z19">
            <v>227.40364396286554</v>
          </cell>
          <cell r="AA19">
            <v>236.49978972138018</v>
          </cell>
        </row>
        <row r="20">
          <cell r="N20">
            <v>1.5641864150085842</v>
          </cell>
          <cell r="O20">
            <v>4.305316099461332</v>
          </cell>
          <cell r="Q20">
            <v>4.305316099461332</v>
          </cell>
          <cell r="R20">
            <v>4.305316099461332</v>
          </cell>
          <cell r="T20">
            <v>4.305316099461332</v>
          </cell>
          <cell r="U20">
            <v>4.305316099461332</v>
          </cell>
          <cell r="W20">
            <v>4.305316099461332</v>
          </cell>
          <cell r="X20">
            <v>4.305316099461332</v>
          </cell>
          <cell r="Z20">
            <v>4.305316099461332</v>
          </cell>
          <cell r="AA20">
            <v>4.305316099461332</v>
          </cell>
        </row>
        <row r="22">
          <cell r="N22">
            <v>864.05475844722991</v>
          </cell>
          <cell r="O22">
            <v>2842.2636935143123</v>
          </cell>
          <cell r="Q22">
            <v>2842.2636935143123</v>
          </cell>
          <cell r="R22">
            <v>2955.9542412548849</v>
          </cell>
          <cell r="T22">
            <v>2955.9542412548849</v>
          </cell>
          <cell r="U22">
            <v>3074.1924109050806</v>
          </cell>
          <cell r="W22">
            <v>3074.1924109050806</v>
          </cell>
          <cell r="X22">
            <v>3197.1601073412835</v>
          </cell>
          <cell r="Z22">
            <v>3197.1601073412835</v>
          </cell>
          <cell r="AA22">
            <v>3325.0465116349351</v>
          </cell>
        </row>
        <row r="23">
          <cell r="N23">
            <v>18.766181110406681</v>
          </cell>
          <cell r="O23">
            <v>57.279175249216706</v>
          </cell>
          <cell r="Q23">
            <v>57.279175249216706</v>
          </cell>
          <cell r="R23">
            <v>57.279175249216706</v>
          </cell>
          <cell r="T23">
            <v>57.279175249216706</v>
          </cell>
          <cell r="U23">
            <v>57.279175249216706</v>
          </cell>
          <cell r="W23">
            <v>57.279175249216706</v>
          </cell>
          <cell r="X23">
            <v>57.279175249216706</v>
          </cell>
          <cell r="Z23">
            <v>57.279175249216706</v>
          </cell>
          <cell r="AA23">
            <v>57.279175249216706</v>
          </cell>
        </row>
        <row r="25">
          <cell r="N25">
            <v>77.976471173383445</v>
          </cell>
          <cell r="O25">
            <v>272.00385958715361</v>
          </cell>
          <cell r="Q25">
            <v>272.00385958715361</v>
          </cell>
          <cell r="R25">
            <v>282.88401397063978</v>
          </cell>
          <cell r="T25">
            <v>282.88401397063978</v>
          </cell>
          <cell r="U25">
            <v>294.19937452946539</v>
          </cell>
          <cell r="W25">
            <v>294.19937452946539</v>
          </cell>
          <cell r="X25">
            <v>305.967349510644</v>
          </cell>
          <cell r="Z25">
            <v>305.967349510644</v>
          </cell>
          <cell r="AA25">
            <v>318.20604349106975</v>
          </cell>
        </row>
        <row r="26">
          <cell r="N26">
            <v>0.40379339824716237</v>
          </cell>
          <cell r="O26">
            <v>1.1614563500344535</v>
          </cell>
          <cell r="Q26">
            <v>1.1614563500344535</v>
          </cell>
          <cell r="R26">
            <v>1.1614563500344535</v>
          </cell>
          <cell r="T26">
            <v>1.1614563500344535</v>
          </cell>
          <cell r="U26">
            <v>1.1614563500344535</v>
          </cell>
          <cell r="W26">
            <v>1.1614563500344535</v>
          </cell>
          <cell r="X26">
            <v>1.1614563500344535</v>
          </cell>
          <cell r="Z26">
            <v>1.1614563500344535</v>
          </cell>
          <cell r="AA26">
            <v>1.1614563500344535</v>
          </cell>
        </row>
        <row r="28">
          <cell r="N28">
            <v>0.72936609297068311</v>
          </cell>
          <cell r="O28">
            <v>32.759061188540578</v>
          </cell>
          <cell r="Q28">
            <v>32.759061188540578</v>
          </cell>
          <cell r="R28">
            <v>34.069423636082199</v>
          </cell>
          <cell r="T28">
            <v>34.069423636082199</v>
          </cell>
          <cell r="U28">
            <v>35.432200581525485</v>
          </cell>
          <cell r="W28">
            <v>35.432200581525485</v>
          </cell>
          <cell r="X28">
            <v>36.849488604786508</v>
          </cell>
          <cell r="Z28">
            <v>36.849488604786508</v>
          </cell>
          <cell r="AA28">
            <v>38.323468148977973</v>
          </cell>
        </row>
        <row r="29">
          <cell r="N29">
            <v>2950.1561299191758</v>
          </cell>
          <cell r="O29">
            <v>6840.7225696800833</v>
          </cell>
          <cell r="Q29">
            <v>6840.7225696800833</v>
          </cell>
          <cell r="R29">
            <v>7114.3514724672868</v>
          </cell>
          <cell r="T29">
            <v>7114.3514724672868</v>
          </cell>
          <cell r="U29">
            <v>7398.9255313659787</v>
          </cell>
          <cell r="W29">
            <v>7398.9255313659787</v>
          </cell>
          <cell r="X29">
            <v>7694.8825526206183</v>
          </cell>
          <cell r="Z29">
            <v>7694.8825526206183</v>
          </cell>
          <cell r="AA29">
            <v>8002.6778547254435</v>
          </cell>
        </row>
        <row r="31">
          <cell r="N31">
            <v>3588.6462235550325</v>
          </cell>
          <cell r="O31">
            <v>38430.896480029623</v>
          </cell>
          <cell r="Q31">
            <v>38430.896480029623</v>
          </cell>
          <cell r="R31">
            <v>39968.132339230819</v>
          </cell>
          <cell r="T31">
            <v>39968.132339230819</v>
          </cell>
          <cell r="U31">
            <v>41566.857632800049</v>
          </cell>
          <cell r="W31">
            <v>41566.857632800049</v>
          </cell>
          <cell r="X31">
            <v>43229.531938112064</v>
          </cell>
          <cell r="Z31">
            <v>43229.531938112064</v>
          </cell>
          <cell r="AA31">
            <v>44958.713215636548</v>
          </cell>
        </row>
        <row r="32">
          <cell r="N32">
            <v>2756.2567001190728</v>
          </cell>
          <cell r="O32">
            <v>29516.81619833862</v>
          </cell>
          <cell r="Q32">
            <v>29516.81619833862</v>
          </cell>
          <cell r="R32">
            <v>30697.488846272172</v>
          </cell>
          <cell r="T32">
            <v>30697.488846272172</v>
          </cell>
          <cell r="U32">
            <v>31925.388400123054</v>
          </cell>
          <cell r="W32">
            <v>31925.388400123054</v>
          </cell>
          <cell r="X32">
            <v>33202.403936127987</v>
          </cell>
          <cell r="Z32">
            <v>33202.403936127987</v>
          </cell>
          <cell r="AA32">
            <v>34530.500093573108</v>
          </cell>
        </row>
        <row r="41">
          <cell r="N41">
            <v>10.167676365116543</v>
          </cell>
          <cell r="O41">
            <v>101.09664932588647</v>
          </cell>
          <cell r="Q41">
            <v>101.09664932588647</v>
          </cell>
          <cell r="R41">
            <v>101.09664932588647</v>
          </cell>
          <cell r="T41">
            <v>101.09664932588647</v>
          </cell>
          <cell r="U41">
            <v>101.09664932588647</v>
          </cell>
          <cell r="W41">
            <v>101.09664932588647</v>
          </cell>
          <cell r="X41">
            <v>101.09664932588647</v>
          </cell>
          <cell r="Z41">
            <v>101.09664932588647</v>
          </cell>
          <cell r="AA41">
            <v>101.09664932588647</v>
          </cell>
        </row>
        <row r="42">
          <cell r="N42">
            <v>832.38952343595975</v>
          </cell>
          <cell r="O42">
            <v>8914.0802816910073</v>
          </cell>
          <cell r="Q42">
            <v>8914.0802816910073</v>
          </cell>
          <cell r="R42">
            <v>9270.6434929586485</v>
          </cell>
          <cell r="T42">
            <v>9270.6434929586485</v>
          </cell>
          <cell r="U42">
            <v>9641.4692326769946</v>
          </cell>
          <cell r="W42">
            <v>9641.4692326769946</v>
          </cell>
          <cell r="X42">
            <v>10027.128001984074</v>
          </cell>
          <cell r="Z42">
            <v>10027.128001984074</v>
          </cell>
          <cell r="AA42">
            <v>10428.213122063438</v>
          </cell>
        </row>
        <row r="44">
          <cell r="N44">
            <v>3099.8010590895674</v>
          </cell>
          <cell r="O44">
            <v>4858.0982552370524</v>
          </cell>
          <cell r="Q44">
            <v>4858.0982552370524</v>
          </cell>
          <cell r="R44">
            <v>5052.4221854465341</v>
          </cell>
          <cell r="T44">
            <v>5052.4221854465341</v>
          </cell>
          <cell r="U44">
            <v>5254.5190728643956</v>
          </cell>
          <cell r="W44">
            <v>5254.5190728643956</v>
          </cell>
          <cell r="X44">
            <v>5464.6998357789726</v>
          </cell>
          <cell r="Z44">
            <v>5464.6998357789726</v>
          </cell>
          <cell r="AA44">
            <v>5683.2878292101304</v>
          </cell>
        </row>
        <row r="45">
          <cell r="N45">
            <v>690.36587998191999</v>
          </cell>
          <cell r="O45">
            <v>1893.2224959883426</v>
          </cell>
          <cell r="Q45">
            <v>1893.2224959883426</v>
          </cell>
          <cell r="R45">
            <v>1968.9513958278765</v>
          </cell>
          <cell r="T45">
            <v>1968.9513958278765</v>
          </cell>
          <cell r="U45">
            <v>2047.7094516609916</v>
          </cell>
          <cell r="W45">
            <v>2047.7094516609916</v>
          </cell>
          <cell r="X45">
            <v>2129.6178297274314</v>
          </cell>
          <cell r="Z45">
            <v>2129.6178297274314</v>
          </cell>
          <cell r="AA45">
            <v>2214.8025429165286</v>
          </cell>
        </row>
        <row r="46">
          <cell r="N46">
            <v>2409.4351791076474</v>
          </cell>
          <cell r="O46">
            <v>2964.8757592487095</v>
          </cell>
          <cell r="Q46">
            <v>2964.8757592487095</v>
          </cell>
          <cell r="R46">
            <v>3083.4707896186578</v>
          </cell>
          <cell r="T46">
            <v>3083.4707896186578</v>
          </cell>
          <cell r="U46">
            <v>3206.8096212034043</v>
          </cell>
          <cell r="W46">
            <v>3206.8096212034043</v>
          </cell>
          <cell r="X46">
            <v>3335.0820060515407</v>
          </cell>
          <cell r="Z46">
            <v>3335.0820060515407</v>
          </cell>
          <cell r="AA46">
            <v>3468.4852862936023</v>
          </cell>
        </row>
        <row r="47">
          <cell r="N47">
            <v>3421.4503881794003</v>
          </cell>
          <cell r="O47">
            <v>5801.0622044864831</v>
          </cell>
          <cell r="Q47">
            <v>5801.0622044864831</v>
          </cell>
          <cell r="R47">
            <v>6033.1046926659428</v>
          </cell>
          <cell r="T47">
            <v>6033.1046926659428</v>
          </cell>
          <cell r="U47">
            <v>6274.4288803725813</v>
          </cell>
          <cell r="W47">
            <v>6274.4288803725813</v>
          </cell>
          <cell r="X47">
            <v>6525.4060355874844</v>
          </cell>
          <cell r="Z47">
            <v>6525.4060355874844</v>
          </cell>
          <cell r="AA47">
            <v>6786.4222770109836</v>
          </cell>
        </row>
        <row r="48">
          <cell r="N48">
            <v>2500.0069515956147</v>
          </cell>
          <cell r="O48">
            <v>3447.1045072823194</v>
          </cell>
          <cell r="Q48">
            <v>3447.1045072823194</v>
          </cell>
          <cell r="R48">
            <v>3584.9886875736124</v>
          </cell>
          <cell r="T48">
            <v>3584.9886875736124</v>
          </cell>
          <cell r="U48">
            <v>3728.3882350765571</v>
          </cell>
          <cell r="W48">
            <v>3728.3882350765571</v>
          </cell>
          <cell r="X48">
            <v>3877.5237644796193</v>
          </cell>
          <cell r="Z48">
            <v>3877.5237644796193</v>
          </cell>
          <cell r="AA48">
            <v>4032.6247150588042</v>
          </cell>
        </row>
        <row r="50">
          <cell r="N50">
            <v>460.64798268813132</v>
          </cell>
          <cell r="O50">
            <v>1453.7866144617119</v>
          </cell>
          <cell r="Q50">
            <v>1453.7866144617119</v>
          </cell>
          <cell r="R50">
            <v>1511.9380790401804</v>
          </cell>
          <cell r="T50">
            <v>1511.9380790401804</v>
          </cell>
          <cell r="U50">
            <v>1572.4156022017876</v>
          </cell>
          <cell r="W50">
            <v>1572.4156022017876</v>
          </cell>
          <cell r="X50">
            <v>1635.3122262898592</v>
          </cell>
          <cell r="Z50">
            <v>1635.3122262898592</v>
          </cell>
          <cell r="AA50">
            <v>1700.7247153414535</v>
          </cell>
        </row>
        <row r="51">
          <cell r="N51">
            <v>391.25490531862948</v>
          </cell>
          <cell r="O51">
            <v>458.55288353672029</v>
          </cell>
          <cell r="Q51">
            <v>458.55288353672029</v>
          </cell>
          <cell r="R51">
            <v>476.89499887818914</v>
          </cell>
          <cell r="T51">
            <v>476.89499887818914</v>
          </cell>
          <cell r="U51">
            <v>495.97079883331673</v>
          </cell>
          <cell r="W51">
            <v>495.97079883331673</v>
          </cell>
          <cell r="X51">
            <v>515.80963078664945</v>
          </cell>
          <cell r="Z51">
            <v>515.80963078664945</v>
          </cell>
          <cell r="AA51">
            <v>536.4420160181154</v>
          </cell>
        </row>
        <row r="52">
          <cell r="N52">
            <v>69.540548577024637</v>
          </cell>
          <cell r="O52">
            <v>441.61819920573186</v>
          </cell>
          <cell r="Q52">
            <v>441.61819920573186</v>
          </cell>
          <cell r="R52">
            <v>459.28292717396113</v>
          </cell>
          <cell r="T52">
            <v>459.28292717396113</v>
          </cell>
          <cell r="U52">
            <v>477.6542442609196</v>
          </cell>
          <cell r="W52">
            <v>477.6542442609196</v>
          </cell>
          <cell r="X52">
            <v>496.76041403135639</v>
          </cell>
          <cell r="Z52">
            <v>496.76041403135639</v>
          </cell>
          <cell r="AA52">
            <v>516.63083059261066</v>
          </cell>
        </row>
        <row r="55">
          <cell r="N55">
            <v>0</v>
          </cell>
          <cell r="O55">
            <v>1952.7888915714625</v>
          </cell>
          <cell r="Q55">
            <v>1952.7888915714625</v>
          </cell>
          <cell r="R55">
            <v>2030.9004472343211</v>
          </cell>
          <cell r="T55">
            <v>2030.9004472343211</v>
          </cell>
          <cell r="U55">
            <v>2112.1364651236941</v>
          </cell>
          <cell r="W55">
            <v>2112.1364651236941</v>
          </cell>
          <cell r="X55">
            <v>2196.6219237286418</v>
          </cell>
          <cell r="Z55">
            <v>2196.6219237286418</v>
          </cell>
          <cell r="AA55">
            <v>2284.4868006777874</v>
          </cell>
        </row>
        <row r="56">
          <cell r="N56">
            <v>0</v>
          </cell>
          <cell r="O56">
            <v>59.992136565015088</v>
          </cell>
          <cell r="Q56">
            <v>59.992136565015088</v>
          </cell>
          <cell r="R56">
            <v>62.391822027615696</v>
          </cell>
          <cell r="T56">
            <v>62.391822027615696</v>
          </cell>
          <cell r="U56">
            <v>64.887494908720328</v>
          </cell>
          <cell r="W56">
            <v>64.887494908720328</v>
          </cell>
          <cell r="X56">
            <v>67.482994705069146</v>
          </cell>
          <cell r="Z56">
            <v>67.482994705069146</v>
          </cell>
          <cell r="AA56">
            <v>70.182314493271917</v>
          </cell>
        </row>
        <row r="57">
          <cell r="N57">
            <v>8909.8744570534727</v>
          </cell>
          <cell r="O57">
            <v>50441.405762152906</v>
          </cell>
          <cell r="Q57">
            <v>50441.405979136558</v>
          </cell>
          <cell r="R57">
            <v>52459.062218302017</v>
          </cell>
          <cell r="T57">
            <v>52459.062218302017</v>
          </cell>
          <cell r="U57">
            <v>54557.424707034115</v>
          </cell>
          <cell r="W57">
            <v>54557.424707034115</v>
          </cell>
          <cell r="X57">
            <v>56739.721695315464</v>
          </cell>
          <cell r="Z57">
            <v>56739.721695315464</v>
          </cell>
          <cell r="AA57">
            <v>59009.310563128092</v>
          </cell>
        </row>
        <row r="58">
          <cell r="N58">
            <v>6843.221817575507</v>
          </cell>
          <cell r="O58">
            <v>38741.479246648662</v>
          </cell>
          <cell r="Q58">
            <v>38741.479246648662</v>
          </cell>
          <cell r="R58">
            <v>40291.138416514608</v>
          </cell>
          <cell r="T58">
            <v>40291.138416514608</v>
          </cell>
          <cell r="U58">
            <v>41902.783953175203</v>
          </cell>
          <cell r="W58">
            <v>41902.783953175203</v>
          </cell>
          <cell r="X58">
            <v>43578.8953113022</v>
          </cell>
          <cell r="Z58">
            <v>43578.8953113022</v>
          </cell>
          <cell r="AA58">
            <v>45322.051123754296</v>
          </cell>
        </row>
        <row r="67">
          <cell r="N67">
            <v>27.374513290698381</v>
          </cell>
          <cell r="O67">
            <v>93.564849823120767</v>
          </cell>
          <cell r="Q67">
            <v>93.564849823120767</v>
          </cell>
          <cell r="R67">
            <v>93.564849823120767</v>
          </cell>
          <cell r="T67">
            <v>93.564849823120767</v>
          </cell>
          <cell r="U67">
            <v>93.564849823120767</v>
          </cell>
          <cell r="W67">
            <v>93.564849823120767</v>
          </cell>
          <cell r="X67">
            <v>93.564849823120767</v>
          </cell>
          <cell r="Z67">
            <v>93.564849823120767</v>
          </cell>
          <cell r="AA67">
            <v>93.564849823120767</v>
          </cell>
        </row>
        <row r="68">
          <cell r="N68">
            <v>2066.6526394779662</v>
          </cell>
          <cell r="O68">
            <v>11699.926515504245</v>
          </cell>
          <cell r="Q68">
            <v>11699.926732487895</v>
          </cell>
          <cell r="R68">
            <v>12167.92380178741</v>
          </cell>
          <cell r="T68">
            <v>12167.92380178741</v>
          </cell>
          <cell r="U68">
            <v>12654.640753858912</v>
          </cell>
          <cell r="W68">
            <v>12654.640753858912</v>
          </cell>
          <cell r="X68">
            <v>13160.826384013264</v>
          </cell>
          <cell r="Z68">
            <v>13160.826384013264</v>
          </cell>
          <cell r="AA68">
            <v>13687.259439373796</v>
          </cell>
        </row>
        <row r="71">
          <cell r="N71">
            <v>1003.0651109105578</v>
          </cell>
          <cell r="O71">
            <v>1075.2857988961177</v>
          </cell>
          <cell r="Q71">
            <v>1075.2857988961177</v>
          </cell>
          <cell r="R71">
            <v>1118.2972308519625</v>
          </cell>
          <cell r="T71">
            <v>1118.2972308519625</v>
          </cell>
          <cell r="U71">
            <v>1163.0291200860411</v>
          </cell>
          <cell r="W71">
            <v>1163.0291200860411</v>
          </cell>
          <cell r="X71">
            <v>1209.5502848894828</v>
          </cell>
          <cell r="Z71">
            <v>1209.5502848894828</v>
          </cell>
          <cell r="AA71">
            <v>1257.9322962850622</v>
          </cell>
        </row>
        <row r="72">
          <cell r="N72">
            <v>0</v>
          </cell>
          <cell r="O72">
            <v>0</v>
          </cell>
          <cell r="Q72">
            <v>0</v>
          </cell>
          <cell r="R72">
            <v>0</v>
          </cell>
          <cell r="T72">
            <v>0</v>
          </cell>
          <cell r="U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</row>
        <row r="73">
          <cell r="N73">
            <v>7.8264844604013337</v>
          </cell>
          <cell r="O73">
            <v>8.3899913415502301</v>
          </cell>
          <cell r="Q73">
            <v>8.3899913415502301</v>
          </cell>
          <cell r="R73">
            <v>8.7255909952122401</v>
          </cell>
          <cell r="T73">
            <v>8.7255909952122401</v>
          </cell>
          <cell r="U73">
            <v>9.0746146350207297</v>
          </cell>
          <cell r="W73">
            <v>9.0746146350207297</v>
          </cell>
          <cell r="X73">
            <v>9.4375992204215589</v>
          </cell>
          <cell r="Z73">
            <v>9.4375992204215589</v>
          </cell>
          <cell r="AA73">
            <v>9.8151031892384211</v>
          </cell>
        </row>
        <row r="74">
          <cell r="N74">
            <v>8.6091329064414666</v>
          </cell>
          <cell r="O74">
            <v>9.2289904757052543</v>
          </cell>
          <cell r="Q74">
            <v>9.2289904757052543</v>
          </cell>
          <cell r="R74">
            <v>9.5981500947334641</v>
          </cell>
          <cell r="T74">
            <v>9.5981500947334641</v>
          </cell>
          <cell r="U74">
            <v>9.9820760985228034</v>
          </cell>
          <cell r="W74">
            <v>9.9820760985228034</v>
          </cell>
          <cell r="X74">
            <v>10.381359142463715</v>
          </cell>
          <cell r="Z74">
            <v>10.381359142463715</v>
          </cell>
          <cell r="AA74">
            <v>10.796613508162265</v>
          </cell>
        </row>
        <row r="75">
          <cell r="N75">
            <v>55.282433016606305</v>
          </cell>
          <cell r="O75">
            <v>274.60321072869391</v>
          </cell>
          <cell r="Q75">
            <v>274.60321072869391</v>
          </cell>
          <cell r="R75">
            <v>285.58733915784165</v>
          </cell>
          <cell r="T75">
            <v>285.58733915784165</v>
          </cell>
          <cell r="U75">
            <v>297.01083272415531</v>
          </cell>
          <cell r="W75">
            <v>297.01083272415531</v>
          </cell>
          <cell r="X75">
            <v>308.89126603312155</v>
          </cell>
          <cell r="Z75">
            <v>308.89126603312155</v>
          </cell>
          <cell r="AA75">
            <v>321.24691667444642</v>
          </cell>
        </row>
        <row r="76">
          <cell r="N76">
            <v>3.0660032818772232</v>
          </cell>
          <cell r="O76">
            <v>3.2867555181723827</v>
          </cell>
          <cell r="Q76">
            <v>3.2867555181723827</v>
          </cell>
          <cell r="R76">
            <v>3.4182257388992783</v>
          </cell>
          <cell r="T76">
            <v>3.4182257388992783</v>
          </cell>
          <cell r="U76">
            <v>3.5549547684552496</v>
          </cell>
          <cell r="W76">
            <v>3.5549547684552496</v>
          </cell>
          <cell r="X76">
            <v>3.6971529591934598</v>
          </cell>
          <cell r="Z76">
            <v>3.6971529591934598</v>
          </cell>
          <cell r="AA76">
            <v>3.8450390775611982</v>
          </cell>
        </row>
        <row r="77">
          <cell r="N77">
            <v>25581.518073308751</v>
          </cell>
          <cell r="O77">
            <v>27423.387374586986</v>
          </cell>
          <cell r="Q77">
            <v>27423.387374586986</v>
          </cell>
          <cell r="R77">
            <v>28520.322869570464</v>
          </cell>
          <cell r="T77">
            <v>28520.322869570464</v>
          </cell>
          <cell r="U77">
            <v>29661.135784353282</v>
          </cell>
          <cell r="W77">
            <v>29661.135784353282</v>
          </cell>
          <cell r="X77">
            <v>30847.581215727416</v>
          </cell>
          <cell r="Z77">
            <v>30847.581215727416</v>
          </cell>
          <cell r="AA77">
            <v>32081.484464356512</v>
          </cell>
        </row>
        <row r="78">
          <cell r="N78">
            <v>19647.863343555109</v>
          </cell>
          <cell r="O78">
            <v>21062.50950429108</v>
          </cell>
          <cell r="Q78">
            <v>21062.50950429108</v>
          </cell>
          <cell r="R78">
            <v>21905.009884462721</v>
          </cell>
          <cell r="T78">
            <v>21905.009884462721</v>
          </cell>
          <cell r="U78">
            <v>22781.210279841231</v>
          </cell>
          <cell r="W78">
            <v>22781.210279841231</v>
          </cell>
          <cell r="X78">
            <v>23692.458691034881</v>
          </cell>
          <cell r="Z78">
            <v>23692.458691034881</v>
          </cell>
          <cell r="AA78">
            <v>24640.157038676276</v>
          </cell>
        </row>
        <row r="87">
          <cell r="N87">
            <v>28.156642241861192</v>
          </cell>
          <cell r="O87">
            <v>28.156642241861192</v>
          </cell>
          <cell r="Q87">
            <v>28.156642241861192</v>
          </cell>
          <cell r="R87">
            <v>28.156642241861192</v>
          </cell>
          <cell r="T87">
            <v>28.156642241861192</v>
          </cell>
          <cell r="U87">
            <v>28.156642241861192</v>
          </cell>
          <cell r="W87">
            <v>28.156642241861192</v>
          </cell>
          <cell r="X87">
            <v>28.156642241861192</v>
          </cell>
          <cell r="Z87">
            <v>28.156642241861192</v>
          </cell>
          <cell r="AA87">
            <v>28.156642241861192</v>
          </cell>
        </row>
        <row r="88">
          <cell r="N88">
            <v>5933.6547297536426</v>
          </cell>
          <cell r="O88">
            <v>6360.8778702959053</v>
          </cell>
          <cell r="Q88">
            <v>6360.8778702959053</v>
          </cell>
          <cell r="R88">
            <v>6615.312985107742</v>
          </cell>
          <cell r="T88">
            <v>6615.312985107742</v>
          </cell>
          <cell r="U88">
            <v>6879.9255045120517</v>
          </cell>
          <cell r="W88">
            <v>6879.9255045120517</v>
          </cell>
          <cell r="X88">
            <v>7155.1225246925342</v>
          </cell>
          <cell r="Z88">
            <v>7155.1225246925342</v>
          </cell>
          <cell r="AA88">
            <v>7441.327425680236</v>
          </cell>
        </row>
        <row r="89">
          <cell r="N89">
            <v>3.9624449267025676</v>
          </cell>
          <cell r="O89">
            <v>648.58620105154989</v>
          </cell>
          <cell r="Q89">
            <v>648.58620105154989</v>
          </cell>
          <cell r="R89">
            <v>674.52964909361197</v>
          </cell>
          <cell r="T89">
            <v>674.52964909361197</v>
          </cell>
          <cell r="U89">
            <v>701.51083505735642</v>
          </cell>
          <cell r="W89">
            <v>701.51083505735642</v>
          </cell>
          <cell r="X89">
            <v>729.5712684596507</v>
          </cell>
          <cell r="Z89">
            <v>729.5712684596507</v>
          </cell>
          <cell r="AA89">
            <v>758.75411919803673</v>
          </cell>
        </row>
        <row r="90">
          <cell r="N90">
            <v>188.2791710674091</v>
          </cell>
          <cell r="O90">
            <v>352.02195250350275</v>
          </cell>
          <cell r="Q90">
            <v>352.02195250350275</v>
          </cell>
          <cell r="R90">
            <v>366.10283060364287</v>
          </cell>
          <cell r="T90">
            <v>366.10283060364287</v>
          </cell>
          <cell r="U90">
            <v>380.74694382778858</v>
          </cell>
          <cell r="W90">
            <v>380.74694382778858</v>
          </cell>
          <cell r="X90">
            <v>395.97682158090015</v>
          </cell>
          <cell r="Z90">
            <v>395.97682158090015</v>
          </cell>
          <cell r="AA90">
            <v>411.81589444413618</v>
          </cell>
        </row>
        <row r="91">
          <cell r="N91">
            <v>207.07673125380654</v>
          </cell>
          <cell r="O91">
            <v>221.98625590408065</v>
          </cell>
          <cell r="Q91">
            <v>221.98625590408065</v>
          </cell>
          <cell r="R91">
            <v>230.86570614024387</v>
          </cell>
          <cell r="T91">
            <v>230.86570614024387</v>
          </cell>
          <cell r="U91">
            <v>240.10033438585364</v>
          </cell>
          <cell r="W91">
            <v>240.10033438585364</v>
          </cell>
          <cell r="X91">
            <v>249.70434776128781</v>
          </cell>
          <cell r="Z91">
            <v>249.70434776128781</v>
          </cell>
          <cell r="AA91">
            <v>259.69252167173931</v>
          </cell>
        </row>
        <row r="92">
          <cell r="N92">
            <v>57.526580314648569</v>
          </cell>
          <cell r="O92">
            <v>77.62186117412827</v>
          </cell>
          <cell r="Q92">
            <v>77.62186117412827</v>
          </cell>
          <cell r="R92">
            <v>80.726735621093397</v>
          </cell>
          <cell r="T92">
            <v>80.726735621093397</v>
          </cell>
          <cell r="U92">
            <v>83.95580504593714</v>
          </cell>
          <cell r="W92">
            <v>83.95580504593714</v>
          </cell>
          <cell r="X92">
            <v>87.314037247774635</v>
          </cell>
          <cell r="Z92">
            <v>87.314037247774635</v>
          </cell>
          <cell r="AA92">
            <v>90.806598737685619</v>
          </cell>
        </row>
        <row r="97">
          <cell r="N97">
            <v>26.417610869866266</v>
          </cell>
          <cell r="O97">
            <v>28.319678852496644</v>
          </cell>
          <cell r="Q97">
            <v>28.319678852496644</v>
          </cell>
          <cell r="R97">
            <v>29.452466006596509</v>
          </cell>
          <cell r="T97">
            <v>29.452466006596509</v>
          </cell>
          <cell r="U97">
            <v>30.630564646860371</v>
          </cell>
          <cell r="W97">
            <v>30.630564646860371</v>
          </cell>
          <cell r="X97">
            <v>31.855787232734787</v>
          </cell>
          <cell r="Z97">
            <v>31.855787232734787</v>
          </cell>
          <cell r="AA97">
            <v>33.130018722044177</v>
          </cell>
        </row>
        <row r="98">
          <cell r="N98">
            <v>48.479520730224138</v>
          </cell>
          <cell r="O98">
            <v>51.970046222800285</v>
          </cell>
          <cell r="Q98">
            <v>51.970046222800278</v>
          </cell>
          <cell r="R98">
            <v>54.048848071712293</v>
          </cell>
          <cell r="T98">
            <v>54.048848071712293</v>
          </cell>
          <cell r="U98">
            <v>56.210801994580791</v>
          </cell>
          <cell r="W98">
            <v>56.210801994580791</v>
          </cell>
          <cell r="X98">
            <v>58.459234074364026</v>
          </cell>
          <cell r="Z98">
            <v>58.459234074364026</v>
          </cell>
          <cell r="AA98">
            <v>60.797603437338587</v>
          </cell>
        </row>
        <row r="100">
          <cell r="N100">
            <v>44.300178028369835</v>
          </cell>
          <cell r="O100">
            <v>47.489790846412461</v>
          </cell>
          <cell r="Q100">
            <v>47.489790846412461</v>
          </cell>
          <cell r="R100">
            <v>49.389382480268964</v>
          </cell>
          <cell r="T100">
            <v>49.389382480268964</v>
          </cell>
          <cell r="U100">
            <v>51.364957779479724</v>
          </cell>
          <cell r="W100">
            <v>51.364957779479724</v>
          </cell>
          <cell r="X100">
            <v>53.419556090658915</v>
          </cell>
          <cell r="Z100">
            <v>53.419556090658915</v>
          </cell>
          <cell r="AA100">
            <v>55.556338334285272</v>
          </cell>
        </row>
        <row r="101">
          <cell r="N101">
            <v>4.1793427018543081</v>
          </cell>
          <cell r="O101">
            <v>4.4802553763878183</v>
          </cell>
          <cell r="Q101">
            <v>4.4802553763878183</v>
          </cell>
          <cell r="R101">
            <v>4.6594655914433316</v>
          </cell>
          <cell r="T101">
            <v>4.6594655914433316</v>
          </cell>
          <cell r="U101">
            <v>4.8458442151010654</v>
          </cell>
          <cell r="W101">
            <v>4.8458442151010654</v>
          </cell>
          <cell r="X101">
            <v>5.0396779837051087</v>
          </cell>
          <cell r="Z101">
            <v>5.0396779837051087</v>
          </cell>
          <cell r="AA101">
            <v>5.2412651030533128</v>
          </cell>
        </row>
        <row r="105">
          <cell r="N105">
            <v>11750.927848178697</v>
          </cell>
          <cell r="O105">
            <v>16740.454613150614</v>
          </cell>
          <cell r="Q105">
            <v>16740.454613150614</v>
          </cell>
          <cell r="R105">
            <v>17410.072797676639</v>
          </cell>
          <cell r="T105">
            <v>17410.072797676639</v>
          </cell>
          <cell r="U105">
            <v>18106.475709583709</v>
          </cell>
          <cell r="W105">
            <v>18106.475709583709</v>
          </cell>
          <cell r="X105">
            <v>18830.734737967054</v>
          </cell>
          <cell r="Z105">
            <v>18830.734737967054</v>
          </cell>
          <cell r="AA105">
            <v>19583.964127485739</v>
          </cell>
        </row>
        <row r="106">
          <cell r="N106">
            <v>1482.2549569924695</v>
          </cell>
          <cell r="O106">
            <v>1588.9773138959276</v>
          </cell>
          <cell r="Q106">
            <v>1588.9773138959276</v>
          </cell>
          <cell r="R106">
            <v>1652.5364064517648</v>
          </cell>
          <cell r="T106">
            <v>1652.5364064517648</v>
          </cell>
          <cell r="U106">
            <v>1718.6378627098354</v>
          </cell>
          <cell r="W106">
            <v>1718.6378627098354</v>
          </cell>
          <cell r="X106">
            <v>1787.3833772182288</v>
          </cell>
          <cell r="Z106">
            <v>1787.3833772182288</v>
          </cell>
          <cell r="AA106">
            <v>1858.8787123069581</v>
          </cell>
        </row>
        <row r="108">
          <cell r="N108">
            <v>28.175344057444796</v>
          </cell>
          <cell r="O108">
            <v>30.20396882958082</v>
          </cell>
          <cell r="Q108">
            <v>30.20396882958082</v>
          </cell>
          <cell r="R108">
            <v>31.412127582764054</v>
          </cell>
          <cell r="T108">
            <v>31.412127582764054</v>
          </cell>
          <cell r="U108">
            <v>32.668612686074617</v>
          </cell>
          <cell r="W108">
            <v>32.668612686074617</v>
          </cell>
          <cell r="X108">
            <v>33.975357193517603</v>
          </cell>
          <cell r="Z108">
            <v>33.975357193517603</v>
          </cell>
          <cell r="AA108">
            <v>35.334371481258309</v>
          </cell>
        </row>
        <row r="109">
          <cell r="N109">
            <v>8.2517443200417002</v>
          </cell>
          <cell r="O109">
            <v>8.8458699110847032</v>
          </cell>
          <cell r="Q109">
            <v>8.8458699110847032</v>
          </cell>
          <cell r="R109">
            <v>9.1997047075280918</v>
          </cell>
          <cell r="T109">
            <v>9.1997047075280918</v>
          </cell>
          <cell r="U109">
            <v>9.5676928958292162</v>
          </cell>
          <cell r="W109">
            <v>9.5676928958292162</v>
          </cell>
          <cell r="X109">
            <v>9.9504006116623849</v>
          </cell>
          <cell r="Z109">
            <v>9.9504006116623849</v>
          </cell>
          <cell r="AA109">
            <v>10.348416636128881</v>
          </cell>
        </row>
        <row r="111">
          <cell r="N111">
            <v>7433.7289737479141</v>
          </cell>
          <cell r="O111">
            <v>12112.417419760817</v>
          </cell>
          <cell r="Q111">
            <v>12112.417419760817</v>
          </cell>
          <cell r="R111">
            <v>12596.91411655125</v>
          </cell>
          <cell r="T111">
            <v>12596.91411655125</v>
          </cell>
          <cell r="U111">
            <v>13100.790681213301</v>
          </cell>
          <cell r="W111">
            <v>13100.790681213301</v>
          </cell>
          <cell r="X111">
            <v>13624.822308461833</v>
          </cell>
          <cell r="Z111">
            <v>13624.822308461833</v>
          </cell>
          <cell r="AA111">
            <v>14169.815200800307</v>
          </cell>
        </row>
        <row r="112">
          <cell r="N112">
            <v>2798.5168290608262</v>
          </cell>
          <cell r="O112">
            <v>3000.0100407532059</v>
          </cell>
          <cell r="Q112">
            <v>3000.0100407532059</v>
          </cell>
          <cell r="R112">
            <v>3120.0104423833341</v>
          </cell>
          <cell r="T112">
            <v>3120.0104423833341</v>
          </cell>
          <cell r="U112">
            <v>3244.8108600786677</v>
          </cell>
          <cell r="W112">
            <v>3244.8108600786677</v>
          </cell>
          <cell r="X112">
            <v>3374.6032944818144</v>
          </cell>
          <cell r="Z112">
            <v>3374.6032944818144</v>
          </cell>
          <cell r="AA112">
            <v>3509.5874262610869</v>
          </cell>
        </row>
        <row r="113">
          <cell r="N113">
            <v>4008.4817371157551</v>
          </cell>
          <cell r="O113">
            <v>7702.8097432470222</v>
          </cell>
          <cell r="Q113">
            <v>7702.8097432470222</v>
          </cell>
          <cell r="R113">
            <v>7821.5715432305515</v>
          </cell>
          <cell r="T113">
            <v>7821.5715432305515</v>
          </cell>
          <cell r="U113">
            <v>7996.5508085542879</v>
          </cell>
          <cell r="W113">
            <v>7996.5508085542879</v>
          </cell>
          <cell r="X113">
            <v>8156.7611037913557</v>
          </cell>
          <cell r="Z113">
            <v>8156.7611037913557</v>
          </cell>
          <cell r="AA113">
            <v>8366.6318256204868</v>
          </cell>
        </row>
        <row r="114">
          <cell r="N114">
            <v>3083.4474900890423</v>
          </cell>
          <cell r="O114">
            <v>5921.2139518599943</v>
          </cell>
          <cell r="Q114">
            <v>5921.2139518599943</v>
          </cell>
          <cell r="R114">
            <v>5968.7119201880423</v>
          </cell>
          <cell r="T114">
            <v>5968.7119201880423</v>
          </cell>
          <cell r="U114">
            <v>6151.1929296571443</v>
          </cell>
          <cell r="W114">
            <v>6151.1929296571443</v>
          </cell>
          <cell r="X114">
            <v>6274.4316183010433</v>
          </cell>
          <cell r="Z114">
            <v>6274.4316183010433</v>
          </cell>
          <cell r="AA114">
            <v>6435.8706350926823</v>
          </cell>
        </row>
        <row r="123">
          <cell r="N123">
            <v>6.2570316093024871</v>
          </cell>
          <cell r="O123">
            <v>14.059266977889596</v>
          </cell>
          <cell r="Q123">
            <v>14.059266977889596</v>
          </cell>
          <cell r="R123">
            <v>14.059266977889596</v>
          </cell>
          <cell r="T123">
            <v>14.059266977889596</v>
          </cell>
          <cell r="U123">
            <v>14.059266977889596</v>
          </cell>
          <cell r="W123">
            <v>14.059266977889596</v>
          </cell>
          <cell r="X123">
            <v>14.059266977889596</v>
          </cell>
          <cell r="Z123">
            <v>14.059266977889596</v>
          </cell>
          <cell r="AA123">
            <v>14.059266977889596</v>
          </cell>
        </row>
        <row r="124">
          <cell r="N124">
            <v>925.03424702671259</v>
          </cell>
          <cell r="O124">
            <v>1781.5957913870282</v>
          </cell>
          <cell r="Q124">
            <v>1781.5957913870282</v>
          </cell>
          <cell r="R124">
            <v>1852.8596230425094</v>
          </cell>
          <cell r="T124">
            <v>1852.8596230425094</v>
          </cell>
          <cell r="U124">
            <v>1845.3578788971431</v>
          </cell>
          <cell r="W124">
            <v>1845.3578788971431</v>
          </cell>
          <cell r="X124">
            <v>1882.3294854903129</v>
          </cell>
          <cell r="Z124">
            <v>1882.3294854903129</v>
          </cell>
          <cell r="AA124">
            <v>1930.7611905278045</v>
          </cell>
        </row>
        <row r="127">
          <cell r="N127">
            <v>21230.943339670248</v>
          </cell>
          <cell r="O127">
            <v>23141.728240240573</v>
          </cell>
          <cell r="Q127">
            <v>23141.728240240573</v>
          </cell>
          <cell r="R127">
            <v>24298.814652252604</v>
          </cell>
          <cell r="T127">
            <v>24298.814652252604</v>
          </cell>
          <cell r="U127">
            <v>25513.755384865235</v>
          </cell>
          <cell r="W127">
            <v>25513.755384865235</v>
          </cell>
          <cell r="X127">
            <v>26789.4431541085</v>
          </cell>
          <cell r="Z127">
            <v>26789.4431541085</v>
          </cell>
          <cell r="AA127">
            <v>28128.915311813922</v>
          </cell>
        </row>
        <row r="128">
          <cell r="N128">
            <v>2979.9113039303097</v>
          </cell>
          <cell r="O128">
            <v>2979.9113039303097</v>
          </cell>
          <cell r="Q128">
            <v>2979.9113039303097</v>
          </cell>
          <cell r="R128">
            <v>2979.9113039303097</v>
          </cell>
          <cell r="T128">
            <v>2979.9113039303097</v>
          </cell>
          <cell r="U128">
            <v>2979.9113039303097</v>
          </cell>
          <cell r="W128">
            <v>2979.9113039303097</v>
          </cell>
          <cell r="X128">
            <v>2979.9113039303097</v>
          </cell>
          <cell r="Z128">
            <v>2979.9113039303097</v>
          </cell>
          <cell r="AA128">
            <v>2979.9113039303097</v>
          </cell>
        </row>
        <row r="133">
          <cell r="N133">
            <v>29202.475541193711</v>
          </cell>
          <cell r="O133">
            <v>31830.698339901144</v>
          </cell>
          <cell r="Q133">
            <v>31830.698339901144</v>
          </cell>
          <cell r="R133">
            <v>33422.233256896201</v>
          </cell>
          <cell r="T133">
            <v>33422.233256896201</v>
          </cell>
          <cell r="U133">
            <v>35093.344919741015</v>
          </cell>
          <cell r="W133">
            <v>35093.344919741015</v>
          </cell>
          <cell r="X133">
            <v>36848.012165728069</v>
          </cell>
          <cell r="Z133">
            <v>36848.012165728069</v>
          </cell>
          <cell r="AA133">
            <v>38690.412774014476</v>
          </cell>
        </row>
        <row r="134">
          <cell r="N134">
            <v>4201.7547970699225</v>
          </cell>
          <cell r="O134">
            <v>4201.7547970699225</v>
          </cell>
          <cell r="Q134">
            <v>4201.7547970699225</v>
          </cell>
          <cell r="R134">
            <v>4201.7547970699225</v>
          </cell>
          <cell r="T134">
            <v>4201.7547970699225</v>
          </cell>
          <cell r="U134">
            <v>4201.7547970699225</v>
          </cell>
          <cell r="W134">
            <v>4201.7547970699225</v>
          </cell>
          <cell r="X134">
            <v>4201.7547970699225</v>
          </cell>
          <cell r="Z134">
            <v>4201.7547970699225</v>
          </cell>
          <cell r="AA134">
            <v>4201.7547970699225</v>
          </cell>
        </row>
        <row r="153">
          <cell r="N153">
            <v>0</v>
          </cell>
          <cell r="O153">
            <v>0</v>
          </cell>
          <cell r="Q153">
            <v>0</v>
          </cell>
          <cell r="R153">
            <v>0</v>
          </cell>
          <cell r="T153">
            <v>0</v>
          </cell>
          <cell r="U153">
            <v>0</v>
          </cell>
          <cell r="W153">
            <v>0</v>
          </cell>
          <cell r="X153">
            <v>0</v>
          </cell>
          <cell r="Z153">
            <v>0</v>
          </cell>
          <cell r="AA153">
            <v>0</v>
          </cell>
        </row>
        <row r="154">
          <cell r="N154">
            <v>0</v>
          </cell>
          <cell r="O154">
            <v>0</v>
          </cell>
        </row>
        <row r="169">
          <cell r="N169">
            <v>0</v>
          </cell>
          <cell r="O169">
            <v>0</v>
          </cell>
          <cell r="Q169">
            <v>0</v>
          </cell>
          <cell r="R169">
            <v>0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Z169">
            <v>0</v>
          </cell>
          <cell r="AA169">
            <v>0</v>
          </cell>
        </row>
        <row r="170">
          <cell r="N170">
            <v>0</v>
          </cell>
          <cell r="O170">
            <v>0</v>
          </cell>
        </row>
        <row r="176">
          <cell r="N176">
            <v>105007.00751984291</v>
          </cell>
          <cell r="O176">
            <v>132702.97228947788</v>
          </cell>
          <cell r="Q176">
            <v>132702.97228947788</v>
          </cell>
          <cell r="R176">
            <v>139742.74226817818</v>
          </cell>
          <cell r="T176">
            <v>139742.74226817818</v>
          </cell>
          <cell r="U176">
            <v>147156.07592706461</v>
          </cell>
          <cell r="W176">
            <v>147156.07592706461</v>
          </cell>
          <cell r="X176">
            <v>154962.80405217916</v>
          </cell>
          <cell r="Z176">
            <v>154962.80405217916</v>
          </cell>
          <cell r="AA176">
            <v>163183.81069499339</v>
          </cell>
        </row>
        <row r="177">
          <cell r="N177">
            <v>344.50102401419025</v>
          </cell>
          <cell r="O177">
            <v>383.08513870377953</v>
          </cell>
          <cell r="Q177">
            <v>383.08513870377953</v>
          </cell>
          <cell r="R177">
            <v>409.90109841304411</v>
          </cell>
          <cell r="T177">
            <v>409.90109841304411</v>
          </cell>
          <cell r="U177">
            <v>438.59417530195719</v>
          </cell>
          <cell r="W177">
            <v>438.59417530195719</v>
          </cell>
          <cell r="X177">
            <v>469.29576757309422</v>
          </cell>
          <cell r="Z177">
            <v>469.29576757309422</v>
          </cell>
          <cell r="AA177">
            <v>502.14647130321083</v>
          </cell>
        </row>
        <row r="178">
          <cell r="N178">
            <v>344.50102401419025</v>
          </cell>
          <cell r="O178">
            <v>383.08513870377953</v>
          </cell>
          <cell r="Q178">
            <v>383.08513870377953</v>
          </cell>
          <cell r="R178">
            <v>409.90109841304411</v>
          </cell>
          <cell r="T178">
            <v>409.90109841304411</v>
          </cell>
          <cell r="U178">
            <v>438.59417530195719</v>
          </cell>
          <cell r="W178">
            <v>438.59417530195719</v>
          </cell>
          <cell r="X178">
            <v>469.29576757309422</v>
          </cell>
          <cell r="Z178">
            <v>469.29576757309422</v>
          </cell>
          <cell r="AA178">
            <v>502.14647130321083</v>
          </cell>
        </row>
        <row r="179">
          <cell r="N179">
            <v>43.390842412745926</v>
          </cell>
          <cell r="O179">
            <v>43.390842412745926</v>
          </cell>
          <cell r="Q179">
            <v>43.390842412745926</v>
          </cell>
          <cell r="R179">
            <v>43.390842412745926</v>
          </cell>
          <cell r="T179">
            <v>43.390842412745926</v>
          </cell>
          <cell r="U179">
            <v>43.390842412745926</v>
          </cell>
          <cell r="W179">
            <v>43.390842412745926</v>
          </cell>
          <cell r="X179">
            <v>43.390842412745926</v>
          </cell>
          <cell r="Z179">
            <v>43.390842412745926</v>
          </cell>
          <cell r="AA179">
            <v>43.390842412745926</v>
          </cell>
        </row>
        <row r="188">
          <cell r="N188">
            <v>640.50772298318896</v>
          </cell>
          <cell r="O188">
            <v>680.85970953112985</v>
          </cell>
          <cell r="Q188">
            <v>680.85970953112985</v>
          </cell>
          <cell r="R188">
            <v>716.94527413627964</v>
          </cell>
          <cell r="T188">
            <v>716.94527413627964</v>
          </cell>
          <cell r="U188">
            <v>754.94337366550235</v>
          </cell>
          <cell r="W188">
            <v>754.94337366550235</v>
          </cell>
          <cell r="X188">
            <v>794.95537246977392</v>
          </cell>
          <cell r="Z188">
            <v>794.95537246977392</v>
          </cell>
          <cell r="AA188">
            <v>837.08800721067189</v>
          </cell>
        </row>
        <row r="189">
          <cell r="N189">
            <v>0.27707564948318902</v>
          </cell>
          <cell r="O189">
            <v>0.27707564948318902</v>
          </cell>
          <cell r="Q189">
            <v>0.27707564948318902</v>
          </cell>
          <cell r="R189">
            <v>0.27707564948318902</v>
          </cell>
          <cell r="T189">
            <v>0.27707564948318902</v>
          </cell>
          <cell r="U189">
            <v>0.27707564948318902</v>
          </cell>
          <cell r="W189">
            <v>0.27707564948318902</v>
          </cell>
          <cell r="X189">
            <v>0.27707564948318902</v>
          </cell>
          <cell r="Z189">
            <v>0.27707564948318902</v>
          </cell>
          <cell r="AA189">
            <v>0.27707564948318902</v>
          </cell>
        </row>
        <row r="201">
          <cell r="N201">
            <v>104021.99877284553</v>
          </cell>
          <cell r="O201">
            <v>131639.02744124297</v>
          </cell>
          <cell r="Q201">
            <v>131639.02744124297</v>
          </cell>
          <cell r="R201">
            <v>138615.89589562884</v>
          </cell>
          <cell r="T201">
            <v>138615.89589562884</v>
          </cell>
          <cell r="U201">
            <v>145962.53837809715</v>
          </cell>
          <cell r="W201">
            <v>145962.53837809715</v>
          </cell>
          <cell r="X201">
            <v>153698.55291213628</v>
          </cell>
          <cell r="Z201">
            <v>153698.55291213628</v>
          </cell>
          <cell r="AA201">
            <v>161844.5762164795</v>
          </cell>
        </row>
        <row r="202">
          <cell r="N202">
            <v>31426.585731977502</v>
          </cell>
          <cell r="O202">
            <v>32701.402698497757</v>
          </cell>
          <cell r="Q202">
            <v>32701.402698497757</v>
          </cell>
          <cell r="R202">
            <v>32701.402698497757</v>
          </cell>
          <cell r="T202">
            <v>32701.402698497757</v>
          </cell>
          <cell r="U202">
            <v>32701.402698497757</v>
          </cell>
          <cell r="W202">
            <v>32701.402698497757</v>
          </cell>
          <cell r="X202">
            <v>32701.402698497757</v>
          </cell>
          <cell r="Z202">
            <v>32701.402698497757</v>
          </cell>
          <cell r="AA202">
            <v>32701.402698497757</v>
          </cell>
        </row>
        <row r="204">
          <cell r="N204">
            <v>0</v>
          </cell>
          <cell r="O204">
            <v>0</v>
          </cell>
          <cell r="Q204">
            <v>0</v>
          </cell>
          <cell r="R204">
            <v>0</v>
          </cell>
          <cell r="T204">
            <v>0</v>
          </cell>
          <cell r="U204">
            <v>0</v>
          </cell>
          <cell r="W204">
            <v>0</v>
          </cell>
          <cell r="X204">
            <v>0</v>
          </cell>
          <cell r="Z204">
            <v>0</v>
          </cell>
          <cell r="AA204">
            <v>0</v>
          </cell>
        </row>
        <row r="205">
          <cell r="N205">
            <v>0</v>
          </cell>
          <cell r="O205">
            <v>0</v>
          </cell>
        </row>
        <row r="207">
          <cell r="N207">
            <v>0</v>
          </cell>
          <cell r="O207">
            <v>35.135807804549593</v>
          </cell>
          <cell r="Q207">
            <v>35.135807804549593</v>
          </cell>
          <cell r="R207">
            <v>36.541240116731579</v>
          </cell>
          <cell r="T207">
            <v>36.541240116731579</v>
          </cell>
          <cell r="U207">
            <v>38.002889721400841</v>
          </cell>
          <cell r="W207">
            <v>38.002889721400841</v>
          </cell>
          <cell r="X207">
            <v>39.523005310256877</v>
          </cell>
          <cell r="Z207">
            <v>39.523005310256877</v>
          </cell>
          <cell r="AA207">
            <v>41.103925522667154</v>
          </cell>
        </row>
        <row r="208">
          <cell r="N208">
            <v>41.284160549985209</v>
          </cell>
          <cell r="O208">
            <v>87.3286831126713</v>
          </cell>
          <cell r="Q208">
            <v>87.328683112671285</v>
          </cell>
          <cell r="R208">
            <v>90.82183043717815</v>
          </cell>
          <cell r="T208">
            <v>90.82183043717815</v>
          </cell>
          <cell r="U208">
            <v>94.454703654665281</v>
          </cell>
          <cell r="W208">
            <v>94.454703654665281</v>
          </cell>
          <cell r="X208">
            <v>98.232891800851888</v>
          </cell>
          <cell r="Z208">
            <v>98.232891800851888</v>
          </cell>
          <cell r="AA208">
            <v>102.16220747288597</v>
          </cell>
        </row>
        <row r="211">
          <cell r="N211">
            <v>0.31478225553216854</v>
          </cell>
          <cell r="O211">
            <v>25.075968783321141</v>
          </cell>
          <cell r="Q211">
            <v>25.075968783321141</v>
          </cell>
          <cell r="R211">
            <v>26.079007534653986</v>
          </cell>
          <cell r="T211">
            <v>26.079007534653986</v>
          </cell>
          <cell r="U211">
            <v>27.122167836040145</v>
          </cell>
          <cell r="W211">
            <v>27.122167836040145</v>
          </cell>
          <cell r="X211">
            <v>28.20705454948175</v>
          </cell>
          <cell r="Z211">
            <v>28.20705454948175</v>
          </cell>
          <cell r="AA211">
            <v>29.33533673146102</v>
          </cell>
        </row>
        <row r="215">
          <cell r="N215">
            <v>40.583510440048947</v>
          </cell>
          <cell r="O215">
            <v>57.022903168343881</v>
          </cell>
          <cell r="Q215">
            <v>57.022903168343881</v>
          </cell>
          <cell r="R215">
            <v>59.303819295077638</v>
          </cell>
          <cell r="T215">
            <v>59.303819295077638</v>
          </cell>
          <cell r="U215">
            <v>61.675972066880746</v>
          </cell>
          <cell r="W215">
            <v>61.675972066880746</v>
          </cell>
          <cell r="X215">
            <v>64.143010949555972</v>
          </cell>
          <cell r="Z215">
            <v>64.143010949555972</v>
          </cell>
          <cell r="AA215">
            <v>66.708731387538208</v>
          </cell>
        </row>
        <row r="216">
          <cell r="N216">
            <v>0.38586785440408949</v>
          </cell>
          <cell r="O216">
            <v>5.229811161006273</v>
          </cell>
          <cell r="Q216">
            <v>5.229811161006273</v>
          </cell>
          <cell r="R216">
            <v>5.4390036074465238</v>
          </cell>
          <cell r="T216">
            <v>5.4390036074465238</v>
          </cell>
          <cell r="U216">
            <v>5.6565637517443852</v>
          </cell>
          <cell r="W216">
            <v>5.6565637517443852</v>
          </cell>
          <cell r="X216">
            <v>5.8828263018141609</v>
          </cell>
          <cell r="Z216">
            <v>5.8828263018141609</v>
          </cell>
          <cell r="AA216">
            <v>6.1181393538867272</v>
          </cell>
        </row>
        <row r="218">
          <cell r="N218">
            <v>211.35012691334063</v>
          </cell>
          <cell r="O218">
            <v>921.60152955379522</v>
          </cell>
          <cell r="Q218">
            <v>921.60152955379522</v>
          </cell>
          <cell r="R218">
            <v>958.4655907359471</v>
          </cell>
          <cell r="T218">
            <v>958.4655907359471</v>
          </cell>
          <cell r="U218">
            <v>996.80421436538506</v>
          </cell>
          <cell r="W218">
            <v>996.80421436538506</v>
          </cell>
          <cell r="X218">
            <v>1036.6763829400004</v>
          </cell>
          <cell r="Z218">
            <v>1036.6763829400004</v>
          </cell>
          <cell r="AA218">
            <v>1078.1434382576003</v>
          </cell>
        </row>
        <row r="222">
          <cell r="N222">
            <v>211.35012691334063</v>
          </cell>
          <cell r="O222">
            <v>921.60152955379522</v>
          </cell>
          <cell r="Q222">
            <v>921.60152955379522</v>
          </cell>
          <cell r="R222">
            <v>958.4655907359471</v>
          </cell>
          <cell r="T222">
            <v>958.4655907359471</v>
          </cell>
          <cell r="U222">
            <v>996.80421436538506</v>
          </cell>
          <cell r="W222">
            <v>996.80421436538506</v>
          </cell>
          <cell r="X222">
            <v>1036.6763829400004</v>
          </cell>
          <cell r="Z222">
            <v>1036.6763829400004</v>
          </cell>
          <cell r="AA222">
            <v>1078.1434382576003</v>
          </cell>
        </row>
        <row r="237">
          <cell r="N237">
            <v>1833.3614384783782</v>
          </cell>
          <cell r="Q237">
            <v>0</v>
          </cell>
          <cell r="R237">
            <v>0</v>
          </cell>
          <cell r="T237">
            <v>0</v>
          </cell>
          <cell r="U237">
            <v>0</v>
          </cell>
          <cell r="W237">
            <v>0</v>
          </cell>
          <cell r="X237">
            <v>0</v>
          </cell>
          <cell r="Z237">
            <v>0</v>
          </cell>
          <cell r="AA237">
            <v>0</v>
          </cell>
        </row>
        <row r="240">
          <cell r="N240">
            <v>5120.7993298219117</v>
          </cell>
          <cell r="O240">
            <v>5913.4312930294891</v>
          </cell>
          <cell r="Q240">
            <v>5913.4312930294891</v>
          </cell>
          <cell r="R240">
            <v>6149.968544750669</v>
          </cell>
          <cell r="T240">
            <v>6149.968544750669</v>
          </cell>
          <cell r="U240">
            <v>6395.9672865406956</v>
          </cell>
          <cell r="W240">
            <v>6395.9672865406956</v>
          </cell>
          <cell r="X240">
            <v>6651.8059780023232</v>
          </cell>
          <cell r="Z240">
            <v>6651.8059780023232</v>
          </cell>
          <cell r="AA240">
            <v>6917.8782171224166</v>
          </cell>
        </row>
        <row r="241">
          <cell r="N241">
            <v>0</v>
          </cell>
          <cell r="O241">
            <v>0</v>
          </cell>
        </row>
        <row r="272">
          <cell r="N272">
            <v>0</v>
          </cell>
          <cell r="O272">
            <v>-38700</v>
          </cell>
          <cell r="Q272">
            <v>-38700</v>
          </cell>
          <cell r="R272">
            <v>-4700</v>
          </cell>
          <cell r="T272">
            <v>-4700</v>
          </cell>
          <cell r="U272">
            <v>12300</v>
          </cell>
          <cell r="W272">
            <v>12300</v>
          </cell>
          <cell r="X272">
            <v>25500</v>
          </cell>
          <cell r="Z272">
            <v>25500</v>
          </cell>
          <cell r="AA272">
            <v>11199.999999999993</v>
          </cell>
        </row>
        <row r="274">
          <cell r="N274">
            <v>8.0844577452235296</v>
          </cell>
          <cell r="O274">
            <v>11.422789263930012</v>
          </cell>
        </row>
      </sheetData>
      <sheetData sheetId="7" refreshError="1"/>
      <sheetData sheetId="8" refreshError="1"/>
      <sheetData sheetId="9" refreshError="1"/>
      <sheetData sheetId="10">
        <row r="5">
          <cell r="D5">
            <v>58.762561576354685</v>
          </cell>
          <cell r="E5">
            <v>60.525438423645326</v>
          </cell>
          <cell r="G5">
            <v>67.368693516699366</v>
          </cell>
          <cell r="H5">
            <v>69.793966483300551</v>
          </cell>
          <cell r="J5">
            <v>0</v>
          </cell>
          <cell r="K5">
            <v>0</v>
          </cell>
          <cell r="S5">
            <v>36.541240116731579</v>
          </cell>
          <cell r="T5">
            <v>38.002889721400841</v>
          </cell>
          <cell r="V5">
            <v>38.002889721400841</v>
          </cell>
          <cell r="W5">
            <v>39.523005310256877</v>
          </cell>
          <cell r="Y5">
            <v>39.523005310256877</v>
          </cell>
          <cell r="Z5">
            <v>41.103925522667154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НВВ"/>
      <sheetName val="НВВ 26.09.23."/>
      <sheetName val="2024 Калуга+область перекачка"/>
      <sheetName val="Расчет электроэн."/>
      <sheetName val="Норм численность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ПП Раздел 5"/>
      <sheetName val="ПП Раздел 6"/>
      <sheetName val="ПП Раздел 7"/>
      <sheetName val="Раздел 7 отчт"/>
      <sheetName val="ПП Раздел 8"/>
      <sheetName val="Плата за НН и НВ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6">
          <cell r="N16">
            <v>391.86139817842991</v>
          </cell>
          <cell r="O16">
            <v>1125.3708166407091</v>
          </cell>
          <cell r="Q16">
            <v>1125.3708166407091</v>
          </cell>
          <cell r="R16">
            <v>1170.3856493063374</v>
          </cell>
          <cell r="T16">
            <v>1170.3856493063374</v>
          </cell>
          <cell r="U16">
            <v>1217.2010752785911</v>
          </cell>
          <cell r="W16">
            <v>1217.2010752785911</v>
          </cell>
          <cell r="X16">
            <v>1265.8891182897348</v>
          </cell>
          <cell r="Z16">
            <v>1265.8891182897348</v>
          </cell>
          <cell r="AA16">
            <v>1316.5246830213243</v>
          </cell>
        </row>
        <row r="17">
          <cell r="N17">
            <v>9.6538148658561251</v>
          </cell>
          <cell r="O17">
            <v>25.529562266242436</v>
          </cell>
          <cell r="Q17">
            <v>25.529562266242436</v>
          </cell>
          <cell r="R17">
            <v>25.529562266242436</v>
          </cell>
          <cell r="T17">
            <v>25.529562266242436</v>
          </cell>
          <cell r="U17">
            <v>25.529562266242436</v>
          </cell>
          <cell r="W17">
            <v>25.529562266242436</v>
          </cell>
          <cell r="X17">
            <v>25.529562266242436</v>
          </cell>
          <cell r="Z17">
            <v>25.529562266242436</v>
          </cell>
          <cell r="AA17">
            <v>25.529562266242436</v>
          </cell>
        </row>
        <row r="19">
          <cell r="N19">
            <v>188.00417573571011</v>
          </cell>
          <cell r="O19">
            <v>268.80091399629356</v>
          </cell>
          <cell r="Q19">
            <v>268.80091399629356</v>
          </cell>
          <cell r="R19">
            <v>279.55295055614528</v>
          </cell>
          <cell r="T19">
            <v>279.55295055614528</v>
          </cell>
          <cell r="U19">
            <v>290.73506857839112</v>
          </cell>
          <cell r="W19">
            <v>290.73506857839112</v>
          </cell>
          <cell r="X19">
            <v>302.36447132152676</v>
          </cell>
          <cell r="Z19">
            <v>302.36447132152676</v>
          </cell>
          <cell r="AA19">
            <v>314.45905017438787</v>
          </cell>
        </row>
        <row r="20">
          <cell r="N20">
            <v>4.2866928287854602</v>
          </cell>
          <cell r="O20">
            <v>5.7245108460014826</v>
          </cell>
          <cell r="Q20">
            <v>5.7245108460014826</v>
          </cell>
          <cell r="R20">
            <v>5.7245108460014826</v>
          </cell>
          <cell r="T20">
            <v>5.7245108460014826</v>
          </cell>
          <cell r="U20">
            <v>5.7245108460014826</v>
          </cell>
          <cell r="W20">
            <v>5.7245108460014826</v>
          </cell>
          <cell r="X20">
            <v>5.7245108460014826</v>
          </cell>
          <cell r="Z20">
            <v>5.7245108460014826</v>
          </cell>
          <cell r="AA20">
            <v>5.7245108460014826</v>
          </cell>
        </row>
        <row r="22">
          <cell r="N22">
            <v>2367.9641385284413</v>
          </cell>
          <cell r="O22">
            <v>3690.6335045658261</v>
          </cell>
          <cell r="Q22">
            <v>3690.6335045658261</v>
          </cell>
          <cell r="R22">
            <v>3838.2588447484591</v>
          </cell>
          <cell r="T22">
            <v>3838.2588447484591</v>
          </cell>
          <cell r="U22">
            <v>3991.7891985383972</v>
          </cell>
          <cell r="W22">
            <v>3991.7891985383972</v>
          </cell>
          <cell r="X22">
            <v>4151.4607664799332</v>
          </cell>
          <cell r="Z22">
            <v>4151.4607664799332</v>
          </cell>
          <cell r="AA22">
            <v>4317.5191971391305</v>
          </cell>
        </row>
        <row r="23">
          <cell r="N23">
            <v>51.429198730912127</v>
          </cell>
          <cell r="O23">
            <v>74.359897739867833</v>
          </cell>
          <cell r="Q23">
            <v>74.359897739867833</v>
          </cell>
          <cell r="R23">
            <v>74.359897739867833</v>
          </cell>
          <cell r="T23">
            <v>74.359897739867833</v>
          </cell>
          <cell r="U23">
            <v>74.359897739867833</v>
          </cell>
          <cell r="W23">
            <v>74.359897739867833</v>
          </cell>
          <cell r="X23">
            <v>74.359897739867833</v>
          </cell>
          <cell r="Z23">
            <v>74.359897739867833</v>
          </cell>
          <cell r="AA23">
            <v>74.359897739867833</v>
          </cell>
        </row>
        <row r="25">
          <cell r="N25">
            <v>213.69651122504126</v>
          </cell>
          <cell r="O25">
            <v>354.21434756096602</v>
          </cell>
          <cell r="Q25">
            <v>354.21434756096602</v>
          </cell>
          <cell r="R25">
            <v>368.38292146340467</v>
          </cell>
          <cell r="T25">
            <v>368.38292146340467</v>
          </cell>
          <cell r="U25">
            <v>383.11823832194085</v>
          </cell>
          <cell r="W25">
            <v>383.11823832194085</v>
          </cell>
          <cell r="X25">
            <v>398.44296785481851</v>
          </cell>
          <cell r="Z25">
            <v>398.44296785481851</v>
          </cell>
          <cell r="AA25">
            <v>414.38068656901129</v>
          </cell>
        </row>
        <row r="26">
          <cell r="N26">
            <v>1.1066061231375182</v>
          </cell>
          <cell r="O26">
            <v>1.5129406752577681</v>
          </cell>
          <cell r="Q26">
            <v>1.5129406752577681</v>
          </cell>
          <cell r="R26">
            <v>1.5129406752577681</v>
          </cell>
          <cell r="T26">
            <v>1.5129406752577681</v>
          </cell>
          <cell r="U26">
            <v>1.5129406752577681</v>
          </cell>
          <cell r="W26">
            <v>1.5129406752577681</v>
          </cell>
          <cell r="X26">
            <v>1.5129406752577681</v>
          </cell>
          <cell r="Z26">
            <v>1.5129406752577681</v>
          </cell>
          <cell r="AA26">
            <v>1.5129406752577681</v>
          </cell>
        </row>
        <row r="28">
          <cell r="N28">
            <v>1.9438322886773314</v>
          </cell>
          <cell r="O28">
            <v>42.178991779202498</v>
          </cell>
          <cell r="Q28">
            <v>42.178991779202498</v>
          </cell>
          <cell r="R28">
            <v>43.866151450370602</v>
          </cell>
          <cell r="T28">
            <v>43.866151450370602</v>
          </cell>
          <cell r="U28">
            <v>45.620797508385429</v>
          </cell>
          <cell r="W28">
            <v>45.620797508385429</v>
          </cell>
          <cell r="X28">
            <v>47.445629408720848</v>
          </cell>
          <cell r="Z28">
            <v>47.445629408720848</v>
          </cell>
          <cell r="AA28">
            <v>49.343454585069686</v>
          </cell>
        </row>
        <row r="29">
          <cell r="N29">
            <v>2274.7119968089451</v>
          </cell>
          <cell r="O29">
            <v>3293.6206707140782</v>
          </cell>
          <cell r="Q29">
            <v>3293.6206707140782</v>
          </cell>
          <cell r="R29">
            <v>3425.3654975426416</v>
          </cell>
          <cell r="T29">
            <v>3425.3654975426416</v>
          </cell>
          <cell r="U29">
            <v>3562.3801174443474</v>
          </cell>
          <cell r="W29">
            <v>3562.3801174443474</v>
          </cell>
          <cell r="X29">
            <v>3704.8753221421216</v>
          </cell>
          <cell r="Z29">
            <v>3704.8753221421216</v>
          </cell>
          <cell r="AA29">
            <v>3853.0703350278068</v>
          </cell>
        </row>
        <row r="31">
          <cell r="N31">
            <v>10426.454901954559</v>
          </cell>
          <cell r="O31">
            <v>44338.600012735165</v>
          </cell>
          <cell r="Q31">
            <v>44338.600012735165</v>
          </cell>
          <cell r="R31">
            <v>46112.144013244571</v>
          </cell>
          <cell r="T31">
            <v>46112.144013244571</v>
          </cell>
          <cell r="U31">
            <v>47956.629773774359</v>
          </cell>
          <cell r="W31">
            <v>47956.629773774359</v>
          </cell>
          <cell r="X31">
            <v>49874.894964725339</v>
          </cell>
          <cell r="Z31">
            <v>49874.894964725339</v>
          </cell>
          <cell r="AA31">
            <v>51869.890763314354</v>
          </cell>
        </row>
        <row r="32">
          <cell r="N32">
            <v>8008.0298786133326</v>
          </cell>
          <cell r="O32">
            <v>34054.224280134535</v>
          </cell>
          <cell r="Q32">
            <v>34054.224280134535</v>
          </cell>
          <cell r="R32">
            <v>35416.39325133992</v>
          </cell>
          <cell r="T32">
            <v>35416.39325133992</v>
          </cell>
          <cell r="U32">
            <v>36833.04898139352</v>
          </cell>
          <cell r="W32">
            <v>36833.04898139352</v>
          </cell>
          <cell r="X32">
            <v>38306.370940649264</v>
          </cell>
          <cell r="Z32">
            <v>38306.370940649264</v>
          </cell>
          <cell r="AA32">
            <v>39838.625778275236</v>
          </cell>
        </row>
        <row r="41">
          <cell r="N41">
            <v>25.870319813711472</v>
          </cell>
          <cell r="O41">
            <v>108.96892285169376</v>
          </cell>
          <cell r="Q41">
            <v>108.96892285169376</v>
          </cell>
          <cell r="R41">
            <v>108.96892285169376</v>
          </cell>
          <cell r="T41">
            <v>108.96892285169376</v>
          </cell>
          <cell r="U41">
            <v>108.96892285169376</v>
          </cell>
          <cell r="W41">
            <v>108.96892285169376</v>
          </cell>
          <cell r="X41">
            <v>108.96892285169376</v>
          </cell>
          <cell r="Z41">
            <v>108.96892285169376</v>
          </cell>
          <cell r="AA41">
            <v>108.96892285169376</v>
          </cell>
        </row>
        <row r="42">
          <cell r="N42">
            <v>2418.4250233412267</v>
          </cell>
          <cell r="O42">
            <v>10284.375732600629</v>
          </cell>
          <cell r="Q42">
            <v>10284.375732600629</v>
          </cell>
          <cell r="R42">
            <v>10695.750761904656</v>
          </cell>
          <cell r="T42">
            <v>10695.750761904656</v>
          </cell>
          <cell r="U42">
            <v>11123.580792380842</v>
          </cell>
          <cell r="W42">
            <v>11123.580792380842</v>
          </cell>
          <cell r="X42">
            <v>11568.524024076078</v>
          </cell>
          <cell r="Z42">
            <v>11568.524024076078</v>
          </cell>
          <cell r="AA42">
            <v>12031.264985039121</v>
          </cell>
        </row>
        <row r="45">
          <cell r="N45">
            <v>1186.1246980157632</v>
          </cell>
          <cell r="O45">
            <v>2226.3901468514241</v>
          </cell>
          <cell r="Q45">
            <v>2226.3901468514241</v>
          </cell>
          <cell r="R45">
            <v>2315.4457527254813</v>
          </cell>
          <cell r="T45">
            <v>2315.4457527254813</v>
          </cell>
          <cell r="U45">
            <v>2408.0635828345007</v>
          </cell>
          <cell r="W45">
            <v>2408.0635828345007</v>
          </cell>
          <cell r="X45">
            <v>2504.386126147881</v>
          </cell>
          <cell r="Z45">
            <v>2504.386126147881</v>
          </cell>
          <cell r="AA45">
            <v>2604.5615711937962</v>
          </cell>
        </row>
        <row r="46">
          <cell r="N46">
            <v>3380.0615849509209</v>
          </cell>
          <cell r="O46">
            <v>5099.4722845064789</v>
          </cell>
          <cell r="Q46">
            <v>5099.4722845064789</v>
          </cell>
          <cell r="R46">
            <v>5303.4511758867384</v>
          </cell>
          <cell r="T46">
            <v>5303.4511758867384</v>
          </cell>
          <cell r="U46">
            <v>5515.5892229222081</v>
          </cell>
          <cell r="W46">
            <v>5515.5892229222081</v>
          </cell>
          <cell r="X46">
            <v>5736.212791839097</v>
          </cell>
          <cell r="Z46">
            <v>5736.212791839097</v>
          </cell>
          <cell r="AA46">
            <v>5965.6613035126611</v>
          </cell>
        </row>
        <row r="48">
          <cell r="N48">
            <v>2939.529740525516</v>
          </cell>
          <cell r="O48">
            <v>3825.8213758509924</v>
          </cell>
          <cell r="Q48">
            <v>3825.8213758509924</v>
          </cell>
          <cell r="R48">
            <v>3978.8542308850324</v>
          </cell>
          <cell r="T48">
            <v>3978.8542308850324</v>
          </cell>
          <cell r="U48">
            <v>4138.0084001204341</v>
          </cell>
          <cell r="W48">
            <v>4138.0084001204341</v>
          </cell>
          <cell r="X48">
            <v>4303.5287361252513</v>
          </cell>
          <cell r="Z48">
            <v>4303.5287361252513</v>
          </cell>
          <cell r="AA48">
            <v>4475.6698855702616</v>
          </cell>
        </row>
        <row r="50">
          <cell r="N50">
            <v>1314.4238411867316</v>
          </cell>
          <cell r="O50">
            <v>2119.5694111236839</v>
          </cell>
          <cell r="Q50">
            <v>2119.5694111236839</v>
          </cell>
          <cell r="R50">
            <v>2204.3521875686315</v>
          </cell>
          <cell r="T50">
            <v>2204.3521875686315</v>
          </cell>
          <cell r="U50">
            <v>2292.5262750713769</v>
          </cell>
          <cell r="W50">
            <v>2292.5262750713769</v>
          </cell>
          <cell r="X50">
            <v>2384.2273260742322</v>
          </cell>
          <cell r="Z50">
            <v>2384.2273260742322</v>
          </cell>
          <cell r="AA50">
            <v>2479.5964191172015</v>
          </cell>
        </row>
        <row r="51">
          <cell r="N51">
            <v>1127.4445930767292</v>
          </cell>
          <cell r="O51">
            <v>1254.4155295457088</v>
          </cell>
          <cell r="Q51">
            <v>1254.4155295457088</v>
          </cell>
          <cell r="R51">
            <v>1304.592150727537</v>
          </cell>
          <cell r="T51">
            <v>1304.592150727537</v>
          </cell>
          <cell r="U51">
            <v>1356.7758367566387</v>
          </cell>
          <cell r="W51">
            <v>1356.7758367566387</v>
          </cell>
          <cell r="X51">
            <v>1411.0468702269043</v>
          </cell>
          <cell r="Z51">
            <v>1411.0468702269043</v>
          </cell>
          <cell r="AA51">
            <v>1467.4887450359804</v>
          </cell>
        </row>
        <row r="52">
          <cell r="N52">
            <v>75.874946155464016</v>
          </cell>
          <cell r="O52">
            <v>81.337942278657437</v>
          </cell>
          <cell r="Q52">
            <v>81.337942278657437</v>
          </cell>
          <cell r="R52">
            <v>84.591459969803736</v>
          </cell>
          <cell r="T52">
            <v>84.591459969803736</v>
          </cell>
          <cell r="U52">
            <v>87.975118368595886</v>
          </cell>
          <cell r="W52">
            <v>87.975118368595886</v>
          </cell>
          <cell r="X52">
            <v>91.494123103339732</v>
          </cell>
          <cell r="Z52">
            <v>91.494123103339732</v>
          </cell>
          <cell r="AA52">
            <v>95.153888027473329</v>
          </cell>
        </row>
        <row r="55">
          <cell r="N55">
            <v>0</v>
          </cell>
          <cell r="O55">
            <v>4496.743403068619</v>
          </cell>
          <cell r="Q55">
            <v>4496.743403068619</v>
          </cell>
          <cell r="R55">
            <v>4676.6131391913641</v>
          </cell>
          <cell r="T55">
            <v>4676.6131391913641</v>
          </cell>
          <cell r="U55">
            <v>4863.6776647590186</v>
          </cell>
          <cell r="W55">
            <v>4863.6776647590186</v>
          </cell>
          <cell r="X55">
            <v>5058.2247713493798</v>
          </cell>
          <cell r="Z55">
            <v>5058.2247713493798</v>
          </cell>
          <cell r="AA55">
            <v>5260.5537622033553</v>
          </cell>
        </row>
        <row r="56">
          <cell r="N56">
            <v>0</v>
          </cell>
          <cell r="O56">
            <v>393.87382887388094</v>
          </cell>
          <cell r="Q56">
            <v>393.87382887388094</v>
          </cell>
          <cell r="R56">
            <v>409.62878202883621</v>
          </cell>
          <cell r="T56">
            <v>409.62878202883621</v>
          </cell>
          <cell r="U56">
            <v>426.01393330998968</v>
          </cell>
          <cell r="W56">
            <v>426.01393330998968</v>
          </cell>
          <cell r="X56">
            <v>443.05449064238928</v>
          </cell>
          <cell r="Z56">
            <v>443.05449064238928</v>
          </cell>
          <cell r="AA56">
            <v>460.77667026808484</v>
          </cell>
        </row>
        <row r="57">
          <cell r="N57">
            <v>39364.544838096241</v>
          </cell>
          <cell r="O57">
            <v>43721.011686188787</v>
          </cell>
          <cell r="Q57">
            <v>43721.011686188787</v>
          </cell>
          <cell r="R57">
            <v>45469.854214120482</v>
          </cell>
          <cell r="T57">
            <v>45469.854214120482</v>
          </cell>
          <cell r="U57">
            <v>47288.648382685293</v>
          </cell>
          <cell r="W57">
            <v>47288.648382685293</v>
          </cell>
          <cell r="X57">
            <v>49180.194317992704</v>
          </cell>
          <cell r="Z57">
            <v>49180.194317992704</v>
          </cell>
          <cell r="AA57">
            <v>51147.402090712414</v>
          </cell>
        </row>
        <row r="58">
          <cell r="N58">
            <v>30233.905405603873</v>
          </cell>
          <cell r="O58">
            <v>33579.886087702602</v>
          </cell>
          <cell r="Q58">
            <v>33579.888068937355</v>
          </cell>
          <cell r="R58">
            <v>34923.083591694849</v>
          </cell>
          <cell r="T58">
            <v>34923.083591694849</v>
          </cell>
          <cell r="U58">
            <v>36320.006935362639</v>
          </cell>
          <cell r="W58">
            <v>36320.006935362639</v>
          </cell>
          <cell r="X58">
            <v>37772.807212777145</v>
          </cell>
          <cell r="Z58">
            <v>37772.807212777145</v>
          </cell>
          <cell r="AA58">
            <v>39283.719501288229</v>
          </cell>
        </row>
        <row r="67">
          <cell r="N67">
            <v>103.39836096009751</v>
          </cell>
          <cell r="O67">
            <v>106.61707559590181</v>
          </cell>
          <cell r="Q67">
            <v>106.61707559590181</v>
          </cell>
          <cell r="R67">
            <v>106.61707559590181</v>
          </cell>
          <cell r="T67">
            <v>106.61707559590181</v>
          </cell>
          <cell r="U67">
            <v>106.61707559590181</v>
          </cell>
          <cell r="W67">
            <v>106.61707559590181</v>
          </cell>
          <cell r="X67">
            <v>106.61707559590181</v>
          </cell>
          <cell r="Z67">
            <v>106.61707559590181</v>
          </cell>
          <cell r="AA67">
            <v>106.61707559590181</v>
          </cell>
        </row>
        <row r="68">
          <cell r="N68">
            <v>9130.6394324923695</v>
          </cell>
          <cell r="O68">
            <v>10141.125598486184</v>
          </cell>
          <cell r="Q68">
            <v>10141.125598486184</v>
          </cell>
          <cell r="R68">
            <v>10546.770622425631</v>
          </cell>
          <cell r="T68">
            <v>10546.770622425631</v>
          </cell>
          <cell r="U68">
            <v>10968.641447322656</v>
          </cell>
          <cell r="W68">
            <v>10968.641447322656</v>
          </cell>
          <cell r="X68">
            <v>11407.387105215563</v>
          </cell>
          <cell r="Z68">
            <v>11407.387105215563</v>
          </cell>
          <cell r="AA68">
            <v>11863.682589424187</v>
          </cell>
        </row>
        <row r="71">
          <cell r="N71">
            <v>1179.4123513522331</v>
          </cell>
          <cell r="O71">
            <v>1264.3300406495937</v>
          </cell>
          <cell r="Q71">
            <v>1264.3300406495937</v>
          </cell>
          <cell r="R71">
            <v>1314.9032422755774</v>
          </cell>
          <cell r="T71">
            <v>1314.9032422755774</v>
          </cell>
          <cell r="U71">
            <v>1367.4993719666006</v>
          </cell>
          <cell r="W71">
            <v>1367.4993719666006</v>
          </cell>
          <cell r="X71">
            <v>1422.1993468452647</v>
          </cell>
          <cell r="Z71">
            <v>1422.1993468452647</v>
          </cell>
          <cell r="AA71">
            <v>1479.0873207190753</v>
          </cell>
        </row>
        <row r="73">
          <cell r="N73">
            <v>9.2024459228616671</v>
          </cell>
          <cell r="O73">
            <v>9.865022029307708</v>
          </cell>
          <cell r="Q73">
            <v>9.865022029307708</v>
          </cell>
          <cell r="R73">
            <v>10.259622910480017</v>
          </cell>
          <cell r="T73">
            <v>10.259622910480017</v>
          </cell>
          <cell r="U73">
            <v>10.670007826899218</v>
          </cell>
          <cell r="W73">
            <v>10.670007826899218</v>
          </cell>
          <cell r="X73">
            <v>11.096808139975186</v>
          </cell>
          <cell r="Z73">
            <v>11.096808139975186</v>
          </cell>
          <cell r="AA73">
            <v>11.540680465574194</v>
          </cell>
        </row>
        <row r="74">
          <cell r="N74">
            <v>10.122690515147838</v>
          </cell>
          <cell r="O74">
            <v>10.851524232238482</v>
          </cell>
          <cell r="Q74">
            <v>10.851524232238482</v>
          </cell>
          <cell r="R74">
            <v>11.285585201528022</v>
          </cell>
          <cell r="T74">
            <v>11.285585201528022</v>
          </cell>
          <cell r="U74">
            <v>11.737008609589143</v>
          </cell>
          <cell r="W74">
            <v>11.737008609589143</v>
          </cell>
          <cell r="X74">
            <v>12.206488953972709</v>
          </cell>
          <cell r="Z74">
            <v>12.206488953972709</v>
          </cell>
          <cell r="AA74">
            <v>12.694748512131618</v>
          </cell>
        </row>
        <row r="75">
          <cell r="N75">
            <v>65.001547360569958</v>
          </cell>
          <cell r="O75">
            <v>447.08680382857682</v>
          </cell>
          <cell r="Q75">
            <v>447.08680382857682</v>
          </cell>
          <cell r="R75">
            <v>464.97027598171991</v>
          </cell>
          <cell r="T75">
            <v>464.97027598171991</v>
          </cell>
          <cell r="U75">
            <v>483.56908702098872</v>
          </cell>
          <cell r="W75">
            <v>483.56908702098872</v>
          </cell>
          <cell r="X75">
            <v>502.91185050182827</v>
          </cell>
          <cell r="Z75">
            <v>502.91185050182827</v>
          </cell>
          <cell r="AA75">
            <v>523.02832452190137</v>
          </cell>
        </row>
        <row r="76">
          <cell r="N76">
            <v>0</v>
          </cell>
          <cell r="O76">
            <v>0</v>
          </cell>
        </row>
        <row r="78">
          <cell r="N78">
            <v>25798.079684870976</v>
          </cell>
          <cell r="O78">
            <v>27655.541422181683</v>
          </cell>
          <cell r="Q78">
            <v>27655.54142218169</v>
          </cell>
          <cell r="R78">
            <v>28761.763079068958</v>
          </cell>
          <cell r="T78">
            <v>28761.763079068958</v>
          </cell>
          <cell r="U78">
            <v>29912.233602231714</v>
          </cell>
          <cell r="W78">
            <v>29912.233602231714</v>
          </cell>
          <cell r="X78">
            <v>31108.722946320988</v>
          </cell>
          <cell r="Z78">
            <v>31108.722946320988</v>
          </cell>
          <cell r="AA78">
            <v>32353.071864173828</v>
          </cell>
        </row>
        <row r="87">
          <cell r="N87">
            <v>33.709810666351309</v>
          </cell>
          <cell r="O87">
            <v>33.709810666351309</v>
          </cell>
          <cell r="Q87">
            <v>33.709810666351309</v>
          </cell>
          <cell r="R87">
            <v>33.709810666351309</v>
          </cell>
          <cell r="T87">
            <v>33.709810666351309</v>
          </cell>
          <cell r="U87">
            <v>33.709810666351309</v>
          </cell>
          <cell r="W87">
            <v>33.709810666351309</v>
          </cell>
          <cell r="X87">
            <v>33.709810666351309</v>
          </cell>
          <cell r="Z87">
            <v>33.709810666351309</v>
          </cell>
          <cell r="AA87">
            <v>33.709810666351309</v>
          </cell>
        </row>
        <row r="88">
          <cell r="N88">
            <v>7791.0200648310356</v>
          </cell>
          <cell r="O88">
            <v>8351.9735094988664</v>
          </cell>
          <cell r="Q88">
            <v>8351.9735094988664</v>
          </cell>
          <cell r="R88">
            <v>8686.0524498788218</v>
          </cell>
          <cell r="T88">
            <v>8686.0524498788218</v>
          </cell>
          <cell r="U88">
            <v>9033.4945478739755</v>
          </cell>
          <cell r="W88">
            <v>9033.4945478739755</v>
          </cell>
          <cell r="X88">
            <v>9394.8343297889351</v>
          </cell>
          <cell r="Z88">
            <v>9394.8343297889351</v>
          </cell>
          <cell r="AA88">
            <v>9770.6277029804933</v>
          </cell>
        </row>
        <row r="89">
          <cell r="N89">
            <v>11.368180981287811</v>
          </cell>
          <cell r="O89">
            <v>152.46359206587428</v>
          </cell>
          <cell r="Q89">
            <v>152.46359206587428</v>
          </cell>
          <cell r="R89">
            <v>158.56213574850926</v>
          </cell>
          <cell r="T89">
            <v>158.56213574850926</v>
          </cell>
          <cell r="U89">
            <v>164.90462117844964</v>
          </cell>
          <cell r="W89">
            <v>164.90462117844964</v>
          </cell>
          <cell r="X89">
            <v>171.50080602558765</v>
          </cell>
          <cell r="Z89">
            <v>171.50080602558765</v>
          </cell>
          <cell r="AA89">
            <v>178.36083826661115</v>
          </cell>
        </row>
        <row r="90">
          <cell r="N90">
            <v>548.34316832265029</v>
          </cell>
          <cell r="O90">
            <v>725.17239842445906</v>
          </cell>
          <cell r="Q90">
            <v>725.17239842445906</v>
          </cell>
          <cell r="R90">
            <v>754.17929436143743</v>
          </cell>
          <cell r="T90">
            <v>754.17929436143743</v>
          </cell>
          <cell r="U90">
            <v>784.34646613589496</v>
          </cell>
          <cell r="W90">
            <v>784.34646613589496</v>
          </cell>
          <cell r="X90">
            <v>815.72032478133076</v>
          </cell>
          <cell r="Z90">
            <v>815.72032478133076</v>
          </cell>
          <cell r="AA90">
            <v>848.34913777258407</v>
          </cell>
        </row>
        <row r="91">
          <cell r="N91">
            <v>243.48255348716245</v>
          </cell>
          <cell r="O91">
            <v>261.0132973382382</v>
          </cell>
          <cell r="Q91">
            <v>261.0132973382382</v>
          </cell>
          <cell r="R91">
            <v>271.45382923176771</v>
          </cell>
          <cell r="T91">
            <v>271.45382923176771</v>
          </cell>
          <cell r="U91">
            <v>282.31198240103845</v>
          </cell>
          <cell r="W91">
            <v>282.31198240103845</v>
          </cell>
          <cell r="X91">
            <v>293.60446169708001</v>
          </cell>
          <cell r="Z91">
            <v>293.60446169708001</v>
          </cell>
          <cell r="AA91">
            <v>305.34864016496323</v>
          </cell>
        </row>
        <row r="92">
          <cell r="N92">
            <v>152.3385517862333</v>
          </cell>
          <cell r="O92">
            <v>167.37089782268231</v>
          </cell>
          <cell r="Q92">
            <v>167.37089782268231</v>
          </cell>
          <cell r="R92">
            <v>174.06573373558962</v>
          </cell>
          <cell r="T92">
            <v>174.06573373558962</v>
          </cell>
          <cell r="U92">
            <v>181.02836308501321</v>
          </cell>
          <cell r="W92">
            <v>181.02836308501321</v>
          </cell>
          <cell r="X92">
            <v>188.26949760841376</v>
          </cell>
          <cell r="Z92">
            <v>188.26949760841376</v>
          </cell>
          <cell r="AA92">
            <v>195.80027751275031</v>
          </cell>
        </row>
        <row r="97">
          <cell r="N97">
            <v>31.062047931119338</v>
          </cell>
          <cell r="O97">
            <v>33.298515382159934</v>
          </cell>
          <cell r="Q97">
            <v>33.298515382159934</v>
          </cell>
          <cell r="R97">
            <v>34.630455997446333</v>
          </cell>
          <cell r="T97">
            <v>34.630455997446333</v>
          </cell>
          <cell r="U97">
            <v>36.015674237344186</v>
          </cell>
          <cell r="W97">
            <v>36.015674237344186</v>
          </cell>
          <cell r="X97">
            <v>37.456301206837956</v>
          </cell>
          <cell r="Z97">
            <v>37.456301206837956</v>
          </cell>
          <cell r="AA97">
            <v>38.954553255111477</v>
          </cell>
        </row>
        <row r="98">
          <cell r="N98">
            <v>26.781361720049265</v>
          </cell>
          <cell r="O98">
            <v>28.709619763892817</v>
          </cell>
          <cell r="Q98">
            <v>28.709619763892817</v>
          </cell>
          <cell r="R98">
            <v>30.231229611379135</v>
          </cell>
          <cell r="T98">
            <v>30.231229611379135</v>
          </cell>
          <cell r="U98">
            <v>31.833484780782229</v>
          </cell>
          <cell r="W98">
            <v>31.833484780782229</v>
          </cell>
          <cell r="X98">
            <v>33.520659474163686</v>
          </cell>
          <cell r="Z98">
            <v>33.520659474163686</v>
          </cell>
          <cell r="AA98">
            <v>35.297254426294359</v>
          </cell>
        </row>
        <row r="100">
          <cell r="N100">
            <v>26.781361720049265</v>
          </cell>
          <cell r="O100">
            <v>28.709619763892817</v>
          </cell>
          <cell r="Q100">
            <v>28.709619763892817</v>
          </cell>
          <cell r="R100">
            <v>30.231229611379135</v>
          </cell>
          <cell r="T100">
            <v>30.231229611379135</v>
          </cell>
          <cell r="U100">
            <v>31.833484780782229</v>
          </cell>
          <cell r="W100">
            <v>31.833484780782229</v>
          </cell>
          <cell r="X100">
            <v>33.520659474163686</v>
          </cell>
          <cell r="Z100">
            <v>33.520659474163686</v>
          </cell>
          <cell r="AA100">
            <v>35.297254426294359</v>
          </cell>
        </row>
        <row r="101">
          <cell r="N101">
            <v>0</v>
          </cell>
          <cell r="O101">
            <v>0</v>
          </cell>
          <cell r="Q101">
            <v>0</v>
          </cell>
          <cell r="R101">
            <v>0</v>
          </cell>
          <cell r="T101">
            <v>0</v>
          </cell>
          <cell r="U101">
            <v>0</v>
          </cell>
          <cell r="W101">
            <v>0</v>
          </cell>
          <cell r="X101">
            <v>0</v>
          </cell>
          <cell r="Z101">
            <v>0</v>
          </cell>
          <cell r="AA101">
            <v>0</v>
          </cell>
        </row>
        <row r="105">
          <cell r="N105">
            <v>65.199530283544235</v>
          </cell>
          <cell r="O105">
            <v>3682.145023464444</v>
          </cell>
          <cell r="Q105">
            <v>3682.1450234644435</v>
          </cell>
          <cell r="R105">
            <v>3829.4308244030217</v>
          </cell>
          <cell r="T105">
            <v>3829.4308244030217</v>
          </cell>
          <cell r="U105">
            <v>3982.6080573791432</v>
          </cell>
          <cell r="W105">
            <v>3982.6080573791432</v>
          </cell>
          <cell r="X105">
            <v>4141.9123796743088</v>
          </cell>
          <cell r="Z105">
            <v>4141.9123796743088</v>
          </cell>
          <cell r="AA105">
            <v>4307.5888748612806</v>
          </cell>
        </row>
        <row r="106">
          <cell r="N106">
            <v>5.9049028005029038</v>
          </cell>
          <cell r="O106">
            <v>6.330055802139114</v>
          </cell>
          <cell r="Q106">
            <v>6.330055802139114</v>
          </cell>
          <cell r="R106">
            <v>6.5832580342246789</v>
          </cell>
          <cell r="T106">
            <v>6.5832580342246789</v>
          </cell>
          <cell r="U106">
            <v>6.8465883555936662</v>
          </cell>
          <cell r="W106">
            <v>6.8465883555936662</v>
          </cell>
          <cell r="X106">
            <v>7.1204518898174127</v>
          </cell>
          <cell r="Z106">
            <v>7.1204518898174127</v>
          </cell>
          <cell r="AA106">
            <v>7.4052699654101097</v>
          </cell>
        </row>
        <row r="108">
          <cell r="N108">
            <v>33.128805322302014</v>
          </cell>
          <cell r="O108">
            <v>35.514079305507757</v>
          </cell>
          <cell r="Q108">
            <v>35.514079305507757</v>
          </cell>
          <cell r="R108">
            <v>36.934642477728069</v>
          </cell>
          <cell r="T108">
            <v>36.934642477728069</v>
          </cell>
          <cell r="U108">
            <v>38.41202817683719</v>
          </cell>
          <cell r="W108">
            <v>38.41202817683719</v>
          </cell>
          <cell r="X108">
            <v>39.948509303910676</v>
          </cell>
          <cell r="Z108">
            <v>39.948509303910676</v>
          </cell>
          <cell r="AA108">
            <v>41.546449676067105</v>
          </cell>
        </row>
        <row r="109">
          <cell r="N109">
            <v>9.7024700245262796</v>
          </cell>
          <cell r="O109">
            <v>10.401047866292172</v>
          </cell>
          <cell r="Q109">
            <v>10.401047866292172</v>
          </cell>
          <cell r="R109">
            <v>10.81708978094386</v>
          </cell>
          <cell r="T109">
            <v>10.81708978094386</v>
          </cell>
          <cell r="U109">
            <v>11.249773372181615</v>
          </cell>
          <cell r="W109">
            <v>11.249773372181615</v>
          </cell>
          <cell r="X109">
            <v>11.699764307068879</v>
          </cell>
          <cell r="Z109">
            <v>11.699764307068879</v>
          </cell>
          <cell r="AA109">
            <v>12.167754879351634</v>
          </cell>
        </row>
        <row r="111">
          <cell r="N111">
            <v>0</v>
          </cell>
          <cell r="O111">
            <v>3612.2511270004843</v>
          </cell>
          <cell r="Q111">
            <v>3612.2511270004843</v>
          </cell>
          <cell r="R111">
            <v>3756.7411720805039</v>
          </cell>
          <cell r="T111">
            <v>3756.7411720805039</v>
          </cell>
          <cell r="U111">
            <v>3907.0108189637244</v>
          </cell>
          <cell r="W111">
            <v>3907.0108189637244</v>
          </cell>
          <cell r="X111">
            <v>4063.2912517222735</v>
          </cell>
          <cell r="Z111">
            <v>4063.2912517222735</v>
          </cell>
          <cell r="AA111">
            <v>4225.8229017911644</v>
          </cell>
        </row>
        <row r="112">
          <cell r="N112">
            <v>16.463352136213047</v>
          </cell>
          <cell r="O112">
            <v>17.648713490020388</v>
          </cell>
          <cell r="Q112">
            <v>17.648713490020388</v>
          </cell>
          <cell r="R112">
            <v>18.354662029621203</v>
          </cell>
          <cell r="T112">
            <v>18.354662029621203</v>
          </cell>
          <cell r="U112">
            <v>19.088848510806052</v>
          </cell>
          <cell r="W112">
            <v>19.088848510806052</v>
          </cell>
          <cell r="X112">
            <v>19.852402451238294</v>
          </cell>
          <cell r="Z112">
            <v>19.852402451238294</v>
          </cell>
          <cell r="AA112">
            <v>20.646498549287827</v>
          </cell>
        </row>
        <row r="114">
          <cell r="N114">
            <v>4164.3712148630248</v>
          </cell>
          <cell r="O114">
            <v>7820.7630695301687</v>
          </cell>
          <cell r="Q114">
            <v>7820.7623446065991</v>
          </cell>
          <cell r="R114">
            <v>8133.5928383908604</v>
          </cell>
          <cell r="T114">
            <v>8133.5928383908604</v>
          </cell>
          <cell r="U114">
            <v>8458.9365519264957</v>
          </cell>
          <cell r="W114">
            <v>8458.9365519264957</v>
          </cell>
          <cell r="X114">
            <v>8797.2940140035571</v>
          </cell>
          <cell r="Z114">
            <v>8797.2940140035571</v>
          </cell>
          <cell r="AA114">
            <v>9149.1857745636989</v>
          </cell>
        </row>
        <row r="123">
          <cell r="N123">
            <v>8.6234399379038233</v>
          </cell>
          <cell r="O123">
            <v>18.89806421437909</v>
          </cell>
          <cell r="Q123">
            <v>18.89806421437909</v>
          </cell>
          <cell r="R123">
            <v>18.89806421437909</v>
          </cell>
          <cell r="T123">
            <v>18.89806421437909</v>
          </cell>
          <cell r="U123">
            <v>18.89806421437909</v>
          </cell>
          <cell r="W123">
            <v>18.89806421437909</v>
          </cell>
          <cell r="X123">
            <v>18.89806421437909</v>
          </cell>
          <cell r="Z123">
            <v>18.89806421437909</v>
          </cell>
          <cell r="AA123">
            <v>18.89806421437909</v>
          </cell>
        </row>
        <row r="124">
          <cell r="N124">
            <v>1257.6401068886335</v>
          </cell>
          <cell r="O124">
            <v>2361.8704469981108</v>
          </cell>
          <cell r="Q124">
            <v>2361.8704469981108</v>
          </cell>
          <cell r="R124">
            <v>2456.3452648780353</v>
          </cell>
          <cell r="T124">
            <v>2456.3452648780353</v>
          </cell>
          <cell r="U124">
            <v>2554.599075473157</v>
          </cell>
          <cell r="W124">
            <v>2554.599075473157</v>
          </cell>
          <cell r="X124">
            <v>2656.7830384920835</v>
          </cell>
          <cell r="Z124">
            <v>2656.7830384920835</v>
          </cell>
          <cell r="AA124">
            <v>2763.0543600317669</v>
          </cell>
        </row>
        <row r="127">
          <cell r="N127">
            <v>16361.737435119039</v>
          </cell>
          <cell r="O127">
            <v>17834.293804279754</v>
          </cell>
          <cell r="Q127">
            <v>17834.293804279754</v>
          </cell>
          <cell r="R127">
            <v>18779.511375906579</v>
          </cell>
          <cell r="T127">
            <v>18779.511375906579</v>
          </cell>
          <cell r="U127">
            <v>19774.825478829625</v>
          </cell>
          <cell r="W127">
            <v>19774.825478829625</v>
          </cell>
          <cell r="X127">
            <v>20822.891229207591</v>
          </cell>
          <cell r="Z127">
            <v>20822.891229207591</v>
          </cell>
          <cell r="AA127">
            <v>21926.504464355596</v>
          </cell>
        </row>
        <row r="128">
          <cell r="N128">
            <v>2280.4294941244025</v>
          </cell>
          <cell r="O128">
            <v>2280.4294941244025</v>
          </cell>
          <cell r="Q128">
            <v>2280.4294941244025</v>
          </cell>
          <cell r="R128">
            <v>2280.4294941244025</v>
          </cell>
          <cell r="T128">
            <v>2280.4294941244025</v>
          </cell>
          <cell r="U128">
            <v>2280.4294941244025</v>
          </cell>
          <cell r="W128">
            <v>2280.4294941244025</v>
          </cell>
          <cell r="X128">
            <v>2280.4294941244025</v>
          </cell>
          <cell r="Z128">
            <v>2280.4294941244025</v>
          </cell>
          <cell r="AA128">
            <v>2280.4294941244025</v>
          </cell>
        </row>
        <row r="133">
          <cell r="N133">
            <v>24890.495169860431</v>
          </cell>
          <cell r="O133">
            <v>27130.639735147874</v>
          </cell>
          <cell r="Q133">
            <v>27130.639735147874</v>
          </cell>
          <cell r="R133">
            <v>28568.563641110708</v>
          </cell>
          <cell r="T133">
            <v>28568.563641110708</v>
          </cell>
          <cell r="U133">
            <v>30082.697514089574</v>
          </cell>
          <cell r="W133">
            <v>30082.697514089574</v>
          </cell>
          <cell r="X133">
            <v>31677.080482336321</v>
          </cell>
          <cell r="Z133">
            <v>31677.080482336321</v>
          </cell>
          <cell r="AA133">
            <v>33355.96574790014</v>
          </cell>
        </row>
        <row r="134">
          <cell r="N134">
            <v>3881.3319211419844</v>
          </cell>
          <cell r="O134">
            <v>3881.3319211419844</v>
          </cell>
          <cell r="Q134">
            <v>3881.3319211419844</v>
          </cell>
          <cell r="R134">
            <v>3881.3319211419844</v>
          </cell>
          <cell r="T134">
            <v>3881.3319211419844</v>
          </cell>
          <cell r="U134">
            <v>3881.3319211419844</v>
          </cell>
          <cell r="W134">
            <v>3881.3319211419844</v>
          </cell>
          <cell r="X134">
            <v>3881.3319211419844</v>
          </cell>
          <cell r="Z134">
            <v>3881.3319211419844</v>
          </cell>
          <cell r="AA134">
            <v>3881.3319211419844</v>
          </cell>
        </row>
        <row r="153">
          <cell r="N153">
            <v>4538.0687180686127</v>
          </cell>
          <cell r="O153">
            <v>4946.4949026947879</v>
          </cell>
          <cell r="Q153">
            <v>4946.4949026947879</v>
          </cell>
          <cell r="R153">
            <v>5208.6591325376112</v>
          </cell>
          <cell r="T153">
            <v>5208.6591325376112</v>
          </cell>
          <cell r="U153">
            <v>5484.7180665621045</v>
          </cell>
          <cell r="W153">
            <v>5484.7180665621045</v>
          </cell>
          <cell r="X153">
            <v>5775.4081240898959</v>
          </cell>
          <cell r="Z153">
            <v>5775.4081240898959</v>
          </cell>
          <cell r="AA153">
            <v>6081.5047546666601</v>
          </cell>
        </row>
        <row r="154">
          <cell r="N154">
            <v>3.9667823714357588</v>
          </cell>
          <cell r="O154">
            <v>3.9667823714357588</v>
          </cell>
          <cell r="Q154">
            <v>3.9667823714357588</v>
          </cell>
          <cell r="R154">
            <v>3.9667823714357588</v>
          </cell>
          <cell r="T154">
            <v>3.9667823714357588</v>
          </cell>
          <cell r="U154">
            <v>3.9667823714357588</v>
          </cell>
          <cell r="W154">
            <v>3.9667823714357588</v>
          </cell>
          <cell r="X154">
            <v>3.9667823714357588</v>
          </cell>
          <cell r="Z154">
            <v>3.9667823714357588</v>
          </cell>
          <cell r="AA154">
            <v>3.9667823714357588</v>
          </cell>
        </row>
        <row r="169">
          <cell r="N169">
            <v>2372.5889794957516</v>
          </cell>
          <cell r="O169">
            <v>2586.1219876503696</v>
          </cell>
          <cell r="Q169">
            <v>2586.1219876503696</v>
          </cell>
          <cell r="R169">
            <v>2723.1864529958389</v>
          </cell>
          <cell r="T169">
            <v>2723.1864529958389</v>
          </cell>
          <cell r="U169">
            <v>2867.5153350046185</v>
          </cell>
          <cell r="W169">
            <v>2867.5153350046185</v>
          </cell>
          <cell r="X169">
            <v>3019.4936477598631</v>
          </cell>
          <cell r="Z169">
            <v>3019.4936477598631</v>
          </cell>
          <cell r="AA169">
            <v>3179.5268110911356</v>
          </cell>
        </row>
        <row r="170">
          <cell r="N170">
            <v>1058.0960803807991</v>
          </cell>
          <cell r="O170">
            <v>1058.0960803807991</v>
          </cell>
          <cell r="Q170">
            <v>1058.0960803807991</v>
          </cell>
          <cell r="R170">
            <v>1058.0960803807991</v>
          </cell>
          <cell r="T170">
            <v>1058.0960803807991</v>
          </cell>
          <cell r="U170">
            <v>1058.0960803807991</v>
          </cell>
          <cell r="W170">
            <v>1058.0960803807991</v>
          </cell>
          <cell r="X170">
            <v>1058.0960803807991</v>
          </cell>
          <cell r="Z170">
            <v>1058.0960803807991</v>
          </cell>
          <cell r="AA170">
            <v>1058.0960803807991</v>
          </cell>
        </row>
        <row r="178">
          <cell r="N178">
            <v>1235.719188332517</v>
          </cell>
          <cell r="O178">
            <v>1374.119737425759</v>
          </cell>
          <cell r="Q178">
            <v>1374.1197374257588</v>
          </cell>
          <cell r="R178">
            <v>1470.3081190455621</v>
          </cell>
          <cell r="T178">
            <v>1470.3081190455621</v>
          </cell>
          <cell r="U178">
            <v>1573.2296873787514</v>
          </cell>
          <cell r="W178">
            <v>1573.2296873787514</v>
          </cell>
          <cell r="X178">
            <v>1683.355765495264</v>
          </cell>
          <cell r="Z178">
            <v>1683.355765495264</v>
          </cell>
          <cell r="AA178">
            <v>1801.1906690799326</v>
          </cell>
        </row>
        <row r="179">
          <cell r="N179">
            <v>158.08718939357371</v>
          </cell>
          <cell r="O179">
            <v>158.08718939357371</v>
          </cell>
          <cell r="Q179">
            <v>158.08718939357371</v>
          </cell>
          <cell r="R179">
            <v>158.08718939357371</v>
          </cell>
          <cell r="T179">
            <v>158.08718939357371</v>
          </cell>
          <cell r="U179">
            <v>158.08718939357371</v>
          </cell>
          <cell r="W179">
            <v>158.08718939357371</v>
          </cell>
          <cell r="X179">
            <v>158.08718939357371</v>
          </cell>
          <cell r="Z179">
            <v>158.08718939357371</v>
          </cell>
          <cell r="AA179">
            <v>158.08718939357371</v>
          </cell>
        </row>
        <row r="188">
          <cell r="N188">
            <v>667.47247565060195</v>
          </cell>
          <cell r="O188">
            <v>709.52324161658987</v>
          </cell>
          <cell r="Q188">
            <v>709.52324161658987</v>
          </cell>
          <cell r="R188">
            <v>747.12797342226906</v>
          </cell>
          <cell r="T188">
            <v>747.12797342226906</v>
          </cell>
          <cell r="U188">
            <v>786.72575601364917</v>
          </cell>
          <cell r="W188">
            <v>786.72575601364917</v>
          </cell>
          <cell r="X188">
            <v>828.42222108237252</v>
          </cell>
          <cell r="Z188">
            <v>828.42222108237252</v>
          </cell>
          <cell r="AA188">
            <v>872.32859879973819</v>
          </cell>
        </row>
        <row r="189">
          <cell r="N189">
            <v>0.28988328633824545</v>
          </cell>
          <cell r="O189">
            <v>0.28988328633824545</v>
          </cell>
          <cell r="Q189">
            <v>0.28988328633824545</v>
          </cell>
          <cell r="R189">
            <v>0.28988328633824545</v>
          </cell>
          <cell r="T189">
            <v>0.28988328633824545</v>
          </cell>
          <cell r="U189">
            <v>0.28988328633824545</v>
          </cell>
          <cell r="W189">
            <v>0.28988328633824545</v>
          </cell>
          <cell r="X189">
            <v>0.28988328633824545</v>
          </cell>
          <cell r="Z189">
            <v>0.28988328633824545</v>
          </cell>
          <cell r="AA189">
            <v>0.28988328633824545</v>
          </cell>
        </row>
        <row r="201">
          <cell r="N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U201">
            <v>0</v>
          </cell>
          <cell r="W201">
            <v>0</v>
          </cell>
          <cell r="X201">
            <v>0</v>
          </cell>
          <cell r="Z201">
            <v>0</v>
          </cell>
          <cell r="AA201">
            <v>0</v>
          </cell>
        </row>
        <row r="202">
          <cell r="N202">
            <v>0</v>
          </cell>
          <cell r="O202">
            <v>0</v>
          </cell>
        </row>
        <row r="204">
          <cell r="N204">
            <v>0</v>
          </cell>
          <cell r="O204">
            <v>0</v>
          </cell>
          <cell r="Q204">
            <v>0</v>
          </cell>
          <cell r="R204">
            <v>0</v>
          </cell>
          <cell r="T204">
            <v>0</v>
          </cell>
          <cell r="U204">
            <v>0</v>
          </cell>
          <cell r="W204">
            <v>0</v>
          </cell>
          <cell r="X204">
            <v>0</v>
          </cell>
          <cell r="Z204">
            <v>0</v>
          </cell>
          <cell r="AA204">
            <v>0</v>
          </cell>
        </row>
        <row r="205">
          <cell r="N205">
            <v>0</v>
          </cell>
          <cell r="O205">
            <v>0</v>
          </cell>
        </row>
        <row r="207">
          <cell r="N207">
            <v>0</v>
          </cell>
          <cell r="O207">
            <v>0</v>
          </cell>
          <cell r="Q207">
            <v>0</v>
          </cell>
          <cell r="R207">
            <v>0</v>
          </cell>
          <cell r="T207">
            <v>0</v>
          </cell>
          <cell r="U207">
            <v>0</v>
          </cell>
          <cell r="W207">
            <v>0</v>
          </cell>
          <cell r="X207">
            <v>0</v>
          </cell>
          <cell r="Z207">
            <v>0</v>
          </cell>
          <cell r="AA207">
            <v>0</v>
          </cell>
        </row>
        <row r="211">
          <cell r="N211">
            <v>0.37012361024513696</v>
          </cell>
          <cell r="O211">
            <v>16.774028781827358</v>
          </cell>
          <cell r="Q211">
            <v>16.774028781827358</v>
          </cell>
          <cell r="R211">
            <v>17.444989933100452</v>
          </cell>
          <cell r="T211">
            <v>17.444989933100452</v>
          </cell>
          <cell r="U211">
            <v>18.142789530424469</v>
          </cell>
          <cell r="W211">
            <v>18.142789530424469</v>
          </cell>
          <cell r="X211">
            <v>18.86850111164145</v>
          </cell>
          <cell r="Z211">
            <v>18.86850111164145</v>
          </cell>
          <cell r="AA211">
            <v>19.62324115610711</v>
          </cell>
        </row>
        <row r="215">
          <cell r="N215">
            <v>107.29046779104701</v>
          </cell>
          <cell r="O215">
            <v>117.43731698205515</v>
          </cell>
          <cell r="Q215">
            <v>117.43731698205515</v>
          </cell>
          <cell r="R215">
            <v>122.13480966133736</v>
          </cell>
          <cell r="T215">
            <v>122.13480966133736</v>
          </cell>
          <cell r="U215">
            <v>127.02020204779086</v>
          </cell>
          <cell r="W215">
            <v>127.02020204779086</v>
          </cell>
          <cell r="X215">
            <v>132.1010101297025</v>
          </cell>
          <cell r="Z215">
            <v>132.1010101297025</v>
          </cell>
          <cell r="AA215">
            <v>137.38505053489061</v>
          </cell>
        </row>
        <row r="216">
          <cell r="N216">
            <v>0</v>
          </cell>
          <cell r="O216">
            <v>0</v>
          </cell>
          <cell r="W216">
            <v>0.107540902395711</v>
          </cell>
          <cell r="X216">
            <v>0.107540902395711</v>
          </cell>
          <cell r="Z216">
            <v>0.116926290241155</v>
          </cell>
          <cell r="AA216">
            <v>0.116926290241155</v>
          </cell>
        </row>
        <row r="222">
          <cell r="N222">
            <v>615.09852526975271</v>
          </cell>
          <cell r="O222">
            <v>1092.2103786828402</v>
          </cell>
          <cell r="Q222">
            <v>1092.2103786828402</v>
          </cell>
          <cell r="R222">
            <v>1135.8987938301539</v>
          </cell>
          <cell r="T222">
            <v>1135.8987938301539</v>
          </cell>
          <cell r="U222">
            <v>1181.33474558336</v>
          </cell>
          <cell r="W222">
            <v>1181.33474558336</v>
          </cell>
          <cell r="X222">
            <v>1228.5881354066944</v>
          </cell>
          <cell r="Z222">
            <v>1228.5881354066944</v>
          </cell>
          <cell r="AA222">
            <v>1277.7316608229621</v>
          </cell>
        </row>
        <row r="237">
          <cell r="N237">
            <v>43100.281927620301</v>
          </cell>
          <cell r="Q237">
            <v>0</v>
          </cell>
          <cell r="R237">
            <v>0</v>
          </cell>
          <cell r="T237">
            <v>0</v>
          </cell>
          <cell r="U237">
            <v>0</v>
          </cell>
          <cell r="W237">
            <v>0</v>
          </cell>
          <cell r="X237">
            <v>0</v>
          </cell>
          <cell r="Z237">
            <v>0</v>
          </cell>
          <cell r="AA237">
            <v>0</v>
          </cell>
        </row>
        <row r="240">
          <cell r="N240">
            <v>3254.7515480391849</v>
          </cell>
          <cell r="O240">
            <v>6807.0428181236512</v>
          </cell>
          <cell r="Q240">
            <v>6807.0428181236512</v>
          </cell>
          <cell r="R240">
            <v>7079.3245308485975</v>
          </cell>
          <cell r="T240">
            <v>7079.3245308485975</v>
          </cell>
          <cell r="U240">
            <v>7362.497512082542</v>
          </cell>
          <cell r="W240">
            <v>7362.497512082542</v>
          </cell>
          <cell r="X240">
            <v>7656.9974125658437</v>
          </cell>
          <cell r="Z240">
            <v>7656.9974125658437</v>
          </cell>
          <cell r="AA240">
            <v>7963.2773090684777</v>
          </cell>
        </row>
        <row r="241">
          <cell r="N241">
            <v>0</v>
          </cell>
          <cell r="O241">
            <v>0</v>
          </cell>
        </row>
        <row r="272">
          <cell r="N272">
            <v>0</v>
          </cell>
          <cell r="O272">
            <v>-11900</v>
          </cell>
          <cell r="Q272">
            <v>-11900</v>
          </cell>
          <cell r="R272">
            <v>-4900</v>
          </cell>
          <cell r="T272">
            <v>-4900</v>
          </cell>
          <cell r="U272">
            <v>1400</v>
          </cell>
          <cell r="W272">
            <v>1400</v>
          </cell>
          <cell r="X272">
            <v>8000</v>
          </cell>
          <cell r="Z272">
            <v>8000</v>
          </cell>
          <cell r="AA272">
            <v>14800</v>
          </cell>
        </row>
        <row r="274">
          <cell r="N274">
            <v>7.290275833943431</v>
          </cell>
          <cell r="O274">
            <v>7.8723969861678382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НВВ перекачка"/>
      <sheetName val="НВВ очистка"/>
      <sheetName val="НВВ транспортировка"/>
      <sheetName val="НВВ водоотведение всего"/>
      <sheetName val="Расчет электроэн."/>
      <sheetName val="Норм численность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ПП Раздел 5"/>
      <sheetName val="ПП Раздел 6"/>
      <sheetName val="ПП Раздел 7"/>
      <sheetName val="Раздел 7 отчт"/>
      <sheetName val="ПП Раздел 8"/>
      <sheetName val="Плата за НН и Н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D5">
            <v>0</v>
          </cell>
          <cell r="E5">
            <v>0</v>
          </cell>
          <cell r="G5">
            <v>0</v>
          </cell>
          <cell r="H5">
            <v>0</v>
          </cell>
          <cell r="J5">
            <v>0</v>
          </cell>
          <cell r="K5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Баланс"/>
      <sheetName val="Расчет объема"/>
      <sheetName val="НВВ"/>
      <sheetName val="Норм численность "/>
      <sheetName val="Расчет электр. 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Раздел 5"/>
      <sheetName val="ПП Раздел 6"/>
      <sheetName val="ПП Раздел 7"/>
      <sheetName val="Раздел 7 отчт"/>
      <sheetName val="ПП Раздел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F5">
            <v>0</v>
          </cell>
          <cell r="I5">
            <v>0</v>
          </cell>
          <cell r="L5">
            <v>0</v>
          </cell>
          <cell r="O5">
            <v>0</v>
          </cell>
          <cell r="R5">
            <v>0</v>
          </cell>
          <cell r="U5">
            <v>0</v>
          </cell>
          <cell r="X5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ек. самотечн. коллектора Калуг"/>
    </sheetNames>
    <sheetDataSet>
      <sheetData sheetId="0">
        <row r="407">
          <cell r="N407">
            <v>4188377.26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Инвестнадбавка 2024"/>
      <sheetName val="Реконструкция ВОДА"/>
      <sheetName val="Реконструкция КАНАЛ"/>
      <sheetName val="Строительство"/>
    </sheetNames>
    <sheetDataSet>
      <sheetData sheetId="0"/>
      <sheetData sheetId="1">
        <row r="23">
          <cell r="M23">
            <v>12903</v>
          </cell>
        </row>
      </sheetData>
      <sheetData sheetId="2">
        <row r="23">
          <cell r="Q23">
            <v>1798.5</v>
          </cell>
        </row>
      </sheetData>
      <sheetData sheetId="3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Инвестнадбавка 2024"/>
      <sheetName val="Реконструкция ВОДА"/>
      <sheetName val="Реконструкция КАНАЛ"/>
      <sheetName val="Строительство"/>
    </sheetNames>
    <sheetDataSet>
      <sheetData sheetId="0"/>
      <sheetData sheetId="1">
        <row r="30">
          <cell r="K30">
            <v>25436.853253999998</v>
          </cell>
        </row>
      </sheetData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-факт_Поступления_свыш40м3с"/>
      <sheetName val="Реестр_ДНП_до_3м3"/>
      <sheetName val="Реестр_ДНП_свыше_3м3"/>
      <sheetName val="План-факт_Поступления_до40м3с"/>
      <sheetName val="СВЕРКА_1с_и_р-в_до_и_свыше_40"/>
      <sheetName val="Приложение_3_к_плану-графику"/>
      <sheetName val="ОБЛАСТЬ_к_оформлению"/>
      <sheetName val="КАЛУГА_к_оформлению"/>
      <sheetName val="для_Димы"/>
      <sheetName val="счет 90.01_прогноз_PL"/>
      <sheetName val="БП_2016_выручка_PL"/>
      <sheetName val="ПОДКЛЮЧЕНИЕ_2016_выручка_сч.90"/>
      <sheetName val="счет 50,51_CF"/>
      <sheetName val="БП_2016_поступлений_ДС_CF"/>
      <sheetName val="БП_2016_финансирование_CF"/>
      <sheetName val="ООО_БИЗИНСАЙТ"/>
      <sheetName val="АКВИЛОН_ЛТД"/>
      <sheetName val="РЕЕСТР_20.10.15"/>
      <sheetName val="Отчет_Людиново"/>
      <sheetName val="Отчет_Правгород"/>
      <sheetName val="Отчет_Росмаш"/>
      <sheetName val="План-факт Расходы"/>
      <sheetName val="сч.08_январь_15"/>
      <sheetName val="сч.08_февраль_15"/>
      <sheetName val="сч.08_март_15"/>
      <sheetName val="сч.08_апрель_15"/>
      <sheetName val="сч.08_май_15"/>
      <sheetName val="сч.08_июнь_15"/>
      <sheetName val="сч.08_июль_15"/>
      <sheetName val="сч.08_август_15"/>
      <sheetName val="Расчет_неустойки_по_ДНП_№989"/>
      <sheetName val="Лист1"/>
      <sheetName val="Эталонный_тариф_Инвестиции"/>
      <sheetName val="РЕЕСТР ПЗП к исполнению"/>
      <sheetName val="РЕЕСТР ПЗП к исполнению (2)"/>
      <sheetName val="Лист2"/>
      <sheetName val="Лист3"/>
    </sheetNames>
    <sheetDataSet>
      <sheetData sheetId="0"/>
      <sheetData sheetId="1"/>
      <sheetData sheetId="2"/>
      <sheetData sheetId="3">
        <row r="3932">
          <cell r="B3932" t="str">
            <v>Савинова Татьяна Павловна</v>
          </cell>
        </row>
        <row r="3944">
          <cell r="B3944" t="str">
            <v>Сенцов Вадим Владимирович</v>
          </cell>
        </row>
        <row r="3960">
          <cell r="B3960" t="str">
            <v>Квасова Ольга Викторовна</v>
          </cell>
        </row>
        <row r="3968">
          <cell r="B3968" t="str">
            <v>Васильев М.В.</v>
          </cell>
        </row>
        <row r="4328">
          <cell r="B4328" t="str">
            <v>Пряников И.Н.</v>
          </cell>
        </row>
        <row r="4332">
          <cell r="B4332" t="str">
            <v>Манукян К.Л.</v>
          </cell>
        </row>
        <row r="4340">
          <cell r="B4340" t="str">
            <v>Новиков А.С.</v>
          </cell>
        </row>
        <row r="4344">
          <cell r="B4344" t="str">
            <v>Криволапова Т.В.</v>
          </cell>
        </row>
        <row r="4348">
          <cell r="B4348" t="str">
            <v>Вдовин Д.В.</v>
          </cell>
        </row>
        <row r="4352">
          <cell r="B4352" t="str">
            <v>Аниконов А.Н.</v>
          </cell>
        </row>
        <row r="4360">
          <cell r="B4360" t="str">
            <v>Кутахин П.Д.</v>
          </cell>
        </row>
        <row r="5032">
          <cell r="G5032" t="str">
            <v xml:space="preserve">
ВОДОСНАБЖЕНИЕ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"/>
      <sheetName val="СписокОрг"/>
      <sheetName val="СписокМО"/>
      <sheetName val="Баланс"/>
      <sheetName val="Смета"/>
      <sheetName val="Смета18"/>
      <sheetName val="Индексы18"/>
      <sheetName val="Смета23"/>
      <sheetName val="Заявление"/>
      <sheetName val="ВР_Баланс"/>
      <sheetName val="ВР_Топливо"/>
      <sheetName val="Факт 2014"/>
      <sheetName val="ИндексыМЭР"/>
      <sheetName val="ВР_Смета"/>
      <sheetName val="ДляЗаключения"/>
      <sheetName val="Теплоноситель"/>
      <sheetName val="Дифференциация 2016"/>
      <sheetName val="Дифф. 2017"/>
      <sheetName val="Дифф. 2018"/>
      <sheetName val="Свод"/>
      <sheetName val="ДопИнформация"/>
      <sheetName val="Справочники"/>
    </sheetNames>
    <sheetDataSet>
      <sheetData sheetId="0"/>
      <sheetData sheetId="1"/>
      <sheetData sheetId="2" refreshError="1">
        <row r="2">
          <cell r="C2" t="str">
            <v>Поселок Бабынино</v>
          </cell>
        </row>
        <row r="3">
          <cell r="C3" t="str">
            <v>Поселок Воротынск</v>
          </cell>
        </row>
        <row r="4">
          <cell r="C4" t="str">
            <v>Село Бабынино</v>
          </cell>
        </row>
        <row r="5">
          <cell r="C5" t="str">
            <v>Село Муромцево</v>
          </cell>
        </row>
        <row r="6">
          <cell r="C6" t="str">
            <v>Село Сабуровщино</v>
          </cell>
        </row>
        <row r="7">
          <cell r="C7" t="str">
            <v>Село Утешево</v>
          </cell>
        </row>
        <row r="8">
          <cell r="C8" t="str">
            <v>Деревня Асмолово</v>
          </cell>
        </row>
        <row r="9">
          <cell r="C9" t="str">
            <v>Деревня Бахмутово</v>
          </cell>
        </row>
        <row r="10">
          <cell r="C10" t="str">
            <v>Деревня Крисаново-Пятница</v>
          </cell>
        </row>
        <row r="11">
          <cell r="C11" t="str">
            <v>Село Барятино</v>
          </cell>
        </row>
        <row r="12">
          <cell r="C12" t="str">
            <v>Село Сильковичи</v>
          </cell>
        </row>
        <row r="13">
          <cell r="C13" t="str">
            <v>Город Балабаново</v>
          </cell>
        </row>
        <row r="14">
          <cell r="C14" t="str">
            <v>Город Боровск</v>
          </cell>
        </row>
        <row r="15">
          <cell r="C15" t="str">
            <v>Город Ермолино</v>
          </cell>
        </row>
        <row r="16">
          <cell r="C16" t="str">
            <v>Деревня Асеньевское</v>
          </cell>
        </row>
        <row r="17">
          <cell r="C17" t="str">
            <v>Деревня Кривское</v>
          </cell>
        </row>
        <row r="18">
          <cell r="C18" t="str">
            <v>Деревня Совьяки</v>
          </cell>
        </row>
        <row r="19">
          <cell r="C19" t="str">
            <v>Село Ворсино</v>
          </cell>
        </row>
        <row r="20">
          <cell r="C20" t="str">
            <v>Село Совхоз Боровский</v>
          </cell>
        </row>
        <row r="21">
          <cell r="C21" t="str">
            <v>Город Калуга</v>
          </cell>
        </row>
        <row r="22">
          <cell r="C22" t="str">
            <v>Город Обнинск</v>
          </cell>
        </row>
        <row r="23">
          <cell r="C23" t="str">
            <v>Город Кондрово</v>
          </cell>
        </row>
        <row r="24">
          <cell r="C24" t="str">
            <v>Деревня Барсуки</v>
          </cell>
        </row>
        <row r="25">
          <cell r="C25" t="str">
            <v>Деревня Галкино</v>
          </cell>
        </row>
        <row r="26">
          <cell r="C26" t="str">
            <v>Деревня Жилетово</v>
          </cell>
        </row>
        <row r="27">
          <cell r="C27" t="str">
            <v>Деревня Карцово</v>
          </cell>
        </row>
        <row r="28">
          <cell r="C28" t="str">
            <v>Деревня Редькино</v>
          </cell>
        </row>
        <row r="29">
          <cell r="C29" t="str">
            <v>Деревня Рудня</v>
          </cell>
        </row>
        <row r="30">
          <cell r="C30" t="str">
            <v>Деревня Сени</v>
          </cell>
        </row>
        <row r="31">
          <cell r="C31" t="str">
            <v>Деревня Старки</v>
          </cell>
        </row>
        <row r="32">
          <cell r="C32" t="str">
            <v>Поселок Полотняный Завод</v>
          </cell>
        </row>
        <row r="33">
          <cell r="C33" t="str">
            <v>Поселок Пятовский</v>
          </cell>
        </row>
        <row r="34">
          <cell r="C34" t="str">
            <v>Поселок Товарково</v>
          </cell>
        </row>
        <row r="35">
          <cell r="C35" t="str">
            <v>Село Дворцы</v>
          </cell>
        </row>
        <row r="36">
          <cell r="C36" t="str">
            <v>Село Льва Толстого</v>
          </cell>
        </row>
        <row r="37">
          <cell r="C37" t="str">
            <v>Село Совхоз им Ленина</v>
          </cell>
        </row>
        <row r="38">
          <cell r="C38" t="str">
            <v>Село Совхоз Чкаловский</v>
          </cell>
        </row>
        <row r="39">
          <cell r="C39" t="str">
            <v>Угорская волость</v>
          </cell>
        </row>
        <row r="40">
          <cell r="C40" t="str">
            <v>Деревня Буда</v>
          </cell>
        </row>
        <row r="41">
          <cell r="C41" t="str">
            <v>Деревня Верхнее Гульцово</v>
          </cell>
        </row>
        <row r="42">
          <cell r="C42" t="str">
            <v>Деревня Высокое</v>
          </cell>
        </row>
        <row r="43">
          <cell r="C43" t="str">
            <v>Деревня Дубровка</v>
          </cell>
        </row>
        <row r="44">
          <cell r="C44" t="str">
            <v>Деревня Думиничи</v>
          </cell>
        </row>
        <row r="45">
          <cell r="C45" t="str">
            <v>Деревня Маслово</v>
          </cell>
        </row>
        <row r="46">
          <cell r="C46" t="str">
            <v>Поселок Думиничи</v>
          </cell>
        </row>
        <row r="47">
          <cell r="C47" t="str">
            <v>Село Брынь</v>
          </cell>
        </row>
        <row r="48">
          <cell r="C48" t="str">
            <v>Село Вертное</v>
          </cell>
        </row>
        <row r="49">
          <cell r="C49" t="str">
            <v>Село Которь</v>
          </cell>
        </row>
        <row r="50">
          <cell r="C50" t="str">
            <v>Село Маклаки</v>
          </cell>
        </row>
        <row r="51">
          <cell r="C51" t="str">
            <v>Село Новослободск</v>
          </cell>
        </row>
        <row r="52">
          <cell r="C52" t="str">
            <v>Село Хотьково</v>
          </cell>
        </row>
        <row r="53">
          <cell r="C53" t="str">
            <v>Село Чернышено</v>
          </cell>
        </row>
        <row r="54">
          <cell r="C54" t="str">
            <v>Город Жиздра</v>
          </cell>
        </row>
        <row r="55">
          <cell r="C55" t="str">
            <v>Деревня Акимовка</v>
          </cell>
        </row>
        <row r="56">
          <cell r="C56" t="str">
            <v>Деревня Младенск</v>
          </cell>
        </row>
        <row r="57">
          <cell r="C57" t="str">
            <v>Село Овсорок</v>
          </cell>
        </row>
        <row r="58">
          <cell r="C58" t="str">
            <v>Село Огорь</v>
          </cell>
        </row>
        <row r="59">
          <cell r="C59" t="str">
            <v>Село Совхоз "Коллективизатор"</v>
          </cell>
        </row>
        <row r="60">
          <cell r="C60" t="str">
            <v>Село Студенец</v>
          </cell>
        </row>
        <row r="61">
          <cell r="C61" t="str">
            <v>Город Белоусово</v>
          </cell>
        </row>
        <row r="62">
          <cell r="C62" t="str">
            <v>Город Жуков</v>
          </cell>
        </row>
        <row r="63">
          <cell r="C63" t="str">
            <v>Город Кременки</v>
          </cell>
        </row>
        <row r="64">
          <cell r="C64" t="str">
            <v>Деревня Верховье</v>
          </cell>
        </row>
        <row r="65">
          <cell r="C65" t="str">
            <v>Деревня Корсаково</v>
          </cell>
        </row>
        <row r="66">
          <cell r="C66" t="str">
            <v>Деревня Тростье</v>
          </cell>
        </row>
        <row r="67">
          <cell r="C67" t="str">
            <v>Деревня Чубарово</v>
          </cell>
        </row>
        <row r="68">
          <cell r="C68" t="str">
            <v>Село Восход</v>
          </cell>
        </row>
        <row r="69">
          <cell r="C69" t="str">
            <v>Село Высокиничи</v>
          </cell>
        </row>
        <row r="70">
          <cell r="C70" t="str">
            <v>Село Истье</v>
          </cell>
        </row>
        <row r="71">
          <cell r="C71" t="str">
            <v>Село Совхоз "Победа"</v>
          </cell>
        </row>
        <row r="72">
          <cell r="C72" t="str">
            <v>Село Совхоз Чаусово</v>
          </cell>
        </row>
        <row r="73">
          <cell r="C73" t="str">
            <v>Село Тарутино</v>
          </cell>
        </row>
        <row r="74">
          <cell r="C74" t="str">
            <v>Село Троицкое</v>
          </cell>
        </row>
        <row r="75">
          <cell r="C75" t="str">
            <v>Село Трубино</v>
          </cell>
        </row>
        <row r="76">
          <cell r="C76" t="str">
            <v>Деревня Алексеевка</v>
          </cell>
        </row>
        <row r="77">
          <cell r="C77" t="str">
            <v>Деревня Ивановское</v>
          </cell>
        </row>
        <row r="78">
          <cell r="C78" t="str">
            <v>Деревня Михали</v>
          </cell>
        </row>
        <row r="79">
          <cell r="C79" t="str">
            <v>Деревня Ореховня</v>
          </cell>
        </row>
        <row r="80">
          <cell r="C80" t="str">
            <v>Деревня Хвощи</v>
          </cell>
        </row>
        <row r="81">
          <cell r="C81" t="str">
            <v>Поселок Мятлево</v>
          </cell>
        </row>
        <row r="82">
          <cell r="C82" t="str">
            <v>Село Извольск</v>
          </cell>
        </row>
        <row r="83">
          <cell r="C83" t="str">
            <v>Село Износки</v>
          </cell>
        </row>
        <row r="84">
          <cell r="C84" t="str">
            <v>Село Льнозавод</v>
          </cell>
        </row>
        <row r="85">
          <cell r="C85" t="str">
            <v>Село Шанский Завод</v>
          </cell>
        </row>
        <row r="86">
          <cell r="C86" t="str">
            <v>Город Киров</v>
          </cell>
        </row>
        <row r="87">
          <cell r="C87" t="str">
            <v>Деревня Большие Савки</v>
          </cell>
        </row>
        <row r="88">
          <cell r="C88" t="str">
            <v>Деревня Буда</v>
          </cell>
        </row>
        <row r="89">
          <cell r="C89" t="str">
            <v>Деревня Верхняя Песочня</v>
          </cell>
        </row>
        <row r="90">
          <cell r="C90" t="str">
            <v>Деревня Выползово</v>
          </cell>
        </row>
        <row r="91">
          <cell r="C91" t="str">
            <v>Деревня Гавриловка</v>
          </cell>
        </row>
        <row r="92">
          <cell r="C92" t="str">
            <v>Деревня Малая Песочня</v>
          </cell>
        </row>
        <row r="93">
          <cell r="C93" t="str">
            <v>Деревня Тягаево</v>
          </cell>
        </row>
        <row r="94">
          <cell r="C94" t="str">
            <v>Село Бережки</v>
          </cell>
        </row>
        <row r="95">
          <cell r="C95" t="str">
            <v>Село Волое</v>
          </cell>
        </row>
        <row r="96">
          <cell r="C96" t="str">
            <v>Село Воскресенск</v>
          </cell>
        </row>
        <row r="97">
          <cell r="C97" t="str">
            <v>Село Дуброво</v>
          </cell>
        </row>
        <row r="98">
          <cell r="C98" t="str">
            <v>Село Фоминичи</v>
          </cell>
        </row>
        <row r="99">
          <cell r="C99" t="str">
            <v>Город Козельск</v>
          </cell>
        </row>
        <row r="100">
          <cell r="C100" t="str">
            <v>Город Сосенский</v>
          </cell>
        </row>
        <row r="101">
          <cell r="C101" t="str">
            <v>Деревня Дешовки</v>
          </cell>
        </row>
        <row r="102">
          <cell r="C102" t="str">
            <v>Деревня Каменка</v>
          </cell>
        </row>
        <row r="103">
          <cell r="C103" t="str">
            <v>Деревня Киреевское-Первое</v>
          </cell>
        </row>
        <row r="104">
          <cell r="C104" t="str">
            <v>Деревня Лавровск</v>
          </cell>
        </row>
        <row r="105">
          <cell r="C105" t="str">
            <v>Деревня Плюсково</v>
          </cell>
        </row>
        <row r="106">
          <cell r="C106" t="str">
            <v>Деревня Подборки</v>
          </cell>
        </row>
        <row r="107">
          <cell r="C107" t="str">
            <v>Деревня Сенино-Первое</v>
          </cell>
        </row>
        <row r="108">
          <cell r="C108" t="str">
            <v>Село Березичский стеклозавод</v>
          </cell>
        </row>
        <row r="109">
          <cell r="C109" t="str">
            <v>Село Бурнашево</v>
          </cell>
        </row>
        <row r="110">
          <cell r="C110" t="str">
            <v>Село Волконское</v>
          </cell>
        </row>
        <row r="111">
          <cell r="C111" t="str">
            <v>Село Нижние Прыски</v>
          </cell>
        </row>
        <row r="112">
          <cell r="C112" t="str">
            <v>Село Покровск</v>
          </cell>
        </row>
        <row r="113">
          <cell r="C113" t="str">
            <v>Село Попелево</v>
          </cell>
        </row>
        <row r="114">
          <cell r="C114" t="str">
            <v>Село Чернышено</v>
          </cell>
        </row>
        <row r="115">
          <cell r="C115" t="str">
            <v>Деревня Высокое</v>
          </cell>
        </row>
        <row r="116">
          <cell r="C116" t="str">
            <v>Посёлок Бетлица</v>
          </cell>
        </row>
        <row r="117">
          <cell r="C117" t="str">
            <v>Село Бутчино</v>
          </cell>
        </row>
        <row r="118">
          <cell r="C118" t="str">
            <v>Село Жерелево</v>
          </cell>
        </row>
        <row r="119">
          <cell r="C119" t="str">
            <v>Село Мокрое</v>
          </cell>
        </row>
        <row r="120">
          <cell r="C120" t="str">
            <v>Город Людиново</v>
          </cell>
        </row>
        <row r="121">
          <cell r="C121" t="str">
            <v>Деревня Заболотье</v>
          </cell>
        </row>
        <row r="122">
          <cell r="C122" t="str">
            <v>Деревня Игнатовка</v>
          </cell>
        </row>
        <row r="123">
          <cell r="C123" t="str">
            <v>Деревня Манино</v>
          </cell>
        </row>
        <row r="124">
          <cell r="C124" t="str">
            <v>Село Букань</v>
          </cell>
        </row>
        <row r="125">
          <cell r="C125" t="str">
            <v>Село Заречный</v>
          </cell>
        </row>
        <row r="126">
          <cell r="C126" t="str">
            <v>Город Малоярославец</v>
          </cell>
        </row>
        <row r="127">
          <cell r="C127" t="str">
            <v>Деревня Березовка</v>
          </cell>
        </row>
        <row r="128">
          <cell r="C128" t="str">
            <v>Деревня Воробьево</v>
          </cell>
        </row>
        <row r="129">
          <cell r="C129" t="str">
            <v>Деревня Ерденево</v>
          </cell>
        </row>
        <row r="130">
          <cell r="C130" t="str">
            <v>Деревня Захарово</v>
          </cell>
        </row>
        <row r="131">
          <cell r="C131" t="str">
            <v>Деревня Михеево</v>
          </cell>
        </row>
        <row r="132">
          <cell r="C132" t="str">
            <v>Деревня Прудки</v>
          </cell>
        </row>
        <row r="133">
          <cell r="C133" t="str">
            <v>Деревня Рябцево</v>
          </cell>
        </row>
        <row r="134">
          <cell r="C134" t="str">
            <v>Деревня Шумятино</v>
          </cell>
        </row>
        <row r="135">
          <cell r="C135" t="str">
            <v>Поселок Детчино</v>
          </cell>
        </row>
        <row r="136">
          <cell r="C136" t="str">
            <v>Поселок Юбилейный</v>
          </cell>
        </row>
        <row r="137">
          <cell r="C137" t="str">
            <v>Село Головтеево</v>
          </cell>
        </row>
        <row r="138">
          <cell r="C138" t="str">
            <v>Село Ильинское</v>
          </cell>
        </row>
        <row r="139">
          <cell r="C139" t="str">
            <v>Село Коллонтай</v>
          </cell>
        </row>
        <row r="140">
          <cell r="C140" t="str">
            <v>Село Кудиново</v>
          </cell>
        </row>
        <row r="141">
          <cell r="C141" t="str">
            <v>Село Маклино</v>
          </cell>
        </row>
        <row r="142">
          <cell r="C142" t="str">
            <v>Село Недельное</v>
          </cell>
        </row>
        <row r="143">
          <cell r="C143" t="str">
            <v>Село Спас-Загорье</v>
          </cell>
        </row>
        <row r="144">
          <cell r="C144" t="str">
            <v>Город Медынь</v>
          </cell>
        </row>
        <row r="145">
          <cell r="C145" t="str">
            <v>Деревня Брюхово</v>
          </cell>
        </row>
        <row r="146">
          <cell r="C146" t="str">
            <v>Деревня Варваровка</v>
          </cell>
        </row>
        <row r="147">
          <cell r="C147" t="str">
            <v>Деревня Глухово</v>
          </cell>
        </row>
        <row r="148">
          <cell r="C148" t="str">
            <v>Деревня Гусево</v>
          </cell>
        </row>
        <row r="149">
          <cell r="C149" t="str">
            <v>Деревня Михальчуково</v>
          </cell>
        </row>
        <row r="150">
          <cell r="C150" t="str">
            <v>Деревня Михеево</v>
          </cell>
        </row>
        <row r="151">
          <cell r="C151" t="str">
            <v>Деревня Романово</v>
          </cell>
        </row>
        <row r="152">
          <cell r="C152" t="str">
            <v>Село Адуево</v>
          </cell>
        </row>
        <row r="153">
          <cell r="C153" t="str">
            <v>Село Кременское</v>
          </cell>
        </row>
        <row r="154">
          <cell r="C154" t="str">
            <v>Село Никитское</v>
          </cell>
        </row>
        <row r="155">
          <cell r="C155" t="str">
            <v>Село Передел</v>
          </cell>
        </row>
        <row r="156">
          <cell r="C156" t="str">
            <v>Город Мещовск</v>
          </cell>
        </row>
        <row r="157">
          <cell r="C157" t="str">
            <v>железнодорожная станция Кудринская</v>
          </cell>
        </row>
        <row r="158">
          <cell r="C158" t="str">
            <v>Поселок Молодежный</v>
          </cell>
        </row>
        <row r="159">
          <cell r="C159" t="str">
            <v>Село Гаврики</v>
          </cell>
        </row>
        <row r="160">
          <cell r="C160" t="str">
            <v>Село Серпейск</v>
          </cell>
        </row>
        <row r="161">
          <cell r="C161" t="str">
            <v>Город Мосальск</v>
          </cell>
        </row>
        <row r="162">
          <cell r="C162" t="str">
            <v>Деревня Воронино</v>
          </cell>
        </row>
        <row r="163">
          <cell r="C163" t="str">
            <v>Деревня Гачки</v>
          </cell>
        </row>
        <row r="164">
          <cell r="C164" t="str">
            <v>Деревня Долгое</v>
          </cell>
        </row>
        <row r="165">
          <cell r="C165" t="str">
            <v>Деревня Людково</v>
          </cell>
        </row>
        <row r="166">
          <cell r="C166" t="str">
            <v>Деревня Посконь</v>
          </cell>
        </row>
        <row r="167">
          <cell r="C167" t="str">
            <v>Деревня Путогино</v>
          </cell>
        </row>
        <row r="168">
          <cell r="C168" t="str">
            <v>Деревня Савино</v>
          </cell>
        </row>
        <row r="169">
          <cell r="C169" t="str">
            <v>Поселок Раменский</v>
          </cell>
        </row>
        <row r="170">
          <cell r="C170" t="str">
            <v>Село Боровенск</v>
          </cell>
        </row>
        <row r="171">
          <cell r="C171" t="str">
            <v>Село Дашино</v>
          </cell>
        </row>
        <row r="172">
          <cell r="C172" t="str">
            <v>Деревня Большие Козлы</v>
          </cell>
        </row>
        <row r="173">
          <cell r="C173" t="str">
            <v>Деревня Горки</v>
          </cell>
        </row>
        <row r="174">
          <cell r="C174" t="str">
            <v>Деревня Григоровское</v>
          </cell>
        </row>
        <row r="175">
          <cell r="C175" t="str">
            <v>Деревня Песочня</v>
          </cell>
        </row>
        <row r="176">
          <cell r="C176" t="str">
            <v>Деревня Погореловка</v>
          </cell>
        </row>
        <row r="177">
          <cell r="C177" t="str">
            <v>Деревня Покровское</v>
          </cell>
        </row>
        <row r="178">
          <cell r="C178" t="str">
            <v>Деревня Сильково</v>
          </cell>
        </row>
        <row r="179">
          <cell r="C179" t="str">
            <v>Деревня Хотисино</v>
          </cell>
        </row>
        <row r="180">
          <cell r="C180" t="str">
            <v>Село Ахлебинино</v>
          </cell>
        </row>
        <row r="181">
          <cell r="C181" t="str">
            <v>Село Борищево</v>
          </cell>
        </row>
        <row r="182">
          <cell r="C182" t="str">
            <v>Село Гремячево</v>
          </cell>
        </row>
        <row r="183">
          <cell r="C183" t="str">
            <v>Село Ильинское</v>
          </cell>
        </row>
        <row r="184">
          <cell r="C184" t="str">
            <v>Село Калужская опытная сельскохозяйственная станция</v>
          </cell>
        </row>
        <row r="185">
          <cell r="C185" t="str">
            <v>Село Корекозево</v>
          </cell>
        </row>
        <row r="186">
          <cell r="C186" t="str">
            <v>Село Макарово</v>
          </cell>
        </row>
        <row r="187">
          <cell r="C187" t="str">
            <v>Село Перемышль</v>
          </cell>
        </row>
        <row r="188">
          <cell r="C188" t="str">
            <v>Город Спас-Деменск</v>
          </cell>
        </row>
        <row r="189">
          <cell r="C189" t="str">
            <v>Деревня Болва</v>
          </cell>
        </row>
        <row r="190">
          <cell r="C190" t="str">
            <v>Деревня Нестеры</v>
          </cell>
        </row>
        <row r="191">
          <cell r="C191" t="str">
            <v>Деревня Понизовье</v>
          </cell>
        </row>
        <row r="192">
          <cell r="C192" t="str">
            <v>Деревня Снопот</v>
          </cell>
        </row>
        <row r="193">
          <cell r="C193" t="str">
            <v>Деревня Стайки</v>
          </cell>
        </row>
        <row r="194">
          <cell r="C194" t="str">
            <v>Деревня Теплово</v>
          </cell>
        </row>
        <row r="195">
          <cell r="C195" t="str">
            <v>Село Буднянский</v>
          </cell>
        </row>
        <row r="196">
          <cell r="C196" t="str">
            <v>Село Лазинки</v>
          </cell>
        </row>
        <row r="197">
          <cell r="C197" t="str">
            <v>Село Любунь</v>
          </cell>
        </row>
        <row r="198">
          <cell r="C198" t="str">
            <v>Село Павлиново</v>
          </cell>
        </row>
        <row r="199">
          <cell r="C199" t="str">
            <v>Село Чипляево</v>
          </cell>
        </row>
        <row r="200">
          <cell r="C200" t="str">
            <v>Бебелевский сельсовет</v>
          </cell>
        </row>
        <row r="201">
          <cell r="C201" t="str">
            <v>Город Сухиничи</v>
          </cell>
        </row>
        <row r="202">
          <cell r="C202" t="str">
            <v>Деревня Алнеры</v>
          </cell>
        </row>
        <row r="203">
          <cell r="C203" t="str">
            <v>Деревня Бордуково</v>
          </cell>
        </row>
        <row r="204">
          <cell r="C204" t="str">
            <v>Деревня Верховая</v>
          </cell>
        </row>
        <row r="205">
          <cell r="C205" t="str">
            <v>Деревня Глазково</v>
          </cell>
        </row>
        <row r="206">
          <cell r="C206" t="str">
            <v>Деревня Ермолово</v>
          </cell>
        </row>
        <row r="207">
          <cell r="C207" t="str">
            <v>Деревня Радождево</v>
          </cell>
        </row>
        <row r="208">
          <cell r="C208" t="str">
            <v>Деревня Соболевка</v>
          </cell>
        </row>
        <row r="209">
          <cell r="C209" t="str">
            <v>Деревня Субботники</v>
          </cell>
        </row>
        <row r="210">
          <cell r="C210" t="str">
            <v>Деревня Юрьево</v>
          </cell>
        </row>
        <row r="211">
          <cell r="C211" t="str">
            <v>Поселок Середейский</v>
          </cell>
        </row>
        <row r="212">
          <cell r="C212" t="str">
            <v>Село Богдановы Колодези</v>
          </cell>
        </row>
        <row r="213">
          <cell r="C213" t="str">
            <v>Село Брынь</v>
          </cell>
        </row>
        <row r="214">
          <cell r="C214" t="str">
            <v>Село Дабужа</v>
          </cell>
        </row>
        <row r="215">
          <cell r="C215" t="str">
            <v>Село Стрельна</v>
          </cell>
        </row>
        <row r="216">
          <cell r="C216" t="str">
            <v>Село Татаринцы</v>
          </cell>
        </row>
        <row r="217">
          <cell r="C217" t="str">
            <v>Село Фролово</v>
          </cell>
        </row>
        <row r="218">
          <cell r="C218" t="str">
            <v>Село Хотень</v>
          </cell>
        </row>
        <row r="219">
          <cell r="C219" t="str">
            <v>Село Шлиппово</v>
          </cell>
        </row>
        <row r="220">
          <cell r="C220" t="str">
            <v>Город Таруса</v>
          </cell>
        </row>
        <row r="221">
          <cell r="C221" t="str">
            <v>Деревня Алекино</v>
          </cell>
        </row>
        <row r="222">
          <cell r="C222" t="str">
            <v>Деревня Похвиснево</v>
          </cell>
        </row>
        <row r="223">
          <cell r="C223" t="str">
            <v>Село Барятино</v>
          </cell>
        </row>
        <row r="224">
          <cell r="C224" t="str">
            <v>Село Вознесенье</v>
          </cell>
        </row>
        <row r="225">
          <cell r="C225" t="str">
            <v>Село Волковское</v>
          </cell>
        </row>
        <row r="226">
          <cell r="C226" t="str">
            <v>Село Кузьмищево</v>
          </cell>
        </row>
        <row r="227">
          <cell r="C227" t="str">
            <v>Село Лопатино</v>
          </cell>
        </row>
        <row r="228">
          <cell r="C228" t="str">
            <v>Село Некрасово</v>
          </cell>
        </row>
        <row r="229">
          <cell r="C229" t="str">
            <v>Село Петрищево</v>
          </cell>
        </row>
        <row r="230">
          <cell r="C230" t="str">
            <v>Село Роща</v>
          </cell>
        </row>
        <row r="231">
          <cell r="C231" t="str">
            <v>Деревня Мелихово</v>
          </cell>
        </row>
        <row r="232">
          <cell r="C232" t="str">
            <v>Село Волосово-Дудино</v>
          </cell>
        </row>
        <row r="233">
          <cell r="C233" t="str">
            <v>Село Дудоровский</v>
          </cell>
        </row>
        <row r="234">
          <cell r="C234" t="str">
            <v>Село Заречье</v>
          </cell>
        </row>
        <row r="235">
          <cell r="C235" t="str">
            <v>Село Поздняково</v>
          </cell>
        </row>
        <row r="236">
          <cell r="C236" t="str">
            <v>Село Ульяново</v>
          </cell>
        </row>
        <row r="237">
          <cell r="C237" t="str">
            <v>Бебелевский сельсовет</v>
          </cell>
        </row>
        <row r="238">
          <cell r="C238" t="str">
            <v>Деревня Аристово</v>
          </cell>
        </row>
        <row r="239">
          <cell r="C239" t="str">
            <v>Деревня Бронцы</v>
          </cell>
        </row>
        <row r="240">
          <cell r="C240" t="str">
            <v>Деревня Зудна</v>
          </cell>
        </row>
        <row r="241">
          <cell r="C241" t="str">
            <v>Деревня Красный Городок</v>
          </cell>
        </row>
        <row r="242">
          <cell r="C242" t="str">
            <v>Деревня Сугоново</v>
          </cell>
        </row>
        <row r="243">
          <cell r="C243" t="str">
            <v>Деревня Ястребовка</v>
          </cell>
        </row>
        <row r="244">
          <cell r="C244" t="str">
            <v>Октябрьский сельсовет</v>
          </cell>
        </row>
        <row r="245">
          <cell r="C245" t="str">
            <v>Поселок Дугна</v>
          </cell>
        </row>
        <row r="246">
          <cell r="C246" t="str">
            <v>Поселок Ферзиково</v>
          </cell>
        </row>
        <row r="247">
          <cell r="C247" t="str">
            <v>Село Авчурино</v>
          </cell>
        </row>
        <row r="248">
          <cell r="C248" t="str">
            <v>Село Грабцево</v>
          </cell>
        </row>
        <row r="249">
          <cell r="C249" t="str">
            <v>Село Кольцово</v>
          </cell>
        </row>
        <row r="250">
          <cell r="C250" t="str">
            <v>Село Сашкино</v>
          </cell>
        </row>
        <row r="251">
          <cell r="C251" t="str">
            <v>Село Ферзиково</v>
          </cell>
        </row>
        <row r="252">
          <cell r="C252" t="str">
            <v>Деревня Авдеевка</v>
          </cell>
        </row>
        <row r="253">
          <cell r="C253" t="str">
            <v>Деревня Нехочи</v>
          </cell>
        </row>
        <row r="254">
          <cell r="C254" t="str">
            <v>Деревня Стайки</v>
          </cell>
        </row>
        <row r="255">
          <cell r="C255" t="str">
            <v>Поселок Еленский</v>
          </cell>
        </row>
        <row r="256">
          <cell r="C256" t="str">
            <v>Село Бояновичи</v>
          </cell>
        </row>
        <row r="257">
          <cell r="C257" t="str">
            <v>Село Воткино</v>
          </cell>
        </row>
        <row r="258">
          <cell r="C258" t="str">
            <v>Село Колодяссы</v>
          </cell>
        </row>
        <row r="259">
          <cell r="C259" t="str">
            <v>Село Красное</v>
          </cell>
        </row>
        <row r="260">
          <cell r="C260" t="str">
            <v>Село Кудрявец</v>
          </cell>
        </row>
        <row r="261">
          <cell r="C261" t="str">
            <v>Село Ловать</v>
          </cell>
        </row>
        <row r="262">
          <cell r="C262" t="str">
            <v>Село Милеево</v>
          </cell>
        </row>
        <row r="263">
          <cell r="C263" t="str">
            <v>Село Пеневичи</v>
          </cell>
        </row>
        <row r="264">
          <cell r="C264" t="str">
            <v>Село Подбужье</v>
          </cell>
        </row>
        <row r="265">
          <cell r="C265" t="str">
            <v>Село Слобода</v>
          </cell>
        </row>
        <row r="266">
          <cell r="C266" t="str">
            <v>Село Хвастовичи</v>
          </cell>
        </row>
        <row r="267">
          <cell r="C267" t="str">
            <v>Город Юхнов</v>
          </cell>
        </row>
        <row r="268">
          <cell r="C268" t="str">
            <v>Деревня Беляево</v>
          </cell>
        </row>
        <row r="269">
          <cell r="C269" t="str">
            <v>Деревня Емельяновка</v>
          </cell>
        </row>
        <row r="270">
          <cell r="C270" t="str">
            <v>Деревня Колыхманово</v>
          </cell>
        </row>
        <row r="271">
          <cell r="C271" t="str">
            <v>Деревня Куркино</v>
          </cell>
        </row>
        <row r="272">
          <cell r="C272" t="str">
            <v>Деревня Озеро</v>
          </cell>
        </row>
        <row r="273">
          <cell r="C273" t="str">
            <v>Деревня Плоское</v>
          </cell>
        </row>
        <row r="274">
          <cell r="C274" t="str">
            <v>Деревня Погореловка</v>
          </cell>
        </row>
        <row r="275">
          <cell r="C275" t="str">
            <v>Деревня Порослицы</v>
          </cell>
        </row>
        <row r="276">
          <cell r="C276" t="str">
            <v>Деревня Рыляки</v>
          </cell>
        </row>
        <row r="277">
          <cell r="C277" t="str">
            <v>Деревня Упрямово</v>
          </cell>
        </row>
        <row r="278">
          <cell r="C278" t="str">
            <v>Деревня Чемоданово</v>
          </cell>
        </row>
        <row r="279">
          <cell r="C279" t="str">
            <v>Село Климов Завод</v>
          </cell>
        </row>
        <row r="280">
          <cell r="C280" t="str">
            <v>Село Щелканово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План-факт_Поступления_свыш40м3с"/>
      <sheetName val="Реестр_ДНП_до_3м3"/>
      <sheetName val="Реестр_ДНП_свыше_3м3"/>
      <sheetName val="План-факт_Поступления_до40м3с"/>
      <sheetName val="СВЕРКА_1с_и_р-в_до_и_свыше_40"/>
      <sheetName val="Приложение_3_к_плану-графику"/>
      <sheetName val="ОБЛАСТЬ_к_оформлению"/>
      <sheetName val="КАЛУГА_к_оформлению"/>
      <sheetName val="для_Димы"/>
      <sheetName val="счет 90.01_прогноз_PL"/>
      <sheetName val="БП_2016_выручка_PL"/>
      <sheetName val="ПОДКЛЮЧЕНИЕ_2016_выручка_сч.90"/>
      <sheetName val="счет 50,51_CF"/>
      <sheetName val="БП_2016_поступлений_ДС_CF"/>
      <sheetName val="БП_2016_финансирование_CF"/>
      <sheetName val="ООО_БИЗИНСАЙТ"/>
      <sheetName val="АКВИЛОН_ЛТД"/>
      <sheetName val="РЕЕСТР_20.10.15"/>
      <sheetName val="Отчет_Людиново"/>
      <sheetName val="Отчет_Правгород"/>
      <sheetName val="Отчет_Росмаш"/>
      <sheetName val="План-факт Расходы"/>
      <sheetName val="сч.08_январь_15"/>
      <sheetName val="сч.08_февраль_15"/>
      <sheetName val="сч.08_март_15"/>
      <sheetName val="сч.08_апрель_15"/>
      <sheetName val="сч.08_май_15"/>
      <sheetName val="сч.08_июнь_15"/>
      <sheetName val="сч.08_июль_15"/>
      <sheetName val="сч.08_август_15"/>
      <sheetName val="Расчет_неустойки_по_ДНП_№989"/>
      <sheetName val="Лист1"/>
      <sheetName val="Эталонный_тариф_Инвестиции"/>
      <sheetName val="РЕЕСТР ПЗП к исполнению"/>
      <sheetName val="РЕЕСТР ПЗП к исполнению (2)"/>
      <sheetName val="Лист2"/>
      <sheetName val="Лист3"/>
    </sheetNames>
    <sheetDataSet>
      <sheetData sheetId="0"/>
      <sheetData sheetId="1"/>
      <sheetData sheetId="2"/>
      <sheetData sheetId="3">
        <row r="7293">
          <cell r="J7293">
            <v>247.32065</v>
          </cell>
        </row>
        <row r="7297">
          <cell r="J7297">
            <v>547.81961000000001</v>
          </cell>
        </row>
        <row r="7301">
          <cell r="J7301">
            <v>11.77547</v>
          </cell>
        </row>
        <row r="7305">
          <cell r="J7305">
            <v>6.6909599999999987</v>
          </cell>
        </row>
        <row r="7309">
          <cell r="J7309">
            <v>3.5798399999999999</v>
          </cell>
        </row>
        <row r="7321">
          <cell r="J7321">
            <v>5.3527700000000005</v>
          </cell>
        </row>
        <row r="7329">
          <cell r="J7329">
            <v>34.898070000000004</v>
          </cell>
        </row>
        <row r="7333">
          <cell r="J7333">
            <v>118.65550999999999</v>
          </cell>
        </row>
        <row r="7337">
          <cell r="J7337">
            <v>1091.35707</v>
          </cell>
        </row>
        <row r="7341">
          <cell r="J7341">
            <v>31.931080000000001</v>
          </cell>
        </row>
        <row r="7345">
          <cell r="J7345">
            <v>2.67638</v>
          </cell>
        </row>
        <row r="7353">
          <cell r="J7353">
            <v>1.4319200000000001</v>
          </cell>
        </row>
        <row r="7357">
          <cell r="J7357">
            <v>16.592739999999999</v>
          </cell>
        </row>
        <row r="7373">
          <cell r="J7373">
            <v>31.502590000000001</v>
          </cell>
        </row>
        <row r="7377">
          <cell r="J7377">
            <v>2.1478999999999999</v>
          </cell>
        </row>
        <row r="7381">
          <cell r="J7381">
            <v>4.0145799999999996</v>
          </cell>
        </row>
        <row r="7389">
          <cell r="J7389">
            <v>1833.8266199999998</v>
          </cell>
        </row>
        <row r="7393">
          <cell r="J7393">
            <v>1226.17723</v>
          </cell>
        </row>
        <row r="7397">
          <cell r="J7397">
            <v>5.5758000000000001</v>
          </cell>
        </row>
        <row r="7401">
          <cell r="J7401">
            <v>22.3032</v>
          </cell>
        </row>
        <row r="7405">
          <cell r="J7405">
            <v>1.43194</v>
          </cell>
        </row>
        <row r="7409">
          <cell r="J7409">
            <v>29.05217</v>
          </cell>
        </row>
        <row r="7421">
          <cell r="J7421">
            <v>20.072879999999998</v>
          </cell>
        </row>
        <row r="7425">
          <cell r="J7425">
            <v>21467.893340000002</v>
          </cell>
        </row>
        <row r="7433">
          <cell r="J7433">
            <v>1.4319999999999999</v>
          </cell>
        </row>
        <row r="7441">
          <cell r="J7441">
            <v>19.09065</v>
          </cell>
        </row>
        <row r="7445">
          <cell r="J7445">
            <v>2.8638699999999999</v>
          </cell>
        </row>
        <row r="7449">
          <cell r="J7449">
            <v>33.007010000000001</v>
          </cell>
        </row>
        <row r="7453">
          <cell r="J7453">
            <v>51.003320000000002</v>
          </cell>
        </row>
        <row r="7457">
          <cell r="J7457">
            <v>25.774850000000001</v>
          </cell>
        </row>
        <row r="7461">
          <cell r="J7461">
            <v>48.174909999999997</v>
          </cell>
        </row>
        <row r="7465">
          <cell r="J7465">
            <v>23.10482</v>
          </cell>
        </row>
        <row r="7469">
          <cell r="J7469">
            <v>11.1516</v>
          </cell>
        </row>
        <row r="7473">
          <cell r="J7473">
            <v>2.67638</v>
          </cell>
        </row>
        <row r="7489">
          <cell r="J7489">
            <v>20.428840000000001</v>
          </cell>
        </row>
        <row r="7493">
          <cell r="J7493">
            <v>77.00139999999999</v>
          </cell>
        </row>
        <row r="7517">
          <cell r="J7517">
            <v>3.5798399999999999</v>
          </cell>
        </row>
        <row r="7521">
          <cell r="J7521">
            <v>6.7009599999999994</v>
          </cell>
        </row>
        <row r="7533">
          <cell r="J7533">
            <v>5.7277399999999998</v>
          </cell>
        </row>
        <row r="7545">
          <cell r="J7545">
            <v>127.05034000000001</v>
          </cell>
        </row>
        <row r="7557">
          <cell r="J7557">
            <v>890.69917999999996</v>
          </cell>
        </row>
        <row r="7561">
          <cell r="J7561">
            <v>8.0291499999999996</v>
          </cell>
        </row>
        <row r="7577">
          <cell r="J7577">
            <v>1.33819</v>
          </cell>
        </row>
        <row r="7581">
          <cell r="J7581">
            <v>0.71597</v>
          </cell>
        </row>
        <row r="7585">
          <cell r="J7585">
            <v>1.43194</v>
          </cell>
        </row>
        <row r="7589">
          <cell r="J7589">
            <v>2.1478999999999999</v>
          </cell>
        </row>
        <row r="7593">
          <cell r="J7593">
            <v>2.8638699999999999</v>
          </cell>
        </row>
        <row r="7597">
          <cell r="J7597">
            <v>1.44</v>
          </cell>
        </row>
        <row r="7605">
          <cell r="J7605">
            <v>2.8638699999999999</v>
          </cell>
        </row>
        <row r="7609">
          <cell r="J7609">
            <v>3.5798399999999999</v>
          </cell>
        </row>
        <row r="7613">
          <cell r="J7613">
            <v>32.204300000000003</v>
          </cell>
        </row>
        <row r="7625">
          <cell r="J7625">
            <v>1.33819</v>
          </cell>
        </row>
        <row r="7641">
          <cell r="J7641">
            <v>3072.8158400000002</v>
          </cell>
        </row>
        <row r="7645">
          <cell r="J7645">
            <v>1892.5766400000002</v>
          </cell>
        </row>
        <row r="7649">
          <cell r="J7649">
            <v>4.0145799999999996</v>
          </cell>
        </row>
        <row r="7653">
          <cell r="J7653">
            <v>1179.20162</v>
          </cell>
        </row>
        <row r="7657">
          <cell r="J7657">
            <v>21.479040000000001</v>
          </cell>
        </row>
        <row r="7665">
          <cell r="J7665">
            <v>4.0145799999999996</v>
          </cell>
        </row>
        <row r="7669">
          <cell r="J7669">
            <v>2.1478999999999999</v>
          </cell>
        </row>
        <row r="7685">
          <cell r="J7685">
            <v>78.204740000000001</v>
          </cell>
        </row>
        <row r="7689">
          <cell r="J7689">
            <v>11.1516</v>
          </cell>
        </row>
        <row r="7697">
          <cell r="J7697">
            <v>2.4533499999999999</v>
          </cell>
        </row>
        <row r="7701">
          <cell r="J7701">
            <v>2.6847400000000001</v>
          </cell>
        </row>
        <row r="7705">
          <cell r="J7705">
            <v>2.67638</v>
          </cell>
        </row>
        <row r="7709">
          <cell r="J7709">
            <v>1.43194</v>
          </cell>
        </row>
        <row r="7713">
          <cell r="J7713">
            <v>4.0145799999999996</v>
          </cell>
        </row>
        <row r="7717">
          <cell r="J7717">
            <v>4.0145799999999996</v>
          </cell>
        </row>
        <row r="7721">
          <cell r="J7721">
            <v>2.67638</v>
          </cell>
        </row>
        <row r="7725">
          <cell r="J7725">
            <v>2.67638</v>
          </cell>
        </row>
        <row r="7729">
          <cell r="J7729">
            <v>1.43194</v>
          </cell>
        </row>
        <row r="7733">
          <cell r="J7733">
            <v>40.145759999999996</v>
          </cell>
        </row>
        <row r="7741">
          <cell r="J7741">
            <v>700.29205999999999</v>
          </cell>
        </row>
        <row r="7745">
          <cell r="J7745">
            <v>4.2958099999999995</v>
          </cell>
        </row>
        <row r="7773">
          <cell r="J7773">
            <v>1.43194</v>
          </cell>
        </row>
        <row r="7793">
          <cell r="J7793">
            <v>329.15805999999998</v>
          </cell>
        </row>
        <row r="7797">
          <cell r="J7797">
            <v>165.38861</v>
          </cell>
        </row>
        <row r="7801">
          <cell r="J7801">
            <v>77.726650000000006</v>
          </cell>
        </row>
        <row r="7825">
          <cell r="J7825">
            <v>68.247789999999995</v>
          </cell>
        </row>
        <row r="7833">
          <cell r="J7833">
            <v>1.43194</v>
          </cell>
        </row>
        <row r="7845">
          <cell r="J7845">
            <v>6.6909599999999996</v>
          </cell>
        </row>
        <row r="7889">
          <cell r="J7889">
            <v>5.3527700000000005</v>
          </cell>
        </row>
        <row r="7897">
          <cell r="J7897">
            <v>2.67638</v>
          </cell>
        </row>
        <row r="7909">
          <cell r="J7909">
            <v>1.43194</v>
          </cell>
        </row>
        <row r="7913">
          <cell r="J7913">
            <v>2.67638</v>
          </cell>
        </row>
        <row r="7917">
          <cell r="J7917">
            <v>1.43194</v>
          </cell>
        </row>
        <row r="7929">
          <cell r="J7929">
            <v>0.59663999999999995</v>
          </cell>
        </row>
        <row r="7933">
          <cell r="J7933">
            <v>1.1151599999999999</v>
          </cell>
        </row>
        <row r="7937">
          <cell r="J7937">
            <v>575.33599000000004</v>
          </cell>
        </row>
        <row r="7941">
          <cell r="J7941">
            <v>32.717010000000002</v>
          </cell>
        </row>
        <row r="7945">
          <cell r="J7945">
            <v>8.3633500000000005</v>
          </cell>
        </row>
        <row r="7957">
          <cell r="J7957">
            <v>366.94641000000001</v>
          </cell>
        </row>
        <row r="7961">
          <cell r="J7961">
            <v>2469.7360900000003</v>
          </cell>
        </row>
        <row r="7965">
          <cell r="J7965">
            <v>4.0145799999999996</v>
          </cell>
        </row>
        <row r="7969">
          <cell r="J7969">
            <v>2.1478999999999999</v>
          </cell>
        </row>
        <row r="7981">
          <cell r="J7981">
            <v>2.67638</v>
          </cell>
        </row>
        <row r="7985">
          <cell r="J7985">
            <v>1.43194</v>
          </cell>
        </row>
        <row r="7989">
          <cell r="J7989">
            <v>4.0145799999999996</v>
          </cell>
        </row>
        <row r="7993">
          <cell r="J7993">
            <v>2.1478999999999999</v>
          </cell>
          <cell r="AC7993">
            <v>0.48499999999999999</v>
          </cell>
          <cell r="AD7993">
            <v>0.33600000000000002</v>
          </cell>
        </row>
        <row r="7997">
          <cell r="J7997">
            <v>2.67638</v>
          </cell>
        </row>
        <row r="8001">
          <cell r="J8001">
            <v>1.43194</v>
          </cell>
          <cell r="AC8001">
            <v>0.42899999999999999</v>
          </cell>
        </row>
        <row r="8005">
          <cell r="J8005">
            <v>182.60374999999999</v>
          </cell>
        </row>
        <row r="8009">
          <cell r="J8009">
            <v>2.8638699999999999</v>
          </cell>
        </row>
        <row r="8013">
          <cell r="J8013">
            <v>115.34553</v>
          </cell>
        </row>
        <row r="8017">
          <cell r="J8017">
            <v>28.546720000000001</v>
          </cell>
        </row>
        <row r="8021">
          <cell r="J8021">
            <v>76.146990000000002</v>
          </cell>
        </row>
        <row r="8029">
          <cell r="J8029">
            <v>2.1478999999999999</v>
          </cell>
        </row>
        <row r="8041">
          <cell r="J8041">
            <v>5.3527700000000005</v>
          </cell>
        </row>
        <row r="8045">
          <cell r="J8045">
            <v>4.0145799999999996</v>
          </cell>
        </row>
        <row r="8049">
          <cell r="J8049">
            <v>2.1478999999999999</v>
          </cell>
        </row>
        <row r="8053">
          <cell r="J8053">
            <v>72.986819999999994</v>
          </cell>
        </row>
        <row r="8057">
          <cell r="J8057">
            <v>1.43194</v>
          </cell>
        </row>
        <row r="8061">
          <cell r="J8061">
            <v>381.36818</v>
          </cell>
        </row>
        <row r="8065">
          <cell r="J8065">
            <v>191.33841000000001</v>
          </cell>
        </row>
        <row r="8069">
          <cell r="J8069">
            <v>405.47217999999998</v>
          </cell>
        </row>
        <row r="8073">
          <cell r="J8073">
            <v>237.87633</v>
          </cell>
        </row>
        <row r="8097">
          <cell r="J8097">
            <v>1.43194</v>
          </cell>
        </row>
        <row r="8101">
          <cell r="J8101">
            <v>18.912140000000001</v>
          </cell>
        </row>
        <row r="8109">
          <cell r="J8109">
            <v>76.897019999999998</v>
          </cell>
        </row>
        <row r="8117">
          <cell r="J8117">
            <v>2208.8642799999998</v>
          </cell>
        </row>
        <row r="8121">
          <cell r="J8121">
            <v>243.89344</v>
          </cell>
        </row>
        <row r="8129">
          <cell r="J8129">
            <v>63.820610000000002</v>
          </cell>
        </row>
        <row r="8133">
          <cell r="J8133">
            <v>17.93094</v>
          </cell>
        </row>
        <row r="8137">
          <cell r="J8137">
            <v>61.472340000000003</v>
          </cell>
        </row>
        <row r="8141">
          <cell r="J8141">
            <v>5.1857299999999995</v>
          </cell>
        </row>
        <row r="8145">
          <cell r="J8145">
            <v>2.6737900000000003</v>
          </cell>
        </row>
        <row r="8149">
          <cell r="J8149">
            <v>1.33819</v>
          </cell>
        </row>
        <row r="8153">
          <cell r="J8153">
            <v>0.71597</v>
          </cell>
        </row>
        <row r="8165">
          <cell r="J8165">
            <v>5.3527700000000005</v>
          </cell>
        </row>
        <row r="8169">
          <cell r="J8169">
            <v>2.8638699999999999</v>
          </cell>
        </row>
        <row r="8173">
          <cell r="J8173">
            <v>213.91980000000001</v>
          </cell>
        </row>
        <row r="8177">
          <cell r="J8177">
            <v>97.697059999999993</v>
          </cell>
        </row>
        <row r="8209">
          <cell r="J8209">
            <v>434.91239999999993</v>
          </cell>
        </row>
        <row r="8213">
          <cell r="J8213">
            <v>331.48057999999997</v>
          </cell>
        </row>
        <row r="8225">
          <cell r="J8225">
            <v>1.5612200000000001</v>
          </cell>
        </row>
        <row r="8229">
          <cell r="J8229">
            <v>41.774809999999995</v>
          </cell>
        </row>
        <row r="8233">
          <cell r="J8233">
            <v>120.09586000000002</v>
          </cell>
        </row>
        <row r="8237">
          <cell r="J8237">
            <v>178.34097</v>
          </cell>
        </row>
        <row r="8241">
          <cell r="J8241">
            <v>78.145070000000004</v>
          </cell>
        </row>
        <row r="8249">
          <cell r="J8249">
            <v>133.25290000000001</v>
          </cell>
        </row>
        <row r="8277">
          <cell r="J8277">
            <v>400.7885</v>
          </cell>
        </row>
        <row r="8281">
          <cell r="J8281">
            <v>1760.3573799999999</v>
          </cell>
        </row>
        <row r="8285">
          <cell r="J8285">
            <v>2.67638</v>
          </cell>
        </row>
        <row r="8289">
          <cell r="J8289">
            <v>1.43194</v>
          </cell>
        </row>
        <row r="8293">
          <cell r="J8293">
            <v>5.3527699999999996</v>
          </cell>
        </row>
        <row r="8297">
          <cell r="J8297">
            <v>58.545900000000003</v>
          </cell>
        </row>
        <row r="8301">
          <cell r="J8301">
            <v>16.770309999999998</v>
          </cell>
        </row>
        <row r="8333">
          <cell r="J8333">
            <v>111.34875</v>
          </cell>
        </row>
        <row r="8353">
          <cell r="J8353">
            <v>2.67638</v>
          </cell>
        </row>
        <row r="8357">
          <cell r="J8357">
            <v>1.43194</v>
          </cell>
        </row>
        <row r="8373">
          <cell r="J8373">
            <v>536.79926999999998</v>
          </cell>
        </row>
        <row r="8389">
          <cell r="J8389">
            <v>0.38782</v>
          </cell>
        </row>
        <row r="8393">
          <cell r="J8393">
            <v>83.748519999999985</v>
          </cell>
        </row>
        <row r="8397">
          <cell r="J8397">
            <v>15.094989999999999</v>
          </cell>
        </row>
        <row r="8413">
          <cell r="J8413">
            <v>0.71597</v>
          </cell>
        </row>
        <row r="8421">
          <cell r="J8421">
            <v>3.5798399999999999</v>
          </cell>
        </row>
        <row r="8425">
          <cell r="J8425">
            <v>813.80047999999999</v>
          </cell>
        </row>
        <row r="8429">
          <cell r="J8429">
            <v>810.27225999999996</v>
          </cell>
        </row>
        <row r="8433">
          <cell r="J8433">
            <v>16.058299999999999</v>
          </cell>
        </row>
        <row r="8437">
          <cell r="J8437">
            <v>59.858550000000001</v>
          </cell>
          <cell r="T8437">
            <v>32</v>
          </cell>
          <cell r="U8437">
            <v>23.5</v>
          </cell>
          <cell r="V8437" t="str">
            <v>открытый</v>
          </cell>
        </row>
        <row r="8441">
          <cell r="J8441">
            <v>36.328670000000002</v>
          </cell>
        </row>
        <row r="8445">
          <cell r="J8445">
            <v>25.870329999999999</v>
          </cell>
          <cell r="U8445">
            <v>10</v>
          </cell>
          <cell r="V8445" t="str">
            <v>открытый</v>
          </cell>
          <cell r="W8445">
            <v>0.08</v>
          </cell>
          <cell r="X8445">
            <v>0.24</v>
          </cell>
        </row>
        <row r="8449">
          <cell r="J8449">
            <v>21.06428</v>
          </cell>
          <cell r="W8449">
            <v>0.85699999999999998</v>
          </cell>
        </row>
        <row r="8453">
          <cell r="J8453">
            <v>32.749490000000002</v>
          </cell>
        </row>
        <row r="8461">
          <cell r="J8461">
            <v>6.6909599999999996</v>
          </cell>
        </row>
        <row r="8465">
          <cell r="J8465">
            <v>3.5798399999999999</v>
          </cell>
        </row>
        <row r="8469">
          <cell r="J8469">
            <v>1670.3627799999999</v>
          </cell>
        </row>
        <row r="8473">
          <cell r="J8473">
            <v>2384.64527</v>
          </cell>
        </row>
        <row r="8481">
          <cell r="J8481">
            <v>1.0023599999999999</v>
          </cell>
        </row>
        <row r="8485">
          <cell r="J8485">
            <v>8.9212799999999994</v>
          </cell>
        </row>
        <row r="8489">
          <cell r="J8489">
            <v>33.454799999999999</v>
          </cell>
        </row>
        <row r="8493">
          <cell r="J8493">
            <v>167.65503999999999</v>
          </cell>
        </row>
        <row r="8497">
          <cell r="J8497">
            <v>6.6909599999999996</v>
          </cell>
        </row>
        <row r="8501">
          <cell r="J8501">
            <v>13.939499999999999</v>
          </cell>
        </row>
        <row r="8521">
          <cell r="J8521">
            <v>101.78169</v>
          </cell>
        </row>
        <row r="8525">
          <cell r="J8525">
            <v>252.30561</v>
          </cell>
        </row>
        <row r="8537">
          <cell r="J8537">
            <v>77.409890000000004</v>
          </cell>
        </row>
        <row r="8541">
          <cell r="J8541">
            <v>43.894939999999998</v>
          </cell>
        </row>
        <row r="8545">
          <cell r="J8545">
            <v>1178.5132799999999</v>
          </cell>
        </row>
        <row r="8549">
          <cell r="J8549">
            <v>3.3559199999999998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Содержание"/>
      <sheetName val="ЗАО_ВОЛЬВО_ВОСТОК"/>
      <sheetName val="АО_РАСМАШ"/>
      <sheetName val="ОАО_ОЭЗ_ЛЮДИНОВО_Войлово"/>
      <sheetName val="ОАО_ОЭЗ_ЛЮДИНОВО_Войлово_без_ХС"/>
      <sheetName val="УМВД"/>
      <sheetName val="ООО_ДСК-15К"/>
      <sheetName val="ООО_Фрилайт-Строй"/>
      <sheetName val="ООО_МПИ-строй"/>
      <sheetName val="ЗАО_СК_Правый_берег_10кв"/>
      <sheetName val="ООО_ЛЕНТА"/>
      <sheetName val="ООО_ПКП_Еврофасад"/>
      <sheetName val="ООО_Калуга-Лидер"/>
      <sheetName val="ООО_Перспектива,Пухова,35"/>
      <sheetName val="МУП_Калугатеплосеть_Грабц.ш.,35"/>
      <sheetName val="ГКУ_КО_УКС_Октябрьская"/>
      <sheetName val="ООО_Кал.Зем.Корп,Заречн."/>
      <sheetName val="ООО_Нордис"/>
      <sheetName val="ООО_КАЗМИН_Строй_Инвест"/>
      <sheetName val="ООО_Росинстрой"/>
      <sheetName val="ООО_Капитель"/>
      <sheetName val="ОАО_СПК_Мосэнергострой"/>
      <sheetName val="ООО_Вертикаль"/>
      <sheetName val="ООО_Вертикаль_К"/>
      <sheetName val="ООО_Универстрой"/>
      <sheetName val="ООО_Дубрава_Строй"/>
      <sheetName val="МУП_Калугатеплосеть_ООО_Вилар"/>
      <sheetName val="ООО_Перспектива,Пухова,31,33"/>
      <sheetName val="ООО_ТЕХНО_БИЛДИНГС"/>
      <sheetName val="ГКУ КО_УКС_Грабцевское шоссе"/>
      <sheetName val="ГКУ КО_УКС Тульское шоссе"/>
      <sheetName val="Бобков Е.Г_Тарутинская,2А"/>
      <sheetName val="ООО_Кировстрой_ул. РТС_14Б"/>
      <sheetName val="ООО_Ком-я_Донатор_Академический"/>
      <sheetName val="ООО_СК_Домстрой_Советская"/>
      <sheetName val="ООО_Дельта_Групп_Москов"/>
      <sheetName val="ООО_Веста_Веснушки"/>
      <sheetName val="Попов, Короткова"/>
      <sheetName val="ОАО РУНО"/>
      <sheetName val="ЗАО СК Правый берег, квартал №5"/>
      <sheetName val="Моисеенков А.В."/>
      <sheetName val="Ерохин д.1_ВОДА"/>
      <sheetName val="Ерохин д.18_ВОДА"/>
      <sheetName val="ГКУ КО УКС Дворец Спорта"/>
      <sheetName val="ООО Фирма Синичкин"/>
      <sheetName val="ООО Самара-Авиагаз"/>
      <sheetName val="ООО ГИПЕРГЛОБУС"/>
      <sheetName val="УФСБ"/>
      <sheetName val="ООО ЭдМар"/>
      <sheetName val="Адм.Людин,Лесопарковая"/>
      <sheetName val="Адм.Людин,Пионерская"/>
      <sheetName val="ООО_Стройка_Русь,Боровск,Фабр"/>
      <sheetName val="ЗАО_Сигнатура,Сосен,пер.Школьн"/>
      <sheetName val="АО_ПИК_Регион_Прав"/>
      <sheetName val="ГКУ_УКС_Сухиничи,Победы"/>
      <sheetName val="ООО_СтройАльянсСити_Пестеля,15"/>
      <sheetName val="Минэкономразвития"/>
      <sheetName val="в_МСиЖКХ_на_согласование"/>
      <sheetName val="Колобова Т.К._Н.Козинская"/>
      <sheetName val="ИП Ерохин М.И._Комм-я, 1_КАН"/>
      <sheetName val="ИП_Ерохин_М.И_Комм-я, 18_КАН"/>
      <sheetName val="АО_ЦентрСпецСтрой"/>
      <sheetName val="ООО_СМУ_3_ул.Новосельская"/>
      <sheetName val="ООО_21_век"/>
      <sheetName val="МУП_ЖКХ_СП_Бабынино_Анохина"/>
      <sheetName val="ООО МПРиТ ул. Высокая, д.11"/>
      <sheetName val="ООО_Простор_Строй"/>
      <sheetName val="Мартвых"/>
      <sheetName val="КГУ КО &quot;УКС&quot; Кампус"/>
      <sheetName val="Колобова Т.К. ул. Товарная, д.3"/>
      <sheetName val="МУП_Калугатеплосеть,котельная"/>
      <sheetName val="ООО_СП_Минскстройэкспорт"/>
      <sheetName val="ООО_Надия_Холдинг"/>
      <sheetName val="ООО_КЗК_Терепецкая"/>
      <sheetName val="ООО_ПИК-Запад_Верх-Квань"/>
      <sheetName val="ООО_Строймонтажстрой-С"/>
      <sheetName val="АО Кировстрой"/>
      <sheetName val="АО_АИРКО"/>
      <sheetName val="ООО_Стройдевелопментгрупп"/>
      <sheetName val="ООО_Смолартстрой"/>
      <sheetName val="Конгресс-центр_Международ.парк"/>
      <sheetName val="Минскстрой_Малиновка-2"/>
      <sheetName val="Перспектива_Баррикад"/>
      <sheetName val="ФСБ_Трамплинная"/>
      <sheetName val="УКС_Поликлиника_Фомушина"/>
      <sheetName val="Адм.Балабаново школа ул.Гагарин"/>
      <sheetName val="СТРОЙЦЕНТР_ООО_Дошк.учр.Дубрава"/>
      <sheetName val="УКС_Онкоцентр"/>
      <sheetName val="Белорус.дом"/>
      <sheetName val="Людиново котельная"/>
      <sheetName val="ФОК Балабаново"/>
      <sheetName val="Школа Кондрово"/>
      <sheetName val="Школа Медынь"/>
      <sheetName val="КЗСМ ЖК д.Бабенки"/>
      <sheetName val="Вымпелспецстрой_школа_Сухин"/>
      <sheetName val="АЛЬПИНЭКС_Ткац.цех."/>
      <sheetName val="ОКС Котельн.Жилетово"/>
      <sheetName val="Квартал_Пролетарская,129"/>
      <sheetName val="ООО Стройцентр Людиново Школа "/>
      <sheetName val="Мещовск садик"/>
      <sheetName val="ООО СП «Минскстройэкспорт»"/>
      <sheetName val="ООО «Тандем Плюс»"/>
      <sheetName val="УКС COVID"/>
      <sheetName val="УКС COVID ВО"/>
      <sheetName val="ОКС с.Льва Толстого Котельная"/>
      <sheetName val="Индустриальный парк Грабцево"/>
      <sheetName val="Калугагазстрой ул. Ермоловская"/>
      <sheetName val="УКС Тешевичи"/>
      <sheetName val="Строймонтаж Белинского 2А"/>
      <sheetName val="Корпорация развития КО Грабцево"/>
      <sheetName val="Особая Эконмич-ая зона Калуга"/>
      <sheetName val="КалугаЭлитДевелопмент"/>
      <sheetName val="Полигон ЖБЦ"/>
      <sheetName val="Перспектива"/>
      <sheetName val="КОШЕЛЕВ"/>
      <sheetName val="УКС_ПОЛИКЛИНИКА"/>
      <sheetName val="ООО Перспектива"/>
      <sheetName val="Строймонтаж_Кукареки"/>
      <sheetName val="ППТ Людиново"/>
      <sheetName val="Комета"/>
      <sheetName val="Бо-Фарм"/>
      <sheetName val="Прошкола"/>
      <sheetName val="ИП Кондрово"/>
      <sheetName val="Рио Монолит"/>
      <sheetName val="НАСЛЕДИЕ"/>
      <sheetName val="АЗИМУТ"/>
      <sheetName val="Уайт Групп-Калуга"/>
      <sheetName val="АО КИК"/>
      <sheetName val="ЛидерБетон"/>
      <sheetName val="Технокапитал"/>
      <sheetName val="лист1"/>
      <sheetName val="Лист2"/>
    </sheetNames>
    <sheetDataSet>
      <sheetData sheetId="0" refreshError="1"/>
      <sheetData sheetId="1">
        <row r="3">
          <cell r="G3" t="str">
            <v>на 01.01.2016 г.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_%_на_протяженность_В"/>
      <sheetName val="расчет_%_на_увеличение_мощн._В"/>
      <sheetName val="расчет_%_на_протяженность_К"/>
      <sheetName val="расчет_%_на_увеличение_мощн_К"/>
      <sheetName val="График производства работ"/>
      <sheetName val="РАСЧЕТ_LAST"/>
      <sheetName val="Расчет ФЕР"/>
      <sheetName val="для печати"/>
    </sheetNames>
    <sheetDataSet>
      <sheetData sheetId="0" refreshError="1"/>
      <sheetData sheetId="1" refreshError="1"/>
      <sheetData sheetId="2" refreshError="1"/>
      <sheetData sheetId="3">
        <row r="27">
          <cell r="CC27">
            <v>0</v>
          </cell>
          <cell r="CP27">
            <v>0</v>
          </cell>
          <cell r="DC27">
            <v>0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_%_на_протяженность_В"/>
      <sheetName val="расчет_%_на_увеличение_мощн._В"/>
      <sheetName val="расчет_%_на_протяженность_К"/>
      <sheetName val="расчет_%_на_увеличение_мощн_К"/>
      <sheetName val="График производства работ"/>
      <sheetName val="РАСЧЕТ_LAST"/>
      <sheetName val="Расчет ФЕР"/>
      <sheetName val="для печати"/>
    </sheetNames>
    <sheetDataSet>
      <sheetData sheetId="0" refreshError="1"/>
      <sheetData sheetId="1" refreshError="1"/>
      <sheetData sheetId="2" refreshError="1"/>
      <sheetData sheetId="3">
        <row r="27">
          <cell r="CC27">
            <v>0</v>
          </cell>
          <cell r="CO27">
            <v>0</v>
          </cell>
          <cell r="CP27">
            <v>0</v>
          </cell>
          <cell r="DB27">
            <v>0</v>
          </cell>
          <cell r="DC27">
            <v>0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ПП"/>
      <sheetName val="НВВ общехоз. очист."/>
      <sheetName val="НВВ общехоз. очист.для печати"/>
      <sheetName val="НВВ общехоз. перекач."/>
      <sheetName val="НВВ общехоз. перекач. для печат"/>
      <sheetName val="НВВ общехоз.тран-ка"/>
      <sheetName val="НВВ общехоз.тран-ка на печать"/>
      <sheetName val="НВВ перекачка"/>
      <sheetName val="НВВ очистка)"/>
      <sheetName val="НВВ тран-ка"/>
      <sheetName val="Баланс очистка"/>
      <sheetName val="Баланс перекачка"/>
      <sheetName val="Баланс тран-ка"/>
      <sheetName val="химреагенты ГП+Таруса"/>
      <sheetName val="баланс"/>
      <sheetName val="Достижение показател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7">
          <cell r="K317">
            <v>9.4812006294513047</v>
          </cell>
          <cell r="L317">
            <v>9.4812006294513012</v>
          </cell>
          <cell r="T317">
            <v>11.447463774840745</v>
          </cell>
          <cell r="U317">
            <v>11.447463774840745</v>
          </cell>
          <cell r="AC317">
            <v>20.250992951972606</v>
          </cell>
          <cell r="AD317">
            <v>20.250992951972606</v>
          </cell>
        </row>
        <row r="318">
          <cell r="K318">
            <v>34.696934748340666</v>
          </cell>
          <cell r="L318">
            <v>35.7378427907909</v>
          </cell>
          <cell r="T318">
            <v>41.123356869199604</v>
          </cell>
          <cell r="U318">
            <v>42.603797716490796</v>
          </cell>
          <cell r="AC318">
            <v>37.484516268975462</v>
          </cell>
          <cell r="AD318">
            <v>39.096350468541388</v>
          </cell>
        </row>
        <row r="320">
          <cell r="K320">
            <v>2.3329045755639877</v>
          </cell>
          <cell r="L320">
            <v>2.3329045755639877</v>
          </cell>
          <cell r="T320">
            <v>2.5480681123683411</v>
          </cell>
          <cell r="U320">
            <v>2.5480681123683411</v>
          </cell>
          <cell r="AC320">
            <v>1.8340706612749704</v>
          </cell>
          <cell r="AD320">
            <v>1.8340706612749704</v>
          </cell>
        </row>
        <row r="321">
          <cell r="K321">
            <v>36.613272383530941</v>
          </cell>
          <cell r="L321">
            <v>37.711670555036875</v>
          </cell>
          <cell r="T321">
            <v>43.302743506376544</v>
          </cell>
          <cell r="U321">
            <v>44.861642272606097</v>
          </cell>
          <cell r="AC321">
            <v>39.470334606151795</v>
          </cell>
          <cell r="AD321">
            <v>41.167558994216321</v>
          </cell>
        </row>
        <row r="323">
          <cell r="K323">
            <v>29.324307229100427</v>
          </cell>
          <cell r="L323">
            <v>29.324307229100427</v>
          </cell>
          <cell r="T323">
            <v>39.783190060229146</v>
          </cell>
          <cell r="U323">
            <v>39.783190060229146</v>
          </cell>
          <cell r="AC323">
            <v>29.250240149504236</v>
          </cell>
          <cell r="AD323">
            <v>29.250240149504236</v>
          </cell>
        </row>
        <row r="324">
          <cell r="K324">
            <v>39.272512625851753</v>
          </cell>
          <cell r="L324">
            <v>40.450688004627295</v>
          </cell>
          <cell r="T324">
            <v>38.536045100340893</v>
          </cell>
          <cell r="U324">
            <v>39.923342723953198</v>
          </cell>
          <cell r="AC324">
            <v>42.395186702155023</v>
          </cell>
          <cell r="AD324">
            <v>44.218179730347678</v>
          </cell>
        </row>
        <row r="326">
          <cell r="K326">
            <v>4.5536379533041321E-2</v>
          </cell>
          <cell r="L326">
            <v>4.5536379533041321E-2</v>
          </cell>
          <cell r="T326">
            <v>3.1421786310886493</v>
          </cell>
          <cell r="U326">
            <v>3.1421786310886493</v>
          </cell>
          <cell r="AC326">
            <v>0.5183175282147594</v>
          </cell>
          <cell r="AD326">
            <v>0.5183175282147594</v>
          </cell>
        </row>
        <row r="327">
          <cell r="K327">
            <v>207.21096403750195</v>
          </cell>
          <cell r="L327">
            <v>213.42729295862696</v>
          </cell>
          <cell r="T327">
            <v>117.56002151643179</v>
          </cell>
          <cell r="U327">
            <v>121.79218229102334</v>
          </cell>
          <cell r="AC327">
            <v>259.83556142907378</v>
          </cell>
          <cell r="AD327">
            <v>271.00849057052397</v>
          </cell>
        </row>
        <row r="328">
          <cell r="K328">
            <v>79.615450951989828</v>
          </cell>
          <cell r="L328">
            <v>82.003914480549554</v>
          </cell>
          <cell r="T328">
            <v>0</v>
          </cell>
          <cell r="U328">
            <v>0</v>
          </cell>
          <cell r="AC328">
            <v>43.153855798086731</v>
          </cell>
          <cell r="AD328">
            <v>45.009471597404456</v>
          </cell>
        </row>
        <row r="329">
          <cell r="K329">
            <v>5513.2908177339959</v>
          </cell>
          <cell r="L329">
            <v>5678.6895422660155</v>
          </cell>
          <cell r="T329">
            <v>7029.2822298624724</v>
          </cell>
          <cell r="U329">
            <v>7282.3363901375214</v>
          </cell>
          <cell r="AC329">
            <v>4894.4703768967192</v>
          </cell>
          <cell r="AD329">
            <v>5104.9326031032779</v>
          </cell>
        </row>
        <row r="336">
          <cell r="K336">
            <v>5360</v>
          </cell>
          <cell r="L336">
            <v>5580</v>
          </cell>
          <cell r="T336">
            <v>5360</v>
          </cell>
          <cell r="U336">
            <v>5580</v>
          </cell>
          <cell r="AC336">
            <v>5750</v>
          </cell>
          <cell r="AD336">
            <v>6040</v>
          </cell>
        </row>
        <row r="337">
          <cell r="K337">
            <v>1.609279411764706</v>
          </cell>
          <cell r="L337">
            <v>1.609279411764706</v>
          </cell>
          <cell r="T337">
            <v>1.6045365168539329</v>
          </cell>
          <cell r="U337">
            <v>1.6045365168539327</v>
          </cell>
          <cell r="AC337">
            <v>1.4834267241379311</v>
          </cell>
          <cell r="AD337">
            <v>1.4834267241379311</v>
          </cell>
        </row>
        <row r="338">
          <cell r="K338">
            <v>2431.5597352941154</v>
          </cell>
          <cell r="L338">
            <v>2522.2091310588248</v>
          </cell>
          <cell r="T338">
            <v>5010.1516139528212</v>
          </cell>
          <cell r="U338">
            <v>5208.1240103714044</v>
          </cell>
          <cell r="AC338">
            <v>6426.2570043103433</v>
          </cell>
          <cell r="AD338">
            <v>6750.3638793103428</v>
          </cell>
        </row>
        <row r="339">
          <cell r="K339">
            <v>2567.8466110834675</v>
          </cell>
          <cell r="L339">
            <v>2699.4622872183559</v>
          </cell>
          <cell r="T339">
            <v>6377.3876515382626</v>
          </cell>
          <cell r="U339">
            <v>6614.3493529936395</v>
          </cell>
          <cell r="AC339">
            <v>6168.1223164824569</v>
          </cell>
          <cell r="AD339">
            <v>6767.1753335067478</v>
          </cell>
        </row>
        <row r="341">
          <cell r="K341">
            <v>134.25833333333335</v>
          </cell>
          <cell r="L341">
            <v>134.25833333333335</v>
          </cell>
          <cell r="T341">
            <v>102.61666666666667</v>
          </cell>
          <cell r="U341">
            <v>102.61666666666667</v>
          </cell>
          <cell r="AC341">
            <v>106</v>
          </cell>
          <cell r="AD341">
            <v>106</v>
          </cell>
        </row>
        <row r="342">
          <cell r="K342">
            <v>6704.4406403940884</v>
          </cell>
          <cell r="L342">
            <v>6905.5738596059109</v>
          </cell>
          <cell r="T342">
            <v>7410.0126251476941</v>
          </cell>
          <cell r="U342">
            <v>7614.1757432639206</v>
          </cell>
          <cell r="AC342">
            <v>7963.5490223227307</v>
          </cell>
          <cell r="AD342">
            <v>8381.560207127739</v>
          </cell>
        </row>
        <row r="345">
          <cell r="K345">
            <v>801.16393103447831</v>
          </cell>
          <cell r="L345">
            <v>825.19884896551275</v>
          </cell>
          <cell r="T345">
            <v>1250.9066306483296</v>
          </cell>
          <cell r="U345">
            <v>1295.9392693516697</v>
          </cell>
          <cell r="AC345">
            <v>1027.7060597161033</v>
          </cell>
          <cell r="AD345">
            <v>1071.8974202838961</v>
          </cell>
        </row>
        <row r="346">
          <cell r="K346">
            <v>7318.0744955224418</v>
          </cell>
          <cell r="L346">
            <v>7537.6167303881139</v>
          </cell>
          <cell r="T346">
            <v>6217.0110326319673</v>
          </cell>
          <cell r="U346">
            <v>6440.8234298067173</v>
          </cell>
          <cell r="AC346">
            <v>1588.6460729803948</v>
          </cell>
          <cell r="AD346">
            <v>1656.9578541185519</v>
          </cell>
        </row>
        <row r="348">
          <cell r="K348">
            <v>893.81357635468066</v>
          </cell>
          <cell r="L348">
            <v>920.62798364532136</v>
          </cell>
          <cell r="T348">
            <v>1033.488418467583</v>
          </cell>
          <cell r="U348">
            <v>1070.6940015324153</v>
          </cell>
          <cell r="AC348">
            <v>726.11065100342603</v>
          </cell>
          <cell r="AD348">
            <v>757.33340899657287</v>
          </cell>
        </row>
        <row r="349">
          <cell r="K349">
            <v>0</v>
          </cell>
          <cell r="L349">
            <v>0</v>
          </cell>
          <cell r="T349">
            <v>0</v>
          </cell>
          <cell r="U349">
            <v>0</v>
          </cell>
          <cell r="AC349">
            <v>0</v>
          </cell>
          <cell r="AD349">
            <v>0</v>
          </cell>
        </row>
        <row r="350">
          <cell r="K350">
            <v>681.71602955665026</v>
          </cell>
          <cell r="L350">
            <v>702.16751044335001</v>
          </cell>
          <cell r="T350">
            <v>701.37833988212151</v>
          </cell>
          <cell r="U350">
            <v>726.62796011787805</v>
          </cell>
          <cell r="AC350">
            <v>764.70790014684326</v>
          </cell>
          <cell r="AD350">
            <v>797.59033985315705</v>
          </cell>
        </row>
        <row r="351">
          <cell r="K351">
            <v>11.198916256157645</v>
          </cell>
          <cell r="L351">
            <v>11.534883743842329</v>
          </cell>
          <cell r="T351">
            <v>11.701306483300868</v>
          </cell>
          <cell r="U351">
            <v>12.122553516700009</v>
          </cell>
          <cell r="AC351">
            <v>49.288379833578119</v>
          </cell>
          <cell r="AD351">
            <v>51.407780166421844</v>
          </cell>
        </row>
        <row r="352">
          <cell r="K352">
            <v>7.5410147783251062</v>
          </cell>
          <cell r="L352">
            <v>7.7672452216748624</v>
          </cell>
          <cell r="T352">
            <v>0</v>
          </cell>
          <cell r="U352">
            <v>0</v>
          </cell>
          <cell r="AC352">
            <v>0</v>
          </cell>
          <cell r="AD352">
            <v>0</v>
          </cell>
        </row>
        <row r="353">
          <cell r="K353">
            <v>0</v>
          </cell>
          <cell r="L353">
            <v>0</v>
          </cell>
          <cell r="T353">
            <v>0</v>
          </cell>
          <cell r="U353">
            <v>0</v>
          </cell>
          <cell r="AC353">
            <v>0</v>
          </cell>
          <cell r="AD353">
            <v>0</v>
          </cell>
        </row>
        <row r="355">
          <cell r="K355">
            <v>220.0003152709362</v>
          </cell>
          <cell r="L355">
            <v>226.60032472906414</v>
          </cell>
          <cell r="T355">
            <v>451.57840609612157</v>
          </cell>
          <cell r="U355">
            <v>467.83522871558193</v>
          </cell>
          <cell r="AC355">
            <v>4839.7763103721909</v>
          </cell>
          <cell r="AD355">
            <v>5047.8866917181949</v>
          </cell>
        </row>
        <row r="356">
          <cell r="K356">
            <v>522.13618719212263</v>
          </cell>
          <cell r="L356">
            <v>537.80027280788545</v>
          </cell>
          <cell r="T356">
            <v>242.29222284628668</v>
          </cell>
          <cell r="U356">
            <v>251.01474286875236</v>
          </cell>
          <cell r="AC356">
            <v>423.9203920238254</v>
          </cell>
          <cell r="AD356">
            <v>442.14896888084979</v>
          </cell>
        </row>
        <row r="362">
          <cell r="K362">
            <v>5360</v>
          </cell>
          <cell r="L362">
            <v>5580</v>
          </cell>
          <cell r="T362">
            <v>5580</v>
          </cell>
          <cell r="U362">
            <v>5750</v>
          </cell>
          <cell r="AC362">
            <v>5750</v>
          </cell>
          <cell r="AD362">
            <v>6040</v>
          </cell>
        </row>
        <row r="363">
          <cell r="K363">
            <v>2.6849070062381708</v>
          </cell>
          <cell r="L363">
            <v>2.6849070062381708</v>
          </cell>
          <cell r="T363">
            <v>2.6859636907945976</v>
          </cell>
          <cell r="U363">
            <v>2.6859636907945976</v>
          </cell>
          <cell r="AC363">
            <v>2.8941785658425365</v>
          </cell>
          <cell r="AD363">
            <v>2.8941785658425365</v>
          </cell>
        </row>
        <row r="364">
          <cell r="K364">
            <v>2384.0809343455999</v>
          </cell>
          <cell r="L364">
            <v>2840.6515503993878</v>
          </cell>
          <cell r="T364">
            <v>4844.6357199999993</v>
          </cell>
          <cell r="U364">
            <v>4975.8235059999988</v>
          </cell>
          <cell r="AC364">
            <v>2404.83</v>
          </cell>
          <cell r="AD364">
            <v>2525.0715</v>
          </cell>
        </row>
        <row r="365">
          <cell r="K365">
            <v>4577.5359803486799</v>
          </cell>
          <cell r="L365">
            <v>5915.1057744532836</v>
          </cell>
          <cell r="T365">
            <v>2390.9869357471071</v>
          </cell>
          <cell r="U365">
            <v>2426.6132528668313</v>
          </cell>
          <cell r="AC365">
            <v>6064.9350867644916</v>
          </cell>
          <cell r="AD365">
            <v>6632.1111199297593</v>
          </cell>
        </row>
        <row r="367">
          <cell r="K367">
            <v>90.97032181544327</v>
          </cell>
          <cell r="L367">
            <v>90.97032181544327</v>
          </cell>
          <cell r="T367">
            <v>97.751437534650393</v>
          </cell>
          <cell r="U367">
            <v>97.751437534650393</v>
          </cell>
          <cell r="AC367">
            <v>69</v>
          </cell>
          <cell r="AD367">
            <v>69</v>
          </cell>
        </row>
        <row r="368">
          <cell r="K368">
            <v>7215.0473399014772</v>
          </cell>
          <cell r="L368">
            <v>7431.4987600985232</v>
          </cell>
          <cell r="T368">
            <v>7711.1460454113176</v>
          </cell>
          <cell r="U368">
            <v>7915.8014235667979</v>
          </cell>
          <cell r="AC368">
            <v>6993.669999809501</v>
          </cell>
          <cell r="AD368">
            <v>7375.9364061813167</v>
          </cell>
        </row>
        <row r="375">
          <cell r="T375">
            <v>359.47201375245584</v>
          </cell>
          <cell r="U375">
            <v>372.41300624754422</v>
          </cell>
          <cell r="AC375">
            <v>406.1953989231522</v>
          </cell>
          <cell r="AD375">
            <v>423.66180107684767</v>
          </cell>
        </row>
        <row r="389">
          <cell r="K389">
            <v>225.57168472906409</v>
          </cell>
          <cell r="L389">
            <v>232.33883527093602</v>
          </cell>
          <cell r="T389">
            <v>163.45229862475438</v>
          </cell>
          <cell r="U389">
            <v>169.33658137524554</v>
          </cell>
          <cell r="AC389">
            <v>150.97788924085265</v>
          </cell>
          <cell r="AD389">
            <v>157.46993847820929</v>
          </cell>
        </row>
        <row r="390">
          <cell r="K390">
            <v>279.19456157635796</v>
          </cell>
          <cell r="L390">
            <v>287.57039842364884</v>
          </cell>
          <cell r="T390">
            <v>147.83730844793718</v>
          </cell>
          <cell r="U390">
            <v>153.15945155206282</v>
          </cell>
          <cell r="AC390">
            <v>147.82611845325494</v>
          </cell>
          <cell r="AD390">
            <v>154.18264154674489</v>
          </cell>
        </row>
        <row r="391">
          <cell r="K391">
            <v>0</v>
          </cell>
          <cell r="L391">
            <v>0</v>
          </cell>
          <cell r="T391">
            <v>0</v>
          </cell>
          <cell r="U391">
            <v>0</v>
          </cell>
          <cell r="AC391">
            <v>0</v>
          </cell>
          <cell r="AD391">
            <v>0</v>
          </cell>
        </row>
        <row r="392">
          <cell r="K392">
            <v>6.8522660098518031</v>
          </cell>
          <cell r="L392">
            <v>7.0578339901473441</v>
          </cell>
          <cell r="T392">
            <v>1.574322200392885</v>
          </cell>
          <cell r="U392">
            <v>1.6309977996070302</v>
          </cell>
          <cell r="AC392">
            <v>4.3739892315222733</v>
          </cell>
          <cell r="AD392">
            <v>4.5620707684777244</v>
          </cell>
        </row>
        <row r="399">
          <cell r="AC399">
            <v>0</v>
          </cell>
          <cell r="AD399">
            <v>0</v>
          </cell>
        </row>
        <row r="401">
          <cell r="AC401">
            <v>0</v>
          </cell>
          <cell r="AD401">
            <v>0</v>
          </cell>
        </row>
        <row r="402">
          <cell r="AC402">
            <v>0</v>
          </cell>
          <cell r="AD402">
            <v>0</v>
          </cell>
        </row>
        <row r="403">
          <cell r="AC403">
            <v>0</v>
          </cell>
          <cell r="AD403">
            <v>0</v>
          </cell>
        </row>
        <row r="405">
          <cell r="AC405">
            <v>0</v>
          </cell>
          <cell r="AD405">
            <v>0</v>
          </cell>
        </row>
        <row r="406">
          <cell r="AC406">
            <v>0</v>
          </cell>
          <cell r="AD406">
            <v>0</v>
          </cell>
        </row>
        <row r="407">
          <cell r="AC407">
            <v>0</v>
          </cell>
          <cell r="AD407">
            <v>0</v>
          </cell>
        </row>
        <row r="408">
          <cell r="AC408">
            <v>0</v>
          </cell>
          <cell r="AD408">
            <v>0</v>
          </cell>
        </row>
        <row r="409">
          <cell r="AC409">
            <v>0</v>
          </cell>
          <cell r="AD409">
            <v>0</v>
          </cell>
        </row>
        <row r="410">
          <cell r="AC410">
            <v>0</v>
          </cell>
          <cell r="AD410">
            <v>0</v>
          </cell>
        </row>
        <row r="411">
          <cell r="AC411">
            <v>0</v>
          </cell>
          <cell r="AD411">
            <v>0</v>
          </cell>
        </row>
        <row r="412">
          <cell r="AC412">
            <v>0</v>
          </cell>
          <cell r="AD412">
            <v>0</v>
          </cell>
        </row>
        <row r="416">
          <cell r="AC416">
            <v>4404.1776798825258</v>
          </cell>
          <cell r="AD416">
            <v>4593.5573201174739</v>
          </cell>
        </row>
        <row r="419">
          <cell r="AC419">
            <v>5750</v>
          </cell>
          <cell r="AD419">
            <v>6040</v>
          </cell>
        </row>
        <row r="420">
          <cell r="AC420">
            <v>2.5438888888888891</v>
          </cell>
          <cell r="AD420">
            <v>2.5438888888888891</v>
          </cell>
        </row>
        <row r="421">
          <cell r="AC421">
            <v>3834.2407182329907</v>
          </cell>
          <cell r="AD421">
            <v>3999.1130691170092</v>
          </cell>
        </row>
        <row r="423">
          <cell r="AC423">
            <v>13.100656791599471</v>
          </cell>
          <cell r="AD423">
            <v>13.100656791599471</v>
          </cell>
        </row>
        <row r="424">
          <cell r="AC424">
            <v>1088.1208320070944</v>
          </cell>
          <cell r="AD424">
            <v>1134.9100277833993</v>
          </cell>
        </row>
        <row r="428">
          <cell r="K428">
            <v>3375.41</v>
          </cell>
          <cell r="L428">
            <v>3375.41</v>
          </cell>
          <cell r="T428">
            <v>3355.9</v>
          </cell>
          <cell r="U428">
            <v>3355.9</v>
          </cell>
          <cell r="AC428">
            <v>2908.9</v>
          </cell>
          <cell r="AD428">
            <v>2908.9</v>
          </cell>
        </row>
        <row r="429">
          <cell r="K429">
            <v>6.5584539437095026</v>
          </cell>
          <cell r="L429">
            <v>6.9257273645572361</v>
          </cell>
          <cell r="T429">
            <v>4.67036548763316</v>
          </cell>
          <cell r="U429">
            <v>4.9319059549406168</v>
          </cell>
          <cell r="AC429">
            <v>7.337470288529067</v>
          </cell>
          <cell r="AD429">
            <v>7.6823313920899325</v>
          </cell>
        </row>
        <row r="434">
          <cell r="T434">
            <v>828.67408767344841</v>
          </cell>
          <cell r="U434">
            <v>828.67408767344841</v>
          </cell>
          <cell r="AC434">
            <v>555.29652595684274</v>
          </cell>
          <cell r="AD434">
            <v>555.29652595684274</v>
          </cell>
        </row>
        <row r="435">
          <cell r="T435">
            <v>13.922009245512738</v>
          </cell>
          <cell r="U435">
            <v>14.300626124685133</v>
          </cell>
          <cell r="AC435">
            <v>6.893043693559453</v>
          </cell>
          <cell r="AD435">
            <v>7.2170167471567606</v>
          </cell>
        </row>
        <row r="437">
          <cell r="K437">
            <v>1100</v>
          </cell>
          <cell r="L437">
            <v>1100</v>
          </cell>
        </row>
        <row r="438">
          <cell r="K438">
            <v>4.894163424124514</v>
          </cell>
          <cell r="L438">
            <v>5.1682365758754871</v>
          </cell>
        </row>
        <row r="479">
          <cell r="K479">
            <v>4.8840681030258901</v>
          </cell>
          <cell r="L479">
            <v>4.8840681030258901</v>
          </cell>
          <cell r="T479">
            <v>24.243163723960784</v>
          </cell>
          <cell r="U479">
            <v>24.243163723960784</v>
          </cell>
          <cell r="AC479">
            <v>22.178165150983958</v>
          </cell>
          <cell r="AD479">
            <v>22.178165150983958</v>
          </cell>
        </row>
        <row r="480">
          <cell r="K480">
            <v>6.6718191665956468</v>
          </cell>
          <cell r="L480">
            <v>6.8719737415935152</v>
          </cell>
          <cell r="T480">
            <v>6.6981223784891029</v>
          </cell>
          <cell r="U480">
            <v>6.9121365608258953</v>
          </cell>
          <cell r="AC480">
            <v>6.9348072470054642</v>
          </cell>
          <cell r="AD480">
            <v>7.2676779948617245</v>
          </cell>
        </row>
        <row r="482">
          <cell r="K482">
            <v>2.38414696324535E-4</v>
          </cell>
          <cell r="L482">
            <v>2.38414696324535E-4</v>
          </cell>
          <cell r="T482">
            <v>1.4553148179404197E-3</v>
          </cell>
          <cell r="U482">
            <v>1.4553148179404197E-3</v>
          </cell>
          <cell r="AC482">
            <v>4.8697697327064251</v>
          </cell>
          <cell r="AD482">
            <v>4.8697697327064251</v>
          </cell>
        </row>
        <row r="483">
          <cell r="K483">
            <v>4809.2157635467984</v>
          </cell>
          <cell r="L483">
            <v>4953.4922364532022</v>
          </cell>
          <cell r="T483">
            <v>4831.6850798186751</v>
          </cell>
          <cell r="U483">
            <v>5005.6257426921475</v>
          </cell>
          <cell r="AC483">
            <v>4.8447155771172934</v>
          </cell>
          <cell r="AD483">
            <v>5.0530383469333371</v>
          </cell>
        </row>
        <row r="489">
          <cell r="K489">
            <v>0.14699743098839735</v>
          </cell>
          <cell r="L489">
            <v>0.14699743098839735</v>
          </cell>
          <cell r="T489">
            <v>0.18544102811423802</v>
          </cell>
          <cell r="U489">
            <v>0.18246903148832616</v>
          </cell>
          <cell r="AC489">
            <v>0.18374659659854403</v>
          </cell>
          <cell r="AD489">
            <v>0.18374659659854403</v>
          </cell>
        </row>
        <row r="490">
          <cell r="K490">
            <v>1672.4876019383253</v>
          </cell>
          <cell r="L490">
            <v>1747.6796398060103</v>
          </cell>
          <cell r="T490">
            <v>1773.6836786924214</v>
          </cell>
          <cell r="U490">
            <v>1816.713798856551</v>
          </cell>
          <cell r="AC490">
            <v>2062.7735030975232</v>
          </cell>
          <cell r="AD490">
            <v>2136.8038787763749</v>
          </cell>
        </row>
        <row r="491">
          <cell r="K491">
            <v>0</v>
          </cell>
          <cell r="L491">
            <v>0</v>
          </cell>
          <cell r="T491">
            <v>4.4677038207672555E-2</v>
          </cell>
          <cell r="U491">
            <v>0</v>
          </cell>
          <cell r="AC491">
            <v>0</v>
          </cell>
          <cell r="AD491">
            <v>0</v>
          </cell>
        </row>
        <row r="511">
          <cell r="K511">
            <v>12.360809999999999</v>
          </cell>
          <cell r="L511">
            <v>12.360809999999999</v>
          </cell>
          <cell r="T511">
            <v>19.93138463134779</v>
          </cell>
          <cell r="U511">
            <v>19.93138463134779</v>
          </cell>
          <cell r="AC511">
            <v>20.890714179645684</v>
          </cell>
          <cell r="AD511">
            <v>20.890714179645684</v>
          </cell>
        </row>
        <row r="515">
          <cell r="T515">
            <v>2.7790799999999933</v>
          </cell>
          <cell r="U515">
            <v>2.7790799999999933</v>
          </cell>
          <cell r="AC515">
            <v>2.7187800000000095</v>
          </cell>
          <cell r="AD515">
            <v>2.7187800000000095</v>
          </cell>
        </row>
        <row r="516">
          <cell r="K516">
            <v>1613.9824899999999</v>
          </cell>
          <cell r="L516">
            <v>1613.9824899999999</v>
          </cell>
          <cell r="T516">
            <v>3243.9478548687039</v>
          </cell>
          <cell r="U516">
            <v>3243.9478548687039</v>
          </cell>
          <cell r="AC516">
            <v>2101.653596666667</v>
          </cell>
          <cell r="AD516">
            <v>2101.653596666667</v>
          </cell>
        </row>
        <row r="517">
          <cell r="K517">
            <v>2.12E-2</v>
          </cell>
          <cell r="L517">
            <v>2.12E-2</v>
          </cell>
          <cell r="T517">
            <v>0.11601</v>
          </cell>
          <cell r="U517">
            <v>0.11601</v>
          </cell>
          <cell r="AC517">
            <v>7.5370000000000006E-2</v>
          </cell>
          <cell r="AD517">
            <v>7.5370000000000006E-2</v>
          </cell>
        </row>
        <row r="522">
          <cell r="K522">
            <v>105.20285000000001</v>
          </cell>
          <cell r="L522">
            <v>105.20285000000001</v>
          </cell>
          <cell r="T522">
            <v>141.90554000000009</v>
          </cell>
          <cell r="U522">
            <v>141.90554000000009</v>
          </cell>
          <cell r="AC522">
            <v>485.87391984786757</v>
          </cell>
          <cell r="AD522">
            <v>485.87391984786757</v>
          </cell>
        </row>
        <row r="525">
          <cell r="K525">
            <v>2775.5090443665877</v>
          </cell>
          <cell r="L525">
            <v>2775.5090443665877</v>
          </cell>
          <cell r="T525">
            <v>3445.5563637533037</v>
          </cell>
          <cell r="U525">
            <v>3445.5563637533037</v>
          </cell>
          <cell r="AC525">
            <v>3752.4835073210174</v>
          </cell>
          <cell r="AD525">
            <v>3752.4835073210174</v>
          </cell>
        </row>
        <row r="530">
          <cell r="K530">
            <v>16.357036035057124</v>
          </cell>
          <cell r="L530">
            <v>16.357036035057124</v>
          </cell>
          <cell r="T530">
            <v>241.33278313779826</v>
          </cell>
          <cell r="U530">
            <v>241.33278313779826</v>
          </cell>
          <cell r="AC530">
            <v>367.14638653041879</v>
          </cell>
          <cell r="AD530">
            <v>367.14638653041879</v>
          </cell>
        </row>
        <row r="532">
          <cell r="K532">
            <v>8906.1648800000039</v>
          </cell>
          <cell r="L532">
            <v>8906.1648800000039</v>
          </cell>
          <cell r="T532">
            <v>9572.0594389999969</v>
          </cell>
          <cell r="U532">
            <v>9572.0594389999969</v>
          </cell>
          <cell r="AC532">
            <v>17634.528619751436</v>
          </cell>
          <cell r="AD532">
            <v>17634.528619751436</v>
          </cell>
        </row>
        <row r="537">
          <cell r="K537">
            <v>4050.6323847035328</v>
          </cell>
          <cell r="L537">
            <v>4050.6323847035328</v>
          </cell>
          <cell r="T537">
            <v>4473.7944253301748</v>
          </cell>
          <cell r="U537">
            <v>4473.7944253301748</v>
          </cell>
          <cell r="AC537">
            <v>3948.0903610391088</v>
          </cell>
          <cell r="AD537">
            <v>3948.0903610391088</v>
          </cell>
        </row>
        <row r="548">
          <cell r="K548">
            <v>6625.9916199999934</v>
          </cell>
          <cell r="L548">
            <v>6556.3506540000162</v>
          </cell>
          <cell r="T548">
            <v>6809.3857174905752</v>
          </cell>
          <cell r="U548">
            <v>6990.0318145094388</v>
          </cell>
          <cell r="AC548">
            <v>8085.214467999991</v>
          </cell>
          <cell r="AD548">
            <v>7232.8580199999851</v>
          </cell>
        </row>
      </sheetData>
      <sheetData sheetId="9">
        <row r="317">
          <cell r="K317">
            <v>14.631923487251083</v>
          </cell>
          <cell r="L317">
            <v>14.631923487251083</v>
          </cell>
          <cell r="T317">
            <v>19.218958655387304</v>
          </cell>
          <cell r="U317">
            <v>19.218958655387304</v>
          </cell>
          <cell r="AC317">
            <v>21.140680827348888</v>
          </cell>
          <cell r="AD317">
            <v>21.140680827348888</v>
          </cell>
        </row>
        <row r="318">
          <cell r="K318">
            <v>34.558380692678632</v>
          </cell>
          <cell r="L318">
            <v>35.595132113458988</v>
          </cell>
          <cell r="T318">
            <v>36.44094263130183</v>
          </cell>
          <cell r="U318">
            <v>37.752816566028699</v>
          </cell>
          <cell r="AC318">
            <v>37.270592610398651</v>
          </cell>
          <cell r="AD318">
            <v>38.873228092645796</v>
          </cell>
        </row>
        <row r="320">
          <cell r="K320">
            <v>2.9722752403419843</v>
          </cell>
          <cell r="L320">
            <v>2.9722752403419843</v>
          </cell>
          <cell r="T320">
            <v>3.7575344363157548</v>
          </cell>
          <cell r="U320">
            <v>3.7575344363157548</v>
          </cell>
          <cell r="AC320">
            <v>3.504703003740548</v>
          </cell>
          <cell r="AD320">
            <v>3.504703003740548</v>
          </cell>
        </row>
        <row r="321">
          <cell r="K321">
            <v>36.613272383530841</v>
          </cell>
          <cell r="L321">
            <v>37.711670555036761</v>
          </cell>
          <cell r="T321">
            <v>38.715289507941428</v>
          </cell>
          <cell r="U321">
            <v>40.109039930227318</v>
          </cell>
          <cell r="AC321">
            <v>39.590832483247283</v>
          </cell>
          <cell r="AD321">
            <v>41.293238280026912</v>
          </cell>
        </row>
        <row r="323">
          <cell r="K323">
            <v>39.790497944829234</v>
          </cell>
          <cell r="L323">
            <v>39.790497944829234</v>
          </cell>
          <cell r="T323">
            <v>55.294938713460283</v>
          </cell>
          <cell r="U323">
            <v>55.294938713460283</v>
          </cell>
          <cell r="AC323">
            <v>49.241233279437843</v>
          </cell>
          <cell r="AD323">
            <v>49.241233279437843</v>
          </cell>
        </row>
        <row r="324">
          <cell r="K324">
            <v>39.176105513096942</v>
          </cell>
          <cell r="L324">
            <v>40.35138867848984</v>
          </cell>
          <cell r="T324">
            <v>38.856513093230944</v>
          </cell>
          <cell r="U324">
            <v>40.255347564587261</v>
          </cell>
          <cell r="AC324">
            <v>41.976147806449156</v>
          </cell>
          <cell r="AD324">
            <v>43.781122162126479</v>
          </cell>
        </row>
        <row r="326">
          <cell r="K326">
            <v>7.6061486012483678E-2</v>
          </cell>
          <cell r="L326">
            <v>7.6061486012483678E-2</v>
          </cell>
          <cell r="T326">
            <v>1.6140370757049256</v>
          </cell>
          <cell r="U326">
            <v>1.6140370757049256</v>
          </cell>
          <cell r="AC326">
            <v>0.96871871404434562</v>
          </cell>
          <cell r="AD326">
            <v>0.96871871404434562</v>
          </cell>
        </row>
        <row r="327">
          <cell r="K327">
            <v>189.04308355173791</v>
          </cell>
          <cell r="L327">
            <v>194.71437605829007</v>
          </cell>
          <cell r="T327">
            <v>121.2837839122308</v>
          </cell>
          <cell r="U327">
            <v>125.6500001330711</v>
          </cell>
          <cell r="AC327">
            <v>209.82152738256107</v>
          </cell>
          <cell r="AD327">
            <v>218.84385306001124</v>
          </cell>
        </row>
        <row r="328">
          <cell r="K328">
            <v>102.37555101412174</v>
          </cell>
          <cell r="L328">
            <v>105.44681754454538</v>
          </cell>
          <cell r="T328">
            <v>3.806493251978635</v>
          </cell>
          <cell r="U328">
            <v>3.9435270090498653</v>
          </cell>
          <cell r="AC328">
            <v>34.457386050517925</v>
          </cell>
          <cell r="AD328">
            <v>35.939053650690198</v>
          </cell>
        </row>
        <row r="329">
          <cell r="K329">
            <v>7335.9637257417326</v>
          </cell>
          <cell r="L329">
            <v>7556.0426375139841</v>
          </cell>
          <cell r="T329">
            <v>7307.3199705304523</v>
          </cell>
          <cell r="U329">
            <v>7570.3834894695483</v>
          </cell>
          <cell r="AC329">
            <v>5021.8356828193801</v>
          </cell>
          <cell r="AD329">
            <v>5237.7746171806129</v>
          </cell>
        </row>
        <row r="330">
          <cell r="K330">
            <v>2829.0980493107681</v>
          </cell>
          <cell r="L330">
            <v>2913.9709907900915</v>
          </cell>
        </row>
        <row r="336">
          <cell r="K336">
            <v>5360</v>
          </cell>
          <cell r="L336">
            <v>5580</v>
          </cell>
          <cell r="T336">
            <v>5580</v>
          </cell>
          <cell r="U336">
            <v>5750</v>
          </cell>
          <cell r="AC336">
            <v>5750</v>
          </cell>
          <cell r="AD336">
            <v>6040</v>
          </cell>
        </row>
        <row r="337">
          <cell r="K337">
            <v>0.87655184210526327</v>
          </cell>
          <cell r="L337">
            <v>0.87655184210526327</v>
          </cell>
          <cell r="T337">
            <v>1.5597368421052633</v>
          </cell>
          <cell r="U337">
            <v>1.5597368421052633</v>
          </cell>
          <cell r="AC337">
            <v>1.5597368421052633</v>
          </cell>
          <cell r="AD337">
            <v>1.5597368421052633</v>
          </cell>
        </row>
        <row r="338">
          <cell r="K338">
            <v>5229.5256315789466</v>
          </cell>
          <cell r="L338">
            <v>5404.8028939584219</v>
          </cell>
          <cell r="T338">
            <v>5476.2646829473706</v>
          </cell>
          <cell r="U338">
            <v>5402.2675501052636</v>
          </cell>
          <cell r="AC338">
            <v>6543.8620795555553</v>
          </cell>
          <cell r="AD338">
            <v>6769.1494534444437</v>
          </cell>
        </row>
        <row r="339">
          <cell r="K339">
            <v>7817.5208853515833</v>
          </cell>
          <cell r="L339">
            <v>8100.19442640754</v>
          </cell>
          <cell r="T339">
            <v>5363.5891237270052</v>
          </cell>
          <cell r="U339">
            <v>5781.8504359016833</v>
          </cell>
          <cell r="AC339">
            <v>4974.4552723871502</v>
          </cell>
          <cell r="AD339">
            <v>5232.95031450651</v>
          </cell>
        </row>
        <row r="341">
          <cell r="K341">
            <v>112.27961874778126</v>
          </cell>
          <cell r="L341">
            <v>112.27961874778126</v>
          </cell>
          <cell r="T341">
            <v>111.49571201763264</v>
          </cell>
          <cell r="U341">
            <v>111.49571201763264</v>
          </cell>
          <cell r="AC341">
            <v>116.25828813213411</v>
          </cell>
          <cell r="AD341">
            <v>116.25828813213411</v>
          </cell>
        </row>
        <row r="342">
          <cell r="K342">
            <v>7302.4366561338757</v>
          </cell>
          <cell r="L342">
            <v>7521.5097558178913</v>
          </cell>
          <cell r="T342">
            <v>7854.7842669579368</v>
          </cell>
          <cell r="U342">
            <v>8089.8461237733281</v>
          </cell>
          <cell r="AC342">
            <v>8416.1492118656734</v>
          </cell>
          <cell r="AD342">
            <v>8843.3346299836558</v>
          </cell>
        </row>
        <row r="345">
          <cell r="K345">
            <v>783.21875971736324</v>
          </cell>
          <cell r="L345">
            <v>806.71532250888401</v>
          </cell>
          <cell r="T345">
            <v>1326.5586220312991</v>
          </cell>
          <cell r="U345">
            <v>1374.3147324244255</v>
          </cell>
          <cell r="AC345">
            <v>1244.0063150621991</v>
          </cell>
          <cell r="AD345">
            <v>1297.4985866098741</v>
          </cell>
        </row>
        <row r="346">
          <cell r="K346">
            <v>0</v>
          </cell>
          <cell r="L346">
            <v>0</v>
          </cell>
          <cell r="T346">
            <v>2992.9444226892801</v>
          </cell>
          <cell r="U346">
            <v>3100.6904219060925</v>
          </cell>
          <cell r="AC346">
            <v>412.05575279550658</v>
          </cell>
          <cell r="AD346">
            <v>429.77415016571331</v>
          </cell>
        </row>
        <row r="348">
          <cell r="K348">
            <v>973.87637911310185</v>
          </cell>
          <cell r="L348">
            <v>1003.0926704864944</v>
          </cell>
          <cell r="T348">
            <v>1097.5967646481947</v>
          </cell>
          <cell r="U348">
            <v>1137.1102481755295</v>
          </cell>
          <cell r="AC348">
            <v>827.5361880705052</v>
          </cell>
          <cell r="AD348">
            <v>863.12024415753694</v>
          </cell>
        </row>
        <row r="349">
          <cell r="K349">
            <v>0</v>
          </cell>
          <cell r="L349">
            <v>0</v>
          </cell>
          <cell r="T349">
            <v>0</v>
          </cell>
          <cell r="U349">
            <v>0</v>
          </cell>
          <cell r="AC349">
            <v>0</v>
          </cell>
          <cell r="AD349">
            <v>0</v>
          </cell>
        </row>
        <row r="350">
          <cell r="K350">
            <v>491.96984479444944</v>
          </cell>
          <cell r="L350">
            <v>506.72894013828295</v>
          </cell>
          <cell r="T350">
            <v>931.66636780735666</v>
          </cell>
          <cell r="U350">
            <v>965.20635704842164</v>
          </cell>
          <cell r="AC350">
            <v>1035.6076133543852</v>
          </cell>
          <cell r="AD350">
            <v>1080.1387407286238</v>
          </cell>
        </row>
        <row r="351">
          <cell r="K351">
            <v>0</v>
          </cell>
          <cell r="L351">
            <v>0</v>
          </cell>
          <cell r="T351">
            <v>44.523256124396482</v>
          </cell>
          <cell r="U351">
            <v>46.126093344874789</v>
          </cell>
          <cell r="AC351">
            <v>42.210467960390076</v>
          </cell>
          <cell r="AD351">
            <v>44.025518082686801</v>
          </cell>
        </row>
        <row r="352">
          <cell r="K352">
            <v>8.7567246455686103</v>
          </cell>
          <cell r="L352">
            <v>9.0194263849356844</v>
          </cell>
          <cell r="T352">
            <v>8.2989390962671905</v>
          </cell>
          <cell r="U352">
            <v>8.5977009037328287</v>
          </cell>
          <cell r="AC352">
            <v>395.99202153695541</v>
          </cell>
          <cell r="AD352">
            <v>413.01967846304444</v>
          </cell>
        </row>
        <row r="353">
          <cell r="K353">
            <v>0</v>
          </cell>
          <cell r="L353">
            <v>0</v>
          </cell>
          <cell r="T353">
            <v>0</v>
          </cell>
          <cell r="U353">
            <v>0</v>
          </cell>
          <cell r="AC353">
            <v>0</v>
          </cell>
          <cell r="AD353">
            <v>0</v>
          </cell>
        </row>
        <row r="355">
          <cell r="K355">
            <v>226.23714329118036</v>
          </cell>
          <cell r="L355">
            <v>233.02425758991581</v>
          </cell>
          <cell r="T355">
            <v>142.18687119940654</v>
          </cell>
          <cell r="U355">
            <v>147.3055985625852</v>
          </cell>
          <cell r="AC355">
            <v>2106.6479978540783</v>
          </cell>
          <cell r="AD355">
            <v>2197.2338617618034</v>
          </cell>
        </row>
        <row r="356">
          <cell r="K356">
            <v>946.23527495473854</v>
          </cell>
          <cell r="L356">
            <v>974.622333203381</v>
          </cell>
          <cell r="T356">
            <v>2679.4537080488817</v>
          </cell>
          <cell r="U356">
            <v>2775.914041538641</v>
          </cell>
          <cell r="AC356">
            <v>684.59620115213318</v>
          </cell>
          <cell r="AD356">
            <v>714.03383780167496</v>
          </cell>
        </row>
        <row r="362">
          <cell r="K362">
            <v>5360</v>
          </cell>
          <cell r="L362">
            <v>5580</v>
          </cell>
          <cell r="T362">
            <v>5580</v>
          </cell>
          <cell r="U362">
            <v>5750</v>
          </cell>
          <cell r="AC362">
            <v>5750</v>
          </cell>
          <cell r="AD362">
            <v>6040</v>
          </cell>
        </row>
        <row r="363">
          <cell r="K363">
            <v>2.6849070062381708</v>
          </cell>
          <cell r="L363">
            <v>2.6849070062381708</v>
          </cell>
          <cell r="T363">
            <v>2.6859636907945976</v>
          </cell>
          <cell r="U363">
            <v>2.6859636907945976</v>
          </cell>
          <cell r="AC363">
            <v>2.8941785658425365</v>
          </cell>
          <cell r="AD363">
            <v>2.8941785658425365</v>
          </cell>
        </row>
        <row r="364">
          <cell r="K364">
            <v>10625.54449024811</v>
          </cell>
          <cell r="L364">
            <v>10808.359131897041</v>
          </cell>
          <cell r="T364">
            <v>4719.8804419297248</v>
          </cell>
          <cell r="U364">
            <v>4922.8912876294762</v>
          </cell>
          <cell r="AC364">
            <v>8153.4023017006748</v>
          </cell>
          <cell r="AD364">
            <v>8164.3604474378808</v>
          </cell>
        </row>
        <row r="365">
          <cell r="K365">
            <v>7879.3557767717466</v>
          </cell>
          <cell r="L365">
            <v>8207.364002250175</v>
          </cell>
          <cell r="T365">
            <v>5081.8900598176351</v>
          </cell>
          <cell r="U365">
            <v>5813.2409708714276</v>
          </cell>
          <cell r="AC365">
            <v>8576.6655743280317</v>
          </cell>
          <cell r="AD365">
            <v>9150.844273512932</v>
          </cell>
        </row>
        <row r="367">
          <cell r="K367">
            <v>78.308269710418585</v>
          </cell>
          <cell r="L367">
            <v>78.308269710418585</v>
          </cell>
          <cell r="T367">
            <v>93.250724043378852</v>
          </cell>
          <cell r="U367">
            <v>93.250724043378852</v>
          </cell>
          <cell r="AC367">
            <v>84.628418925057744</v>
          </cell>
          <cell r="AD367">
            <v>84.628418925057744</v>
          </cell>
        </row>
        <row r="368">
          <cell r="K368">
            <v>9227.8870430548832</v>
          </cell>
          <cell r="L368">
            <v>9504.7236543465297</v>
          </cell>
          <cell r="T368">
            <v>9711.9136347540989</v>
          </cell>
          <cell r="U368">
            <v>9997.6271369869919</v>
          </cell>
          <cell r="AC368">
            <v>9792.8278647624575</v>
          </cell>
          <cell r="AD368">
            <v>10297.267670332914</v>
          </cell>
        </row>
        <row r="375">
          <cell r="T375">
            <v>131.51107072691553</v>
          </cell>
          <cell r="U375">
            <v>136.2454692730845</v>
          </cell>
          <cell r="AC375">
            <v>232.51053705623758</v>
          </cell>
          <cell r="AD375">
            <v>242.29619196762076</v>
          </cell>
        </row>
        <row r="389">
          <cell r="K389">
            <v>548.39370331151315</v>
          </cell>
          <cell r="L389">
            <v>564.84551441085853</v>
          </cell>
          <cell r="T389">
            <v>558.55997929319733</v>
          </cell>
          <cell r="U389">
            <v>578.66813854775239</v>
          </cell>
          <cell r="AC389">
            <v>695.10551434820422</v>
          </cell>
          <cell r="AD389">
            <v>724.99505146517697</v>
          </cell>
        </row>
        <row r="390">
          <cell r="K390">
            <v>308.06455795710031</v>
          </cell>
          <cell r="L390">
            <v>317.30649469581329</v>
          </cell>
          <cell r="T390">
            <v>158.87561302164121</v>
          </cell>
          <cell r="U390">
            <v>164.59513509042031</v>
          </cell>
          <cell r="AC390">
            <v>162.01980278041626</v>
          </cell>
          <cell r="AD390">
            <v>168.98665429997422</v>
          </cell>
        </row>
        <row r="391">
          <cell r="K391">
            <v>0</v>
          </cell>
          <cell r="L391">
            <v>0</v>
          </cell>
          <cell r="T391">
            <v>0</v>
          </cell>
          <cell r="U391">
            <v>0</v>
          </cell>
          <cell r="AC391">
            <v>0</v>
          </cell>
          <cell r="AD391">
            <v>0</v>
          </cell>
        </row>
        <row r="392">
          <cell r="K392">
            <v>8.5349474349409604</v>
          </cell>
          <cell r="L392">
            <v>8.7909958579891878</v>
          </cell>
          <cell r="T392">
            <v>1.2880031482054761</v>
          </cell>
          <cell r="U392">
            <v>1.3343712615408663</v>
          </cell>
          <cell r="AC392">
            <v>17.210323633282854</v>
          </cell>
          <cell r="AD392">
            <v>17.950367549514013</v>
          </cell>
        </row>
        <row r="416">
          <cell r="AC416">
            <v>4404.1776798825258</v>
          </cell>
          <cell r="AD416">
            <v>4593.5573201174739</v>
          </cell>
        </row>
        <row r="419">
          <cell r="AC419">
            <v>5750</v>
          </cell>
          <cell r="AD419">
            <v>6040</v>
          </cell>
        </row>
        <row r="420">
          <cell r="AC420">
            <v>2.5438888888888891</v>
          </cell>
          <cell r="AD420">
            <v>2.5438888888888891</v>
          </cell>
        </row>
        <row r="421">
          <cell r="AC421">
            <v>4437.0601014929025</v>
          </cell>
          <cell r="AD421">
            <v>4627.8536858570969</v>
          </cell>
        </row>
        <row r="423">
          <cell r="AC423">
            <v>9.9976749378893093</v>
          </cell>
          <cell r="AD423">
            <v>9.9976749378893093</v>
          </cell>
        </row>
        <row r="424">
          <cell r="AC424">
            <v>852.23292539673037</v>
          </cell>
          <cell r="AD424">
            <v>888.87894118878967</v>
          </cell>
        </row>
        <row r="428">
          <cell r="K428">
            <v>5752.8</v>
          </cell>
          <cell r="L428">
            <v>5752.8</v>
          </cell>
          <cell r="T428">
            <v>3730.2</v>
          </cell>
          <cell r="U428">
            <v>3730.2</v>
          </cell>
          <cell r="AC428">
            <v>3810</v>
          </cell>
          <cell r="AD428">
            <v>3810</v>
          </cell>
        </row>
        <row r="429">
          <cell r="K429">
            <v>6.2638922089833651</v>
          </cell>
          <cell r="L429">
            <v>6.6146701726864352</v>
          </cell>
          <cell r="T429">
            <v>6.9795719844357968</v>
          </cell>
          <cell r="U429">
            <v>7.3704280155642028</v>
          </cell>
          <cell r="AC429">
            <v>6.8048612115290661</v>
          </cell>
          <cell r="AD429">
            <v>7.1246896884709319</v>
          </cell>
        </row>
        <row r="434">
          <cell r="K434">
            <v>2171.8463418672172</v>
          </cell>
          <cell r="L434">
            <v>2171.8463418672181</v>
          </cell>
          <cell r="T434">
            <v>5331.9519123265509</v>
          </cell>
          <cell r="U434">
            <v>5331.9519123265509</v>
          </cell>
          <cell r="AC434">
            <v>5194.9021040431589</v>
          </cell>
          <cell r="AD434">
            <v>5194.9021040431589</v>
          </cell>
        </row>
        <row r="435">
          <cell r="K435">
            <v>5.5792234284724511</v>
          </cell>
          <cell r="L435">
            <v>5.8945850382869214</v>
          </cell>
          <cell r="T435">
            <v>6.2551172497418026</v>
          </cell>
          <cell r="U435">
            <v>6.6054038157273451</v>
          </cell>
          <cell r="AC435">
            <v>6.515818177027163</v>
          </cell>
          <cell r="AD435">
            <v>6.8220616313474407</v>
          </cell>
        </row>
        <row r="479">
          <cell r="K479">
            <v>15.334880205183399</v>
          </cell>
          <cell r="L479">
            <v>15.334880205183399</v>
          </cell>
          <cell r="T479">
            <v>38.0910413778128</v>
          </cell>
          <cell r="U479">
            <v>38.0910413778128</v>
          </cell>
          <cell r="AC479">
            <v>42.766600501803552</v>
          </cell>
          <cell r="AD479">
            <v>42.766600501803552</v>
          </cell>
        </row>
        <row r="480">
          <cell r="K480">
            <v>6.6718191665956459</v>
          </cell>
          <cell r="L480">
            <v>6.8719737415935152</v>
          </cell>
          <cell r="T480">
            <v>6.72281325989516</v>
          </cell>
          <cell r="U480">
            <v>6.9469771069049706</v>
          </cell>
          <cell r="AC480">
            <v>7.083350811217926</v>
          </cell>
          <cell r="AD480">
            <v>7.4233516501563868</v>
          </cell>
        </row>
        <row r="482">
          <cell r="K482">
            <v>7.4856876074820403E-4</v>
          </cell>
          <cell r="L482">
            <v>7.4856876074820403E-4</v>
          </cell>
          <cell r="T482">
            <v>3.9326346610561993E-3</v>
          </cell>
          <cell r="U482">
            <v>3.9326346610561993E-3</v>
          </cell>
          <cell r="AC482">
            <v>7.5024835741897737</v>
          </cell>
          <cell r="AD482">
            <v>7.5024835741897737</v>
          </cell>
        </row>
        <row r="483">
          <cell r="K483">
            <v>4809.2157635467984</v>
          </cell>
          <cell r="L483">
            <v>4953.4922364532022</v>
          </cell>
          <cell r="T483">
            <v>4831.6850798186761</v>
          </cell>
          <cell r="U483">
            <v>5005.6257426921484</v>
          </cell>
          <cell r="AC483">
            <v>4.8447155771172934</v>
          </cell>
          <cell r="AD483">
            <v>5.0530383469333371</v>
          </cell>
        </row>
        <row r="489">
          <cell r="K489">
            <v>0.11936326075252701</v>
          </cell>
          <cell r="L489">
            <v>0.11936326075252701</v>
          </cell>
          <cell r="T489">
            <v>0.2863514265825523</v>
          </cell>
          <cell r="U489">
            <v>0.28035092164034037</v>
          </cell>
          <cell r="AC489">
            <v>0.32876748898836572</v>
          </cell>
          <cell r="AD489">
            <v>0.32876748898836572</v>
          </cell>
        </row>
        <row r="490">
          <cell r="K490">
            <v>1717.2586703329607</v>
          </cell>
          <cell r="L490">
            <v>1777.3627237946166</v>
          </cell>
          <cell r="T490">
            <v>1833.5129792772705</v>
          </cell>
          <cell r="U490">
            <v>1882.6944923563362</v>
          </cell>
          <cell r="AC490">
            <v>2048.125008893634</v>
          </cell>
          <cell r="AD490">
            <v>2120.7990139184467</v>
          </cell>
        </row>
        <row r="491">
          <cell r="K491">
            <v>0</v>
          </cell>
          <cell r="L491">
            <v>0</v>
          </cell>
          <cell r="T491">
            <v>4.3897166397182642E-2</v>
          </cell>
          <cell r="U491">
            <v>0</v>
          </cell>
          <cell r="AC491">
            <v>0</v>
          </cell>
          <cell r="AD491">
            <v>0</v>
          </cell>
        </row>
        <row r="502">
          <cell r="K502">
            <v>3856.0000087313674</v>
          </cell>
          <cell r="L502">
            <v>3856.0000087313674</v>
          </cell>
          <cell r="T502">
            <v>8585.3658584040459</v>
          </cell>
          <cell r="U502">
            <v>8585.3658584040386</v>
          </cell>
          <cell r="AC502">
            <v>2408.7849500000011</v>
          </cell>
          <cell r="AD502">
            <v>2408.7849500000011</v>
          </cell>
        </row>
        <row r="503">
          <cell r="K503">
            <v>3.1978119664592541</v>
          </cell>
          <cell r="L503">
            <v>3.325724445117626</v>
          </cell>
          <cell r="T503">
            <v>3.5805336136218848</v>
          </cell>
          <cell r="U503">
            <v>3.7094328237122727</v>
          </cell>
          <cell r="AC503">
            <v>13.844862859443076</v>
          </cell>
          <cell r="AD503">
            <v>14.260208745226372</v>
          </cell>
        </row>
        <row r="511">
          <cell r="K511">
            <v>25.591982427291985</v>
          </cell>
          <cell r="L511">
            <v>25.591982427291985</v>
          </cell>
          <cell r="T511">
            <v>33.121252210865912</v>
          </cell>
          <cell r="U511">
            <v>33.121252210865912</v>
          </cell>
          <cell r="AC511">
            <v>31.629723165996179</v>
          </cell>
          <cell r="AD511">
            <v>31.629723165996179</v>
          </cell>
        </row>
        <row r="515">
          <cell r="K515">
            <v>14.343249999999998</v>
          </cell>
          <cell r="L515">
            <v>14.343249999999998</v>
          </cell>
          <cell r="T515">
            <v>16.041650000000004</v>
          </cell>
          <cell r="U515">
            <v>16.041650000000004</v>
          </cell>
          <cell r="AC515">
            <v>15.20944999999999</v>
          </cell>
          <cell r="AD515">
            <v>15.20944999999999</v>
          </cell>
        </row>
        <row r="516">
          <cell r="K516">
            <v>3260.6220899999994</v>
          </cell>
          <cell r="L516">
            <v>3260.6220899999994</v>
          </cell>
          <cell r="T516">
            <v>-225.1806135853908</v>
          </cell>
          <cell r="U516">
            <v>-225.1806135853908</v>
          </cell>
          <cell r="AC516">
            <v>5326.7083061066669</v>
          </cell>
          <cell r="AD516">
            <v>5326.7083061066669</v>
          </cell>
        </row>
        <row r="517">
          <cell r="K517">
            <v>7.3400000000000002E-3</v>
          </cell>
          <cell r="L517">
            <v>7.3400000000000002E-3</v>
          </cell>
          <cell r="T517">
            <v>0.70104999999999995</v>
          </cell>
          <cell r="U517">
            <v>0.70104999999999995</v>
          </cell>
          <cell r="AC517">
            <v>0.62500999999999995</v>
          </cell>
          <cell r="AD517">
            <v>0.62500999999999995</v>
          </cell>
        </row>
        <row r="522">
          <cell r="K522">
            <v>136.78594170630959</v>
          </cell>
          <cell r="L522">
            <v>136.78594170630959</v>
          </cell>
          <cell r="T522">
            <v>445.31952432053674</v>
          </cell>
          <cell r="U522">
            <v>445.31952432053674</v>
          </cell>
          <cell r="AC522">
            <v>782.03674326387807</v>
          </cell>
          <cell r="AD522">
            <v>782.03674326387807</v>
          </cell>
        </row>
        <row r="525">
          <cell r="K525">
            <v>2123.0268224398801</v>
          </cell>
          <cell r="L525">
            <v>2123.0268224398801</v>
          </cell>
          <cell r="T525">
            <v>2662.6103267954904</v>
          </cell>
          <cell r="U525">
            <v>2662.6103267954904</v>
          </cell>
          <cell r="AC525">
            <v>0</v>
          </cell>
          <cell r="AD525">
            <v>0</v>
          </cell>
        </row>
        <row r="530">
          <cell r="K530">
            <v>12.511732328354572</v>
          </cell>
          <cell r="L530">
            <v>12.511732328354572</v>
          </cell>
          <cell r="T530">
            <v>186.49387580385712</v>
          </cell>
          <cell r="U530">
            <v>186.49387580385712</v>
          </cell>
          <cell r="AC530">
            <v>0</v>
          </cell>
          <cell r="AD530">
            <v>0</v>
          </cell>
        </row>
        <row r="532">
          <cell r="K532">
            <v>18879.524703136503</v>
          </cell>
          <cell r="L532">
            <v>18879.524703136503</v>
          </cell>
          <cell r="T532">
            <v>13612.386745960759</v>
          </cell>
          <cell r="U532">
            <v>13612.386745960759</v>
          </cell>
          <cell r="AC532">
            <v>42688.607803697923</v>
          </cell>
          <cell r="AD532">
            <v>42688.607803697923</v>
          </cell>
        </row>
        <row r="537">
          <cell r="K537">
            <v>3109.4886018000338</v>
          </cell>
          <cell r="L537">
            <v>3109.4886018000338</v>
          </cell>
          <cell r="T537">
            <v>3465.8219572198468</v>
          </cell>
          <cell r="U537">
            <v>3465.8219572198468</v>
          </cell>
          <cell r="AC537">
            <v>130.62148879999995</v>
          </cell>
          <cell r="AD537">
            <v>130.62148879999995</v>
          </cell>
        </row>
        <row r="548">
          <cell r="K548">
            <v>6890.9175800000012</v>
          </cell>
          <cell r="L548">
            <v>6836.3007739999957</v>
          </cell>
          <cell r="T548">
            <v>7008.2988574905794</v>
          </cell>
          <cell r="U548">
            <v>7183.469754509435</v>
          </cell>
          <cell r="AC548">
            <v>8274.2879129999856</v>
          </cell>
          <cell r="AD548">
            <v>7381.8117049999928</v>
          </cell>
        </row>
      </sheetData>
      <sheetData sheetId="10">
        <row r="317">
          <cell r="K317">
            <v>7.9343126331585765</v>
          </cell>
          <cell r="L317">
            <v>7.9343126331585765</v>
          </cell>
          <cell r="T317">
            <v>9.056295486585956</v>
          </cell>
          <cell r="U317">
            <v>9.056295486585956</v>
          </cell>
          <cell r="AC317">
            <v>21.812545610370218</v>
          </cell>
          <cell r="AD317">
            <v>21.812545610370218</v>
          </cell>
        </row>
        <row r="318">
          <cell r="K318">
            <v>34.719970598854232</v>
          </cell>
          <cell r="L318">
            <v>35.761569716819892</v>
          </cell>
          <cell r="T318">
            <v>36.586437063412419</v>
          </cell>
          <cell r="U318">
            <v>37.903548797695272</v>
          </cell>
          <cell r="AC318">
            <v>37.666760346693344</v>
          </cell>
          <cell r="AD318">
            <v>39.286431041601148</v>
          </cell>
        </row>
        <row r="320">
          <cell r="K320">
            <v>2.0089010444164526</v>
          </cell>
          <cell r="L320">
            <v>2.0089010444164535</v>
          </cell>
          <cell r="T320">
            <v>2.1132475311551557</v>
          </cell>
          <cell r="U320">
            <v>2.1132475311551557</v>
          </cell>
          <cell r="AC320">
            <v>0.46981222178274784</v>
          </cell>
          <cell r="AD320">
            <v>0.46981222178274784</v>
          </cell>
        </row>
        <row r="321">
          <cell r="K321">
            <v>36.61327238353099</v>
          </cell>
          <cell r="L321">
            <v>37.71167055503691</v>
          </cell>
          <cell r="T321">
            <v>38.720145619676444</v>
          </cell>
          <cell r="U321">
            <v>40.114070861984779</v>
          </cell>
          <cell r="AC321">
            <v>38.633877616007318</v>
          </cell>
          <cell r="AD321">
            <v>40.295134353495662</v>
          </cell>
        </row>
        <row r="323">
          <cell r="K323">
            <v>25.032602244794504</v>
          </cell>
          <cell r="L323">
            <v>25.032602244794504</v>
          </cell>
          <cell r="T323">
            <v>28.268572543184021</v>
          </cell>
          <cell r="U323">
            <v>28.268572543184021</v>
          </cell>
          <cell r="AC323">
            <v>13.236544034641511</v>
          </cell>
          <cell r="AD323">
            <v>13.236544034641511</v>
          </cell>
        </row>
        <row r="324">
          <cell r="K324">
            <v>39.286328615868413</v>
          </cell>
          <cell r="L324">
            <v>40.464918474344465</v>
          </cell>
          <cell r="T324">
            <v>38.892314734752176</v>
          </cell>
          <cell r="U324">
            <v>40.292438065203264</v>
          </cell>
          <cell r="AC324">
            <v>43.902692976903552</v>
          </cell>
          <cell r="AD324">
            <v>45.790508774910379</v>
          </cell>
        </row>
        <row r="326">
          <cell r="K326">
            <v>3.7585227926017456E-2</v>
          </cell>
          <cell r="L326">
            <v>3.7585227926017456E-2</v>
          </cell>
          <cell r="T326">
            <v>0.85109881024031875</v>
          </cell>
          <cell r="U326">
            <v>0.85109881024031875</v>
          </cell>
          <cell r="AC326">
            <v>9.2466413366099953E-2</v>
          </cell>
          <cell r="AD326">
            <v>9.2466413366099953E-2</v>
          </cell>
        </row>
        <row r="327">
          <cell r="K327">
            <v>210.52566823520164</v>
          </cell>
          <cell r="L327">
            <v>216.84143828225751</v>
          </cell>
          <cell r="T327">
            <v>119.67775507412479</v>
          </cell>
          <cell r="U327">
            <v>123.98615425679323</v>
          </cell>
          <cell r="AC327">
            <v>774.12626466528889</v>
          </cell>
          <cell r="AD327">
            <v>807.4136940458967</v>
          </cell>
        </row>
        <row r="328">
          <cell r="K328">
            <v>68.473361778512356</v>
          </cell>
          <cell r="L328">
            <v>70.527562631867738</v>
          </cell>
          <cell r="T328">
            <v>0.39827688118610727</v>
          </cell>
          <cell r="U328">
            <v>0.41261484890880684</v>
          </cell>
          <cell r="AC328">
            <v>56.181726054676489</v>
          </cell>
          <cell r="AD328">
            <v>58.597540275027569</v>
          </cell>
        </row>
        <row r="329">
          <cell r="K329">
            <v>3786.1751133004946</v>
          </cell>
          <cell r="L329">
            <v>3899.7603666995092</v>
          </cell>
          <cell r="T329">
            <v>4626.4338506876238</v>
          </cell>
          <cell r="U329">
            <v>4792.9854693123789</v>
          </cell>
          <cell r="AC329">
            <v>2898.0590895741543</v>
          </cell>
          <cell r="AD329">
            <v>3022.6756304258452</v>
          </cell>
        </row>
        <row r="330">
          <cell r="K330">
            <v>0</v>
          </cell>
          <cell r="L330">
            <v>0</v>
          </cell>
          <cell r="T330">
            <v>0</v>
          </cell>
          <cell r="U330">
            <v>0</v>
          </cell>
          <cell r="AC330">
            <v>0</v>
          </cell>
          <cell r="AD330">
            <v>0</v>
          </cell>
        </row>
        <row r="336">
          <cell r="K336">
            <v>5360</v>
          </cell>
          <cell r="L336">
            <v>5580</v>
          </cell>
          <cell r="T336">
            <v>5580</v>
          </cell>
          <cell r="U336">
            <v>5750</v>
          </cell>
          <cell r="AC336">
            <v>5750</v>
          </cell>
          <cell r="AD336">
            <v>6040</v>
          </cell>
        </row>
        <row r="337">
          <cell r="K337">
            <v>1.7232258064516128</v>
          </cell>
          <cell r="L337">
            <v>1.7232258064516128</v>
          </cell>
          <cell r="T337">
            <v>1.73</v>
          </cell>
          <cell r="U337">
            <v>1.73</v>
          </cell>
          <cell r="AC337">
            <v>1.7316363636363636</v>
          </cell>
          <cell r="AD337">
            <v>1.7316363636363636</v>
          </cell>
        </row>
        <row r="338">
          <cell r="K338">
            <v>7400.2403687096721</v>
          </cell>
          <cell r="L338">
            <v>8338.3773368760012</v>
          </cell>
          <cell r="T338">
            <v>8593.3832650690911</v>
          </cell>
          <cell r="U338">
            <v>8849.1194898211634</v>
          </cell>
          <cell r="AC338">
            <v>10086.460702818182</v>
          </cell>
          <cell r="AD338">
            <v>10534.787861909092</v>
          </cell>
        </row>
        <row r="339">
          <cell r="K339">
            <v>4266.5454719793543</v>
          </cell>
          <cell r="L339">
            <v>4441.6648756799996</v>
          </cell>
          <cell r="T339">
            <v>6865.9530085771275</v>
          </cell>
          <cell r="U339">
            <v>7159.4859988344415</v>
          </cell>
          <cell r="AC339">
            <v>11922.047436484092</v>
          </cell>
          <cell r="AD339">
            <v>12518.149808308297</v>
          </cell>
        </row>
        <row r="341">
          <cell r="K341">
            <v>48.708333333333329</v>
          </cell>
          <cell r="L341">
            <v>48.708333333333329</v>
          </cell>
          <cell r="T341">
            <v>40</v>
          </cell>
          <cell r="U341">
            <v>40</v>
          </cell>
          <cell r="AC341">
            <v>32</v>
          </cell>
          <cell r="AD341">
            <v>32</v>
          </cell>
        </row>
        <row r="342">
          <cell r="K342">
            <v>3740.8086995073882</v>
          </cell>
          <cell r="L342">
            <v>3853.0329604926101</v>
          </cell>
          <cell r="T342">
            <v>3581.4146312060784</v>
          </cell>
          <cell r="U342">
            <v>3660.9270657572833</v>
          </cell>
          <cell r="AC342">
            <v>3544.2338503025803</v>
          </cell>
          <cell r="AD342">
            <v>3755.9189008079693</v>
          </cell>
        </row>
        <row r="345">
          <cell r="K345">
            <v>529.56008866995103</v>
          </cell>
          <cell r="L345">
            <v>545.44689133004977</v>
          </cell>
          <cell r="T345">
            <v>659.09035363457792</v>
          </cell>
          <cell r="U345">
            <v>682.81760636542322</v>
          </cell>
          <cell r="AC345">
            <v>558.34812530592217</v>
          </cell>
          <cell r="AD345">
            <v>582.35709469407698</v>
          </cell>
        </row>
        <row r="346">
          <cell r="K346">
            <v>1364.870456739658</v>
          </cell>
          <cell r="L346">
            <v>1405.8165704418479</v>
          </cell>
          <cell r="T346">
            <v>2010.1168101629473</v>
          </cell>
          <cell r="U346">
            <v>2082.4810153288145</v>
          </cell>
          <cell r="AC346">
            <v>231.66151698650492</v>
          </cell>
          <cell r="AD346">
            <v>241.62296221692441</v>
          </cell>
        </row>
        <row r="348">
          <cell r="K348">
            <v>491.56778325123014</v>
          </cell>
          <cell r="L348">
            <v>506.31481674876704</v>
          </cell>
          <cell r="T348">
            <v>502.13136542239681</v>
          </cell>
          <cell r="U348">
            <v>520.20809457760333</v>
          </cell>
          <cell r="AC348">
            <v>250.36381791483109</v>
          </cell>
          <cell r="AD348">
            <v>261.12946208516951</v>
          </cell>
        </row>
        <row r="349">
          <cell r="K349">
            <v>0</v>
          </cell>
          <cell r="L349">
            <v>0</v>
          </cell>
          <cell r="T349">
            <v>0</v>
          </cell>
          <cell r="U349">
            <v>0</v>
          </cell>
          <cell r="AC349">
            <v>0</v>
          </cell>
          <cell r="AD349">
            <v>0</v>
          </cell>
        </row>
        <row r="350">
          <cell r="K350">
            <v>417.06214778325125</v>
          </cell>
          <cell r="L350">
            <v>429.57401221674877</v>
          </cell>
          <cell r="T350">
            <v>546.50266208251469</v>
          </cell>
          <cell r="U350">
            <v>566.17675791748479</v>
          </cell>
          <cell r="AC350">
            <v>491.13716103768957</v>
          </cell>
          <cell r="AD350">
            <v>512.25605896231036</v>
          </cell>
        </row>
        <row r="351">
          <cell r="K351">
            <v>12.028660098518003</v>
          </cell>
          <cell r="L351">
            <v>12.389519901473477</v>
          </cell>
          <cell r="T351">
            <v>3.9052946954811887</v>
          </cell>
          <cell r="U351">
            <v>4.0458853045186061</v>
          </cell>
          <cell r="AC351">
            <v>8.0297112090061091</v>
          </cell>
          <cell r="AD351">
            <v>8.3749887909934841</v>
          </cell>
        </row>
        <row r="352">
          <cell r="K352">
            <v>6.1148571428571543</v>
          </cell>
          <cell r="L352">
            <v>6.2983028571428719</v>
          </cell>
          <cell r="T352">
            <v>2.768398821218085</v>
          </cell>
          <cell r="U352">
            <v>2.8680611787819288</v>
          </cell>
          <cell r="AC352">
            <v>3.9235829662261352</v>
          </cell>
          <cell r="AD352">
            <v>4.0922970337738604</v>
          </cell>
        </row>
        <row r="353">
          <cell r="K353">
            <v>0</v>
          </cell>
          <cell r="L353">
            <v>0</v>
          </cell>
          <cell r="T353">
            <v>0</v>
          </cell>
          <cell r="U353">
            <v>0</v>
          </cell>
          <cell r="AC353">
            <v>0</v>
          </cell>
          <cell r="AD353">
            <v>0</v>
          </cell>
        </row>
        <row r="355">
          <cell r="K355">
            <v>121.65330049261084</v>
          </cell>
          <cell r="L355">
            <v>125.30289950738921</v>
          </cell>
          <cell r="T355">
            <v>82.692445972494966</v>
          </cell>
          <cell r="U355">
            <v>85.669374027504944</v>
          </cell>
          <cell r="AC355">
            <v>897.80914341654409</v>
          </cell>
          <cell r="AD355">
            <v>936.41493658345541</v>
          </cell>
        </row>
        <row r="356">
          <cell r="K356">
            <v>832.7052118226984</v>
          </cell>
          <cell r="L356">
            <v>857.68636817738115</v>
          </cell>
          <cell r="T356">
            <v>3283.7264341846749</v>
          </cell>
          <cell r="U356">
            <v>3401.9405858153241</v>
          </cell>
          <cell r="AC356">
            <v>437.16599118942759</v>
          </cell>
          <cell r="AD356">
            <v>455.96412881057313</v>
          </cell>
        </row>
        <row r="362">
          <cell r="K362">
            <v>5360</v>
          </cell>
          <cell r="L362">
            <v>5580</v>
          </cell>
          <cell r="T362">
            <v>5580</v>
          </cell>
          <cell r="U362">
            <v>5750</v>
          </cell>
          <cell r="AC362">
            <v>5750</v>
          </cell>
          <cell r="AD362">
            <v>6040</v>
          </cell>
        </row>
        <row r="363">
          <cell r="K363">
            <v>2.4796958229276371</v>
          </cell>
          <cell r="L363">
            <v>2.4796958229276371</v>
          </cell>
          <cell r="T363">
            <v>2.6815785443798923</v>
          </cell>
          <cell r="U363">
            <v>2.6815785443798923</v>
          </cell>
          <cell r="AC363">
            <v>2.6347629287865222</v>
          </cell>
          <cell r="AD363">
            <v>2.6347629287865222</v>
          </cell>
        </row>
        <row r="364">
          <cell r="K364">
            <v>13515.71417108608</v>
          </cell>
          <cell r="L364">
            <v>13886.887675288461</v>
          </cell>
          <cell r="T364">
            <v>5122.764966583878</v>
          </cell>
          <cell r="U364">
            <v>5396.285978110629</v>
          </cell>
          <cell r="AC364">
            <v>13362.415130391877</v>
          </cell>
          <cell r="AD364">
            <v>14030.535886911472</v>
          </cell>
        </row>
        <row r="365">
          <cell r="K365">
            <v>15880.96995087166</v>
          </cell>
          <cell r="L365">
            <v>16413.127784676093</v>
          </cell>
          <cell r="T365">
            <v>9787.8789247537152</v>
          </cell>
          <cell r="U365">
            <v>10218.682147616328</v>
          </cell>
          <cell r="AC365">
            <v>11563.63021498273</v>
          </cell>
          <cell r="AD365">
            <v>12447.208706231866</v>
          </cell>
        </row>
        <row r="367">
          <cell r="K367">
            <v>45.361041320384444</v>
          </cell>
          <cell r="L367">
            <v>45.361041320384444</v>
          </cell>
          <cell r="T367">
            <v>44</v>
          </cell>
          <cell r="U367">
            <v>44</v>
          </cell>
          <cell r="AC367">
            <v>27.560000000000002</v>
          </cell>
          <cell r="AD367">
            <v>27.560000000000002</v>
          </cell>
        </row>
        <row r="368">
          <cell r="K368">
            <v>4952.7853399014775</v>
          </cell>
          <cell r="L368">
            <v>5101.3689000985232</v>
          </cell>
          <cell r="T368">
            <v>4716.0536242424014</v>
          </cell>
          <cell r="U368">
            <v>4817.6961125336093</v>
          </cell>
          <cell r="AC368">
            <v>4121.2830295325639</v>
          </cell>
          <cell r="AD368">
            <v>4385.0332136031529</v>
          </cell>
        </row>
        <row r="371">
          <cell r="K371">
            <v>0</v>
          </cell>
          <cell r="L371">
            <v>0</v>
          </cell>
        </row>
        <row r="372">
          <cell r="K372">
            <v>0</v>
          </cell>
          <cell r="L372">
            <v>0</v>
          </cell>
        </row>
        <row r="373">
          <cell r="K373">
            <v>-4.5474735088646412E-13</v>
          </cell>
          <cell r="L373">
            <v>-4.6895820560166612E-13</v>
          </cell>
        </row>
        <row r="374">
          <cell r="K374">
            <v>0</v>
          </cell>
          <cell r="L374">
            <v>0</v>
          </cell>
        </row>
        <row r="375">
          <cell r="K375">
            <v>291.50887684729025</v>
          </cell>
          <cell r="L375">
            <v>300.25414315270899</v>
          </cell>
          <cell r="T375">
            <v>201.381905697446</v>
          </cell>
          <cell r="U375">
            <v>208.63165430255407</v>
          </cell>
          <cell r="AC375">
            <v>249.46034263338228</v>
          </cell>
          <cell r="AD375">
            <v>260.18713736661772</v>
          </cell>
        </row>
        <row r="376">
          <cell r="K376">
            <v>0</v>
          </cell>
          <cell r="L376">
            <v>0</v>
          </cell>
        </row>
        <row r="389">
          <cell r="K389">
            <v>314.64911330049262</v>
          </cell>
          <cell r="L389">
            <v>324.08858669950746</v>
          </cell>
          <cell r="T389">
            <v>51.280127701375207</v>
          </cell>
          <cell r="U389">
            <v>53.126212298624715</v>
          </cell>
          <cell r="AC389">
            <v>177.37294078477106</v>
          </cell>
          <cell r="AD389">
            <v>184.99997723851618</v>
          </cell>
        </row>
        <row r="390">
          <cell r="K390">
            <v>179.03929064039608</v>
          </cell>
          <cell r="L390">
            <v>184.41046935960799</v>
          </cell>
          <cell r="T390">
            <v>78.648948919450277</v>
          </cell>
          <cell r="U390">
            <v>81.480311080550564</v>
          </cell>
          <cell r="AC390">
            <v>70.041302006852675</v>
          </cell>
          <cell r="AD390">
            <v>73.053077993147326</v>
          </cell>
        </row>
        <row r="391">
          <cell r="K391">
            <v>2.8421709430404007E-13</v>
          </cell>
          <cell r="L391">
            <v>2.8421709430404007E-13</v>
          </cell>
          <cell r="T391">
            <v>0</v>
          </cell>
          <cell r="U391">
            <v>0</v>
          </cell>
          <cell r="AC391">
            <v>0</v>
          </cell>
          <cell r="AD391">
            <v>0</v>
          </cell>
        </row>
        <row r="392">
          <cell r="K392">
            <v>3.3813201970445448</v>
          </cell>
          <cell r="L392">
            <v>3.4827598029559113</v>
          </cell>
          <cell r="T392">
            <v>0.65939096267186414</v>
          </cell>
          <cell r="U392">
            <v>0.68312903732800123</v>
          </cell>
          <cell r="AC392">
            <v>1.1372393538912888</v>
          </cell>
          <cell r="AD392">
            <v>1.1861406461086403</v>
          </cell>
        </row>
        <row r="397">
          <cell r="AC397">
            <v>0</v>
          </cell>
          <cell r="AD397">
            <v>0</v>
          </cell>
        </row>
        <row r="399">
          <cell r="AC399">
            <v>0</v>
          </cell>
          <cell r="AD399">
            <v>0</v>
          </cell>
        </row>
        <row r="401">
          <cell r="AC401">
            <v>0</v>
          </cell>
          <cell r="AD401">
            <v>0</v>
          </cell>
        </row>
        <row r="402">
          <cell r="AC402">
            <v>0</v>
          </cell>
          <cell r="AD402">
            <v>0</v>
          </cell>
        </row>
        <row r="403">
          <cell r="AC403">
            <v>0</v>
          </cell>
          <cell r="AD403">
            <v>0</v>
          </cell>
        </row>
        <row r="405">
          <cell r="AC405">
            <v>0</v>
          </cell>
          <cell r="AD405">
            <v>0</v>
          </cell>
        </row>
        <row r="406">
          <cell r="AC406">
            <v>0</v>
          </cell>
          <cell r="AD406">
            <v>0</v>
          </cell>
        </row>
        <row r="407">
          <cell r="AC407">
            <v>0</v>
          </cell>
          <cell r="AD407">
            <v>0</v>
          </cell>
        </row>
        <row r="408">
          <cell r="AC408">
            <v>0</v>
          </cell>
          <cell r="AD408">
            <v>0</v>
          </cell>
        </row>
        <row r="409">
          <cell r="AC409">
            <v>0</v>
          </cell>
          <cell r="AD409">
            <v>0</v>
          </cell>
        </row>
        <row r="410">
          <cell r="AC410">
            <v>0</v>
          </cell>
          <cell r="AD410">
            <v>0</v>
          </cell>
        </row>
        <row r="411">
          <cell r="AC411">
            <v>0</v>
          </cell>
          <cell r="AD411">
            <v>0</v>
          </cell>
        </row>
        <row r="412">
          <cell r="AC412">
            <v>0</v>
          </cell>
          <cell r="AD412">
            <v>0</v>
          </cell>
        </row>
        <row r="416">
          <cell r="AC416">
            <v>4404.1776798825258</v>
          </cell>
          <cell r="AD416">
            <v>4593.5573201174739</v>
          </cell>
        </row>
        <row r="419">
          <cell r="AC419">
            <v>5750</v>
          </cell>
          <cell r="AD419">
            <v>6040</v>
          </cell>
        </row>
        <row r="420">
          <cell r="AC420">
            <v>2.5438888888888891</v>
          </cell>
          <cell r="AD420">
            <v>2.5438888888888891</v>
          </cell>
        </row>
        <row r="421">
          <cell r="AC421">
            <v>3987.1628915075871</v>
          </cell>
          <cell r="AD421">
            <v>4158.6108958424129</v>
          </cell>
        </row>
        <row r="423">
          <cell r="AC423">
            <v>7.1389316682136048</v>
          </cell>
          <cell r="AD423">
            <v>7.1389316682136048</v>
          </cell>
        </row>
        <row r="424">
          <cell r="AC424">
            <v>596.90524198170044</v>
          </cell>
          <cell r="AD424">
            <v>622.57216738691352</v>
          </cell>
        </row>
        <row r="479">
          <cell r="K479">
            <v>9.5562428904029133</v>
          </cell>
          <cell r="L479">
            <v>9.5562428904029133</v>
          </cell>
          <cell r="T479">
            <v>13.844048176867442</v>
          </cell>
          <cell r="U479">
            <v>13.844048176867442</v>
          </cell>
          <cell r="AC479">
            <v>14.230633949282733</v>
          </cell>
          <cell r="AD479">
            <v>14.230633949282733</v>
          </cell>
        </row>
        <row r="480">
          <cell r="K480">
            <v>6.6718191665956459</v>
          </cell>
          <cell r="L480">
            <v>6.8719737415935152</v>
          </cell>
          <cell r="T480">
            <v>6.7704242687626062</v>
          </cell>
          <cell r="U480">
            <v>7.0141595424380601</v>
          </cell>
          <cell r="AC480">
            <v>7.1082135772105177</v>
          </cell>
          <cell r="AD480">
            <v>7.4494078289166232</v>
          </cell>
        </row>
        <row r="482">
          <cell r="K482">
            <v>4.6648586765351803E-4</v>
          </cell>
          <cell r="L482">
            <v>4.6648586765351803E-4</v>
          </cell>
          <cell r="T482">
            <v>2.5828865304863575E-3</v>
          </cell>
          <cell r="U482">
            <v>2.5828865304863575E-3</v>
          </cell>
          <cell r="AC482">
            <v>5.4939834604028857</v>
          </cell>
          <cell r="AD482">
            <v>5.4939834604028857</v>
          </cell>
        </row>
        <row r="483">
          <cell r="K483">
            <v>4809.2157635467984</v>
          </cell>
          <cell r="L483">
            <v>4953.4922364532031</v>
          </cell>
          <cell r="T483">
            <v>4831.6850798186751</v>
          </cell>
          <cell r="U483">
            <v>5005.6257426921475</v>
          </cell>
          <cell r="AC483">
            <v>4.8447155771172943</v>
          </cell>
          <cell r="AD483">
            <v>5.053038346933338</v>
          </cell>
        </row>
        <row r="489">
          <cell r="K489">
            <v>0.10177394037665888</v>
          </cell>
          <cell r="L489">
            <v>0.10177394037665893</v>
          </cell>
          <cell r="T489">
            <v>0.10053725198115238</v>
          </cell>
          <cell r="U489">
            <v>0.10053725198115238</v>
          </cell>
          <cell r="AC489">
            <v>6.5060439848794338E-2</v>
          </cell>
          <cell r="AD489">
            <v>6.5060439848794338E-2</v>
          </cell>
        </row>
        <row r="490">
          <cell r="K490">
            <v>1642.5017664136119</v>
          </cell>
          <cell r="L490">
            <v>1722.4926215709763</v>
          </cell>
          <cell r="T490">
            <v>1715.912612347071</v>
          </cell>
          <cell r="U490">
            <v>1767.389990717483</v>
          </cell>
          <cell r="AC490">
            <v>2334.5546393768241</v>
          </cell>
          <cell r="AD490">
            <v>2416.2640517550089</v>
          </cell>
        </row>
        <row r="491">
          <cell r="K491">
            <v>0</v>
          </cell>
          <cell r="L491">
            <v>0</v>
          </cell>
          <cell r="T491">
            <v>0</v>
          </cell>
          <cell r="U491">
            <v>0</v>
          </cell>
          <cell r="AC491">
            <v>0</v>
          </cell>
          <cell r="AD491">
            <v>0</v>
          </cell>
        </row>
        <row r="505">
          <cell r="K505">
            <v>85.235058990904236</v>
          </cell>
          <cell r="L505">
            <v>136.26433899090398</v>
          </cell>
          <cell r="T505">
            <v>189.79491097007258</v>
          </cell>
          <cell r="U505">
            <v>189.79491097007258</v>
          </cell>
          <cell r="AC505">
            <v>187.67421999999988</v>
          </cell>
          <cell r="AD505">
            <v>187.67421999999988</v>
          </cell>
        </row>
        <row r="506">
          <cell r="K506">
            <v>23.451995266563731</v>
          </cell>
          <cell r="L506">
            <v>16.554051461333092</v>
          </cell>
          <cell r="T506">
            <v>12.385325614065989</v>
          </cell>
          <cell r="U506">
            <v>13.738324143760348</v>
          </cell>
          <cell r="AC506">
            <v>7.2448367375327551</v>
          </cell>
          <cell r="AD506">
            <v>7.46218183965874</v>
          </cell>
        </row>
        <row r="511">
          <cell r="K511">
            <v>17.499639999999999</v>
          </cell>
          <cell r="L511">
            <v>17.499639999999999</v>
          </cell>
          <cell r="T511">
            <v>12.689900000000002</v>
          </cell>
          <cell r="U511">
            <v>12.689900000000002</v>
          </cell>
          <cell r="AC511">
            <v>12.072580000000002</v>
          </cell>
          <cell r="AD511">
            <v>12.072580000000002</v>
          </cell>
        </row>
        <row r="515">
          <cell r="T515">
            <v>0.96913000000000693</v>
          </cell>
          <cell r="U515">
            <v>0.96913000000000693</v>
          </cell>
          <cell r="AC515">
            <v>1.5470300000000066</v>
          </cell>
          <cell r="AD515">
            <v>1.5470300000000066</v>
          </cell>
        </row>
        <row r="516">
          <cell r="K516">
            <v>1446.39635</v>
          </cell>
          <cell r="L516">
            <v>1446.39635</v>
          </cell>
          <cell r="T516">
            <v>2530.3083087166892</v>
          </cell>
          <cell r="U516">
            <v>2530.3083087166892</v>
          </cell>
          <cell r="AC516">
            <v>2159.2231966666668</v>
          </cell>
          <cell r="AD516">
            <v>2159.2231966666668</v>
          </cell>
        </row>
        <row r="517">
          <cell r="K517">
            <v>3.3509999999999998E-2</v>
          </cell>
          <cell r="L517">
            <v>3.3509999999999998E-2</v>
          </cell>
          <cell r="T517">
            <v>0.19964999999999999</v>
          </cell>
          <cell r="U517">
            <v>0.19964999999999999</v>
          </cell>
          <cell r="AC517">
            <v>0.38117000000000001</v>
          </cell>
          <cell r="AD517">
            <v>0.38117000000000001</v>
          </cell>
        </row>
        <row r="522">
          <cell r="K522">
            <v>132.26057000000003</v>
          </cell>
          <cell r="L522">
            <v>132.26057000000003</v>
          </cell>
          <cell r="T522">
            <v>210.24174000000005</v>
          </cell>
          <cell r="U522">
            <v>210.24174000000005</v>
          </cell>
          <cell r="AC522">
            <v>-155.51245467617537</v>
          </cell>
          <cell r="AD522">
            <v>-155.51245467617537</v>
          </cell>
        </row>
        <row r="525">
          <cell r="K525">
            <v>2360.76039193621</v>
          </cell>
          <cell r="L525">
            <v>2360.76039193621</v>
          </cell>
          <cell r="T525">
            <v>2713.0813813825589</v>
          </cell>
          <cell r="U525">
            <v>2713.0813813825589</v>
          </cell>
          <cell r="AC525">
            <v>3057.7411219819182</v>
          </cell>
          <cell r="AD525">
            <v>3057.7411219819182</v>
          </cell>
        </row>
        <row r="530">
          <cell r="K530">
            <v>13.912778587197396</v>
          </cell>
          <cell r="L530">
            <v>13.912778587197396</v>
          </cell>
          <cell r="T530">
            <v>190.02895658196658</v>
          </cell>
          <cell r="U530">
            <v>190.02895658196658</v>
          </cell>
          <cell r="AC530">
            <v>299.17216203372652</v>
          </cell>
          <cell r="AD530">
            <v>299.17216203372652</v>
          </cell>
        </row>
        <row r="532">
          <cell r="K532">
            <v>19687.912520000002</v>
          </cell>
          <cell r="L532">
            <v>19687.912520000002</v>
          </cell>
          <cell r="T532">
            <v>19973.405415000005</v>
          </cell>
          <cell r="U532">
            <v>19973.405415000005</v>
          </cell>
          <cell r="AC532">
            <v>33111.395136959174</v>
          </cell>
          <cell r="AD532">
            <v>33111.395136959174</v>
          </cell>
        </row>
        <row r="536">
          <cell r="K536">
            <v>985.22581999999977</v>
          </cell>
          <cell r="L536">
            <v>985.22581999999977</v>
          </cell>
        </row>
        <row r="537">
          <cell r="K537">
            <v>3427.0606863339935</v>
          </cell>
          <cell r="L537">
            <v>3427.0606863339935</v>
          </cell>
          <cell r="T537">
            <v>3506.8995537779601</v>
          </cell>
          <cell r="U537">
            <v>3506.8995537779601</v>
          </cell>
          <cell r="AC537">
            <v>3092.316749598147</v>
          </cell>
          <cell r="AD537">
            <v>3092.316749598147</v>
          </cell>
        </row>
        <row r="548">
          <cell r="K548">
            <v>7066.4698199999984</v>
          </cell>
          <cell r="L548">
            <v>7028.0483139999924</v>
          </cell>
          <cell r="T548">
            <v>7248.642347490586</v>
          </cell>
          <cell r="U548">
            <v>7433.5271845094285</v>
          </cell>
          <cell r="AC548">
            <v>8563.0050129999945</v>
          </cell>
          <cell r="AD548">
            <v>7730.1458849999981</v>
          </cell>
        </row>
      </sheetData>
      <sheetData sheetId="11"/>
      <sheetData sheetId="12">
        <row r="24">
          <cell r="AX24">
            <v>587.86299999999983</v>
          </cell>
        </row>
      </sheetData>
      <sheetData sheetId="13">
        <row r="24">
          <cell r="AX24">
            <v>609.49299999999994</v>
          </cell>
        </row>
      </sheetData>
      <sheetData sheetId="14">
        <row r="36">
          <cell r="K36">
            <v>101</v>
          </cell>
        </row>
      </sheetData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НВВ"/>
      <sheetName val="Расчет электроэн."/>
      <sheetName val="Норм численность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ПП Раздел 5"/>
      <sheetName val="ПП Раздел 6"/>
      <sheetName val="ПП Раздел 7"/>
      <sheetName val="Раздел 7 отчт"/>
      <sheetName val="ПП Раздел 8"/>
      <sheetName val="Плата за НН и Н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">
          <cell r="D5">
            <v>0</v>
          </cell>
          <cell r="E5">
            <v>0</v>
          </cell>
          <cell r="G5">
            <v>0</v>
          </cell>
          <cell r="H5">
            <v>0</v>
          </cell>
          <cell r="J5">
            <v>0</v>
          </cell>
          <cell r="K5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ГП вода "/>
      <sheetName val="ГП вода  без Калуги"/>
      <sheetName val="Калуга вода"/>
      <sheetName val="ГП тех.вода"/>
      <sheetName val="Людиново вода"/>
      <sheetName val="Боровск вода"/>
      <sheetName val="Кондрово тех.вода"/>
      <sheetName val="Таруса вода"/>
    </sheetNames>
    <sheetDataSet>
      <sheetData sheetId="0"/>
      <sheetData sheetId="1">
        <row r="3505">
          <cell r="G3505">
            <v>537.89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Баланс 2024"/>
      <sheetName val=" Было 2024"/>
      <sheetName val="2024 Калуга+область очистка"/>
      <sheetName val="2024 Калуга+область перекачка"/>
      <sheetName val="2024 Калуга+область транспортир"/>
      <sheetName val="2024 без Калуги"/>
      <sheetName val="2024 Калуга+область самотечная"/>
      <sheetName val="Тарифы"/>
      <sheetName val="2022"/>
      <sheetName val="Норм численность "/>
      <sheetName val="Раздел 7 отч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73">
          <cell r="X273">
            <v>8.8681490277027706</v>
          </cell>
          <cell r="AA273">
            <v>11.422789548911542</v>
          </cell>
        </row>
      </sheetData>
      <sheetData sheetId="8">
        <row r="273">
          <cell r="X273">
            <v>7.8749361189547971</v>
          </cell>
          <cell r="Z273">
            <v>7.290275833943431</v>
          </cell>
          <cell r="AA273">
            <v>7.8723969861678391</v>
          </cell>
        </row>
      </sheetData>
      <sheetData sheetId="9">
        <row r="273">
          <cell r="Z273">
            <v>4.0401824947272429</v>
          </cell>
          <cell r="AA273">
            <v>5.489785339584123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НВВ"/>
      <sheetName val="Расчет электроэн."/>
      <sheetName val="Норм численность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ПП Раздел 5"/>
      <sheetName val="ПП Раздел 6"/>
      <sheetName val="ПП Раздел 7"/>
      <sheetName val="Раздел 7 отчт"/>
      <sheetName val="ПП Раздел 8"/>
      <sheetName val="Плата за НН и Н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">
          <cell r="D5">
            <v>0</v>
          </cell>
          <cell r="E5">
            <v>0</v>
          </cell>
          <cell r="G5">
            <v>0</v>
          </cell>
          <cell r="H5">
            <v>0</v>
          </cell>
          <cell r="J5">
            <v>0</v>
          </cell>
          <cell r="K5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рг"/>
      <sheetName val="Справочно!!!"/>
      <sheetName val="РЕЕСТР"/>
      <sheetName val="Баланс"/>
      <sheetName val="Расчет объема"/>
      <sheetName val="НВВ"/>
      <sheetName val="Расчет электроэн."/>
      <sheetName val="Норм численность"/>
      <sheetName val="Химреагенты"/>
      <sheetName val="Амортизация"/>
      <sheetName val="ПП Раздел 1"/>
      <sheetName val="ПП Раздел 2"/>
      <sheetName val="ПП Раздел 3"/>
      <sheetName val="ПП Раздел 4"/>
      <sheetName val="ПП Раздел 5"/>
      <sheetName val="ПП Раздел 6"/>
      <sheetName val="ПП Раздел 7"/>
      <sheetName val="Раздел 7 отчт"/>
      <sheetName val="ПП Раздел 8"/>
      <sheetName val="Плата за НН и Н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">
          <cell r="D5">
            <v>265.8168374384237</v>
          </cell>
          <cell r="E5">
            <v>273.79134256157636</v>
          </cell>
          <cell r="G5">
            <v>11.70516699410609</v>
          </cell>
          <cell r="H5">
            <v>12.126553005893909</v>
          </cell>
          <cell r="J5">
            <v>86.593284385707278</v>
          </cell>
          <cell r="K5">
            <v>90.316795614292701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>
        <row r="4">
          <cell r="H4">
            <v>653</v>
          </cell>
        </row>
        <row r="6">
          <cell r="H6">
            <v>1414</v>
          </cell>
        </row>
        <row r="8">
          <cell r="H8">
            <v>9</v>
          </cell>
        </row>
        <row r="9">
          <cell r="H9">
            <v>30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M299"/>
  <sheetViews>
    <sheetView zoomScale="80" zoomScaleNormal="80" workbookViewId="0">
      <pane xSplit="4" ySplit="3" topLeftCell="Z28" activePane="bottomRight" state="frozen"/>
      <selection pane="topRight" activeCell="E1" sqref="E1"/>
      <selection pane="bottomLeft" activeCell="A4" sqref="A4"/>
      <selection pane="bottomRight" activeCell="Z35" sqref="Z35"/>
    </sheetView>
  </sheetViews>
  <sheetFormatPr defaultColWidth="8.28515625" defaultRowHeight="15.75" outlineLevelRow="1" outlineLevelCol="1"/>
  <cols>
    <col min="1" max="1" width="0.7109375" style="2218" customWidth="1"/>
    <col min="2" max="2" width="10.5703125" style="2218" customWidth="1"/>
    <col min="3" max="3" width="46.42578125" style="2219" customWidth="1"/>
    <col min="4" max="4" width="12.7109375" style="2219" customWidth="1"/>
    <col min="5" max="5" width="15.28515625" style="2219" hidden="1" customWidth="1" outlineLevel="1"/>
    <col min="6" max="6" width="14.85546875" style="2219" hidden="1" customWidth="1" outlineLevel="1"/>
    <col min="7" max="7" width="15" style="2219" hidden="1" customWidth="1" outlineLevel="1"/>
    <col min="8" max="8" width="14.5703125" style="2219" hidden="1" customWidth="1" outlineLevel="1"/>
    <col min="9" max="10" width="14.140625" style="2219" hidden="1" customWidth="1" outlineLevel="1"/>
    <col min="11" max="11" width="14.5703125" style="2219" hidden="1" customWidth="1" outlineLevel="1"/>
    <col min="12" max="12" width="14.140625" style="2219" hidden="1" customWidth="1" outlineLevel="1"/>
    <col min="13" max="13" width="14.42578125" style="2219" hidden="1" customWidth="1" outlineLevel="1"/>
    <col min="14" max="14" width="14.5703125" style="2219" hidden="1" customWidth="1"/>
    <col min="15" max="15" width="14.140625" style="2219" hidden="1" customWidth="1"/>
    <col min="16" max="16" width="14.28515625" style="2219" hidden="1" customWidth="1"/>
    <col min="17" max="17" width="14.85546875" hidden="1" customWidth="1"/>
    <col min="18" max="18" width="14.28515625" hidden="1" customWidth="1"/>
    <col min="19" max="25" width="14.28515625" style="2219" hidden="1" customWidth="1"/>
    <col min="26" max="28" width="14.28515625" style="2219" customWidth="1"/>
    <col min="29" max="29" width="11.5703125" style="2116" customWidth="1"/>
    <col min="30" max="30" width="13.5703125" style="2116" bestFit="1" customWidth="1"/>
    <col min="31" max="31" width="12.42578125" style="2116" bestFit="1" customWidth="1"/>
    <col min="32" max="32" width="10.42578125" style="2116" customWidth="1"/>
    <col min="33" max="33" width="11.85546875" style="2116" customWidth="1"/>
    <col min="34" max="34" width="10.140625" style="2116" customWidth="1"/>
    <col min="35" max="35" width="12.42578125" style="2116" bestFit="1" customWidth="1"/>
    <col min="36" max="36" width="12.42578125" bestFit="1" customWidth="1"/>
    <col min="37" max="37" width="13.140625" bestFit="1" customWidth="1"/>
    <col min="38" max="39" width="10.85546875" bestFit="1" customWidth="1"/>
    <col min="257" max="257" width="0.7109375" customWidth="1"/>
    <col min="258" max="258" width="10.5703125" customWidth="1"/>
    <col min="259" max="259" width="46.42578125" customWidth="1"/>
    <col min="260" max="260" width="12.7109375" customWidth="1"/>
    <col min="261" max="261" width="15.28515625" customWidth="1"/>
    <col min="262" max="262" width="14.85546875" customWidth="1"/>
    <col min="263" max="263" width="15" customWidth="1"/>
    <col min="264" max="264" width="14.5703125" customWidth="1"/>
    <col min="265" max="266" width="14.140625" customWidth="1"/>
    <col min="267" max="267" width="14.5703125" customWidth="1"/>
    <col min="268" max="268" width="14.140625" customWidth="1"/>
    <col min="269" max="269" width="14.42578125" customWidth="1"/>
    <col min="270" max="270" width="14.5703125" customWidth="1"/>
    <col min="271" max="271" width="14.140625" customWidth="1"/>
    <col min="272" max="272" width="14.28515625" customWidth="1"/>
    <col min="273" max="273" width="14.85546875" customWidth="1"/>
    <col min="274" max="284" width="14.28515625" customWidth="1"/>
    <col min="285" max="285" width="11.5703125" customWidth="1"/>
    <col min="286" max="286" width="13.5703125" bestFit="1" customWidth="1"/>
    <col min="287" max="287" width="12.42578125" bestFit="1" customWidth="1"/>
    <col min="288" max="288" width="10.42578125" customWidth="1"/>
    <col min="289" max="289" width="11.85546875" customWidth="1"/>
    <col min="290" max="290" width="10.140625" customWidth="1"/>
    <col min="291" max="292" width="12.42578125" bestFit="1" customWidth="1"/>
    <col min="293" max="293" width="9.28515625" bestFit="1" customWidth="1"/>
    <col min="513" max="513" width="0.7109375" customWidth="1"/>
    <col min="514" max="514" width="10.5703125" customWidth="1"/>
    <col min="515" max="515" width="46.42578125" customWidth="1"/>
    <col min="516" max="516" width="12.7109375" customWidth="1"/>
    <col min="517" max="517" width="15.28515625" customWidth="1"/>
    <col min="518" max="518" width="14.85546875" customWidth="1"/>
    <col min="519" max="519" width="15" customWidth="1"/>
    <col min="520" max="520" width="14.5703125" customWidth="1"/>
    <col min="521" max="522" width="14.140625" customWidth="1"/>
    <col min="523" max="523" width="14.5703125" customWidth="1"/>
    <col min="524" max="524" width="14.140625" customWidth="1"/>
    <col min="525" max="525" width="14.42578125" customWidth="1"/>
    <col min="526" max="526" width="14.5703125" customWidth="1"/>
    <col min="527" max="527" width="14.140625" customWidth="1"/>
    <col min="528" max="528" width="14.28515625" customWidth="1"/>
    <col min="529" max="529" width="14.85546875" customWidth="1"/>
    <col min="530" max="540" width="14.28515625" customWidth="1"/>
    <col min="541" max="541" width="11.5703125" customWidth="1"/>
    <col min="542" max="542" width="13.5703125" bestFit="1" customWidth="1"/>
    <col min="543" max="543" width="12.42578125" bestFit="1" customWidth="1"/>
    <col min="544" max="544" width="10.42578125" customWidth="1"/>
    <col min="545" max="545" width="11.85546875" customWidth="1"/>
    <col min="546" max="546" width="10.140625" customWidth="1"/>
    <col min="547" max="548" width="12.42578125" bestFit="1" customWidth="1"/>
    <col min="549" max="549" width="9.28515625" bestFit="1" customWidth="1"/>
    <col min="769" max="769" width="0.7109375" customWidth="1"/>
    <col min="770" max="770" width="10.5703125" customWidth="1"/>
    <col min="771" max="771" width="46.42578125" customWidth="1"/>
    <col min="772" max="772" width="12.7109375" customWidth="1"/>
    <col min="773" max="773" width="15.28515625" customWidth="1"/>
    <col min="774" max="774" width="14.85546875" customWidth="1"/>
    <col min="775" max="775" width="15" customWidth="1"/>
    <col min="776" max="776" width="14.5703125" customWidth="1"/>
    <col min="777" max="778" width="14.140625" customWidth="1"/>
    <col min="779" max="779" width="14.5703125" customWidth="1"/>
    <col min="780" max="780" width="14.140625" customWidth="1"/>
    <col min="781" max="781" width="14.42578125" customWidth="1"/>
    <col min="782" max="782" width="14.5703125" customWidth="1"/>
    <col min="783" max="783" width="14.140625" customWidth="1"/>
    <col min="784" max="784" width="14.28515625" customWidth="1"/>
    <col min="785" max="785" width="14.85546875" customWidth="1"/>
    <col min="786" max="796" width="14.28515625" customWidth="1"/>
    <col min="797" max="797" width="11.5703125" customWidth="1"/>
    <col min="798" max="798" width="13.5703125" bestFit="1" customWidth="1"/>
    <col min="799" max="799" width="12.42578125" bestFit="1" customWidth="1"/>
    <col min="800" max="800" width="10.42578125" customWidth="1"/>
    <col min="801" max="801" width="11.85546875" customWidth="1"/>
    <col min="802" max="802" width="10.140625" customWidth="1"/>
    <col min="803" max="804" width="12.42578125" bestFit="1" customWidth="1"/>
    <col min="805" max="805" width="9.28515625" bestFit="1" customWidth="1"/>
    <col min="1025" max="1025" width="0.7109375" customWidth="1"/>
    <col min="1026" max="1026" width="10.5703125" customWidth="1"/>
    <col min="1027" max="1027" width="46.42578125" customWidth="1"/>
    <col min="1028" max="1028" width="12.7109375" customWidth="1"/>
    <col min="1029" max="1029" width="15.28515625" customWidth="1"/>
    <col min="1030" max="1030" width="14.85546875" customWidth="1"/>
    <col min="1031" max="1031" width="15" customWidth="1"/>
    <col min="1032" max="1032" width="14.5703125" customWidth="1"/>
    <col min="1033" max="1034" width="14.140625" customWidth="1"/>
    <col min="1035" max="1035" width="14.5703125" customWidth="1"/>
    <col min="1036" max="1036" width="14.140625" customWidth="1"/>
    <col min="1037" max="1037" width="14.42578125" customWidth="1"/>
    <col min="1038" max="1038" width="14.5703125" customWidth="1"/>
    <col min="1039" max="1039" width="14.140625" customWidth="1"/>
    <col min="1040" max="1040" width="14.28515625" customWidth="1"/>
    <col min="1041" max="1041" width="14.85546875" customWidth="1"/>
    <col min="1042" max="1052" width="14.28515625" customWidth="1"/>
    <col min="1053" max="1053" width="11.5703125" customWidth="1"/>
    <col min="1054" max="1054" width="13.5703125" bestFit="1" customWidth="1"/>
    <col min="1055" max="1055" width="12.42578125" bestFit="1" customWidth="1"/>
    <col min="1056" max="1056" width="10.42578125" customWidth="1"/>
    <col min="1057" max="1057" width="11.85546875" customWidth="1"/>
    <col min="1058" max="1058" width="10.140625" customWidth="1"/>
    <col min="1059" max="1060" width="12.42578125" bestFit="1" customWidth="1"/>
    <col min="1061" max="1061" width="9.28515625" bestFit="1" customWidth="1"/>
    <col min="1281" max="1281" width="0.7109375" customWidth="1"/>
    <col min="1282" max="1282" width="10.5703125" customWidth="1"/>
    <col min="1283" max="1283" width="46.42578125" customWidth="1"/>
    <col min="1284" max="1284" width="12.7109375" customWidth="1"/>
    <col min="1285" max="1285" width="15.28515625" customWidth="1"/>
    <col min="1286" max="1286" width="14.85546875" customWidth="1"/>
    <col min="1287" max="1287" width="15" customWidth="1"/>
    <col min="1288" max="1288" width="14.5703125" customWidth="1"/>
    <col min="1289" max="1290" width="14.140625" customWidth="1"/>
    <col min="1291" max="1291" width="14.5703125" customWidth="1"/>
    <col min="1292" max="1292" width="14.140625" customWidth="1"/>
    <col min="1293" max="1293" width="14.42578125" customWidth="1"/>
    <col min="1294" max="1294" width="14.5703125" customWidth="1"/>
    <col min="1295" max="1295" width="14.140625" customWidth="1"/>
    <col min="1296" max="1296" width="14.28515625" customWidth="1"/>
    <col min="1297" max="1297" width="14.85546875" customWidth="1"/>
    <col min="1298" max="1308" width="14.28515625" customWidth="1"/>
    <col min="1309" max="1309" width="11.5703125" customWidth="1"/>
    <col min="1310" max="1310" width="13.5703125" bestFit="1" customWidth="1"/>
    <col min="1311" max="1311" width="12.42578125" bestFit="1" customWidth="1"/>
    <col min="1312" max="1312" width="10.42578125" customWidth="1"/>
    <col min="1313" max="1313" width="11.85546875" customWidth="1"/>
    <col min="1314" max="1314" width="10.140625" customWidth="1"/>
    <col min="1315" max="1316" width="12.42578125" bestFit="1" customWidth="1"/>
    <col min="1317" max="1317" width="9.28515625" bestFit="1" customWidth="1"/>
    <col min="1537" max="1537" width="0.7109375" customWidth="1"/>
    <col min="1538" max="1538" width="10.5703125" customWidth="1"/>
    <col min="1539" max="1539" width="46.42578125" customWidth="1"/>
    <col min="1540" max="1540" width="12.7109375" customWidth="1"/>
    <col min="1541" max="1541" width="15.28515625" customWidth="1"/>
    <col min="1542" max="1542" width="14.85546875" customWidth="1"/>
    <col min="1543" max="1543" width="15" customWidth="1"/>
    <col min="1544" max="1544" width="14.5703125" customWidth="1"/>
    <col min="1545" max="1546" width="14.140625" customWidth="1"/>
    <col min="1547" max="1547" width="14.5703125" customWidth="1"/>
    <col min="1548" max="1548" width="14.140625" customWidth="1"/>
    <col min="1549" max="1549" width="14.42578125" customWidth="1"/>
    <col min="1550" max="1550" width="14.5703125" customWidth="1"/>
    <col min="1551" max="1551" width="14.140625" customWidth="1"/>
    <col min="1552" max="1552" width="14.28515625" customWidth="1"/>
    <col min="1553" max="1553" width="14.85546875" customWidth="1"/>
    <col min="1554" max="1564" width="14.28515625" customWidth="1"/>
    <col min="1565" max="1565" width="11.5703125" customWidth="1"/>
    <col min="1566" max="1566" width="13.5703125" bestFit="1" customWidth="1"/>
    <col min="1567" max="1567" width="12.42578125" bestFit="1" customWidth="1"/>
    <col min="1568" max="1568" width="10.42578125" customWidth="1"/>
    <col min="1569" max="1569" width="11.85546875" customWidth="1"/>
    <col min="1570" max="1570" width="10.140625" customWidth="1"/>
    <col min="1571" max="1572" width="12.42578125" bestFit="1" customWidth="1"/>
    <col min="1573" max="1573" width="9.28515625" bestFit="1" customWidth="1"/>
    <col min="1793" max="1793" width="0.7109375" customWidth="1"/>
    <col min="1794" max="1794" width="10.5703125" customWidth="1"/>
    <col min="1795" max="1795" width="46.42578125" customWidth="1"/>
    <col min="1796" max="1796" width="12.7109375" customWidth="1"/>
    <col min="1797" max="1797" width="15.28515625" customWidth="1"/>
    <col min="1798" max="1798" width="14.85546875" customWidth="1"/>
    <col min="1799" max="1799" width="15" customWidth="1"/>
    <col min="1800" max="1800" width="14.5703125" customWidth="1"/>
    <col min="1801" max="1802" width="14.140625" customWidth="1"/>
    <col min="1803" max="1803" width="14.5703125" customWidth="1"/>
    <col min="1804" max="1804" width="14.140625" customWidth="1"/>
    <col min="1805" max="1805" width="14.42578125" customWidth="1"/>
    <col min="1806" max="1806" width="14.5703125" customWidth="1"/>
    <col min="1807" max="1807" width="14.140625" customWidth="1"/>
    <col min="1808" max="1808" width="14.28515625" customWidth="1"/>
    <col min="1809" max="1809" width="14.85546875" customWidth="1"/>
    <col min="1810" max="1820" width="14.28515625" customWidth="1"/>
    <col min="1821" max="1821" width="11.5703125" customWidth="1"/>
    <col min="1822" max="1822" width="13.5703125" bestFit="1" customWidth="1"/>
    <col min="1823" max="1823" width="12.42578125" bestFit="1" customWidth="1"/>
    <col min="1824" max="1824" width="10.42578125" customWidth="1"/>
    <col min="1825" max="1825" width="11.85546875" customWidth="1"/>
    <col min="1826" max="1826" width="10.140625" customWidth="1"/>
    <col min="1827" max="1828" width="12.42578125" bestFit="1" customWidth="1"/>
    <col min="1829" max="1829" width="9.28515625" bestFit="1" customWidth="1"/>
    <col min="2049" max="2049" width="0.7109375" customWidth="1"/>
    <col min="2050" max="2050" width="10.5703125" customWidth="1"/>
    <col min="2051" max="2051" width="46.42578125" customWidth="1"/>
    <col min="2052" max="2052" width="12.7109375" customWidth="1"/>
    <col min="2053" max="2053" width="15.28515625" customWidth="1"/>
    <col min="2054" max="2054" width="14.85546875" customWidth="1"/>
    <col min="2055" max="2055" width="15" customWidth="1"/>
    <col min="2056" max="2056" width="14.5703125" customWidth="1"/>
    <col min="2057" max="2058" width="14.140625" customWidth="1"/>
    <col min="2059" max="2059" width="14.5703125" customWidth="1"/>
    <col min="2060" max="2060" width="14.140625" customWidth="1"/>
    <col min="2061" max="2061" width="14.42578125" customWidth="1"/>
    <col min="2062" max="2062" width="14.5703125" customWidth="1"/>
    <col min="2063" max="2063" width="14.140625" customWidth="1"/>
    <col min="2064" max="2064" width="14.28515625" customWidth="1"/>
    <col min="2065" max="2065" width="14.85546875" customWidth="1"/>
    <col min="2066" max="2076" width="14.28515625" customWidth="1"/>
    <col min="2077" max="2077" width="11.5703125" customWidth="1"/>
    <col min="2078" max="2078" width="13.5703125" bestFit="1" customWidth="1"/>
    <col min="2079" max="2079" width="12.42578125" bestFit="1" customWidth="1"/>
    <col min="2080" max="2080" width="10.42578125" customWidth="1"/>
    <col min="2081" max="2081" width="11.85546875" customWidth="1"/>
    <col min="2082" max="2082" width="10.140625" customWidth="1"/>
    <col min="2083" max="2084" width="12.42578125" bestFit="1" customWidth="1"/>
    <col min="2085" max="2085" width="9.28515625" bestFit="1" customWidth="1"/>
    <col min="2305" max="2305" width="0.7109375" customWidth="1"/>
    <col min="2306" max="2306" width="10.5703125" customWidth="1"/>
    <col min="2307" max="2307" width="46.42578125" customWidth="1"/>
    <col min="2308" max="2308" width="12.7109375" customWidth="1"/>
    <col min="2309" max="2309" width="15.28515625" customWidth="1"/>
    <col min="2310" max="2310" width="14.85546875" customWidth="1"/>
    <col min="2311" max="2311" width="15" customWidth="1"/>
    <col min="2312" max="2312" width="14.5703125" customWidth="1"/>
    <col min="2313" max="2314" width="14.140625" customWidth="1"/>
    <col min="2315" max="2315" width="14.5703125" customWidth="1"/>
    <col min="2316" max="2316" width="14.140625" customWidth="1"/>
    <col min="2317" max="2317" width="14.42578125" customWidth="1"/>
    <col min="2318" max="2318" width="14.5703125" customWidth="1"/>
    <col min="2319" max="2319" width="14.140625" customWidth="1"/>
    <col min="2320" max="2320" width="14.28515625" customWidth="1"/>
    <col min="2321" max="2321" width="14.85546875" customWidth="1"/>
    <col min="2322" max="2332" width="14.28515625" customWidth="1"/>
    <col min="2333" max="2333" width="11.5703125" customWidth="1"/>
    <col min="2334" max="2334" width="13.5703125" bestFit="1" customWidth="1"/>
    <col min="2335" max="2335" width="12.42578125" bestFit="1" customWidth="1"/>
    <col min="2336" max="2336" width="10.42578125" customWidth="1"/>
    <col min="2337" max="2337" width="11.85546875" customWidth="1"/>
    <col min="2338" max="2338" width="10.140625" customWidth="1"/>
    <col min="2339" max="2340" width="12.42578125" bestFit="1" customWidth="1"/>
    <col min="2341" max="2341" width="9.28515625" bestFit="1" customWidth="1"/>
    <col min="2561" max="2561" width="0.7109375" customWidth="1"/>
    <col min="2562" max="2562" width="10.5703125" customWidth="1"/>
    <col min="2563" max="2563" width="46.42578125" customWidth="1"/>
    <col min="2564" max="2564" width="12.7109375" customWidth="1"/>
    <col min="2565" max="2565" width="15.28515625" customWidth="1"/>
    <col min="2566" max="2566" width="14.85546875" customWidth="1"/>
    <col min="2567" max="2567" width="15" customWidth="1"/>
    <col min="2568" max="2568" width="14.5703125" customWidth="1"/>
    <col min="2569" max="2570" width="14.140625" customWidth="1"/>
    <col min="2571" max="2571" width="14.5703125" customWidth="1"/>
    <col min="2572" max="2572" width="14.140625" customWidth="1"/>
    <col min="2573" max="2573" width="14.42578125" customWidth="1"/>
    <col min="2574" max="2574" width="14.5703125" customWidth="1"/>
    <col min="2575" max="2575" width="14.140625" customWidth="1"/>
    <col min="2576" max="2576" width="14.28515625" customWidth="1"/>
    <col min="2577" max="2577" width="14.85546875" customWidth="1"/>
    <col min="2578" max="2588" width="14.28515625" customWidth="1"/>
    <col min="2589" max="2589" width="11.5703125" customWidth="1"/>
    <col min="2590" max="2590" width="13.5703125" bestFit="1" customWidth="1"/>
    <col min="2591" max="2591" width="12.42578125" bestFit="1" customWidth="1"/>
    <col min="2592" max="2592" width="10.42578125" customWidth="1"/>
    <col min="2593" max="2593" width="11.85546875" customWidth="1"/>
    <col min="2594" max="2594" width="10.140625" customWidth="1"/>
    <col min="2595" max="2596" width="12.42578125" bestFit="1" customWidth="1"/>
    <col min="2597" max="2597" width="9.28515625" bestFit="1" customWidth="1"/>
    <col min="2817" max="2817" width="0.7109375" customWidth="1"/>
    <col min="2818" max="2818" width="10.5703125" customWidth="1"/>
    <col min="2819" max="2819" width="46.42578125" customWidth="1"/>
    <col min="2820" max="2820" width="12.7109375" customWidth="1"/>
    <col min="2821" max="2821" width="15.28515625" customWidth="1"/>
    <col min="2822" max="2822" width="14.85546875" customWidth="1"/>
    <col min="2823" max="2823" width="15" customWidth="1"/>
    <col min="2824" max="2824" width="14.5703125" customWidth="1"/>
    <col min="2825" max="2826" width="14.140625" customWidth="1"/>
    <col min="2827" max="2827" width="14.5703125" customWidth="1"/>
    <col min="2828" max="2828" width="14.140625" customWidth="1"/>
    <col min="2829" max="2829" width="14.42578125" customWidth="1"/>
    <col min="2830" max="2830" width="14.5703125" customWidth="1"/>
    <col min="2831" max="2831" width="14.140625" customWidth="1"/>
    <col min="2832" max="2832" width="14.28515625" customWidth="1"/>
    <col min="2833" max="2833" width="14.85546875" customWidth="1"/>
    <col min="2834" max="2844" width="14.28515625" customWidth="1"/>
    <col min="2845" max="2845" width="11.5703125" customWidth="1"/>
    <col min="2846" max="2846" width="13.5703125" bestFit="1" customWidth="1"/>
    <col min="2847" max="2847" width="12.42578125" bestFit="1" customWidth="1"/>
    <col min="2848" max="2848" width="10.42578125" customWidth="1"/>
    <col min="2849" max="2849" width="11.85546875" customWidth="1"/>
    <col min="2850" max="2850" width="10.140625" customWidth="1"/>
    <col min="2851" max="2852" width="12.42578125" bestFit="1" customWidth="1"/>
    <col min="2853" max="2853" width="9.28515625" bestFit="1" customWidth="1"/>
    <col min="3073" max="3073" width="0.7109375" customWidth="1"/>
    <col min="3074" max="3074" width="10.5703125" customWidth="1"/>
    <col min="3075" max="3075" width="46.42578125" customWidth="1"/>
    <col min="3076" max="3076" width="12.7109375" customWidth="1"/>
    <col min="3077" max="3077" width="15.28515625" customWidth="1"/>
    <col min="3078" max="3078" width="14.85546875" customWidth="1"/>
    <col min="3079" max="3079" width="15" customWidth="1"/>
    <col min="3080" max="3080" width="14.5703125" customWidth="1"/>
    <col min="3081" max="3082" width="14.140625" customWidth="1"/>
    <col min="3083" max="3083" width="14.5703125" customWidth="1"/>
    <col min="3084" max="3084" width="14.140625" customWidth="1"/>
    <col min="3085" max="3085" width="14.42578125" customWidth="1"/>
    <col min="3086" max="3086" width="14.5703125" customWidth="1"/>
    <col min="3087" max="3087" width="14.140625" customWidth="1"/>
    <col min="3088" max="3088" width="14.28515625" customWidth="1"/>
    <col min="3089" max="3089" width="14.85546875" customWidth="1"/>
    <col min="3090" max="3100" width="14.28515625" customWidth="1"/>
    <col min="3101" max="3101" width="11.5703125" customWidth="1"/>
    <col min="3102" max="3102" width="13.5703125" bestFit="1" customWidth="1"/>
    <col min="3103" max="3103" width="12.42578125" bestFit="1" customWidth="1"/>
    <col min="3104" max="3104" width="10.42578125" customWidth="1"/>
    <col min="3105" max="3105" width="11.85546875" customWidth="1"/>
    <col min="3106" max="3106" width="10.140625" customWidth="1"/>
    <col min="3107" max="3108" width="12.42578125" bestFit="1" customWidth="1"/>
    <col min="3109" max="3109" width="9.28515625" bestFit="1" customWidth="1"/>
    <col min="3329" max="3329" width="0.7109375" customWidth="1"/>
    <col min="3330" max="3330" width="10.5703125" customWidth="1"/>
    <col min="3331" max="3331" width="46.42578125" customWidth="1"/>
    <col min="3332" max="3332" width="12.7109375" customWidth="1"/>
    <col min="3333" max="3333" width="15.28515625" customWidth="1"/>
    <col min="3334" max="3334" width="14.85546875" customWidth="1"/>
    <col min="3335" max="3335" width="15" customWidth="1"/>
    <col min="3336" max="3336" width="14.5703125" customWidth="1"/>
    <col min="3337" max="3338" width="14.140625" customWidth="1"/>
    <col min="3339" max="3339" width="14.5703125" customWidth="1"/>
    <col min="3340" max="3340" width="14.140625" customWidth="1"/>
    <col min="3341" max="3341" width="14.42578125" customWidth="1"/>
    <col min="3342" max="3342" width="14.5703125" customWidth="1"/>
    <col min="3343" max="3343" width="14.140625" customWidth="1"/>
    <col min="3344" max="3344" width="14.28515625" customWidth="1"/>
    <col min="3345" max="3345" width="14.85546875" customWidth="1"/>
    <col min="3346" max="3356" width="14.28515625" customWidth="1"/>
    <col min="3357" max="3357" width="11.5703125" customWidth="1"/>
    <col min="3358" max="3358" width="13.5703125" bestFit="1" customWidth="1"/>
    <col min="3359" max="3359" width="12.42578125" bestFit="1" customWidth="1"/>
    <col min="3360" max="3360" width="10.42578125" customWidth="1"/>
    <col min="3361" max="3361" width="11.85546875" customWidth="1"/>
    <col min="3362" max="3362" width="10.140625" customWidth="1"/>
    <col min="3363" max="3364" width="12.42578125" bestFit="1" customWidth="1"/>
    <col min="3365" max="3365" width="9.28515625" bestFit="1" customWidth="1"/>
    <col min="3585" max="3585" width="0.7109375" customWidth="1"/>
    <col min="3586" max="3586" width="10.5703125" customWidth="1"/>
    <col min="3587" max="3587" width="46.42578125" customWidth="1"/>
    <col min="3588" max="3588" width="12.7109375" customWidth="1"/>
    <col min="3589" max="3589" width="15.28515625" customWidth="1"/>
    <col min="3590" max="3590" width="14.85546875" customWidth="1"/>
    <col min="3591" max="3591" width="15" customWidth="1"/>
    <col min="3592" max="3592" width="14.5703125" customWidth="1"/>
    <col min="3593" max="3594" width="14.140625" customWidth="1"/>
    <col min="3595" max="3595" width="14.5703125" customWidth="1"/>
    <col min="3596" max="3596" width="14.140625" customWidth="1"/>
    <col min="3597" max="3597" width="14.42578125" customWidth="1"/>
    <col min="3598" max="3598" width="14.5703125" customWidth="1"/>
    <col min="3599" max="3599" width="14.140625" customWidth="1"/>
    <col min="3600" max="3600" width="14.28515625" customWidth="1"/>
    <col min="3601" max="3601" width="14.85546875" customWidth="1"/>
    <col min="3602" max="3612" width="14.28515625" customWidth="1"/>
    <col min="3613" max="3613" width="11.5703125" customWidth="1"/>
    <col min="3614" max="3614" width="13.5703125" bestFit="1" customWidth="1"/>
    <col min="3615" max="3615" width="12.42578125" bestFit="1" customWidth="1"/>
    <col min="3616" max="3616" width="10.42578125" customWidth="1"/>
    <col min="3617" max="3617" width="11.85546875" customWidth="1"/>
    <col min="3618" max="3618" width="10.140625" customWidth="1"/>
    <col min="3619" max="3620" width="12.42578125" bestFit="1" customWidth="1"/>
    <col min="3621" max="3621" width="9.28515625" bestFit="1" customWidth="1"/>
    <col min="3841" max="3841" width="0.7109375" customWidth="1"/>
    <col min="3842" max="3842" width="10.5703125" customWidth="1"/>
    <col min="3843" max="3843" width="46.42578125" customWidth="1"/>
    <col min="3844" max="3844" width="12.7109375" customWidth="1"/>
    <col min="3845" max="3845" width="15.28515625" customWidth="1"/>
    <col min="3846" max="3846" width="14.85546875" customWidth="1"/>
    <col min="3847" max="3847" width="15" customWidth="1"/>
    <col min="3848" max="3848" width="14.5703125" customWidth="1"/>
    <col min="3849" max="3850" width="14.140625" customWidth="1"/>
    <col min="3851" max="3851" width="14.5703125" customWidth="1"/>
    <col min="3852" max="3852" width="14.140625" customWidth="1"/>
    <col min="3853" max="3853" width="14.42578125" customWidth="1"/>
    <col min="3854" max="3854" width="14.5703125" customWidth="1"/>
    <col min="3855" max="3855" width="14.140625" customWidth="1"/>
    <col min="3856" max="3856" width="14.28515625" customWidth="1"/>
    <col min="3857" max="3857" width="14.85546875" customWidth="1"/>
    <col min="3858" max="3868" width="14.28515625" customWidth="1"/>
    <col min="3869" max="3869" width="11.5703125" customWidth="1"/>
    <col min="3870" max="3870" width="13.5703125" bestFit="1" customWidth="1"/>
    <col min="3871" max="3871" width="12.42578125" bestFit="1" customWidth="1"/>
    <col min="3872" max="3872" width="10.42578125" customWidth="1"/>
    <col min="3873" max="3873" width="11.85546875" customWidth="1"/>
    <col min="3874" max="3874" width="10.140625" customWidth="1"/>
    <col min="3875" max="3876" width="12.42578125" bestFit="1" customWidth="1"/>
    <col min="3877" max="3877" width="9.28515625" bestFit="1" customWidth="1"/>
    <col min="4097" max="4097" width="0.7109375" customWidth="1"/>
    <col min="4098" max="4098" width="10.5703125" customWidth="1"/>
    <col min="4099" max="4099" width="46.42578125" customWidth="1"/>
    <col min="4100" max="4100" width="12.7109375" customWidth="1"/>
    <col min="4101" max="4101" width="15.28515625" customWidth="1"/>
    <col min="4102" max="4102" width="14.85546875" customWidth="1"/>
    <col min="4103" max="4103" width="15" customWidth="1"/>
    <col min="4104" max="4104" width="14.5703125" customWidth="1"/>
    <col min="4105" max="4106" width="14.140625" customWidth="1"/>
    <col min="4107" max="4107" width="14.5703125" customWidth="1"/>
    <col min="4108" max="4108" width="14.140625" customWidth="1"/>
    <col min="4109" max="4109" width="14.42578125" customWidth="1"/>
    <col min="4110" max="4110" width="14.5703125" customWidth="1"/>
    <col min="4111" max="4111" width="14.140625" customWidth="1"/>
    <col min="4112" max="4112" width="14.28515625" customWidth="1"/>
    <col min="4113" max="4113" width="14.85546875" customWidth="1"/>
    <col min="4114" max="4124" width="14.28515625" customWidth="1"/>
    <col min="4125" max="4125" width="11.5703125" customWidth="1"/>
    <col min="4126" max="4126" width="13.5703125" bestFit="1" customWidth="1"/>
    <col min="4127" max="4127" width="12.42578125" bestFit="1" customWidth="1"/>
    <col min="4128" max="4128" width="10.42578125" customWidth="1"/>
    <col min="4129" max="4129" width="11.85546875" customWidth="1"/>
    <col min="4130" max="4130" width="10.140625" customWidth="1"/>
    <col min="4131" max="4132" width="12.42578125" bestFit="1" customWidth="1"/>
    <col min="4133" max="4133" width="9.28515625" bestFit="1" customWidth="1"/>
    <col min="4353" max="4353" width="0.7109375" customWidth="1"/>
    <col min="4354" max="4354" width="10.5703125" customWidth="1"/>
    <col min="4355" max="4355" width="46.42578125" customWidth="1"/>
    <col min="4356" max="4356" width="12.7109375" customWidth="1"/>
    <col min="4357" max="4357" width="15.28515625" customWidth="1"/>
    <col min="4358" max="4358" width="14.85546875" customWidth="1"/>
    <col min="4359" max="4359" width="15" customWidth="1"/>
    <col min="4360" max="4360" width="14.5703125" customWidth="1"/>
    <col min="4361" max="4362" width="14.140625" customWidth="1"/>
    <col min="4363" max="4363" width="14.5703125" customWidth="1"/>
    <col min="4364" max="4364" width="14.140625" customWidth="1"/>
    <col min="4365" max="4365" width="14.42578125" customWidth="1"/>
    <col min="4366" max="4366" width="14.5703125" customWidth="1"/>
    <col min="4367" max="4367" width="14.140625" customWidth="1"/>
    <col min="4368" max="4368" width="14.28515625" customWidth="1"/>
    <col min="4369" max="4369" width="14.85546875" customWidth="1"/>
    <col min="4370" max="4380" width="14.28515625" customWidth="1"/>
    <col min="4381" max="4381" width="11.5703125" customWidth="1"/>
    <col min="4382" max="4382" width="13.5703125" bestFit="1" customWidth="1"/>
    <col min="4383" max="4383" width="12.42578125" bestFit="1" customWidth="1"/>
    <col min="4384" max="4384" width="10.42578125" customWidth="1"/>
    <col min="4385" max="4385" width="11.85546875" customWidth="1"/>
    <col min="4386" max="4386" width="10.140625" customWidth="1"/>
    <col min="4387" max="4388" width="12.42578125" bestFit="1" customWidth="1"/>
    <col min="4389" max="4389" width="9.28515625" bestFit="1" customWidth="1"/>
    <col min="4609" max="4609" width="0.7109375" customWidth="1"/>
    <col min="4610" max="4610" width="10.5703125" customWidth="1"/>
    <col min="4611" max="4611" width="46.42578125" customWidth="1"/>
    <col min="4612" max="4612" width="12.7109375" customWidth="1"/>
    <col min="4613" max="4613" width="15.28515625" customWidth="1"/>
    <col min="4614" max="4614" width="14.85546875" customWidth="1"/>
    <col min="4615" max="4615" width="15" customWidth="1"/>
    <col min="4616" max="4616" width="14.5703125" customWidth="1"/>
    <col min="4617" max="4618" width="14.140625" customWidth="1"/>
    <col min="4619" max="4619" width="14.5703125" customWidth="1"/>
    <col min="4620" max="4620" width="14.140625" customWidth="1"/>
    <col min="4621" max="4621" width="14.42578125" customWidth="1"/>
    <col min="4622" max="4622" width="14.5703125" customWidth="1"/>
    <col min="4623" max="4623" width="14.140625" customWidth="1"/>
    <col min="4624" max="4624" width="14.28515625" customWidth="1"/>
    <col min="4625" max="4625" width="14.85546875" customWidth="1"/>
    <col min="4626" max="4636" width="14.28515625" customWidth="1"/>
    <col min="4637" max="4637" width="11.5703125" customWidth="1"/>
    <col min="4638" max="4638" width="13.5703125" bestFit="1" customWidth="1"/>
    <col min="4639" max="4639" width="12.42578125" bestFit="1" customWidth="1"/>
    <col min="4640" max="4640" width="10.42578125" customWidth="1"/>
    <col min="4641" max="4641" width="11.85546875" customWidth="1"/>
    <col min="4642" max="4642" width="10.140625" customWidth="1"/>
    <col min="4643" max="4644" width="12.42578125" bestFit="1" customWidth="1"/>
    <col min="4645" max="4645" width="9.28515625" bestFit="1" customWidth="1"/>
    <col min="4865" max="4865" width="0.7109375" customWidth="1"/>
    <col min="4866" max="4866" width="10.5703125" customWidth="1"/>
    <col min="4867" max="4867" width="46.42578125" customWidth="1"/>
    <col min="4868" max="4868" width="12.7109375" customWidth="1"/>
    <col min="4869" max="4869" width="15.28515625" customWidth="1"/>
    <col min="4870" max="4870" width="14.85546875" customWidth="1"/>
    <col min="4871" max="4871" width="15" customWidth="1"/>
    <col min="4872" max="4872" width="14.5703125" customWidth="1"/>
    <col min="4873" max="4874" width="14.140625" customWidth="1"/>
    <col min="4875" max="4875" width="14.5703125" customWidth="1"/>
    <col min="4876" max="4876" width="14.140625" customWidth="1"/>
    <col min="4877" max="4877" width="14.42578125" customWidth="1"/>
    <col min="4878" max="4878" width="14.5703125" customWidth="1"/>
    <col min="4879" max="4879" width="14.140625" customWidth="1"/>
    <col min="4880" max="4880" width="14.28515625" customWidth="1"/>
    <col min="4881" max="4881" width="14.85546875" customWidth="1"/>
    <col min="4882" max="4892" width="14.28515625" customWidth="1"/>
    <col min="4893" max="4893" width="11.5703125" customWidth="1"/>
    <col min="4894" max="4894" width="13.5703125" bestFit="1" customWidth="1"/>
    <col min="4895" max="4895" width="12.42578125" bestFit="1" customWidth="1"/>
    <col min="4896" max="4896" width="10.42578125" customWidth="1"/>
    <col min="4897" max="4897" width="11.85546875" customWidth="1"/>
    <col min="4898" max="4898" width="10.140625" customWidth="1"/>
    <col min="4899" max="4900" width="12.42578125" bestFit="1" customWidth="1"/>
    <col min="4901" max="4901" width="9.28515625" bestFit="1" customWidth="1"/>
    <col min="5121" max="5121" width="0.7109375" customWidth="1"/>
    <col min="5122" max="5122" width="10.5703125" customWidth="1"/>
    <col min="5123" max="5123" width="46.42578125" customWidth="1"/>
    <col min="5124" max="5124" width="12.7109375" customWidth="1"/>
    <col min="5125" max="5125" width="15.28515625" customWidth="1"/>
    <col min="5126" max="5126" width="14.85546875" customWidth="1"/>
    <col min="5127" max="5127" width="15" customWidth="1"/>
    <col min="5128" max="5128" width="14.5703125" customWidth="1"/>
    <col min="5129" max="5130" width="14.140625" customWidth="1"/>
    <col min="5131" max="5131" width="14.5703125" customWidth="1"/>
    <col min="5132" max="5132" width="14.140625" customWidth="1"/>
    <col min="5133" max="5133" width="14.42578125" customWidth="1"/>
    <col min="5134" max="5134" width="14.5703125" customWidth="1"/>
    <col min="5135" max="5135" width="14.140625" customWidth="1"/>
    <col min="5136" max="5136" width="14.28515625" customWidth="1"/>
    <col min="5137" max="5137" width="14.85546875" customWidth="1"/>
    <col min="5138" max="5148" width="14.28515625" customWidth="1"/>
    <col min="5149" max="5149" width="11.5703125" customWidth="1"/>
    <col min="5150" max="5150" width="13.5703125" bestFit="1" customWidth="1"/>
    <col min="5151" max="5151" width="12.42578125" bestFit="1" customWidth="1"/>
    <col min="5152" max="5152" width="10.42578125" customWidth="1"/>
    <col min="5153" max="5153" width="11.85546875" customWidth="1"/>
    <col min="5154" max="5154" width="10.140625" customWidth="1"/>
    <col min="5155" max="5156" width="12.42578125" bestFit="1" customWidth="1"/>
    <col min="5157" max="5157" width="9.28515625" bestFit="1" customWidth="1"/>
    <col min="5377" max="5377" width="0.7109375" customWidth="1"/>
    <col min="5378" max="5378" width="10.5703125" customWidth="1"/>
    <col min="5379" max="5379" width="46.42578125" customWidth="1"/>
    <col min="5380" max="5380" width="12.7109375" customWidth="1"/>
    <col min="5381" max="5381" width="15.28515625" customWidth="1"/>
    <col min="5382" max="5382" width="14.85546875" customWidth="1"/>
    <col min="5383" max="5383" width="15" customWidth="1"/>
    <col min="5384" max="5384" width="14.5703125" customWidth="1"/>
    <col min="5385" max="5386" width="14.140625" customWidth="1"/>
    <col min="5387" max="5387" width="14.5703125" customWidth="1"/>
    <col min="5388" max="5388" width="14.140625" customWidth="1"/>
    <col min="5389" max="5389" width="14.42578125" customWidth="1"/>
    <col min="5390" max="5390" width="14.5703125" customWidth="1"/>
    <col min="5391" max="5391" width="14.140625" customWidth="1"/>
    <col min="5392" max="5392" width="14.28515625" customWidth="1"/>
    <col min="5393" max="5393" width="14.85546875" customWidth="1"/>
    <col min="5394" max="5404" width="14.28515625" customWidth="1"/>
    <col min="5405" max="5405" width="11.5703125" customWidth="1"/>
    <col min="5406" max="5406" width="13.5703125" bestFit="1" customWidth="1"/>
    <col min="5407" max="5407" width="12.42578125" bestFit="1" customWidth="1"/>
    <col min="5408" max="5408" width="10.42578125" customWidth="1"/>
    <col min="5409" max="5409" width="11.85546875" customWidth="1"/>
    <col min="5410" max="5410" width="10.140625" customWidth="1"/>
    <col min="5411" max="5412" width="12.42578125" bestFit="1" customWidth="1"/>
    <col min="5413" max="5413" width="9.28515625" bestFit="1" customWidth="1"/>
    <col min="5633" max="5633" width="0.7109375" customWidth="1"/>
    <col min="5634" max="5634" width="10.5703125" customWidth="1"/>
    <col min="5635" max="5635" width="46.42578125" customWidth="1"/>
    <col min="5636" max="5636" width="12.7109375" customWidth="1"/>
    <col min="5637" max="5637" width="15.28515625" customWidth="1"/>
    <col min="5638" max="5638" width="14.85546875" customWidth="1"/>
    <col min="5639" max="5639" width="15" customWidth="1"/>
    <col min="5640" max="5640" width="14.5703125" customWidth="1"/>
    <col min="5641" max="5642" width="14.140625" customWidth="1"/>
    <col min="5643" max="5643" width="14.5703125" customWidth="1"/>
    <col min="5644" max="5644" width="14.140625" customWidth="1"/>
    <col min="5645" max="5645" width="14.42578125" customWidth="1"/>
    <col min="5646" max="5646" width="14.5703125" customWidth="1"/>
    <col min="5647" max="5647" width="14.140625" customWidth="1"/>
    <col min="5648" max="5648" width="14.28515625" customWidth="1"/>
    <col min="5649" max="5649" width="14.85546875" customWidth="1"/>
    <col min="5650" max="5660" width="14.28515625" customWidth="1"/>
    <col min="5661" max="5661" width="11.5703125" customWidth="1"/>
    <col min="5662" max="5662" width="13.5703125" bestFit="1" customWidth="1"/>
    <col min="5663" max="5663" width="12.42578125" bestFit="1" customWidth="1"/>
    <col min="5664" max="5664" width="10.42578125" customWidth="1"/>
    <col min="5665" max="5665" width="11.85546875" customWidth="1"/>
    <col min="5666" max="5666" width="10.140625" customWidth="1"/>
    <col min="5667" max="5668" width="12.42578125" bestFit="1" customWidth="1"/>
    <col min="5669" max="5669" width="9.28515625" bestFit="1" customWidth="1"/>
    <col min="5889" max="5889" width="0.7109375" customWidth="1"/>
    <col min="5890" max="5890" width="10.5703125" customWidth="1"/>
    <col min="5891" max="5891" width="46.42578125" customWidth="1"/>
    <col min="5892" max="5892" width="12.7109375" customWidth="1"/>
    <col min="5893" max="5893" width="15.28515625" customWidth="1"/>
    <col min="5894" max="5894" width="14.85546875" customWidth="1"/>
    <col min="5895" max="5895" width="15" customWidth="1"/>
    <col min="5896" max="5896" width="14.5703125" customWidth="1"/>
    <col min="5897" max="5898" width="14.140625" customWidth="1"/>
    <col min="5899" max="5899" width="14.5703125" customWidth="1"/>
    <col min="5900" max="5900" width="14.140625" customWidth="1"/>
    <col min="5901" max="5901" width="14.42578125" customWidth="1"/>
    <col min="5902" max="5902" width="14.5703125" customWidth="1"/>
    <col min="5903" max="5903" width="14.140625" customWidth="1"/>
    <col min="5904" max="5904" width="14.28515625" customWidth="1"/>
    <col min="5905" max="5905" width="14.85546875" customWidth="1"/>
    <col min="5906" max="5916" width="14.28515625" customWidth="1"/>
    <col min="5917" max="5917" width="11.5703125" customWidth="1"/>
    <col min="5918" max="5918" width="13.5703125" bestFit="1" customWidth="1"/>
    <col min="5919" max="5919" width="12.42578125" bestFit="1" customWidth="1"/>
    <col min="5920" max="5920" width="10.42578125" customWidth="1"/>
    <col min="5921" max="5921" width="11.85546875" customWidth="1"/>
    <col min="5922" max="5922" width="10.140625" customWidth="1"/>
    <col min="5923" max="5924" width="12.42578125" bestFit="1" customWidth="1"/>
    <col min="5925" max="5925" width="9.28515625" bestFit="1" customWidth="1"/>
    <col min="6145" max="6145" width="0.7109375" customWidth="1"/>
    <col min="6146" max="6146" width="10.5703125" customWidth="1"/>
    <col min="6147" max="6147" width="46.42578125" customWidth="1"/>
    <col min="6148" max="6148" width="12.7109375" customWidth="1"/>
    <col min="6149" max="6149" width="15.28515625" customWidth="1"/>
    <col min="6150" max="6150" width="14.85546875" customWidth="1"/>
    <col min="6151" max="6151" width="15" customWidth="1"/>
    <col min="6152" max="6152" width="14.5703125" customWidth="1"/>
    <col min="6153" max="6154" width="14.140625" customWidth="1"/>
    <col min="6155" max="6155" width="14.5703125" customWidth="1"/>
    <col min="6156" max="6156" width="14.140625" customWidth="1"/>
    <col min="6157" max="6157" width="14.42578125" customWidth="1"/>
    <col min="6158" max="6158" width="14.5703125" customWidth="1"/>
    <col min="6159" max="6159" width="14.140625" customWidth="1"/>
    <col min="6160" max="6160" width="14.28515625" customWidth="1"/>
    <col min="6161" max="6161" width="14.85546875" customWidth="1"/>
    <col min="6162" max="6172" width="14.28515625" customWidth="1"/>
    <col min="6173" max="6173" width="11.5703125" customWidth="1"/>
    <col min="6174" max="6174" width="13.5703125" bestFit="1" customWidth="1"/>
    <col min="6175" max="6175" width="12.42578125" bestFit="1" customWidth="1"/>
    <col min="6176" max="6176" width="10.42578125" customWidth="1"/>
    <col min="6177" max="6177" width="11.85546875" customWidth="1"/>
    <col min="6178" max="6178" width="10.140625" customWidth="1"/>
    <col min="6179" max="6180" width="12.42578125" bestFit="1" customWidth="1"/>
    <col min="6181" max="6181" width="9.28515625" bestFit="1" customWidth="1"/>
    <col min="6401" max="6401" width="0.7109375" customWidth="1"/>
    <col min="6402" max="6402" width="10.5703125" customWidth="1"/>
    <col min="6403" max="6403" width="46.42578125" customWidth="1"/>
    <col min="6404" max="6404" width="12.7109375" customWidth="1"/>
    <col min="6405" max="6405" width="15.28515625" customWidth="1"/>
    <col min="6406" max="6406" width="14.85546875" customWidth="1"/>
    <col min="6407" max="6407" width="15" customWidth="1"/>
    <col min="6408" max="6408" width="14.5703125" customWidth="1"/>
    <col min="6409" max="6410" width="14.140625" customWidth="1"/>
    <col min="6411" max="6411" width="14.5703125" customWidth="1"/>
    <col min="6412" max="6412" width="14.140625" customWidth="1"/>
    <col min="6413" max="6413" width="14.42578125" customWidth="1"/>
    <col min="6414" max="6414" width="14.5703125" customWidth="1"/>
    <col min="6415" max="6415" width="14.140625" customWidth="1"/>
    <col min="6416" max="6416" width="14.28515625" customWidth="1"/>
    <col min="6417" max="6417" width="14.85546875" customWidth="1"/>
    <col min="6418" max="6428" width="14.28515625" customWidth="1"/>
    <col min="6429" max="6429" width="11.5703125" customWidth="1"/>
    <col min="6430" max="6430" width="13.5703125" bestFit="1" customWidth="1"/>
    <col min="6431" max="6431" width="12.42578125" bestFit="1" customWidth="1"/>
    <col min="6432" max="6432" width="10.42578125" customWidth="1"/>
    <col min="6433" max="6433" width="11.85546875" customWidth="1"/>
    <col min="6434" max="6434" width="10.140625" customWidth="1"/>
    <col min="6435" max="6436" width="12.42578125" bestFit="1" customWidth="1"/>
    <col min="6437" max="6437" width="9.28515625" bestFit="1" customWidth="1"/>
    <col min="6657" max="6657" width="0.7109375" customWidth="1"/>
    <col min="6658" max="6658" width="10.5703125" customWidth="1"/>
    <col min="6659" max="6659" width="46.42578125" customWidth="1"/>
    <col min="6660" max="6660" width="12.7109375" customWidth="1"/>
    <col min="6661" max="6661" width="15.28515625" customWidth="1"/>
    <col min="6662" max="6662" width="14.85546875" customWidth="1"/>
    <col min="6663" max="6663" width="15" customWidth="1"/>
    <col min="6664" max="6664" width="14.5703125" customWidth="1"/>
    <col min="6665" max="6666" width="14.140625" customWidth="1"/>
    <col min="6667" max="6667" width="14.5703125" customWidth="1"/>
    <col min="6668" max="6668" width="14.140625" customWidth="1"/>
    <col min="6669" max="6669" width="14.42578125" customWidth="1"/>
    <col min="6670" max="6670" width="14.5703125" customWidth="1"/>
    <col min="6671" max="6671" width="14.140625" customWidth="1"/>
    <col min="6672" max="6672" width="14.28515625" customWidth="1"/>
    <col min="6673" max="6673" width="14.85546875" customWidth="1"/>
    <col min="6674" max="6684" width="14.28515625" customWidth="1"/>
    <col min="6685" max="6685" width="11.5703125" customWidth="1"/>
    <col min="6686" max="6686" width="13.5703125" bestFit="1" customWidth="1"/>
    <col min="6687" max="6687" width="12.42578125" bestFit="1" customWidth="1"/>
    <col min="6688" max="6688" width="10.42578125" customWidth="1"/>
    <col min="6689" max="6689" width="11.85546875" customWidth="1"/>
    <col min="6690" max="6690" width="10.140625" customWidth="1"/>
    <col min="6691" max="6692" width="12.42578125" bestFit="1" customWidth="1"/>
    <col min="6693" max="6693" width="9.28515625" bestFit="1" customWidth="1"/>
    <col min="6913" max="6913" width="0.7109375" customWidth="1"/>
    <col min="6914" max="6914" width="10.5703125" customWidth="1"/>
    <col min="6915" max="6915" width="46.42578125" customWidth="1"/>
    <col min="6916" max="6916" width="12.7109375" customWidth="1"/>
    <col min="6917" max="6917" width="15.28515625" customWidth="1"/>
    <col min="6918" max="6918" width="14.85546875" customWidth="1"/>
    <col min="6919" max="6919" width="15" customWidth="1"/>
    <col min="6920" max="6920" width="14.5703125" customWidth="1"/>
    <col min="6921" max="6922" width="14.140625" customWidth="1"/>
    <col min="6923" max="6923" width="14.5703125" customWidth="1"/>
    <col min="6924" max="6924" width="14.140625" customWidth="1"/>
    <col min="6925" max="6925" width="14.42578125" customWidth="1"/>
    <col min="6926" max="6926" width="14.5703125" customWidth="1"/>
    <col min="6927" max="6927" width="14.140625" customWidth="1"/>
    <col min="6928" max="6928" width="14.28515625" customWidth="1"/>
    <col min="6929" max="6929" width="14.85546875" customWidth="1"/>
    <col min="6930" max="6940" width="14.28515625" customWidth="1"/>
    <col min="6941" max="6941" width="11.5703125" customWidth="1"/>
    <col min="6942" max="6942" width="13.5703125" bestFit="1" customWidth="1"/>
    <col min="6943" max="6943" width="12.42578125" bestFit="1" customWidth="1"/>
    <col min="6944" max="6944" width="10.42578125" customWidth="1"/>
    <col min="6945" max="6945" width="11.85546875" customWidth="1"/>
    <col min="6946" max="6946" width="10.140625" customWidth="1"/>
    <col min="6947" max="6948" width="12.42578125" bestFit="1" customWidth="1"/>
    <col min="6949" max="6949" width="9.28515625" bestFit="1" customWidth="1"/>
    <col min="7169" max="7169" width="0.7109375" customWidth="1"/>
    <col min="7170" max="7170" width="10.5703125" customWidth="1"/>
    <col min="7171" max="7171" width="46.42578125" customWidth="1"/>
    <col min="7172" max="7172" width="12.7109375" customWidth="1"/>
    <col min="7173" max="7173" width="15.28515625" customWidth="1"/>
    <col min="7174" max="7174" width="14.85546875" customWidth="1"/>
    <col min="7175" max="7175" width="15" customWidth="1"/>
    <col min="7176" max="7176" width="14.5703125" customWidth="1"/>
    <col min="7177" max="7178" width="14.140625" customWidth="1"/>
    <col min="7179" max="7179" width="14.5703125" customWidth="1"/>
    <col min="7180" max="7180" width="14.140625" customWidth="1"/>
    <col min="7181" max="7181" width="14.42578125" customWidth="1"/>
    <col min="7182" max="7182" width="14.5703125" customWidth="1"/>
    <col min="7183" max="7183" width="14.140625" customWidth="1"/>
    <col min="7184" max="7184" width="14.28515625" customWidth="1"/>
    <col min="7185" max="7185" width="14.85546875" customWidth="1"/>
    <col min="7186" max="7196" width="14.28515625" customWidth="1"/>
    <col min="7197" max="7197" width="11.5703125" customWidth="1"/>
    <col min="7198" max="7198" width="13.5703125" bestFit="1" customWidth="1"/>
    <col min="7199" max="7199" width="12.42578125" bestFit="1" customWidth="1"/>
    <col min="7200" max="7200" width="10.42578125" customWidth="1"/>
    <col min="7201" max="7201" width="11.85546875" customWidth="1"/>
    <col min="7202" max="7202" width="10.140625" customWidth="1"/>
    <col min="7203" max="7204" width="12.42578125" bestFit="1" customWidth="1"/>
    <col min="7205" max="7205" width="9.28515625" bestFit="1" customWidth="1"/>
    <col min="7425" max="7425" width="0.7109375" customWidth="1"/>
    <col min="7426" max="7426" width="10.5703125" customWidth="1"/>
    <col min="7427" max="7427" width="46.42578125" customWidth="1"/>
    <col min="7428" max="7428" width="12.7109375" customWidth="1"/>
    <col min="7429" max="7429" width="15.28515625" customWidth="1"/>
    <col min="7430" max="7430" width="14.85546875" customWidth="1"/>
    <col min="7431" max="7431" width="15" customWidth="1"/>
    <col min="7432" max="7432" width="14.5703125" customWidth="1"/>
    <col min="7433" max="7434" width="14.140625" customWidth="1"/>
    <col min="7435" max="7435" width="14.5703125" customWidth="1"/>
    <col min="7436" max="7436" width="14.140625" customWidth="1"/>
    <col min="7437" max="7437" width="14.42578125" customWidth="1"/>
    <col min="7438" max="7438" width="14.5703125" customWidth="1"/>
    <col min="7439" max="7439" width="14.140625" customWidth="1"/>
    <col min="7440" max="7440" width="14.28515625" customWidth="1"/>
    <col min="7441" max="7441" width="14.85546875" customWidth="1"/>
    <col min="7442" max="7452" width="14.28515625" customWidth="1"/>
    <col min="7453" max="7453" width="11.5703125" customWidth="1"/>
    <col min="7454" max="7454" width="13.5703125" bestFit="1" customWidth="1"/>
    <col min="7455" max="7455" width="12.42578125" bestFit="1" customWidth="1"/>
    <col min="7456" max="7456" width="10.42578125" customWidth="1"/>
    <col min="7457" max="7457" width="11.85546875" customWidth="1"/>
    <col min="7458" max="7458" width="10.140625" customWidth="1"/>
    <col min="7459" max="7460" width="12.42578125" bestFit="1" customWidth="1"/>
    <col min="7461" max="7461" width="9.28515625" bestFit="1" customWidth="1"/>
    <col min="7681" max="7681" width="0.7109375" customWidth="1"/>
    <col min="7682" max="7682" width="10.5703125" customWidth="1"/>
    <col min="7683" max="7683" width="46.42578125" customWidth="1"/>
    <col min="7684" max="7684" width="12.7109375" customWidth="1"/>
    <col min="7685" max="7685" width="15.28515625" customWidth="1"/>
    <col min="7686" max="7686" width="14.85546875" customWidth="1"/>
    <col min="7687" max="7687" width="15" customWidth="1"/>
    <col min="7688" max="7688" width="14.5703125" customWidth="1"/>
    <col min="7689" max="7690" width="14.140625" customWidth="1"/>
    <col min="7691" max="7691" width="14.5703125" customWidth="1"/>
    <col min="7692" max="7692" width="14.140625" customWidth="1"/>
    <col min="7693" max="7693" width="14.42578125" customWidth="1"/>
    <col min="7694" max="7694" width="14.5703125" customWidth="1"/>
    <col min="7695" max="7695" width="14.140625" customWidth="1"/>
    <col min="7696" max="7696" width="14.28515625" customWidth="1"/>
    <col min="7697" max="7697" width="14.85546875" customWidth="1"/>
    <col min="7698" max="7708" width="14.28515625" customWidth="1"/>
    <col min="7709" max="7709" width="11.5703125" customWidth="1"/>
    <col min="7710" max="7710" width="13.5703125" bestFit="1" customWidth="1"/>
    <col min="7711" max="7711" width="12.42578125" bestFit="1" customWidth="1"/>
    <col min="7712" max="7712" width="10.42578125" customWidth="1"/>
    <col min="7713" max="7713" width="11.85546875" customWidth="1"/>
    <col min="7714" max="7714" width="10.140625" customWidth="1"/>
    <col min="7715" max="7716" width="12.42578125" bestFit="1" customWidth="1"/>
    <col min="7717" max="7717" width="9.28515625" bestFit="1" customWidth="1"/>
    <col min="7937" max="7937" width="0.7109375" customWidth="1"/>
    <col min="7938" max="7938" width="10.5703125" customWidth="1"/>
    <col min="7939" max="7939" width="46.42578125" customWidth="1"/>
    <col min="7940" max="7940" width="12.7109375" customWidth="1"/>
    <col min="7941" max="7941" width="15.28515625" customWidth="1"/>
    <col min="7942" max="7942" width="14.85546875" customWidth="1"/>
    <col min="7943" max="7943" width="15" customWidth="1"/>
    <col min="7944" max="7944" width="14.5703125" customWidth="1"/>
    <col min="7945" max="7946" width="14.140625" customWidth="1"/>
    <col min="7947" max="7947" width="14.5703125" customWidth="1"/>
    <col min="7948" max="7948" width="14.140625" customWidth="1"/>
    <col min="7949" max="7949" width="14.42578125" customWidth="1"/>
    <col min="7950" max="7950" width="14.5703125" customWidth="1"/>
    <col min="7951" max="7951" width="14.140625" customWidth="1"/>
    <col min="7952" max="7952" width="14.28515625" customWidth="1"/>
    <col min="7953" max="7953" width="14.85546875" customWidth="1"/>
    <col min="7954" max="7964" width="14.28515625" customWidth="1"/>
    <col min="7965" max="7965" width="11.5703125" customWidth="1"/>
    <col min="7966" max="7966" width="13.5703125" bestFit="1" customWidth="1"/>
    <col min="7967" max="7967" width="12.42578125" bestFit="1" customWidth="1"/>
    <col min="7968" max="7968" width="10.42578125" customWidth="1"/>
    <col min="7969" max="7969" width="11.85546875" customWidth="1"/>
    <col min="7970" max="7970" width="10.140625" customWidth="1"/>
    <col min="7971" max="7972" width="12.42578125" bestFit="1" customWidth="1"/>
    <col min="7973" max="7973" width="9.28515625" bestFit="1" customWidth="1"/>
    <col min="8193" max="8193" width="0.7109375" customWidth="1"/>
    <col min="8194" max="8194" width="10.5703125" customWidth="1"/>
    <col min="8195" max="8195" width="46.42578125" customWidth="1"/>
    <col min="8196" max="8196" width="12.7109375" customWidth="1"/>
    <col min="8197" max="8197" width="15.28515625" customWidth="1"/>
    <col min="8198" max="8198" width="14.85546875" customWidth="1"/>
    <col min="8199" max="8199" width="15" customWidth="1"/>
    <col min="8200" max="8200" width="14.5703125" customWidth="1"/>
    <col min="8201" max="8202" width="14.140625" customWidth="1"/>
    <col min="8203" max="8203" width="14.5703125" customWidth="1"/>
    <col min="8204" max="8204" width="14.140625" customWidth="1"/>
    <col min="8205" max="8205" width="14.42578125" customWidth="1"/>
    <col min="8206" max="8206" width="14.5703125" customWidth="1"/>
    <col min="8207" max="8207" width="14.140625" customWidth="1"/>
    <col min="8208" max="8208" width="14.28515625" customWidth="1"/>
    <col min="8209" max="8209" width="14.85546875" customWidth="1"/>
    <col min="8210" max="8220" width="14.28515625" customWidth="1"/>
    <col min="8221" max="8221" width="11.5703125" customWidth="1"/>
    <col min="8222" max="8222" width="13.5703125" bestFit="1" customWidth="1"/>
    <col min="8223" max="8223" width="12.42578125" bestFit="1" customWidth="1"/>
    <col min="8224" max="8224" width="10.42578125" customWidth="1"/>
    <col min="8225" max="8225" width="11.85546875" customWidth="1"/>
    <col min="8226" max="8226" width="10.140625" customWidth="1"/>
    <col min="8227" max="8228" width="12.42578125" bestFit="1" customWidth="1"/>
    <col min="8229" max="8229" width="9.28515625" bestFit="1" customWidth="1"/>
    <col min="8449" max="8449" width="0.7109375" customWidth="1"/>
    <col min="8450" max="8450" width="10.5703125" customWidth="1"/>
    <col min="8451" max="8451" width="46.42578125" customWidth="1"/>
    <col min="8452" max="8452" width="12.7109375" customWidth="1"/>
    <col min="8453" max="8453" width="15.28515625" customWidth="1"/>
    <col min="8454" max="8454" width="14.85546875" customWidth="1"/>
    <col min="8455" max="8455" width="15" customWidth="1"/>
    <col min="8456" max="8456" width="14.5703125" customWidth="1"/>
    <col min="8457" max="8458" width="14.140625" customWidth="1"/>
    <col min="8459" max="8459" width="14.5703125" customWidth="1"/>
    <col min="8460" max="8460" width="14.140625" customWidth="1"/>
    <col min="8461" max="8461" width="14.42578125" customWidth="1"/>
    <col min="8462" max="8462" width="14.5703125" customWidth="1"/>
    <col min="8463" max="8463" width="14.140625" customWidth="1"/>
    <col min="8464" max="8464" width="14.28515625" customWidth="1"/>
    <col min="8465" max="8465" width="14.85546875" customWidth="1"/>
    <col min="8466" max="8476" width="14.28515625" customWidth="1"/>
    <col min="8477" max="8477" width="11.5703125" customWidth="1"/>
    <col min="8478" max="8478" width="13.5703125" bestFit="1" customWidth="1"/>
    <col min="8479" max="8479" width="12.42578125" bestFit="1" customWidth="1"/>
    <col min="8480" max="8480" width="10.42578125" customWidth="1"/>
    <col min="8481" max="8481" width="11.85546875" customWidth="1"/>
    <col min="8482" max="8482" width="10.140625" customWidth="1"/>
    <col min="8483" max="8484" width="12.42578125" bestFit="1" customWidth="1"/>
    <col min="8485" max="8485" width="9.28515625" bestFit="1" customWidth="1"/>
    <col min="8705" max="8705" width="0.7109375" customWidth="1"/>
    <col min="8706" max="8706" width="10.5703125" customWidth="1"/>
    <col min="8707" max="8707" width="46.42578125" customWidth="1"/>
    <col min="8708" max="8708" width="12.7109375" customWidth="1"/>
    <col min="8709" max="8709" width="15.28515625" customWidth="1"/>
    <col min="8710" max="8710" width="14.85546875" customWidth="1"/>
    <col min="8711" max="8711" width="15" customWidth="1"/>
    <col min="8712" max="8712" width="14.5703125" customWidth="1"/>
    <col min="8713" max="8714" width="14.140625" customWidth="1"/>
    <col min="8715" max="8715" width="14.5703125" customWidth="1"/>
    <col min="8716" max="8716" width="14.140625" customWidth="1"/>
    <col min="8717" max="8717" width="14.42578125" customWidth="1"/>
    <col min="8718" max="8718" width="14.5703125" customWidth="1"/>
    <col min="8719" max="8719" width="14.140625" customWidth="1"/>
    <col min="8720" max="8720" width="14.28515625" customWidth="1"/>
    <col min="8721" max="8721" width="14.85546875" customWidth="1"/>
    <col min="8722" max="8732" width="14.28515625" customWidth="1"/>
    <col min="8733" max="8733" width="11.5703125" customWidth="1"/>
    <col min="8734" max="8734" width="13.5703125" bestFit="1" customWidth="1"/>
    <col min="8735" max="8735" width="12.42578125" bestFit="1" customWidth="1"/>
    <col min="8736" max="8736" width="10.42578125" customWidth="1"/>
    <col min="8737" max="8737" width="11.85546875" customWidth="1"/>
    <col min="8738" max="8738" width="10.140625" customWidth="1"/>
    <col min="8739" max="8740" width="12.42578125" bestFit="1" customWidth="1"/>
    <col min="8741" max="8741" width="9.28515625" bestFit="1" customWidth="1"/>
    <col min="8961" max="8961" width="0.7109375" customWidth="1"/>
    <col min="8962" max="8962" width="10.5703125" customWidth="1"/>
    <col min="8963" max="8963" width="46.42578125" customWidth="1"/>
    <col min="8964" max="8964" width="12.7109375" customWidth="1"/>
    <col min="8965" max="8965" width="15.28515625" customWidth="1"/>
    <col min="8966" max="8966" width="14.85546875" customWidth="1"/>
    <col min="8967" max="8967" width="15" customWidth="1"/>
    <col min="8968" max="8968" width="14.5703125" customWidth="1"/>
    <col min="8969" max="8970" width="14.140625" customWidth="1"/>
    <col min="8971" max="8971" width="14.5703125" customWidth="1"/>
    <col min="8972" max="8972" width="14.140625" customWidth="1"/>
    <col min="8973" max="8973" width="14.42578125" customWidth="1"/>
    <col min="8974" max="8974" width="14.5703125" customWidth="1"/>
    <col min="8975" max="8975" width="14.140625" customWidth="1"/>
    <col min="8976" max="8976" width="14.28515625" customWidth="1"/>
    <col min="8977" max="8977" width="14.85546875" customWidth="1"/>
    <col min="8978" max="8988" width="14.28515625" customWidth="1"/>
    <col min="8989" max="8989" width="11.5703125" customWidth="1"/>
    <col min="8990" max="8990" width="13.5703125" bestFit="1" customWidth="1"/>
    <col min="8991" max="8991" width="12.42578125" bestFit="1" customWidth="1"/>
    <col min="8992" max="8992" width="10.42578125" customWidth="1"/>
    <col min="8993" max="8993" width="11.85546875" customWidth="1"/>
    <col min="8994" max="8994" width="10.140625" customWidth="1"/>
    <col min="8995" max="8996" width="12.42578125" bestFit="1" customWidth="1"/>
    <col min="8997" max="8997" width="9.28515625" bestFit="1" customWidth="1"/>
    <col min="9217" max="9217" width="0.7109375" customWidth="1"/>
    <col min="9218" max="9218" width="10.5703125" customWidth="1"/>
    <col min="9219" max="9219" width="46.42578125" customWidth="1"/>
    <col min="9220" max="9220" width="12.7109375" customWidth="1"/>
    <col min="9221" max="9221" width="15.28515625" customWidth="1"/>
    <col min="9222" max="9222" width="14.85546875" customWidth="1"/>
    <col min="9223" max="9223" width="15" customWidth="1"/>
    <col min="9224" max="9224" width="14.5703125" customWidth="1"/>
    <col min="9225" max="9226" width="14.140625" customWidth="1"/>
    <col min="9227" max="9227" width="14.5703125" customWidth="1"/>
    <col min="9228" max="9228" width="14.140625" customWidth="1"/>
    <col min="9229" max="9229" width="14.42578125" customWidth="1"/>
    <col min="9230" max="9230" width="14.5703125" customWidth="1"/>
    <col min="9231" max="9231" width="14.140625" customWidth="1"/>
    <col min="9232" max="9232" width="14.28515625" customWidth="1"/>
    <col min="9233" max="9233" width="14.85546875" customWidth="1"/>
    <col min="9234" max="9244" width="14.28515625" customWidth="1"/>
    <col min="9245" max="9245" width="11.5703125" customWidth="1"/>
    <col min="9246" max="9246" width="13.5703125" bestFit="1" customWidth="1"/>
    <col min="9247" max="9247" width="12.42578125" bestFit="1" customWidth="1"/>
    <col min="9248" max="9248" width="10.42578125" customWidth="1"/>
    <col min="9249" max="9249" width="11.85546875" customWidth="1"/>
    <col min="9250" max="9250" width="10.140625" customWidth="1"/>
    <col min="9251" max="9252" width="12.42578125" bestFit="1" customWidth="1"/>
    <col min="9253" max="9253" width="9.28515625" bestFit="1" customWidth="1"/>
    <col min="9473" max="9473" width="0.7109375" customWidth="1"/>
    <col min="9474" max="9474" width="10.5703125" customWidth="1"/>
    <col min="9475" max="9475" width="46.42578125" customWidth="1"/>
    <col min="9476" max="9476" width="12.7109375" customWidth="1"/>
    <col min="9477" max="9477" width="15.28515625" customWidth="1"/>
    <col min="9478" max="9478" width="14.85546875" customWidth="1"/>
    <col min="9479" max="9479" width="15" customWidth="1"/>
    <col min="9480" max="9480" width="14.5703125" customWidth="1"/>
    <col min="9481" max="9482" width="14.140625" customWidth="1"/>
    <col min="9483" max="9483" width="14.5703125" customWidth="1"/>
    <col min="9484" max="9484" width="14.140625" customWidth="1"/>
    <col min="9485" max="9485" width="14.42578125" customWidth="1"/>
    <col min="9486" max="9486" width="14.5703125" customWidth="1"/>
    <col min="9487" max="9487" width="14.140625" customWidth="1"/>
    <col min="9488" max="9488" width="14.28515625" customWidth="1"/>
    <col min="9489" max="9489" width="14.85546875" customWidth="1"/>
    <col min="9490" max="9500" width="14.28515625" customWidth="1"/>
    <col min="9501" max="9501" width="11.5703125" customWidth="1"/>
    <col min="9502" max="9502" width="13.5703125" bestFit="1" customWidth="1"/>
    <col min="9503" max="9503" width="12.42578125" bestFit="1" customWidth="1"/>
    <col min="9504" max="9504" width="10.42578125" customWidth="1"/>
    <col min="9505" max="9505" width="11.85546875" customWidth="1"/>
    <col min="9506" max="9506" width="10.140625" customWidth="1"/>
    <col min="9507" max="9508" width="12.42578125" bestFit="1" customWidth="1"/>
    <col min="9509" max="9509" width="9.28515625" bestFit="1" customWidth="1"/>
    <col min="9729" max="9729" width="0.7109375" customWidth="1"/>
    <col min="9730" max="9730" width="10.5703125" customWidth="1"/>
    <col min="9731" max="9731" width="46.42578125" customWidth="1"/>
    <col min="9732" max="9732" width="12.7109375" customWidth="1"/>
    <col min="9733" max="9733" width="15.28515625" customWidth="1"/>
    <col min="9734" max="9734" width="14.85546875" customWidth="1"/>
    <col min="9735" max="9735" width="15" customWidth="1"/>
    <col min="9736" max="9736" width="14.5703125" customWidth="1"/>
    <col min="9737" max="9738" width="14.140625" customWidth="1"/>
    <col min="9739" max="9739" width="14.5703125" customWidth="1"/>
    <col min="9740" max="9740" width="14.140625" customWidth="1"/>
    <col min="9741" max="9741" width="14.42578125" customWidth="1"/>
    <col min="9742" max="9742" width="14.5703125" customWidth="1"/>
    <col min="9743" max="9743" width="14.140625" customWidth="1"/>
    <col min="9744" max="9744" width="14.28515625" customWidth="1"/>
    <col min="9745" max="9745" width="14.85546875" customWidth="1"/>
    <col min="9746" max="9756" width="14.28515625" customWidth="1"/>
    <col min="9757" max="9757" width="11.5703125" customWidth="1"/>
    <col min="9758" max="9758" width="13.5703125" bestFit="1" customWidth="1"/>
    <col min="9759" max="9759" width="12.42578125" bestFit="1" customWidth="1"/>
    <col min="9760" max="9760" width="10.42578125" customWidth="1"/>
    <col min="9761" max="9761" width="11.85546875" customWidth="1"/>
    <col min="9762" max="9762" width="10.140625" customWidth="1"/>
    <col min="9763" max="9764" width="12.42578125" bestFit="1" customWidth="1"/>
    <col min="9765" max="9765" width="9.28515625" bestFit="1" customWidth="1"/>
    <col min="9985" max="9985" width="0.7109375" customWidth="1"/>
    <col min="9986" max="9986" width="10.5703125" customWidth="1"/>
    <col min="9987" max="9987" width="46.42578125" customWidth="1"/>
    <col min="9988" max="9988" width="12.7109375" customWidth="1"/>
    <col min="9989" max="9989" width="15.28515625" customWidth="1"/>
    <col min="9990" max="9990" width="14.85546875" customWidth="1"/>
    <col min="9991" max="9991" width="15" customWidth="1"/>
    <col min="9992" max="9992" width="14.5703125" customWidth="1"/>
    <col min="9993" max="9994" width="14.140625" customWidth="1"/>
    <col min="9995" max="9995" width="14.5703125" customWidth="1"/>
    <col min="9996" max="9996" width="14.140625" customWidth="1"/>
    <col min="9997" max="9997" width="14.42578125" customWidth="1"/>
    <col min="9998" max="9998" width="14.5703125" customWidth="1"/>
    <col min="9999" max="9999" width="14.140625" customWidth="1"/>
    <col min="10000" max="10000" width="14.28515625" customWidth="1"/>
    <col min="10001" max="10001" width="14.85546875" customWidth="1"/>
    <col min="10002" max="10012" width="14.28515625" customWidth="1"/>
    <col min="10013" max="10013" width="11.5703125" customWidth="1"/>
    <col min="10014" max="10014" width="13.5703125" bestFit="1" customWidth="1"/>
    <col min="10015" max="10015" width="12.42578125" bestFit="1" customWidth="1"/>
    <col min="10016" max="10016" width="10.42578125" customWidth="1"/>
    <col min="10017" max="10017" width="11.85546875" customWidth="1"/>
    <col min="10018" max="10018" width="10.140625" customWidth="1"/>
    <col min="10019" max="10020" width="12.42578125" bestFit="1" customWidth="1"/>
    <col min="10021" max="10021" width="9.28515625" bestFit="1" customWidth="1"/>
    <col min="10241" max="10241" width="0.7109375" customWidth="1"/>
    <col min="10242" max="10242" width="10.5703125" customWidth="1"/>
    <col min="10243" max="10243" width="46.42578125" customWidth="1"/>
    <col min="10244" max="10244" width="12.7109375" customWidth="1"/>
    <col min="10245" max="10245" width="15.28515625" customWidth="1"/>
    <col min="10246" max="10246" width="14.85546875" customWidth="1"/>
    <col min="10247" max="10247" width="15" customWidth="1"/>
    <col min="10248" max="10248" width="14.5703125" customWidth="1"/>
    <col min="10249" max="10250" width="14.140625" customWidth="1"/>
    <col min="10251" max="10251" width="14.5703125" customWidth="1"/>
    <col min="10252" max="10252" width="14.140625" customWidth="1"/>
    <col min="10253" max="10253" width="14.42578125" customWidth="1"/>
    <col min="10254" max="10254" width="14.5703125" customWidth="1"/>
    <col min="10255" max="10255" width="14.140625" customWidth="1"/>
    <col min="10256" max="10256" width="14.28515625" customWidth="1"/>
    <col min="10257" max="10257" width="14.85546875" customWidth="1"/>
    <col min="10258" max="10268" width="14.28515625" customWidth="1"/>
    <col min="10269" max="10269" width="11.5703125" customWidth="1"/>
    <col min="10270" max="10270" width="13.5703125" bestFit="1" customWidth="1"/>
    <col min="10271" max="10271" width="12.42578125" bestFit="1" customWidth="1"/>
    <col min="10272" max="10272" width="10.42578125" customWidth="1"/>
    <col min="10273" max="10273" width="11.85546875" customWidth="1"/>
    <col min="10274" max="10274" width="10.140625" customWidth="1"/>
    <col min="10275" max="10276" width="12.42578125" bestFit="1" customWidth="1"/>
    <col min="10277" max="10277" width="9.28515625" bestFit="1" customWidth="1"/>
    <col min="10497" max="10497" width="0.7109375" customWidth="1"/>
    <col min="10498" max="10498" width="10.5703125" customWidth="1"/>
    <col min="10499" max="10499" width="46.42578125" customWidth="1"/>
    <col min="10500" max="10500" width="12.7109375" customWidth="1"/>
    <col min="10501" max="10501" width="15.28515625" customWidth="1"/>
    <col min="10502" max="10502" width="14.85546875" customWidth="1"/>
    <col min="10503" max="10503" width="15" customWidth="1"/>
    <col min="10504" max="10504" width="14.5703125" customWidth="1"/>
    <col min="10505" max="10506" width="14.140625" customWidth="1"/>
    <col min="10507" max="10507" width="14.5703125" customWidth="1"/>
    <col min="10508" max="10508" width="14.140625" customWidth="1"/>
    <col min="10509" max="10509" width="14.42578125" customWidth="1"/>
    <col min="10510" max="10510" width="14.5703125" customWidth="1"/>
    <col min="10511" max="10511" width="14.140625" customWidth="1"/>
    <col min="10512" max="10512" width="14.28515625" customWidth="1"/>
    <col min="10513" max="10513" width="14.85546875" customWidth="1"/>
    <col min="10514" max="10524" width="14.28515625" customWidth="1"/>
    <col min="10525" max="10525" width="11.5703125" customWidth="1"/>
    <col min="10526" max="10526" width="13.5703125" bestFit="1" customWidth="1"/>
    <col min="10527" max="10527" width="12.42578125" bestFit="1" customWidth="1"/>
    <col min="10528" max="10528" width="10.42578125" customWidth="1"/>
    <col min="10529" max="10529" width="11.85546875" customWidth="1"/>
    <col min="10530" max="10530" width="10.140625" customWidth="1"/>
    <col min="10531" max="10532" width="12.42578125" bestFit="1" customWidth="1"/>
    <col min="10533" max="10533" width="9.28515625" bestFit="1" customWidth="1"/>
    <col min="10753" max="10753" width="0.7109375" customWidth="1"/>
    <col min="10754" max="10754" width="10.5703125" customWidth="1"/>
    <col min="10755" max="10755" width="46.42578125" customWidth="1"/>
    <col min="10756" max="10756" width="12.7109375" customWidth="1"/>
    <col min="10757" max="10757" width="15.28515625" customWidth="1"/>
    <col min="10758" max="10758" width="14.85546875" customWidth="1"/>
    <col min="10759" max="10759" width="15" customWidth="1"/>
    <col min="10760" max="10760" width="14.5703125" customWidth="1"/>
    <col min="10761" max="10762" width="14.140625" customWidth="1"/>
    <col min="10763" max="10763" width="14.5703125" customWidth="1"/>
    <col min="10764" max="10764" width="14.140625" customWidth="1"/>
    <col min="10765" max="10765" width="14.42578125" customWidth="1"/>
    <col min="10766" max="10766" width="14.5703125" customWidth="1"/>
    <col min="10767" max="10767" width="14.140625" customWidth="1"/>
    <col min="10768" max="10768" width="14.28515625" customWidth="1"/>
    <col min="10769" max="10769" width="14.85546875" customWidth="1"/>
    <col min="10770" max="10780" width="14.28515625" customWidth="1"/>
    <col min="10781" max="10781" width="11.5703125" customWidth="1"/>
    <col min="10782" max="10782" width="13.5703125" bestFit="1" customWidth="1"/>
    <col min="10783" max="10783" width="12.42578125" bestFit="1" customWidth="1"/>
    <col min="10784" max="10784" width="10.42578125" customWidth="1"/>
    <col min="10785" max="10785" width="11.85546875" customWidth="1"/>
    <col min="10786" max="10786" width="10.140625" customWidth="1"/>
    <col min="10787" max="10788" width="12.42578125" bestFit="1" customWidth="1"/>
    <col min="10789" max="10789" width="9.28515625" bestFit="1" customWidth="1"/>
    <col min="11009" max="11009" width="0.7109375" customWidth="1"/>
    <col min="11010" max="11010" width="10.5703125" customWidth="1"/>
    <col min="11011" max="11011" width="46.42578125" customWidth="1"/>
    <col min="11012" max="11012" width="12.7109375" customWidth="1"/>
    <col min="11013" max="11013" width="15.28515625" customWidth="1"/>
    <col min="11014" max="11014" width="14.85546875" customWidth="1"/>
    <col min="11015" max="11015" width="15" customWidth="1"/>
    <col min="11016" max="11016" width="14.5703125" customWidth="1"/>
    <col min="11017" max="11018" width="14.140625" customWidth="1"/>
    <col min="11019" max="11019" width="14.5703125" customWidth="1"/>
    <col min="11020" max="11020" width="14.140625" customWidth="1"/>
    <col min="11021" max="11021" width="14.42578125" customWidth="1"/>
    <col min="11022" max="11022" width="14.5703125" customWidth="1"/>
    <col min="11023" max="11023" width="14.140625" customWidth="1"/>
    <col min="11024" max="11024" width="14.28515625" customWidth="1"/>
    <col min="11025" max="11025" width="14.85546875" customWidth="1"/>
    <col min="11026" max="11036" width="14.28515625" customWidth="1"/>
    <col min="11037" max="11037" width="11.5703125" customWidth="1"/>
    <col min="11038" max="11038" width="13.5703125" bestFit="1" customWidth="1"/>
    <col min="11039" max="11039" width="12.42578125" bestFit="1" customWidth="1"/>
    <col min="11040" max="11040" width="10.42578125" customWidth="1"/>
    <col min="11041" max="11041" width="11.85546875" customWidth="1"/>
    <col min="11042" max="11042" width="10.140625" customWidth="1"/>
    <col min="11043" max="11044" width="12.42578125" bestFit="1" customWidth="1"/>
    <col min="11045" max="11045" width="9.28515625" bestFit="1" customWidth="1"/>
    <col min="11265" max="11265" width="0.7109375" customWidth="1"/>
    <col min="11266" max="11266" width="10.5703125" customWidth="1"/>
    <col min="11267" max="11267" width="46.42578125" customWidth="1"/>
    <col min="11268" max="11268" width="12.7109375" customWidth="1"/>
    <col min="11269" max="11269" width="15.28515625" customWidth="1"/>
    <col min="11270" max="11270" width="14.85546875" customWidth="1"/>
    <col min="11271" max="11271" width="15" customWidth="1"/>
    <col min="11272" max="11272" width="14.5703125" customWidth="1"/>
    <col min="11273" max="11274" width="14.140625" customWidth="1"/>
    <col min="11275" max="11275" width="14.5703125" customWidth="1"/>
    <col min="11276" max="11276" width="14.140625" customWidth="1"/>
    <col min="11277" max="11277" width="14.42578125" customWidth="1"/>
    <col min="11278" max="11278" width="14.5703125" customWidth="1"/>
    <col min="11279" max="11279" width="14.140625" customWidth="1"/>
    <col min="11280" max="11280" width="14.28515625" customWidth="1"/>
    <col min="11281" max="11281" width="14.85546875" customWidth="1"/>
    <col min="11282" max="11292" width="14.28515625" customWidth="1"/>
    <col min="11293" max="11293" width="11.5703125" customWidth="1"/>
    <col min="11294" max="11294" width="13.5703125" bestFit="1" customWidth="1"/>
    <col min="11295" max="11295" width="12.42578125" bestFit="1" customWidth="1"/>
    <col min="11296" max="11296" width="10.42578125" customWidth="1"/>
    <col min="11297" max="11297" width="11.85546875" customWidth="1"/>
    <col min="11298" max="11298" width="10.140625" customWidth="1"/>
    <col min="11299" max="11300" width="12.42578125" bestFit="1" customWidth="1"/>
    <col min="11301" max="11301" width="9.28515625" bestFit="1" customWidth="1"/>
    <col min="11521" max="11521" width="0.7109375" customWidth="1"/>
    <col min="11522" max="11522" width="10.5703125" customWidth="1"/>
    <col min="11523" max="11523" width="46.42578125" customWidth="1"/>
    <col min="11524" max="11524" width="12.7109375" customWidth="1"/>
    <col min="11525" max="11525" width="15.28515625" customWidth="1"/>
    <col min="11526" max="11526" width="14.85546875" customWidth="1"/>
    <col min="11527" max="11527" width="15" customWidth="1"/>
    <col min="11528" max="11528" width="14.5703125" customWidth="1"/>
    <col min="11529" max="11530" width="14.140625" customWidth="1"/>
    <col min="11531" max="11531" width="14.5703125" customWidth="1"/>
    <col min="11532" max="11532" width="14.140625" customWidth="1"/>
    <col min="11533" max="11533" width="14.42578125" customWidth="1"/>
    <col min="11534" max="11534" width="14.5703125" customWidth="1"/>
    <col min="11535" max="11535" width="14.140625" customWidth="1"/>
    <col min="11536" max="11536" width="14.28515625" customWidth="1"/>
    <col min="11537" max="11537" width="14.85546875" customWidth="1"/>
    <col min="11538" max="11548" width="14.28515625" customWidth="1"/>
    <col min="11549" max="11549" width="11.5703125" customWidth="1"/>
    <col min="11550" max="11550" width="13.5703125" bestFit="1" customWidth="1"/>
    <col min="11551" max="11551" width="12.42578125" bestFit="1" customWidth="1"/>
    <col min="11552" max="11552" width="10.42578125" customWidth="1"/>
    <col min="11553" max="11553" width="11.85546875" customWidth="1"/>
    <col min="11554" max="11554" width="10.140625" customWidth="1"/>
    <col min="11555" max="11556" width="12.42578125" bestFit="1" customWidth="1"/>
    <col min="11557" max="11557" width="9.28515625" bestFit="1" customWidth="1"/>
    <col min="11777" max="11777" width="0.7109375" customWidth="1"/>
    <col min="11778" max="11778" width="10.5703125" customWidth="1"/>
    <col min="11779" max="11779" width="46.42578125" customWidth="1"/>
    <col min="11780" max="11780" width="12.7109375" customWidth="1"/>
    <col min="11781" max="11781" width="15.28515625" customWidth="1"/>
    <col min="11782" max="11782" width="14.85546875" customWidth="1"/>
    <col min="11783" max="11783" width="15" customWidth="1"/>
    <col min="11784" max="11784" width="14.5703125" customWidth="1"/>
    <col min="11785" max="11786" width="14.140625" customWidth="1"/>
    <col min="11787" max="11787" width="14.5703125" customWidth="1"/>
    <col min="11788" max="11788" width="14.140625" customWidth="1"/>
    <col min="11789" max="11789" width="14.42578125" customWidth="1"/>
    <col min="11790" max="11790" width="14.5703125" customWidth="1"/>
    <col min="11791" max="11791" width="14.140625" customWidth="1"/>
    <col min="11792" max="11792" width="14.28515625" customWidth="1"/>
    <col min="11793" max="11793" width="14.85546875" customWidth="1"/>
    <col min="11794" max="11804" width="14.28515625" customWidth="1"/>
    <col min="11805" max="11805" width="11.5703125" customWidth="1"/>
    <col min="11806" max="11806" width="13.5703125" bestFit="1" customWidth="1"/>
    <col min="11807" max="11807" width="12.42578125" bestFit="1" customWidth="1"/>
    <col min="11808" max="11808" width="10.42578125" customWidth="1"/>
    <col min="11809" max="11809" width="11.85546875" customWidth="1"/>
    <col min="11810" max="11810" width="10.140625" customWidth="1"/>
    <col min="11811" max="11812" width="12.42578125" bestFit="1" customWidth="1"/>
    <col min="11813" max="11813" width="9.28515625" bestFit="1" customWidth="1"/>
    <col min="12033" max="12033" width="0.7109375" customWidth="1"/>
    <col min="12034" max="12034" width="10.5703125" customWidth="1"/>
    <col min="12035" max="12035" width="46.42578125" customWidth="1"/>
    <col min="12036" max="12036" width="12.7109375" customWidth="1"/>
    <col min="12037" max="12037" width="15.28515625" customWidth="1"/>
    <col min="12038" max="12038" width="14.85546875" customWidth="1"/>
    <col min="12039" max="12039" width="15" customWidth="1"/>
    <col min="12040" max="12040" width="14.5703125" customWidth="1"/>
    <col min="12041" max="12042" width="14.140625" customWidth="1"/>
    <col min="12043" max="12043" width="14.5703125" customWidth="1"/>
    <col min="12044" max="12044" width="14.140625" customWidth="1"/>
    <col min="12045" max="12045" width="14.42578125" customWidth="1"/>
    <col min="12046" max="12046" width="14.5703125" customWidth="1"/>
    <col min="12047" max="12047" width="14.140625" customWidth="1"/>
    <col min="12048" max="12048" width="14.28515625" customWidth="1"/>
    <col min="12049" max="12049" width="14.85546875" customWidth="1"/>
    <col min="12050" max="12060" width="14.28515625" customWidth="1"/>
    <col min="12061" max="12061" width="11.5703125" customWidth="1"/>
    <col min="12062" max="12062" width="13.5703125" bestFit="1" customWidth="1"/>
    <col min="12063" max="12063" width="12.42578125" bestFit="1" customWidth="1"/>
    <col min="12064" max="12064" width="10.42578125" customWidth="1"/>
    <col min="12065" max="12065" width="11.85546875" customWidth="1"/>
    <col min="12066" max="12066" width="10.140625" customWidth="1"/>
    <col min="12067" max="12068" width="12.42578125" bestFit="1" customWidth="1"/>
    <col min="12069" max="12069" width="9.28515625" bestFit="1" customWidth="1"/>
    <col min="12289" max="12289" width="0.7109375" customWidth="1"/>
    <col min="12290" max="12290" width="10.5703125" customWidth="1"/>
    <col min="12291" max="12291" width="46.42578125" customWidth="1"/>
    <col min="12292" max="12292" width="12.7109375" customWidth="1"/>
    <col min="12293" max="12293" width="15.28515625" customWidth="1"/>
    <col min="12294" max="12294" width="14.85546875" customWidth="1"/>
    <col min="12295" max="12295" width="15" customWidth="1"/>
    <col min="12296" max="12296" width="14.5703125" customWidth="1"/>
    <col min="12297" max="12298" width="14.140625" customWidth="1"/>
    <col min="12299" max="12299" width="14.5703125" customWidth="1"/>
    <col min="12300" max="12300" width="14.140625" customWidth="1"/>
    <col min="12301" max="12301" width="14.42578125" customWidth="1"/>
    <col min="12302" max="12302" width="14.5703125" customWidth="1"/>
    <col min="12303" max="12303" width="14.140625" customWidth="1"/>
    <col min="12304" max="12304" width="14.28515625" customWidth="1"/>
    <col min="12305" max="12305" width="14.85546875" customWidth="1"/>
    <col min="12306" max="12316" width="14.28515625" customWidth="1"/>
    <col min="12317" max="12317" width="11.5703125" customWidth="1"/>
    <col min="12318" max="12318" width="13.5703125" bestFit="1" customWidth="1"/>
    <col min="12319" max="12319" width="12.42578125" bestFit="1" customWidth="1"/>
    <col min="12320" max="12320" width="10.42578125" customWidth="1"/>
    <col min="12321" max="12321" width="11.85546875" customWidth="1"/>
    <col min="12322" max="12322" width="10.140625" customWidth="1"/>
    <col min="12323" max="12324" width="12.42578125" bestFit="1" customWidth="1"/>
    <col min="12325" max="12325" width="9.28515625" bestFit="1" customWidth="1"/>
    <col min="12545" max="12545" width="0.7109375" customWidth="1"/>
    <col min="12546" max="12546" width="10.5703125" customWidth="1"/>
    <col min="12547" max="12547" width="46.42578125" customWidth="1"/>
    <col min="12548" max="12548" width="12.7109375" customWidth="1"/>
    <col min="12549" max="12549" width="15.28515625" customWidth="1"/>
    <col min="12550" max="12550" width="14.85546875" customWidth="1"/>
    <col min="12551" max="12551" width="15" customWidth="1"/>
    <col min="12552" max="12552" width="14.5703125" customWidth="1"/>
    <col min="12553" max="12554" width="14.140625" customWidth="1"/>
    <col min="12555" max="12555" width="14.5703125" customWidth="1"/>
    <col min="12556" max="12556" width="14.140625" customWidth="1"/>
    <col min="12557" max="12557" width="14.42578125" customWidth="1"/>
    <col min="12558" max="12558" width="14.5703125" customWidth="1"/>
    <col min="12559" max="12559" width="14.140625" customWidth="1"/>
    <col min="12560" max="12560" width="14.28515625" customWidth="1"/>
    <col min="12561" max="12561" width="14.85546875" customWidth="1"/>
    <col min="12562" max="12572" width="14.28515625" customWidth="1"/>
    <col min="12573" max="12573" width="11.5703125" customWidth="1"/>
    <col min="12574" max="12574" width="13.5703125" bestFit="1" customWidth="1"/>
    <col min="12575" max="12575" width="12.42578125" bestFit="1" customWidth="1"/>
    <col min="12576" max="12576" width="10.42578125" customWidth="1"/>
    <col min="12577" max="12577" width="11.85546875" customWidth="1"/>
    <col min="12578" max="12578" width="10.140625" customWidth="1"/>
    <col min="12579" max="12580" width="12.42578125" bestFit="1" customWidth="1"/>
    <col min="12581" max="12581" width="9.28515625" bestFit="1" customWidth="1"/>
    <col min="12801" max="12801" width="0.7109375" customWidth="1"/>
    <col min="12802" max="12802" width="10.5703125" customWidth="1"/>
    <col min="12803" max="12803" width="46.42578125" customWidth="1"/>
    <col min="12804" max="12804" width="12.7109375" customWidth="1"/>
    <col min="12805" max="12805" width="15.28515625" customWidth="1"/>
    <col min="12806" max="12806" width="14.85546875" customWidth="1"/>
    <col min="12807" max="12807" width="15" customWidth="1"/>
    <col min="12808" max="12808" width="14.5703125" customWidth="1"/>
    <col min="12809" max="12810" width="14.140625" customWidth="1"/>
    <col min="12811" max="12811" width="14.5703125" customWidth="1"/>
    <col min="12812" max="12812" width="14.140625" customWidth="1"/>
    <col min="12813" max="12813" width="14.42578125" customWidth="1"/>
    <col min="12814" max="12814" width="14.5703125" customWidth="1"/>
    <col min="12815" max="12815" width="14.140625" customWidth="1"/>
    <col min="12816" max="12816" width="14.28515625" customWidth="1"/>
    <col min="12817" max="12817" width="14.85546875" customWidth="1"/>
    <col min="12818" max="12828" width="14.28515625" customWidth="1"/>
    <col min="12829" max="12829" width="11.5703125" customWidth="1"/>
    <col min="12830" max="12830" width="13.5703125" bestFit="1" customWidth="1"/>
    <col min="12831" max="12831" width="12.42578125" bestFit="1" customWidth="1"/>
    <col min="12832" max="12832" width="10.42578125" customWidth="1"/>
    <col min="12833" max="12833" width="11.85546875" customWidth="1"/>
    <col min="12834" max="12834" width="10.140625" customWidth="1"/>
    <col min="12835" max="12836" width="12.42578125" bestFit="1" customWidth="1"/>
    <col min="12837" max="12837" width="9.28515625" bestFit="1" customWidth="1"/>
    <col min="13057" max="13057" width="0.7109375" customWidth="1"/>
    <col min="13058" max="13058" width="10.5703125" customWidth="1"/>
    <col min="13059" max="13059" width="46.42578125" customWidth="1"/>
    <col min="13060" max="13060" width="12.7109375" customWidth="1"/>
    <col min="13061" max="13061" width="15.28515625" customWidth="1"/>
    <col min="13062" max="13062" width="14.85546875" customWidth="1"/>
    <col min="13063" max="13063" width="15" customWidth="1"/>
    <col min="13064" max="13064" width="14.5703125" customWidth="1"/>
    <col min="13065" max="13066" width="14.140625" customWidth="1"/>
    <col min="13067" max="13067" width="14.5703125" customWidth="1"/>
    <col min="13068" max="13068" width="14.140625" customWidth="1"/>
    <col min="13069" max="13069" width="14.42578125" customWidth="1"/>
    <col min="13070" max="13070" width="14.5703125" customWidth="1"/>
    <col min="13071" max="13071" width="14.140625" customWidth="1"/>
    <col min="13072" max="13072" width="14.28515625" customWidth="1"/>
    <col min="13073" max="13073" width="14.85546875" customWidth="1"/>
    <col min="13074" max="13084" width="14.28515625" customWidth="1"/>
    <col min="13085" max="13085" width="11.5703125" customWidth="1"/>
    <col min="13086" max="13086" width="13.5703125" bestFit="1" customWidth="1"/>
    <col min="13087" max="13087" width="12.42578125" bestFit="1" customWidth="1"/>
    <col min="13088" max="13088" width="10.42578125" customWidth="1"/>
    <col min="13089" max="13089" width="11.85546875" customWidth="1"/>
    <col min="13090" max="13090" width="10.140625" customWidth="1"/>
    <col min="13091" max="13092" width="12.42578125" bestFit="1" customWidth="1"/>
    <col min="13093" max="13093" width="9.28515625" bestFit="1" customWidth="1"/>
    <col min="13313" max="13313" width="0.7109375" customWidth="1"/>
    <col min="13314" max="13314" width="10.5703125" customWidth="1"/>
    <col min="13315" max="13315" width="46.42578125" customWidth="1"/>
    <col min="13316" max="13316" width="12.7109375" customWidth="1"/>
    <col min="13317" max="13317" width="15.28515625" customWidth="1"/>
    <col min="13318" max="13318" width="14.85546875" customWidth="1"/>
    <col min="13319" max="13319" width="15" customWidth="1"/>
    <col min="13320" max="13320" width="14.5703125" customWidth="1"/>
    <col min="13321" max="13322" width="14.140625" customWidth="1"/>
    <col min="13323" max="13323" width="14.5703125" customWidth="1"/>
    <col min="13324" max="13324" width="14.140625" customWidth="1"/>
    <col min="13325" max="13325" width="14.42578125" customWidth="1"/>
    <col min="13326" max="13326" width="14.5703125" customWidth="1"/>
    <col min="13327" max="13327" width="14.140625" customWidth="1"/>
    <col min="13328" max="13328" width="14.28515625" customWidth="1"/>
    <col min="13329" max="13329" width="14.85546875" customWidth="1"/>
    <col min="13330" max="13340" width="14.28515625" customWidth="1"/>
    <col min="13341" max="13341" width="11.5703125" customWidth="1"/>
    <col min="13342" max="13342" width="13.5703125" bestFit="1" customWidth="1"/>
    <col min="13343" max="13343" width="12.42578125" bestFit="1" customWidth="1"/>
    <col min="13344" max="13344" width="10.42578125" customWidth="1"/>
    <col min="13345" max="13345" width="11.85546875" customWidth="1"/>
    <col min="13346" max="13346" width="10.140625" customWidth="1"/>
    <col min="13347" max="13348" width="12.42578125" bestFit="1" customWidth="1"/>
    <col min="13349" max="13349" width="9.28515625" bestFit="1" customWidth="1"/>
    <col min="13569" max="13569" width="0.7109375" customWidth="1"/>
    <col min="13570" max="13570" width="10.5703125" customWidth="1"/>
    <col min="13571" max="13571" width="46.42578125" customWidth="1"/>
    <col min="13572" max="13572" width="12.7109375" customWidth="1"/>
    <col min="13573" max="13573" width="15.28515625" customWidth="1"/>
    <col min="13574" max="13574" width="14.85546875" customWidth="1"/>
    <col min="13575" max="13575" width="15" customWidth="1"/>
    <col min="13576" max="13576" width="14.5703125" customWidth="1"/>
    <col min="13577" max="13578" width="14.140625" customWidth="1"/>
    <col min="13579" max="13579" width="14.5703125" customWidth="1"/>
    <col min="13580" max="13580" width="14.140625" customWidth="1"/>
    <col min="13581" max="13581" width="14.42578125" customWidth="1"/>
    <col min="13582" max="13582" width="14.5703125" customWidth="1"/>
    <col min="13583" max="13583" width="14.140625" customWidth="1"/>
    <col min="13584" max="13584" width="14.28515625" customWidth="1"/>
    <col min="13585" max="13585" width="14.85546875" customWidth="1"/>
    <col min="13586" max="13596" width="14.28515625" customWidth="1"/>
    <col min="13597" max="13597" width="11.5703125" customWidth="1"/>
    <col min="13598" max="13598" width="13.5703125" bestFit="1" customWidth="1"/>
    <col min="13599" max="13599" width="12.42578125" bestFit="1" customWidth="1"/>
    <col min="13600" max="13600" width="10.42578125" customWidth="1"/>
    <col min="13601" max="13601" width="11.85546875" customWidth="1"/>
    <col min="13602" max="13602" width="10.140625" customWidth="1"/>
    <col min="13603" max="13604" width="12.42578125" bestFit="1" customWidth="1"/>
    <col min="13605" max="13605" width="9.28515625" bestFit="1" customWidth="1"/>
    <col min="13825" max="13825" width="0.7109375" customWidth="1"/>
    <col min="13826" max="13826" width="10.5703125" customWidth="1"/>
    <col min="13827" max="13827" width="46.42578125" customWidth="1"/>
    <col min="13828" max="13828" width="12.7109375" customWidth="1"/>
    <col min="13829" max="13829" width="15.28515625" customWidth="1"/>
    <col min="13830" max="13830" width="14.85546875" customWidth="1"/>
    <col min="13831" max="13831" width="15" customWidth="1"/>
    <col min="13832" max="13832" width="14.5703125" customWidth="1"/>
    <col min="13833" max="13834" width="14.140625" customWidth="1"/>
    <col min="13835" max="13835" width="14.5703125" customWidth="1"/>
    <col min="13836" max="13836" width="14.140625" customWidth="1"/>
    <col min="13837" max="13837" width="14.42578125" customWidth="1"/>
    <col min="13838" max="13838" width="14.5703125" customWidth="1"/>
    <col min="13839" max="13839" width="14.140625" customWidth="1"/>
    <col min="13840" max="13840" width="14.28515625" customWidth="1"/>
    <col min="13841" max="13841" width="14.85546875" customWidth="1"/>
    <col min="13842" max="13852" width="14.28515625" customWidth="1"/>
    <col min="13853" max="13853" width="11.5703125" customWidth="1"/>
    <col min="13854" max="13854" width="13.5703125" bestFit="1" customWidth="1"/>
    <col min="13855" max="13855" width="12.42578125" bestFit="1" customWidth="1"/>
    <col min="13856" max="13856" width="10.42578125" customWidth="1"/>
    <col min="13857" max="13857" width="11.85546875" customWidth="1"/>
    <col min="13858" max="13858" width="10.140625" customWidth="1"/>
    <col min="13859" max="13860" width="12.42578125" bestFit="1" customWidth="1"/>
    <col min="13861" max="13861" width="9.28515625" bestFit="1" customWidth="1"/>
    <col min="14081" max="14081" width="0.7109375" customWidth="1"/>
    <col min="14082" max="14082" width="10.5703125" customWidth="1"/>
    <col min="14083" max="14083" width="46.42578125" customWidth="1"/>
    <col min="14084" max="14084" width="12.7109375" customWidth="1"/>
    <col min="14085" max="14085" width="15.28515625" customWidth="1"/>
    <col min="14086" max="14086" width="14.85546875" customWidth="1"/>
    <col min="14087" max="14087" width="15" customWidth="1"/>
    <col min="14088" max="14088" width="14.5703125" customWidth="1"/>
    <col min="14089" max="14090" width="14.140625" customWidth="1"/>
    <col min="14091" max="14091" width="14.5703125" customWidth="1"/>
    <col min="14092" max="14092" width="14.140625" customWidth="1"/>
    <col min="14093" max="14093" width="14.42578125" customWidth="1"/>
    <col min="14094" max="14094" width="14.5703125" customWidth="1"/>
    <col min="14095" max="14095" width="14.140625" customWidth="1"/>
    <col min="14096" max="14096" width="14.28515625" customWidth="1"/>
    <col min="14097" max="14097" width="14.85546875" customWidth="1"/>
    <col min="14098" max="14108" width="14.28515625" customWidth="1"/>
    <col min="14109" max="14109" width="11.5703125" customWidth="1"/>
    <col min="14110" max="14110" width="13.5703125" bestFit="1" customWidth="1"/>
    <col min="14111" max="14111" width="12.42578125" bestFit="1" customWidth="1"/>
    <col min="14112" max="14112" width="10.42578125" customWidth="1"/>
    <col min="14113" max="14113" width="11.85546875" customWidth="1"/>
    <col min="14114" max="14114" width="10.140625" customWidth="1"/>
    <col min="14115" max="14116" width="12.42578125" bestFit="1" customWidth="1"/>
    <col min="14117" max="14117" width="9.28515625" bestFit="1" customWidth="1"/>
    <col min="14337" max="14337" width="0.7109375" customWidth="1"/>
    <col min="14338" max="14338" width="10.5703125" customWidth="1"/>
    <col min="14339" max="14339" width="46.42578125" customWidth="1"/>
    <col min="14340" max="14340" width="12.7109375" customWidth="1"/>
    <col min="14341" max="14341" width="15.28515625" customWidth="1"/>
    <col min="14342" max="14342" width="14.85546875" customWidth="1"/>
    <col min="14343" max="14343" width="15" customWidth="1"/>
    <col min="14344" max="14344" width="14.5703125" customWidth="1"/>
    <col min="14345" max="14346" width="14.140625" customWidth="1"/>
    <col min="14347" max="14347" width="14.5703125" customWidth="1"/>
    <col min="14348" max="14348" width="14.140625" customWidth="1"/>
    <col min="14349" max="14349" width="14.42578125" customWidth="1"/>
    <col min="14350" max="14350" width="14.5703125" customWidth="1"/>
    <col min="14351" max="14351" width="14.140625" customWidth="1"/>
    <col min="14352" max="14352" width="14.28515625" customWidth="1"/>
    <col min="14353" max="14353" width="14.85546875" customWidth="1"/>
    <col min="14354" max="14364" width="14.28515625" customWidth="1"/>
    <col min="14365" max="14365" width="11.5703125" customWidth="1"/>
    <col min="14366" max="14366" width="13.5703125" bestFit="1" customWidth="1"/>
    <col min="14367" max="14367" width="12.42578125" bestFit="1" customWidth="1"/>
    <col min="14368" max="14368" width="10.42578125" customWidth="1"/>
    <col min="14369" max="14369" width="11.85546875" customWidth="1"/>
    <col min="14370" max="14370" width="10.140625" customWidth="1"/>
    <col min="14371" max="14372" width="12.42578125" bestFit="1" customWidth="1"/>
    <col min="14373" max="14373" width="9.28515625" bestFit="1" customWidth="1"/>
    <col min="14593" max="14593" width="0.7109375" customWidth="1"/>
    <col min="14594" max="14594" width="10.5703125" customWidth="1"/>
    <col min="14595" max="14595" width="46.42578125" customWidth="1"/>
    <col min="14596" max="14596" width="12.7109375" customWidth="1"/>
    <col min="14597" max="14597" width="15.28515625" customWidth="1"/>
    <col min="14598" max="14598" width="14.85546875" customWidth="1"/>
    <col min="14599" max="14599" width="15" customWidth="1"/>
    <col min="14600" max="14600" width="14.5703125" customWidth="1"/>
    <col min="14601" max="14602" width="14.140625" customWidth="1"/>
    <col min="14603" max="14603" width="14.5703125" customWidth="1"/>
    <col min="14604" max="14604" width="14.140625" customWidth="1"/>
    <col min="14605" max="14605" width="14.42578125" customWidth="1"/>
    <col min="14606" max="14606" width="14.5703125" customWidth="1"/>
    <col min="14607" max="14607" width="14.140625" customWidth="1"/>
    <col min="14608" max="14608" width="14.28515625" customWidth="1"/>
    <col min="14609" max="14609" width="14.85546875" customWidth="1"/>
    <col min="14610" max="14620" width="14.28515625" customWidth="1"/>
    <col min="14621" max="14621" width="11.5703125" customWidth="1"/>
    <col min="14622" max="14622" width="13.5703125" bestFit="1" customWidth="1"/>
    <col min="14623" max="14623" width="12.42578125" bestFit="1" customWidth="1"/>
    <col min="14624" max="14624" width="10.42578125" customWidth="1"/>
    <col min="14625" max="14625" width="11.85546875" customWidth="1"/>
    <col min="14626" max="14626" width="10.140625" customWidth="1"/>
    <col min="14627" max="14628" width="12.42578125" bestFit="1" customWidth="1"/>
    <col min="14629" max="14629" width="9.28515625" bestFit="1" customWidth="1"/>
    <col min="14849" max="14849" width="0.7109375" customWidth="1"/>
    <col min="14850" max="14850" width="10.5703125" customWidth="1"/>
    <col min="14851" max="14851" width="46.42578125" customWidth="1"/>
    <col min="14852" max="14852" width="12.7109375" customWidth="1"/>
    <col min="14853" max="14853" width="15.28515625" customWidth="1"/>
    <col min="14854" max="14854" width="14.85546875" customWidth="1"/>
    <col min="14855" max="14855" width="15" customWidth="1"/>
    <col min="14856" max="14856" width="14.5703125" customWidth="1"/>
    <col min="14857" max="14858" width="14.140625" customWidth="1"/>
    <col min="14859" max="14859" width="14.5703125" customWidth="1"/>
    <col min="14860" max="14860" width="14.140625" customWidth="1"/>
    <col min="14861" max="14861" width="14.42578125" customWidth="1"/>
    <col min="14862" max="14862" width="14.5703125" customWidth="1"/>
    <col min="14863" max="14863" width="14.140625" customWidth="1"/>
    <col min="14864" max="14864" width="14.28515625" customWidth="1"/>
    <col min="14865" max="14865" width="14.85546875" customWidth="1"/>
    <col min="14866" max="14876" width="14.28515625" customWidth="1"/>
    <col min="14877" max="14877" width="11.5703125" customWidth="1"/>
    <col min="14878" max="14878" width="13.5703125" bestFit="1" customWidth="1"/>
    <col min="14879" max="14879" width="12.42578125" bestFit="1" customWidth="1"/>
    <col min="14880" max="14880" width="10.42578125" customWidth="1"/>
    <col min="14881" max="14881" width="11.85546875" customWidth="1"/>
    <col min="14882" max="14882" width="10.140625" customWidth="1"/>
    <col min="14883" max="14884" width="12.42578125" bestFit="1" customWidth="1"/>
    <col min="14885" max="14885" width="9.28515625" bestFit="1" customWidth="1"/>
    <col min="15105" max="15105" width="0.7109375" customWidth="1"/>
    <col min="15106" max="15106" width="10.5703125" customWidth="1"/>
    <col min="15107" max="15107" width="46.42578125" customWidth="1"/>
    <col min="15108" max="15108" width="12.7109375" customWidth="1"/>
    <col min="15109" max="15109" width="15.28515625" customWidth="1"/>
    <col min="15110" max="15110" width="14.85546875" customWidth="1"/>
    <col min="15111" max="15111" width="15" customWidth="1"/>
    <col min="15112" max="15112" width="14.5703125" customWidth="1"/>
    <col min="15113" max="15114" width="14.140625" customWidth="1"/>
    <col min="15115" max="15115" width="14.5703125" customWidth="1"/>
    <col min="15116" max="15116" width="14.140625" customWidth="1"/>
    <col min="15117" max="15117" width="14.42578125" customWidth="1"/>
    <col min="15118" max="15118" width="14.5703125" customWidth="1"/>
    <col min="15119" max="15119" width="14.140625" customWidth="1"/>
    <col min="15120" max="15120" width="14.28515625" customWidth="1"/>
    <col min="15121" max="15121" width="14.85546875" customWidth="1"/>
    <col min="15122" max="15132" width="14.28515625" customWidth="1"/>
    <col min="15133" max="15133" width="11.5703125" customWidth="1"/>
    <col min="15134" max="15134" width="13.5703125" bestFit="1" customWidth="1"/>
    <col min="15135" max="15135" width="12.42578125" bestFit="1" customWidth="1"/>
    <col min="15136" max="15136" width="10.42578125" customWidth="1"/>
    <col min="15137" max="15137" width="11.85546875" customWidth="1"/>
    <col min="15138" max="15138" width="10.140625" customWidth="1"/>
    <col min="15139" max="15140" width="12.42578125" bestFit="1" customWidth="1"/>
    <col min="15141" max="15141" width="9.28515625" bestFit="1" customWidth="1"/>
    <col min="15361" max="15361" width="0.7109375" customWidth="1"/>
    <col min="15362" max="15362" width="10.5703125" customWidth="1"/>
    <col min="15363" max="15363" width="46.42578125" customWidth="1"/>
    <col min="15364" max="15364" width="12.7109375" customWidth="1"/>
    <col min="15365" max="15365" width="15.28515625" customWidth="1"/>
    <col min="15366" max="15366" width="14.85546875" customWidth="1"/>
    <col min="15367" max="15367" width="15" customWidth="1"/>
    <col min="15368" max="15368" width="14.5703125" customWidth="1"/>
    <col min="15369" max="15370" width="14.140625" customWidth="1"/>
    <col min="15371" max="15371" width="14.5703125" customWidth="1"/>
    <col min="15372" max="15372" width="14.140625" customWidth="1"/>
    <col min="15373" max="15373" width="14.42578125" customWidth="1"/>
    <col min="15374" max="15374" width="14.5703125" customWidth="1"/>
    <col min="15375" max="15375" width="14.140625" customWidth="1"/>
    <col min="15376" max="15376" width="14.28515625" customWidth="1"/>
    <col min="15377" max="15377" width="14.85546875" customWidth="1"/>
    <col min="15378" max="15388" width="14.28515625" customWidth="1"/>
    <col min="15389" max="15389" width="11.5703125" customWidth="1"/>
    <col min="15390" max="15390" width="13.5703125" bestFit="1" customWidth="1"/>
    <col min="15391" max="15391" width="12.42578125" bestFit="1" customWidth="1"/>
    <col min="15392" max="15392" width="10.42578125" customWidth="1"/>
    <col min="15393" max="15393" width="11.85546875" customWidth="1"/>
    <col min="15394" max="15394" width="10.140625" customWidth="1"/>
    <col min="15395" max="15396" width="12.42578125" bestFit="1" customWidth="1"/>
    <col min="15397" max="15397" width="9.28515625" bestFit="1" customWidth="1"/>
    <col min="15617" max="15617" width="0.7109375" customWidth="1"/>
    <col min="15618" max="15618" width="10.5703125" customWidth="1"/>
    <col min="15619" max="15619" width="46.42578125" customWidth="1"/>
    <col min="15620" max="15620" width="12.7109375" customWidth="1"/>
    <col min="15621" max="15621" width="15.28515625" customWidth="1"/>
    <col min="15622" max="15622" width="14.85546875" customWidth="1"/>
    <col min="15623" max="15623" width="15" customWidth="1"/>
    <col min="15624" max="15624" width="14.5703125" customWidth="1"/>
    <col min="15625" max="15626" width="14.140625" customWidth="1"/>
    <col min="15627" max="15627" width="14.5703125" customWidth="1"/>
    <col min="15628" max="15628" width="14.140625" customWidth="1"/>
    <col min="15629" max="15629" width="14.42578125" customWidth="1"/>
    <col min="15630" max="15630" width="14.5703125" customWidth="1"/>
    <col min="15631" max="15631" width="14.140625" customWidth="1"/>
    <col min="15632" max="15632" width="14.28515625" customWidth="1"/>
    <col min="15633" max="15633" width="14.85546875" customWidth="1"/>
    <col min="15634" max="15644" width="14.28515625" customWidth="1"/>
    <col min="15645" max="15645" width="11.5703125" customWidth="1"/>
    <col min="15646" max="15646" width="13.5703125" bestFit="1" customWidth="1"/>
    <col min="15647" max="15647" width="12.42578125" bestFit="1" customWidth="1"/>
    <col min="15648" max="15648" width="10.42578125" customWidth="1"/>
    <col min="15649" max="15649" width="11.85546875" customWidth="1"/>
    <col min="15650" max="15650" width="10.140625" customWidth="1"/>
    <col min="15651" max="15652" width="12.42578125" bestFit="1" customWidth="1"/>
    <col min="15653" max="15653" width="9.28515625" bestFit="1" customWidth="1"/>
    <col min="15873" max="15873" width="0.7109375" customWidth="1"/>
    <col min="15874" max="15874" width="10.5703125" customWidth="1"/>
    <col min="15875" max="15875" width="46.42578125" customWidth="1"/>
    <col min="15876" max="15876" width="12.7109375" customWidth="1"/>
    <col min="15877" max="15877" width="15.28515625" customWidth="1"/>
    <col min="15878" max="15878" width="14.85546875" customWidth="1"/>
    <col min="15879" max="15879" width="15" customWidth="1"/>
    <col min="15880" max="15880" width="14.5703125" customWidth="1"/>
    <col min="15881" max="15882" width="14.140625" customWidth="1"/>
    <col min="15883" max="15883" width="14.5703125" customWidth="1"/>
    <col min="15884" max="15884" width="14.140625" customWidth="1"/>
    <col min="15885" max="15885" width="14.42578125" customWidth="1"/>
    <col min="15886" max="15886" width="14.5703125" customWidth="1"/>
    <col min="15887" max="15887" width="14.140625" customWidth="1"/>
    <col min="15888" max="15888" width="14.28515625" customWidth="1"/>
    <col min="15889" max="15889" width="14.85546875" customWidth="1"/>
    <col min="15890" max="15900" width="14.28515625" customWidth="1"/>
    <col min="15901" max="15901" width="11.5703125" customWidth="1"/>
    <col min="15902" max="15902" width="13.5703125" bestFit="1" customWidth="1"/>
    <col min="15903" max="15903" width="12.42578125" bestFit="1" customWidth="1"/>
    <col min="15904" max="15904" width="10.42578125" customWidth="1"/>
    <col min="15905" max="15905" width="11.85546875" customWidth="1"/>
    <col min="15906" max="15906" width="10.140625" customWidth="1"/>
    <col min="15907" max="15908" width="12.42578125" bestFit="1" customWidth="1"/>
    <col min="15909" max="15909" width="9.28515625" bestFit="1" customWidth="1"/>
    <col min="16129" max="16129" width="0.7109375" customWidth="1"/>
    <col min="16130" max="16130" width="10.5703125" customWidth="1"/>
    <col min="16131" max="16131" width="46.42578125" customWidth="1"/>
    <col min="16132" max="16132" width="12.7109375" customWidth="1"/>
    <col min="16133" max="16133" width="15.28515625" customWidth="1"/>
    <col min="16134" max="16134" width="14.85546875" customWidth="1"/>
    <col min="16135" max="16135" width="15" customWidth="1"/>
    <col min="16136" max="16136" width="14.5703125" customWidth="1"/>
    <col min="16137" max="16138" width="14.140625" customWidth="1"/>
    <col min="16139" max="16139" width="14.5703125" customWidth="1"/>
    <col min="16140" max="16140" width="14.140625" customWidth="1"/>
    <col min="16141" max="16141" width="14.42578125" customWidth="1"/>
    <col min="16142" max="16142" width="14.5703125" customWidth="1"/>
    <col min="16143" max="16143" width="14.140625" customWidth="1"/>
    <col min="16144" max="16144" width="14.28515625" customWidth="1"/>
    <col min="16145" max="16145" width="14.85546875" customWidth="1"/>
    <col min="16146" max="16156" width="14.28515625" customWidth="1"/>
    <col min="16157" max="16157" width="11.5703125" customWidth="1"/>
    <col min="16158" max="16158" width="13.5703125" bestFit="1" customWidth="1"/>
    <col min="16159" max="16159" width="12.42578125" bestFit="1" customWidth="1"/>
    <col min="16160" max="16160" width="10.42578125" customWidth="1"/>
    <col min="16161" max="16161" width="11.85546875" customWidth="1"/>
    <col min="16162" max="16162" width="10.140625" customWidth="1"/>
    <col min="16163" max="16164" width="12.42578125" bestFit="1" customWidth="1"/>
    <col min="16165" max="16165" width="9.28515625" bestFit="1" customWidth="1"/>
  </cols>
  <sheetData>
    <row r="1" spans="1:39" ht="42.75" customHeight="1" thickBot="1">
      <c r="A1" s="2220"/>
      <c r="C1" s="3330" t="s">
        <v>15203</v>
      </c>
      <c r="D1" s="3331"/>
      <c r="E1" s="3332" t="s">
        <v>14964</v>
      </c>
      <c r="F1" s="3333"/>
      <c r="G1" s="3333"/>
      <c r="H1" s="3333"/>
      <c r="I1" s="3333"/>
      <c r="J1" s="3333"/>
      <c r="K1" s="3333"/>
      <c r="L1" s="3333"/>
      <c r="M1" s="3334"/>
      <c r="N1" s="3335" t="s">
        <v>15204</v>
      </c>
      <c r="O1" s="3336"/>
      <c r="P1" s="3336"/>
      <c r="Q1" s="3336"/>
      <c r="R1" s="3336"/>
      <c r="S1" s="3336"/>
      <c r="T1" s="3336"/>
      <c r="U1" s="3336"/>
      <c r="V1" s="3337"/>
      <c r="W1" s="2901"/>
      <c r="X1" s="2901"/>
      <c r="Y1" s="2902"/>
      <c r="Z1" s="2902"/>
      <c r="AA1" s="2902"/>
      <c r="AB1" s="2902"/>
    </row>
    <row r="2" spans="1:39" s="2218" customFormat="1" ht="30.75" customHeight="1">
      <c r="B2" s="3338" t="s">
        <v>665</v>
      </c>
      <c r="C2" s="3340" t="s">
        <v>1306</v>
      </c>
      <c r="D2" s="3342" t="s">
        <v>1307</v>
      </c>
      <c r="E2" s="3344">
        <v>2020</v>
      </c>
      <c r="F2" s="3345"/>
      <c r="G2" s="3345"/>
      <c r="H2" s="3345">
        <v>2021</v>
      </c>
      <c r="I2" s="3345"/>
      <c r="J2" s="3345"/>
      <c r="K2" s="3345">
        <v>2022</v>
      </c>
      <c r="L2" s="3345"/>
      <c r="M2" s="3346"/>
      <c r="N2" s="3345" t="s">
        <v>15223</v>
      </c>
      <c r="O2" s="3345"/>
      <c r="P2" s="3345"/>
      <c r="Q2" s="3344" t="s">
        <v>15224</v>
      </c>
      <c r="R2" s="3345"/>
      <c r="S2" s="3347"/>
      <c r="T2" s="3344" t="s">
        <v>15225</v>
      </c>
      <c r="U2" s="3345"/>
      <c r="V2" s="3347"/>
      <c r="W2" s="3345" t="s">
        <v>15226</v>
      </c>
      <c r="X2" s="3345"/>
      <c r="Y2" s="3346"/>
      <c r="Z2" s="3344" t="s">
        <v>15227</v>
      </c>
      <c r="AA2" s="3345"/>
      <c r="AB2" s="3347"/>
      <c r="AC2" s="2113"/>
      <c r="AD2" s="2113"/>
      <c r="AE2" s="2113"/>
      <c r="AF2" s="2113"/>
      <c r="AG2" s="2113"/>
      <c r="AH2" s="2113"/>
      <c r="AI2" s="2113"/>
    </row>
    <row r="3" spans="1:39" s="2218" customFormat="1" ht="41.25" customHeight="1" thickBot="1">
      <c r="B3" s="3339"/>
      <c r="C3" s="3341"/>
      <c r="D3" s="3343"/>
      <c r="E3" s="2659" t="s">
        <v>14966</v>
      </c>
      <c r="F3" s="2660" t="s">
        <v>14967</v>
      </c>
      <c r="G3" s="2903" t="s">
        <v>1310</v>
      </c>
      <c r="H3" s="2660" t="s">
        <v>14968</v>
      </c>
      <c r="I3" s="2660" t="s">
        <v>14969</v>
      </c>
      <c r="J3" s="2903" t="s">
        <v>1310</v>
      </c>
      <c r="K3" s="2660" t="s">
        <v>14970</v>
      </c>
      <c r="L3" s="2660" t="s">
        <v>14971</v>
      </c>
      <c r="M3" s="2904" t="s">
        <v>1310</v>
      </c>
      <c r="N3" s="2905" t="s">
        <v>14972</v>
      </c>
      <c r="O3" s="2903" t="s">
        <v>14973</v>
      </c>
      <c r="P3" s="2904" t="s">
        <v>1310</v>
      </c>
      <c r="Q3" s="2907" t="s">
        <v>14972</v>
      </c>
      <c r="R3" s="2908" t="s">
        <v>14973</v>
      </c>
      <c r="S3" s="2904" t="s">
        <v>1310</v>
      </c>
      <c r="T3" s="2907" t="s">
        <v>14972</v>
      </c>
      <c r="U3" s="2908" t="s">
        <v>14973</v>
      </c>
      <c r="V3" s="2904" t="s">
        <v>1310</v>
      </c>
      <c r="W3" s="2905" t="s">
        <v>14972</v>
      </c>
      <c r="X3" s="2903" t="s">
        <v>14973</v>
      </c>
      <c r="Y3" s="2906" t="s">
        <v>1310</v>
      </c>
      <c r="Z3" s="2907" t="s">
        <v>14972</v>
      </c>
      <c r="AA3" s="2908" t="s">
        <v>14973</v>
      </c>
      <c r="AB3" s="2904" t="s">
        <v>1310</v>
      </c>
      <c r="AC3" s="2113"/>
      <c r="AD3" s="2113"/>
      <c r="AE3" s="2113"/>
      <c r="AF3" s="2113"/>
      <c r="AG3" s="2113"/>
      <c r="AH3" s="2113"/>
      <c r="AI3" s="2113"/>
    </row>
    <row r="4" spans="1:39" s="2218" customFormat="1" ht="18.75" customHeight="1" thickBot="1">
      <c r="B4" s="2909"/>
      <c r="C4" s="2910"/>
      <c r="D4" s="2911"/>
      <c r="E4" s="2232"/>
      <c r="F4" s="2219"/>
      <c r="G4" s="2219"/>
      <c r="H4" s="2219"/>
      <c r="I4" s="2219"/>
      <c r="J4" s="2219"/>
      <c r="K4" s="2219"/>
      <c r="L4" s="2219"/>
      <c r="M4" s="2234"/>
      <c r="N4" s="2232"/>
      <c r="O4" s="2233"/>
      <c r="P4" s="2234"/>
      <c r="Q4" s="2912"/>
      <c r="R4" s="2913"/>
      <c r="S4" s="2234"/>
      <c r="T4" s="2233"/>
      <c r="U4" s="2233"/>
      <c r="V4" s="2233"/>
      <c r="W4" s="2233">
        <f>T5/T272*W272</f>
        <v>33127.868263218006</v>
      </c>
      <c r="X4" s="2233">
        <f>U5/U272*X272</f>
        <v>58530.897776835925</v>
      </c>
      <c r="Y4" s="2233">
        <f>V5/V272*Y272</f>
        <v>45829.383020026966</v>
      </c>
      <c r="Z4" s="2233">
        <f>T5/T272*Z272</f>
        <v>114121.5279404899</v>
      </c>
      <c r="AA4" s="2233">
        <f>U5/U272*AA272</f>
        <v>201631.91404131375</v>
      </c>
      <c r="AB4" s="2233">
        <f>V5/V272*AB272</f>
        <v>157876.72099090184</v>
      </c>
      <c r="AC4" s="2113"/>
      <c r="AD4" s="2113"/>
      <c r="AE4" s="2113"/>
      <c r="AF4" s="2113"/>
      <c r="AG4" s="2113"/>
      <c r="AH4" s="2113"/>
      <c r="AI4" s="2113"/>
    </row>
    <row r="5" spans="1:39" s="2218" customFormat="1" ht="19.5" thickBot="1">
      <c r="A5" s="2235">
        <v>1</v>
      </c>
      <c r="B5" s="2236"/>
      <c r="C5" s="2237" t="s">
        <v>1311</v>
      </c>
      <c r="D5" s="2238"/>
      <c r="E5" s="2239">
        <f>E6+E237+E270+E271</f>
        <v>84210.277038523272</v>
      </c>
      <c r="F5" s="2239">
        <f>F6+F237+F270+F271</f>
        <v>86691.7276785992</v>
      </c>
      <c r="G5" s="2240">
        <f t="shared" ref="G5:G68" si="0">E5/2+F5/2</f>
        <v>85451.002358561236</v>
      </c>
      <c r="H5" s="2239">
        <f>H6+H237+H270+H271</f>
        <v>81556.381250704842</v>
      </c>
      <c r="I5" s="2239">
        <f>I6+I237+I270+I271</f>
        <v>83512.636993221677</v>
      </c>
      <c r="J5" s="2240">
        <f t="shared" ref="J5:J68" si="1">H5/2+I5/2</f>
        <v>82534.50912196326</v>
      </c>
      <c r="K5" s="2239">
        <f>K6+K237+K270+K271</f>
        <v>86803.816886648245</v>
      </c>
      <c r="L5" s="2239">
        <f>L6+L237+L270+L271</f>
        <v>89147.301626721848</v>
      </c>
      <c r="M5" s="2240">
        <f t="shared" ref="M5:M68" si="2">K5/2+L5/2</f>
        <v>87975.559256685054</v>
      </c>
      <c r="N5" s="2239">
        <f>N6+N237+N270+N271</f>
        <v>33126.374339404385</v>
      </c>
      <c r="O5" s="2239">
        <f>O6+O237+O270+O271</f>
        <v>82670.886264466462</v>
      </c>
      <c r="P5" s="2240">
        <f t="shared" ref="P5:P48" si="3">N5/2+O5/2</f>
        <v>57898.630301935424</v>
      </c>
      <c r="Q5" s="2239">
        <f>Q6+Q237+Q270+Q271</f>
        <v>114123.02186430355</v>
      </c>
      <c r="R5" s="2239">
        <f>R6+R237+R270+R271</f>
        <v>177491.92555368328</v>
      </c>
      <c r="S5" s="2240">
        <f t="shared" ref="S5:S48" si="4">Q5/2+R5/2</f>
        <v>145807.47370899341</v>
      </c>
      <c r="T5" s="2914">
        <f>T6+T237+T270+T271</f>
        <v>147249.39620370793</v>
      </c>
      <c r="U5" s="2897">
        <f>U6+U237+U270+U271</f>
        <v>260162.8118181497</v>
      </c>
      <c r="V5" s="2240">
        <f t="shared" ref="V5:V68" si="5">T5/2+U5/2</f>
        <v>203706.10401092883</v>
      </c>
      <c r="W5" s="2914">
        <f>W6+W237+W270+W271</f>
        <v>33127.868263218013</v>
      </c>
      <c r="X5" s="2897">
        <f>X6+X237+X270+X271</f>
        <v>36341.426618386235</v>
      </c>
      <c r="Y5" s="2240">
        <f t="shared" ref="Y5:Y68" si="6">W5/2+X5/2</f>
        <v>34734.647440802124</v>
      </c>
      <c r="Z5" s="2914">
        <f>Z6+Z237+Z270+Z271</f>
        <v>114121.5279404899</v>
      </c>
      <c r="AA5" s="2897">
        <f>AA6+AA237+AA270+AA271</f>
        <v>155067.91879730107</v>
      </c>
      <c r="AB5" s="2240">
        <f t="shared" ref="AB5:AB68" si="7">Z5/2+AA5/2</f>
        <v>134594.72336889547</v>
      </c>
      <c r="AC5" s="2113">
        <f>U5/$U$272*$X$272</f>
        <v>58530.897776835925</v>
      </c>
      <c r="AD5" s="2114">
        <f>AC5-X5</f>
        <v>22189.471158449691</v>
      </c>
      <c r="AE5" s="2113">
        <f>U5/$U$272*$AA$272</f>
        <v>201631.91404131375</v>
      </c>
      <c r="AF5" s="2114">
        <f>AE5-AA5</f>
        <v>46563.99524401268</v>
      </c>
      <c r="AG5" s="2113"/>
      <c r="AH5" s="2113"/>
      <c r="AI5" s="2114">
        <f>Z5+'2024 Калуга+область перекачка'!Z5+'2024 Калуга+область очистка'!Z5</f>
        <v>546593.48642008775</v>
      </c>
      <c r="AJ5" s="2114">
        <f>AA5+'2024 Калуга+область перекачка'!AA5+'2024 Калуга+область очистка'!AA5</f>
        <v>698255.75976205571</v>
      </c>
      <c r="AK5" s="2114">
        <f>AB5+'2024 Калуга+область перекачка'!AB5+'2024 Калуга+область очистка'!AB5</f>
        <v>622424.62309107173</v>
      </c>
      <c r="AL5" s="2114">
        <f>расчет_тарифа_К_!O6</f>
        <v>698255.75173022586</v>
      </c>
      <c r="AM5" s="2593">
        <f>AJ5-AL5</f>
        <v>8.0318298423662782E-3</v>
      </c>
    </row>
    <row r="6" spans="1:39" s="2218" customFormat="1" ht="27" customHeight="1">
      <c r="A6" s="2235">
        <v>253</v>
      </c>
      <c r="B6" s="2243"/>
      <c r="C6" s="2244" t="s">
        <v>1312</v>
      </c>
      <c r="D6" s="2245" t="s">
        <v>1313</v>
      </c>
      <c r="E6" s="2246">
        <f>E7+E235</f>
        <v>79797.990532189273</v>
      </c>
      <c r="F6" s="2247">
        <f>F7+F235</f>
        <v>82279.4411722652</v>
      </c>
      <c r="G6" s="2248">
        <f t="shared" si="0"/>
        <v>81038.715852227237</v>
      </c>
      <c r="H6" s="2247">
        <f>H7+H235</f>
        <v>78049.481696926887</v>
      </c>
      <c r="I6" s="2247">
        <f>I7+I235</f>
        <v>80005.737439443721</v>
      </c>
      <c r="J6" s="2248">
        <f t="shared" si="1"/>
        <v>79027.609568185304</v>
      </c>
      <c r="K6" s="2247">
        <f>K7+K235</f>
        <v>83711.500137050098</v>
      </c>
      <c r="L6" s="2247">
        <f>L7+L235</f>
        <v>86054.984877123701</v>
      </c>
      <c r="M6" s="2250">
        <f t="shared" si="2"/>
        <v>84883.242507086892</v>
      </c>
      <c r="N6" s="2246">
        <f>N7+N235</f>
        <v>33126.374339404385</v>
      </c>
      <c r="O6" s="2247">
        <f>O7+O235</f>
        <v>77773.951168116022</v>
      </c>
      <c r="P6" s="2250">
        <f t="shared" si="3"/>
        <v>55450.162753760203</v>
      </c>
      <c r="Q6" s="2246">
        <f>Q7+Q235</f>
        <v>114123.02186430355</v>
      </c>
      <c r="R6" s="2247">
        <f>R7+R235</f>
        <v>166987.23640938327</v>
      </c>
      <c r="S6" s="2250">
        <f t="shared" si="4"/>
        <v>140555.1291368434</v>
      </c>
      <c r="T6" s="2246">
        <f>T7+T235</f>
        <v>147249.39620370793</v>
      </c>
      <c r="U6" s="2247">
        <f>U7+U235</f>
        <v>244761.18757749925</v>
      </c>
      <c r="V6" s="2250">
        <f t="shared" si="5"/>
        <v>196005.29189060361</v>
      </c>
      <c r="W6" s="2246">
        <f>W7+W235</f>
        <v>33127.868263218013</v>
      </c>
      <c r="X6" s="2247">
        <f>X7+X235</f>
        <v>39539.724166981949</v>
      </c>
      <c r="Y6" s="2250">
        <f t="shared" si="6"/>
        <v>36333.796215099981</v>
      </c>
      <c r="Z6" s="2246">
        <f>Z7+Z235</f>
        <v>114121.5279404899</v>
      </c>
      <c r="AA6" s="2247">
        <f>AA7+AA235</f>
        <v>153767.99700805492</v>
      </c>
      <c r="AB6" s="2250">
        <f t="shared" si="7"/>
        <v>133944.7624742724</v>
      </c>
      <c r="AC6" s="2113">
        <f t="shared" ref="AC6:AC69" si="8">U6/$U$272*$X$272</f>
        <v>55065.871827405208</v>
      </c>
      <c r="AD6" s="2114">
        <f t="shared" ref="AD6:AD69" si="9">AC6-X6</f>
        <v>15526.147660423259</v>
      </c>
      <c r="AE6" s="2113">
        <f t="shared" ref="AE6:AE69" si="10">U6/$U$272*$AA$272</f>
        <v>189695.31575009404</v>
      </c>
      <c r="AF6" s="2114">
        <f t="shared" ref="AF6:AF69" si="11">AE6-AA6</f>
        <v>35927.318742039119</v>
      </c>
      <c r="AG6" s="2113"/>
      <c r="AH6" s="2113"/>
      <c r="AI6" s="2114">
        <f>Z6+'2024 Калуга+область перекачка'!Z6+'2024 Калуга+область очистка'!Z6</f>
        <v>538217.93554222665</v>
      </c>
      <c r="AJ6" s="2114">
        <f>AA6+'2024 Калуга+область перекачка'!AA6+'2024 Калуга+область очистка'!AA6</f>
        <v>734835.36386165651</v>
      </c>
      <c r="AK6" s="2114">
        <f>AB6+'2024 Калуга+область перекачка'!AB6+'2024 Калуга+область очистка'!AB6</f>
        <v>636526.64970194153</v>
      </c>
      <c r="AL6" s="2114">
        <f>расчет_тарифа_К_!O7</f>
        <v>734835.35582982656</v>
      </c>
      <c r="AM6" s="2593">
        <f t="shared" ref="AM6:AM69" si="12">AJ6-AL6</f>
        <v>8.0318299587816E-3</v>
      </c>
    </row>
    <row r="7" spans="1:39" s="2218" customFormat="1" ht="25.5" customHeight="1">
      <c r="A7" s="2235">
        <v>252</v>
      </c>
      <c r="B7" s="2252">
        <v>1</v>
      </c>
      <c r="C7" s="2253" t="s">
        <v>1314</v>
      </c>
      <c r="D7" s="2254" t="s">
        <v>1313</v>
      </c>
      <c r="E7" s="2255">
        <f>E8+E124+E174</f>
        <v>60110.078012189268</v>
      </c>
      <c r="F7" s="2256">
        <f>F8+F124+F174</f>
        <v>62591.528652265202</v>
      </c>
      <c r="G7" s="2257">
        <f t="shared" si="0"/>
        <v>61350.803332227239</v>
      </c>
      <c r="H7" s="2256">
        <f>H8+H124+H174</f>
        <v>58076.076281926886</v>
      </c>
      <c r="I7" s="2256">
        <f>I8+I124+I174</f>
        <v>60032.33202444372</v>
      </c>
      <c r="J7" s="2257">
        <f t="shared" si="1"/>
        <v>59054.204153185303</v>
      </c>
      <c r="K7" s="2256">
        <f>K8+K124+K174</f>
        <v>50600.105000090924</v>
      </c>
      <c r="L7" s="2256">
        <f>L8+L124+L174</f>
        <v>52943.58974016452</v>
      </c>
      <c r="M7" s="2259">
        <f t="shared" si="2"/>
        <v>51771.847370127725</v>
      </c>
      <c r="N7" s="2255">
        <f>N8+N124+N174</f>
        <v>33126.374339404385</v>
      </c>
      <c r="O7" s="2256">
        <f>O8+O124+O174</f>
        <v>55056.436762453865</v>
      </c>
      <c r="P7" s="2259">
        <f t="shared" si="3"/>
        <v>44091.405550929121</v>
      </c>
      <c r="Q7" s="2255">
        <f>Q8+Q124+Q174</f>
        <v>114123.02186430355</v>
      </c>
      <c r="R7" s="2256">
        <f>R8+R124+R174</f>
        <v>143348.23870505948</v>
      </c>
      <c r="S7" s="2259">
        <f t="shared" si="4"/>
        <v>128735.63028468151</v>
      </c>
      <c r="T7" s="2255">
        <f>T8+T124+T174</f>
        <v>147249.39620370793</v>
      </c>
      <c r="U7" s="2256">
        <f>U8+U124+U174</f>
        <v>198404.67546751333</v>
      </c>
      <c r="V7" s="2259">
        <f t="shared" si="5"/>
        <v>172827.03583561064</v>
      </c>
      <c r="W7" s="2255">
        <f>W8+W124+W174</f>
        <v>33127.868263218013</v>
      </c>
      <c r="X7" s="2256">
        <f>X8+X124+X174</f>
        <v>39539.724166981949</v>
      </c>
      <c r="Y7" s="2259">
        <f t="shared" si="6"/>
        <v>36333.796215099981</v>
      </c>
      <c r="Z7" s="2255">
        <f>Z8+Z124+Z174</f>
        <v>114121.5279404899</v>
      </c>
      <c r="AA7" s="2256">
        <f>AA8+AA124+AA174</f>
        <v>153767.99700805492</v>
      </c>
      <c r="AB7" s="2259">
        <f t="shared" si="7"/>
        <v>133944.7624742724</v>
      </c>
      <c r="AC7" s="2113">
        <f t="shared" si="8"/>
        <v>44636.678459458395</v>
      </c>
      <c r="AD7" s="2114">
        <f t="shared" si="9"/>
        <v>5096.9542924764464</v>
      </c>
      <c r="AE7" s="2113">
        <f t="shared" si="10"/>
        <v>153767.99700805492</v>
      </c>
      <c r="AF7" s="2114">
        <f t="shared" si="11"/>
        <v>0</v>
      </c>
      <c r="AG7" s="2113"/>
      <c r="AH7" s="2113"/>
      <c r="AI7" s="2114">
        <f>Z7+'2024 Калуга+область перекачка'!Z7+'2024 Калуга+область очистка'!Z7</f>
        <v>493284.29217612802</v>
      </c>
      <c r="AJ7" s="2114">
        <f>AA7+'2024 Калуга+область перекачка'!AA7+'2024 Калуга+область очистка'!AA7</f>
        <v>734835.36386165651</v>
      </c>
      <c r="AK7" s="2114">
        <f>AB7+'2024 Калуга+область перекачка'!AB7+'2024 Калуга+область очистка'!AB7</f>
        <v>614059.82801889221</v>
      </c>
      <c r="AL7" s="2114">
        <f>расчет_тарифа_К_!O8</f>
        <v>734835.35582982656</v>
      </c>
      <c r="AM7" s="2593">
        <f t="shared" si="12"/>
        <v>8.0318299587816E-3</v>
      </c>
    </row>
    <row r="8" spans="1:39" s="2218" customFormat="1" ht="26.25" customHeight="1" thickBot="1">
      <c r="A8" s="2235">
        <v>254</v>
      </c>
      <c r="B8" s="2261" t="s">
        <v>25</v>
      </c>
      <c r="C8" s="2262" t="s">
        <v>1315</v>
      </c>
      <c r="D8" s="2263" t="s">
        <v>1313</v>
      </c>
      <c r="E8" s="2264">
        <f>E9+E53+E68+E95</f>
        <v>53907.117739157336</v>
      </c>
      <c r="F8" s="2265">
        <f>F9+F53+F68+F95</f>
        <v>56121.652686039859</v>
      </c>
      <c r="G8" s="2266">
        <f t="shared" si="0"/>
        <v>55014.385212598601</v>
      </c>
      <c r="H8" s="2265">
        <f>H9+H53+H68+H95</f>
        <v>49789.162530236688</v>
      </c>
      <c r="I8" s="2265">
        <f>I9+I53+I68+I95</f>
        <v>51479.627091240574</v>
      </c>
      <c r="J8" s="2266">
        <f t="shared" si="1"/>
        <v>50634.394810738631</v>
      </c>
      <c r="K8" s="2265">
        <f>K9+K53+K68+K95</f>
        <v>43586.152785950442</v>
      </c>
      <c r="L8" s="2265">
        <f>L9+L53+L68+L95</f>
        <v>45877.531470849186</v>
      </c>
      <c r="M8" s="2268">
        <f t="shared" si="2"/>
        <v>44731.842128399818</v>
      </c>
      <c r="N8" s="2264">
        <f>N9+N53+N68+N95</f>
        <v>32635.381908427727</v>
      </c>
      <c r="O8" s="2265">
        <f>O9+O53+O68+O95</f>
        <v>53673.48657695399</v>
      </c>
      <c r="P8" s="2268">
        <f t="shared" si="3"/>
        <v>43154.434242690855</v>
      </c>
      <c r="Q8" s="2264">
        <f>Q9+Q53+Q68+Q95</f>
        <v>90647.920137289577</v>
      </c>
      <c r="R8" s="2265">
        <f>R9+R53+R68+R95</f>
        <v>116807.76998863702</v>
      </c>
      <c r="S8" s="2268">
        <f t="shared" si="4"/>
        <v>103727.8450629633</v>
      </c>
      <c r="T8" s="2264">
        <f>T9+T53+T68+T95</f>
        <v>123283.30204571731</v>
      </c>
      <c r="U8" s="2265">
        <f>U9+U53+U68+U95</f>
        <v>170481.256565591</v>
      </c>
      <c r="V8" s="2268">
        <f t="shared" si="5"/>
        <v>146882.27930565417</v>
      </c>
      <c r="W8" s="2264">
        <f>W9+W53+W68+W95</f>
        <v>27736.025372728796</v>
      </c>
      <c r="X8" s="2265">
        <f>X9+X53+X68+X95</f>
        <v>38354.524734618593</v>
      </c>
      <c r="Y8" s="2268">
        <f t="shared" si="6"/>
        <v>33045.275053673693</v>
      </c>
      <c r="Z8" s="2264">
        <f>Z9+Z53+Z68+Z95</f>
        <v>95547.276672988504</v>
      </c>
      <c r="AA8" s="2265">
        <f>AA9+AA53+AA68+AA95</f>
        <v>132126.73183097239</v>
      </c>
      <c r="AB8" s="2268">
        <f t="shared" si="7"/>
        <v>113837.00425198046</v>
      </c>
      <c r="AC8" s="2113">
        <f t="shared" si="8"/>
        <v>38354.524734618593</v>
      </c>
      <c r="AD8" s="2114">
        <f t="shared" si="9"/>
        <v>0</v>
      </c>
      <c r="AE8" s="2113">
        <f t="shared" si="10"/>
        <v>132126.73183097239</v>
      </c>
      <c r="AF8" s="2114">
        <f t="shared" si="11"/>
        <v>0</v>
      </c>
      <c r="AG8" s="2113"/>
      <c r="AH8" s="2113"/>
      <c r="AI8" s="2114">
        <f>Z8+'2024 Калуга+область перекачка'!Z8+'2024 Калуга+область очистка'!Z8</f>
        <v>268228.1391372584</v>
      </c>
      <c r="AJ8" s="2114">
        <f>AA8+'2024 Калуга+область перекачка'!AA8+'2024 Калуга+область очистка'!AA8</f>
        <v>468667.01610246446</v>
      </c>
      <c r="AK8" s="2114">
        <f>AB8+'2024 Калуга+область перекачка'!AB8+'2024 Калуга+область очистка'!AB8</f>
        <v>368447.57761986146</v>
      </c>
      <c r="AL8" s="2114">
        <f>расчет_тарифа_К_!O9</f>
        <v>468667.01062939153</v>
      </c>
      <c r="AM8" s="2593">
        <f t="shared" si="12"/>
        <v>5.4730729316361248E-3</v>
      </c>
    </row>
    <row r="9" spans="1:39" s="2218" customFormat="1" ht="30" customHeight="1" thickBot="1">
      <c r="A9" s="2235">
        <v>3</v>
      </c>
      <c r="B9" s="2270" t="s">
        <v>1132</v>
      </c>
      <c r="C9" s="2271" t="s">
        <v>1316</v>
      </c>
      <c r="D9" s="2272" t="s">
        <v>1317</v>
      </c>
      <c r="E9" s="2273">
        <f>E10+E29+E30+E42+E43+E46</f>
        <v>23975.009321303365</v>
      </c>
      <c r="F9" s="2273">
        <f>F10+F29+F30+F42+F43+F46</f>
        <v>25200.008609227389</v>
      </c>
      <c r="G9" s="2274">
        <f t="shared" si="0"/>
        <v>24587.508965265377</v>
      </c>
      <c r="H9" s="2275">
        <f>H10+H29+H30+H42+H43+H46</f>
        <v>25601.325707336106</v>
      </c>
      <c r="I9" s="2275">
        <f>I10+I29+I30+I42+I43+I46</f>
        <v>26444.424081023892</v>
      </c>
      <c r="J9" s="2274">
        <f t="shared" si="1"/>
        <v>26022.87489418</v>
      </c>
      <c r="K9" s="2275">
        <f>K10+K29+K30+K42+K43+K46</f>
        <v>21809.118001702976</v>
      </c>
      <c r="L9" s="2275">
        <f>L10+L29+L30+L42+L43+L46</f>
        <v>22872.276066739283</v>
      </c>
      <c r="M9" s="2274">
        <f t="shared" si="2"/>
        <v>22340.697034221128</v>
      </c>
      <c r="N9" s="2273">
        <f>N10+N29+N30+N42+N43+N46</f>
        <v>17822.34795741675</v>
      </c>
      <c r="O9" s="2275">
        <f>O10+O29+O30+O42+O43+O46</f>
        <v>25762.244765767806</v>
      </c>
      <c r="P9" s="2274">
        <f t="shared" si="3"/>
        <v>21792.296361592278</v>
      </c>
      <c r="Q9" s="2273">
        <f>Q10+Q29+Q30+Q42+Q43+Q46</f>
        <v>34574.131742265236</v>
      </c>
      <c r="R9" s="2275">
        <f>R10+R29+R30+R42+R43+R46</f>
        <v>53641.824057178805</v>
      </c>
      <c r="S9" s="2274">
        <f t="shared" si="4"/>
        <v>44107.97789972202</v>
      </c>
      <c r="T9" s="2273">
        <f>T10+T29+T30+T42+T43+T46</f>
        <v>52396.479699681993</v>
      </c>
      <c r="U9" s="2275">
        <f>U10+U29+U30+U42+U43+U46</f>
        <v>79404.068822946603</v>
      </c>
      <c r="V9" s="2274">
        <f t="shared" si="5"/>
        <v>65900.274261314305</v>
      </c>
      <c r="W9" s="2273">
        <f>W10+W29+W30+W42+W43+W46</f>
        <v>11788.052933990451</v>
      </c>
      <c r="X9" s="2275">
        <f>X10+X29+X30+X42+X43+X46</f>
        <v>17864.165146667223</v>
      </c>
      <c r="Y9" s="2274">
        <f t="shared" si="6"/>
        <v>14826.109040328836</v>
      </c>
      <c r="Z9" s="2273">
        <f>Z10+Z29+Z30+Z42+Z43+Z46</f>
        <v>40608.426765691533</v>
      </c>
      <c r="AA9" s="2275">
        <f>AA10+AA29+AA30+AA42+AA43+AA46</f>
        <v>61539.903676279384</v>
      </c>
      <c r="AB9" s="2274">
        <f t="shared" si="7"/>
        <v>51074.165220985458</v>
      </c>
      <c r="AC9" s="2113">
        <f t="shared" si="8"/>
        <v>17864.165146667219</v>
      </c>
      <c r="AD9" s="2114">
        <f t="shared" si="9"/>
        <v>0</v>
      </c>
      <c r="AE9" s="2113">
        <f t="shared" si="10"/>
        <v>61539.903676279384</v>
      </c>
      <c r="AF9" s="2114">
        <f t="shared" si="11"/>
        <v>0</v>
      </c>
      <c r="AG9" s="2113"/>
      <c r="AH9" s="2113"/>
      <c r="AI9" s="2114">
        <f>Z9+'2024 Калуга+область перекачка'!Z9+'2024 Калуга+область очистка'!Z9</f>
        <v>80710.926708405867</v>
      </c>
      <c r="AJ9" s="2114">
        <f>AA9+'2024 Калуга+область перекачка'!AA9+'2024 Калуга+область очистка'!AA9</f>
        <v>189423.9650051347</v>
      </c>
      <c r="AK9" s="2114">
        <f>AB9+'2024 Калуга+область перекачка'!AB9+'2024 Калуга+область очистка'!AB9</f>
        <v>135067.4458567703</v>
      </c>
      <c r="AL9" s="2114">
        <f>расчет_тарифа_К_!O10</f>
        <v>189423.95904878195</v>
      </c>
      <c r="AM9" s="2593">
        <f t="shared" si="12"/>
        <v>5.9563527465797961E-3</v>
      </c>
    </row>
    <row r="10" spans="1:39" s="2218" customFormat="1" ht="38.25" customHeight="1">
      <c r="A10" s="2235">
        <v>4</v>
      </c>
      <c r="B10" s="2243" t="s">
        <v>1318</v>
      </c>
      <c r="C10" s="2278" t="s">
        <v>1319</v>
      </c>
      <c r="D10" s="2245" t="s">
        <v>1317</v>
      </c>
      <c r="E10" s="2246">
        <f>E11+E28</f>
        <v>5195.0317106793891</v>
      </c>
      <c r="F10" s="2246">
        <f>F11+F28</f>
        <v>5350.8826619997708</v>
      </c>
      <c r="G10" s="2248">
        <f t="shared" si="0"/>
        <v>5272.9571863395795</v>
      </c>
      <c r="H10" s="2246">
        <f>H11+H28</f>
        <v>6241.2827799607094</v>
      </c>
      <c r="I10" s="2246">
        <f>I11+I28</f>
        <v>6465.9689600392958</v>
      </c>
      <c r="J10" s="2248">
        <f t="shared" si="1"/>
        <v>6353.6258700000026</v>
      </c>
      <c r="K10" s="2246">
        <f>K11+K28</f>
        <v>4446.7000195790488</v>
      </c>
      <c r="L10" s="2246">
        <f>L11+L28</f>
        <v>4637.9081204209497</v>
      </c>
      <c r="M10" s="2250">
        <f t="shared" si="2"/>
        <v>4542.3040699999992</v>
      </c>
      <c r="N10" s="2465">
        <f>N11+N28</f>
        <v>62.113392691529228</v>
      </c>
      <c r="O10" s="2466">
        <f>O11+O28</f>
        <v>4893.9880326081829</v>
      </c>
      <c r="P10" s="2250">
        <f>N10/2+O10/2</f>
        <v>2478.050712649856</v>
      </c>
      <c r="Q10" s="2465">
        <f>Q11+Q28</f>
        <v>12020.578772872055</v>
      </c>
      <c r="R10" s="2466">
        <f>R11+R28</f>
        <v>15479.925469711121</v>
      </c>
      <c r="S10" s="2250">
        <f>Q10/2+R10/2</f>
        <v>13750.252121291589</v>
      </c>
      <c r="T10" s="2465">
        <f>T11+T28</f>
        <v>12082.692165563585</v>
      </c>
      <c r="U10" s="2466">
        <f>U11+U28</f>
        <v>20373.913502319305</v>
      </c>
      <c r="V10" s="2268">
        <f t="shared" si="5"/>
        <v>16228.302833941445</v>
      </c>
      <c r="W10" s="2465">
        <f>W11+W28</f>
        <v>2718.3393932023969</v>
      </c>
      <c r="X10" s="2466">
        <f>X11+X28</f>
        <v>4583.6814269669421</v>
      </c>
      <c r="Y10" s="2268">
        <f t="shared" si="6"/>
        <v>3651.0104100846693</v>
      </c>
      <c r="Z10" s="2465">
        <f>Z11+Z28</f>
        <v>9364.352772361186</v>
      </c>
      <c r="AA10" s="2466">
        <f>AA11+AA28</f>
        <v>15790.23207535236</v>
      </c>
      <c r="AB10" s="2268">
        <f t="shared" si="7"/>
        <v>12577.292423856772</v>
      </c>
      <c r="AC10" s="2113">
        <f t="shared" si="8"/>
        <v>4583.6814269669421</v>
      </c>
      <c r="AD10" s="2114">
        <f t="shared" si="9"/>
        <v>0</v>
      </c>
      <c r="AE10" s="2113">
        <f t="shared" si="10"/>
        <v>15790.232075352362</v>
      </c>
      <c r="AF10" s="2114">
        <f t="shared" si="11"/>
        <v>0</v>
      </c>
      <c r="AG10" s="2113"/>
      <c r="AH10" s="2113"/>
      <c r="AI10" s="2114">
        <f>Z10+'2024 Калуга+область перекачка'!Z10+'2024 Калуга+область очистка'!Z10</f>
        <v>18907.040738385829</v>
      </c>
      <c r="AJ10" s="2114">
        <f>AA10+'2024 Калуга+область перекачка'!AA10+'2024 Калуга+область очистка'!AA10</f>
        <v>35638.623835096339</v>
      </c>
      <c r="AK10" s="2114">
        <f>AB10+'2024 Калуга+область перекачка'!AB10+'2024 Калуга+область очистка'!AB10</f>
        <v>27272.832286741082</v>
      </c>
      <c r="AL10" s="2114">
        <f>расчет_тарифа_К_!O11</f>
        <v>35638.623835096332</v>
      </c>
      <c r="AM10" s="2593">
        <f t="shared" si="12"/>
        <v>0</v>
      </c>
    </row>
    <row r="11" spans="1:39" s="2218" customFormat="1" ht="25.5" customHeight="1">
      <c r="A11" s="2235">
        <v>317</v>
      </c>
      <c r="B11" s="2279" t="s">
        <v>1737</v>
      </c>
      <c r="C11" s="2280" t="s">
        <v>1738</v>
      </c>
      <c r="D11" s="2254"/>
      <c r="E11" s="2255">
        <f>E12+E15+E18+E21+E24+E27</f>
        <v>1408.8565973788945</v>
      </c>
      <c r="F11" s="2256">
        <f>F12+F15+F18+F21+F24+F27</f>
        <v>1451.1222953002618</v>
      </c>
      <c r="G11" s="2257">
        <f t="shared" si="0"/>
        <v>1429.9894463395781</v>
      </c>
      <c r="H11" s="2256">
        <f>H12+H15+H18+H21+H24+H27</f>
        <v>1614.8489292730851</v>
      </c>
      <c r="I11" s="2256">
        <f>I12+I15+I18+I21+I24+I27</f>
        <v>1672.9834907269164</v>
      </c>
      <c r="J11" s="2257">
        <f t="shared" si="1"/>
        <v>1643.9162100000008</v>
      </c>
      <c r="K11" s="2256">
        <f>K12+K15+K18+K21+K24+K27</f>
        <v>1548.6409300048947</v>
      </c>
      <c r="L11" s="2256">
        <f>L12+L15+L18+L21+L24+L27</f>
        <v>1615.2324899951045</v>
      </c>
      <c r="M11" s="2259">
        <f t="shared" si="2"/>
        <v>1581.9367099999995</v>
      </c>
      <c r="N11" s="2255">
        <f>N12+N15+N18+N21+N24+N27</f>
        <v>62.113392691529228</v>
      </c>
      <c r="O11" s="2256">
        <f>O12+O15+O18+O21+O24+O27</f>
        <v>66.585556965319341</v>
      </c>
      <c r="P11" s="2259">
        <f>N11/2+O11/2</f>
        <v>64.349474828424292</v>
      </c>
      <c r="Q11" s="2255">
        <f>Q12+Q15+Q18+Q21+Q24+Q27</f>
        <v>4827.1515283199933</v>
      </c>
      <c r="R11" s="2256">
        <f>R12+R15+R18+R21+R24+R27</f>
        <v>7157.1226183511217</v>
      </c>
      <c r="S11" s="2259">
        <f>Q11/2+R11/2</f>
        <v>5992.1370733355579</v>
      </c>
      <c r="T11" s="2255">
        <f>T12+T15+T18+T21+T24+T27</f>
        <v>4889.2649210115223</v>
      </c>
      <c r="U11" s="2256">
        <f>U12+U15+U18+U21+U24+U27</f>
        <v>7223.7081753164412</v>
      </c>
      <c r="V11" s="2268">
        <f t="shared" si="5"/>
        <v>6056.4865481639818</v>
      </c>
      <c r="W11" s="2255">
        <f>W12+W15+W18+W21+W24+W27</f>
        <v>1099.9768310300485</v>
      </c>
      <c r="X11" s="2256">
        <f>X12+X15+X18+X21+X24+X27</f>
        <v>1625.1751040985794</v>
      </c>
      <c r="Y11" s="2268">
        <f t="shared" si="6"/>
        <v>1362.5759675643139</v>
      </c>
      <c r="Z11" s="2255">
        <f>Z12+Z15+Z18+Z21+Z24+Z27</f>
        <v>3789.2880899814727</v>
      </c>
      <c r="AA11" s="2256">
        <f>AA12+AA15+AA18+AA21+AA24+AA27</f>
        <v>5598.5330712178611</v>
      </c>
      <c r="AB11" s="2268">
        <f t="shared" si="7"/>
        <v>4693.9105805996669</v>
      </c>
      <c r="AC11" s="2113">
        <f t="shared" si="8"/>
        <v>1625.1751040985796</v>
      </c>
      <c r="AD11" s="2114">
        <f t="shared" si="9"/>
        <v>0</v>
      </c>
      <c r="AE11" s="2113">
        <f t="shared" si="10"/>
        <v>5598.5330712178611</v>
      </c>
      <c r="AF11" s="2114">
        <f t="shared" si="11"/>
        <v>0</v>
      </c>
      <c r="AG11" s="2113"/>
      <c r="AH11" s="2113"/>
      <c r="AI11" s="2114">
        <f>Z11+'2024 Калуга+область перекачка'!Z11+'2024 Калуга+область очистка'!Z11</f>
        <v>8107.1079292779959</v>
      </c>
      <c r="AJ11" s="2114">
        <f>AA11+'2024 Калуга+область перекачка'!AA11+'2024 Калуга+область очистка'!AA11</f>
        <v>15312.581590567674</v>
      </c>
      <c r="AK11" s="2114">
        <f>AB11+'2024 Калуга+область перекачка'!AB11+'2024 Калуга+область очистка'!AB11</f>
        <v>11709.844759922835</v>
      </c>
      <c r="AL11" s="2114">
        <f>расчет_тарифа_К_!O12</f>
        <v>15312.581590567674</v>
      </c>
      <c r="AM11" s="2593">
        <f t="shared" si="12"/>
        <v>0</v>
      </c>
    </row>
    <row r="12" spans="1:39" s="2218" customFormat="1" ht="28.5" customHeight="1">
      <c r="A12" s="2235">
        <v>318</v>
      </c>
      <c r="B12" s="2279" t="s">
        <v>1739</v>
      </c>
      <c r="C12" s="2280" t="s">
        <v>1740</v>
      </c>
      <c r="D12" s="2254" t="s">
        <v>1317</v>
      </c>
      <c r="E12" s="2255">
        <f>E13*E14</f>
        <v>0</v>
      </c>
      <c r="F12" s="2256">
        <f>F13*F14</f>
        <v>0</v>
      </c>
      <c r="G12" s="2257">
        <f t="shared" si="0"/>
        <v>0</v>
      </c>
      <c r="H12" s="2256">
        <f>H13*H14</f>
        <v>0</v>
      </c>
      <c r="I12" s="2256">
        <f>I13*I14</f>
        <v>0</v>
      </c>
      <c r="J12" s="2257">
        <f t="shared" si="1"/>
        <v>0</v>
      </c>
      <c r="K12" s="2256">
        <f>K13*K14</f>
        <v>0</v>
      </c>
      <c r="L12" s="2256">
        <f>L13*L14</f>
        <v>0</v>
      </c>
      <c r="M12" s="2259">
        <f t="shared" si="2"/>
        <v>0</v>
      </c>
      <c r="N12" s="2255">
        <f>N13*N14</f>
        <v>0</v>
      </c>
      <c r="O12" s="2256">
        <f>O13*O14</f>
        <v>0</v>
      </c>
      <c r="P12" s="2259">
        <f t="shared" si="3"/>
        <v>0</v>
      </c>
      <c r="Q12" s="2255">
        <v>0</v>
      </c>
      <c r="R12" s="2256">
        <v>0</v>
      </c>
      <c r="S12" s="2259">
        <f t="shared" si="4"/>
        <v>0</v>
      </c>
      <c r="T12" s="2255">
        <v>0</v>
      </c>
      <c r="U12" s="2256">
        <v>0</v>
      </c>
      <c r="V12" s="2268">
        <f t="shared" si="5"/>
        <v>0</v>
      </c>
      <c r="W12" s="2255">
        <v>0</v>
      </c>
      <c r="X12" s="2256">
        <v>0</v>
      </c>
      <c r="Y12" s="2268">
        <f t="shared" si="6"/>
        <v>0</v>
      </c>
      <c r="Z12" s="2255">
        <v>0</v>
      </c>
      <c r="AA12" s="2256">
        <v>0</v>
      </c>
      <c r="AB12" s="2268">
        <f t="shared" si="7"/>
        <v>0</v>
      </c>
      <c r="AC12" s="2113">
        <f t="shared" si="8"/>
        <v>0</v>
      </c>
      <c r="AD12" s="2114">
        <f t="shared" si="9"/>
        <v>0</v>
      </c>
      <c r="AE12" s="2113">
        <f t="shared" si="10"/>
        <v>0</v>
      </c>
      <c r="AF12" s="2114">
        <f t="shared" si="11"/>
        <v>0</v>
      </c>
      <c r="AG12" s="2113"/>
      <c r="AH12" s="2113"/>
      <c r="AI12" s="2114">
        <f>Z12+'2024 Калуга+область перекачка'!Z12+'2024 Калуга+область очистка'!Z12</f>
        <v>0</v>
      </c>
      <c r="AJ12" s="2114">
        <f>AA12+'2024 Калуга+область перекачка'!AA12+'2024 Калуга+область очистка'!AA12</f>
        <v>0</v>
      </c>
      <c r="AK12" s="2114">
        <f>AB12+'2024 Калуга+область перекачка'!AB12+'2024 Калуга+область очистка'!AB12</f>
        <v>0</v>
      </c>
      <c r="AL12" s="2114">
        <f>расчет_тарифа_К_!O13</f>
        <v>0</v>
      </c>
      <c r="AM12" s="2593">
        <f t="shared" si="12"/>
        <v>0</v>
      </c>
    </row>
    <row r="13" spans="1:39" s="2218" customFormat="1" ht="21.75" customHeight="1">
      <c r="A13" s="2235">
        <v>319</v>
      </c>
      <c r="B13" s="2281" t="s">
        <v>1741</v>
      </c>
      <c r="C13" s="2282" t="s">
        <v>1327</v>
      </c>
      <c r="D13" s="2283" t="s">
        <v>1742</v>
      </c>
      <c r="E13" s="2284"/>
      <c r="F13" s="2285"/>
      <c r="G13" s="2257">
        <f t="shared" si="0"/>
        <v>0</v>
      </c>
      <c r="H13" s="2285"/>
      <c r="I13" s="2285"/>
      <c r="J13" s="2257">
        <f t="shared" si="1"/>
        <v>0</v>
      </c>
      <c r="K13" s="2285"/>
      <c r="L13" s="2285"/>
      <c r="M13" s="2259">
        <f t="shared" si="2"/>
        <v>0</v>
      </c>
      <c r="N13" s="2284"/>
      <c r="O13" s="2285"/>
      <c r="P13" s="2259">
        <f t="shared" si="3"/>
        <v>0</v>
      </c>
      <c r="Q13" s="2284">
        <v>0</v>
      </c>
      <c r="R13" s="2285">
        <v>0</v>
      </c>
      <c r="S13" s="2259">
        <f t="shared" si="4"/>
        <v>0</v>
      </c>
      <c r="T13" s="2284">
        <v>0</v>
      </c>
      <c r="U13" s="2285">
        <v>0</v>
      </c>
      <c r="V13" s="2268">
        <f t="shared" si="5"/>
        <v>0</v>
      </c>
      <c r="W13" s="2284">
        <v>0</v>
      </c>
      <c r="X13" s="2285">
        <v>0</v>
      </c>
      <c r="Y13" s="2268">
        <f t="shared" si="6"/>
        <v>0</v>
      </c>
      <c r="Z13" s="2284">
        <v>0</v>
      </c>
      <c r="AA13" s="2285">
        <v>0</v>
      </c>
      <c r="AB13" s="2268">
        <f t="shared" si="7"/>
        <v>0</v>
      </c>
      <c r="AC13" s="2113">
        <f t="shared" si="8"/>
        <v>0</v>
      </c>
      <c r="AD13" s="2114">
        <f t="shared" si="9"/>
        <v>0</v>
      </c>
      <c r="AE13" s="2113">
        <f t="shared" si="10"/>
        <v>0</v>
      </c>
      <c r="AF13" s="2114">
        <f t="shared" si="11"/>
        <v>0</v>
      </c>
      <c r="AG13" s="2113"/>
      <c r="AH13" s="2113"/>
      <c r="AI13" s="2114">
        <f>Z13+'2024 Калуга+область перекачка'!Z13+'2024 Калуга+область очистка'!Z13</f>
        <v>0</v>
      </c>
      <c r="AJ13" s="2114">
        <f>AA13+'2024 Калуга+область перекачка'!AA13+'2024 Калуга+область очистка'!AA13</f>
        <v>0</v>
      </c>
      <c r="AK13" s="2114">
        <f>AB13+'2024 Калуга+область перекачка'!AB13+'2024 Калуга+область очистка'!AB13</f>
        <v>0</v>
      </c>
      <c r="AL13" s="2114">
        <f>расчет_тарифа_К_!O14</f>
        <v>0</v>
      </c>
      <c r="AM13" s="2593">
        <f t="shared" si="12"/>
        <v>0</v>
      </c>
    </row>
    <row r="14" spans="1:39" s="2218" customFormat="1" ht="21" customHeight="1">
      <c r="A14" s="2235">
        <v>320</v>
      </c>
      <c r="B14" s="2281" t="s">
        <v>1743</v>
      </c>
      <c r="C14" s="2282" t="s">
        <v>1330</v>
      </c>
      <c r="D14" s="2283" t="s">
        <v>1744</v>
      </c>
      <c r="E14" s="2284"/>
      <c r="F14" s="2285"/>
      <c r="G14" s="2257">
        <f t="shared" si="0"/>
        <v>0</v>
      </c>
      <c r="H14" s="2285"/>
      <c r="I14" s="2285"/>
      <c r="J14" s="2257">
        <f t="shared" si="1"/>
        <v>0</v>
      </c>
      <c r="K14" s="2285"/>
      <c r="L14" s="2285"/>
      <c r="M14" s="2259">
        <f t="shared" si="2"/>
        <v>0</v>
      </c>
      <c r="N14" s="2284"/>
      <c r="O14" s="2285"/>
      <c r="P14" s="2259">
        <f t="shared" si="3"/>
        <v>0</v>
      </c>
      <c r="Q14" s="2284">
        <v>0</v>
      </c>
      <c r="R14" s="2285">
        <v>0</v>
      </c>
      <c r="S14" s="2259">
        <f t="shared" si="4"/>
        <v>0</v>
      </c>
      <c r="T14" s="2284">
        <v>0</v>
      </c>
      <c r="U14" s="2285">
        <v>0</v>
      </c>
      <c r="V14" s="2268">
        <f t="shared" si="5"/>
        <v>0</v>
      </c>
      <c r="W14" s="2284">
        <v>0</v>
      </c>
      <c r="X14" s="2285">
        <v>0</v>
      </c>
      <c r="Y14" s="2268">
        <f t="shared" si="6"/>
        <v>0</v>
      </c>
      <c r="Z14" s="2284">
        <v>0</v>
      </c>
      <c r="AA14" s="2285">
        <v>0</v>
      </c>
      <c r="AB14" s="2268">
        <f t="shared" si="7"/>
        <v>0</v>
      </c>
      <c r="AC14" s="2113">
        <f t="shared" si="8"/>
        <v>0</v>
      </c>
      <c r="AD14" s="2114">
        <f t="shared" si="9"/>
        <v>0</v>
      </c>
      <c r="AE14" s="2113">
        <f t="shared" si="10"/>
        <v>0</v>
      </c>
      <c r="AF14" s="2114">
        <f t="shared" si="11"/>
        <v>0</v>
      </c>
      <c r="AG14" s="2113"/>
      <c r="AH14" s="2113"/>
      <c r="AI14" s="2114">
        <f>Z14+'2024 Калуга+область перекачка'!Z14+'2024 Калуга+область очистка'!Z14</f>
        <v>0</v>
      </c>
      <c r="AJ14" s="2114">
        <f>AA14+'2024 Калуга+область перекачка'!AA14+'2024 Калуга+область очистка'!AA14</f>
        <v>0</v>
      </c>
      <c r="AK14" s="2114">
        <f>AB14+'2024 Калуга+область перекачка'!AB14+'2024 Калуга+область очистка'!AB14</f>
        <v>0</v>
      </c>
      <c r="AL14" s="2114">
        <f>расчет_тарифа_К_!O15</f>
        <v>0</v>
      </c>
      <c r="AM14" s="2593">
        <f t="shared" si="12"/>
        <v>0</v>
      </c>
    </row>
    <row r="15" spans="1:39" s="2218" customFormat="1" ht="23.25" customHeight="1">
      <c r="A15" s="2235">
        <v>322</v>
      </c>
      <c r="B15" s="2279" t="s">
        <v>1745</v>
      </c>
      <c r="C15" s="2280" t="s">
        <v>1746</v>
      </c>
      <c r="D15" s="2254" t="s">
        <v>1317</v>
      </c>
      <c r="E15" s="2255">
        <f>E16*E17</f>
        <v>275.47910134538347</v>
      </c>
      <c r="F15" s="2256">
        <f>F16*F17</f>
        <v>283.74347438574523</v>
      </c>
      <c r="G15" s="2257">
        <f t="shared" si="0"/>
        <v>279.61128786556435</v>
      </c>
      <c r="H15" s="2256">
        <f>H16*H17</f>
        <v>331.33758484764303</v>
      </c>
      <c r="I15" s="2256">
        <f>I16*I17</f>
        <v>343.26573790215821</v>
      </c>
      <c r="J15" s="2257">
        <f t="shared" si="1"/>
        <v>337.30166137490062</v>
      </c>
      <c r="K15" s="2256">
        <f>K16*K17</f>
        <v>821.60792805713288</v>
      </c>
      <c r="L15" s="2256">
        <f>L16*L17</f>
        <v>856.93706896358935</v>
      </c>
      <c r="M15" s="2259">
        <f t="shared" si="2"/>
        <v>839.27249851036117</v>
      </c>
      <c r="N15" s="2255">
        <v>0</v>
      </c>
      <c r="O15" s="2256">
        <v>0</v>
      </c>
      <c r="P15" s="2259">
        <f t="shared" si="3"/>
        <v>0</v>
      </c>
      <c r="Q15" s="2255">
        <v>0</v>
      </c>
      <c r="R15" s="2256">
        <v>886.54511601280831</v>
      </c>
      <c r="S15" s="2259">
        <f t="shared" si="4"/>
        <v>443.27255800640415</v>
      </c>
      <c r="T15" s="2377">
        <f>N15+Q15</f>
        <v>0</v>
      </c>
      <c r="U15" s="2256">
        <f>O15+R15</f>
        <v>886.54511601280831</v>
      </c>
      <c r="V15" s="2268">
        <f t="shared" si="5"/>
        <v>443.27255800640415</v>
      </c>
      <c r="W15" s="2377">
        <f>T15/$T$272*$N$272</f>
        <v>0</v>
      </c>
      <c r="X15" s="2256">
        <f>U15/$T$272*$N$272</f>
        <v>199.45310860250635</v>
      </c>
      <c r="Y15" s="2268">
        <f t="shared" si="6"/>
        <v>99.726554301253174</v>
      </c>
      <c r="Z15" s="2886">
        <f>T15/$T$272*$Z$272</f>
        <v>0</v>
      </c>
      <c r="AA15" s="2887">
        <f>U15/$T$272*$Z$272</f>
        <v>687.0920074103019</v>
      </c>
      <c r="AB15" s="2268">
        <f t="shared" si="7"/>
        <v>343.54600370515095</v>
      </c>
      <c r="AC15" s="2113">
        <f t="shared" si="8"/>
        <v>199.45310860250635</v>
      </c>
      <c r="AD15" s="2114">
        <f t="shared" si="9"/>
        <v>0</v>
      </c>
      <c r="AE15" s="2113">
        <f t="shared" si="10"/>
        <v>687.0920074103019</v>
      </c>
      <c r="AF15" s="2114">
        <f t="shared" si="11"/>
        <v>0</v>
      </c>
      <c r="AG15" s="2113"/>
      <c r="AH15" s="2113"/>
      <c r="AI15" s="2114">
        <f>Z15+'2024 Калуга+область перекачка'!Z15+'2024 Калуга+область очистка'!Z15</f>
        <v>534.84908124286687</v>
      </c>
      <c r="AJ15" s="2114">
        <f>AA15+'2024 Калуга+область перекачка'!AA15+'2024 Калуга+область очистка'!AA15</f>
        <v>2696.1251431363353</v>
      </c>
      <c r="AK15" s="2114">
        <f>AB15+'2024 Калуга+область перекачка'!AB15+'2024 Калуга+область очистка'!AB15</f>
        <v>1615.4871121896012</v>
      </c>
      <c r="AL15" s="2114">
        <f>расчет_тарифа_К_!O16</f>
        <v>2696.1251431363353</v>
      </c>
      <c r="AM15" s="2593">
        <f t="shared" si="12"/>
        <v>0</v>
      </c>
    </row>
    <row r="16" spans="1:39" s="2218" customFormat="1" ht="21" customHeight="1">
      <c r="A16" s="2235">
        <v>321</v>
      </c>
      <c r="B16" s="2281" t="s">
        <v>1747</v>
      </c>
      <c r="C16" s="2282" t="s">
        <v>1327</v>
      </c>
      <c r="D16" s="2283" t="s">
        <v>1748</v>
      </c>
      <c r="E16" s="2284">
        <f>'[3]НВВ тран-ка'!K317</f>
        <v>7.9343126331585765</v>
      </c>
      <c r="F16" s="2285">
        <f>'[3]НВВ тран-ка'!L317</f>
        <v>7.9343126331585765</v>
      </c>
      <c r="G16" s="2257">
        <f t="shared" si="0"/>
        <v>7.9343126331585765</v>
      </c>
      <c r="H16" s="2285">
        <f>'[3]НВВ тран-ка'!T317</f>
        <v>9.056295486585956</v>
      </c>
      <c r="I16" s="2285">
        <f>'[3]НВВ тран-ка'!U317</f>
        <v>9.056295486585956</v>
      </c>
      <c r="J16" s="2257">
        <f t="shared" si="1"/>
        <v>9.056295486585956</v>
      </c>
      <c r="K16" s="2285">
        <f>'[3]НВВ тран-ка'!AC317</f>
        <v>21.812545610370218</v>
      </c>
      <c r="L16" s="2285">
        <f>'[3]НВВ тран-ка'!AD317</f>
        <v>21.812545610370218</v>
      </c>
      <c r="M16" s="2259">
        <f t="shared" si="2"/>
        <v>21.812545610370218</v>
      </c>
      <c r="N16" s="2284"/>
      <c r="O16" s="2285"/>
      <c r="P16" s="2259">
        <f t="shared" si="3"/>
        <v>0</v>
      </c>
      <c r="Q16" s="2284">
        <v>0</v>
      </c>
      <c r="R16" s="2285">
        <v>20.860304432466183</v>
      </c>
      <c r="S16" s="2259">
        <f t="shared" si="4"/>
        <v>10.430152216233092</v>
      </c>
      <c r="T16" s="2385">
        <f>N16+Q16</f>
        <v>0</v>
      </c>
      <c r="U16" s="2285">
        <f>O16+R16</f>
        <v>20.860304432466183</v>
      </c>
      <c r="V16" s="2268">
        <f t="shared" si="5"/>
        <v>10.430152216233092</v>
      </c>
      <c r="W16" s="2884">
        <f>T16/$T$272*$W$272</f>
        <v>0</v>
      </c>
      <c r="X16" s="2885">
        <f>U16/$T$272*$W$272</f>
        <v>4.6931086645227325</v>
      </c>
      <c r="Y16" s="2268">
        <f t="shared" si="6"/>
        <v>2.3465543322613662</v>
      </c>
      <c r="Z16" s="2884">
        <f>T16/$T$272*$Z$272</f>
        <v>0</v>
      </c>
      <c r="AA16" s="2885">
        <f>U16/$T$272*$Z$272</f>
        <v>16.167195767943447</v>
      </c>
      <c r="AB16" s="2268">
        <f t="shared" si="7"/>
        <v>8.0835978839717235</v>
      </c>
      <c r="AC16" s="2113">
        <f t="shared" si="8"/>
        <v>4.6931086645227325</v>
      </c>
      <c r="AD16" s="2114">
        <f t="shared" si="9"/>
        <v>0</v>
      </c>
      <c r="AE16" s="2113">
        <f t="shared" si="10"/>
        <v>16.167195767943447</v>
      </c>
      <c r="AF16" s="2114">
        <f t="shared" si="11"/>
        <v>0</v>
      </c>
      <c r="AG16" s="2113"/>
      <c r="AH16" s="2113"/>
      <c r="AI16" s="2114">
        <f>Z16+'2024 Калуга+область перекачка'!Z16+'2024 Калуга+область очистка'!Z16</f>
        <v>13.176429307642108</v>
      </c>
      <c r="AJ16" s="2114">
        <f>AA16+'2024 Калуга+область перекачка'!AA16+'2024 Калуга+область очистка'!AA16</f>
        <v>61.754110998333999</v>
      </c>
      <c r="AK16" s="2114">
        <f>AB16+'2024 Калуга+область перекачка'!AB16+'2024 Калуга+область очистка'!AB16</f>
        <v>37.465270152988055</v>
      </c>
      <c r="AL16" s="2114">
        <f>расчет_тарифа_К_!O17</f>
        <v>61.754110998333999</v>
      </c>
      <c r="AM16" s="2593">
        <f t="shared" si="12"/>
        <v>0</v>
      </c>
    </row>
    <row r="17" spans="1:39" s="2218" customFormat="1" ht="21" customHeight="1">
      <c r="A17" s="2235">
        <v>323</v>
      </c>
      <c r="B17" s="2281" t="s">
        <v>1750</v>
      </c>
      <c r="C17" s="2282" t="s">
        <v>1330</v>
      </c>
      <c r="D17" s="2283" t="s">
        <v>1744</v>
      </c>
      <c r="E17" s="2284">
        <f>'[3]НВВ тран-ка'!K318</f>
        <v>34.719970598854232</v>
      </c>
      <c r="F17" s="2285">
        <f>'[3]НВВ тран-ка'!L318</f>
        <v>35.761569716819892</v>
      </c>
      <c r="G17" s="2257">
        <f t="shared" si="0"/>
        <v>35.240770157837062</v>
      </c>
      <c r="H17" s="2285">
        <f>'[3]НВВ тран-ка'!T318</f>
        <v>36.586437063412419</v>
      </c>
      <c r="I17" s="2285">
        <f>'[3]НВВ тран-ка'!U318</f>
        <v>37.903548797695272</v>
      </c>
      <c r="J17" s="2257">
        <f t="shared" si="1"/>
        <v>37.244992930553849</v>
      </c>
      <c r="K17" s="2285">
        <f>'[3]НВВ тран-ка'!AC318</f>
        <v>37.666760346693344</v>
      </c>
      <c r="L17" s="2285">
        <f>'[3]НВВ тран-ка'!AD318</f>
        <v>39.286431041601148</v>
      </c>
      <c r="M17" s="2259">
        <f t="shared" si="2"/>
        <v>38.47659569414725</v>
      </c>
      <c r="N17" s="2284">
        <v>41.643616904097222</v>
      </c>
      <c r="O17" s="2285">
        <f>N17*1.072</f>
        <v>44.641957321192223</v>
      </c>
      <c r="P17" s="2259">
        <f t="shared" si="3"/>
        <v>43.142787112644726</v>
      </c>
      <c r="Q17" s="2284">
        <v>0</v>
      </c>
      <c r="R17" s="2285">
        <f>38.2937283815924*1.06*1.072</f>
        <v>43.513929434571089</v>
      </c>
      <c r="S17" s="2259">
        <f t="shared" si="4"/>
        <v>21.756964717285545</v>
      </c>
      <c r="T17" s="2385"/>
      <c r="U17" s="2285">
        <f>U15/U16</f>
        <v>42.499145632458905</v>
      </c>
      <c r="V17" s="2268">
        <f t="shared" si="5"/>
        <v>21.249572816229453</v>
      </c>
      <c r="W17" s="2385"/>
      <c r="X17" s="2285">
        <f>X15/X16</f>
        <v>42.499145632458912</v>
      </c>
      <c r="Y17" s="2268">
        <f t="shared" si="6"/>
        <v>21.249572816229456</v>
      </c>
      <c r="Z17" s="2385"/>
      <c r="AA17" s="2285">
        <f>AA15/AA16</f>
        <v>42.499145632458912</v>
      </c>
      <c r="AB17" s="2268">
        <f t="shared" si="7"/>
        <v>21.249572816229456</v>
      </c>
      <c r="AC17" s="2113">
        <f t="shared" si="8"/>
        <v>9.56137094011366</v>
      </c>
      <c r="AD17" s="2114">
        <f t="shared" si="9"/>
        <v>-32.937774692345251</v>
      </c>
      <c r="AE17" s="2113">
        <f t="shared" si="10"/>
        <v>32.937774692345243</v>
      </c>
      <c r="AF17" s="2114">
        <f t="shared" si="11"/>
        <v>-9.5613709401136688</v>
      </c>
      <c r="AG17" s="2113"/>
      <c r="AH17" s="2113"/>
      <c r="AI17" s="2114">
        <f>Z17+'2024 Калуга+область перекачка'!Z17+'2024 Калуга+область очистка'!Z17</f>
        <v>81.182704168975931</v>
      </c>
      <c r="AJ17" s="2114">
        <f>AA17+'2024 Калуга+область перекачка'!AA17+'2024 Калуга+область очистка'!AA17</f>
        <v>130.63700773475705</v>
      </c>
      <c r="AK17" s="2114">
        <f>AB17+'2024 Калуга+область перекачка'!AB17+'2024 Калуга+область очистка'!AB17</f>
        <v>105.90985595186649</v>
      </c>
      <c r="AL17" s="2114">
        <f>расчет_тарифа_К_!O18</f>
        <v>43.659039042907949</v>
      </c>
      <c r="AM17" s="2593">
        <f t="shared" si="12"/>
        <v>86.9779686918491</v>
      </c>
    </row>
    <row r="18" spans="1:39" s="2218" customFormat="1" ht="17.25" customHeight="1">
      <c r="A18" s="2235">
        <v>324</v>
      </c>
      <c r="B18" s="2279" t="s">
        <v>1751</v>
      </c>
      <c r="C18" s="2280" t="s">
        <v>1752</v>
      </c>
      <c r="D18" s="2254" t="s">
        <v>1317</v>
      </c>
      <c r="E18" s="2255">
        <f>E19*E20</f>
        <v>73.552441130779471</v>
      </c>
      <c r="F18" s="2256">
        <f>F19*F20</f>
        <v>75.759014364702864</v>
      </c>
      <c r="G18" s="2257">
        <f t="shared" si="0"/>
        <v>74.655727747741167</v>
      </c>
      <c r="H18" s="2256">
        <f>H19*H20</f>
        <v>81.82525213674937</v>
      </c>
      <c r="I18" s="2256">
        <f>I19*I20</f>
        <v>84.770961213672308</v>
      </c>
      <c r="J18" s="2257">
        <f t="shared" si="1"/>
        <v>83.298106675210846</v>
      </c>
      <c r="K18" s="2256">
        <f>K19*K20</f>
        <v>18.150667878859167</v>
      </c>
      <c r="L18" s="2256">
        <f>L19*L20</f>
        <v>18.931146597650127</v>
      </c>
      <c r="M18" s="2259">
        <f t="shared" si="2"/>
        <v>18.540907238254647</v>
      </c>
      <c r="N18" s="2255">
        <v>0</v>
      </c>
      <c r="O18" s="2256">
        <v>0</v>
      </c>
      <c r="P18" s="2259">
        <f t="shared" si="3"/>
        <v>0</v>
      </c>
      <c r="Q18" s="2255">
        <v>0</v>
      </c>
      <c r="R18" s="2256">
        <v>425.33963427705157</v>
      </c>
      <c r="S18" s="2259">
        <f t="shared" si="4"/>
        <v>212.66981713852579</v>
      </c>
      <c r="T18" s="2377">
        <f>N18+Q18</f>
        <v>0</v>
      </c>
      <c r="U18" s="2256">
        <f>O18+R18</f>
        <v>425.33963427705157</v>
      </c>
      <c r="V18" s="2268">
        <f t="shared" si="5"/>
        <v>212.66981713852579</v>
      </c>
      <c r="W18" s="2377">
        <f>T18/$T$272*$N$272</f>
        <v>0</v>
      </c>
      <c r="X18" s="2256">
        <f>U18/$T$272*$N$272</f>
        <v>95.692041765402308</v>
      </c>
      <c r="Y18" s="2268">
        <f t="shared" si="6"/>
        <v>47.846020882701154</v>
      </c>
      <c r="Z18" s="2886">
        <f>T18/$T$272*$Z$272</f>
        <v>0</v>
      </c>
      <c r="AA18" s="2887">
        <f>U18/$T$272*$Z$272</f>
        <v>329.64759251164924</v>
      </c>
      <c r="AB18" s="2268">
        <f t="shared" si="7"/>
        <v>164.82379625582462</v>
      </c>
      <c r="AC18" s="2113">
        <f t="shared" si="8"/>
        <v>95.692041765402308</v>
      </c>
      <c r="AD18" s="2114">
        <f t="shared" si="9"/>
        <v>0</v>
      </c>
      <c r="AE18" s="2113">
        <f t="shared" si="10"/>
        <v>329.64759251164924</v>
      </c>
      <c r="AF18" s="2114">
        <f t="shared" si="11"/>
        <v>0</v>
      </c>
      <c r="AG18" s="2113"/>
      <c r="AH18" s="2113"/>
      <c r="AI18" s="2114">
        <f>Z18+'2024 Калуга+область перекачка'!Z18+'2024 Калуга+область очистка'!Z18</f>
        <v>256.6056802979121</v>
      </c>
      <c r="AJ18" s="2114">
        <f>AA18+'2024 Калуга+область перекачка'!AA18+'2024 Калуга+область очистка'!AA18</f>
        <v>800.60951793942741</v>
      </c>
      <c r="AK18" s="2114">
        <f>AB18+'2024 Калуга+область перекачка'!AB18+'2024 Калуга+область очистка'!AB18</f>
        <v>528.60759911866978</v>
      </c>
      <c r="AL18" s="2114">
        <f>расчет_тарифа_К_!O19</f>
        <v>800.60951793942741</v>
      </c>
      <c r="AM18" s="2593">
        <f t="shared" si="12"/>
        <v>0</v>
      </c>
    </row>
    <row r="19" spans="1:39" s="2218" customFormat="1" ht="21" customHeight="1">
      <c r="A19" s="2235">
        <v>327</v>
      </c>
      <c r="B19" s="2281" t="s">
        <v>1753</v>
      </c>
      <c r="C19" s="2282" t="s">
        <v>1327</v>
      </c>
      <c r="D19" s="2283" t="s">
        <v>1748</v>
      </c>
      <c r="E19" s="2284">
        <f>'[3]НВВ тран-ка'!K320</f>
        <v>2.0089010444164526</v>
      </c>
      <c r="F19" s="2285">
        <f>'[3]НВВ тран-ка'!L320</f>
        <v>2.0089010444164535</v>
      </c>
      <c r="G19" s="2257">
        <f t="shared" si="0"/>
        <v>2.008901044416453</v>
      </c>
      <c r="H19" s="2285">
        <f>'[3]НВВ тран-ка'!T320</f>
        <v>2.1132475311551557</v>
      </c>
      <c r="I19" s="2285">
        <f>'[3]НВВ тран-ка'!U320</f>
        <v>2.1132475311551557</v>
      </c>
      <c r="J19" s="2257">
        <f t="shared" si="1"/>
        <v>2.1132475311551557</v>
      </c>
      <c r="K19" s="2285">
        <f>'[3]НВВ тран-ка'!AC320</f>
        <v>0.46981222178274784</v>
      </c>
      <c r="L19" s="2285">
        <f>'[3]НВВ тран-ка'!AD320</f>
        <v>0.46981222178274784</v>
      </c>
      <c r="M19" s="2259">
        <f t="shared" si="2"/>
        <v>0.46981222178274784</v>
      </c>
      <c r="N19" s="2284"/>
      <c r="O19" s="2285"/>
      <c r="P19" s="2259">
        <f t="shared" si="3"/>
        <v>0</v>
      </c>
      <c r="Q19" s="2284">
        <v>0</v>
      </c>
      <c r="R19" s="2285">
        <v>9.2628374025695752</v>
      </c>
      <c r="S19" s="2259">
        <f t="shared" si="4"/>
        <v>4.6314187012847876</v>
      </c>
      <c r="T19" s="2385">
        <f>N19+Q19</f>
        <v>0</v>
      </c>
      <c r="U19" s="2285">
        <f>O19+R19</f>
        <v>9.2628374025695752</v>
      </c>
      <c r="V19" s="2268">
        <f t="shared" si="5"/>
        <v>4.6314187012847876</v>
      </c>
      <c r="W19" s="2884">
        <f>T19/$T$272*$W$272</f>
        <v>0</v>
      </c>
      <c r="X19" s="2885">
        <f>U19/$T$272*$W$272</f>
        <v>2.0839342308162636</v>
      </c>
      <c r="Y19" s="2268">
        <f t="shared" si="6"/>
        <v>1.0419671154081318</v>
      </c>
      <c r="Z19" s="2884">
        <f>T19/$T$272*$Z$272</f>
        <v>0</v>
      </c>
      <c r="AA19" s="2885">
        <f>U19/$T$272*$Z$272</f>
        <v>7.1789031717533094</v>
      </c>
      <c r="AB19" s="2268">
        <f t="shared" si="7"/>
        <v>3.5894515858766547</v>
      </c>
      <c r="AC19" s="2113">
        <f t="shared" si="8"/>
        <v>2.0839342308162636</v>
      </c>
      <c r="AD19" s="2114">
        <f t="shared" si="9"/>
        <v>0</v>
      </c>
      <c r="AE19" s="2113">
        <f t="shared" si="10"/>
        <v>7.1789031717533094</v>
      </c>
      <c r="AF19" s="2114">
        <f t="shared" si="11"/>
        <v>0</v>
      </c>
      <c r="AG19" s="2113"/>
      <c r="AH19" s="2113"/>
      <c r="AI19" s="2114">
        <f>Z19+'2024 Калуга+область перекачка'!Z19+'2024 Калуга+область очистка'!Z19</f>
        <v>5.8508792437940444</v>
      </c>
      <c r="AJ19" s="2114">
        <f>AA19+'2024 Калуга+область перекачка'!AA19+'2024 Калуга+область очистка'!AA19</f>
        <v>17.208730117216124</v>
      </c>
      <c r="AK19" s="2114">
        <f>AB19+'2024 Калуга+область перекачка'!AB19+'2024 Калуга+область очистка'!AB19</f>
        <v>11.529804680505084</v>
      </c>
      <c r="AL19" s="2114">
        <f>расчет_тарифа_К_!O20</f>
        <v>17.208730117216124</v>
      </c>
      <c r="AM19" s="2593">
        <f t="shared" si="12"/>
        <v>0</v>
      </c>
    </row>
    <row r="20" spans="1:39" s="2218" customFormat="1" ht="21" customHeight="1">
      <c r="A20" s="2235">
        <v>328</v>
      </c>
      <c r="B20" s="2281" t="s">
        <v>1755</v>
      </c>
      <c r="C20" s="2282" t="s">
        <v>1330</v>
      </c>
      <c r="D20" s="2283" t="s">
        <v>1744</v>
      </c>
      <c r="E20" s="2284">
        <f>'[3]НВВ тран-ка'!K321</f>
        <v>36.61327238353099</v>
      </c>
      <c r="F20" s="2285">
        <f>'[3]НВВ тран-ка'!L321</f>
        <v>37.71167055503691</v>
      </c>
      <c r="G20" s="2257">
        <f t="shared" si="0"/>
        <v>37.16247146928395</v>
      </c>
      <c r="H20" s="2285">
        <f>'[3]НВВ тран-ка'!T321</f>
        <v>38.720145619676444</v>
      </c>
      <c r="I20" s="2285">
        <f>'[3]НВВ тран-ка'!U321</f>
        <v>40.114070861984779</v>
      </c>
      <c r="J20" s="2257">
        <f t="shared" si="1"/>
        <v>39.417108240830615</v>
      </c>
      <c r="K20" s="2285">
        <f>'[3]НВВ тран-ка'!AC321</f>
        <v>38.633877616007318</v>
      </c>
      <c r="L20" s="2285">
        <f>'[3]НВВ тран-ка'!AD321</f>
        <v>40.295134353495662</v>
      </c>
      <c r="M20" s="2259">
        <f t="shared" si="2"/>
        <v>39.46450598475149</v>
      </c>
      <c r="N20" s="2284">
        <v>42.712842414705406</v>
      </c>
      <c r="O20" s="2285">
        <f>N20*1.072</f>
        <v>45.788167068564199</v>
      </c>
      <c r="P20" s="2259">
        <f t="shared" si="3"/>
        <v>44.250504741634799</v>
      </c>
      <c r="Q20" s="2284">
        <v>0</v>
      </c>
      <c r="R20" s="2285">
        <f>41.3751199405629*1.06*1.072</f>
        <v>47.015376290860438</v>
      </c>
      <c r="S20" s="2259">
        <f t="shared" si="4"/>
        <v>23.507688145430219</v>
      </c>
      <c r="T20" s="2385"/>
      <c r="U20" s="2285">
        <f>U18/U19</f>
        <v>45.918935612435497</v>
      </c>
      <c r="V20" s="2268">
        <f t="shared" si="5"/>
        <v>22.959467806217749</v>
      </c>
      <c r="W20" s="2385"/>
      <c r="X20" s="2285">
        <f>X18/X19</f>
        <v>45.918935612435497</v>
      </c>
      <c r="Y20" s="2268">
        <f t="shared" si="6"/>
        <v>22.959467806217749</v>
      </c>
      <c r="Z20" s="2385"/>
      <c r="AA20" s="2285">
        <f>AA18/AA19</f>
        <v>45.918935612435504</v>
      </c>
      <c r="AB20" s="2268">
        <f t="shared" si="7"/>
        <v>22.959467806217752</v>
      </c>
      <c r="AC20" s="2113">
        <f t="shared" si="8"/>
        <v>10.330748301687416</v>
      </c>
      <c r="AD20" s="2114">
        <f t="shared" si="9"/>
        <v>-35.588187310748083</v>
      </c>
      <c r="AE20" s="2113">
        <f t="shared" si="10"/>
        <v>35.588187310748076</v>
      </c>
      <c r="AF20" s="2114">
        <f t="shared" si="11"/>
        <v>-10.330748301687429</v>
      </c>
      <c r="AG20" s="2113"/>
      <c r="AH20" s="2113"/>
      <c r="AI20" s="2114">
        <f>Z20+'2024 Калуга+область перекачка'!Z20+'2024 Калуга+область очистка'!Z20</f>
        <v>87.715254273993295</v>
      </c>
      <c r="AJ20" s="2114">
        <f>AA20+'2024 Калуга+область перекачка'!AA20+'2024 Калуга+область очистка'!AA20</f>
        <v>139.83120907211406</v>
      </c>
      <c r="AK20" s="2114">
        <f>AB20+'2024 Калуга+область перекачка'!AB20+'2024 Калуга+область очистка'!AB20</f>
        <v>113.77323167305369</v>
      </c>
      <c r="AL20" s="2114">
        <f>расчет_тарифа_К_!O21</f>
        <v>46.523451323027835</v>
      </c>
      <c r="AM20" s="2593">
        <f t="shared" si="12"/>
        <v>93.307757749086221</v>
      </c>
    </row>
    <row r="21" spans="1:39" s="2218" customFormat="1" ht="18.75" customHeight="1">
      <c r="A21" s="2235">
        <v>325</v>
      </c>
      <c r="B21" s="2279" t="s">
        <v>1756</v>
      </c>
      <c r="C21" s="2280" t="s">
        <v>1757</v>
      </c>
      <c r="D21" s="2254" t="s">
        <v>1317</v>
      </c>
      <c r="E21" s="2255">
        <f>E22*E23</f>
        <v>983.43903789932222</v>
      </c>
      <c r="F21" s="2256">
        <f>F22*F23</f>
        <v>1012.9422090363018</v>
      </c>
      <c r="G21" s="2257">
        <f t="shared" si="0"/>
        <v>998.19062346781197</v>
      </c>
      <c r="H21" s="2256">
        <f>H22*H23</f>
        <v>1099.4302204516866</v>
      </c>
      <c r="I21" s="2256">
        <f>I22*I23</f>
        <v>1139.0097083879477</v>
      </c>
      <c r="J21" s="2257">
        <f t="shared" si="1"/>
        <v>1119.2199644198172</v>
      </c>
      <c r="K21" s="2256">
        <f>K22*K23</f>
        <v>581.11992882813047</v>
      </c>
      <c r="L21" s="2256">
        <f>L22*L23</f>
        <v>606.10808576773979</v>
      </c>
      <c r="M21" s="2259">
        <f t="shared" si="2"/>
        <v>593.61400729793513</v>
      </c>
      <c r="N21" s="2255">
        <v>0</v>
      </c>
      <c r="O21" s="2256">
        <v>0</v>
      </c>
      <c r="P21" s="2259">
        <f t="shared" si="3"/>
        <v>0</v>
      </c>
      <c r="Q21" s="2255">
        <v>4827.1515283199933</v>
      </c>
      <c r="R21" s="2256">
        <v>5357.269309160095</v>
      </c>
      <c r="S21" s="2259">
        <f t="shared" si="4"/>
        <v>5092.2104187400437</v>
      </c>
      <c r="T21" s="2377">
        <f>N21+Q21</f>
        <v>4827.1515283199933</v>
      </c>
      <c r="U21" s="2256">
        <f>O21+R21</f>
        <v>5357.269309160095</v>
      </c>
      <c r="V21" s="2268">
        <f t="shared" si="5"/>
        <v>5092.2104187400437</v>
      </c>
      <c r="W21" s="2377">
        <f>T21/$T$272*$N$272</f>
        <v>1086.0026868670404</v>
      </c>
      <c r="X21" s="2256">
        <f>U21/$T$272*$N$272</f>
        <v>1205.2675019387789</v>
      </c>
      <c r="Y21" s="2268">
        <f t="shared" si="6"/>
        <v>1145.6350944029095</v>
      </c>
      <c r="Z21" s="2886">
        <f>T21/$T$272*$Z$272</f>
        <v>3741.1488414529517</v>
      </c>
      <c r="AA21" s="2887">
        <f>U21/$T$272*$Z$272</f>
        <v>4152.0018072213152</v>
      </c>
      <c r="AB21" s="2268">
        <f t="shared" si="7"/>
        <v>3946.5753243371337</v>
      </c>
      <c r="AC21" s="2113">
        <f t="shared" si="8"/>
        <v>1205.2675019387789</v>
      </c>
      <c r="AD21" s="2114">
        <f t="shared" si="9"/>
        <v>0</v>
      </c>
      <c r="AE21" s="2113">
        <f t="shared" si="10"/>
        <v>4152.0018072213152</v>
      </c>
      <c r="AF21" s="2114">
        <f t="shared" si="11"/>
        <v>0</v>
      </c>
      <c r="AG21" s="2113"/>
      <c r="AH21" s="2113"/>
      <c r="AI21" s="2114">
        <f>Z21+'2024 Калуга+область перекачка'!Z21+'2024 Калуга+область очистка'!Z21</f>
        <v>6973.1677384286231</v>
      </c>
      <c r="AJ21" s="2114">
        <f>AA21+'2024 Калуга+область перекачка'!AA21+'2024 Калуга+область очистка'!AA21</f>
        <v>10684.899005301453</v>
      </c>
      <c r="AK21" s="2114">
        <f>AB21+'2024 Калуга+область перекачка'!AB21+'2024 Калуга+область очистка'!AB21</f>
        <v>8829.0333718650381</v>
      </c>
      <c r="AL21" s="2114">
        <f>расчет_тарифа_К_!O22</f>
        <v>10684.899005301453</v>
      </c>
      <c r="AM21" s="2593">
        <f t="shared" si="12"/>
        <v>0</v>
      </c>
    </row>
    <row r="22" spans="1:39" s="2218" customFormat="1" ht="21" customHeight="1">
      <c r="A22" s="2235">
        <v>329</v>
      </c>
      <c r="B22" s="2281" t="s">
        <v>1758</v>
      </c>
      <c r="C22" s="2282" t="s">
        <v>1327</v>
      </c>
      <c r="D22" s="2283" t="s">
        <v>1748</v>
      </c>
      <c r="E22" s="2284">
        <f>'[3]НВВ тран-ка'!K323</f>
        <v>25.032602244794504</v>
      </c>
      <c r="F22" s="2285">
        <f>'[3]НВВ тран-ка'!L323</f>
        <v>25.032602244794504</v>
      </c>
      <c r="G22" s="2257">
        <f t="shared" si="0"/>
        <v>25.032602244794504</v>
      </c>
      <c r="H22" s="2285">
        <f>'[3]НВВ тран-ка'!T323</f>
        <v>28.268572543184021</v>
      </c>
      <c r="I22" s="2285">
        <f>'[3]НВВ тран-ка'!U323</f>
        <v>28.268572543184021</v>
      </c>
      <c r="J22" s="2257">
        <f t="shared" si="1"/>
        <v>28.268572543184021</v>
      </c>
      <c r="K22" s="2285">
        <f>'[3]НВВ тран-ка'!AC323</f>
        <v>13.236544034641511</v>
      </c>
      <c r="L22" s="2285">
        <f>'[3]НВВ тран-ка'!AD323</f>
        <v>13.236544034641511</v>
      </c>
      <c r="M22" s="2259">
        <f t="shared" si="2"/>
        <v>13.236544034641511</v>
      </c>
      <c r="N22" s="2284"/>
      <c r="O22" s="2285"/>
      <c r="P22" s="2259">
        <f t="shared" si="3"/>
        <v>0</v>
      </c>
      <c r="Q22" s="2284">
        <v>111.13003068238238</v>
      </c>
      <c r="R22" s="2285">
        <v>111.13003068238238</v>
      </c>
      <c r="S22" s="2259">
        <f t="shared" si="4"/>
        <v>111.13003068238238</v>
      </c>
      <c r="T22" s="2385">
        <f>N22+Q22</f>
        <v>111.13003068238238</v>
      </c>
      <c r="U22" s="2285">
        <f>O22+R22</f>
        <v>111.13003068238238</v>
      </c>
      <c r="V22" s="2268">
        <f t="shared" si="5"/>
        <v>111.13003068238238</v>
      </c>
      <c r="W22" s="2884">
        <f>T22/$T$272*$W$272</f>
        <v>25.001807215835864</v>
      </c>
      <c r="X22" s="2885">
        <f>U22/$T$272*$W$272</f>
        <v>25.001807215835864</v>
      </c>
      <c r="Y22" s="2268">
        <f t="shared" si="6"/>
        <v>25.001807215835864</v>
      </c>
      <c r="Z22" s="2884">
        <f>T22/$T$272*$Z$272</f>
        <v>86.128223466546515</v>
      </c>
      <c r="AA22" s="2885">
        <f>U22/$T$272*$Z$272</f>
        <v>86.128223466546515</v>
      </c>
      <c r="AB22" s="2268">
        <f t="shared" si="7"/>
        <v>86.128223466546515</v>
      </c>
      <c r="AC22" s="2113">
        <f t="shared" si="8"/>
        <v>25.001807215835864</v>
      </c>
      <c r="AD22" s="2114">
        <f t="shared" si="9"/>
        <v>0</v>
      </c>
      <c r="AE22" s="2113">
        <f t="shared" si="10"/>
        <v>86.128223466546515</v>
      </c>
      <c r="AF22" s="2114">
        <f t="shared" si="11"/>
        <v>0</v>
      </c>
      <c r="AG22" s="2113"/>
      <c r="AH22" s="2113"/>
      <c r="AI22" s="2114">
        <f>Z22+'2024 Калуга+область перекачка'!Z22+'2024 Калуга+область очистка'!Z22</f>
        <v>156.32360330786531</v>
      </c>
      <c r="AJ22" s="2114">
        <f>AA22+'2024 Калуга+область перекачка'!AA22+'2024 Калуга+область очистка'!AA22</f>
        <v>217.76729645563105</v>
      </c>
      <c r="AK22" s="2114">
        <f>AB22+'2024 Калуга+область перекачка'!AB22+'2024 Калуга+область очистка'!AB22</f>
        <v>187.0454498817482</v>
      </c>
      <c r="AL22" s="2114">
        <f>расчет_тарифа_К_!O23</f>
        <v>217.76729645563108</v>
      </c>
      <c r="AM22" s="2593">
        <f t="shared" si="12"/>
        <v>0</v>
      </c>
    </row>
    <row r="23" spans="1:39" s="2218" customFormat="1" ht="21" customHeight="1">
      <c r="A23" s="2235">
        <v>330</v>
      </c>
      <c r="B23" s="2281" t="s">
        <v>1760</v>
      </c>
      <c r="C23" s="2282" t="s">
        <v>1330</v>
      </c>
      <c r="D23" s="2283" t="s">
        <v>1744</v>
      </c>
      <c r="E23" s="2284">
        <f>'[3]НВВ тран-ка'!K324</f>
        <v>39.286328615868413</v>
      </c>
      <c r="F23" s="2285">
        <f>'[3]НВВ тран-ка'!L324</f>
        <v>40.464918474344465</v>
      </c>
      <c r="G23" s="2257">
        <f t="shared" si="0"/>
        <v>39.875623545106436</v>
      </c>
      <c r="H23" s="2285">
        <f>'[3]НВВ тран-ка'!T324</f>
        <v>38.892314734752176</v>
      </c>
      <c r="I23" s="2285">
        <f>'[3]НВВ тран-ка'!U324</f>
        <v>40.292438065203264</v>
      </c>
      <c r="J23" s="2257">
        <f t="shared" si="1"/>
        <v>39.592376399977724</v>
      </c>
      <c r="K23" s="2285">
        <f>'[3]НВВ тран-ка'!AC324</f>
        <v>43.902692976903552</v>
      </c>
      <c r="L23" s="2285">
        <f>'[3]НВВ тран-ка'!AD324</f>
        <v>45.790508774910379</v>
      </c>
      <c r="M23" s="2259">
        <f t="shared" si="2"/>
        <v>44.846600875906965</v>
      </c>
      <c r="N23" s="2284">
        <v>48.537939301405004</v>
      </c>
      <c r="O23" s="2285">
        <f>N23*1.072</f>
        <v>52.032670931106168</v>
      </c>
      <c r="P23" s="2259">
        <f t="shared" si="3"/>
        <v>50.285305116255586</v>
      </c>
      <c r="Q23" s="2284">
        <v>43.436967475662264</v>
      </c>
      <c r="R23" s="2285">
        <f>43.4369674756623*1.06*1.072</f>
        <v>49.358294881944587</v>
      </c>
      <c r="S23" s="2259">
        <f t="shared" si="4"/>
        <v>46.397631178803422</v>
      </c>
      <c r="T23" s="2385">
        <f>T21/T22</f>
        <v>43.436967475662264</v>
      </c>
      <c r="U23" s="2285">
        <f>U21/U22</f>
        <v>48.207215243839499</v>
      </c>
      <c r="V23" s="2268">
        <f t="shared" si="5"/>
        <v>45.822091359750885</v>
      </c>
      <c r="W23" s="2385">
        <f>W21/W22</f>
        <v>43.436967475662257</v>
      </c>
      <c r="X23" s="2285">
        <f>X21/X22</f>
        <v>48.207215243839492</v>
      </c>
      <c r="Y23" s="2268">
        <f t="shared" si="6"/>
        <v>45.822091359750871</v>
      </c>
      <c r="Z23" s="2385">
        <f>Z21/Z22</f>
        <v>43.436967475662257</v>
      </c>
      <c r="AA23" s="2285">
        <f>AA21/AA22</f>
        <v>48.207215243839492</v>
      </c>
      <c r="AB23" s="2268">
        <f t="shared" si="7"/>
        <v>45.822091359750871</v>
      </c>
      <c r="AC23" s="2113">
        <f t="shared" si="8"/>
        <v>10.8455607772081</v>
      </c>
      <c r="AD23" s="2114">
        <f t="shared" si="9"/>
        <v>-37.361654466631393</v>
      </c>
      <c r="AE23" s="2113">
        <f t="shared" si="10"/>
        <v>37.361654466631393</v>
      </c>
      <c r="AF23" s="2114">
        <f t="shared" si="11"/>
        <v>-10.8455607772081</v>
      </c>
      <c r="AG23" s="2113"/>
      <c r="AH23" s="2113"/>
      <c r="AI23" s="2114">
        <f>Z23+'2024 Калуга+область перекачка'!Z23+'2024 Калуга+область очистка'!Z23</f>
        <v>135.52333852406628</v>
      </c>
      <c r="AJ23" s="2114">
        <f>AA23+'2024 Калуга+область перекачка'!AA23+'2024 Калуга+область очистка'!AA23</f>
        <v>147.46049624535067</v>
      </c>
      <c r="AK23" s="2114">
        <f>AB23+'2024 Калуга+область перекачка'!AB23+'2024 Калуга+область очистка'!AB23</f>
        <v>141.49191738470847</v>
      </c>
      <c r="AL23" s="2114">
        <f>расчет_тарифа_К_!O24</f>
        <v>49.065673217275048</v>
      </c>
      <c r="AM23" s="2593">
        <f t="shared" si="12"/>
        <v>98.394823028075621</v>
      </c>
    </row>
    <row r="24" spans="1:39" s="2218" customFormat="1" ht="21" customHeight="1">
      <c r="A24" s="2235">
        <v>326</v>
      </c>
      <c r="B24" s="2279" t="s">
        <v>1761</v>
      </c>
      <c r="C24" s="2280" t="s">
        <v>1762</v>
      </c>
      <c r="D24" s="2254" t="s">
        <v>1317</v>
      </c>
      <c r="E24" s="2255">
        <f>E25*E26</f>
        <v>7.9126552248971862</v>
      </c>
      <c r="F24" s="2256">
        <f>F25*F26</f>
        <v>8.1500348816440962</v>
      </c>
      <c r="G24" s="2257">
        <f t="shared" si="0"/>
        <v>8.0313450532706412</v>
      </c>
      <c r="H24" s="2256">
        <f>H25*H26</f>
        <v>101.85759495581988</v>
      </c>
      <c r="I24" s="2256">
        <f>I25*I26</f>
        <v>105.52446837422934</v>
      </c>
      <c r="J24" s="2257">
        <f t="shared" si="1"/>
        <v>103.69103166502461</v>
      </c>
      <c r="K24" s="2256">
        <f>K25*K26</f>
        <v>71.580679186095495</v>
      </c>
      <c r="L24" s="2256">
        <f>L25*L26</f>
        <v>74.658648391097643</v>
      </c>
      <c r="M24" s="2259">
        <f t="shared" si="2"/>
        <v>73.119663788596569</v>
      </c>
      <c r="N24" s="2255">
        <v>0</v>
      </c>
      <c r="O24" s="2256">
        <v>0</v>
      </c>
      <c r="P24" s="2259">
        <f t="shared" si="3"/>
        <v>0</v>
      </c>
      <c r="Q24" s="2255">
        <v>0</v>
      </c>
      <c r="R24" s="2256">
        <v>483.46583566588441</v>
      </c>
      <c r="S24" s="2259">
        <f t="shared" si="4"/>
        <v>241.73291783294221</v>
      </c>
      <c r="T24" s="2377">
        <f>N24+Q24</f>
        <v>0</v>
      </c>
      <c r="U24" s="2256">
        <f>O24+R24</f>
        <v>483.46583566588441</v>
      </c>
      <c r="V24" s="2268">
        <f t="shared" si="5"/>
        <v>241.73291783294221</v>
      </c>
      <c r="W24" s="2377">
        <f>T24/$T$272*$N$272</f>
        <v>0</v>
      </c>
      <c r="X24" s="2256">
        <f>U24/$T$272*$N$272</f>
        <v>108.76915577669932</v>
      </c>
      <c r="Y24" s="2268">
        <f t="shared" si="6"/>
        <v>54.384577888349661</v>
      </c>
      <c r="Z24" s="2886">
        <f>T24/$T$272*$Z$272</f>
        <v>0</v>
      </c>
      <c r="AA24" s="2887">
        <f>U24/$T$272*$Z$272</f>
        <v>374.69667988918502</v>
      </c>
      <c r="AB24" s="2268">
        <f t="shared" si="7"/>
        <v>187.34833994459251</v>
      </c>
      <c r="AC24" s="2113">
        <f t="shared" si="8"/>
        <v>108.76915577669932</v>
      </c>
      <c r="AD24" s="2114">
        <f t="shared" si="9"/>
        <v>0</v>
      </c>
      <c r="AE24" s="2113">
        <f t="shared" si="10"/>
        <v>374.69667988918502</v>
      </c>
      <c r="AF24" s="2114">
        <f t="shared" si="11"/>
        <v>0</v>
      </c>
      <c r="AG24" s="2113"/>
      <c r="AH24" s="2113"/>
      <c r="AI24" s="2114">
        <f>Z24+'2024 Калуга+область перекачка'!Z24+'2024 Калуга+область очистка'!Z24</f>
        <v>291.67298239842472</v>
      </c>
      <c r="AJ24" s="2114">
        <f>AA24+'2024 Калуга+область перекачка'!AA24+'2024 Калуга+область очистка'!AA24</f>
        <v>1000.9148870373047</v>
      </c>
      <c r="AK24" s="2114">
        <f>AB24+'2024 Калуга+область перекачка'!AB24+'2024 Калуга+область очистка'!AB24</f>
        <v>646.29393471786466</v>
      </c>
      <c r="AL24" s="2114">
        <f>расчет_тарифа_К_!O25</f>
        <v>1000.9148870373047</v>
      </c>
      <c r="AM24" s="2593">
        <f t="shared" si="12"/>
        <v>0</v>
      </c>
    </row>
    <row r="25" spans="1:39" s="2218" customFormat="1" ht="21" customHeight="1">
      <c r="A25" s="2235">
        <v>331</v>
      </c>
      <c r="B25" s="2281" t="s">
        <v>1763</v>
      </c>
      <c r="C25" s="2282" t="s">
        <v>1327</v>
      </c>
      <c r="D25" s="2283" t="s">
        <v>1748</v>
      </c>
      <c r="E25" s="2284">
        <f>'[3]НВВ тран-ка'!K326</f>
        <v>3.7585227926017456E-2</v>
      </c>
      <c r="F25" s="2285">
        <f>'[3]НВВ тран-ка'!L326</f>
        <v>3.7585227926017456E-2</v>
      </c>
      <c r="G25" s="2257">
        <f t="shared" si="0"/>
        <v>3.7585227926017456E-2</v>
      </c>
      <c r="H25" s="2285">
        <f>'[3]НВВ тран-ка'!T326</f>
        <v>0.85109881024031875</v>
      </c>
      <c r="I25" s="2285">
        <f>'[3]НВВ тран-ка'!U326</f>
        <v>0.85109881024031875</v>
      </c>
      <c r="J25" s="2257">
        <f t="shared" si="1"/>
        <v>0.85109881024031875</v>
      </c>
      <c r="K25" s="2285">
        <f>'[3]НВВ тран-ка'!AC326</f>
        <v>9.2466413366099953E-2</v>
      </c>
      <c r="L25" s="2285">
        <f>'[3]НВВ тран-ка'!AD326</f>
        <v>9.2466413366099953E-2</v>
      </c>
      <c r="M25" s="2259">
        <f t="shared" si="2"/>
        <v>9.2466413366099953E-2</v>
      </c>
      <c r="N25" s="2284"/>
      <c r="O25" s="2285"/>
      <c r="P25" s="2259">
        <f t="shared" si="3"/>
        <v>0</v>
      </c>
      <c r="Q25" s="2284">
        <v>0</v>
      </c>
      <c r="R25" s="2285">
        <v>2.3911936303154517</v>
      </c>
      <c r="S25" s="2259">
        <f t="shared" si="4"/>
        <v>1.1955968151577259</v>
      </c>
      <c r="T25" s="2385">
        <f>N25+Q25</f>
        <v>0</v>
      </c>
      <c r="U25" s="2285">
        <f>O25+R25</f>
        <v>2.3911936303154517</v>
      </c>
      <c r="V25" s="2268">
        <f t="shared" si="5"/>
        <v>1.1955968151577259</v>
      </c>
      <c r="W25" s="2884">
        <f>T25/$T$272*$W$272</f>
        <v>0</v>
      </c>
      <c r="X25" s="2885">
        <f>U25/$T$272*$W$272</f>
        <v>0.53796585669762886</v>
      </c>
      <c r="Y25" s="2268">
        <f t="shared" si="6"/>
        <v>0.26898292834881443</v>
      </c>
      <c r="Z25" s="2884">
        <f>T25/$T$272*$Z$272</f>
        <v>0</v>
      </c>
      <c r="AA25" s="2885">
        <f>U25/$T$272*$Z$272</f>
        <v>1.8532277736178226</v>
      </c>
      <c r="AB25" s="2268"/>
      <c r="AC25" s="2113">
        <f t="shared" si="8"/>
        <v>0.53796585669762886</v>
      </c>
      <c r="AD25" s="2114">
        <f t="shared" si="9"/>
        <v>0</v>
      </c>
      <c r="AE25" s="2113">
        <f t="shared" si="10"/>
        <v>1.8532277736178226</v>
      </c>
      <c r="AF25" s="2114">
        <f t="shared" si="11"/>
        <v>0</v>
      </c>
      <c r="AG25" s="2113"/>
      <c r="AH25" s="2113"/>
      <c r="AI25" s="2114">
        <f>Z25+'2024 Калуга+область перекачка'!Z25+'2024 Калуга+область очистка'!Z25</f>
        <v>1.5103995213846806</v>
      </c>
      <c r="AJ25" s="2114">
        <f>AA25+'2024 Калуга+область перекачка'!AA25+'2024 Калуга+область очистка'!AA25</f>
        <v>4.5276247989100442</v>
      </c>
      <c r="AK25" s="2114">
        <f>AB25+'2024 Калуга+область перекачка'!AB25+'2024 Калуга+область очистка'!AB25</f>
        <v>2.0923982733384512</v>
      </c>
      <c r="AL25" s="2114">
        <f>расчет_тарифа_К_!O26</f>
        <v>4.5276247989100442</v>
      </c>
      <c r="AM25" s="2593">
        <f t="shared" si="12"/>
        <v>0</v>
      </c>
    </row>
    <row r="26" spans="1:39" s="2218" customFormat="1" ht="21" customHeight="1">
      <c r="A26" s="2235">
        <v>332</v>
      </c>
      <c r="B26" s="2281" t="s">
        <v>1765</v>
      </c>
      <c r="C26" s="2282" t="s">
        <v>1330</v>
      </c>
      <c r="D26" s="2283" t="s">
        <v>1744</v>
      </c>
      <c r="E26" s="2284">
        <f>'[3]НВВ тран-ка'!K327</f>
        <v>210.52566823520164</v>
      </c>
      <c r="F26" s="2285">
        <f>'[3]НВВ тран-ка'!L327</f>
        <v>216.84143828225751</v>
      </c>
      <c r="G26" s="2257">
        <f t="shared" si="0"/>
        <v>213.68355325872957</v>
      </c>
      <c r="H26" s="2285">
        <f>'[3]НВВ тран-ка'!T327</f>
        <v>119.67775507412479</v>
      </c>
      <c r="I26" s="2285">
        <f>'[3]НВВ тран-ка'!U327</f>
        <v>123.98615425679323</v>
      </c>
      <c r="J26" s="2257">
        <f t="shared" si="1"/>
        <v>121.83195466545901</v>
      </c>
      <c r="K26" s="2285">
        <f>'[3]НВВ тран-ка'!AC327</f>
        <v>774.12626466528889</v>
      </c>
      <c r="L26" s="2285">
        <f>'[3]НВВ тран-ка'!AD327</f>
        <v>807.4136940458967</v>
      </c>
      <c r="M26" s="2259">
        <f t="shared" si="2"/>
        <v>790.7699793555928</v>
      </c>
      <c r="N26" s="2284">
        <v>855.85851568865053</v>
      </c>
      <c r="O26" s="2285">
        <f>N26*1.072</f>
        <v>917.48032881823337</v>
      </c>
      <c r="P26" s="2259">
        <f t="shared" si="3"/>
        <v>886.66942225344201</v>
      </c>
      <c r="Q26" s="2284">
        <v>0</v>
      </c>
      <c r="R26" s="2285">
        <f>182.17907715546*1.06*1.072</f>
        <v>207.01372895329234</v>
      </c>
      <c r="S26" s="2259">
        <f t="shared" si="4"/>
        <v>103.50686447664617</v>
      </c>
      <c r="T26" s="2385"/>
      <c r="U26" s="2285">
        <f>U24/U25</f>
        <v>202.18598340867297</v>
      </c>
      <c r="V26" s="2268">
        <f t="shared" si="5"/>
        <v>101.09299170433648</v>
      </c>
      <c r="W26" s="2385"/>
      <c r="X26" s="2285">
        <f>X24/X25</f>
        <v>202.18598340867297</v>
      </c>
      <c r="Y26" s="2268">
        <f t="shared" si="6"/>
        <v>101.09299170433648</v>
      </c>
      <c r="Z26" s="2385"/>
      <c r="AA26" s="2285">
        <f>AA24/AA25</f>
        <v>202.18598340867297</v>
      </c>
      <c r="AB26" s="2268">
        <f t="shared" si="7"/>
        <v>101.09299170433648</v>
      </c>
      <c r="AC26" s="2113">
        <f t="shared" si="8"/>
        <v>45.487389393200353</v>
      </c>
      <c r="AD26" s="2114">
        <f t="shared" si="9"/>
        <v>-156.69859401547262</v>
      </c>
      <c r="AE26" s="2113">
        <f t="shared" si="10"/>
        <v>156.69859401547259</v>
      </c>
      <c r="AF26" s="2114">
        <f t="shared" si="11"/>
        <v>-45.487389393200374</v>
      </c>
      <c r="AG26" s="2113"/>
      <c r="AH26" s="2113"/>
      <c r="AI26" s="2114">
        <f>Z26+'2024 Калуга+область перекачка'!Z26+'2024 Калуга+область очистка'!Z26</f>
        <v>386.21964356957596</v>
      </c>
      <c r="AJ26" s="2114">
        <f>AA26+'2024 Калуга+область перекачка'!AA26+'2024 Калуга+область очистка'!AA26</f>
        <v>670.50113828570386</v>
      </c>
      <c r="AK26" s="2114">
        <f>AB26+'2024 Калуга+область перекачка'!AB26+'2024 Калуга+область очистка'!AB26</f>
        <v>528.36039092763986</v>
      </c>
      <c r="AL26" s="2114">
        <f>расчет_тарифа_К_!O27</f>
        <v>996.38726223839456</v>
      </c>
      <c r="AM26" s="2593">
        <f t="shared" si="12"/>
        <v>-325.8861239526907</v>
      </c>
    </row>
    <row r="27" spans="1:39" s="2218" customFormat="1" ht="21" customHeight="1">
      <c r="A27" s="2235">
        <v>6</v>
      </c>
      <c r="B27" s="2281" t="s">
        <v>1767</v>
      </c>
      <c r="C27" s="2282" t="s">
        <v>1768</v>
      </c>
      <c r="D27" s="2283" t="s">
        <v>1317</v>
      </c>
      <c r="E27" s="2284">
        <f>'[3]НВВ тран-ка'!K328</f>
        <v>68.473361778512356</v>
      </c>
      <c r="F27" s="2285">
        <f>'[3]НВВ тран-ка'!L328</f>
        <v>70.527562631867738</v>
      </c>
      <c r="G27" s="2257">
        <f t="shared" si="0"/>
        <v>69.500462205190047</v>
      </c>
      <c r="H27" s="2285">
        <f>'[3]НВВ тран-ка'!T328</f>
        <v>0.39827688118610727</v>
      </c>
      <c r="I27" s="2285">
        <f>'[3]НВВ тран-ка'!U328</f>
        <v>0.41261484890880684</v>
      </c>
      <c r="J27" s="2257">
        <f t="shared" si="1"/>
        <v>0.40544586504745705</v>
      </c>
      <c r="K27" s="2285">
        <f>'[3]НВВ тран-ка'!AC328</f>
        <v>56.181726054676489</v>
      </c>
      <c r="L27" s="2285">
        <f>'[3]НВВ тран-ка'!AD328</f>
        <v>58.597540275027569</v>
      </c>
      <c r="M27" s="2259">
        <f t="shared" si="2"/>
        <v>57.389633164852029</v>
      </c>
      <c r="N27" s="2284">
        <v>62.113392691529228</v>
      </c>
      <c r="O27" s="2285">
        <f>N27*1.072</f>
        <v>66.585556965319341</v>
      </c>
      <c r="P27" s="2259">
        <f t="shared" si="3"/>
        <v>64.349474828424292</v>
      </c>
      <c r="Q27" s="2284">
        <v>0</v>
      </c>
      <c r="R27" s="2285">
        <f>3.96254860891502*1.06*1.072</f>
        <v>4.5027232352823159</v>
      </c>
      <c r="S27" s="2259">
        <f t="shared" si="4"/>
        <v>2.2513616176411579</v>
      </c>
      <c r="T27" s="2385">
        <f t="shared" ref="T27:U30" si="13">N27+Q27</f>
        <v>62.113392691529228</v>
      </c>
      <c r="U27" s="2285">
        <f t="shared" si="13"/>
        <v>71.088280200601659</v>
      </c>
      <c r="V27" s="2268">
        <f t="shared" si="5"/>
        <v>66.600836446065443</v>
      </c>
      <c r="W27" s="2884">
        <f>T27/$T$272*$W$272</f>
        <v>13.974144163008075</v>
      </c>
      <c r="X27" s="2885">
        <f>U27/$T$272*$W$272</f>
        <v>15.993296015192481</v>
      </c>
      <c r="Y27" s="2268">
        <f t="shared" si="6"/>
        <v>14.983720089100277</v>
      </c>
      <c r="Z27" s="2884">
        <f t="shared" ref="Z27:AA30" si="14">T27/$T$272*$Z$272</f>
        <v>48.139248528521151</v>
      </c>
      <c r="AA27" s="2885">
        <f t="shared" si="14"/>
        <v>55.094984185409174</v>
      </c>
      <c r="AB27" s="2268">
        <f t="shared" si="7"/>
        <v>51.617116356965163</v>
      </c>
      <c r="AC27" s="2113">
        <f t="shared" si="8"/>
        <v>15.993296015192481</v>
      </c>
      <c r="AD27" s="2114">
        <f t="shared" si="9"/>
        <v>0</v>
      </c>
      <c r="AE27" s="2113">
        <f t="shared" si="10"/>
        <v>55.094984185409174</v>
      </c>
      <c r="AF27" s="2114">
        <f t="shared" si="11"/>
        <v>0</v>
      </c>
      <c r="AG27" s="2113"/>
      <c r="AH27" s="2113"/>
      <c r="AI27" s="2114">
        <f>Z27+'2024 Калуга+область перекачка'!Z27+'2024 Калуга+область очистка'!Z27</f>
        <v>50.812446910169164</v>
      </c>
      <c r="AJ27" s="2114">
        <f>AA27+'2024 Калуга+область перекачка'!AA27+'2024 Калуга+область очистка'!AA27</f>
        <v>130.03303715315226</v>
      </c>
      <c r="AK27" s="2114">
        <f>AB27+'2024 Калуга+область перекачка'!AB27+'2024 Калуга+область очистка'!AB27</f>
        <v>90.422742031660718</v>
      </c>
      <c r="AL27" s="2114">
        <f>расчет_тарифа_К_!O28</f>
        <v>130.03303715315226</v>
      </c>
      <c r="AM27" s="2593">
        <f t="shared" si="12"/>
        <v>0</v>
      </c>
    </row>
    <row r="28" spans="1:39" s="2218" customFormat="1" ht="39" customHeight="1">
      <c r="A28" s="2235">
        <v>7</v>
      </c>
      <c r="B28" s="2287" t="s">
        <v>1770</v>
      </c>
      <c r="C28" s="2288" t="s">
        <v>1771</v>
      </c>
      <c r="D28" s="2289" t="s">
        <v>1317</v>
      </c>
      <c r="E28" s="2290">
        <f>'[3]НВВ тран-ка'!K329</f>
        <v>3786.1751133004946</v>
      </c>
      <c r="F28" s="2291">
        <f>'[3]НВВ тран-ка'!L329</f>
        <v>3899.7603666995092</v>
      </c>
      <c r="G28" s="2257">
        <f t="shared" si="0"/>
        <v>3842.9677400000019</v>
      </c>
      <c r="H28" s="2291">
        <f>'[3]НВВ тран-ка'!T329</f>
        <v>4626.4338506876238</v>
      </c>
      <c r="I28" s="2291">
        <f>'[3]НВВ тран-ка'!U329</f>
        <v>4792.9854693123789</v>
      </c>
      <c r="J28" s="2257">
        <f t="shared" si="1"/>
        <v>4709.7096600000013</v>
      </c>
      <c r="K28" s="2291">
        <f>'[3]НВВ тран-ка'!AC329</f>
        <v>2898.0590895741543</v>
      </c>
      <c r="L28" s="2291">
        <f>'[3]НВВ тран-ка'!AD329</f>
        <v>3022.6756304258452</v>
      </c>
      <c r="M28" s="2259">
        <f t="shared" si="2"/>
        <v>2960.3673599999997</v>
      </c>
      <c r="N28" s="2291"/>
      <c r="O28" s="2291">
        <v>4827.4024756428635</v>
      </c>
      <c r="P28" s="2259">
        <f t="shared" si="3"/>
        <v>2413.7012378214317</v>
      </c>
      <c r="Q28" s="2290">
        <v>7193.4272445520619</v>
      </c>
      <c r="R28" s="2291">
        <f>8128.70763561/1.047*1.072</f>
        <v>8322.8028513600002</v>
      </c>
      <c r="S28" s="2259">
        <f t="shared" si="4"/>
        <v>7758.115047956031</v>
      </c>
      <c r="T28" s="2467">
        <f t="shared" si="13"/>
        <v>7193.4272445520619</v>
      </c>
      <c r="U28" s="2291">
        <f t="shared" si="13"/>
        <v>13150.205327002863</v>
      </c>
      <c r="V28" s="2268">
        <f t="shared" si="5"/>
        <v>10171.816285777462</v>
      </c>
      <c r="W28" s="2377">
        <f>T28/$T$272*$N$272</f>
        <v>1618.3625621723484</v>
      </c>
      <c r="X28" s="2256">
        <f>U28/$T$272*$N$272</f>
        <v>2958.5063228683625</v>
      </c>
      <c r="Y28" s="2268">
        <f t="shared" si="6"/>
        <v>2288.4344425203553</v>
      </c>
      <c r="Z28" s="2886">
        <f t="shared" si="14"/>
        <v>5575.0646823797133</v>
      </c>
      <c r="AA28" s="2887">
        <f t="shared" si="14"/>
        <v>10191.6990041345</v>
      </c>
      <c r="AB28" s="2268">
        <f t="shared" si="7"/>
        <v>7883.3818432571061</v>
      </c>
      <c r="AC28" s="2113">
        <f t="shared" si="8"/>
        <v>2958.5063228683625</v>
      </c>
      <c r="AD28" s="2114">
        <f t="shared" si="9"/>
        <v>0</v>
      </c>
      <c r="AE28" s="2113">
        <f t="shared" si="10"/>
        <v>10191.6990041345</v>
      </c>
      <c r="AF28" s="2114">
        <f t="shared" si="11"/>
        <v>0</v>
      </c>
      <c r="AG28" s="2113"/>
      <c r="AH28" s="2113"/>
      <c r="AI28" s="2114">
        <f>Z28+'2024 Калуга+область перекачка'!Z28+'2024 Калуга+область очистка'!Z28</f>
        <v>10799.932809107835</v>
      </c>
      <c r="AJ28" s="2114">
        <f>AA28+'2024 Калуга+область перекачка'!AA28+'2024 Калуга+область очистка'!AA28</f>
        <v>20326.04224452866</v>
      </c>
      <c r="AK28" s="2114">
        <f>AB28+'2024 Калуга+область перекачка'!AB28+'2024 Калуга+область очистка'!AB28</f>
        <v>15562.987526818248</v>
      </c>
      <c r="AL28" s="2114">
        <f>расчет_тарифа_К_!O29</f>
        <v>20326.04224452866</v>
      </c>
      <c r="AM28" s="2593">
        <f t="shared" si="12"/>
        <v>0</v>
      </c>
    </row>
    <row r="29" spans="1:39" s="2218" customFormat="1" ht="100.5" customHeight="1">
      <c r="A29" s="2235">
        <v>75</v>
      </c>
      <c r="B29" s="2281" t="s">
        <v>1773</v>
      </c>
      <c r="C29" s="2293" t="s">
        <v>1774</v>
      </c>
      <c r="D29" s="2283" t="s">
        <v>1317</v>
      </c>
      <c r="E29" s="2284">
        <f>'[3]НВВ тран-ка'!K330</f>
        <v>0</v>
      </c>
      <c r="F29" s="2285">
        <f>'[3]НВВ тран-ка'!L330</f>
        <v>0</v>
      </c>
      <c r="G29" s="2257">
        <f t="shared" si="0"/>
        <v>0</v>
      </c>
      <c r="H29" s="2285">
        <f>'[3]НВВ тран-ка'!T330</f>
        <v>0</v>
      </c>
      <c r="I29" s="2285">
        <f>'[3]НВВ тран-ка'!U330</f>
        <v>0</v>
      </c>
      <c r="J29" s="2257">
        <f t="shared" si="1"/>
        <v>0</v>
      </c>
      <c r="K29" s="2285">
        <f>'[3]НВВ тран-ка'!AC330</f>
        <v>0</v>
      </c>
      <c r="L29" s="2285">
        <f>'[3]НВВ тран-ка'!AD330</f>
        <v>0</v>
      </c>
      <c r="M29" s="2259">
        <f t="shared" si="2"/>
        <v>0</v>
      </c>
      <c r="N29" s="2284"/>
      <c r="O29" s="2285"/>
      <c r="P29" s="2259">
        <f t="shared" si="3"/>
        <v>0</v>
      </c>
      <c r="Q29" s="2294">
        <v>0</v>
      </c>
      <c r="R29" s="2296">
        <v>0</v>
      </c>
      <c r="S29" s="2259">
        <f t="shared" si="4"/>
        <v>0</v>
      </c>
      <c r="T29" s="2468">
        <f t="shared" si="13"/>
        <v>0</v>
      </c>
      <c r="U29" s="2296">
        <f t="shared" si="13"/>
        <v>0</v>
      </c>
      <c r="V29" s="2268">
        <f t="shared" si="5"/>
        <v>0</v>
      </c>
      <c r="W29" s="2884">
        <f>T29/$T$272*$W$272</f>
        <v>0</v>
      </c>
      <c r="X29" s="2885">
        <f>U29/$T$272*$W$272</f>
        <v>0</v>
      </c>
      <c r="Y29" s="2268">
        <f t="shared" si="6"/>
        <v>0</v>
      </c>
      <c r="Z29" s="2884">
        <f t="shared" si="14"/>
        <v>0</v>
      </c>
      <c r="AA29" s="2885">
        <f t="shared" si="14"/>
        <v>0</v>
      </c>
      <c r="AB29" s="2268">
        <f t="shared" si="7"/>
        <v>0</v>
      </c>
      <c r="AC29" s="2113">
        <f t="shared" si="8"/>
        <v>0</v>
      </c>
      <c r="AD29" s="2114">
        <f t="shared" si="9"/>
        <v>0</v>
      </c>
      <c r="AE29" s="2113">
        <f t="shared" si="10"/>
        <v>0</v>
      </c>
      <c r="AF29" s="2114">
        <f t="shared" si="11"/>
        <v>0</v>
      </c>
      <c r="AG29" s="2113"/>
      <c r="AH29" s="2113"/>
      <c r="AI29" s="2114">
        <f>Z29+'2024 Калуга+область перекачка'!Z29+'2024 Калуга+область очистка'!Z29</f>
        <v>0</v>
      </c>
      <c r="AJ29" s="2114">
        <f>AA29+'2024 Калуга+область перекачка'!AA29+'2024 Калуга+область очистка'!AA29</f>
        <v>0</v>
      </c>
      <c r="AK29" s="2114">
        <f>AB29+'2024 Калуга+область перекачка'!AB29+'2024 Калуга+область очистка'!AB29</f>
        <v>0</v>
      </c>
      <c r="AL29" s="2114">
        <f>расчет_тарифа_К_!O30</f>
        <v>0</v>
      </c>
      <c r="AM29" s="2593">
        <f t="shared" si="12"/>
        <v>0</v>
      </c>
    </row>
    <row r="30" spans="1:39" s="2218" customFormat="1" ht="68.25" customHeight="1">
      <c r="A30" s="2235">
        <v>76</v>
      </c>
      <c r="B30" s="2279" t="s">
        <v>1776</v>
      </c>
      <c r="C30" s="2295" t="s">
        <v>1777</v>
      </c>
      <c r="D30" s="2254" t="s">
        <v>1317</v>
      </c>
      <c r="E30" s="2255">
        <f>E31+E41</f>
        <v>15958.77361693851</v>
      </c>
      <c r="F30" s="2256">
        <f>F31+F41</f>
        <v>16943.285833731588</v>
      </c>
      <c r="G30" s="2257">
        <f t="shared" si="0"/>
        <v>16451.029725335051</v>
      </c>
      <c r="H30" s="2256">
        <f>H31+H41</f>
        <v>15635.528042556261</v>
      </c>
      <c r="I30" s="2256">
        <f>I31+I41</f>
        <v>16119.857700311972</v>
      </c>
      <c r="J30" s="2257">
        <f t="shared" si="1"/>
        <v>15877.692871434116</v>
      </c>
      <c r="K30" s="2256">
        <f>K31+K41</f>
        <v>15818.954066703744</v>
      </c>
      <c r="L30" s="2256">
        <f>L31+L41</f>
        <v>16624.535082535083</v>
      </c>
      <c r="M30" s="2259">
        <f t="shared" si="2"/>
        <v>16221.744574619413</v>
      </c>
      <c r="N30" s="2256">
        <f>N31+N41</f>
        <v>17760.234564725222</v>
      </c>
      <c r="O30" s="2256">
        <f>O31+O41</f>
        <v>19038.971453385442</v>
      </c>
      <c r="P30" s="2259">
        <f t="shared" si="3"/>
        <v>18399.603009055332</v>
      </c>
      <c r="Q30" s="2256">
        <f>Q31+Q41</f>
        <v>22553.552969393182</v>
      </c>
      <c r="R30" s="2256">
        <f>R31+R41</f>
        <v>24177.408783189494</v>
      </c>
      <c r="S30" s="2259">
        <f t="shared" si="4"/>
        <v>23365.480876291338</v>
      </c>
      <c r="T30" s="2467">
        <f>N30+Q30</f>
        <v>40313.787534118404</v>
      </c>
      <c r="U30" s="2291">
        <f t="shared" si="13"/>
        <v>43216.380236574936</v>
      </c>
      <c r="V30" s="2268">
        <f t="shared" si="5"/>
        <v>41765.08388534667</v>
      </c>
      <c r="W30" s="2377">
        <f>T30/$T$272*$N$272</f>
        <v>9069.7135407880542</v>
      </c>
      <c r="X30" s="2256">
        <f>U30/$T$272*$N$272</f>
        <v>9722.7329157247968</v>
      </c>
      <c r="Y30" s="2268">
        <f t="shared" si="6"/>
        <v>9396.2232282564255</v>
      </c>
      <c r="Z30" s="2886">
        <f t="shared" si="14"/>
        <v>31244.073993330348</v>
      </c>
      <c r="AA30" s="2887">
        <f t="shared" si="14"/>
        <v>33493.647320850141</v>
      </c>
      <c r="AB30" s="2268">
        <f t="shared" si="7"/>
        <v>32368.860657090245</v>
      </c>
      <c r="AC30" s="2113">
        <f t="shared" si="8"/>
        <v>9722.7329157247968</v>
      </c>
      <c r="AD30" s="2114">
        <f t="shared" si="9"/>
        <v>0</v>
      </c>
      <c r="AE30" s="2113"/>
      <c r="AF30" s="2114"/>
      <c r="AG30" s="2113"/>
      <c r="AH30" s="2113"/>
      <c r="AI30" s="2114">
        <f>Z30+'2024 Калуга+область перекачка'!Z30+'2024 Калуга+область очистка'!Z30</f>
        <v>45259.175118839943</v>
      </c>
      <c r="AJ30" s="2114">
        <f>AA30+'2024 Калуга+область перекачка'!AA30+'2024 Калуга+область очистка'!AA30</f>
        <v>116263.14974008099</v>
      </c>
      <c r="AK30" s="2114">
        <f>AB30+'2024 Калуга+область перекачка'!AB30+'2024 Калуга+область очистка'!AB30</f>
        <v>80761.16242946047</v>
      </c>
      <c r="AL30" s="2114">
        <f>расчет_тарифа_К_!O31</f>
        <v>116263.14378372827</v>
      </c>
      <c r="AM30" s="2593">
        <f t="shared" si="12"/>
        <v>5.9563527174759656E-3</v>
      </c>
    </row>
    <row r="31" spans="1:39" s="2218" customFormat="1" ht="38.25" customHeight="1">
      <c r="A31" s="2235">
        <v>77</v>
      </c>
      <c r="B31" s="2279" t="s">
        <v>1778</v>
      </c>
      <c r="C31" s="2280" t="s">
        <v>1779</v>
      </c>
      <c r="D31" s="2254" t="s">
        <v>1317</v>
      </c>
      <c r="E31" s="2255">
        <f>E32*E40*12/1000</f>
        <v>12217.964917431122</v>
      </c>
      <c r="F31" s="2256">
        <f>F32*F40*12/1000</f>
        <v>13090.252873238978</v>
      </c>
      <c r="G31" s="2257">
        <f t="shared" si="0"/>
        <v>12654.10889533505</v>
      </c>
      <c r="H31" s="2256">
        <f>H32*H40*12/1000</f>
        <v>12054.113411350183</v>
      </c>
      <c r="I31" s="2256">
        <f>I32*I40*12/1000</f>
        <v>12458.930634554688</v>
      </c>
      <c r="J31" s="2257">
        <f t="shared" si="1"/>
        <v>12256.522022952435</v>
      </c>
      <c r="K31" s="2256">
        <f>K32*K40*12/1000</f>
        <v>12274.720216401163</v>
      </c>
      <c r="L31" s="2256">
        <f>L32*L40*12/1000</f>
        <v>12868.616181727113</v>
      </c>
      <c r="M31" s="2259">
        <f t="shared" si="2"/>
        <v>12571.668199064137</v>
      </c>
      <c r="N31" s="2256">
        <f>N32*N40*12/1000</f>
        <v>13640.733152630741</v>
      </c>
      <c r="O31" s="2256">
        <f>O32*O40*12/1000</f>
        <v>14622.865939620155</v>
      </c>
      <c r="P31" s="2259">
        <f t="shared" si="3"/>
        <v>14131.799546125447</v>
      </c>
      <c r="Q31" s="2256">
        <f>Q32*Q40*12/1000</f>
        <v>17322.237303681399</v>
      </c>
      <c r="R31" s="2256">
        <f>R32*R40*12/1000</f>
        <v>18569.438389546463</v>
      </c>
      <c r="S31" s="2259">
        <f t="shared" si="4"/>
        <v>17945.837846613933</v>
      </c>
      <c r="T31" s="2256">
        <f>T32*T40*12/1000</f>
        <v>30962.970299444307</v>
      </c>
      <c r="U31" s="2256">
        <f>U32*U40*12/1000</f>
        <v>33192.304290604276</v>
      </c>
      <c r="V31" s="2268">
        <f t="shared" si="5"/>
        <v>32077.637295024291</v>
      </c>
      <c r="W31" s="2256">
        <f>W32*W40*12/1000</f>
        <v>6965.9857871260556</v>
      </c>
      <c r="X31" s="2256">
        <f>X32*X40*12/1000</f>
        <v>7467.5367929562708</v>
      </c>
      <c r="Y31" s="2268">
        <f t="shared" si="6"/>
        <v>7216.7612900411632</v>
      </c>
      <c r="Z31" s="2256">
        <f>Z32*Z40*12/1000</f>
        <v>23996.984512318246</v>
      </c>
      <c r="AA31" s="2256">
        <f>AA32*AA40*12/1000</f>
        <v>25724.767497648005</v>
      </c>
      <c r="AB31" s="2268">
        <f t="shared" si="7"/>
        <v>24860.876004983125</v>
      </c>
      <c r="AC31" s="2113">
        <f t="shared" si="8"/>
        <v>7467.5367929562708</v>
      </c>
      <c r="AD31" s="2114">
        <f t="shared" si="9"/>
        <v>0</v>
      </c>
      <c r="AE31" s="2114"/>
      <c r="AF31" s="2114"/>
      <c r="AG31" s="2113"/>
      <c r="AH31" s="2113">
        <v>7293.3871560715006</v>
      </c>
      <c r="AI31" s="2114">
        <f>Z31+'2024 Калуга+область перекачка'!Z31+'2024 Калуга+область очистка'!Z31</f>
        <v>34761.272063523931</v>
      </c>
      <c r="AJ31" s="2114">
        <f>AA31+'2024 Калуга+область перекачка'!AA31+'2024 Калуга+область очистка'!AA31</f>
        <v>89295.804849220629</v>
      </c>
      <c r="AK31" s="2114">
        <f>AB31+'2024 Калуга+область перекачка'!AB31+'2024 Калуга+область очистка'!AB31</f>
        <v>62028.538456372276</v>
      </c>
      <c r="AL31" s="2114">
        <f>расчет_тарифа_К_!O32</f>
        <v>89295.80797612117</v>
      </c>
      <c r="AM31" s="2593">
        <f t="shared" si="12"/>
        <v>-3.1269005412468687E-3</v>
      </c>
    </row>
    <row r="32" spans="1:39" s="2218" customFormat="1" ht="30.75" customHeight="1">
      <c r="A32" s="2235">
        <v>441</v>
      </c>
      <c r="B32" s="2279" t="s">
        <v>1780</v>
      </c>
      <c r="C32" s="2280" t="s">
        <v>1781</v>
      </c>
      <c r="D32" s="2254"/>
      <c r="E32" s="2255">
        <f>E33+E34+E37+E38+E39</f>
        <v>20903.276163269671</v>
      </c>
      <c r="F32" s="2256">
        <f>F33+F34+F37+F38+F39</f>
        <v>22395.642212555998</v>
      </c>
      <c r="G32" s="2257">
        <f t="shared" si="0"/>
        <v>21649.459187912835</v>
      </c>
      <c r="H32" s="2256">
        <f>H33+H34+H37+H38+H39</f>
        <v>25112.736273646216</v>
      </c>
      <c r="I32" s="2256">
        <f>I33+I34+I37+I38+I39</f>
        <v>25956.105488655601</v>
      </c>
      <c r="J32" s="2257">
        <f t="shared" si="1"/>
        <v>25534.420881150909</v>
      </c>
      <c r="K32" s="2256">
        <f>K33+K34+K37+K38+K39</f>
        <v>31965.417230211366</v>
      </c>
      <c r="L32" s="2256">
        <f>L33+L34+L37+L38+L39</f>
        <v>33512.021306581024</v>
      </c>
      <c r="M32" s="2259">
        <f t="shared" si="2"/>
        <v>32738.719268396195</v>
      </c>
      <c r="N32" s="2256">
        <f>N33+N34+N37+N38+N39</f>
        <v>35522.742584975887</v>
      </c>
      <c r="O32" s="2256">
        <f>O33+O34+O37+O38+O39</f>
        <v>38080.380051094151</v>
      </c>
      <c r="P32" s="2259">
        <f t="shared" si="3"/>
        <v>36801.561318035019</v>
      </c>
      <c r="Q32" s="2256">
        <f>Q33+Q34+Q37+Q38+Q39</f>
        <v>33570.227332715891</v>
      </c>
      <c r="R32" s="2256">
        <f>R33+R34+R37+R38+R39</f>
        <v>35987.28370067144</v>
      </c>
      <c r="S32" s="2259">
        <f t="shared" si="4"/>
        <v>34778.755516693665</v>
      </c>
      <c r="T32" s="2256">
        <f>T33+T34+T37+T38+T39</f>
        <v>34403.300332715895</v>
      </c>
      <c r="U32" s="2256">
        <f>U33+U34+U37+U38+U39</f>
        <v>36880.338100671419</v>
      </c>
      <c r="V32" s="2268">
        <f t="shared" si="5"/>
        <v>35641.819216693657</v>
      </c>
      <c r="W32" s="2256">
        <f>W33+W34+W37+W38+W39</f>
        <v>34403.300332715895</v>
      </c>
      <c r="X32" s="2256">
        <f>X33+X34+X37+X38+X39</f>
        <v>36880.338100671419</v>
      </c>
      <c r="Y32" s="2268">
        <f t="shared" si="6"/>
        <v>35641.819216693657</v>
      </c>
      <c r="Z32" s="2256">
        <f>Z33+Z34+Z37+Z38+Z39</f>
        <v>34403.300332715895</v>
      </c>
      <c r="AA32" s="2256">
        <f>AA33+AA34+AA37+AA38+AA39</f>
        <v>36880.338100671419</v>
      </c>
      <c r="AB32" s="2268">
        <f t="shared" si="7"/>
        <v>35641.819216693657</v>
      </c>
      <c r="AC32" s="2113">
        <f t="shared" si="8"/>
        <v>8297.2631032847457</v>
      </c>
      <c r="AD32" s="2114">
        <f t="shared" si="9"/>
        <v>-28583.074997386673</v>
      </c>
      <c r="AE32" s="2113"/>
      <c r="AF32" s="2113"/>
      <c r="AG32" s="2114"/>
      <c r="AH32" s="2114">
        <f>AH31-X31</f>
        <v>-174.14963688477019</v>
      </c>
      <c r="AI32" s="2114">
        <f>Z32+'2024 Калуга+область перекачка'!Z32+'2024 Калуга+область очистка'!Z32</f>
        <v>82788.750225101714</v>
      </c>
      <c r="AJ32" s="2114">
        <f>AA32+'2024 Калуга+область перекачка'!AA32+'2024 Калуга+область очистка'!AA32</f>
        <v>87253.626743106477</v>
      </c>
      <c r="AK32" s="2114">
        <f>AB32+'2024 Калуга+область перекачка'!AB32+'2024 Калуга+область очистка'!AB32</f>
        <v>85021.188484104088</v>
      </c>
      <c r="AL32" s="2114">
        <f>расчет_тарифа_К_!O33</f>
        <v>0</v>
      </c>
      <c r="AM32" s="2593">
        <f t="shared" si="12"/>
        <v>87253.626743106477</v>
      </c>
    </row>
    <row r="33" spans="1:39" s="2218" customFormat="1" ht="21" customHeight="1">
      <c r="A33" s="2235">
        <v>304</v>
      </c>
      <c r="B33" s="2281" t="s">
        <v>1782</v>
      </c>
      <c r="C33" s="2282" t="s">
        <v>1783</v>
      </c>
      <c r="D33" s="2283" t="s">
        <v>1784</v>
      </c>
      <c r="E33" s="2284"/>
      <c r="F33" s="2285"/>
      <c r="G33" s="2257">
        <f t="shared" si="0"/>
        <v>0</v>
      </c>
      <c r="H33" s="2285"/>
      <c r="I33" s="2285"/>
      <c r="J33" s="2257">
        <f t="shared" si="1"/>
        <v>0</v>
      </c>
      <c r="K33" s="2285"/>
      <c r="L33" s="2285"/>
      <c r="M33" s="2259">
        <f t="shared" si="2"/>
        <v>0</v>
      </c>
      <c r="N33" s="2285"/>
      <c r="O33" s="2285"/>
      <c r="P33" s="2259">
        <f t="shared" si="3"/>
        <v>0</v>
      </c>
      <c r="Q33" s="2285"/>
      <c r="R33" s="2285"/>
      <c r="S33" s="2259">
        <f t="shared" si="4"/>
        <v>0</v>
      </c>
      <c r="T33" s="2284">
        <v>0</v>
      </c>
      <c r="U33" s="2285">
        <v>0</v>
      </c>
      <c r="V33" s="2268">
        <f t="shared" si="5"/>
        <v>0</v>
      </c>
      <c r="W33" s="2284">
        <v>0</v>
      </c>
      <c r="X33" s="2285">
        <v>0</v>
      </c>
      <c r="Y33" s="2268">
        <f t="shared" si="6"/>
        <v>0</v>
      </c>
      <c r="Z33" s="2284">
        <v>0</v>
      </c>
      <c r="AA33" s="2285">
        <v>0</v>
      </c>
      <c r="AB33" s="2268">
        <f t="shared" si="7"/>
        <v>0</v>
      </c>
      <c r="AC33" s="2113">
        <f t="shared" si="8"/>
        <v>0</v>
      </c>
      <c r="AD33" s="2114">
        <f t="shared" si="9"/>
        <v>0</v>
      </c>
      <c r="AE33" s="2113"/>
      <c r="AF33" s="2114"/>
      <c r="AG33" s="2113"/>
      <c r="AH33" s="2113">
        <f>AH32/12/X40*1000</f>
        <v>-860.08246982829337</v>
      </c>
      <c r="AI33" s="2114">
        <f>Z33+'2024 Калуга+область перекачка'!Z33+'2024 Калуга+область очистка'!Z33</f>
        <v>0</v>
      </c>
      <c r="AJ33" s="2114">
        <f>AA33+'2024 Калуга+область перекачка'!AA33+'2024 Калуга+область очистка'!AA33</f>
        <v>0</v>
      </c>
      <c r="AK33" s="2114">
        <f>AB33+'2024 Калуга+область перекачка'!AB33+'2024 Калуга+область очистка'!AB33</f>
        <v>0</v>
      </c>
      <c r="AL33" s="2114">
        <f>расчет_тарифа_К_!O34</f>
        <v>0</v>
      </c>
      <c r="AM33" s="2593">
        <f t="shared" si="12"/>
        <v>0</v>
      </c>
    </row>
    <row r="34" spans="1:39" s="2218" customFormat="1" ht="21" customHeight="1">
      <c r="A34" s="2235">
        <v>442</v>
      </c>
      <c r="B34" s="2279" t="s">
        <v>1785</v>
      </c>
      <c r="C34" s="2280" t="s">
        <v>1786</v>
      </c>
      <c r="D34" s="2254"/>
      <c r="E34" s="2255">
        <f>E35*E36</f>
        <v>9236.4903225806447</v>
      </c>
      <c r="F34" s="2256">
        <f>F35*F36</f>
        <v>9615.6</v>
      </c>
      <c r="G34" s="2257">
        <f t="shared" si="0"/>
        <v>9426.0451612903234</v>
      </c>
      <c r="H34" s="2256">
        <f>H35*H36</f>
        <v>9653.4</v>
      </c>
      <c r="I34" s="2256">
        <f>I35*I36</f>
        <v>9947.5</v>
      </c>
      <c r="J34" s="2257">
        <f t="shared" si="1"/>
        <v>9800.4500000000007</v>
      </c>
      <c r="K34" s="2256">
        <f>K35*K36</f>
        <v>9956.9090909090901</v>
      </c>
      <c r="L34" s="2256">
        <f>L35*L36</f>
        <v>10459.083636363637</v>
      </c>
      <c r="M34" s="2259">
        <f t="shared" si="2"/>
        <v>10207.996363636365</v>
      </c>
      <c r="N34" s="2256">
        <f>N35*N36</f>
        <v>11086.628654545455</v>
      </c>
      <c r="O34" s="2256">
        <f>O35*O36</f>
        <v>11884.865917672729</v>
      </c>
      <c r="P34" s="2259">
        <f t="shared" si="3"/>
        <v>11485.747286109092</v>
      </c>
      <c r="Q34" s="2256">
        <f>Q35*Q36</f>
        <v>11086.628654545455</v>
      </c>
      <c r="R34" s="2256">
        <f>R35*R36</f>
        <v>11884.865917672729</v>
      </c>
      <c r="S34" s="2259">
        <f t="shared" si="4"/>
        <v>11485.747286109092</v>
      </c>
      <c r="T34" s="2256">
        <f>T35*T36</f>
        <v>11086.628654545455</v>
      </c>
      <c r="U34" s="2256">
        <f>U35*U36</f>
        <v>11884.865917672729</v>
      </c>
      <c r="V34" s="2268">
        <f t="shared" si="5"/>
        <v>11485.747286109092</v>
      </c>
      <c r="W34" s="2256">
        <f>W35*W36</f>
        <v>11086.628654545455</v>
      </c>
      <c r="X34" s="2256">
        <f>X35*X36</f>
        <v>11884.865917672729</v>
      </c>
      <c r="Y34" s="2268">
        <f t="shared" si="6"/>
        <v>11485.747286109092</v>
      </c>
      <c r="Z34" s="2256">
        <f>Z35*Z36</f>
        <v>11086.628654545455</v>
      </c>
      <c r="AA34" s="2256">
        <f>AA35*AA36</f>
        <v>11884.865917672729</v>
      </c>
      <c r="AB34" s="2268">
        <f t="shared" si="7"/>
        <v>11485.747286109092</v>
      </c>
      <c r="AC34" s="2113">
        <f t="shared" si="8"/>
        <v>2673.8328481971553</v>
      </c>
      <c r="AD34" s="2114">
        <f t="shared" si="9"/>
        <v>-9211.0330694755739</v>
      </c>
      <c r="AE34" s="2113"/>
      <c r="AF34" s="2114"/>
      <c r="AG34" s="2113"/>
      <c r="AH34" s="2113"/>
      <c r="AI34" s="2114">
        <f>Z34+'2024 Калуга+область перекачка'!Z34+'2024 Калуга+область очистка'!Z34</f>
        <v>30246.304487576312</v>
      </c>
      <c r="AJ34" s="2114">
        <f>AA34+'2024 Калуга+область перекачка'!AA34+'2024 Калуга+область очистка'!AA34</f>
        <v>32424.038410681806</v>
      </c>
      <c r="AK34" s="2114">
        <f>AB34+'2024 Калуга+область перекачка'!AB34+'2024 Калуга+область очистка'!AB34</f>
        <v>31335.171449129055</v>
      </c>
      <c r="AL34" s="2114">
        <f>расчет_тарифа_К_!O35</f>
        <v>0</v>
      </c>
      <c r="AM34" s="2593">
        <f t="shared" si="12"/>
        <v>32424.038410681806</v>
      </c>
    </row>
    <row r="35" spans="1:39" s="2218" customFormat="1" ht="21" customHeight="1">
      <c r="A35" s="2235">
        <v>82</v>
      </c>
      <c r="B35" s="2281" t="s">
        <v>1787</v>
      </c>
      <c r="C35" s="2282" t="s">
        <v>1788</v>
      </c>
      <c r="D35" s="2283" t="s">
        <v>1784</v>
      </c>
      <c r="E35" s="2284">
        <f>'[3]НВВ тран-ка'!K336</f>
        <v>5360</v>
      </c>
      <c r="F35" s="2285">
        <f>'[3]НВВ тран-ка'!L336</f>
        <v>5580</v>
      </c>
      <c r="G35" s="2257">
        <f t="shared" si="0"/>
        <v>5470</v>
      </c>
      <c r="H35" s="2285">
        <f>'[3]НВВ тран-ка'!T336</f>
        <v>5580</v>
      </c>
      <c r="I35" s="2285">
        <f>'[3]НВВ тран-ка'!U336</f>
        <v>5750</v>
      </c>
      <c r="J35" s="2257">
        <f t="shared" si="1"/>
        <v>5665</v>
      </c>
      <c r="K35" s="2285">
        <f>'[3]НВВ тран-ка'!AC336</f>
        <v>5750</v>
      </c>
      <c r="L35" s="2285">
        <f>'[3]НВВ тран-ка'!AD336</f>
        <v>6040</v>
      </c>
      <c r="M35" s="2259">
        <f t="shared" si="2"/>
        <v>5895</v>
      </c>
      <c r="N35" s="2284">
        <v>6402.4000000000005</v>
      </c>
      <c r="O35" s="2285">
        <f>N35*1.072</f>
        <v>6863.372800000001</v>
      </c>
      <c r="P35" s="2259">
        <f t="shared" si="3"/>
        <v>6632.8864000000012</v>
      </c>
      <c r="Q35" s="2284">
        <v>6402.4000000000005</v>
      </c>
      <c r="R35" s="2285">
        <f>Q35*1.072</f>
        <v>6863.372800000001</v>
      </c>
      <c r="S35" s="2259">
        <f t="shared" si="4"/>
        <v>6632.8864000000012</v>
      </c>
      <c r="T35" s="2284">
        <f>Q35</f>
        <v>6402.4000000000005</v>
      </c>
      <c r="U35" s="2284">
        <f>R35</f>
        <v>6863.372800000001</v>
      </c>
      <c r="V35" s="2268">
        <f t="shared" si="5"/>
        <v>6632.8864000000012</v>
      </c>
      <c r="W35" s="2284">
        <f>T35</f>
        <v>6402.4000000000005</v>
      </c>
      <c r="X35" s="2284">
        <f>U35</f>
        <v>6863.372800000001</v>
      </c>
      <c r="Y35" s="2268">
        <f t="shared" si="6"/>
        <v>6632.8864000000012</v>
      </c>
      <c r="Z35" s="2284">
        <f>W35</f>
        <v>6402.4000000000005</v>
      </c>
      <c r="AA35" s="2284">
        <f>X35</f>
        <v>6863.372800000001</v>
      </c>
      <c r="AB35" s="2268">
        <f t="shared" si="7"/>
        <v>6632.8864000000012</v>
      </c>
      <c r="AC35" s="2113">
        <f t="shared" si="8"/>
        <v>1544.1075876821037</v>
      </c>
      <c r="AD35" s="2114">
        <f t="shared" si="9"/>
        <v>-5319.2652123178977</v>
      </c>
      <c r="AE35" s="2113"/>
      <c r="AF35" s="2114"/>
      <c r="AG35" s="2113"/>
      <c r="AH35" s="2113"/>
      <c r="AI35" s="2114">
        <f>Z35+'2024 Калуга+область перекачка'!Z35+'2024 Калуга+область очистка'!Z35</f>
        <v>19207.2</v>
      </c>
      <c r="AJ35" s="2114">
        <f>AA35+'2024 Калуга+область перекачка'!AA35+'2024 Калуга+область очистка'!AA35</f>
        <v>20590.118400000003</v>
      </c>
      <c r="AK35" s="2114">
        <f>AB35+'2024 Калуга+область перекачка'!AB35+'2024 Калуга+область очистка'!AB35</f>
        <v>19898.659200000002</v>
      </c>
      <c r="AL35" s="2114">
        <f>расчет_тарифа_К_!O36</f>
        <v>0</v>
      </c>
      <c r="AM35" s="2593">
        <f t="shared" si="12"/>
        <v>20590.118400000003</v>
      </c>
    </row>
    <row r="36" spans="1:39" s="2218" customFormat="1" ht="21" customHeight="1">
      <c r="A36" s="2235">
        <v>85</v>
      </c>
      <c r="B36" s="2281" t="s">
        <v>1789</v>
      </c>
      <c r="C36" s="2282" t="s">
        <v>1790</v>
      </c>
      <c r="D36" s="2283"/>
      <c r="E36" s="2284">
        <f>'[3]НВВ тран-ка'!K337</f>
        <v>1.7232258064516128</v>
      </c>
      <c r="F36" s="2285">
        <f>'[3]НВВ тран-ка'!L337</f>
        <v>1.7232258064516128</v>
      </c>
      <c r="G36" s="2257">
        <f t="shared" si="0"/>
        <v>1.7232258064516128</v>
      </c>
      <c r="H36" s="2285">
        <f>'[3]НВВ тран-ка'!T337</f>
        <v>1.73</v>
      </c>
      <c r="I36" s="2285">
        <f>'[3]НВВ тран-ка'!U337</f>
        <v>1.73</v>
      </c>
      <c r="J36" s="2257">
        <f t="shared" si="1"/>
        <v>1.73</v>
      </c>
      <c r="K36" s="2285">
        <f>'[3]НВВ тран-ка'!AC337</f>
        <v>1.7316363636363636</v>
      </c>
      <c r="L36" s="2285">
        <f>'[3]НВВ тран-ка'!AD337</f>
        <v>1.7316363636363636</v>
      </c>
      <c r="M36" s="2259">
        <f t="shared" si="2"/>
        <v>1.7316363636363636</v>
      </c>
      <c r="N36" s="2284">
        <v>1.7316363636363636</v>
      </c>
      <c r="O36" s="2285">
        <v>1.7316363636363636</v>
      </c>
      <c r="P36" s="2259">
        <f t="shared" si="3"/>
        <v>1.7316363636363636</v>
      </c>
      <c r="Q36" s="2284">
        <v>1.7316363636363636</v>
      </c>
      <c r="R36" s="2285">
        <v>1.7316363636363636</v>
      </c>
      <c r="S36" s="2259">
        <f t="shared" si="4"/>
        <v>1.7316363636363636</v>
      </c>
      <c r="T36" s="2385">
        <v>1.7316363636363636</v>
      </c>
      <c r="U36" s="2285">
        <v>1.7316363636363636</v>
      </c>
      <c r="V36" s="2268">
        <f t="shared" si="5"/>
        <v>1.7316363636363636</v>
      </c>
      <c r="W36" s="2385">
        <v>1.7316363636363636</v>
      </c>
      <c r="X36" s="2285">
        <v>1.7316363636363636</v>
      </c>
      <c r="Y36" s="2268">
        <f t="shared" si="6"/>
        <v>1.7316363636363636</v>
      </c>
      <c r="Z36" s="2385">
        <v>1.7316363636363636</v>
      </c>
      <c r="AA36" s="2285">
        <v>1.7316363636363636</v>
      </c>
      <c r="AB36" s="2268">
        <f t="shared" si="7"/>
        <v>1.7316363636363636</v>
      </c>
      <c r="AC36" s="2113">
        <f t="shared" si="8"/>
        <v>0.38958001060311848</v>
      </c>
      <c r="AD36" s="2114">
        <f t="shared" si="9"/>
        <v>-1.3420563530332452</v>
      </c>
      <c r="AE36" s="2113"/>
      <c r="AF36" s="2114"/>
      <c r="AG36" s="2113"/>
      <c r="AH36" s="2113"/>
      <c r="AI36" s="2114">
        <f>Z36+'2024 Калуга+область перекачка'!Z36+'2024 Калуга+область очистка'!Z36</f>
        <v>4.7242134961227524</v>
      </c>
      <c r="AJ36" s="2114">
        <f>AA36+'2024 Калуга+область перекачка'!AA36+'2024 Калуга+область очистка'!AA36</f>
        <v>4.7242134961227524</v>
      </c>
      <c r="AK36" s="2114">
        <f>AB36+'2024 Калуга+область перекачка'!AB36+'2024 Калуга+область очистка'!AB36</f>
        <v>4.7242134961227524</v>
      </c>
      <c r="AL36" s="2114">
        <f>расчет_тарифа_К_!O37</f>
        <v>0</v>
      </c>
      <c r="AM36" s="2593">
        <f t="shared" si="12"/>
        <v>4.7242134961227524</v>
      </c>
    </row>
    <row r="37" spans="1:39" s="2218" customFormat="1" ht="37.5" customHeight="1">
      <c r="A37" s="2235">
        <v>457</v>
      </c>
      <c r="B37" s="2281" t="s">
        <v>1791</v>
      </c>
      <c r="C37" s="2282" t="s">
        <v>1792</v>
      </c>
      <c r="D37" s="2283" t="s">
        <v>1793</v>
      </c>
      <c r="E37" s="2284">
        <f>'[3]НВВ тран-ка'!K338</f>
        <v>7400.2403687096721</v>
      </c>
      <c r="F37" s="2285">
        <f>'[3]НВВ тран-ка'!L338</f>
        <v>8338.3773368760012</v>
      </c>
      <c r="G37" s="2257">
        <f t="shared" si="0"/>
        <v>7869.3088527928367</v>
      </c>
      <c r="H37" s="2285">
        <f>'[3]НВВ тран-ка'!T338</f>
        <v>8593.3832650690911</v>
      </c>
      <c r="I37" s="2285">
        <f>'[3]НВВ тран-ка'!U338</f>
        <v>8849.1194898211634</v>
      </c>
      <c r="J37" s="2257">
        <f t="shared" si="1"/>
        <v>8721.2513774451272</v>
      </c>
      <c r="K37" s="2285">
        <f>'[3]НВВ тран-ка'!AC338</f>
        <v>10086.460702818182</v>
      </c>
      <c r="L37" s="2285">
        <f>'[3]НВВ тран-ка'!AD338</f>
        <v>10534.787861909092</v>
      </c>
      <c r="M37" s="2259">
        <f t="shared" si="2"/>
        <v>10310.624282363637</v>
      </c>
      <c r="N37" s="2284">
        <v>11166.875133623638</v>
      </c>
      <c r="O37" s="2285">
        <f>N37*1.072</f>
        <v>11970.89014324454</v>
      </c>
      <c r="P37" s="2259">
        <f t="shared" si="3"/>
        <v>11568.88263843409</v>
      </c>
      <c r="Q37" s="2284">
        <v>9979.7625613636374</v>
      </c>
      <c r="R37" s="2285">
        <f>Q37*1.072</f>
        <v>10698.305465781819</v>
      </c>
      <c r="S37" s="2259">
        <f t="shared" si="4"/>
        <v>10339.034013572727</v>
      </c>
      <c r="T37" s="2385">
        <f>9979.76256136364+833.073</f>
        <v>10812.835561363639</v>
      </c>
      <c r="U37" s="2285">
        <f>10698.3054657818+893.0544</f>
        <v>11591.3598657818</v>
      </c>
      <c r="V37" s="2268">
        <f t="shared" si="5"/>
        <v>11202.097713572719</v>
      </c>
      <c r="W37" s="2884">
        <v>10812.835561363639</v>
      </c>
      <c r="X37" s="2885">
        <v>11591.3598657818</v>
      </c>
      <c r="Y37" s="2268">
        <f t="shared" si="6"/>
        <v>11202.097713572719</v>
      </c>
      <c r="Z37" s="2884">
        <v>10812.835561363639</v>
      </c>
      <c r="AA37" s="2885">
        <v>11591.3598657818</v>
      </c>
      <c r="AB37" s="2268">
        <f t="shared" si="7"/>
        <v>11202.097713572719</v>
      </c>
      <c r="AC37" s="2113">
        <f t="shared" si="8"/>
        <v>2607.8004564035173</v>
      </c>
      <c r="AD37" s="2114">
        <f t="shared" si="9"/>
        <v>-8983.559409378282</v>
      </c>
      <c r="AE37" s="2113"/>
      <c r="AF37" s="2114"/>
      <c r="AG37" s="2113"/>
      <c r="AH37" s="2113"/>
      <c r="AI37" s="2114">
        <f>Z37+'2024 Калуга+область перекачка'!Z37+'2024 Калуга+область очистка'!Z37</f>
        <v>25079.016517069344</v>
      </c>
      <c r="AJ37" s="2114">
        <f>AA37+'2024 Калуга+область перекачка'!AA37+'2024 Калуга+область очистка'!AA37</f>
        <v>26569.776330298318</v>
      </c>
      <c r="AK37" s="2114">
        <f>AB37+'2024 Калуга+область перекачка'!AB37+'2024 Калуга+область очистка'!AB37</f>
        <v>25824.396423683829</v>
      </c>
      <c r="AL37" s="2114">
        <f>расчет_тарифа_К_!O38</f>
        <v>0</v>
      </c>
      <c r="AM37" s="2593">
        <f t="shared" si="12"/>
        <v>26569.776330298318</v>
      </c>
    </row>
    <row r="38" spans="1:39" s="2218" customFormat="1" ht="21" customHeight="1">
      <c r="A38" s="2235">
        <v>458</v>
      </c>
      <c r="B38" s="2281" t="s">
        <v>1794</v>
      </c>
      <c r="C38" s="2282" t="s">
        <v>1795</v>
      </c>
      <c r="D38" s="2283" t="s">
        <v>1784</v>
      </c>
      <c r="E38" s="2284">
        <f>'[3]НВВ тран-ка'!K339</f>
        <v>4266.5454719793543</v>
      </c>
      <c r="F38" s="2285">
        <f>'[3]НВВ тран-ка'!L339</f>
        <v>4441.6648756799996</v>
      </c>
      <c r="G38" s="2257">
        <f t="shared" si="0"/>
        <v>4354.1051738296774</v>
      </c>
      <c r="H38" s="2285">
        <f>'[3]НВВ тран-ка'!T339</f>
        <v>6865.9530085771275</v>
      </c>
      <c r="I38" s="2285">
        <f>'[3]НВВ тран-ка'!U339</f>
        <v>7159.4859988344415</v>
      </c>
      <c r="J38" s="2257">
        <f t="shared" si="1"/>
        <v>7012.7195037057845</v>
      </c>
      <c r="K38" s="2285">
        <f>'[3]НВВ тран-ка'!AC339</f>
        <v>11922.047436484092</v>
      </c>
      <c r="L38" s="2285">
        <f>'[3]НВВ тран-ка'!AD339</f>
        <v>12518.149808308297</v>
      </c>
      <c r="M38" s="2259">
        <f t="shared" si="2"/>
        <v>12220.098622396195</v>
      </c>
      <c r="N38" s="2284">
        <v>13269.238796806796</v>
      </c>
      <c r="O38" s="2285">
        <f>N38*1.072</f>
        <v>14224.623990176886</v>
      </c>
      <c r="P38" s="2259">
        <f t="shared" si="3"/>
        <v>13746.931393491841</v>
      </c>
      <c r="Q38" s="2284">
        <v>12503.8361168068</v>
      </c>
      <c r="R38" s="2285">
        <f>Q38*1.072</f>
        <v>13404.11231721689</v>
      </c>
      <c r="S38" s="2259">
        <f t="shared" si="4"/>
        <v>12953.974217011844</v>
      </c>
      <c r="T38" s="2385">
        <v>12503.8361168068</v>
      </c>
      <c r="U38" s="2285">
        <v>13404.11231721689</v>
      </c>
      <c r="V38" s="2268">
        <f t="shared" si="5"/>
        <v>12953.974217011844</v>
      </c>
      <c r="W38" s="2884">
        <v>12503.8361168068</v>
      </c>
      <c r="X38" s="2885">
        <v>13404.11231721689</v>
      </c>
      <c r="Y38" s="2268">
        <f t="shared" si="6"/>
        <v>12953.974217011844</v>
      </c>
      <c r="Z38" s="2884">
        <v>12503.8361168068</v>
      </c>
      <c r="AA38" s="2885">
        <v>13404.11231721689</v>
      </c>
      <c r="AB38" s="2268">
        <f t="shared" si="7"/>
        <v>12953.974217011844</v>
      </c>
      <c r="AC38" s="2113">
        <f t="shared" si="8"/>
        <v>3015.6297986840727</v>
      </c>
      <c r="AD38" s="2114">
        <f t="shared" si="9"/>
        <v>-10388.482518532817</v>
      </c>
      <c r="AE38" s="2113"/>
      <c r="AF38" s="2114"/>
      <c r="AG38" s="2113"/>
      <c r="AH38" s="2113"/>
      <c r="AI38" s="2114">
        <f>Z38+'2024 Калуга+область перекачка'!Z38+'2024 Калуга+область очистка'!Z38</f>
        <v>27463.429220456059</v>
      </c>
      <c r="AJ38" s="2114">
        <f>AA38+'2024 Калуга+область перекачка'!AA38+'2024 Калуга+область очистка'!AA38</f>
        <v>28259.81200212636</v>
      </c>
      <c r="AK38" s="2114">
        <f>AB38+'2024 Калуга+область перекачка'!AB38+'2024 Калуга+область очистка'!AB38</f>
        <v>27861.620611291208</v>
      </c>
      <c r="AL38" s="2114">
        <f>расчет_тарифа_К_!O39</f>
        <v>0</v>
      </c>
      <c r="AM38" s="2593">
        <f t="shared" si="12"/>
        <v>28259.81200212636</v>
      </c>
    </row>
    <row r="39" spans="1:39" s="2218" customFormat="1" ht="30.75" customHeight="1">
      <c r="A39" s="2235">
        <v>459</v>
      </c>
      <c r="B39" s="2281" t="s">
        <v>1796</v>
      </c>
      <c r="C39" s="2282" t="s">
        <v>1797</v>
      </c>
      <c r="D39" s="2283" t="s">
        <v>1784</v>
      </c>
      <c r="E39" s="2284">
        <f>'[3]НВВ тран-ка'!K340</f>
        <v>0</v>
      </c>
      <c r="F39" s="2285">
        <f>'[3]НВВ тран-ка'!L340</f>
        <v>0</v>
      </c>
      <c r="G39" s="2257">
        <f t="shared" si="0"/>
        <v>0</v>
      </c>
      <c r="H39" s="2285">
        <f>'[3]НВВ тран-ка'!T340</f>
        <v>0</v>
      </c>
      <c r="I39" s="2285">
        <f>'[3]НВВ тран-ка'!U340</f>
        <v>0</v>
      </c>
      <c r="J39" s="2257">
        <f t="shared" si="1"/>
        <v>0</v>
      </c>
      <c r="K39" s="2285">
        <f>'[3]НВВ тран-ка'!AC340</f>
        <v>0</v>
      </c>
      <c r="L39" s="2285">
        <f>'[3]НВВ тран-ка'!AD340</f>
        <v>0</v>
      </c>
      <c r="M39" s="2259">
        <f t="shared" si="2"/>
        <v>0</v>
      </c>
      <c r="N39" s="2284"/>
      <c r="O39" s="2285"/>
      <c r="P39" s="2259">
        <f t="shared" si="3"/>
        <v>0</v>
      </c>
      <c r="Q39" s="2284">
        <v>0</v>
      </c>
      <c r="R39" s="2285">
        <v>0</v>
      </c>
      <c r="S39" s="2259">
        <f t="shared" si="4"/>
        <v>0</v>
      </c>
      <c r="T39" s="2294">
        <v>0</v>
      </c>
      <c r="U39" s="2296">
        <v>0</v>
      </c>
      <c r="V39" s="2268">
        <f t="shared" si="5"/>
        <v>0</v>
      </c>
      <c r="W39" s="2294">
        <v>0</v>
      </c>
      <c r="X39" s="2296">
        <v>0</v>
      </c>
      <c r="Y39" s="2268">
        <f t="shared" si="6"/>
        <v>0</v>
      </c>
      <c r="Z39" s="2294">
        <v>0</v>
      </c>
      <c r="AA39" s="2296">
        <v>0</v>
      </c>
      <c r="AB39" s="2268">
        <f t="shared" si="7"/>
        <v>0</v>
      </c>
      <c r="AC39" s="2113">
        <f t="shared" si="8"/>
        <v>0</v>
      </c>
      <c r="AD39" s="2114">
        <f t="shared" si="9"/>
        <v>0</v>
      </c>
      <c r="AE39" s="2113"/>
      <c r="AF39" s="2114"/>
      <c r="AG39" s="2113"/>
      <c r="AH39" s="2113"/>
      <c r="AI39" s="2114">
        <f>Z39+'2024 Калуга+область перекачка'!Z39+'2024 Калуга+область очистка'!Z39</f>
        <v>0</v>
      </c>
      <c r="AJ39" s="2114">
        <f>AA39+'2024 Калуга+область перекачка'!AA39+'2024 Калуга+область очистка'!AA39</f>
        <v>0</v>
      </c>
      <c r="AK39" s="2114">
        <f>AB39+'2024 Калуга+область перекачка'!AB39+'2024 Калуга+область очистка'!AB39</f>
        <v>0</v>
      </c>
      <c r="AL39" s="2114">
        <f>расчет_тарифа_К_!O40</f>
        <v>0</v>
      </c>
      <c r="AM39" s="2593">
        <f t="shared" si="12"/>
        <v>0</v>
      </c>
    </row>
    <row r="40" spans="1:39" s="2218" customFormat="1" ht="38.25" customHeight="1">
      <c r="A40" s="2235">
        <v>78</v>
      </c>
      <c r="B40" s="2281" t="s">
        <v>1798</v>
      </c>
      <c r="C40" s="2282" t="s">
        <v>1799</v>
      </c>
      <c r="D40" s="2283" t="s">
        <v>1800</v>
      </c>
      <c r="E40" s="2284">
        <f>'[3]НВВ тран-ка'!K341</f>
        <v>48.708333333333329</v>
      </c>
      <c r="F40" s="2285">
        <f>'[3]НВВ тран-ка'!L341</f>
        <v>48.708333333333329</v>
      </c>
      <c r="G40" s="2257">
        <f t="shared" si="0"/>
        <v>48.708333333333329</v>
      </c>
      <c r="H40" s="2285">
        <f>'[3]НВВ тран-ка'!T341</f>
        <v>40</v>
      </c>
      <c r="I40" s="2285">
        <f>'[3]НВВ тран-ка'!U341</f>
        <v>40</v>
      </c>
      <c r="J40" s="2257">
        <f t="shared" si="1"/>
        <v>40</v>
      </c>
      <c r="K40" s="2285">
        <f>'[3]НВВ тран-ка'!AC341</f>
        <v>32</v>
      </c>
      <c r="L40" s="2285">
        <f>'[3]НВВ тран-ка'!AD341</f>
        <v>32</v>
      </c>
      <c r="M40" s="2259">
        <f t="shared" si="2"/>
        <v>32</v>
      </c>
      <c r="N40" s="2284">
        <v>32</v>
      </c>
      <c r="O40" s="2285">
        <v>32</v>
      </c>
      <c r="P40" s="2259">
        <f t="shared" si="3"/>
        <v>32</v>
      </c>
      <c r="Q40" s="2284">
        <v>43</v>
      </c>
      <c r="R40" s="2285">
        <v>43</v>
      </c>
      <c r="S40" s="2259">
        <f t="shared" si="4"/>
        <v>43</v>
      </c>
      <c r="T40" s="2385">
        <f t="shared" ref="T40:U55" si="15">N40+Q40</f>
        <v>75</v>
      </c>
      <c r="U40" s="2285">
        <f t="shared" si="15"/>
        <v>75</v>
      </c>
      <c r="V40" s="2268">
        <f t="shared" si="5"/>
        <v>75</v>
      </c>
      <c r="W40" s="2884">
        <f>T40/$T$272*$W$272</f>
        <v>16.873346742312723</v>
      </c>
      <c r="X40" s="2885">
        <f>U40/$T$272*$W$272</f>
        <v>16.873346742312723</v>
      </c>
      <c r="Y40" s="2268">
        <f t="shared" si="6"/>
        <v>16.873346742312723</v>
      </c>
      <c r="Z40" s="2884">
        <f t="shared" ref="Z40:AA56" si="16">T40/$T$272*$Z$272</f>
        <v>58.126653257687266</v>
      </c>
      <c r="AA40" s="2885">
        <f t="shared" si="16"/>
        <v>58.126653257687266</v>
      </c>
      <c r="AB40" s="2268">
        <f t="shared" si="7"/>
        <v>58.126653257687266</v>
      </c>
      <c r="AC40" s="2113">
        <f t="shared" si="8"/>
        <v>16.873346742312723</v>
      </c>
      <c r="AD40" s="2114">
        <f t="shared" si="9"/>
        <v>0</v>
      </c>
      <c r="AE40" s="2113"/>
      <c r="AF40" s="2114"/>
      <c r="AG40" s="2113"/>
      <c r="AH40" s="2113"/>
      <c r="AI40" s="2114">
        <f>Z40+'2024 Калуга+область перекачка'!Z40+'2024 Калуга+область очистка'!Z40</f>
        <v>94.16464943651529</v>
      </c>
      <c r="AJ40" s="2114">
        <f>AA40+'2024 Калуга+область перекачка'!AA40+'2024 Калуга+область очистка'!AA40</f>
        <v>268.19222543526752</v>
      </c>
      <c r="AK40" s="2114">
        <f>AB40+'2024 Калуга+область перекачка'!AB40+'2024 Калуга+область очистка'!AB40</f>
        <v>181.1784374358914</v>
      </c>
      <c r="AL40" s="2114">
        <f>расчет_тарифа_К_!O41</f>
        <v>268.19222543526752</v>
      </c>
      <c r="AM40" s="2593">
        <f t="shared" si="12"/>
        <v>0</v>
      </c>
    </row>
    <row r="41" spans="1:39" s="2218" customFormat="1" ht="56.25" customHeight="1">
      <c r="A41" s="2235">
        <v>88</v>
      </c>
      <c r="B41" s="2287" t="s">
        <v>1802</v>
      </c>
      <c r="C41" s="2288" t="s">
        <v>1803</v>
      </c>
      <c r="D41" s="2289" t="s">
        <v>1317</v>
      </c>
      <c r="E41" s="2290">
        <f>'[3]НВВ тран-ка'!K342</f>
        <v>3740.8086995073882</v>
      </c>
      <c r="F41" s="2291">
        <f>'[3]НВВ тран-ка'!L342</f>
        <v>3853.0329604926101</v>
      </c>
      <c r="G41" s="2257">
        <f t="shared" si="0"/>
        <v>3796.9208299999991</v>
      </c>
      <c r="H41" s="2291">
        <f>'[3]НВВ тран-ка'!T342</f>
        <v>3581.4146312060784</v>
      </c>
      <c r="I41" s="2291">
        <f>'[3]НВВ тран-ка'!U342</f>
        <v>3660.9270657572833</v>
      </c>
      <c r="J41" s="2257">
        <f t="shared" si="1"/>
        <v>3621.1708484816809</v>
      </c>
      <c r="K41" s="2291">
        <f>'[3]НВВ тран-ка'!AC342</f>
        <v>3544.2338503025803</v>
      </c>
      <c r="L41" s="2291">
        <f>'[3]НВВ тран-ка'!AD342</f>
        <v>3755.9189008079693</v>
      </c>
      <c r="M41" s="2259">
        <f t="shared" si="2"/>
        <v>3650.0763755552748</v>
      </c>
      <c r="N41" s="2467">
        <f>N31*0.302</f>
        <v>4119.5014120944834</v>
      </c>
      <c r="O41" s="2291">
        <f>O31*0.302</f>
        <v>4416.1055137652866</v>
      </c>
      <c r="P41" s="2259">
        <f t="shared" si="3"/>
        <v>4267.8034629298854</v>
      </c>
      <c r="Q41" s="2467">
        <v>5231.3156657117825</v>
      </c>
      <c r="R41" s="2291">
        <f>R31*0.302</f>
        <v>5607.9703936430315</v>
      </c>
      <c r="S41" s="2259">
        <f t="shared" si="4"/>
        <v>5419.643029677407</v>
      </c>
      <c r="T41" s="2467">
        <f t="shared" si="15"/>
        <v>9350.8170778062668</v>
      </c>
      <c r="U41" s="2291">
        <f t="shared" si="15"/>
        <v>10024.075907408318</v>
      </c>
      <c r="V41" s="2268">
        <f t="shared" si="5"/>
        <v>9687.4464926072924</v>
      </c>
      <c r="W41" s="2377">
        <f>T41/$T$272*$N$272</f>
        <v>2103.727718370194</v>
      </c>
      <c r="X41" s="2256">
        <f>U41/$T$272*$N$272</f>
        <v>2255.1961140928479</v>
      </c>
      <c r="Y41" s="2268">
        <f t="shared" si="6"/>
        <v>2179.4619162315212</v>
      </c>
      <c r="Z41" s="2886">
        <f t="shared" si="16"/>
        <v>7247.0893594360714</v>
      </c>
      <c r="AA41" s="2887">
        <f t="shared" si="16"/>
        <v>7768.8797933154692</v>
      </c>
      <c r="AB41" s="2268">
        <f t="shared" si="7"/>
        <v>7507.9845763757703</v>
      </c>
      <c r="AC41" s="2113">
        <f t="shared" si="8"/>
        <v>2255.1961140928479</v>
      </c>
      <c r="AD41" s="2114">
        <f t="shared" si="9"/>
        <v>0</v>
      </c>
      <c r="AE41" s="2113">
        <f t="shared" si="10"/>
        <v>7768.8797933154692</v>
      </c>
      <c r="AF41" s="2114">
        <f t="shared" si="11"/>
        <v>0</v>
      </c>
      <c r="AG41" s="2113"/>
      <c r="AH41" s="2113"/>
      <c r="AI41" s="2114">
        <f>Z41+'2024 Калуга+область перекачка'!Z41+'2024 Калуга+область очистка'!Z41</f>
        <v>10497.903906213258</v>
      </c>
      <c r="AJ41" s="2114">
        <f>AA41+'2024 Калуга+область перекачка'!AA41+'2024 Калуга+область очистка'!AA41</f>
        <v>26967.335807607105</v>
      </c>
      <c r="AK41" s="2114">
        <f>AB41+'2024 Калуга+область перекачка'!AB41+'2024 Калуга+область очистка'!AB41</f>
        <v>18732.61985691018</v>
      </c>
      <c r="AL41" s="2114">
        <f>расчет_тарифа_К_!O42</f>
        <v>26967.335807607109</v>
      </c>
      <c r="AM41" s="2593">
        <f t="shared" si="12"/>
        <v>0</v>
      </c>
    </row>
    <row r="42" spans="1:39" s="2218" customFormat="1" ht="33.75" customHeight="1">
      <c r="A42" s="2235">
        <v>287</v>
      </c>
      <c r="B42" s="2281" t="s">
        <v>1805</v>
      </c>
      <c r="C42" s="2282" t="s">
        <v>1806</v>
      </c>
      <c r="D42" s="2283" t="s">
        <v>1313</v>
      </c>
      <c r="E42" s="2284"/>
      <c r="F42" s="2285"/>
      <c r="G42" s="2257">
        <f t="shared" si="0"/>
        <v>0</v>
      </c>
      <c r="H42" s="2285"/>
      <c r="I42" s="2285"/>
      <c r="J42" s="2257">
        <f t="shared" si="1"/>
        <v>0</v>
      </c>
      <c r="K42" s="2285"/>
      <c r="L42" s="2285"/>
      <c r="M42" s="2259">
        <f t="shared" si="2"/>
        <v>0</v>
      </c>
      <c r="N42" s="2284"/>
      <c r="O42" s="2285"/>
      <c r="P42" s="2259">
        <f t="shared" si="3"/>
        <v>0</v>
      </c>
      <c r="Q42" s="2284">
        <v>0</v>
      </c>
      <c r="R42" s="2285">
        <v>0</v>
      </c>
      <c r="S42" s="2259">
        <f t="shared" si="4"/>
        <v>0</v>
      </c>
      <c r="T42" s="2385">
        <f t="shared" si="15"/>
        <v>0</v>
      </c>
      <c r="U42" s="2285">
        <f t="shared" si="15"/>
        <v>0</v>
      </c>
      <c r="V42" s="2268">
        <f t="shared" si="5"/>
        <v>0</v>
      </c>
      <c r="W42" s="2884">
        <f>T42/$T$272*$W$272</f>
        <v>0</v>
      </c>
      <c r="X42" s="2885">
        <f>U42/$T$272*$W$272</f>
        <v>0</v>
      </c>
      <c r="Y42" s="2268">
        <f t="shared" si="6"/>
        <v>0</v>
      </c>
      <c r="Z42" s="2884">
        <f t="shared" si="16"/>
        <v>0</v>
      </c>
      <c r="AA42" s="2885">
        <f t="shared" si="16"/>
        <v>0</v>
      </c>
      <c r="AB42" s="2268">
        <f t="shared" si="7"/>
        <v>0</v>
      </c>
      <c r="AC42" s="2113">
        <f t="shared" si="8"/>
        <v>0</v>
      </c>
      <c r="AD42" s="2114">
        <f t="shared" si="9"/>
        <v>0</v>
      </c>
      <c r="AE42" s="2113">
        <f t="shared" si="10"/>
        <v>0</v>
      </c>
      <c r="AF42" s="2114">
        <f t="shared" si="11"/>
        <v>0</v>
      </c>
      <c r="AG42" s="2113"/>
      <c r="AH42" s="2113"/>
      <c r="AI42" s="2114">
        <f>Z42+'2024 Калуга+область перекачка'!Z42+'2024 Калуга+область очистка'!Z42</f>
        <v>0</v>
      </c>
      <c r="AJ42" s="2114">
        <f>AA42+'2024 Калуга+область перекачка'!AA42+'2024 Калуга+область очистка'!AA42</f>
        <v>0</v>
      </c>
      <c r="AK42" s="2114">
        <f>AB42+'2024 Калуга+область перекачка'!AB42+'2024 Калуга+область очистка'!AB42</f>
        <v>0</v>
      </c>
      <c r="AL42" s="2114">
        <f>расчет_тарифа_К_!O43</f>
        <v>0</v>
      </c>
      <c r="AM42" s="2593">
        <f t="shared" si="12"/>
        <v>0</v>
      </c>
    </row>
    <row r="43" spans="1:39" s="2218" customFormat="1" ht="18" customHeight="1">
      <c r="A43" s="2235">
        <v>8</v>
      </c>
      <c r="B43" s="2279" t="s">
        <v>1807</v>
      </c>
      <c r="C43" s="2295" t="s">
        <v>1808</v>
      </c>
      <c r="D43" s="2254" t="s">
        <v>1313</v>
      </c>
      <c r="E43" s="2255">
        <f>E44+E45</f>
        <v>1894.4305454096091</v>
      </c>
      <c r="F43" s="2256">
        <f>F44+F45</f>
        <v>1951.2634617718977</v>
      </c>
      <c r="G43" s="2257">
        <f t="shared" si="0"/>
        <v>1922.8470035907535</v>
      </c>
      <c r="H43" s="2256">
        <f>H44+H45</f>
        <v>2669.207163797525</v>
      </c>
      <c r="I43" s="2256">
        <f>I44+I45</f>
        <v>2765.2986216942377</v>
      </c>
      <c r="J43" s="2257">
        <f t="shared" si="1"/>
        <v>2717.2528927458816</v>
      </c>
      <c r="K43" s="2256">
        <f>K44+K45</f>
        <v>790.00964229242709</v>
      </c>
      <c r="L43" s="2256">
        <f>L44+L45</f>
        <v>823.98005691100138</v>
      </c>
      <c r="M43" s="2259">
        <f t="shared" si="2"/>
        <v>806.99484960171424</v>
      </c>
      <c r="N43" s="2256">
        <f>N44+N45</f>
        <v>0</v>
      </c>
      <c r="O43" s="2256">
        <f>O44+O45</f>
        <v>936.30501826910915</v>
      </c>
      <c r="P43" s="2259">
        <f t="shared" si="3"/>
        <v>468.15250913455458</v>
      </c>
      <c r="Q43" s="2256">
        <f>Q44+Q45</f>
        <v>0</v>
      </c>
      <c r="R43" s="2256">
        <f>R44+R45</f>
        <v>5121.5040807292389</v>
      </c>
      <c r="S43" s="2259">
        <f t="shared" si="4"/>
        <v>2560.7520403646195</v>
      </c>
      <c r="T43" s="2377">
        <f t="shared" si="15"/>
        <v>0</v>
      </c>
      <c r="U43" s="2256">
        <f t="shared" si="15"/>
        <v>6057.8090989983484</v>
      </c>
      <c r="V43" s="2268">
        <f t="shared" si="5"/>
        <v>3028.9045494991742</v>
      </c>
      <c r="W43" s="2377">
        <f>T43/$T$272*$N$272</f>
        <v>0</v>
      </c>
      <c r="X43" s="2256">
        <f>U43/$T$272*$N$272</f>
        <v>1362.8735123484821</v>
      </c>
      <c r="Y43" s="2268">
        <f t="shared" si="6"/>
        <v>681.43675617424105</v>
      </c>
      <c r="Z43" s="2886">
        <f t="shared" si="16"/>
        <v>0</v>
      </c>
      <c r="AA43" s="2887">
        <f t="shared" si="16"/>
        <v>4694.9355866498654</v>
      </c>
      <c r="AB43" s="2268">
        <f t="shared" si="7"/>
        <v>2347.4677933249327</v>
      </c>
      <c r="AC43" s="2113">
        <f t="shared" si="8"/>
        <v>1362.8735123484821</v>
      </c>
      <c r="AD43" s="2114">
        <f t="shared" si="9"/>
        <v>0</v>
      </c>
      <c r="AE43" s="2113">
        <f t="shared" si="10"/>
        <v>4694.9355866498654</v>
      </c>
      <c r="AF43" s="2114">
        <f t="shared" si="11"/>
        <v>0</v>
      </c>
      <c r="AG43" s="2113"/>
      <c r="AH43" s="2113"/>
      <c r="AI43" s="2114">
        <f>Z43+'2024 Калуга+область перекачка'!Z43+'2024 Калуга+область очистка'!Z43</f>
        <v>7665.9873420562517</v>
      </c>
      <c r="AJ43" s="2114">
        <f>AA43+'2024 Калуга+область перекачка'!AA43+'2024 Калуга+область очистка'!AA43</f>
        <v>16878.89627324482</v>
      </c>
      <c r="AK43" s="2114">
        <f>AB43+'2024 Калуга+область перекачка'!AB43+'2024 Калуга+область очистка'!AB43</f>
        <v>12272.441807650537</v>
      </c>
      <c r="AL43" s="2114">
        <f>расчет_тарифа_К_!O44</f>
        <v>16878.89627324482</v>
      </c>
      <c r="AM43" s="2593">
        <f t="shared" si="12"/>
        <v>0</v>
      </c>
    </row>
    <row r="44" spans="1:39" s="2218" customFormat="1" ht="20.25" customHeight="1">
      <c r="A44" s="2235">
        <v>99</v>
      </c>
      <c r="B44" s="2281" t="s">
        <v>1809</v>
      </c>
      <c r="C44" s="2282" t="s">
        <v>1810</v>
      </c>
      <c r="D44" s="2283" t="s">
        <v>1317</v>
      </c>
      <c r="E44" s="2284">
        <f>'[3]НВВ тран-ка'!K345</f>
        <v>529.56008866995103</v>
      </c>
      <c r="F44" s="2285">
        <f>'[3]НВВ тран-ка'!L345</f>
        <v>545.44689133004977</v>
      </c>
      <c r="G44" s="2257">
        <f t="shared" si="0"/>
        <v>537.5034900000004</v>
      </c>
      <c r="H44" s="2285">
        <f>'[3]НВВ тран-ка'!T345</f>
        <v>659.09035363457792</v>
      </c>
      <c r="I44" s="2285">
        <f>'[3]НВВ тран-ка'!U345</f>
        <v>682.81760636542322</v>
      </c>
      <c r="J44" s="2257">
        <f t="shared" si="1"/>
        <v>670.95398000000057</v>
      </c>
      <c r="K44" s="2285">
        <f>'[3]НВВ тран-ка'!AC345</f>
        <v>558.34812530592217</v>
      </c>
      <c r="L44" s="2285">
        <f>'[3]НВВ тран-ка'!AD345</f>
        <v>582.35709469407698</v>
      </c>
      <c r="M44" s="2259">
        <f t="shared" si="2"/>
        <v>570.35260999999957</v>
      </c>
      <c r="N44" s="2284"/>
      <c r="O44" s="2285">
        <f>L44*1.06*1.072</f>
        <v>661.7440138427736</v>
      </c>
      <c r="P44" s="2259">
        <f t="shared" si="3"/>
        <v>330.8720069213868</v>
      </c>
      <c r="Q44" s="2294">
        <v>0</v>
      </c>
      <c r="R44" s="2285">
        <f>1779.30021120115*1.06*1.072</f>
        <v>2021.8544159920909</v>
      </c>
      <c r="S44" s="2259">
        <f t="shared" si="4"/>
        <v>1010.9272079960455</v>
      </c>
      <c r="T44" s="2468">
        <f t="shared" si="15"/>
        <v>0</v>
      </c>
      <c r="U44" s="2296">
        <f t="shared" si="15"/>
        <v>2683.5984298348644</v>
      </c>
      <c r="V44" s="2268">
        <f t="shared" si="5"/>
        <v>1341.7992149174322</v>
      </c>
      <c r="W44" s="2884">
        <f>T44/$T$272*$W$272</f>
        <v>0</v>
      </c>
      <c r="X44" s="2885">
        <f>U44/$T$272*$W$272</f>
        <v>603.75049098306204</v>
      </c>
      <c r="Y44" s="2268">
        <f t="shared" si="6"/>
        <v>301.87524549153102</v>
      </c>
      <c r="Z44" s="2884">
        <f t="shared" si="16"/>
        <v>0</v>
      </c>
      <c r="AA44" s="2885">
        <f t="shared" si="16"/>
        <v>2079.8479388518022</v>
      </c>
      <c r="AB44" s="2268">
        <f t="shared" si="7"/>
        <v>1039.9239694259011</v>
      </c>
      <c r="AC44" s="2113">
        <f t="shared" si="8"/>
        <v>603.75049098306204</v>
      </c>
      <c r="AD44" s="2114">
        <f t="shared" si="9"/>
        <v>0</v>
      </c>
      <c r="AE44" s="2113">
        <f t="shared" si="10"/>
        <v>2079.8479388518022</v>
      </c>
      <c r="AF44" s="2114">
        <f t="shared" si="11"/>
        <v>0</v>
      </c>
      <c r="AG44" s="2113"/>
      <c r="AH44" s="2113"/>
      <c r="AI44" s="2114">
        <f>Z44+'2024 Калуга+область перекачка'!Z44+'2024 Калуга+область очистка'!Z44</f>
        <v>1876.4905779976832</v>
      </c>
      <c r="AJ44" s="2114">
        <f>AA44+'2024 Калуга+область перекачка'!AA44+'2024 Калуга+область очистка'!AA44</f>
        <v>6199.4605816915682</v>
      </c>
      <c r="AK44" s="2114">
        <f>AB44+'2024 Калуга+область перекачка'!AB44+'2024 Калуга+область очистка'!AB44</f>
        <v>4037.9755798446258</v>
      </c>
      <c r="AL44" s="2114">
        <f>расчет_тарифа_К_!O45</f>
        <v>6199.4605816915691</v>
      </c>
      <c r="AM44" s="2593">
        <f t="shared" si="12"/>
        <v>0</v>
      </c>
    </row>
    <row r="45" spans="1:39" s="2218" customFormat="1" ht="21.75" customHeight="1">
      <c r="A45" s="2235">
        <v>9</v>
      </c>
      <c r="B45" s="2281" t="s">
        <v>1812</v>
      </c>
      <c r="C45" s="2282" t="s">
        <v>1813</v>
      </c>
      <c r="D45" s="2283" t="s">
        <v>1313</v>
      </c>
      <c r="E45" s="2284">
        <f>'[3]НВВ тран-ка'!K346</f>
        <v>1364.870456739658</v>
      </c>
      <c r="F45" s="2285">
        <f>'[3]НВВ тран-ка'!L346</f>
        <v>1405.8165704418479</v>
      </c>
      <c r="G45" s="2257">
        <f t="shared" si="0"/>
        <v>1385.343513590753</v>
      </c>
      <c r="H45" s="2285">
        <f>'[3]НВВ тран-ка'!T346</f>
        <v>2010.1168101629473</v>
      </c>
      <c r="I45" s="2285">
        <f>'[3]НВВ тран-ка'!U346</f>
        <v>2082.4810153288145</v>
      </c>
      <c r="J45" s="2257">
        <f t="shared" si="1"/>
        <v>2046.2989127458809</v>
      </c>
      <c r="K45" s="2285">
        <f>'[3]НВВ тран-ка'!AC346</f>
        <v>231.66151698650492</v>
      </c>
      <c r="L45" s="2285">
        <f>'[3]НВВ тран-ка'!AD346</f>
        <v>241.62296221692441</v>
      </c>
      <c r="M45" s="2259">
        <f t="shared" si="2"/>
        <v>236.64223960171466</v>
      </c>
      <c r="N45" s="2284"/>
      <c r="O45" s="2285">
        <f>L45*1.06*1.072</f>
        <v>274.56100442633556</v>
      </c>
      <c r="P45" s="2259">
        <f t="shared" si="3"/>
        <v>137.28050221316778</v>
      </c>
      <c r="Q45" s="2294">
        <v>0</v>
      </c>
      <c r="R45" s="2285">
        <f>2727.79645235246*1.06*1.072</f>
        <v>3099.6496647371478</v>
      </c>
      <c r="S45" s="2259">
        <f t="shared" si="4"/>
        <v>1549.8248323685739</v>
      </c>
      <c r="T45" s="2468">
        <f t="shared" si="15"/>
        <v>0</v>
      </c>
      <c r="U45" s="2296">
        <f t="shared" si="15"/>
        <v>3374.2106691634835</v>
      </c>
      <c r="V45" s="2268">
        <f t="shared" si="5"/>
        <v>1687.1053345817418</v>
      </c>
      <c r="W45" s="2884">
        <f>T45/$T$272*$W$272</f>
        <v>0</v>
      </c>
      <c r="X45" s="2885">
        <f>U45/$T$272*$W$272</f>
        <v>759.12302136542007</v>
      </c>
      <c r="Y45" s="2268">
        <f t="shared" si="6"/>
        <v>379.56151068271004</v>
      </c>
      <c r="Z45" s="2884">
        <f t="shared" si="16"/>
        <v>0</v>
      </c>
      <c r="AA45" s="2885">
        <f t="shared" si="16"/>
        <v>2615.0876477980632</v>
      </c>
      <c r="AB45" s="2268">
        <f t="shared" si="7"/>
        <v>1307.5438238990316</v>
      </c>
      <c r="AC45" s="2113">
        <f t="shared" si="8"/>
        <v>759.12302136542007</v>
      </c>
      <c r="AD45" s="2114">
        <f t="shared" si="9"/>
        <v>0</v>
      </c>
      <c r="AE45" s="2113">
        <f t="shared" si="10"/>
        <v>2615.0876477980632</v>
      </c>
      <c r="AF45" s="2114">
        <f t="shared" si="11"/>
        <v>0</v>
      </c>
      <c r="AG45" s="2113"/>
      <c r="AH45" s="2113"/>
      <c r="AI45" s="2114">
        <f>Z45+'2024 Калуга+область перекачка'!Z45+'2024 Калуга+область очистка'!Z45</f>
        <v>5789.4967640585683</v>
      </c>
      <c r="AJ45" s="2114">
        <f>AA45+'2024 Калуга+область перекачка'!AA45+'2024 Калуга+область очистка'!AA45</f>
        <v>10679.435691553252</v>
      </c>
      <c r="AK45" s="2114">
        <f>AB45+'2024 Калуга+область перекачка'!AB45+'2024 Калуга+область очистка'!AB45</f>
        <v>8234.4662278059113</v>
      </c>
      <c r="AL45" s="2114">
        <f>расчет_тарифа_К_!O46</f>
        <v>10679.435691553252</v>
      </c>
      <c r="AM45" s="2593">
        <f t="shared" si="12"/>
        <v>0</v>
      </c>
    </row>
    <row r="46" spans="1:39" s="2218" customFormat="1" ht="21" customHeight="1">
      <c r="A46" s="2235">
        <v>91</v>
      </c>
      <c r="B46" s="2279" t="s">
        <v>1815</v>
      </c>
      <c r="C46" s="2295" t="s">
        <v>1816</v>
      </c>
      <c r="D46" s="2254" t="s">
        <v>1317</v>
      </c>
      <c r="E46" s="2255">
        <f>E47+E48+E49+E50+E51+E52</f>
        <v>926.77344827585659</v>
      </c>
      <c r="F46" s="2256">
        <f>F47+F48+F49+F50+F51+F52</f>
        <v>954.57665172413215</v>
      </c>
      <c r="G46" s="2257">
        <f t="shared" si="0"/>
        <v>940.67504999999437</v>
      </c>
      <c r="H46" s="2256">
        <f>H47+H48+H49+H50+H51+H52</f>
        <v>1055.3077210216109</v>
      </c>
      <c r="I46" s="2256">
        <f>I47+I48+I49+I50+I51+I52</f>
        <v>1093.2987989783887</v>
      </c>
      <c r="J46" s="2257">
        <f t="shared" si="1"/>
        <v>1074.3032599999997</v>
      </c>
      <c r="K46" s="2256">
        <f>K47+K48+K49+K50+K51+K52</f>
        <v>753.45427312775291</v>
      </c>
      <c r="L46" s="2256">
        <f>L47+L48+L49+L50+L51+L52</f>
        <v>785.85280687224724</v>
      </c>
      <c r="M46" s="2259">
        <f t="shared" si="2"/>
        <v>769.65354000000002</v>
      </c>
      <c r="N46" s="2256">
        <f>N47+N48+N49+N50+N51+N52</f>
        <v>0</v>
      </c>
      <c r="O46" s="2256">
        <f>O47+O48+O49+O50+O51+O52</f>
        <v>892.98026150507201</v>
      </c>
      <c r="P46" s="2259">
        <f t="shared" si="3"/>
        <v>446.490130752536</v>
      </c>
      <c r="Q46" s="2256">
        <f>Q47+Q48+Q49+Q50+Q51+Q52</f>
        <v>0</v>
      </c>
      <c r="R46" s="2256">
        <f>R47+R48+R49+R50+R51+R52</f>
        <v>8862.9857235489453</v>
      </c>
      <c r="S46" s="2259">
        <f t="shared" si="4"/>
        <v>4431.4928617744727</v>
      </c>
      <c r="T46" s="2377">
        <f t="shared" si="15"/>
        <v>0</v>
      </c>
      <c r="U46" s="2256">
        <f t="shared" si="15"/>
        <v>9755.9659850540174</v>
      </c>
      <c r="V46" s="2268">
        <f t="shared" si="5"/>
        <v>4877.9829925270087</v>
      </c>
      <c r="W46" s="2377">
        <f>T46/$T$272*$N$272</f>
        <v>0</v>
      </c>
      <c r="X46" s="2256">
        <f>U46/$T$272*$N$272</f>
        <v>2194.8772916269995</v>
      </c>
      <c r="Y46" s="2268">
        <f t="shared" si="6"/>
        <v>1097.4386458134998</v>
      </c>
      <c r="Z46" s="2886">
        <f t="shared" si="16"/>
        <v>0</v>
      </c>
      <c r="AA46" s="2887">
        <f t="shared" si="16"/>
        <v>7561.0886934270175</v>
      </c>
      <c r="AB46" s="2268">
        <f t="shared" si="7"/>
        <v>3780.5443467135087</v>
      </c>
      <c r="AC46" s="2113">
        <f t="shared" si="8"/>
        <v>2194.8772916269995</v>
      </c>
      <c r="AD46" s="2114">
        <f t="shared" si="9"/>
        <v>0</v>
      </c>
      <c r="AE46" s="2113">
        <f t="shared" si="10"/>
        <v>7561.0886934270175</v>
      </c>
      <c r="AF46" s="2114">
        <f t="shared" si="11"/>
        <v>0</v>
      </c>
      <c r="AG46" s="2113"/>
      <c r="AH46" s="2113"/>
      <c r="AI46" s="2114">
        <f>Z46+'2024 Калуга+область перекачка'!Z46+'2024 Калуга+область очистка'!Z46</f>
        <v>8878.7235091238435</v>
      </c>
      <c r="AJ46" s="2114">
        <f>AA46+'2024 Калуга+область перекачка'!AA46+'2024 Калуга+область очистка'!AA46</f>
        <v>20643.295156712542</v>
      </c>
      <c r="AK46" s="2114">
        <f>AB46+'2024 Калуга+область перекачка'!AB46+'2024 Калуга+область очистка'!AB46</f>
        <v>14761.009332918195</v>
      </c>
      <c r="AL46" s="2114">
        <f>расчет_тарифа_К_!O47</f>
        <v>20643.295156712542</v>
      </c>
      <c r="AM46" s="2593">
        <f t="shared" si="12"/>
        <v>0</v>
      </c>
    </row>
    <row r="47" spans="1:39" s="2218" customFormat="1" ht="20.25" customHeight="1">
      <c r="A47" s="2235">
        <v>92</v>
      </c>
      <c r="B47" s="2281" t="s">
        <v>1817</v>
      </c>
      <c r="C47" s="2282" t="s">
        <v>1818</v>
      </c>
      <c r="D47" s="2283" t="s">
        <v>1317</v>
      </c>
      <c r="E47" s="2284">
        <f>'[3]НВВ тран-ка'!K348</f>
        <v>491.56778325123014</v>
      </c>
      <c r="F47" s="2285">
        <f>'[3]НВВ тран-ка'!L348</f>
        <v>506.31481674876704</v>
      </c>
      <c r="G47" s="2257">
        <f t="shared" si="0"/>
        <v>498.94129999999859</v>
      </c>
      <c r="H47" s="2285">
        <f>'[3]НВВ тран-ка'!T348</f>
        <v>502.13136542239681</v>
      </c>
      <c r="I47" s="2285">
        <f>'[3]НВВ тран-ка'!U348</f>
        <v>520.20809457760333</v>
      </c>
      <c r="J47" s="2257">
        <f t="shared" si="1"/>
        <v>511.16973000000007</v>
      </c>
      <c r="K47" s="2285">
        <f>'[3]НВВ тран-ка'!AC348</f>
        <v>250.36381791483109</v>
      </c>
      <c r="L47" s="2285">
        <f>'[3]НВВ тран-ка'!AD348</f>
        <v>261.12946208516951</v>
      </c>
      <c r="M47" s="2259">
        <f t="shared" si="2"/>
        <v>255.7466400000003</v>
      </c>
      <c r="N47" s="2284"/>
      <c r="O47" s="2285">
        <f>L47*1.06*1.072</f>
        <v>296.72663035661986</v>
      </c>
      <c r="P47" s="2259">
        <f t="shared" si="3"/>
        <v>148.36331517830993</v>
      </c>
      <c r="Q47" s="2284">
        <v>0</v>
      </c>
      <c r="R47" s="2285">
        <f>3199.03152390232/1.047*1.072</f>
        <v>3275.4171858866166</v>
      </c>
      <c r="S47" s="2259">
        <f t="shared" si="4"/>
        <v>1637.7085929433083</v>
      </c>
      <c r="T47" s="2468">
        <f t="shared" si="15"/>
        <v>0</v>
      </c>
      <c r="U47" s="2296">
        <f t="shared" si="15"/>
        <v>3572.1438162432364</v>
      </c>
      <c r="V47" s="2268">
        <f t="shared" si="5"/>
        <v>1786.0719081216182</v>
      </c>
      <c r="W47" s="2884">
        <f t="shared" ref="W47:X52" si="17">T47/$T$272*$W$272</f>
        <v>0</v>
      </c>
      <c r="X47" s="2885">
        <f t="shared" si="17"/>
        <v>803.65361633173802</v>
      </c>
      <c r="Y47" s="2268">
        <f t="shared" si="6"/>
        <v>401.82680816586901</v>
      </c>
      <c r="Z47" s="2884">
        <f t="shared" si="16"/>
        <v>0</v>
      </c>
      <c r="AA47" s="2885">
        <f t="shared" si="16"/>
        <v>2768.4901999114982</v>
      </c>
      <c r="AB47" s="2268">
        <f t="shared" si="7"/>
        <v>1384.2450999557491</v>
      </c>
      <c r="AC47" s="2113">
        <f t="shared" si="8"/>
        <v>803.65361633173802</v>
      </c>
      <c r="AD47" s="2114">
        <f t="shared" si="9"/>
        <v>0</v>
      </c>
      <c r="AE47" s="2113">
        <f t="shared" si="10"/>
        <v>2768.4901999114982</v>
      </c>
      <c r="AF47" s="2114">
        <f t="shared" si="11"/>
        <v>0</v>
      </c>
      <c r="AG47" s="2113"/>
      <c r="AH47" s="2113"/>
      <c r="AI47" s="2114">
        <f>Z47+'2024 Калуга+область перекачка'!Z47+'2024 Калуга+область очистка'!Z47</f>
        <v>5439.5366921211307</v>
      </c>
      <c r="AJ47" s="2114">
        <f>AA47+'2024 Калуга+область перекачка'!AA47+'2024 Калуга+область очистка'!AA47</f>
        <v>10041.416083044811</v>
      </c>
      <c r="AK47" s="2114">
        <f>AB47+'2024 Калуга+область перекачка'!AB47+'2024 Калуга+область очистка'!AB47</f>
        <v>7740.4763875829703</v>
      </c>
      <c r="AL47" s="2114">
        <f>расчет_тарифа_К_!O48</f>
        <v>10041.416083044809</v>
      </c>
      <c r="AM47" s="2593">
        <f t="shared" si="12"/>
        <v>0</v>
      </c>
    </row>
    <row r="48" spans="1:39" s="2218" customFormat="1" ht="38.25" customHeight="1">
      <c r="A48" s="2235">
        <v>95</v>
      </c>
      <c r="B48" s="2281" t="s">
        <v>1820</v>
      </c>
      <c r="C48" s="2282" t="s">
        <v>1821</v>
      </c>
      <c r="D48" s="2283" t="s">
        <v>1317</v>
      </c>
      <c r="E48" s="2284">
        <f>'[3]НВВ тран-ка'!K349</f>
        <v>0</v>
      </c>
      <c r="F48" s="2285">
        <f>'[3]НВВ тран-ка'!L349</f>
        <v>0</v>
      </c>
      <c r="G48" s="2257">
        <f t="shared" si="0"/>
        <v>0</v>
      </c>
      <c r="H48" s="2285">
        <f>'[3]НВВ тран-ка'!T349</f>
        <v>0</v>
      </c>
      <c r="I48" s="2285">
        <f>'[3]НВВ тран-ка'!U349</f>
        <v>0</v>
      </c>
      <c r="J48" s="2257">
        <f t="shared" si="1"/>
        <v>0</v>
      </c>
      <c r="K48" s="2285">
        <f>'[3]НВВ тран-ка'!AC349</f>
        <v>0</v>
      </c>
      <c r="L48" s="2285">
        <f>'[3]НВВ тран-ка'!AD349</f>
        <v>0</v>
      </c>
      <c r="M48" s="2259">
        <f t="shared" si="2"/>
        <v>0</v>
      </c>
      <c r="N48" s="2284"/>
      <c r="O48" s="2285">
        <f>L48*1.06*1.072</f>
        <v>0</v>
      </c>
      <c r="P48" s="2259">
        <f t="shared" si="3"/>
        <v>0</v>
      </c>
      <c r="Q48" s="2284">
        <v>0</v>
      </c>
      <c r="R48" s="2285">
        <v>0</v>
      </c>
      <c r="S48" s="2259">
        <f t="shared" si="4"/>
        <v>0</v>
      </c>
      <c r="T48" s="2468">
        <f t="shared" si="15"/>
        <v>0</v>
      </c>
      <c r="U48" s="2296">
        <f t="shared" si="15"/>
        <v>0</v>
      </c>
      <c r="V48" s="2268">
        <f t="shared" si="5"/>
        <v>0</v>
      </c>
      <c r="W48" s="2884">
        <f t="shared" si="17"/>
        <v>0</v>
      </c>
      <c r="X48" s="2885">
        <f t="shared" si="17"/>
        <v>0</v>
      </c>
      <c r="Y48" s="2268">
        <f t="shared" si="6"/>
        <v>0</v>
      </c>
      <c r="Z48" s="2884">
        <f t="shared" si="16"/>
        <v>0</v>
      </c>
      <c r="AA48" s="2885">
        <f t="shared" si="16"/>
        <v>0</v>
      </c>
      <c r="AB48" s="2268">
        <f t="shared" si="7"/>
        <v>0</v>
      </c>
      <c r="AC48" s="2113">
        <f t="shared" si="8"/>
        <v>0</v>
      </c>
      <c r="AD48" s="2114">
        <f t="shared" si="9"/>
        <v>0</v>
      </c>
      <c r="AE48" s="2113">
        <f t="shared" si="10"/>
        <v>0</v>
      </c>
      <c r="AF48" s="2114">
        <f t="shared" si="11"/>
        <v>0</v>
      </c>
      <c r="AG48" s="2113"/>
      <c r="AH48" s="2113"/>
      <c r="AI48" s="2114">
        <f>Z48+'2024 Калуга+область перекачка'!Z48+'2024 Калуга+область очистка'!Z48</f>
        <v>0</v>
      </c>
      <c r="AJ48" s="2114">
        <f>AA48+'2024 Калуга+область перекачка'!AA48+'2024 Калуга+область очистка'!AA48</f>
        <v>0</v>
      </c>
      <c r="AK48" s="2114">
        <f>AB48+'2024 Калуга+область перекачка'!AB48+'2024 Калуга+область очистка'!AB48</f>
        <v>0</v>
      </c>
      <c r="AL48" s="2114">
        <f>расчет_тарифа_К_!O49</f>
        <v>0</v>
      </c>
      <c r="AM48" s="2593">
        <f t="shared" si="12"/>
        <v>0</v>
      </c>
    </row>
    <row r="49" spans="1:39" s="2218" customFormat="1" ht="54.75" customHeight="1">
      <c r="A49" s="2235">
        <v>266</v>
      </c>
      <c r="B49" s="2281" t="s">
        <v>1822</v>
      </c>
      <c r="C49" s="2282" t="s">
        <v>1823</v>
      </c>
      <c r="D49" s="2283" t="s">
        <v>1313</v>
      </c>
      <c r="E49" s="2284">
        <f>'[3]НВВ тран-ка'!K350</f>
        <v>417.06214778325125</v>
      </c>
      <c r="F49" s="2285">
        <f>'[3]НВВ тран-ка'!L350</f>
        <v>429.57401221674877</v>
      </c>
      <c r="G49" s="2257">
        <f t="shared" si="0"/>
        <v>423.31808000000001</v>
      </c>
      <c r="H49" s="2285">
        <f>'[3]НВВ тран-ка'!T350</f>
        <v>546.50266208251469</v>
      </c>
      <c r="I49" s="2285">
        <f>'[3]НВВ тран-ка'!U350</f>
        <v>566.17675791748479</v>
      </c>
      <c r="J49" s="2257">
        <f t="shared" si="1"/>
        <v>556.33970999999974</v>
      </c>
      <c r="K49" s="2285">
        <f>'[3]НВВ тран-ка'!AC350</f>
        <v>491.13716103768957</v>
      </c>
      <c r="L49" s="2285">
        <f>'[3]НВВ тран-ка'!AD350</f>
        <v>512.25605896231036</v>
      </c>
      <c r="M49" s="2259">
        <f t="shared" si="2"/>
        <v>501.69660999999996</v>
      </c>
      <c r="N49" s="2284"/>
      <c r="O49" s="2285">
        <f>L49*1.06*1.072</f>
        <v>582.0868049200526</v>
      </c>
      <c r="P49" s="2259">
        <f>N49/2+O49/2</f>
        <v>291.0434024600263</v>
      </c>
      <c r="Q49" s="2284">
        <v>0</v>
      </c>
      <c r="R49" s="2285">
        <f>2607.62383263828*1.06*1.072</f>
        <v>2963.0951135035307</v>
      </c>
      <c r="S49" s="2259">
        <f>Q49/2+R49/2</f>
        <v>1481.5475567517653</v>
      </c>
      <c r="T49" s="2468">
        <f t="shared" si="15"/>
        <v>0</v>
      </c>
      <c r="U49" s="2296">
        <f t="shared" si="15"/>
        <v>3545.1819184235833</v>
      </c>
      <c r="V49" s="2268">
        <f t="shared" si="5"/>
        <v>1772.5909592117916</v>
      </c>
      <c r="W49" s="2884">
        <f t="shared" si="17"/>
        <v>0</v>
      </c>
      <c r="X49" s="2885">
        <f t="shared" si="17"/>
        <v>797.58778365518049</v>
      </c>
      <c r="Y49" s="2268">
        <f t="shared" si="6"/>
        <v>398.79389182759024</v>
      </c>
      <c r="Z49" s="2884">
        <f t="shared" si="16"/>
        <v>0</v>
      </c>
      <c r="AA49" s="2885">
        <f t="shared" si="16"/>
        <v>2747.5941347684025</v>
      </c>
      <c r="AB49" s="2268">
        <f t="shared" si="7"/>
        <v>1373.7970673842012</v>
      </c>
      <c r="AC49" s="2113">
        <f t="shared" si="8"/>
        <v>797.58778365518049</v>
      </c>
      <c r="AD49" s="2114">
        <f t="shared" si="9"/>
        <v>0</v>
      </c>
      <c r="AE49" s="2113">
        <f t="shared" si="10"/>
        <v>2747.5941347684025</v>
      </c>
      <c r="AF49" s="2114">
        <f t="shared" si="11"/>
        <v>0</v>
      </c>
      <c r="AG49" s="2113"/>
      <c r="AH49" s="2113"/>
      <c r="AI49" s="2114">
        <f>Z49+'2024 Калуга+область перекачка'!Z49+'2024 Калуга+область очистка'!Z49</f>
        <v>1775.071823874863</v>
      </c>
      <c r="AJ49" s="2114">
        <f>AA49+'2024 Калуга+область перекачка'!AA49+'2024 Калуга+область очистка'!AA49</f>
        <v>6320.9501603537983</v>
      </c>
      <c r="AK49" s="2114">
        <f>AB49+'2024 Калуга+область перекачка'!AB49+'2024 Калуга+область очистка'!AB49</f>
        <v>4048.0109921143307</v>
      </c>
      <c r="AL49" s="2114">
        <f>расчет_тарифа_К_!O50</f>
        <v>6320.9501603537992</v>
      </c>
      <c r="AM49" s="2593">
        <f t="shared" si="12"/>
        <v>0</v>
      </c>
    </row>
    <row r="50" spans="1:39" s="2218" customFormat="1" ht="30.75" customHeight="1">
      <c r="A50" s="2235">
        <v>267</v>
      </c>
      <c r="B50" s="2281" t="s">
        <v>1825</v>
      </c>
      <c r="C50" s="2282" t="s">
        <v>1826</v>
      </c>
      <c r="D50" s="2283" t="s">
        <v>1128</v>
      </c>
      <c r="E50" s="2284">
        <f>'[3]НВВ тран-ка'!K351</f>
        <v>12.028660098518003</v>
      </c>
      <c r="F50" s="2285">
        <f>'[3]НВВ тран-ка'!L351</f>
        <v>12.389519901473477</v>
      </c>
      <c r="G50" s="2257">
        <f t="shared" si="0"/>
        <v>12.20908999999574</v>
      </c>
      <c r="H50" s="2285">
        <f>'[3]НВВ тран-ка'!T351</f>
        <v>3.9052946954811887</v>
      </c>
      <c r="I50" s="2285">
        <f>'[3]НВВ тран-ка'!U351</f>
        <v>4.0458853045186061</v>
      </c>
      <c r="J50" s="2257">
        <f t="shared" si="1"/>
        <v>3.9755899999998974</v>
      </c>
      <c r="K50" s="2285">
        <f>'[3]НВВ тран-ка'!AC351</f>
        <v>8.0297112090061091</v>
      </c>
      <c r="L50" s="2285">
        <f>'[3]НВВ тран-ка'!AD351</f>
        <v>8.3749887909934841</v>
      </c>
      <c r="M50" s="2259">
        <f t="shared" si="2"/>
        <v>8.2023499999997966</v>
      </c>
      <c r="N50" s="2284"/>
      <c r="O50" s="2285">
        <f>L50*1.06*1.072</f>
        <v>9.5166672629817182</v>
      </c>
      <c r="P50" s="2259">
        <f>N50/2+O50/2</f>
        <v>4.7583336314908591</v>
      </c>
      <c r="Q50" s="2284">
        <v>0</v>
      </c>
      <c r="R50" s="2285">
        <f>2235.22296285716*1.06*1.072</f>
        <v>2539.9285571538485</v>
      </c>
      <c r="S50" s="2259">
        <f>Q50/2+R50/2</f>
        <v>1269.9642785769242</v>
      </c>
      <c r="T50" s="2468">
        <f t="shared" si="15"/>
        <v>0</v>
      </c>
      <c r="U50" s="2296">
        <f t="shared" si="15"/>
        <v>2549.4452244168301</v>
      </c>
      <c r="V50" s="2268">
        <f t="shared" si="5"/>
        <v>1274.7226122084151</v>
      </c>
      <c r="W50" s="2884">
        <f t="shared" si="17"/>
        <v>0</v>
      </c>
      <c r="X50" s="2885">
        <f t="shared" si="17"/>
        <v>573.56897696157932</v>
      </c>
      <c r="Y50" s="2268">
        <f t="shared" si="6"/>
        <v>286.78448848078966</v>
      </c>
      <c r="Z50" s="2884">
        <f t="shared" si="16"/>
        <v>0</v>
      </c>
      <c r="AA50" s="2885">
        <f t="shared" si="16"/>
        <v>1975.8762474552505</v>
      </c>
      <c r="AB50" s="2268">
        <f t="shared" si="7"/>
        <v>987.93812372762523</v>
      </c>
      <c r="AC50" s="2113">
        <f t="shared" si="8"/>
        <v>573.56897696157932</v>
      </c>
      <c r="AD50" s="2114">
        <f t="shared" si="9"/>
        <v>0</v>
      </c>
      <c r="AE50" s="2113">
        <f t="shared" si="10"/>
        <v>1975.8762474552505</v>
      </c>
      <c r="AF50" s="2114">
        <f t="shared" si="11"/>
        <v>0</v>
      </c>
      <c r="AG50" s="2113"/>
      <c r="AH50" s="2113"/>
      <c r="AI50" s="2114">
        <f>Z50+'2024 Калуга+область перекачка'!Z50+'2024 Калуга+область очистка'!Z50</f>
        <v>1518.6994983953587</v>
      </c>
      <c r="AJ50" s="2114">
        <f>AA50+'2024 Калуга+область перекачка'!AA50+'2024 Калуга+область очистка'!AA50</f>
        <v>3688.8446605376794</v>
      </c>
      <c r="AK50" s="2114">
        <f>AB50+'2024 Калуга+область перекачка'!AB50+'2024 Калуга+область очистка'!AB50</f>
        <v>2603.7720794665192</v>
      </c>
      <c r="AL50" s="2114">
        <f>расчет_тарифа_К_!O51</f>
        <v>3688.8446605376794</v>
      </c>
      <c r="AM50" s="2593">
        <f t="shared" si="12"/>
        <v>0</v>
      </c>
    </row>
    <row r="51" spans="1:39" s="2218" customFormat="1" ht="42.75" customHeight="1">
      <c r="A51" s="2235">
        <v>93</v>
      </c>
      <c r="B51" s="2281" t="s">
        <v>1828</v>
      </c>
      <c r="C51" s="2282" t="s">
        <v>1829</v>
      </c>
      <c r="D51" s="2283" t="s">
        <v>1317</v>
      </c>
      <c r="E51" s="2284">
        <f>'[3]НВВ тран-ка'!K352</f>
        <v>6.1148571428571543</v>
      </c>
      <c r="F51" s="2285">
        <f>'[3]НВВ тран-ка'!L352</f>
        <v>6.2983028571428719</v>
      </c>
      <c r="G51" s="2257">
        <f t="shared" si="0"/>
        <v>6.2065800000000131</v>
      </c>
      <c r="H51" s="2285">
        <f>'[3]НВВ тран-ка'!T352</f>
        <v>2.768398821218085</v>
      </c>
      <c r="I51" s="2285">
        <f>'[3]НВВ тран-ка'!U352</f>
        <v>2.8680611787819288</v>
      </c>
      <c r="J51" s="2257">
        <f t="shared" si="1"/>
        <v>2.8182300000000069</v>
      </c>
      <c r="K51" s="2285">
        <f>'[3]НВВ тран-ка'!AC352</f>
        <v>3.9235829662261352</v>
      </c>
      <c r="L51" s="2285">
        <f>'[3]НВВ тран-ка'!AD352</f>
        <v>4.0922970337738604</v>
      </c>
      <c r="M51" s="2259">
        <f t="shared" si="2"/>
        <v>4.0079399999999978</v>
      </c>
      <c r="N51" s="2284"/>
      <c r="O51" s="2285">
        <f>L51*1.06*1.072</f>
        <v>4.650158965417913</v>
      </c>
      <c r="P51" s="2259">
        <f t="shared" ref="P51:P60" si="18">N51/2+O51/2</f>
        <v>2.3250794827089565</v>
      </c>
      <c r="Q51" s="2284">
        <v>0</v>
      </c>
      <c r="R51" s="2285">
        <f>74.4023400142119*1.06*1.072</f>
        <v>84.544867004949268</v>
      </c>
      <c r="S51" s="2259">
        <f t="shared" ref="S51:S60" si="19">Q51/2+R51/2</f>
        <v>42.272433502474634</v>
      </c>
      <c r="T51" s="2468">
        <f t="shared" si="15"/>
        <v>0</v>
      </c>
      <c r="U51" s="2296">
        <f t="shared" si="15"/>
        <v>89.195025970367183</v>
      </c>
      <c r="V51" s="2268">
        <f t="shared" si="5"/>
        <v>44.597512985183592</v>
      </c>
      <c r="W51" s="2884">
        <f t="shared" si="17"/>
        <v>0</v>
      </c>
      <c r="X51" s="2885">
        <f t="shared" si="17"/>
        <v>20.066914678501252</v>
      </c>
      <c r="Y51" s="2268">
        <f t="shared" si="6"/>
        <v>10.033457339250626</v>
      </c>
      <c r="Z51" s="2884">
        <f t="shared" si="16"/>
        <v>0</v>
      </c>
      <c r="AA51" s="2885">
        <f t="shared" si="16"/>
        <v>69.12811129186592</v>
      </c>
      <c r="AB51" s="2268">
        <f t="shared" si="7"/>
        <v>34.56405564593296</v>
      </c>
      <c r="AC51" s="2113">
        <f t="shared" si="8"/>
        <v>20.066914678501252</v>
      </c>
      <c r="AD51" s="2114">
        <f t="shared" si="9"/>
        <v>0</v>
      </c>
      <c r="AE51" s="2113">
        <f t="shared" si="10"/>
        <v>69.12811129186592</v>
      </c>
      <c r="AF51" s="2114">
        <f t="shared" si="11"/>
        <v>0</v>
      </c>
      <c r="AG51" s="2113"/>
      <c r="AH51" s="2113"/>
      <c r="AI51" s="2114">
        <f>Z51+'2024 Калуга+область перекачка'!Z51+'2024 Калуга+область очистка'!Z51</f>
        <v>145.41549473248864</v>
      </c>
      <c r="AJ51" s="2114">
        <f>AA51+'2024 Калуга+область перекачка'!AA51+'2024 Калуга+область очистка'!AA51</f>
        <v>592.0842527762552</v>
      </c>
      <c r="AK51" s="2114">
        <f>AB51+'2024 Калуга+область перекачка'!AB51+'2024 Калуга+область очистка'!AB51</f>
        <v>368.74987375437195</v>
      </c>
      <c r="AL51" s="2114">
        <f>расчет_тарифа_К_!O52</f>
        <v>592.0842527762552</v>
      </c>
      <c r="AM51" s="2593">
        <f t="shared" si="12"/>
        <v>0</v>
      </c>
    </row>
    <row r="52" spans="1:39" s="2218" customFormat="1" ht="30.75" customHeight="1" thickBot="1">
      <c r="A52" s="2235">
        <v>94</v>
      </c>
      <c r="B52" s="2297" t="s">
        <v>1830</v>
      </c>
      <c r="C52" s="2298" t="s">
        <v>1831</v>
      </c>
      <c r="D52" s="2299" t="s">
        <v>1317</v>
      </c>
      <c r="E52" s="2300">
        <f>'[3]НВВ тран-ка'!K353</f>
        <v>0</v>
      </c>
      <c r="F52" s="2301">
        <f>'[3]НВВ тран-ка'!L353</f>
        <v>0</v>
      </c>
      <c r="G52" s="2266">
        <f t="shared" si="0"/>
        <v>0</v>
      </c>
      <c r="H52" s="2301">
        <f>'[3]НВВ тран-ка'!T353</f>
        <v>0</v>
      </c>
      <c r="I52" s="2301">
        <f>'[3]НВВ тран-ка'!U353</f>
        <v>0</v>
      </c>
      <c r="J52" s="2266">
        <f t="shared" si="1"/>
        <v>0</v>
      </c>
      <c r="K52" s="2301">
        <f>'[3]НВВ тран-ка'!AC353</f>
        <v>0</v>
      </c>
      <c r="L52" s="2301">
        <f>'[3]НВВ тран-ка'!AD353</f>
        <v>0</v>
      </c>
      <c r="M52" s="2268">
        <f t="shared" si="2"/>
        <v>0</v>
      </c>
      <c r="N52" s="2300"/>
      <c r="O52" s="2301"/>
      <c r="P52" s="2268">
        <f t="shared" si="18"/>
        <v>0</v>
      </c>
      <c r="Q52" s="2300">
        <v>0</v>
      </c>
      <c r="R52" s="2301">
        <v>0</v>
      </c>
      <c r="S52" s="2268">
        <f t="shared" si="19"/>
        <v>0</v>
      </c>
      <c r="T52" s="2468">
        <f t="shared" si="15"/>
        <v>0</v>
      </c>
      <c r="U52" s="2296">
        <f t="shared" si="15"/>
        <v>0</v>
      </c>
      <c r="V52" s="2268">
        <f t="shared" si="5"/>
        <v>0</v>
      </c>
      <c r="W52" s="2888">
        <f t="shared" si="17"/>
        <v>0</v>
      </c>
      <c r="X52" s="2889">
        <f t="shared" si="17"/>
        <v>0</v>
      </c>
      <c r="Y52" s="2268">
        <f t="shared" si="6"/>
        <v>0</v>
      </c>
      <c r="Z52" s="2888">
        <f t="shared" si="16"/>
        <v>0</v>
      </c>
      <c r="AA52" s="2889">
        <f t="shared" si="16"/>
        <v>0</v>
      </c>
      <c r="AB52" s="2268">
        <f t="shared" si="7"/>
        <v>0</v>
      </c>
      <c r="AC52" s="2113">
        <f t="shared" si="8"/>
        <v>0</v>
      </c>
      <c r="AD52" s="2114">
        <f t="shared" si="9"/>
        <v>0</v>
      </c>
      <c r="AE52" s="2113">
        <f t="shared" si="10"/>
        <v>0</v>
      </c>
      <c r="AF52" s="2114">
        <f t="shared" si="11"/>
        <v>0</v>
      </c>
      <c r="AG52" s="2113"/>
      <c r="AH52" s="2113"/>
      <c r="AI52" s="2114">
        <f>Z52+'2024 Калуга+область перекачка'!Z52+'2024 Калуга+область очистка'!Z52</f>
        <v>0</v>
      </c>
      <c r="AJ52" s="2114">
        <f>AA52+'2024 Калуга+область перекачка'!AA52+'2024 Калуга+область очистка'!AA52</f>
        <v>0</v>
      </c>
      <c r="AK52" s="2114">
        <f>AB52+'2024 Калуга+область перекачка'!AB52+'2024 Калуга+область очистка'!AB52</f>
        <v>0</v>
      </c>
      <c r="AL52" s="2114">
        <f>расчет_тарифа_К_!O53</f>
        <v>0</v>
      </c>
      <c r="AM52" s="2593">
        <f t="shared" si="12"/>
        <v>0</v>
      </c>
    </row>
    <row r="53" spans="1:39" s="2218" customFormat="1" ht="24.75" customHeight="1" thickBot="1">
      <c r="A53" s="2235">
        <v>101</v>
      </c>
      <c r="B53" s="2270" t="s">
        <v>119</v>
      </c>
      <c r="C53" s="2271" t="s">
        <v>1832</v>
      </c>
      <c r="D53" s="2272" t="s">
        <v>1317</v>
      </c>
      <c r="E53" s="2273">
        <f>E54+E55+E56</f>
        <v>29143.529816868751</v>
      </c>
      <c r="F53" s="2275">
        <f>F54+F55+F56</f>
        <v>30109.408117797688</v>
      </c>
      <c r="G53" s="2303">
        <f t="shared" si="0"/>
        <v>29626.468967333218</v>
      </c>
      <c r="H53" s="2275">
        <f>H54+H55+H56</f>
        <v>23855.866449619636</v>
      </c>
      <c r="I53" s="2275">
        <f>I54+I55+I56</f>
        <v>24691.281703497625</v>
      </c>
      <c r="J53" s="2303">
        <f t="shared" si="1"/>
        <v>24273.574076558631</v>
      </c>
      <c r="K53" s="2275">
        <f>K54+K55+K56</f>
        <v>18710.170456658427</v>
      </c>
      <c r="L53" s="2275">
        <f>L54+L55+L56</f>
        <v>19797.19949752355</v>
      </c>
      <c r="M53" s="2303">
        <f t="shared" si="2"/>
        <v>19253.68497709099</v>
      </c>
      <c r="N53" s="2275">
        <f>N54+N55+N56</f>
        <v>14813.033951010977</v>
      </c>
      <c r="O53" s="2275">
        <f>O54+O55+O56</f>
        <v>22324.304104615505</v>
      </c>
      <c r="P53" s="2303">
        <f t="shared" si="18"/>
        <v>18568.669027813241</v>
      </c>
      <c r="Q53" s="2275">
        <f>Q54+Q55+Q56</f>
        <v>35104.040332777615</v>
      </c>
      <c r="R53" s="2275">
        <f>R54+R55+R56</f>
        <v>37631.531236737603</v>
      </c>
      <c r="S53" s="2303">
        <f t="shared" si="19"/>
        <v>36367.785784757609</v>
      </c>
      <c r="T53" s="2916">
        <f t="shared" si="15"/>
        <v>49917.074283788592</v>
      </c>
      <c r="U53" s="2917">
        <f t="shared" si="15"/>
        <v>59955.835341353108</v>
      </c>
      <c r="V53" s="2918">
        <f t="shared" si="5"/>
        <v>54936.454812570853</v>
      </c>
      <c r="W53" s="2916">
        <f>T53/$T$272*$N$272</f>
        <v>11230.24137002862</v>
      </c>
      <c r="X53" s="2275">
        <f>U53/$T$272*$N$272</f>
        <v>13488.741319195447</v>
      </c>
      <c r="Y53" s="2274">
        <f t="shared" si="6"/>
        <v>12359.491344612034</v>
      </c>
      <c r="Z53" s="2916">
        <f t="shared" si="16"/>
        <v>38686.832913759972</v>
      </c>
      <c r="AA53" s="2275">
        <f t="shared" si="16"/>
        <v>46467.094022157653</v>
      </c>
      <c r="AB53" s="2303">
        <f t="shared" si="7"/>
        <v>42576.963467958813</v>
      </c>
      <c r="AC53" s="2113">
        <f t="shared" si="8"/>
        <v>13488.741319195447</v>
      </c>
      <c r="AD53" s="2114">
        <f t="shared" si="9"/>
        <v>0</v>
      </c>
      <c r="AE53" s="2113">
        <f t="shared" si="10"/>
        <v>46467.094022157653</v>
      </c>
      <c r="AF53" s="2114">
        <f t="shared" si="11"/>
        <v>0</v>
      </c>
      <c r="AG53" s="2113"/>
      <c r="AH53" s="2113"/>
      <c r="AI53" s="2114">
        <f>Z53+'2024 Калуга+область перекачка'!Z53+'2024 Калуга+область очистка'!Z53</f>
        <v>86961.251051857267</v>
      </c>
      <c r="AJ53" s="2114">
        <f>AA53+'2024 Калуга+область перекачка'!AA53+'2024 Калуга+область очистка'!AA53</f>
        <v>147532.9090120894</v>
      </c>
      <c r="AK53" s="2114">
        <f>AB53+'2024 Калуга+область перекачка'!AB53+'2024 Калуга+область очистка'!AB53</f>
        <v>117247.08003197332</v>
      </c>
      <c r="AL53" s="2114">
        <f>расчет_тарифа_К_!O54</f>
        <v>147532.90973248144</v>
      </c>
      <c r="AM53" s="2593">
        <f t="shared" si="12"/>
        <v>-7.2039203951135278E-4</v>
      </c>
    </row>
    <row r="54" spans="1:39" s="2218" customFormat="1" ht="68.25" customHeight="1">
      <c r="A54" s="2235">
        <v>102</v>
      </c>
      <c r="B54" s="2305" t="s">
        <v>1833</v>
      </c>
      <c r="C54" s="2306" t="s">
        <v>1834</v>
      </c>
      <c r="D54" s="2307" t="s">
        <v>1317</v>
      </c>
      <c r="E54" s="2308">
        <f>'[3]НВВ тран-ка'!K355</f>
        <v>121.65330049261084</v>
      </c>
      <c r="F54" s="2309">
        <f>'[3]НВВ тран-ка'!L355</f>
        <v>125.30289950738921</v>
      </c>
      <c r="G54" s="2248">
        <f t="shared" si="0"/>
        <v>123.47810000000003</v>
      </c>
      <c r="H54" s="2309">
        <f>'[3]НВВ тран-ка'!T355</f>
        <v>82.692445972494966</v>
      </c>
      <c r="I54" s="2309">
        <f>'[3]НВВ тран-ка'!U355</f>
        <v>85.669374027504944</v>
      </c>
      <c r="J54" s="2248">
        <f t="shared" si="1"/>
        <v>84.180909999999955</v>
      </c>
      <c r="K54" s="2309">
        <f>'[3]НВВ тран-ка'!AC355</f>
        <v>897.80914341654409</v>
      </c>
      <c r="L54" s="2309">
        <f>'[3]НВВ тран-ка'!AD355</f>
        <v>936.41493658345541</v>
      </c>
      <c r="M54" s="2250">
        <f t="shared" si="2"/>
        <v>917.11203999999975</v>
      </c>
      <c r="N54" s="2308"/>
      <c r="O54" s="2285">
        <f>L54*1.06*1.072</f>
        <v>1064.0670207385122</v>
      </c>
      <c r="P54" s="2250">
        <f t="shared" si="18"/>
        <v>532.03351036925608</v>
      </c>
      <c r="Q54" s="2308">
        <v>0</v>
      </c>
      <c r="R54" s="2309">
        <v>0</v>
      </c>
      <c r="S54" s="2250">
        <f t="shared" si="19"/>
        <v>0</v>
      </c>
      <c r="T54" s="2919">
        <f t="shared" si="15"/>
        <v>0</v>
      </c>
      <c r="U54" s="2920">
        <f t="shared" si="15"/>
        <v>1064.0670207385122</v>
      </c>
      <c r="V54" s="2410">
        <f t="shared" si="5"/>
        <v>532.03351036925608</v>
      </c>
      <c r="W54" s="2921">
        <f>T54/$T$272*$W$272</f>
        <v>0</v>
      </c>
      <c r="X54" s="2922">
        <f>U54/$T$272*$W$272</f>
        <v>239.39162397307439</v>
      </c>
      <c r="Y54" s="2486">
        <f t="shared" si="6"/>
        <v>119.69581198653719</v>
      </c>
      <c r="Z54" s="2921">
        <f t="shared" si="16"/>
        <v>0</v>
      </c>
      <c r="AA54" s="2922">
        <f t="shared" si="16"/>
        <v>824.67539676543765</v>
      </c>
      <c r="AB54" s="2410">
        <f t="shared" si="7"/>
        <v>412.33769838271883</v>
      </c>
      <c r="AC54" s="2113">
        <f t="shared" si="8"/>
        <v>239.39162397307439</v>
      </c>
      <c r="AD54" s="2114">
        <f t="shared" si="9"/>
        <v>0</v>
      </c>
      <c r="AE54" s="2113">
        <f t="shared" si="10"/>
        <v>824.67539676543765</v>
      </c>
      <c r="AF54" s="2114">
        <f t="shared" si="11"/>
        <v>0</v>
      </c>
      <c r="AG54" s="2113"/>
      <c r="AH54" s="2113"/>
      <c r="AI54" s="2114">
        <f>Z54+'2024 Калуга+область перекачка'!Z54+'2024 Калуга+область очистка'!Z54</f>
        <v>0</v>
      </c>
      <c r="AJ54" s="2114">
        <f>AA54+'2024 Калуга+область перекачка'!AA54+'2024 Калуга+область очистка'!AA54</f>
        <v>7274.2076914055197</v>
      </c>
      <c r="AK54" s="2114">
        <f>AB54+'2024 Калуга+область перекачка'!AB54+'2024 Калуга+область очистка'!AB54</f>
        <v>3637.1038457027598</v>
      </c>
      <c r="AL54" s="2114">
        <f>расчет_тарифа_К_!O55</f>
        <v>7274.2076914055197</v>
      </c>
      <c r="AM54" s="2593">
        <f t="shared" si="12"/>
        <v>0</v>
      </c>
    </row>
    <row r="55" spans="1:39" s="2218" customFormat="1" ht="67.5" customHeight="1">
      <c r="A55" s="2235">
        <v>103</v>
      </c>
      <c r="B55" s="2281" t="s">
        <v>1836</v>
      </c>
      <c r="C55" s="2293" t="s">
        <v>1837</v>
      </c>
      <c r="D55" s="2283" t="s">
        <v>1317</v>
      </c>
      <c r="E55" s="2284">
        <f>'[3]НВВ тран-ка'!K356</f>
        <v>832.7052118226984</v>
      </c>
      <c r="F55" s="2285">
        <f>'[3]НВВ тран-ка'!L356</f>
        <v>857.68636817738115</v>
      </c>
      <c r="G55" s="2257">
        <f t="shared" si="0"/>
        <v>845.19579000003978</v>
      </c>
      <c r="H55" s="2285">
        <f>'[3]НВВ тран-ка'!T356</f>
        <v>3283.7264341846749</v>
      </c>
      <c r="I55" s="2285">
        <f>'[3]НВВ тран-ка'!U356</f>
        <v>3401.9405858153241</v>
      </c>
      <c r="J55" s="2257">
        <f t="shared" si="1"/>
        <v>3342.8335099999995</v>
      </c>
      <c r="K55" s="2285">
        <f>'[3]НВВ тран-ка'!AC356</f>
        <v>437.16599118942759</v>
      </c>
      <c r="L55" s="2285">
        <f>'[3]НВВ тран-ка'!AD356</f>
        <v>455.96412881057313</v>
      </c>
      <c r="M55" s="2259">
        <f t="shared" si="2"/>
        <v>446.56506000000036</v>
      </c>
      <c r="N55" s="2284"/>
      <c r="O55" s="2285">
        <f>L55*1.06*1.072</f>
        <v>518.1211588500305</v>
      </c>
      <c r="P55" s="2259">
        <f t="shared" si="18"/>
        <v>259.06057942501525</v>
      </c>
      <c r="Q55" s="2294">
        <v>0</v>
      </c>
      <c r="R55" s="2296">
        <v>0</v>
      </c>
      <c r="S55" s="2259">
        <f t="shared" si="19"/>
        <v>0</v>
      </c>
      <c r="T55" s="2919">
        <f t="shared" si="15"/>
        <v>0</v>
      </c>
      <c r="U55" s="2309">
        <f t="shared" si="15"/>
        <v>518.1211588500305</v>
      </c>
      <c r="V55" s="2268">
        <f t="shared" si="5"/>
        <v>259.06057942501525</v>
      </c>
      <c r="W55" s="2923">
        <f>T55/$T$272*$W$272</f>
        <v>0</v>
      </c>
      <c r="X55" s="2924">
        <f>U55/$T$272*$W$272</f>
        <v>116.56583957073941</v>
      </c>
      <c r="Y55" s="2410">
        <f t="shared" si="6"/>
        <v>58.282919785369707</v>
      </c>
      <c r="Z55" s="2923">
        <f t="shared" si="16"/>
        <v>0</v>
      </c>
      <c r="AA55" s="2924">
        <f t="shared" si="16"/>
        <v>401.55531927929104</v>
      </c>
      <c r="AB55" s="2268">
        <f t="shared" si="7"/>
        <v>200.77765963964552</v>
      </c>
      <c r="AC55" s="2113">
        <f t="shared" si="8"/>
        <v>116.56583957073941</v>
      </c>
      <c r="AD55" s="2114">
        <f t="shared" si="9"/>
        <v>0</v>
      </c>
      <c r="AE55" s="2113">
        <f t="shared" si="10"/>
        <v>401.55531927929104</v>
      </c>
      <c r="AF55" s="2114">
        <f t="shared" si="11"/>
        <v>0</v>
      </c>
      <c r="AG55" s="2113"/>
      <c r="AH55" s="2113"/>
      <c r="AI55" s="2114">
        <f>Z55+'2024 Калуга+область перекачка'!Z55+'2024 Калуга+область очистка'!Z55</f>
        <v>0</v>
      </c>
      <c r="AJ55" s="2114">
        <f>AA55+'2024 Калуга+область перекачка'!AA55+'2024 Калуга+область очистка'!AA55</f>
        <v>855.42128471818717</v>
      </c>
      <c r="AK55" s="2114">
        <f>AB55+'2024 Калуга+область перекачка'!AB55+'2024 Калуга+область очистка'!AB55</f>
        <v>427.71064235909358</v>
      </c>
      <c r="AL55" s="2114">
        <f>расчет_тарифа_К_!O56</f>
        <v>855.42128471818705</v>
      </c>
      <c r="AM55" s="2593">
        <f t="shared" si="12"/>
        <v>0</v>
      </c>
    </row>
    <row r="56" spans="1:39" s="2218" customFormat="1" ht="49.5" customHeight="1">
      <c r="A56" s="2235">
        <v>104</v>
      </c>
      <c r="B56" s="2279" t="s">
        <v>1839</v>
      </c>
      <c r="C56" s="2280" t="s">
        <v>1840</v>
      </c>
      <c r="D56" s="2254" t="s">
        <v>1317</v>
      </c>
      <c r="E56" s="2255">
        <f>E57+E67</f>
        <v>28189.171304553442</v>
      </c>
      <c r="F56" s="2256">
        <f>F57+F67</f>
        <v>29126.418850112917</v>
      </c>
      <c r="G56" s="2257">
        <f t="shared" si="0"/>
        <v>28657.79507733318</v>
      </c>
      <c r="H56" s="2256">
        <f>H57+H67</f>
        <v>20489.447569462467</v>
      </c>
      <c r="I56" s="2256">
        <f>I57+I67</f>
        <v>21203.671743654795</v>
      </c>
      <c r="J56" s="2257">
        <f t="shared" si="1"/>
        <v>20846.559656558631</v>
      </c>
      <c r="K56" s="2256">
        <f>K57+K67</f>
        <v>17375.195322052456</v>
      </c>
      <c r="L56" s="2256">
        <f>L57+L67</f>
        <v>18404.82043212952</v>
      </c>
      <c r="M56" s="2259">
        <f t="shared" si="2"/>
        <v>17890.007877090989</v>
      </c>
      <c r="N56" s="2256">
        <f>N57+N67</f>
        <v>14813.033951010977</v>
      </c>
      <c r="O56" s="2256">
        <f>O57+O67</f>
        <v>20742.115925026963</v>
      </c>
      <c r="P56" s="2259">
        <f t="shared" si="18"/>
        <v>17777.57493801897</v>
      </c>
      <c r="Q56" s="2256">
        <f>Q57+Q67</f>
        <v>35104.040332777615</v>
      </c>
      <c r="R56" s="2256">
        <f>R57+R67</f>
        <v>37631.531236737603</v>
      </c>
      <c r="S56" s="2259">
        <f t="shared" si="19"/>
        <v>36367.785784757609</v>
      </c>
      <c r="T56" s="2377">
        <f>N56+Q56</f>
        <v>49917.074283788592</v>
      </c>
      <c r="U56" s="2256">
        <f t="shared" ref="U56" si="20">O56+R56</f>
        <v>58373.647161764566</v>
      </c>
      <c r="V56" s="2268">
        <f t="shared" si="5"/>
        <v>54145.360722776575</v>
      </c>
      <c r="W56" s="2377">
        <f>T56/$T$272*$N$272</f>
        <v>11230.24137002862</v>
      </c>
      <c r="X56" s="2256">
        <f>U56/$T$272*$N$272</f>
        <v>13132.783855651633</v>
      </c>
      <c r="Y56" s="2268">
        <f t="shared" si="6"/>
        <v>12181.512612840126</v>
      </c>
      <c r="Z56" s="2886">
        <f t="shared" si="16"/>
        <v>38686.832913759972</v>
      </c>
      <c r="AA56" s="2887">
        <f t="shared" si="16"/>
        <v>45240.863306112922</v>
      </c>
      <c r="AB56" s="2268">
        <f t="shared" si="7"/>
        <v>41963.848109936444</v>
      </c>
      <c r="AC56" s="2113">
        <f t="shared" si="8"/>
        <v>13132.783855651633</v>
      </c>
      <c r="AD56" s="2114">
        <f t="shared" si="9"/>
        <v>0</v>
      </c>
      <c r="AE56" s="2113"/>
      <c r="AF56" s="2114"/>
      <c r="AG56" s="2113">
        <v>11230.24137002862</v>
      </c>
      <c r="AH56" s="2113">
        <v>12826.515575435875</v>
      </c>
      <c r="AI56" s="2114">
        <f>Z56+'2024 Калуга+область перекачка'!Z56+'2024 Калуга+область очистка'!Z56</f>
        <v>86961.251051857267</v>
      </c>
      <c r="AJ56" s="2114">
        <f>AA56+'2024 Калуга+область перекачка'!AA56+'2024 Калуга+область очистка'!AA56</f>
        <v>139403.2800359657</v>
      </c>
      <c r="AK56" s="2114">
        <f>AB56+'2024 Калуга+область перекачка'!AB56+'2024 Калуга+область очистка'!AB56</f>
        <v>113182.26554391148</v>
      </c>
      <c r="AL56" s="2114">
        <f>расчет_тарифа_К_!O57</f>
        <v>139403.28075635774</v>
      </c>
      <c r="AM56" s="2593">
        <f t="shared" si="12"/>
        <v>-7.2039203951135278E-4</v>
      </c>
    </row>
    <row r="57" spans="1:39" s="2218" customFormat="1" ht="42.75" customHeight="1">
      <c r="A57" s="2235">
        <v>105</v>
      </c>
      <c r="B57" s="2279" t="s">
        <v>1841</v>
      </c>
      <c r="C57" s="2280" t="s">
        <v>1842</v>
      </c>
      <c r="D57" s="2254" t="s">
        <v>1317</v>
      </c>
      <c r="E57" s="2255">
        <f>E58*E66*12/1000</f>
        <v>23236.385964651963</v>
      </c>
      <c r="F57" s="2256">
        <f>F58*F66*12/1000</f>
        <v>24025.049950014396</v>
      </c>
      <c r="G57" s="2257">
        <f t="shared" si="0"/>
        <v>23630.717957333181</v>
      </c>
      <c r="H57" s="2256">
        <f>H58*H66*12/1000</f>
        <v>15773.393945220065</v>
      </c>
      <c r="I57" s="2256">
        <f>I58*I66*12/1000</f>
        <v>16385.975631121186</v>
      </c>
      <c r="J57" s="2257">
        <f t="shared" si="1"/>
        <v>16079.684788170625</v>
      </c>
      <c r="K57" s="2256">
        <f>K58*K66*12/1000</f>
        <v>13253.912292519892</v>
      </c>
      <c r="L57" s="2256">
        <f>L58*L66*12/1000</f>
        <v>14019.787218526368</v>
      </c>
      <c r="M57" s="2259">
        <f t="shared" si="2"/>
        <v>13636.84975552313</v>
      </c>
      <c r="N57" s="2256">
        <f>N58*N66*12/1000</f>
        <v>11377.138211221949</v>
      </c>
      <c r="O57" s="2256">
        <f>O58*O66*12/1000</f>
        <v>15930.964612155885</v>
      </c>
      <c r="P57" s="2259">
        <f t="shared" si="18"/>
        <v>13654.051411688917</v>
      </c>
      <c r="Q57" s="2256">
        <f>Q58*Q66*12/1000</f>
        <v>26961.628519798473</v>
      </c>
      <c r="R57" s="2256">
        <f>R58*R66*12/1000</f>
        <v>28902.865773223966</v>
      </c>
      <c r="S57" s="2259">
        <f t="shared" si="19"/>
        <v>27932.247146511218</v>
      </c>
      <c r="T57" s="2256">
        <f>T58*T66*12/1000</f>
        <v>38338.766734399047</v>
      </c>
      <c r="U57" s="2256">
        <f>U58*U66*12/1000</f>
        <v>44833.83038783542</v>
      </c>
      <c r="V57" s="2268">
        <f t="shared" si="5"/>
        <v>41586.298561117233</v>
      </c>
      <c r="W57" s="2256">
        <f>W58*W66*12/1000</f>
        <v>8625.3773970954626</v>
      </c>
      <c r="X57" s="2256">
        <f>X58*X66*12/1000</f>
        <v>10086.623545599785</v>
      </c>
      <c r="Y57" s="2268">
        <f t="shared" si="6"/>
        <v>9356.0004713476228</v>
      </c>
      <c r="Z57" s="2256">
        <f>Z58*Z66*12/1000</f>
        <v>29713.389337303579</v>
      </c>
      <c r="AA57" s="2256">
        <f>AA58*AA66*12/1000</f>
        <v>34747.206842235631</v>
      </c>
      <c r="AB57" s="2268">
        <f t="shared" si="7"/>
        <v>32230.298089769603</v>
      </c>
      <c r="AC57" s="2113">
        <f t="shared" si="8"/>
        <v>10086.623545599787</v>
      </c>
      <c r="AD57" s="2114">
        <f t="shared" si="9"/>
        <v>0</v>
      </c>
      <c r="AE57" s="2114"/>
      <c r="AF57" s="2114"/>
      <c r="AG57" s="2113">
        <v>8625.3773963353451</v>
      </c>
      <c r="AH57" s="2113">
        <v>9851.394451179629</v>
      </c>
      <c r="AI57" s="2114">
        <f>Z57+'2024 Калуга+область перекачка'!Z57+'2024 Калуга+область очистка'!Z57</f>
        <v>66790.519068774083</v>
      </c>
      <c r="AJ57" s="2114">
        <f>AA57+'2024 Калуга+область перекачка'!AA57+'2024 Калуга+область очистка'!AA57</f>
        <v>107068.57415782165</v>
      </c>
      <c r="AK57" s="2114">
        <f>AB57+'2024 Калуга+область перекачка'!AB57+'2024 Калуга+область очистка'!AB57</f>
        <v>86929.546613297862</v>
      </c>
      <c r="AL57" s="2114">
        <f>расчет_тарифа_К_!O58</f>
        <v>107068.57217658689</v>
      </c>
      <c r="AM57" s="2593">
        <f t="shared" si="12"/>
        <v>1.9812347600236535E-3</v>
      </c>
    </row>
    <row r="58" spans="1:39" s="2218" customFormat="1" ht="45" customHeight="1">
      <c r="A58" s="2235">
        <v>610</v>
      </c>
      <c r="B58" s="2279" t="s">
        <v>1843</v>
      </c>
      <c r="C58" s="2280" t="s">
        <v>1844</v>
      </c>
      <c r="D58" s="2254"/>
      <c r="E58" s="2255">
        <f>E59+E60+E63+E64+E65</f>
        <v>42687.853732849871</v>
      </c>
      <c r="F58" s="2256">
        <f>F59+F60+F63+F64+F65</f>
        <v>44136.718151900772</v>
      </c>
      <c r="G58" s="2257">
        <f t="shared" si="0"/>
        <v>43412.285942375325</v>
      </c>
      <c r="H58" s="2256">
        <f>H59+H60+H63+H64+H65</f>
        <v>29873.852168977392</v>
      </c>
      <c r="I58" s="2256">
        <f>I59+I60+I63+I64+I65</f>
        <v>31034.044755911338</v>
      </c>
      <c r="J58" s="2257">
        <f t="shared" si="1"/>
        <v>30453.948462444365</v>
      </c>
      <c r="K58" s="2256">
        <f>K59+K60+K63+K64+K65</f>
        <v>40075.932185897109</v>
      </c>
      <c r="L58" s="2256">
        <f>L59+L60+L63+L64+L65</f>
        <v>42391.712683013931</v>
      </c>
      <c r="M58" s="2259">
        <f t="shared" si="2"/>
        <v>41233.82243445552</v>
      </c>
      <c r="N58" s="2256">
        <f>N59+N60+N63+N64+N65</f>
        <v>44935.21544399477</v>
      </c>
      <c r="O58" s="2256">
        <f>O59+O60+O63+O64+O65</f>
        <v>48170.550955962397</v>
      </c>
      <c r="P58" s="2259">
        <f t="shared" si="18"/>
        <v>46552.883199978583</v>
      </c>
      <c r="Q58" s="2256">
        <f>Q59+Q60+Q63+Q64+Q65</f>
        <v>51063.690378406201</v>
      </c>
      <c r="R58" s="2256">
        <f>R59+R60+R63+R64+R65</f>
        <v>54740.276085651451</v>
      </c>
      <c r="S58" s="2259">
        <f t="shared" si="19"/>
        <v>52901.983232028826</v>
      </c>
      <c r="T58" s="2256">
        <f>T59+T60+T63+T64+T65</f>
        <v>49077.403128406237</v>
      </c>
      <c r="U58" s="2256">
        <f>U59+U60+U63+U64+U65</f>
        <v>52210.06892565146</v>
      </c>
      <c r="V58" s="2268">
        <f t="shared" si="5"/>
        <v>50643.736027028848</v>
      </c>
      <c r="W58" s="2256">
        <f>W59+W60+W63+W64+W65</f>
        <v>49077.403128406237</v>
      </c>
      <c r="X58" s="2256">
        <f>X59+X60+X63+X64+X65</f>
        <v>52210.06892565146</v>
      </c>
      <c r="Y58" s="2268">
        <f t="shared" si="6"/>
        <v>50643.736027028848</v>
      </c>
      <c r="Z58" s="2256">
        <f>Z59+Z60+Z63+Z64+Z65</f>
        <v>49077.403128406237</v>
      </c>
      <c r="AA58" s="2256">
        <f>AA59+AA60+AA63+AA64+AA65</f>
        <v>52210.06892565146</v>
      </c>
      <c r="AB58" s="2268">
        <f t="shared" si="7"/>
        <v>50643.736027028848</v>
      </c>
      <c r="AC58" s="2113">
        <f t="shared" si="8"/>
        <v>11746.114618967518</v>
      </c>
      <c r="AD58" s="2114">
        <f t="shared" si="9"/>
        <v>-40463.95430668394</v>
      </c>
      <c r="AE58" s="2114"/>
      <c r="AF58" s="2114"/>
      <c r="AG58" s="2114">
        <f>AG57-W57</f>
        <v>-7.6011747296433896E-7</v>
      </c>
      <c r="AH58" s="2114">
        <f>AH57-X57</f>
        <v>-235.22909442015589</v>
      </c>
      <c r="AI58" s="2114">
        <f>Z58+'2024 Калуга+область перекачка'!Z58+'2024 Калуга+область очистка'!Z58</f>
        <v>94276.348733681647</v>
      </c>
      <c r="AJ58" s="2114">
        <f>AA58+'2024 Калуга+область перекачка'!AA58+'2024 Калуга+область очистка'!AA58</f>
        <v>112961.57451227776</v>
      </c>
      <c r="AK58" s="2114">
        <f>AB58+'2024 Калуга+область перекачка'!AB58+'2024 Калуга+область очистка'!AB58</f>
        <v>103618.96162297971</v>
      </c>
      <c r="AL58" s="2114">
        <f>расчет_тарифа_К_!O59</f>
        <v>0</v>
      </c>
      <c r="AM58" s="2593">
        <f t="shared" si="12"/>
        <v>112961.57451227776</v>
      </c>
    </row>
    <row r="59" spans="1:39" s="2218" customFormat="1" ht="21" customHeight="1">
      <c r="A59" s="2235">
        <v>311</v>
      </c>
      <c r="B59" s="2281" t="s">
        <v>1845</v>
      </c>
      <c r="C59" s="2282" t="s">
        <v>1846</v>
      </c>
      <c r="D59" s="2283" t="s">
        <v>1847</v>
      </c>
      <c r="E59" s="2284"/>
      <c r="F59" s="2285"/>
      <c r="G59" s="2257">
        <f t="shared" si="0"/>
        <v>0</v>
      </c>
      <c r="H59" s="2285"/>
      <c r="I59" s="2285"/>
      <c r="J59" s="2257">
        <f t="shared" si="1"/>
        <v>0</v>
      </c>
      <c r="K59" s="2285"/>
      <c r="L59" s="2285"/>
      <c r="M59" s="2259">
        <f t="shared" si="2"/>
        <v>0</v>
      </c>
      <c r="N59" s="2285"/>
      <c r="O59" s="2285"/>
      <c r="P59" s="2259">
        <f t="shared" si="18"/>
        <v>0</v>
      </c>
      <c r="Q59" s="2285"/>
      <c r="R59" s="2285"/>
      <c r="S59" s="2259">
        <f t="shared" si="19"/>
        <v>0</v>
      </c>
      <c r="T59" s="2284">
        <v>0</v>
      </c>
      <c r="U59" s="2285">
        <v>0</v>
      </c>
      <c r="V59" s="2268">
        <f t="shared" si="5"/>
        <v>0</v>
      </c>
      <c r="W59" s="2284">
        <v>0</v>
      </c>
      <c r="X59" s="2285">
        <v>0</v>
      </c>
      <c r="Y59" s="2268">
        <f t="shared" si="6"/>
        <v>0</v>
      </c>
      <c r="Z59" s="2284">
        <v>0</v>
      </c>
      <c r="AA59" s="2285">
        <v>0</v>
      </c>
      <c r="AB59" s="2268">
        <f t="shared" si="7"/>
        <v>0</v>
      </c>
      <c r="AC59" s="2113">
        <f t="shared" si="8"/>
        <v>0</v>
      </c>
      <c r="AD59" s="2114">
        <f t="shared" si="9"/>
        <v>0</v>
      </c>
      <c r="AE59" s="2113"/>
      <c r="AF59" s="2114"/>
      <c r="AG59" s="2113">
        <f>AG58/12/W66*1000</f>
        <v>-4.3249808012085779E-6</v>
      </c>
      <c r="AH59" s="2113">
        <f>AH58/12/X66*1000</f>
        <v>-1217.5855654246709</v>
      </c>
      <c r="AI59" s="2114">
        <f>Z59+'2024 Калуга+область перекачка'!Z59+'2024 Калуга+область очистка'!Z59</f>
        <v>0</v>
      </c>
      <c r="AJ59" s="2114">
        <f>AA59+'2024 Калуга+область перекачка'!AA59+'2024 Калуга+область очистка'!AA59</f>
        <v>0</v>
      </c>
      <c r="AK59" s="2114">
        <f>AB59+'2024 Калуга+область перекачка'!AB59+'2024 Калуга+область очистка'!AB59</f>
        <v>0</v>
      </c>
      <c r="AL59" s="2114">
        <f>расчет_тарифа_К_!O60</f>
        <v>0</v>
      </c>
      <c r="AM59" s="2593">
        <f t="shared" si="12"/>
        <v>0</v>
      </c>
    </row>
    <row r="60" spans="1:39" s="2218" customFormat="1" ht="21" customHeight="1">
      <c r="A60" s="2235">
        <v>611</v>
      </c>
      <c r="B60" s="2279" t="s">
        <v>1848</v>
      </c>
      <c r="C60" s="2280" t="s">
        <v>1786</v>
      </c>
      <c r="D60" s="2254" t="s">
        <v>1849</v>
      </c>
      <c r="E60" s="2255">
        <f>E61*E62</f>
        <v>13291.169610892135</v>
      </c>
      <c r="F60" s="2256">
        <f>F61*F62</f>
        <v>13836.702691936216</v>
      </c>
      <c r="G60" s="2257">
        <f t="shared" si="0"/>
        <v>13563.936151414175</v>
      </c>
      <c r="H60" s="2256">
        <f>H61*H62</f>
        <v>14963.208277639798</v>
      </c>
      <c r="I60" s="2256">
        <f>I61*I62</f>
        <v>15419.076630184381</v>
      </c>
      <c r="J60" s="2257">
        <f t="shared" si="1"/>
        <v>15191.142453912089</v>
      </c>
      <c r="K60" s="2256">
        <f>K61*K62</f>
        <v>15149.886840522502</v>
      </c>
      <c r="L60" s="2256">
        <f>L61*L62</f>
        <v>15913.968089870594</v>
      </c>
      <c r="M60" s="2259">
        <f t="shared" si="2"/>
        <v>15531.927465196548</v>
      </c>
      <c r="N60" s="2256">
        <f>N61*N62</f>
        <v>16868.806175262831</v>
      </c>
      <c r="O60" s="2256">
        <f>O61*O62</f>
        <v>18083.360219881757</v>
      </c>
      <c r="P60" s="2259">
        <f t="shared" si="18"/>
        <v>17476.083197572294</v>
      </c>
      <c r="Q60" s="2256">
        <f>Q61*Q62</f>
        <v>16868.806175262831</v>
      </c>
      <c r="R60" s="2256">
        <f>R61*R62</f>
        <v>18083.360219881757</v>
      </c>
      <c r="S60" s="2259">
        <f t="shared" si="19"/>
        <v>17476.083197572294</v>
      </c>
      <c r="T60" s="2256">
        <f>T61*T62</f>
        <v>16868.806175262831</v>
      </c>
      <c r="U60" s="2256">
        <f>U61*U62</f>
        <v>18083.360219881757</v>
      </c>
      <c r="V60" s="2268">
        <f t="shared" si="5"/>
        <v>17476.083197572294</v>
      </c>
      <c r="W60" s="2256">
        <f>W61*W62</f>
        <v>16868.806175262831</v>
      </c>
      <c r="X60" s="2256">
        <f>X61*X62</f>
        <v>18083.360219881757</v>
      </c>
      <c r="Y60" s="2268">
        <f t="shared" si="6"/>
        <v>17476.083197572294</v>
      </c>
      <c r="Z60" s="2256">
        <f>Z61*Z62</f>
        <v>16868.806175262831</v>
      </c>
      <c r="AA60" s="2256">
        <f>AA61*AA62</f>
        <v>18083.360219881757</v>
      </c>
      <c r="AB60" s="2268">
        <f t="shared" si="7"/>
        <v>17476.083197572294</v>
      </c>
      <c r="AC60" s="2113">
        <f t="shared" si="8"/>
        <v>4068.3574300827913</v>
      </c>
      <c r="AD60" s="2114">
        <f t="shared" si="9"/>
        <v>-14015.002789798966</v>
      </c>
      <c r="AE60" s="2113"/>
      <c r="AF60" s="2114"/>
      <c r="AG60" s="2113"/>
      <c r="AH60" s="2113"/>
      <c r="AI60" s="2114">
        <f>Z60+'2024 Калуга+область перекачка'!Z60+'2024 Калуга+область очистка'!Z60</f>
        <v>50606.418525788496</v>
      </c>
      <c r="AJ60" s="2114">
        <f>AA60+'2024 Калуга+область перекачка'!AA60+'2024 Калуга+область очистка'!AA60</f>
        <v>54250.080659645275</v>
      </c>
      <c r="AK60" s="2114">
        <f>AB60+'2024 Калуга+область перекачка'!AB60+'2024 Калуга+область очистка'!AB60</f>
        <v>52428.249592716878</v>
      </c>
      <c r="AL60" s="2114">
        <f>расчет_тарифа_К_!O61</f>
        <v>0</v>
      </c>
      <c r="AM60" s="2593">
        <f t="shared" si="12"/>
        <v>54250.080659645275</v>
      </c>
    </row>
    <row r="61" spans="1:39" s="2218" customFormat="1" ht="21" customHeight="1">
      <c r="A61" s="2235">
        <v>110</v>
      </c>
      <c r="B61" s="2281" t="s">
        <v>1850</v>
      </c>
      <c r="C61" s="2282" t="s">
        <v>1788</v>
      </c>
      <c r="D61" s="2283" t="s">
        <v>1784</v>
      </c>
      <c r="E61" s="2284">
        <f>'[3]НВВ тран-ка'!K362</f>
        <v>5360</v>
      </c>
      <c r="F61" s="2285">
        <f>'[3]НВВ тран-ка'!L362</f>
        <v>5580</v>
      </c>
      <c r="G61" s="2257">
        <f t="shared" si="0"/>
        <v>5470</v>
      </c>
      <c r="H61" s="2285">
        <f>'[3]НВВ тран-ка'!T362</f>
        <v>5580</v>
      </c>
      <c r="I61" s="2285">
        <f>'[3]НВВ тран-ка'!U362</f>
        <v>5750</v>
      </c>
      <c r="J61" s="2257">
        <f t="shared" si="1"/>
        <v>5665</v>
      </c>
      <c r="K61" s="2285">
        <f>'[3]НВВ тран-ка'!AC362</f>
        <v>5750</v>
      </c>
      <c r="L61" s="2285">
        <f>'[3]НВВ тран-ка'!AD362</f>
        <v>6040</v>
      </c>
      <c r="M61" s="2259">
        <f t="shared" si="2"/>
        <v>5895</v>
      </c>
      <c r="N61" s="2284">
        <v>6402.4000000000005</v>
      </c>
      <c r="O61" s="2285">
        <f>N61*1.072</f>
        <v>6863.372800000001</v>
      </c>
      <c r="P61" s="2259">
        <f>N61/2+O61/2</f>
        <v>6632.8864000000012</v>
      </c>
      <c r="Q61" s="2284">
        <v>6402.4000000000005</v>
      </c>
      <c r="R61" s="2285">
        <f>Q61*1.072</f>
        <v>6863.372800000001</v>
      </c>
      <c r="S61" s="2259">
        <f>Q61/2+R61/2</f>
        <v>6632.8864000000012</v>
      </c>
      <c r="T61" s="2284">
        <f>Q61</f>
        <v>6402.4000000000005</v>
      </c>
      <c r="U61" s="2285">
        <f>R61</f>
        <v>6863.372800000001</v>
      </c>
      <c r="V61" s="2268">
        <f t="shared" si="5"/>
        <v>6632.8864000000012</v>
      </c>
      <c r="W61" s="2284">
        <f>T61</f>
        <v>6402.4000000000005</v>
      </c>
      <c r="X61" s="2285">
        <f>U61</f>
        <v>6863.372800000001</v>
      </c>
      <c r="Y61" s="2268">
        <f t="shared" si="6"/>
        <v>6632.8864000000012</v>
      </c>
      <c r="Z61" s="2284">
        <f>W61</f>
        <v>6402.4000000000005</v>
      </c>
      <c r="AA61" s="2285">
        <f>X61</f>
        <v>6863.372800000001</v>
      </c>
      <c r="AB61" s="2268">
        <f t="shared" si="7"/>
        <v>6632.8864000000012</v>
      </c>
      <c r="AC61" s="2113">
        <f t="shared" si="8"/>
        <v>1544.1075876821037</v>
      </c>
      <c r="AD61" s="2114">
        <f t="shared" si="9"/>
        <v>-5319.2652123178977</v>
      </c>
      <c r="AE61" s="2113"/>
      <c r="AF61" s="2114"/>
      <c r="AG61" s="2113"/>
      <c r="AH61" s="2113"/>
      <c r="AI61" s="2114">
        <f>Z61+'2024 Калуга+область перекачка'!Z61+'2024 Калуга+область очистка'!Z61</f>
        <v>19207.2</v>
      </c>
      <c r="AJ61" s="2114">
        <f>AA61+'2024 Калуга+область перекачка'!AA61+'2024 Калуга+область очистка'!AA61</f>
        <v>20590.118400000003</v>
      </c>
      <c r="AK61" s="2114">
        <f>AB61+'2024 Калуга+область перекачка'!AB61+'2024 Калуга+область очистка'!AB61</f>
        <v>19898.659200000002</v>
      </c>
      <c r="AL61" s="2114">
        <f>расчет_тарифа_К_!O62</f>
        <v>0</v>
      </c>
      <c r="AM61" s="2593">
        <f t="shared" si="12"/>
        <v>20590.118400000003</v>
      </c>
    </row>
    <row r="62" spans="1:39" s="2218" customFormat="1" ht="21" customHeight="1">
      <c r="A62" s="2235">
        <v>113</v>
      </c>
      <c r="B62" s="2281" t="s">
        <v>1851</v>
      </c>
      <c r="C62" s="2282" t="s">
        <v>1790</v>
      </c>
      <c r="D62" s="2283"/>
      <c r="E62" s="2284">
        <f>'[3]НВВ тран-ка'!K363</f>
        <v>2.4796958229276371</v>
      </c>
      <c r="F62" s="2285">
        <f>'[3]НВВ тран-ка'!L363</f>
        <v>2.4796958229276371</v>
      </c>
      <c r="G62" s="2257">
        <f t="shared" si="0"/>
        <v>2.4796958229276371</v>
      </c>
      <c r="H62" s="2285">
        <f>'[3]НВВ тран-ка'!T363</f>
        <v>2.6815785443798923</v>
      </c>
      <c r="I62" s="2285">
        <f>'[3]НВВ тран-ка'!U363</f>
        <v>2.6815785443798923</v>
      </c>
      <c r="J62" s="2257">
        <f t="shared" si="1"/>
        <v>2.6815785443798923</v>
      </c>
      <c r="K62" s="2285">
        <f>'[3]НВВ тран-ка'!AC363</f>
        <v>2.6347629287865222</v>
      </c>
      <c r="L62" s="2285">
        <f>'[3]НВВ тран-ка'!AD363</f>
        <v>2.6347629287865222</v>
      </c>
      <c r="M62" s="2259">
        <f t="shared" si="2"/>
        <v>2.6347629287865222</v>
      </c>
      <c r="N62" s="2284">
        <v>2.6347629287865222</v>
      </c>
      <c r="O62" s="2285">
        <v>2.6347629287865222</v>
      </c>
      <c r="P62" s="2259">
        <f t="shared" ref="P62:P120" si="21">N62/2+O62/2</f>
        <v>2.6347629287865222</v>
      </c>
      <c r="Q62" s="2284">
        <v>2.6347629287865222</v>
      </c>
      <c r="R62" s="2285">
        <v>2.6347629287865222</v>
      </c>
      <c r="S62" s="2259">
        <f t="shared" ref="S62:S120" si="22">Q62/2+R62/2</f>
        <v>2.6347629287865222</v>
      </c>
      <c r="T62" s="2294">
        <v>2.6347629287865222</v>
      </c>
      <c r="U62" s="2296">
        <v>2.6347629287865222</v>
      </c>
      <c r="V62" s="2268">
        <f t="shared" si="5"/>
        <v>2.6347629287865222</v>
      </c>
      <c r="W62" s="2294">
        <v>2.6347629287865222</v>
      </c>
      <c r="X62" s="2296">
        <v>2.6347629287865222</v>
      </c>
      <c r="Y62" s="2268">
        <f t="shared" si="6"/>
        <v>2.6347629287865222</v>
      </c>
      <c r="Z62" s="2294">
        <v>2.6347629287865222</v>
      </c>
      <c r="AA62" s="2296">
        <v>2.6347629287865222</v>
      </c>
      <c r="AB62" s="2268">
        <f t="shared" si="7"/>
        <v>2.6347629287865222</v>
      </c>
      <c r="AC62" s="2113">
        <f t="shared" si="8"/>
        <v>0.59276357974941862</v>
      </c>
      <c r="AD62" s="2114">
        <f t="shared" si="9"/>
        <v>-2.0419993490371038</v>
      </c>
      <c r="AE62" s="2113"/>
      <c r="AF62" s="2114"/>
      <c r="AG62" s="2113"/>
      <c r="AH62" s="2113"/>
      <c r="AI62" s="2114">
        <f>Z62+'2024 Калуга+область перекачка'!Z62+'2024 Калуга+область очистка'!Z62</f>
        <v>7.904288786359567</v>
      </c>
      <c r="AJ62" s="2114">
        <f>AA62+'2024 Калуга+область перекачка'!AA62+'2024 Калуга+область очистка'!AA62</f>
        <v>7.904288786359567</v>
      </c>
      <c r="AK62" s="2114">
        <f>AB62+'2024 Калуга+область перекачка'!AB62+'2024 Калуга+область очистка'!AB62</f>
        <v>7.904288786359567</v>
      </c>
      <c r="AL62" s="2114">
        <f>расчет_тарифа_К_!O63</f>
        <v>0</v>
      </c>
      <c r="AM62" s="2593">
        <f t="shared" si="12"/>
        <v>7.904288786359567</v>
      </c>
    </row>
    <row r="63" spans="1:39" s="2218" customFormat="1" ht="30.75" customHeight="1">
      <c r="A63" s="2235">
        <v>612</v>
      </c>
      <c r="B63" s="2281" t="s">
        <v>1852</v>
      </c>
      <c r="C63" s="2282" t="s">
        <v>1853</v>
      </c>
      <c r="D63" s="2283" t="s">
        <v>1847</v>
      </c>
      <c r="E63" s="2284">
        <f>'[3]НВВ тран-ка'!K364</f>
        <v>13515.71417108608</v>
      </c>
      <c r="F63" s="2285">
        <f>'[3]НВВ тран-ка'!L364</f>
        <v>13886.887675288461</v>
      </c>
      <c r="G63" s="2257">
        <f t="shared" si="0"/>
        <v>13701.300923187271</v>
      </c>
      <c r="H63" s="2285">
        <f>'[3]НВВ тран-ка'!T364</f>
        <v>5122.764966583878</v>
      </c>
      <c r="I63" s="2285">
        <f>'[3]НВВ тран-ка'!U364</f>
        <v>5396.285978110629</v>
      </c>
      <c r="J63" s="2257">
        <f t="shared" si="1"/>
        <v>5259.5254723472535</v>
      </c>
      <c r="K63" s="2285">
        <f>'[3]НВВ тран-ка'!AC364</f>
        <v>13362.415130391877</v>
      </c>
      <c r="L63" s="2285">
        <f>'[3]НВВ тран-ка'!AD364</f>
        <v>14030.535886911472</v>
      </c>
      <c r="M63" s="2259">
        <f t="shared" si="2"/>
        <v>13696.475508651674</v>
      </c>
      <c r="N63" s="2284">
        <v>14872.368040126161</v>
      </c>
      <c r="O63" s="2285">
        <f>N63*1.072</f>
        <v>15943.178539015245</v>
      </c>
      <c r="P63" s="2259">
        <f t="shared" si="21"/>
        <v>15407.773289570703</v>
      </c>
      <c r="Q63" s="2284">
        <v>14030.535886911472</v>
      </c>
      <c r="R63" s="2285">
        <f>Q63*1.072</f>
        <v>15040.734470769099</v>
      </c>
      <c r="S63" s="2259">
        <f t="shared" si="22"/>
        <v>14535.635178840286</v>
      </c>
      <c r="T63" s="2385">
        <f>14030.5358869115-1986.28725</f>
        <v>12044.248636911501</v>
      </c>
      <c r="U63" s="2285">
        <f>15040.7344707691-2500</f>
        <v>12540.734470769101</v>
      </c>
      <c r="V63" s="2268">
        <f t="shared" si="5"/>
        <v>12292.4915538403</v>
      </c>
      <c r="W63" s="2888">
        <v>12044.248636911501</v>
      </c>
      <c r="X63" s="2889">
        <v>12540.734470769101</v>
      </c>
      <c r="Y63" s="2268">
        <f t="shared" si="6"/>
        <v>12292.4915538403</v>
      </c>
      <c r="Z63" s="2888">
        <v>12044.248636911501</v>
      </c>
      <c r="AA63" s="2889">
        <v>12540.734470769101</v>
      </c>
      <c r="AB63" s="2268">
        <f t="shared" si="7"/>
        <v>12292.4915538403</v>
      </c>
      <c r="AC63" s="2113">
        <f t="shared" si="8"/>
        <v>2821.3888150474759</v>
      </c>
      <c r="AD63" s="2114">
        <f t="shared" si="9"/>
        <v>-9719.345655721625</v>
      </c>
      <c r="AE63" s="2113"/>
      <c r="AF63" s="2114"/>
      <c r="AG63" s="2113"/>
      <c r="AH63" s="2113"/>
      <c r="AI63" s="2114">
        <f>Z63+'2024 Калуга+область перекачка'!Z63+'2024 Калуга+область очистка'!Z63</f>
        <v>16196.201076919706</v>
      </c>
      <c r="AJ63" s="2114">
        <f>AA63+'2024 Калуга+область перекачка'!AA63+'2024 Калуга+область очистка'!AA63</f>
        <v>22887.580212442255</v>
      </c>
      <c r="AK63" s="2114">
        <f>AB63+'2024 Калуга+область перекачка'!AB63+'2024 Калуга+область очистка'!AB63</f>
        <v>19541.890644680978</v>
      </c>
      <c r="AL63" s="2114">
        <f>расчет_тарифа_К_!O64</f>
        <v>0</v>
      </c>
      <c r="AM63" s="2593">
        <f t="shared" si="12"/>
        <v>22887.580212442255</v>
      </c>
    </row>
    <row r="64" spans="1:39" s="2218" customFormat="1" ht="21" customHeight="1">
      <c r="A64" s="2235">
        <v>613</v>
      </c>
      <c r="B64" s="2281" t="s">
        <v>1854</v>
      </c>
      <c r="C64" s="2282" t="s">
        <v>1795</v>
      </c>
      <c r="D64" s="2283" t="s">
        <v>1847</v>
      </c>
      <c r="E64" s="2284">
        <f>'[3]НВВ тран-ка'!K365</f>
        <v>15880.96995087166</v>
      </c>
      <c r="F64" s="2285">
        <f>'[3]НВВ тран-ка'!L365</f>
        <v>16413.127784676093</v>
      </c>
      <c r="G64" s="2257">
        <f t="shared" si="0"/>
        <v>16147.048867773876</v>
      </c>
      <c r="H64" s="2285">
        <f>'[3]НВВ тран-ка'!T365</f>
        <v>9787.8789247537152</v>
      </c>
      <c r="I64" s="2285">
        <f>'[3]НВВ тран-ка'!U365</f>
        <v>10218.682147616328</v>
      </c>
      <c r="J64" s="2257">
        <f t="shared" si="1"/>
        <v>10003.280536185022</v>
      </c>
      <c r="K64" s="2285">
        <f>'[3]НВВ тран-ка'!AC365</f>
        <v>11563.63021498273</v>
      </c>
      <c r="L64" s="2285">
        <f>'[3]НВВ тран-ка'!AD365</f>
        <v>12447.208706231866</v>
      </c>
      <c r="M64" s="2259">
        <f t="shared" si="2"/>
        <v>12005.419460607298</v>
      </c>
      <c r="N64" s="2284">
        <v>13194.041228605778</v>
      </c>
      <c r="O64" s="2285">
        <f>N64*1.072</f>
        <v>14144.012197065395</v>
      </c>
      <c r="P64" s="2259">
        <f t="shared" si="21"/>
        <v>13669.026712835586</v>
      </c>
      <c r="Q64" s="2284">
        <v>20164.348316231899</v>
      </c>
      <c r="R64" s="2285">
        <f>Q64*1.072</f>
        <v>21616.181395000596</v>
      </c>
      <c r="S64" s="2259">
        <f t="shared" si="22"/>
        <v>20890.264855616246</v>
      </c>
      <c r="T64" s="2385">
        <v>20164.348316231899</v>
      </c>
      <c r="U64" s="2285">
        <f>21616.1813950006-30.20716</f>
        <v>21585.974235000598</v>
      </c>
      <c r="V64" s="2268">
        <f t="shared" si="5"/>
        <v>20875.16127561625</v>
      </c>
      <c r="W64" s="2888">
        <v>20164.348316231899</v>
      </c>
      <c r="X64" s="2889">
        <v>21585.974235000598</v>
      </c>
      <c r="Y64" s="2268">
        <f t="shared" si="6"/>
        <v>20875.16127561625</v>
      </c>
      <c r="Z64" s="2888">
        <v>20164.348316231899</v>
      </c>
      <c r="AA64" s="2889">
        <v>21585.974235000598</v>
      </c>
      <c r="AB64" s="2268">
        <f t="shared" si="7"/>
        <v>20875.16127561625</v>
      </c>
      <c r="AC64" s="2113">
        <f t="shared" si="8"/>
        <v>4856.3683738372492</v>
      </c>
      <c r="AD64" s="2114">
        <f t="shared" si="9"/>
        <v>-16729.605861163349</v>
      </c>
      <c r="AE64" s="2113"/>
      <c r="AF64" s="2114"/>
      <c r="AG64" s="2113"/>
      <c r="AH64" s="2113"/>
      <c r="AI64" s="2114">
        <f>Z64+'2024 Калуга+область перекачка'!Z64+'2024 Калуга+область очистка'!Z64</f>
        <v>27473.729130973457</v>
      </c>
      <c r="AJ64" s="2114">
        <f>AA64+'2024 Калуга+область перекачка'!AA64+'2024 Калуга+область очистка'!AA64</f>
        <v>35823.913640190229</v>
      </c>
      <c r="AK64" s="2114">
        <f>AB64+'2024 Калуга+область перекачка'!AB64+'2024 Калуга+область очистка'!AB64</f>
        <v>31648.821385581843</v>
      </c>
      <c r="AL64" s="2114">
        <f>расчет_тарифа_К_!O65</f>
        <v>0</v>
      </c>
      <c r="AM64" s="2593">
        <f t="shared" si="12"/>
        <v>35823.913640190229</v>
      </c>
    </row>
    <row r="65" spans="1:39" s="2218" customFormat="1" ht="34.5" customHeight="1">
      <c r="A65" s="2235">
        <v>614</v>
      </c>
      <c r="B65" s="2281" t="s">
        <v>1855</v>
      </c>
      <c r="C65" s="2282" t="s">
        <v>1856</v>
      </c>
      <c r="D65" s="2283" t="s">
        <v>1847</v>
      </c>
      <c r="E65" s="2284">
        <f>'[3]НВВ тран-ка'!K366</f>
        <v>0</v>
      </c>
      <c r="F65" s="2285">
        <f>'[3]НВВ тран-ка'!L366</f>
        <v>0</v>
      </c>
      <c r="G65" s="2257">
        <f t="shared" si="0"/>
        <v>0</v>
      </c>
      <c r="H65" s="2285">
        <f>'[3]НВВ тран-ка'!T366</f>
        <v>0</v>
      </c>
      <c r="I65" s="2285">
        <f>'[3]НВВ тран-ка'!U366</f>
        <v>0</v>
      </c>
      <c r="J65" s="2257">
        <f t="shared" si="1"/>
        <v>0</v>
      </c>
      <c r="K65" s="2285">
        <f>'[3]НВВ тран-ка'!AC366</f>
        <v>0</v>
      </c>
      <c r="L65" s="2285">
        <f>'[3]НВВ тран-ка'!AD366</f>
        <v>0</v>
      </c>
      <c r="M65" s="2259">
        <f t="shared" si="2"/>
        <v>0</v>
      </c>
      <c r="N65" s="2284"/>
      <c r="O65" s="2285"/>
      <c r="P65" s="2259">
        <f t="shared" si="21"/>
        <v>0</v>
      </c>
      <c r="Q65" s="2284">
        <v>0</v>
      </c>
      <c r="R65" s="2285">
        <v>0</v>
      </c>
      <c r="S65" s="2259">
        <f t="shared" si="22"/>
        <v>0</v>
      </c>
      <c r="T65" s="2294">
        <v>0</v>
      </c>
      <c r="U65" s="2296">
        <v>0</v>
      </c>
      <c r="V65" s="2268">
        <f t="shared" si="5"/>
        <v>0</v>
      </c>
      <c r="W65" s="2294">
        <v>0</v>
      </c>
      <c r="X65" s="2296">
        <v>0</v>
      </c>
      <c r="Y65" s="2268">
        <f t="shared" si="6"/>
        <v>0</v>
      </c>
      <c r="Z65" s="2294">
        <v>0</v>
      </c>
      <c r="AA65" s="2296">
        <v>0</v>
      </c>
      <c r="AB65" s="2268">
        <f t="shared" si="7"/>
        <v>0</v>
      </c>
      <c r="AC65" s="2113">
        <f t="shared" si="8"/>
        <v>0</v>
      </c>
      <c r="AD65" s="2114">
        <f t="shared" si="9"/>
        <v>0</v>
      </c>
      <c r="AE65" s="2113"/>
      <c r="AF65" s="2114"/>
      <c r="AG65" s="2113"/>
      <c r="AH65" s="2113"/>
      <c r="AI65" s="2114">
        <f>Z65+'2024 Калуга+область перекачка'!Z65+'2024 Калуга+область очистка'!Z65</f>
        <v>0</v>
      </c>
      <c r="AJ65" s="2114">
        <f>AA65+'2024 Калуга+область перекачка'!AA65+'2024 Калуга+область очистка'!AA65</f>
        <v>0</v>
      </c>
      <c r="AK65" s="2114">
        <f>AB65+'2024 Калуга+область перекачка'!AB65+'2024 Калуга+область очистка'!AB65</f>
        <v>0</v>
      </c>
      <c r="AL65" s="2114">
        <f>расчет_тарифа_К_!O66</f>
        <v>0</v>
      </c>
      <c r="AM65" s="2593">
        <f t="shared" si="12"/>
        <v>0</v>
      </c>
    </row>
    <row r="66" spans="1:39" s="2218" customFormat="1" ht="42" customHeight="1">
      <c r="A66" s="2235">
        <v>106</v>
      </c>
      <c r="B66" s="2281" t="s">
        <v>1857</v>
      </c>
      <c r="C66" s="2282" t="s">
        <v>1799</v>
      </c>
      <c r="D66" s="2283" t="s">
        <v>1800</v>
      </c>
      <c r="E66" s="2284">
        <f>'[3]НВВ тран-ка'!K367</f>
        <v>45.361041320384444</v>
      </c>
      <c r="F66" s="2285">
        <f>'[3]НВВ тран-ка'!L367</f>
        <v>45.361041320384444</v>
      </c>
      <c r="G66" s="2257">
        <f t="shared" si="0"/>
        <v>45.361041320384444</v>
      </c>
      <c r="H66" s="2285">
        <f>'[3]НВВ тран-ка'!T367</f>
        <v>44</v>
      </c>
      <c r="I66" s="2285">
        <f>'[3]НВВ тран-ка'!U367</f>
        <v>44</v>
      </c>
      <c r="J66" s="2257">
        <f t="shared" si="1"/>
        <v>44</v>
      </c>
      <c r="K66" s="2285">
        <f>'[3]НВВ тран-ка'!AC367</f>
        <v>27.560000000000002</v>
      </c>
      <c r="L66" s="2285">
        <f>'[3]НВВ тран-ка'!AD367</f>
        <v>27.560000000000002</v>
      </c>
      <c r="M66" s="2259">
        <f t="shared" si="2"/>
        <v>27.560000000000002</v>
      </c>
      <c r="N66" s="2294">
        <v>21.099150000000002</v>
      </c>
      <c r="O66" s="2285">
        <v>27.560000000000002</v>
      </c>
      <c r="P66" s="2259">
        <f t="shared" si="21"/>
        <v>24.329575000000002</v>
      </c>
      <c r="Q66" s="2284">
        <v>44</v>
      </c>
      <c r="R66" s="2285">
        <v>44</v>
      </c>
      <c r="S66" s="2259">
        <f t="shared" si="22"/>
        <v>44</v>
      </c>
      <c r="T66" s="2385">
        <f t="shared" ref="T66:U75" si="23">N66+Q66</f>
        <v>65.099150000000009</v>
      </c>
      <c r="U66" s="2285">
        <f t="shared" si="23"/>
        <v>71.56</v>
      </c>
      <c r="V66" s="2268">
        <f t="shared" si="5"/>
        <v>68.329575000000006</v>
      </c>
      <c r="W66" s="2888">
        <f>T66/$T$272*$W$272</f>
        <v>14.645873741064367</v>
      </c>
      <c r="X66" s="2889">
        <f>U66/$T$272*$W$272</f>
        <v>16.099422571731978</v>
      </c>
      <c r="Y66" s="2268">
        <f t="shared" si="6"/>
        <v>15.372648156398173</v>
      </c>
      <c r="Z66" s="2888">
        <f t="shared" ref="Z66:AA76" si="24">T66/$T$272*$Z$272</f>
        <v>50.453276258935631</v>
      </c>
      <c r="AA66" s="2889">
        <f t="shared" si="24"/>
        <v>55.46057742826801</v>
      </c>
      <c r="AB66" s="2268">
        <f t="shared" si="7"/>
        <v>52.956926843601821</v>
      </c>
      <c r="AC66" s="2113">
        <f t="shared" si="8"/>
        <v>16.099422571731978</v>
      </c>
      <c r="AD66" s="2114">
        <f t="shared" si="9"/>
        <v>0</v>
      </c>
      <c r="AE66" s="2113"/>
      <c r="AF66" s="2114"/>
      <c r="AG66" s="2113"/>
      <c r="AH66" s="2113"/>
      <c r="AI66" s="2114">
        <f>Z66+'2024 Калуга+область перекачка'!Z66+'2024 Калуга+область очистка'!Z66</f>
        <v>181.22615050973153</v>
      </c>
      <c r="AJ66" s="2114">
        <f>AA66+'2024 Калуга+область перекачка'!AA66+'2024 Калуга+область очистка'!AA66</f>
        <v>255.64250284729059</v>
      </c>
      <c r="AK66" s="2114">
        <f>AB66+'2024 Калуга+область перекачка'!AB66+'2024 Калуга+область очистка'!AB66</f>
        <v>218.43432667851107</v>
      </c>
      <c r="AL66" s="2114">
        <f>расчет_тарифа_К_!O67</f>
        <v>255.64250284729059</v>
      </c>
      <c r="AM66" s="2593">
        <f t="shared" si="12"/>
        <v>0</v>
      </c>
    </row>
    <row r="67" spans="1:39" s="2218" customFormat="1" ht="54" customHeight="1" thickBot="1">
      <c r="A67" s="2235">
        <v>116</v>
      </c>
      <c r="B67" s="2311" t="s">
        <v>1859</v>
      </c>
      <c r="C67" s="2312" t="s">
        <v>1860</v>
      </c>
      <c r="D67" s="2313" t="s">
        <v>1317</v>
      </c>
      <c r="E67" s="2314">
        <f>'[3]НВВ тран-ка'!K368</f>
        <v>4952.7853399014775</v>
      </c>
      <c r="F67" s="2315">
        <f>'[3]НВВ тран-ка'!L368</f>
        <v>5101.3689000985232</v>
      </c>
      <c r="G67" s="2266">
        <f t="shared" si="0"/>
        <v>5027.0771199999999</v>
      </c>
      <c r="H67" s="2315">
        <f>'[3]НВВ тран-ка'!T368</f>
        <v>4716.0536242424014</v>
      </c>
      <c r="I67" s="2315">
        <f>'[3]НВВ тран-ка'!U368</f>
        <v>4817.6961125336093</v>
      </c>
      <c r="J67" s="2266">
        <f t="shared" si="1"/>
        <v>4766.8748683880058</v>
      </c>
      <c r="K67" s="2315">
        <f>'[3]НВВ тран-ка'!AC368</f>
        <v>4121.2830295325639</v>
      </c>
      <c r="L67" s="2315">
        <f>'[3]НВВ тран-ка'!AD368</f>
        <v>4385.0332136031529</v>
      </c>
      <c r="M67" s="2268">
        <f t="shared" si="2"/>
        <v>4253.158121567858</v>
      </c>
      <c r="N67" s="2290">
        <f>N57*0.302</f>
        <v>3435.8957397890285</v>
      </c>
      <c r="O67" s="2290">
        <f>O57*0.302</f>
        <v>4811.1513128710776</v>
      </c>
      <c r="P67" s="2268">
        <f t="shared" si="21"/>
        <v>4123.5235263300528</v>
      </c>
      <c r="Q67" s="2290">
        <f>Q57*0.302</f>
        <v>8142.4118129791386</v>
      </c>
      <c r="R67" s="2290">
        <f>R57*0.302</f>
        <v>8728.6654635136383</v>
      </c>
      <c r="S67" s="2268">
        <f t="shared" si="22"/>
        <v>8435.5386382463876</v>
      </c>
      <c r="T67" s="2469">
        <f t="shared" si="23"/>
        <v>11578.307552768167</v>
      </c>
      <c r="U67" s="2470">
        <f t="shared" si="23"/>
        <v>13539.816776384716</v>
      </c>
      <c r="V67" s="2268">
        <f t="shared" si="5"/>
        <v>12559.06216457644</v>
      </c>
      <c r="W67" s="2377">
        <f t="shared" ref="W67:X69" si="25">T67/$T$272*$N$272</f>
        <v>2604.8639736932737</v>
      </c>
      <c r="X67" s="2256">
        <f t="shared" si="25"/>
        <v>3046.1603106042962</v>
      </c>
      <c r="Y67" s="2268">
        <f t="shared" si="6"/>
        <v>2825.5121421487847</v>
      </c>
      <c r="Z67" s="2886">
        <f t="shared" si="24"/>
        <v>8973.4435790748903</v>
      </c>
      <c r="AA67" s="2887">
        <f t="shared" si="24"/>
        <v>10493.656465780417</v>
      </c>
      <c r="AB67" s="2268">
        <f t="shared" si="7"/>
        <v>9733.5500224276548</v>
      </c>
      <c r="AC67" s="2113">
        <f t="shared" si="8"/>
        <v>3046.1603106042962</v>
      </c>
      <c r="AD67" s="2114">
        <f t="shared" si="9"/>
        <v>0</v>
      </c>
      <c r="AE67" s="2113"/>
      <c r="AF67" s="2114"/>
      <c r="AG67" s="2113"/>
      <c r="AH67" s="2113"/>
      <c r="AI67" s="2114">
        <f>Z67+'2024 Калуга+область перекачка'!Z67+'2024 Калуга+область очистка'!Z67</f>
        <v>20170.735651045223</v>
      </c>
      <c r="AJ67" s="2114">
        <f>AA67+'2024 Калуга+область перекачка'!AA67+'2024 Калуга+область очистка'!AA67</f>
        <v>32334.708579770846</v>
      </c>
      <c r="AK67" s="2114">
        <f>AB67+'2024 Калуга+область перекачка'!AB67+'2024 Калуга+область очистка'!AB67</f>
        <v>26252.722115408036</v>
      </c>
      <c r="AL67" s="2114">
        <f>расчет_тарифа_К_!O68</f>
        <v>32334.70857977085</v>
      </c>
      <c r="AM67" s="2593">
        <f t="shared" si="12"/>
        <v>0</v>
      </c>
    </row>
    <row r="68" spans="1:39" s="2218" customFormat="1" ht="24" customHeight="1" thickBot="1">
      <c r="A68" s="2235">
        <v>117</v>
      </c>
      <c r="B68" s="2317" t="s">
        <v>120</v>
      </c>
      <c r="C68" s="2318" t="s">
        <v>1862</v>
      </c>
      <c r="D68" s="2319" t="s">
        <v>1317</v>
      </c>
      <c r="E68" s="2320">
        <f>E69+E76+E89+E90+E91+E92+E88</f>
        <v>788.57860098522337</v>
      </c>
      <c r="F68" s="2321">
        <f>F69+F76+F89+F90+F91+F92+F88</f>
        <v>812.23595901478018</v>
      </c>
      <c r="G68" s="2303">
        <f t="shared" si="0"/>
        <v>800.40728000000172</v>
      </c>
      <c r="H68" s="2321">
        <f>H69+H76+H89+H90+H91+H92+H88</f>
        <v>331.97037328094331</v>
      </c>
      <c r="I68" s="2321">
        <f>I69+I76+I89+I90+I91+I92+I88</f>
        <v>343.92130671905733</v>
      </c>
      <c r="J68" s="2303">
        <f t="shared" si="1"/>
        <v>337.94584000000032</v>
      </c>
      <c r="K68" s="2321">
        <f>K69+K76+K89+K90+K91+K92+K88</f>
        <v>498.01182477889733</v>
      </c>
      <c r="L68" s="2321">
        <f>L69+L76+L89+L90+L91+L92+L88</f>
        <v>519.42633324438987</v>
      </c>
      <c r="M68" s="2303">
        <f t="shared" si="2"/>
        <v>508.7190790116436</v>
      </c>
      <c r="N68" s="2321">
        <f>N69+N76+N89+N90+N91+N92+N88</f>
        <v>0</v>
      </c>
      <c r="O68" s="2321">
        <f>O69+O76+O89+O90+O91+O92+O88</f>
        <v>590.23453099226526</v>
      </c>
      <c r="P68" s="2303">
        <f t="shared" si="21"/>
        <v>295.11726549613263</v>
      </c>
      <c r="Q68" s="2321">
        <f>Q69+Q76+Q89+Q90+Q91+Q92+Q88</f>
        <v>17082.484166253973</v>
      </c>
      <c r="R68" s="2321">
        <f>R69+R76+R89+R90+R91+R92+R88</f>
        <v>21461.478851656379</v>
      </c>
      <c r="S68" s="2303">
        <f t="shared" si="22"/>
        <v>19271.981508955178</v>
      </c>
      <c r="T68" s="2916">
        <f t="shared" si="23"/>
        <v>17082.484166253973</v>
      </c>
      <c r="U68" s="2275">
        <f t="shared" si="23"/>
        <v>22051.713382648642</v>
      </c>
      <c r="V68" s="2925">
        <f t="shared" si="5"/>
        <v>19567.098774451308</v>
      </c>
      <c r="W68" s="2916">
        <f t="shared" si="25"/>
        <v>3843.1823807636019</v>
      </c>
      <c r="X68" s="2275">
        <f t="shared" si="25"/>
        <v>4961.1494155670443</v>
      </c>
      <c r="Y68" s="2274">
        <f t="shared" si="6"/>
        <v>4402.1658981653236</v>
      </c>
      <c r="Z68" s="2916">
        <f t="shared" si="24"/>
        <v>13239.301785490368</v>
      </c>
      <c r="AA68" s="2275">
        <f t="shared" si="24"/>
        <v>17090.563967081594</v>
      </c>
      <c r="AB68" s="2925">
        <f t="shared" si="7"/>
        <v>15164.93287628598</v>
      </c>
      <c r="AC68" s="2113">
        <f t="shared" si="8"/>
        <v>4961.1494155670443</v>
      </c>
      <c r="AD68" s="2114">
        <f t="shared" si="9"/>
        <v>0</v>
      </c>
      <c r="AE68" s="2113">
        <f t="shared" si="10"/>
        <v>17090.563967081594</v>
      </c>
      <c r="AF68" s="2114">
        <f t="shared" si="11"/>
        <v>0</v>
      </c>
      <c r="AG68" s="2113"/>
      <c r="AH68" s="2113"/>
      <c r="AI68" s="2114">
        <f>Z68+'2024 Калуга+область перекачка'!Z68+'2024 Калуга+область очистка'!Z68</f>
        <v>76163.885190367728</v>
      </c>
      <c r="AJ68" s="2114">
        <f>AA68+'2024 Калуга+область перекачка'!AA68+'2024 Калуга+область очистка'!AA68</f>
        <v>86230.630867333603</v>
      </c>
      <c r="AK68" s="2114">
        <f>AB68+'2024 Калуга+область перекачка'!AB68+'2024 Калуга+область очистка'!AB68</f>
        <v>81197.258028850658</v>
      </c>
      <c r="AL68" s="2114">
        <f>расчет_тарифа_К_!O69</f>
        <v>86230.630867333603</v>
      </c>
      <c r="AM68" s="2593">
        <f t="shared" si="12"/>
        <v>0</v>
      </c>
    </row>
    <row r="69" spans="1:39" s="2218" customFormat="1" ht="37.5" customHeight="1" thickBot="1">
      <c r="A69" s="2235">
        <v>118</v>
      </c>
      <c r="B69" s="2243" t="s">
        <v>1863</v>
      </c>
      <c r="C69" s="2278" t="s">
        <v>1864</v>
      </c>
      <c r="D69" s="2245" t="s">
        <v>1317</v>
      </c>
      <c r="E69" s="2246">
        <f>E70+E71+E72+E73+E74+E75</f>
        <v>291.5088768472898</v>
      </c>
      <c r="F69" s="2247">
        <f>F70+F71+F72+F73+F74+F75</f>
        <v>300.25414315270854</v>
      </c>
      <c r="G69" s="2248">
        <f t="shared" ref="G69:G132" si="26">E69/2+F69/2</f>
        <v>295.88150999999914</v>
      </c>
      <c r="H69" s="2247">
        <f>H70+H71+H72+H73+H74+H75</f>
        <v>201.381905697446</v>
      </c>
      <c r="I69" s="2247">
        <f>I70+I71+I72+I73+I74+I75</f>
        <v>208.63165430255407</v>
      </c>
      <c r="J69" s="2248">
        <f t="shared" ref="J69:J132" si="27">H69/2+I69/2</f>
        <v>205.00678000000005</v>
      </c>
      <c r="K69" s="2247">
        <f>K70+K71+K72+K73+K74+K75</f>
        <v>249.46034263338228</v>
      </c>
      <c r="L69" s="2247">
        <f>L70+L71+L72+L73+L74+L75</f>
        <v>260.18713736661772</v>
      </c>
      <c r="M69" s="2250">
        <f t="shared" ref="M69:M132" si="28">K69/2+L69/2</f>
        <v>254.82373999999999</v>
      </c>
      <c r="N69" s="2247">
        <f>N70+N71+N72+N73+N74+N75</f>
        <v>0</v>
      </c>
      <c r="O69" s="2247">
        <f>O70+O71+O72+O73+O74+O75</f>
        <v>295.65584793243511</v>
      </c>
      <c r="P69" s="2250">
        <f t="shared" si="21"/>
        <v>147.82792396621755</v>
      </c>
      <c r="Q69" s="2247">
        <f>Q70+Q71+Q72+Q73+Q74+Q75</f>
        <v>0</v>
      </c>
      <c r="R69" s="2247">
        <f>R70+R71+R72+R73+R74+R75</f>
        <v>1328.4354600531738</v>
      </c>
      <c r="S69" s="2250">
        <f t="shared" si="22"/>
        <v>664.21773002658688</v>
      </c>
      <c r="T69" s="2469">
        <f t="shared" si="23"/>
        <v>0</v>
      </c>
      <c r="U69" s="2470">
        <f t="shared" si="23"/>
        <v>1624.0913079856089</v>
      </c>
      <c r="V69" s="2268">
        <f t="shared" ref="V69:V132" si="29">T69/2+U69/2</f>
        <v>812.04565399280443</v>
      </c>
      <c r="W69" s="2377">
        <f t="shared" si="25"/>
        <v>0</v>
      </c>
      <c r="X69" s="2256">
        <f t="shared" si="25"/>
        <v>365.3847437442318</v>
      </c>
      <c r="Y69" s="2268">
        <f t="shared" ref="Y69:Y132" si="30">W69/2+X69/2</f>
        <v>182.6923718721159</v>
      </c>
      <c r="Z69" s="2886">
        <f t="shared" si="24"/>
        <v>0</v>
      </c>
      <c r="AA69" s="2887">
        <f t="shared" si="24"/>
        <v>1258.706564241377</v>
      </c>
      <c r="AB69" s="2268">
        <f t="shared" ref="AB69:AB132" si="31">Z69/2+AA69/2</f>
        <v>629.3532821206885</v>
      </c>
      <c r="AC69" s="2113">
        <f t="shared" si="8"/>
        <v>365.3847437442318</v>
      </c>
      <c r="AD69" s="2114">
        <f t="shared" si="9"/>
        <v>0</v>
      </c>
      <c r="AE69" s="2113">
        <f t="shared" si="10"/>
        <v>1258.706564241377</v>
      </c>
      <c r="AF69" s="2114">
        <f t="shared" si="11"/>
        <v>0</v>
      </c>
      <c r="AG69" s="2113"/>
      <c r="AH69" s="2113"/>
      <c r="AI69" s="2114">
        <f>Z69+'2024 Калуга+область перекачка'!Z69+'2024 Калуга+область очистка'!Z69</f>
        <v>2341.5881997266961</v>
      </c>
      <c r="AJ69" s="2114">
        <f>AA69+'2024 Калуга+область перекачка'!AA69+'2024 Калуга+область очистка'!AA69</f>
        <v>4361.6347019413333</v>
      </c>
      <c r="AK69" s="2114">
        <f>AB69+'2024 Калуга+область перекачка'!AB69+'2024 Калуга+область очистка'!AB69</f>
        <v>3351.6114508340152</v>
      </c>
      <c r="AL69" s="2114">
        <f>расчет_тарифа_К_!O70</f>
        <v>4361.6347019413324</v>
      </c>
      <c r="AM69" s="2593">
        <f t="shared" si="12"/>
        <v>0</v>
      </c>
    </row>
    <row r="70" spans="1:39" s="2218" customFormat="1" ht="27" customHeight="1">
      <c r="A70" s="2235">
        <v>119</v>
      </c>
      <c r="B70" s="2281" t="s">
        <v>1865</v>
      </c>
      <c r="C70" s="2282" t="s">
        <v>1866</v>
      </c>
      <c r="D70" s="2283" t="s">
        <v>1317</v>
      </c>
      <c r="E70" s="2284">
        <f>'[3]НВВ тран-ка'!K371</f>
        <v>0</v>
      </c>
      <c r="F70" s="2285">
        <f>'[3]НВВ тран-ка'!L371</f>
        <v>0</v>
      </c>
      <c r="G70" s="2257">
        <f t="shared" si="26"/>
        <v>0</v>
      </c>
      <c r="H70" s="2285"/>
      <c r="I70" s="2285"/>
      <c r="J70" s="2257">
        <f t="shared" si="27"/>
        <v>0</v>
      </c>
      <c r="K70" s="2285"/>
      <c r="L70" s="2285"/>
      <c r="M70" s="2259">
        <f t="shared" si="28"/>
        <v>0</v>
      </c>
      <c r="N70" s="2284"/>
      <c r="O70" s="2285"/>
      <c r="P70" s="2259">
        <f t="shared" si="21"/>
        <v>0</v>
      </c>
      <c r="Q70" s="2284">
        <v>0</v>
      </c>
      <c r="R70" s="2285">
        <f>1156.52192493781*1.072</f>
        <v>1239.7915035333324</v>
      </c>
      <c r="S70" s="2259">
        <f t="shared" si="22"/>
        <v>619.89575176666619</v>
      </c>
      <c r="T70" s="2385">
        <f t="shared" si="23"/>
        <v>0</v>
      </c>
      <c r="U70" s="2285">
        <f t="shared" si="23"/>
        <v>1239.7915035333324</v>
      </c>
      <c r="V70" s="2268">
        <f t="shared" si="29"/>
        <v>619.89575176666619</v>
      </c>
      <c r="W70" s="2888">
        <f t="shared" ref="W70:X75" si="32">T70/$T$272*$W$272</f>
        <v>0</v>
      </c>
      <c r="X70" s="2889">
        <f t="shared" si="32"/>
        <v>278.92575903054865</v>
      </c>
      <c r="Y70" s="2268">
        <f t="shared" si="30"/>
        <v>139.46287951527432</v>
      </c>
      <c r="Z70" s="2888">
        <f t="shared" si="24"/>
        <v>0</v>
      </c>
      <c r="AA70" s="2889">
        <f t="shared" si="24"/>
        <v>960.86574450278363</v>
      </c>
      <c r="AB70" s="2268">
        <f t="shared" si="31"/>
        <v>480.43287225139181</v>
      </c>
      <c r="AC70" s="2113">
        <f t="shared" ref="AC70:AC133" si="33">U70/$U$272*$X$272</f>
        <v>278.92575903054865</v>
      </c>
      <c r="AD70" s="2114">
        <f t="shared" ref="AD70:AD133" si="34">AC70-X70</f>
        <v>0</v>
      </c>
      <c r="AE70" s="2113">
        <f t="shared" ref="AE70:AE133" si="35">U70/$U$272*$AA$272</f>
        <v>960.86574450278363</v>
      </c>
      <c r="AF70" s="2114">
        <f t="shared" ref="AF70:AF133" si="36">AE70-AA70</f>
        <v>0</v>
      </c>
      <c r="AG70" s="2113"/>
      <c r="AH70" s="2113"/>
      <c r="AI70" s="2114">
        <f>Z70+'2024 Калуга+область перекачка'!Z70+'2024 Калуга+область очистка'!Z70</f>
        <v>2182.4774622627911</v>
      </c>
      <c r="AJ70" s="2114">
        <f>AA70+'2024 Калуга+область перекачка'!AA70+'2024 Калуга+область очистка'!AA70</f>
        <v>3300.4815840484953</v>
      </c>
      <c r="AK70" s="2114">
        <f>AB70+'2024 Калуга+область перекачка'!AB70+'2024 Калуга+область очистка'!AB70</f>
        <v>2741.4795231556427</v>
      </c>
      <c r="AL70" s="2114">
        <f>расчет_тарифа_К_!O71</f>
        <v>3300.4815840484953</v>
      </c>
      <c r="AM70" s="2593">
        <f t="shared" ref="AM70:AM133" si="37">AJ70-AL70</f>
        <v>0</v>
      </c>
    </row>
    <row r="71" spans="1:39" s="2218" customFormat="1" ht="21.75" customHeight="1">
      <c r="A71" s="2235">
        <v>120</v>
      </c>
      <c r="B71" s="2281" t="s">
        <v>1868</v>
      </c>
      <c r="C71" s="2282" t="s">
        <v>1869</v>
      </c>
      <c r="D71" s="2283" t="s">
        <v>1317</v>
      </c>
      <c r="E71" s="2284">
        <f>'[3]НВВ тран-ка'!K372</f>
        <v>0</v>
      </c>
      <c r="F71" s="2285">
        <f>'[3]НВВ тран-ка'!L372</f>
        <v>0</v>
      </c>
      <c r="G71" s="2257">
        <f t="shared" si="26"/>
        <v>0</v>
      </c>
      <c r="H71" s="2285"/>
      <c r="I71" s="2285"/>
      <c r="J71" s="2257">
        <f t="shared" si="27"/>
        <v>0</v>
      </c>
      <c r="K71" s="2285"/>
      <c r="L71" s="2285"/>
      <c r="M71" s="2259">
        <f t="shared" si="28"/>
        <v>0</v>
      </c>
      <c r="N71" s="2284"/>
      <c r="O71" s="2285"/>
      <c r="P71" s="2259">
        <f t="shared" si="21"/>
        <v>0</v>
      </c>
      <c r="Q71" s="2284">
        <v>0</v>
      </c>
      <c r="R71" s="2285"/>
      <c r="S71" s="2259">
        <f t="shared" si="22"/>
        <v>0</v>
      </c>
      <c r="T71" s="2385">
        <f t="shared" si="23"/>
        <v>0</v>
      </c>
      <c r="U71" s="2285">
        <f t="shared" si="23"/>
        <v>0</v>
      </c>
      <c r="V71" s="2268">
        <f t="shared" si="29"/>
        <v>0</v>
      </c>
      <c r="W71" s="2888">
        <f t="shared" si="32"/>
        <v>0</v>
      </c>
      <c r="X71" s="2889">
        <f t="shared" si="32"/>
        <v>0</v>
      </c>
      <c r="Y71" s="2268">
        <f t="shared" si="30"/>
        <v>0</v>
      </c>
      <c r="Z71" s="2888">
        <f t="shared" si="24"/>
        <v>0</v>
      </c>
      <c r="AA71" s="2889">
        <f t="shared" si="24"/>
        <v>0</v>
      </c>
      <c r="AB71" s="2268">
        <f t="shared" si="31"/>
        <v>0</v>
      </c>
      <c r="AC71" s="2113">
        <f t="shared" si="33"/>
        <v>0</v>
      </c>
      <c r="AD71" s="2114">
        <f t="shared" si="34"/>
        <v>0</v>
      </c>
      <c r="AE71" s="2113">
        <f t="shared" si="35"/>
        <v>0</v>
      </c>
      <c r="AF71" s="2114">
        <f t="shared" si="36"/>
        <v>0</v>
      </c>
      <c r="AG71" s="2113"/>
      <c r="AH71" s="2113"/>
      <c r="AI71" s="2114">
        <f>Z71+'2024 Калуга+область перекачка'!Z71+'2024 Калуга+область очистка'!Z71</f>
        <v>0</v>
      </c>
      <c r="AJ71" s="2114">
        <f>AA71+'2024 Калуга+область перекачка'!AA71+'2024 Калуга+область очистка'!AA71</f>
        <v>0</v>
      </c>
      <c r="AK71" s="2114">
        <f>AB71+'2024 Калуга+область перекачка'!AB71+'2024 Калуга+область очистка'!AB71</f>
        <v>0</v>
      </c>
      <c r="AL71" s="2114">
        <f>расчет_тарифа_К_!O72</f>
        <v>0</v>
      </c>
      <c r="AM71" s="2593">
        <f t="shared" si="37"/>
        <v>0</v>
      </c>
    </row>
    <row r="72" spans="1:39" s="2218" customFormat="1" ht="22.5" customHeight="1">
      <c r="A72" s="2235">
        <v>121</v>
      </c>
      <c r="B72" s="2281" t="s">
        <v>1870</v>
      </c>
      <c r="C72" s="2282" t="s">
        <v>1871</v>
      </c>
      <c r="D72" s="2283" t="s">
        <v>1317</v>
      </c>
      <c r="E72" s="2284">
        <f>'[3]НВВ тран-ка'!K373</f>
        <v>-4.5474735088646412E-13</v>
      </c>
      <c r="F72" s="2285">
        <f>'[3]НВВ тран-ка'!L373</f>
        <v>-4.6895820560166612E-13</v>
      </c>
      <c r="G72" s="2257">
        <f t="shared" si="26"/>
        <v>-4.6185277824406512E-13</v>
      </c>
      <c r="H72" s="2285"/>
      <c r="I72" s="2285"/>
      <c r="J72" s="2257">
        <f t="shared" si="27"/>
        <v>0</v>
      </c>
      <c r="K72" s="2285"/>
      <c r="L72" s="2285"/>
      <c r="M72" s="2259">
        <f t="shared" si="28"/>
        <v>0</v>
      </c>
      <c r="N72" s="2284"/>
      <c r="O72" s="2285"/>
      <c r="P72" s="2259">
        <f t="shared" si="21"/>
        <v>0</v>
      </c>
      <c r="Q72" s="2284">
        <v>0</v>
      </c>
      <c r="R72" s="2285">
        <f>9.02384179768997*1.072</f>
        <v>9.6735584071236485</v>
      </c>
      <c r="S72" s="2259">
        <f t="shared" si="22"/>
        <v>4.8367792035618242</v>
      </c>
      <c r="T72" s="2385">
        <f t="shared" si="23"/>
        <v>0</v>
      </c>
      <c r="U72" s="2285">
        <f t="shared" si="23"/>
        <v>9.6735584071236485</v>
      </c>
      <c r="V72" s="2268">
        <f t="shared" si="29"/>
        <v>4.8367792035618242</v>
      </c>
      <c r="W72" s="2888">
        <f t="shared" si="32"/>
        <v>0</v>
      </c>
      <c r="X72" s="2889">
        <f t="shared" si="32"/>
        <v>2.1763374031388221</v>
      </c>
      <c r="Y72" s="2268">
        <f t="shared" si="30"/>
        <v>1.088168701569411</v>
      </c>
      <c r="Z72" s="2888">
        <f t="shared" si="24"/>
        <v>0</v>
      </c>
      <c r="AA72" s="2889">
        <f t="shared" si="24"/>
        <v>7.4972210039848246</v>
      </c>
      <c r="AB72" s="2268">
        <f t="shared" si="31"/>
        <v>3.7486105019924123</v>
      </c>
      <c r="AC72" s="2113">
        <f t="shared" si="33"/>
        <v>2.1763374031388221</v>
      </c>
      <c r="AD72" s="2114">
        <f t="shared" si="34"/>
        <v>0</v>
      </c>
      <c r="AE72" s="2113">
        <f t="shared" si="35"/>
        <v>7.4972210039848246</v>
      </c>
      <c r="AF72" s="2114">
        <f t="shared" si="36"/>
        <v>0</v>
      </c>
      <c r="AG72" s="2113"/>
      <c r="AH72" s="2113"/>
      <c r="AI72" s="2114">
        <f>Z72+'2024 Калуга+область перекачка'!Z72+'2024 Калуга+область очистка'!Z72</f>
        <v>17.028930383263003</v>
      </c>
      <c r="AJ72" s="2114">
        <f>AA72+'2024 Калуга+область перекачка'!AA72+'2024 Калуга+область очистка'!AA72</f>
        <v>25.752234374842764</v>
      </c>
      <c r="AK72" s="2114">
        <f>AB72+'2024 Калуга+область перекачка'!AB72+'2024 Калуга+область очистка'!AB72</f>
        <v>21.39058237905288</v>
      </c>
      <c r="AL72" s="2114">
        <f>расчет_тарифа_К_!O73</f>
        <v>25.752234374842764</v>
      </c>
      <c r="AM72" s="2593">
        <f t="shared" si="37"/>
        <v>0</v>
      </c>
    </row>
    <row r="73" spans="1:39" s="2218" customFormat="1" ht="22.5" customHeight="1">
      <c r="A73" s="2235">
        <v>122</v>
      </c>
      <c r="B73" s="2281" t="s">
        <v>1873</v>
      </c>
      <c r="C73" s="2282" t="s">
        <v>1874</v>
      </c>
      <c r="D73" s="2283" t="s">
        <v>1317</v>
      </c>
      <c r="E73" s="2284">
        <f>'[3]НВВ тран-ка'!K374</f>
        <v>0</v>
      </c>
      <c r="F73" s="2285">
        <f>'[3]НВВ тран-ка'!L374</f>
        <v>0</v>
      </c>
      <c r="G73" s="2257">
        <f t="shared" si="26"/>
        <v>0</v>
      </c>
      <c r="H73" s="2285"/>
      <c r="I73" s="2285"/>
      <c r="J73" s="2257">
        <f t="shared" si="27"/>
        <v>0</v>
      </c>
      <c r="K73" s="2285"/>
      <c r="L73" s="2285"/>
      <c r="M73" s="2259">
        <f t="shared" si="28"/>
        <v>0</v>
      </c>
      <c r="N73" s="2284"/>
      <c r="O73" s="2285"/>
      <c r="P73" s="2259">
        <f t="shared" si="21"/>
        <v>0</v>
      </c>
      <c r="Q73" s="2284">
        <v>0</v>
      </c>
      <c r="R73" s="2285">
        <f>9.92622597745897*1.072</f>
        <v>10.640914247836015</v>
      </c>
      <c r="S73" s="2259">
        <f t="shared" si="22"/>
        <v>5.3204571239180076</v>
      </c>
      <c r="T73" s="2385">
        <f t="shared" si="23"/>
        <v>0</v>
      </c>
      <c r="U73" s="2285">
        <f t="shared" si="23"/>
        <v>10.640914247836015</v>
      </c>
      <c r="V73" s="2268">
        <f t="shared" si="29"/>
        <v>5.3204571239180076</v>
      </c>
      <c r="W73" s="2888">
        <f t="shared" si="32"/>
        <v>0</v>
      </c>
      <c r="X73" s="2889">
        <f t="shared" si="32"/>
        <v>2.3939711434527049</v>
      </c>
      <c r="Y73" s="2268">
        <f t="shared" si="30"/>
        <v>1.1969855717263524</v>
      </c>
      <c r="Z73" s="2888">
        <f t="shared" si="24"/>
        <v>0</v>
      </c>
      <c r="AA73" s="2889">
        <f t="shared" si="24"/>
        <v>8.246943104383309</v>
      </c>
      <c r="AB73" s="2268">
        <f t="shared" si="31"/>
        <v>4.1234715521916545</v>
      </c>
      <c r="AC73" s="2113">
        <f t="shared" si="33"/>
        <v>2.3939711434527049</v>
      </c>
      <c r="AD73" s="2114">
        <f t="shared" si="34"/>
        <v>0</v>
      </c>
      <c r="AE73" s="2113">
        <f t="shared" si="35"/>
        <v>8.246943104383309</v>
      </c>
      <c r="AF73" s="2114">
        <f t="shared" si="36"/>
        <v>0</v>
      </c>
      <c r="AG73" s="2113"/>
      <c r="AH73" s="2113"/>
      <c r="AI73" s="2114">
        <f>Z73+'2024 Калуга+область перекачка'!Z73+'2024 Калуга+область очистка'!Z73</f>
        <v>18.731823421589304</v>
      </c>
      <c r="AJ73" s="2114">
        <f>AA73+'2024 Калуга+область перекачка'!AA73+'2024 Калуга+область очистка'!AA73</f>
        <v>28.327457812327047</v>
      </c>
      <c r="AK73" s="2114">
        <f>AB73+'2024 Калуга+область перекачка'!AB73+'2024 Калуга+область очистка'!AB73</f>
        <v>23.529640616958176</v>
      </c>
      <c r="AL73" s="2114">
        <f>расчет_тарифа_К_!O74</f>
        <v>28.327457812327047</v>
      </c>
      <c r="AM73" s="2593">
        <f t="shared" si="37"/>
        <v>0</v>
      </c>
    </row>
    <row r="74" spans="1:39" s="2218" customFormat="1" ht="42" customHeight="1">
      <c r="A74" s="2235">
        <v>123</v>
      </c>
      <c r="B74" s="2281" t="s">
        <v>1876</v>
      </c>
      <c r="C74" s="2282" t="s">
        <v>1877</v>
      </c>
      <c r="D74" s="2283" t="s">
        <v>1317</v>
      </c>
      <c r="E74" s="2284">
        <f>'[3]НВВ тран-ка'!K375</f>
        <v>291.50887684729025</v>
      </c>
      <c r="F74" s="2285">
        <f>'[3]НВВ тран-ка'!L375</f>
        <v>300.25414315270899</v>
      </c>
      <c r="G74" s="2257">
        <f t="shared" si="26"/>
        <v>295.88150999999959</v>
      </c>
      <c r="H74" s="2285">
        <f>'[3]НВВ тран-ка'!T375</f>
        <v>201.381905697446</v>
      </c>
      <c r="I74" s="2285">
        <f>'[3]НВВ тран-ка'!U375</f>
        <v>208.63165430255407</v>
      </c>
      <c r="J74" s="2257">
        <f t="shared" si="27"/>
        <v>205.00678000000005</v>
      </c>
      <c r="K74" s="2285">
        <f>'[3]НВВ тран-ка'!AC375</f>
        <v>249.46034263338228</v>
      </c>
      <c r="L74" s="2285">
        <f>'[3]НВВ тран-ка'!AD375</f>
        <v>260.18713736661772</v>
      </c>
      <c r="M74" s="2259">
        <f t="shared" si="28"/>
        <v>254.82373999999999</v>
      </c>
      <c r="N74" s="2284"/>
      <c r="O74" s="2285">
        <f>L74*1.06*1.072</f>
        <v>295.65584793243511</v>
      </c>
      <c r="P74" s="2259">
        <f t="shared" si="21"/>
        <v>147.82792396621755</v>
      </c>
      <c r="Q74" s="2284">
        <v>0</v>
      </c>
      <c r="R74" s="2285">
        <f>63.7401901724643*1.072</f>
        <v>68.329483864881738</v>
      </c>
      <c r="S74" s="2259">
        <f t="shared" si="22"/>
        <v>34.164741932440869</v>
      </c>
      <c r="T74" s="2385">
        <f t="shared" si="23"/>
        <v>0</v>
      </c>
      <c r="U74" s="2285">
        <f t="shared" si="23"/>
        <v>363.98533179731686</v>
      </c>
      <c r="V74" s="2268">
        <f t="shared" si="29"/>
        <v>181.99266589865843</v>
      </c>
      <c r="W74" s="2888">
        <f t="shared" si="32"/>
        <v>0</v>
      </c>
      <c r="X74" s="2889">
        <f t="shared" si="32"/>
        <v>81.888676167091631</v>
      </c>
      <c r="Y74" s="2268">
        <f t="shared" si="30"/>
        <v>40.944338083545816</v>
      </c>
      <c r="Z74" s="2888">
        <f t="shared" si="24"/>
        <v>0</v>
      </c>
      <c r="AA74" s="2889">
        <f t="shared" si="24"/>
        <v>282.0966556302252</v>
      </c>
      <c r="AB74" s="2268">
        <f t="shared" si="31"/>
        <v>141.0483278151126</v>
      </c>
      <c r="AC74" s="2113">
        <f t="shared" si="33"/>
        <v>81.888676167091631</v>
      </c>
      <c r="AD74" s="2114">
        <f t="shared" si="34"/>
        <v>0</v>
      </c>
      <c r="AE74" s="2113">
        <f t="shared" si="35"/>
        <v>282.0966556302252</v>
      </c>
      <c r="AF74" s="2114">
        <f t="shared" si="36"/>
        <v>0</v>
      </c>
      <c r="AG74" s="2113"/>
      <c r="AH74" s="2113"/>
      <c r="AI74" s="2114">
        <f>Z74+'2024 Калуга+область перекачка'!Z74+'2024 Калуга+область очистка'!Z74</f>
        <v>120.28398037717626</v>
      </c>
      <c r="AJ74" s="2114">
        <f>AA74+'2024 Калуга+область перекачка'!AA74+'2024 Калуга+область очистка'!AA74</f>
        <v>1003.7866701874959</v>
      </c>
      <c r="AK74" s="2114">
        <f>AB74+'2024 Калуга+область перекачка'!AB74+'2024 Калуга+область очистка'!AB74</f>
        <v>562.03532528233609</v>
      </c>
      <c r="AL74" s="2114">
        <f>расчет_тарифа_К_!O75</f>
        <v>1003.7866701874959</v>
      </c>
      <c r="AM74" s="2593">
        <f t="shared" si="37"/>
        <v>0</v>
      </c>
    </row>
    <row r="75" spans="1:39" s="2218" customFormat="1" ht="18.75" customHeight="1">
      <c r="A75" s="2235">
        <v>124</v>
      </c>
      <c r="B75" s="2281" t="s">
        <v>1879</v>
      </c>
      <c r="C75" s="2282" t="s">
        <v>1880</v>
      </c>
      <c r="D75" s="2283" t="s">
        <v>1317</v>
      </c>
      <c r="E75" s="2284">
        <f>'[3]НВВ тран-ка'!K376</f>
        <v>0</v>
      </c>
      <c r="F75" s="2285">
        <f>'[3]НВВ тран-ка'!L376</f>
        <v>0</v>
      </c>
      <c r="G75" s="2257">
        <f t="shared" si="26"/>
        <v>0</v>
      </c>
      <c r="H75" s="2285"/>
      <c r="I75" s="2285"/>
      <c r="J75" s="2257">
        <f t="shared" si="27"/>
        <v>0</v>
      </c>
      <c r="K75" s="2285"/>
      <c r="L75" s="2285"/>
      <c r="M75" s="2259">
        <f t="shared" si="28"/>
        <v>0</v>
      </c>
      <c r="N75" s="2284"/>
      <c r="O75" s="2285"/>
      <c r="P75" s="2259">
        <f t="shared" si="21"/>
        <v>0</v>
      </c>
      <c r="Q75" s="2284">
        <v>0</v>
      </c>
      <c r="R75" s="2285">
        <v>0</v>
      </c>
      <c r="S75" s="2259">
        <f t="shared" si="22"/>
        <v>0</v>
      </c>
      <c r="T75" s="2385">
        <f t="shared" si="23"/>
        <v>0</v>
      </c>
      <c r="U75" s="2285">
        <f t="shared" si="23"/>
        <v>0</v>
      </c>
      <c r="V75" s="2268">
        <f t="shared" si="29"/>
        <v>0</v>
      </c>
      <c r="W75" s="2888">
        <f t="shared" si="32"/>
        <v>0</v>
      </c>
      <c r="X75" s="2889">
        <f t="shared" si="32"/>
        <v>0</v>
      </c>
      <c r="Y75" s="2268">
        <f t="shared" si="30"/>
        <v>0</v>
      </c>
      <c r="Z75" s="2888">
        <f t="shared" si="24"/>
        <v>0</v>
      </c>
      <c r="AA75" s="2889">
        <f t="shared" si="24"/>
        <v>0</v>
      </c>
      <c r="AB75" s="2268">
        <f t="shared" si="31"/>
        <v>0</v>
      </c>
      <c r="AC75" s="2113">
        <f t="shared" si="33"/>
        <v>0</v>
      </c>
      <c r="AD75" s="2114">
        <f t="shared" si="34"/>
        <v>0</v>
      </c>
      <c r="AE75" s="2113">
        <f t="shared" si="35"/>
        <v>0</v>
      </c>
      <c r="AF75" s="2114">
        <f t="shared" si="36"/>
        <v>0</v>
      </c>
      <c r="AG75" s="2113"/>
      <c r="AH75" s="2113"/>
      <c r="AI75" s="2114">
        <f>Z75+'2024 Калуга+область перекачка'!Z75+'2024 Калуга+область очистка'!Z75</f>
        <v>3.0660032818772232</v>
      </c>
      <c r="AJ75" s="2114">
        <f>AA75+'2024 Калуга+область перекачка'!AA75+'2024 Калуга+область очистка'!AA75</f>
        <v>3.2867555181723827</v>
      </c>
      <c r="AK75" s="2114">
        <f>AB75+'2024 Калуга+область перекачка'!AB75+'2024 Калуга+область очистка'!AB75</f>
        <v>3.1763794000248029</v>
      </c>
      <c r="AL75" s="2114">
        <f>расчет_тарифа_К_!O76</f>
        <v>3.2867555181723827</v>
      </c>
      <c r="AM75" s="2593">
        <f t="shared" si="37"/>
        <v>0</v>
      </c>
    </row>
    <row r="76" spans="1:39" s="2218" customFormat="1" ht="63">
      <c r="A76" s="2235">
        <v>125</v>
      </c>
      <c r="B76" s="2279" t="s">
        <v>1882</v>
      </c>
      <c r="C76" s="2295" t="s">
        <v>1883</v>
      </c>
      <c r="D76" s="2254" t="s">
        <v>1317</v>
      </c>
      <c r="E76" s="2255">
        <f>E77+E87</f>
        <v>0</v>
      </c>
      <c r="F76" s="2256">
        <f>F77+F87</f>
        <v>0</v>
      </c>
      <c r="G76" s="2257">
        <f t="shared" si="26"/>
        <v>0</v>
      </c>
      <c r="H76" s="2256">
        <f>H77+H87</f>
        <v>0</v>
      </c>
      <c r="I76" s="2256">
        <f>I77+I87</f>
        <v>0</v>
      </c>
      <c r="J76" s="2257">
        <f t="shared" si="27"/>
        <v>0</v>
      </c>
      <c r="K76" s="2256">
        <f>K77+K87</f>
        <v>0</v>
      </c>
      <c r="L76" s="2256">
        <f>L77+L87</f>
        <v>0</v>
      </c>
      <c r="M76" s="2259">
        <f t="shared" si="28"/>
        <v>0</v>
      </c>
      <c r="N76" s="2255">
        <v>0</v>
      </c>
      <c r="O76" s="2256">
        <v>0</v>
      </c>
      <c r="P76" s="2259">
        <f t="shared" si="21"/>
        <v>0</v>
      </c>
      <c r="Q76" s="2255">
        <f>Q77+Q87</f>
        <v>17082.484166253973</v>
      </c>
      <c r="R76" s="2256">
        <f>R77+R87</f>
        <v>18340.59598472614</v>
      </c>
      <c r="S76" s="2259">
        <f t="shared" si="22"/>
        <v>17711.540075490055</v>
      </c>
      <c r="T76" s="2469">
        <f>N76+Q76</f>
        <v>17082.484166253973</v>
      </c>
      <c r="U76" s="2291">
        <f>O76+R76</f>
        <v>18340.59598472614</v>
      </c>
      <c r="V76" s="2268">
        <f t="shared" si="29"/>
        <v>17711.540075490055</v>
      </c>
      <c r="W76" s="2377">
        <f>T76/$T$272*$N$272</f>
        <v>3843.1823807636019</v>
      </c>
      <c r="X76" s="2256">
        <f>U76/$T$272*$N$272</f>
        <v>4126.229806812702</v>
      </c>
      <c r="Y76" s="2268">
        <f t="shared" si="30"/>
        <v>3984.706093788152</v>
      </c>
      <c r="Z76" s="2886">
        <f t="shared" si="24"/>
        <v>13239.301785490368</v>
      </c>
      <c r="AA76" s="2887">
        <f t="shared" si="24"/>
        <v>14214.366177913436</v>
      </c>
      <c r="AB76" s="2268">
        <f t="shared" si="31"/>
        <v>13726.833981701902</v>
      </c>
      <c r="AC76" s="2113">
        <f t="shared" si="33"/>
        <v>4126.229806812702</v>
      </c>
      <c r="AD76" s="2114">
        <f t="shared" si="34"/>
        <v>0</v>
      </c>
      <c r="AE76" s="2113">
        <v>13239.301785490368</v>
      </c>
      <c r="AF76" s="2114">
        <v>14214.366177913436</v>
      </c>
      <c r="AG76" s="2113"/>
      <c r="AH76" s="2113"/>
      <c r="AI76" s="2114">
        <f>Z76+'2024 Калуга+область перекачка'!Z76+'2024 Калуга+область очистка'!Z76</f>
        <v>72409.919608501135</v>
      </c>
      <c r="AJ76" s="2114">
        <f>AA76+'2024 Калуга+область перекачка'!AA76+'2024 Калуга+область очистка'!AA76</f>
        <v>77645.268484180968</v>
      </c>
      <c r="AK76" s="2114">
        <f>AB76+'2024 Калуга+область перекачка'!AB76+'2024 Калуга+область очистка'!AB76</f>
        <v>75027.594046341052</v>
      </c>
      <c r="AL76" s="2114">
        <f>расчет_тарифа_К_!O77</f>
        <v>77645.268484180968</v>
      </c>
      <c r="AM76" s="2593">
        <f t="shared" si="37"/>
        <v>0</v>
      </c>
    </row>
    <row r="77" spans="1:39" s="2218" customFormat="1" ht="30.75" customHeight="1">
      <c r="A77" s="2235">
        <v>126</v>
      </c>
      <c r="B77" s="2279" t="s">
        <v>1884</v>
      </c>
      <c r="C77" s="2280" t="s">
        <v>1885</v>
      </c>
      <c r="D77" s="2254" t="s">
        <v>1317</v>
      </c>
      <c r="E77" s="2255">
        <f>E78*E86*12/1000</f>
        <v>0</v>
      </c>
      <c r="F77" s="2256">
        <f>F78*F86*12/1000</f>
        <v>0</v>
      </c>
      <c r="G77" s="2257">
        <f t="shared" si="26"/>
        <v>0</v>
      </c>
      <c r="H77" s="2256">
        <f>H78*H86*12/1000</f>
        <v>0</v>
      </c>
      <c r="I77" s="2256">
        <f>I78*I86*12/1000</f>
        <v>0</v>
      </c>
      <c r="J77" s="2257">
        <f t="shared" si="27"/>
        <v>0</v>
      </c>
      <c r="K77" s="2256">
        <f>K78*K86*12/1000</f>
        <v>0</v>
      </c>
      <c r="L77" s="2256">
        <f>L78*L86*12/1000</f>
        <v>0</v>
      </c>
      <c r="M77" s="2259">
        <f t="shared" si="28"/>
        <v>0</v>
      </c>
      <c r="N77" s="2255">
        <v>0</v>
      </c>
      <c r="O77" s="2256">
        <v>0</v>
      </c>
      <c r="P77" s="2259">
        <f t="shared" si="21"/>
        <v>0</v>
      </c>
      <c r="Q77" s="2255">
        <f>Q78*Q86*12/1000</f>
        <v>13140.372435579979</v>
      </c>
      <c r="R77" s="2256">
        <f>R78*R86*12/1000</f>
        <v>14086.479250941737</v>
      </c>
      <c r="S77" s="2259">
        <f t="shared" si="22"/>
        <v>13613.425843260859</v>
      </c>
      <c r="T77" s="2469">
        <f>N77+Q77</f>
        <v>13140.372435579979</v>
      </c>
      <c r="U77" s="3013">
        <f>O77+R77</f>
        <v>14086.479250941737</v>
      </c>
      <c r="V77" s="2268">
        <f t="shared" si="29"/>
        <v>13613.425843260859</v>
      </c>
      <c r="W77" s="2255">
        <f>W78*W86*12/1000</f>
        <v>2956.2941390489241</v>
      </c>
      <c r="X77" s="2256">
        <f>X78*X86*12/1000</f>
        <v>3169.1473170604468</v>
      </c>
      <c r="Y77" s="2268">
        <f t="shared" si="30"/>
        <v>3062.7207280546854</v>
      </c>
      <c r="Z77" s="2255">
        <f>Z78*Z86*12/1000</f>
        <v>10184.078296531054</v>
      </c>
      <c r="AA77" s="2256">
        <f>AA78*AA86*12/1000</f>
        <v>10917.331933881289</v>
      </c>
      <c r="AB77" s="2268">
        <f t="shared" si="31"/>
        <v>10550.705115206172</v>
      </c>
      <c r="AC77" s="2113">
        <f t="shared" si="33"/>
        <v>3169.1473170604468</v>
      </c>
      <c r="AD77" s="2114">
        <f t="shared" si="34"/>
        <v>0</v>
      </c>
      <c r="AE77" s="2114">
        <f>AE76-Z77-Z87</f>
        <v>0</v>
      </c>
      <c r="AF77" s="2114">
        <f>AF76-AA77-AA87</f>
        <v>0</v>
      </c>
      <c r="AG77" s="2113">
        <v>10184.078296531054</v>
      </c>
      <c r="AH77" s="2113">
        <v>10662.729976468012</v>
      </c>
      <c r="AI77" s="2114">
        <f>Z77+'2024 Калуга+область перекачка'!Z77+'2024 Калуга+область очистка'!Z77</f>
        <v>55630.021324957146</v>
      </c>
      <c r="AJ77" s="2114">
        <f>AA77+'2024 Калуга+область перекачка'!AA77+'2024 Калуга+область очистка'!AA77</f>
        <v>59635.382860354053</v>
      </c>
      <c r="AK77" s="2114">
        <f>AB77+'2024 Калуга+область перекачка'!AB77+'2024 Калуга+область очистка'!AB77</f>
        <v>57632.7020926556</v>
      </c>
      <c r="AL77" s="2114">
        <f>расчет_тарифа_К_!O78</f>
        <v>59635.382860354053</v>
      </c>
      <c r="AM77" s="2593">
        <f t="shared" si="37"/>
        <v>0</v>
      </c>
    </row>
    <row r="78" spans="1:39" s="2218" customFormat="1" ht="30.75" customHeight="1">
      <c r="A78" s="2235">
        <v>617</v>
      </c>
      <c r="B78" s="2279" t="s">
        <v>1886</v>
      </c>
      <c r="C78" s="2280" t="s">
        <v>1887</v>
      </c>
      <c r="D78" s="2254" t="s">
        <v>1888</v>
      </c>
      <c r="E78" s="2255">
        <f>E79+E80+E81+E84+E85</f>
        <v>0</v>
      </c>
      <c r="F78" s="2256">
        <f>F79+F80+F81+F84+F85</f>
        <v>0</v>
      </c>
      <c r="G78" s="2257">
        <f t="shared" si="26"/>
        <v>0</v>
      </c>
      <c r="H78" s="2256">
        <f>H79+H80+H81+H84+H85</f>
        <v>0</v>
      </c>
      <c r="I78" s="2256">
        <f>I79+I80+I81+I84+I85</f>
        <v>0</v>
      </c>
      <c r="J78" s="2257">
        <f t="shared" si="27"/>
        <v>0</v>
      </c>
      <c r="K78" s="2256">
        <f>K79+K80+K81+K84+K85</f>
        <v>0</v>
      </c>
      <c r="L78" s="2256">
        <f>L79+L80+L81+L84+L85</f>
        <v>0</v>
      </c>
      <c r="M78" s="2259">
        <f t="shared" si="28"/>
        <v>0</v>
      </c>
      <c r="N78" s="2255">
        <v>0</v>
      </c>
      <c r="O78" s="2256">
        <v>0</v>
      </c>
      <c r="P78" s="2259">
        <f t="shared" si="21"/>
        <v>0</v>
      </c>
      <c r="Q78" s="2255">
        <f>Q79+Q80+Q81+Q84+Q85</f>
        <v>52144.335061825317</v>
      </c>
      <c r="R78" s="2256">
        <f>R79+R80+R81+R84+R85</f>
        <v>55898.727186276737</v>
      </c>
      <c r="S78" s="2259">
        <f t="shared" si="22"/>
        <v>54021.531124051027</v>
      </c>
      <c r="T78" s="2377">
        <f>T79+T81+T84</f>
        <v>52144.335061825317</v>
      </c>
      <c r="U78" s="2256">
        <f>U79+U81+U84</f>
        <v>55898.727186276737</v>
      </c>
      <c r="V78" s="2267">
        <f t="shared" si="29"/>
        <v>54021.531124051027</v>
      </c>
      <c r="W78" s="2255">
        <f>W79+W80+W81+W84+W85</f>
        <v>52144.335061825317</v>
      </c>
      <c r="X78" s="2256">
        <f>X79+X80+X81+X84+X85</f>
        <v>55898.727186276737</v>
      </c>
      <c r="Y78" s="2268">
        <f t="shared" si="30"/>
        <v>54021.531124051027</v>
      </c>
      <c r="Z78" s="2255">
        <f>Z79+Z80+Z81+Z84+Z85</f>
        <v>52144.335061825317</v>
      </c>
      <c r="AA78" s="2256">
        <f>AA79+AA80+AA81+AA84+AA85</f>
        <v>55898.727186276737</v>
      </c>
      <c r="AB78" s="2268">
        <f t="shared" si="31"/>
        <v>54021.531124051027</v>
      </c>
      <c r="AC78" s="2113">
        <f t="shared" si="33"/>
        <v>12575.981416906538</v>
      </c>
      <c r="AD78" s="2114">
        <f t="shared" si="34"/>
        <v>-43322.745769370202</v>
      </c>
      <c r="AE78" s="2113">
        <f>AE77/Z86/12*1000</f>
        <v>0</v>
      </c>
      <c r="AF78" s="2113">
        <f>AF77/AA86/12*1000</f>
        <v>0</v>
      </c>
      <c r="AG78" s="2114">
        <f>AG77-Z77</f>
        <v>0</v>
      </c>
      <c r="AH78" s="2114">
        <f>AH77-AA77</f>
        <v>-254.60195741327698</v>
      </c>
      <c r="AI78" s="2114">
        <f>Z78+'2024 Калуга+область перекачка'!Z78+'2024 Калуга+область очистка'!Z78</f>
        <v>174069.70885722688</v>
      </c>
      <c r="AJ78" s="2114">
        <f>AA78+'2024 Калуга+область перекачка'!AA78+'2024 Калуга+область очистка'!AA78</f>
        <v>186602.72789494719</v>
      </c>
      <c r="AK78" s="2114">
        <f>AB78+'2024 Калуга+область перекачка'!AB78+'2024 Калуга+область очистка'!AB78</f>
        <v>180336.21837608705</v>
      </c>
      <c r="AL78" s="2114">
        <f>расчет_тарифа_К_!O79</f>
        <v>0</v>
      </c>
      <c r="AM78" s="2593">
        <f t="shared" si="37"/>
        <v>186602.72789494719</v>
      </c>
    </row>
    <row r="79" spans="1:39" s="2218" customFormat="1" ht="30.75" customHeight="1">
      <c r="A79" s="2235">
        <v>288</v>
      </c>
      <c r="B79" s="2281" t="s">
        <v>1889</v>
      </c>
      <c r="C79" s="2282" t="s">
        <v>1890</v>
      </c>
      <c r="D79" s="2283" t="s">
        <v>1793</v>
      </c>
      <c r="E79" s="2284"/>
      <c r="F79" s="2285"/>
      <c r="G79" s="2257">
        <f t="shared" si="26"/>
        <v>0</v>
      </c>
      <c r="H79" s="2285"/>
      <c r="I79" s="2285"/>
      <c r="J79" s="2257">
        <f t="shared" si="27"/>
        <v>0</v>
      </c>
      <c r="K79" s="2285"/>
      <c r="L79" s="2285"/>
      <c r="M79" s="2259">
        <f t="shared" si="28"/>
        <v>0</v>
      </c>
      <c r="N79" s="2284"/>
      <c r="O79" s="2285"/>
      <c r="P79" s="2259">
        <f t="shared" si="21"/>
        <v>0</v>
      </c>
      <c r="Q79" s="2284">
        <v>16781.972925646558</v>
      </c>
      <c r="R79" s="2285">
        <f>Q79*1.072</f>
        <v>17990.274976293113</v>
      </c>
      <c r="S79" s="2259">
        <f t="shared" si="22"/>
        <v>17386.123950969835</v>
      </c>
      <c r="T79" s="2385">
        <f>Q79</f>
        <v>16781.972925646558</v>
      </c>
      <c r="U79" s="2285">
        <f>R79</f>
        <v>17990.274976293113</v>
      </c>
      <c r="V79" s="2268">
        <f t="shared" si="29"/>
        <v>17386.123950969835</v>
      </c>
      <c r="W79" s="2888">
        <v>16781.972925646558</v>
      </c>
      <c r="X79" s="2889">
        <v>17990.274976293113</v>
      </c>
      <c r="Y79" s="2268">
        <f t="shared" si="30"/>
        <v>17386.123950969835</v>
      </c>
      <c r="Z79" s="2888">
        <v>16781.972925646558</v>
      </c>
      <c r="AA79" s="2889">
        <v>17990.274976293113</v>
      </c>
      <c r="AB79" s="2268">
        <f t="shared" si="31"/>
        <v>17386.123950969835</v>
      </c>
      <c r="AC79" s="2113">
        <f t="shared" si="33"/>
        <v>4047.4153021939401</v>
      </c>
      <c r="AD79" s="2114">
        <f t="shared" si="34"/>
        <v>-13942.859674099172</v>
      </c>
      <c r="AE79" s="2113"/>
      <c r="AF79" s="2114"/>
      <c r="AG79" s="2113">
        <f>AG78/12/Z86*1000</f>
        <v>0</v>
      </c>
      <c r="AH79" s="2113">
        <f>AH78/12/AA86*1000</f>
        <v>-1303.6083765456362</v>
      </c>
      <c r="AI79" s="2114">
        <f>Z79+'2024 Калуга+область перекачка'!Z79+'2024 Калуга+область очистка'!Z79</f>
        <v>56262.621528556047</v>
      </c>
      <c r="AJ79" s="2114">
        <f>AA79+'2024 Калуга+область перекачка'!AA79+'2024 Калуга+область очистка'!AA79</f>
        <v>60313.530278612088</v>
      </c>
      <c r="AK79" s="2114">
        <f>AB79+'2024 Калуга+область перекачка'!AB79+'2024 Калуга+область очистка'!AB79</f>
        <v>58288.075903584067</v>
      </c>
      <c r="AL79" s="2114">
        <f>расчет_тарифа_К_!O80</f>
        <v>0</v>
      </c>
      <c r="AM79" s="2593">
        <f t="shared" si="37"/>
        <v>60313.530278612088</v>
      </c>
    </row>
    <row r="80" spans="1:39" s="2218" customFormat="1" ht="21" customHeight="1">
      <c r="A80" s="2235">
        <v>297</v>
      </c>
      <c r="B80" s="2281" t="s">
        <v>1891</v>
      </c>
      <c r="C80" s="2282" t="s">
        <v>1846</v>
      </c>
      <c r="D80" s="2283" t="s">
        <v>1784</v>
      </c>
      <c r="E80" s="2284"/>
      <c r="F80" s="2285"/>
      <c r="G80" s="2257">
        <f t="shared" si="26"/>
        <v>0</v>
      </c>
      <c r="H80" s="2285"/>
      <c r="I80" s="2285"/>
      <c r="J80" s="2257">
        <f t="shared" si="27"/>
        <v>0</v>
      </c>
      <c r="K80" s="2285"/>
      <c r="L80" s="2285"/>
      <c r="M80" s="2259">
        <f t="shared" si="28"/>
        <v>0</v>
      </c>
      <c r="N80" s="2284"/>
      <c r="O80" s="2285"/>
      <c r="P80" s="2259">
        <f t="shared" si="21"/>
        <v>0</v>
      </c>
      <c r="Q80" s="2284">
        <v>0</v>
      </c>
      <c r="R80" s="2285">
        <v>0</v>
      </c>
      <c r="S80" s="2259">
        <f t="shared" si="22"/>
        <v>0</v>
      </c>
      <c r="T80" s="2284">
        <v>0</v>
      </c>
      <c r="U80" s="2285">
        <v>0</v>
      </c>
      <c r="V80" s="2268">
        <f t="shared" si="29"/>
        <v>0</v>
      </c>
      <c r="W80" s="2294">
        <v>0</v>
      </c>
      <c r="X80" s="2296">
        <v>0</v>
      </c>
      <c r="Y80" s="2268">
        <f t="shared" si="30"/>
        <v>0</v>
      </c>
      <c r="Z80" s="2294">
        <v>0</v>
      </c>
      <c r="AA80" s="2296">
        <v>0</v>
      </c>
      <c r="AB80" s="2268">
        <f t="shared" si="31"/>
        <v>0</v>
      </c>
      <c r="AC80" s="2113">
        <f t="shared" si="33"/>
        <v>0</v>
      </c>
      <c r="AD80" s="2114">
        <f t="shared" si="34"/>
        <v>0</v>
      </c>
      <c r="AE80" s="2113"/>
      <c r="AF80" s="2114"/>
      <c r="AG80" s="2113"/>
      <c r="AH80" s="2113"/>
      <c r="AI80" s="2114">
        <f>Z80+'2024 Калуга+область перекачка'!Z80+'2024 Калуга+область очистка'!Z80</f>
        <v>0</v>
      </c>
      <c r="AJ80" s="2114">
        <f>AA80+'2024 Калуга+область перекачка'!AA80+'2024 Калуга+область очистка'!AA80</f>
        <v>0</v>
      </c>
      <c r="AK80" s="2114">
        <f>AB80+'2024 Калуга+область перекачка'!AB80+'2024 Калуга+область очистка'!AB80</f>
        <v>0</v>
      </c>
      <c r="AL80" s="2114">
        <f>расчет_тарифа_К_!O81</f>
        <v>0</v>
      </c>
      <c r="AM80" s="2593">
        <f t="shared" si="37"/>
        <v>0</v>
      </c>
    </row>
    <row r="81" spans="1:39" s="2218" customFormat="1" ht="21" customHeight="1">
      <c r="A81" s="2235">
        <v>615</v>
      </c>
      <c r="B81" s="2279" t="s">
        <v>1892</v>
      </c>
      <c r="C81" s="2280" t="s">
        <v>1786</v>
      </c>
      <c r="D81" s="2254" t="s">
        <v>1893</v>
      </c>
      <c r="E81" s="2255">
        <f>E82*E83</f>
        <v>0</v>
      </c>
      <c r="F81" s="2256">
        <f>F82*F83</f>
        <v>0</v>
      </c>
      <c r="G81" s="2257">
        <f t="shared" si="26"/>
        <v>0</v>
      </c>
      <c r="H81" s="2256">
        <f>H82*H83</f>
        <v>0</v>
      </c>
      <c r="I81" s="2256">
        <f>I82*I83</f>
        <v>0</v>
      </c>
      <c r="J81" s="2257">
        <f t="shared" si="27"/>
        <v>0</v>
      </c>
      <c r="K81" s="2256">
        <f>K82*K83</f>
        <v>0</v>
      </c>
      <c r="L81" s="2256">
        <f>L82*L83</f>
        <v>0</v>
      </c>
      <c r="M81" s="2259">
        <f t="shared" si="28"/>
        <v>0</v>
      </c>
      <c r="N81" s="2255">
        <v>0</v>
      </c>
      <c r="O81" s="2256">
        <v>0</v>
      </c>
      <c r="P81" s="2259">
        <f t="shared" si="21"/>
        <v>0</v>
      </c>
      <c r="Q81" s="2255">
        <f>Q82*Q83</f>
        <v>17796.257301724145</v>
      </c>
      <c r="R81" s="2256">
        <f>R82*R83</f>
        <v>19077.587827448282</v>
      </c>
      <c r="S81" s="2259">
        <f t="shared" si="22"/>
        <v>18436.922564586213</v>
      </c>
      <c r="T81" s="2255">
        <f>T82*T83</f>
        <v>17796.257301724145</v>
      </c>
      <c r="U81" s="2256">
        <f>U82*U83</f>
        <v>19077.587827448282</v>
      </c>
      <c r="V81" s="2268">
        <f t="shared" si="29"/>
        <v>18436.922564586213</v>
      </c>
      <c r="W81" s="2255">
        <f>W82*W83</f>
        <v>17796.257301724145</v>
      </c>
      <c r="X81" s="2256">
        <f>X82*X83</f>
        <v>19077.587827448282</v>
      </c>
      <c r="Y81" s="2268">
        <f t="shared" si="30"/>
        <v>18436.922564586213</v>
      </c>
      <c r="Z81" s="2255">
        <f>Z82*Z83</f>
        <v>17796.257301724145</v>
      </c>
      <c r="AA81" s="2256">
        <f>AA82*AA83</f>
        <v>19077.587827448282</v>
      </c>
      <c r="AB81" s="2268">
        <f t="shared" si="31"/>
        <v>18436.922564586213</v>
      </c>
      <c r="AC81" s="2113">
        <f t="shared" si="33"/>
        <v>4292.0367255927904</v>
      </c>
      <c r="AD81" s="2114">
        <f t="shared" si="34"/>
        <v>-14785.551101855492</v>
      </c>
      <c r="AE81" s="2113"/>
      <c r="AF81" s="2114"/>
      <c r="AG81" s="2113"/>
      <c r="AH81" s="2113"/>
      <c r="AI81" s="2114">
        <f>Z81+'2024 Калуга+область перекачка'!Z81+'2024 Калуга+область очистка'!Z81</f>
        <v>53388.771905172434</v>
      </c>
      <c r="AJ81" s="2114">
        <f>AA81+'2024 Калуга+область перекачка'!AA81+'2024 Калуга+область очистка'!AA81</f>
        <v>57232.763482344846</v>
      </c>
      <c r="AK81" s="2114">
        <f>AB81+'2024 Калуга+область перекачка'!AB81+'2024 Калуга+область очистка'!AB81</f>
        <v>55310.767693758637</v>
      </c>
      <c r="AL81" s="2114">
        <f>расчет_тарифа_К_!O82</f>
        <v>0</v>
      </c>
      <c r="AM81" s="2593">
        <f t="shared" si="37"/>
        <v>57232.763482344846</v>
      </c>
    </row>
    <row r="82" spans="1:39" s="2218" customFormat="1" ht="21" customHeight="1">
      <c r="A82" s="2235">
        <v>131</v>
      </c>
      <c r="B82" s="2281" t="s">
        <v>1894</v>
      </c>
      <c r="C82" s="2282" t="s">
        <v>1788</v>
      </c>
      <c r="D82" s="2283" t="s">
        <v>1784</v>
      </c>
      <c r="E82" s="2284"/>
      <c r="F82" s="2285"/>
      <c r="G82" s="2257">
        <f t="shared" si="26"/>
        <v>0</v>
      </c>
      <c r="H82" s="2285"/>
      <c r="I82" s="2285"/>
      <c r="J82" s="2257">
        <f t="shared" si="27"/>
        <v>0</v>
      </c>
      <c r="K82" s="2285"/>
      <c r="L82" s="2285"/>
      <c r="M82" s="2259">
        <f t="shared" si="28"/>
        <v>0</v>
      </c>
      <c r="N82" s="2284"/>
      <c r="O82" s="2285"/>
      <c r="P82" s="2259">
        <f t="shared" si="21"/>
        <v>0</v>
      </c>
      <c r="Q82" s="2284">
        <v>6402.4000000000005</v>
      </c>
      <c r="R82" s="2285">
        <f>Q82*1.072</f>
        <v>6863.372800000001</v>
      </c>
      <c r="S82" s="2259">
        <f t="shared" si="22"/>
        <v>6632.8864000000012</v>
      </c>
      <c r="T82" s="2284">
        <f>Q82</f>
        <v>6402.4000000000005</v>
      </c>
      <c r="U82" s="2285">
        <f>R82</f>
        <v>6863.372800000001</v>
      </c>
      <c r="V82" s="2268">
        <f t="shared" si="29"/>
        <v>6632.8864000000012</v>
      </c>
      <c r="W82" s="2284">
        <f>T82</f>
        <v>6402.4000000000005</v>
      </c>
      <c r="X82" s="2285">
        <f>U82</f>
        <v>6863.372800000001</v>
      </c>
      <c r="Y82" s="2268">
        <f t="shared" si="30"/>
        <v>6632.8864000000012</v>
      </c>
      <c r="Z82" s="2284">
        <f>W82</f>
        <v>6402.4000000000005</v>
      </c>
      <c r="AA82" s="2285">
        <f>X82</f>
        <v>6863.372800000001</v>
      </c>
      <c r="AB82" s="2268">
        <f t="shared" si="31"/>
        <v>6632.8864000000012</v>
      </c>
      <c r="AC82" s="2113">
        <f t="shared" si="33"/>
        <v>1544.1075876821037</v>
      </c>
      <c r="AD82" s="2114">
        <f t="shared" si="34"/>
        <v>-5319.2652123178977</v>
      </c>
      <c r="AE82" s="2113"/>
      <c r="AF82" s="2114"/>
      <c r="AG82" s="2113"/>
      <c r="AH82" s="2113"/>
      <c r="AI82" s="2114">
        <f>Z82+'2024 Калуга+область перекачка'!Z82+'2024 Калуга+область очистка'!Z82</f>
        <v>19207.2</v>
      </c>
      <c r="AJ82" s="2114">
        <f>AA82+'2024 Калуга+область перекачка'!AA82+'2024 Калуга+область очистка'!AA82</f>
        <v>20590.118400000003</v>
      </c>
      <c r="AK82" s="2114">
        <f>AB82+'2024 Калуга+область перекачка'!AB82+'2024 Калуга+область очистка'!AB82</f>
        <v>19898.659200000002</v>
      </c>
      <c r="AL82" s="2114">
        <f>расчет_тарифа_К_!O83</f>
        <v>0</v>
      </c>
      <c r="AM82" s="2593">
        <f t="shared" si="37"/>
        <v>20590.118400000003</v>
      </c>
    </row>
    <row r="83" spans="1:39" s="2218" customFormat="1" ht="21" customHeight="1">
      <c r="A83" s="2235">
        <v>134</v>
      </c>
      <c r="B83" s="2281" t="s">
        <v>1895</v>
      </c>
      <c r="C83" s="2282" t="s">
        <v>1790</v>
      </c>
      <c r="D83" s="2283"/>
      <c r="E83" s="2284"/>
      <c r="F83" s="2285"/>
      <c r="G83" s="2257">
        <f t="shared" si="26"/>
        <v>0</v>
      </c>
      <c r="H83" s="2285"/>
      <c r="I83" s="2285"/>
      <c r="J83" s="2257">
        <f t="shared" si="27"/>
        <v>0</v>
      </c>
      <c r="K83" s="2285"/>
      <c r="L83" s="2285"/>
      <c r="M83" s="2259">
        <f t="shared" si="28"/>
        <v>0</v>
      </c>
      <c r="N83" s="2284"/>
      <c r="O83" s="2285"/>
      <c r="P83" s="2259">
        <f t="shared" si="21"/>
        <v>0</v>
      </c>
      <c r="Q83" s="2284">
        <v>2.7796228448275868</v>
      </c>
      <c r="R83" s="2285">
        <v>2.7796228448275868</v>
      </c>
      <c r="S83" s="2259">
        <f t="shared" si="22"/>
        <v>2.7796228448275868</v>
      </c>
      <c r="T83" s="2284">
        <v>2.7796228448275868</v>
      </c>
      <c r="U83" s="2285">
        <v>2.7796228448275868</v>
      </c>
      <c r="V83" s="2268">
        <f t="shared" si="29"/>
        <v>2.7796228448275868</v>
      </c>
      <c r="W83" s="2294">
        <v>2.7796228448275868</v>
      </c>
      <c r="X83" s="2296">
        <v>2.7796228448275868</v>
      </c>
      <c r="Y83" s="2268">
        <f t="shared" si="30"/>
        <v>2.7796228448275868</v>
      </c>
      <c r="Z83" s="2294">
        <v>2.7796228448275868</v>
      </c>
      <c r="AA83" s="2296">
        <v>2.7796228448275868</v>
      </c>
      <c r="AB83" s="2268">
        <f t="shared" si="31"/>
        <v>2.7796228448275868</v>
      </c>
      <c r="AC83" s="2113">
        <f t="shared" si="33"/>
        <v>0.62535386764839451</v>
      </c>
      <c r="AD83" s="2114">
        <f t="shared" si="34"/>
        <v>-2.1542689771791923</v>
      </c>
      <c r="AE83" s="2113"/>
      <c r="AF83" s="2114"/>
      <c r="AG83" s="2113"/>
      <c r="AH83" s="2113"/>
      <c r="AI83" s="2114">
        <f>Z83+'2024 Калуга+область перекачка'!Z83+'2024 Калуга+область очистка'!Z83</f>
        <v>8.33886853448276</v>
      </c>
      <c r="AJ83" s="2114">
        <f>AA83+'2024 Калуга+область перекачка'!AA83+'2024 Калуга+область очистка'!AA83</f>
        <v>8.33886853448276</v>
      </c>
      <c r="AK83" s="2114">
        <f>AB83+'2024 Калуга+область перекачка'!AB83+'2024 Калуга+область очистка'!AB83</f>
        <v>8.33886853448276</v>
      </c>
      <c r="AL83" s="2114">
        <f>расчет_тарифа_К_!O84</f>
        <v>0</v>
      </c>
      <c r="AM83" s="2593">
        <f t="shared" si="37"/>
        <v>8.33886853448276</v>
      </c>
    </row>
    <row r="84" spans="1:39" s="2218" customFormat="1" ht="21" customHeight="1">
      <c r="A84" s="2235">
        <v>618</v>
      </c>
      <c r="B84" s="2281" t="s">
        <v>1896</v>
      </c>
      <c r="C84" s="2282" t="s">
        <v>1795</v>
      </c>
      <c r="D84" s="2283" t="s">
        <v>1784</v>
      </c>
      <c r="E84" s="2284"/>
      <c r="F84" s="2285"/>
      <c r="G84" s="2257">
        <f t="shared" si="26"/>
        <v>0</v>
      </c>
      <c r="H84" s="2285"/>
      <c r="I84" s="2285"/>
      <c r="J84" s="2257">
        <f t="shared" si="27"/>
        <v>0</v>
      </c>
      <c r="K84" s="2285"/>
      <c r="L84" s="2285"/>
      <c r="M84" s="2259">
        <f t="shared" si="28"/>
        <v>0</v>
      </c>
      <c r="N84" s="2284"/>
      <c r="O84" s="2285"/>
      <c r="P84" s="2259">
        <f t="shared" si="21"/>
        <v>0</v>
      </c>
      <c r="Q84" s="2284">
        <v>17566.104834454611</v>
      </c>
      <c r="R84" s="2285">
        <f>Q84*1.072</f>
        <v>18830.864382535343</v>
      </c>
      <c r="S84" s="2259">
        <f t="shared" si="22"/>
        <v>18198.484608494975</v>
      </c>
      <c r="T84" s="2284">
        <v>17566.104834454611</v>
      </c>
      <c r="U84" s="2285">
        <f>T84*1.072</f>
        <v>18830.864382535343</v>
      </c>
      <c r="V84" s="2268">
        <f t="shared" si="29"/>
        <v>18198.484608494975</v>
      </c>
      <c r="W84" s="2888">
        <v>17566.104834454611</v>
      </c>
      <c r="X84" s="2889">
        <v>18830.864382535343</v>
      </c>
      <c r="Y84" s="2268">
        <f t="shared" si="30"/>
        <v>18198.484608494975</v>
      </c>
      <c r="Z84" s="2888">
        <v>17566.104834454611</v>
      </c>
      <c r="AA84" s="2889">
        <v>18830.864382535343</v>
      </c>
      <c r="AB84" s="2268">
        <f t="shared" si="31"/>
        <v>18198.484608494975</v>
      </c>
      <c r="AC84" s="2113">
        <f t="shared" si="33"/>
        <v>4236.5293891198062</v>
      </c>
      <c r="AD84" s="2114">
        <f t="shared" si="34"/>
        <v>-14594.334993415538</v>
      </c>
      <c r="AE84" s="2113"/>
      <c r="AF84" s="2114"/>
      <c r="AG84" s="2113"/>
      <c r="AH84" s="2113"/>
      <c r="AI84" s="2114">
        <f>Z84+'2024 Калуга+область перекачка'!Z84+'2024 Калуга+область очистка'!Z84</f>
        <v>64418.315423498381</v>
      </c>
      <c r="AJ84" s="2114">
        <f>AA84+'2024 Калуга+область перекачка'!AA84+'2024 Калуга+область очистка'!AA84</f>
        <v>69056.43413399026</v>
      </c>
      <c r="AK84" s="2114">
        <f>AB84+'2024 Калуга+область перекачка'!AB84+'2024 Калуга+область очистка'!AB84</f>
        <v>66737.374778744328</v>
      </c>
      <c r="AL84" s="2114">
        <f>расчет_тарифа_К_!O85</f>
        <v>0</v>
      </c>
      <c r="AM84" s="2593">
        <f t="shared" si="37"/>
        <v>69056.43413399026</v>
      </c>
    </row>
    <row r="85" spans="1:39" s="2218" customFormat="1" ht="33" customHeight="1">
      <c r="A85" s="2235">
        <v>619</v>
      </c>
      <c r="B85" s="2281" t="s">
        <v>1897</v>
      </c>
      <c r="C85" s="2282" t="s">
        <v>1898</v>
      </c>
      <c r="D85" s="2283" t="s">
        <v>1784</v>
      </c>
      <c r="E85" s="2284"/>
      <c r="F85" s="2285"/>
      <c r="G85" s="2257">
        <f t="shared" si="26"/>
        <v>0</v>
      </c>
      <c r="H85" s="2285"/>
      <c r="I85" s="2285"/>
      <c r="J85" s="2257">
        <f t="shared" si="27"/>
        <v>0</v>
      </c>
      <c r="K85" s="2285"/>
      <c r="L85" s="2285"/>
      <c r="M85" s="2259">
        <f t="shared" si="28"/>
        <v>0</v>
      </c>
      <c r="N85" s="2284"/>
      <c r="O85" s="2285"/>
      <c r="P85" s="2259">
        <f t="shared" si="21"/>
        <v>0</v>
      </c>
      <c r="Q85" s="2284">
        <v>0</v>
      </c>
      <c r="R85" s="2285">
        <v>0</v>
      </c>
      <c r="S85" s="2259">
        <f t="shared" si="22"/>
        <v>0</v>
      </c>
      <c r="T85" s="2284">
        <v>0</v>
      </c>
      <c r="U85" s="2285">
        <v>0</v>
      </c>
      <c r="V85" s="2268">
        <f t="shared" si="29"/>
        <v>0</v>
      </c>
      <c r="W85" s="2294">
        <v>0</v>
      </c>
      <c r="X85" s="2296">
        <v>0</v>
      </c>
      <c r="Y85" s="2268">
        <f t="shared" si="30"/>
        <v>0</v>
      </c>
      <c r="Z85" s="2294">
        <v>0</v>
      </c>
      <c r="AA85" s="2296">
        <v>0</v>
      </c>
      <c r="AB85" s="2268">
        <f t="shared" si="31"/>
        <v>0</v>
      </c>
      <c r="AC85" s="2113">
        <f t="shared" si="33"/>
        <v>0</v>
      </c>
      <c r="AD85" s="2114">
        <f t="shared" si="34"/>
        <v>0</v>
      </c>
      <c r="AE85" s="2113"/>
      <c r="AF85" s="2114"/>
      <c r="AG85" s="2113"/>
      <c r="AH85" s="2113"/>
      <c r="AI85" s="2114">
        <f>Z85+'2024 Калуга+область перекачка'!Z85+'2024 Калуга+область очистка'!Z85</f>
        <v>0</v>
      </c>
      <c r="AJ85" s="2114">
        <f>AA85+'2024 Калуга+область перекачка'!AA85+'2024 Калуга+область очистка'!AA85</f>
        <v>0</v>
      </c>
      <c r="AK85" s="2114">
        <f>AB85+'2024 Калуга+область перекачка'!AB85+'2024 Калуга+область очистка'!AB85</f>
        <v>0</v>
      </c>
      <c r="AL85" s="2114">
        <f>расчет_тарифа_К_!O86</f>
        <v>0</v>
      </c>
      <c r="AM85" s="2593">
        <f t="shared" si="37"/>
        <v>0</v>
      </c>
    </row>
    <row r="86" spans="1:39" s="2218" customFormat="1" ht="33" customHeight="1">
      <c r="A86" s="2235">
        <v>127</v>
      </c>
      <c r="B86" s="2281" t="s">
        <v>1899</v>
      </c>
      <c r="C86" s="2282" t="s">
        <v>1799</v>
      </c>
      <c r="D86" s="2283" t="s">
        <v>1800</v>
      </c>
      <c r="E86" s="2284"/>
      <c r="F86" s="2285"/>
      <c r="G86" s="2257">
        <f t="shared" si="26"/>
        <v>0</v>
      </c>
      <c r="H86" s="2285"/>
      <c r="I86" s="2285"/>
      <c r="J86" s="2257">
        <f t="shared" si="27"/>
        <v>0</v>
      </c>
      <c r="K86" s="2285"/>
      <c r="L86" s="2285"/>
      <c r="M86" s="2259">
        <f t="shared" si="28"/>
        <v>0</v>
      </c>
      <c r="N86" s="2284"/>
      <c r="O86" s="2285"/>
      <c r="P86" s="2259">
        <f t="shared" si="21"/>
        <v>0</v>
      </c>
      <c r="Q86" s="2284">
        <v>21</v>
      </c>
      <c r="R86" s="2285">
        <v>21</v>
      </c>
      <c r="S86" s="2259">
        <f t="shared" si="22"/>
        <v>21</v>
      </c>
      <c r="T86" s="2284">
        <f t="shared" ref="T86:U91" si="38">N86+Q86</f>
        <v>21</v>
      </c>
      <c r="U86" s="2285">
        <f t="shared" si="38"/>
        <v>21</v>
      </c>
      <c r="V86" s="2268">
        <f t="shared" si="29"/>
        <v>21</v>
      </c>
      <c r="W86" s="2888">
        <f>T86/$T$272*$W$272</f>
        <v>4.7245370878475619</v>
      </c>
      <c r="X86" s="2889">
        <f>U86/$T$272*$W$272</f>
        <v>4.7245370878475619</v>
      </c>
      <c r="Y86" s="2268">
        <f t="shared" si="30"/>
        <v>4.7245370878475619</v>
      </c>
      <c r="Z86" s="2888">
        <f t="shared" ref="Z86:AA112" si="39">T86/$T$272*$Z$272</f>
        <v>16.275462912152435</v>
      </c>
      <c r="AA86" s="2889">
        <f t="shared" si="39"/>
        <v>16.275462912152435</v>
      </c>
      <c r="AB86" s="2268">
        <f t="shared" si="31"/>
        <v>16.275462912152435</v>
      </c>
      <c r="AC86" s="2113">
        <f t="shared" si="33"/>
        <v>4.7245370878475619</v>
      </c>
      <c r="AD86" s="2114">
        <f t="shared" si="34"/>
        <v>0</v>
      </c>
      <c r="AE86" s="2113"/>
      <c r="AF86" s="2114"/>
      <c r="AG86" s="2113"/>
      <c r="AH86" s="2113"/>
      <c r="AI86" s="2114">
        <f>Z86+'2024 Калуга+область перекачка'!Z86+'2024 Калуга+область очистка'!Z86</f>
        <v>78.141915820364943</v>
      </c>
      <c r="AJ86" s="2114">
        <f>AA86+'2024 Калуга+область перекачка'!AA86+'2024 Калуга+область очистка'!AA86</f>
        <v>78.141915820364943</v>
      </c>
      <c r="AK86" s="2114">
        <f>AB86+'2024 Калуга+область перекачка'!AB86+'2024 Калуга+область очистка'!AB86</f>
        <v>78.141915820364943</v>
      </c>
      <c r="AL86" s="2114">
        <f>расчет_тарифа_К_!O87</f>
        <v>78.141915820364943</v>
      </c>
      <c r="AM86" s="2593">
        <f t="shared" si="37"/>
        <v>0</v>
      </c>
    </row>
    <row r="87" spans="1:39" s="2218" customFormat="1" ht="50.25" customHeight="1">
      <c r="A87" s="2235">
        <v>137</v>
      </c>
      <c r="B87" s="2287" t="s">
        <v>1901</v>
      </c>
      <c r="C87" s="2288" t="s">
        <v>1902</v>
      </c>
      <c r="D87" s="2289" t="s">
        <v>1317</v>
      </c>
      <c r="E87" s="2290"/>
      <c r="F87" s="2291"/>
      <c r="G87" s="2257">
        <f t="shared" si="26"/>
        <v>0</v>
      </c>
      <c r="H87" s="2291"/>
      <c r="I87" s="2291"/>
      <c r="J87" s="2257">
        <f t="shared" si="27"/>
        <v>0</v>
      </c>
      <c r="K87" s="2291"/>
      <c r="L87" s="2291"/>
      <c r="M87" s="2259">
        <f t="shared" si="28"/>
        <v>0</v>
      </c>
      <c r="N87" s="2290"/>
      <c r="O87" s="2291"/>
      <c r="P87" s="2259">
        <f t="shared" si="21"/>
        <v>0</v>
      </c>
      <c r="Q87" s="2290">
        <f>Q77*0.3</f>
        <v>3942.1117306739934</v>
      </c>
      <c r="R87" s="2291">
        <f>R77*0.302</f>
        <v>4254.1167337844045</v>
      </c>
      <c r="S87" s="2259">
        <f t="shared" si="22"/>
        <v>4098.1142322291989</v>
      </c>
      <c r="T87" s="2469">
        <f t="shared" si="38"/>
        <v>3942.1117306739934</v>
      </c>
      <c r="U87" s="2291">
        <f t="shared" si="38"/>
        <v>4254.1167337844045</v>
      </c>
      <c r="V87" s="2268">
        <f t="shared" si="29"/>
        <v>4098.1142322291989</v>
      </c>
      <c r="W87" s="2377">
        <f>T87/$T$272*$N$272</f>
        <v>886.88824171467729</v>
      </c>
      <c r="X87" s="2256">
        <f>U87/$T$272*$N$272</f>
        <v>957.08248975225501</v>
      </c>
      <c r="Y87" s="2268">
        <f t="shared" si="30"/>
        <v>921.9853657334661</v>
      </c>
      <c r="Z87" s="2886">
        <f t="shared" si="39"/>
        <v>3055.2234889593155</v>
      </c>
      <c r="AA87" s="2887">
        <f t="shared" si="39"/>
        <v>3297.0342440321488</v>
      </c>
      <c r="AB87" s="2268">
        <f t="shared" si="31"/>
        <v>3176.1288664957319</v>
      </c>
      <c r="AC87" s="2113">
        <f t="shared" si="33"/>
        <v>957.08248975225501</v>
      </c>
      <c r="AD87" s="2114">
        <f t="shared" si="34"/>
        <v>0</v>
      </c>
      <c r="AE87" s="2113"/>
      <c r="AF87" s="2114"/>
      <c r="AG87" s="2113"/>
      <c r="AH87" s="2113"/>
      <c r="AI87" s="2114">
        <f>Z87+'2024 Калуга+область перекачка'!Z87+'2024 Калуга+область очистка'!Z87</f>
        <v>16779.898283543993</v>
      </c>
      <c r="AJ87" s="2114">
        <f>AA87+'2024 Калуга+область перекачка'!AA87+'2024 Калуга+область очистка'!AA87</f>
        <v>18009.885623826922</v>
      </c>
      <c r="AK87" s="2114">
        <f>AB87+'2024 Калуга+область перекачка'!AB87+'2024 Калуга+область очистка'!AB87</f>
        <v>17394.891953685459</v>
      </c>
      <c r="AL87" s="2114">
        <f>расчет_тарифа_К_!O88</f>
        <v>18009.885623826922</v>
      </c>
      <c r="AM87" s="2593">
        <f t="shared" si="37"/>
        <v>0</v>
      </c>
    </row>
    <row r="88" spans="1:39" s="2218" customFormat="1" ht="85.5" customHeight="1">
      <c r="A88" s="2235">
        <v>138</v>
      </c>
      <c r="B88" s="2281" t="s">
        <v>1904</v>
      </c>
      <c r="C88" s="2293" t="s">
        <v>1905</v>
      </c>
      <c r="D88" s="2283" t="s">
        <v>1317</v>
      </c>
      <c r="E88" s="2284">
        <f>'[3]НВВ тран-ка'!K389</f>
        <v>314.64911330049262</v>
      </c>
      <c r="F88" s="2285">
        <f>'[3]НВВ тран-ка'!L389</f>
        <v>324.08858669950746</v>
      </c>
      <c r="G88" s="2257">
        <f t="shared" si="26"/>
        <v>319.36885000000007</v>
      </c>
      <c r="H88" s="2285">
        <f>'[3]НВВ тран-ка'!T389</f>
        <v>51.280127701375207</v>
      </c>
      <c r="I88" s="2285">
        <f>'[3]НВВ тран-ка'!U389</f>
        <v>53.126212298624715</v>
      </c>
      <c r="J88" s="2257">
        <f t="shared" si="27"/>
        <v>52.203169999999957</v>
      </c>
      <c r="K88" s="2285">
        <f>'[3]НВВ тран-ка'!AC389</f>
        <v>177.37294078477106</v>
      </c>
      <c r="L88" s="2285">
        <f>'[3]НВВ тран-ка'!AD389</f>
        <v>184.99997723851618</v>
      </c>
      <c r="M88" s="2259">
        <f t="shared" si="28"/>
        <v>181.18645901164362</v>
      </c>
      <c r="N88" s="2284"/>
      <c r="O88" s="2285">
        <f>L88*1.06*1.072</f>
        <v>210.21917413567076</v>
      </c>
      <c r="P88" s="2259">
        <f t="shared" si="21"/>
        <v>105.10958706783538</v>
      </c>
      <c r="Q88" s="2284">
        <v>0</v>
      </c>
      <c r="R88" s="2285">
        <f>23.5403619481155*1.072</f>
        <v>25.235268008379816</v>
      </c>
      <c r="S88" s="2259">
        <f t="shared" si="22"/>
        <v>12.617634004189908</v>
      </c>
      <c r="T88" s="2284">
        <f t="shared" si="38"/>
        <v>0</v>
      </c>
      <c r="U88" s="2285">
        <f t="shared" si="38"/>
        <v>235.45444214405057</v>
      </c>
      <c r="V88" s="2268">
        <f t="shared" si="29"/>
        <v>117.72722107202529</v>
      </c>
      <c r="W88" s="2888">
        <f t="shared" ref="W88:X91" si="40">T88/$T$272*$W$272</f>
        <v>0</v>
      </c>
      <c r="X88" s="2889">
        <f t="shared" si="40"/>
        <v>52.972059257525011</v>
      </c>
      <c r="Y88" s="2268">
        <f t="shared" si="30"/>
        <v>26.486029628762505</v>
      </c>
      <c r="Z88" s="2888">
        <f t="shared" si="39"/>
        <v>0</v>
      </c>
      <c r="AA88" s="2889">
        <f t="shared" si="39"/>
        <v>182.48238288652556</v>
      </c>
      <c r="AB88" s="2268">
        <f t="shared" si="31"/>
        <v>91.241191443262778</v>
      </c>
      <c r="AC88" s="2113">
        <f t="shared" si="33"/>
        <v>52.972059257525011</v>
      </c>
      <c r="AD88" s="2114">
        <f t="shared" si="34"/>
        <v>0</v>
      </c>
      <c r="AE88" s="2113">
        <f t="shared" si="35"/>
        <v>182.48238288652556</v>
      </c>
      <c r="AF88" s="2114">
        <f t="shared" si="36"/>
        <v>0</v>
      </c>
      <c r="AG88" s="2113"/>
      <c r="AH88" s="2113"/>
      <c r="AI88" s="2114">
        <f>Z88+'2024 Калуга+область перекачка'!Z88+'2024 Калуга+область очистка'!Z88</f>
        <v>15.330625907990377</v>
      </c>
      <c r="AJ88" s="2114">
        <f>AA88+'2024 Калуга+область перекачка'!AA88+'2024 Калуга+область очистка'!AA88</f>
        <v>983.53217600394976</v>
      </c>
      <c r="AK88" s="2114">
        <f>AB88+'2024 Калуга+область перекачка'!AB88+'2024 Калуга+область очистка'!AB88</f>
        <v>499.43140095597005</v>
      </c>
      <c r="AL88" s="2114">
        <f>расчет_тарифа_К_!O89</f>
        <v>983.53217600394976</v>
      </c>
      <c r="AM88" s="2593">
        <f t="shared" si="37"/>
        <v>0</v>
      </c>
    </row>
    <row r="89" spans="1:39" s="2218" customFormat="1" ht="23.25" customHeight="1">
      <c r="A89" s="2235">
        <v>139</v>
      </c>
      <c r="B89" s="2281" t="s">
        <v>1907</v>
      </c>
      <c r="C89" s="2293" t="s">
        <v>1908</v>
      </c>
      <c r="D89" s="2283" t="s">
        <v>1317</v>
      </c>
      <c r="E89" s="2284">
        <f>'[3]НВВ тран-ка'!K390</f>
        <v>179.03929064039608</v>
      </c>
      <c r="F89" s="2285">
        <f>'[3]НВВ тран-ка'!L390</f>
        <v>184.41046935960799</v>
      </c>
      <c r="G89" s="2257">
        <f t="shared" si="26"/>
        <v>181.72488000000203</v>
      </c>
      <c r="H89" s="2285">
        <f>'[3]НВВ тран-ка'!T390</f>
        <v>78.648948919450277</v>
      </c>
      <c r="I89" s="2285">
        <f>'[3]НВВ тран-ка'!U390</f>
        <v>81.480311080550564</v>
      </c>
      <c r="J89" s="2257">
        <f t="shared" si="27"/>
        <v>80.06463000000042</v>
      </c>
      <c r="K89" s="2285">
        <f>'[3]НВВ тран-ка'!AC390</f>
        <v>70.041302006852675</v>
      </c>
      <c r="L89" s="2285">
        <f>'[3]НВВ тран-ка'!AD390</f>
        <v>73.053077993147326</v>
      </c>
      <c r="M89" s="2259">
        <f t="shared" si="28"/>
        <v>71.547190000000001</v>
      </c>
      <c r="N89" s="2284"/>
      <c r="O89" s="2285">
        <f>L89*1.06*1.072</f>
        <v>83.01167358517317</v>
      </c>
      <c r="P89" s="2259">
        <f t="shared" si="21"/>
        <v>41.505836792586585</v>
      </c>
      <c r="Q89" s="2284">
        <v>0</v>
      </c>
      <c r="R89" s="2285">
        <f>1086.98440758969*1.072</f>
        <v>1165.2472849361477</v>
      </c>
      <c r="S89" s="2259">
        <f t="shared" si="22"/>
        <v>582.62364246807385</v>
      </c>
      <c r="T89" s="2284">
        <f t="shared" si="38"/>
        <v>0</v>
      </c>
      <c r="U89" s="2285">
        <f t="shared" si="38"/>
        <v>1248.2589585213209</v>
      </c>
      <c r="V89" s="2268">
        <f t="shared" si="29"/>
        <v>624.12947926066045</v>
      </c>
      <c r="W89" s="2888">
        <f t="shared" si="40"/>
        <v>0</v>
      </c>
      <c r="X89" s="2889">
        <f t="shared" si="40"/>
        <v>280.83074975104535</v>
      </c>
      <c r="Y89" s="2268">
        <f t="shared" si="30"/>
        <v>140.41537487552267</v>
      </c>
      <c r="Z89" s="2888">
        <f t="shared" si="39"/>
        <v>0</v>
      </c>
      <c r="AA89" s="2889">
        <f t="shared" si="39"/>
        <v>967.42820877027532</v>
      </c>
      <c r="AB89" s="2268">
        <f t="shared" si="31"/>
        <v>483.71410438513766</v>
      </c>
      <c r="AC89" s="2113">
        <f t="shared" si="33"/>
        <v>280.83074975104535</v>
      </c>
      <c r="AD89" s="2114">
        <f t="shared" si="34"/>
        <v>0</v>
      </c>
      <c r="AE89" s="2113">
        <f t="shared" si="35"/>
        <v>967.42820877027532</v>
      </c>
      <c r="AF89" s="2114">
        <f t="shared" si="36"/>
        <v>0</v>
      </c>
      <c r="AG89" s="2113"/>
      <c r="AH89" s="2113"/>
      <c r="AI89" s="2114">
        <f>Z89+'2024 Калуга+область перекачка'!Z89+'2024 Калуга+область очистка'!Z89</f>
        <v>736.62233939005932</v>
      </c>
      <c r="AJ89" s="2114">
        <f>AA89+'2024 Калуга+область перекачка'!AA89+'2024 Калуга+область очистка'!AA89</f>
        <v>2044.6225596982372</v>
      </c>
      <c r="AK89" s="2114">
        <f>AB89+'2024 Калуга+область перекачка'!AB89+'2024 Калуга+область очистка'!AB89</f>
        <v>1390.6224495441484</v>
      </c>
      <c r="AL89" s="2114">
        <f>расчет_тарифа_К_!O90</f>
        <v>2044.6225596982372</v>
      </c>
      <c r="AM89" s="2593">
        <f t="shared" si="37"/>
        <v>0</v>
      </c>
    </row>
    <row r="90" spans="1:39" s="2218" customFormat="1" ht="24" customHeight="1">
      <c r="A90" s="2235">
        <v>140</v>
      </c>
      <c r="B90" s="2281" t="s">
        <v>1909</v>
      </c>
      <c r="C90" s="2293" t="s">
        <v>1910</v>
      </c>
      <c r="D90" s="2283" t="s">
        <v>1317</v>
      </c>
      <c r="E90" s="2284">
        <f>'[3]НВВ тран-ка'!K391</f>
        <v>2.8421709430404007E-13</v>
      </c>
      <c r="F90" s="2285">
        <f>'[3]НВВ тран-ка'!L391</f>
        <v>2.8421709430404007E-13</v>
      </c>
      <c r="G90" s="2257">
        <f t="shared" si="26"/>
        <v>2.8421709430404007E-13</v>
      </c>
      <c r="H90" s="2285">
        <f>'[3]НВВ тран-ка'!T391</f>
        <v>0</v>
      </c>
      <c r="I90" s="2285">
        <f>'[3]НВВ тран-ка'!U391</f>
        <v>0</v>
      </c>
      <c r="J90" s="2257">
        <f t="shared" si="27"/>
        <v>0</v>
      </c>
      <c r="K90" s="2285">
        <f>'[3]НВВ тран-ка'!AC391</f>
        <v>0</v>
      </c>
      <c r="L90" s="2285">
        <f>'[3]НВВ тран-ка'!AD391</f>
        <v>0</v>
      </c>
      <c r="M90" s="2259">
        <f t="shared" si="28"/>
        <v>0</v>
      </c>
      <c r="N90" s="2284"/>
      <c r="O90" s="2285">
        <f>L90*1.06*1.072</f>
        <v>0</v>
      </c>
      <c r="P90" s="2259">
        <f t="shared" si="21"/>
        <v>0</v>
      </c>
      <c r="Q90" s="2284">
        <v>0</v>
      </c>
      <c r="R90" s="2285">
        <f>238.756963266403*1.072</f>
        <v>255.94746462158403</v>
      </c>
      <c r="S90" s="2259">
        <f t="shared" si="22"/>
        <v>127.97373231079202</v>
      </c>
      <c r="T90" s="2284">
        <f t="shared" si="38"/>
        <v>0</v>
      </c>
      <c r="U90" s="2285">
        <f t="shared" si="38"/>
        <v>255.94746462158403</v>
      </c>
      <c r="V90" s="2268">
        <f t="shared" si="29"/>
        <v>127.97373231079202</v>
      </c>
      <c r="W90" s="2888">
        <f t="shared" si="40"/>
        <v>0</v>
      </c>
      <c r="X90" s="2889">
        <f t="shared" si="40"/>
        <v>57.58253757834408</v>
      </c>
      <c r="Y90" s="2268">
        <f t="shared" si="30"/>
        <v>28.79126878917204</v>
      </c>
      <c r="Z90" s="2888">
        <f t="shared" si="39"/>
        <v>0</v>
      </c>
      <c r="AA90" s="2889">
        <f t="shared" si="39"/>
        <v>198.36492704323993</v>
      </c>
      <c r="AB90" s="2268">
        <f t="shared" si="31"/>
        <v>99.182463521619965</v>
      </c>
      <c r="AC90" s="2113">
        <f t="shared" si="33"/>
        <v>57.58253757834408</v>
      </c>
      <c r="AD90" s="2114">
        <f t="shared" si="34"/>
        <v>0</v>
      </c>
      <c r="AE90" s="2113">
        <f t="shared" si="35"/>
        <v>198.36492704323993</v>
      </c>
      <c r="AF90" s="2114">
        <f t="shared" si="36"/>
        <v>0</v>
      </c>
      <c r="AG90" s="2113"/>
      <c r="AH90" s="2113"/>
      <c r="AI90" s="2114">
        <f>Z90+'2024 Калуга+область перекачка'!Z90+'2024 Калуга+область очистка'!Z90</f>
        <v>450.55928474096902</v>
      </c>
      <c r="AJ90" s="2114">
        <f>AA90+'2024 Калуга+область перекачка'!AA90+'2024 Калуга+область очистка'!AA90</f>
        <v>681.36448028555878</v>
      </c>
      <c r="AK90" s="2114">
        <f>AB90+'2024 Калуга+область перекачка'!AB90+'2024 Калуга+область очистка'!AB90</f>
        <v>565.96188251326384</v>
      </c>
      <c r="AL90" s="2114">
        <f>расчет_тарифа_К_!O91</f>
        <v>681.36448028555878</v>
      </c>
      <c r="AM90" s="2593">
        <f t="shared" si="37"/>
        <v>0</v>
      </c>
    </row>
    <row r="91" spans="1:39" s="2218" customFormat="1" ht="21" customHeight="1">
      <c r="A91" s="2235">
        <v>141</v>
      </c>
      <c r="B91" s="2281" t="s">
        <v>1912</v>
      </c>
      <c r="C91" s="2293" t="s">
        <v>1913</v>
      </c>
      <c r="D91" s="2283" t="s">
        <v>1317</v>
      </c>
      <c r="E91" s="2284">
        <f>'[3]НВВ тран-ка'!K392</f>
        <v>3.3813201970445448</v>
      </c>
      <c r="F91" s="2285">
        <f>'[3]НВВ тран-ка'!L392</f>
        <v>3.4827598029559113</v>
      </c>
      <c r="G91" s="2257">
        <f t="shared" si="26"/>
        <v>3.432040000000228</v>
      </c>
      <c r="H91" s="2285">
        <f>'[3]НВВ тран-ка'!T392</f>
        <v>0.65939096267186414</v>
      </c>
      <c r="I91" s="2285">
        <f>'[3]НВВ тран-ка'!U392</f>
        <v>0.68312903732800123</v>
      </c>
      <c r="J91" s="2257">
        <f t="shared" si="27"/>
        <v>0.67125999999993269</v>
      </c>
      <c r="K91" s="2285">
        <f>'[3]НВВ тран-ка'!AC392</f>
        <v>1.1372393538912888</v>
      </c>
      <c r="L91" s="2285">
        <f>'[3]НВВ тран-ка'!AD392</f>
        <v>1.1861406461086403</v>
      </c>
      <c r="M91" s="2259">
        <f t="shared" si="28"/>
        <v>1.1616899999999646</v>
      </c>
      <c r="N91" s="2284"/>
      <c r="O91" s="2285">
        <f>L91*1.06*1.072</f>
        <v>1.3478353389861704</v>
      </c>
      <c r="P91" s="2259">
        <f t="shared" si="21"/>
        <v>0.67391766949308518</v>
      </c>
      <c r="Q91" s="2284">
        <v>0</v>
      </c>
      <c r="R91" s="2285">
        <f>322.777415402008*1.072</f>
        <v>346.01738931095258</v>
      </c>
      <c r="S91" s="2259">
        <f t="shared" si="22"/>
        <v>173.00869465547629</v>
      </c>
      <c r="T91" s="2284">
        <f t="shared" si="38"/>
        <v>0</v>
      </c>
      <c r="U91" s="2285">
        <f t="shared" si="38"/>
        <v>347.36522464993874</v>
      </c>
      <c r="V91" s="2268">
        <f t="shared" si="29"/>
        <v>173.68261232496937</v>
      </c>
      <c r="W91" s="2888">
        <f t="shared" si="40"/>
        <v>0</v>
      </c>
      <c r="X91" s="2889">
        <f t="shared" si="40"/>
        <v>78.149518423196952</v>
      </c>
      <c r="Y91" s="2268">
        <f t="shared" si="30"/>
        <v>39.074759211598476</v>
      </c>
      <c r="Z91" s="2888">
        <f t="shared" si="39"/>
        <v>0</v>
      </c>
      <c r="AA91" s="2889">
        <f t="shared" si="39"/>
        <v>269.21570622674176</v>
      </c>
      <c r="AB91" s="2268">
        <f t="shared" si="31"/>
        <v>134.60785311337088</v>
      </c>
      <c r="AC91" s="2113">
        <f t="shared" si="33"/>
        <v>78.149518423196952</v>
      </c>
      <c r="AD91" s="2114">
        <f t="shared" si="34"/>
        <v>0</v>
      </c>
      <c r="AE91" s="2113">
        <f t="shared" si="35"/>
        <v>269.21570622674176</v>
      </c>
      <c r="AF91" s="2114">
        <f t="shared" si="36"/>
        <v>0</v>
      </c>
      <c r="AG91" s="2113"/>
      <c r="AH91" s="2113"/>
      <c r="AI91" s="2114">
        <f>Z91+'2024 Калуга+область перекачка'!Z91+'2024 Калуга+область очистка'!Z91</f>
        <v>209.86513210088185</v>
      </c>
      <c r="AJ91" s="2114">
        <f>AA91+'2024 Калуга+область перекачка'!AA91+'2024 Калуга+область очистка'!AA91</f>
        <v>514.20846522355237</v>
      </c>
      <c r="AK91" s="2114">
        <f>AB91+'2024 Калуга+область перекачка'!AB91+'2024 Калуга+область очистка'!AB91</f>
        <v>362.03679866221711</v>
      </c>
      <c r="AL91" s="2114">
        <f>расчет_тарифа_К_!O92</f>
        <v>514.20846522355237</v>
      </c>
      <c r="AM91" s="2593">
        <f t="shared" si="37"/>
        <v>0</v>
      </c>
    </row>
    <row r="92" spans="1:39" s="2218" customFormat="1" ht="21" customHeight="1">
      <c r="A92" s="2235">
        <v>142</v>
      </c>
      <c r="B92" s="2279" t="s">
        <v>1915</v>
      </c>
      <c r="C92" s="2295" t="s">
        <v>1916</v>
      </c>
      <c r="D92" s="2254" t="s">
        <v>1317</v>
      </c>
      <c r="E92" s="2255">
        <f>E93+E94</f>
        <v>0</v>
      </c>
      <c r="F92" s="2256">
        <f>F93+F94</f>
        <v>0</v>
      </c>
      <c r="G92" s="2257">
        <f t="shared" si="26"/>
        <v>0</v>
      </c>
      <c r="H92" s="2256">
        <f>H93+H94</f>
        <v>0</v>
      </c>
      <c r="I92" s="2256">
        <f>I93+I94</f>
        <v>0</v>
      </c>
      <c r="J92" s="2257">
        <f t="shared" si="27"/>
        <v>0</v>
      </c>
      <c r="K92" s="2256">
        <f>K93+K94</f>
        <v>0</v>
      </c>
      <c r="L92" s="2256">
        <f>L93+L94</f>
        <v>0</v>
      </c>
      <c r="M92" s="2259">
        <f t="shared" si="28"/>
        <v>0</v>
      </c>
      <c r="N92" s="2255">
        <v>0</v>
      </c>
      <c r="O92" s="2256">
        <v>0</v>
      </c>
      <c r="P92" s="2259">
        <f t="shared" si="21"/>
        <v>0</v>
      </c>
      <c r="Q92" s="2255">
        <v>0</v>
      </c>
      <c r="R92" s="2256">
        <v>0</v>
      </c>
      <c r="S92" s="2259">
        <f t="shared" si="22"/>
        <v>0</v>
      </c>
      <c r="T92" s="2255">
        <v>0</v>
      </c>
      <c r="U92" s="2256">
        <v>0</v>
      </c>
      <c r="V92" s="2268">
        <f t="shared" si="29"/>
        <v>0</v>
      </c>
      <c r="W92" s="2377">
        <f>T92/$T$272*$N$272</f>
        <v>0</v>
      </c>
      <c r="X92" s="2256">
        <f>U92/$T$272*$N$272</f>
        <v>0</v>
      </c>
      <c r="Y92" s="2268">
        <f t="shared" si="30"/>
        <v>0</v>
      </c>
      <c r="Z92" s="2886">
        <f t="shared" si="39"/>
        <v>0</v>
      </c>
      <c r="AA92" s="2887">
        <f t="shared" si="39"/>
        <v>0</v>
      </c>
      <c r="AB92" s="2268">
        <f t="shared" si="31"/>
        <v>0</v>
      </c>
      <c r="AC92" s="2113">
        <f t="shared" si="33"/>
        <v>0</v>
      </c>
      <c r="AD92" s="2114">
        <f t="shared" si="34"/>
        <v>0</v>
      </c>
      <c r="AE92" s="2113">
        <f t="shared" si="35"/>
        <v>0</v>
      </c>
      <c r="AF92" s="2114">
        <f t="shared" si="36"/>
        <v>0</v>
      </c>
      <c r="AG92" s="2113"/>
      <c r="AH92" s="2113"/>
      <c r="AI92" s="2114">
        <f>Z92+'2024 Калуга+область перекачка'!Z92+'2024 Калуга+область очистка'!Z92</f>
        <v>0</v>
      </c>
      <c r="AJ92" s="2114">
        <f>AA92+'2024 Калуга+область перекачка'!AA92+'2024 Калуга+область очистка'!AA92</f>
        <v>0</v>
      </c>
      <c r="AK92" s="2114">
        <f>AB92+'2024 Калуга+область перекачка'!AB92+'2024 Калуга+область очистка'!AB92</f>
        <v>0</v>
      </c>
      <c r="AL92" s="2114">
        <f>расчет_тарифа_К_!O93</f>
        <v>0</v>
      </c>
      <c r="AM92" s="2593">
        <f t="shared" si="37"/>
        <v>0</v>
      </c>
    </row>
    <row r="93" spans="1:39" s="2218" customFormat="1" ht="44.25" customHeight="1">
      <c r="A93" s="2235">
        <v>143</v>
      </c>
      <c r="B93" s="2281" t="s">
        <v>1917</v>
      </c>
      <c r="C93" s="2282" t="s">
        <v>1918</v>
      </c>
      <c r="D93" s="2283" t="s">
        <v>1317</v>
      </c>
      <c r="E93" s="2284"/>
      <c r="F93" s="2285"/>
      <c r="G93" s="2257">
        <f t="shared" si="26"/>
        <v>0</v>
      </c>
      <c r="H93" s="2285"/>
      <c r="I93" s="2285"/>
      <c r="J93" s="2257">
        <f t="shared" si="27"/>
        <v>0</v>
      </c>
      <c r="K93" s="2285"/>
      <c r="L93" s="2285"/>
      <c r="M93" s="2259">
        <f t="shared" si="28"/>
        <v>0</v>
      </c>
      <c r="N93" s="2284"/>
      <c r="O93" s="2285"/>
      <c r="P93" s="2259">
        <f t="shared" si="21"/>
        <v>0</v>
      </c>
      <c r="Q93" s="2284">
        <v>0</v>
      </c>
      <c r="R93" s="2285">
        <v>0</v>
      </c>
      <c r="S93" s="2259">
        <f t="shared" si="22"/>
        <v>0</v>
      </c>
      <c r="T93" s="2284">
        <f t="shared" ref="T93:U103" si="41">N93+Q93</f>
        <v>0</v>
      </c>
      <c r="U93" s="2285">
        <f t="shared" si="41"/>
        <v>0</v>
      </c>
      <c r="V93" s="2268">
        <f t="shared" si="29"/>
        <v>0</v>
      </c>
      <c r="W93" s="2888">
        <f>T93/$T$272*$W$272</f>
        <v>0</v>
      </c>
      <c r="X93" s="2889">
        <f>U93/$T$272*$W$272</f>
        <v>0</v>
      </c>
      <c r="Y93" s="2268">
        <f t="shared" si="30"/>
        <v>0</v>
      </c>
      <c r="Z93" s="2888">
        <f t="shared" si="39"/>
        <v>0</v>
      </c>
      <c r="AA93" s="2889">
        <f t="shared" si="39"/>
        <v>0</v>
      </c>
      <c r="AB93" s="2268">
        <f t="shared" si="31"/>
        <v>0</v>
      </c>
      <c r="AC93" s="2113">
        <f t="shared" si="33"/>
        <v>0</v>
      </c>
      <c r="AD93" s="2114">
        <f t="shared" si="34"/>
        <v>0</v>
      </c>
      <c r="AE93" s="2113">
        <f t="shared" si="35"/>
        <v>0</v>
      </c>
      <c r="AF93" s="2114">
        <f t="shared" si="36"/>
        <v>0</v>
      </c>
      <c r="AG93" s="2113"/>
      <c r="AH93" s="2113"/>
      <c r="AI93" s="2114">
        <f>Z93+'2024 Калуга+область перекачка'!Z93+'2024 Калуга+область очистка'!Z93</f>
        <v>0</v>
      </c>
      <c r="AJ93" s="2114">
        <f>AA93+'2024 Калуга+область перекачка'!AA93+'2024 Калуга+область очистка'!AA93</f>
        <v>0</v>
      </c>
      <c r="AK93" s="2114">
        <f>AB93+'2024 Калуга+область перекачка'!AB93+'2024 Калуга+область очистка'!AB93</f>
        <v>0</v>
      </c>
      <c r="AL93" s="2114">
        <f>расчет_тарифа_К_!O94</f>
        <v>0</v>
      </c>
      <c r="AM93" s="2593">
        <f t="shared" si="37"/>
        <v>0</v>
      </c>
    </row>
    <row r="94" spans="1:39" s="2218" customFormat="1" ht="20.25" customHeight="1" thickBot="1">
      <c r="A94" s="2235">
        <v>144</v>
      </c>
      <c r="B94" s="2297" t="s">
        <v>1919</v>
      </c>
      <c r="C94" s="2298" t="s">
        <v>1920</v>
      </c>
      <c r="D94" s="2299" t="s">
        <v>1317</v>
      </c>
      <c r="E94" s="2300"/>
      <c r="F94" s="2301"/>
      <c r="G94" s="2266">
        <f t="shared" si="26"/>
        <v>0</v>
      </c>
      <c r="H94" s="2301"/>
      <c r="I94" s="2301"/>
      <c r="J94" s="2266">
        <f t="shared" si="27"/>
        <v>0</v>
      </c>
      <c r="K94" s="2301"/>
      <c r="L94" s="2301"/>
      <c r="M94" s="2268">
        <f t="shared" si="28"/>
        <v>0</v>
      </c>
      <c r="N94" s="2300"/>
      <c r="O94" s="2301"/>
      <c r="P94" s="2268">
        <f t="shared" si="21"/>
        <v>0</v>
      </c>
      <c r="Q94" s="2300">
        <v>0</v>
      </c>
      <c r="R94" s="2301">
        <v>0</v>
      </c>
      <c r="S94" s="2268">
        <f t="shared" si="22"/>
        <v>0</v>
      </c>
      <c r="T94" s="2284">
        <f t="shared" si="41"/>
        <v>0</v>
      </c>
      <c r="U94" s="2285">
        <f t="shared" si="41"/>
        <v>0</v>
      </c>
      <c r="V94" s="2268">
        <f t="shared" si="29"/>
        <v>0</v>
      </c>
      <c r="W94" s="2888">
        <f>T94/$T$272*$W$272</f>
        <v>0</v>
      </c>
      <c r="X94" s="2889">
        <f>U94/$T$272*$W$272</f>
        <v>0</v>
      </c>
      <c r="Y94" s="2268">
        <f t="shared" si="30"/>
        <v>0</v>
      </c>
      <c r="Z94" s="2888">
        <f t="shared" si="39"/>
        <v>0</v>
      </c>
      <c r="AA94" s="2889">
        <f t="shared" si="39"/>
        <v>0</v>
      </c>
      <c r="AB94" s="2268">
        <f t="shared" si="31"/>
        <v>0</v>
      </c>
      <c r="AC94" s="2113">
        <f t="shared" si="33"/>
        <v>0</v>
      </c>
      <c r="AD94" s="2114">
        <f t="shared" si="34"/>
        <v>0</v>
      </c>
      <c r="AE94" s="2113">
        <f t="shared" si="35"/>
        <v>0</v>
      </c>
      <c r="AF94" s="2114">
        <f t="shared" si="36"/>
        <v>0</v>
      </c>
      <c r="AG94" s="2113"/>
      <c r="AH94" s="2113"/>
      <c r="AI94" s="2114">
        <f>Z94+'2024 Калуга+область перекачка'!Z94+'2024 Калуга+область очистка'!Z94</f>
        <v>0</v>
      </c>
      <c r="AJ94" s="2114">
        <f>AA94+'2024 Калуга+область перекачка'!AA94+'2024 Калуга+область очистка'!AA94</f>
        <v>0</v>
      </c>
      <c r="AK94" s="2114">
        <f>AB94+'2024 Калуга+область перекачка'!AB94+'2024 Калуга+область очистка'!AB94</f>
        <v>0</v>
      </c>
      <c r="AL94" s="2114">
        <f>расчет_тарифа_К_!O95</f>
        <v>0</v>
      </c>
      <c r="AM94" s="2593">
        <f t="shared" si="37"/>
        <v>0</v>
      </c>
    </row>
    <row r="95" spans="1:39" s="2218" customFormat="1" ht="38.25" thickBot="1">
      <c r="A95" s="2235">
        <v>5</v>
      </c>
      <c r="B95" s="2323" t="s">
        <v>85</v>
      </c>
      <c r="C95" s="2324" t="s">
        <v>1921</v>
      </c>
      <c r="D95" s="2323" t="s">
        <v>1313</v>
      </c>
      <c r="E95" s="2325">
        <f>E96+E97+E101+E102+E103+E104</f>
        <v>0</v>
      </c>
      <c r="F95" s="2325">
        <f>F96+F97+F101+F102+F103+F104</f>
        <v>0</v>
      </c>
      <c r="G95" s="2326">
        <f t="shared" si="26"/>
        <v>0</v>
      </c>
      <c r="H95" s="2325">
        <f>H96+H97+H101+H102+H103+H104</f>
        <v>0</v>
      </c>
      <c r="I95" s="2325">
        <f>I96+I97+I101+I102+I103+I104</f>
        <v>0</v>
      </c>
      <c r="J95" s="2326">
        <f t="shared" si="27"/>
        <v>0</v>
      </c>
      <c r="K95" s="2325">
        <f>K96+K97+K101+K102+K103+K104+K112</f>
        <v>2568.852502810138</v>
      </c>
      <c r="L95" s="2325">
        <f>L96+L97+L101+L102+L103+L104+L112</f>
        <v>2688.6295733419674</v>
      </c>
      <c r="M95" s="2326">
        <f t="shared" si="28"/>
        <v>2628.741038076053</v>
      </c>
      <c r="N95" s="2325">
        <f>N96+N97+N101+N102+N103+N104+N112</f>
        <v>0</v>
      </c>
      <c r="O95" s="2325">
        <f>O96+O97+O101+O102+O103+O104+O112</f>
        <v>4996.7031755784092</v>
      </c>
      <c r="P95" s="2326">
        <f t="shared" si="21"/>
        <v>2498.3515877892046</v>
      </c>
      <c r="Q95" s="2325">
        <f>Q96+Q97+Q101+Q102+Q103+Q104+Q112</f>
        <v>3887.2638959927513</v>
      </c>
      <c r="R95" s="2325">
        <f>R96+R97+R101+R102+R103+R104+R112</f>
        <v>4072.9358430642305</v>
      </c>
      <c r="S95" s="2326">
        <f t="shared" si="22"/>
        <v>3980.0998695284907</v>
      </c>
      <c r="T95" s="2666">
        <f t="shared" si="41"/>
        <v>3887.2638959927513</v>
      </c>
      <c r="U95" s="2479">
        <f t="shared" si="41"/>
        <v>9069.6390186426397</v>
      </c>
      <c r="V95" s="2268">
        <f t="shared" si="29"/>
        <v>6478.4514573176957</v>
      </c>
      <c r="W95" s="3014">
        <f>T95/$T$272*$N$272</f>
        <v>874.54868794612207</v>
      </c>
      <c r="X95" s="3015">
        <f>U95/$T$272*$N$272</f>
        <v>2040.4688531888821</v>
      </c>
      <c r="Y95" s="2268">
        <f t="shared" si="30"/>
        <v>1457.5087705675021</v>
      </c>
      <c r="Z95" s="3014">
        <f t="shared" si="39"/>
        <v>3012.7152080466285</v>
      </c>
      <c r="AA95" s="3015">
        <f t="shared" si="39"/>
        <v>7029.1701654537574</v>
      </c>
      <c r="AB95" s="2268">
        <f t="shared" si="31"/>
        <v>5020.9426867501934</v>
      </c>
      <c r="AC95" s="2113">
        <f t="shared" si="33"/>
        <v>2040.4688531888821</v>
      </c>
      <c r="AD95" s="2114">
        <f t="shared" si="34"/>
        <v>0</v>
      </c>
      <c r="AE95" s="2113">
        <f t="shared" si="35"/>
        <v>7029.1701654537574</v>
      </c>
      <c r="AF95" s="2114">
        <f t="shared" si="36"/>
        <v>0</v>
      </c>
      <c r="AG95" s="2113"/>
      <c r="AH95" s="2113"/>
      <c r="AI95" s="2114">
        <f>Z95+'2024 Калуга+область перекачка'!Z95+'2024 Калуга+область очистка'!Z95</f>
        <v>24392.076186627542</v>
      </c>
      <c r="AJ95" s="2114">
        <f>AA95+'2024 Калуга+область перекачка'!AA95+'2024 Калуга+область очистка'!AA95</f>
        <v>45479.511217906722</v>
      </c>
      <c r="AK95" s="2114">
        <f>AB95+'2024 Калуга+область перекачка'!AB95+'2024 Калуга+область очистка'!AB95</f>
        <v>34935.793702267132</v>
      </c>
      <c r="AL95" s="2114">
        <f>расчет_тарифа_К_!O96</f>
        <v>45479.510980794556</v>
      </c>
      <c r="AM95" s="2593">
        <f t="shared" si="37"/>
        <v>2.3711216636002064E-4</v>
      </c>
    </row>
    <row r="96" spans="1:39" s="2218" customFormat="1" ht="78.75" customHeight="1" outlineLevel="1">
      <c r="A96" s="2235"/>
      <c r="B96" s="2328" t="s">
        <v>14982</v>
      </c>
      <c r="C96" s="2329" t="s">
        <v>14983</v>
      </c>
      <c r="D96" s="2330" t="s">
        <v>1317</v>
      </c>
      <c r="E96" s="2331"/>
      <c r="F96" s="2331"/>
      <c r="G96" s="2332">
        <f t="shared" si="26"/>
        <v>0</v>
      </c>
      <c r="H96" s="2331"/>
      <c r="I96" s="2331"/>
      <c r="J96" s="2332">
        <f t="shared" si="27"/>
        <v>0</v>
      </c>
      <c r="K96" s="2331">
        <f>'[3]НВВ тран-ка'!AC397</f>
        <v>0</v>
      </c>
      <c r="L96" s="2331">
        <f>'[3]НВВ тран-ка'!AD397</f>
        <v>0</v>
      </c>
      <c r="M96" s="2332">
        <f t="shared" si="28"/>
        <v>0</v>
      </c>
      <c r="N96" s="2331"/>
      <c r="O96" s="2331"/>
      <c r="P96" s="2332">
        <f t="shared" si="21"/>
        <v>0</v>
      </c>
      <c r="Q96" s="2523">
        <v>32.286736517637813</v>
      </c>
      <c r="R96" s="2472">
        <f>Q96*1.072</f>
        <v>34.611381546907737</v>
      </c>
      <c r="S96" s="2332">
        <f t="shared" si="22"/>
        <v>33.449059032272771</v>
      </c>
      <c r="T96" s="2284">
        <f t="shared" si="41"/>
        <v>32.286736517637813</v>
      </c>
      <c r="U96" s="2285">
        <f t="shared" si="41"/>
        <v>34.611381546907737</v>
      </c>
      <c r="V96" s="2268">
        <f t="shared" si="29"/>
        <v>33.449059032272771</v>
      </c>
      <c r="W96" s="2888">
        <f>T96/$T$272*$W$272</f>
        <v>7.2638040058639097</v>
      </c>
      <c r="X96" s="2889">
        <f>U96/$T$272*$W$272</f>
        <v>7.7867978942861118</v>
      </c>
      <c r="Y96" s="2268">
        <f t="shared" si="30"/>
        <v>7.5253009500750103</v>
      </c>
      <c r="Z96" s="2888">
        <f t="shared" si="39"/>
        <v>25.022932511773899</v>
      </c>
      <c r="AA96" s="2889">
        <f t="shared" si="39"/>
        <v>26.824583652621623</v>
      </c>
      <c r="AB96" s="2268">
        <f t="shared" si="31"/>
        <v>25.923758082197761</v>
      </c>
      <c r="AC96" s="2113">
        <f t="shared" si="33"/>
        <v>7.7867978942861118</v>
      </c>
      <c r="AD96" s="2114">
        <f t="shared" si="34"/>
        <v>0</v>
      </c>
      <c r="AE96" s="2113">
        <f t="shared" si="35"/>
        <v>26.824583652621623</v>
      </c>
      <c r="AF96" s="2114">
        <f t="shared" si="36"/>
        <v>0</v>
      </c>
      <c r="AG96" s="2113"/>
      <c r="AH96" s="2113"/>
      <c r="AI96" s="2114">
        <f>Z96+'2024 Калуга+область перекачка'!Z96+'2024 Калуга+область очистка'!Z96</f>
        <v>82.502591312759506</v>
      </c>
      <c r="AJ96" s="2114">
        <f>AA96+'2024 Калуга+область перекачка'!AA96+'2024 Калуга+область очистка'!AA96</f>
        <v>88.442777887278197</v>
      </c>
      <c r="AK96" s="2114">
        <f>AB96+'2024 Калуга+область перекачка'!AB96+'2024 Калуга+область очистка'!AB96</f>
        <v>85.472684600018852</v>
      </c>
      <c r="AL96" s="2114">
        <f>расчет_тарифа_К_!O97</f>
        <v>88.442777887278197</v>
      </c>
      <c r="AM96" s="2593">
        <f t="shared" si="37"/>
        <v>0</v>
      </c>
    </row>
    <row r="97" spans="1:39" s="2218" customFormat="1" ht="47.25" customHeight="1" outlineLevel="1">
      <c r="A97" s="2235"/>
      <c r="B97" s="2328" t="s">
        <v>14984</v>
      </c>
      <c r="C97" s="2336" t="s">
        <v>14985</v>
      </c>
      <c r="D97" s="2337" t="s">
        <v>1128</v>
      </c>
      <c r="E97" s="2331">
        <f>E98+E99+E100</f>
        <v>0</v>
      </c>
      <c r="F97" s="2331">
        <f>F98+F99+F100</f>
        <v>0</v>
      </c>
      <c r="G97" s="2332">
        <f t="shared" si="26"/>
        <v>0</v>
      </c>
      <c r="H97" s="2331">
        <f>H98+H99+H100</f>
        <v>0</v>
      </c>
      <c r="I97" s="2331">
        <f>I98+I99+I100</f>
        <v>0</v>
      </c>
      <c r="J97" s="2332">
        <f t="shared" si="27"/>
        <v>0</v>
      </c>
      <c r="K97" s="3016">
        <f>K98+K99+K100</f>
        <v>0</v>
      </c>
      <c r="L97" s="3016">
        <f>L98+L99+L100</f>
        <v>0</v>
      </c>
      <c r="M97" s="2332">
        <f t="shared" si="28"/>
        <v>0</v>
      </c>
      <c r="N97" s="2331">
        <v>0</v>
      </c>
      <c r="O97" s="2331">
        <v>0</v>
      </c>
      <c r="P97" s="2332">
        <f t="shared" si="21"/>
        <v>0</v>
      </c>
      <c r="Q97" s="2594">
        <f>Q98+Q99+Q100</f>
        <v>19.205976348504322</v>
      </c>
      <c r="R97" s="2594">
        <f>R98+R99+R100</f>
        <v>20.588806645596634</v>
      </c>
      <c r="S97" s="2332">
        <f t="shared" si="22"/>
        <v>19.897391497050478</v>
      </c>
      <c r="T97" s="2929">
        <f t="shared" si="41"/>
        <v>19.205976348504322</v>
      </c>
      <c r="U97" s="2594">
        <f t="shared" si="41"/>
        <v>20.588806645596634</v>
      </c>
      <c r="V97" s="2268">
        <f t="shared" si="29"/>
        <v>19.897391497050478</v>
      </c>
      <c r="W97" s="2377">
        <f>T97/$T$272*$N$272</f>
        <v>4.3209213127062753</v>
      </c>
      <c r="X97" s="2256">
        <f>U97/$T$272*$N$272</f>
        <v>4.6320276472211273</v>
      </c>
      <c r="Y97" s="2268">
        <f t="shared" si="30"/>
        <v>4.4764744799637013</v>
      </c>
      <c r="Z97" s="2886">
        <f t="shared" si="39"/>
        <v>14.885055035798045</v>
      </c>
      <c r="AA97" s="2887">
        <f t="shared" si="39"/>
        <v>15.956778998375507</v>
      </c>
      <c r="AB97" s="2268">
        <f t="shared" si="31"/>
        <v>15.420917017086776</v>
      </c>
      <c r="AC97" s="2113">
        <f t="shared" si="33"/>
        <v>4.6320276472211273</v>
      </c>
      <c r="AD97" s="2114">
        <f t="shared" si="34"/>
        <v>0</v>
      </c>
      <c r="AE97" s="2113">
        <f t="shared" si="35"/>
        <v>15.956778998375507</v>
      </c>
      <c r="AF97" s="2114">
        <f t="shared" si="36"/>
        <v>0</v>
      </c>
      <c r="AG97" s="2113"/>
      <c r="AH97" s="2113"/>
      <c r="AI97" s="2114">
        <f>Z97+'2024 Калуга+область перекачка'!Z97+'2024 Калуга+область очистка'!Z97</f>
        <v>90.145937486071446</v>
      </c>
      <c r="AJ97" s="2114">
        <f>AA97+'2024 Калуга+область перекачка'!AA97+'2024 Калуга+область очистка'!AA97</f>
        <v>96.636444985068607</v>
      </c>
      <c r="AK97" s="2114">
        <f>AB97+'2024 Калуга+область перекачка'!AB97+'2024 Калуга+область очистка'!AB97</f>
        <v>93.391191235570034</v>
      </c>
      <c r="AL97" s="2114">
        <f>расчет_тарифа_К_!O98</f>
        <v>96.636444985068607</v>
      </c>
      <c r="AM97" s="2593">
        <f t="shared" si="37"/>
        <v>0</v>
      </c>
    </row>
    <row r="98" spans="1:39" s="2218" customFormat="1" ht="31.5" customHeight="1" outlineLevel="1">
      <c r="A98" s="2235"/>
      <c r="B98" s="2338" t="s">
        <v>14986</v>
      </c>
      <c r="C98" s="2329" t="s">
        <v>14987</v>
      </c>
      <c r="D98" s="2330" t="s">
        <v>1317</v>
      </c>
      <c r="E98" s="2331"/>
      <c r="F98" s="2331"/>
      <c r="G98" s="2332">
        <f t="shared" si="26"/>
        <v>0</v>
      </c>
      <c r="H98" s="2331"/>
      <c r="I98" s="2331"/>
      <c r="J98" s="2332">
        <f t="shared" si="27"/>
        <v>0</v>
      </c>
      <c r="K98" s="2331">
        <f>'[3]НВВ тран-ка'!AC399</f>
        <v>0</v>
      </c>
      <c r="L98" s="2331">
        <f>'[3]НВВ тран-ка'!AD399</f>
        <v>0</v>
      </c>
      <c r="M98" s="2332">
        <f t="shared" si="28"/>
        <v>0</v>
      </c>
      <c r="N98" s="2331"/>
      <c r="O98" s="2331"/>
      <c r="P98" s="2332">
        <f t="shared" si="21"/>
        <v>0</v>
      </c>
      <c r="Q98" s="2523">
        <v>0</v>
      </c>
      <c r="R98" s="2472">
        <v>0</v>
      </c>
      <c r="S98" s="2332">
        <f t="shared" si="22"/>
        <v>0</v>
      </c>
      <c r="T98" s="2284">
        <f t="shared" si="41"/>
        <v>0</v>
      </c>
      <c r="U98" s="2285">
        <f t="shared" si="41"/>
        <v>0</v>
      </c>
      <c r="V98" s="2268">
        <f t="shared" si="29"/>
        <v>0</v>
      </c>
      <c r="W98" s="2888">
        <f t="shared" ref="W98:X103" si="42">T98/$T$272*$W$272</f>
        <v>0</v>
      </c>
      <c r="X98" s="2889">
        <f t="shared" si="42"/>
        <v>0</v>
      </c>
      <c r="Y98" s="2268">
        <f t="shared" si="30"/>
        <v>0</v>
      </c>
      <c r="Z98" s="2888">
        <f t="shared" si="39"/>
        <v>0</v>
      </c>
      <c r="AA98" s="2889">
        <f t="shared" si="39"/>
        <v>0</v>
      </c>
      <c r="AB98" s="2268">
        <f t="shared" si="31"/>
        <v>0</v>
      </c>
      <c r="AC98" s="2113">
        <f t="shared" si="33"/>
        <v>0</v>
      </c>
      <c r="AD98" s="2114">
        <f t="shared" si="34"/>
        <v>0</v>
      </c>
      <c r="AE98" s="2113">
        <f t="shared" si="35"/>
        <v>0</v>
      </c>
      <c r="AF98" s="2114">
        <f t="shared" si="36"/>
        <v>0</v>
      </c>
      <c r="AG98" s="2113"/>
      <c r="AH98" s="2113"/>
      <c r="AI98" s="2114">
        <f>Z98+'2024 Калуга+область перекачка'!Z98+'2024 Калуга+область очистка'!Z98</f>
        <v>0</v>
      </c>
      <c r="AJ98" s="2114">
        <f>AA98+'2024 Калуга+область перекачка'!AA98+'2024 Калуга+область очистка'!AA98</f>
        <v>0</v>
      </c>
      <c r="AK98" s="2114">
        <f>AB98+'2024 Калуга+область перекачка'!AB98+'2024 Калуга+область очистка'!AB98</f>
        <v>0</v>
      </c>
      <c r="AL98" s="2114">
        <f>расчет_тарифа_К_!O99</f>
        <v>0</v>
      </c>
      <c r="AM98" s="2593">
        <f t="shared" si="37"/>
        <v>0</v>
      </c>
    </row>
    <row r="99" spans="1:39" s="2218" customFormat="1" ht="63" customHeight="1" outlineLevel="1">
      <c r="A99" s="2235"/>
      <c r="B99" s="2338" t="s">
        <v>14988</v>
      </c>
      <c r="C99" s="2329" t="s">
        <v>14989</v>
      </c>
      <c r="D99" s="2330" t="s">
        <v>1317</v>
      </c>
      <c r="E99" s="2331"/>
      <c r="F99" s="2331"/>
      <c r="G99" s="2332">
        <f t="shared" si="26"/>
        <v>0</v>
      </c>
      <c r="H99" s="2331"/>
      <c r="I99" s="2331"/>
      <c r="J99" s="2332">
        <f t="shared" si="27"/>
        <v>0</v>
      </c>
      <c r="K99" s="2331"/>
      <c r="L99" s="2331"/>
      <c r="M99" s="2332">
        <f t="shared" si="28"/>
        <v>0</v>
      </c>
      <c r="N99" s="2331"/>
      <c r="O99" s="2331">
        <v>0</v>
      </c>
      <c r="P99" s="2332">
        <f t="shared" si="21"/>
        <v>0</v>
      </c>
      <c r="Q99" s="2595">
        <v>14.098120937339894</v>
      </c>
      <c r="R99" s="2472">
        <f>Q99*1.072</f>
        <v>15.113185644828368</v>
      </c>
      <c r="S99" s="2332">
        <f t="shared" si="22"/>
        <v>14.605653291084131</v>
      </c>
      <c r="T99" s="2284">
        <f t="shared" si="41"/>
        <v>14.098120937339894</v>
      </c>
      <c r="U99" s="2285">
        <f t="shared" si="41"/>
        <v>15.113185644828368</v>
      </c>
      <c r="V99" s="2268">
        <f t="shared" si="29"/>
        <v>14.605653291084131</v>
      </c>
      <c r="W99" s="2888">
        <f t="shared" si="42"/>
        <v>3.1717664398772656</v>
      </c>
      <c r="X99" s="2889">
        <f t="shared" si="42"/>
        <v>3.4001336235484287</v>
      </c>
      <c r="Y99" s="2268">
        <f t="shared" si="30"/>
        <v>3.2859500317128472</v>
      </c>
      <c r="Z99" s="2888">
        <f t="shared" si="39"/>
        <v>10.926354497462627</v>
      </c>
      <c r="AA99" s="2889">
        <f t="shared" si="39"/>
        <v>11.713052021279937</v>
      </c>
      <c r="AB99" s="2268">
        <f t="shared" si="31"/>
        <v>11.319703259371282</v>
      </c>
      <c r="AC99" s="2113">
        <f t="shared" si="33"/>
        <v>3.4001336235484287</v>
      </c>
      <c r="AD99" s="2114">
        <f t="shared" si="34"/>
        <v>0</v>
      </c>
      <c r="AE99" s="2113">
        <f t="shared" si="35"/>
        <v>11.713052021279937</v>
      </c>
      <c r="AF99" s="2114">
        <f t="shared" si="36"/>
        <v>0</v>
      </c>
      <c r="AG99" s="2113"/>
      <c r="AH99" s="2113"/>
      <c r="AI99" s="2114">
        <f>Z99+'2024 Калуга+область перекачка'!Z99+'2024 Калуга+область очистка'!Z99</f>
        <v>82.007894245881729</v>
      </c>
      <c r="AJ99" s="2114">
        <f>AA99+'2024 Калуга+область перекачка'!AA99+'2024 Калуга+область очистка'!AA99</f>
        <v>87.912462631585214</v>
      </c>
      <c r="AK99" s="2114">
        <f>AB99+'2024 Калуга+область перекачка'!AB99+'2024 Калуга+область очистка'!AB99</f>
        <v>84.960178438733465</v>
      </c>
      <c r="AL99" s="2114">
        <f>расчет_тарифа_К_!O100</f>
        <v>87.912462631585214</v>
      </c>
      <c r="AM99" s="2593">
        <f t="shared" si="37"/>
        <v>0</v>
      </c>
    </row>
    <row r="100" spans="1:39" s="2218" customFormat="1" ht="63" customHeight="1" outlineLevel="1">
      <c r="A100" s="2235"/>
      <c r="B100" s="2338" t="s">
        <v>14990</v>
      </c>
      <c r="C100" s="2329" t="s">
        <v>14991</v>
      </c>
      <c r="D100" s="2330" t="s">
        <v>1317</v>
      </c>
      <c r="E100" s="2339"/>
      <c r="F100" s="2339"/>
      <c r="G100" s="2332">
        <f t="shared" si="26"/>
        <v>0</v>
      </c>
      <c r="H100" s="2339"/>
      <c r="I100" s="2339"/>
      <c r="J100" s="2332">
        <f t="shared" si="27"/>
        <v>0</v>
      </c>
      <c r="K100" s="2339">
        <f>'[3]НВВ тран-ка'!AC401</f>
        <v>0</v>
      </c>
      <c r="L100" s="2339">
        <f>'[3]НВВ тран-ка'!AD401</f>
        <v>0</v>
      </c>
      <c r="M100" s="2332">
        <f t="shared" si="28"/>
        <v>0</v>
      </c>
      <c r="N100" s="2339"/>
      <c r="O100" s="2339"/>
      <c r="P100" s="2332">
        <f t="shared" si="21"/>
        <v>0</v>
      </c>
      <c r="Q100" s="2341">
        <v>5.1078554111644277</v>
      </c>
      <c r="R100" s="2472">
        <f>Q100*1.072</f>
        <v>5.4756210007682666</v>
      </c>
      <c r="S100" s="2332">
        <f t="shared" si="22"/>
        <v>5.2917382059663467</v>
      </c>
      <c r="T100" s="2284">
        <f t="shared" si="41"/>
        <v>5.1078554111644277</v>
      </c>
      <c r="U100" s="2285">
        <f t="shared" si="41"/>
        <v>5.4756210007682666</v>
      </c>
      <c r="V100" s="2268">
        <f t="shared" si="29"/>
        <v>5.2917382059663467</v>
      </c>
      <c r="W100" s="2888">
        <f t="shared" si="42"/>
        <v>1.1491548728290095</v>
      </c>
      <c r="X100" s="2889">
        <f t="shared" si="42"/>
        <v>1.2318940236726983</v>
      </c>
      <c r="Y100" s="2268">
        <f t="shared" si="30"/>
        <v>1.1905244482508539</v>
      </c>
      <c r="Z100" s="2888">
        <f t="shared" si="39"/>
        <v>3.9587005383354175</v>
      </c>
      <c r="AA100" s="2889">
        <f t="shared" si="39"/>
        <v>4.2437269770955686</v>
      </c>
      <c r="AB100" s="2268">
        <f t="shared" si="31"/>
        <v>4.1012137577154935</v>
      </c>
      <c r="AC100" s="2113">
        <f t="shared" si="33"/>
        <v>1.2318940236726983</v>
      </c>
      <c r="AD100" s="2114">
        <f t="shared" si="34"/>
        <v>0</v>
      </c>
      <c r="AE100" s="2113">
        <f t="shared" si="35"/>
        <v>4.2437269770955686</v>
      </c>
      <c r="AF100" s="2114">
        <f t="shared" si="36"/>
        <v>0</v>
      </c>
      <c r="AG100" s="2113"/>
      <c r="AH100" s="2113"/>
      <c r="AI100" s="2114">
        <f>Z100+'2024 Калуга+область перекачка'!Z100+'2024 Калуга+область очистка'!Z100</f>
        <v>8.1380432401897256</v>
      </c>
      <c r="AJ100" s="2114">
        <f>AA100+'2024 Калуга+область перекачка'!AA100+'2024 Калуга+область очистка'!AA100</f>
        <v>8.723982353483386</v>
      </c>
      <c r="AK100" s="2114">
        <f>AB100+'2024 Калуга+область перекачка'!AB100+'2024 Калуга+область очистка'!AB100</f>
        <v>8.4310127968365567</v>
      </c>
      <c r="AL100" s="2114">
        <f>расчет_тарифа_К_!O101</f>
        <v>8.723982353483386</v>
      </c>
      <c r="AM100" s="2593">
        <f t="shared" si="37"/>
        <v>0</v>
      </c>
    </row>
    <row r="101" spans="1:39" s="2218" customFormat="1" ht="47.25" customHeight="1" outlineLevel="1">
      <c r="A101" s="2235"/>
      <c r="B101" s="2328" t="s">
        <v>14992</v>
      </c>
      <c r="C101" s="2338" t="s">
        <v>14993</v>
      </c>
      <c r="D101" s="2342" t="s">
        <v>1317</v>
      </c>
      <c r="E101" s="2331"/>
      <c r="F101" s="2331"/>
      <c r="G101" s="2332">
        <f t="shared" si="26"/>
        <v>0</v>
      </c>
      <c r="H101" s="2331"/>
      <c r="I101" s="2331"/>
      <c r="J101" s="2332">
        <f t="shared" si="27"/>
        <v>0</v>
      </c>
      <c r="K101" s="2331">
        <f>'[3]НВВ тран-ка'!AC402</f>
        <v>0</v>
      </c>
      <c r="L101" s="2331">
        <f>'[3]НВВ тран-ка'!AD402</f>
        <v>0</v>
      </c>
      <c r="M101" s="2332">
        <f t="shared" si="28"/>
        <v>0</v>
      </c>
      <c r="N101" s="2331"/>
      <c r="O101" s="2331"/>
      <c r="P101" s="2332">
        <f t="shared" si="21"/>
        <v>0</v>
      </c>
      <c r="Q101" s="2523">
        <v>0</v>
      </c>
      <c r="R101" s="2472">
        <v>0</v>
      </c>
      <c r="S101" s="2332">
        <f t="shared" si="22"/>
        <v>0</v>
      </c>
      <c r="T101" s="2284">
        <f t="shared" si="41"/>
        <v>0</v>
      </c>
      <c r="U101" s="2285">
        <f t="shared" si="41"/>
        <v>0</v>
      </c>
      <c r="V101" s="2268">
        <f t="shared" si="29"/>
        <v>0</v>
      </c>
      <c r="W101" s="2888">
        <f t="shared" si="42"/>
        <v>0</v>
      </c>
      <c r="X101" s="2889">
        <f t="shared" si="42"/>
        <v>0</v>
      </c>
      <c r="Y101" s="2268">
        <f t="shared" si="30"/>
        <v>0</v>
      </c>
      <c r="Z101" s="2888">
        <f t="shared" si="39"/>
        <v>0</v>
      </c>
      <c r="AA101" s="2889">
        <f t="shared" si="39"/>
        <v>0</v>
      </c>
      <c r="AB101" s="2268">
        <f t="shared" si="31"/>
        <v>0</v>
      </c>
      <c r="AC101" s="2113">
        <f t="shared" si="33"/>
        <v>0</v>
      </c>
      <c r="AD101" s="2114">
        <f t="shared" si="34"/>
        <v>0</v>
      </c>
      <c r="AE101" s="2113">
        <f t="shared" si="35"/>
        <v>0</v>
      </c>
      <c r="AF101" s="2114">
        <f t="shared" si="36"/>
        <v>0</v>
      </c>
      <c r="AG101" s="2113"/>
      <c r="AH101" s="2113"/>
      <c r="AI101" s="2114">
        <f>Z101+'2024 Калуга+область перекачка'!Z101+'2024 Калуга+область очистка'!Z101</f>
        <v>0</v>
      </c>
      <c r="AJ101" s="2114">
        <f>AA101+'2024 Калуга+область перекачка'!AA101+'2024 Калуга+область очистка'!AA101</f>
        <v>0</v>
      </c>
      <c r="AK101" s="2114">
        <f>AB101+'2024 Калуга+область перекачка'!AB101+'2024 Калуга+область очистка'!AB101</f>
        <v>0</v>
      </c>
      <c r="AL101" s="2114">
        <f>расчет_тарифа_К_!O102</f>
        <v>0</v>
      </c>
      <c r="AM101" s="2593">
        <f t="shared" si="37"/>
        <v>0</v>
      </c>
    </row>
    <row r="102" spans="1:39" s="2218" customFormat="1" ht="47.25" customHeight="1" outlineLevel="1">
      <c r="A102" s="2235"/>
      <c r="B102" s="2343" t="s">
        <v>14994</v>
      </c>
      <c r="C102" s="2329" t="s">
        <v>14995</v>
      </c>
      <c r="D102" s="2329" t="s">
        <v>1317</v>
      </c>
      <c r="E102" s="2331"/>
      <c r="F102" s="2331"/>
      <c r="G102" s="2332">
        <f t="shared" si="26"/>
        <v>0</v>
      </c>
      <c r="H102" s="2331"/>
      <c r="I102" s="2331"/>
      <c r="J102" s="2332">
        <f t="shared" si="27"/>
        <v>0</v>
      </c>
      <c r="K102" s="2331">
        <f>'[3]НВВ тран-ка'!AC403</f>
        <v>0</v>
      </c>
      <c r="L102" s="2331">
        <f>'[3]НВВ тран-ка'!AD403</f>
        <v>0</v>
      </c>
      <c r="M102" s="2332">
        <f t="shared" si="28"/>
        <v>0</v>
      </c>
      <c r="N102" s="2331"/>
      <c r="O102" s="2331"/>
      <c r="P102" s="2332">
        <f t="shared" si="21"/>
        <v>0</v>
      </c>
      <c r="Q102" s="2333">
        <v>0</v>
      </c>
      <c r="R102" s="2331">
        <v>0</v>
      </c>
      <c r="S102" s="2332">
        <f t="shared" si="22"/>
        <v>0</v>
      </c>
      <c r="T102" s="2284">
        <f t="shared" si="41"/>
        <v>0</v>
      </c>
      <c r="U102" s="2285">
        <f t="shared" si="41"/>
        <v>0</v>
      </c>
      <c r="V102" s="2268">
        <f t="shared" si="29"/>
        <v>0</v>
      </c>
      <c r="W102" s="2888">
        <f t="shared" si="42"/>
        <v>0</v>
      </c>
      <c r="X102" s="2889">
        <f t="shared" si="42"/>
        <v>0</v>
      </c>
      <c r="Y102" s="2268">
        <f t="shared" si="30"/>
        <v>0</v>
      </c>
      <c r="Z102" s="2888">
        <f t="shared" si="39"/>
        <v>0</v>
      </c>
      <c r="AA102" s="2889">
        <f t="shared" si="39"/>
        <v>0</v>
      </c>
      <c r="AB102" s="2268">
        <f t="shared" si="31"/>
        <v>0</v>
      </c>
      <c r="AC102" s="2113">
        <f t="shared" si="33"/>
        <v>0</v>
      </c>
      <c r="AD102" s="2114">
        <f t="shared" si="34"/>
        <v>0</v>
      </c>
      <c r="AE102" s="2113">
        <f t="shared" si="35"/>
        <v>0</v>
      </c>
      <c r="AF102" s="2114">
        <f t="shared" si="36"/>
        <v>0</v>
      </c>
      <c r="AG102" s="2113"/>
      <c r="AH102" s="2113"/>
      <c r="AI102" s="2114">
        <f>Z102+'2024 Калуга+область перекачка'!Z102+'2024 Калуга+область очистка'!Z102</f>
        <v>0</v>
      </c>
      <c r="AJ102" s="2114">
        <f>AA102+'2024 Калуга+область перекачка'!AA102+'2024 Калуга+область очистка'!AA102</f>
        <v>0</v>
      </c>
      <c r="AK102" s="2114">
        <f>AB102+'2024 Калуга+область перекачка'!AB102+'2024 Калуга+область очистка'!AB102</f>
        <v>0</v>
      </c>
      <c r="AL102" s="2114">
        <f>расчет_тарифа_К_!O103</f>
        <v>0</v>
      </c>
      <c r="AM102" s="2593">
        <f t="shared" si="37"/>
        <v>0</v>
      </c>
    </row>
    <row r="103" spans="1:39" s="2218" customFormat="1" ht="94.5" customHeight="1" outlineLevel="1">
      <c r="A103" s="2235"/>
      <c r="B103" s="2344" t="s">
        <v>14996</v>
      </c>
      <c r="C103" s="2345" t="s">
        <v>14997</v>
      </c>
      <c r="D103" s="2329" t="s">
        <v>1317</v>
      </c>
      <c r="E103" s="2346"/>
      <c r="F103" s="2346"/>
      <c r="G103" s="2332">
        <f t="shared" si="26"/>
        <v>0</v>
      </c>
      <c r="H103" s="2346"/>
      <c r="I103" s="2346"/>
      <c r="J103" s="2332">
        <f t="shared" si="27"/>
        <v>0</v>
      </c>
      <c r="K103" s="2346">
        <f>'[3]НВВ тран-ка'!AC404</f>
        <v>0</v>
      </c>
      <c r="L103" s="2346">
        <f>'[3]НВВ тран-ка'!AD404</f>
        <v>0</v>
      </c>
      <c r="M103" s="2332">
        <f t="shared" si="28"/>
        <v>0</v>
      </c>
      <c r="N103" s="2346"/>
      <c r="O103" s="2346"/>
      <c r="P103" s="2332">
        <f t="shared" si="21"/>
        <v>0</v>
      </c>
      <c r="Q103" s="2347">
        <v>0</v>
      </c>
      <c r="R103" s="2346">
        <v>0</v>
      </c>
      <c r="S103" s="2332">
        <f t="shared" si="22"/>
        <v>0</v>
      </c>
      <c r="T103" s="2284">
        <f>N103+Q103</f>
        <v>0</v>
      </c>
      <c r="U103" s="2285">
        <f t="shared" si="41"/>
        <v>0</v>
      </c>
      <c r="V103" s="2268">
        <f t="shared" si="29"/>
        <v>0</v>
      </c>
      <c r="W103" s="2888">
        <f t="shared" si="42"/>
        <v>0</v>
      </c>
      <c r="X103" s="2889">
        <f t="shared" si="42"/>
        <v>0</v>
      </c>
      <c r="Y103" s="2268">
        <f t="shared" si="30"/>
        <v>0</v>
      </c>
      <c r="Z103" s="2888">
        <f t="shared" si="39"/>
        <v>0</v>
      </c>
      <c r="AA103" s="2889">
        <f t="shared" si="39"/>
        <v>0</v>
      </c>
      <c r="AB103" s="2268">
        <f t="shared" si="31"/>
        <v>0</v>
      </c>
      <c r="AC103" s="2113">
        <f t="shared" si="33"/>
        <v>0</v>
      </c>
      <c r="AD103" s="2114">
        <f t="shared" si="34"/>
        <v>0</v>
      </c>
      <c r="AE103" s="2113">
        <f t="shared" si="35"/>
        <v>0</v>
      </c>
      <c r="AF103" s="2114">
        <f t="shared" si="36"/>
        <v>0</v>
      </c>
      <c r="AG103" s="2113"/>
      <c r="AH103" s="2113"/>
      <c r="AI103" s="2114">
        <f>Z103+'2024 Калуга+область перекачка'!Z103+'2024 Калуга+область очистка'!Z103</f>
        <v>0</v>
      </c>
      <c r="AJ103" s="2114">
        <f>AA103+'2024 Калуга+область перекачка'!AA103+'2024 Калуга+область очистка'!AA103</f>
        <v>0</v>
      </c>
      <c r="AK103" s="2114">
        <f>AB103+'2024 Калуга+область перекачка'!AB103+'2024 Калуга+область очистка'!AB103</f>
        <v>0</v>
      </c>
      <c r="AL103" s="2114">
        <f>расчет_тарифа_К_!O104</f>
        <v>0</v>
      </c>
      <c r="AM103" s="2593">
        <f t="shared" si="37"/>
        <v>0</v>
      </c>
    </row>
    <row r="104" spans="1:39" s="2218" customFormat="1" ht="78.75" outlineLevel="1">
      <c r="A104" s="2235"/>
      <c r="B104" s="2349" t="s">
        <v>14998</v>
      </c>
      <c r="C104" s="2336" t="s">
        <v>14999</v>
      </c>
      <c r="D104" s="2336" t="s">
        <v>1128</v>
      </c>
      <c r="E104" s="2346">
        <f>E105+E106+E107+E108+E109+E110+E111</f>
        <v>0</v>
      </c>
      <c r="F104" s="2346"/>
      <c r="G104" s="2332">
        <f t="shared" si="26"/>
        <v>0</v>
      </c>
      <c r="H104" s="2346">
        <f>H105+H106+H107+H108+H109+H110+H111</f>
        <v>0</v>
      </c>
      <c r="I104" s="2346"/>
      <c r="J104" s="2332">
        <f t="shared" si="27"/>
        <v>0</v>
      </c>
      <c r="K104" s="2346">
        <f>'[3]НВВ тран-ка'!AC405</f>
        <v>0</v>
      </c>
      <c r="L104" s="2346">
        <f>'[3]НВВ тран-ка'!AD405</f>
        <v>0</v>
      </c>
      <c r="M104" s="2332">
        <f t="shared" si="28"/>
        <v>0</v>
      </c>
      <c r="N104" s="2594">
        <f>N105+N106+N107+N108+N109+N110+N111</f>
        <v>0</v>
      </c>
      <c r="O104" s="2594">
        <f>O105+O106+O107+O108+O109+O110+O111</f>
        <v>1938.9110839961957</v>
      </c>
      <c r="P104" s="2332">
        <f t="shared" si="21"/>
        <v>969.45554199809783</v>
      </c>
      <c r="Q104" s="2594">
        <f>Q105+Q106+Q107+Q108+Q109+Q110+Q111</f>
        <v>67.770163126610143</v>
      </c>
      <c r="R104" s="2594">
        <f>R105+R106+R107+R108+R109+R110+R111</f>
        <v>72.649614871726072</v>
      </c>
      <c r="S104" s="2332">
        <f t="shared" si="22"/>
        <v>70.209888999168101</v>
      </c>
      <c r="T104" s="3017">
        <f>N104+Q104</f>
        <v>67.770163126610143</v>
      </c>
      <c r="U104" s="3018">
        <f>O104+R104</f>
        <v>2011.5606988679217</v>
      </c>
      <c r="V104" s="2268">
        <f t="shared" si="29"/>
        <v>1039.665430997266</v>
      </c>
      <c r="W104" s="2377">
        <f>T104/$T$272*$N$272</f>
        <v>15.246792816245188</v>
      </c>
      <c r="X104" s="2256">
        <f>U104/$T$272*$N$272</f>
        <v>452.55681553609804</v>
      </c>
      <c r="Y104" s="2268">
        <f t="shared" si="30"/>
        <v>233.90180417617162</v>
      </c>
      <c r="Z104" s="2886">
        <f t="shared" si="39"/>
        <v>52.523370310364946</v>
      </c>
      <c r="AA104" s="2887">
        <f t="shared" si="39"/>
        <v>1559.0038833318235</v>
      </c>
      <c r="AB104" s="2268">
        <f t="shared" si="31"/>
        <v>805.76362682109425</v>
      </c>
      <c r="AC104" s="2113">
        <f t="shared" si="33"/>
        <v>452.55681553609804</v>
      </c>
      <c r="AD104" s="2114">
        <f t="shared" si="34"/>
        <v>0</v>
      </c>
      <c r="AE104" s="2113">
        <f t="shared" si="35"/>
        <v>1559.0038833318235</v>
      </c>
      <c r="AF104" s="2114">
        <f t="shared" si="36"/>
        <v>0</v>
      </c>
      <c r="AG104" s="2113"/>
      <c r="AH104" s="2113"/>
      <c r="AI104" s="2114">
        <f>Z104+'2024 Калуга+область перекачка'!Z104+'2024 Калуга+область очистка'!Z104</f>
        <v>11868.650748772607</v>
      </c>
      <c r="AJ104" s="2114">
        <f>AA104+'2024 Калуга+область перекачка'!AA104+'2024 Калуга+область очистка'!AA104</f>
        <v>21981.603519946886</v>
      </c>
      <c r="AK104" s="2114">
        <f>AB104+'2024 Калуга+область перекачка'!AB104+'2024 Калуга+область очистка'!AB104</f>
        <v>16925.127134359747</v>
      </c>
      <c r="AL104" s="2114">
        <f>расчет_тарифа_К_!O105</f>
        <v>21981.603519946882</v>
      </c>
      <c r="AM104" s="2593">
        <f t="shared" si="37"/>
        <v>0</v>
      </c>
    </row>
    <row r="105" spans="1:39" s="2218" customFormat="1" ht="31.5" customHeight="1" outlineLevel="1">
      <c r="A105" s="2235"/>
      <c r="B105" s="2350" t="s">
        <v>15000</v>
      </c>
      <c r="C105" s="2329" t="s">
        <v>15001</v>
      </c>
      <c r="D105" s="2329" t="s">
        <v>1317</v>
      </c>
      <c r="E105" s="2346"/>
      <c r="F105" s="2346"/>
      <c r="G105" s="2332">
        <f t="shared" si="26"/>
        <v>0</v>
      </c>
      <c r="H105" s="2346"/>
      <c r="I105" s="2346"/>
      <c r="J105" s="2332">
        <f t="shared" si="27"/>
        <v>0</v>
      </c>
      <c r="K105" s="2346">
        <f>'[3]НВВ тран-ка'!AC406</f>
        <v>0</v>
      </c>
      <c r="L105" s="2346">
        <f>'[3]НВВ тран-ка'!AD406</f>
        <v>0</v>
      </c>
      <c r="M105" s="2332">
        <f t="shared" si="28"/>
        <v>0</v>
      </c>
      <c r="N105" s="2346"/>
      <c r="O105" s="2346"/>
      <c r="P105" s="2332">
        <f t="shared" si="21"/>
        <v>0</v>
      </c>
      <c r="Q105" s="2596">
        <v>6.1377163960621299</v>
      </c>
      <c r="R105" s="2346">
        <f>Q105*1.072</f>
        <v>6.5796319765786038</v>
      </c>
      <c r="S105" s="2332">
        <f t="shared" si="22"/>
        <v>6.3586741863203669</v>
      </c>
      <c r="T105" s="2284">
        <f>N105+Q105</f>
        <v>6.1377163960621299</v>
      </c>
      <c r="U105" s="2285">
        <f t="shared" ref="U105:U112" si="43">O105+R105</f>
        <v>6.5796319765786038</v>
      </c>
      <c r="V105" s="2268">
        <f t="shared" si="29"/>
        <v>6.3586741863203669</v>
      </c>
      <c r="W105" s="2888">
        <f t="shared" ref="W105:X111" si="44">T105/$T$272*$W$272</f>
        <v>1.3808508927564576</v>
      </c>
      <c r="X105" s="2889">
        <f t="shared" si="44"/>
        <v>1.4802721570349229</v>
      </c>
      <c r="Y105" s="2268">
        <f t="shared" si="30"/>
        <v>1.4305615248956902</v>
      </c>
      <c r="Z105" s="2888">
        <f t="shared" si="39"/>
        <v>4.7568655033056713</v>
      </c>
      <c r="AA105" s="2889">
        <f t="shared" si="39"/>
        <v>5.0993598195436807</v>
      </c>
      <c r="AB105" s="2268">
        <f t="shared" si="31"/>
        <v>4.9281126614246755</v>
      </c>
      <c r="AC105" s="2113">
        <f t="shared" si="33"/>
        <v>1.4802721570349229</v>
      </c>
      <c r="AD105" s="2114">
        <f t="shared" si="34"/>
        <v>0</v>
      </c>
      <c r="AE105" s="2113">
        <f t="shared" si="35"/>
        <v>5.0993598195436807</v>
      </c>
      <c r="AF105" s="2114">
        <f t="shared" si="36"/>
        <v>0</v>
      </c>
      <c r="AG105" s="2113"/>
      <c r="AH105" s="2113"/>
      <c r="AI105" s="2114">
        <f>Z105+'2024 Калуга+область перекачка'!Z105+'2024 Калуга+область очистка'!Z105</f>
        <v>1492.9167252962782</v>
      </c>
      <c r="AJ105" s="2114">
        <f>AA105+'2024 Калуга+область перекачка'!AA105+'2024 Калуга+область очистка'!AA105</f>
        <v>1600.4067295176105</v>
      </c>
      <c r="AK105" s="2114">
        <f>AB105+'2024 Калуга+область перекачка'!AB105+'2024 Калуга+область очистка'!AB105</f>
        <v>1546.6617274069442</v>
      </c>
      <c r="AL105" s="2114">
        <f>расчет_тарифа_К_!O106</f>
        <v>1600.4067295176105</v>
      </c>
      <c r="AM105" s="2593">
        <f t="shared" si="37"/>
        <v>0</v>
      </c>
    </row>
    <row r="106" spans="1:39" s="2218" customFormat="1" ht="15.75" customHeight="1" outlineLevel="1">
      <c r="A106" s="2235"/>
      <c r="B106" s="2350" t="s">
        <v>15002</v>
      </c>
      <c r="C106" s="2329" t="s">
        <v>15003</v>
      </c>
      <c r="D106" s="2329" t="s">
        <v>1317</v>
      </c>
      <c r="E106" s="2346"/>
      <c r="F106" s="2346"/>
      <c r="G106" s="2332">
        <f t="shared" si="26"/>
        <v>0</v>
      </c>
      <c r="H106" s="2346"/>
      <c r="I106" s="2346"/>
      <c r="J106" s="2332">
        <f t="shared" si="27"/>
        <v>0</v>
      </c>
      <c r="K106" s="2346">
        <f>'[3]НВВ тран-ка'!AC407</f>
        <v>0</v>
      </c>
      <c r="L106" s="2346">
        <f>'[3]НВВ тран-ка'!AD407</f>
        <v>0</v>
      </c>
      <c r="M106" s="2332">
        <f t="shared" si="28"/>
        <v>0</v>
      </c>
      <c r="N106" s="2346"/>
      <c r="O106" s="2346"/>
      <c r="P106" s="2332">
        <f t="shared" si="21"/>
        <v>0</v>
      </c>
      <c r="Q106" s="2347">
        <v>0</v>
      </c>
      <c r="R106" s="2346">
        <f t="shared" ref="R106:R111" si="45">Q106*1.072</f>
        <v>0</v>
      </c>
      <c r="S106" s="2332">
        <f t="shared" si="22"/>
        <v>0</v>
      </c>
      <c r="T106" s="2284">
        <f t="shared" ref="T106:T112" si="46">N106+Q106</f>
        <v>0</v>
      </c>
      <c r="U106" s="2285">
        <f t="shared" si="43"/>
        <v>0</v>
      </c>
      <c r="V106" s="2268">
        <f t="shared" si="29"/>
        <v>0</v>
      </c>
      <c r="W106" s="2888">
        <f t="shared" si="44"/>
        <v>0</v>
      </c>
      <c r="X106" s="2889">
        <f t="shared" si="44"/>
        <v>0</v>
      </c>
      <c r="Y106" s="2268">
        <f t="shared" si="30"/>
        <v>0</v>
      </c>
      <c r="Z106" s="2888">
        <f t="shared" si="39"/>
        <v>0</v>
      </c>
      <c r="AA106" s="2889">
        <f t="shared" si="39"/>
        <v>0</v>
      </c>
      <c r="AB106" s="2268">
        <f t="shared" si="31"/>
        <v>0</v>
      </c>
      <c r="AC106" s="2113">
        <f t="shared" si="33"/>
        <v>0</v>
      </c>
      <c r="AD106" s="2114">
        <f t="shared" si="34"/>
        <v>0</v>
      </c>
      <c r="AE106" s="2113">
        <f t="shared" si="35"/>
        <v>0</v>
      </c>
      <c r="AF106" s="2114">
        <f t="shared" si="36"/>
        <v>0</v>
      </c>
      <c r="AG106" s="2113"/>
      <c r="AH106" s="2113"/>
      <c r="AI106" s="2114">
        <f>Z106+'2024 Калуга+область перекачка'!Z106+'2024 Калуга+область очистка'!Z106</f>
        <v>0</v>
      </c>
      <c r="AJ106" s="2114">
        <f>AA106+'2024 Калуга+область перекачка'!AA106+'2024 Калуга+область очистка'!AA106</f>
        <v>0</v>
      </c>
      <c r="AK106" s="2114">
        <f>AB106+'2024 Калуга+область перекачка'!AB106+'2024 Калуга+область очистка'!AB106</f>
        <v>0</v>
      </c>
      <c r="AL106" s="2114">
        <f>расчет_тарифа_К_!O107</f>
        <v>0</v>
      </c>
      <c r="AM106" s="2593">
        <f t="shared" si="37"/>
        <v>0</v>
      </c>
    </row>
    <row r="107" spans="1:39" s="2218" customFormat="1" ht="31.5" customHeight="1" outlineLevel="1">
      <c r="A107" s="2235"/>
      <c r="B107" s="2350" t="s">
        <v>15004</v>
      </c>
      <c r="C107" s="2329" t="s">
        <v>15005</v>
      </c>
      <c r="D107" s="2329" t="s">
        <v>1317</v>
      </c>
      <c r="E107" s="2346"/>
      <c r="F107" s="2346"/>
      <c r="G107" s="2332">
        <f t="shared" si="26"/>
        <v>0</v>
      </c>
      <c r="H107" s="2346"/>
      <c r="I107" s="2346"/>
      <c r="J107" s="2332">
        <f t="shared" si="27"/>
        <v>0</v>
      </c>
      <c r="K107" s="2346">
        <f>'[3]НВВ тран-ка'!AC408</f>
        <v>0</v>
      </c>
      <c r="L107" s="2346">
        <f>'[3]НВВ тран-ка'!AD408</f>
        <v>0</v>
      </c>
      <c r="M107" s="2332">
        <f t="shared" si="28"/>
        <v>0</v>
      </c>
      <c r="N107" s="2346"/>
      <c r="O107" s="2346"/>
      <c r="P107" s="2332">
        <f t="shared" si="21"/>
        <v>0</v>
      </c>
      <c r="Q107" s="2347">
        <v>34.434980299984943</v>
      </c>
      <c r="R107" s="2346">
        <f t="shared" si="45"/>
        <v>36.914298881583861</v>
      </c>
      <c r="S107" s="2332">
        <f t="shared" si="22"/>
        <v>35.674639590784402</v>
      </c>
      <c r="T107" s="2284">
        <f t="shared" si="46"/>
        <v>34.434980299984943</v>
      </c>
      <c r="U107" s="2285">
        <f t="shared" si="43"/>
        <v>36.914298881583861</v>
      </c>
      <c r="V107" s="2268">
        <f t="shared" si="29"/>
        <v>35.674639590784402</v>
      </c>
      <c r="W107" s="2888">
        <f t="shared" si="44"/>
        <v>7.7471115022180506</v>
      </c>
      <c r="X107" s="2889">
        <f t="shared" si="44"/>
        <v>8.3049035303777501</v>
      </c>
      <c r="Y107" s="2268">
        <f t="shared" si="30"/>
        <v>8.0260075162979003</v>
      </c>
      <c r="Z107" s="2888">
        <f t="shared" si="39"/>
        <v>26.687868797766889</v>
      </c>
      <c r="AA107" s="2889">
        <f t="shared" si="39"/>
        <v>28.609395351206107</v>
      </c>
      <c r="AB107" s="2268">
        <f t="shared" si="31"/>
        <v>27.6486320744865</v>
      </c>
      <c r="AC107" s="2113">
        <f t="shared" si="33"/>
        <v>8.3049035303777501</v>
      </c>
      <c r="AD107" s="2114">
        <f t="shared" si="34"/>
        <v>0</v>
      </c>
      <c r="AE107" s="2113">
        <f t="shared" si="35"/>
        <v>28.609395351206107</v>
      </c>
      <c r="AF107" s="2114">
        <f t="shared" si="36"/>
        <v>0</v>
      </c>
      <c r="AG107" s="2113"/>
      <c r="AH107" s="2113"/>
      <c r="AI107" s="2114">
        <f>Z107+'2024 Калуга+область перекачка'!Z107+'2024 Калуга+область очистка'!Z107</f>
        <v>87.9920181775137</v>
      </c>
      <c r="AJ107" s="2114">
        <f>AA107+'2024 Калуга+область перекачка'!AA107+'2024 Калуга+область очистка'!AA107</f>
        <v>94.327443486294683</v>
      </c>
      <c r="AK107" s="2114">
        <f>AB107+'2024 Калуга+область перекачка'!AB107+'2024 Калуга+область очистка'!AB107</f>
        <v>91.159730831904199</v>
      </c>
      <c r="AL107" s="2114">
        <f>расчет_тарифа_К_!O108</f>
        <v>94.327443486294683</v>
      </c>
      <c r="AM107" s="2593">
        <f t="shared" si="37"/>
        <v>0</v>
      </c>
    </row>
    <row r="108" spans="1:39" s="2218" customFormat="1" ht="15.75" customHeight="1" outlineLevel="1">
      <c r="A108" s="2235"/>
      <c r="B108" s="2350" t="s">
        <v>15006</v>
      </c>
      <c r="C108" s="2329" t="s">
        <v>15007</v>
      </c>
      <c r="D108" s="2329" t="s">
        <v>1317</v>
      </c>
      <c r="E108" s="2346"/>
      <c r="F108" s="2346"/>
      <c r="G108" s="2332">
        <f t="shared" si="26"/>
        <v>0</v>
      </c>
      <c r="H108" s="2346"/>
      <c r="I108" s="2346"/>
      <c r="J108" s="2332">
        <f t="shared" si="27"/>
        <v>0</v>
      </c>
      <c r="K108" s="2346">
        <f>'[3]НВВ тран-ка'!AC409</f>
        <v>0</v>
      </c>
      <c r="L108" s="2346">
        <f>'[3]НВВ тран-ка'!AD409</f>
        <v>0</v>
      </c>
      <c r="M108" s="2332">
        <f t="shared" si="28"/>
        <v>0</v>
      </c>
      <c r="N108" s="2346"/>
      <c r="O108" s="2346"/>
      <c r="P108" s="2332">
        <f t="shared" si="21"/>
        <v>0</v>
      </c>
      <c r="Q108" s="2347">
        <v>10.085010941545811</v>
      </c>
      <c r="R108" s="2346">
        <f t="shared" si="45"/>
        <v>10.811131729337109</v>
      </c>
      <c r="S108" s="2332">
        <f t="shared" si="22"/>
        <v>10.44807133544146</v>
      </c>
      <c r="T108" s="2284">
        <f t="shared" si="46"/>
        <v>10.085010941545811</v>
      </c>
      <c r="U108" s="2285">
        <f t="shared" si="43"/>
        <v>10.811131729337109</v>
      </c>
      <c r="V108" s="2268">
        <f t="shared" si="29"/>
        <v>10.44807133544146</v>
      </c>
      <c r="W108" s="2888">
        <f t="shared" si="44"/>
        <v>2.2689051535562688</v>
      </c>
      <c r="X108" s="2889">
        <f t="shared" si="44"/>
        <v>2.4322663246123204</v>
      </c>
      <c r="Y108" s="2268">
        <f t="shared" si="30"/>
        <v>2.3505857390842948</v>
      </c>
      <c r="Z108" s="2888">
        <f t="shared" si="39"/>
        <v>7.8161057879895406</v>
      </c>
      <c r="AA108" s="2889">
        <f t="shared" si="39"/>
        <v>8.3788654047247881</v>
      </c>
      <c r="AB108" s="2268">
        <f t="shared" si="31"/>
        <v>8.0974855963571635</v>
      </c>
      <c r="AC108" s="2113">
        <f t="shared" si="33"/>
        <v>2.4322663246123204</v>
      </c>
      <c r="AD108" s="2114">
        <f t="shared" si="34"/>
        <v>0</v>
      </c>
      <c r="AE108" s="2113">
        <f t="shared" si="35"/>
        <v>8.3788654047247881</v>
      </c>
      <c r="AF108" s="2114">
        <f t="shared" si="36"/>
        <v>0</v>
      </c>
      <c r="AG108" s="2113"/>
      <c r="AH108" s="2113"/>
      <c r="AI108" s="2114">
        <f>Z108+'2024 Калуга+область перекачка'!Z108+'2024 Калуга+область очистка'!Z108</f>
        <v>25.770320132557522</v>
      </c>
      <c r="AJ108" s="2114">
        <f>AA108+'2024 Калуга+область перекачка'!AA108+'2024 Калуга+область очистка'!AA108</f>
        <v>27.625783182101664</v>
      </c>
      <c r="AK108" s="2114">
        <f>AB108+'2024 Калуга+область перекачка'!AB108+'2024 Калуга+область очистка'!AB108</f>
        <v>26.698051657329593</v>
      </c>
      <c r="AL108" s="2114">
        <f>расчет_тарифа_К_!O109</f>
        <v>27.625783182101664</v>
      </c>
      <c r="AM108" s="2593">
        <f t="shared" si="37"/>
        <v>0</v>
      </c>
    </row>
    <row r="109" spans="1:39" s="2218" customFormat="1" ht="47.25" customHeight="1" outlineLevel="1">
      <c r="A109" s="2235"/>
      <c r="B109" s="2350" t="s">
        <v>15008</v>
      </c>
      <c r="C109" s="2329" t="s">
        <v>15009</v>
      </c>
      <c r="D109" s="2329" t="s">
        <v>1317</v>
      </c>
      <c r="E109" s="2346"/>
      <c r="F109" s="2346"/>
      <c r="G109" s="2332">
        <f t="shared" si="26"/>
        <v>0</v>
      </c>
      <c r="H109" s="2346"/>
      <c r="I109" s="2346"/>
      <c r="J109" s="2332">
        <f t="shared" si="27"/>
        <v>0</v>
      </c>
      <c r="K109" s="2346">
        <f>'[3]НВВ тран-ка'!AC410</f>
        <v>0</v>
      </c>
      <c r="L109" s="2346">
        <f>'[3]НВВ тран-ка'!AD410</f>
        <v>0</v>
      </c>
      <c r="M109" s="2332">
        <f t="shared" si="28"/>
        <v>0</v>
      </c>
      <c r="N109" s="2346"/>
      <c r="O109" s="2346"/>
      <c r="P109" s="2332">
        <f t="shared" si="21"/>
        <v>0</v>
      </c>
      <c r="Q109" s="2347">
        <v>0</v>
      </c>
      <c r="R109" s="2346">
        <f t="shared" si="45"/>
        <v>0</v>
      </c>
      <c r="S109" s="2332">
        <f t="shared" si="22"/>
        <v>0</v>
      </c>
      <c r="T109" s="2284">
        <f t="shared" si="46"/>
        <v>0</v>
      </c>
      <c r="U109" s="2285">
        <f t="shared" si="43"/>
        <v>0</v>
      </c>
      <c r="V109" s="2268">
        <f t="shared" si="29"/>
        <v>0</v>
      </c>
      <c r="W109" s="2888">
        <f t="shared" si="44"/>
        <v>0</v>
      </c>
      <c r="X109" s="2889">
        <f t="shared" si="44"/>
        <v>0</v>
      </c>
      <c r="Y109" s="2268">
        <f t="shared" si="30"/>
        <v>0</v>
      </c>
      <c r="Z109" s="2888">
        <f t="shared" si="39"/>
        <v>0</v>
      </c>
      <c r="AA109" s="2889">
        <f t="shared" si="39"/>
        <v>0</v>
      </c>
      <c r="AB109" s="2268">
        <f t="shared" si="31"/>
        <v>0</v>
      </c>
      <c r="AC109" s="2113">
        <f t="shared" si="33"/>
        <v>0</v>
      </c>
      <c r="AD109" s="2114">
        <f t="shared" si="34"/>
        <v>0</v>
      </c>
      <c r="AE109" s="2113">
        <f t="shared" si="35"/>
        <v>0</v>
      </c>
      <c r="AF109" s="2114">
        <f t="shared" si="36"/>
        <v>0</v>
      </c>
      <c r="AG109" s="2113"/>
      <c r="AH109" s="2113"/>
      <c r="AI109" s="2114">
        <f>Z109+'2024 Калуга+область перекачка'!Z109+'2024 Калуга+область очистка'!Z109</f>
        <v>0</v>
      </c>
      <c r="AJ109" s="2114">
        <f>AA109+'2024 Калуга+область перекачка'!AA109+'2024 Калуга+область очистка'!AA109</f>
        <v>0</v>
      </c>
      <c r="AK109" s="2114">
        <f>AB109+'2024 Калуга+область перекачка'!AB109+'2024 Калуга+область очистка'!AB109</f>
        <v>0</v>
      </c>
      <c r="AL109" s="2114">
        <f>расчет_тарифа_К_!O110</f>
        <v>0</v>
      </c>
      <c r="AM109" s="2593">
        <f t="shared" si="37"/>
        <v>0</v>
      </c>
    </row>
    <row r="110" spans="1:39" s="2218" customFormat="1" ht="94.5" outlineLevel="1">
      <c r="A110" s="2235"/>
      <c r="B110" s="2351" t="s">
        <v>15010</v>
      </c>
      <c r="C110" s="2345" t="s">
        <v>15011</v>
      </c>
      <c r="D110" s="2345" t="s">
        <v>1317</v>
      </c>
      <c r="E110" s="2352"/>
      <c r="F110" s="2346"/>
      <c r="G110" s="2332">
        <f t="shared" si="26"/>
        <v>0</v>
      </c>
      <c r="H110" s="2352"/>
      <c r="I110" s="2346"/>
      <c r="J110" s="2332">
        <f t="shared" si="27"/>
        <v>0</v>
      </c>
      <c r="K110" s="2352">
        <f>'[3]НВВ тран-ка'!AC411</f>
        <v>0</v>
      </c>
      <c r="L110" s="2346">
        <f>'[3]НВВ тран-ка'!AD411</f>
        <v>0</v>
      </c>
      <c r="M110" s="2332">
        <f t="shared" si="28"/>
        <v>0</v>
      </c>
      <c r="N110" s="2352"/>
      <c r="O110" s="2346">
        <f>1893.69394117912/1.047*1.072</f>
        <v>1938.9110839961957</v>
      </c>
      <c r="P110" s="2332">
        <f t="shared" si="21"/>
        <v>969.45554199809783</v>
      </c>
      <c r="Q110" s="2597">
        <v>0</v>
      </c>
      <c r="R110" s="2346">
        <f t="shared" si="45"/>
        <v>0</v>
      </c>
      <c r="S110" s="2332">
        <f t="shared" si="22"/>
        <v>0</v>
      </c>
      <c r="T110" s="2284">
        <f t="shared" si="46"/>
        <v>0</v>
      </c>
      <c r="U110" s="2285">
        <f t="shared" si="43"/>
        <v>1938.9110839961957</v>
      </c>
      <c r="V110" s="2268">
        <f t="shared" si="29"/>
        <v>969.45554199809783</v>
      </c>
      <c r="W110" s="2888">
        <f t="shared" si="44"/>
        <v>0</v>
      </c>
      <c r="X110" s="2889">
        <f t="shared" si="44"/>
        <v>436.21225363708322</v>
      </c>
      <c r="Y110" s="2268">
        <f t="shared" si="30"/>
        <v>218.10612681854161</v>
      </c>
      <c r="Z110" s="2888">
        <f t="shared" si="39"/>
        <v>0</v>
      </c>
      <c r="AA110" s="2889">
        <f t="shared" si="39"/>
        <v>1502.6988303591122</v>
      </c>
      <c r="AB110" s="2268">
        <f t="shared" si="31"/>
        <v>751.3494151795561</v>
      </c>
      <c r="AC110" s="2113">
        <f t="shared" si="33"/>
        <v>436.21225363708322</v>
      </c>
      <c r="AD110" s="2114">
        <f t="shared" si="34"/>
        <v>0</v>
      </c>
      <c r="AE110" s="2113">
        <f t="shared" si="35"/>
        <v>1502.6988303591122</v>
      </c>
      <c r="AF110" s="2114">
        <f t="shared" si="36"/>
        <v>0</v>
      </c>
      <c r="AG110" s="2113"/>
      <c r="AH110" s="2113"/>
      <c r="AI110" s="2114">
        <f>Z110+'2024 Калуга+область перекачка'!Z110+'2024 Калуга+область очистка'!Z110</f>
        <v>7433.7289737479141</v>
      </c>
      <c r="AJ110" s="2114">
        <f>AA110+'2024 Калуга+область перекачка'!AA110+'2024 Калуга+область очистка'!AA110</f>
        <v>17227.367377120412</v>
      </c>
      <c r="AK110" s="2114">
        <f>AB110+'2024 Калуга+область перекачка'!AB110+'2024 Калуга+область очистка'!AB110</f>
        <v>12330.548175434164</v>
      </c>
      <c r="AL110" s="2114">
        <f>расчет_тарифа_К_!O111</f>
        <v>17227.367377120412</v>
      </c>
      <c r="AM110" s="2593">
        <f t="shared" si="37"/>
        <v>0</v>
      </c>
    </row>
    <row r="111" spans="1:39" s="2218" customFormat="1" ht="31.5" outlineLevel="1">
      <c r="A111" s="2235"/>
      <c r="B111" s="2353" t="s">
        <v>15012</v>
      </c>
      <c r="C111" s="2354" t="s">
        <v>15013</v>
      </c>
      <c r="D111" s="2354" t="s">
        <v>1317</v>
      </c>
      <c r="E111" s="2346"/>
      <c r="F111" s="2346"/>
      <c r="G111" s="2332">
        <f t="shared" si="26"/>
        <v>0</v>
      </c>
      <c r="H111" s="2346"/>
      <c r="I111" s="2346"/>
      <c r="J111" s="2332">
        <f t="shared" si="27"/>
        <v>0</v>
      </c>
      <c r="K111" s="2346">
        <f>'[3]НВВ тран-ка'!AC412</f>
        <v>0</v>
      </c>
      <c r="L111" s="2346">
        <f>'[3]НВВ тран-ка'!AD412</f>
        <v>0</v>
      </c>
      <c r="M111" s="2332">
        <f t="shared" si="28"/>
        <v>0</v>
      </c>
      <c r="N111" s="2346"/>
      <c r="O111" s="2346"/>
      <c r="P111" s="2332">
        <f t="shared" si="21"/>
        <v>0</v>
      </c>
      <c r="Q111" s="2596">
        <v>17.112455489017258</v>
      </c>
      <c r="R111" s="2346">
        <f t="shared" si="45"/>
        <v>18.344552284226502</v>
      </c>
      <c r="S111" s="2332">
        <f t="shared" si="22"/>
        <v>17.72850388662188</v>
      </c>
      <c r="T111" s="2284">
        <f t="shared" si="46"/>
        <v>17.112455489017258</v>
      </c>
      <c r="U111" s="2285">
        <f t="shared" si="43"/>
        <v>18.344552284226502</v>
      </c>
      <c r="V111" s="2268">
        <f t="shared" si="29"/>
        <v>17.72850388662188</v>
      </c>
      <c r="W111" s="2888">
        <f t="shared" si="44"/>
        <v>3.8499252677144109</v>
      </c>
      <c r="X111" s="2889">
        <f t="shared" si="44"/>
        <v>4.1271198869898491</v>
      </c>
      <c r="Y111" s="2268">
        <f t="shared" si="30"/>
        <v>3.9885225773521302</v>
      </c>
      <c r="Z111" s="2888">
        <f t="shared" si="39"/>
        <v>13.262530221302844</v>
      </c>
      <c r="AA111" s="2889">
        <f t="shared" si="39"/>
        <v>14.217432397236651</v>
      </c>
      <c r="AB111" s="2268">
        <f t="shared" si="31"/>
        <v>13.739981309269748</v>
      </c>
      <c r="AC111" s="2113">
        <f t="shared" si="33"/>
        <v>4.1271198869898491</v>
      </c>
      <c r="AD111" s="2114">
        <f t="shared" si="34"/>
        <v>0</v>
      </c>
      <c r="AE111" s="2113"/>
      <c r="AF111" s="2114"/>
      <c r="AG111" s="2113"/>
      <c r="AH111" s="2113"/>
      <c r="AI111" s="2114">
        <f>Z111+'2024 Калуга+область перекачка'!Z111+'2024 Калуга+область очистка'!Z111</f>
        <v>2828.242711418342</v>
      </c>
      <c r="AJ111" s="2114">
        <f>AA111+'2024 Калуга+область перекачка'!AA111+'2024 Калуга+область очистка'!AA111</f>
        <v>3031.8761866404629</v>
      </c>
      <c r="AK111" s="2114">
        <f>AB111+'2024 Калуга+область перекачка'!AB111+'2024 Калуга+область очистка'!AB111</f>
        <v>2930.0594490294025</v>
      </c>
      <c r="AL111" s="2114">
        <f>расчет_тарифа_К_!O112</f>
        <v>3031.8761866404629</v>
      </c>
      <c r="AM111" s="2593">
        <f t="shared" si="37"/>
        <v>0</v>
      </c>
    </row>
    <row r="112" spans="1:39" s="2218" customFormat="1" ht="47.25" outlineLevel="1">
      <c r="A112" s="2235"/>
      <c r="B112" s="2349" t="s">
        <v>15014</v>
      </c>
      <c r="C112" s="2355" t="s">
        <v>15015</v>
      </c>
      <c r="D112" s="2356" t="s">
        <v>1317</v>
      </c>
      <c r="E112" s="2357">
        <f>E113+E123</f>
        <v>0</v>
      </c>
      <c r="F112" s="2357">
        <f>F113+F123</f>
        <v>0</v>
      </c>
      <c r="G112" s="2358">
        <f t="shared" si="26"/>
        <v>0</v>
      </c>
      <c r="H112" s="2357">
        <f>H113+H123</f>
        <v>0</v>
      </c>
      <c r="I112" s="2357">
        <f>I113+I123</f>
        <v>0</v>
      </c>
      <c r="J112" s="2358">
        <f t="shared" si="27"/>
        <v>0</v>
      </c>
      <c r="K112" s="2357">
        <f>K113+K123</f>
        <v>2568.852502810138</v>
      </c>
      <c r="L112" s="2357">
        <f>L113+L123</f>
        <v>2688.6295733419674</v>
      </c>
      <c r="M112" s="2358">
        <f t="shared" si="28"/>
        <v>2628.741038076053</v>
      </c>
      <c r="N112" s="2357">
        <f>N113+N123</f>
        <v>0</v>
      </c>
      <c r="O112" s="2357">
        <f>O113+O123</f>
        <v>3057.7920915822133</v>
      </c>
      <c r="P112" s="2358">
        <f t="shared" si="21"/>
        <v>1528.8960457911066</v>
      </c>
      <c r="Q112" s="2357">
        <f>Q113+Q123</f>
        <v>3768.0010199999988</v>
      </c>
      <c r="R112" s="2357">
        <f>R113+R123</f>
        <v>3945.0860400000001</v>
      </c>
      <c r="S112" s="2358">
        <f t="shared" si="22"/>
        <v>3856.5435299999995</v>
      </c>
      <c r="T112" s="2935">
        <f t="shared" si="46"/>
        <v>3768.0010199999988</v>
      </c>
      <c r="U112" s="2935">
        <f t="shared" si="43"/>
        <v>7002.8781315822134</v>
      </c>
      <c r="V112" s="2268">
        <f t="shared" si="29"/>
        <v>5385.4395757911061</v>
      </c>
      <c r="W112" s="2377">
        <f>T112/$T$272*$N$272</f>
        <v>847.71716981130669</v>
      </c>
      <c r="X112" s="2256">
        <f>U112/$T$272*$N$272</f>
        <v>1575.4932121112768</v>
      </c>
      <c r="Y112" s="2268">
        <f t="shared" si="30"/>
        <v>1211.6051909612918</v>
      </c>
      <c r="Z112" s="2886">
        <f t="shared" si="39"/>
        <v>2920.2838501886918</v>
      </c>
      <c r="AA112" s="2887">
        <f t="shared" si="39"/>
        <v>5427.3849194709364</v>
      </c>
      <c r="AB112" s="2268">
        <f t="shared" si="31"/>
        <v>4173.8343848298136</v>
      </c>
      <c r="AC112" s="2113">
        <f t="shared" si="33"/>
        <v>1575.4932121112768</v>
      </c>
      <c r="AD112" s="2114">
        <f t="shared" si="34"/>
        <v>0</v>
      </c>
      <c r="AE112" s="2113"/>
      <c r="AF112" s="2114"/>
      <c r="AG112" s="2113">
        <v>2915.7933796821235</v>
      </c>
      <c r="AH112" s="2113">
        <v>5367.4247731496716</v>
      </c>
      <c r="AI112" s="2114">
        <f>Z112+'2024 Калуга+область перекачка'!Z112+'2024 Калуга+область очистка'!Z112</f>
        <v>12350.776909056105</v>
      </c>
      <c r="AJ112" s="2114">
        <f>AA112+'2024 Калуга+область перекачка'!AA112+'2024 Калуга+область очистка'!AA112</f>
        <v>23312.828475087499</v>
      </c>
      <c r="AK112" s="2114">
        <f>AB112+'2024 Калуга+область перекачка'!AB112+'2024 Калуга+область очистка'!AB112</f>
        <v>17831.802692071804</v>
      </c>
      <c r="AL112" s="2114">
        <f>расчет_тарифа_К_!O113</f>
        <v>23312.828237975322</v>
      </c>
      <c r="AM112" s="2593">
        <f t="shared" si="37"/>
        <v>2.3711217727395706E-4</v>
      </c>
    </row>
    <row r="113" spans="1:39" s="2218" customFormat="1" ht="31.5" outlineLevel="1">
      <c r="A113" s="2235"/>
      <c r="B113" s="2349" t="s">
        <v>15016</v>
      </c>
      <c r="C113" s="2356" t="s">
        <v>15017</v>
      </c>
      <c r="D113" s="2356" t="s">
        <v>1317</v>
      </c>
      <c r="E113" s="2357">
        <f>E114*E122*12/1000</f>
        <v>0</v>
      </c>
      <c r="F113" s="2357">
        <f>F114*F122*12/1000</f>
        <v>0</v>
      </c>
      <c r="G113" s="2358">
        <f t="shared" si="26"/>
        <v>0</v>
      </c>
      <c r="H113" s="2357">
        <f>H114*H122*12/1000</f>
        <v>0</v>
      </c>
      <c r="I113" s="2357">
        <f>I114*I122*12/1000</f>
        <v>0</v>
      </c>
      <c r="J113" s="2358">
        <f t="shared" si="27"/>
        <v>0</v>
      </c>
      <c r="K113" s="2357">
        <f>K114*K122*12/1000</f>
        <v>1971.9472608284375</v>
      </c>
      <c r="L113" s="2357">
        <f>L114*L122*12/1000</f>
        <v>2066.057405955054</v>
      </c>
      <c r="M113" s="2358">
        <f t="shared" si="28"/>
        <v>2019.0023333917457</v>
      </c>
      <c r="N113" s="2357">
        <f>N114*N122*12/1000</f>
        <v>0</v>
      </c>
      <c r="O113" s="2357">
        <f>O114*O122*12/1000</f>
        <v>2348.534632551623</v>
      </c>
      <c r="P113" s="2358">
        <f t="shared" si="21"/>
        <v>1174.2673162758115</v>
      </c>
      <c r="Q113" s="2357">
        <f>Q114*Q122*12/1000</f>
        <v>2894.0099999999993</v>
      </c>
      <c r="R113" s="2357">
        <f>R114*R122*12/1000</f>
        <v>3030.02</v>
      </c>
      <c r="S113" s="2358">
        <f t="shared" si="22"/>
        <v>2962.0149999999994</v>
      </c>
      <c r="T113" s="2357">
        <f>T114*T122*12/1000</f>
        <v>2894.0099996988215</v>
      </c>
      <c r="U113" s="2357">
        <f>U114*U122*12/1000</f>
        <v>5378.5546356107816</v>
      </c>
      <c r="V113" s="2268">
        <f t="shared" si="29"/>
        <v>4136.2823176548018</v>
      </c>
      <c r="W113" s="2357">
        <f>W114*W122*12/1000</f>
        <v>651.08845610274011</v>
      </c>
      <c r="X113" s="2357">
        <f>X114*X122*12/1000</f>
        <v>1210.0562148284741</v>
      </c>
      <c r="Y113" s="2268">
        <f t="shared" si="30"/>
        <v>930.57233546560713</v>
      </c>
      <c r="Z113" s="2357">
        <f>Z114*Z122*12/1000</f>
        <v>2242.9215439237269</v>
      </c>
      <c r="AA113" s="2357">
        <f>AA114*AA122*12/1000</f>
        <v>4168.4984607804963</v>
      </c>
      <c r="AB113" s="2268">
        <f t="shared" si="31"/>
        <v>3205.7100023521116</v>
      </c>
      <c r="AC113" s="2113">
        <f t="shared" si="33"/>
        <v>1210.0562311884557</v>
      </c>
      <c r="AD113" s="2114">
        <f t="shared" si="34"/>
        <v>1.6359981600544415E-5</v>
      </c>
      <c r="AE113" s="2114"/>
      <c r="AF113" s="2114"/>
      <c r="AG113" s="2113">
        <v>2242.9179843708644</v>
      </c>
      <c r="AH113" s="2113">
        <v>4126.0533359515694</v>
      </c>
      <c r="AI113" s="2114">
        <f>Z113+'2024 Калуга+область перекачка'!Z113+'2024 Калуга+область очистка'!Z113</f>
        <v>9490.7401969173025</v>
      </c>
      <c r="AJ113" s="2114">
        <f>AA113+'2024 Калуга+область перекачка'!AA113+'2024 Калуга+область очистка'!AA113</f>
        <v>17910.474757247088</v>
      </c>
      <c r="AK113" s="2114">
        <f>AB113+'2024 Калуга+область перекачка'!AB113+'2024 Калуга+область очистка'!AB113</f>
        <v>13700.607477082194</v>
      </c>
      <c r="AL113" s="2114">
        <f>расчет_тарифа_К_!O114</f>
        <v>17910.475482170659</v>
      </c>
      <c r="AM113" s="2593">
        <f t="shared" si="37"/>
        <v>-7.2492357139708474E-4</v>
      </c>
    </row>
    <row r="114" spans="1:39" s="2218" customFormat="1" ht="31.5" outlineLevel="1">
      <c r="A114" s="2235"/>
      <c r="B114" s="2336" t="s">
        <v>15018</v>
      </c>
      <c r="C114" s="2356" t="s">
        <v>15019</v>
      </c>
      <c r="D114" s="2356" t="s">
        <v>1888</v>
      </c>
      <c r="E114" s="2357">
        <f>E115+E116+E117+E120+E121</f>
        <v>0</v>
      </c>
      <c r="F114" s="2357">
        <f>F115+F116+F117+F120+F121</f>
        <v>0</v>
      </c>
      <c r="G114" s="2358">
        <f t="shared" si="26"/>
        <v>0</v>
      </c>
      <c r="H114" s="2357">
        <f>H115+H116+H117+H120+H121</f>
        <v>0</v>
      </c>
      <c r="I114" s="2357">
        <f>I115+I116+I117+I120+I121</f>
        <v>0</v>
      </c>
      <c r="J114" s="2358">
        <f t="shared" si="27"/>
        <v>0</v>
      </c>
      <c r="K114" s="2357">
        <f>K115+K116+K117+K120+K121</f>
        <v>23018.701682501225</v>
      </c>
      <c r="L114" s="2357">
        <f>L115+L116+L117+L120+L121</f>
        <v>24117.257104848777</v>
      </c>
      <c r="M114" s="2358">
        <f t="shared" si="28"/>
        <v>23567.979393674999</v>
      </c>
      <c r="N114" s="2357">
        <f>N115+N116+N117+N120+N121</f>
        <v>0</v>
      </c>
      <c r="O114" s="2357">
        <f>O115+O116+O117+O120+O121</f>
        <v>27404.921593381765</v>
      </c>
      <c r="P114" s="2358">
        <f t="shared" si="21"/>
        <v>13702.460796690882</v>
      </c>
      <c r="Q114" s="2357">
        <f>Q115+Q116+Q117+Q120+Q121</f>
        <v>40194.583333333328</v>
      </c>
      <c r="R114" s="2357">
        <f>R115+R116+R117+R120+R121</f>
        <v>42083.611111111109</v>
      </c>
      <c r="S114" s="2358">
        <f t="shared" si="22"/>
        <v>41139.097222222219</v>
      </c>
      <c r="T114" s="2357">
        <f>T115+T116+T117+T120+T121</f>
        <v>40194.5833291503</v>
      </c>
      <c r="U114" s="2357">
        <f>U115+U116+U117+U120+U121</f>
        <v>34106.77364998695</v>
      </c>
      <c r="V114" s="2268">
        <f t="shared" si="29"/>
        <v>37150.678489568629</v>
      </c>
      <c r="W114" s="2357">
        <f>W115+W116+W117+W120+W121</f>
        <v>40194.583334967298</v>
      </c>
      <c r="X114" s="2357">
        <f>X115+X116+X117+X120+X121</f>
        <v>34106.773188862768</v>
      </c>
      <c r="Y114" s="2268">
        <f t="shared" si="30"/>
        <v>37150.678261915033</v>
      </c>
      <c r="Z114" s="2357">
        <f>Z115+Z116+Z117+Z120+Z121</f>
        <v>40194.583333333328</v>
      </c>
      <c r="AA114" s="2357">
        <f>AA115+AA116+AA117+AA120+AA121</f>
        <v>34106.774111111125</v>
      </c>
      <c r="AB114" s="2268">
        <f t="shared" si="31"/>
        <v>37150.678722222226</v>
      </c>
      <c r="AC114" s="2113">
        <f t="shared" si="33"/>
        <v>7673.2722407707306</v>
      </c>
      <c r="AD114" s="2114">
        <f t="shared" si="34"/>
        <v>-26433.500948092038</v>
      </c>
      <c r="AE114" s="2113"/>
      <c r="AF114" s="2113"/>
      <c r="AG114" s="2114">
        <f>AG113-Z113</f>
        <v>-3.5595528624980943E-3</v>
      </c>
      <c r="AH114" s="2114">
        <f>AH113-AA113</f>
        <v>-42.445124828926964</v>
      </c>
      <c r="AI114" s="2114">
        <f>Z114+'2024 Калуга+область перекачка'!Z114+'2024 Калуга+область очистка'!Z114</f>
        <v>121503.76358994647</v>
      </c>
      <c r="AJ114" s="2114">
        <f>AA114+'2024 Калуга+область перекачка'!AA114+'2024 Калуга+область очистка'!AA114</f>
        <v>103690.12958251247</v>
      </c>
      <c r="AK114" s="2114">
        <f>AB114+'2024 Калуга+область перекачка'!AB114+'2024 Калуга+область очистка'!AB114</f>
        <v>112596.94658622946</v>
      </c>
      <c r="AL114" s="2114">
        <f>расчет_тарифа_К_!O115</f>
        <v>0</v>
      </c>
      <c r="AM114" s="2593">
        <f t="shared" si="37"/>
        <v>103690.12958251247</v>
      </c>
    </row>
    <row r="115" spans="1:39" s="2218" customFormat="1" ht="31.5" outlineLevel="1">
      <c r="A115" s="2235"/>
      <c r="B115" s="2329" t="s">
        <v>15020</v>
      </c>
      <c r="C115" s="2363" t="s">
        <v>1890</v>
      </c>
      <c r="D115" s="2363" t="s">
        <v>15021</v>
      </c>
      <c r="E115" s="2364"/>
      <c r="F115" s="2364"/>
      <c r="G115" s="2358">
        <f t="shared" si="26"/>
        <v>0</v>
      </c>
      <c r="H115" s="2364"/>
      <c r="I115" s="2364"/>
      <c r="J115" s="2358">
        <f t="shared" si="27"/>
        <v>0</v>
      </c>
      <c r="K115" s="2364">
        <f>'[3]НВВ тран-ка'!AC416</f>
        <v>4404.1776798825258</v>
      </c>
      <c r="L115" s="2364">
        <f>'[3]НВВ тран-ка'!AD416</f>
        <v>4593.5573201174739</v>
      </c>
      <c r="M115" s="2358">
        <f t="shared" si="28"/>
        <v>4498.8675000000003</v>
      </c>
      <c r="N115" s="2364"/>
      <c r="O115" s="2285">
        <f>L115*1.06*1.072</f>
        <v>5219.7510539958885</v>
      </c>
      <c r="P115" s="2358">
        <f t="shared" si="21"/>
        <v>2609.8755269979442</v>
      </c>
      <c r="Q115" s="2365">
        <v>8558.2392328346741</v>
      </c>
      <c r="R115" s="2364">
        <v>8169.4502353765429</v>
      </c>
      <c r="S115" s="2358">
        <f t="shared" si="22"/>
        <v>8363.8447341056089</v>
      </c>
      <c r="T115" s="2365">
        <v>8558.2392328346741</v>
      </c>
      <c r="U115" s="2364">
        <f>8169.45023537654-4500</f>
        <v>3669.4502353765401</v>
      </c>
      <c r="V115" s="2268">
        <f t="shared" si="29"/>
        <v>6113.8447341056071</v>
      </c>
      <c r="W115" s="2888">
        <v>8558.2392328346741</v>
      </c>
      <c r="X115" s="2889">
        <v>3669.4502353765401</v>
      </c>
      <c r="Y115" s="2268">
        <f t="shared" si="30"/>
        <v>6113.8447341056071</v>
      </c>
      <c r="Z115" s="2888">
        <v>8558.2392328346741</v>
      </c>
      <c r="AA115" s="2889">
        <f>8169.45023537654-4476.837</f>
        <v>3692.6132353765397</v>
      </c>
      <c r="AB115" s="2268">
        <f t="shared" si="31"/>
        <v>6125.4262341056074</v>
      </c>
      <c r="AC115" s="2113">
        <f t="shared" si="33"/>
        <v>825.54541566892533</v>
      </c>
      <c r="AD115" s="2114">
        <f t="shared" si="34"/>
        <v>-2843.9048197076149</v>
      </c>
      <c r="AE115" s="2113"/>
      <c r="AF115" s="2114"/>
      <c r="AG115" s="2113">
        <f>AG114/12/Z122*1000</f>
        <v>-6.3789455564634889E-2</v>
      </c>
      <c r="AH115" s="2113">
        <f>AH114/12/AA122*1000</f>
        <v>-347.28723022895628</v>
      </c>
      <c r="AI115" s="2114">
        <f>Z115+'2024 Калуга+область перекачка'!Z115+'2024 Калуга+область очистка'!Z115</f>
        <v>29908.978269268977</v>
      </c>
      <c r="AJ115" s="2114">
        <f>AA115+'2024 Калуга+область перекачка'!AA115+'2024 Калуга+область очистка'!AA115</f>
        <v>19573.075482434138</v>
      </c>
      <c r="AK115" s="2114">
        <f>AB115+'2024 Калуга+область перекачка'!AB115+'2024 Калуга+область очистка'!AB115</f>
        <v>24741.026875851556</v>
      </c>
      <c r="AL115" s="2114">
        <f>расчет_тарифа_К_!O116</f>
        <v>0</v>
      </c>
      <c r="AM115" s="2593">
        <f t="shared" si="37"/>
        <v>19573.075482434138</v>
      </c>
    </row>
    <row r="116" spans="1:39" s="2218" customFormat="1" ht="31.5" outlineLevel="1">
      <c r="A116" s="2235"/>
      <c r="B116" s="2329" t="s">
        <v>15022</v>
      </c>
      <c r="C116" s="2363" t="s">
        <v>1846</v>
      </c>
      <c r="D116" s="2363" t="s">
        <v>15021</v>
      </c>
      <c r="E116" s="2364"/>
      <c r="F116" s="2364"/>
      <c r="G116" s="2358">
        <f t="shared" si="26"/>
        <v>0</v>
      </c>
      <c r="H116" s="2364"/>
      <c r="I116" s="2364"/>
      <c r="J116" s="2358">
        <f t="shared" si="27"/>
        <v>0</v>
      </c>
      <c r="K116" s="2364"/>
      <c r="L116" s="2364"/>
      <c r="M116" s="2358">
        <f t="shared" si="28"/>
        <v>0</v>
      </c>
      <c r="N116" s="2364"/>
      <c r="O116" s="2364"/>
      <c r="P116" s="2358">
        <f t="shared" si="21"/>
        <v>0</v>
      </c>
      <c r="Q116" s="2365">
        <v>0</v>
      </c>
      <c r="R116" s="2364">
        <v>0</v>
      </c>
      <c r="S116" s="2358">
        <f t="shared" si="22"/>
        <v>0</v>
      </c>
      <c r="T116" s="2365"/>
      <c r="U116" s="2364"/>
      <c r="V116" s="2268">
        <f t="shared" si="29"/>
        <v>0</v>
      </c>
      <c r="W116" s="2365">
        <v>0</v>
      </c>
      <c r="X116" s="2364">
        <v>0</v>
      </c>
      <c r="Y116" s="2268">
        <f t="shared" si="30"/>
        <v>0</v>
      </c>
      <c r="Z116" s="2365">
        <v>0</v>
      </c>
      <c r="AA116" s="2364">
        <v>0</v>
      </c>
      <c r="AB116" s="2268">
        <f t="shared" si="31"/>
        <v>0</v>
      </c>
      <c r="AC116" s="2113">
        <f t="shared" si="33"/>
        <v>0</v>
      </c>
      <c r="AD116" s="2114">
        <f t="shared" si="34"/>
        <v>0</v>
      </c>
      <c r="AE116" s="2113"/>
      <c r="AF116" s="2114"/>
      <c r="AG116" s="2113"/>
      <c r="AH116" s="2113"/>
      <c r="AI116" s="2114">
        <f>Z116+'2024 Калуга+область перекачка'!Z116+'2024 Калуга+область очистка'!Z116</f>
        <v>0</v>
      </c>
      <c r="AJ116" s="2114">
        <f>AA116+'2024 Калуга+область перекачка'!AA116+'2024 Калуга+область очистка'!AA116</f>
        <v>0</v>
      </c>
      <c r="AK116" s="2114">
        <f>AB116+'2024 Калуга+область перекачка'!AB116+'2024 Калуга+область очистка'!AB116</f>
        <v>0</v>
      </c>
      <c r="AL116" s="2114">
        <f>расчет_тарифа_К_!O117</f>
        <v>0</v>
      </c>
      <c r="AM116" s="2593">
        <f t="shared" si="37"/>
        <v>0</v>
      </c>
    </row>
    <row r="117" spans="1:39" s="2218" customFormat="1" ht="31.5" outlineLevel="1">
      <c r="A117" s="2235"/>
      <c r="B117" s="2336" t="s">
        <v>15023</v>
      </c>
      <c r="C117" s="2356" t="s">
        <v>1786</v>
      </c>
      <c r="D117" s="2367" t="s">
        <v>15021</v>
      </c>
      <c r="E117" s="2357">
        <f>E118*E119</f>
        <v>0</v>
      </c>
      <c r="F117" s="2357">
        <f>F118*F119</f>
        <v>0</v>
      </c>
      <c r="G117" s="2358">
        <f t="shared" si="26"/>
        <v>0</v>
      </c>
      <c r="H117" s="2357">
        <f>H118*H119</f>
        <v>0</v>
      </c>
      <c r="I117" s="2357">
        <f>I118*I119</f>
        <v>0</v>
      </c>
      <c r="J117" s="2358">
        <f t="shared" si="27"/>
        <v>0</v>
      </c>
      <c r="K117" s="2357">
        <f>K118*K119</f>
        <v>14627.361111111113</v>
      </c>
      <c r="L117" s="2357">
        <f>L118*L119</f>
        <v>15365.088888888889</v>
      </c>
      <c r="M117" s="2358">
        <f t="shared" si="28"/>
        <v>14996.225000000002</v>
      </c>
      <c r="N117" s="2357">
        <f>N118*N119</f>
        <v>0</v>
      </c>
      <c r="O117" s="2357">
        <f>O118*O119</f>
        <v>17459.657806222225</v>
      </c>
      <c r="P117" s="2358">
        <f t="shared" si="21"/>
        <v>8729.8289031111126</v>
      </c>
      <c r="Q117" s="2357">
        <f>Q118*Q119</f>
        <v>14228.392470588235</v>
      </c>
      <c r="R117" s="2357">
        <f>R118*R119</f>
        <v>15252.836728470589</v>
      </c>
      <c r="S117" s="2358">
        <f t="shared" si="22"/>
        <v>14740.614599529412</v>
      </c>
      <c r="T117" s="2357">
        <f>T118*T119</f>
        <v>15257.693346405231</v>
      </c>
      <c r="U117" s="2357">
        <f>U118*U119</f>
        <v>16356.247267346407</v>
      </c>
      <c r="V117" s="2268">
        <f t="shared" si="29"/>
        <v>15806.970306875819</v>
      </c>
      <c r="W117" s="2357">
        <f>W118*W119</f>
        <v>16286.994222222225</v>
      </c>
      <c r="X117" s="2357">
        <f>X118*X119</f>
        <v>17459.657806222225</v>
      </c>
      <c r="Y117" s="2268">
        <f t="shared" si="30"/>
        <v>16873.326014222224</v>
      </c>
      <c r="Z117" s="2357">
        <f>Z118*Z119</f>
        <v>14228.392470588235</v>
      </c>
      <c r="AA117" s="2357">
        <f>AA118*AA119</f>
        <v>15252.836728470589</v>
      </c>
      <c r="AB117" s="2268">
        <f t="shared" si="31"/>
        <v>14740.614599529412</v>
      </c>
      <c r="AC117" s="2113">
        <f t="shared" si="33"/>
        <v>3679.7950872658789</v>
      </c>
      <c r="AD117" s="2114">
        <f t="shared" si="34"/>
        <v>-13779.862718956347</v>
      </c>
      <c r="AE117" s="2113"/>
      <c r="AF117" s="2114"/>
      <c r="AG117" s="2113"/>
      <c r="AH117" s="2113"/>
      <c r="AI117" s="2114">
        <f>Z117+'2024 Калуга+область перекачка'!Z117+'2024 Калуга+область очистка'!Z117</f>
        <v>42685.1774117647</v>
      </c>
      <c r="AJ117" s="2114">
        <f>AA117+'2024 Калуга+область перекачка'!AA117+'2024 Калуга+область очистка'!AA117</f>
        <v>45758.510185411767</v>
      </c>
      <c r="AK117" s="2114">
        <f>AB117+'2024 Калуга+область перекачка'!AB117+'2024 Калуга+область очистка'!AB117</f>
        <v>44221.843798588234</v>
      </c>
      <c r="AL117" s="2114">
        <f>расчет_тарифа_К_!O118</f>
        <v>0</v>
      </c>
      <c r="AM117" s="2593">
        <f t="shared" si="37"/>
        <v>45758.510185411767</v>
      </c>
    </row>
    <row r="118" spans="1:39" s="2218" customFormat="1" ht="31.5" outlineLevel="1">
      <c r="A118" s="2235"/>
      <c r="B118" s="2329" t="s">
        <v>15024</v>
      </c>
      <c r="C118" s="2363" t="s">
        <v>1788</v>
      </c>
      <c r="D118" s="2363" t="s">
        <v>15021</v>
      </c>
      <c r="E118" s="2364"/>
      <c r="F118" s="2364"/>
      <c r="G118" s="2358">
        <f t="shared" si="26"/>
        <v>0</v>
      </c>
      <c r="H118" s="2364"/>
      <c r="I118" s="2364"/>
      <c r="J118" s="2358">
        <f t="shared" si="27"/>
        <v>0</v>
      </c>
      <c r="K118" s="2364">
        <f>'[3]НВВ тран-ка'!AC419</f>
        <v>5750</v>
      </c>
      <c r="L118" s="2364">
        <f>'[3]НВВ тран-ка'!AD419</f>
        <v>6040</v>
      </c>
      <c r="M118" s="2358">
        <f t="shared" si="28"/>
        <v>5895</v>
      </c>
      <c r="N118" s="2364"/>
      <c r="O118" s="2285">
        <f>L118*1.06*1.072</f>
        <v>6863.372800000001</v>
      </c>
      <c r="P118" s="2358">
        <f t="shared" si="21"/>
        <v>3431.6864000000005</v>
      </c>
      <c r="Q118" s="2365">
        <v>6402.4000000000005</v>
      </c>
      <c r="R118" s="2364">
        <f>Q118*1.072</f>
        <v>6863.372800000001</v>
      </c>
      <c r="S118" s="2358">
        <f t="shared" si="22"/>
        <v>6632.8864000000012</v>
      </c>
      <c r="T118" s="2365">
        <f>Q118</f>
        <v>6402.4000000000005</v>
      </c>
      <c r="U118" s="2364">
        <f>R118</f>
        <v>6863.372800000001</v>
      </c>
      <c r="V118" s="2268">
        <f t="shared" si="29"/>
        <v>6632.8864000000012</v>
      </c>
      <c r="W118" s="2365">
        <f>T118</f>
        <v>6402.4000000000005</v>
      </c>
      <c r="X118" s="2364">
        <f>U118</f>
        <v>6863.372800000001</v>
      </c>
      <c r="Y118" s="2268">
        <f t="shared" si="30"/>
        <v>6632.8864000000012</v>
      </c>
      <c r="Z118" s="2365">
        <f>W118</f>
        <v>6402.4000000000005</v>
      </c>
      <c r="AA118" s="2364">
        <f>X118</f>
        <v>6863.372800000001</v>
      </c>
      <c r="AB118" s="2268">
        <f t="shared" si="31"/>
        <v>6632.8864000000012</v>
      </c>
      <c r="AC118" s="2113">
        <f t="shared" si="33"/>
        <v>1544.1075876821037</v>
      </c>
      <c r="AD118" s="2114">
        <f t="shared" si="34"/>
        <v>-5319.2652123178977</v>
      </c>
      <c r="AE118" s="2113"/>
      <c r="AF118" s="2114"/>
      <c r="AG118" s="2113"/>
      <c r="AH118" s="2113"/>
      <c r="AI118" s="2114">
        <f>Z118+'2024 Калуга+область перекачка'!Z118+'2024 Калуга+область очистка'!Z118</f>
        <v>19207.2</v>
      </c>
      <c r="AJ118" s="2114">
        <f>AA118+'2024 Калуга+область перекачка'!AA118+'2024 Калуга+область очистка'!AA118</f>
        <v>20590.118400000003</v>
      </c>
      <c r="AK118" s="2114">
        <f>AB118+'2024 Калуга+область перекачка'!AB118+'2024 Калуга+область очистка'!AB118</f>
        <v>19898.659200000002</v>
      </c>
      <c r="AL118" s="2114">
        <f>расчет_тарифа_К_!O119</f>
        <v>0</v>
      </c>
      <c r="AM118" s="2593">
        <f t="shared" si="37"/>
        <v>20590.118400000003</v>
      </c>
    </row>
    <row r="119" spans="1:39" s="2218" customFormat="1" ht="31.5" outlineLevel="1">
      <c r="A119" s="2235"/>
      <c r="B119" s="2329" t="s">
        <v>15025</v>
      </c>
      <c r="C119" s="2363" t="s">
        <v>1790</v>
      </c>
      <c r="D119" s="2363"/>
      <c r="E119" s="2364"/>
      <c r="F119" s="2364"/>
      <c r="G119" s="2358">
        <f t="shared" si="26"/>
        <v>0</v>
      </c>
      <c r="H119" s="2364"/>
      <c r="I119" s="2364"/>
      <c r="J119" s="2358">
        <f t="shared" si="27"/>
        <v>0</v>
      </c>
      <c r="K119" s="2364">
        <f>'[3]НВВ тран-ка'!AC420</f>
        <v>2.5438888888888891</v>
      </c>
      <c r="L119" s="2364">
        <f>'[3]НВВ тран-ка'!AD420</f>
        <v>2.5438888888888891</v>
      </c>
      <c r="M119" s="2358">
        <f t="shared" si="28"/>
        <v>2.5438888888888891</v>
      </c>
      <c r="N119" s="2364">
        <v>2.5438888888888891</v>
      </c>
      <c r="O119" s="2364">
        <v>2.5438888888888891</v>
      </c>
      <c r="P119" s="2358">
        <f t="shared" si="21"/>
        <v>2.5438888888888891</v>
      </c>
      <c r="Q119" s="2365">
        <v>2.2223529411764704</v>
      </c>
      <c r="R119" s="2364">
        <v>2.2223529411764704</v>
      </c>
      <c r="S119" s="2358">
        <f t="shared" si="22"/>
        <v>2.2223529411764704</v>
      </c>
      <c r="T119" s="2938">
        <f>(N119+Q119)/2</f>
        <v>2.3831209150326798</v>
      </c>
      <c r="U119" s="2938">
        <f>(O119+R119)/2</f>
        <v>2.3831209150326798</v>
      </c>
      <c r="V119" s="2268">
        <f t="shared" si="29"/>
        <v>2.3831209150326798</v>
      </c>
      <c r="W119" s="2939">
        <v>2.5438888888888891</v>
      </c>
      <c r="X119" s="2480">
        <v>2.5438888888888891</v>
      </c>
      <c r="Y119" s="2268">
        <f t="shared" si="30"/>
        <v>2.5438888888888891</v>
      </c>
      <c r="Z119" s="2939">
        <v>2.2223529411764704</v>
      </c>
      <c r="AA119" s="2480">
        <v>2.2223529411764704</v>
      </c>
      <c r="AB119" s="2268">
        <f t="shared" si="31"/>
        <v>2.2223529411764704</v>
      </c>
      <c r="AC119" s="2113">
        <f t="shared" si="33"/>
        <v>0.53614967370938638</v>
      </c>
      <c r="AD119" s="2114">
        <f t="shared" si="34"/>
        <v>-2.0077392151795026</v>
      </c>
      <c r="AE119" s="2113"/>
      <c r="AF119" s="2114"/>
      <c r="AG119" s="2113"/>
      <c r="AH119" s="2113"/>
      <c r="AI119" s="2114">
        <f>Z119+'2024 Калуга+область перекачка'!Z119+'2024 Калуга+область очистка'!Z119</f>
        <v>6.6670588235294108</v>
      </c>
      <c r="AJ119" s="2114">
        <f>AA119+'2024 Калуга+область перекачка'!AA119+'2024 Калуга+область очистка'!AA119</f>
        <v>6.6670588235294108</v>
      </c>
      <c r="AK119" s="2114">
        <f>AB119+'2024 Калуга+область перекачка'!AB119+'2024 Калуга+область очистка'!AB119</f>
        <v>6.6670588235294108</v>
      </c>
      <c r="AL119" s="2114">
        <f>расчет_тарифа_К_!O120</f>
        <v>0</v>
      </c>
      <c r="AM119" s="2593">
        <f t="shared" si="37"/>
        <v>6.6670588235294108</v>
      </c>
    </row>
    <row r="120" spans="1:39" s="2218" customFormat="1" ht="31.5" outlineLevel="1">
      <c r="A120" s="2235"/>
      <c r="B120" s="2336" t="s">
        <v>15026</v>
      </c>
      <c r="C120" s="2363" t="s">
        <v>1795</v>
      </c>
      <c r="D120" s="2363" t="s">
        <v>15021</v>
      </c>
      <c r="E120" s="2364"/>
      <c r="F120" s="2364"/>
      <c r="G120" s="2358">
        <f t="shared" si="26"/>
        <v>0</v>
      </c>
      <c r="H120" s="2364"/>
      <c r="I120" s="2364"/>
      <c r="J120" s="2358">
        <f t="shared" si="27"/>
        <v>0</v>
      </c>
      <c r="K120" s="2364">
        <f>'[3]НВВ тран-ка'!AC421</f>
        <v>3987.1628915075871</v>
      </c>
      <c r="L120" s="2364">
        <f>'[3]НВВ тран-ка'!AD421</f>
        <v>4158.6108958424129</v>
      </c>
      <c r="M120" s="2358">
        <f t="shared" si="28"/>
        <v>4072.886893675</v>
      </c>
      <c r="N120" s="2364"/>
      <c r="O120" s="2285">
        <f>L120*1.06*1.072</f>
        <v>4725.5127331636504</v>
      </c>
      <c r="P120" s="2358">
        <f t="shared" si="21"/>
        <v>2362.7563665818252</v>
      </c>
      <c r="Q120" s="2365">
        <v>17407.951629910425</v>
      </c>
      <c r="R120" s="2364">
        <f>Q120*1.072</f>
        <v>18661.324147263978</v>
      </c>
      <c r="S120" s="2358">
        <f t="shared" si="22"/>
        <v>18034.637888587204</v>
      </c>
      <c r="T120" s="2365">
        <f>17407.9516299104-1029.30088</f>
        <v>16378.650749910399</v>
      </c>
      <c r="U120" s="2364">
        <f>18661.324147264-4580.248</f>
        <v>14081.076147264001</v>
      </c>
      <c r="V120" s="2268">
        <f t="shared" si="29"/>
        <v>15229.863448587199</v>
      </c>
      <c r="W120" s="2888">
        <f>16378.6507499104-1029.30087</f>
        <v>15349.349879910398</v>
      </c>
      <c r="X120" s="2889">
        <f>14081.076147264-1103.411</f>
        <v>12977.665147264001</v>
      </c>
      <c r="Y120" s="2268">
        <f t="shared" si="30"/>
        <v>14163.507513587199</v>
      </c>
      <c r="Z120" s="2888">
        <v>17407.951629910425</v>
      </c>
      <c r="AA120" s="2889">
        <f>18661.324147264-3500</f>
        <v>15161.324147264</v>
      </c>
      <c r="AB120" s="2268">
        <f t="shared" si="31"/>
        <v>16284.637888587213</v>
      </c>
      <c r="AC120" s="2113">
        <f t="shared" si="33"/>
        <v>3167.9317378359256</v>
      </c>
      <c r="AD120" s="2114">
        <f t="shared" si="34"/>
        <v>-9809.7334094280741</v>
      </c>
      <c r="AE120" s="2113"/>
      <c r="AF120" s="2114"/>
      <c r="AG120" s="2113"/>
      <c r="AH120" s="2113"/>
      <c r="AI120" s="2114">
        <f>Z120+'2024 Калуга+область перекачка'!Z120+'2024 Калуга+область очистка'!Z120</f>
        <v>48909.607908912789</v>
      </c>
      <c r="AJ120" s="2114">
        <f>AA120+'2024 Калуга+область перекачка'!AA120+'2024 Калуга+область очистка'!AA120</f>
        <v>38358.543914666567</v>
      </c>
      <c r="AK120" s="2114">
        <f>AB120+'2024 Калуга+область перекачка'!AB120+'2024 Калуга+область очистка'!AB120</f>
        <v>43634.075911789674</v>
      </c>
      <c r="AL120" s="2114">
        <f>расчет_тарифа_К_!O121</f>
        <v>0</v>
      </c>
      <c r="AM120" s="2593">
        <f t="shared" si="37"/>
        <v>38358.543914666567</v>
      </c>
    </row>
    <row r="121" spans="1:39" s="2218" customFormat="1" ht="31.5" outlineLevel="1">
      <c r="A121" s="2235"/>
      <c r="B121" s="2336" t="s">
        <v>15027</v>
      </c>
      <c r="C121" s="2363" t="s">
        <v>1898</v>
      </c>
      <c r="D121" s="2363" t="s">
        <v>15021</v>
      </c>
      <c r="E121" s="2364"/>
      <c r="F121" s="2364"/>
      <c r="G121" s="2358">
        <f>E121/2+F121/2</f>
        <v>0</v>
      </c>
      <c r="H121" s="2364"/>
      <c r="I121" s="2364"/>
      <c r="J121" s="2358">
        <f>H121/2+I121/2</f>
        <v>0</v>
      </c>
      <c r="K121" s="2364">
        <f>'[3]НВВ тран-ка'!AC422</f>
        <v>0</v>
      </c>
      <c r="L121" s="2364">
        <f>'[3]НВВ тран-ка'!AD422</f>
        <v>0</v>
      </c>
      <c r="M121" s="2358">
        <f>K121/2+L121/2</f>
        <v>0</v>
      </c>
      <c r="N121" s="2364"/>
      <c r="O121" s="2364"/>
      <c r="P121" s="2358">
        <f>N121/2+O121/2</f>
        <v>0</v>
      </c>
      <c r="Q121" s="2365">
        <v>0</v>
      </c>
      <c r="R121" s="2364">
        <v>0</v>
      </c>
      <c r="S121" s="2358">
        <f>Q121/2+R121/2</f>
        <v>0</v>
      </c>
      <c r="T121" s="2939">
        <v>0</v>
      </c>
      <c r="U121" s="2480">
        <v>0</v>
      </c>
      <c r="V121" s="2268">
        <f t="shared" si="29"/>
        <v>0</v>
      </c>
      <c r="W121" s="2939">
        <v>0</v>
      </c>
      <c r="X121" s="2480">
        <v>0</v>
      </c>
      <c r="Y121" s="2268">
        <f t="shared" si="30"/>
        <v>0</v>
      </c>
      <c r="Z121" s="2939">
        <v>0</v>
      </c>
      <c r="AA121" s="2480">
        <v>0</v>
      </c>
      <c r="AB121" s="2268">
        <f t="shared" si="31"/>
        <v>0</v>
      </c>
      <c r="AC121" s="2113">
        <f t="shared" si="33"/>
        <v>0</v>
      </c>
      <c r="AD121" s="2114">
        <f t="shared" si="34"/>
        <v>0</v>
      </c>
      <c r="AE121" s="2113"/>
      <c r="AF121" s="2114"/>
      <c r="AG121" s="2113">
        <f>T113/T272*Q272</f>
        <v>2242.9215436903073</v>
      </c>
      <c r="AH121" s="2113">
        <f>U113/U272*R272</f>
        <v>4168.4984044223256</v>
      </c>
      <c r="AI121" s="2114">
        <f>Z121+'2024 Калуга+область перекачка'!Z121+'2024 Калуга+область очистка'!Z121</f>
        <v>0</v>
      </c>
      <c r="AJ121" s="2114">
        <f>AA121+'2024 Калуга+область перекачка'!AA121+'2024 Калуга+область очистка'!AA121</f>
        <v>0</v>
      </c>
      <c r="AK121" s="2114">
        <f>AB121+'2024 Калуга+область перекачка'!AB121+'2024 Калуга+область очистка'!AB121</f>
        <v>0</v>
      </c>
      <c r="AL121" s="2114">
        <f>расчет_тарифа_К_!O122</f>
        <v>0</v>
      </c>
      <c r="AM121" s="2593">
        <f t="shared" si="37"/>
        <v>0</v>
      </c>
    </row>
    <row r="122" spans="1:39" s="2218" customFormat="1" ht="31.5" outlineLevel="1">
      <c r="A122" s="2235"/>
      <c r="B122" s="2329" t="s">
        <v>15028</v>
      </c>
      <c r="C122" s="2363" t="s">
        <v>1799</v>
      </c>
      <c r="D122" s="2363" t="s">
        <v>1800</v>
      </c>
      <c r="E122" s="2364"/>
      <c r="F122" s="2364"/>
      <c r="G122" s="2358">
        <f>E122/2+F122/2</f>
        <v>0</v>
      </c>
      <c r="H122" s="2364"/>
      <c r="I122" s="2364"/>
      <c r="J122" s="2358">
        <f>H122/2+I122/2</f>
        <v>0</v>
      </c>
      <c r="K122" s="2364">
        <f>'[3]НВВ тран-ка'!AC423</f>
        <v>7.1389316682136048</v>
      </c>
      <c r="L122" s="2364">
        <f>'[3]НВВ тран-ка'!AD423</f>
        <v>7.1389316682136048</v>
      </c>
      <c r="M122" s="2358">
        <f>K122/2+L122/2</f>
        <v>7.1389316682136048</v>
      </c>
      <c r="N122" s="2364"/>
      <c r="O122" s="2364">
        <v>7.1414624819275447</v>
      </c>
      <c r="P122" s="2358">
        <f>N122/2+O122/2</f>
        <v>3.5707312409637724</v>
      </c>
      <c r="Q122" s="2365">
        <v>6</v>
      </c>
      <c r="R122" s="2364">
        <v>6</v>
      </c>
      <c r="S122" s="2358">
        <f>Q122/2+R122/2</f>
        <v>6</v>
      </c>
      <c r="T122" s="2365">
        <f t="shared" ref="T122:U127" si="47">N122+Q122</f>
        <v>6</v>
      </c>
      <c r="U122" s="2364">
        <f t="shared" si="47"/>
        <v>13.141462481927544</v>
      </c>
      <c r="V122" s="2268">
        <f t="shared" si="29"/>
        <v>9.5707312409637719</v>
      </c>
      <c r="W122" s="2888">
        <f>T122/$T$272*$W$272</f>
        <v>1.3498677393850178</v>
      </c>
      <c r="X122" s="2889">
        <f>U122/$T$272*$W$272</f>
        <v>2.9565393754487603</v>
      </c>
      <c r="Y122" s="2268">
        <f t="shared" si="30"/>
        <v>2.1532035574168891</v>
      </c>
      <c r="Z122" s="2888">
        <f t="shared" ref="Z122:AA127" si="48">T122/$T$272*$Z$272</f>
        <v>4.6501322606149813</v>
      </c>
      <c r="AA122" s="2889">
        <f t="shared" si="48"/>
        <v>10.184923106478783</v>
      </c>
      <c r="AB122" s="2268">
        <f t="shared" si="31"/>
        <v>7.417527683546882</v>
      </c>
      <c r="AC122" s="2113">
        <f t="shared" si="33"/>
        <v>2.9565393754487603</v>
      </c>
      <c r="AD122" s="2114">
        <f t="shared" si="34"/>
        <v>0</v>
      </c>
      <c r="AE122" s="2113"/>
      <c r="AF122" s="2114"/>
      <c r="AG122" s="2114">
        <f>AG121-Z113</f>
        <v>-2.334195414732676E-7</v>
      </c>
      <c r="AH122" s="2114">
        <f>AH121-AA113</f>
        <v>-5.6358170695602894E-5</v>
      </c>
      <c r="AI122" s="2114">
        <f>Z122+'2024 Калуга+область перекачка'!Z122+'2024 Калуга+область очистка'!Z122</f>
        <v>19.530603807821294</v>
      </c>
      <c r="AJ122" s="2114">
        <f>AA122+'2024 Калуга+область перекачка'!AA122+'2024 Калуга+область очистка'!AA122</f>
        <v>43.142254298747474</v>
      </c>
      <c r="AK122" s="2114">
        <f>AB122+'2024 Калуга+область перекачка'!AB122+'2024 Калуга+область очистка'!AB122</f>
        <v>31.336429053284384</v>
      </c>
      <c r="AL122" s="2114">
        <f>расчет_тарифа_К_!O123</f>
        <v>43.142254298747467</v>
      </c>
      <c r="AM122" s="2593">
        <f t="shared" si="37"/>
        <v>0</v>
      </c>
    </row>
    <row r="123" spans="1:39" s="2218" customFormat="1" ht="48" outlineLevel="1" thickBot="1">
      <c r="A123" s="2235"/>
      <c r="B123" s="2368" t="s">
        <v>15029</v>
      </c>
      <c r="C123" s="2369" t="s">
        <v>15030</v>
      </c>
      <c r="D123" s="2369" t="s">
        <v>1317</v>
      </c>
      <c r="E123" s="2370"/>
      <c r="F123" s="2370"/>
      <c r="G123" s="2358">
        <f>E123/2+F123/2</f>
        <v>0</v>
      </c>
      <c r="H123" s="2370"/>
      <c r="I123" s="2370"/>
      <c r="J123" s="2358">
        <f>H123/2+I123/2</f>
        <v>0</v>
      </c>
      <c r="K123" s="2370">
        <f>'[3]НВВ тран-ка'!AC424</f>
        <v>596.90524198170044</v>
      </c>
      <c r="L123" s="2370">
        <f>'[3]НВВ тран-ка'!AD424</f>
        <v>622.57216738691352</v>
      </c>
      <c r="M123" s="2358">
        <f>K123/2+L123/2</f>
        <v>609.73870468430698</v>
      </c>
      <c r="N123" s="2370">
        <v>0</v>
      </c>
      <c r="O123" s="2370">
        <f>O113*0.302</f>
        <v>709.2574590305901</v>
      </c>
      <c r="P123" s="2358">
        <f>N123/2+O123/2</f>
        <v>354.62872951529505</v>
      </c>
      <c r="Q123" s="2370">
        <f>Q113*0.302</f>
        <v>873.99101999999971</v>
      </c>
      <c r="R123" s="2370">
        <f>R113*0.302</f>
        <v>915.06603999999993</v>
      </c>
      <c r="S123" s="2358">
        <f>Q123/2+R123/2</f>
        <v>894.52852999999982</v>
      </c>
      <c r="T123" s="2934">
        <f t="shared" si="47"/>
        <v>873.99101999999971</v>
      </c>
      <c r="U123" s="2940">
        <f t="shared" si="47"/>
        <v>1624.32349903059</v>
      </c>
      <c r="V123" s="2268">
        <f t="shared" si="29"/>
        <v>1249.1572595152948</v>
      </c>
      <c r="W123" s="2377">
        <f t="shared" ref="W123:X126" si="49">T123/$T$272*$N$272</f>
        <v>196.62871373503427</v>
      </c>
      <c r="X123" s="2256">
        <f t="shared" si="49"/>
        <v>365.43698161106414</v>
      </c>
      <c r="Y123" s="2268">
        <f t="shared" si="30"/>
        <v>281.03284767304922</v>
      </c>
      <c r="Z123" s="2886">
        <f t="shared" si="48"/>
        <v>677.36230626496535</v>
      </c>
      <c r="AA123" s="2887">
        <f t="shared" si="48"/>
        <v>1258.8865174195257</v>
      </c>
      <c r="AB123" s="2268">
        <f t="shared" si="31"/>
        <v>968.12441184224554</v>
      </c>
      <c r="AC123" s="2113">
        <f t="shared" si="33"/>
        <v>365.43698161106414</v>
      </c>
      <c r="AD123" s="2114">
        <f t="shared" si="34"/>
        <v>0</v>
      </c>
      <c r="AE123" s="2113"/>
      <c r="AF123" s="2114"/>
      <c r="AG123" s="2113">
        <f>AG122/12/Z122*1000</f>
        <v>-4.183026926105786E-6</v>
      </c>
      <c r="AH123" s="2113">
        <f>AH122/12/AA122*1000</f>
        <v>-4.6112417104514526E-4</v>
      </c>
      <c r="AI123" s="2114">
        <f>Z123+'2024 Калуга+область перекачка'!Z123+'2024 Калуга+область очистка'!Z123</f>
        <v>2860.0366601803116</v>
      </c>
      <c r="AJ123" s="2114">
        <f>AA123+'2024 Калуга+область перекачка'!AA123+'2024 Калуга+область очистка'!AA123</f>
        <v>5402.3527558046644</v>
      </c>
      <c r="AK123" s="2114">
        <f>AB123+'2024 Калуга+область перекачка'!AB123+'2024 Калуга+область очистка'!AB123</f>
        <v>4131.1947079924885</v>
      </c>
      <c r="AL123" s="2114">
        <f>расчет_тарифа_К_!O124</f>
        <v>5402.3527558046644</v>
      </c>
      <c r="AM123" s="2593">
        <f t="shared" si="37"/>
        <v>0</v>
      </c>
    </row>
    <row r="124" spans="1:39" s="2218" customFormat="1" ht="21" customHeight="1" thickBot="1">
      <c r="A124" s="2235">
        <v>9</v>
      </c>
      <c r="B124" s="1260" t="s">
        <v>1175</v>
      </c>
      <c r="C124" s="2318" t="s">
        <v>1924</v>
      </c>
      <c r="D124" s="2371" t="s">
        <v>1317</v>
      </c>
      <c r="E124" s="2372">
        <f>E125+E141</f>
        <v>0</v>
      </c>
      <c r="F124" s="2373">
        <f>F125+F141</f>
        <v>0</v>
      </c>
      <c r="G124" s="2374">
        <f t="shared" si="26"/>
        <v>0</v>
      </c>
      <c r="H124" s="2373">
        <f>H125+H141</f>
        <v>0</v>
      </c>
      <c r="I124" s="2373">
        <f>I125+I141</f>
        <v>0</v>
      </c>
      <c r="J124" s="2374">
        <f t="shared" si="27"/>
        <v>0</v>
      </c>
      <c r="K124" s="2373">
        <f>K125+K141</f>
        <v>0</v>
      </c>
      <c r="L124" s="2373">
        <f>L125+L141</f>
        <v>0</v>
      </c>
      <c r="M124" s="2374">
        <f t="shared" si="28"/>
        <v>0</v>
      </c>
      <c r="N124" s="2372">
        <v>0</v>
      </c>
      <c r="O124" s="2373">
        <v>0</v>
      </c>
      <c r="P124" s="2374">
        <f t="shared" ref="P124:P133" si="50">N124/2+O124/2</f>
        <v>0</v>
      </c>
      <c r="Q124" s="2372">
        <v>0</v>
      </c>
      <c r="R124" s="2373">
        <v>0</v>
      </c>
      <c r="S124" s="2374">
        <f t="shared" ref="S124:S133" si="51">Q124/2+R124/2</f>
        <v>0</v>
      </c>
      <c r="T124" s="2372">
        <f t="shared" si="47"/>
        <v>0</v>
      </c>
      <c r="U124" s="2373">
        <f t="shared" si="47"/>
        <v>0</v>
      </c>
      <c r="V124" s="2374">
        <f t="shared" si="29"/>
        <v>0</v>
      </c>
      <c r="W124" s="2945">
        <f t="shared" si="49"/>
        <v>0</v>
      </c>
      <c r="X124" s="2373">
        <f t="shared" si="49"/>
        <v>0</v>
      </c>
      <c r="Y124" s="2374">
        <f t="shared" si="30"/>
        <v>0</v>
      </c>
      <c r="Z124" s="2945">
        <f t="shared" si="48"/>
        <v>0</v>
      </c>
      <c r="AA124" s="2373">
        <f t="shared" si="48"/>
        <v>0</v>
      </c>
      <c r="AB124" s="2946">
        <f t="shared" si="31"/>
        <v>0</v>
      </c>
      <c r="AC124" s="2113">
        <f t="shared" si="33"/>
        <v>0</v>
      </c>
      <c r="AD124" s="2114">
        <f t="shared" si="34"/>
        <v>0</v>
      </c>
      <c r="AE124" s="2113"/>
      <c r="AF124" s="2114"/>
      <c r="AG124" s="2113"/>
      <c r="AH124" s="2113"/>
      <c r="AI124" s="2114">
        <f>Z124+'2024 Калуга+область перекачка'!Z124+'2024 Калуга+область очистка'!Z124</f>
        <v>98596.309183407793</v>
      </c>
      <c r="AJ124" s="2114">
        <f>AA124+'2024 Калуга+область перекачка'!AA124+'2024 Калуга+область очистка'!AA124</f>
        <v>107469.97700991451</v>
      </c>
      <c r="AK124" s="2114">
        <f>AB124+'2024 Калуга+область перекачка'!AB124+'2024 Калуга+область очистка'!AB124</f>
        <v>103033.14309666115</v>
      </c>
      <c r="AL124" s="2114">
        <f>расчет_тарифа_К_!O125</f>
        <v>107469.97700991451</v>
      </c>
      <c r="AM124" s="2593">
        <f t="shared" si="37"/>
        <v>0</v>
      </c>
    </row>
    <row r="125" spans="1:39" s="2218" customFormat="1" ht="30.75" customHeight="1">
      <c r="A125" s="2235">
        <v>198</v>
      </c>
      <c r="B125" s="2243"/>
      <c r="C125" s="2278" t="s">
        <v>1925</v>
      </c>
      <c r="D125" s="2245" t="s">
        <v>1926</v>
      </c>
      <c r="E125" s="2246">
        <f>E126+E129+E132+E135+E138</f>
        <v>0</v>
      </c>
      <c r="F125" s="2247">
        <f>F126+F129+F132+F135+F138</f>
        <v>0</v>
      </c>
      <c r="G125" s="2248">
        <f t="shared" si="26"/>
        <v>0</v>
      </c>
      <c r="H125" s="2247">
        <f>H126+H129+H132+H135+H138</f>
        <v>0</v>
      </c>
      <c r="I125" s="2247">
        <f>I126+I129+I132+I135+I138</f>
        <v>0</v>
      </c>
      <c r="J125" s="2248">
        <f t="shared" si="27"/>
        <v>0</v>
      </c>
      <c r="K125" s="2247">
        <f>K126+K129+K132+K135+K138</f>
        <v>0</v>
      </c>
      <c r="L125" s="2247">
        <f>L126+L129+L132+L135+L138</f>
        <v>0</v>
      </c>
      <c r="M125" s="2250">
        <f t="shared" si="28"/>
        <v>0</v>
      </c>
      <c r="N125" s="2246">
        <v>0</v>
      </c>
      <c r="O125" s="2247">
        <v>0</v>
      </c>
      <c r="P125" s="2250">
        <f t="shared" si="50"/>
        <v>0</v>
      </c>
      <c r="Q125" s="2246">
        <v>0</v>
      </c>
      <c r="R125" s="2247">
        <v>0</v>
      </c>
      <c r="S125" s="2250">
        <f t="shared" si="51"/>
        <v>0</v>
      </c>
      <c r="T125" s="2465">
        <f t="shared" si="47"/>
        <v>0</v>
      </c>
      <c r="U125" s="2466">
        <f t="shared" si="47"/>
        <v>0</v>
      </c>
      <c r="V125" s="2268">
        <f t="shared" si="29"/>
        <v>0</v>
      </c>
      <c r="W125" s="2377">
        <f t="shared" si="49"/>
        <v>0</v>
      </c>
      <c r="X125" s="2256">
        <f t="shared" si="49"/>
        <v>0</v>
      </c>
      <c r="Y125" s="2268">
        <f t="shared" si="30"/>
        <v>0</v>
      </c>
      <c r="Z125" s="2886">
        <f t="shared" si="48"/>
        <v>0</v>
      </c>
      <c r="AA125" s="2887">
        <f t="shared" si="48"/>
        <v>0</v>
      </c>
      <c r="AB125" s="2268">
        <f t="shared" si="31"/>
        <v>0</v>
      </c>
      <c r="AC125" s="2113">
        <f t="shared" si="33"/>
        <v>0</v>
      </c>
      <c r="AD125" s="2114">
        <f t="shared" si="34"/>
        <v>0</v>
      </c>
      <c r="AE125" s="2113">
        <f t="shared" si="35"/>
        <v>0</v>
      </c>
      <c r="AF125" s="2114">
        <f t="shared" si="36"/>
        <v>0</v>
      </c>
      <c r="AG125" s="2113"/>
      <c r="AH125" s="2113"/>
      <c r="AI125" s="2114">
        <f>Z125+'2024 Калуга+область перекачка'!Z125+'2024 Калуга+область очистка'!Z125</f>
        <v>91685.651485843438</v>
      </c>
      <c r="AJ125" s="2114">
        <f>AA125+'2024 Калуга+область перекачка'!AA125+'2024 Калуга+область очистка'!AA125</f>
        <v>99937.360119569348</v>
      </c>
      <c r="AK125" s="2114">
        <f>AB125+'2024 Калуга+область перекачка'!AB125+'2024 Калуга+область очистка'!AB125</f>
        <v>95811.505802706379</v>
      </c>
      <c r="AL125" s="2114">
        <f>расчет_тарифа_К_!O126</f>
        <v>99937.360119569348</v>
      </c>
      <c r="AM125" s="2593">
        <f t="shared" si="37"/>
        <v>0</v>
      </c>
    </row>
    <row r="126" spans="1:39" s="2218" customFormat="1" ht="18.75" customHeight="1">
      <c r="A126" s="2235">
        <v>201</v>
      </c>
      <c r="B126" s="2279"/>
      <c r="C126" s="2280" t="s">
        <v>1927</v>
      </c>
      <c r="D126" s="2254" t="s">
        <v>1317</v>
      </c>
      <c r="E126" s="2255">
        <f>E127*E128</f>
        <v>0</v>
      </c>
      <c r="F126" s="2256">
        <f>F127*F128</f>
        <v>0</v>
      </c>
      <c r="G126" s="2257">
        <f t="shared" si="26"/>
        <v>0</v>
      </c>
      <c r="H126" s="2256">
        <f>H127*H128</f>
        <v>0</v>
      </c>
      <c r="I126" s="2256">
        <f>I127*I128</f>
        <v>0</v>
      </c>
      <c r="J126" s="2257">
        <f t="shared" si="27"/>
        <v>0</v>
      </c>
      <c r="K126" s="2256">
        <f>K127*K128</f>
        <v>0</v>
      </c>
      <c r="L126" s="2256">
        <f>L127*L128</f>
        <v>0</v>
      </c>
      <c r="M126" s="2259">
        <f t="shared" si="28"/>
        <v>0</v>
      </c>
      <c r="N126" s="2255">
        <v>0</v>
      </c>
      <c r="O126" s="2256">
        <v>0</v>
      </c>
      <c r="P126" s="2259">
        <f t="shared" si="50"/>
        <v>0</v>
      </c>
      <c r="Q126" s="2255">
        <v>0</v>
      </c>
      <c r="R126" s="2256">
        <v>0</v>
      </c>
      <c r="S126" s="2259">
        <f t="shared" si="51"/>
        <v>0</v>
      </c>
      <c r="T126" s="2465">
        <f t="shared" si="47"/>
        <v>0</v>
      </c>
      <c r="U126" s="2247">
        <f t="shared" si="47"/>
        <v>0</v>
      </c>
      <c r="V126" s="2268">
        <f t="shared" si="29"/>
        <v>0</v>
      </c>
      <c r="W126" s="2377">
        <f t="shared" si="49"/>
        <v>0</v>
      </c>
      <c r="X126" s="2256">
        <f t="shared" si="49"/>
        <v>0</v>
      </c>
      <c r="Y126" s="2268">
        <f t="shared" si="30"/>
        <v>0</v>
      </c>
      <c r="Z126" s="2886">
        <f t="shared" si="48"/>
        <v>0</v>
      </c>
      <c r="AA126" s="2887">
        <f t="shared" si="48"/>
        <v>0</v>
      </c>
      <c r="AB126" s="2268">
        <f t="shared" si="31"/>
        <v>0</v>
      </c>
      <c r="AC126" s="2113">
        <f t="shared" si="33"/>
        <v>0</v>
      </c>
      <c r="AD126" s="2114">
        <f t="shared" si="34"/>
        <v>0</v>
      </c>
      <c r="AE126" s="2113">
        <f t="shared" si="35"/>
        <v>0</v>
      </c>
      <c r="AF126" s="2114">
        <f t="shared" si="36"/>
        <v>0</v>
      </c>
      <c r="AG126" s="2113"/>
      <c r="AH126" s="2113"/>
      <c r="AI126" s="2114">
        <f>Z126+'2024 Калуга+область перекачка'!Z126+'2024 Калуга+область очистка'!Z126</f>
        <v>37592.680774789289</v>
      </c>
      <c r="AJ126" s="2114">
        <f>AA126+'2024 Калуга+область перекачка'!AA126+'2024 Калуга+область очистка'!AA126</f>
        <v>40976.02204452033</v>
      </c>
      <c r="AK126" s="2114">
        <f>AB126+'2024 Калуга+область перекачка'!AB126+'2024 Калуга+область очистка'!AB126</f>
        <v>39284.351409654802</v>
      </c>
      <c r="AL126" s="2114">
        <f>расчет_тарифа_К_!O127</f>
        <v>40976.02204452033</v>
      </c>
      <c r="AM126" s="2593">
        <f t="shared" si="37"/>
        <v>0</v>
      </c>
    </row>
    <row r="127" spans="1:39" s="2218" customFormat="1" ht="21" customHeight="1">
      <c r="A127" s="2235">
        <v>206</v>
      </c>
      <c r="B127" s="2281" t="s">
        <v>1928</v>
      </c>
      <c r="C127" s="2282" t="s">
        <v>1929</v>
      </c>
      <c r="D127" s="2283" t="s">
        <v>1930</v>
      </c>
      <c r="E127" s="2284"/>
      <c r="F127" s="2285"/>
      <c r="G127" s="2257">
        <f t="shared" si="26"/>
        <v>0</v>
      </c>
      <c r="H127" s="2285"/>
      <c r="I127" s="2285"/>
      <c r="J127" s="2257">
        <f t="shared" si="27"/>
        <v>0</v>
      </c>
      <c r="K127" s="2285"/>
      <c r="L127" s="2285"/>
      <c r="M127" s="2259">
        <f t="shared" si="28"/>
        <v>0</v>
      </c>
      <c r="N127" s="2284"/>
      <c r="O127" s="2285"/>
      <c r="P127" s="2259">
        <f t="shared" si="50"/>
        <v>0</v>
      </c>
      <c r="Q127" s="2284">
        <v>0</v>
      </c>
      <c r="R127" s="2285">
        <v>0</v>
      </c>
      <c r="S127" s="2259">
        <f t="shared" si="51"/>
        <v>0</v>
      </c>
      <c r="T127" s="2284">
        <f t="shared" si="47"/>
        <v>0</v>
      </c>
      <c r="U127" s="2285">
        <f t="shared" si="47"/>
        <v>0</v>
      </c>
      <c r="V127" s="2268">
        <f t="shared" si="29"/>
        <v>0</v>
      </c>
      <c r="W127" s="2888">
        <f>T127/$T$272*$W$272</f>
        <v>0</v>
      </c>
      <c r="X127" s="2889">
        <f>U127/$T$272*$W$272</f>
        <v>0</v>
      </c>
      <c r="Y127" s="2268">
        <f t="shared" si="30"/>
        <v>0</v>
      </c>
      <c r="Z127" s="2888">
        <f t="shared" si="48"/>
        <v>0</v>
      </c>
      <c r="AA127" s="2889">
        <f t="shared" si="48"/>
        <v>0</v>
      </c>
      <c r="AB127" s="2268">
        <f t="shared" si="31"/>
        <v>0</v>
      </c>
      <c r="AC127" s="2113">
        <f t="shared" si="33"/>
        <v>0</v>
      </c>
      <c r="AD127" s="2114">
        <f t="shared" si="34"/>
        <v>0</v>
      </c>
      <c r="AE127" s="2113">
        <f t="shared" si="35"/>
        <v>0</v>
      </c>
      <c r="AF127" s="2114">
        <f t="shared" si="36"/>
        <v>0</v>
      </c>
      <c r="AG127" s="2113"/>
      <c r="AH127" s="2113"/>
      <c r="AI127" s="2114">
        <f>Z127+'2024 Калуга+область перекачка'!Z127+'2024 Калуга+область очистка'!Z127</f>
        <v>5260.3407980547126</v>
      </c>
      <c r="AJ127" s="2114">
        <f>AA127+'2024 Калуга+область перекачка'!AA127+'2024 Калуга+область очистка'!AA127</f>
        <v>5260.3407980547126</v>
      </c>
      <c r="AK127" s="2114">
        <f>AB127+'2024 Калуга+область перекачка'!AB127+'2024 Калуга+область очистка'!AB127</f>
        <v>5260.3407980547126</v>
      </c>
      <c r="AL127" s="2114">
        <f>расчет_тарифа_К_!O128</f>
        <v>5260.3407980547126</v>
      </c>
      <c r="AM127" s="2593">
        <f t="shared" si="37"/>
        <v>0</v>
      </c>
    </row>
    <row r="128" spans="1:39" s="2218" customFormat="1" ht="18.75" customHeight="1">
      <c r="A128" s="2235">
        <v>207</v>
      </c>
      <c r="B128" s="2281" t="s">
        <v>1932</v>
      </c>
      <c r="C128" s="2282" t="s">
        <v>1933</v>
      </c>
      <c r="D128" s="2283" t="s">
        <v>1934</v>
      </c>
      <c r="E128" s="2284"/>
      <c r="F128" s="2285"/>
      <c r="G128" s="2257">
        <f t="shared" si="26"/>
        <v>0</v>
      </c>
      <c r="H128" s="2285"/>
      <c r="I128" s="2285"/>
      <c r="J128" s="2257">
        <f t="shared" si="27"/>
        <v>0</v>
      </c>
      <c r="K128" s="2285"/>
      <c r="L128" s="2285"/>
      <c r="M128" s="2259">
        <f t="shared" si="28"/>
        <v>0</v>
      </c>
      <c r="N128" s="2284"/>
      <c r="O128" s="2285"/>
      <c r="P128" s="2259">
        <f t="shared" si="50"/>
        <v>0</v>
      </c>
      <c r="Q128" s="2284">
        <v>0</v>
      </c>
      <c r="R128" s="2285">
        <v>0</v>
      </c>
      <c r="S128" s="2259">
        <f t="shared" si="51"/>
        <v>0</v>
      </c>
      <c r="T128" s="2385" t="e">
        <f>T126/T127</f>
        <v>#DIV/0!</v>
      </c>
      <c r="U128" s="2285" t="e">
        <f>U126/U127</f>
        <v>#DIV/0!</v>
      </c>
      <c r="V128" s="2268" t="e">
        <f t="shared" si="29"/>
        <v>#DIV/0!</v>
      </c>
      <c r="W128" s="2385" t="e">
        <f>W126/W127</f>
        <v>#DIV/0!</v>
      </c>
      <c r="X128" s="2285" t="e">
        <f>X126/X127</f>
        <v>#DIV/0!</v>
      </c>
      <c r="Y128" s="2268" t="e">
        <f t="shared" si="30"/>
        <v>#DIV/0!</v>
      </c>
      <c r="Z128" s="2385" t="e">
        <f>Z126/Z127</f>
        <v>#DIV/0!</v>
      </c>
      <c r="AA128" s="2285" t="e">
        <f>AA126/AA127</f>
        <v>#DIV/0!</v>
      </c>
      <c r="AB128" s="2268" t="e">
        <f t="shared" si="31"/>
        <v>#DIV/0!</v>
      </c>
      <c r="AC128" s="2113" t="e">
        <f t="shared" si="33"/>
        <v>#DIV/0!</v>
      </c>
      <c r="AD128" s="2114" t="e">
        <f t="shared" si="34"/>
        <v>#DIV/0!</v>
      </c>
      <c r="AE128" s="2113" t="e">
        <f t="shared" si="35"/>
        <v>#DIV/0!</v>
      </c>
      <c r="AF128" s="2114" t="e">
        <f t="shared" si="36"/>
        <v>#DIV/0!</v>
      </c>
      <c r="AG128" s="2113"/>
      <c r="AH128" s="2113"/>
      <c r="AI128" s="2114" t="e">
        <f>Z128+'2024 Калуга+область перекачка'!Z128+'2024 Калуга+область очистка'!Z128</f>
        <v>#DIV/0!</v>
      </c>
      <c r="AJ128" s="2114" t="e">
        <f>AA128+'2024 Калуга+область перекачка'!AA128+'2024 Калуга+область очистка'!AA128</f>
        <v>#DIV/0!</v>
      </c>
      <c r="AK128" s="2114" t="e">
        <f>AB128+'2024 Калуга+область перекачка'!AB128+'2024 Калуга+область очистка'!AB128</f>
        <v>#DIV/0!</v>
      </c>
      <c r="AL128" s="2114">
        <f>расчет_тарифа_К_!O129</f>
        <v>7.7896135664201394</v>
      </c>
      <c r="AM128" s="2593" t="e">
        <f t="shared" si="37"/>
        <v>#DIV/0!</v>
      </c>
    </row>
    <row r="129" spans="1:39" s="2218" customFormat="1" ht="19.5" customHeight="1">
      <c r="A129" s="2235">
        <v>202</v>
      </c>
      <c r="B129" s="2279"/>
      <c r="C129" s="2280" t="s">
        <v>1936</v>
      </c>
      <c r="D129" s="2254" t="s">
        <v>1317</v>
      </c>
      <c r="E129" s="2255">
        <f>E130*E131</f>
        <v>0</v>
      </c>
      <c r="F129" s="2256">
        <f>F130*F131</f>
        <v>0</v>
      </c>
      <c r="G129" s="2257">
        <f t="shared" si="26"/>
        <v>0</v>
      </c>
      <c r="H129" s="2256">
        <f>H130*H131</f>
        <v>0</v>
      </c>
      <c r="I129" s="2256">
        <f>I130*I131</f>
        <v>0</v>
      </c>
      <c r="J129" s="2257">
        <f t="shared" si="27"/>
        <v>0</v>
      </c>
      <c r="K129" s="2256">
        <f>K130*K131</f>
        <v>0</v>
      </c>
      <c r="L129" s="2256">
        <f>L130*L131</f>
        <v>0</v>
      </c>
      <c r="M129" s="2259">
        <f t="shared" si="28"/>
        <v>0</v>
      </c>
      <c r="N129" s="2255">
        <v>0</v>
      </c>
      <c r="O129" s="2256">
        <v>0</v>
      </c>
      <c r="P129" s="2259">
        <f t="shared" si="50"/>
        <v>0</v>
      </c>
      <c r="Q129" s="2255">
        <v>0</v>
      </c>
      <c r="R129" s="2256">
        <v>0</v>
      </c>
      <c r="S129" s="2259">
        <f t="shared" si="51"/>
        <v>0</v>
      </c>
      <c r="T129" s="2465">
        <f>N129+Q129</f>
        <v>0</v>
      </c>
      <c r="U129" s="2247">
        <f>O129+R129</f>
        <v>0</v>
      </c>
      <c r="V129" s="2268">
        <f t="shared" si="29"/>
        <v>0</v>
      </c>
      <c r="W129" s="2465">
        <f>Q129+T129</f>
        <v>0</v>
      </c>
      <c r="X129" s="2247">
        <f>R129+U129</f>
        <v>0</v>
      </c>
      <c r="Y129" s="2268">
        <f t="shared" si="30"/>
        <v>0</v>
      </c>
      <c r="Z129" s="2465">
        <f>T129+W129</f>
        <v>0</v>
      </c>
      <c r="AA129" s="2247">
        <f>U129+X129</f>
        <v>0</v>
      </c>
      <c r="AB129" s="2268">
        <f t="shared" si="31"/>
        <v>0</v>
      </c>
      <c r="AC129" s="2113">
        <f t="shared" si="33"/>
        <v>0</v>
      </c>
      <c r="AD129" s="2114">
        <f t="shared" si="34"/>
        <v>0</v>
      </c>
      <c r="AE129" s="2113">
        <f t="shared" si="35"/>
        <v>0</v>
      </c>
      <c r="AF129" s="2114">
        <f t="shared" si="36"/>
        <v>0</v>
      </c>
      <c r="AG129" s="2113"/>
      <c r="AH129" s="2113"/>
      <c r="AI129" s="2114">
        <f>Z129+'2024 Калуга+область перекачка'!Z129+'2024 Калуга+область очистка'!Z129</f>
        <v>0</v>
      </c>
      <c r="AJ129" s="2114">
        <f>AA129+'2024 Калуга+область перекачка'!AA129+'2024 Калуга+область очистка'!AA129</f>
        <v>0</v>
      </c>
      <c r="AK129" s="2114">
        <f>AB129+'2024 Калуга+область перекачка'!AB129+'2024 Калуга+область очистка'!AB129</f>
        <v>0</v>
      </c>
      <c r="AL129" s="2114">
        <f>расчет_тарифа_К_!O130</f>
        <v>0</v>
      </c>
      <c r="AM129" s="2593">
        <f t="shared" si="37"/>
        <v>0</v>
      </c>
    </row>
    <row r="130" spans="1:39" s="2218" customFormat="1" ht="21" customHeight="1">
      <c r="A130" s="2235">
        <v>208</v>
      </c>
      <c r="B130" s="2281" t="s">
        <v>1937</v>
      </c>
      <c r="C130" s="2282" t="s">
        <v>1929</v>
      </c>
      <c r="D130" s="2283" t="s">
        <v>1930</v>
      </c>
      <c r="E130" s="2284"/>
      <c r="F130" s="2285"/>
      <c r="G130" s="2257">
        <f t="shared" si="26"/>
        <v>0</v>
      </c>
      <c r="H130" s="2285"/>
      <c r="I130" s="2285"/>
      <c r="J130" s="2257">
        <f t="shared" si="27"/>
        <v>0</v>
      </c>
      <c r="K130" s="2285"/>
      <c r="L130" s="2285"/>
      <c r="M130" s="2259">
        <f t="shared" si="28"/>
        <v>0</v>
      </c>
      <c r="N130" s="2284"/>
      <c r="O130" s="2285"/>
      <c r="P130" s="2259">
        <f t="shared" si="50"/>
        <v>0</v>
      </c>
      <c r="Q130" s="2284">
        <v>0</v>
      </c>
      <c r="R130" s="2285">
        <v>0</v>
      </c>
      <c r="S130" s="2259">
        <f t="shared" si="51"/>
        <v>0</v>
      </c>
      <c r="T130" s="2284">
        <f>N130+Q130</f>
        <v>0</v>
      </c>
      <c r="U130" s="2285">
        <f>O130+R130</f>
        <v>0</v>
      </c>
      <c r="V130" s="2268">
        <f t="shared" si="29"/>
        <v>0</v>
      </c>
      <c r="W130" s="2284">
        <f>Q130+T130</f>
        <v>0</v>
      </c>
      <c r="X130" s="2285">
        <f>R130+U130</f>
        <v>0</v>
      </c>
      <c r="Y130" s="2268">
        <f t="shared" si="30"/>
        <v>0</v>
      </c>
      <c r="Z130" s="2284">
        <f>T130+W130</f>
        <v>0</v>
      </c>
      <c r="AA130" s="2285">
        <f>U130+X130</f>
        <v>0</v>
      </c>
      <c r="AB130" s="2268">
        <f t="shared" si="31"/>
        <v>0</v>
      </c>
      <c r="AC130" s="2113">
        <f t="shared" si="33"/>
        <v>0</v>
      </c>
      <c r="AD130" s="2114">
        <f t="shared" si="34"/>
        <v>0</v>
      </c>
      <c r="AE130" s="2113">
        <f t="shared" si="35"/>
        <v>0</v>
      </c>
      <c r="AF130" s="2114">
        <f t="shared" si="36"/>
        <v>0</v>
      </c>
      <c r="AG130" s="2113"/>
      <c r="AH130" s="2113"/>
      <c r="AI130" s="2114">
        <f>Z130+'2024 Калуга+область перекачка'!Z130+'2024 Калуга+область очистка'!Z130</f>
        <v>0</v>
      </c>
      <c r="AJ130" s="2114">
        <f>AA130+'2024 Калуга+область перекачка'!AA130+'2024 Калуга+область очистка'!AA130</f>
        <v>0</v>
      </c>
      <c r="AK130" s="2114">
        <f>AB130+'2024 Калуга+область перекачка'!AB130+'2024 Калуга+область очистка'!AB130</f>
        <v>0</v>
      </c>
      <c r="AL130" s="2114">
        <f>расчет_тарифа_К_!O131</f>
        <v>0</v>
      </c>
      <c r="AM130" s="2593">
        <f t="shared" si="37"/>
        <v>0</v>
      </c>
    </row>
    <row r="131" spans="1:39" s="2218" customFormat="1" ht="18" customHeight="1">
      <c r="A131" s="2235">
        <v>209</v>
      </c>
      <c r="B131" s="2281" t="s">
        <v>1938</v>
      </c>
      <c r="C131" s="2282" t="s">
        <v>1933</v>
      </c>
      <c r="D131" s="2283" t="s">
        <v>1934</v>
      </c>
      <c r="E131" s="2284"/>
      <c r="F131" s="2285"/>
      <c r="G131" s="2257">
        <f t="shared" si="26"/>
        <v>0</v>
      </c>
      <c r="H131" s="2285"/>
      <c r="I131" s="2285"/>
      <c r="J131" s="2257">
        <f t="shared" si="27"/>
        <v>0</v>
      </c>
      <c r="K131" s="2285"/>
      <c r="L131" s="2285"/>
      <c r="M131" s="2259">
        <f t="shared" si="28"/>
        <v>0</v>
      </c>
      <c r="N131" s="2284"/>
      <c r="O131" s="2285"/>
      <c r="P131" s="2259">
        <f t="shared" si="50"/>
        <v>0</v>
      </c>
      <c r="Q131" s="2284">
        <v>0</v>
      </c>
      <c r="R131" s="2285">
        <v>0</v>
      </c>
      <c r="S131" s="2259">
        <f t="shared" si="51"/>
        <v>0</v>
      </c>
      <c r="T131" s="2284">
        <v>0</v>
      </c>
      <c r="U131" s="2285">
        <v>0</v>
      </c>
      <c r="V131" s="2268">
        <f t="shared" si="29"/>
        <v>0</v>
      </c>
      <c r="W131" s="2284">
        <v>0</v>
      </c>
      <c r="X131" s="2285">
        <v>0</v>
      </c>
      <c r="Y131" s="2268">
        <f t="shared" si="30"/>
        <v>0</v>
      </c>
      <c r="Z131" s="2284">
        <v>0</v>
      </c>
      <c r="AA131" s="2285">
        <v>0</v>
      </c>
      <c r="AB131" s="2268">
        <f t="shared" si="31"/>
        <v>0</v>
      </c>
      <c r="AC131" s="2113">
        <f t="shared" si="33"/>
        <v>0</v>
      </c>
      <c r="AD131" s="2114">
        <f t="shared" si="34"/>
        <v>0</v>
      </c>
      <c r="AE131" s="2113">
        <f t="shared" si="35"/>
        <v>0</v>
      </c>
      <c r="AF131" s="2114">
        <f t="shared" si="36"/>
        <v>0</v>
      </c>
      <c r="AG131" s="2113"/>
      <c r="AH131" s="2113"/>
      <c r="AI131" s="2114">
        <f>Z131+'2024 Калуга+область перекачка'!Z131+'2024 Калуга+область очистка'!Z131</f>
        <v>0</v>
      </c>
      <c r="AJ131" s="2114">
        <f>AA131+'2024 Калуга+область перекачка'!AA131+'2024 Калуга+область очистка'!AA131</f>
        <v>0</v>
      </c>
      <c r="AK131" s="2114">
        <f>AB131+'2024 Калуга+область перекачка'!AB131+'2024 Калуга+область очистка'!AB131</f>
        <v>0</v>
      </c>
      <c r="AL131" s="2114">
        <f>расчет_тарифа_К_!O132</f>
        <v>0</v>
      </c>
      <c r="AM131" s="2593">
        <f t="shared" si="37"/>
        <v>0</v>
      </c>
    </row>
    <row r="132" spans="1:39" s="2218" customFormat="1" ht="17.25" customHeight="1">
      <c r="A132" s="2235">
        <v>203</v>
      </c>
      <c r="B132" s="2279"/>
      <c r="C132" s="2280" t="s">
        <v>1939</v>
      </c>
      <c r="D132" s="2254" t="s">
        <v>1317</v>
      </c>
      <c r="E132" s="2255">
        <f>E133*E134</f>
        <v>0</v>
      </c>
      <c r="F132" s="2256">
        <f>F133*F134</f>
        <v>0</v>
      </c>
      <c r="G132" s="2257">
        <f t="shared" si="26"/>
        <v>0</v>
      </c>
      <c r="H132" s="2256">
        <f>H133*H134</f>
        <v>0</v>
      </c>
      <c r="I132" s="2256">
        <f>I133*I134</f>
        <v>0</v>
      </c>
      <c r="J132" s="2257">
        <f t="shared" si="27"/>
        <v>0</v>
      </c>
      <c r="K132" s="2256">
        <f>K133*K134</f>
        <v>0</v>
      </c>
      <c r="L132" s="2256">
        <f>L133*L134</f>
        <v>0</v>
      </c>
      <c r="M132" s="2259">
        <f t="shared" si="28"/>
        <v>0</v>
      </c>
      <c r="N132" s="2255">
        <v>0</v>
      </c>
      <c r="O132" s="2256">
        <v>0</v>
      </c>
      <c r="P132" s="2259">
        <f t="shared" si="50"/>
        <v>0</v>
      </c>
      <c r="Q132" s="2255">
        <v>0</v>
      </c>
      <c r="R132" s="2256">
        <v>0</v>
      </c>
      <c r="S132" s="2259">
        <f t="shared" si="51"/>
        <v>0</v>
      </c>
      <c r="T132" s="2465">
        <f>N132+Q132</f>
        <v>0</v>
      </c>
      <c r="U132" s="2247">
        <f>O132+R132</f>
        <v>0</v>
      </c>
      <c r="V132" s="2268">
        <f t="shared" si="29"/>
        <v>0</v>
      </c>
      <c r="W132" s="2377">
        <f>T132/$T$272*$N$272</f>
        <v>0</v>
      </c>
      <c r="X132" s="2256">
        <f>U132/$T$272*$N$272</f>
        <v>0</v>
      </c>
      <c r="Y132" s="2268">
        <f t="shared" si="30"/>
        <v>0</v>
      </c>
      <c r="Z132" s="2886">
        <f>T132/$T$272*$Z$272</f>
        <v>0</v>
      </c>
      <c r="AA132" s="2887">
        <f>U132/$T$272*$Z$272</f>
        <v>0</v>
      </c>
      <c r="AB132" s="2268">
        <f t="shared" si="31"/>
        <v>0</v>
      </c>
      <c r="AC132" s="2113">
        <f t="shared" si="33"/>
        <v>0</v>
      </c>
      <c r="AD132" s="2114">
        <f t="shared" si="34"/>
        <v>0</v>
      </c>
      <c r="AE132" s="2113">
        <f t="shared" si="35"/>
        <v>0</v>
      </c>
      <c r="AF132" s="2114">
        <f t="shared" si="36"/>
        <v>0</v>
      </c>
      <c r="AG132" s="2113"/>
      <c r="AH132" s="2113"/>
      <c r="AI132" s="2114">
        <f>Z132+'2024 Калуга+область перекачка'!Z132+'2024 Калуга+область очистка'!Z132</f>
        <v>54092.970711054142</v>
      </c>
      <c r="AJ132" s="2114">
        <f>AA132+'2024 Калуга+область перекачка'!AA132+'2024 Калуга+область очистка'!AA132</f>
        <v>58961.338075049018</v>
      </c>
      <c r="AK132" s="2114">
        <f>AB132+'2024 Калуга+область перекачка'!AB132+'2024 Калуга+область очистка'!AB132</f>
        <v>56527.154393051584</v>
      </c>
      <c r="AL132" s="2114">
        <f>расчет_тарифа_К_!O133</f>
        <v>58961.338075049018</v>
      </c>
      <c r="AM132" s="2593">
        <f t="shared" si="37"/>
        <v>0</v>
      </c>
    </row>
    <row r="133" spans="1:39" s="2218" customFormat="1" ht="21" customHeight="1">
      <c r="A133" s="2235">
        <v>210</v>
      </c>
      <c r="B133" s="2281" t="s">
        <v>1940</v>
      </c>
      <c r="C133" s="2282" t="s">
        <v>1929</v>
      </c>
      <c r="D133" s="2283" t="s">
        <v>1930</v>
      </c>
      <c r="E133" s="2284"/>
      <c r="F133" s="2285"/>
      <c r="G133" s="2257">
        <f t="shared" ref="G133:G223" si="52">E133/2+F133/2</f>
        <v>0</v>
      </c>
      <c r="H133" s="2285"/>
      <c r="I133" s="2285"/>
      <c r="J133" s="2257">
        <f t="shared" ref="J133:J223" si="53">H133/2+I133/2</f>
        <v>0</v>
      </c>
      <c r="K133" s="2285"/>
      <c r="L133" s="2285"/>
      <c r="M133" s="2259">
        <f t="shared" ref="M133:M223" si="54">K133/2+L133/2</f>
        <v>0</v>
      </c>
      <c r="N133" s="2284"/>
      <c r="O133" s="2285"/>
      <c r="P133" s="2259">
        <f t="shared" si="50"/>
        <v>0</v>
      </c>
      <c r="Q133" s="2284">
        <v>0</v>
      </c>
      <c r="R133" s="2285">
        <v>0</v>
      </c>
      <c r="S133" s="2259">
        <f t="shared" si="51"/>
        <v>0</v>
      </c>
      <c r="T133" s="2284">
        <f>N133+Q133</f>
        <v>0</v>
      </c>
      <c r="U133" s="2285">
        <f>O133+R133</f>
        <v>0</v>
      </c>
      <c r="V133" s="2268">
        <f t="shared" ref="V133:V196" si="55">T133/2+U133/2</f>
        <v>0</v>
      </c>
      <c r="W133" s="2888">
        <f>T133/$T$272*$W$272</f>
        <v>0</v>
      </c>
      <c r="X133" s="2889">
        <f>U133/$T$272*$W$272</f>
        <v>0</v>
      </c>
      <c r="Y133" s="2268">
        <f t="shared" ref="Y133:Y196" si="56">W133/2+X133/2</f>
        <v>0</v>
      </c>
      <c r="Z133" s="2888">
        <f>T133/$T$272*$Z$272</f>
        <v>0</v>
      </c>
      <c r="AA133" s="2889">
        <f>U133/$T$272*$Z$272</f>
        <v>0</v>
      </c>
      <c r="AB133" s="2268">
        <f t="shared" ref="AB133:AB196" si="57">Z133/2+AA133/2</f>
        <v>0</v>
      </c>
      <c r="AC133" s="2113">
        <f t="shared" si="33"/>
        <v>0</v>
      </c>
      <c r="AD133" s="2114">
        <f t="shared" si="34"/>
        <v>0</v>
      </c>
      <c r="AE133" s="2113">
        <f t="shared" si="35"/>
        <v>0</v>
      </c>
      <c r="AF133" s="2114">
        <f t="shared" si="36"/>
        <v>0</v>
      </c>
      <c r="AG133" s="2113"/>
      <c r="AH133" s="2113"/>
      <c r="AI133" s="2114">
        <f>Z133+'2024 Калуга+область перекачка'!Z133+'2024 Калуга+область очистка'!Z133</f>
        <v>8083.0867182119073</v>
      </c>
      <c r="AJ133" s="2114">
        <f>AA133+'2024 Калуга+область перекачка'!AA133+'2024 Калуга+область очистка'!AA133</f>
        <v>8083.0867182119073</v>
      </c>
      <c r="AK133" s="2114">
        <f>AB133+'2024 Калуга+область перекачка'!AB133+'2024 Калуга+область очистка'!AB133</f>
        <v>8083.0867182119073</v>
      </c>
      <c r="AL133" s="2114">
        <f>расчет_тарифа_К_!O134</f>
        <v>8083.0867182119073</v>
      </c>
      <c r="AM133" s="2593">
        <f t="shared" si="37"/>
        <v>0</v>
      </c>
    </row>
    <row r="134" spans="1:39" s="2218" customFormat="1" ht="18" customHeight="1">
      <c r="A134" s="2235">
        <v>211</v>
      </c>
      <c r="B134" s="2281" t="s">
        <v>1941</v>
      </c>
      <c r="C134" s="2282" t="s">
        <v>1933</v>
      </c>
      <c r="D134" s="2283" t="s">
        <v>1934</v>
      </c>
      <c r="E134" s="2284"/>
      <c r="F134" s="2285"/>
      <c r="G134" s="2257">
        <f t="shared" si="52"/>
        <v>0</v>
      </c>
      <c r="H134" s="2285"/>
      <c r="I134" s="2285"/>
      <c r="J134" s="2257">
        <f t="shared" si="53"/>
        <v>0</v>
      </c>
      <c r="K134" s="2285"/>
      <c r="L134" s="2285"/>
      <c r="M134" s="2259">
        <f t="shared" si="54"/>
        <v>0</v>
      </c>
      <c r="N134" s="2284"/>
      <c r="O134" s="2285"/>
      <c r="P134" s="2259">
        <f>N134/2+O134/2</f>
        <v>0</v>
      </c>
      <c r="Q134" s="2284">
        <v>0</v>
      </c>
      <c r="R134" s="2285">
        <v>0</v>
      </c>
      <c r="S134" s="2259">
        <f>Q134/2+R134/2</f>
        <v>0</v>
      </c>
      <c r="T134" s="2385" t="e">
        <f>T132/T133</f>
        <v>#DIV/0!</v>
      </c>
      <c r="U134" s="2285" t="e">
        <f>U132/U133</f>
        <v>#DIV/0!</v>
      </c>
      <c r="V134" s="2268" t="e">
        <f t="shared" si="55"/>
        <v>#DIV/0!</v>
      </c>
      <c r="W134" s="2385" t="e">
        <f>W132/W133</f>
        <v>#DIV/0!</v>
      </c>
      <c r="X134" s="2285" t="e">
        <f>X132/X133</f>
        <v>#DIV/0!</v>
      </c>
      <c r="Y134" s="2268" t="e">
        <f t="shared" si="56"/>
        <v>#DIV/0!</v>
      </c>
      <c r="Z134" s="2385" t="e">
        <f>Z132/Z133</f>
        <v>#DIV/0!</v>
      </c>
      <c r="AA134" s="2285" t="e">
        <f>AA132/AA133</f>
        <v>#DIV/0!</v>
      </c>
      <c r="AB134" s="2268" t="e">
        <f t="shared" si="57"/>
        <v>#DIV/0!</v>
      </c>
      <c r="AC134" s="2113" t="e">
        <f t="shared" ref="AC134:AC197" si="58">U134/$U$272*$X$272</f>
        <v>#DIV/0!</v>
      </c>
      <c r="AD134" s="2114" t="e">
        <f t="shared" ref="AD134:AD197" si="59">AC134-X134</f>
        <v>#DIV/0!</v>
      </c>
      <c r="AE134" s="2113" t="e">
        <f t="shared" ref="AE134:AE197" si="60">U134/$U$272*$AA$272</f>
        <v>#DIV/0!</v>
      </c>
      <c r="AF134" s="2114" t="e">
        <f t="shared" ref="AF134:AF197" si="61">AE134-AA134</f>
        <v>#DIV/0!</v>
      </c>
      <c r="AG134" s="2113"/>
      <c r="AH134" s="2113"/>
      <c r="AI134" s="2114" t="e">
        <f>Z134+'2024 Калуга+область перекачка'!Z134+'2024 Калуга+область очистка'!Z134</f>
        <v>#DIV/0!</v>
      </c>
      <c r="AJ134" s="2114" t="e">
        <f>AA134+'2024 Калуга+область перекачка'!AA134+'2024 Калуга+область очистка'!AA134</f>
        <v>#DIV/0!</v>
      </c>
      <c r="AK134" s="2114" t="e">
        <f>AB134+'2024 Калуга+область перекачка'!AB134+'2024 Калуга+область очистка'!AB134</f>
        <v>#DIV/0!</v>
      </c>
      <c r="AL134" s="2114">
        <f>расчет_тарифа_К_!O135</f>
        <v>7.2944086993652961</v>
      </c>
      <c r="AM134" s="2593" t="e">
        <f t="shared" ref="AM134:AM197" si="62">AJ134-AL134</f>
        <v>#DIV/0!</v>
      </c>
    </row>
    <row r="135" spans="1:39" s="2218" customFormat="1" ht="18" customHeight="1">
      <c r="A135" s="2235">
        <v>204</v>
      </c>
      <c r="B135" s="2279"/>
      <c r="C135" s="2280" t="s">
        <v>1942</v>
      </c>
      <c r="D135" s="2254" t="s">
        <v>1317</v>
      </c>
      <c r="E135" s="2255">
        <f>E136*E137</f>
        <v>0</v>
      </c>
      <c r="F135" s="2256">
        <f>F136*F137</f>
        <v>0</v>
      </c>
      <c r="G135" s="2257">
        <f t="shared" si="52"/>
        <v>0</v>
      </c>
      <c r="H135" s="2256">
        <f>H136*H137</f>
        <v>0</v>
      </c>
      <c r="I135" s="2256">
        <f>I136*I137</f>
        <v>0</v>
      </c>
      <c r="J135" s="2257">
        <f t="shared" si="53"/>
        <v>0</v>
      </c>
      <c r="K135" s="2256">
        <f>K136*K137</f>
        <v>0</v>
      </c>
      <c r="L135" s="2256">
        <f>L136*L137</f>
        <v>0</v>
      </c>
      <c r="M135" s="2259">
        <f t="shared" si="54"/>
        <v>0</v>
      </c>
      <c r="N135" s="2255">
        <v>0</v>
      </c>
      <c r="O135" s="2256">
        <v>0</v>
      </c>
      <c r="P135" s="2259">
        <f t="shared" ref="P135:P213" si="63">N135/2+O135/2</f>
        <v>0</v>
      </c>
      <c r="Q135" s="2255">
        <v>0</v>
      </c>
      <c r="R135" s="2256">
        <v>0</v>
      </c>
      <c r="S135" s="2259">
        <f t="shared" ref="S135:S213" si="64">Q135/2+R135/2</f>
        <v>0</v>
      </c>
      <c r="T135" s="2465">
        <f>N135+Q135</f>
        <v>0</v>
      </c>
      <c r="U135" s="2247">
        <f>O135+R135</f>
        <v>0</v>
      </c>
      <c r="V135" s="2268">
        <f t="shared" si="55"/>
        <v>0</v>
      </c>
      <c r="W135" s="2377">
        <f>T135/$T$272*$N$272</f>
        <v>0</v>
      </c>
      <c r="X135" s="2256">
        <f>U135/$T$272*$N$272</f>
        <v>0</v>
      </c>
      <c r="Y135" s="2268">
        <f t="shared" si="56"/>
        <v>0</v>
      </c>
      <c r="Z135" s="2886">
        <f>T135/$T$272*$Z$272</f>
        <v>0</v>
      </c>
      <c r="AA135" s="2887">
        <f>U135/$T$272*$Z$272</f>
        <v>0</v>
      </c>
      <c r="AB135" s="2268">
        <f t="shared" si="57"/>
        <v>0</v>
      </c>
      <c r="AC135" s="2113">
        <f t="shared" si="58"/>
        <v>0</v>
      </c>
      <c r="AD135" s="2114">
        <f t="shared" si="59"/>
        <v>0</v>
      </c>
      <c r="AE135" s="2113">
        <f t="shared" si="60"/>
        <v>0</v>
      </c>
      <c r="AF135" s="2114">
        <f t="shared" si="61"/>
        <v>0</v>
      </c>
      <c r="AG135" s="2113"/>
      <c r="AH135" s="2113"/>
      <c r="AI135" s="2114">
        <f>Z135+'2024 Калуга+область перекачка'!Z135+'2024 Калуга+область очистка'!Z135</f>
        <v>0</v>
      </c>
      <c r="AJ135" s="2114">
        <f>AA135+'2024 Калуга+область перекачка'!AA135+'2024 Калуга+область очистка'!AA135</f>
        <v>0</v>
      </c>
      <c r="AK135" s="2114">
        <f>AB135+'2024 Калуга+область перекачка'!AB135+'2024 Калуга+область очистка'!AB135</f>
        <v>0</v>
      </c>
      <c r="AL135" s="2114">
        <f>расчет_тарифа_К_!O136</f>
        <v>0</v>
      </c>
      <c r="AM135" s="2593">
        <f t="shared" si="62"/>
        <v>0</v>
      </c>
    </row>
    <row r="136" spans="1:39" s="2218" customFormat="1" ht="21" customHeight="1">
      <c r="A136" s="2235">
        <v>212</v>
      </c>
      <c r="B136" s="2281" t="s">
        <v>1943</v>
      </c>
      <c r="C136" s="2282" t="s">
        <v>1929</v>
      </c>
      <c r="D136" s="2283" t="s">
        <v>1930</v>
      </c>
      <c r="E136" s="2284"/>
      <c r="F136" s="2285"/>
      <c r="G136" s="2257">
        <f t="shared" si="52"/>
        <v>0</v>
      </c>
      <c r="H136" s="2285"/>
      <c r="I136" s="2285"/>
      <c r="J136" s="2257">
        <f t="shared" si="53"/>
        <v>0</v>
      </c>
      <c r="K136" s="2285"/>
      <c r="L136" s="2285"/>
      <c r="M136" s="2259">
        <f t="shared" si="54"/>
        <v>0</v>
      </c>
      <c r="N136" s="2284"/>
      <c r="O136" s="2285"/>
      <c r="P136" s="2259">
        <f t="shared" si="63"/>
        <v>0</v>
      </c>
      <c r="Q136" s="2284">
        <v>0</v>
      </c>
      <c r="R136" s="2285">
        <v>0</v>
      </c>
      <c r="S136" s="2259">
        <f t="shared" si="64"/>
        <v>0</v>
      </c>
      <c r="T136" s="2284">
        <f>N136+Q136</f>
        <v>0</v>
      </c>
      <c r="U136" s="2285">
        <f>O136+R136</f>
        <v>0</v>
      </c>
      <c r="V136" s="2268">
        <f t="shared" si="55"/>
        <v>0</v>
      </c>
      <c r="W136" s="2888">
        <f>T136/$T$272*$W$272</f>
        <v>0</v>
      </c>
      <c r="X136" s="2889">
        <f>U136/$T$272*$W$272</f>
        <v>0</v>
      </c>
      <c r="Y136" s="2268">
        <f t="shared" si="56"/>
        <v>0</v>
      </c>
      <c r="Z136" s="2888">
        <f>T136/$T$272*$Z$272</f>
        <v>0</v>
      </c>
      <c r="AA136" s="2889">
        <f>U136/$T$272*$Z$272</f>
        <v>0</v>
      </c>
      <c r="AB136" s="2268">
        <f t="shared" si="57"/>
        <v>0</v>
      </c>
      <c r="AC136" s="2113">
        <f t="shared" si="58"/>
        <v>0</v>
      </c>
      <c r="AD136" s="2114">
        <f t="shared" si="59"/>
        <v>0</v>
      </c>
      <c r="AE136" s="2113">
        <f t="shared" si="60"/>
        <v>0</v>
      </c>
      <c r="AF136" s="2114">
        <f t="shared" si="61"/>
        <v>0</v>
      </c>
      <c r="AG136" s="2113"/>
      <c r="AH136" s="2113"/>
      <c r="AI136" s="2114">
        <f>Z136+'2024 Калуга+область перекачка'!Z136+'2024 Калуга+область очистка'!Z136</f>
        <v>0</v>
      </c>
      <c r="AJ136" s="2114">
        <f>AA136+'2024 Калуга+область перекачка'!AA136+'2024 Калуга+область очистка'!AA136</f>
        <v>0</v>
      </c>
      <c r="AK136" s="2114">
        <f>AB136+'2024 Калуга+область перекачка'!AB136+'2024 Калуга+область очистка'!AB136</f>
        <v>0</v>
      </c>
      <c r="AL136" s="2114">
        <f>расчет_тарифа_К_!O137</f>
        <v>0</v>
      </c>
      <c r="AM136" s="2593">
        <f t="shared" si="62"/>
        <v>0</v>
      </c>
    </row>
    <row r="137" spans="1:39" s="2218" customFormat="1" ht="21.75" customHeight="1">
      <c r="A137" s="2235">
        <v>213</v>
      </c>
      <c r="B137" s="2281" t="s">
        <v>1944</v>
      </c>
      <c r="C137" s="2282" t="s">
        <v>1933</v>
      </c>
      <c r="D137" s="2283" t="s">
        <v>1934</v>
      </c>
      <c r="E137" s="2284"/>
      <c r="F137" s="2285"/>
      <c r="G137" s="2257">
        <f t="shared" si="52"/>
        <v>0</v>
      </c>
      <c r="H137" s="2285"/>
      <c r="I137" s="2285"/>
      <c r="J137" s="2257">
        <f t="shared" si="53"/>
        <v>0</v>
      </c>
      <c r="K137" s="2285"/>
      <c r="L137" s="2285"/>
      <c r="M137" s="2259">
        <f t="shared" si="54"/>
        <v>0</v>
      </c>
      <c r="N137" s="2284"/>
      <c r="O137" s="2285"/>
      <c r="P137" s="2259">
        <f t="shared" si="63"/>
        <v>0</v>
      </c>
      <c r="Q137" s="2284">
        <v>0</v>
      </c>
      <c r="R137" s="2285">
        <v>0</v>
      </c>
      <c r="S137" s="2259">
        <f t="shared" si="64"/>
        <v>0</v>
      </c>
      <c r="T137" s="2284">
        <v>0</v>
      </c>
      <c r="U137" s="2285">
        <v>0</v>
      </c>
      <c r="V137" s="2268">
        <f t="shared" si="55"/>
        <v>0</v>
      </c>
      <c r="W137" s="2284">
        <v>0</v>
      </c>
      <c r="X137" s="2285">
        <v>0</v>
      </c>
      <c r="Y137" s="2268">
        <f t="shared" si="56"/>
        <v>0</v>
      </c>
      <c r="Z137" s="2284">
        <v>0</v>
      </c>
      <c r="AA137" s="2285">
        <v>0</v>
      </c>
      <c r="AB137" s="2268">
        <f t="shared" si="57"/>
        <v>0</v>
      </c>
      <c r="AC137" s="2113">
        <f t="shared" si="58"/>
        <v>0</v>
      </c>
      <c r="AD137" s="2114">
        <f t="shared" si="59"/>
        <v>0</v>
      </c>
      <c r="AE137" s="2113">
        <f t="shared" si="60"/>
        <v>0</v>
      </c>
      <c r="AF137" s="2114">
        <f t="shared" si="61"/>
        <v>0</v>
      </c>
      <c r="AG137" s="2113"/>
      <c r="AH137" s="2113"/>
      <c r="AI137" s="2114">
        <f>Z137+'2024 Калуга+область перекачка'!Z137+'2024 Калуга+область очистка'!Z137</f>
        <v>0</v>
      </c>
      <c r="AJ137" s="2114">
        <f>AA137+'2024 Калуга+область перекачка'!AA137+'2024 Калуга+область очистка'!AA137</f>
        <v>0</v>
      </c>
      <c r="AK137" s="2114">
        <f>AB137+'2024 Калуга+область перекачка'!AB137+'2024 Калуга+область очистка'!AB137</f>
        <v>0</v>
      </c>
      <c r="AL137" s="2114">
        <f>расчет_тарифа_К_!O138</f>
        <v>0</v>
      </c>
      <c r="AM137" s="2593">
        <f t="shared" si="62"/>
        <v>0</v>
      </c>
    </row>
    <row r="138" spans="1:39" s="2218" customFormat="1" ht="14.25" customHeight="1">
      <c r="A138" s="2235">
        <v>205</v>
      </c>
      <c r="B138" s="2279"/>
      <c r="C138" s="2280" t="s">
        <v>1945</v>
      </c>
      <c r="D138" s="2254" t="s">
        <v>1317</v>
      </c>
      <c r="E138" s="2255">
        <f>E139*E140</f>
        <v>0</v>
      </c>
      <c r="F138" s="2256">
        <f>F139*F140</f>
        <v>0</v>
      </c>
      <c r="G138" s="2257">
        <f t="shared" si="52"/>
        <v>0</v>
      </c>
      <c r="H138" s="2256">
        <f>H139*H140</f>
        <v>0</v>
      </c>
      <c r="I138" s="2256">
        <f>I139*I140</f>
        <v>0</v>
      </c>
      <c r="J138" s="2257">
        <f t="shared" si="53"/>
        <v>0</v>
      </c>
      <c r="K138" s="2256">
        <f>K139*K140</f>
        <v>0</v>
      </c>
      <c r="L138" s="2256">
        <f>L139*L140</f>
        <v>0</v>
      </c>
      <c r="M138" s="2259">
        <f t="shared" si="54"/>
        <v>0</v>
      </c>
      <c r="N138" s="2255">
        <v>0</v>
      </c>
      <c r="O138" s="2256">
        <v>0</v>
      </c>
      <c r="P138" s="2259">
        <f t="shared" si="63"/>
        <v>0</v>
      </c>
      <c r="Q138" s="2255">
        <v>0</v>
      </c>
      <c r="R138" s="2256">
        <v>0</v>
      </c>
      <c r="S138" s="2259">
        <f t="shared" si="64"/>
        <v>0</v>
      </c>
      <c r="T138" s="2465">
        <f>N138+Q138</f>
        <v>0</v>
      </c>
      <c r="U138" s="2247">
        <f>O138+R138</f>
        <v>0</v>
      </c>
      <c r="V138" s="2268">
        <f t="shared" si="55"/>
        <v>0</v>
      </c>
      <c r="W138" s="2377">
        <f>T138/$T$272*$N$272</f>
        <v>0</v>
      </c>
      <c r="X138" s="2256">
        <f>U138/$T$272*$N$272</f>
        <v>0</v>
      </c>
      <c r="Y138" s="2268">
        <f t="shared" si="56"/>
        <v>0</v>
      </c>
      <c r="Z138" s="2886">
        <f>T138/$T$272*$Z$272</f>
        <v>0</v>
      </c>
      <c r="AA138" s="2887">
        <f>U138/$T$272*$Z$272</f>
        <v>0</v>
      </c>
      <c r="AB138" s="2268">
        <f t="shared" si="57"/>
        <v>0</v>
      </c>
      <c r="AC138" s="2113">
        <f t="shared" si="58"/>
        <v>0</v>
      </c>
      <c r="AD138" s="2114">
        <f t="shared" si="59"/>
        <v>0</v>
      </c>
      <c r="AE138" s="2113">
        <f t="shared" si="60"/>
        <v>0</v>
      </c>
      <c r="AF138" s="2114">
        <f t="shared" si="61"/>
        <v>0</v>
      </c>
      <c r="AG138" s="2113"/>
      <c r="AH138" s="2113"/>
      <c r="AI138" s="2114">
        <f>Z138+'2024 Калуга+область перекачка'!Z138+'2024 Калуга+область очистка'!Z138</f>
        <v>0</v>
      </c>
      <c r="AJ138" s="2114">
        <f>AA138+'2024 Калуга+область перекачка'!AA138+'2024 Калуга+область очистка'!AA138</f>
        <v>0</v>
      </c>
      <c r="AK138" s="2114">
        <f>AB138+'2024 Калуга+область перекачка'!AB138+'2024 Калуга+область очистка'!AB138</f>
        <v>0</v>
      </c>
      <c r="AL138" s="2114">
        <f>расчет_тарифа_К_!O139</f>
        <v>0</v>
      </c>
      <c r="AM138" s="2593">
        <f t="shared" si="62"/>
        <v>0</v>
      </c>
    </row>
    <row r="139" spans="1:39" s="2218" customFormat="1" ht="21" customHeight="1">
      <c r="A139" s="2235">
        <v>214</v>
      </c>
      <c r="B139" s="2281" t="s">
        <v>1946</v>
      </c>
      <c r="C139" s="2282" t="s">
        <v>1929</v>
      </c>
      <c r="D139" s="2283" t="s">
        <v>1930</v>
      </c>
      <c r="E139" s="2284"/>
      <c r="F139" s="2285"/>
      <c r="G139" s="2257">
        <f t="shared" si="52"/>
        <v>0</v>
      </c>
      <c r="H139" s="2285"/>
      <c r="I139" s="2285"/>
      <c r="J139" s="2257">
        <f t="shared" si="53"/>
        <v>0</v>
      </c>
      <c r="K139" s="2285"/>
      <c r="L139" s="2285"/>
      <c r="M139" s="2259">
        <f t="shared" si="54"/>
        <v>0</v>
      </c>
      <c r="N139" s="2284"/>
      <c r="O139" s="2285"/>
      <c r="P139" s="2259">
        <f t="shared" si="63"/>
        <v>0</v>
      </c>
      <c r="Q139" s="2284">
        <v>0</v>
      </c>
      <c r="R139" s="2285">
        <v>0</v>
      </c>
      <c r="S139" s="2259">
        <f t="shared" si="64"/>
        <v>0</v>
      </c>
      <c r="T139" s="2284">
        <f>N139+Q139</f>
        <v>0</v>
      </c>
      <c r="U139" s="2285">
        <f>O139+R139</f>
        <v>0</v>
      </c>
      <c r="V139" s="2268">
        <f t="shared" si="55"/>
        <v>0</v>
      </c>
      <c r="W139" s="2888">
        <f>T139/$T$272*$W$272</f>
        <v>0</v>
      </c>
      <c r="X139" s="2889">
        <f>U139/$T$272*$W$272</f>
        <v>0</v>
      </c>
      <c r="Y139" s="2268">
        <f t="shared" si="56"/>
        <v>0</v>
      </c>
      <c r="Z139" s="2888">
        <f>T139/$T$272*$Z$272</f>
        <v>0</v>
      </c>
      <c r="AA139" s="2889">
        <f>U139/$T$272*$Z$272</f>
        <v>0</v>
      </c>
      <c r="AB139" s="2268">
        <f t="shared" si="57"/>
        <v>0</v>
      </c>
      <c r="AC139" s="2113">
        <f t="shared" si="58"/>
        <v>0</v>
      </c>
      <c r="AD139" s="2114">
        <f t="shared" si="59"/>
        <v>0</v>
      </c>
      <c r="AE139" s="2113">
        <f t="shared" si="60"/>
        <v>0</v>
      </c>
      <c r="AF139" s="2114">
        <f t="shared" si="61"/>
        <v>0</v>
      </c>
      <c r="AG139" s="2113"/>
      <c r="AH139" s="2113"/>
      <c r="AI139" s="2114">
        <f>Z139+'2024 Калуга+область перекачка'!Z139+'2024 Калуга+область очистка'!Z139</f>
        <v>0</v>
      </c>
      <c r="AJ139" s="2114">
        <f>AA139+'2024 Калуга+область перекачка'!AA139+'2024 Калуга+область очистка'!AA139</f>
        <v>0</v>
      </c>
      <c r="AK139" s="2114">
        <f>AB139+'2024 Калуга+область перекачка'!AB139+'2024 Калуга+область очистка'!AB139</f>
        <v>0</v>
      </c>
      <c r="AL139" s="2114">
        <f>расчет_тарифа_К_!O140</f>
        <v>0</v>
      </c>
      <c r="AM139" s="2593">
        <f t="shared" si="62"/>
        <v>0</v>
      </c>
    </row>
    <row r="140" spans="1:39" s="2218" customFormat="1" ht="18.75" customHeight="1">
      <c r="A140" s="2235">
        <v>215</v>
      </c>
      <c r="B140" s="2281" t="s">
        <v>1947</v>
      </c>
      <c r="C140" s="2282" t="s">
        <v>1933</v>
      </c>
      <c r="D140" s="2283" t="s">
        <v>1317</v>
      </c>
      <c r="E140" s="2284"/>
      <c r="F140" s="2285"/>
      <c r="G140" s="2257">
        <f t="shared" si="52"/>
        <v>0</v>
      </c>
      <c r="H140" s="2285"/>
      <c r="I140" s="2285"/>
      <c r="J140" s="2257">
        <f t="shared" si="53"/>
        <v>0</v>
      </c>
      <c r="K140" s="2285"/>
      <c r="L140" s="2285"/>
      <c r="M140" s="2259">
        <f t="shared" si="54"/>
        <v>0</v>
      </c>
      <c r="N140" s="2284"/>
      <c r="O140" s="2285"/>
      <c r="P140" s="2259">
        <f t="shared" si="63"/>
        <v>0</v>
      </c>
      <c r="Q140" s="2284">
        <v>0</v>
      </c>
      <c r="R140" s="2285">
        <v>0</v>
      </c>
      <c r="S140" s="2259">
        <f t="shared" si="64"/>
        <v>0</v>
      </c>
      <c r="T140" s="2385">
        <v>0</v>
      </c>
      <c r="U140" s="2285">
        <v>0</v>
      </c>
      <c r="V140" s="2268">
        <f t="shared" si="55"/>
        <v>0</v>
      </c>
      <c r="W140" s="2385">
        <v>0</v>
      </c>
      <c r="X140" s="2285">
        <v>0</v>
      </c>
      <c r="Y140" s="2268">
        <f t="shared" si="56"/>
        <v>0</v>
      </c>
      <c r="Z140" s="2385">
        <v>0</v>
      </c>
      <c r="AA140" s="2285">
        <v>0</v>
      </c>
      <c r="AB140" s="2268">
        <f t="shared" si="57"/>
        <v>0</v>
      </c>
      <c r="AC140" s="2113">
        <f t="shared" si="58"/>
        <v>0</v>
      </c>
      <c r="AD140" s="2114">
        <f t="shared" si="59"/>
        <v>0</v>
      </c>
      <c r="AE140" s="2113">
        <f t="shared" si="60"/>
        <v>0</v>
      </c>
      <c r="AF140" s="2114">
        <f t="shared" si="61"/>
        <v>0</v>
      </c>
      <c r="AG140" s="2113"/>
      <c r="AH140" s="2113"/>
      <c r="AI140" s="2114">
        <f>Z140+'2024 Калуга+область перекачка'!Z140+'2024 Калуга+область очистка'!Z140</f>
        <v>0</v>
      </c>
      <c r="AJ140" s="2114">
        <f>AA140+'2024 Калуга+область перекачка'!AA140+'2024 Калуга+область очистка'!AA140</f>
        <v>0</v>
      </c>
      <c r="AK140" s="2114">
        <f>AB140+'2024 Калуга+область перекачка'!AB140+'2024 Калуга+область очистка'!AB140</f>
        <v>0</v>
      </c>
      <c r="AL140" s="2114">
        <f>расчет_тарифа_К_!O141</f>
        <v>0</v>
      </c>
      <c r="AM140" s="2593">
        <f t="shared" si="62"/>
        <v>0</v>
      </c>
    </row>
    <row r="141" spans="1:39" s="2218" customFormat="1" ht="30.75" customHeight="1">
      <c r="A141" s="2235">
        <v>200</v>
      </c>
      <c r="B141" s="2279"/>
      <c r="C141" s="2295" t="s">
        <v>1948</v>
      </c>
      <c r="D141" s="2254" t="s">
        <v>1317</v>
      </c>
      <c r="E141" s="2255">
        <f>E142+E158</f>
        <v>0</v>
      </c>
      <c r="F141" s="2256">
        <f>F142+F158</f>
        <v>0</v>
      </c>
      <c r="G141" s="2257">
        <f t="shared" si="52"/>
        <v>0</v>
      </c>
      <c r="H141" s="2256">
        <f>H142+H158</f>
        <v>0</v>
      </c>
      <c r="I141" s="2256">
        <f>I142+I158</f>
        <v>0</v>
      </c>
      <c r="J141" s="2257">
        <f t="shared" si="53"/>
        <v>0</v>
      </c>
      <c r="K141" s="2256">
        <f>K142+K158</f>
        <v>0</v>
      </c>
      <c r="L141" s="2256">
        <f>L142+L158</f>
        <v>0</v>
      </c>
      <c r="M141" s="2259">
        <f t="shared" si="54"/>
        <v>0</v>
      </c>
      <c r="N141" s="2255">
        <v>0</v>
      </c>
      <c r="O141" s="2256">
        <v>0</v>
      </c>
      <c r="P141" s="2259">
        <f t="shared" si="63"/>
        <v>0</v>
      </c>
      <c r="Q141" s="2255">
        <v>0</v>
      </c>
      <c r="R141" s="2256">
        <v>0</v>
      </c>
      <c r="S141" s="2259">
        <f t="shared" si="64"/>
        <v>0</v>
      </c>
      <c r="T141" s="2465">
        <f t="shared" ref="T141:U143" si="65">N141+Q141</f>
        <v>0</v>
      </c>
      <c r="U141" s="2247">
        <f t="shared" si="65"/>
        <v>0</v>
      </c>
      <c r="V141" s="2268">
        <f t="shared" si="55"/>
        <v>0</v>
      </c>
      <c r="W141" s="2377">
        <f t="shared" ref="W141:X143" si="66">T141/$T$272*$N$272</f>
        <v>0</v>
      </c>
      <c r="X141" s="2256">
        <f t="shared" si="66"/>
        <v>0</v>
      </c>
      <c r="Y141" s="2268">
        <f t="shared" si="56"/>
        <v>0</v>
      </c>
      <c r="Z141" s="2886">
        <f t="shared" ref="Z141:AA144" si="67">T141/$T$272*$Z$272</f>
        <v>0</v>
      </c>
      <c r="AA141" s="2887">
        <f t="shared" si="67"/>
        <v>0</v>
      </c>
      <c r="AB141" s="2268">
        <f t="shared" si="57"/>
        <v>0</v>
      </c>
      <c r="AC141" s="2113">
        <f t="shared" si="58"/>
        <v>0</v>
      </c>
      <c r="AD141" s="2114">
        <f t="shared" si="59"/>
        <v>0</v>
      </c>
      <c r="AE141" s="2113">
        <f t="shared" si="60"/>
        <v>0</v>
      </c>
      <c r="AF141" s="2114">
        <f t="shared" si="61"/>
        <v>0</v>
      </c>
      <c r="AG141" s="2113"/>
      <c r="AH141" s="2113"/>
      <c r="AI141" s="2114">
        <f>Z141+'2024 Калуга+область перекачка'!Z141+'2024 Калуга+область очистка'!Z141</f>
        <v>6910.6576975643648</v>
      </c>
      <c r="AJ141" s="2114">
        <f>AA141+'2024 Калуга+область перекачка'!AA141+'2024 Калуга+область очистка'!AA141</f>
        <v>7532.616890345158</v>
      </c>
      <c r="AK141" s="2114">
        <f>AB141+'2024 Калуга+область перекачка'!AB141+'2024 Калуга+область очистка'!AB141</f>
        <v>7221.6372939547618</v>
      </c>
      <c r="AL141" s="2114">
        <f>расчет_тарифа_К_!O142</f>
        <v>7532.616890345158</v>
      </c>
      <c r="AM141" s="2593">
        <f t="shared" si="62"/>
        <v>0</v>
      </c>
    </row>
    <row r="142" spans="1:39" s="2218" customFormat="1" ht="22.5" customHeight="1">
      <c r="A142" s="2235">
        <v>216</v>
      </c>
      <c r="B142" s="2279"/>
      <c r="C142" s="2280" t="s">
        <v>1949</v>
      </c>
      <c r="D142" s="2254" t="s">
        <v>1317</v>
      </c>
      <c r="E142" s="2255">
        <f>E143+E146+E149+E152+E155</f>
        <v>0</v>
      </c>
      <c r="F142" s="2256">
        <f>F143+F146+F149+F152+F155</f>
        <v>0</v>
      </c>
      <c r="G142" s="2257">
        <f t="shared" si="52"/>
        <v>0</v>
      </c>
      <c r="H142" s="2256">
        <f>H143+H146+H149+H152+H155</f>
        <v>0</v>
      </c>
      <c r="I142" s="2256">
        <f>I143+I146+I149+I152+I155</f>
        <v>0</v>
      </c>
      <c r="J142" s="2257">
        <f t="shared" si="53"/>
        <v>0</v>
      </c>
      <c r="K142" s="2256">
        <f>K143+K146+K149+K152+K155</f>
        <v>0</v>
      </c>
      <c r="L142" s="2256">
        <f>L143+L146+L149+L152+L155</f>
        <v>0</v>
      </c>
      <c r="M142" s="2259">
        <f t="shared" si="54"/>
        <v>0</v>
      </c>
      <c r="N142" s="2255">
        <v>0</v>
      </c>
      <c r="O142" s="2256">
        <v>0</v>
      </c>
      <c r="P142" s="2259">
        <f t="shared" si="63"/>
        <v>0</v>
      </c>
      <c r="Q142" s="2255">
        <v>0</v>
      </c>
      <c r="R142" s="2256">
        <v>0</v>
      </c>
      <c r="S142" s="2259">
        <f t="shared" si="64"/>
        <v>0</v>
      </c>
      <c r="T142" s="2465">
        <f t="shared" si="65"/>
        <v>0</v>
      </c>
      <c r="U142" s="2247">
        <f t="shared" si="65"/>
        <v>0</v>
      </c>
      <c r="V142" s="2268">
        <f t="shared" si="55"/>
        <v>0</v>
      </c>
      <c r="W142" s="2377">
        <f t="shared" si="66"/>
        <v>0</v>
      </c>
      <c r="X142" s="2256">
        <f t="shared" si="66"/>
        <v>0</v>
      </c>
      <c r="Y142" s="2268">
        <f t="shared" si="56"/>
        <v>0</v>
      </c>
      <c r="Z142" s="2886">
        <f t="shared" si="67"/>
        <v>0</v>
      </c>
      <c r="AA142" s="2887">
        <f t="shared" si="67"/>
        <v>0</v>
      </c>
      <c r="AB142" s="2268">
        <f t="shared" si="57"/>
        <v>0</v>
      </c>
      <c r="AC142" s="2113">
        <f t="shared" si="58"/>
        <v>0</v>
      </c>
      <c r="AD142" s="2114">
        <f t="shared" si="59"/>
        <v>0</v>
      </c>
      <c r="AE142" s="2113">
        <f t="shared" si="60"/>
        <v>0</v>
      </c>
      <c r="AF142" s="2114">
        <f t="shared" si="61"/>
        <v>0</v>
      </c>
      <c r="AG142" s="2113"/>
      <c r="AH142" s="2113"/>
      <c r="AI142" s="2114">
        <f>Z142+'2024 Калуга+область перекачка'!Z142+'2024 Калуга+область очистка'!Z142</f>
        <v>4538.0687180686127</v>
      </c>
      <c r="AJ142" s="2114">
        <f>AA142+'2024 Калуга+область перекачка'!AA142+'2024 Калуга+область очистка'!AA142</f>
        <v>4946.4949026947879</v>
      </c>
      <c r="AK142" s="2114">
        <f>AB142+'2024 Калуга+область перекачка'!AB142+'2024 Калуга+область очистка'!AB142</f>
        <v>4742.2818103817008</v>
      </c>
      <c r="AL142" s="2114">
        <f>расчет_тарифа_К_!O143</f>
        <v>4946.4949026947879</v>
      </c>
      <c r="AM142" s="2593">
        <f t="shared" si="62"/>
        <v>0</v>
      </c>
    </row>
    <row r="143" spans="1:39" s="2218" customFormat="1" ht="17.25" customHeight="1">
      <c r="A143" s="2235">
        <v>218</v>
      </c>
      <c r="B143" s="2279"/>
      <c r="C143" s="2280" t="s">
        <v>1927</v>
      </c>
      <c r="D143" s="2254" t="s">
        <v>1317</v>
      </c>
      <c r="E143" s="2255">
        <f>E144*E145</f>
        <v>0</v>
      </c>
      <c r="F143" s="2256">
        <f>F144*F145</f>
        <v>0</v>
      </c>
      <c r="G143" s="2257">
        <f t="shared" si="52"/>
        <v>0</v>
      </c>
      <c r="H143" s="2256">
        <f>H144*H145</f>
        <v>0</v>
      </c>
      <c r="I143" s="2256">
        <f>I144*I145</f>
        <v>0</v>
      </c>
      <c r="J143" s="2257">
        <f t="shared" si="53"/>
        <v>0</v>
      </c>
      <c r="K143" s="2256">
        <f>K144*K145</f>
        <v>0</v>
      </c>
      <c r="L143" s="2256">
        <f>L144*L145</f>
        <v>0</v>
      </c>
      <c r="M143" s="2259">
        <f t="shared" si="54"/>
        <v>0</v>
      </c>
      <c r="N143" s="2255">
        <v>0</v>
      </c>
      <c r="O143" s="2256">
        <v>0</v>
      </c>
      <c r="P143" s="2259">
        <f t="shared" si="63"/>
        <v>0</v>
      </c>
      <c r="Q143" s="2255">
        <v>0</v>
      </c>
      <c r="R143" s="2256">
        <v>0</v>
      </c>
      <c r="S143" s="2259">
        <f t="shared" si="64"/>
        <v>0</v>
      </c>
      <c r="T143" s="2465">
        <f t="shared" si="65"/>
        <v>0</v>
      </c>
      <c r="U143" s="2247">
        <f t="shared" si="65"/>
        <v>0</v>
      </c>
      <c r="V143" s="2268">
        <f t="shared" si="55"/>
        <v>0</v>
      </c>
      <c r="W143" s="2377">
        <f t="shared" si="66"/>
        <v>0</v>
      </c>
      <c r="X143" s="2256">
        <f t="shared" si="66"/>
        <v>0</v>
      </c>
      <c r="Y143" s="2268">
        <f t="shared" si="56"/>
        <v>0</v>
      </c>
      <c r="Z143" s="2886">
        <f t="shared" si="67"/>
        <v>0</v>
      </c>
      <c r="AA143" s="2887">
        <f t="shared" si="67"/>
        <v>0</v>
      </c>
      <c r="AB143" s="2268">
        <f t="shared" si="57"/>
        <v>0</v>
      </c>
      <c r="AC143" s="2113">
        <f t="shared" si="58"/>
        <v>0</v>
      </c>
      <c r="AD143" s="2114">
        <f t="shared" si="59"/>
        <v>0</v>
      </c>
      <c r="AE143" s="2113">
        <f t="shared" si="60"/>
        <v>0</v>
      </c>
      <c r="AF143" s="2114">
        <f t="shared" si="61"/>
        <v>0</v>
      </c>
      <c r="AG143" s="2113"/>
      <c r="AH143" s="2113"/>
      <c r="AI143" s="2114">
        <f>Z143+'2024 Калуга+область перекачка'!Z143+'2024 Калуга+область очистка'!Z143</f>
        <v>0</v>
      </c>
      <c r="AJ143" s="2114">
        <f>AA143+'2024 Калуга+область перекачка'!AA143+'2024 Калуга+область очистка'!AA143</f>
        <v>0</v>
      </c>
      <c r="AK143" s="2114">
        <f>AB143+'2024 Калуга+область перекачка'!AB143+'2024 Калуга+область очистка'!AB143</f>
        <v>0</v>
      </c>
      <c r="AL143" s="2114">
        <f>расчет_тарифа_К_!O144</f>
        <v>0</v>
      </c>
      <c r="AM143" s="2593">
        <f t="shared" si="62"/>
        <v>0</v>
      </c>
    </row>
    <row r="144" spans="1:39" s="2218" customFormat="1" ht="24.75" customHeight="1" outlineLevel="1">
      <c r="A144" s="2235">
        <v>223</v>
      </c>
      <c r="B144" s="2281" t="s">
        <v>1950</v>
      </c>
      <c r="C144" s="2282" t="s">
        <v>1929</v>
      </c>
      <c r="D144" s="2283" t="s">
        <v>1951</v>
      </c>
      <c r="E144" s="2284"/>
      <c r="F144" s="2285"/>
      <c r="G144" s="2257">
        <f t="shared" si="52"/>
        <v>0</v>
      </c>
      <c r="H144" s="2285"/>
      <c r="I144" s="2285"/>
      <c r="J144" s="2257">
        <f t="shared" si="53"/>
        <v>0</v>
      </c>
      <c r="K144" s="2285"/>
      <c r="L144" s="2285"/>
      <c r="M144" s="2259">
        <f t="shared" si="54"/>
        <v>0</v>
      </c>
      <c r="N144" s="2284"/>
      <c r="O144" s="2285"/>
      <c r="P144" s="2259">
        <f t="shared" si="63"/>
        <v>0</v>
      </c>
      <c r="Q144" s="2284">
        <v>0</v>
      </c>
      <c r="R144" s="2285">
        <v>0</v>
      </c>
      <c r="S144" s="2259">
        <f t="shared" si="64"/>
        <v>0</v>
      </c>
      <c r="T144" s="2284">
        <v>0</v>
      </c>
      <c r="U144" s="2285">
        <v>0</v>
      </c>
      <c r="V144" s="2268">
        <f t="shared" si="55"/>
        <v>0</v>
      </c>
      <c r="W144" s="2888">
        <f>T144/$T$272*$W$272</f>
        <v>0</v>
      </c>
      <c r="X144" s="2889">
        <f>U144/$T$272*$W$272</f>
        <v>0</v>
      </c>
      <c r="Y144" s="2268">
        <f t="shared" si="56"/>
        <v>0</v>
      </c>
      <c r="Z144" s="2888">
        <f t="shared" si="67"/>
        <v>0</v>
      </c>
      <c r="AA144" s="2889">
        <f t="shared" si="67"/>
        <v>0</v>
      </c>
      <c r="AB144" s="2268">
        <f t="shared" si="57"/>
        <v>0</v>
      </c>
      <c r="AC144" s="2113">
        <f t="shared" si="58"/>
        <v>0</v>
      </c>
      <c r="AD144" s="2114">
        <f t="shared" si="59"/>
        <v>0</v>
      </c>
      <c r="AE144" s="2113">
        <f t="shared" si="60"/>
        <v>0</v>
      </c>
      <c r="AF144" s="2114">
        <f t="shared" si="61"/>
        <v>0</v>
      </c>
      <c r="AG144" s="2113"/>
      <c r="AH144" s="2113"/>
      <c r="AI144" s="2114">
        <f>Z144+'2024 Калуга+область перекачка'!Z144+'2024 Калуга+область очистка'!Z144</f>
        <v>0</v>
      </c>
      <c r="AJ144" s="2114">
        <f>AA144+'2024 Калуга+область перекачка'!AA144+'2024 Калуга+область очистка'!AA144</f>
        <v>0</v>
      </c>
      <c r="AK144" s="2114">
        <f>AB144+'2024 Калуга+область перекачка'!AB144+'2024 Калуга+область очистка'!AB144</f>
        <v>0</v>
      </c>
      <c r="AL144" s="2114">
        <f>расчет_тарифа_К_!O145</f>
        <v>0</v>
      </c>
      <c r="AM144" s="2593">
        <f t="shared" si="62"/>
        <v>0</v>
      </c>
    </row>
    <row r="145" spans="1:39" s="2218" customFormat="1" ht="21" customHeight="1" outlineLevel="1">
      <c r="A145" s="2235">
        <v>224</v>
      </c>
      <c r="B145" s="2281" t="s">
        <v>1952</v>
      </c>
      <c r="C145" s="2282" t="s">
        <v>1953</v>
      </c>
      <c r="D145" s="2283" t="s">
        <v>1954</v>
      </c>
      <c r="E145" s="2284"/>
      <c r="F145" s="2285"/>
      <c r="G145" s="2257">
        <f t="shared" si="52"/>
        <v>0</v>
      </c>
      <c r="H145" s="2285"/>
      <c r="I145" s="2285"/>
      <c r="J145" s="2257">
        <f t="shared" si="53"/>
        <v>0</v>
      </c>
      <c r="K145" s="2285"/>
      <c r="L145" s="2285"/>
      <c r="M145" s="2259">
        <f t="shared" si="54"/>
        <v>0</v>
      </c>
      <c r="N145" s="2284"/>
      <c r="O145" s="2285"/>
      <c r="P145" s="2259">
        <f t="shared" si="63"/>
        <v>0</v>
      </c>
      <c r="Q145" s="2284">
        <v>0</v>
      </c>
      <c r="R145" s="2285">
        <v>0</v>
      </c>
      <c r="S145" s="2259">
        <f t="shared" si="64"/>
        <v>0</v>
      </c>
      <c r="T145" s="2284">
        <v>0</v>
      </c>
      <c r="U145" s="2285">
        <v>0</v>
      </c>
      <c r="V145" s="2268">
        <f t="shared" si="55"/>
        <v>0</v>
      </c>
      <c r="W145" s="2385" t="e">
        <f>W143/W144</f>
        <v>#DIV/0!</v>
      </c>
      <c r="X145" s="2285" t="e">
        <f>X143/X144</f>
        <v>#DIV/0!</v>
      </c>
      <c r="Y145" s="2268" t="e">
        <f t="shared" si="56"/>
        <v>#DIV/0!</v>
      </c>
      <c r="Z145" s="2385" t="e">
        <f>Z143/Z144</f>
        <v>#DIV/0!</v>
      </c>
      <c r="AA145" s="2285" t="e">
        <f>AA143/AA144</f>
        <v>#DIV/0!</v>
      </c>
      <c r="AB145" s="2268" t="e">
        <f t="shared" si="57"/>
        <v>#DIV/0!</v>
      </c>
      <c r="AC145" s="2113">
        <f t="shared" si="58"/>
        <v>0</v>
      </c>
      <c r="AD145" s="2114" t="e">
        <f t="shared" si="59"/>
        <v>#DIV/0!</v>
      </c>
      <c r="AE145" s="2113">
        <f t="shared" si="60"/>
        <v>0</v>
      </c>
      <c r="AF145" s="2114" t="e">
        <f t="shared" si="61"/>
        <v>#DIV/0!</v>
      </c>
      <c r="AG145" s="2113"/>
      <c r="AH145" s="2113"/>
      <c r="AI145" s="2114" t="e">
        <f>Z145+'2024 Калуга+область перекачка'!Z145+'2024 Калуга+область очистка'!Z145</f>
        <v>#DIV/0!</v>
      </c>
      <c r="AJ145" s="2114" t="e">
        <f>AA145+'2024 Калуга+область перекачка'!AA145+'2024 Калуга+область очистка'!AA145</f>
        <v>#DIV/0!</v>
      </c>
      <c r="AK145" s="2114" t="e">
        <f>AB145+'2024 Калуга+область перекачка'!AB145+'2024 Калуга+область очистка'!AB145</f>
        <v>#DIV/0!</v>
      </c>
      <c r="AL145" s="2114">
        <f>расчет_тарифа_К_!O146</f>
        <v>0</v>
      </c>
      <c r="AM145" s="2593" t="e">
        <f t="shared" si="62"/>
        <v>#DIV/0!</v>
      </c>
    </row>
    <row r="146" spans="1:39" s="2218" customFormat="1" ht="21.75" customHeight="1" outlineLevel="1">
      <c r="A146" s="2235">
        <v>219</v>
      </c>
      <c r="B146" s="2279"/>
      <c r="C146" s="2280" t="s">
        <v>1936</v>
      </c>
      <c r="D146" s="2254" t="s">
        <v>1317</v>
      </c>
      <c r="E146" s="2255">
        <f>E147*E148</f>
        <v>0</v>
      </c>
      <c r="F146" s="2256">
        <f>F147*F148</f>
        <v>0</v>
      </c>
      <c r="G146" s="2257">
        <f t="shared" si="52"/>
        <v>0</v>
      </c>
      <c r="H146" s="2256">
        <f>H147*H148</f>
        <v>0</v>
      </c>
      <c r="I146" s="2256">
        <f>I147*I148</f>
        <v>0</v>
      </c>
      <c r="J146" s="2257">
        <f t="shared" si="53"/>
        <v>0</v>
      </c>
      <c r="K146" s="2256">
        <f>K147*K148</f>
        <v>0</v>
      </c>
      <c r="L146" s="2256">
        <f>L147*L148</f>
        <v>0</v>
      </c>
      <c r="M146" s="2259">
        <f t="shared" si="54"/>
        <v>0</v>
      </c>
      <c r="N146" s="2255">
        <v>0</v>
      </c>
      <c r="O146" s="2256">
        <v>0</v>
      </c>
      <c r="P146" s="2259">
        <f t="shared" si="63"/>
        <v>0</v>
      </c>
      <c r="Q146" s="2255">
        <v>0</v>
      </c>
      <c r="R146" s="2256">
        <v>0</v>
      </c>
      <c r="S146" s="2259">
        <f t="shared" si="64"/>
        <v>0</v>
      </c>
      <c r="T146" s="2255">
        <v>0</v>
      </c>
      <c r="U146" s="2256">
        <v>0</v>
      </c>
      <c r="V146" s="2268">
        <f t="shared" si="55"/>
        <v>0</v>
      </c>
      <c r="W146" s="2377">
        <f>T146/$T$272*$N$272</f>
        <v>0</v>
      </c>
      <c r="X146" s="2256">
        <f>U146/$T$272*$N$272</f>
        <v>0</v>
      </c>
      <c r="Y146" s="2268">
        <f t="shared" si="56"/>
        <v>0</v>
      </c>
      <c r="Z146" s="2886">
        <f>T146/$T$272*$Z$272</f>
        <v>0</v>
      </c>
      <c r="AA146" s="2887">
        <f>U146/$T$272*$Z$272</f>
        <v>0</v>
      </c>
      <c r="AB146" s="2268">
        <f t="shared" si="57"/>
        <v>0</v>
      </c>
      <c r="AC146" s="2113">
        <f t="shared" si="58"/>
        <v>0</v>
      </c>
      <c r="AD146" s="2114">
        <f t="shared" si="59"/>
        <v>0</v>
      </c>
      <c r="AE146" s="2113">
        <f t="shared" si="60"/>
        <v>0</v>
      </c>
      <c r="AF146" s="2114">
        <f t="shared" si="61"/>
        <v>0</v>
      </c>
      <c r="AG146" s="2113"/>
      <c r="AH146" s="2113"/>
      <c r="AI146" s="2114">
        <f>Z146+'2024 Калуга+область перекачка'!Z146+'2024 Калуга+область очистка'!Z146</f>
        <v>0</v>
      </c>
      <c r="AJ146" s="2114">
        <f>AA146+'2024 Калуга+область перекачка'!AA146+'2024 Калуга+область очистка'!AA146</f>
        <v>0</v>
      </c>
      <c r="AK146" s="2114">
        <f>AB146+'2024 Калуга+область перекачка'!AB146+'2024 Калуга+область очистка'!AB146</f>
        <v>0</v>
      </c>
      <c r="AL146" s="2114">
        <f>расчет_тарифа_К_!O147</f>
        <v>0</v>
      </c>
      <c r="AM146" s="2593">
        <f t="shared" si="62"/>
        <v>0</v>
      </c>
    </row>
    <row r="147" spans="1:39" s="2218" customFormat="1" ht="21" customHeight="1" outlineLevel="1">
      <c r="A147" s="2235">
        <v>225</v>
      </c>
      <c r="B147" s="2281" t="s">
        <v>1955</v>
      </c>
      <c r="C147" s="2282" t="s">
        <v>1929</v>
      </c>
      <c r="D147" s="2283" t="s">
        <v>1951</v>
      </c>
      <c r="E147" s="2284"/>
      <c r="F147" s="2285"/>
      <c r="G147" s="2257">
        <f t="shared" si="52"/>
        <v>0</v>
      </c>
      <c r="H147" s="2285"/>
      <c r="I147" s="2285"/>
      <c r="J147" s="2257">
        <f t="shared" si="53"/>
        <v>0</v>
      </c>
      <c r="K147" s="2285"/>
      <c r="L147" s="2285"/>
      <c r="M147" s="2259">
        <f t="shared" si="54"/>
        <v>0</v>
      </c>
      <c r="N147" s="2284"/>
      <c r="O147" s="2285"/>
      <c r="P147" s="2259">
        <f t="shared" si="63"/>
        <v>0</v>
      </c>
      <c r="Q147" s="2284">
        <v>0</v>
      </c>
      <c r="R147" s="2285">
        <v>0</v>
      </c>
      <c r="S147" s="2259">
        <f t="shared" si="64"/>
        <v>0</v>
      </c>
      <c r="T147" s="2284">
        <v>0</v>
      </c>
      <c r="U147" s="2285">
        <v>0</v>
      </c>
      <c r="V147" s="2268">
        <f t="shared" si="55"/>
        <v>0</v>
      </c>
      <c r="W147" s="2888">
        <f>T147/$T$272*$W$272</f>
        <v>0</v>
      </c>
      <c r="X147" s="2889">
        <f>U147/$T$272*$W$272</f>
        <v>0</v>
      </c>
      <c r="Y147" s="2268">
        <f t="shared" si="56"/>
        <v>0</v>
      </c>
      <c r="Z147" s="2888">
        <f>T147/$T$272*$Z$272</f>
        <v>0</v>
      </c>
      <c r="AA147" s="2889">
        <f>U147/$T$272*$Z$272</f>
        <v>0</v>
      </c>
      <c r="AB147" s="2268">
        <f t="shared" si="57"/>
        <v>0</v>
      </c>
      <c r="AC147" s="2113">
        <f t="shared" si="58"/>
        <v>0</v>
      </c>
      <c r="AD147" s="2114">
        <f t="shared" si="59"/>
        <v>0</v>
      </c>
      <c r="AE147" s="2113">
        <f t="shared" si="60"/>
        <v>0</v>
      </c>
      <c r="AF147" s="2114">
        <f t="shared" si="61"/>
        <v>0</v>
      </c>
      <c r="AG147" s="2113"/>
      <c r="AH147" s="2113"/>
      <c r="AI147" s="2114">
        <f>Z147+'2024 Калуга+область перекачка'!Z147+'2024 Калуга+область очистка'!Z147</f>
        <v>0</v>
      </c>
      <c r="AJ147" s="2114">
        <f>AA147+'2024 Калуга+область перекачка'!AA147+'2024 Калуга+область очистка'!AA147</f>
        <v>0</v>
      </c>
      <c r="AK147" s="2114">
        <f>AB147+'2024 Калуга+область перекачка'!AB147+'2024 Калуга+область очистка'!AB147</f>
        <v>0</v>
      </c>
      <c r="AL147" s="2114">
        <f>расчет_тарифа_К_!O148</f>
        <v>0</v>
      </c>
      <c r="AM147" s="2593">
        <f t="shared" si="62"/>
        <v>0</v>
      </c>
    </row>
    <row r="148" spans="1:39" s="2218" customFormat="1" ht="21" customHeight="1" outlineLevel="1">
      <c r="A148" s="2235">
        <v>226</v>
      </c>
      <c r="B148" s="2281" t="s">
        <v>1956</v>
      </c>
      <c r="C148" s="2282" t="s">
        <v>1953</v>
      </c>
      <c r="D148" s="2283" t="s">
        <v>1954</v>
      </c>
      <c r="E148" s="2284"/>
      <c r="F148" s="2285"/>
      <c r="G148" s="2257">
        <f t="shared" si="52"/>
        <v>0</v>
      </c>
      <c r="H148" s="2285"/>
      <c r="I148" s="2285"/>
      <c r="J148" s="2257">
        <f t="shared" si="53"/>
        <v>0</v>
      </c>
      <c r="K148" s="2285"/>
      <c r="L148" s="2285"/>
      <c r="M148" s="2259">
        <f t="shared" si="54"/>
        <v>0</v>
      </c>
      <c r="N148" s="2284"/>
      <c r="O148" s="2285"/>
      <c r="P148" s="2259">
        <f t="shared" si="63"/>
        <v>0</v>
      </c>
      <c r="Q148" s="2284">
        <v>0</v>
      </c>
      <c r="R148" s="2285">
        <v>0</v>
      </c>
      <c r="S148" s="2259">
        <f t="shared" si="64"/>
        <v>0</v>
      </c>
      <c r="T148" s="2284">
        <v>0</v>
      </c>
      <c r="U148" s="2285">
        <v>0</v>
      </c>
      <c r="V148" s="2268">
        <f t="shared" si="55"/>
        <v>0</v>
      </c>
      <c r="W148" s="2385" t="e">
        <f>W146/W147</f>
        <v>#DIV/0!</v>
      </c>
      <c r="X148" s="2285" t="e">
        <f>X146/X147</f>
        <v>#DIV/0!</v>
      </c>
      <c r="Y148" s="2268" t="e">
        <f t="shared" si="56"/>
        <v>#DIV/0!</v>
      </c>
      <c r="Z148" s="2385" t="e">
        <f>Z146/Z147</f>
        <v>#DIV/0!</v>
      </c>
      <c r="AA148" s="2285" t="e">
        <f>AA146/AA147</f>
        <v>#DIV/0!</v>
      </c>
      <c r="AB148" s="2268" t="e">
        <f t="shared" si="57"/>
        <v>#DIV/0!</v>
      </c>
      <c r="AC148" s="2113">
        <f t="shared" si="58"/>
        <v>0</v>
      </c>
      <c r="AD148" s="2114" t="e">
        <f t="shared" si="59"/>
        <v>#DIV/0!</v>
      </c>
      <c r="AE148" s="2113">
        <f t="shared" si="60"/>
        <v>0</v>
      </c>
      <c r="AF148" s="2114" t="e">
        <f t="shared" si="61"/>
        <v>#DIV/0!</v>
      </c>
      <c r="AG148" s="2113"/>
      <c r="AH148" s="2113"/>
      <c r="AI148" s="2114" t="e">
        <f>Z148+'2024 Калуга+область перекачка'!Z148+'2024 Калуга+область очистка'!Z148</f>
        <v>#DIV/0!</v>
      </c>
      <c r="AJ148" s="2114" t="e">
        <f>AA148+'2024 Калуга+область перекачка'!AA148+'2024 Калуга+область очистка'!AA148</f>
        <v>#DIV/0!</v>
      </c>
      <c r="AK148" s="2114" t="e">
        <f>AB148+'2024 Калуга+область перекачка'!AB148+'2024 Калуга+область очистка'!AB148</f>
        <v>#DIV/0!</v>
      </c>
      <c r="AL148" s="2114">
        <f>расчет_тарифа_К_!O149</f>
        <v>0</v>
      </c>
      <c r="AM148" s="2593" t="e">
        <f t="shared" si="62"/>
        <v>#DIV/0!</v>
      </c>
    </row>
    <row r="149" spans="1:39" s="2218" customFormat="1" ht="15.75" customHeight="1" outlineLevel="1">
      <c r="A149" s="2235">
        <v>220</v>
      </c>
      <c r="B149" s="2279"/>
      <c r="C149" s="2280" t="s">
        <v>1939</v>
      </c>
      <c r="D149" s="2254" t="s">
        <v>1317</v>
      </c>
      <c r="E149" s="2255">
        <f>E150*E151</f>
        <v>0</v>
      </c>
      <c r="F149" s="2256">
        <f>F150*F151</f>
        <v>0</v>
      </c>
      <c r="G149" s="2257">
        <f t="shared" si="52"/>
        <v>0</v>
      </c>
      <c r="H149" s="2256">
        <f>H150*H151</f>
        <v>0</v>
      </c>
      <c r="I149" s="2256">
        <f>I150*I151</f>
        <v>0</v>
      </c>
      <c r="J149" s="2257">
        <f t="shared" si="53"/>
        <v>0</v>
      </c>
      <c r="K149" s="2256">
        <f>K150*K151</f>
        <v>0</v>
      </c>
      <c r="L149" s="2256">
        <f>L150*L151</f>
        <v>0</v>
      </c>
      <c r="M149" s="2259">
        <f t="shared" si="54"/>
        <v>0</v>
      </c>
      <c r="N149" s="2255">
        <v>0</v>
      </c>
      <c r="O149" s="2256">
        <v>0</v>
      </c>
      <c r="P149" s="2259">
        <f t="shared" si="63"/>
        <v>0</v>
      </c>
      <c r="Q149" s="2255">
        <v>0</v>
      </c>
      <c r="R149" s="2256">
        <v>0</v>
      </c>
      <c r="S149" s="2259">
        <f t="shared" si="64"/>
        <v>0</v>
      </c>
      <c r="T149" s="2255">
        <v>0</v>
      </c>
      <c r="U149" s="2256">
        <v>0</v>
      </c>
      <c r="V149" s="2268">
        <f t="shared" si="55"/>
        <v>0</v>
      </c>
      <c r="W149" s="2377">
        <f>T149/$T$272*$N$272</f>
        <v>0</v>
      </c>
      <c r="X149" s="2256">
        <f>U149/$T$272*$N$272</f>
        <v>0</v>
      </c>
      <c r="Y149" s="2268">
        <f t="shared" si="56"/>
        <v>0</v>
      </c>
      <c r="Z149" s="2886">
        <f>T149/$T$272*$Z$272</f>
        <v>0</v>
      </c>
      <c r="AA149" s="2887">
        <f>U149/$T$272*$Z$272</f>
        <v>0</v>
      </c>
      <c r="AB149" s="2268">
        <f t="shared" si="57"/>
        <v>0</v>
      </c>
      <c r="AC149" s="2113">
        <f t="shared" si="58"/>
        <v>0</v>
      </c>
      <c r="AD149" s="2114">
        <f t="shared" si="59"/>
        <v>0</v>
      </c>
      <c r="AE149" s="2113">
        <f t="shared" si="60"/>
        <v>0</v>
      </c>
      <c r="AF149" s="2114">
        <f t="shared" si="61"/>
        <v>0</v>
      </c>
      <c r="AG149" s="2113"/>
      <c r="AH149" s="2113"/>
      <c r="AI149" s="2114">
        <f>Z149+'2024 Калуга+область перекачка'!Z149+'2024 Калуга+область очистка'!Z149</f>
        <v>0</v>
      </c>
      <c r="AJ149" s="2114">
        <f>AA149+'2024 Калуга+область перекачка'!AA149+'2024 Калуга+область очистка'!AA149</f>
        <v>0</v>
      </c>
      <c r="AK149" s="2114">
        <f>AB149+'2024 Калуга+область перекачка'!AB149+'2024 Калуга+область очистка'!AB149</f>
        <v>0</v>
      </c>
      <c r="AL149" s="2114">
        <f>расчет_тарифа_К_!O150</f>
        <v>0</v>
      </c>
      <c r="AM149" s="2593">
        <f t="shared" si="62"/>
        <v>0</v>
      </c>
    </row>
    <row r="150" spans="1:39" s="2218" customFormat="1" ht="21" customHeight="1" outlineLevel="1">
      <c r="A150" s="2235">
        <v>227</v>
      </c>
      <c r="B150" s="2281" t="s">
        <v>1957</v>
      </c>
      <c r="C150" s="2282" t="s">
        <v>1929</v>
      </c>
      <c r="D150" s="2283" t="s">
        <v>1951</v>
      </c>
      <c r="E150" s="2284"/>
      <c r="F150" s="2285"/>
      <c r="G150" s="2257">
        <f t="shared" si="52"/>
        <v>0</v>
      </c>
      <c r="H150" s="2285"/>
      <c r="I150" s="2285"/>
      <c r="J150" s="2257">
        <f t="shared" si="53"/>
        <v>0</v>
      </c>
      <c r="K150" s="2285"/>
      <c r="L150" s="2285"/>
      <c r="M150" s="2259">
        <f t="shared" si="54"/>
        <v>0</v>
      </c>
      <c r="N150" s="2284"/>
      <c r="O150" s="2285"/>
      <c r="P150" s="2259">
        <f t="shared" si="63"/>
        <v>0</v>
      </c>
      <c r="Q150" s="2284">
        <v>0</v>
      </c>
      <c r="R150" s="2285">
        <v>0</v>
      </c>
      <c r="S150" s="2259">
        <f t="shared" si="64"/>
        <v>0</v>
      </c>
      <c r="T150" s="2284">
        <v>0</v>
      </c>
      <c r="U150" s="2285">
        <v>0</v>
      </c>
      <c r="V150" s="2268">
        <f t="shared" si="55"/>
        <v>0</v>
      </c>
      <c r="W150" s="2888">
        <f>T150/$T$272*$W$272</f>
        <v>0</v>
      </c>
      <c r="X150" s="2889">
        <f>U150/$T$272*$W$272</f>
        <v>0</v>
      </c>
      <c r="Y150" s="2268">
        <f t="shared" si="56"/>
        <v>0</v>
      </c>
      <c r="Z150" s="2888">
        <f>T150/$T$272*$Z$272</f>
        <v>0</v>
      </c>
      <c r="AA150" s="2889">
        <f>U150/$T$272*$Z$272</f>
        <v>0</v>
      </c>
      <c r="AB150" s="2268">
        <f t="shared" si="57"/>
        <v>0</v>
      </c>
      <c r="AC150" s="2113">
        <f t="shared" si="58"/>
        <v>0</v>
      </c>
      <c r="AD150" s="2114">
        <f t="shared" si="59"/>
        <v>0</v>
      </c>
      <c r="AE150" s="2113">
        <f t="shared" si="60"/>
        <v>0</v>
      </c>
      <c r="AF150" s="2114">
        <f t="shared" si="61"/>
        <v>0</v>
      </c>
      <c r="AG150" s="2113"/>
      <c r="AH150" s="2113"/>
      <c r="AI150" s="2114">
        <f>Z150+'2024 Калуга+область перекачка'!Z150+'2024 Калуга+область очистка'!Z150</f>
        <v>0</v>
      </c>
      <c r="AJ150" s="2114">
        <f>AA150+'2024 Калуга+область перекачка'!AA150+'2024 Калуга+область очистка'!AA150</f>
        <v>0</v>
      </c>
      <c r="AK150" s="2114">
        <f>AB150+'2024 Калуга+область перекачка'!AB150+'2024 Калуга+область очистка'!AB150</f>
        <v>0</v>
      </c>
      <c r="AL150" s="2114">
        <f>расчет_тарифа_К_!O151</f>
        <v>0</v>
      </c>
      <c r="AM150" s="2593">
        <f t="shared" si="62"/>
        <v>0</v>
      </c>
    </row>
    <row r="151" spans="1:39" s="2218" customFormat="1" ht="21" customHeight="1" outlineLevel="1">
      <c r="A151" s="2235">
        <v>228</v>
      </c>
      <c r="B151" s="2281" t="s">
        <v>1958</v>
      </c>
      <c r="C151" s="2282" t="s">
        <v>1953</v>
      </c>
      <c r="D151" s="2283" t="s">
        <v>1954</v>
      </c>
      <c r="E151" s="2284"/>
      <c r="F151" s="2285"/>
      <c r="G151" s="2257">
        <f t="shared" si="52"/>
        <v>0</v>
      </c>
      <c r="H151" s="2285"/>
      <c r="I151" s="2285"/>
      <c r="J151" s="2257">
        <f t="shared" si="53"/>
        <v>0</v>
      </c>
      <c r="K151" s="2285"/>
      <c r="L151" s="2285"/>
      <c r="M151" s="2259">
        <f t="shared" si="54"/>
        <v>0</v>
      </c>
      <c r="N151" s="2284"/>
      <c r="O151" s="2285"/>
      <c r="P151" s="2259">
        <f t="shared" si="63"/>
        <v>0</v>
      </c>
      <c r="Q151" s="2284">
        <v>0</v>
      </c>
      <c r="R151" s="2285">
        <v>0</v>
      </c>
      <c r="S151" s="2259">
        <f t="shared" si="64"/>
        <v>0</v>
      </c>
      <c r="T151" s="2284">
        <v>0</v>
      </c>
      <c r="U151" s="2285">
        <v>0</v>
      </c>
      <c r="V151" s="2268">
        <f t="shared" si="55"/>
        <v>0</v>
      </c>
      <c r="W151" s="2385" t="e">
        <f>W149/W150</f>
        <v>#DIV/0!</v>
      </c>
      <c r="X151" s="2285" t="e">
        <f>X149/X150</f>
        <v>#DIV/0!</v>
      </c>
      <c r="Y151" s="2268" t="e">
        <f t="shared" si="56"/>
        <v>#DIV/0!</v>
      </c>
      <c r="Z151" s="2385" t="e">
        <f>Z149/Z150</f>
        <v>#DIV/0!</v>
      </c>
      <c r="AA151" s="2285" t="e">
        <f>AA149/AA150</f>
        <v>#DIV/0!</v>
      </c>
      <c r="AB151" s="2268" t="e">
        <f t="shared" si="57"/>
        <v>#DIV/0!</v>
      </c>
      <c r="AC151" s="2113">
        <f t="shared" si="58"/>
        <v>0</v>
      </c>
      <c r="AD151" s="2114" t="e">
        <f t="shared" si="59"/>
        <v>#DIV/0!</v>
      </c>
      <c r="AE151" s="2113">
        <f t="shared" si="60"/>
        <v>0</v>
      </c>
      <c r="AF151" s="2114" t="e">
        <f t="shared" si="61"/>
        <v>#DIV/0!</v>
      </c>
      <c r="AG151" s="2113"/>
      <c r="AH151" s="2113"/>
      <c r="AI151" s="2114" t="e">
        <f>Z151+'2024 Калуга+область перекачка'!Z151+'2024 Калуга+область очистка'!Z151</f>
        <v>#DIV/0!</v>
      </c>
      <c r="AJ151" s="2114" t="e">
        <f>AA151+'2024 Калуга+область перекачка'!AA151+'2024 Калуга+область очистка'!AA151</f>
        <v>#DIV/0!</v>
      </c>
      <c r="AK151" s="2114" t="e">
        <f>AB151+'2024 Калуга+область перекачка'!AB151+'2024 Калуга+область очистка'!AB151</f>
        <v>#DIV/0!</v>
      </c>
      <c r="AL151" s="2114">
        <f>расчет_тарифа_К_!O152</f>
        <v>0</v>
      </c>
      <c r="AM151" s="2593" t="e">
        <f t="shared" si="62"/>
        <v>#DIV/0!</v>
      </c>
    </row>
    <row r="152" spans="1:39" s="2218" customFormat="1" ht="18" customHeight="1" outlineLevel="1">
      <c r="A152" s="2235">
        <v>221</v>
      </c>
      <c r="B152" s="2279"/>
      <c r="C152" s="2280" t="s">
        <v>1942</v>
      </c>
      <c r="D152" s="2254" t="s">
        <v>1317</v>
      </c>
      <c r="E152" s="2255">
        <f>E153*E154</f>
        <v>0</v>
      </c>
      <c r="F152" s="2256">
        <f>F153*F154</f>
        <v>0</v>
      </c>
      <c r="G152" s="2257">
        <f t="shared" si="52"/>
        <v>0</v>
      </c>
      <c r="H152" s="2256">
        <f>H153*H154</f>
        <v>0</v>
      </c>
      <c r="I152" s="2256">
        <f>I153*I154</f>
        <v>0</v>
      </c>
      <c r="J152" s="2257">
        <f t="shared" si="53"/>
        <v>0</v>
      </c>
      <c r="K152" s="2256">
        <f>K153*K154</f>
        <v>0</v>
      </c>
      <c r="L152" s="2256">
        <f>L153*L154</f>
        <v>0</v>
      </c>
      <c r="M152" s="2259">
        <f t="shared" si="54"/>
        <v>0</v>
      </c>
      <c r="N152" s="2255">
        <v>0</v>
      </c>
      <c r="O152" s="2256">
        <v>0</v>
      </c>
      <c r="P152" s="2259">
        <f t="shared" si="63"/>
        <v>0</v>
      </c>
      <c r="Q152" s="2255">
        <v>0</v>
      </c>
      <c r="R152" s="2256">
        <v>0</v>
      </c>
      <c r="S152" s="2259">
        <f t="shared" si="64"/>
        <v>0</v>
      </c>
      <c r="T152" s="2255">
        <v>0</v>
      </c>
      <c r="U152" s="2256">
        <v>0</v>
      </c>
      <c r="V152" s="2268">
        <f t="shared" si="55"/>
        <v>0</v>
      </c>
      <c r="W152" s="2377">
        <f>T152/$T$272*$N$272</f>
        <v>0</v>
      </c>
      <c r="X152" s="2256">
        <f>U152/$T$272*$N$272</f>
        <v>0</v>
      </c>
      <c r="Y152" s="2268">
        <f t="shared" si="56"/>
        <v>0</v>
      </c>
      <c r="Z152" s="2886">
        <f>T152/$T$272*$Z$272</f>
        <v>0</v>
      </c>
      <c r="AA152" s="2887">
        <f>U152/$T$272*$Z$272</f>
        <v>0</v>
      </c>
      <c r="AB152" s="2268">
        <f t="shared" si="57"/>
        <v>0</v>
      </c>
      <c r="AC152" s="2113">
        <f t="shared" si="58"/>
        <v>0</v>
      </c>
      <c r="AD152" s="2114">
        <f t="shared" si="59"/>
        <v>0</v>
      </c>
      <c r="AE152" s="2113">
        <f t="shared" si="60"/>
        <v>0</v>
      </c>
      <c r="AF152" s="2114">
        <f t="shared" si="61"/>
        <v>0</v>
      </c>
      <c r="AG152" s="2113"/>
      <c r="AH152" s="2113"/>
      <c r="AI152" s="2114">
        <f>Z152+'2024 Калуга+область перекачка'!Z152+'2024 Калуга+область очистка'!Z152</f>
        <v>4538.0687180686127</v>
      </c>
      <c r="AJ152" s="2114">
        <f>AA152+'2024 Калуга+область перекачка'!AA152+'2024 Калуга+область очистка'!AA152</f>
        <v>4946.4949026947879</v>
      </c>
      <c r="AK152" s="2114">
        <f>AB152+'2024 Калуга+область перекачка'!AB152+'2024 Калуга+область очистка'!AB152</f>
        <v>4742.2818103817008</v>
      </c>
      <c r="AL152" s="2114">
        <f>расчет_тарифа_К_!O153</f>
        <v>4946.4949026947879</v>
      </c>
      <c r="AM152" s="2593">
        <f t="shared" si="62"/>
        <v>0</v>
      </c>
    </row>
    <row r="153" spans="1:39" s="2218" customFormat="1" ht="21" customHeight="1" outlineLevel="1">
      <c r="A153" s="2235">
        <v>229</v>
      </c>
      <c r="B153" s="2281" t="s">
        <v>1959</v>
      </c>
      <c r="C153" s="2282" t="s">
        <v>1929</v>
      </c>
      <c r="D153" s="2283" t="s">
        <v>1951</v>
      </c>
      <c r="E153" s="2284"/>
      <c r="F153" s="2285"/>
      <c r="G153" s="2257">
        <f t="shared" si="52"/>
        <v>0</v>
      </c>
      <c r="H153" s="2285"/>
      <c r="I153" s="2285"/>
      <c r="J153" s="2257">
        <f t="shared" si="53"/>
        <v>0</v>
      </c>
      <c r="K153" s="2285"/>
      <c r="L153" s="2285"/>
      <c r="M153" s="2259">
        <f t="shared" si="54"/>
        <v>0</v>
      </c>
      <c r="N153" s="2284"/>
      <c r="O153" s="2285"/>
      <c r="P153" s="2259">
        <f t="shared" si="63"/>
        <v>0</v>
      </c>
      <c r="Q153" s="2284">
        <v>0</v>
      </c>
      <c r="R153" s="2285">
        <v>0</v>
      </c>
      <c r="S153" s="2259">
        <f t="shared" si="64"/>
        <v>0</v>
      </c>
      <c r="T153" s="2284">
        <v>0</v>
      </c>
      <c r="U153" s="2285">
        <v>0</v>
      </c>
      <c r="V153" s="2268">
        <f t="shared" si="55"/>
        <v>0</v>
      </c>
      <c r="W153" s="2888">
        <f>T153/$T$272*$W$272</f>
        <v>0</v>
      </c>
      <c r="X153" s="2889">
        <f>U153/$T$272*$W$272</f>
        <v>0</v>
      </c>
      <c r="Y153" s="2268">
        <f t="shared" si="56"/>
        <v>0</v>
      </c>
      <c r="Z153" s="2888">
        <f>T153/$T$272*$Z$272</f>
        <v>0</v>
      </c>
      <c r="AA153" s="2889">
        <f>U153/$T$272*$Z$272</f>
        <v>0</v>
      </c>
      <c r="AB153" s="2268">
        <f t="shared" si="57"/>
        <v>0</v>
      </c>
      <c r="AC153" s="2113">
        <f t="shared" si="58"/>
        <v>0</v>
      </c>
      <c r="AD153" s="2114">
        <f t="shared" si="59"/>
        <v>0</v>
      </c>
      <c r="AE153" s="2113">
        <f t="shared" si="60"/>
        <v>0</v>
      </c>
      <c r="AF153" s="2114">
        <f t="shared" si="61"/>
        <v>0</v>
      </c>
      <c r="AG153" s="2113"/>
      <c r="AH153" s="2113"/>
      <c r="AI153" s="2114">
        <f>Z153+'2024 Калуга+область перекачка'!Z153+'2024 Калуга+область очистка'!Z153</f>
        <v>3.9667823714357588</v>
      </c>
      <c r="AJ153" s="2114">
        <f>AA153+'2024 Калуга+область перекачка'!AA153+'2024 Калуга+область очистка'!AA153</f>
        <v>3.9667823714357588</v>
      </c>
      <c r="AK153" s="2114">
        <f>AB153+'2024 Калуга+область перекачка'!AB153+'2024 Калуга+область очистка'!AB153</f>
        <v>3.9667823714357588</v>
      </c>
      <c r="AL153" s="2114">
        <f>расчет_тарифа_К_!O154</f>
        <v>3.9667823714357588</v>
      </c>
      <c r="AM153" s="2593">
        <f t="shared" si="62"/>
        <v>0</v>
      </c>
    </row>
    <row r="154" spans="1:39" s="2218" customFormat="1" ht="21" customHeight="1" outlineLevel="1">
      <c r="A154" s="2235">
        <v>230</v>
      </c>
      <c r="B154" s="2281" t="s">
        <v>1960</v>
      </c>
      <c r="C154" s="2282" t="s">
        <v>1953</v>
      </c>
      <c r="D154" s="2283" t="s">
        <v>1954</v>
      </c>
      <c r="E154" s="2284"/>
      <c r="F154" s="2285"/>
      <c r="G154" s="2257">
        <f t="shared" si="52"/>
        <v>0</v>
      </c>
      <c r="H154" s="2285"/>
      <c r="I154" s="2285"/>
      <c r="J154" s="2257">
        <f t="shared" si="53"/>
        <v>0</v>
      </c>
      <c r="K154" s="2285"/>
      <c r="L154" s="2285"/>
      <c r="M154" s="2259">
        <f t="shared" si="54"/>
        <v>0</v>
      </c>
      <c r="N154" s="2284"/>
      <c r="O154" s="2285"/>
      <c r="P154" s="2259">
        <f t="shared" si="63"/>
        <v>0</v>
      </c>
      <c r="Q154" s="2284">
        <v>0</v>
      </c>
      <c r="R154" s="2285">
        <v>0</v>
      </c>
      <c r="S154" s="2259">
        <f t="shared" si="64"/>
        <v>0</v>
      </c>
      <c r="T154" s="2284">
        <v>0</v>
      </c>
      <c r="U154" s="2285">
        <v>0</v>
      </c>
      <c r="V154" s="2268">
        <f t="shared" si="55"/>
        <v>0</v>
      </c>
      <c r="W154" s="2385" t="e">
        <f>W152/W153</f>
        <v>#DIV/0!</v>
      </c>
      <c r="X154" s="2285" t="e">
        <f>X152/X153</f>
        <v>#DIV/0!</v>
      </c>
      <c r="Y154" s="2268" t="e">
        <f t="shared" si="56"/>
        <v>#DIV/0!</v>
      </c>
      <c r="Z154" s="2385" t="e">
        <f>Z152/Z153</f>
        <v>#DIV/0!</v>
      </c>
      <c r="AA154" s="2285" t="e">
        <f>AA152/AA153</f>
        <v>#DIV/0!</v>
      </c>
      <c r="AB154" s="2268" t="e">
        <f t="shared" si="57"/>
        <v>#DIV/0!</v>
      </c>
      <c r="AC154" s="2113">
        <f t="shared" si="58"/>
        <v>0</v>
      </c>
      <c r="AD154" s="2114" t="e">
        <f t="shared" si="59"/>
        <v>#DIV/0!</v>
      </c>
      <c r="AE154" s="2113">
        <f t="shared" si="60"/>
        <v>0</v>
      </c>
      <c r="AF154" s="2114" t="e">
        <f t="shared" si="61"/>
        <v>#DIV/0!</v>
      </c>
      <c r="AG154" s="2113"/>
      <c r="AH154" s="2113"/>
      <c r="AI154" s="2114" t="e">
        <f>Z154+'2024 Калуга+область перекачка'!Z154+'2024 Калуга+область очистка'!Z154</f>
        <v>#DIV/0!</v>
      </c>
      <c r="AJ154" s="2114" t="e">
        <f>AA154+'2024 Калуга+область перекачка'!AA154+'2024 Калуга+область очистка'!AA154</f>
        <v>#DIV/0!</v>
      </c>
      <c r="AK154" s="2114" t="e">
        <f>AB154+'2024 Калуга+область перекачка'!AB154+'2024 Калуга+область очистка'!AB154</f>
        <v>#DIV/0!</v>
      </c>
      <c r="AL154" s="2114">
        <f>расчет_тарифа_К_!O155</f>
        <v>1246.9791482169028</v>
      </c>
      <c r="AM154" s="2593" t="e">
        <f t="shared" si="62"/>
        <v>#DIV/0!</v>
      </c>
    </row>
    <row r="155" spans="1:39" s="2218" customFormat="1" ht="17.25" customHeight="1" outlineLevel="1">
      <c r="A155" s="2235">
        <v>222</v>
      </c>
      <c r="B155" s="2279"/>
      <c r="C155" s="2280" t="s">
        <v>1961</v>
      </c>
      <c r="D155" s="2254" t="s">
        <v>1317</v>
      </c>
      <c r="E155" s="2255">
        <f>E156*E157</f>
        <v>0</v>
      </c>
      <c r="F155" s="2256">
        <f>F156*F157</f>
        <v>0</v>
      </c>
      <c r="G155" s="2257">
        <f t="shared" si="52"/>
        <v>0</v>
      </c>
      <c r="H155" s="2256">
        <f>H156*H157</f>
        <v>0</v>
      </c>
      <c r="I155" s="2256">
        <f>I156*I157</f>
        <v>0</v>
      </c>
      <c r="J155" s="2257">
        <f t="shared" si="53"/>
        <v>0</v>
      </c>
      <c r="K155" s="2256">
        <f>K156*K157</f>
        <v>0</v>
      </c>
      <c r="L155" s="2256">
        <f>L156*L157</f>
        <v>0</v>
      </c>
      <c r="M155" s="2259">
        <f t="shared" si="54"/>
        <v>0</v>
      </c>
      <c r="N155" s="2255">
        <v>0</v>
      </c>
      <c r="O155" s="2256">
        <v>0</v>
      </c>
      <c r="P155" s="2259">
        <f t="shared" si="63"/>
        <v>0</v>
      </c>
      <c r="Q155" s="2255">
        <v>0</v>
      </c>
      <c r="R155" s="2256">
        <v>0</v>
      </c>
      <c r="S155" s="2259">
        <f t="shared" si="64"/>
        <v>0</v>
      </c>
      <c r="T155" s="2255">
        <v>0</v>
      </c>
      <c r="U155" s="2256">
        <v>0</v>
      </c>
      <c r="V155" s="2268">
        <f t="shared" si="55"/>
        <v>0</v>
      </c>
      <c r="W155" s="2377">
        <f>T155/$T$272*$N$272</f>
        <v>0</v>
      </c>
      <c r="X155" s="2256">
        <f>U155/$T$272*$N$272</f>
        <v>0</v>
      </c>
      <c r="Y155" s="2268">
        <f t="shared" si="56"/>
        <v>0</v>
      </c>
      <c r="Z155" s="2886">
        <f>T155/$T$272*$Z$272</f>
        <v>0</v>
      </c>
      <c r="AA155" s="2887">
        <f>U155/$T$272*$Z$272</f>
        <v>0</v>
      </c>
      <c r="AB155" s="2268">
        <f t="shared" si="57"/>
        <v>0</v>
      </c>
      <c r="AC155" s="2113">
        <f t="shared" si="58"/>
        <v>0</v>
      </c>
      <c r="AD155" s="2114">
        <f t="shared" si="59"/>
        <v>0</v>
      </c>
      <c r="AE155" s="2113">
        <f t="shared" si="60"/>
        <v>0</v>
      </c>
      <c r="AF155" s="2114">
        <f t="shared" si="61"/>
        <v>0</v>
      </c>
      <c r="AG155" s="2113"/>
      <c r="AH155" s="2113"/>
      <c r="AI155" s="2114">
        <f>Z155+'2024 Калуга+область перекачка'!Z155+'2024 Калуга+область очистка'!Z155</f>
        <v>0</v>
      </c>
      <c r="AJ155" s="2114">
        <f>AA155+'2024 Калуга+область перекачка'!AA155+'2024 Калуга+область очистка'!AA155</f>
        <v>0</v>
      </c>
      <c r="AK155" s="2114">
        <f>AB155+'2024 Калуга+область перекачка'!AB155+'2024 Калуга+область очистка'!AB155</f>
        <v>0</v>
      </c>
      <c r="AL155" s="2114">
        <f>расчет_тарифа_К_!O156</f>
        <v>0</v>
      </c>
      <c r="AM155" s="2593">
        <f t="shared" si="62"/>
        <v>0</v>
      </c>
    </row>
    <row r="156" spans="1:39" s="2218" customFormat="1" ht="21" customHeight="1" outlineLevel="1">
      <c r="A156" s="2235">
        <v>231</v>
      </c>
      <c r="B156" s="2281" t="s">
        <v>1962</v>
      </c>
      <c r="C156" s="2282" t="s">
        <v>1929</v>
      </c>
      <c r="D156" s="2283" t="s">
        <v>1951</v>
      </c>
      <c r="E156" s="2284"/>
      <c r="F156" s="2285"/>
      <c r="G156" s="2257">
        <f t="shared" si="52"/>
        <v>0</v>
      </c>
      <c r="H156" s="2285"/>
      <c r="I156" s="2285"/>
      <c r="J156" s="2257">
        <f t="shared" si="53"/>
        <v>0</v>
      </c>
      <c r="K156" s="2285"/>
      <c r="L156" s="2285"/>
      <c r="M156" s="2259">
        <f t="shared" si="54"/>
        <v>0</v>
      </c>
      <c r="N156" s="2284"/>
      <c r="O156" s="2285"/>
      <c r="P156" s="2259">
        <f t="shared" si="63"/>
        <v>0</v>
      </c>
      <c r="Q156" s="2284">
        <v>0</v>
      </c>
      <c r="R156" s="2285">
        <v>0</v>
      </c>
      <c r="S156" s="2259">
        <f t="shared" si="64"/>
        <v>0</v>
      </c>
      <c r="T156" s="2284">
        <v>0</v>
      </c>
      <c r="U156" s="2285">
        <v>0</v>
      </c>
      <c r="V156" s="2268">
        <f t="shared" si="55"/>
        <v>0</v>
      </c>
      <c r="W156" s="2888">
        <f>T156/$T$272*$W$272</f>
        <v>0</v>
      </c>
      <c r="X156" s="2889">
        <f>U156/$T$272*$W$272</f>
        <v>0</v>
      </c>
      <c r="Y156" s="2268">
        <f t="shared" si="56"/>
        <v>0</v>
      </c>
      <c r="Z156" s="2888">
        <f>T156/$T$272*$Z$272</f>
        <v>0</v>
      </c>
      <c r="AA156" s="2889">
        <f>U156/$T$272*$Z$272</f>
        <v>0</v>
      </c>
      <c r="AB156" s="2268">
        <f t="shared" si="57"/>
        <v>0</v>
      </c>
      <c r="AC156" s="2113">
        <f t="shared" si="58"/>
        <v>0</v>
      </c>
      <c r="AD156" s="2114">
        <f t="shared" si="59"/>
        <v>0</v>
      </c>
      <c r="AE156" s="2113">
        <f t="shared" si="60"/>
        <v>0</v>
      </c>
      <c r="AF156" s="2114">
        <f t="shared" si="61"/>
        <v>0</v>
      </c>
      <c r="AG156" s="2113"/>
      <c r="AH156" s="2113"/>
      <c r="AI156" s="2114">
        <f>Z156+'2024 Калуга+область перекачка'!Z156+'2024 Калуга+область очистка'!Z156</f>
        <v>0</v>
      </c>
      <c r="AJ156" s="2114">
        <f>AA156+'2024 Калуга+область перекачка'!AA156+'2024 Калуга+область очистка'!AA156</f>
        <v>0</v>
      </c>
      <c r="AK156" s="2114">
        <f>AB156+'2024 Калуга+область перекачка'!AB156+'2024 Калуга+область очистка'!AB156</f>
        <v>0</v>
      </c>
      <c r="AL156" s="2114">
        <f>расчет_тарифа_К_!O157</f>
        <v>0</v>
      </c>
      <c r="AM156" s="2593">
        <f t="shared" si="62"/>
        <v>0</v>
      </c>
    </row>
    <row r="157" spans="1:39" s="2218" customFormat="1" ht="21" customHeight="1" outlineLevel="1">
      <c r="A157" s="2235">
        <v>232</v>
      </c>
      <c r="B157" s="2281" t="s">
        <v>1963</v>
      </c>
      <c r="C157" s="2282" t="s">
        <v>1953</v>
      </c>
      <c r="D157" s="2283" t="s">
        <v>1954</v>
      </c>
      <c r="E157" s="2284"/>
      <c r="F157" s="2285"/>
      <c r="G157" s="2257">
        <f t="shared" si="52"/>
        <v>0</v>
      </c>
      <c r="H157" s="2285"/>
      <c r="I157" s="2285"/>
      <c r="J157" s="2257">
        <f t="shared" si="53"/>
        <v>0</v>
      </c>
      <c r="K157" s="2285"/>
      <c r="L157" s="2285"/>
      <c r="M157" s="2259">
        <f t="shared" si="54"/>
        <v>0</v>
      </c>
      <c r="N157" s="2284"/>
      <c r="O157" s="2285"/>
      <c r="P157" s="2259">
        <f t="shared" si="63"/>
        <v>0</v>
      </c>
      <c r="Q157" s="2284">
        <v>0</v>
      </c>
      <c r="R157" s="2285">
        <v>0</v>
      </c>
      <c r="S157" s="2259">
        <f t="shared" si="64"/>
        <v>0</v>
      </c>
      <c r="T157" s="2284">
        <v>0</v>
      </c>
      <c r="U157" s="2285">
        <v>0</v>
      </c>
      <c r="V157" s="2268">
        <f t="shared" si="55"/>
        <v>0</v>
      </c>
      <c r="W157" s="2385" t="e">
        <f>W155/W156</f>
        <v>#DIV/0!</v>
      </c>
      <c r="X157" s="2285" t="e">
        <f>X155/X156</f>
        <v>#DIV/0!</v>
      </c>
      <c r="Y157" s="2268" t="e">
        <f t="shared" si="56"/>
        <v>#DIV/0!</v>
      </c>
      <c r="Z157" s="2385" t="e">
        <f>Z155/Z156</f>
        <v>#DIV/0!</v>
      </c>
      <c r="AA157" s="2285" t="e">
        <f>AA155/AA156</f>
        <v>#DIV/0!</v>
      </c>
      <c r="AB157" s="2268" t="e">
        <f t="shared" si="57"/>
        <v>#DIV/0!</v>
      </c>
      <c r="AC157" s="2113">
        <f t="shared" si="58"/>
        <v>0</v>
      </c>
      <c r="AD157" s="2114" t="e">
        <f t="shared" si="59"/>
        <v>#DIV/0!</v>
      </c>
      <c r="AE157" s="2113">
        <f t="shared" si="60"/>
        <v>0</v>
      </c>
      <c r="AF157" s="2114" t="e">
        <f t="shared" si="61"/>
        <v>#DIV/0!</v>
      </c>
      <c r="AG157" s="2113"/>
      <c r="AH157" s="2113"/>
      <c r="AI157" s="2114" t="e">
        <f>Z157+'2024 Калуга+область перекачка'!Z157+'2024 Калуга+область очистка'!Z157</f>
        <v>#DIV/0!</v>
      </c>
      <c r="AJ157" s="2114" t="e">
        <f>AA157+'2024 Калуга+область перекачка'!AA157+'2024 Калуга+область очистка'!AA157</f>
        <v>#DIV/0!</v>
      </c>
      <c r="AK157" s="2114" t="e">
        <f>AB157+'2024 Калуга+область перекачка'!AB157+'2024 Калуга+область очистка'!AB157</f>
        <v>#DIV/0!</v>
      </c>
      <c r="AL157" s="2114">
        <f>расчет_тарифа_К_!O158</f>
        <v>0</v>
      </c>
      <c r="AM157" s="2593" t="e">
        <f t="shared" si="62"/>
        <v>#DIV/0!</v>
      </c>
    </row>
    <row r="158" spans="1:39" s="2218" customFormat="1" ht="16.5" customHeight="1" outlineLevel="1">
      <c r="A158" s="2235">
        <v>217</v>
      </c>
      <c r="B158" s="2279"/>
      <c r="C158" s="2280" t="s">
        <v>1964</v>
      </c>
      <c r="D158" s="2254" t="s">
        <v>1317</v>
      </c>
      <c r="E158" s="2255">
        <f>E159+E162+E165+E168+E171</f>
        <v>0</v>
      </c>
      <c r="F158" s="2256"/>
      <c r="G158" s="2257">
        <f t="shared" si="52"/>
        <v>0</v>
      </c>
      <c r="H158" s="2256">
        <f>H159+H162+H165+H168+H171</f>
        <v>0</v>
      </c>
      <c r="I158" s="2256"/>
      <c r="J158" s="2257">
        <f t="shared" si="53"/>
        <v>0</v>
      </c>
      <c r="K158" s="2256">
        <f>K159+K162+K165+K168+K171</f>
        <v>0</v>
      </c>
      <c r="L158" s="2256"/>
      <c r="M158" s="2259">
        <f t="shared" si="54"/>
        <v>0</v>
      </c>
      <c r="N158" s="2255">
        <v>0</v>
      </c>
      <c r="O158" s="2256"/>
      <c r="P158" s="2259">
        <f t="shared" si="63"/>
        <v>0</v>
      </c>
      <c r="Q158" s="2377">
        <v>0</v>
      </c>
      <c r="R158" s="2256">
        <v>0</v>
      </c>
      <c r="S158" s="2259">
        <f t="shared" si="64"/>
        <v>0</v>
      </c>
      <c r="T158" s="2377">
        <v>0</v>
      </c>
      <c r="U158" s="2256">
        <v>0</v>
      </c>
      <c r="V158" s="2268">
        <f t="shared" si="55"/>
        <v>0</v>
      </c>
      <c r="W158" s="2377">
        <f>T158/$T$272*$N$272</f>
        <v>0</v>
      </c>
      <c r="X158" s="2256">
        <f>U158/$T$272*$N$272</f>
        <v>0</v>
      </c>
      <c r="Y158" s="2268">
        <f t="shared" si="56"/>
        <v>0</v>
      </c>
      <c r="Z158" s="2886">
        <f t="shared" ref="Z158:AA160" si="68">T158/$T$272*$Z$272</f>
        <v>0</v>
      </c>
      <c r="AA158" s="2887">
        <f t="shared" si="68"/>
        <v>0</v>
      </c>
      <c r="AB158" s="2268">
        <f t="shared" si="57"/>
        <v>0</v>
      </c>
      <c r="AC158" s="2113">
        <f t="shared" si="58"/>
        <v>0</v>
      </c>
      <c r="AD158" s="2114">
        <f t="shared" si="59"/>
        <v>0</v>
      </c>
      <c r="AE158" s="2113">
        <f t="shared" si="60"/>
        <v>0</v>
      </c>
      <c r="AF158" s="2114">
        <f t="shared" si="61"/>
        <v>0</v>
      </c>
      <c r="AG158" s="2113"/>
      <c r="AH158" s="2113"/>
      <c r="AI158" s="2114">
        <f>Z158+'2024 Калуга+область перекачка'!Z158+'2024 Калуга+область очистка'!Z158</f>
        <v>2372.5889794957516</v>
      </c>
      <c r="AJ158" s="2114">
        <f>AA158+'2024 Калуга+область перекачка'!AA158+'2024 Калуга+область очистка'!AA158</f>
        <v>2586.1219876503696</v>
      </c>
      <c r="AK158" s="2114">
        <f>AB158+'2024 Калуга+область перекачка'!AB158+'2024 Калуга+область очистка'!AB158</f>
        <v>2479.3554835730606</v>
      </c>
      <c r="AL158" s="2114">
        <f>расчет_тарифа_К_!O159</f>
        <v>2586.1219876503696</v>
      </c>
      <c r="AM158" s="2593">
        <f t="shared" si="62"/>
        <v>0</v>
      </c>
    </row>
    <row r="159" spans="1:39" s="2218" customFormat="1" ht="17.25" customHeight="1" outlineLevel="1">
      <c r="A159" s="2235">
        <v>233</v>
      </c>
      <c r="B159" s="2279"/>
      <c r="C159" s="2280" t="s">
        <v>1927</v>
      </c>
      <c r="D159" s="2254" t="s">
        <v>1317</v>
      </c>
      <c r="E159" s="2255">
        <f>E160*E161</f>
        <v>0</v>
      </c>
      <c r="F159" s="2256">
        <f>F160*F161</f>
        <v>0</v>
      </c>
      <c r="G159" s="2257">
        <f t="shared" si="52"/>
        <v>0</v>
      </c>
      <c r="H159" s="2256">
        <f>H160*H161</f>
        <v>0</v>
      </c>
      <c r="I159" s="2256">
        <f>I160*I161</f>
        <v>0</v>
      </c>
      <c r="J159" s="2257">
        <f t="shared" si="53"/>
        <v>0</v>
      </c>
      <c r="K159" s="2256">
        <f>K160*K161</f>
        <v>0</v>
      </c>
      <c r="L159" s="2256">
        <f>L160*L161</f>
        <v>0</v>
      </c>
      <c r="M159" s="2259">
        <f t="shared" si="54"/>
        <v>0</v>
      </c>
      <c r="N159" s="2255">
        <v>0</v>
      </c>
      <c r="O159" s="2256">
        <v>0</v>
      </c>
      <c r="P159" s="2259">
        <f t="shared" si="63"/>
        <v>0</v>
      </c>
      <c r="Q159" s="2255">
        <v>0</v>
      </c>
      <c r="R159" s="2256">
        <v>0</v>
      </c>
      <c r="S159" s="2259">
        <f t="shared" si="64"/>
        <v>0</v>
      </c>
      <c r="T159" s="2255">
        <v>0</v>
      </c>
      <c r="U159" s="2256">
        <v>0</v>
      </c>
      <c r="V159" s="2268">
        <f t="shared" si="55"/>
        <v>0</v>
      </c>
      <c r="W159" s="2377">
        <f>T159/$T$272*$N$272</f>
        <v>0</v>
      </c>
      <c r="X159" s="2256">
        <f>U159/$T$272*$N$272</f>
        <v>0</v>
      </c>
      <c r="Y159" s="2268">
        <f t="shared" si="56"/>
        <v>0</v>
      </c>
      <c r="Z159" s="2886">
        <f t="shared" si="68"/>
        <v>0</v>
      </c>
      <c r="AA159" s="2887">
        <f t="shared" si="68"/>
        <v>0</v>
      </c>
      <c r="AB159" s="2268">
        <f t="shared" si="57"/>
        <v>0</v>
      </c>
      <c r="AC159" s="2113">
        <f t="shared" si="58"/>
        <v>0</v>
      </c>
      <c r="AD159" s="2114">
        <f t="shared" si="59"/>
        <v>0</v>
      </c>
      <c r="AE159" s="2113">
        <f t="shared" si="60"/>
        <v>0</v>
      </c>
      <c r="AF159" s="2114">
        <f t="shared" si="61"/>
        <v>0</v>
      </c>
      <c r="AG159" s="2113"/>
      <c r="AH159" s="2113"/>
      <c r="AI159" s="2114">
        <f>Z159+'2024 Калуга+область перекачка'!Z159+'2024 Калуга+область очистка'!Z159</f>
        <v>0</v>
      </c>
      <c r="AJ159" s="2114">
        <f>AA159+'2024 Калуга+область перекачка'!AA159+'2024 Калуга+область очистка'!AA159</f>
        <v>0</v>
      </c>
      <c r="AK159" s="2114">
        <f>AB159+'2024 Калуга+область перекачка'!AB159+'2024 Калуга+область очистка'!AB159</f>
        <v>0</v>
      </c>
      <c r="AL159" s="2114">
        <f>расчет_тарифа_К_!O160</f>
        <v>0</v>
      </c>
      <c r="AM159" s="2593">
        <f t="shared" si="62"/>
        <v>0</v>
      </c>
    </row>
    <row r="160" spans="1:39" s="2218" customFormat="1" ht="21" customHeight="1" outlineLevel="1">
      <c r="A160" s="2235">
        <v>242</v>
      </c>
      <c r="B160" s="2281" t="s">
        <v>1965</v>
      </c>
      <c r="C160" s="2282" t="s">
        <v>1929</v>
      </c>
      <c r="D160" s="2283" t="s">
        <v>1951</v>
      </c>
      <c r="E160" s="2284"/>
      <c r="F160" s="2285"/>
      <c r="G160" s="2257">
        <f t="shared" si="52"/>
        <v>0</v>
      </c>
      <c r="H160" s="2285"/>
      <c r="I160" s="2285"/>
      <c r="J160" s="2257">
        <f t="shared" si="53"/>
        <v>0</v>
      </c>
      <c r="K160" s="2285"/>
      <c r="L160" s="2285"/>
      <c r="M160" s="2259">
        <f t="shared" si="54"/>
        <v>0</v>
      </c>
      <c r="N160" s="2284"/>
      <c r="O160" s="2285"/>
      <c r="P160" s="2259">
        <f t="shared" si="63"/>
        <v>0</v>
      </c>
      <c r="Q160" s="2284">
        <v>0</v>
      </c>
      <c r="R160" s="2285">
        <v>0</v>
      </c>
      <c r="S160" s="2259">
        <f t="shared" si="64"/>
        <v>0</v>
      </c>
      <c r="T160" s="2284">
        <v>0</v>
      </c>
      <c r="U160" s="2285">
        <v>0</v>
      </c>
      <c r="V160" s="2268">
        <f t="shared" si="55"/>
        <v>0</v>
      </c>
      <c r="W160" s="2888">
        <f>T160/$T$272*$W$272</f>
        <v>0</v>
      </c>
      <c r="X160" s="2889">
        <f>U160/$T$272*$W$272</f>
        <v>0</v>
      </c>
      <c r="Y160" s="2268">
        <f t="shared" si="56"/>
        <v>0</v>
      </c>
      <c r="Z160" s="2888">
        <f t="shared" si="68"/>
        <v>0</v>
      </c>
      <c r="AA160" s="2889">
        <f t="shared" si="68"/>
        <v>0</v>
      </c>
      <c r="AB160" s="2268">
        <f t="shared" si="57"/>
        <v>0</v>
      </c>
      <c r="AC160" s="2113">
        <f t="shared" si="58"/>
        <v>0</v>
      </c>
      <c r="AD160" s="2114">
        <f t="shared" si="59"/>
        <v>0</v>
      </c>
      <c r="AE160" s="2113">
        <f t="shared" si="60"/>
        <v>0</v>
      </c>
      <c r="AF160" s="2114">
        <f t="shared" si="61"/>
        <v>0</v>
      </c>
      <c r="AG160" s="2113"/>
      <c r="AH160" s="2113"/>
      <c r="AI160" s="2114">
        <f>Z160+'2024 Калуга+область перекачка'!Z160+'2024 Калуга+область очистка'!Z160</f>
        <v>0</v>
      </c>
      <c r="AJ160" s="2114">
        <f>AA160+'2024 Калуга+область перекачка'!AA160+'2024 Калуга+область очистка'!AA160</f>
        <v>0</v>
      </c>
      <c r="AK160" s="2114">
        <f>AB160+'2024 Калуга+область перекачка'!AB160+'2024 Калуга+область очистка'!AB160</f>
        <v>0</v>
      </c>
      <c r="AL160" s="2114">
        <f>расчет_тарифа_К_!O161</f>
        <v>0</v>
      </c>
      <c r="AM160" s="2593">
        <f t="shared" si="62"/>
        <v>0</v>
      </c>
    </row>
    <row r="161" spans="1:39" s="2218" customFormat="1" ht="21" customHeight="1" outlineLevel="1">
      <c r="A161" s="2235">
        <v>243</v>
      </c>
      <c r="B161" s="2281" t="s">
        <v>1966</v>
      </c>
      <c r="C161" s="2282" t="s">
        <v>1967</v>
      </c>
      <c r="D161" s="2283" t="s">
        <v>1954</v>
      </c>
      <c r="E161" s="2284"/>
      <c r="F161" s="2285"/>
      <c r="G161" s="2257">
        <f t="shared" si="52"/>
        <v>0</v>
      </c>
      <c r="H161" s="2285"/>
      <c r="I161" s="2285"/>
      <c r="J161" s="2257">
        <f t="shared" si="53"/>
        <v>0</v>
      </c>
      <c r="K161" s="2285"/>
      <c r="L161" s="2285"/>
      <c r="M161" s="2259">
        <f t="shared" si="54"/>
        <v>0</v>
      </c>
      <c r="N161" s="2284"/>
      <c r="O161" s="2285"/>
      <c r="P161" s="2259">
        <f t="shared" si="63"/>
        <v>0</v>
      </c>
      <c r="Q161" s="2284">
        <v>0</v>
      </c>
      <c r="R161" s="2285">
        <v>0</v>
      </c>
      <c r="S161" s="2259">
        <f t="shared" si="64"/>
        <v>0</v>
      </c>
      <c r="T161" s="2284">
        <v>0</v>
      </c>
      <c r="U161" s="2285">
        <v>0</v>
      </c>
      <c r="V161" s="2268">
        <f t="shared" si="55"/>
        <v>0</v>
      </c>
      <c r="W161" s="2385" t="e">
        <f>W159/W160</f>
        <v>#DIV/0!</v>
      </c>
      <c r="X161" s="2285" t="e">
        <f>X159/X160</f>
        <v>#DIV/0!</v>
      </c>
      <c r="Y161" s="2268" t="e">
        <f t="shared" si="56"/>
        <v>#DIV/0!</v>
      </c>
      <c r="Z161" s="2385" t="e">
        <f>Z159/Z160</f>
        <v>#DIV/0!</v>
      </c>
      <c r="AA161" s="2285" t="e">
        <f>AA159/AA160</f>
        <v>#DIV/0!</v>
      </c>
      <c r="AB161" s="2268" t="e">
        <f t="shared" si="57"/>
        <v>#DIV/0!</v>
      </c>
      <c r="AC161" s="2113">
        <f t="shared" si="58"/>
        <v>0</v>
      </c>
      <c r="AD161" s="2114" t="e">
        <f t="shared" si="59"/>
        <v>#DIV/0!</v>
      </c>
      <c r="AE161" s="2113">
        <f t="shared" si="60"/>
        <v>0</v>
      </c>
      <c r="AF161" s="2114" t="e">
        <f t="shared" si="61"/>
        <v>#DIV/0!</v>
      </c>
      <c r="AG161" s="2113"/>
      <c r="AH161" s="2113"/>
      <c r="AI161" s="2114" t="e">
        <f>Z161+'2024 Калуга+область перекачка'!Z161+'2024 Калуга+область очистка'!Z161</f>
        <v>#DIV/0!</v>
      </c>
      <c r="AJ161" s="2114" t="e">
        <f>AA161+'2024 Калуга+область перекачка'!AA161+'2024 Калуга+область очистка'!AA161</f>
        <v>#DIV/0!</v>
      </c>
      <c r="AK161" s="2114" t="e">
        <f>AB161+'2024 Калуга+область перекачка'!AB161+'2024 Калуга+область очистка'!AB161</f>
        <v>#DIV/0!</v>
      </c>
      <c r="AL161" s="2114">
        <f>расчет_тарифа_К_!O162</f>
        <v>0</v>
      </c>
      <c r="AM161" s="2593" t="e">
        <f t="shared" si="62"/>
        <v>#DIV/0!</v>
      </c>
    </row>
    <row r="162" spans="1:39" s="2218" customFormat="1" ht="18.75" customHeight="1" outlineLevel="1">
      <c r="A162" s="2235">
        <v>234</v>
      </c>
      <c r="B162" s="2279"/>
      <c r="C162" s="2280" t="s">
        <v>1936</v>
      </c>
      <c r="D162" s="2254" t="s">
        <v>1317</v>
      </c>
      <c r="E162" s="2255">
        <f>E163*E164</f>
        <v>0</v>
      </c>
      <c r="F162" s="2256">
        <f>F163*F164</f>
        <v>0</v>
      </c>
      <c r="G162" s="2257">
        <f t="shared" si="52"/>
        <v>0</v>
      </c>
      <c r="H162" s="2256">
        <f>H163*H164</f>
        <v>0</v>
      </c>
      <c r="I162" s="2256">
        <f>I163*I164</f>
        <v>0</v>
      </c>
      <c r="J162" s="2257">
        <f t="shared" si="53"/>
        <v>0</v>
      </c>
      <c r="K162" s="2256">
        <f>K163*K164</f>
        <v>0</v>
      </c>
      <c r="L162" s="2256">
        <f>L163*L164</f>
        <v>0</v>
      </c>
      <c r="M162" s="2259">
        <f t="shared" si="54"/>
        <v>0</v>
      </c>
      <c r="N162" s="2255">
        <v>0</v>
      </c>
      <c r="O162" s="2256">
        <v>0</v>
      </c>
      <c r="P162" s="2259">
        <f t="shared" si="63"/>
        <v>0</v>
      </c>
      <c r="Q162" s="2255">
        <v>0</v>
      </c>
      <c r="R162" s="2256">
        <v>0</v>
      </c>
      <c r="S162" s="2259">
        <f t="shared" si="64"/>
        <v>0</v>
      </c>
      <c r="T162" s="2255">
        <v>0</v>
      </c>
      <c r="U162" s="2256">
        <v>0</v>
      </c>
      <c r="V162" s="2268">
        <f t="shared" si="55"/>
        <v>0</v>
      </c>
      <c r="W162" s="2377">
        <f>T162/$T$272*$N$272</f>
        <v>0</v>
      </c>
      <c r="X162" s="2256">
        <f>U162/$T$272*$N$272</f>
        <v>0</v>
      </c>
      <c r="Y162" s="2268">
        <f t="shared" si="56"/>
        <v>0</v>
      </c>
      <c r="Z162" s="2886">
        <f>T162/$T$272*$Z$272</f>
        <v>0</v>
      </c>
      <c r="AA162" s="2887">
        <f>U162/$T$272*$Z$272</f>
        <v>0</v>
      </c>
      <c r="AB162" s="2268">
        <f t="shared" si="57"/>
        <v>0</v>
      </c>
      <c r="AC162" s="2113">
        <f t="shared" si="58"/>
        <v>0</v>
      </c>
      <c r="AD162" s="2114">
        <f t="shared" si="59"/>
        <v>0</v>
      </c>
      <c r="AE162" s="2113">
        <f t="shared" si="60"/>
        <v>0</v>
      </c>
      <c r="AF162" s="2114">
        <f t="shared" si="61"/>
        <v>0</v>
      </c>
      <c r="AG162" s="2113"/>
      <c r="AH162" s="2113"/>
      <c r="AI162" s="2114">
        <f>Z162+'2024 Калуга+область перекачка'!Z162+'2024 Калуга+область очистка'!Z162</f>
        <v>0</v>
      </c>
      <c r="AJ162" s="2114">
        <f>AA162+'2024 Калуга+область перекачка'!AA162+'2024 Калуга+область очистка'!AA162</f>
        <v>0</v>
      </c>
      <c r="AK162" s="2114">
        <f>AB162+'2024 Калуга+область перекачка'!AB162+'2024 Калуга+область очистка'!AB162</f>
        <v>0</v>
      </c>
      <c r="AL162" s="2114">
        <f>расчет_тарифа_К_!O163</f>
        <v>0</v>
      </c>
      <c r="AM162" s="2593">
        <f t="shared" si="62"/>
        <v>0</v>
      </c>
    </row>
    <row r="163" spans="1:39" s="2218" customFormat="1" ht="21" customHeight="1" outlineLevel="1">
      <c r="A163" s="2235">
        <v>244</v>
      </c>
      <c r="B163" s="2281" t="s">
        <v>1968</v>
      </c>
      <c r="C163" s="2282" t="s">
        <v>1929</v>
      </c>
      <c r="D163" s="2283" t="s">
        <v>1951</v>
      </c>
      <c r="E163" s="2284"/>
      <c r="F163" s="2285"/>
      <c r="G163" s="2257">
        <f t="shared" si="52"/>
        <v>0</v>
      </c>
      <c r="H163" s="2285"/>
      <c r="I163" s="2285"/>
      <c r="J163" s="2257">
        <f t="shared" si="53"/>
        <v>0</v>
      </c>
      <c r="K163" s="2285"/>
      <c r="L163" s="2285"/>
      <c r="M163" s="2259">
        <f t="shared" si="54"/>
        <v>0</v>
      </c>
      <c r="N163" s="2284"/>
      <c r="O163" s="2285"/>
      <c r="P163" s="2259">
        <f t="shared" si="63"/>
        <v>0</v>
      </c>
      <c r="Q163" s="2284">
        <v>0</v>
      </c>
      <c r="R163" s="2285">
        <v>0</v>
      </c>
      <c r="S163" s="2259">
        <f t="shared" si="64"/>
        <v>0</v>
      </c>
      <c r="T163" s="2284">
        <v>0</v>
      </c>
      <c r="U163" s="2285">
        <v>0</v>
      </c>
      <c r="V163" s="2268">
        <f t="shared" si="55"/>
        <v>0</v>
      </c>
      <c r="W163" s="2888">
        <f>T163/$T$272*$W$272</f>
        <v>0</v>
      </c>
      <c r="X163" s="2889">
        <f>U163/$T$272*$W$272</f>
        <v>0</v>
      </c>
      <c r="Y163" s="2268">
        <f t="shared" si="56"/>
        <v>0</v>
      </c>
      <c r="Z163" s="2888">
        <f>T163/$T$272*$Z$272</f>
        <v>0</v>
      </c>
      <c r="AA163" s="2889">
        <f>U163/$T$272*$Z$272</f>
        <v>0</v>
      </c>
      <c r="AB163" s="2268">
        <f t="shared" si="57"/>
        <v>0</v>
      </c>
      <c r="AC163" s="2113">
        <f t="shared" si="58"/>
        <v>0</v>
      </c>
      <c r="AD163" s="2114">
        <f t="shared" si="59"/>
        <v>0</v>
      </c>
      <c r="AE163" s="2113">
        <f t="shared" si="60"/>
        <v>0</v>
      </c>
      <c r="AF163" s="2114">
        <f t="shared" si="61"/>
        <v>0</v>
      </c>
      <c r="AG163" s="2113"/>
      <c r="AH163" s="2113"/>
      <c r="AI163" s="2114">
        <f>Z163+'2024 Калуга+область перекачка'!Z163+'2024 Калуга+область очистка'!Z163</f>
        <v>0</v>
      </c>
      <c r="AJ163" s="2114">
        <f>AA163+'2024 Калуга+область перекачка'!AA163+'2024 Калуга+область очистка'!AA163</f>
        <v>0</v>
      </c>
      <c r="AK163" s="2114">
        <f>AB163+'2024 Калуга+область перекачка'!AB163+'2024 Калуга+область очистка'!AB163</f>
        <v>0</v>
      </c>
      <c r="AL163" s="2114">
        <f>расчет_тарифа_К_!O164</f>
        <v>0</v>
      </c>
      <c r="AM163" s="2593">
        <f t="shared" si="62"/>
        <v>0</v>
      </c>
    </row>
    <row r="164" spans="1:39" s="2218" customFormat="1" ht="21" customHeight="1" outlineLevel="1">
      <c r="A164" s="2235">
        <v>245</v>
      </c>
      <c r="B164" s="2281" t="s">
        <v>1969</v>
      </c>
      <c r="C164" s="2282" t="s">
        <v>1967</v>
      </c>
      <c r="D164" s="2283" t="s">
        <v>1954</v>
      </c>
      <c r="E164" s="2284"/>
      <c r="F164" s="2285"/>
      <c r="G164" s="2257">
        <f t="shared" si="52"/>
        <v>0</v>
      </c>
      <c r="H164" s="2285"/>
      <c r="I164" s="2285"/>
      <c r="J164" s="2257">
        <f t="shared" si="53"/>
        <v>0</v>
      </c>
      <c r="K164" s="2285"/>
      <c r="L164" s="2285"/>
      <c r="M164" s="2259">
        <f t="shared" si="54"/>
        <v>0</v>
      </c>
      <c r="N164" s="2284"/>
      <c r="O164" s="2285"/>
      <c r="P164" s="2259">
        <f t="shared" si="63"/>
        <v>0</v>
      </c>
      <c r="Q164" s="2284">
        <v>0</v>
      </c>
      <c r="R164" s="2285">
        <v>0</v>
      </c>
      <c r="S164" s="2259">
        <f t="shared" si="64"/>
        <v>0</v>
      </c>
      <c r="T164" s="2284">
        <v>0</v>
      </c>
      <c r="U164" s="2285">
        <v>0</v>
      </c>
      <c r="V164" s="2268">
        <f t="shared" si="55"/>
        <v>0</v>
      </c>
      <c r="W164" s="2385" t="e">
        <f>W162/W163</f>
        <v>#DIV/0!</v>
      </c>
      <c r="X164" s="2285" t="e">
        <f>X162/X163</f>
        <v>#DIV/0!</v>
      </c>
      <c r="Y164" s="2268" t="e">
        <f t="shared" si="56"/>
        <v>#DIV/0!</v>
      </c>
      <c r="Z164" s="2385" t="e">
        <f>Z162/Z163</f>
        <v>#DIV/0!</v>
      </c>
      <c r="AA164" s="2285" t="e">
        <f>AA162/AA163</f>
        <v>#DIV/0!</v>
      </c>
      <c r="AB164" s="2268" t="e">
        <f t="shared" si="57"/>
        <v>#DIV/0!</v>
      </c>
      <c r="AC164" s="2113">
        <f t="shared" si="58"/>
        <v>0</v>
      </c>
      <c r="AD164" s="2114" t="e">
        <f t="shared" si="59"/>
        <v>#DIV/0!</v>
      </c>
      <c r="AE164" s="2113">
        <f t="shared" si="60"/>
        <v>0</v>
      </c>
      <c r="AF164" s="2114" t="e">
        <f t="shared" si="61"/>
        <v>#DIV/0!</v>
      </c>
      <c r="AG164" s="2113"/>
      <c r="AH164" s="2113"/>
      <c r="AI164" s="2114" t="e">
        <f>Z164+'2024 Калуга+область перекачка'!Z164+'2024 Калуга+область очистка'!Z164</f>
        <v>#DIV/0!</v>
      </c>
      <c r="AJ164" s="2114" t="e">
        <f>AA164+'2024 Калуга+область перекачка'!AA164+'2024 Калуга+область очистка'!AA164</f>
        <v>#DIV/0!</v>
      </c>
      <c r="AK164" s="2114" t="e">
        <f>AB164+'2024 Калуга+область перекачка'!AB164+'2024 Калуга+область очистка'!AB164</f>
        <v>#DIV/0!</v>
      </c>
      <c r="AL164" s="2114">
        <f>расчет_тарифа_К_!O165</f>
        <v>0</v>
      </c>
      <c r="AM164" s="2593" t="e">
        <f t="shared" si="62"/>
        <v>#DIV/0!</v>
      </c>
    </row>
    <row r="165" spans="1:39" s="2218" customFormat="1" ht="15.75" customHeight="1" outlineLevel="1">
      <c r="A165" s="2235">
        <v>235</v>
      </c>
      <c r="B165" s="2279"/>
      <c r="C165" s="2280" t="s">
        <v>1939</v>
      </c>
      <c r="D165" s="2254" t="s">
        <v>1317</v>
      </c>
      <c r="E165" s="2255">
        <f>E166*E167</f>
        <v>0</v>
      </c>
      <c r="F165" s="2256">
        <f>F166*F167</f>
        <v>0</v>
      </c>
      <c r="G165" s="2257">
        <f t="shared" si="52"/>
        <v>0</v>
      </c>
      <c r="H165" s="2256">
        <f>H166*H167</f>
        <v>0</v>
      </c>
      <c r="I165" s="2256">
        <f>I166*I167</f>
        <v>0</v>
      </c>
      <c r="J165" s="2257">
        <f t="shared" si="53"/>
        <v>0</v>
      </c>
      <c r="K165" s="2256">
        <f>K166*K167</f>
        <v>0</v>
      </c>
      <c r="L165" s="2256">
        <f>L166*L167</f>
        <v>0</v>
      </c>
      <c r="M165" s="2259">
        <f t="shared" si="54"/>
        <v>0</v>
      </c>
      <c r="N165" s="2255">
        <v>0</v>
      </c>
      <c r="O165" s="2256">
        <v>0</v>
      </c>
      <c r="P165" s="2259">
        <f t="shared" si="63"/>
        <v>0</v>
      </c>
      <c r="Q165" s="2255">
        <v>0</v>
      </c>
      <c r="R165" s="2256">
        <v>0</v>
      </c>
      <c r="S165" s="2259">
        <f t="shared" si="64"/>
        <v>0</v>
      </c>
      <c r="T165" s="2255">
        <v>0</v>
      </c>
      <c r="U165" s="2256">
        <v>0</v>
      </c>
      <c r="V165" s="2268">
        <f t="shared" si="55"/>
        <v>0</v>
      </c>
      <c r="W165" s="2377">
        <f>T165/$T$272*$N$272</f>
        <v>0</v>
      </c>
      <c r="X165" s="2256">
        <f>U165/$T$272*$N$272</f>
        <v>0</v>
      </c>
      <c r="Y165" s="2268">
        <f t="shared" si="56"/>
        <v>0</v>
      </c>
      <c r="Z165" s="2886">
        <f>T165/$T$272*$Z$272</f>
        <v>0</v>
      </c>
      <c r="AA165" s="2887">
        <f>U165/$T$272*$Z$272</f>
        <v>0</v>
      </c>
      <c r="AB165" s="2268">
        <f t="shared" si="57"/>
        <v>0</v>
      </c>
      <c r="AC165" s="2113">
        <f t="shared" si="58"/>
        <v>0</v>
      </c>
      <c r="AD165" s="2114">
        <f t="shared" si="59"/>
        <v>0</v>
      </c>
      <c r="AE165" s="2113">
        <f t="shared" si="60"/>
        <v>0</v>
      </c>
      <c r="AF165" s="2114">
        <f t="shared" si="61"/>
        <v>0</v>
      </c>
      <c r="AG165" s="2113"/>
      <c r="AH165" s="2113"/>
      <c r="AI165" s="2114">
        <f>Z165+'2024 Калуга+область перекачка'!Z165+'2024 Калуга+область очистка'!Z165</f>
        <v>0</v>
      </c>
      <c r="AJ165" s="2114">
        <f>AA165+'2024 Калуга+область перекачка'!AA165+'2024 Калуга+область очистка'!AA165</f>
        <v>0</v>
      </c>
      <c r="AK165" s="2114">
        <f>AB165+'2024 Калуга+область перекачка'!AB165+'2024 Калуга+область очистка'!AB165</f>
        <v>0</v>
      </c>
      <c r="AL165" s="2114">
        <f>расчет_тарифа_К_!O166</f>
        <v>0</v>
      </c>
      <c r="AM165" s="2593">
        <f t="shared" si="62"/>
        <v>0</v>
      </c>
    </row>
    <row r="166" spans="1:39" s="2218" customFormat="1" ht="21" customHeight="1" outlineLevel="1">
      <c r="A166" s="2235">
        <v>246</v>
      </c>
      <c r="B166" s="2281" t="s">
        <v>1970</v>
      </c>
      <c r="C166" s="2282" t="s">
        <v>1929</v>
      </c>
      <c r="D166" s="2283" t="s">
        <v>1951</v>
      </c>
      <c r="E166" s="2284"/>
      <c r="F166" s="2285"/>
      <c r="G166" s="2257">
        <f t="shared" si="52"/>
        <v>0</v>
      </c>
      <c r="H166" s="2285"/>
      <c r="I166" s="2285"/>
      <c r="J166" s="2257">
        <f t="shared" si="53"/>
        <v>0</v>
      </c>
      <c r="K166" s="2285"/>
      <c r="L166" s="2285"/>
      <c r="M166" s="2259">
        <f t="shared" si="54"/>
        <v>0</v>
      </c>
      <c r="N166" s="2284"/>
      <c r="O166" s="2285"/>
      <c r="P166" s="2259">
        <f t="shared" si="63"/>
        <v>0</v>
      </c>
      <c r="Q166" s="2294">
        <v>0</v>
      </c>
      <c r="R166" s="2285">
        <v>0</v>
      </c>
      <c r="S166" s="2259">
        <f t="shared" si="64"/>
        <v>0</v>
      </c>
      <c r="T166" s="2294">
        <v>0</v>
      </c>
      <c r="U166" s="2285">
        <v>0</v>
      </c>
      <c r="V166" s="2268">
        <f t="shared" si="55"/>
        <v>0</v>
      </c>
      <c r="W166" s="2888">
        <f>T166/$T$272*$W$272</f>
        <v>0</v>
      </c>
      <c r="X166" s="2889">
        <f>U166/$T$272*$W$272</f>
        <v>0</v>
      </c>
      <c r="Y166" s="2268">
        <f t="shared" si="56"/>
        <v>0</v>
      </c>
      <c r="Z166" s="2888">
        <f>T166/$T$272*$Z$272</f>
        <v>0</v>
      </c>
      <c r="AA166" s="2889">
        <f>U166/$T$272*$Z$272</f>
        <v>0</v>
      </c>
      <c r="AB166" s="2268">
        <f t="shared" si="57"/>
        <v>0</v>
      </c>
      <c r="AC166" s="2113">
        <f t="shared" si="58"/>
        <v>0</v>
      </c>
      <c r="AD166" s="2114">
        <f t="shared" si="59"/>
        <v>0</v>
      </c>
      <c r="AE166" s="2113">
        <f t="shared" si="60"/>
        <v>0</v>
      </c>
      <c r="AF166" s="2114">
        <f t="shared" si="61"/>
        <v>0</v>
      </c>
      <c r="AG166" s="2113"/>
      <c r="AH166" s="2113"/>
      <c r="AI166" s="2114">
        <f>Z166+'2024 Калуга+область перекачка'!Z166+'2024 Калуга+область очистка'!Z166</f>
        <v>0</v>
      </c>
      <c r="AJ166" s="2114">
        <f>AA166+'2024 Калуга+область перекачка'!AA166+'2024 Калуга+область очистка'!AA166</f>
        <v>0</v>
      </c>
      <c r="AK166" s="2114">
        <f>AB166+'2024 Калуга+область перекачка'!AB166+'2024 Калуга+область очистка'!AB166</f>
        <v>0</v>
      </c>
      <c r="AL166" s="2114">
        <f>расчет_тарифа_К_!O167</f>
        <v>0</v>
      </c>
      <c r="AM166" s="2593">
        <f t="shared" si="62"/>
        <v>0</v>
      </c>
    </row>
    <row r="167" spans="1:39" s="2218" customFormat="1" ht="21" customHeight="1" outlineLevel="1">
      <c r="A167" s="2235">
        <v>247</v>
      </c>
      <c r="B167" s="2281" t="s">
        <v>1971</v>
      </c>
      <c r="C167" s="2282" t="s">
        <v>1967</v>
      </c>
      <c r="D167" s="2283" t="s">
        <v>1954</v>
      </c>
      <c r="E167" s="2284"/>
      <c r="F167" s="2285"/>
      <c r="G167" s="2257">
        <f t="shared" si="52"/>
        <v>0</v>
      </c>
      <c r="H167" s="2285"/>
      <c r="I167" s="2285"/>
      <c r="J167" s="2257">
        <f t="shared" si="53"/>
        <v>0</v>
      </c>
      <c r="K167" s="2285"/>
      <c r="L167" s="2285"/>
      <c r="M167" s="2259">
        <f t="shared" si="54"/>
        <v>0</v>
      </c>
      <c r="N167" s="2284"/>
      <c r="O167" s="2285"/>
      <c r="P167" s="2259">
        <f t="shared" si="63"/>
        <v>0</v>
      </c>
      <c r="Q167" s="2284">
        <v>0</v>
      </c>
      <c r="R167" s="2285">
        <v>0</v>
      </c>
      <c r="S167" s="2259">
        <f t="shared" si="64"/>
        <v>0</v>
      </c>
      <c r="T167" s="2284">
        <v>0</v>
      </c>
      <c r="U167" s="2285">
        <v>0</v>
      </c>
      <c r="V167" s="2268">
        <f t="shared" si="55"/>
        <v>0</v>
      </c>
      <c r="W167" s="2385" t="e">
        <f>W165/W166</f>
        <v>#DIV/0!</v>
      </c>
      <c r="X167" s="2285" t="e">
        <f>X165/X166</f>
        <v>#DIV/0!</v>
      </c>
      <c r="Y167" s="2268" t="e">
        <f t="shared" si="56"/>
        <v>#DIV/0!</v>
      </c>
      <c r="Z167" s="2385" t="e">
        <f>Z165/Z166</f>
        <v>#DIV/0!</v>
      </c>
      <c r="AA167" s="2285" t="e">
        <f>AA165/AA166</f>
        <v>#DIV/0!</v>
      </c>
      <c r="AB167" s="2268" t="e">
        <f t="shared" si="57"/>
        <v>#DIV/0!</v>
      </c>
      <c r="AC167" s="2113">
        <f t="shared" si="58"/>
        <v>0</v>
      </c>
      <c r="AD167" s="2114" t="e">
        <f t="shared" si="59"/>
        <v>#DIV/0!</v>
      </c>
      <c r="AE167" s="2113">
        <f t="shared" si="60"/>
        <v>0</v>
      </c>
      <c r="AF167" s="2114" t="e">
        <f t="shared" si="61"/>
        <v>#DIV/0!</v>
      </c>
      <c r="AG167" s="2113"/>
      <c r="AH167" s="2113"/>
      <c r="AI167" s="2114" t="e">
        <f>Z167+'2024 Калуга+область перекачка'!Z167+'2024 Калуга+область очистка'!Z167</f>
        <v>#DIV/0!</v>
      </c>
      <c r="AJ167" s="2114" t="e">
        <f>AA167+'2024 Калуга+область перекачка'!AA167+'2024 Калуга+область очистка'!AA167</f>
        <v>#DIV/0!</v>
      </c>
      <c r="AK167" s="2114" t="e">
        <f>AB167+'2024 Калуга+область перекачка'!AB167+'2024 Калуга+область очистка'!AB167</f>
        <v>#DIV/0!</v>
      </c>
      <c r="AL167" s="2114">
        <f>расчет_тарифа_К_!O168</f>
        <v>0</v>
      </c>
      <c r="AM167" s="2593" t="e">
        <f t="shared" si="62"/>
        <v>#DIV/0!</v>
      </c>
    </row>
    <row r="168" spans="1:39" s="2218" customFormat="1" ht="19.5" customHeight="1" outlineLevel="1">
      <c r="A168" s="2235">
        <v>236</v>
      </c>
      <c r="B168" s="2279"/>
      <c r="C168" s="2280" t="s">
        <v>1942</v>
      </c>
      <c r="D168" s="2254" t="s">
        <v>1317</v>
      </c>
      <c r="E168" s="2255">
        <f>E169*E170</f>
        <v>0</v>
      </c>
      <c r="F168" s="2256">
        <f>F169*F170</f>
        <v>0</v>
      </c>
      <c r="G168" s="2257">
        <f t="shared" si="52"/>
        <v>0</v>
      </c>
      <c r="H168" s="2256">
        <f>H169*H170</f>
        <v>0</v>
      </c>
      <c r="I168" s="2256">
        <f>I169*I170</f>
        <v>0</v>
      </c>
      <c r="J168" s="2257">
        <f t="shared" si="53"/>
        <v>0</v>
      </c>
      <c r="K168" s="2256">
        <f>K169*K170</f>
        <v>0</v>
      </c>
      <c r="L168" s="2256">
        <f>L169*L170</f>
        <v>0</v>
      </c>
      <c r="M168" s="2259">
        <f t="shared" si="54"/>
        <v>0</v>
      </c>
      <c r="N168" s="2255">
        <v>0</v>
      </c>
      <c r="O168" s="2256">
        <v>0</v>
      </c>
      <c r="P168" s="2259">
        <f t="shared" si="63"/>
        <v>0</v>
      </c>
      <c r="Q168" s="2255">
        <v>0</v>
      </c>
      <c r="R168" s="2256">
        <v>0</v>
      </c>
      <c r="S168" s="2259">
        <f t="shared" si="64"/>
        <v>0</v>
      </c>
      <c r="T168" s="2255">
        <v>0</v>
      </c>
      <c r="U168" s="2256">
        <v>0</v>
      </c>
      <c r="V168" s="2268">
        <f t="shared" si="55"/>
        <v>0</v>
      </c>
      <c r="W168" s="2377">
        <f>T168/$T$272*$N$272</f>
        <v>0</v>
      </c>
      <c r="X168" s="2256">
        <f>U168/$T$272*$N$272</f>
        <v>0</v>
      </c>
      <c r="Y168" s="2268">
        <f t="shared" si="56"/>
        <v>0</v>
      </c>
      <c r="Z168" s="2886">
        <f>T168/$T$272*$Z$272</f>
        <v>0</v>
      </c>
      <c r="AA168" s="2887">
        <f>U168/$T$272*$Z$272</f>
        <v>0</v>
      </c>
      <c r="AB168" s="2268">
        <f t="shared" si="57"/>
        <v>0</v>
      </c>
      <c r="AC168" s="2113">
        <f t="shared" si="58"/>
        <v>0</v>
      </c>
      <c r="AD168" s="2114">
        <f t="shared" si="59"/>
        <v>0</v>
      </c>
      <c r="AE168" s="2113">
        <f t="shared" si="60"/>
        <v>0</v>
      </c>
      <c r="AF168" s="2114">
        <f t="shared" si="61"/>
        <v>0</v>
      </c>
      <c r="AG168" s="2113"/>
      <c r="AH168" s="2113"/>
      <c r="AI168" s="2114">
        <f>Z168+'2024 Калуга+область перекачка'!Z168+'2024 Калуга+область очистка'!Z168</f>
        <v>2372.5889794957516</v>
      </c>
      <c r="AJ168" s="2114">
        <f>AA168+'2024 Калуга+область перекачка'!AA168+'2024 Калуга+область очистка'!AA168</f>
        <v>2586.1219876503696</v>
      </c>
      <c r="AK168" s="2114">
        <f>AB168+'2024 Калуга+область перекачка'!AB168+'2024 Калуга+область очистка'!AB168</f>
        <v>2479.3554835730606</v>
      </c>
      <c r="AL168" s="2114">
        <f>расчет_тарифа_К_!O169</f>
        <v>2586.1219876503696</v>
      </c>
      <c r="AM168" s="2593">
        <f t="shared" si="62"/>
        <v>0</v>
      </c>
    </row>
    <row r="169" spans="1:39" s="2218" customFormat="1" ht="21" customHeight="1" outlineLevel="1">
      <c r="A169" s="2235">
        <v>238</v>
      </c>
      <c r="B169" s="2281" t="s">
        <v>1972</v>
      </c>
      <c r="C169" s="2282" t="s">
        <v>1929</v>
      </c>
      <c r="D169" s="2283" t="s">
        <v>1951</v>
      </c>
      <c r="E169" s="2284"/>
      <c r="F169" s="2285"/>
      <c r="G169" s="2257">
        <f t="shared" si="52"/>
        <v>0</v>
      </c>
      <c r="H169" s="2285"/>
      <c r="I169" s="2285"/>
      <c r="J169" s="2257">
        <f t="shared" si="53"/>
        <v>0</v>
      </c>
      <c r="K169" s="2285"/>
      <c r="L169" s="2285"/>
      <c r="M169" s="2259">
        <f t="shared" si="54"/>
        <v>0</v>
      </c>
      <c r="N169" s="2284"/>
      <c r="O169" s="2285"/>
      <c r="P169" s="2259">
        <f t="shared" si="63"/>
        <v>0</v>
      </c>
      <c r="Q169" s="2284">
        <v>0</v>
      </c>
      <c r="R169" s="2285">
        <v>0</v>
      </c>
      <c r="S169" s="2259">
        <f t="shared" si="64"/>
        <v>0</v>
      </c>
      <c r="T169" s="2284">
        <v>0</v>
      </c>
      <c r="U169" s="2285">
        <v>0</v>
      </c>
      <c r="V169" s="2268">
        <f t="shared" si="55"/>
        <v>0</v>
      </c>
      <c r="W169" s="2888">
        <f>T169/$T$272*$W$272</f>
        <v>0</v>
      </c>
      <c r="X169" s="2889">
        <f>U169/$T$272*$W$272</f>
        <v>0</v>
      </c>
      <c r="Y169" s="2268">
        <f t="shared" si="56"/>
        <v>0</v>
      </c>
      <c r="Z169" s="2888">
        <f>T169/$T$272*$Z$272</f>
        <v>0</v>
      </c>
      <c r="AA169" s="2889">
        <f>U169/$T$272*$Z$272</f>
        <v>0</v>
      </c>
      <c r="AB169" s="2268">
        <f t="shared" si="57"/>
        <v>0</v>
      </c>
      <c r="AC169" s="2113">
        <f t="shared" si="58"/>
        <v>0</v>
      </c>
      <c r="AD169" s="2114">
        <f t="shared" si="59"/>
        <v>0</v>
      </c>
      <c r="AE169" s="2113">
        <f t="shared" si="60"/>
        <v>0</v>
      </c>
      <c r="AF169" s="2114">
        <f t="shared" si="61"/>
        <v>0</v>
      </c>
      <c r="AG169" s="2113"/>
      <c r="AH169" s="2113"/>
      <c r="AI169" s="2114">
        <f>Z169+'2024 Калуга+область перекачка'!Z169+'2024 Калуга+область очистка'!Z169</f>
        <v>1058.0960803807991</v>
      </c>
      <c r="AJ169" s="2114">
        <f>AA169+'2024 Калуга+область перекачка'!AA169+'2024 Калуга+область очистка'!AA169</f>
        <v>1058.0960803807991</v>
      </c>
      <c r="AK169" s="2114">
        <f>AB169+'2024 Калуга+область перекачка'!AB169+'2024 Калуга+область очистка'!AB169</f>
        <v>1058.0960803807991</v>
      </c>
      <c r="AL169" s="2114">
        <f>расчет_тарифа_К_!O170</f>
        <v>1058.0960803807991</v>
      </c>
      <c r="AM169" s="2593">
        <f t="shared" si="62"/>
        <v>0</v>
      </c>
    </row>
    <row r="170" spans="1:39" s="2218" customFormat="1" ht="21" customHeight="1" outlineLevel="1">
      <c r="A170" s="2235">
        <v>239</v>
      </c>
      <c r="B170" s="2281" t="s">
        <v>1973</v>
      </c>
      <c r="C170" s="2282" t="s">
        <v>1967</v>
      </c>
      <c r="D170" s="2283" t="s">
        <v>1954</v>
      </c>
      <c r="E170" s="2284"/>
      <c r="F170" s="2285"/>
      <c r="G170" s="2257">
        <f t="shared" si="52"/>
        <v>0</v>
      </c>
      <c r="H170" s="2285"/>
      <c r="I170" s="2285"/>
      <c r="J170" s="2257">
        <f t="shared" si="53"/>
        <v>0</v>
      </c>
      <c r="K170" s="2285"/>
      <c r="L170" s="2285"/>
      <c r="M170" s="2259">
        <f t="shared" si="54"/>
        <v>0</v>
      </c>
      <c r="N170" s="2284"/>
      <c r="O170" s="2285"/>
      <c r="P170" s="2259">
        <f t="shared" si="63"/>
        <v>0</v>
      </c>
      <c r="Q170" s="2284">
        <v>0</v>
      </c>
      <c r="R170" s="2285">
        <v>0</v>
      </c>
      <c r="S170" s="2259">
        <f t="shared" si="64"/>
        <v>0</v>
      </c>
      <c r="T170" s="2284">
        <v>0</v>
      </c>
      <c r="U170" s="2285">
        <v>0</v>
      </c>
      <c r="V170" s="2268">
        <f t="shared" si="55"/>
        <v>0</v>
      </c>
      <c r="W170" s="2385" t="e">
        <f>W168/W169</f>
        <v>#DIV/0!</v>
      </c>
      <c r="X170" s="2285" t="e">
        <f>X168/X169</f>
        <v>#DIV/0!</v>
      </c>
      <c r="Y170" s="2268" t="e">
        <f t="shared" si="56"/>
        <v>#DIV/0!</v>
      </c>
      <c r="Z170" s="2385" t="e">
        <f>Z168/Z169</f>
        <v>#DIV/0!</v>
      </c>
      <c r="AA170" s="2285" t="e">
        <f>AA168/AA169</f>
        <v>#DIV/0!</v>
      </c>
      <c r="AB170" s="2268" t="e">
        <f t="shared" si="57"/>
        <v>#DIV/0!</v>
      </c>
      <c r="AC170" s="2113">
        <f t="shared" si="58"/>
        <v>0</v>
      </c>
      <c r="AD170" s="2114" t="e">
        <f t="shared" si="59"/>
        <v>#DIV/0!</v>
      </c>
      <c r="AE170" s="2113">
        <f t="shared" si="60"/>
        <v>0</v>
      </c>
      <c r="AF170" s="2114" t="e">
        <f t="shared" si="61"/>
        <v>#DIV/0!</v>
      </c>
      <c r="AG170" s="2113"/>
      <c r="AH170" s="2113"/>
      <c r="AI170" s="2114" t="e">
        <f>Z170+'2024 Калуга+область перекачка'!Z170+'2024 Калуга+область очистка'!Z170</f>
        <v>#DIV/0!</v>
      </c>
      <c r="AJ170" s="2114" t="e">
        <f>AA170+'2024 Калуга+область перекачка'!AA170+'2024 Калуга+область очистка'!AA170</f>
        <v>#DIV/0!</v>
      </c>
      <c r="AK170" s="2114" t="e">
        <f>AB170+'2024 Калуга+область перекачка'!AB170+'2024 Калуга+область очистка'!AB170</f>
        <v>#DIV/0!</v>
      </c>
      <c r="AL170" s="2114">
        <f>расчет_тарифа_К_!O171</f>
        <v>2.4441277456766004</v>
      </c>
      <c r="AM170" s="2593" t="e">
        <f t="shared" si="62"/>
        <v>#DIV/0!</v>
      </c>
    </row>
    <row r="171" spans="1:39" s="2218" customFormat="1" ht="18.75" customHeight="1" outlineLevel="1">
      <c r="A171" s="2235">
        <v>237</v>
      </c>
      <c r="B171" s="2279"/>
      <c r="C171" s="2280" t="s">
        <v>1961</v>
      </c>
      <c r="D171" s="2254" t="s">
        <v>1317</v>
      </c>
      <c r="E171" s="2255">
        <f>E172*E173</f>
        <v>0</v>
      </c>
      <c r="F171" s="2256">
        <f>F172*F173</f>
        <v>0</v>
      </c>
      <c r="G171" s="2257">
        <f t="shared" si="52"/>
        <v>0</v>
      </c>
      <c r="H171" s="2256">
        <f>H172*H173</f>
        <v>0</v>
      </c>
      <c r="I171" s="2256">
        <f>I172*I173</f>
        <v>0</v>
      </c>
      <c r="J171" s="2257">
        <f t="shared" si="53"/>
        <v>0</v>
      </c>
      <c r="K171" s="2256">
        <f>K172*K173</f>
        <v>0</v>
      </c>
      <c r="L171" s="2256">
        <f>L172*L173</f>
        <v>0</v>
      </c>
      <c r="M171" s="2259">
        <f t="shared" si="54"/>
        <v>0</v>
      </c>
      <c r="N171" s="2255">
        <v>0</v>
      </c>
      <c r="O171" s="2256">
        <v>0</v>
      </c>
      <c r="P171" s="2259">
        <f t="shared" si="63"/>
        <v>0</v>
      </c>
      <c r="Q171" s="2255">
        <v>0</v>
      </c>
      <c r="R171" s="2256">
        <v>0</v>
      </c>
      <c r="S171" s="2259">
        <f t="shared" si="64"/>
        <v>0</v>
      </c>
      <c r="T171" s="2255">
        <v>0</v>
      </c>
      <c r="U171" s="2256">
        <v>0</v>
      </c>
      <c r="V171" s="2268">
        <f t="shared" si="55"/>
        <v>0</v>
      </c>
      <c r="W171" s="2377">
        <f>T171/$T$272*$N$272</f>
        <v>0</v>
      </c>
      <c r="X171" s="2256">
        <f>U171/$T$272*$N$272</f>
        <v>0</v>
      </c>
      <c r="Y171" s="2268">
        <f t="shared" si="56"/>
        <v>0</v>
      </c>
      <c r="Z171" s="2886">
        <f>T171/$T$272*$Z$272</f>
        <v>0</v>
      </c>
      <c r="AA171" s="2887">
        <f>U171/$T$272*$Z$272</f>
        <v>0</v>
      </c>
      <c r="AB171" s="2268">
        <f t="shared" si="57"/>
        <v>0</v>
      </c>
      <c r="AC171" s="2113">
        <f t="shared" si="58"/>
        <v>0</v>
      </c>
      <c r="AD171" s="2114">
        <f t="shared" si="59"/>
        <v>0</v>
      </c>
      <c r="AE171" s="2113">
        <f t="shared" si="60"/>
        <v>0</v>
      </c>
      <c r="AF171" s="2114">
        <f t="shared" si="61"/>
        <v>0</v>
      </c>
      <c r="AG171" s="2113"/>
      <c r="AH171" s="2113"/>
      <c r="AI171" s="2114">
        <f>Z171+'2024 Калуга+область перекачка'!Z171+'2024 Калуга+область очистка'!Z171</f>
        <v>0</v>
      </c>
      <c r="AJ171" s="2114">
        <f>AA171+'2024 Калуга+область перекачка'!AA171+'2024 Калуга+область очистка'!AA171</f>
        <v>0</v>
      </c>
      <c r="AK171" s="2114">
        <f>AB171+'2024 Калуга+область перекачка'!AB171+'2024 Калуга+область очистка'!AB171</f>
        <v>0</v>
      </c>
      <c r="AL171" s="2114">
        <f>расчет_тарифа_К_!O172</f>
        <v>0</v>
      </c>
      <c r="AM171" s="2593">
        <f t="shared" si="62"/>
        <v>0</v>
      </c>
    </row>
    <row r="172" spans="1:39" s="2218" customFormat="1" ht="21" customHeight="1" outlineLevel="1">
      <c r="A172" s="2235">
        <v>248</v>
      </c>
      <c r="B172" s="2281" t="s">
        <v>1974</v>
      </c>
      <c r="C172" s="2282" t="s">
        <v>1929</v>
      </c>
      <c r="D172" s="2283" t="s">
        <v>1951</v>
      </c>
      <c r="E172" s="2284"/>
      <c r="F172" s="2285"/>
      <c r="G172" s="2257">
        <f t="shared" si="52"/>
        <v>0</v>
      </c>
      <c r="H172" s="2285"/>
      <c r="I172" s="2285"/>
      <c r="J172" s="2257">
        <f t="shared" si="53"/>
        <v>0</v>
      </c>
      <c r="K172" s="2285"/>
      <c r="L172" s="2285"/>
      <c r="M172" s="2259">
        <f t="shared" si="54"/>
        <v>0</v>
      </c>
      <c r="N172" s="2284"/>
      <c r="O172" s="2285"/>
      <c r="P172" s="2259">
        <f t="shared" si="63"/>
        <v>0</v>
      </c>
      <c r="Q172" s="2284">
        <v>0</v>
      </c>
      <c r="R172" s="2285">
        <v>0</v>
      </c>
      <c r="S172" s="2259">
        <f t="shared" si="64"/>
        <v>0</v>
      </c>
      <c r="T172" s="2284">
        <v>0</v>
      </c>
      <c r="U172" s="2285">
        <v>0</v>
      </c>
      <c r="V172" s="2268">
        <f t="shared" si="55"/>
        <v>0</v>
      </c>
      <c r="W172" s="2888">
        <f>T172/$T$272*$W$272</f>
        <v>0</v>
      </c>
      <c r="X172" s="2889">
        <f>U172/$T$272*$W$272</f>
        <v>0</v>
      </c>
      <c r="Y172" s="2268">
        <f t="shared" si="56"/>
        <v>0</v>
      </c>
      <c r="Z172" s="2888">
        <f>T172/$T$272*$Z$272</f>
        <v>0</v>
      </c>
      <c r="AA172" s="2889">
        <f>U172/$T$272*$Z$272</f>
        <v>0</v>
      </c>
      <c r="AB172" s="2268">
        <f t="shared" si="57"/>
        <v>0</v>
      </c>
      <c r="AC172" s="2113">
        <f t="shared" si="58"/>
        <v>0</v>
      </c>
      <c r="AD172" s="2114">
        <f t="shared" si="59"/>
        <v>0</v>
      </c>
      <c r="AE172" s="2113">
        <f t="shared" si="60"/>
        <v>0</v>
      </c>
      <c r="AF172" s="2114">
        <f t="shared" si="61"/>
        <v>0</v>
      </c>
      <c r="AG172" s="2113"/>
      <c r="AH172" s="2113"/>
      <c r="AI172" s="2114">
        <f>Z172+'2024 Калуга+область перекачка'!Z172+'2024 Калуга+область очистка'!Z172</f>
        <v>0</v>
      </c>
      <c r="AJ172" s="2114">
        <f>AA172+'2024 Калуга+область перекачка'!AA172+'2024 Калуга+область очистка'!AA172</f>
        <v>0</v>
      </c>
      <c r="AK172" s="2114">
        <f>AB172+'2024 Калуга+область перекачка'!AB172+'2024 Калуга+область очистка'!AB172</f>
        <v>0</v>
      </c>
      <c r="AL172" s="2114">
        <f>расчет_тарифа_К_!O173</f>
        <v>0</v>
      </c>
      <c r="AM172" s="2593">
        <f t="shared" si="62"/>
        <v>0</v>
      </c>
    </row>
    <row r="173" spans="1:39" s="2218" customFormat="1" ht="21" customHeight="1" outlineLevel="1" thickBot="1">
      <c r="A173" s="2235">
        <v>249</v>
      </c>
      <c r="B173" s="2297" t="s">
        <v>1975</v>
      </c>
      <c r="C173" s="2298" t="s">
        <v>1967</v>
      </c>
      <c r="D173" s="2299" t="s">
        <v>1954</v>
      </c>
      <c r="E173" s="2300"/>
      <c r="F173" s="2301"/>
      <c r="G173" s="2266">
        <f t="shared" si="52"/>
        <v>0</v>
      </c>
      <c r="H173" s="2301"/>
      <c r="I173" s="2301"/>
      <c r="J173" s="2266">
        <f t="shared" si="53"/>
        <v>0</v>
      </c>
      <c r="K173" s="2301"/>
      <c r="L173" s="2301"/>
      <c r="M173" s="2268">
        <f t="shared" si="54"/>
        <v>0</v>
      </c>
      <c r="N173" s="2300"/>
      <c r="O173" s="2301"/>
      <c r="P173" s="2268">
        <f t="shared" si="63"/>
        <v>0</v>
      </c>
      <c r="Q173" s="2300">
        <v>0</v>
      </c>
      <c r="R173" s="2301">
        <v>0</v>
      </c>
      <c r="S173" s="2268">
        <f t="shared" si="64"/>
        <v>0</v>
      </c>
      <c r="T173" s="2300">
        <v>0</v>
      </c>
      <c r="U173" s="2301">
        <v>0</v>
      </c>
      <c r="V173" s="2268">
        <f t="shared" si="55"/>
        <v>0</v>
      </c>
      <c r="W173" s="2385" t="e">
        <f>W171/W172</f>
        <v>#DIV/0!</v>
      </c>
      <c r="X173" s="2285" t="e">
        <f>X171/X172</f>
        <v>#DIV/0!</v>
      </c>
      <c r="Y173" s="2268" t="e">
        <f t="shared" si="56"/>
        <v>#DIV/0!</v>
      </c>
      <c r="Z173" s="2385" t="e">
        <f>Z171/Z172</f>
        <v>#DIV/0!</v>
      </c>
      <c r="AA173" s="2285" t="e">
        <f>AA171/AA172</f>
        <v>#DIV/0!</v>
      </c>
      <c r="AB173" s="2268" t="e">
        <f t="shared" si="57"/>
        <v>#DIV/0!</v>
      </c>
      <c r="AC173" s="2113">
        <f t="shared" si="58"/>
        <v>0</v>
      </c>
      <c r="AD173" s="2114" t="e">
        <f t="shared" si="59"/>
        <v>#DIV/0!</v>
      </c>
      <c r="AE173" s="2113">
        <f t="shared" si="60"/>
        <v>0</v>
      </c>
      <c r="AF173" s="2114" t="e">
        <f t="shared" si="61"/>
        <v>#DIV/0!</v>
      </c>
      <c r="AG173" s="2113"/>
      <c r="AH173" s="2113"/>
      <c r="AI173" s="2114" t="e">
        <f>Z173+'2024 Калуга+область перекачка'!Z173+'2024 Калуга+область очистка'!Z173</f>
        <v>#DIV/0!</v>
      </c>
      <c r="AJ173" s="2114" t="e">
        <f>AA173+'2024 Калуга+область перекачка'!AA173+'2024 Калуга+область очистка'!AA173</f>
        <v>#DIV/0!</v>
      </c>
      <c r="AK173" s="2114" t="e">
        <f>AB173+'2024 Калуга+область перекачка'!AB173+'2024 Калуга+область очистка'!AB173</f>
        <v>#DIV/0!</v>
      </c>
      <c r="AL173" s="2114">
        <f>расчет_тарифа_К_!O174</f>
        <v>0</v>
      </c>
      <c r="AM173" s="2593" t="e">
        <f t="shared" si="62"/>
        <v>#DIV/0!</v>
      </c>
    </row>
    <row r="174" spans="1:39" s="2218" customFormat="1" ht="28.5" customHeight="1" thickBot="1">
      <c r="A174" s="2235">
        <v>255</v>
      </c>
      <c r="B174" s="2378" t="s">
        <v>1181</v>
      </c>
      <c r="C174" s="2318" t="s">
        <v>1976</v>
      </c>
      <c r="D174" s="2379" t="s">
        <v>1313</v>
      </c>
      <c r="E174" s="2070">
        <f>E175+E207+E217+E223+E224+E225+E229+E206+E232+E233+E234</f>
        <v>6202.9602730319339</v>
      </c>
      <c r="F174" s="2070">
        <f>F175+F207+F217+F223+F224+F225+F229+F206+F232+F233+F234</f>
        <v>6469.8759662253442</v>
      </c>
      <c r="G174" s="2071">
        <f t="shared" si="52"/>
        <v>6336.418119628639</v>
      </c>
      <c r="H174" s="2070">
        <f>H175+H207+H217+H223+H224+H225+H229+H206+H232+H233+H234</f>
        <v>8286.913751690201</v>
      </c>
      <c r="I174" s="2070">
        <f>I175+I207+I217+I223+I224+I225+I229+I206+I232+I233+I234</f>
        <v>8552.704933203142</v>
      </c>
      <c r="J174" s="2071">
        <f t="shared" si="53"/>
        <v>8419.8093424466715</v>
      </c>
      <c r="K174" s="2070">
        <f>K175+K207+K217+K223+K224+K225+K229+K206+K232+K233+K234</f>
        <v>7013.9522141404832</v>
      </c>
      <c r="L174" s="2070">
        <f>L175+L207+L217+L223+L224+L225+L229+L206+L232+L233+L234</f>
        <v>7066.0582693153319</v>
      </c>
      <c r="M174" s="2071">
        <f t="shared" si="54"/>
        <v>7040.0052417279076</v>
      </c>
      <c r="N174" s="2070">
        <f>N175+N207+N217+N223+N224+N225+N229+N206+N232+N233+N234</f>
        <v>490.99243097665817</v>
      </c>
      <c r="O174" s="2070">
        <f>O175+O207+O217+O223+O224+O225+O229+O206+O232+O233+O234</f>
        <v>1382.9501854998709</v>
      </c>
      <c r="P174" s="2071">
        <f t="shared" si="63"/>
        <v>936.97130823826456</v>
      </c>
      <c r="Q174" s="2070">
        <f>Q175+Q207+Q217+Q223+Q224+Q225+Q229+Q206+Q232+Q233+Q234</f>
        <v>23475.101727013971</v>
      </c>
      <c r="R174" s="2070">
        <f>R175+R207+R217+R223+R224+R225+R229+R206+R232+R233+R234</f>
        <v>26540.468716422456</v>
      </c>
      <c r="S174" s="2071">
        <f t="shared" si="64"/>
        <v>25007.785221718215</v>
      </c>
      <c r="T174" s="2372">
        <f t="shared" ref="T174:U178" si="69">N174+Q174</f>
        <v>23966.094157990628</v>
      </c>
      <c r="U174" s="2373">
        <f t="shared" si="69"/>
        <v>27923.418901922327</v>
      </c>
      <c r="V174" s="2374">
        <f t="shared" si="55"/>
        <v>25944.756529956478</v>
      </c>
      <c r="W174" s="2945">
        <f t="shared" ref="W174:X177" si="70">T174/$T$272*$N$272</f>
        <v>5391.8428904892153</v>
      </c>
      <c r="X174" s="2070">
        <f>X175+X207+X217+X223+X224+X225+X229+X206+X232+X233+X234</f>
        <v>1185.1994323633562</v>
      </c>
      <c r="Y174" s="2374">
        <f t="shared" si="56"/>
        <v>3288.5211614262857</v>
      </c>
      <c r="Z174" s="2945">
        <f t="shared" ref="Z174:AA178" si="71">T174/$T$272*$Z$272</f>
        <v>18574.251267501408</v>
      </c>
      <c r="AA174" s="2373">
        <f t="shared" si="71"/>
        <v>21641.265177082529</v>
      </c>
      <c r="AB174" s="2946">
        <f t="shared" si="57"/>
        <v>20107.758222291966</v>
      </c>
      <c r="AC174" s="2113">
        <f t="shared" si="58"/>
        <v>6282.1537248397944</v>
      </c>
      <c r="AD174" s="2114">
        <f t="shared" si="59"/>
        <v>5096.9542924764382</v>
      </c>
      <c r="AE174" s="2113">
        <f t="shared" si="60"/>
        <v>21641.265177082529</v>
      </c>
      <c r="AF174" s="2114">
        <f t="shared" si="61"/>
        <v>0</v>
      </c>
      <c r="AG174" s="2113"/>
      <c r="AH174" s="2113"/>
      <c r="AI174" s="2114">
        <f>Z174+'2024 Калуга+область перекачка'!Z174+'2024 Калуга+область очистка'!Z174</f>
        <v>126459.8438554618</v>
      </c>
      <c r="AJ174" s="2114">
        <f>AA174+'2024 Калуга+область перекачка'!AA174+'2024 Калуга+область очистка'!AA174</f>
        <v>158698.37074927753</v>
      </c>
      <c r="AK174" s="2114">
        <f>AB174+'2024 Калуга+область перекачка'!AB174+'2024 Калуга+область очистка'!AB174</f>
        <v>142579.10730236967</v>
      </c>
      <c r="AL174" s="2114">
        <f>расчет_тарифа_К_!O175</f>
        <v>158698.36819052053</v>
      </c>
      <c r="AM174" s="2593">
        <f t="shared" si="62"/>
        <v>2.5587569980416447E-3</v>
      </c>
    </row>
    <row r="175" spans="1:39" s="2218" customFormat="1" ht="99.75" customHeight="1">
      <c r="A175" s="2235">
        <v>256</v>
      </c>
      <c r="B175" s="2243" t="s">
        <v>1977</v>
      </c>
      <c r="C175" s="2278" t="s">
        <v>1774</v>
      </c>
      <c r="D175" s="2245" t="s">
        <v>1313</v>
      </c>
      <c r="E175" s="2246">
        <f>E176+E187+E191+E194+E197+E198+E199+E200+E203+E190</f>
        <v>2232.0970325085268</v>
      </c>
      <c r="F175" s="2246">
        <f>F176+F187+F191+F194+F197+F198+F199+F200+F203+F190</f>
        <v>2499.0127257019367</v>
      </c>
      <c r="G175" s="2248">
        <f t="shared" si="52"/>
        <v>2365.5548791052315</v>
      </c>
      <c r="H175" s="2246">
        <f>H176+H187+H191+H194+H197+H198+H199+H200+H203+H190</f>
        <v>2629.3946850089865</v>
      </c>
      <c r="I175" s="2246">
        <f>I176+I187+I191+I194+I197+I198+I199+I200+I203+I190</f>
        <v>2895.1858665219265</v>
      </c>
      <c r="J175" s="2248">
        <f t="shared" si="53"/>
        <v>2762.2902757654565</v>
      </c>
      <c r="K175" s="2246">
        <f>K176+K187+K191+K194+K197+K198+K199+K200+K203+K190</f>
        <v>1639.3274081343463</v>
      </c>
      <c r="L175" s="2246">
        <f>L176+L187+L191+L194+L197+L198+L199+L200+L203+L190</f>
        <v>1691.4334633091958</v>
      </c>
      <c r="M175" s="2250">
        <f t="shared" si="54"/>
        <v>1665.3804357217709</v>
      </c>
      <c r="N175" s="2246">
        <f>N176+N187+N191+N194+N197+N198+N199+N200+N203+N190</f>
        <v>490.99243097665817</v>
      </c>
      <c r="O175" s="2246">
        <f>O176+O187+O191+O194+O197+O198+O199+O200+O203+O190</f>
        <v>1369.119684370271</v>
      </c>
      <c r="P175" s="2250">
        <f t="shared" si="63"/>
        <v>930.05605767346458</v>
      </c>
      <c r="Q175" s="2246">
        <f>Q176+Q187+Q191+Q194+Q197+Q198+Q199+Q200+Q203+Q190</f>
        <v>23474.717010477914</v>
      </c>
      <c r="R175" s="2246">
        <f>R176+R187+R191+R194+R197+R198+R199+R200+R203+R190</f>
        <v>24953.624182138021</v>
      </c>
      <c r="S175" s="2250">
        <f t="shared" si="64"/>
        <v>24214.170596307966</v>
      </c>
      <c r="T175" s="2465">
        <f t="shared" si="69"/>
        <v>23965.709441454572</v>
      </c>
      <c r="U175" s="2466">
        <f t="shared" si="69"/>
        <v>26322.743866508292</v>
      </c>
      <c r="V175" s="2268">
        <f t="shared" si="55"/>
        <v>25144.22665398143</v>
      </c>
      <c r="W175" s="2377">
        <f t="shared" si="70"/>
        <v>5391.7563377490769</v>
      </c>
      <c r="X175" s="2246">
        <f>X176+X187+X191+X194+X197+X198+X199+X200+X203+X190</f>
        <v>825.08283377262705</v>
      </c>
      <c r="Y175" s="2268">
        <f t="shared" si="56"/>
        <v>3108.419585760852</v>
      </c>
      <c r="Z175" s="2886">
        <f t="shared" si="71"/>
        <v>18573.953103705491</v>
      </c>
      <c r="AA175" s="2887">
        <f t="shared" si="71"/>
        <v>20400.706740259226</v>
      </c>
      <c r="AB175" s="2268">
        <f t="shared" si="57"/>
        <v>19487.32992198236</v>
      </c>
      <c r="AC175" s="2113">
        <f t="shared" si="58"/>
        <v>5922.0371262490653</v>
      </c>
      <c r="AD175" s="2114">
        <f t="shared" si="59"/>
        <v>5096.9542924764382</v>
      </c>
      <c r="AE175" s="2113">
        <f t="shared" si="60"/>
        <v>20400.706740259226</v>
      </c>
      <c r="AF175" s="2114">
        <f t="shared" si="61"/>
        <v>0</v>
      </c>
      <c r="AG175" s="2113"/>
      <c r="AH175" s="2113"/>
      <c r="AI175" s="2114">
        <f>Z175+'2024 Калуга+область перекачка'!Z175+'2024 Калуга+область очистка'!Z175</f>
        <v>125484.15228753153</v>
      </c>
      <c r="AJ175" s="2114">
        <f>AA175+'2024 Калуга+область перекачка'!AA175+'2024 Калуга+область очистка'!AA175</f>
        <v>155187.32456753647</v>
      </c>
      <c r="AK175" s="2114">
        <f>AB175+'2024 Калуга+область перекачка'!AB175+'2024 Калуга+область очистка'!AB175</f>
        <v>140335.738427534</v>
      </c>
      <c r="AL175" s="2114">
        <f>расчет_тарифа_К_!O176</f>
        <v>155187.32200877948</v>
      </c>
      <c r="AM175" s="2593">
        <f t="shared" si="62"/>
        <v>2.5587569980416447E-3</v>
      </c>
    </row>
    <row r="176" spans="1:39" s="2218" customFormat="1" ht="16.5" customHeight="1">
      <c r="A176" s="2235">
        <v>333</v>
      </c>
      <c r="B176" s="2279" t="s">
        <v>1978</v>
      </c>
      <c r="C176" s="2280" t="s">
        <v>1979</v>
      </c>
      <c r="D176" s="2254"/>
      <c r="E176" s="2255">
        <f>E177+E180+E183+E186</f>
        <v>66.000955665024634</v>
      </c>
      <c r="F176" s="2256">
        <f>F177+F180+F183+F186</f>
        <v>67.980984334975375</v>
      </c>
      <c r="G176" s="2257">
        <f t="shared" si="52"/>
        <v>66.990970000000004</v>
      </c>
      <c r="H176" s="2256">
        <f>H177+H180+H183+H186</f>
        <v>106.20977406679761</v>
      </c>
      <c r="I176" s="2256">
        <f>I177+I180+I183+I186</f>
        <v>110.03332593320232</v>
      </c>
      <c r="J176" s="2257">
        <f t="shared" si="53"/>
        <v>108.12154999999996</v>
      </c>
      <c r="K176" s="2256">
        <f>K177+K180+K183+K186</f>
        <v>127.77117270164308</v>
      </c>
      <c r="L176" s="2256">
        <f>L177+L180+L183+L186</f>
        <v>133.77110505506678</v>
      </c>
      <c r="M176" s="2259">
        <f t="shared" si="54"/>
        <v>130.77113887835492</v>
      </c>
      <c r="N176" s="2256">
        <f>N177+N180+N183+N186</f>
        <v>149.51343371598105</v>
      </c>
      <c r="O176" s="2256">
        <f>O177+O180+O183+O186</f>
        <v>166.25893829217094</v>
      </c>
      <c r="P176" s="2259">
        <f t="shared" si="63"/>
        <v>157.886186004076</v>
      </c>
      <c r="Q176" s="2256">
        <f>Q177+Q180+Q183+Q186</f>
        <v>0</v>
      </c>
      <c r="R176" s="2256">
        <f>R177+R180+R183+R186</f>
        <v>0</v>
      </c>
      <c r="S176" s="2259">
        <f t="shared" si="64"/>
        <v>0</v>
      </c>
      <c r="T176" s="2465">
        <f t="shared" si="69"/>
        <v>149.51343371598105</v>
      </c>
      <c r="U176" s="2247">
        <f t="shared" si="69"/>
        <v>166.25893829217094</v>
      </c>
      <c r="V176" s="2268">
        <f t="shared" si="55"/>
        <v>157.886186004076</v>
      </c>
      <c r="W176" s="2377">
        <f t="shared" si="70"/>
        <v>33.637226796313847</v>
      </c>
      <c r="X176" s="2256">
        <f t="shared" si="70"/>
        <v>37.404596197501</v>
      </c>
      <c r="Y176" s="2268">
        <f t="shared" si="56"/>
        <v>35.520911496907424</v>
      </c>
      <c r="Z176" s="2886">
        <f t="shared" si="71"/>
        <v>115.8762069196672</v>
      </c>
      <c r="AA176" s="2887">
        <f t="shared" si="71"/>
        <v>128.85434209466993</v>
      </c>
      <c r="AB176" s="2268">
        <f t="shared" si="57"/>
        <v>122.36527450716856</v>
      </c>
      <c r="AC176" s="2113">
        <f t="shared" si="58"/>
        <v>37.404596197501</v>
      </c>
      <c r="AD176" s="2114">
        <f t="shared" si="59"/>
        <v>0</v>
      </c>
      <c r="AE176" s="2113">
        <f t="shared" si="60"/>
        <v>128.85434209466993</v>
      </c>
      <c r="AF176" s="2114">
        <f t="shared" si="61"/>
        <v>0</v>
      </c>
      <c r="AG176" s="2113"/>
      <c r="AH176" s="2113"/>
      <c r="AI176" s="2114">
        <f>Z176+'2024 Калуга+область перекачка'!Z176+'2024 Калуга+область очистка'!Z176</f>
        <v>1696.0964192663744</v>
      </c>
      <c r="AJ176" s="2114">
        <f>AA176+'2024 Калуга+область перекачка'!AA176+'2024 Калуга+область очистка'!AA176</f>
        <v>1886.0592182242085</v>
      </c>
      <c r="AK176" s="2114">
        <f>AB176+'2024 Калуга+область перекачка'!AB176+'2024 Калуга+область очистка'!AB176</f>
        <v>1791.0778187452913</v>
      </c>
      <c r="AL176" s="2114">
        <f>расчет_тарифа_К_!O177</f>
        <v>1886.0592182242085</v>
      </c>
      <c r="AM176" s="2593">
        <f t="shared" si="62"/>
        <v>0</v>
      </c>
    </row>
    <row r="177" spans="1:39" s="2218" customFormat="1" ht="22.5" customHeight="1">
      <c r="A177" s="2235">
        <v>334</v>
      </c>
      <c r="B177" s="2279" t="s">
        <v>1980</v>
      </c>
      <c r="C177" s="2280" t="s">
        <v>1981</v>
      </c>
      <c r="D177" s="2254"/>
      <c r="E177" s="2255">
        <f>E178*E179</f>
        <v>63.757524476833531</v>
      </c>
      <c r="F177" s="2256">
        <f>F178*F179</f>
        <v>65.670250211138537</v>
      </c>
      <c r="G177" s="2257">
        <f t="shared" si="52"/>
        <v>64.71388734398603</v>
      </c>
      <c r="H177" s="2256">
        <f>H178*H179</f>
        <v>93.73007975458205</v>
      </c>
      <c r="I177" s="2256">
        <f>I178*I179</f>
        <v>97.104362625747001</v>
      </c>
      <c r="J177" s="2257">
        <f t="shared" si="53"/>
        <v>95.417221190164526</v>
      </c>
      <c r="K177" s="2256">
        <f>K178*K179</f>
        <v>101.15438545060445</v>
      </c>
      <c r="L177" s="2256">
        <f>L178*L179</f>
        <v>106.00979595223347</v>
      </c>
      <c r="M177" s="2259">
        <f t="shared" si="54"/>
        <v>103.58209070141896</v>
      </c>
      <c r="N177" s="2256">
        <f>N178*N179</f>
        <v>149.51343371598105</v>
      </c>
      <c r="O177" s="2256">
        <f>O178*O179</f>
        <v>166.25893829217094</v>
      </c>
      <c r="P177" s="2259">
        <f t="shared" si="63"/>
        <v>157.886186004076</v>
      </c>
      <c r="Q177" s="2256">
        <f>Q178*Q179</f>
        <v>0</v>
      </c>
      <c r="R177" s="2256">
        <f>R178*R179</f>
        <v>0</v>
      </c>
      <c r="S177" s="2259">
        <f t="shared" si="64"/>
        <v>0</v>
      </c>
      <c r="T177" s="2255">
        <f t="shared" si="69"/>
        <v>149.51343371598105</v>
      </c>
      <c r="U177" s="2256">
        <f t="shared" si="69"/>
        <v>166.25893829217094</v>
      </c>
      <c r="V177" s="2268">
        <f t="shared" si="55"/>
        <v>157.886186004076</v>
      </c>
      <c r="W177" s="2377">
        <f t="shared" si="70"/>
        <v>33.637226796313847</v>
      </c>
      <c r="X177" s="2256">
        <f t="shared" si="70"/>
        <v>37.404596197501</v>
      </c>
      <c r="Y177" s="2268">
        <f t="shared" si="56"/>
        <v>35.520911496907424</v>
      </c>
      <c r="Z177" s="2886">
        <f t="shared" si="71"/>
        <v>115.8762069196672</v>
      </c>
      <c r="AA177" s="2887">
        <f t="shared" si="71"/>
        <v>128.85434209466993</v>
      </c>
      <c r="AB177" s="2268">
        <f t="shared" si="57"/>
        <v>122.36527450716856</v>
      </c>
      <c r="AC177" s="2113">
        <f t="shared" si="58"/>
        <v>37.404596197501</v>
      </c>
      <c r="AD177" s="2114">
        <f t="shared" si="59"/>
        <v>0</v>
      </c>
      <c r="AE177" s="2113">
        <f t="shared" si="60"/>
        <v>128.85434209466993</v>
      </c>
      <c r="AF177" s="2114">
        <f t="shared" si="61"/>
        <v>0</v>
      </c>
      <c r="AG177" s="2113"/>
      <c r="AH177" s="2113"/>
      <c r="AI177" s="2114">
        <f>Z177+'2024 Калуга+область перекачка'!Z177+'2024 Калуга+область очистка'!Z177</f>
        <v>1696.0964192663744</v>
      </c>
      <c r="AJ177" s="2114">
        <f>AA177+'2024 Калуга+область перекачка'!AA177+'2024 Калуга+область очистка'!AA177</f>
        <v>1886.0592182242085</v>
      </c>
      <c r="AK177" s="2114">
        <f>AB177+'2024 Калуга+область перекачка'!AB177+'2024 Калуга+область очистка'!AB177</f>
        <v>1791.0778187452913</v>
      </c>
      <c r="AL177" s="2114">
        <f>расчет_тарифа_К_!O178</f>
        <v>1886.0592182242085</v>
      </c>
      <c r="AM177" s="2593">
        <f t="shared" si="62"/>
        <v>0</v>
      </c>
    </row>
    <row r="178" spans="1:39" s="2218" customFormat="1" ht="25.5" customHeight="1">
      <c r="A178" s="2235">
        <v>337</v>
      </c>
      <c r="B178" s="2281" t="s">
        <v>1982</v>
      </c>
      <c r="C178" s="2282" t="s">
        <v>1327</v>
      </c>
      <c r="D178" s="2283" t="s">
        <v>1983</v>
      </c>
      <c r="E178" s="2284">
        <f>'[3]НВВ тран-ка'!K479</f>
        <v>9.5562428904029133</v>
      </c>
      <c r="F178" s="2285">
        <f>'[3]НВВ тран-ка'!L479</f>
        <v>9.5562428904029133</v>
      </c>
      <c r="G178" s="2257">
        <f t="shared" si="52"/>
        <v>9.5562428904029133</v>
      </c>
      <c r="H178" s="2285">
        <f>'[3]НВВ тран-ка'!T479</f>
        <v>13.844048176867442</v>
      </c>
      <c r="I178" s="2285">
        <f>'[3]НВВ тран-ка'!U479</f>
        <v>13.844048176867442</v>
      </c>
      <c r="J178" s="2257">
        <f t="shared" si="53"/>
        <v>13.844048176867442</v>
      </c>
      <c r="K178" s="2285">
        <f>'[3]НВВ тран-ка'!AC479</f>
        <v>14.230633949282733</v>
      </c>
      <c r="L178" s="2285">
        <f>'[3]НВВ тран-ка'!AD479</f>
        <v>14.230633949282733</v>
      </c>
      <c r="M178" s="2259">
        <f t="shared" si="54"/>
        <v>14.230633949282733</v>
      </c>
      <c r="N178" s="2284">
        <v>18.49816829779769</v>
      </c>
      <c r="O178" s="2285">
        <v>18.49816829779769</v>
      </c>
      <c r="P178" s="2259">
        <f t="shared" si="63"/>
        <v>18.49816829779769</v>
      </c>
      <c r="Q178" s="2294">
        <v>0</v>
      </c>
      <c r="R178" s="2285">
        <v>0</v>
      </c>
      <c r="S178" s="2259">
        <f t="shared" si="64"/>
        <v>0</v>
      </c>
      <c r="T178" s="2294">
        <f t="shared" si="69"/>
        <v>18.49816829779769</v>
      </c>
      <c r="U178" s="2285">
        <f t="shared" si="69"/>
        <v>18.49816829779769</v>
      </c>
      <c r="V178" s="2268">
        <f t="shared" si="55"/>
        <v>18.49816829779769</v>
      </c>
      <c r="W178" s="2888">
        <f>T178/$T$272*$W$272</f>
        <v>4.1616801038186289</v>
      </c>
      <c r="X178" s="2889">
        <f>U178/$T$272*$W$272</f>
        <v>4.1616801038186289</v>
      </c>
      <c r="Y178" s="2268">
        <f t="shared" si="56"/>
        <v>4.1616801038186289</v>
      </c>
      <c r="Z178" s="2888">
        <f t="shared" si="71"/>
        <v>14.336488193979061</v>
      </c>
      <c r="AA178" s="2889">
        <f t="shared" si="71"/>
        <v>14.336488193979061</v>
      </c>
      <c r="AB178" s="2268">
        <f t="shared" si="57"/>
        <v>14.336488193979061</v>
      </c>
      <c r="AC178" s="2113">
        <f t="shared" si="58"/>
        <v>4.1616801038186289</v>
      </c>
      <c r="AD178" s="2114">
        <f t="shared" si="59"/>
        <v>0</v>
      </c>
      <c r="AE178" s="2113">
        <f t="shared" si="60"/>
        <v>14.336488193979061</v>
      </c>
      <c r="AF178" s="2114">
        <f t="shared" si="61"/>
        <v>0</v>
      </c>
      <c r="AG178" s="2113"/>
      <c r="AH178" s="2113"/>
      <c r="AI178" s="2114">
        <f>Z178+'2024 Калуга+область перекачка'!Z178+'2024 Калуга+область очистка'!Z178</f>
        <v>215.81452000029867</v>
      </c>
      <c r="AJ178" s="2114">
        <f>AA178+'2024 Калуга+область перекачка'!AA178+'2024 Калуга+область очистка'!AA178</f>
        <v>215.81452000029867</v>
      </c>
      <c r="AK178" s="2114">
        <f>AB178+'2024 Калуга+область перекачка'!AB178+'2024 Калуга+область очистка'!AB178</f>
        <v>215.81452000029867</v>
      </c>
      <c r="AL178" s="2114">
        <f>расчет_тарифа_К_!O179</f>
        <v>215.8145200002987</v>
      </c>
      <c r="AM178" s="2593">
        <f t="shared" si="62"/>
        <v>0</v>
      </c>
    </row>
    <row r="179" spans="1:39" s="2218" customFormat="1" ht="24" customHeight="1">
      <c r="A179" s="2235">
        <v>338</v>
      </c>
      <c r="B179" s="2281" t="s">
        <v>1985</v>
      </c>
      <c r="C179" s="2282" t="s">
        <v>1330</v>
      </c>
      <c r="D179" s="2283" t="s">
        <v>1986</v>
      </c>
      <c r="E179" s="2284">
        <f>'[3]НВВ тран-ка'!K480</f>
        <v>6.6718191665956459</v>
      </c>
      <c r="F179" s="2285">
        <f>'[3]НВВ тран-ка'!L480</f>
        <v>6.8719737415935152</v>
      </c>
      <c r="G179" s="2257">
        <f t="shared" si="52"/>
        <v>6.7718964540945805</v>
      </c>
      <c r="H179" s="2285">
        <f>'[3]НВВ тран-ка'!T480</f>
        <v>6.7704242687626062</v>
      </c>
      <c r="I179" s="2285">
        <f>'[3]НВВ тран-ка'!U480</f>
        <v>7.0141595424380601</v>
      </c>
      <c r="J179" s="2257">
        <f t="shared" si="53"/>
        <v>6.8922919056003327</v>
      </c>
      <c r="K179" s="2285">
        <f>'[3]НВВ тран-ка'!AC480</f>
        <v>7.1082135772105177</v>
      </c>
      <c r="L179" s="2285">
        <f>'[3]НВВ тран-ка'!AD480</f>
        <v>7.4494078289166232</v>
      </c>
      <c r="M179" s="2259">
        <f t="shared" si="54"/>
        <v>7.27881070306357</v>
      </c>
      <c r="N179" s="2284">
        <v>8.0826074943745354</v>
      </c>
      <c r="O179" s="2285">
        <f>N179*1.112</f>
        <v>8.9878595337444835</v>
      </c>
      <c r="P179" s="2259">
        <f t="shared" si="63"/>
        <v>8.5352335140595095</v>
      </c>
      <c r="Q179" s="2284">
        <v>0</v>
      </c>
      <c r="R179" s="2285">
        <v>0</v>
      </c>
      <c r="S179" s="2259">
        <f t="shared" si="64"/>
        <v>0</v>
      </c>
      <c r="T179" s="2284">
        <f>T177/T178</f>
        <v>8.0826074943745354</v>
      </c>
      <c r="U179" s="2285">
        <f>U177/U178</f>
        <v>8.9878595337444835</v>
      </c>
      <c r="V179" s="2268">
        <f t="shared" si="55"/>
        <v>8.5352335140595095</v>
      </c>
      <c r="W179" s="2284">
        <f>W177/W178</f>
        <v>8.0826074943745354</v>
      </c>
      <c r="X179" s="2285">
        <f>X177/X178</f>
        <v>8.9878595337444853</v>
      </c>
      <c r="Y179" s="2268">
        <f t="shared" si="56"/>
        <v>8.5352335140595095</v>
      </c>
      <c r="Z179" s="2284">
        <f>Z177/Z178</f>
        <v>8.0826074943745354</v>
      </c>
      <c r="AA179" s="2285">
        <f>AA177/AA178</f>
        <v>8.9878595337444835</v>
      </c>
      <c r="AB179" s="2268">
        <f t="shared" si="57"/>
        <v>8.5352335140595095</v>
      </c>
      <c r="AC179" s="2113">
        <f t="shared" si="58"/>
        <v>2.0220702717876247</v>
      </c>
      <c r="AD179" s="2114">
        <f t="shared" si="59"/>
        <v>-6.9657892619568607</v>
      </c>
      <c r="AE179" s="2113">
        <f t="shared" si="60"/>
        <v>6.965789261956858</v>
      </c>
      <c r="AF179" s="2114">
        <f t="shared" si="61"/>
        <v>-2.0220702717876256</v>
      </c>
      <c r="AG179" s="2113"/>
      <c r="AH179" s="2113"/>
      <c r="AI179" s="2114">
        <f>Z179+'2024 Калуга+область перекачка'!Z179+'2024 Калуга+область очистка'!Z179</f>
        <v>23.838788395876605</v>
      </c>
      <c r="AJ179" s="2114">
        <f>AA179+'2024 Калуга+область перекачка'!AA179+'2024 Калуга+область очистка'!AA179</f>
        <v>26.508732696214782</v>
      </c>
      <c r="AK179" s="2114">
        <f>AB179+'2024 Калуга+область перекачка'!AB179+'2024 Калуга+область очистка'!AB179</f>
        <v>25.173760546045692</v>
      </c>
      <c r="AL179" s="2114">
        <f>расчет_тарифа_К_!O180</f>
        <v>1670.2446982239098</v>
      </c>
      <c r="AM179" s="2593">
        <f t="shared" si="62"/>
        <v>-1643.735965527695</v>
      </c>
    </row>
    <row r="180" spans="1:39" s="2218" customFormat="1" ht="29.25" customHeight="1">
      <c r="A180" s="2235">
        <v>335</v>
      </c>
      <c r="B180" s="2279" t="s">
        <v>1988</v>
      </c>
      <c r="C180" s="2280" t="s">
        <v>1989</v>
      </c>
      <c r="D180" s="2254"/>
      <c r="E180" s="2255">
        <f>E181*E182</f>
        <v>2.2434311881911047</v>
      </c>
      <c r="F180" s="2256">
        <f>F181*F182</f>
        <v>2.3107341238368377</v>
      </c>
      <c r="G180" s="2257">
        <f t="shared" si="52"/>
        <v>2.2770826560139712</v>
      </c>
      <c r="H180" s="2256">
        <f>H181*H182</f>
        <v>12.479694312215557</v>
      </c>
      <c r="I180" s="2256">
        <f>I181*I182</f>
        <v>12.928963307455318</v>
      </c>
      <c r="J180" s="2257">
        <f t="shared" si="53"/>
        <v>12.704328809835438</v>
      </c>
      <c r="K180" s="2256">
        <f>K181*K182</f>
        <v>26.616787251038637</v>
      </c>
      <c r="L180" s="2256">
        <f>L181*L182</f>
        <v>27.761309102833298</v>
      </c>
      <c r="M180" s="2259">
        <f t="shared" si="54"/>
        <v>27.18904817693597</v>
      </c>
      <c r="N180" s="2255">
        <v>0</v>
      </c>
      <c r="O180" s="2256">
        <v>0</v>
      </c>
      <c r="P180" s="2259">
        <f t="shared" si="63"/>
        <v>0</v>
      </c>
      <c r="Q180" s="2255">
        <v>0</v>
      </c>
      <c r="R180" s="2256">
        <v>0</v>
      </c>
      <c r="S180" s="2259">
        <f t="shared" si="64"/>
        <v>0</v>
      </c>
      <c r="T180" s="2255">
        <f>N180+Q180</f>
        <v>0</v>
      </c>
      <c r="U180" s="2256">
        <f>O180+R180</f>
        <v>0</v>
      </c>
      <c r="V180" s="2268">
        <f t="shared" si="55"/>
        <v>0</v>
      </c>
      <c r="W180" s="2377">
        <f>T180/$T$272*$N$272</f>
        <v>0</v>
      </c>
      <c r="X180" s="2256">
        <f>U180/$T$272*$N$272</f>
        <v>0</v>
      </c>
      <c r="Y180" s="2268">
        <f t="shared" si="56"/>
        <v>0</v>
      </c>
      <c r="Z180" s="2886">
        <f>T180/$T$272*$Z$272</f>
        <v>0</v>
      </c>
      <c r="AA180" s="2887">
        <f>U180/$T$272*$Z$272</f>
        <v>0</v>
      </c>
      <c r="AB180" s="2268">
        <f t="shared" si="57"/>
        <v>0</v>
      </c>
      <c r="AC180" s="2113">
        <f t="shared" si="58"/>
        <v>0</v>
      </c>
      <c r="AD180" s="2114">
        <f t="shared" si="59"/>
        <v>0</v>
      </c>
      <c r="AE180" s="2113">
        <f t="shared" si="60"/>
        <v>0</v>
      </c>
      <c r="AF180" s="2114">
        <f t="shared" si="61"/>
        <v>0</v>
      </c>
      <c r="AG180" s="2113"/>
      <c r="AH180" s="2113"/>
      <c r="AI180" s="2114">
        <f>Z180+'2024 Калуга+область перекачка'!Z180+'2024 Калуга+область очистка'!Z180</f>
        <v>0</v>
      </c>
      <c r="AJ180" s="2114">
        <f>AA180+'2024 Калуга+область перекачка'!AA180+'2024 Калуга+область очистка'!AA180</f>
        <v>0</v>
      </c>
      <c r="AK180" s="2114">
        <f>AB180+'2024 Калуга+область перекачка'!AB180+'2024 Калуга+область очистка'!AB180</f>
        <v>0</v>
      </c>
      <c r="AL180" s="2114">
        <f>расчет_тарифа_К_!O181</f>
        <v>0</v>
      </c>
      <c r="AM180" s="2593">
        <f t="shared" si="62"/>
        <v>0</v>
      </c>
    </row>
    <row r="181" spans="1:39" s="2218" customFormat="1" ht="24" customHeight="1">
      <c r="A181" s="2235">
        <v>339</v>
      </c>
      <c r="B181" s="2281" t="s">
        <v>1990</v>
      </c>
      <c r="C181" s="2282" t="s">
        <v>1327</v>
      </c>
      <c r="D181" s="2283" t="s">
        <v>1991</v>
      </c>
      <c r="E181" s="2284">
        <f>'[3]НВВ тран-ка'!K482</f>
        <v>4.6648586765351803E-4</v>
      </c>
      <c r="F181" s="2285">
        <f>'[3]НВВ тран-ка'!L482</f>
        <v>4.6648586765351803E-4</v>
      </c>
      <c r="G181" s="2257">
        <f t="shared" si="52"/>
        <v>4.6648586765351803E-4</v>
      </c>
      <c r="H181" s="2285">
        <f>'[3]НВВ тран-ка'!T482</f>
        <v>2.5828865304863575E-3</v>
      </c>
      <c r="I181" s="2285">
        <f>'[3]НВВ тран-ка'!U482</f>
        <v>2.5828865304863575E-3</v>
      </c>
      <c r="J181" s="2257">
        <f t="shared" si="53"/>
        <v>2.5828865304863575E-3</v>
      </c>
      <c r="K181" s="2285">
        <f>'[3]НВВ тран-ка'!AC482</f>
        <v>5.4939834604028857</v>
      </c>
      <c r="L181" s="2285">
        <f>'[3]НВВ тран-ка'!AD482</f>
        <v>5.4939834604028857</v>
      </c>
      <c r="M181" s="2259">
        <f t="shared" si="54"/>
        <v>5.4939834604028857</v>
      </c>
      <c r="N181" s="2284"/>
      <c r="O181" s="2285"/>
      <c r="P181" s="2259">
        <f t="shared" si="63"/>
        <v>0</v>
      </c>
      <c r="Q181" s="2284">
        <v>0</v>
      </c>
      <c r="R181" s="2285">
        <v>0</v>
      </c>
      <c r="S181" s="2259">
        <f t="shared" si="64"/>
        <v>0</v>
      </c>
      <c r="T181" s="2294">
        <f>N181+Q181</f>
        <v>0</v>
      </c>
      <c r="U181" s="2285">
        <f>O181+R181</f>
        <v>0</v>
      </c>
      <c r="V181" s="2268">
        <f t="shared" si="55"/>
        <v>0</v>
      </c>
      <c r="W181" s="2888">
        <f>T181/$T$272*$W$272</f>
        <v>0</v>
      </c>
      <c r="X181" s="2889">
        <f>U181/$T$272*$W$272</f>
        <v>0</v>
      </c>
      <c r="Y181" s="2268">
        <f t="shared" si="56"/>
        <v>0</v>
      </c>
      <c r="Z181" s="2888">
        <f>T181/$T$272*$Z$272</f>
        <v>0</v>
      </c>
      <c r="AA181" s="2889">
        <f>U181/$T$272*$Z$272</f>
        <v>0</v>
      </c>
      <c r="AB181" s="2268">
        <f t="shared" si="57"/>
        <v>0</v>
      </c>
      <c r="AC181" s="2113">
        <f t="shared" si="58"/>
        <v>0</v>
      </c>
      <c r="AD181" s="2114">
        <f t="shared" si="59"/>
        <v>0</v>
      </c>
      <c r="AE181" s="2113">
        <f t="shared" si="60"/>
        <v>0</v>
      </c>
      <c r="AF181" s="2114">
        <f t="shared" si="61"/>
        <v>0</v>
      </c>
      <c r="AG181" s="2113"/>
      <c r="AH181" s="2113"/>
      <c r="AI181" s="2114">
        <f>Z181+'2024 Калуга+область перекачка'!Z181+'2024 Калуга+область очистка'!Z181</f>
        <v>0</v>
      </c>
      <c r="AJ181" s="2114">
        <f>AA181+'2024 Калуга+область перекачка'!AA181+'2024 Калуга+область очистка'!AA181</f>
        <v>0</v>
      </c>
      <c r="AK181" s="2114">
        <f>AB181+'2024 Калуга+область перекачка'!AB181+'2024 Калуга+область очистка'!AB181</f>
        <v>0</v>
      </c>
      <c r="AL181" s="2114">
        <f>расчет_тарифа_К_!O182</f>
        <v>0</v>
      </c>
      <c r="AM181" s="2593">
        <f t="shared" si="62"/>
        <v>0</v>
      </c>
    </row>
    <row r="182" spans="1:39" s="2218" customFormat="1" ht="26.25" customHeight="1">
      <c r="A182" s="2235">
        <v>340</v>
      </c>
      <c r="B182" s="2281" t="s">
        <v>1992</v>
      </c>
      <c r="C182" s="2282" t="s">
        <v>1330</v>
      </c>
      <c r="D182" s="2283" t="s">
        <v>1993</v>
      </c>
      <c r="E182" s="2284">
        <f>'[3]НВВ тран-ка'!K483</f>
        <v>4809.2157635467984</v>
      </c>
      <c r="F182" s="2285">
        <f>'[3]НВВ тран-ка'!L483</f>
        <v>4953.4922364532031</v>
      </c>
      <c r="G182" s="2257">
        <f t="shared" si="52"/>
        <v>4881.3540000000012</v>
      </c>
      <c r="H182" s="2285">
        <f>'[3]НВВ тран-ка'!T483</f>
        <v>4831.6850798186751</v>
      </c>
      <c r="I182" s="2285">
        <f>'[3]НВВ тран-ка'!U483</f>
        <v>5005.6257426921475</v>
      </c>
      <c r="J182" s="2257">
        <f t="shared" si="53"/>
        <v>4918.6554112554113</v>
      </c>
      <c r="K182" s="2285">
        <f>'[3]НВВ тран-ка'!AC483</f>
        <v>4.8447155771172943</v>
      </c>
      <c r="L182" s="2285">
        <f>'[3]НВВ тран-ка'!AD483</f>
        <v>5.053038346933338</v>
      </c>
      <c r="M182" s="2259">
        <f t="shared" si="54"/>
        <v>4.9488769620253166</v>
      </c>
      <c r="N182" s="2284"/>
      <c r="O182" s="2285">
        <v>0</v>
      </c>
      <c r="P182" s="2259">
        <f t="shared" si="63"/>
        <v>0</v>
      </c>
      <c r="Q182" s="2284">
        <v>0</v>
      </c>
      <c r="R182" s="2285">
        <v>0</v>
      </c>
      <c r="S182" s="2259">
        <f t="shared" si="64"/>
        <v>0</v>
      </c>
      <c r="T182" s="2284">
        <v>0</v>
      </c>
      <c r="U182" s="2285">
        <v>0</v>
      </c>
      <c r="V182" s="2268">
        <f t="shared" si="55"/>
        <v>0</v>
      </c>
      <c r="W182" s="2284" t="e">
        <f>W180/W181</f>
        <v>#DIV/0!</v>
      </c>
      <c r="X182" s="2285" t="e">
        <f>X180/X181</f>
        <v>#DIV/0!</v>
      </c>
      <c r="Y182" s="2268" t="e">
        <f t="shared" si="56"/>
        <v>#DIV/0!</v>
      </c>
      <c r="Z182" s="2284" t="e">
        <f>Z180/Z181</f>
        <v>#DIV/0!</v>
      </c>
      <c r="AA182" s="2285" t="e">
        <f>AA180/AA181</f>
        <v>#DIV/0!</v>
      </c>
      <c r="AB182" s="2268" t="e">
        <f t="shared" si="57"/>
        <v>#DIV/0!</v>
      </c>
      <c r="AC182" s="2113">
        <f t="shared" si="58"/>
        <v>0</v>
      </c>
      <c r="AD182" s="2114" t="e">
        <f t="shared" si="59"/>
        <v>#DIV/0!</v>
      </c>
      <c r="AE182" s="2113">
        <f t="shared" si="60"/>
        <v>0</v>
      </c>
      <c r="AF182" s="2114" t="e">
        <f t="shared" si="61"/>
        <v>#DIV/0!</v>
      </c>
      <c r="AG182" s="2113"/>
      <c r="AH182" s="2113"/>
      <c r="AI182" s="2114" t="e">
        <f>Z182+'2024 Калуга+область перекачка'!Z182+'2024 Калуга+область очистка'!Z182</f>
        <v>#DIV/0!</v>
      </c>
      <c r="AJ182" s="2114" t="e">
        <f>AA182+'2024 Калуга+область перекачка'!AA182+'2024 Калуга+область очистка'!AA182</f>
        <v>#DIV/0!</v>
      </c>
      <c r="AK182" s="2114" t="e">
        <f>AB182+'2024 Калуга+область перекачка'!AB182+'2024 Калуга+область очистка'!AB182</f>
        <v>#DIV/0!</v>
      </c>
      <c r="AL182" s="2114">
        <f>расчет_тарифа_К_!O183</f>
        <v>0</v>
      </c>
      <c r="AM182" s="2593" t="e">
        <f t="shared" si="62"/>
        <v>#DIV/0!</v>
      </c>
    </row>
    <row r="183" spans="1:39" s="2218" customFormat="1" ht="25.5" customHeight="1">
      <c r="A183" s="2235">
        <v>336</v>
      </c>
      <c r="B183" s="2279" t="s">
        <v>1994</v>
      </c>
      <c r="C183" s="2280" t="s">
        <v>1995</v>
      </c>
      <c r="D183" s="2254"/>
      <c r="E183" s="2255">
        <f>E184*E185</f>
        <v>0</v>
      </c>
      <c r="F183" s="2256">
        <f>F184*F185</f>
        <v>0</v>
      </c>
      <c r="G183" s="2257">
        <f t="shared" si="52"/>
        <v>0</v>
      </c>
      <c r="H183" s="2256">
        <f>H184*H185</f>
        <v>0</v>
      </c>
      <c r="I183" s="2256">
        <f>I184*I185</f>
        <v>0</v>
      </c>
      <c r="J183" s="2257">
        <f t="shared" si="53"/>
        <v>0</v>
      </c>
      <c r="K183" s="2256">
        <f>K184*K185</f>
        <v>0</v>
      </c>
      <c r="L183" s="2256">
        <f>L184*L185</f>
        <v>0</v>
      </c>
      <c r="M183" s="2259">
        <f t="shared" si="54"/>
        <v>0</v>
      </c>
      <c r="N183" s="2255">
        <v>0</v>
      </c>
      <c r="O183" s="2256">
        <v>0</v>
      </c>
      <c r="P183" s="2259">
        <f t="shared" si="63"/>
        <v>0</v>
      </c>
      <c r="Q183" s="2255">
        <v>0</v>
      </c>
      <c r="R183" s="2256">
        <v>0</v>
      </c>
      <c r="S183" s="2259">
        <f t="shared" si="64"/>
        <v>0</v>
      </c>
      <c r="T183" s="2255">
        <f>N183+Q183</f>
        <v>0</v>
      </c>
      <c r="U183" s="2256">
        <f>O183+R183</f>
        <v>0</v>
      </c>
      <c r="V183" s="2268">
        <f t="shared" si="55"/>
        <v>0</v>
      </c>
      <c r="W183" s="2377">
        <f>T183/$T$272*$N$272</f>
        <v>0</v>
      </c>
      <c r="X183" s="2256">
        <f>U183/$T$272*$N$272</f>
        <v>0</v>
      </c>
      <c r="Y183" s="2268">
        <f t="shared" si="56"/>
        <v>0</v>
      </c>
      <c r="Z183" s="2886">
        <f>T183/$T$272*$Z$272</f>
        <v>0</v>
      </c>
      <c r="AA183" s="2887">
        <f>U183/$T$272*$Z$272</f>
        <v>0</v>
      </c>
      <c r="AB183" s="2268">
        <f t="shared" si="57"/>
        <v>0</v>
      </c>
      <c r="AC183" s="2113">
        <f t="shared" si="58"/>
        <v>0</v>
      </c>
      <c r="AD183" s="2114">
        <f t="shared" si="59"/>
        <v>0</v>
      </c>
      <c r="AE183" s="2113">
        <f t="shared" si="60"/>
        <v>0</v>
      </c>
      <c r="AF183" s="2114">
        <f t="shared" si="61"/>
        <v>0</v>
      </c>
      <c r="AG183" s="2113"/>
      <c r="AH183" s="2113"/>
      <c r="AI183" s="2114">
        <f>Z183+'2024 Калуга+область перекачка'!Z183+'2024 Калуга+область очистка'!Z183</f>
        <v>0</v>
      </c>
      <c r="AJ183" s="2114">
        <f>AA183+'2024 Калуга+область перекачка'!AA183+'2024 Калуга+область очистка'!AA183</f>
        <v>0</v>
      </c>
      <c r="AK183" s="2114">
        <f>AB183+'2024 Калуга+область перекачка'!AB183+'2024 Калуга+область очистка'!AB183</f>
        <v>0</v>
      </c>
      <c r="AL183" s="2114">
        <f>расчет_тарифа_К_!O184</f>
        <v>0</v>
      </c>
      <c r="AM183" s="2593">
        <f t="shared" si="62"/>
        <v>0</v>
      </c>
    </row>
    <row r="184" spans="1:39" s="2218" customFormat="1" ht="21.75" hidden="1" customHeight="1">
      <c r="A184" s="2235">
        <v>341</v>
      </c>
      <c r="B184" s="2281" t="s">
        <v>1996</v>
      </c>
      <c r="C184" s="2282" t="s">
        <v>1327</v>
      </c>
      <c r="D184" s="2283" t="s">
        <v>1991</v>
      </c>
      <c r="E184" s="2284"/>
      <c r="F184" s="2285"/>
      <c r="G184" s="2257">
        <f t="shared" si="52"/>
        <v>0</v>
      </c>
      <c r="H184" s="2285"/>
      <c r="I184" s="2285"/>
      <c r="J184" s="2257">
        <f t="shared" si="53"/>
        <v>0</v>
      </c>
      <c r="K184" s="2285"/>
      <c r="L184" s="2285"/>
      <c r="M184" s="2259">
        <f t="shared" si="54"/>
        <v>0</v>
      </c>
      <c r="N184" s="2284"/>
      <c r="O184" s="2285"/>
      <c r="P184" s="2259">
        <f t="shared" si="63"/>
        <v>0</v>
      </c>
      <c r="Q184" s="2284">
        <v>0</v>
      </c>
      <c r="R184" s="2285">
        <v>0</v>
      </c>
      <c r="S184" s="2259">
        <f t="shared" si="64"/>
        <v>0</v>
      </c>
      <c r="T184" s="2284">
        <v>0</v>
      </c>
      <c r="U184" s="2285">
        <v>0</v>
      </c>
      <c r="V184" s="2268">
        <f t="shared" si="55"/>
        <v>0</v>
      </c>
      <c r="W184" s="2284">
        <v>0</v>
      </c>
      <c r="X184" s="2285">
        <v>0</v>
      </c>
      <c r="Y184" s="2268">
        <f t="shared" si="56"/>
        <v>0</v>
      </c>
      <c r="Z184" s="2284">
        <v>0</v>
      </c>
      <c r="AA184" s="2285">
        <v>0</v>
      </c>
      <c r="AB184" s="2268">
        <f t="shared" si="57"/>
        <v>0</v>
      </c>
      <c r="AC184" s="2113">
        <f t="shared" si="58"/>
        <v>0</v>
      </c>
      <c r="AD184" s="2114">
        <f t="shared" si="59"/>
        <v>0</v>
      </c>
      <c r="AE184" s="2113">
        <f t="shared" si="60"/>
        <v>0</v>
      </c>
      <c r="AF184" s="2114">
        <f t="shared" si="61"/>
        <v>0</v>
      </c>
      <c r="AG184" s="2113"/>
      <c r="AH184" s="2113"/>
      <c r="AI184" s="2114">
        <f>Z184+'2024 Калуга+область перекачка'!Z184+'2024 Калуга+область очистка'!Z184</f>
        <v>0</v>
      </c>
      <c r="AJ184" s="2114">
        <f>AA184+'2024 Калуга+область перекачка'!AA184+'2024 Калуга+область очистка'!AA184</f>
        <v>0</v>
      </c>
      <c r="AK184" s="2114">
        <f>AB184+'2024 Калуга+область перекачка'!AB184+'2024 Калуга+область очистка'!AB184</f>
        <v>0</v>
      </c>
      <c r="AL184" s="2114">
        <f>расчет_тарифа_К_!O185</f>
        <v>0</v>
      </c>
      <c r="AM184" s="2593">
        <f t="shared" si="62"/>
        <v>0</v>
      </c>
    </row>
    <row r="185" spans="1:39" s="2218" customFormat="1" ht="20.25" hidden="1" customHeight="1">
      <c r="A185" s="2235">
        <v>342</v>
      </c>
      <c r="B185" s="2281" t="s">
        <v>1997</v>
      </c>
      <c r="C185" s="2282" t="s">
        <v>1330</v>
      </c>
      <c r="D185" s="2283" t="s">
        <v>1993</v>
      </c>
      <c r="E185" s="2284"/>
      <c r="F185" s="2285"/>
      <c r="G185" s="2257">
        <f t="shared" si="52"/>
        <v>0</v>
      </c>
      <c r="H185" s="2285"/>
      <c r="I185" s="2285"/>
      <c r="J185" s="2257">
        <f t="shared" si="53"/>
        <v>0</v>
      </c>
      <c r="K185" s="2285"/>
      <c r="L185" s="2285"/>
      <c r="M185" s="2259">
        <f t="shared" si="54"/>
        <v>0</v>
      </c>
      <c r="N185" s="2284"/>
      <c r="O185" s="2285"/>
      <c r="P185" s="2259">
        <f t="shared" si="63"/>
        <v>0</v>
      </c>
      <c r="Q185" s="2284">
        <v>0</v>
      </c>
      <c r="R185" s="2285">
        <v>0</v>
      </c>
      <c r="S185" s="2259">
        <f t="shared" si="64"/>
        <v>0</v>
      </c>
      <c r="T185" s="2284">
        <v>0</v>
      </c>
      <c r="U185" s="2285">
        <v>0</v>
      </c>
      <c r="V185" s="2268">
        <f t="shared" si="55"/>
        <v>0</v>
      </c>
      <c r="W185" s="2284">
        <v>0</v>
      </c>
      <c r="X185" s="2285">
        <v>0</v>
      </c>
      <c r="Y185" s="2268">
        <f t="shared" si="56"/>
        <v>0</v>
      </c>
      <c r="Z185" s="2284">
        <v>0</v>
      </c>
      <c r="AA185" s="2285">
        <v>0</v>
      </c>
      <c r="AB185" s="2268">
        <f t="shared" si="57"/>
        <v>0</v>
      </c>
      <c r="AC185" s="2113">
        <f t="shared" si="58"/>
        <v>0</v>
      </c>
      <c r="AD185" s="2114">
        <f t="shared" si="59"/>
        <v>0</v>
      </c>
      <c r="AE185" s="2113">
        <f t="shared" si="60"/>
        <v>0</v>
      </c>
      <c r="AF185" s="2114">
        <f t="shared" si="61"/>
        <v>0</v>
      </c>
      <c r="AG185" s="2113"/>
      <c r="AH185" s="2113"/>
      <c r="AI185" s="2114">
        <f>Z185+'2024 Калуга+область перекачка'!Z185+'2024 Калуга+область очистка'!Z185</f>
        <v>0</v>
      </c>
      <c r="AJ185" s="2114">
        <f>AA185+'2024 Калуга+область перекачка'!AA185+'2024 Калуга+область очистка'!AA185</f>
        <v>0</v>
      </c>
      <c r="AK185" s="2114">
        <f>AB185+'2024 Калуга+область перекачка'!AB185+'2024 Калуга+область очистка'!AB185</f>
        <v>0</v>
      </c>
      <c r="AL185" s="2114">
        <f>расчет_тарифа_К_!O186</f>
        <v>0</v>
      </c>
      <c r="AM185" s="2593">
        <f t="shared" si="62"/>
        <v>0</v>
      </c>
    </row>
    <row r="186" spans="1:39" s="2218" customFormat="1" ht="24" hidden="1" customHeight="1">
      <c r="A186" s="2235">
        <v>71</v>
      </c>
      <c r="B186" s="2281" t="s">
        <v>1998</v>
      </c>
      <c r="C186" s="2282" t="s">
        <v>1999</v>
      </c>
      <c r="D186" s="2283" t="s">
        <v>1317</v>
      </c>
      <c r="E186" s="2284"/>
      <c r="F186" s="2285"/>
      <c r="G186" s="2257">
        <f t="shared" si="52"/>
        <v>0</v>
      </c>
      <c r="H186" s="2285"/>
      <c r="I186" s="2285"/>
      <c r="J186" s="2257">
        <f t="shared" si="53"/>
        <v>0</v>
      </c>
      <c r="K186" s="2285"/>
      <c r="L186" s="2285"/>
      <c r="M186" s="2259">
        <f t="shared" si="54"/>
        <v>0</v>
      </c>
      <c r="N186" s="2284"/>
      <c r="O186" s="2285"/>
      <c r="P186" s="2259">
        <f t="shared" si="63"/>
        <v>0</v>
      </c>
      <c r="Q186" s="2284">
        <v>0</v>
      </c>
      <c r="R186" s="2285">
        <v>0</v>
      </c>
      <c r="S186" s="2259">
        <f t="shared" si="64"/>
        <v>0</v>
      </c>
      <c r="T186" s="2284">
        <v>0</v>
      </c>
      <c r="U186" s="2285">
        <v>0</v>
      </c>
      <c r="V186" s="2268">
        <f t="shared" si="55"/>
        <v>0</v>
      </c>
      <c r="W186" s="2284">
        <v>0</v>
      </c>
      <c r="X186" s="2285">
        <v>0</v>
      </c>
      <c r="Y186" s="2268">
        <f t="shared" si="56"/>
        <v>0</v>
      </c>
      <c r="Z186" s="2284">
        <v>0</v>
      </c>
      <c r="AA186" s="2285">
        <v>0</v>
      </c>
      <c r="AB186" s="2268">
        <f t="shared" si="57"/>
        <v>0</v>
      </c>
      <c r="AC186" s="2113">
        <f t="shared" si="58"/>
        <v>0</v>
      </c>
      <c r="AD186" s="2114">
        <f t="shared" si="59"/>
        <v>0</v>
      </c>
      <c r="AE186" s="2113">
        <f t="shared" si="60"/>
        <v>0</v>
      </c>
      <c r="AF186" s="2114">
        <f t="shared" si="61"/>
        <v>0</v>
      </c>
      <c r="AG186" s="2113"/>
      <c r="AH186" s="2113"/>
      <c r="AI186" s="2114">
        <f>Z186+'2024 Калуга+область перекачка'!Z186+'2024 Калуга+область очистка'!Z186</f>
        <v>0</v>
      </c>
      <c r="AJ186" s="2114">
        <f>AA186+'2024 Калуга+область перекачка'!AA186+'2024 Калуга+область очистка'!AA186</f>
        <v>0</v>
      </c>
      <c r="AK186" s="2114">
        <f>AB186+'2024 Калуга+область перекачка'!AB186+'2024 Калуга+область очистка'!AB186</f>
        <v>0</v>
      </c>
      <c r="AL186" s="2114">
        <f>расчет_тарифа_К_!O187</f>
        <v>0</v>
      </c>
      <c r="AM186" s="2593">
        <f t="shared" si="62"/>
        <v>0</v>
      </c>
    </row>
    <row r="187" spans="1:39" s="2218" customFormat="1" ht="20.25" customHeight="1">
      <c r="A187" s="2235">
        <v>270</v>
      </c>
      <c r="B187" s="2279" t="s">
        <v>2000</v>
      </c>
      <c r="C187" s="2280" t="s">
        <v>2001</v>
      </c>
      <c r="D187" s="2254" t="s">
        <v>1313</v>
      </c>
      <c r="E187" s="2255">
        <f>E188*E189+E190</f>
        <v>167.16387684353583</v>
      </c>
      <c r="F187" s="2256">
        <f>F188*F189+F190</f>
        <v>175.30486136699949</v>
      </c>
      <c r="G187" s="2257">
        <f t="shared" si="52"/>
        <v>171.23436910526766</v>
      </c>
      <c r="H187" s="2256">
        <f>H188*H189+H190</f>
        <v>172.51313868517491</v>
      </c>
      <c r="I187" s="2256">
        <f>I188*I189+I190</f>
        <v>177.68853284573015</v>
      </c>
      <c r="J187" s="2257">
        <f t="shared" si="53"/>
        <v>175.10083576545253</v>
      </c>
      <c r="K187" s="2256">
        <f>K188*K189+K190</f>
        <v>151.88715168889962</v>
      </c>
      <c r="L187" s="2256">
        <f>L188*L189+L190</f>
        <v>157.20320199801085</v>
      </c>
      <c r="M187" s="2259">
        <f t="shared" si="54"/>
        <v>154.54517684345524</v>
      </c>
      <c r="N187" s="2255">
        <v>341.47899726067715</v>
      </c>
      <c r="O187" s="2256">
        <v>362.99217408809983</v>
      </c>
      <c r="P187" s="2259">
        <f t="shared" si="63"/>
        <v>352.23558567438852</v>
      </c>
      <c r="Q187" s="2255">
        <v>0</v>
      </c>
      <c r="R187" s="2256">
        <v>0</v>
      </c>
      <c r="S187" s="2259">
        <f t="shared" si="64"/>
        <v>0</v>
      </c>
      <c r="T187" s="2255">
        <f>N187+Q187</f>
        <v>341.47899726067715</v>
      </c>
      <c r="U187" s="2256">
        <f>O187+R187</f>
        <v>362.99217408809983</v>
      </c>
      <c r="V187" s="2268">
        <f t="shared" si="55"/>
        <v>352.23558567438852</v>
      </c>
      <c r="W187" s="2377">
        <f>T187/$T$272*$N$272</f>
        <v>76.825247013288831</v>
      </c>
      <c r="X187" s="2256">
        <f>U187/$T$272*$N$272</f>
        <v>81.665237575126028</v>
      </c>
      <c r="Y187" s="2268">
        <f t="shared" si="56"/>
        <v>79.245242294207429</v>
      </c>
      <c r="Z187" s="2886">
        <f>T187/$T$272*$Z$272</f>
        <v>264.6537502473883</v>
      </c>
      <c r="AA187" s="2887">
        <f>U187/$T$272*$Z$272</f>
        <v>281.32693651297376</v>
      </c>
      <c r="AB187" s="2268">
        <f t="shared" si="57"/>
        <v>272.990343380181</v>
      </c>
      <c r="AC187" s="2113">
        <f t="shared" si="58"/>
        <v>81.665237575126028</v>
      </c>
      <c r="AD187" s="2114">
        <f t="shared" si="59"/>
        <v>0</v>
      </c>
      <c r="AE187" s="2113">
        <f t="shared" si="60"/>
        <v>281.32693651297376</v>
      </c>
      <c r="AF187" s="2114">
        <f t="shared" si="61"/>
        <v>0</v>
      </c>
      <c r="AG187" s="2113"/>
      <c r="AH187" s="2113"/>
      <c r="AI187" s="2114">
        <f>Z187+'2024 Калуга+область перекачка'!Z187+'2024 Калуга+область очистка'!Z187</f>
        <v>1572.6339488811791</v>
      </c>
      <c r="AJ187" s="2114">
        <f>AA187+'2024 Калуга+область перекачка'!AA187+'2024 Калуга+область очистка'!AA187</f>
        <v>1671.7098876606933</v>
      </c>
      <c r="AK187" s="2114">
        <f>AB187+'2024 Калуга+область перекачка'!AB187+'2024 Калуга+область очистка'!AB187</f>
        <v>1622.1719182709362</v>
      </c>
      <c r="AL187" s="2114">
        <f>расчет_тарифа_К_!O188</f>
        <v>1671.7098876606933</v>
      </c>
      <c r="AM187" s="2593">
        <f t="shared" si="62"/>
        <v>0</v>
      </c>
    </row>
    <row r="188" spans="1:39" s="2218" customFormat="1">
      <c r="A188" s="2235">
        <v>271</v>
      </c>
      <c r="B188" s="2281" t="s">
        <v>2002</v>
      </c>
      <c r="C188" s="2282" t="s">
        <v>1505</v>
      </c>
      <c r="D188" s="2283"/>
      <c r="E188" s="2284">
        <f>'[3]НВВ тран-ка'!K489</f>
        <v>0.10177394037665888</v>
      </c>
      <c r="F188" s="2285">
        <f>'[3]НВВ тран-ка'!L489</f>
        <v>0.10177394037665893</v>
      </c>
      <c r="G188" s="2257">
        <f t="shared" si="52"/>
        <v>0.10177394037665891</v>
      </c>
      <c r="H188" s="2285">
        <f>'[3]НВВ тран-ка'!T489</f>
        <v>0.10053725198115238</v>
      </c>
      <c r="I188" s="2285">
        <f>'[3]НВВ тран-ка'!U489</f>
        <v>0.10053725198115238</v>
      </c>
      <c r="J188" s="2257">
        <f t="shared" si="53"/>
        <v>0.10053725198115238</v>
      </c>
      <c r="K188" s="2285">
        <f>'[3]НВВ тран-ка'!AC489</f>
        <v>6.5060439848794338E-2</v>
      </c>
      <c r="L188" s="2285">
        <f>'[3]НВВ тран-ка'!AD489</f>
        <v>6.5060439848794338E-2</v>
      </c>
      <c r="M188" s="2259">
        <f t="shared" si="54"/>
        <v>6.5060439848794338E-2</v>
      </c>
      <c r="N188" s="2284">
        <v>0.12965614560951821</v>
      </c>
      <c r="O188" s="2285">
        <v>0.12965614560951821</v>
      </c>
      <c r="P188" s="2259">
        <f t="shared" si="63"/>
        <v>0.12965614560951821</v>
      </c>
      <c r="Q188" s="2381">
        <v>0</v>
      </c>
      <c r="R188" s="2382">
        <v>0</v>
      </c>
      <c r="S188" s="2259">
        <f t="shared" si="64"/>
        <v>0</v>
      </c>
      <c r="T188" s="2294">
        <f>N188+Q188</f>
        <v>0.12965614560951821</v>
      </c>
      <c r="U188" s="2285">
        <f>O188+R188</f>
        <v>0.12965614560951821</v>
      </c>
      <c r="V188" s="2268">
        <f t="shared" si="55"/>
        <v>0.12965614560951821</v>
      </c>
      <c r="W188" s="2888">
        <f>T188/$T$272*$W$272</f>
        <v>2.9169774695215842E-2</v>
      </c>
      <c r="X188" s="2889">
        <f>U188/$T$272*$W$272</f>
        <v>2.9169774695215842E-2</v>
      </c>
      <c r="Y188" s="2268">
        <f t="shared" si="56"/>
        <v>2.9169774695215842E-2</v>
      </c>
      <c r="Z188" s="2888">
        <f>T188/$T$272*$Z$272</f>
        <v>0.10048637091430235</v>
      </c>
      <c r="AA188" s="2889">
        <f>U188/$T$272*$Z$272</f>
        <v>0.10048637091430235</v>
      </c>
      <c r="AB188" s="2268">
        <f t="shared" si="57"/>
        <v>0.10048637091430235</v>
      </c>
      <c r="AC188" s="2113">
        <f t="shared" si="58"/>
        <v>2.9169774695215842E-2</v>
      </c>
      <c r="AD188" s="2114">
        <f t="shared" si="59"/>
        <v>0</v>
      </c>
      <c r="AE188" s="2113">
        <f t="shared" si="60"/>
        <v>0.10048637091430235</v>
      </c>
      <c r="AF188" s="2114">
        <f t="shared" si="61"/>
        <v>0</v>
      </c>
      <c r="AG188" s="2113"/>
      <c r="AH188" s="2113"/>
      <c r="AI188" s="2114">
        <f>Z188+'2024 Калуга+область перекачка'!Z188+'2024 Калуга+область очистка'!Z188</f>
        <v>0.66744530673573688</v>
      </c>
      <c r="AJ188" s="2114">
        <f>AA188+'2024 Калуга+область перекачка'!AA188+'2024 Калуга+область очистка'!AA188</f>
        <v>0.66744530673573688</v>
      </c>
      <c r="AK188" s="2114">
        <f>AB188+'2024 Калуга+область перекачка'!AB188+'2024 Калуга+область очистка'!AB188</f>
        <v>0.66744530673573688</v>
      </c>
      <c r="AL188" s="2114">
        <f>расчет_тарифа_К_!O189</f>
        <v>0.66744530673573688</v>
      </c>
      <c r="AM188" s="2593">
        <f t="shared" si="62"/>
        <v>0</v>
      </c>
    </row>
    <row r="189" spans="1:39" s="2218" customFormat="1">
      <c r="A189" s="2235">
        <v>272</v>
      </c>
      <c r="B189" s="2281" t="s">
        <v>2004</v>
      </c>
      <c r="C189" s="2282" t="s">
        <v>2005</v>
      </c>
      <c r="D189" s="2283" t="s">
        <v>1934</v>
      </c>
      <c r="E189" s="2284">
        <f>'[3]НВВ тран-ка'!K490</f>
        <v>1642.5017664136119</v>
      </c>
      <c r="F189" s="2285">
        <f>'[3]НВВ тран-ка'!L490</f>
        <v>1722.4926215709763</v>
      </c>
      <c r="G189" s="2257">
        <f t="shared" si="52"/>
        <v>1682.4971939922941</v>
      </c>
      <c r="H189" s="2285">
        <f>'[3]НВВ тран-ка'!T490</f>
        <v>1715.912612347071</v>
      </c>
      <c r="I189" s="2285">
        <f>'[3]НВВ тран-ка'!U490</f>
        <v>1767.389990717483</v>
      </c>
      <c r="J189" s="2257">
        <f t="shared" si="53"/>
        <v>1741.6513015322771</v>
      </c>
      <c r="K189" s="2285">
        <f>'[3]НВВ тран-ка'!AC490</f>
        <v>2334.5546393768241</v>
      </c>
      <c r="L189" s="2285">
        <f>'[3]НВВ тран-ка'!AD490</f>
        <v>2416.2640517550089</v>
      </c>
      <c r="M189" s="2259">
        <f t="shared" si="54"/>
        <v>2375.4093455659167</v>
      </c>
      <c r="N189" s="2284">
        <v>2633.7278164129598</v>
      </c>
      <c r="O189" s="2285">
        <v>2799.6526688469762</v>
      </c>
      <c r="P189" s="2259">
        <f t="shared" si="63"/>
        <v>2716.690242629968</v>
      </c>
      <c r="Q189" s="2284">
        <v>0</v>
      </c>
      <c r="R189" s="2285">
        <v>0</v>
      </c>
      <c r="S189" s="2259">
        <f t="shared" si="64"/>
        <v>0</v>
      </c>
      <c r="T189" s="2284">
        <f>T187/T188</f>
        <v>2633.7278164129598</v>
      </c>
      <c r="U189" s="2285">
        <f>U187/U188</f>
        <v>2799.6526688469762</v>
      </c>
      <c r="V189" s="2268">
        <f t="shared" si="55"/>
        <v>2716.690242629968</v>
      </c>
      <c r="W189" s="2284">
        <f>W187/W188</f>
        <v>2633.7278164129598</v>
      </c>
      <c r="X189" s="2285">
        <f>X187/X188</f>
        <v>2799.6526688469762</v>
      </c>
      <c r="Y189" s="2268">
        <f t="shared" si="56"/>
        <v>2716.690242629968</v>
      </c>
      <c r="Z189" s="2284">
        <f>Z187/Z188</f>
        <v>2633.7278164129602</v>
      </c>
      <c r="AA189" s="2285">
        <f>AA187/AA188</f>
        <v>2799.6526688469767</v>
      </c>
      <c r="AB189" s="2268">
        <f t="shared" si="57"/>
        <v>2716.6902426299685</v>
      </c>
      <c r="AC189" s="2113">
        <f t="shared" si="58"/>
        <v>629.86013652661666</v>
      </c>
      <c r="AD189" s="2114">
        <f t="shared" si="59"/>
        <v>-2169.7925323203594</v>
      </c>
      <c r="AE189" s="2113">
        <f t="shared" si="60"/>
        <v>2169.7925323203594</v>
      </c>
      <c r="AF189" s="2114">
        <f t="shared" si="61"/>
        <v>-629.86013652661723</v>
      </c>
      <c r="AG189" s="2113"/>
      <c r="AH189" s="2113"/>
      <c r="AI189" s="2114">
        <f>Z189+'2024 Калуга+область перекачка'!Z189+'2024 Калуга+область очистка'!Z189</f>
        <v>7247.9546566973413</v>
      </c>
      <c r="AJ189" s="2114">
        <f>AA189+'2024 Калуга+область перекачка'!AA189+'2024 Калуга+область очистка'!AA189</f>
        <v>7704.5758000692731</v>
      </c>
      <c r="AK189" s="2114">
        <f>AB189+'2024 Калуга+область перекачка'!AB189+'2024 Калуга+область очистка'!AB189</f>
        <v>7476.2652283833077</v>
      </c>
      <c r="AL189" s="2114">
        <f>расчет_тарифа_К_!O190</f>
        <v>2504.6395124665655</v>
      </c>
      <c r="AM189" s="2593">
        <f t="shared" si="62"/>
        <v>5199.936287602708</v>
      </c>
    </row>
    <row r="190" spans="1:39" s="2218" customFormat="1" ht="19.5" customHeight="1">
      <c r="A190" s="2235">
        <v>70</v>
      </c>
      <c r="B190" s="2281" t="s">
        <v>2007</v>
      </c>
      <c r="C190" s="2282" t="s">
        <v>2008</v>
      </c>
      <c r="D190" s="2283" t="s">
        <v>1317</v>
      </c>
      <c r="E190" s="2284">
        <f>'[3]НВВ тран-ка'!K491</f>
        <v>0</v>
      </c>
      <c r="F190" s="2285">
        <f>'[3]НВВ тран-ка'!L491</f>
        <v>0</v>
      </c>
      <c r="G190" s="2257">
        <f t="shared" si="52"/>
        <v>0</v>
      </c>
      <c r="H190" s="2285">
        <f>'[3]НВВ тран-ка'!T491</f>
        <v>0</v>
      </c>
      <c r="I190" s="2285">
        <f>'[3]НВВ тран-ка'!U491</f>
        <v>0</v>
      </c>
      <c r="J190" s="2257">
        <f t="shared" si="53"/>
        <v>0</v>
      </c>
      <c r="K190" s="2285">
        <f>'[3]НВВ тран-ка'!AC491</f>
        <v>0</v>
      </c>
      <c r="L190" s="2285">
        <f>'[3]НВВ тран-ка'!AD491</f>
        <v>0</v>
      </c>
      <c r="M190" s="2259">
        <f t="shared" si="54"/>
        <v>0</v>
      </c>
      <c r="N190" s="2284"/>
      <c r="O190" s="2285"/>
      <c r="P190" s="2259">
        <f t="shared" si="63"/>
        <v>0</v>
      </c>
      <c r="Q190" s="2284">
        <v>0</v>
      </c>
      <c r="R190" s="2285">
        <v>0</v>
      </c>
      <c r="S190" s="2259">
        <f t="shared" si="64"/>
        <v>0</v>
      </c>
      <c r="T190" s="2284">
        <v>0</v>
      </c>
      <c r="U190" s="2285">
        <v>0</v>
      </c>
      <c r="V190" s="2268">
        <f t="shared" si="55"/>
        <v>0</v>
      </c>
      <c r="W190" s="2888">
        <f>T190/$T$272*$W$272</f>
        <v>0</v>
      </c>
      <c r="X190" s="2889">
        <f>U190/$T$272*$W$272</f>
        <v>0</v>
      </c>
      <c r="Y190" s="2268">
        <f t="shared" si="56"/>
        <v>0</v>
      </c>
      <c r="Z190" s="2888">
        <f t="shared" ref="Z190:AA192" si="72">T190/$T$272*$Z$272</f>
        <v>0</v>
      </c>
      <c r="AA190" s="2889">
        <f t="shared" si="72"/>
        <v>0</v>
      </c>
      <c r="AB190" s="2268">
        <f t="shared" si="57"/>
        <v>0</v>
      </c>
      <c r="AC190" s="2113">
        <f t="shared" si="58"/>
        <v>0</v>
      </c>
      <c r="AD190" s="2114">
        <f t="shared" si="59"/>
        <v>0</v>
      </c>
      <c r="AE190" s="2113">
        <f t="shared" si="60"/>
        <v>0</v>
      </c>
      <c r="AF190" s="2114">
        <f t="shared" si="61"/>
        <v>0</v>
      </c>
      <c r="AG190" s="2113"/>
      <c r="AH190" s="2113"/>
      <c r="AI190" s="2114">
        <f>Z190+'2024 Калуга+область перекачка'!Z190+'2024 Калуга+область очистка'!Z190</f>
        <v>0</v>
      </c>
      <c r="AJ190" s="2114">
        <f>AA190+'2024 Калуга+область перекачка'!AA190+'2024 Калуга+область очистка'!AA190</f>
        <v>0</v>
      </c>
      <c r="AK190" s="2114">
        <f>AB190+'2024 Калуга+область перекачка'!AB190+'2024 Калуга+область очистка'!AB190</f>
        <v>0</v>
      </c>
      <c r="AL190" s="2114">
        <f>расчет_тарифа_К_!O191</f>
        <v>0</v>
      </c>
      <c r="AM190" s="2593">
        <f t="shared" si="62"/>
        <v>0</v>
      </c>
    </row>
    <row r="191" spans="1:39" s="2218" customFormat="1" ht="24" customHeight="1">
      <c r="A191" s="2235">
        <v>273</v>
      </c>
      <c r="B191" s="2279" t="s">
        <v>2009</v>
      </c>
      <c r="C191" s="2280" t="s">
        <v>2010</v>
      </c>
      <c r="D191" s="2254" t="s">
        <v>1313</v>
      </c>
      <c r="E191" s="2255">
        <f>E192*E193</f>
        <v>0</v>
      </c>
      <c r="F191" s="2256">
        <f>F192*F193</f>
        <v>0</v>
      </c>
      <c r="G191" s="2257">
        <f t="shared" si="52"/>
        <v>0</v>
      </c>
      <c r="H191" s="2256">
        <f>H192*H193</f>
        <v>0</v>
      </c>
      <c r="I191" s="2256">
        <f>I192*I193</f>
        <v>0</v>
      </c>
      <c r="J191" s="2257">
        <f t="shared" si="53"/>
        <v>0</v>
      </c>
      <c r="K191" s="2256">
        <f>K192*K193</f>
        <v>0</v>
      </c>
      <c r="L191" s="2256">
        <f>L192*L193</f>
        <v>0</v>
      </c>
      <c r="M191" s="2259">
        <f t="shared" si="54"/>
        <v>0</v>
      </c>
      <c r="N191" s="2255">
        <v>0</v>
      </c>
      <c r="O191" s="2256">
        <v>0</v>
      </c>
      <c r="P191" s="2259">
        <f t="shared" si="63"/>
        <v>0</v>
      </c>
      <c r="Q191" s="2255">
        <v>0</v>
      </c>
      <c r="R191" s="2256">
        <v>0</v>
      </c>
      <c r="S191" s="2259">
        <f t="shared" si="64"/>
        <v>0</v>
      </c>
      <c r="T191" s="2255">
        <v>0</v>
      </c>
      <c r="U191" s="2256">
        <v>0</v>
      </c>
      <c r="V191" s="2268">
        <f t="shared" si="55"/>
        <v>0</v>
      </c>
      <c r="W191" s="2377">
        <f>T191/$T$272*$N$272</f>
        <v>0</v>
      </c>
      <c r="X191" s="2256">
        <f>U191/$T$272*$N$272</f>
        <v>0</v>
      </c>
      <c r="Y191" s="2268">
        <f t="shared" si="56"/>
        <v>0</v>
      </c>
      <c r="Z191" s="2886">
        <f t="shared" si="72"/>
        <v>0</v>
      </c>
      <c r="AA191" s="2887">
        <f t="shared" si="72"/>
        <v>0</v>
      </c>
      <c r="AB191" s="2268">
        <f t="shared" si="57"/>
        <v>0</v>
      </c>
      <c r="AC191" s="2113">
        <f t="shared" si="58"/>
        <v>0</v>
      </c>
      <c r="AD191" s="2114">
        <f t="shared" si="59"/>
        <v>0</v>
      </c>
      <c r="AE191" s="2113">
        <f t="shared" si="60"/>
        <v>0</v>
      </c>
      <c r="AF191" s="2114">
        <f t="shared" si="61"/>
        <v>0</v>
      </c>
      <c r="AG191" s="2113"/>
      <c r="AH191" s="2113"/>
      <c r="AI191" s="2114">
        <f>Z191+'2024 Калуга+область перекачка'!Z191+'2024 Калуга+область очистка'!Z191</f>
        <v>0</v>
      </c>
      <c r="AJ191" s="2114">
        <f>AA191+'2024 Калуга+область перекачка'!AA191+'2024 Калуга+область очистка'!AA191</f>
        <v>0</v>
      </c>
      <c r="AK191" s="2114">
        <f>AB191+'2024 Калуга+область перекачка'!AB191+'2024 Калуга+область очистка'!AB191</f>
        <v>0</v>
      </c>
      <c r="AL191" s="2114">
        <f>расчет_тарифа_К_!O192</f>
        <v>0</v>
      </c>
      <c r="AM191" s="2593">
        <f t="shared" si="62"/>
        <v>0</v>
      </c>
    </row>
    <row r="192" spans="1:39" s="2218" customFormat="1" ht="24" customHeight="1">
      <c r="A192" s="2235">
        <v>274</v>
      </c>
      <c r="B192" s="2281" t="s">
        <v>2011</v>
      </c>
      <c r="C192" s="2282" t="s">
        <v>1505</v>
      </c>
      <c r="D192" s="2283" t="s">
        <v>2012</v>
      </c>
      <c r="E192" s="2284"/>
      <c r="F192" s="2285"/>
      <c r="G192" s="2257">
        <f t="shared" si="52"/>
        <v>0</v>
      </c>
      <c r="H192" s="2285"/>
      <c r="I192" s="2285"/>
      <c r="J192" s="2257">
        <f t="shared" si="53"/>
        <v>0</v>
      </c>
      <c r="K192" s="2285"/>
      <c r="L192" s="2285"/>
      <c r="M192" s="2259">
        <f t="shared" si="54"/>
        <v>0</v>
      </c>
      <c r="N192" s="2284"/>
      <c r="O192" s="2285"/>
      <c r="P192" s="2259">
        <f t="shared" si="63"/>
        <v>0</v>
      </c>
      <c r="Q192" s="2294">
        <v>0</v>
      </c>
      <c r="R192" s="2296">
        <v>0</v>
      </c>
      <c r="S192" s="2259">
        <f t="shared" si="64"/>
        <v>0</v>
      </c>
      <c r="T192" s="2294">
        <v>0</v>
      </c>
      <c r="U192" s="2296">
        <v>0</v>
      </c>
      <c r="V192" s="2268">
        <f t="shared" si="55"/>
        <v>0</v>
      </c>
      <c r="W192" s="2888">
        <f>T192/$T$272*$W$272</f>
        <v>0</v>
      </c>
      <c r="X192" s="2889">
        <f>U192/$T$272*$W$272</f>
        <v>0</v>
      </c>
      <c r="Y192" s="2268">
        <f t="shared" si="56"/>
        <v>0</v>
      </c>
      <c r="Z192" s="2888">
        <f t="shared" si="72"/>
        <v>0</v>
      </c>
      <c r="AA192" s="2889">
        <f t="shared" si="72"/>
        <v>0</v>
      </c>
      <c r="AB192" s="2268">
        <f t="shared" si="57"/>
        <v>0</v>
      </c>
      <c r="AC192" s="2113">
        <f t="shared" si="58"/>
        <v>0</v>
      </c>
      <c r="AD192" s="2114">
        <f t="shared" si="59"/>
        <v>0</v>
      </c>
      <c r="AE192" s="2113">
        <f t="shared" si="60"/>
        <v>0</v>
      </c>
      <c r="AF192" s="2114">
        <f t="shared" si="61"/>
        <v>0</v>
      </c>
      <c r="AG192" s="2113"/>
      <c r="AH192" s="2113"/>
      <c r="AI192" s="2114">
        <f>Z192+'2024 Калуга+область перекачка'!Z192+'2024 Калуга+область очистка'!Z192</f>
        <v>0</v>
      </c>
      <c r="AJ192" s="2114">
        <f>AA192+'2024 Калуга+область перекачка'!AA192+'2024 Калуга+область очистка'!AA192</f>
        <v>0</v>
      </c>
      <c r="AK192" s="2114">
        <f>AB192+'2024 Калуга+область перекачка'!AB192+'2024 Калуга+область очистка'!AB192</f>
        <v>0</v>
      </c>
      <c r="AL192" s="2114">
        <f>расчет_тарифа_К_!O193</f>
        <v>0</v>
      </c>
      <c r="AM192" s="2593">
        <f t="shared" si="62"/>
        <v>0</v>
      </c>
    </row>
    <row r="193" spans="1:39" s="2218" customFormat="1" ht="24" customHeight="1">
      <c r="A193" s="2235">
        <v>275</v>
      </c>
      <c r="B193" s="2281" t="s">
        <v>2014</v>
      </c>
      <c r="C193" s="2282" t="s">
        <v>2005</v>
      </c>
      <c r="D193" s="2283" t="s">
        <v>1934</v>
      </c>
      <c r="E193" s="2284"/>
      <c r="F193" s="2285"/>
      <c r="G193" s="2257">
        <f t="shared" si="52"/>
        <v>0</v>
      </c>
      <c r="H193" s="2285"/>
      <c r="I193" s="2285"/>
      <c r="J193" s="2257">
        <f t="shared" si="53"/>
        <v>0</v>
      </c>
      <c r="K193" s="2285"/>
      <c r="L193" s="2285"/>
      <c r="M193" s="2259">
        <f t="shared" si="54"/>
        <v>0</v>
      </c>
      <c r="N193" s="2284"/>
      <c r="O193" s="2285"/>
      <c r="P193" s="2259">
        <f t="shared" si="63"/>
        <v>0</v>
      </c>
      <c r="Q193" s="2284">
        <v>0</v>
      </c>
      <c r="R193" s="2474">
        <v>0</v>
      </c>
      <c r="S193" s="2259">
        <f t="shared" si="64"/>
        <v>0</v>
      </c>
      <c r="T193" s="2284">
        <v>0</v>
      </c>
      <c r="U193" s="2474">
        <v>0</v>
      </c>
      <c r="V193" s="2268">
        <f t="shared" si="55"/>
        <v>0</v>
      </c>
      <c r="W193" s="2284" t="e">
        <f>W191/W192</f>
        <v>#DIV/0!</v>
      </c>
      <c r="X193" s="2285" t="e">
        <f>X191/X192</f>
        <v>#DIV/0!</v>
      </c>
      <c r="Y193" s="2268" t="e">
        <f t="shared" si="56"/>
        <v>#DIV/0!</v>
      </c>
      <c r="Z193" s="2284" t="e">
        <f>Z191/Z192</f>
        <v>#DIV/0!</v>
      </c>
      <c r="AA193" s="2285" t="e">
        <f>AA191/AA192</f>
        <v>#DIV/0!</v>
      </c>
      <c r="AB193" s="2268" t="e">
        <f t="shared" si="57"/>
        <v>#DIV/0!</v>
      </c>
      <c r="AC193" s="2113">
        <f t="shared" si="58"/>
        <v>0</v>
      </c>
      <c r="AD193" s="2114" t="e">
        <f t="shared" si="59"/>
        <v>#DIV/0!</v>
      </c>
      <c r="AE193" s="2113">
        <f t="shared" si="60"/>
        <v>0</v>
      </c>
      <c r="AF193" s="2114" t="e">
        <f t="shared" si="61"/>
        <v>#DIV/0!</v>
      </c>
      <c r="AG193" s="2113"/>
      <c r="AH193" s="2113"/>
      <c r="AI193" s="2114" t="e">
        <f>Z193+'2024 Калуга+область перекачка'!Z193+'2024 Калуга+область очистка'!Z193</f>
        <v>#DIV/0!</v>
      </c>
      <c r="AJ193" s="2114" t="e">
        <f>AA193+'2024 Калуга+область перекачка'!AA193+'2024 Калуга+область очистка'!AA193</f>
        <v>#DIV/0!</v>
      </c>
      <c r="AK193" s="2114" t="e">
        <f>AB193+'2024 Калуга+область перекачка'!AB193+'2024 Калуга+область очистка'!AB193</f>
        <v>#DIV/0!</v>
      </c>
      <c r="AL193" s="2114">
        <f>расчет_тарифа_К_!O194</f>
        <v>0</v>
      </c>
      <c r="AM193" s="2593" t="e">
        <f t="shared" si="62"/>
        <v>#DIV/0!</v>
      </c>
    </row>
    <row r="194" spans="1:39" s="2218" customFormat="1" ht="20.25" customHeight="1">
      <c r="A194" s="2235">
        <v>72</v>
      </c>
      <c r="B194" s="2279" t="s">
        <v>2015</v>
      </c>
      <c r="C194" s="2280" t="s">
        <v>2016</v>
      </c>
      <c r="D194" s="2254" t="s">
        <v>1317</v>
      </c>
      <c r="E194" s="2255">
        <f>E195*E196</f>
        <v>0</v>
      </c>
      <c r="F194" s="2256">
        <f>F195*F196</f>
        <v>0</v>
      </c>
      <c r="G194" s="2257">
        <f t="shared" si="52"/>
        <v>0</v>
      </c>
      <c r="H194" s="2256">
        <f>H195*H196</f>
        <v>0</v>
      </c>
      <c r="I194" s="2256">
        <f>I195*I196</f>
        <v>0</v>
      </c>
      <c r="J194" s="2257">
        <f t="shared" si="53"/>
        <v>0</v>
      </c>
      <c r="K194" s="2256">
        <f>K195*K196</f>
        <v>0</v>
      </c>
      <c r="L194" s="2256">
        <f>L195*L196</f>
        <v>0</v>
      </c>
      <c r="M194" s="2259">
        <f t="shared" si="54"/>
        <v>0</v>
      </c>
      <c r="N194" s="2255">
        <v>0</v>
      </c>
      <c r="O194" s="2256">
        <v>0</v>
      </c>
      <c r="P194" s="2259">
        <f t="shared" si="63"/>
        <v>0</v>
      </c>
      <c r="Q194" s="2255">
        <v>0</v>
      </c>
      <c r="R194" s="2256">
        <v>0</v>
      </c>
      <c r="S194" s="2259">
        <f t="shared" si="64"/>
        <v>0</v>
      </c>
      <c r="T194" s="2255">
        <v>0</v>
      </c>
      <c r="U194" s="2256">
        <v>0</v>
      </c>
      <c r="V194" s="2268">
        <f t="shared" si="55"/>
        <v>0</v>
      </c>
      <c r="W194" s="2377">
        <f>T194/$T$272*$N$272</f>
        <v>0</v>
      </c>
      <c r="X194" s="2256">
        <f>U194/$T$272*$N$272</f>
        <v>0</v>
      </c>
      <c r="Y194" s="2268">
        <f t="shared" si="56"/>
        <v>0</v>
      </c>
      <c r="Z194" s="2886">
        <f>T194/$T$272*$Z$272</f>
        <v>0</v>
      </c>
      <c r="AA194" s="2887">
        <f>U194/$T$272*$Z$272</f>
        <v>0</v>
      </c>
      <c r="AB194" s="2268">
        <f t="shared" si="57"/>
        <v>0</v>
      </c>
      <c r="AC194" s="2113">
        <f t="shared" si="58"/>
        <v>0</v>
      </c>
      <c r="AD194" s="2114">
        <f t="shared" si="59"/>
        <v>0</v>
      </c>
      <c r="AE194" s="2113">
        <f t="shared" si="60"/>
        <v>0</v>
      </c>
      <c r="AF194" s="2114">
        <f t="shared" si="61"/>
        <v>0</v>
      </c>
      <c r="AG194" s="2113"/>
      <c r="AH194" s="2113"/>
      <c r="AI194" s="2114">
        <f>Z194+'2024 Калуга+область перекачка'!Z194+'2024 Калуга+область очистка'!Z194</f>
        <v>0</v>
      </c>
      <c r="AJ194" s="2114">
        <f>AA194+'2024 Калуга+область перекачка'!AA194+'2024 Калуга+область очистка'!AA194</f>
        <v>0</v>
      </c>
      <c r="AK194" s="2114">
        <f>AB194+'2024 Калуга+область перекачка'!AB194+'2024 Калуга+область очистка'!AB194</f>
        <v>0</v>
      </c>
      <c r="AL194" s="2114">
        <f>расчет_тарифа_К_!O195</f>
        <v>0</v>
      </c>
      <c r="AM194" s="2593">
        <f t="shared" si="62"/>
        <v>0</v>
      </c>
    </row>
    <row r="195" spans="1:39" s="2218" customFormat="1" ht="24" customHeight="1">
      <c r="A195" s="2235">
        <v>74</v>
      </c>
      <c r="B195" s="2281" t="s">
        <v>2017</v>
      </c>
      <c r="C195" s="2282" t="s">
        <v>2018</v>
      </c>
      <c r="D195" s="2283" t="s">
        <v>1983</v>
      </c>
      <c r="E195" s="2284"/>
      <c r="F195" s="2285"/>
      <c r="G195" s="2257">
        <f t="shared" si="52"/>
        <v>0</v>
      </c>
      <c r="H195" s="2285"/>
      <c r="I195" s="2285"/>
      <c r="J195" s="2257">
        <f t="shared" si="53"/>
        <v>0</v>
      </c>
      <c r="K195" s="2285"/>
      <c r="L195" s="2285"/>
      <c r="M195" s="2259">
        <f t="shared" si="54"/>
        <v>0</v>
      </c>
      <c r="N195" s="2284"/>
      <c r="O195" s="2285"/>
      <c r="P195" s="2259">
        <f t="shared" si="63"/>
        <v>0</v>
      </c>
      <c r="Q195" s="2294">
        <v>0</v>
      </c>
      <c r="R195" s="2296">
        <v>0</v>
      </c>
      <c r="S195" s="2259">
        <f t="shared" si="64"/>
        <v>0</v>
      </c>
      <c r="T195" s="2294">
        <v>0</v>
      </c>
      <c r="U195" s="2296">
        <v>0</v>
      </c>
      <c r="V195" s="2268">
        <f t="shared" si="55"/>
        <v>0</v>
      </c>
      <c r="W195" s="2888">
        <f>T195/$T$272*$W$272</f>
        <v>0</v>
      </c>
      <c r="X195" s="2889">
        <f>U195/$T$272*$W$272</f>
        <v>0</v>
      </c>
      <c r="Y195" s="2268">
        <f t="shared" si="56"/>
        <v>0</v>
      </c>
      <c r="Z195" s="2888">
        <f>T195/$T$272*$Z$272</f>
        <v>0</v>
      </c>
      <c r="AA195" s="2889">
        <f>U195/$T$272*$Z$272</f>
        <v>0</v>
      </c>
      <c r="AB195" s="2268">
        <f t="shared" si="57"/>
        <v>0</v>
      </c>
      <c r="AC195" s="2113">
        <f t="shared" si="58"/>
        <v>0</v>
      </c>
      <c r="AD195" s="2114">
        <f t="shared" si="59"/>
        <v>0</v>
      </c>
      <c r="AE195" s="2113">
        <f t="shared" si="60"/>
        <v>0</v>
      </c>
      <c r="AF195" s="2114">
        <f t="shared" si="61"/>
        <v>0</v>
      </c>
      <c r="AG195" s="2113"/>
      <c r="AH195" s="2113"/>
      <c r="AI195" s="2114">
        <f>Z195+'2024 Калуга+область перекачка'!Z195+'2024 Калуга+область очистка'!Z195</f>
        <v>0</v>
      </c>
      <c r="AJ195" s="2114">
        <f>AA195+'2024 Калуга+область перекачка'!AA195+'2024 Калуга+область очистка'!AA195</f>
        <v>0</v>
      </c>
      <c r="AK195" s="2114">
        <f>AB195+'2024 Калуга+область перекачка'!AB195+'2024 Калуга+область очистка'!AB195</f>
        <v>0</v>
      </c>
      <c r="AL195" s="2114">
        <f>расчет_тарифа_К_!O196</f>
        <v>0</v>
      </c>
      <c r="AM195" s="2593">
        <f t="shared" si="62"/>
        <v>0</v>
      </c>
    </row>
    <row r="196" spans="1:39" s="2218" customFormat="1" ht="18.75" customHeight="1">
      <c r="A196" s="2235">
        <v>73</v>
      </c>
      <c r="B196" s="2281" t="s">
        <v>2020</v>
      </c>
      <c r="C196" s="2282" t="s">
        <v>2005</v>
      </c>
      <c r="D196" s="2283" t="s">
        <v>1986</v>
      </c>
      <c r="E196" s="2284"/>
      <c r="F196" s="2285"/>
      <c r="G196" s="2257">
        <f t="shared" si="52"/>
        <v>0</v>
      </c>
      <c r="H196" s="2285"/>
      <c r="I196" s="2285"/>
      <c r="J196" s="2257">
        <f t="shared" si="53"/>
        <v>0</v>
      </c>
      <c r="K196" s="2285"/>
      <c r="L196" s="2285"/>
      <c r="M196" s="2259">
        <f t="shared" si="54"/>
        <v>0</v>
      </c>
      <c r="N196" s="2284"/>
      <c r="O196" s="2285"/>
      <c r="P196" s="2259">
        <f t="shared" si="63"/>
        <v>0</v>
      </c>
      <c r="Q196" s="2284">
        <v>0</v>
      </c>
      <c r="R196" s="2474">
        <v>0</v>
      </c>
      <c r="S196" s="2259">
        <f t="shared" si="64"/>
        <v>0</v>
      </c>
      <c r="T196" s="2284">
        <v>0</v>
      </c>
      <c r="U196" s="2474">
        <v>0</v>
      </c>
      <c r="V196" s="2268">
        <f t="shared" si="55"/>
        <v>0</v>
      </c>
      <c r="W196" s="2284" t="e">
        <f>W194/W195</f>
        <v>#DIV/0!</v>
      </c>
      <c r="X196" s="2285" t="e">
        <f>X194/X195</f>
        <v>#DIV/0!</v>
      </c>
      <c r="Y196" s="2268" t="e">
        <f t="shared" si="56"/>
        <v>#DIV/0!</v>
      </c>
      <c r="Z196" s="2284" t="e">
        <f>Z194/Z195</f>
        <v>#DIV/0!</v>
      </c>
      <c r="AA196" s="2285" t="e">
        <f>AA194/AA195</f>
        <v>#DIV/0!</v>
      </c>
      <c r="AB196" s="2268" t="e">
        <f t="shared" si="57"/>
        <v>#DIV/0!</v>
      </c>
      <c r="AC196" s="2113">
        <f t="shared" si="58"/>
        <v>0</v>
      </c>
      <c r="AD196" s="2114" t="e">
        <f t="shared" si="59"/>
        <v>#DIV/0!</v>
      </c>
      <c r="AE196" s="2113">
        <f t="shared" si="60"/>
        <v>0</v>
      </c>
      <c r="AF196" s="2114" t="e">
        <f t="shared" si="61"/>
        <v>#DIV/0!</v>
      </c>
      <c r="AG196" s="2113"/>
      <c r="AH196" s="2113"/>
      <c r="AI196" s="2114" t="e">
        <f>Z196+'2024 Калуга+область перекачка'!Z196+'2024 Калуга+область очистка'!Z196</f>
        <v>#DIV/0!</v>
      </c>
      <c r="AJ196" s="2114" t="e">
        <f>AA196+'2024 Калуга+область перекачка'!AA196+'2024 Калуга+область очистка'!AA196</f>
        <v>#DIV/0!</v>
      </c>
      <c r="AK196" s="2114" t="e">
        <f>AB196+'2024 Калуга+область перекачка'!AB196+'2024 Калуга+область очистка'!AB196</f>
        <v>#DIV/0!</v>
      </c>
      <c r="AL196" s="2114">
        <f>расчет_тарифа_К_!O197</f>
        <v>0</v>
      </c>
      <c r="AM196" s="2593" t="e">
        <f t="shared" si="62"/>
        <v>#DIV/0!</v>
      </c>
    </row>
    <row r="197" spans="1:39" s="2218" customFormat="1" ht="22.5" customHeight="1">
      <c r="A197" s="2235">
        <v>260</v>
      </c>
      <c r="B197" s="2281" t="s">
        <v>2021</v>
      </c>
      <c r="C197" s="2282" t="s">
        <v>2022</v>
      </c>
      <c r="D197" s="2283" t="s">
        <v>1313</v>
      </c>
      <c r="E197" s="2284"/>
      <c r="F197" s="2285"/>
      <c r="G197" s="2257">
        <f t="shared" si="52"/>
        <v>0</v>
      </c>
      <c r="H197" s="2285"/>
      <c r="I197" s="2285"/>
      <c r="J197" s="2257">
        <f t="shared" si="53"/>
        <v>0</v>
      </c>
      <c r="K197" s="2285"/>
      <c r="L197" s="2285"/>
      <c r="M197" s="2259">
        <f t="shared" si="54"/>
        <v>0</v>
      </c>
      <c r="N197" s="2284"/>
      <c r="O197" s="2285"/>
      <c r="P197" s="2259">
        <f t="shared" si="63"/>
        <v>0</v>
      </c>
      <c r="Q197" s="2284">
        <v>0</v>
      </c>
      <c r="R197" s="2285">
        <v>0</v>
      </c>
      <c r="S197" s="2259">
        <f t="shared" si="64"/>
        <v>0</v>
      </c>
      <c r="T197" s="2284">
        <v>0</v>
      </c>
      <c r="U197" s="2285">
        <v>0</v>
      </c>
      <c r="V197" s="2268">
        <f t="shared" ref="V197:V260" si="73">T197/2+U197/2</f>
        <v>0</v>
      </c>
      <c r="W197" s="2284">
        <v>0</v>
      </c>
      <c r="X197" s="2285">
        <v>0</v>
      </c>
      <c r="Y197" s="2268">
        <f t="shared" ref="Y197:Y260" si="74">W197/2+X197/2</f>
        <v>0</v>
      </c>
      <c r="Z197" s="2284">
        <v>0</v>
      </c>
      <c r="AA197" s="2285">
        <v>0</v>
      </c>
      <c r="AB197" s="2268">
        <f t="shared" ref="AB197:AB260" si="75">Z197/2+AA197/2</f>
        <v>0</v>
      </c>
      <c r="AC197" s="2113">
        <f t="shared" si="58"/>
        <v>0</v>
      </c>
      <c r="AD197" s="2114">
        <f t="shared" si="59"/>
        <v>0</v>
      </c>
      <c r="AE197" s="2113">
        <f t="shared" si="60"/>
        <v>0</v>
      </c>
      <c r="AF197" s="2114">
        <f t="shared" si="61"/>
        <v>0</v>
      </c>
      <c r="AG197" s="2113"/>
      <c r="AH197" s="2113"/>
      <c r="AI197" s="2114">
        <f>Z197+'2024 Калуга+область перекачка'!Z197+'2024 Калуга+область очистка'!Z197</f>
        <v>0</v>
      </c>
      <c r="AJ197" s="2114">
        <f>AA197+'2024 Калуга+область перекачка'!AA197+'2024 Калуга+область очистка'!AA197</f>
        <v>0</v>
      </c>
      <c r="AK197" s="2114">
        <f>AB197+'2024 Калуга+область перекачка'!AB197+'2024 Калуга+область очистка'!AB197</f>
        <v>0</v>
      </c>
      <c r="AL197" s="2114">
        <f>расчет_тарифа_К_!O198</f>
        <v>0</v>
      </c>
      <c r="AM197" s="2593">
        <f t="shared" si="62"/>
        <v>0</v>
      </c>
    </row>
    <row r="198" spans="1:39" s="2218" customFormat="1" ht="30.75" customHeight="1">
      <c r="A198" s="2235">
        <v>261</v>
      </c>
      <c r="B198" s="2281" t="s">
        <v>2023</v>
      </c>
      <c r="C198" s="2282" t="s">
        <v>2024</v>
      </c>
      <c r="D198" s="2283" t="s">
        <v>1313</v>
      </c>
      <c r="E198" s="2284"/>
      <c r="F198" s="2285"/>
      <c r="G198" s="2257">
        <f t="shared" si="52"/>
        <v>0</v>
      </c>
      <c r="H198" s="2285"/>
      <c r="I198" s="2285"/>
      <c r="J198" s="2257">
        <f t="shared" si="53"/>
        <v>0</v>
      </c>
      <c r="K198" s="2285"/>
      <c r="L198" s="2285"/>
      <c r="M198" s="2259">
        <f t="shared" si="54"/>
        <v>0</v>
      </c>
      <c r="N198" s="2284"/>
      <c r="O198" s="2285"/>
      <c r="P198" s="2259">
        <f t="shared" si="63"/>
        <v>0</v>
      </c>
      <c r="Q198" s="2284">
        <v>0</v>
      </c>
      <c r="R198" s="2285">
        <v>0</v>
      </c>
      <c r="S198" s="2259">
        <f t="shared" si="64"/>
        <v>0</v>
      </c>
      <c r="T198" s="2284">
        <v>0</v>
      </c>
      <c r="U198" s="2285">
        <v>0</v>
      </c>
      <c r="V198" s="2268">
        <f t="shared" si="73"/>
        <v>0</v>
      </c>
      <c r="W198" s="2284">
        <v>0</v>
      </c>
      <c r="X198" s="2285">
        <v>0</v>
      </c>
      <c r="Y198" s="2268">
        <f t="shared" si="74"/>
        <v>0</v>
      </c>
      <c r="Z198" s="2284">
        <v>0</v>
      </c>
      <c r="AA198" s="2285">
        <v>0</v>
      </c>
      <c r="AB198" s="2268">
        <f t="shared" si="75"/>
        <v>0</v>
      </c>
      <c r="AC198" s="2113">
        <f t="shared" ref="AC198:AC261" si="76">U198/$U$272*$X$272</f>
        <v>0</v>
      </c>
      <c r="AD198" s="2114">
        <f t="shared" ref="AD198:AD261" si="77">AC198-X198</f>
        <v>0</v>
      </c>
      <c r="AE198" s="2113">
        <f t="shared" ref="AE198:AE261" si="78">U198/$U$272*$AA$272</f>
        <v>0</v>
      </c>
      <c r="AF198" s="2114">
        <f t="shared" ref="AF198:AF261" si="79">AE198-AA198</f>
        <v>0</v>
      </c>
      <c r="AG198" s="2113"/>
      <c r="AH198" s="2113"/>
      <c r="AI198" s="2114">
        <f>Z198+'2024 Калуга+область перекачка'!Z198+'2024 Калуга+область очистка'!Z198</f>
        <v>0</v>
      </c>
      <c r="AJ198" s="2114">
        <f>AA198+'2024 Калуга+область перекачка'!AA198+'2024 Калуга+область очистка'!AA198</f>
        <v>0</v>
      </c>
      <c r="AK198" s="2114">
        <f>AB198+'2024 Калуга+область перекачка'!AB198+'2024 Калуга+область очистка'!AB198</f>
        <v>0</v>
      </c>
      <c r="AL198" s="2114">
        <f>расчет_тарифа_К_!O199</f>
        <v>0</v>
      </c>
      <c r="AM198" s="2593">
        <f t="shared" ref="AM198:AM261" si="80">AJ198-AL198</f>
        <v>0</v>
      </c>
    </row>
    <row r="199" spans="1:39" s="2218" customFormat="1" ht="21" customHeight="1">
      <c r="A199" s="2235">
        <v>262</v>
      </c>
      <c r="B199" s="2281" t="s">
        <v>2025</v>
      </c>
      <c r="C199" s="2282" t="s">
        <v>2026</v>
      </c>
      <c r="D199" s="2283" t="s">
        <v>1313</v>
      </c>
      <c r="E199" s="2284"/>
      <c r="F199" s="2285"/>
      <c r="G199" s="2257">
        <f t="shared" si="52"/>
        <v>0</v>
      </c>
      <c r="H199" s="2285"/>
      <c r="I199" s="2285"/>
      <c r="J199" s="2257">
        <f t="shared" si="53"/>
        <v>0</v>
      </c>
      <c r="K199" s="2285"/>
      <c r="L199" s="2285"/>
      <c r="M199" s="2259">
        <f t="shared" si="54"/>
        <v>0</v>
      </c>
      <c r="N199" s="2284"/>
      <c r="O199" s="2285"/>
      <c r="P199" s="2259">
        <f t="shared" si="63"/>
        <v>0</v>
      </c>
      <c r="Q199" s="2284">
        <v>0</v>
      </c>
      <c r="R199" s="2285">
        <v>0</v>
      </c>
      <c r="S199" s="2259">
        <f t="shared" si="64"/>
        <v>0</v>
      </c>
      <c r="T199" s="2284">
        <v>0</v>
      </c>
      <c r="U199" s="2285">
        <v>0</v>
      </c>
      <c r="V199" s="2268">
        <f t="shared" si="73"/>
        <v>0</v>
      </c>
      <c r="W199" s="2284">
        <v>0</v>
      </c>
      <c r="X199" s="2285">
        <v>0</v>
      </c>
      <c r="Y199" s="2268">
        <f t="shared" si="74"/>
        <v>0</v>
      </c>
      <c r="Z199" s="2284">
        <v>0</v>
      </c>
      <c r="AA199" s="2285">
        <v>0</v>
      </c>
      <c r="AB199" s="2268">
        <f t="shared" si="75"/>
        <v>0</v>
      </c>
      <c r="AC199" s="2113">
        <f t="shared" si="76"/>
        <v>0</v>
      </c>
      <c r="AD199" s="2114">
        <f t="shared" si="77"/>
        <v>0</v>
      </c>
      <c r="AE199" s="2113">
        <f t="shared" si="78"/>
        <v>0</v>
      </c>
      <c r="AF199" s="2114">
        <f t="shared" si="79"/>
        <v>0</v>
      </c>
      <c r="AG199" s="2113"/>
      <c r="AH199" s="2113"/>
      <c r="AI199" s="2114">
        <f>Z199+'2024 Калуга+область перекачка'!Z199+'2024 Калуга+область очистка'!Z199</f>
        <v>0</v>
      </c>
      <c r="AJ199" s="2114">
        <f>AA199+'2024 Калуга+область перекачка'!AA199+'2024 Калуга+область очистка'!AA199</f>
        <v>0</v>
      </c>
      <c r="AK199" s="2114">
        <f>AB199+'2024 Калуга+область перекачка'!AB199+'2024 Калуга+область очистка'!AB199</f>
        <v>0</v>
      </c>
      <c r="AL199" s="2114">
        <f>расчет_тарифа_К_!O200</f>
        <v>0</v>
      </c>
      <c r="AM199" s="2593">
        <f t="shared" si="80"/>
        <v>0</v>
      </c>
    </row>
    <row r="200" spans="1:39" s="2218" customFormat="1" ht="35.25" customHeight="1">
      <c r="A200" s="2235">
        <v>279</v>
      </c>
      <c r="B200" s="2279" t="s">
        <v>2027</v>
      </c>
      <c r="C200" s="2280" t="s">
        <v>2028</v>
      </c>
      <c r="D200" s="2254" t="s">
        <v>1313</v>
      </c>
      <c r="E200" s="2255">
        <f>E201*E202</f>
        <v>0</v>
      </c>
      <c r="F200" s="2256">
        <f>F201*F202</f>
        <v>0</v>
      </c>
      <c r="G200" s="2257">
        <f t="shared" si="52"/>
        <v>0</v>
      </c>
      <c r="H200" s="2256">
        <f>H201*H202</f>
        <v>0</v>
      </c>
      <c r="I200" s="2256">
        <f>I201*I202</f>
        <v>0</v>
      </c>
      <c r="J200" s="2257">
        <f t="shared" si="53"/>
        <v>0</v>
      </c>
      <c r="K200" s="2256">
        <f>K201*K202</f>
        <v>0</v>
      </c>
      <c r="L200" s="2256">
        <f>L201*L202</f>
        <v>0</v>
      </c>
      <c r="M200" s="2259">
        <f t="shared" si="54"/>
        <v>0</v>
      </c>
      <c r="N200" s="2255">
        <v>0</v>
      </c>
      <c r="O200" s="2256">
        <v>0</v>
      </c>
      <c r="P200" s="2259">
        <f t="shared" si="63"/>
        <v>0</v>
      </c>
      <c r="Q200" s="2255">
        <v>0</v>
      </c>
      <c r="R200" s="2256">
        <v>0</v>
      </c>
      <c r="S200" s="2259">
        <f t="shared" si="64"/>
        <v>0</v>
      </c>
      <c r="T200" s="2255">
        <f>N200+Q200</f>
        <v>0</v>
      </c>
      <c r="U200" s="2256">
        <f>O200+R200</f>
        <v>0</v>
      </c>
      <c r="V200" s="2268">
        <f t="shared" si="73"/>
        <v>0</v>
      </c>
      <c r="W200" s="2377">
        <f>T200/$T$272*$N$272</f>
        <v>0</v>
      </c>
      <c r="X200" s="2256">
        <f>U200/$T$272*$N$272</f>
        <v>0</v>
      </c>
      <c r="Y200" s="2268">
        <f t="shared" si="74"/>
        <v>0</v>
      </c>
      <c r="Z200" s="2886">
        <f>T200/$T$272*$Z$272</f>
        <v>0</v>
      </c>
      <c r="AA200" s="2887">
        <f>U200/$T$272*$Z$272</f>
        <v>0</v>
      </c>
      <c r="AB200" s="2268">
        <f t="shared" si="75"/>
        <v>0</v>
      </c>
      <c r="AC200" s="2113">
        <f t="shared" si="76"/>
        <v>0</v>
      </c>
      <c r="AD200" s="2114">
        <f t="shared" si="77"/>
        <v>0</v>
      </c>
      <c r="AE200" s="2113">
        <f t="shared" si="78"/>
        <v>0</v>
      </c>
      <c r="AF200" s="2114">
        <f t="shared" si="79"/>
        <v>0</v>
      </c>
      <c r="AG200" s="2113"/>
      <c r="AH200" s="2113"/>
      <c r="AI200" s="2114">
        <f>Z200+'2024 Калуга+область перекачка'!Z200+'2024 Калуга+область очистка'!Z200</f>
        <v>104021.99877284553</v>
      </c>
      <c r="AJ200" s="2114">
        <f>AA200+'2024 Калуга+область перекачка'!AA200+'2024 Калуга+область очистка'!AA200</f>
        <v>131639.03</v>
      </c>
      <c r="AK200" s="2114">
        <f>AB200+'2024 Калуга+область перекачка'!AB200+'2024 Калуга+область очистка'!AB200</f>
        <v>117830.51438642276</v>
      </c>
      <c r="AL200" s="2114">
        <f>расчет_тарифа_К_!O201</f>
        <v>131639.02744124297</v>
      </c>
      <c r="AM200" s="2593">
        <f t="shared" si="80"/>
        <v>2.5587570271454751E-3</v>
      </c>
    </row>
    <row r="201" spans="1:39" s="2218" customFormat="1" ht="17.25" customHeight="1">
      <c r="A201" s="2235">
        <v>280</v>
      </c>
      <c r="B201" s="2281" t="s">
        <v>2029</v>
      </c>
      <c r="C201" s="2282" t="s">
        <v>1505</v>
      </c>
      <c r="D201" s="2283" t="s">
        <v>2012</v>
      </c>
      <c r="E201" s="2284"/>
      <c r="F201" s="2285"/>
      <c r="G201" s="2257">
        <f t="shared" si="52"/>
        <v>0</v>
      </c>
      <c r="H201" s="2285"/>
      <c r="I201" s="2285"/>
      <c r="J201" s="2257">
        <f t="shared" si="53"/>
        <v>0</v>
      </c>
      <c r="K201" s="2285"/>
      <c r="L201" s="2285"/>
      <c r="M201" s="2259">
        <f t="shared" si="54"/>
        <v>0</v>
      </c>
      <c r="N201" s="2284"/>
      <c r="O201" s="2285"/>
      <c r="P201" s="2259">
        <f t="shared" si="63"/>
        <v>0</v>
      </c>
      <c r="Q201" s="2284">
        <v>0</v>
      </c>
      <c r="R201" s="2285">
        <v>0</v>
      </c>
      <c r="S201" s="2259">
        <f t="shared" si="64"/>
        <v>0</v>
      </c>
      <c r="T201" s="2294">
        <f>N201+Q201</f>
        <v>0</v>
      </c>
      <c r="U201" s="2285">
        <f>O201+R201</f>
        <v>0</v>
      </c>
      <c r="V201" s="2268">
        <f t="shared" si="73"/>
        <v>0</v>
      </c>
      <c r="W201" s="2888">
        <f>T201/$T$272*$W$272</f>
        <v>0</v>
      </c>
      <c r="X201" s="2889">
        <f>U201/$T$272*$W$272</f>
        <v>0</v>
      </c>
      <c r="Y201" s="2268">
        <f t="shared" si="74"/>
        <v>0</v>
      </c>
      <c r="Z201" s="2888">
        <f>T201/$T$272*$Z$272</f>
        <v>0</v>
      </c>
      <c r="AA201" s="2889">
        <f>U201/$T$272*$Z$272</f>
        <v>0</v>
      </c>
      <c r="AB201" s="2268">
        <f t="shared" si="75"/>
        <v>0</v>
      </c>
      <c r="AC201" s="2113">
        <f t="shared" si="76"/>
        <v>0</v>
      </c>
      <c r="AD201" s="2114">
        <f t="shared" si="77"/>
        <v>0</v>
      </c>
      <c r="AE201" s="2113">
        <f t="shared" si="78"/>
        <v>0</v>
      </c>
      <c r="AF201" s="2114">
        <f t="shared" si="79"/>
        <v>0</v>
      </c>
      <c r="AG201" s="2113"/>
      <c r="AH201" s="2113"/>
      <c r="AI201" s="2114">
        <f>Z201+'2024 Калуга+область перекачка'!Z201+'2024 Калуга+область очистка'!Z201</f>
        <v>31426.585731977502</v>
      </c>
      <c r="AJ201" s="2114">
        <f>AA201+'2024 Калуга+область перекачка'!AA201+'2024 Калуга+область очистка'!AA201</f>
        <v>32701.4</v>
      </c>
      <c r="AK201" s="2114">
        <f>AB201+'2024 Калуга+область перекачка'!AB201+'2024 Калуга+область очистка'!AB201</f>
        <v>32063.992865988752</v>
      </c>
      <c r="AL201" s="2114">
        <f>расчет_тарифа_К_!O202</f>
        <v>32701.402698497757</v>
      </c>
      <c r="AM201" s="2593">
        <f t="shared" si="80"/>
        <v>-2.6984977557731327E-3</v>
      </c>
    </row>
    <row r="202" spans="1:39" s="2218" customFormat="1" ht="18.75" customHeight="1">
      <c r="A202" s="2235">
        <v>281</v>
      </c>
      <c r="B202" s="2281" t="s">
        <v>2030</v>
      </c>
      <c r="C202" s="2282" t="s">
        <v>2005</v>
      </c>
      <c r="D202" s="2283" t="s">
        <v>1934</v>
      </c>
      <c r="E202" s="2284"/>
      <c r="F202" s="2285"/>
      <c r="G202" s="2257">
        <f t="shared" si="52"/>
        <v>0</v>
      </c>
      <c r="H202" s="2285"/>
      <c r="I202" s="2285"/>
      <c r="J202" s="2257">
        <f t="shared" si="53"/>
        <v>0</v>
      </c>
      <c r="K202" s="2285"/>
      <c r="L202" s="2285"/>
      <c r="M202" s="2259">
        <f t="shared" si="54"/>
        <v>0</v>
      </c>
      <c r="N202" s="2284"/>
      <c r="O202" s="2285"/>
      <c r="P202" s="2259">
        <f t="shared" si="63"/>
        <v>0</v>
      </c>
      <c r="Q202" s="2284">
        <v>0</v>
      </c>
      <c r="R202" s="2285">
        <v>0</v>
      </c>
      <c r="S202" s="2259">
        <f t="shared" si="64"/>
        <v>0</v>
      </c>
      <c r="T202" s="2284" t="e">
        <f>T200/T201</f>
        <v>#DIV/0!</v>
      </c>
      <c r="U202" s="2285" t="e">
        <f>U200/U201</f>
        <v>#DIV/0!</v>
      </c>
      <c r="V202" s="2268" t="e">
        <f t="shared" si="73"/>
        <v>#DIV/0!</v>
      </c>
      <c r="W202" s="2284" t="e">
        <f>W200/W201</f>
        <v>#DIV/0!</v>
      </c>
      <c r="X202" s="2285" t="e">
        <f>X200/X201</f>
        <v>#DIV/0!</v>
      </c>
      <c r="Y202" s="2268" t="e">
        <f t="shared" si="74"/>
        <v>#DIV/0!</v>
      </c>
      <c r="Z202" s="2284" t="e">
        <f>Z200/Z201</f>
        <v>#DIV/0!</v>
      </c>
      <c r="AA202" s="2285" t="e">
        <f>AA200/AA201</f>
        <v>#DIV/0!</v>
      </c>
      <c r="AB202" s="2268" t="e">
        <f t="shared" si="75"/>
        <v>#DIV/0!</v>
      </c>
      <c r="AC202" s="2113" t="e">
        <f t="shared" si="76"/>
        <v>#DIV/0!</v>
      </c>
      <c r="AD202" s="2114" t="e">
        <f t="shared" si="77"/>
        <v>#DIV/0!</v>
      </c>
      <c r="AE202" s="2113" t="e">
        <f t="shared" si="78"/>
        <v>#DIV/0!</v>
      </c>
      <c r="AF202" s="2114" t="e">
        <f t="shared" si="79"/>
        <v>#DIV/0!</v>
      </c>
      <c r="AG202" s="2113"/>
      <c r="AH202" s="2113"/>
      <c r="AI202" s="2114" t="e">
        <f>Z202+'2024 Калуга+область перекачка'!Z202+'2024 Калуга+область очистка'!Z202</f>
        <v>#DIV/0!</v>
      </c>
      <c r="AJ202" s="2114" t="e">
        <f>AA202+'2024 Калуга+область перекачка'!AA202+'2024 Калуга+область очистка'!AA202</f>
        <v>#DIV/0!</v>
      </c>
      <c r="AK202" s="2114" t="e">
        <f>AB202+'2024 Калуга+область перекачка'!AB202+'2024 Калуга+область очистка'!AB202</f>
        <v>#DIV/0!</v>
      </c>
      <c r="AL202" s="2114">
        <f>расчет_тарифа_К_!O203</f>
        <v>4.0254856543902999</v>
      </c>
      <c r="AM202" s="2593" t="e">
        <f t="shared" si="80"/>
        <v>#DIV/0!</v>
      </c>
    </row>
    <row r="203" spans="1:39" s="2218" customFormat="1" ht="21" customHeight="1">
      <c r="A203" s="2235">
        <v>276</v>
      </c>
      <c r="B203" s="2279" t="s">
        <v>2031</v>
      </c>
      <c r="C203" s="2280" t="s">
        <v>2032</v>
      </c>
      <c r="D203" s="2254" t="s">
        <v>1313</v>
      </c>
      <c r="E203" s="2255">
        <f>E204*E205</f>
        <v>1998.9321999999665</v>
      </c>
      <c r="F203" s="2256">
        <f>F204*F205</f>
        <v>2255.726879999962</v>
      </c>
      <c r="G203" s="2257">
        <f t="shared" si="52"/>
        <v>2127.3295399999643</v>
      </c>
      <c r="H203" s="2256">
        <f>H204*H205</f>
        <v>2350.6717722570138</v>
      </c>
      <c r="I203" s="2256">
        <f>I204*I205</f>
        <v>2607.464007742994</v>
      </c>
      <c r="J203" s="2257">
        <f t="shared" si="53"/>
        <v>2479.0678900000039</v>
      </c>
      <c r="K203" s="2256">
        <f>K204*K205</f>
        <v>1359.6690837438036</v>
      </c>
      <c r="L203" s="2256">
        <f>L204*L205</f>
        <v>1400.4591562561181</v>
      </c>
      <c r="M203" s="2259">
        <f t="shared" si="54"/>
        <v>1380.0641199999609</v>
      </c>
      <c r="N203" s="2255">
        <v>0</v>
      </c>
      <c r="O203" s="2256">
        <v>839.86857199000008</v>
      </c>
      <c r="P203" s="2259">
        <f t="shared" si="63"/>
        <v>419.93428599500004</v>
      </c>
      <c r="Q203" s="2255">
        <v>23474.717010477914</v>
      </c>
      <c r="R203" s="2256">
        <v>24953.624182138021</v>
      </c>
      <c r="S203" s="2259">
        <f t="shared" si="64"/>
        <v>24214.170596307966</v>
      </c>
      <c r="T203" s="2255">
        <f t="shared" ref="T203:U223" si="81">N203+Q203</f>
        <v>23474.717010477914</v>
      </c>
      <c r="U203" s="2256">
        <f t="shared" si="81"/>
        <v>25793.492754128019</v>
      </c>
      <c r="V203" s="2268">
        <f t="shared" si="73"/>
        <v>24634.104882302967</v>
      </c>
      <c r="W203" s="2377">
        <f>T203/$T$272*$N$272</f>
        <v>5281.2938639394742</v>
      </c>
      <c r="X203" s="3019">
        <f>X204*X205</f>
        <v>706.01300000000003</v>
      </c>
      <c r="Y203" s="2268">
        <f t="shared" si="74"/>
        <v>2993.6534319697371</v>
      </c>
      <c r="Z203" s="2886">
        <f>T203/$T$272*$Z$272</f>
        <v>18193.423146538436</v>
      </c>
      <c r="AA203" s="2887">
        <f>U203/$T$272*$Z$272</f>
        <v>19990.525461651578</v>
      </c>
      <c r="AB203" s="2268">
        <f t="shared" si="75"/>
        <v>19091.974304095005</v>
      </c>
      <c r="AC203" s="2113">
        <f t="shared" si="76"/>
        <v>5802.9672924764382</v>
      </c>
      <c r="AD203" s="2114">
        <f t="shared" si="77"/>
        <v>5096.9542924764382</v>
      </c>
      <c r="AE203" s="2113">
        <f t="shared" si="78"/>
        <v>19990.525461651578</v>
      </c>
      <c r="AF203" s="2114">
        <f t="shared" si="79"/>
        <v>0</v>
      </c>
      <c r="AG203" s="2114">
        <f>AA203+X203</f>
        <v>20696.538461651577</v>
      </c>
      <c r="AH203" s="2114">
        <f>AG203-U203</f>
        <v>-5096.9542924764428</v>
      </c>
      <c r="AI203" s="2114">
        <f>Z203+'2024 Калуга+область перекачка'!Z203+'2024 Калуга+область очистка'!Z203</f>
        <v>18193.423146538436</v>
      </c>
      <c r="AJ203" s="2114">
        <f>AA203+'2024 Калуга+область перекачка'!AA203+'2024 Калуга+область очистка'!AA203</f>
        <v>19990.525461651578</v>
      </c>
      <c r="AK203" s="2114">
        <f>AB203+'2024 Калуга+область перекачка'!AB203+'2024 Калуга+область очистка'!AB203</f>
        <v>19091.974304095005</v>
      </c>
      <c r="AL203" s="2114">
        <f>расчет_тарифа_К_!O204</f>
        <v>19990.525461651578</v>
      </c>
      <c r="AM203" s="2593">
        <f t="shared" si="80"/>
        <v>0</v>
      </c>
    </row>
    <row r="204" spans="1:39" s="2218" customFormat="1" ht="17.25" customHeight="1">
      <c r="A204" s="2235">
        <v>277</v>
      </c>
      <c r="B204" s="2281" t="s">
        <v>2033</v>
      </c>
      <c r="C204" s="2282" t="s">
        <v>1505</v>
      </c>
      <c r="D204" s="2283" t="s">
        <v>2012</v>
      </c>
      <c r="E204" s="2284">
        <f>'[3]НВВ тран-ка'!K505</f>
        <v>85.235058990904236</v>
      </c>
      <c r="F204" s="2285">
        <f>'[3]НВВ тран-ка'!L505</f>
        <v>136.26433899090398</v>
      </c>
      <c r="G204" s="2257">
        <f t="shared" si="52"/>
        <v>110.74969899090411</v>
      </c>
      <c r="H204" s="2285">
        <f>'[3]НВВ тран-ка'!T505</f>
        <v>189.79491097007258</v>
      </c>
      <c r="I204" s="2285">
        <f>'[3]НВВ тран-ка'!U505</f>
        <v>189.79491097007258</v>
      </c>
      <c r="J204" s="2257">
        <f t="shared" si="53"/>
        <v>189.79491097007258</v>
      </c>
      <c r="K204" s="2285">
        <f>'[3]НВВ тран-ка'!AC505</f>
        <v>187.67421999999988</v>
      </c>
      <c r="L204" s="2285">
        <f>'[3]НВВ тран-ка'!AD505</f>
        <v>187.67421999999988</v>
      </c>
      <c r="M204" s="2259">
        <f t="shared" si="54"/>
        <v>187.67421999999988</v>
      </c>
      <c r="N204" s="2284"/>
      <c r="O204" s="2285">
        <v>64.183000000000007</v>
      </c>
      <c r="P204" s="2259">
        <f t="shared" si="63"/>
        <v>32.091500000000003</v>
      </c>
      <c r="Q204" s="2284">
        <v>1334.4751908525848</v>
      </c>
      <c r="R204" s="2285">
        <v>1334.4751908525848</v>
      </c>
      <c r="S204" s="2259">
        <f t="shared" si="64"/>
        <v>1334.4751908525848</v>
      </c>
      <c r="T204" s="2294">
        <f t="shared" si="81"/>
        <v>1334.4751908525848</v>
      </c>
      <c r="U204" s="2285">
        <f t="shared" si="81"/>
        <v>1398.6581908525848</v>
      </c>
      <c r="V204" s="2268">
        <f t="shared" si="73"/>
        <v>1366.5666908525848</v>
      </c>
      <c r="W204" s="2888">
        <f>T204/$T$272*$W$272</f>
        <v>300.22750152359481</v>
      </c>
      <c r="X204" s="2889">
        <f>O204</f>
        <v>64.183000000000007</v>
      </c>
      <c r="Y204" s="2268">
        <f t="shared" si="74"/>
        <v>182.2052507617974</v>
      </c>
      <c r="Z204" s="2888">
        <f>T204/$T$272*$Z$272</f>
        <v>1034.2476893289897</v>
      </c>
      <c r="AA204" s="2889">
        <f>U204/$T$272*$Z$272</f>
        <v>1083.9909291428316</v>
      </c>
      <c r="AB204" s="2268">
        <f t="shared" si="75"/>
        <v>1059.1193092359108</v>
      </c>
      <c r="AC204" s="2113">
        <f t="shared" si="76"/>
        <v>314.66726170975289</v>
      </c>
      <c r="AD204" s="2114">
        <f t="shared" si="77"/>
        <v>250.4842617097529</v>
      </c>
      <c r="AE204" s="2113">
        <f t="shared" si="78"/>
        <v>1083.9909291428316</v>
      </c>
      <c r="AF204" s="2114">
        <f t="shared" si="79"/>
        <v>0</v>
      </c>
      <c r="AG204" s="2113"/>
      <c r="AH204" s="2113"/>
      <c r="AI204" s="2114">
        <f>Z204+'2024 Калуга+область перекачка'!Z204+'2024 Калуга+область очистка'!Z204</f>
        <v>1034.2476893289897</v>
      </c>
      <c r="AJ204" s="2114">
        <f>AA204+'2024 Калуга+область перекачка'!AA204+'2024 Калуга+область очистка'!AA204</f>
        <v>1083.9909291428316</v>
      </c>
      <c r="AK204" s="2114">
        <f>AB204+'2024 Калуга+область перекачка'!AB204+'2024 Калуга+область очистка'!AB204</f>
        <v>1059.1193092359108</v>
      </c>
      <c r="AL204" s="2114">
        <f>расчет_тарифа_К_!O205</f>
        <v>1083.9909291428316</v>
      </c>
      <c r="AM204" s="2593">
        <f t="shared" si="80"/>
        <v>0</v>
      </c>
    </row>
    <row r="205" spans="1:39" s="2218" customFormat="1" ht="18" customHeight="1">
      <c r="A205" s="2235">
        <v>278</v>
      </c>
      <c r="B205" s="2281" t="s">
        <v>2034</v>
      </c>
      <c r="C205" s="2282" t="s">
        <v>2005</v>
      </c>
      <c r="D205" s="2283" t="s">
        <v>1934</v>
      </c>
      <c r="E205" s="2284">
        <f>'[3]НВВ тран-ка'!K506</f>
        <v>23.451995266563731</v>
      </c>
      <c r="F205" s="2285">
        <f>'[3]НВВ тран-ка'!L506</f>
        <v>16.554051461333092</v>
      </c>
      <c r="G205" s="2257">
        <f t="shared" si="52"/>
        <v>20.003023363948412</v>
      </c>
      <c r="H205" s="2285">
        <f>'[3]НВВ тран-ка'!T506</f>
        <v>12.385325614065989</v>
      </c>
      <c r="I205" s="2285">
        <f>'[3]НВВ тран-ка'!U506</f>
        <v>13.738324143760348</v>
      </c>
      <c r="J205" s="2257">
        <f t="shared" si="53"/>
        <v>13.061824878913168</v>
      </c>
      <c r="K205" s="2285">
        <f>'[3]НВВ тран-ка'!AC506</f>
        <v>7.2448367375327551</v>
      </c>
      <c r="L205" s="2285">
        <f>'[3]НВВ тран-ка'!AD506</f>
        <v>7.46218183965874</v>
      </c>
      <c r="M205" s="2259">
        <f t="shared" si="54"/>
        <v>7.3535092885957472</v>
      </c>
      <c r="N205" s="2284">
        <v>12.31</v>
      </c>
      <c r="O205" s="2285">
        <v>13.08553</v>
      </c>
      <c r="P205" s="2259">
        <f t="shared" si="63"/>
        <v>12.697765</v>
      </c>
      <c r="Q205" s="2284">
        <v>17.590972969291485</v>
      </c>
      <c r="R205" s="2285">
        <v>18.699204266356848</v>
      </c>
      <c r="S205" s="2259">
        <f t="shared" si="64"/>
        <v>18.145088617824165</v>
      </c>
      <c r="T205" s="2294">
        <f t="shared" si="81"/>
        <v>29.900972969291487</v>
      </c>
      <c r="U205" s="2285">
        <f t="shared" si="81"/>
        <v>31.78473426635685</v>
      </c>
      <c r="V205" s="2268">
        <f t="shared" si="73"/>
        <v>30.842853617824169</v>
      </c>
      <c r="W205" s="2284">
        <f>W203/W204</f>
        <v>17.590972969291485</v>
      </c>
      <c r="X205" s="2285">
        <v>11</v>
      </c>
      <c r="Y205" s="2268">
        <f t="shared" si="74"/>
        <v>14.295486484645743</v>
      </c>
      <c r="Z205" s="2284">
        <f>Z203/Z204</f>
        <v>17.590972969291485</v>
      </c>
      <c r="AA205" s="2285">
        <f>AA203/AA204</f>
        <v>18.441598471178288</v>
      </c>
      <c r="AB205" s="2268">
        <f t="shared" si="75"/>
        <v>18.016285720234887</v>
      </c>
      <c r="AC205" s="2113">
        <f t="shared" si="76"/>
        <v>7.1508645651801057</v>
      </c>
      <c r="AD205" s="2114">
        <f t="shared" si="77"/>
        <v>-3.8491354348198943</v>
      </c>
      <c r="AE205" s="2113">
        <f t="shared" si="78"/>
        <v>24.633869701176739</v>
      </c>
      <c r="AF205" s="2114">
        <f t="shared" si="79"/>
        <v>6.1922712299984504</v>
      </c>
      <c r="AG205" s="2113"/>
      <c r="AH205" s="2113"/>
      <c r="AI205" s="2114" t="e">
        <f>Z205+'2024 Калуга+область перекачка'!Z205+'2024 Калуга+область очистка'!Z205</f>
        <v>#DIV/0!</v>
      </c>
      <c r="AJ205" s="2114" t="e">
        <f>AA205+'2024 Калуга+область перекачка'!AA205+'2024 Калуга+область очистка'!AA205</f>
        <v>#DIV/0!</v>
      </c>
      <c r="AK205" s="2114" t="e">
        <f>AB205+'2024 Калуга+область перекачка'!AB205+'2024 Калуга+область очистка'!AB205</f>
        <v>#DIV/0!</v>
      </c>
      <c r="AL205" s="2114">
        <f>расчет_тарифа_К_!O206</f>
        <v>18.441598471178288</v>
      </c>
      <c r="AM205" s="2593" t="e">
        <f t="shared" si="80"/>
        <v>#DIV/0!</v>
      </c>
    </row>
    <row r="206" spans="1:39" s="2218" customFormat="1" ht="18" customHeight="1">
      <c r="A206" s="2235"/>
      <c r="B206" s="2383" t="s">
        <v>141</v>
      </c>
      <c r="C206" s="2293" t="s">
        <v>2035</v>
      </c>
      <c r="D206" s="2384" t="s">
        <v>1313</v>
      </c>
      <c r="E206" s="2284">
        <f>[4]Химреагенты!D5</f>
        <v>0</v>
      </c>
      <c r="F206" s="2284">
        <f>[4]Химреагенты!E5</f>
        <v>0</v>
      </c>
      <c r="G206" s="2257">
        <f t="shared" si="52"/>
        <v>0</v>
      </c>
      <c r="H206" s="2284">
        <f>[4]Химреагенты!G5</f>
        <v>0</v>
      </c>
      <c r="I206" s="2284">
        <f>[4]Химреагенты!H5</f>
        <v>0</v>
      </c>
      <c r="J206" s="2257">
        <f t="shared" si="53"/>
        <v>0</v>
      </c>
      <c r="K206" s="2284">
        <f>[4]Химреагенты!J5</f>
        <v>0</v>
      </c>
      <c r="L206" s="2284">
        <f>[4]Химреагенты!K5</f>
        <v>0</v>
      </c>
      <c r="M206" s="2259">
        <f t="shared" si="54"/>
        <v>0</v>
      </c>
      <c r="N206" s="2284">
        <v>0</v>
      </c>
      <c r="O206" s="2284">
        <v>0</v>
      </c>
      <c r="P206" s="2259">
        <f t="shared" si="63"/>
        <v>0</v>
      </c>
      <c r="Q206" s="2385">
        <v>0</v>
      </c>
      <c r="R206" s="2481">
        <v>0</v>
      </c>
      <c r="S206" s="2259">
        <f t="shared" si="64"/>
        <v>0</v>
      </c>
      <c r="T206" s="2294">
        <f t="shared" si="81"/>
        <v>0</v>
      </c>
      <c r="U206" s="2285">
        <f t="shared" si="81"/>
        <v>0</v>
      </c>
      <c r="V206" s="2268">
        <f t="shared" si="73"/>
        <v>0</v>
      </c>
      <c r="W206" s="2888">
        <f>T206/$T$272*$W$272</f>
        <v>0</v>
      </c>
      <c r="X206" s="2889">
        <f>U206/$T$272*$W$272</f>
        <v>0</v>
      </c>
      <c r="Y206" s="2268">
        <f t="shared" si="74"/>
        <v>0</v>
      </c>
      <c r="Z206" s="2888">
        <f t="shared" ref="Z206:AA229" si="82">T206/$T$272*$Z$272</f>
        <v>0</v>
      </c>
      <c r="AA206" s="2889">
        <f t="shared" si="82"/>
        <v>0</v>
      </c>
      <c r="AB206" s="2268">
        <f t="shared" si="75"/>
        <v>0</v>
      </c>
      <c r="AC206" s="2113">
        <f t="shared" si="76"/>
        <v>0</v>
      </c>
      <c r="AD206" s="2114">
        <f t="shared" si="77"/>
        <v>0</v>
      </c>
      <c r="AE206" s="2113">
        <f t="shared" si="78"/>
        <v>0</v>
      </c>
      <c r="AF206" s="2114">
        <f t="shared" si="79"/>
        <v>0</v>
      </c>
      <c r="AG206" s="2113"/>
      <c r="AH206" s="2113"/>
      <c r="AI206" s="2114">
        <f>Z206+'2024 Калуга+область перекачка'!Z206+'2024 Калуга+область очистка'!Z206</f>
        <v>0</v>
      </c>
      <c r="AJ206" s="2114">
        <f>AA206+'2024 Калуга+область перекачка'!AA206+'2024 Калуга+область очистка'!AA206</f>
        <v>35.135807804549593</v>
      </c>
      <c r="AK206" s="2114">
        <f>AB206+'2024 Калуга+область перекачка'!AB206+'2024 Калуга+область очистка'!AB206</f>
        <v>17.567903902274796</v>
      </c>
      <c r="AL206" s="2114">
        <f>расчет_тарифа_К_!O207</f>
        <v>35.135807804549593</v>
      </c>
      <c r="AM206" s="2593">
        <f t="shared" si="80"/>
        <v>0</v>
      </c>
    </row>
    <row r="207" spans="1:39" s="2218" customFormat="1" ht="33.75" customHeight="1">
      <c r="A207" s="2235">
        <v>155</v>
      </c>
      <c r="B207" s="2279" t="s">
        <v>134</v>
      </c>
      <c r="C207" s="2295" t="s">
        <v>2036</v>
      </c>
      <c r="D207" s="2254" t="s">
        <v>1313</v>
      </c>
      <c r="E207" s="2255">
        <f>E208+E209+E210+E211+E214+E215+E216</f>
        <v>1463.9295</v>
      </c>
      <c r="F207" s="2256">
        <f>F208+F209+F210+F211+F214+F215+F216</f>
        <v>1463.9295</v>
      </c>
      <c r="G207" s="2257">
        <f t="shared" si="52"/>
        <v>1463.9295</v>
      </c>
      <c r="H207" s="2256">
        <f>H208+H209+H210+H211+H214+H215+H216</f>
        <v>2544.166988716689</v>
      </c>
      <c r="I207" s="2256">
        <f>I208+I209+I210+I211+I214+I215+I216</f>
        <v>2544.166988716689</v>
      </c>
      <c r="J207" s="2257">
        <f t="shared" si="53"/>
        <v>2544.166988716689</v>
      </c>
      <c r="K207" s="2256">
        <f>K208+K209+K210+K211+K214+K215+K216</f>
        <v>2173.2239766666671</v>
      </c>
      <c r="L207" s="2256">
        <f>L208+L209+L210+L211+L214+L215+L216</f>
        <v>2173.2239766666671</v>
      </c>
      <c r="M207" s="2259">
        <f t="shared" si="54"/>
        <v>2173.2239766666671</v>
      </c>
      <c r="N207" s="2256">
        <f>N208+N209+N210+N211+N214+N215+N216</f>
        <v>0</v>
      </c>
      <c r="O207" s="2256">
        <f>O208+O209+O210+O211+O214+O215+O216</f>
        <v>13.830501129600009</v>
      </c>
      <c r="P207" s="2259">
        <f t="shared" si="63"/>
        <v>6.9152505648000044</v>
      </c>
      <c r="Q207" s="2256">
        <f>Q208+Q209+Q210+Q211+Q214+Q215+Q216</f>
        <v>0.38471653605844469</v>
      </c>
      <c r="R207" s="2256">
        <f>R208+R209+R210+R211+R214+R215+R216</f>
        <v>244.45754700665466</v>
      </c>
      <c r="S207" s="2259">
        <f t="shared" si="64"/>
        <v>122.42113177135656</v>
      </c>
      <c r="T207" s="2255">
        <f t="shared" si="81"/>
        <v>0.38471653605844469</v>
      </c>
      <c r="U207" s="2256">
        <f t="shared" si="81"/>
        <v>258.2880481362547</v>
      </c>
      <c r="V207" s="2268">
        <f t="shared" si="73"/>
        <v>129.33638233615656</v>
      </c>
      <c r="W207" s="2377">
        <f>T207/$T$272*$N$272</f>
        <v>8.6552740138874568E-2</v>
      </c>
      <c r="X207" s="2256">
        <f>U207/$T$272*$N$272</f>
        <v>58.109117274642472</v>
      </c>
      <c r="Y207" s="2268">
        <f t="shared" si="74"/>
        <v>29.097835007390675</v>
      </c>
      <c r="Z207" s="2886">
        <f t="shared" si="82"/>
        <v>0.29816379591957004</v>
      </c>
      <c r="AA207" s="2887">
        <f t="shared" si="82"/>
        <v>200.1789308616122</v>
      </c>
      <c r="AB207" s="2268">
        <f t="shared" si="75"/>
        <v>100.23854732876589</v>
      </c>
      <c r="AC207" s="2113">
        <f t="shared" si="76"/>
        <v>58.109117274642472</v>
      </c>
      <c r="AD207" s="2114">
        <f t="shared" si="77"/>
        <v>0</v>
      </c>
      <c r="AE207" s="2113">
        <f t="shared" si="78"/>
        <v>200.1789308616122</v>
      </c>
      <c r="AF207" s="2114">
        <f t="shared" si="79"/>
        <v>0</v>
      </c>
      <c r="AG207" s="2113"/>
      <c r="AH207" s="2113"/>
      <c r="AI207" s="2114">
        <f>Z207+'2024 Калуга+область перекачка'!Z207+'2024 Калуга+область очистка'!Z207</f>
        <v>149.24291574719695</v>
      </c>
      <c r="AJ207" s="2114">
        <f>AA207+'2024 Калуга+область перекачка'!AA207+'2024 Калуга+область очистка'!AA207</f>
        <v>421.71895973816601</v>
      </c>
      <c r="AK207" s="2114">
        <f>AB207+'2024 Калуга+область перекачка'!AB207+'2024 Калуга+область очистка'!AB207</f>
        <v>285.48093774268148</v>
      </c>
      <c r="AL207" s="2114">
        <f>расчет_тарифа_К_!O208</f>
        <v>421.71895973816601</v>
      </c>
      <c r="AM207" s="2593">
        <f t="shared" si="80"/>
        <v>0</v>
      </c>
    </row>
    <row r="208" spans="1:39" s="2218" customFormat="1" ht="18" customHeight="1">
      <c r="A208" s="2235">
        <v>156</v>
      </c>
      <c r="B208" s="2281" t="s">
        <v>2037</v>
      </c>
      <c r="C208" s="2282" t="s">
        <v>1182</v>
      </c>
      <c r="D208" s="2283" t="s">
        <v>1317</v>
      </c>
      <c r="E208" s="2284"/>
      <c r="F208" s="2285"/>
      <c r="G208" s="2257">
        <f t="shared" si="52"/>
        <v>0</v>
      </c>
      <c r="H208" s="2285"/>
      <c r="I208" s="2285"/>
      <c r="J208" s="2257">
        <f t="shared" si="53"/>
        <v>0</v>
      </c>
      <c r="K208" s="2285"/>
      <c r="L208" s="2285"/>
      <c r="M208" s="2259">
        <f t="shared" si="54"/>
        <v>0</v>
      </c>
      <c r="N208" s="2284"/>
      <c r="O208" s="2285"/>
      <c r="P208" s="2259">
        <f t="shared" si="63"/>
        <v>0</v>
      </c>
      <c r="Q208" s="2284">
        <v>0</v>
      </c>
      <c r="R208" s="2285">
        <v>0</v>
      </c>
      <c r="S208" s="2259">
        <f t="shared" si="64"/>
        <v>0</v>
      </c>
      <c r="T208" s="2294">
        <f t="shared" si="81"/>
        <v>0</v>
      </c>
      <c r="U208" s="2285">
        <f t="shared" si="81"/>
        <v>0</v>
      </c>
      <c r="V208" s="2268">
        <f t="shared" si="73"/>
        <v>0</v>
      </c>
      <c r="W208" s="2888">
        <f t="shared" ref="W208:X210" si="83">T208/$T$272*$W$272</f>
        <v>0</v>
      </c>
      <c r="X208" s="2889">
        <f t="shared" si="83"/>
        <v>0</v>
      </c>
      <c r="Y208" s="2268">
        <f t="shared" si="74"/>
        <v>0</v>
      </c>
      <c r="Z208" s="2888">
        <f t="shared" si="82"/>
        <v>0</v>
      </c>
      <c r="AA208" s="2889">
        <f t="shared" si="82"/>
        <v>0</v>
      </c>
      <c r="AB208" s="2268">
        <f t="shared" si="75"/>
        <v>0</v>
      </c>
      <c r="AC208" s="2113">
        <f t="shared" si="76"/>
        <v>0</v>
      </c>
      <c r="AD208" s="2114">
        <f t="shared" si="77"/>
        <v>0</v>
      </c>
      <c r="AE208" s="2113">
        <f t="shared" si="78"/>
        <v>0</v>
      </c>
      <c r="AF208" s="2114">
        <f t="shared" si="79"/>
        <v>0</v>
      </c>
      <c r="AG208" s="2113"/>
      <c r="AH208" s="2113"/>
      <c r="AI208" s="2114">
        <f>Z208+'2024 Калуга+область перекачка'!Z208+'2024 Калуга+область очистка'!Z208</f>
        <v>0</v>
      </c>
      <c r="AJ208" s="2114">
        <f>AA208+'2024 Калуга+область перекачка'!AA208+'2024 Калуга+область очистка'!AA208</f>
        <v>0</v>
      </c>
      <c r="AK208" s="2114">
        <f>AB208+'2024 Калуга+область перекачка'!AB208+'2024 Калуга+область очистка'!AB208</f>
        <v>0</v>
      </c>
      <c r="AL208" s="2114">
        <f>расчет_тарифа_К_!O209</f>
        <v>0</v>
      </c>
      <c r="AM208" s="2593">
        <f t="shared" si="80"/>
        <v>0</v>
      </c>
    </row>
    <row r="209" spans="1:39" s="2218" customFormat="1" ht="21" customHeight="1">
      <c r="A209" s="2235">
        <v>157</v>
      </c>
      <c r="B209" s="2281" t="s">
        <v>2038</v>
      </c>
      <c r="C209" s="2282" t="s">
        <v>2039</v>
      </c>
      <c r="D209" s="2283" t="s">
        <v>1317</v>
      </c>
      <c r="E209" s="2284"/>
      <c r="F209" s="2285"/>
      <c r="G209" s="2257">
        <f t="shared" si="52"/>
        <v>0</v>
      </c>
      <c r="H209" s="2285"/>
      <c r="I209" s="2285"/>
      <c r="J209" s="2257">
        <f t="shared" si="53"/>
        <v>0</v>
      </c>
      <c r="K209" s="2285"/>
      <c r="L209" s="2285"/>
      <c r="M209" s="2259">
        <f t="shared" si="54"/>
        <v>0</v>
      </c>
      <c r="N209" s="2284"/>
      <c r="O209" s="2285"/>
      <c r="P209" s="2259">
        <f t="shared" si="63"/>
        <v>0</v>
      </c>
      <c r="Q209" s="2284">
        <v>0</v>
      </c>
      <c r="R209" s="2285">
        <v>0</v>
      </c>
      <c r="S209" s="2259">
        <f t="shared" si="64"/>
        <v>0</v>
      </c>
      <c r="T209" s="2294">
        <f t="shared" si="81"/>
        <v>0</v>
      </c>
      <c r="U209" s="2285">
        <f t="shared" si="81"/>
        <v>0</v>
      </c>
      <c r="V209" s="2268">
        <f t="shared" si="73"/>
        <v>0</v>
      </c>
      <c r="W209" s="2888">
        <f t="shared" si="83"/>
        <v>0</v>
      </c>
      <c r="X209" s="2889">
        <f t="shared" si="83"/>
        <v>0</v>
      </c>
      <c r="Y209" s="2268">
        <f t="shared" si="74"/>
        <v>0</v>
      </c>
      <c r="Z209" s="2888">
        <f t="shared" si="82"/>
        <v>0</v>
      </c>
      <c r="AA209" s="2889">
        <f t="shared" si="82"/>
        <v>0</v>
      </c>
      <c r="AB209" s="2268">
        <f t="shared" si="75"/>
        <v>0</v>
      </c>
      <c r="AC209" s="2113">
        <f t="shared" si="76"/>
        <v>0</v>
      </c>
      <c r="AD209" s="2114">
        <f t="shared" si="77"/>
        <v>0</v>
      </c>
      <c r="AE209" s="2113">
        <f t="shared" si="78"/>
        <v>0</v>
      </c>
      <c r="AF209" s="2114">
        <f t="shared" si="79"/>
        <v>0</v>
      </c>
      <c r="AG209" s="2113"/>
      <c r="AH209" s="2113"/>
      <c r="AI209" s="2114">
        <f>Z209+'2024 Калуга+область перекачка'!Z209+'2024 Калуга+область очистка'!Z209</f>
        <v>0</v>
      </c>
      <c r="AJ209" s="2114">
        <f>AA209+'2024 Калуга+область перекачка'!AA209+'2024 Калуга+область очистка'!AA209</f>
        <v>0</v>
      </c>
      <c r="AK209" s="2114">
        <f>AB209+'2024 Калуга+область перекачка'!AB209+'2024 Калуга+область очистка'!AB209</f>
        <v>0</v>
      </c>
      <c r="AL209" s="2114">
        <f>расчет_тарифа_К_!O210</f>
        <v>0</v>
      </c>
      <c r="AM209" s="2593">
        <f t="shared" si="80"/>
        <v>0</v>
      </c>
    </row>
    <row r="210" spans="1:39" s="2218" customFormat="1" ht="21.75" customHeight="1">
      <c r="A210" s="2235">
        <v>160</v>
      </c>
      <c r="B210" s="2281" t="s">
        <v>2040</v>
      </c>
      <c r="C210" s="2282" t="s">
        <v>2041</v>
      </c>
      <c r="D210" s="2283" t="s">
        <v>1317</v>
      </c>
      <c r="E210" s="2284">
        <f>'[3]НВВ тран-ка'!K511</f>
        <v>17.499639999999999</v>
      </c>
      <c r="F210" s="2285">
        <f>'[3]НВВ тран-ка'!L511</f>
        <v>17.499639999999999</v>
      </c>
      <c r="G210" s="2257">
        <f t="shared" si="52"/>
        <v>17.499639999999999</v>
      </c>
      <c r="H210" s="2285">
        <f>'[3]НВВ тран-ка'!T511</f>
        <v>12.689900000000002</v>
      </c>
      <c r="I210" s="2285">
        <f>'[3]НВВ тран-ка'!U511</f>
        <v>12.689900000000002</v>
      </c>
      <c r="J210" s="2257">
        <f t="shared" si="53"/>
        <v>12.689900000000002</v>
      </c>
      <c r="K210" s="2285">
        <f>'[3]НВВ тран-ка'!AC511</f>
        <v>12.072580000000002</v>
      </c>
      <c r="L210" s="2285">
        <f>'[3]НВВ тран-ка'!AD511</f>
        <v>12.072580000000002</v>
      </c>
      <c r="M210" s="2259">
        <f t="shared" si="54"/>
        <v>12.072580000000002</v>
      </c>
      <c r="N210" s="2284"/>
      <c r="O210" s="2285">
        <v>12.072580000000002</v>
      </c>
      <c r="P210" s="2259">
        <f t="shared" si="63"/>
        <v>6.036290000000001</v>
      </c>
      <c r="Q210" s="2284">
        <v>0.38471653605844469</v>
      </c>
      <c r="R210" s="2285">
        <f>Q210*1.072</f>
        <v>0.41241612665465271</v>
      </c>
      <c r="S210" s="2259">
        <f t="shared" si="64"/>
        <v>0.39856633135654873</v>
      </c>
      <c r="T210" s="2294">
        <f t="shared" si="81"/>
        <v>0.38471653605844469</v>
      </c>
      <c r="U210" s="2285">
        <f t="shared" si="81"/>
        <v>12.484996126654655</v>
      </c>
      <c r="V210" s="2268">
        <f t="shared" si="73"/>
        <v>6.4348563313565501</v>
      </c>
      <c r="W210" s="2888">
        <f t="shared" si="83"/>
        <v>8.6552740138874568E-2</v>
      </c>
      <c r="X210" s="2889">
        <f t="shared" si="83"/>
        <v>2.8088489162863373</v>
      </c>
      <c r="Y210" s="2268">
        <f t="shared" si="74"/>
        <v>1.4477008282126058</v>
      </c>
      <c r="Z210" s="2888">
        <f t="shared" si="82"/>
        <v>0.29816379591957004</v>
      </c>
      <c r="AA210" s="2889">
        <f t="shared" si="82"/>
        <v>9.6761472103683168</v>
      </c>
      <c r="AB210" s="2268">
        <f t="shared" si="75"/>
        <v>4.9871555031439438</v>
      </c>
      <c r="AC210" s="2113">
        <f t="shared" si="76"/>
        <v>2.8088489162863373</v>
      </c>
      <c r="AD210" s="2114">
        <f t="shared" si="77"/>
        <v>0</v>
      </c>
      <c r="AE210" s="2113">
        <f t="shared" si="78"/>
        <v>9.6761472103683168</v>
      </c>
      <c r="AF210" s="2114">
        <f t="shared" si="79"/>
        <v>0</v>
      </c>
      <c r="AG210" s="2113"/>
      <c r="AH210" s="2113"/>
      <c r="AI210" s="2114">
        <f>Z210+'2024 Калуга+область перекачка'!Z210+'2024 Калуга+область очистка'!Z210</f>
        <v>0.9830696616968756</v>
      </c>
      <c r="AJ210" s="2114">
        <f>AA210+'2024 Калуга+область перекачка'!AA210+'2024 Калуга+область очистка'!AA210</f>
        <v>51.526144775516812</v>
      </c>
      <c r="AK210" s="2114">
        <f>AB210+'2024 Калуга+область перекачка'!AB210+'2024 Калуга+область очистка'!AB210</f>
        <v>26.254607218606846</v>
      </c>
      <c r="AL210" s="2114">
        <f>расчет_тарифа_К_!O211</f>
        <v>51.526144775516812</v>
      </c>
      <c r="AM210" s="2593">
        <f t="shared" si="80"/>
        <v>0</v>
      </c>
    </row>
    <row r="211" spans="1:39" s="2218" customFormat="1" ht="30.75" customHeight="1">
      <c r="A211" s="2235">
        <v>10</v>
      </c>
      <c r="B211" s="2279" t="s">
        <v>2043</v>
      </c>
      <c r="C211" s="2280" t="s">
        <v>2044</v>
      </c>
      <c r="D211" s="2254" t="s">
        <v>1313</v>
      </c>
      <c r="E211" s="2255">
        <f>E212+E213</f>
        <v>0</v>
      </c>
      <c r="F211" s="2256">
        <f>F212+F213</f>
        <v>0</v>
      </c>
      <c r="G211" s="2257">
        <f t="shared" si="52"/>
        <v>0</v>
      </c>
      <c r="H211" s="2256">
        <f>H212+H213</f>
        <v>0</v>
      </c>
      <c r="I211" s="2256">
        <f>I212+I213</f>
        <v>0</v>
      </c>
      <c r="J211" s="2257">
        <f t="shared" si="53"/>
        <v>0</v>
      </c>
      <c r="K211" s="2256">
        <f>K212+K213</f>
        <v>0</v>
      </c>
      <c r="L211" s="2256">
        <f>L212+L213</f>
        <v>0</v>
      </c>
      <c r="M211" s="2259">
        <f t="shared" si="54"/>
        <v>0</v>
      </c>
      <c r="N211" s="2255">
        <v>0</v>
      </c>
      <c r="O211" s="2256">
        <v>0</v>
      </c>
      <c r="P211" s="2259">
        <f t="shared" si="63"/>
        <v>0</v>
      </c>
      <c r="Q211" s="2255">
        <v>0</v>
      </c>
      <c r="R211" s="2256">
        <v>0</v>
      </c>
      <c r="S211" s="2259">
        <f t="shared" si="64"/>
        <v>0</v>
      </c>
      <c r="T211" s="2255">
        <f t="shared" si="81"/>
        <v>0</v>
      </c>
      <c r="U211" s="2256">
        <f t="shared" si="81"/>
        <v>0</v>
      </c>
      <c r="V211" s="2268">
        <f t="shared" si="73"/>
        <v>0</v>
      </c>
      <c r="W211" s="2377">
        <f>T211/$T$272*$N$272</f>
        <v>0</v>
      </c>
      <c r="X211" s="2256">
        <f>U211/$T$272*$N$272</f>
        <v>0</v>
      </c>
      <c r="Y211" s="2268">
        <f t="shared" si="74"/>
        <v>0</v>
      </c>
      <c r="Z211" s="2886">
        <f t="shared" si="82"/>
        <v>0</v>
      </c>
      <c r="AA211" s="2887">
        <f t="shared" si="82"/>
        <v>0</v>
      </c>
      <c r="AB211" s="2268">
        <f t="shared" si="75"/>
        <v>0</v>
      </c>
      <c r="AC211" s="2113">
        <f t="shared" si="76"/>
        <v>0</v>
      </c>
      <c r="AD211" s="2114">
        <f t="shared" si="77"/>
        <v>0</v>
      </c>
      <c r="AE211" s="2113">
        <f t="shared" si="78"/>
        <v>0</v>
      </c>
      <c r="AF211" s="2114">
        <f t="shared" si="79"/>
        <v>0</v>
      </c>
      <c r="AG211" s="2113"/>
      <c r="AH211" s="2113"/>
      <c r="AI211" s="2114">
        <f>Z211+'2024 Калуга+область перекачка'!Z211+'2024 Калуга+область очистка'!Z211</f>
        <v>0</v>
      </c>
      <c r="AJ211" s="2114">
        <f>AA211+'2024 Калуга+область перекачка'!AA211+'2024 Калуга+область очистка'!AA211</f>
        <v>0</v>
      </c>
      <c r="AK211" s="2114">
        <f>AB211+'2024 Калуга+область перекачка'!AB211+'2024 Калуга+область очистка'!AB211</f>
        <v>0</v>
      </c>
      <c r="AL211" s="2114">
        <f>расчет_тарифа_К_!O212</f>
        <v>0</v>
      </c>
      <c r="AM211" s="2593">
        <f t="shared" si="80"/>
        <v>0</v>
      </c>
    </row>
    <row r="212" spans="1:39" s="2218" customFormat="1" ht="15" customHeight="1">
      <c r="A212" s="2235">
        <v>11</v>
      </c>
      <c r="B212" s="2281" t="s">
        <v>2045</v>
      </c>
      <c r="C212" s="2282" t="s">
        <v>2046</v>
      </c>
      <c r="D212" s="2283" t="s">
        <v>1317</v>
      </c>
      <c r="E212" s="2284"/>
      <c r="F212" s="2285"/>
      <c r="G212" s="2257">
        <f t="shared" si="52"/>
        <v>0</v>
      </c>
      <c r="H212" s="2285"/>
      <c r="I212" s="2285"/>
      <c r="J212" s="2257">
        <f t="shared" si="53"/>
        <v>0</v>
      </c>
      <c r="K212" s="2285"/>
      <c r="L212" s="2285"/>
      <c r="M212" s="2259">
        <f t="shared" si="54"/>
        <v>0</v>
      </c>
      <c r="N212" s="2284"/>
      <c r="O212" s="2284"/>
      <c r="P212" s="2259">
        <f t="shared" si="63"/>
        <v>0</v>
      </c>
      <c r="Q212" s="2294">
        <v>0</v>
      </c>
      <c r="R212" s="2285">
        <v>0</v>
      </c>
      <c r="S212" s="2259">
        <f t="shared" si="64"/>
        <v>0</v>
      </c>
      <c r="T212" s="2294">
        <f t="shared" si="81"/>
        <v>0</v>
      </c>
      <c r="U212" s="2285">
        <f t="shared" si="81"/>
        <v>0</v>
      </c>
      <c r="V212" s="2268">
        <f t="shared" si="73"/>
        <v>0</v>
      </c>
      <c r="W212" s="2888">
        <f t="shared" ref="W212:X216" si="84">T212/$T$272*$W$272</f>
        <v>0</v>
      </c>
      <c r="X212" s="2889">
        <f t="shared" si="84"/>
        <v>0</v>
      </c>
      <c r="Y212" s="2268">
        <f t="shared" si="74"/>
        <v>0</v>
      </c>
      <c r="Z212" s="2888">
        <f t="shared" si="82"/>
        <v>0</v>
      </c>
      <c r="AA212" s="2889">
        <f t="shared" si="82"/>
        <v>0</v>
      </c>
      <c r="AB212" s="2268">
        <f t="shared" si="75"/>
        <v>0</v>
      </c>
      <c r="AC212" s="2113">
        <f t="shared" si="76"/>
        <v>0</v>
      </c>
      <c r="AD212" s="2114">
        <f t="shared" si="77"/>
        <v>0</v>
      </c>
      <c r="AE212" s="2113">
        <f t="shared" si="78"/>
        <v>0</v>
      </c>
      <c r="AF212" s="2114">
        <f t="shared" si="79"/>
        <v>0</v>
      </c>
      <c r="AG212" s="2113"/>
      <c r="AH212" s="2113"/>
      <c r="AI212" s="2114">
        <f>Z212+'2024 Калуга+область перекачка'!Z212+'2024 Калуга+область очистка'!Z212</f>
        <v>0</v>
      </c>
      <c r="AJ212" s="2114">
        <f>AA212+'2024 Калуга+область перекачка'!AA212+'2024 Калуга+область очистка'!AA212</f>
        <v>0</v>
      </c>
      <c r="AK212" s="2114">
        <f>AB212+'2024 Калуга+область перекачка'!AB212+'2024 Калуга+область очистка'!AB212</f>
        <v>0</v>
      </c>
      <c r="AL212" s="2114">
        <f>расчет_тарифа_К_!O213</f>
        <v>0</v>
      </c>
      <c r="AM212" s="2593">
        <f t="shared" si="80"/>
        <v>0</v>
      </c>
    </row>
    <row r="213" spans="1:39" s="2218" customFormat="1" ht="21" customHeight="1">
      <c r="A213" s="2235">
        <v>159</v>
      </c>
      <c r="B213" s="2281" t="s">
        <v>2048</v>
      </c>
      <c r="C213" s="2282" t="s">
        <v>2049</v>
      </c>
      <c r="D213" s="2283" t="s">
        <v>1317</v>
      </c>
      <c r="E213" s="2284"/>
      <c r="F213" s="2285"/>
      <c r="G213" s="2257">
        <f t="shared" si="52"/>
        <v>0</v>
      </c>
      <c r="H213" s="2285"/>
      <c r="I213" s="2285"/>
      <c r="J213" s="2257">
        <f t="shared" si="53"/>
        <v>0</v>
      </c>
      <c r="K213" s="2285"/>
      <c r="L213" s="2285"/>
      <c r="M213" s="2259">
        <f t="shared" si="54"/>
        <v>0</v>
      </c>
      <c r="N213" s="2284"/>
      <c r="O213" s="2285"/>
      <c r="P213" s="2259">
        <f t="shared" si="63"/>
        <v>0</v>
      </c>
      <c r="Q213" s="2284">
        <v>0</v>
      </c>
      <c r="R213" s="2285">
        <v>0</v>
      </c>
      <c r="S213" s="2259">
        <f t="shared" si="64"/>
        <v>0</v>
      </c>
      <c r="T213" s="2294">
        <f t="shared" si="81"/>
        <v>0</v>
      </c>
      <c r="U213" s="2285">
        <f t="shared" si="81"/>
        <v>0</v>
      </c>
      <c r="V213" s="2268">
        <f t="shared" si="73"/>
        <v>0</v>
      </c>
      <c r="W213" s="2888">
        <f t="shared" si="84"/>
        <v>0</v>
      </c>
      <c r="X213" s="2889">
        <f t="shared" si="84"/>
        <v>0</v>
      </c>
      <c r="Y213" s="2268">
        <f t="shared" si="74"/>
        <v>0</v>
      </c>
      <c r="Z213" s="2888">
        <f t="shared" si="82"/>
        <v>0</v>
      </c>
      <c r="AA213" s="2889">
        <f t="shared" si="82"/>
        <v>0</v>
      </c>
      <c r="AB213" s="2268">
        <f t="shared" si="75"/>
        <v>0</v>
      </c>
      <c r="AC213" s="2113">
        <f t="shared" si="76"/>
        <v>0</v>
      </c>
      <c r="AD213" s="2114">
        <f t="shared" si="77"/>
        <v>0</v>
      </c>
      <c r="AE213" s="2113">
        <f t="shared" si="78"/>
        <v>0</v>
      </c>
      <c r="AF213" s="2114">
        <f t="shared" si="79"/>
        <v>0</v>
      </c>
      <c r="AG213" s="2113"/>
      <c r="AH213" s="2113"/>
      <c r="AI213" s="2114">
        <f>Z213+'2024 Калуга+область перекачка'!Z213+'2024 Калуга+область очистка'!Z213</f>
        <v>0</v>
      </c>
      <c r="AJ213" s="2114">
        <f>AA213+'2024 Калуга+область перекачка'!AA213+'2024 Калуга+область очистка'!AA213</f>
        <v>0</v>
      </c>
      <c r="AK213" s="2114">
        <f>AB213+'2024 Калуга+область перекачка'!AB213+'2024 Калуга+область очистка'!AB213</f>
        <v>0</v>
      </c>
      <c r="AL213" s="2114">
        <f>расчет_тарифа_К_!O214</f>
        <v>0</v>
      </c>
      <c r="AM213" s="2593">
        <f t="shared" si="80"/>
        <v>0</v>
      </c>
    </row>
    <row r="214" spans="1:39" s="2218" customFormat="1" ht="17.25" customHeight="1">
      <c r="A214" s="2235">
        <v>161</v>
      </c>
      <c r="B214" s="2281" t="s">
        <v>2051</v>
      </c>
      <c r="C214" s="2282" t="s">
        <v>2052</v>
      </c>
      <c r="D214" s="2283" t="s">
        <v>1317</v>
      </c>
      <c r="E214" s="2284"/>
      <c r="F214" s="2285"/>
      <c r="G214" s="2257">
        <f t="shared" si="52"/>
        <v>0</v>
      </c>
      <c r="H214" s="2285">
        <f>'[3]НВВ тран-ка'!T515</f>
        <v>0.96913000000000693</v>
      </c>
      <c r="I214" s="2285">
        <f>'[3]НВВ тран-ка'!U515</f>
        <v>0.96913000000000693</v>
      </c>
      <c r="J214" s="2257">
        <f t="shared" si="53"/>
        <v>0.96913000000000693</v>
      </c>
      <c r="K214" s="2285">
        <f>'[3]НВВ тран-ка'!AC515</f>
        <v>1.5470300000000066</v>
      </c>
      <c r="L214" s="2285">
        <f>'[3]НВВ тран-ка'!AD515</f>
        <v>1.5470300000000066</v>
      </c>
      <c r="M214" s="2259">
        <f t="shared" si="54"/>
        <v>1.5470300000000066</v>
      </c>
      <c r="N214" s="2284"/>
      <c r="O214" s="2285">
        <f>L214*1.06*1.072</f>
        <v>1.7579211296000077</v>
      </c>
      <c r="P214" s="2259">
        <f>N214/2+O214/2</f>
        <v>0.87896056480000384</v>
      </c>
      <c r="Q214" s="2284">
        <v>0</v>
      </c>
      <c r="R214" s="2285">
        <f>238.35377988/1.047*1.072</f>
        <v>244.04513088000002</v>
      </c>
      <c r="S214" s="2259">
        <f>Q214/2+R214/2</f>
        <v>122.02256544000001</v>
      </c>
      <c r="T214" s="2294">
        <f t="shared" si="81"/>
        <v>0</v>
      </c>
      <c r="U214" s="2285">
        <f t="shared" si="81"/>
        <v>245.80305200960004</v>
      </c>
      <c r="V214" s="2268">
        <f t="shared" si="73"/>
        <v>122.90152600480002</v>
      </c>
      <c r="W214" s="2888">
        <f t="shared" si="84"/>
        <v>0</v>
      </c>
      <c r="X214" s="2889">
        <f t="shared" si="84"/>
        <v>55.300268358356128</v>
      </c>
      <c r="Y214" s="2268">
        <f t="shared" si="74"/>
        <v>27.650134179178064</v>
      </c>
      <c r="Z214" s="2888">
        <f t="shared" si="82"/>
        <v>0</v>
      </c>
      <c r="AA214" s="2889">
        <f t="shared" si="82"/>
        <v>190.50278365124387</v>
      </c>
      <c r="AB214" s="2268">
        <f t="shared" si="75"/>
        <v>95.251391825621937</v>
      </c>
      <c r="AC214" s="2113">
        <f t="shared" si="76"/>
        <v>55.300268358356128</v>
      </c>
      <c r="AD214" s="2114">
        <f t="shared" si="77"/>
        <v>0</v>
      </c>
      <c r="AE214" s="2113">
        <f t="shared" si="78"/>
        <v>190.50278365124387</v>
      </c>
      <c r="AF214" s="2114">
        <f t="shared" si="79"/>
        <v>0</v>
      </c>
      <c r="AG214" s="2113"/>
      <c r="AH214" s="2113"/>
      <c r="AI214" s="2114">
        <f>Z214+'2024 Калуга+область перекачка'!Z214+'2024 Калуга+область очистка'!Z214</f>
        <v>147.87397823109595</v>
      </c>
      <c r="AJ214" s="2114">
        <f>AA214+'2024 Калуга+область перекачка'!AA214+'2024 Калуга+область очистка'!AA214</f>
        <v>364.96300380164291</v>
      </c>
      <c r="AK214" s="2114">
        <f>AB214+'2024 Калуга+область перекачка'!AB214+'2024 Калуга+область очистка'!AB214</f>
        <v>256.41849101636944</v>
      </c>
      <c r="AL214" s="2114">
        <f>расчет_тарифа_К_!O215</f>
        <v>364.96300380164291</v>
      </c>
      <c r="AM214" s="2593">
        <f t="shared" si="80"/>
        <v>0</v>
      </c>
    </row>
    <row r="215" spans="1:39" s="2218" customFormat="1" ht="30.75" customHeight="1">
      <c r="A215" s="2235">
        <v>158</v>
      </c>
      <c r="B215" s="2281" t="s">
        <v>2054</v>
      </c>
      <c r="C215" s="2282" t="s">
        <v>2055</v>
      </c>
      <c r="D215" s="2283" t="s">
        <v>1317</v>
      </c>
      <c r="E215" s="2284">
        <f>'[3]НВВ тран-ка'!K516</f>
        <v>1446.39635</v>
      </c>
      <c r="F215" s="2285">
        <f>'[3]НВВ тран-ка'!L516</f>
        <v>1446.39635</v>
      </c>
      <c r="G215" s="2257">
        <f t="shared" si="52"/>
        <v>1446.39635</v>
      </c>
      <c r="H215" s="2285">
        <f>'[3]НВВ тран-ка'!T516</f>
        <v>2530.3083087166892</v>
      </c>
      <c r="I215" s="2285">
        <f>'[3]НВВ тран-ка'!U516</f>
        <v>2530.3083087166892</v>
      </c>
      <c r="J215" s="2257">
        <f t="shared" si="53"/>
        <v>2530.3083087166892</v>
      </c>
      <c r="K215" s="2285">
        <f>'[3]НВВ тран-ка'!AC516</f>
        <v>2159.2231966666668</v>
      </c>
      <c r="L215" s="2285">
        <f>'[3]НВВ тран-ка'!AD516</f>
        <v>2159.2231966666668</v>
      </c>
      <c r="M215" s="2259">
        <f t="shared" si="54"/>
        <v>2159.2231966666668</v>
      </c>
      <c r="N215" s="2284"/>
      <c r="O215" s="2285"/>
      <c r="P215" s="2259">
        <f t="shared" ref="P215:P232" si="85">N215/2+O215/2</f>
        <v>0</v>
      </c>
      <c r="Q215" s="2284">
        <v>0</v>
      </c>
      <c r="R215" s="2285">
        <v>0</v>
      </c>
      <c r="S215" s="2259">
        <f t="shared" ref="S215:S232" si="86">Q215/2+R215/2</f>
        <v>0</v>
      </c>
      <c r="T215" s="2294">
        <f t="shared" si="81"/>
        <v>0</v>
      </c>
      <c r="U215" s="2285">
        <f t="shared" si="81"/>
        <v>0</v>
      </c>
      <c r="V215" s="2268">
        <f t="shared" si="73"/>
        <v>0</v>
      </c>
      <c r="W215" s="2888">
        <f t="shared" si="84"/>
        <v>0</v>
      </c>
      <c r="X215" s="2889">
        <f t="shared" si="84"/>
        <v>0</v>
      </c>
      <c r="Y215" s="2268">
        <f t="shared" si="74"/>
        <v>0</v>
      </c>
      <c r="Z215" s="2888">
        <f t="shared" si="82"/>
        <v>0</v>
      </c>
      <c r="AA215" s="2889">
        <f t="shared" si="82"/>
        <v>0</v>
      </c>
      <c r="AB215" s="2268">
        <f t="shared" si="75"/>
        <v>0</v>
      </c>
      <c r="AC215" s="2113">
        <f t="shared" si="76"/>
        <v>0</v>
      </c>
      <c r="AD215" s="2114">
        <f t="shared" si="77"/>
        <v>0</v>
      </c>
      <c r="AE215" s="2113">
        <f t="shared" si="78"/>
        <v>0</v>
      </c>
      <c r="AF215" s="2114">
        <f t="shared" si="79"/>
        <v>0</v>
      </c>
      <c r="AG215" s="2113"/>
      <c r="AH215" s="2113"/>
      <c r="AI215" s="2114">
        <f>Z215+'2024 Калуга+область перекачка'!Z215+'2024 Калуга+область очистка'!Z215</f>
        <v>0.38586785440408949</v>
      </c>
      <c r="AJ215" s="2114">
        <f>AA215+'2024 Калуга+область перекачка'!AA215+'2024 Калуга+область очистка'!AA215</f>
        <v>5.229811161006273</v>
      </c>
      <c r="AK215" s="2114">
        <f>AB215+'2024 Калуга+область перекачка'!AB215+'2024 Калуга+область очистка'!AB215</f>
        <v>2.8078395077051814</v>
      </c>
      <c r="AL215" s="2114">
        <f>расчет_тарифа_К_!O216</f>
        <v>5.229811161006273</v>
      </c>
      <c r="AM215" s="2593">
        <f t="shared" si="80"/>
        <v>0</v>
      </c>
    </row>
    <row r="216" spans="1:39" s="2218" customFormat="1" ht="63">
      <c r="A216" s="2235">
        <v>162</v>
      </c>
      <c r="B216" s="2281" t="s">
        <v>2056</v>
      </c>
      <c r="C216" s="2282" t="s">
        <v>2057</v>
      </c>
      <c r="D216" s="2283" t="s">
        <v>1317</v>
      </c>
      <c r="E216" s="2284">
        <f>'[3]НВВ тран-ка'!K517</f>
        <v>3.3509999999999998E-2</v>
      </c>
      <c r="F216" s="2285">
        <f>'[3]НВВ тран-ка'!L517</f>
        <v>3.3509999999999998E-2</v>
      </c>
      <c r="G216" s="2257">
        <f t="shared" si="52"/>
        <v>3.3509999999999998E-2</v>
      </c>
      <c r="H216" s="2285">
        <f>'[3]НВВ тран-ка'!T517</f>
        <v>0.19964999999999999</v>
      </c>
      <c r="I216" s="2285">
        <f>'[3]НВВ тран-ка'!U517</f>
        <v>0.19964999999999999</v>
      </c>
      <c r="J216" s="2257">
        <f t="shared" si="53"/>
        <v>0.19964999999999999</v>
      </c>
      <c r="K216" s="2285">
        <f>'[3]НВВ тран-ка'!AC517</f>
        <v>0.38117000000000001</v>
      </c>
      <c r="L216" s="2285">
        <f>'[3]НВВ тран-ка'!AD517</f>
        <v>0.38117000000000001</v>
      </c>
      <c r="M216" s="2259">
        <f t="shared" si="54"/>
        <v>0.38117000000000001</v>
      </c>
      <c r="N216" s="2284"/>
      <c r="O216" s="2285"/>
      <c r="P216" s="2259">
        <f t="shared" si="85"/>
        <v>0</v>
      </c>
      <c r="Q216" s="2284">
        <v>0</v>
      </c>
      <c r="R216" s="2285">
        <v>0</v>
      </c>
      <c r="S216" s="2259">
        <f t="shared" si="86"/>
        <v>0</v>
      </c>
      <c r="T216" s="2294">
        <f t="shared" si="81"/>
        <v>0</v>
      </c>
      <c r="U216" s="2285">
        <f t="shared" si="81"/>
        <v>0</v>
      </c>
      <c r="V216" s="2268">
        <f t="shared" si="73"/>
        <v>0</v>
      </c>
      <c r="W216" s="2888">
        <f t="shared" si="84"/>
        <v>0</v>
      </c>
      <c r="X216" s="2889">
        <f t="shared" si="84"/>
        <v>0</v>
      </c>
      <c r="Y216" s="2268">
        <f t="shared" si="74"/>
        <v>0</v>
      </c>
      <c r="Z216" s="2888">
        <f t="shared" si="82"/>
        <v>0</v>
      </c>
      <c r="AA216" s="2889">
        <f t="shared" si="82"/>
        <v>0</v>
      </c>
      <c r="AB216" s="2268">
        <f t="shared" si="75"/>
        <v>0</v>
      </c>
      <c r="AC216" s="2113">
        <f t="shared" si="76"/>
        <v>0</v>
      </c>
      <c r="AD216" s="2114">
        <f t="shared" si="77"/>
        <v>0</v>
      </c>
      <c r="AE216" s="2113">
        <f t="shared" si="78"/>
        <v>0</v>
      </c>
      <c r="AF216" s="2114">
        <f t="shared" si="79"/>
        <v>0</v>
      </c>
      <c r="AG216" s="2113"/>
      <c r="AH216" s="2113"/>
      <c r="AI216" s="2114">
        <f>Z216+'2024 Калуга+область перекачка'!Z216+'2024 Калуга+область очистка'!Z216</f>
        <v>0</v>
      </c>
      <c r="AJ216" s="2114">
        <f>AA216+'2024 Калуга+область перекачка'!AA216+'2024 Калуга+область очистка'!AA216</f>
        <v>0</v>
      </c>
      <c r="AK216" s="2114">
        <f>AB216+'2024 Калуга+область перекачка'!AB216+'2024 Калуга+область очистка'!AB216</f>
        <v>0</v>
      </c>
      <c r="AL216" s="2114">
        <f>расчет_тарифа_К_!O217</f>
        <v>0</v>
      </c>
      <c r="AM216" s="2593">
        <f t="shared" si="80"/>
        <v>0</v>
      </c>
    </row>
    <row r="217" spans="1:39" s="2218" customFormat="1" ht="31.5">
      <c r="A217" s="2235">
        <v>149</v>
      </c>
      <c r="B217" s="2388">
        <v>2</v>
      </c>
      <c r="C217" s="2295" t="s">
        <v>2058</v>
      </c>
      <c r="D217" s="2254" t="s">
        <v>1313</v>
      </c>
      <c r="E217" s="2255">
        <f>E218+E219+E220+E221+E222</f>
        <v>132.26057000000003</v>
      </c>
      <c r="F217" s="2256">
        <f>F218+F219+F220+F221+F222</f>
        <v>132.26057000000003</v>
      </c>
      <c r="G217" s="2257">
        <f t="shared" si="52"/>
        <v>132.26057000000003</v>
      </c>
      <c r="H217" s="2256">
        <f>H218+H219+H220+H221+H222</f>
        <v>210.24174000000005</v>
      </c>
      <c r="I217" s="2256">
        <f>I218+I219+I220+I221+I222</f>
        <v>210.24174000000005</v>
      </c>
      <c r="J217" s="2257">
        <f t="shared" si="53"/>
        <v>210.24174000000005</v>
      </c>
      <c r="K217" s="2256">
        <f>K218+K219+K220+K221+K222</f>
        <v>-155.51245467617537</v>
      </c>
      <c r="L217" s="2256">
        <f>L218+L219+L220+L221+L222</f>
        <v>-155.51245467617537</v>
      </c>
      <c r="M217" s="2259">
        <f t="shared" si="54"/>
        <v>-155.51245467617537</v>
      </c>
      <c r="N217" s="2256">
        <f>N218+N219+N220+N221+N222</f>
        <v>0</v>
      </c>
      <c r="O217" s="2256">
        <f>O218+O219+O220+O221+O222</f>
        <v>0</v>
      </c>
      <c r="P217" s="2259">
        <f t="shared" si="85"/>
        <v>0</v>
      </c>
      <c r="Q217" s="2256">
        <f>Q218+Q219+Q220+Q221+Q222</f>
        <v>0</v>
      </c>
      <c r="R217" s="2256">
        <f>R218+R219+R220+R221+R222</f>
        <v>1342.3869872777786</v>
      </c>
      <c r="S217" s="2259">
        <f t="shared" si="86"/>
        <v>671.19349363888932</v>
      </c>
      <c r="T217" s="2255">
        <f t="shared" si="81"/>
        <v>0</v>
      </c>
      <c r="U217" s="2256">
        <f t="shared" si="81"/>
        <v>1342.3869872777786</v>
      </c>
      <c r="V217" s="2268">
        <f t="shared" si="73"/>
        <v>671.19349363888932</v>
      </c>
      <c r="W217" s="2377">
        <f>T217/$T$272*$N$272</f>
        <v>0</v>
      </c>
      <c r="X217" s="2256">
        <f>U217/$T$272*$N$272</f>
        <v>302.00748131608663</v>
      </c>
      <c r="Y217" s="2268">
        <f t="shared" si="74"/>
        <v>151.00374065804331</v>
      </c>
      <c r="Z217" s="2886">
        <f t="shared" si="82"/>
        <v>0</v>
      </c>
      <c r="AA217" s="2887">
        <f t="shared" si="82"/>
        <v>1040.3795059616918</v>
      </c>
      <c r="AB217" s="2268">
        <f t="shared" si="75"/>
        <v>520.18975298084592</v>
      </c>
      <c r="AC217" s="2113">
        <f t="shared" si="76"/>
        <v>302.00748131608663</v>
      </c>
      <c r="AD217" s="2114">
        <f t="shared" si="77"/>
        <v>0</v>
      </c>
      <c r="AE217" s="2113">
        <f t="shared" si="78"/>
        <v>1040.3795059616918</v>
      </c>
      <c r="AF217" s="2114">
        <f t="shared" si="79"/>
        <v>0</v>
      </c>
      <c r="AG217" s="2113"/>
      <c r="AH217" s="2113"/>
      <c r="AI217" s="2114">
        <f>Z217+'2024 Калуга+область перекачка'!Z217+'2024 Калуга+область очистка'!Z217</f>
        <v>826.44865218309337</v>
      </c>
      <c r="AJ217" s="2114">
        <f>AA217+'2024 Калуга+область перекачка'!AA217+'2024 Калуга+область очистка'!AA217</f>
        <v>3054.191414198327</v>
      </c>
      <c r="AK217" s="2114">
        <f>AB217+'2024 Калуга+область перекачка'!AB217+'2024 Калуга+область очистка'!AB217</f>
        <v>1940.3200331907103</v>
      </c>
      <c r="AL217" s="2114">
        <f>расчет_тарифа_К_!O218</f>
        <v>3054.191414198327</v>
      </c>
      <c r="AM217" s="2593">
        <f t="shared" si="80"/>
        <v>0</v>
      </c>
    </row>
    <row r="218" spans="1:39" s="2218" customFormat="1" ht="24" customHeight="1">
      <c r="A218" s="2235">
        <v>150</v>
      </c>
      <c r="B218" s="2281" t="s">
        <v>135</v>
      </c>
      <c r="C218" s="2282" t="s">
        <v>2059</v>
      </c>
      <c r="D218" s="2283" t="s">
        <v>1317</v>
      </c>
      <c r="E218" s="2284"/>
      <c r="F218" s="2285"/>
      <c r="G218" s="2257">
        <f t="shared" si="52"/>
        <v>0</v>
      </c>
      <c r="H218" s="2285"/>
      <c r="I218" s="2285"/>
      <c r="J218" s="2257">
        <f t="shared" si="53"/>
        <v>0</v>
      </c>
      <c r="K218" s="2285"/>
      <c r="L218" s="2285"/>
      <c r="M218" s="2259">
        <f t="shared" si="54"/>
        <v>0</v>
      </c>
      <c r="N218" s="2284"/>
      <c r="O218" s="2285"/>
      <c r="P218" s="2259">
        <f t="shared" si="85"/>
        <v>0</v>
      </c>
      <c r="Q218" s="2284">
        <v>0</v>
      </c>
      <c r="R218" s="2285">
        <v>0</v>
      </c>
      <c r="S218" s="2259">
        <f t="shared" si="86"/>
        <v>0</v>
      </c>
      <c r="T218" s="2294">
        <f t="shared" si="81"/>
        <v>0</v>
      </c>
      <c r="U218" s="2285">
        <f t="shared" si="81"/>
        <v>0</v>
      </c>
      <c r="V218" s="2268">
        <f t="shared" si="73"/>
        <v>0</v>
      </c>
      <c r="W218" s="2888">
        <f t="shared" ref="W218:X222" si="87">T218/$T$272*$W$272</f>
        <v>0</v>
      </c>
      <c r="X218" s="2889">
        <f t="shared" si="87"/>
        <v>0</v>
      </c>
      <c r="Y218" s="2268">
        <f t="shared" si="74"/>
        <v>0</v>
      </c>
      <c r="Z218" s="2888">
        <f t="shared" si="82"/>
        <v>0</v>
      </c>
      <c r="AA218" s="2889">
        <f t="shared" si="82"/>
        <v>0</v>
      </c>
      <c r="AB218" s="2268">
        <f t="shared" si="75"/>
        <v>0</v>
      </c>
      <c r="AC218" s="2113">
        <f t="shared" si="76"/>
        <v>0</v>
      </c>
      <c r="AD218" s="2114">
        <f t="shared" si="77"/>
        <v>0</v>
      </c>
      <c r="AE218" s="2113">
        <f t="shared" si="78"/>
        <v>0</v>
      </c>
      <c r="AF218" s="2114">
        <f t="shared" si="79"/>
        <v>0</v>
      </c>
      <c r="AG218" s="2113"/>
      <c r="AH218" s="2113"/>
      <c r="AI218" s="2114">
        <f>Z218+'2024 Калуга+область перекачка'!Z218+'2024 Калуга+область очистка'!Z218</f>
        <v>0</v>
      </c>
      <c r="AJ218" s="2114">
        <f>AA218+'2024 Калуга+область перекачка'!AA218+'2024 Калуга+область очистка'!AA218</f>
        <v>0</v>
      </c>
      <c r="AK218" s="2114">
        <f>AB218+'2024 Калуга+область перекачка'!AB218+'2024 Калуга+область очистка'!AB218</f>
        <v>0</v>
      </c>
      <c r="AL218" s="2114">
        <f>расчет_тарифа_К_!O219</f>
        <v>0</v>
      </c>
      <c r="AM218" s="2593">
        <f t="shared" si="80"/>
        <v>0</v>
      </c>
    </row>
    <row r="219" spans="1:39" s="2218" customFormat="1">
      <c r="A219" s="2235">
        <v>151</v>
      </c>
      <c r="B219" s="2281" t="s">
        <v>2060</v>
      </c>
      <c r="C219" s="2282" t="s">
        <v>2061</v>
      </c>
      <c r="D219" s="2283" t="s">
        <v>1317</v>
      </c>
      <c r="E219" s="2284"/>
      <c r="F219" s="2285"/>
      <c r="G219" s="2257">
        <f t="shared" si="52"/>
        <v>0</v>
      </c>
      <c r="H219" s="2285"/>
      <c r="I219" s="2285"/>
      <c r="J219" s="2257">
        <f t="shared" si="53"/>
        <v>0</v>
      </c>
      <c r="K219" s="2285"/>
      <c r="L219" s="2285"/>
      <c r="M219" s="2259">
        <f t="shared" si="54"/>
        <v>0</v>
      </c>
      <c r="N219" s="2284"/>
      <c r="O219" s="2285"/>
      <c r="P219" s="2259">
        <f t="shared" si="85"/>
        <v>0</v>
      </c>
      <c r="Q219" s="2284">
        <v>0</v>
      </c>
      <c r="R219" s="2285">
        <v>0</v>
      </c>
      <c r="S219" s="2259">
        <f t="shared" si="86"/>
        <v>0</v>
      </c>
      <c r="T219" s="2294">
        <f t="shared" si="81"/>
        <v>0</v>
      </c>
      <c r="U219" s="2285">
        <f t="shared" si="81"/>
        <v>0</v>
      </c>
      <c r="V219" s="2268">
        <f t="shared" si="73"/>
        <v>0</v>
      </c>
      <c r="W219" s="2888">
        <f t="shared" si="87"/>
        <v>0</v>
      </c>
      <c r="X219" s="2889">
        <f t="shared" si="87"/>
        <v>0</v>
      </c>
      <c r="Y219" s="2268">
        <f t="shared" si="74"/>
        <v>0</v>
      </c>
      <c r="Z219" s="2888">
        <f t="shared" si="82"/>
        <v>0</v>
      </c>
      <c r="AA219" s="2889">
        <f t="shared" si="82"/>
        <v>0</v>
      </c>
      <c r="AB219" s="2268">
        <f t="shared" si="75"/>
        <v>0</v>
      </c>
      <c r="AC219" s="2113">
        <f t="shared" si="76"/>
        <v>0</v>
      </c>
      <c r="AD219" s="2114">
        <f t="shared" si="77"/>
        <v>0</v>
      </c>
      <c r="AE219" s="2113">
        <f t="shared" si="78"/>
        <v>0</v>
      </c>
      <c r="AF219" s="2114">
        <f t="shared" si="79"/>
        <v>0</v>
      </c>
      <c r="AG219" s="2113"/>
      <c r="AH219" s="2113"/>
      <c r="AI219" s="2114">
        <f>Z219+'2024 Калуга+область перекачка'!Z219+'2024 Калуга+область очистка'!Z219</f>
        <v>0</v>
      </c>
      <c r="AJ219" s="2114">
        <f>AA219+'2024 Калуга+область перекачка'!AA219+'2024 Калуга+область очистка'!AA219</f>
        <v>0</v>
      </c>
      <c r="AK219" s="2114">
        <f>AB219+'2024 Калуга+область перекачка'!AB219+'2024 Калуга+область очистка'!AB219</f>
        <v>0</v>
      </c>
      <c r="AL219" s="2114">
        <f>расчет_тарифа_К_!O220</f>
        <v>0</v>
      </c>
      <c r="AM219" s="2593">
        <f t="shared" si="80"/>
        <v>0</v>
      </c>
    </row>
    <row r="220" spans="1:39" s="2218" customFormat="1" ht="22.5" customHeight="1">
      <c r="A220" s="2235">
        <v>152</v>
      </c>
      <c r="B220" s="2281" t="s">
        <v>2062</v>
      </c>
      <c r="C220" s="2282" t="s">
        <v>2063</v>
      </c>
      <c r="D220" s="2283" t="s">
        <v>1317</v>
      </c>
      <c r="E220" s="2284"/>
      <c r="F220" s="2285"/>
      <c r="G220" s="2257">
        <f t="shared" si="52"/>
        <v>0</v>
      </c>
      <c r="H220" s="2285"/>
      <c r="I220" s="2285"/>
      <c r="J220" s="2257">
        <f t="shared" si="53"/>
        <v>0</v>
      </c>
      <c r="K220" s="2285"/>
      <c r="L220" s="2285"/>
      <c r="M220" s="2259">
        <f t="shared" si="54"/>
        <v>0</v>
      </c>
      <c r="N220" s="2284"/>
      <c r="O220" s="2285"/>
      <c r="P220" s="2259">
        <f t="shared" si="85"/>
        <v>0</v>
      </c>
      <c r="Q220" s="2284">
        <v>0</v>
      </c>
      <c r="R220" s="2285">
        <v>0</v>
      </c>
      <c r="S220" s="2259">
        <f t="shared" si="86"/>
        <v>0</v>
      </c>
      <c r="T220" s="2294">
        <f t="shared" si="81"/>
        <v>0</v>
      </c>
      <c r="U220" s="2285">
        <f t="shared" si="81"/>
        <v>0</v>
      </c>
      <c r="V220" s="2268">
        <f t="shared" si="73"/>
        <v>0</v>
      </c>
      <c r="W220" s="2888">
        <f t="shared" si="87"/>
        <v>0</v>
      </c>
      <c r="X220" s="2889">
        <f t="shared" si="87"/>
        <v>0</v>
      </c>
      <c r="Y220" s="2268">
        <f t="shared" si="74"/>
        <v>0</v>
      </c>
      <c r="Z220" s="2888">
        <f t="shared" si="82"/>
        <v>0</v>
      </c>
      <c r="AA220" s="2889">
        <f t="shared" si="82"/>
        <v>0</v>
      </c>
      <c r="AB220" s="2268">
        <f t="shared" si="75"/>
        <v>0</v>
      </c>
      <c r="AC220" s="2113">
        <f t="shared" si="76"/>
        <v>0</v>
      </c>
      <c r="AD220" s="2114">
        <f t="shared" si="77"/>
        <v>0</v>
      </c>
      <c r="AE220" s="2113">
        <f t="shared" si="78"/>
        <v>0</v>
      </c>
      <c r="AF220" s="2114">
        <f t="shared" si="79"/>
        <v>0</v>
      </c>
      <c r="AG220" s="2113"/>
      <c r="AH220" s="2113"/>
      <c r="AI220" s="2114">
        <f>Z220+'2024 Калуга+область перекачка'!Z220+'2024 Калуга+область очистка'!Z220</f>
        <v>0</v>
      </c>
      <c r="AJ220" s="2114">
        <f>AA220+'2024 Калуга+область перекачка'!AA220+'2024 Калуга+область очистка'!AA220</f>
        <v>0</v>
      </c>
      <c r="AK220" s="2114">
        <f>AB220+'2024 Калуга+область перекачка'!AB220+'2024 Калуга+область очистка'!AB220</f>
        <v>0</v>
      </c>
      <c r="AL220" s="2114">
        <f>расчет_тарифа_К_!O221</f>
        <v>0</v>
      </c>
      <c r="AM220" s="2593">
        <f t="shared" si="80"/>
        <v>0</v>
      </c>
    </row>
    <row r="221" spans="1:39" s="2218" customFormat="1" ht="19.5" customHeight="1">
      <c r="A221" s="2235">
        <v>153</v>
      </c>
      <c r="B221" s="2281" t="s">
        <v>2064</v>
      </c>
      <c r="C221" s="2282" t="s">
        <v>2065</v>
      </c>
      <c r="D221" s="2283" t="s">
        <v>1317</v>
      </c>
      <c r="E221" s="2284">
        <f>'[3]НВВ тран-ка'!K522</f>
        <v>132.26057000000003</v>
      </c>
      <c r="F221" s="2285">
        <f>'[3]НВВ тран-ка'!L522</f>
        <v>132.26057000000003</v>
      </c>
      <c r="G221" s="2257">
        <f t="shared" si="52"/>
        <v>132.26057000000003</v>
      </c>
      <c r="H221" s="2285">
        <f>'[3]НВВ тран-ка'!T522</f>
        <v>210.24174000000005</v>
      </c>
      <c r="I221" s="2285">
        <f>'[3]НВВ тран-ка'!U522</f>
        <v>210.24174000000005</v>
      </c>
      <c r="J221" s="2257">
        <f t="shared" si="53"/>
        <v>210.24174000000005</v>
      </c>
      <c r="K221" s="2285">
        <f>'[3]НВВ тран-ка'!AC522</f>
        <v>-155.51245467617537</v>
      </c>
      <c r="L221" s="2285">
        <f>'[3]НВВ тран-ка'!AD522</f>
        <v>-155.51245467617537</v>
      </c>
      <c r="M221" s="2259">
        <f t="shared" si="54"/>
        <v>-155.51245467617537</v>
      </c>
      <c r="N221" s="2284"/>
      <c r="O221" s="2285">
        <v>0</v>
      </c>
      <c r="P221" s="2259">
        <f t="shared" si="85"/>
        <v>0</v>
      </c>
      <c r="Q221" s="2284">
        <v>0</v>
      </c>
      <c r="R221" s="2285">
        <f>1311.08132059686/1.047*1.072</f>
        <v>1342.3869872777786</v>
      </c>
      <c r="S221" s="2259">
        <f t="shared" si="86"/>
        <v>671.19349363888932</v>
      </c>
      <c r="T221" s="2294">
        <f t="shared" si="81"/>
        <v>0</v>
      </c>
      <c r="U221" s="2285">
        <f t="shared" si="81"/>
        <v>1342.3869872777786</v>
      </c>
      <c r="V221" s="2268">
        <f t="shared" si="73"/>
        <v>671.19349363888932</v>
      </c>
      <c r="W221" s="2888">
        <f t="shared" si="87"/>
        <v>0</v>
      </c>
      <c r="X221" s="2889">
        <f t="shared" si="87"/>
        <v>302.00748131608663</v>
      </c>
      <c r="Y221" s="2268">
        <f t="shared" si="74"/>
        <v>151.00374065804331</v>
      </c>
      <c r="Z221" s="2888">
        <f t="shared" si="82"/>
        <v>0</v>
      </c>
      <c r="AA221" s="2889">
        <f t="shared" si="82"/>
        <v>1040.3795059616918</v>
      </c>
      <c r="AB221" s="2268">
        <f t="shared" si="75"/>
        <v>520.18975298084592</v>
      </c>
      <c r="AC221" s="2113">
        <f t="shared" si="76"/>
        <v>302.00748131608663</v>
      </c>
      <c r="AD221" s="2114">
        <f t="shared" si="77"/>
        <v>0</v>
      </c>
      <c r="AE221" s="2113">
        <f t="shared" si="78"/>
        <v>1040.3795059616918</v>
      </c>
      <c r="AF221" s="2114">
        <f t="shared" si="79"/>
        <v>0</v>
      </c>
      <c r="AG221" s="2113"/>
      <c r="AH221" s="2113"/>
      <c r="AI221" s="2114">
        <f>Z221+'2024 Калуга+область перекачка'!Z221+'2024 Калуга+область очистка'!Z221</f>
        <v>826.44865218309337</v>
      </c>
      <c r="AJ221" s="2114">
        <f>AA221+'2024 Калуга+область перекачка'!AA221+'2024 Калуга+область очистка'!AA221</f>
        <v>3054.191414198327</v>
      </c>
      <c r="AK221" s="2114">
        <f>AB221+'2024 Калуга+область перекачка'!AB221+'2024 Калуга+область очистка'!AB221</f>
        <v>1940.3200331907103</v>
      </c>
      <c r="AL221" s="2114">
        <f>расчет_тарифа_К_!O222</f>
        <v>3054.191414198327</v>
      </c>
      <c r="AM221" s="2593">
        <f t="shared" si="80"/>
        <v>0</v>
      </c>
    </row>
    <row r="222" spans="1:39" s="2218" customFormat="1" ht="22.5" customHeight="1">
      <c r="A222" s="2235">
        <v>154</v>
      </c>
      <c r="B222" s="2281" t="s">
        <v>2067</v>
      </c>
      <c r="C222" s="2282" t="s">
        <v>2068</v>
      </c>
      <c r="D222" s="2283" t="s">
        <v>1317</v>
      </c>
      <c r="E222" s="2284"/>
      <c r="F222" s="2285"/>
      <c r="G222" s="2257">
        <f t="shared" si="52"/>
        <v>0</v>
      </c>
      <c r="H222" s="2285"/>
      <c r="I222" s="2285"/>
      <c r="J222" s="2257">
        <f t="shared" si="53"/>
        <v>0</v>
      </c>
      <c r="K222" s="2285"/>
      <c r="L222" s="2285"/>
      <c r="M222" s="2259">
        <f t="shared" si="54"/>
        <v>0</v>
      </c>
      <c r="N222" s="2284"/>
      <c r="O222" s="2285"/>
      <c r="P222" s="2259">
        <f t="shared" si="85"/>
        <v>0</v>
      </c>
      <c r="Q222" s="2284">
        <v>0</v>
      </c>
      <c r="R222" s="2285">
        <v>0</v>
      </c>
      <c r="S222" s="2259">
        <f t="shared" si="86"/>
        <v>0</v>
      </c>
      <c r="T222" s="2294">
        <f t="shared" si="81"/>
        <v>0</v>
      </c>
      <c r="U222" s="2285">
        <f t="shared" si="81"/>
        <v>0</v>
      </c>
      <c r="V222" s="2268">
        <f t="shared" si="73"/>
        <v>0</v>
      </c>
      <c r="W222" s="2888">
        <f t="shared" si="87"/>
        <v>0</v>
      </c>
      <c r="X222" s="2889">
        <f t="shared" si="87"/>
        <v>0</v>
      </c>
      <c r="Y222" s="2268">
        <f t="shared" si="74"/>
        <v>0</v>
      </c>
      <c r="Z222" s="2888">
        <f t="shared" si="82"/>
        <v>0</v>
      </c>
      <c r="AA222" s="2889">
        <f t="shared" si="82"/>
        <v>0</v>
      </c>
      <c r="AB222" s="2268">
        <f t="shared" si="75"/>
        <v>0</v>
      </c>
      <c r="AC222" s="2113">
        <f t="shared" si="76"/>
        <v>0</v>
      </c>
      <c r="AD222" s="2114">
        <f t="shared" si="77"/>
        <v>0</v>
      </c>
      <c r="AE222" s="2113">
        <f t="shared" si="78"/>
        <v>0</v>
      </c>
      <c r="AF222" s="2114">
        <f t="shared" si="79"/>
        <v>0</v>
      </c>
      <c r="AG222" s="2113"/>
      <c r="AH222" s="2113"/>
      <c r="AI222" s="2114">
        <f>Z222+'2024 Калуга+область перекачка'!Z222+'2024 Калуга+область очистка'!Z222</f>
        <v>0</v>
      </c>
      <c r="AJ222" s="2114">
        <f>AA222+'2024 Калуга+область перекачка'!AA222+'2024 Калуга+область очистка'!AA222</f>
        <v>0</v>
      </c>
      <c r="AK222" s="2114">
        <f>AB222+'2024 Калуга+область перекачка'!AB222+'2024 Калуга+область очистка'!AB222</f>
        <v>0</v>
      </c>
      <c r="AL222" s="2114">
        <f>расчет_тарифа_К_!O223</f>
        <v>0</v>
      </c>
      <c r="AM222" s="2593">
        <f t="shared" si="80"/>
        <v>0</v>
      </c>
    </row>
    <row r="223" spans="1:39" s="2218" customFormat="1" ht="31.5">
      <c r="A223" s="2235">
        <v>169</v>
      </c>
      <c r="B223" s="2389">
        <v>13</v>
      </c>
      <c r="C223" s="2390" t="s">
        <v>2071</v>
      </c>
      <c r="D223" s="2289" t="s">
        <v>1317</v>
      </c>
      <c r="E223" s="2290"/>
      <c r="F223" s="2291"/>
      <c r="G223" s="2257">
        <f t="shared" si="52"/>
        <v>0</v>
      </c>
      <c r="H223" s="2291"/>
      <c r="I223" s="2291"/>
      <c r="J223" s="2257">
        <f t="shared" si="53"/>
        <v>0</v>
      </c>
      <c r="K223" s="2291"/>
      <c r="L223" s="2291"/>
      <c r="M223" s="2259">
        <f t="shared" si="54"/>
        <v>0</v>
      </c>
      <c r="N223" s="2290"/>
      <c r="O223" s="2291"/>
      <c r="P223" s="2259">
        <f t="shared" si="85"/>
        <v>0</v>
      </c>
      <c r="Q223" s="2290">
        <v>0</v>
      </c>
      <c r="R223" s="2291">
        <v>0</v>
      </c>
      <c r="S223" s="2259">
        <f t="shared" si="86"/>
        <v>0</v>
      </c>
      <c r="T223" s="2255">
        <f t="shared" si="81"/>
        <v>0</v>
      </c>
      <c r="U223" s="2256">
        <f t="shared" si="81"/>
        <v>0</v>
      </c>
      <c r="V223" s="2268">
        <f t="shared" si="73"/>
        <v>0</v>
      </c>
      <c r="W223" s="2377">
        <f t="shared" ref="W223:X229" si="88">T223/$T$272*$N$272</f>
        <v>0</v>
      </c>
      <c r="X223" s="2256">
        <f t="shared" si="88"/>
        <v>0</v>
      </c>
      <c r="Y223" s="2268">
        <f t="shared" si="74"/>
        <v>0</v>
      </c>
      <c r="Z223" s="2886">
        <f t="shared" si="82"/>
        <v>0</v>
      </c>
      <c r="AA223" s="2887">
        <f t="shared" si="82"/>
        <v>0</v>
      </c>
      <c r="AB223" s="2268">
        <f t="shared" si="75"/>
        <v>0</v>
      </c>
      <c r="AC223" s="2113">
        <f t="shared" si="76"/>
        <v>0</v>
      </c>
      <c r="AD223" s="2114">
        <f t="shared" si="77"/>
        <v>0</v>
      </c>
      <c r="AE223" s="2113">
        <f t="shared" si="78"/>
        <v>0</v>
      </c>
      <c r="AF223" s="2114">
        <f t="shared" si="79"/>
        <v>0</v>
      </c>
      <c r="AG223" s="2113"/>
      <c r="AH223" s="2113"/>
      <c r="AI223" s="2114">
        <f>Z223+'2024 Калуга+область перекачка'!Z223+'2024 Калуга+область очистка'!Z223</f>
        <v>0</v>
      </c>
      <c r="AJ223" s="2114">
        <f>AA223+'2024 Калуга+область перекачка'!AA223+'2024 Калуга+область очистка'!AA223</f>
        <v>0</v>
      </c>
      <c r="AK223" s="2114">
        <f>AB223+'2024 Калуга+область перекачка'!AB223+'2024 Калуга+область очистка'!AB223</f>
        <v>0</v>
      </c>
      <c r="AL223" s="2114">
        <f>расчет_тарифа_К_!O224</f>
        <v>0</v>
      </c>
      <c r="AM223" s="2593">
        <f t="shared" si="80"/>
        <v>0</v>
      </c>
    </row>
    <row r="224" spans="1:39" s="2218" customFormat="1" ht="31.5">
      <c r="A224" s="2235">
        <v>164</v>
      </c>
      <c r="B224" s="2287" t="s">
        <v>140</v>
      </c>
      <c r="C224" s="2390" t="s">
        <v>2072</v>
      </c>
      <c r="D224" s="2289" t="s">
        <v>1317</v>
      </c>
      <c r="E224" s="2290"/>
      <c r="F224" s="2291"/>
      <c r="G224" s="2257">
        <f t="shared" ref="G224:G272" si="89">E224/2+F224/2</f>
        <v>0</v>
      </c>
      <c r="H224" s="2291"/>
      <c r="I224" s="2291"/>
      <c r="J224" s="2257">
        <f t="shared" ref="J224:J268" si="90">H224/2+I224/2</f>
        <v>0</v>
      </c>
      <c r="K224" s="2291"/>
      <c r="L224" s="2291"/>
      <c r="M224" s="2259">
        <f t="shared" ref="M224:M268" si="91">K224/2+L224/2</f>
        <v>0</v>
      </c>
      <c r="N224" s="2290"/>
      <c r="O224" s="2291"/>
      <c r="P224" s="2259">
        <f t="shared" si="85"/>
        <v>0</v>
      </c>
      <c r="Q224" s="2290">
        <v>0</v>
      </c>
      <c r="R224" s="2291">
        <v>0</v>
      </c>
      <c r="S224" s="2259">
        <f t="shared" si="86"/>
        <v>0</v>
      </c>
      <c r="T224" s="2255">
        <f t="shared" ref="T224:U229" si="92">N224+Q224</f>
        <v>0</v>
      </c>
      <c r="U224" s="2256">
        <f t="shared" si="92"/>
        <v>0</v>
      </c>
      <c r="V224" s="2268">
        <f t="shared" si="73"/>
        <v>0</v>
      </c>
      <c r="W224" s="2377">
        <f t="shared" si="88"/>
        <v>0</v>
      </c>
      <c r="X224" s="2256">
        <f t="shared" si="88"/>
        <v>0</v>
      </c>
      <c r="Y224" s="2268">
        <f t="shared" si="74"/>
        <v>0</v>
      </c>
      <c r="Z224" s="2886">
        <f t="shared" si="82"/>
        <v>0</v>
      </c>
      <c r="AA224" s="2887">
        <f t="shared" si="82"/>
        <v>0</v>
      </c>
      <c r="AB224" s="2268">
        <f t="shared" si="75"/>
        <v>0</v>
      </c>
      <c r="AC224" s="2113">
        <f t="shared" si="76"/>
        <v>0</v>
      </c>
      <c r="AD224" s="2114">
        <f t="shared" si="77"/>
        <v>0</v>
      </c>
      <c r="AE224" s="2113">
        <f t="shared" si="78"/>
        <v>0</v>
      </c>
      <c r="AF224" s="2114">
        <f t="shared" si="79"/>
        <v>0</v>
      </c>
      <c r="AG224" s="2113"/>
      <c r="AH224" s="2113"/>
      <c r="AI224" s="2114">
        <f>Z224+'2024 Калуга+область перекачка'!Z224+'2024 Калуга+область очистка'!Z224</f>
        <v>0</v>
      </c>
      <c r="AJ224" s="2114">
        <f>AA224+'2024 Калуга+область перекачка'!AA224+'2024 Калуга+область очистка'!AA224</f>
        <v>0</v>
      </c>
      <c r="AK224" s="2114">
        <f>AB224+'2024 Калуга+область перекачка'!AB224+'2024 Калуга+область очистка'!AB224</f>
        <v>0</v>
      </c>
      <c r="AL224" s="2114">
        <f>расчет_тарифа_К_!O225</f>
        <v>0</v>
      </c>
      <c r="AM224" s="2593">
        <f t="shared" si="80"/>
        <v>0</v>
      </c>
    </row>
    <row r="225" spans="1:39" s="2218" customFormat="1" ht="30.75" customHeight="1">
      <c r="A225" s="2235">
        <v>12</v>
      </c>
      <c r="B225" s="2388">
        <v>12</v>
      </c>
      <c r="C225" s="2295" t="s">
        <v>2073</v>
      </c>
      <c r="D225" s="2254" t="s">
        <v>1313</v>
      </c>
      <c r="E225" s="2255">
        <f>E226+E227+E228</f>
        <v>0</v>
      </c>
      <c r="F225" s="2256">
        <f>F226+F227+F228</f>
        <v>0</v>
      </c>
      <c r="G225" s="2257">
        <f t="shared" si="89"/>
        <v>0</v>
      </c>
      <c r="H225" s="2256">
        <f>H226+H227+H228</f>
        <v>0</v>
      </c>
      <c r="I225" s="2256">
        <f>I226+I227+I228</f>
        <v>0</v>
      </c>
      <c r="J225" s="2257">
        <f t="shared" si="90"/>
        <v>0</v>
      </c>
      <c r="K225" s="2256">
        <f>K226+K227+K228</f>
        <v>0</v>
      </c>
      <c r="L225" s="2256">
        <f>L226+L227+L228</f>
        <v>0</v>
      </c>
      <c r="M225" s="2259">
        <f t="shared" si="91"/>
        <v>0</v>
      </c>
      <c r="N225" s="2255">
        <v>0</v>
      </c>
      <c r="O225" s="2256">
        <v>0</v>
      </c>
      <c r="P225" s="2259">
        <f t="shared" si="85"/>
        <v>0</v>
      </c>
      <c r="Q225" s="2255">
        <v>0</v>
      </c>
      <c r="R225" s="2256">
        <v>0</v>
      </c>
      <c r="S225" s="2259">
        <f t="shared" si="86"/>
        <v>0</v>
      </c>
      <c r="T225" s="2255">
        <f t="shared" si="92"/>
        <v>0</v>
      </c>
      <c r="U225" s="2256">
        <f t="shared" si="92"/>
        <v>0</v>
      </c>
      <c r="V225" s="2268">
        <f t="shared" si="73"/>
        <v>0</v>
      </c>
      <c r="W225" s="2377">
        <f t="shared" si="88"/>
        <v>0</v>
      </c>
      <c r="X225" s="2256">
        <f t="shared" si="88"/>
        <v>0</v>
      </c>
      <c r="Y225" s="2268">
        <f t="shared" si="74"/>
        <v>0</v>
      </c>
      <c r="Z225" s="2886">
        <f t="shared" si="82"/>
        <v>0</v>
      </c>
      <c r="AA225" s="2887">
        <f t="shared" si="82"/>
        <v>0</v>
      </c>
      <c r="AB225" s="2268">
        <f t="shared" si="75"/>
        <v>0</v>
      </c>
      <c r="AC225" s="2113">
        <f t="shared" si="76"/>
        <v>0</v>
      </c>
      <c r="AD225" s="2114">
        <f t="shared" si="77"/>
        <v>0</v>
      </c>
      <c r="AE225" s="2113">
        <f t="shared" si="78"/>
        <v>0</v>
      </c>
      <c r="AF225" s="2114">
        <f t="shared" si="79"/>
        <v>0</v>
      </c>
      <c r="AG225" s="2113"/>
      <c r="AH225" s="2113"/>
      <c r="AI225" s="2114">
        <f>Z225+'2024 Калуга+область перекачка'!Z225+'2024 Калуга+область очистка'!Z225</f>
        <v>0</v>
      </c>
      <c r="AJ225" s="2114">
        <f>AA225+'2024 Калуга+область перекачка'!AA225+'2024 Калуга+область очистка'!AA225</f>
        <v>0</v>
      </c>
      <c r="AK225" s="2114">
        <f>AB225+'2024 Калуга+область перекачка'!AB225+'2024 Калуга+область очистка'!AB225</f>
        <v>0</v>
      </c>
      <c r="AL225" s="2114">
        <f>расчет_тарифа_К_!O226</f>
        <v>0</v>
      </c>
      <c r="AM225" s="2593">
        <f t="shared" si="80"/>
        <v>0</v>
      </c>
    </row>
    <row r="226" spans="1:39" s="2218" customFormat="1" ht="60" hidden="1" customHeight="1">
      <c r="A226" s="2235">
        <v>166</v>
      </c>
      <c r="B226" s="2281" t="s">
        <v>2074</v>
      </c>
      <c r="C226" s="2282" t="s">
        <v>2075</v>
      </c>
      <c r="D226" s="2283" t="s">
        <v>1317</v>
      </c>
      <c r="E226" s="2284"/>
      <c r="F226" s="2285"/>
      <c r="G226" s="2257">
        <f t="shared" si="89"/>
        <v>0</v>
      </c>
      <c r="H226" s="2285"/>
      <c r="I226" s="2285"/>
      <c r="J226" s="2257">
        <f t="shared" si="90"/>
        <v>0</v>
      </c>
      <c r="K226" s="2285"/>
      <c r="L226" s="2285"/>
      <c r="M226" s="2259">
        <f t="shared" si="91"/>
        <v>0</v>
      </c>
      <c r="N226" s="2284"/>
      <c r="O226" s="2285"/>
      <c r="P226" s="2259">
        <f t="shared" si="85"/>
        <v>0</v>
      </c>
      <c r="Q226" s="2284">
        <v>0</v>
      </c>
      <c r="R226" s="2285">
        <v>0</v>
      </c>
      <c r="S226" s="2259">
        <f t="shared" si="86"/>
        <v>0</v>
      </c>
      <c r="T226" s="2255">
        <f t="shared" si="92"/>
        <v>0</v>
      </c>
      <c r="U226" s="2256">
        <f t="shared" si="92"/>
        <v>0</v>
      </c>
      <c r="V226" s="2268">
        <f t="shared" si="73"/>
        <v>0</v>
      </c>
      <c r="W226" s="2377">
        <f t="shared" si="88"/>
        <v>0</v>
      </c>
      <c r="X226" s="2256">
        <f t="shared" si="88"/>
        <v>0</v>
      </c>
      <c r="Y226" s="2268">
        <f t="shared" si="74"/>
        <v>0</v>
      </c>
      <c r="Z226" s="2886">
        <f t="shared" si="82"/>
        <v>0</v>
      </c>
      <c r="AA226" s="2887">
        <f t="shared" si="82"/>
        <v>0</v>
      </c>
      <c r="AB226" s="2268">
        <f t="shared" si="75"/>
        <v>0</v>
      </c>
      <c r="AC226" s="2113">
        <f t="shared" si="76"/>
        <v>0</v>
      </c>
      <c r="AD226" s="2114">
        <f t="shared" si="77"/>
        <v>0</v>
      </c>
      <c r="AE226" s="2113">
        <f t="shared" si="78"/>
        <v>0</v>
      </c>
      <c r="AF226" s="2114">
        <f t="shared" si="79"/>
        <v>0</v>
      </c>
      <c r="AG226" s="2113"/>
      <c r="AH226" s="2113"/>
      <c r="AI226" s="2114">
        <f>Z226+'2024 Калуга+область перекачка'!Z226+'2024 Калуга+область очистка'!Z226</f>
        <v>0</v>
      </c>
      <c r="AJ226" s="2114">
        <f>AA226+'2024 Калуга+область перекачка'!AA226+'2024 Калуга+область очистка'!AA226</f>
        <v>0</v>
      </c>
      <c r="AK226" s="2114">
        <f>AB226+'2024 Калуга+область перекачка'!AB226+'2024 Калуга+область очистка'!AB226</f>
        <v>0</v>
      </c>
      <c r="AL226" s="2114">
        <f>расчет_тарифа_К_!O227</f>
        <v>0</v>
      </c>
      <c r="AM226" s="2593">
        <f t="shared" si="80"/>
        <v>0</v>
      </c>
    </row>
    <row r="227" spans="1:39" s="2218" customFormat="1" ht="30.75" hidden="1" customHeight="1">
      <c r="A227" s="2235">
        <v>167</v>
      </c>
      <c r="B227" s="2281" t="s">
        <v>2076</v>
      </c>
      <c r="C227" s="2282" t="s">
        <v>2077</v>
      </c>
      <c r="D227" s="2283" t="s">
        <v>1317</v>
      </c>
      <c r="E227" s="2284"/>
      <c r="F227" s="2285"/>
      <c r="G227" s="2257">
        <f t="shared" si="89"/>
        <v>0</v>
      </c>
      <c r="H227" s="2285"/>
      <c r="I227" s="2285"/>
      <c r="J227" s="2257">
        <f t="shared" si="90"/>
        <v>0</v>
      </c>
      <c r="K227" s="2285"/>
      <c r="L227" s="2285"/>
      <c r="M227" s="2259">
        <f t="shared" si="91"/>
        <v>0</v>
      </c>
      <c r="N227" s="2284"/>
      <c r="O227" s="2285"/>
      <c r="P227" s="2259">
        <f t="shared" si="85"/>
        <v>0</v>
      </c>
      <c r="Q227" s="2284">
        <v>0</v>
      </c>
      <c r="R227" s="2285">
        <v>0</v>
      </c>
      <c r="S227" s="2259">
        <f t="shared" si="86"/>
        <v>0</v>
      </c>
      <c r="T227" s="2255">
        <f t="shared" si="92"/>
        <v>0</v>
      </c>
      <c r="U227" s="2256">
        <f t="shared" si="92"/>
        <v>0</v>
      </c>
      <c r="V227" s="2268">
        <f t="shared" si="73"/>
        <v>0</v>
      </c>
      <c r="W227" s="2377">
        <f t="shared" si="88"/>
        <v>0</v>
      </c>
      <c r="X227" s="2256">
        <f t="shared" si="88"/>
        <v>0</v>
      </c>
      <c r="Y227" s="2268">
        <f t="shared" si="74"/>
        <v>0</v>
      </c>
      <c r="Z227" s="2886">
        <f t="shared" si="82"/>
        <v>0</v>
      </c>
      <c r="AA227" s="2887">
        <f t="shared" si="82"/>
        <v>0</v>
      </c>
      <c r="AB227" s="2268">
        <f t="shared" si="75"/>
        <v>0</v>
      </c>
      <c r="AC227" s="2113">
        <f t="shared" si="76"/>
        <v>0</v>
      </c>
      <c r="AD227" s="2114">
        <f t="shared" si="77"/>
        <v>0</v>
      </c>
      <c r="AE227" s="2113">
        <f t="shared" si="78"/>
        <v>0</v>
      </c>
      <c r="AF227" s="2114">
        <f t="shared" si="79"/>
        <v>0</v>
      </c>
      <c r="AG227" s="2113"/>
      <c r="AH227" s="2113"/>
      <c r="AI227" s="2114">
        <f>Z227+'2024 Калуга+область перекачка'!Z227+'2024 Калуга+область очистка'!Z227</f>
        <v>0</v>
      </c>
      <c r="AJ227" s="2114">
        <f>AA227+'2024 Калуга+область перекачка'!AA227+'2024 Калуга+область очистка'!AA227</f>
        <v>0</v>
      </c>
      <c r="AK227" s="2114">
        <f>AB227+'2024 Калуга+область перекачка'!AB227+'2024 Калуга+область очистка'!AB227</f>
        <v>0</v>
      </c>
      <c r="AL227" s="2114">
        <f>расчет_тарифа_К_!O228</f>
        <v>0</v>
      </c>
      <c r="AM227" s="2593">
        <f t="shared" si="80"/>
        <v>0</v>
      </c>
    </row>
    <row r="228" spans="1:39" s="2218" customFormat="1" ht="63" hidden="1" customHeight="1">
      <c r="A228" s="2235">
        <v>168</v>
      </c>
      <c r="B228" s="2281" t="s">
        <v>2078</v>
      </c>
      <c r="C228" s="2282" t="s">
        <v>2079</v>
      </c>
      <c r="D228" s="2283" t="s">
        <v>1317</v>
      </c>
      <c r="E228" s="2284"/>
      <c r="F228" s="2285"/>
      <c r="G228" s="2257">
        <f t="shared" si="89"/>
        <v>0</v>
      </c>
      <c r="H228" s="2285"/>
      <c r="I228" s="2285"/>
      <c r="J228" s="2257">
        <f t="shared" si="90"/>
        <v>0</v>
      </c>
      <c r="K228" s="2285"/>
      <c r="L228" s="2285"/>
      <c r="M228" s="2259">
        <f t="shared" si="91"/>
        <v>0</v>
      </c>
      <c r="N228" s="2284"/>
      <c r="O228" s="2285"/>
      <c r="P228" s="2259">
        <f t="shared" si="85"/>
        <v>0</v>
      </c>
      <c r="Q228" s="2284">
        <v>0</v>
      </c>
      <c r="R228" s="2285">
        <v>0</v>
      </c>
      <c r="S228" s="2259">
        <f t="shared" si="86"/>
        <v>0</v>
      </c>
      <c r="T228" s="2255">
        <f t="shared" si="92"/>
        <v>0</v>
      </c>
      <c r="U228" s="2256">
        <f t="shared" si="92"/>
        <v>0</v>
      </c>
      <c r="V228" s="2268">
        <f t="shared" si="73"/>
        <v>0</v>
      </c>
      <c r="W228" s="2377">
        <f t="shared" si="88"/>
        <v>0</v>
      </c>
      <c r="X228" s="2256">
        <f t="shared" si="88"/>
        <v>0</v>
      </c>
      <c r="Y228" s="2268">
        <f t="shared" si="74"/>
        <v>0</v>
      </c>
      <c r="Z228" s="2886">
        <f t="shared" si="82"/>
        <v>0</v>
      </c>
      <c r="AA228" s="2887">
        <f t="shared" si="82"/>
        <v>0</v>
      </c>
      <c r="AB228" s="2268">
        <f t="shared" si="75"/>
        <v>0</v>
      </c>
      <c r="AC228" s="2113">
        <f t="shared" si="76"/>
        <v>0</v>
      </c>
      <c r="AD228" s="2114">
        <f t="shared" si="77"/>
        <v>0</v>
      </c>
      <c r="AE228" s="2113">
        <f t="shared" si="78"/>
        <v>0</v>
      </c>
      <c r="AF228" s="2114">
        <f t="shared" si="79"/>
        <v>0</v>
      </c>
      <c r="AG228" s="2113"/>
      <c r="AH228" s="2113"/>
      <c r="AI228" s="2114">
        <f>Z228+'2024 Калуга+область перекачка'!Z228+'2024 Калуга+область очистка'!Z228</f>
        <v>0</v>
      </c>
      <c r="AJ228" s="2114">
        <f>AA228+'2024 Калуга+область перекачка'!AA228+'2024 Калуга+область очистка'!AA228</f>
        <v>0</v>
      </c>
      <c r="AK228" s="2114">
        <f>AB228+'2024 Калуга+область перекачка'!AB228+'2024 Калуга+область очистка'!AB228</f>
        <v>0</v>
      </c>
      <c r="AL228" s="2114">
        <f>расчет_тарифа_К_!O229</f>
        <v>0</v>
      </c>
      <c r="AM228" s="2593">
        <f t="shared" si="80"/>
        <v>0</v>
      </c>
    </row>
    <row r="229" spans="1:39" s="2218" customFormat="1" ht="31.5" customHeight="1" thickBot="1">
      <c r="A229" s="2235">
        <v>13</v>
      </c>
      <c r="B229" s="2279" t="s">
        <v>142</v>
      </c>
      <c r="C229" s="2295" t="s">
        <v>2080</v>
      </c>
      <c r="D229" s="2254" t="s">
        <v>1313</v>
      </c>
      <c r="E229" s="2255">
        <f>E230+E231</f>
        <v>13.912778587197396</v>
      </c>
      <c r="F229" s="2256">
        <f>F230+F231</f>
        <v>13.912778587197396</v>
      </c>
      <c r="G229" s="2257">
        <f t="shared" si="89"/>
        <v>13.912778587197396</v>
      </c>
      <c r="H229" s="2256">
        <f>H230+H231</f>
        <v>190.02895658196658</v>
      </c>
      <c r="I229" s="2256">
        <f>I230+I231</f>
        <v>190.02895658196658</v>
      </c>
      <c r="J229" s="2257">
        <f t="shared" si="90"/>
        <v>190.02895658196658</v>
      </c>
      <c r="K229" s="2256">
        <f>K230+K231</f>
        <v>299.17216203372652</v>
      </c>
      <c r="L229" s="2256">
        <f>L230+L231</f>
        <v>299.17216203372652</v>
      </c>
      <c r="M229" s="2259">
        <f t="shared" si="91"/>
        <v>299.17216203372652</v>
      </c>
      <c r="N229" s="2255">
        <v>0</v>
      </c>
      <c r="O229" s="2256">
        <v>0</v>
      </c>
      <c r="P229" s="2259">
        <f t="shared" si="85"/>
        <v>0</v>
      </c>
      <c r="Q229" s="2255">
        <v>0</v>
      </c>
      <c r="R229" s="2256">
        <v>0</v>
      </c>
      <c r="S229" s="2259">
        <f t="shared" si="86"/>
        <v>0</v>
      </c>
      <c r="T229" s="2255">
        <f t="shared" si="92"/>
        <v>0</v>
      </c>
      <c r="U229" s="2256">
        <f t="shared" si="92"/>
        <v>0</v>
      </c>
      <c r="V229" s="2268">
        <f t="shared" si="73"/>
        <v>0</v>
      </c>
      <c r="W229" s="2377">
        <f t="shared" si="88"/>
        <v>0</v>
      </c>
      <c r="X229" s="2256">
        <f t="shared" si="88"/>
        <v>0</v>
      </c>
      <c r="Y229" s="2268">
        <f t="shared" si="74"/>
        <v>0</v>
      </c>
      <c r="Z229" s="2886">
        <f t="shared" si="82"/>
        <v>0</v>
      </c>
      <c r="AA229" s="2887">
        <f t="shared" si="82"/>
        <v>0</v>
      </c>
      <c r="AB229" s="2268">
        <f t="shared" si="75"/>
        <v>0</v>
      </c>
      <c r="AC229" s="2113">
        <f t="shared" si="76"/>
        <v>0</v>
      </c>
      <c r="AD229" s="2114">
        <f t="shared" si="77"/>
        <v>0</v>
      </c>
      <c r="AE229" s="2113">
        <f t="shared" si="78"/>
        <v>0</v>
      </c>
      <c r="AF229" s="2114">
        <f t="shared" si="79"/>
        <v>0</v>
      </c>
      <c r="AG229" s="2113"/>
      <c r="AH229" s="2113"/>
      <c r="AI229" s="2114">
        <f>Z229+'2024 Калуга+область перекачка'!Z229+'2024 Калуга+область очистка'!Z229</f>
        <v>0</v>
      </c>
      <c r="AJ229" s="2114">
        <f>AA229+'2024 Калуга+область перекачка'!AA229+'2024 Калуга+область очистка'!AA229</f>
        <v>0</v>
      </c>
      <c r="AK229" s="2114">
        <f>AB229+'2024 Калуга+область перекачка'!AB229+'2024 Калуга+область очистка'!AB229</f>
        <v>0</v>
      </c>
      <c r="AL229" s="2114">
        <f>расчет_тарифа_К_!O230</f>
        <v>0</v>
      </c>
      <c r="AM229" s="2593">
        <f t="shared" si="80"/>
        <v>0</v>
      </c>
    </row>
    <row r="230" spans="1:39" s="2218" customFormat="1" ht="20.25" hidden="1" customHeight="1">
      <c r="A230" s="2235">
        <v>14</v>
      </c>
      <c r="B230" s="2281" t="s">
        <v>2081</v>
      </c>
      <c r="C230" s="2282" t="s">
        <v>2082</v>
      </c>
      <c r="D230" s="2283" t="s">
        <v>1313</v>
      </c>
      <c r="E230" s="2284"/>
      <c r="F230" s="2285"/>
      <c r="G230" s="2257">
        <f t="shared" si="89"/>
        <v>0</v>
      </c>
      <c r="H230" s="2285"/>
      <c r="I230" s="2285"/>
      <c r="J230" s="2257">
        <f t="shared" si="90"/>
        <v>0</v>
      </c>
      <c r="K230" s="2285"/>
      <c r="L230" s="2285"/>
      <c r="M230" s="2259">
        <f t="shared" si="91"/>
        <v>0</v>
      </c>
      <c r="N230" s="2284"/>
      <c r="O230" s="2285"/>
      <c r="P230" s="2259">
        <f t="shared" si="85"/>
        <v>0</v>
      </c>
      <c r="Q230" s="2284">
        <v>0</v>
      </c>
      <c r="R230" s="2285">
        <v>0</v>
      </c>
      <c r="S230" s="2259">
        <f t="shared" si="86"/>
        <v>0</v>
      </c>
      <c r="T230" s="2284">
        <v>0</v>
      </c>
      <c r="U230" s="2285">
        <v>0</v>
      </c>
      <c r="V230" s="2268">
        <f t="shared" si="73"/>
        <v>0</v>
      </c>
      <c r="W230" s="2284">
        <v>0</v>
      </c>
      <c r="X230" s="2285">
        <v>0</v>
      </c>
      <c r="Y230" s="2268">
        <f t="shared" si="74"/>
        <v>0</v>
      </c>
      <c r="Z230" s="2284">
        <v>0</v>
      </c>
      <c r="AA230" s="2285">
        <v>0</v>
      </c>
      <c r="AB230" s="2268">
        <f t="shared" si="75"/>
        <v>0</v>
      </c>
      <c r="AC230" s="2113">
        <f t="shared" si="76"/>
        <v>0</v>
      </c>
      <c r="AD230" s="2114">
        <f t="shared" si="77"/>
        <v>0</v>
      </c>
      <c r="AE230" s="2113">
        <f t="shared" si="78"/>
        <v>0</v>
      </c>
      <c r="AF230" s="2114">
        <f t="shared" si="79"/>
        <v>0</v>
      </c>
      <c r="AG230" s="2113"/>
      <c r="AH230" s="2113"/>
      <c r="AI230" s="2114">
        <f>Z230+'2024 Калуга+область перекачка'!Z230+'2024 Калуга+область очистка'!Z230</f>
        <v>0</v>
      </c>
      <c r="AJ230" s="2114">
        <f>AA230+'2024 Калуга+область перекачка'!AA230+'2024 Калуга+область очистка'!AA230</f>
        <v>0</v>
      </c>
      <c r="AK230" s="2114">
        <f>AB230+'2024 Калуга+область перекачка'!AB230+'2024 Калуга+область очистка'!AB230</f>
        <v>0</v>
      </c>
      <c r="AL230" s="2114">
        <f>расчет_тарифа_К_!O231</f>
        <v>0</v>
      </c>
      <c r="AM230" s="2593">
        <f t="shared" si="80"/>
        <v>0</v>
      </c>
    </row>
    <row r="231" spans="1:39" s="2218" customFormat="1" ht="31.5" hidden="1" customHeight="1">
      <c r="A231" s="2235">
        <v>89</v>
      </c>
      <c r="B231" s="2297" t="s">
        <v>2083</v>
      </c>
      <c r="C231" s="2298" t="s">
        <v>1806</v>
      </c>
      <c r="D231" s="2299" t="s">
        <v>1313</v>
      </c>
      <c r="E231" s="2300">
        <f>'[3]НВВ тран-ка'!K530</f>
        <v>13.912778587197396</v>
      </c>
      <c r="F231" s="2301">
        <f>'[3]НВВ тран-ка'!L530</f>
        <v>13.912778587197396</v>
      </c>
      <c r="G231" s="2266">
        <f t="shared" si="89"/>
        <v>13.912778587197396</v>
      </c>
      <c r="H231" s="2301">
        <f>'[3]НВВ тран-ка'!T530</f>
        <v>190.02895658196658</v>
      </c>
      <c r="I231" s="2301">
        <f>'[3]НВВ тран-ка'!U530</f>
        <v>190.02895658196658</v>
      </c>
      <c r="J231" s="2266">
        <f t="shared" si="90"/>
        <v>190.02895658196658</v>
      </c>
      <c r="K231" s="2301">
        <f>'[3]НВВ тран-ка'!AC530</f>
        <v>299.17216203372652</v>
      </c>
      <c r="L231" s="2301">
        <f>'[3]НВВ тран-ка'!AD530</f>
        <v>299.17216203372652</v>
      </c>
      <c r="M231" s="2268">
        <f t="shared" si="91"/>
        <v>299.17216203372652</v>
      </c>
      <c r="N231" s="2300"/>
      <c r="O231" s="2301"/>
      <c r="P231" s="2268">
        <f t="shared" si="85"/>
        <v>0</v>
      </c>
      <c r="Q231" s="2300">
        <v>0</v>
      </c>
      <c r="R231" s="2301">
        <v>0</v>
      </c>
      <c r="S231" s="2268">
        <f t="shared" si="86"/>
        <v>0</v>
      </c>
      <c r="T231" s="2300">
        <v>0</v>
      </c>
      <c r="U231" s="2301">
        <v>0</v>
      </c>
      <c r="V231" s="2268">
        <f t="shared" si="73"/>
        <v>0</v>
      </c>
      <c r="W231" s="2300">
        <v>0</v>
      </c>
      <c r="X231" s="2301">
        <v>0</v>
      </c>
      <c r="Y231" s="2268">
        <f t="shared" si="74"/>
        <v>0</v>
      </c>
      <c r="Z231" s="2300">
        <v>0</v>
      </c>
      <c r="AA231" s="2301">
        <v>0</v>
      </c>
      <c r="AB231" s="2268">
        <f t="shared" si="75"/>
        <v>0</v>
      </c>
      <c r="AC231" s="2113">
        <f t="shared" si="76"/>
        <v>0</v>
      </c>
      <c r="AD231" s="2114">
        <f t="shared" si="77"/>
        <v>0</v>
      </c>
      <c r="AE231" s="2113">
        <f t="shared" si="78"/>
        <v>0</v>
      </c>
      <c r="AF231" s="2114">
        <f t="shared" si="79"/>
        <v>0</v>
      </c>
      <c r="AG231" s="2113"/>
      <c r="AH231" s="2113"/>
      <c r="AI231" s="2114">
        <f>Z231+'2024 Калуга+область перекачка'!Z231+'2024 Калуга+область очистка'!Z231</f>
        <v>0</v>
      </c>
      <c r="AJ231" s="2114">
        <f>AA231+'2024 Калуга+область перекачка'!AA231+'2024 Калуга+область очистка'!AA231</f>
        <v>0</v>
      </c>
      <c r="AK231" s="2114">
        <f>AB231+'2024 Калуга+область перекачка'!AB231+'2024 Калуга+область очистка'!AB231</f>
        <v>0</v>
      </c>
      <c r="AL231" s="2114">
        <f>расчет_тарифа_К_!O232</f>
        <v>0</v>
      </c>
      <c r="AM231" s="2593">
        <f t="shared" si="80"/>
        <v>0</v>
      </c>
    </row>
    <row r="232" spans="1:39" s="2218" customFormat="1" ht="141.75" hidden="1" customHeight="1">
      <c r="A232" s="2235"/>
      <c r="B232" s="2391" t="s">
        <v>137</v>
      </c>
      <c r="C232" s="2392" t="s">
        <v>15031</v>
      </c>
      <c r="D232" s="2299" t="s">
        <v>1313</v>
      </c>
      <c r="E232" s="2301">
        <f>'[3]НВВ тран-ка'!K525</f>
        <v>2360.76039193621</v>
      </c>
      <c r="F232" s="2301">
        <f>'[3]НВВ тран-ка'!L525</f>
        <v>2360.76039193621</v>
      </c>
      <c r="G232" s="2266">
        <f t="shared" si="89"/>
        <v>2360.76039193621</v>
      </c>
      <c r="H232" s="2301">
        <f>'[3]НВВ тран-ка'!T525</f>
        <v>2713.0813813825589</v>
      </c>
      <c r="I232" s="2301">
        <f>'[3]НВВ тран-ка'!U525</f>
        <v>2713.0813813825589</v>
      </c>
      <c r="J232" s="2266">
        <f t="shared" si="90"/>
        <v>2713.0813813825589</v>
      </c>
      <c r="K232" s="2301">
        <f>'[3]НВВ тран-ка'!AC525</f>
        <v>3057.7411219819182</v>
      </c>
      <c r="L232" s="2301">
        <f>'[3]НВВ тран-ка'!AD525</f>
        <v>3057.7411219819182</v>
      </c>
      <c r="M232" s="2268">
        <f t="shared" si="91"/>
        <v>3057.7411219819182</v>
      </c>
      <c r="N232" s="2301"/>
      <c r="O232" s="2301"/>
      <c r="P232" s="2268">
        <f t="shared" si="85"/>
        <v>0</v>
      </c>
      <c r="Q232" s="2300">
        <v>0</v>
      </c>
      <c r="R232" s="2301">
        <v>0</v>
      </c>
      <c r="S232" s="2268">
        <f t="shared" si="86"/>
        <v>0</v>
      </c>
      <c r="T232" s="2300">
        <v>0</v>
      </c>
      <c r="U232" s="2301">
        <v>0</v>
      </c>
      <c r="V232" s="2268">
        <f t="shared" si="73"/>
        <v>0</v>
      </c>
      <c r="W232" s="2300">
        <v>0</v>
      </c>
      <c r="X232" s="2301">
        <v>0</v>
      </c>
      <c r="Y232" s="2268">
        <f t="shared" si="74"/>
        <v>0</v>
      </c>
      <c r="Z232" s="2300">
        <v>0</v>
      </c>
      <c r="AA232" s="2301">
        <v>0</v>
      </c>
      <c r="AB232" s="2268">
        <f t="shared" si="75"/>
        <v>0</v>
      </c>
      <c r="AC232" s="2113">
        <f t="shared" si="76"/>
        <v>0</v>
      </c>
      <c r="AD232" s="2114">
        <f t="shared" si="77"/>
        <v>0</v>
      </c>
      <c r="AE232" s="2113">
        <f t="shared" si="78"/>
        <v>0</v>
      </c>
      <c r="AF232" s="2114">
        <f t="shared" si="79"/>
        <v>0</v>
      </c>
      <c r="AG232" s="2113"/>
      <c r="AH232" s="2113"/>
      <c r="AI232" s="2114">
        <f>Z232+'2024 Калуга+область перекачка'!Z232+'2024 Калуга+область очистка'!Z232</f>
        <v>0</v>
      </c>
      <c r="AJ232" s="2114">
        <f>AA232+'2024 Калуга+область перекачка'!AA232+'2024 Калуга+область очистка'!AA232</f>
        <v>0</v>
      </c>
      <c r="AK232" s="2114">
        <f>AB232+'2024 Калуга+область перекачка'!AB232+'2024 Калуга+область очистка'!AB232</f>
        <v>0</v>
      </c>
      <c r="AL232" s="2114">
        <f>расчет_тарифа_К_!O233</f>
        <v>0</v>
      </c>
      <c r="AM232" s="2593">
        <f t="shared" si="80"/>
        <v>0</v>
      </c>
    </row>
    <row r="233" spans="1:39" s="2218" customFormat="1" ht="31.5" hidden="1" customHeight="1">
      <c r="A233" s="2235"/>
      <c r="B233" s="2393" t="s">
        <v>15032</v>
      </c>
      <c r="C233" s="2293" t="s">
        <v>15033</v>
      </c>
      <c r="D233" s="2299" t="s">
        <v>1313</v>
      </c>
      <c r="E233" s="2285"/>
      <c r="F233" s="2285"/>
      <c r="G233" s="2257"/>
      <c r="H233" s="2285"/>
      <c r="I233" s="2285"/>
      <c r="J233" s="2257"/>
      <c r="K233" s="2285"/>
      <c r="L233" s="2285"/>
      <c r="M233" s="2257"/>
      <c r="N233" s="2285"/>
      <c r="O233" s="2285"/>
      <c r="P233" s="2257"/>
      <c r="Q233" s="2284">
        <v>0</v>
      </c>
      <c r="R233" s="2285">
        <v>0</v>
      </c>
      <c r="S233" s="2257"/>
      <c r="T233" s="2284">
        <v>0</v>
      </c>
      <c r="U233" s="2285">
        <v>0</v>
      </c>
      <c r="V233" s="2268">
        <f t="shared" si="73"/>
        <v>0</v>
      </c>
      <c r="W233" s="2284">
        <v>0</v>
      </c>
      <c r="X233" s="2285">
        <v>0</v>
      </c>
      <c r="Y233" s="2268">
        <f t="shared" si="74"/>
        <v>0</v>
      </c>
      <c r="Z233" s="2284">
        <v>0</v>
      </c>
      <c r="AA233" s="2285">
        <v>0</v>
      </c>
      <c r="AB233" s="2268">
        <f t="shared" si="75"/>
        <v>0</v>
      </c>
      <c r="AC233" s="2113">
        <f t="shared" si="76"/>
        <v>0</v>
      </c>
      <c r="AD233" s="2114">
        <f t="shared" si="77"/>
        <v>0</v>
      </c>
      <c r="AE233" s="2113">
        <f t="shared" si="78"/>
        <v>0</v>
      </c>
      <c r="AF233" s="2114">
        <f t="shared" si="79"/>
        <v>0</v>
      </c>
      <c r="AG233" s="2113"/>
      <c r="AH233" s="2113"/>
      <c r="AI233" s="2114">
        <f>Z233+'2024 Калуга+область перекачка'!Z233+'2024 Калуга+область очистка'!Z233</f>
        <v>0</v>
      </c>
      <c r="AJ233" s="2114">
        <f>AA233+'2024 Калуга+область перекачка'!AA233+'2024 Калуга+область очистка'!AA233</f>
        <v>0</v>
      </c>
      <c r="AK233" s="2114">
        <f>AB233+'2024 Калуга+область перекачка'!AB233+'2024 Калуга+область очистка'!AB233</f>
        <v>0</v>
      </c>
      <c r="AL233" s="2114">
        <f>расчет_тарифа_К_!O234</f>
        <v>0</v>
      </c>
      <c r="AM233" s="2593">
        <f t="shared" si="80"/>
        <v>0</v>
      </c>
    </row>
    <row r="234" spans="1:39" s="2218" customFormat="1" ht="63" hidden="1" customHeight="1">
      <c r="A234" s="2235"/>
      <c r="B234" s="2393" t="s">
        <v>15034</v>
      </c>
      <c r="C234" s="2293" t="s">
        <v>15035</v>
      </c>
      <c r="D234" s="2299" t="s">
        <v>1313</v>
      </c>
      <c r="E234" s="2285"/>
      <c r="F234" s="2285"/>
      <c r="G234" s="2257"/>
      <c r="H234" s="2285"/>
      <c r="I234" s="2285"/>
      <c r="J234" s="2257"/>
      <c r="K234" s="2285"/>
      <c r="L234" s="2285"/>
      <c r="M234" s="2257"/>
      <c r="N234" s="2285"/>
      <c r="O234" s="2285"/>
      <c r="P234" s="2257"/>
      <c r="Q234" s="2284">
        <v>0</v>
      </c>
      <c r="R234" s="2285">
        <v>0</v>
      </c>
      <c r="S234" s="2257"/>
      <c r="T234" s="2284">
        <v>0</v>
      </c>
      <c r="U234" s="2285">
        <v>0</v>
      </c>
      <c r="V234" s="2268">
        <f t="shared" si="73"/>
        <v>0</v>
      </c>
      <c r="W234" s="2284">
        <v>0</v>
      </c>
      <c r="X234" s="2285">
        <v>0</v>
      </c>
      <c r="Y234" s="2268">
        <f t="shared" si="74"/>
        <v>0</v>
      </c>
      <c r="Z234" s="2284">
        <v>0</v>
      </c>
      <c r="AA234" s="2285">
        <v>0</v>
      </c>
      <c r="AB234" s="2268">
        <f t="shared" si="75"/>
        <v>0</v>
      </c>
      <c r="AC234" s="2113">
        <f t="shared" si="76"/>
        <v>0</v>
      </c>
      <c r="AD234" s="2114">
        <f t="shared" si="77"/>
        <v>0</v>
      </c>
      <c r="AE234" s="2113">
        <f t="shared" si="78"/>
        <v>0</v>
      </c>
      <c r="AF234" s="2114">
        <f t="shared" si="79"/>
        <v>0</v>
      </c>
      <c r="AG234" s="2113"/>
      <c r="AH234" s="2113"/>
      <c r="AI234" s="2114">
        <f>Z234+'2024 Калуга+область перекачка'!Z234+'2024 Калуга+область очистка'!Z234</f>
        <v>0</v>
      </c>
      <c r="AJ234" s="2114">
        <f>AA234+'2024 Калуга+область перекачка'!AA234+'2024 Калуга+область очистка'!AA234</f>
        <v>0</v>
      </c>
      <c r="AK234" s="2114">
        <f>AB234+'2024 Калуга+область перекачка'!AB234+'2024 Калуга+область очистка'!AB234</f>
        <v>0</v>
      </c>
      <c r="AL234" s="2114">
        <f>расчет_тарифа_К_!O235</f>
        <v>0</v>
      </c>
      <c r="AM234" s="2593">
        <f t="shared" si="80"/>
        <v>0</v>
      </c>
    </row>
    <row r="235" spans="1:39" s="2218" customFormat="1" ht="30" customHeight="1" thickBot="1">
      <c r="A235" s="2235">
        <v>147</v>
      </c>
      <c r="B235" s="2394">
        <v>2</v>
      </c>
      <c r="C235" s="2395" t="s">
        <v>2084</v>
      </c>
      <c r="D235" s="2396" t="s">
        <v>1317</v>
      </c>
      <c r="E235" s="2397">
        <f>E236</f>
        <v>19687.912520000002</v>
      </c>
      <c r="F235" s="2398">
        <f>F236</f>
        <v>19687.912520000002</v>
      </c>
      <c r="G235" s="2399">
        <f t="shared" si="89"/>
        <v>19687.912520000002</v>
      </c>
      <c r="H235" s="2398">
        <f>H236</f>
        <v>19973.405415000005</v>
      </c>
      <c r="I235" s="2398">
        <f>I236</f>
        <v>19973.405415000005</v>
      </c>
      <c r="J235" s="2399">
        <f t="shared" si="90"/>
        <v>19973.405415000005</v>
      </c>
      <c r="K235" s="2398">
        <f>K236</f>
        <v>33111.395136959174</v>
      </c>
      <c r="L235" s="2398">
        <f>L236</f>
        <v>33111.395136959174</v>
      </c>
      <c r="M235" s="2399">
        <f t="shared" si="91"/>
        <v>33111.395136959174</v>
      </c>
      <c r="N235" s="2397">
        <v>0</v>
      </c>
      <c r="O235" s="2398">
        <v>22717.514405662154</v>
      </c>
      <c r="P235" s="2399">
        <f>N235/2+O235/2</f>
        <v>11358.757202831077</v>
      </c>
      <c r="Q235" s="2397">
        <v>0</v>
      </c>
      <c r="R235" s="2398">
        <v>23638.997704323778</v>
      </c>
      <c r="S235" s="2399">
        <f>Q235/2+R235/2</f>
        <v>11819.498852161889</v>
      </c>
      <c r="T235" s="2372">
        <f>T236</f>
        <v>0</v>
      </c>
      <c r="U235" s="2373">
        <f>U236</f>
        <v>46356.512109985932</v>
      </c>
      <c r="V235" s="2399">
        <f t="shared" si="73"/>
        <v>23178.256054992966</v>
      </c>
      <c r="W235" s="2372">
        <f>W236</f>
        <v>0</v>
      </c>
      <c r="X235" s="2373">
        <f>X236</f>
        <v>0</v>
      </c>
      <c r="Y235" s="2399">
        <f t="shared" si="74"/>
        <v>0</v>
      </c>
      <c r="Z235" s="2372">
        <f>Z236</f>
        <v>0</v>
      </c>
      <c r="AA235" s="2373">
        <f>AA236</f>
        <v>0</v>
      </c>
      <c r="AB235" s="2399">
        <f t="shared" si="75"/>
        <v>0</v>
      </c>
      <c r="AC235" s="2113">
        <f t="shared" si="76"/>
        <v>10429.193367946818</v>
      </c>
      <c r="AD235" s="2114">
        <f t="shared" si="77"/>
        <v>10429.193367946818</v>
      </c>
      <c r="AE235" s="2113">
        <f t="shared" si="78"/>
        <v>35927.318742039104</v>
      </c>
      <c r="AF235" s="2114">
        <f t="shared" si="79"/>
        <v>35927.318742039104</v>
      </c>
      <c r="AG235" s="2113"/>
      <c r="AH235" s="2113"/>
      <c r="AI235" s="2114">
        <f>Z235+'2024 Калуга+область перекачка'!Z235+'2024 Калуга+область очистка'!Z235</f>
        <v>44933.643366098644</v>
      </c>
      <c r="AJ235" s="2114">
        <f>AA235+'2024 Калуга+область перекачка'!AA235+'2024 Калуга+область очистка'!AA235</f>
        <v>0</v>
      </c>
      <c r="AK235" s="2114">
        <f>AB235+'2024 Калуга+область перекачка'!AB235+'2024 Калуга+область очистка'!AB235</f>
        <v>22466.821683049322</v>
      </c>
      <c r="AL235" s="2114">
        <f>расчет_тарифа_К_!O236</f>
        <v>0</v>
      </c>
      <c r="AM235" s="2593">
        <f t="shared" si="80"/>
        <v>0</v>
      </c>
    </row>
    <row r="236" spans="1:39" s="2218" customFormat="1" ht="63.75" thickBot="1">
      <c r="A236" s="2235">
        <v>148</v>
      </c>
      <c r="B236" s="2402" t="s">
        <v>1224</v>
      </c>
      <c r="C236" s="2403" t="s">
        <v>2085</v>
      </c>
      <c r="D236" s="2404" t="s">
        <v>1317</v>
      </c>
      <c r="E236" s="2405">
        <f>'[3]НВВ тран-ка'!K532</f>
        <v>19687.912520000002</v>
      </c>
      <c r="F236" s="2406">
        <f>'[3]НВВ тран-ка'!L532</f>
        <v>19687.912520000002</v>
      </c>
      <c r="G236" s="2407">
        <f t="shared" si="89"/>
        <v>19687.912520000002</v>
      </c>
      <c r="H236" s="2406">
        <f>'[3]НВВ тран-ка'!T532</f>
        <v>19973.405415000005</v>
      </c>
      <c r="I236" s="2406">
        <f>'[3]НВВ тран-ка'!U532</f>
        <v>19973.405415000005</v>
      </c>
      <c r="J236" s="2407">
        <f t="shared" si="90"/>
        <v>19973.405415000005</v>
      </c>
      <c r="K236" s="2406">
        <f>'[3]НВВ тран-ка'!AC532</f>
        <v>33111.395136959174</v>
      </c>
      <c r="L236" s="2406">
        <f>'[3]НВВ тран-ка'!AD532</f>
        <v>33111.395136959174</v>
      </c>
      <c r="M236" s="2410">
        <f t="shared" si="91"/>
        <v>33111.395136959174</v>
      </c>
      <c r="N236" s="2284"/>
      <c r="O236" s="2285">
        <v>22717.514405662154</v>
      </c>
      <c r="P236" s="2259">
        <f>N236/2+O236/2</f>
        <v>11358.757202831077</v>
      </c>
      <c r="Q236" s="2405">
        <v>0</v>
      </c>
      <c r="R236" s="2406">
        <v>23638.997704323778</v>
      </c>
      <c r="S236" s="2259">
        <f>Q236/2+R236/2</f>
        <v>11819.498852161889</v>
      </c>
      <c r="T236" s="2294">
        <f>N236+Q236</f>
        <v>0</v>
      </c>
      <c r="U236" s="2285">
        <f>O236+R236</f>
        <v>46356.512109985932</v>
      </c>
      <c r="V236" s="2268">
        <f t="shared" si="73"/>
        <v>23178.256054992966</v>
      </c>
      <c r="W236" s="2888">
        <f>T236/$T$272*$W$272</f>
        <v>0</v>
      </c>
      <c r="X236" s="2952"/>
      <c r="Y236" s="2268">
        <f t="shared" si="74"/>
        <v>0</v>
      </c>
      <c r="Z236" s="2888">
        <f>T236/$T$272*$Z$272</f>
        <v>0</v>
      </c>
      <c r="AA236" s="2952"/>
      <c r="AB236" s="2268">
        <f t="shared" si="75"/>
        <v>0</v>
      </c>
      <c r="AC236" s="2113">
        <f t="shared" si="76"/>
        <v>10429.193367946818</v>
      </c>
      <c r="AD236" s="2114">
        <f t="shared" si="77"/>
        <v>10429.193367946818</v>
      </c>
      <c r="AE236" s="2113">
        <f t="shared" si="78"/>
        <v>35927.318742039104</v>
      </c>
      <c r="AF236" s="2114">
        <f t="shared" si="79"/>
        <v>35927.318742039104</v>
      </c>
      <c r="AG236" s="2113"/>
      <c r="AH236" s="2113"/>
      <c r="AI236" s="2114">
        <f>Z236+'2024 Калуга+область перекачка'!Z236+'2024 Калуга+область очистка'!Z236</f>
        <v>44933.643366098644</v>
      </c>
      <c r="AJ236" s="2114">
        <f>AA236+'2024 Калуга+область перекачка'!AA236+'2024 Калуга+область очистка'!AA236</f>
        <v>0</v>
      </c>
      <c r="AK236" s="2114">
        <f>AB236+'2024 Калуга+область перекачка'!AB236+'2024 Калуга+область очистка'!AB236</f>
        <v>22466.821683049322</v>
      </c>
      <c r="AL236" s="2114">
        <f>расчет_тарифа_К_!O237</f>
        <v>0</v>
      </c>
      <c r="AM236" s="2593">
        <f t="shared" si="80"/>
        <v>0</v>
      </c>
    </row>
    <row r="237" spans="1:39" s="2218" customFormat="1" ht="35.25" customHeight="1" thickBot="1">
      <c r="A237" s="2235">
        <v>171</v>
      </c>
      <c r="B237" s="2412">
        <v>15</v>
      </c>
      <c r="C237" s="2318" t="s">
        <v>2088</v>
      </c>
      <c r="D237" s="2379" t="s">
        <v>1128</v>
      </c>
      <c r="E237" s="2070">
        <f>E238+E269</f>
        <v>4412.2865063339932</v>
      </c>
      <c r="F237" s="2413">
        <f>F238+F269</f>
        <v>4412.2865063339932</v>
      </c>
      <c r="G237" s="2071">
        <f t="shared" si="89"/>
        <v>4412.2865063339932</v>
      </c>
      <c r="H237" s="2413">
        <f>H238+H269</f>
        <v>3506.8995537779601</v>
      </c>
      <c r="I237" s="2413">
        <f>I238+I269</f>
        <v>3506.8995537779601</v>
      </c>
      <c r="J237" s="2071">
        <f t="shared" si="90"/>
        <v>3506.8995537779601</v>
      </c>
      <c r="K237" s="2413">
        <f>K238+K269</f>
        <v>3092.316749598147</v>
      </c>
      <c r="L237" s="2413">
        <f>L238+L269</f>
        <v>3092.316749598147</v>
      </c>
      <c r="M237" s="2071">
        <f t="shared" si="91"/>
        <v>3092.316749598147</v>
      </c>
      <c r="N237" s="2413">
        <f>N238+N269</f>
        <v>0</v>
      </c>
      <c r="O237" s="2413">
        <f>O238+O269</f>
        <v>4896.9350963504348</v>
      </c>
      <c r="P237" s="2071">
        <f t="shared" ref="P237:P268" si="93">N237/2+O237/2</f>
        <v>2448.4675481752174</v>
      </c>
      <c r="Q237" s="2413">
        <f>Q238+Q269</f>
        <v>0</v>
      </c>
      <c r="R237" s="2413">
        <f>R238+R269</f>
        <v>10504.6891443</v>
      </c>
      <c r="S237" s="2071">
        <f t="shared" ref="S237:S268" si="94">Q237/2+R237/2</f>
        <v>5252.3445721500002</v>
      </c>
      <c r="T237" s="2070">
        <f>T238+T269</f>
        <v>0</v>
      </c>
      <c r="U237" s="2413">
        <f t="shared" ref="U237:U242" si="95">O237+R237</f>
        <v>15401.624240650435</v>
      </c>
      <c r="V237" s="2071">
        <f t="shared" si="73"/>
        <v>7700.8121203252176</v>
      </c>
      <c r="W237" s="2945">
        <f>W238+W269</f>
        <v>0</v>
      </c>
      <c r="X237" s="2373">
        <f>X238+X269</f>
        <v>1101.702451404286</v>
      </c>
      <c r="Y237" s="2374">
        <f t="shared" si="74"/>
        <v>550.85122570214298</v>
      </c>
      <c r="Z237" s="2945">
        <f>Z238+Z269</f>
        <v>0</v>
      </c>
      <c r="AA237" s="2373">
        <f>AA238+AA269</f>
        <v>14299.921789246149</v>
      </c>
      <c r="AB237" s="2946">
        <f t="shared" si="75"/>
        <v>7149.9608946230746</v>
      </c>
      <c r="AC237" s="2113">
        <f t="shared" si="76"/>
        <v>3465.0259494307161</v>
      </c>
      <c r="AD237" s="2114">
        <f t="shared" si="77"/>
        <v>2363.3234980264301</v>
      </c>
      <c r="AE237" s="2113">
        <f t="shared" si="78"/>
        <v>11936.598291219718</v>
      </c>
      <c r="AF237" s="2114">
        <f t="shared" si="79"/>
        <v>-2363.3234980264315</v>
      </c>
      <c r="AG237" s="2113"/>
      <c r="AH237" s="2113"/>
      <c r="AI237" s="2114">
        <f>Z237+'2024 Калуга+область перекачка'!Z237+'2024 Калуга+область очистка'!Z237</f>
        <v>8375.5508778610965</v>
      </c>
      <c r="AJ237" s="2114">
        <f>AA237+'2024 Калуга+область перекачка'!AA237+'2024 Калуга+область очистка'!AA237</f>
        <v>27020.395900399293</v>
      </c>
      <c r="AK237" s="2114">
        <f>AB237+'2024 Калуга+область перекачка'!AB237+'2024 Калуга+область очистка'!AB237</f>
        <v>17697.973389130191</v>
      </c>
      <c r="AL237" s="2114">
        <f>расчет_тарифа_К_!O238</f>
        <v>27020.395900399286</v>
      </c>
      <c r="AM237" s="2593">
        <f t="shared" si="80"/>
        <v>0</v>
      </c>
    </row>
    <row r="238" spans="1:39" s="2218" customFormat="1" ht="25.5" customHeight="1">
      <c r="A238" s="2235">
        <v>172</v>
      </c>
      <c r="B238" s="2243" t="s">
        <v>2089</v>
      </c>
      <c r="C238" s="2414" t="s">
        <v>105</v>
      </c>
      <c r="D238" s="2245" t="s">
        <v>1128</v>
      </c>
      <c r="E238" s="2246">
        <f>E239+E240+E241</f>
        <v>4412.2865063339932</v>
      </c>
      <c r="F238" s="2247">
        <f>F239+F240+F241</f>
        <v>4412.2865063339932</v>
      </c>
      <c r="G238" s="2248">
        <f t="shared" si="89"/>
        <v>4412.2865063339932</v>
      </c>
      <c r="H238" s="2247">
        <f>H239+H240+H241</f>
        <v>3506.8995537779601</v>
      </c>
      <c r="I238" s="2247">
        <f>I239+I240+I241</f>
        <v>3506.8995537779601</v>
      </c>
      <c r="J238" s="2248">
        <f t="shared" si="90"/>
        <v>3506.8995537779601</v>
      </c>
      <c r="K238" s="2247">
        <f>K239+K240+K241</f>
        <v>3092.316749598147</v>
      </c>
      <c r="L238" s="2247">
        <f>L239+L240+L241</f>
        <v>3092.316749598147</v>
      </c>
      <c r="M238" s="2250">
        <f t="shared" si="91"/>
        <v>3092.316749598147</v>
      </c>
      <c r="N238" s="2247">
        <f>N239+N240+N241</f>
        <v>0</v>
      </c>
      <c r="O238" s="2247">
        <f>O239+O240+O241</f>
        <v>4896.9350963504348</v>
      </c>
      <c r="P238" s="2250">
        <f t="shared" si="93"/>
        <v>2448.4675481752174</v>
      </c>
      <c r="Q238" s="2247">
        <f>Q239+Q240+Q241</f>
        <v>0</v>
      </c>
      <c r="R238" s="2247">
        <f>R239+R240+R241</f>
        <v>10504.6891443</v>
      </c>
      <c r="S238" s="2250">
        <f t="shared" si="94"/>
        <v>5252.3445721500002</v>
      </c>
      <c r="T238" s="2246">
        <f>T239+T240+T241+T242</f>
        <v>0</v>
      </c>
      <c r="U238" s="2247">
        <f t="shared" si="95"/>
        <v>15401.624240650435</v>
      </c>
      <c r="V238" s="2268">
        <f t="shared" si="73"/>
        <v>7700.8121203252176</v>
      </c>
      <c r="W238" s="2377">
        <f>W239+W240+W241</f>
        <v>0</v>
      </c>
      <c r="X238" s="2466">
        <f>X239+X240+X241</f>
        <v>1101.702451404286</v>
      </c>
      <c r="Y238" s="2268">
        <f t="shared" si="74"/>
        <v>550.85122570214298</v>
      </c>
      <c r="Z238" s="2377">
        <f>Z239+Z240+Z241</f>
        <v>0</v>
      </c>
      <c r="AA238" s="2466">
        <f>AA239+AA240+AA241</f>
        <v>14299.921789246149</v>
      </c>
      <c r="AB238" s="2268">
        <f t="shared" si="75"/>
        <v>7149.9608946230746</v>
      </c>
      <c r="AC238" s="2113">
        <f t="shared" si="76"/>
        <v>3465.0259494307161</v>
      </c>
      <c r="AD238" s="2114">
        <f t="shared" si="77"/>
        <v>2363.3234980264301</v>
      </c>
      <c r="AE238" s="2113">
        <f t="shared" si="78"/>
        <v>11936.598291219718</v>
      </c>
      <c r="AF238" s="2114">
        <f t="shared" si="79"/>
        <v>-2363.3234980264315</v>
      </c>
      <c r="AG238" s="2113"/>
      <c r="AH238" s="2113"/>
      <c r="AI238" s="2114">
        <f>Z238+'2024 Калуга+область перекачка'!Z238+'2024 Калуга+область очистка'!Z238</f>
        <v>8375.5508778610965</v>
      </c>
      <c r="AJ238" s="2114">
        <f>AA238+'2024 Калуга+область перекачка'!AA238+'2024 Калуга+область очистка'!AA238</f>
        <v>27020.395900399293</v>
      </c>
      <c r="AK238" s="2114">
        <f>AB238+'2024 Калуга+область перекачка'!AB238+'2024 Калуга+область очистка'!AB238</f>
        <v>17697.973389130191</v>
      </c>
      <c r="AL238" s="2114">
        <f>расчет_тарифа_К_!O239</f>
        <v>27020.395900399286</v>
      </c>
      <c r="AM238" s="2593">
        <f t="shared" si="80"/>
        <v>0</v>
      </c>
    </row>
    <row r="239" spans="1:39" s="2218" customFormat="1" ht="63">
      <c r="A239" s="2235">
        <v>196</v>
      </c>
      <c r="B239" s="2281" t="s">
        <v>2090</v>
      </c>
      <c r="C239" s="2282" t="s">
        <v>2091</v>
      </c>
      <c r="D239" s="2283" t="s">
        <v>1128</v>
      </c>
      <c r="E239" s="2284">
        <f>'[3]НВВ тран-ка'!K537</f>
        <v>3427.0606863339935</v>
      </c>
      <c r="F239" s="2285">
        <f>'[3]НВВ тран-ка'!L537</f>
        <v>3427.0606863339935</v>
      </c>
      <c r="G239" s="2257">
        <f t="shared" si="89"/>
        <v>3427.0606863339935</v>
      </c>
      <c r="H239" s="2285">
        <f>'[3]НВВ тран-ка'!T537</f>
        <v>3506.8995537779601</v>
      </c>
      <c r="I239" s="2285">
        <f>'[3]НВВ тран-ка'!U537</f>
        <v>3506.8995537779601</v>
      </c>
      <c r="J239" s="2257">
        <f t="shared" si="90"/>
        <v>3506.8995537779601</v>
      </c>
      <c r="K239" s="2285">
        <f>'[3]НВВ тран-ка'!AC537</f>
        <v>3092.316749598147</v>
      </c>
      <c r="L239" s="2285">
        <f>'[3]НВВ тран-ка'!AD537</f>
        <v>3092.316749598147</v>
      </c>
      <c r="M239" s="2259">
        <f t="shared" si="91"/>
        <v>3092.316749598147</v>
      </c>
      <c r="N239" s="2284"/>
      <c r="O239" s="2285">
        <f>4782.73418458853/1.047*1.072</f>
        <v>4896.9350963504348</v>
      </c>
      <c r="P239" s="2259">
        <f t="shared" si="93"/>
        <v>2448.4675481752174</v>
      </c>
      <c r="Q239" s="2294">
        <v>0</v>
      </c>
      <c r="R239" s="2285">
        <v>0</v>
      </c>
      <c r="S239" s="2259">
        <f t="shared" si="94"/>
        <v>0</v>
      </c>
      <c r="T239" s="2294">
        <f>N239+Q239</f>
        <v>0</v>
      </c>
      <c r="U239" s="2285">
        <f t="shared" si="95"/>
        <v>4896.9350963504348</v>
      </c>
      <c r="V239" s="2268">
        <f t="shared" si="73"/>
        <v>2448.4675481752174</v>
      </c>
      <c r="W239" s="2888">
        <f>T239/$T$272*$W$272</f>
        <v>0</v>
      </c>
      <c r="X239" s="2889">
        <f>U239/$T$272*$W$272</f>
        <v>1101.702451404286</v>
      </c>
      <c r="Y239" s="2268">
        <f t="shared" si="74"/>
        <v>550.85122570214298</v>
      </c>
      <c r="Z239" s="2888">
        <f>T239/$T$272*$Z$272</f>
        <v>0</v>
      </c>
      <c r="AA239" s="2889">
        <f>U239/$T$272*$Z$272</f>
        <v>3795.232644946148</v>
      </c>
      <c r="AB239" s="2268">
        <f t="shared" si="75"/>
        <v>1897.616322473074</v>
      </c>
      <c r="AC239" s="2113">
        <f t="shared" si="76"/>
        <v>1101.702451404286</v>
      </c>
      <c r="AD239" s="2114">
        <f t="shared" si="77"/>
        <v>0</v>
      </c>
      <c r="AE239" s="2113">
        <f t="shared" si="78"/>
        <v>3795.232644946148</v>
      </c>
      <c r="AF239" s="2114">
        <f t="shared" si="79"/>
        <v>0</v>
      </c>
      <c r="AG239" s="2113"/>
      <c r="AH239" s="2113"/>
      <c r="AI239" s="2114">
        <f>Z239+'2024 Калуга+область перекачка'!Z239+'2024 Калуга+область очистка'!Z239</f>
        <v>8375.5508778610965</v>
      </c>
      <c r="AJ239" s="2114">
        <f>AA239+'2024 Калуга+область перекачка'!AA239+'2024 Калуга+область очистка'!AA239</f>
        <v>16515.706756099287</v>
      </c>
      <c r="AK239" s="2114">
        <f>AB239+'2024 Калуга+область перекачка'!AB239+'2024 Калуга+область очистка'!AB239</f>
        <v>12445.628816980192</v>
      </c>
      <c r="AL239" s="2114">
        <f>расчет_тарифа_К_!O240</f>
        <v>16515.706756099287</v>
      </c>
      <c r="AM239" s="2593">
        <f t="shared" si="80"/>
        <v>0</v>
      </c>
    </row>
    <row r="240" spans="1:39" s="2218" customFormat="1" ht="31.5">
      <c r="A240" s="2235">
        <v>15</v>
      </c>
      <c r="B240" s="2281" t="s">
        <v>2093</v>
      </c>
      <c r="C240" s="2282" t="s">
        <v>2094</v>
      </c>
      <c r="D240" s="2283" t="s">
        <v>1128</v>
      </c>
      <c r="E240" s="2284"/>
      <c r="F240" s="2285"/>
      <c r="G240" s="2257">
        <f t="shared" si="89"/>
        <v>0</v>
      </c>
      <c r="H240" s="2285"/>
      <c r="I240" s="2285"/>
      <c r="J240" s="2257">
        <f t="shared" si="90"/>
        <v>0</v>
      </c>
      <c r="K240" s="2285"/>
      <c r="L240" s="2285"/>
      <c r="M240" s="2259">
        <f t="shared" si="91"/>
        <v>0</v>
      </c>
      <c r="N240" s="2284"/>
      <c r="O240" s="2285"/>
      <c r="P240" s="2259">
        <f t="shared" si="93"/>
        <v>0</v>
      </c>
      <c r="Q240" s="2284">
        <v>0</v>
      </c>
      <c r="R240" s="2285">
        <v>0</v>
      </c>
      <c r="S240" s="2259">
        <f t="shared" si="94"/>
        <v>0</v>
      </c>
      <c r="T240" s="2294">
        <f>N240+Q240</f>
        <v>0</v>
      </c>
      <c r="U240" s="2285">
        <f t="shared" si="95"/>
        <v>0</v>
      </c>
      <c r="V240" s="2268">
        <f t="shared" si="73"/>
        <v>0</v>
      </c>
      <c r="W240" s="2888">
        <f>T240/$T$272*$W$272</f>
        <v>0</v>
      </c>
      <c r="X240" s="2889">
        <f>U240/$T$272*$W$272</f>
        <v>0</v>
      </c>
      <c r="Y240" s="2268">
        <f t="shared" si="74"/>
        <v>0</v>
      </c>
      <c r="Z240" s="2294">
        <f>T240+W240</f>
        <v>0</v>
      </c>
      <c r="AA240" s="2889">
        <f>U240/$T$272*$Z$272</f>
        <v>0</v>
      </c>
      <c r="AB240" s="2268">
        <f t="shared" si="75"/>
        <v>0</v>
      </c>
      <c r="AC240" s="2113">
        <f t="shared" si="76"/>
        <v>0</v>
      </c>
      <c r="AD240" s="2114">
        <f t="shared" si="77"/>
        <v>0</v>
      </c>
      <c r="AE240" s="2113">
        <f t="shared" si="78"/>
        <v>0</v>
      </c>
      <c r="AF240" s="2114">
        <f t="shared" si="79"/>
        <v>0</v>
      </c>
      <c r="AG240" s="2113"/>
      <c r="AH240" s="2113"/>
      <c r="AI240" s="2114">
        <f>Z240+'2024 Калуга+область перекачка'!Z240+'2024 Калуга+область очистка'!Z240</f>
        <v>0</v>
      </c>
      <c r="AJ240" s="2114">
        <f>AA240+'2024 Калуга+область перекачка'!AA240+'2024 Калуга+область очистка'!AA240</f>
        <v>0</v>
      </c>
      <c r="AK240" s="2114">
        <f>AB240+'2024 Калуга+область перекачка'!AB240+'2024 Калуга+область очистка'!AB240</f>
        <v>0</v>
      </c>
      <c r="AL240" s="2114">
        <f>расчет_тарифа_К_!O241</f>
        <v>0</v>
      </c>
      <c r="AM240" s="2593">
        <f t="shared" si="80"/>
        <v>0</v>
      </c>
    </row>
    <row r="241" spans="1:39" s="2218" customFormat="1" ht="21" customHeight="1" thickBot="1">
      <c r="A241" s="2235">
        <v>16</v>
      </c>
      <c r="B241" s="2415" t="s">
        <v>2095</v>
      </c>
      <c r="C241" s="2416" t="s">
        <v>2096</v>
      </c>
      <c r="D241" s="2417" t="s">
        <v>1128</v>
      </c>
      <c r="E241" s="2418">
        <f>E242</f>
        <v>985.22581999999977</v>
      </c>
      <c r="F241" s="2419">
        <f>F242</f>
        <v>985.22581999999977</v>
      </c>
      <c r="G241" s="2257">
        <f t="shared" si="89"/>
        <v>985.22581999999977</v>
      </c>
      <c r="H241" s="2419">
        <f>H242</f>
        <v>0</v>
      </c>
      <c r="I241" s="2419">
        <f>I242</f>
        <v>0</v>
      </c>
      <c r="J241" s="2257">
        <f t="shared" si="90"/>
        <v>0</v>
      </c>
      <c r="K241" s="2419">
        <f>K242</f>
        <v>0</v>
      </c>
      <c r="L241" s="2419">
        <f>L242</f>
        <v>0</v>
      </c>
      <c r="M241" s="2259">
        <f t="shared" si="91"/>
        <v>0</v>
      </c>
      <c r="N241" s="2418">
        <v>0</v>
      </c>
      <c r="O241" s="2419">
        <v>0</v>
      </c>
      <c r="P241" s="2259">
        <f t="shared" si="93"/>
        <v>0</v>
      </c>
      <c r="Q241" s="2418">
        <v>0</v>
      </c>
      <c r="R241" s="2419">
        <v>10504.6891443</v>
      </c>
      <c r="S241" s="2259">
        <f t="shared" si="94"/>
        <v>5252.3445721500002</v>
      </c>
      <c r="T241" s="2294">
        <f>N241+Q241</f>
        <v>0</v>
      </c>
      <c r="U241" s="2285">
        <f t="shared" si="95"/>
        <v>10504.6891443</v>
      </c>
      <c r="V241" s="2268">
        <f t="shared" si="73"/>
        <v>5252.3445721500002</v>
      </c>
      <c r="W241" s="2294">
        <f>N241</f>
        <v>0</v>
      </c>
      <c r="X241" s="2285">
        <f>O241</f>
        <v>0</v>
      </c>
      <c r="Y241" s="2268">
        <f t="shared" si="74"/>
        <v>0</v>
      </c>
      <c r="Z241" s="2294">
        <f>Q241</f>
        <v>0</v>
      </c>
      <c r="AA241" s="2285">
        <f>R241</f>
        <v>10504.6891443</v>
      </c>
      <c r="AB241" s="2268">
        <f t="shared" si="75"/>
        <v>5252.3445721500002</v>
      </c>
      <c r="AC241" s="2113">
        <f>U241/$U$272*$X$272</f>
        <v>2363.3234980264301</v>
      </c>
      <c r="AD241" s="2114">
        <f>AC241-X241</f>
        <v>2363.3234980264301</v>
      </c>
      <c r="AE241" s="2113">
        <f t="shared" si="78"/>
        <v>8141.3656462735689</v>
      </c>
      <c r="AF241" s="2114">
        <f t="shared" si="79"/>
        <v>-2363.3234980264315</v>
      </c>
      <c r="AG241" s="2113"/>
      <c r="AH241" s="2113"/>
      <c r="AI241" s="2114">
        <f>Z241+'2024 Калуга+область перекачка'!Z241+'2024 Калуга+область очистка'!Z241</f>
        <v>0</v>
      </c>
      <c r="AJ241" s="2114">
        <f>AA241+'2024 Калуга+область перекачка'!AA241+'2024 Калуга+область очистка'!AA241</f>
        <v>10504.6891443</v>
      </c>
      <c r="AK241" s="2114">
        <f>AB241+'2024 Калуга+область перекачка'!AB241+'2024 Калуга+область очистка'!AB241</f>
        <v>5252.3445721500002</v>
      </c>
      <c r="AL241" s="2114">
        <f>расчет_тарифа_К_!O242</f>
        <v>10504.6891443</v>
      </c>
      <c r="AM241" s="2593">
        <f t="shared" si="80"/>
        <v>0</v>
      </c>
    </row>
    <row r="242" spans="1:39" s="2218" customFormat="1" ht="26.25" customHeight="1">
      <c r="A242" s="2235">
        <v>17</v>
      </c>
      <c r="B242" s="2420" t="s">
        <v>2097</v>
      </c>
      <c r="C242" s="2421" t="s">
        <v>2098</v>
      </c>
      <c r="D242" s="2422" t="s">
        <v>1313</v>
      </c>
      <c r="E242" s="2255">
        <f>E243+E244+E245+E246+E247+E248+E249+E250</f>
        <v>985.22581999999977</v>
      </c>
      <c r="F242" s="2256">
        <f>F243+F244+F245+F246+F247+F248+F249+F250</f>
        <v>985.22581999999977</v>
      </c>
      <c r="G242" s="2257">
        <f t="shared" si="89"/>
        <v>985.22581999999977</v>
      </c>
      <c r="H242" s="2256">
        <f>H243+H244+H245+H246+H247+H248+H249+H250</f>
        <v>0</v>
      </c>
      <c r="I242" s="2256">
        <f>I243+I244+I245+I246+I247+I248+I249+I250</f>
        <v>0</v>
      </c>
      <c r="J242" s="2257">
        <f t="shared" si="90"/>
        <v>0</v>
      </c>
      <c r="K242" s="2256">
        <f>K243+K244+K245+K246+K247+K248+K249+K250</f>
        <v>0</v>
      </c>
      <c r="L242" s="2256">
        <f>L243+L244+L245+L246+L247+L248+L249+L250</f>
        <v>0</v>
      </c>
      <c r="M242" s="2259">
        <f t="shared" si="91"/>
        <v>0</v>
      </c>
      <c r="N242" s="2255">
        <v>0</v>
      </c>
      <c r="O242" s="2256">
        <v>0</v>
      </c>
      <c r="P242" s="2259">
        <f t="shared" si="93"/>
        <v>0</v>
      </c>
      <c r="Q242" s="2255">
        <v>0</v>
      </c>
      <c r="R242" s="2256">
        <v>10504.6891443</v>
      </c>
      <c r="S242" s="2259">
        <f t="shared" si="94"/>
        <v>5252.3445721500002</v>
      </c>
      <c r="T242" s="2246">
        <f>N242+Q242</f>
        <v>0</v>
      </c>
      <c r="U242" s="2247">
        <f t="shared" si="95"/>
        <v>10504.6891443</v>
      </c>
      <c r="V242" s="2268">
        <f t="shared" si="73"/>
        <v>5252.3445721500002</v>
      </c>
      <c r="W242" s="2246">
        <f>N242</f>
        <v>0</v>
      </c>
      <c r="X242" s="2247">
        <f>O242</f>
        <v>0</v>
      </c>
      <c r="Y242" s="2268">
        <f t="shared" si="74"/>
        <v>0</v>
      </c>
      <c r="Z242" s="2246">
        <f>T242+W242</f>
        <v>0</v>
      </c>
      <c r="AA242" s="2247">
        <f>U242+X242</f>
        <v>10504.6891443</v>
      </c>
      <c r="AB242" s="2268">
        <f t="shared" si="75"/>
        <v>5252.3445721500002</v>
      </c>
      <c r="AC242" s="2113">
        <f t="shared" si="76"/>
        <v>2363.3234980264301</v>
      </c>
      <c r="AD242" s="2114">
        <f t="shared" si="77"/>
        <v>2363.3234980264301</v>
      </c>
      <c r="AE242" s="2113">
        <f t="shared" si="78"/>
        <v>8141.3656462735689</v>
      </c>
      <c r="AF242" s="2114">
        <f t="shared" si="79"/>
        <v>-2363.3234980264315</v>
      </c>
      <c r="AG242" s="2113"/>
      <c r="AH242" s="2113"/>
      <c r="AI242" s="2114">
        <f>Z242+'2024 Калуга+область перекачка'!Z242+'2024 Калуга+область очистка'!Z242</f>
        <v>0</v>
      </c>
      <c r="AJ242" s="2114">
        <f>AA242+'2024 Калуга+область перекачка'!AA242+'2024 Калуга+область очистка'!AA242</f>
        <v>10504.6891443</v>
      </c>
      <c r="AK242" s="2114">
        <f>AB242+'2024 Калуга+область перекачка'!AB242+'2024 Калуга+область очистка'!AB242</f>
        <v>5252.3445721500002</v>
      </c>
      <c r="AL242" s="2114">
        <f>расчет_тарифа_К_!O243</f>
        <v>10504.6891443</v>
      </c>
      <c r="AM242" s="2593">
        <f t="shared" si="80"/>
        <v>0</v>
      </c>
    </row>
    <row r="243" spans="1:39" s="2218" customFormat="1" ht="26.25" hidden="1" customHeight="1">
      <c r="A243" s="2235">
        <v>18</v>
      </c>
      <c r="B243" s="2423" t="s">
        <v>2099</v>
      </c>
      <c r="C243" s="2424" t="s">
        <v>2100</v>
      </c>
      <c r="D243" s="2425" t="s">
        <v>1128</v>
      </c>
      <c r="E243" s="2284"/>
      <c r="F243" s="2285"/>
      <c r="G243" s="2257">
        <f t="shared" si="89"/>
        <v>0</v>
      </c>
      <c r="H243" s="2285"/>
      <c r="I243" s="2285"/>
      <c r="J243" s="2257">
        <f t="shared" si="90"/>
        <v>0</v>
      </c>
      <c r="K243" s="2285"/>
      <c r="L243" s="2285"/>
      <c r="M243" s="2259">
        <f t="shared" si="91"/>
        <v>0</v>
      </c>
      <c r="N243" s="2284"/>
      <c r="O243" s="2285"/>
      <c r="P243" s="2259">
        <f t="shared" si="93"/>
        <v>0</v>
      </c>
      <c r="Q243" s="2284">
        <v>0</v>
      </c>
      <c r="R243" s="2285">
        <v>0</v>
      </c>
      <c r="S243" s="2259">
        <f t="shared" si="94"/>
        <v>0</v>
      </c>
      <c r="T243" s="2284">
        <v>0</v>
      </c>
      <c r="U243" s="2285">
        <v>0</v>
      </c>
      <c r="V243" s="2268">
        <f t="shared" si="73"/>
        <v>0</v>
      </c>
      <c r="W243" s="2284">
        <v>0</v>
      </c>
      <c r="X243" s="2285">
        <v>0</v>
      </c>
      <c r="Y243" s="2268">
        <f t="shared" si="74"/>
        <v>0</v>
      </c>
      <c r="Z243" s="2284">
        <v>0</v>
      </c>
      <c r="AA243" s="2285">
        <v>0</v>
      </c>
      <c r="AB243" s="2268">
        <f t="shared" si="75"/>
        <v>0</v>
      </c>
      <c r="AC243" s="2113">
        <f t="shared" si="76"/>
        <v>0</v>
      </c>
      <c r="AD243" s="2114">
        <f t="shared" si="77"/>
        <v>0</v>
      </c>
      <c r="AE243" s="2113">
        <f t="shared" si="78"/>
        <v>0</v>
      </c>
      <c r="AF243" s="2114">
        <f t="shared" si="79"/>
        <v>0</v>
      </c>
      <c r="AG243" s="2113"/>
      <c r="AH243" s="2113"/>
      <c r="AI243" s="2114">
        <f>Z243+'2024 Калуга+область перекачка'!Z243+'2024 Калуга+область очистка'!Z243</f>
        <v>0</v>
      </c>
      <c r="AJ243" s="2114">
        <f>AA243+'2024 Калуга+область перекачка'!AA243+'2024 Калуга+область очистка'!AA243</f>
        <v>0</v>
      </c>
      <c r="AK243" s="2114">
        <f>AB243+'2024 Калуга+область перекачка'!AB243+'2024 Калуга+область очистка'!AB243</f>
        <v>0</v>
      </c>
      <c r="AL243" s="2114">
        <f>расчет_тарифа_К_!O244</f>
        <v>0</v>
      </c>
      <c r="AM243" s="2593">
        <f t="shared" si="80"/>
        <v>0</v>
      </c>
    </row>
    <row r="244" spans="1:39" s="2218" customFormat="1" ht="24" hidden="1" customHeight="1">
      <c r="A244" s="2235">
        <v>19</v>
      </c>
      <c r="B244" s="2423" t="s">
        <v>2101</v>
      </c>
      <c r="C244" s="2424" t="s">
        <v>2102</v>
      </c>
      <c r="D244" s="2425" t="s">
        <v>1313</v>
      </c>
      <c r="E244" s="2284"/>
      <c r="F244" s="2285"/>
      <c r="G244" s="2257">
        <f t="shared" si="89"/>
        <v>0</v>
      </c>
      <c r="H244" s="2285"/>
      <c r="I244" s="2285"/>
      <c r="J244" s="2257">
        <f t="shared" si="90"/>
        <v>0</v>
      </c>
      <c r="K244" s="2285"/>
      <c r="L244" s="2285"/>
      <c r="M244" s="2259">
        <f t="shared" si="91"/>
        <v>0</v>
      </c>
      <c r="N244" s="2284"/>
      <c r="O244" s="2285"/>
      <c r="P244" s="2259">
        <f t="shared" si="93"/>
        <v>0</v>
      </c>
      <c r="Q244" s="2284">
        <v>0</v>
      </c>
      <c r="R244" s="2285">
        <v>0</v>
      </c>
      <c r="S244" s="2259">
        <f t="shared" si="94"/>
        <v>0</v>
      </c>
      <c r="T244" s="2284">
        <v>0</v>
      </c>
      <c r="U244" s="2285">
        <v>0</v>
      </c>
      <c r="V244" s="2268">
        <f t="shared" si="73"/>
        <v>0</v>
      </c>
      <c r="W244" s="2284">
        <v>0</v>
      </c>
      <c r="X244" s="2285">
        <v>0</v>
      </c>
      <c r="Y244" s="2268">
        <f t="shared" si="74"/>
        <v>0</v>
      </c>
      <c r="Z244" s="2284">
        <v>0</v>
      </c>
      <c r="AA244" s="2285">
        <v>0</v>
      </c>
      <c r="AB244" s="2268">
        <f t="shared" si="75"/>
        <v>0</v>
      </c>
      <c r="AC244" s="2113">
        <f t="shared" si="76"/>
        <v>0</v>
      </c>
      <c r="AD244" s="2114">
        <f t="shared" si="77"/>
        <v>0</v>
      </c>
      <c r="AE244" s="2113">
        <f t="shared" si="78"/>
        <v>0</v>
      </c>
      <c r="AF244" s="2114">
        <f t="shared" si="79"/>
        <v>0</v>
      </c>
      <c r="AG244" s="2113"/>
      <c r="AH244" s="2113"/>
      <c r="AI244" s="2114">
        <f>Z244+'2024 Калуга+область перекачка'!Z244+'2024 Калуга+область очистка'!Z244</f>
        <v>0</v>
      </c>
      <c r="AJ244" s="2114">
        <f>AA244+'2024 Калуга+область перекачка'!AA244+'2024 Калуга+область очистка'!AA244</f>
        <v>0</v>
      </c>
      <c r="AK244" s="2114">
        <f>AB244+'2024 Калуга+область перекачка'!AB244+'2024 Калуга+область очистка'!AB244</f>
        <v>0</v>
      </c>
      <c r="AL244" s="2114">
        <f>расчет_тарифа_К_!O245</f>
        <v>0</v>
      </c>
      <c r="AM244" s="2593">
        <f t="shared" si="80"/>
        <v>0</v>
      </c>
    </row>
    <row r="245" spans="1:39" s="2218" customFormat="1" ht="16.5" customHeight="1">
      <c r="A245" s="2235">
        <v>20</v>
      </c>
      <c r="B245" s="2423" t="s">
        <v>2103</v>
      </c>
      <c r="C245" s="2424" t="s">
        <v>2104</v>
      </c>
      <c r="D245" s="2425" t="s">
        <v>1128</v>
      </c>
      <c r="E245" s="2284"/>
      <c r="F245" s="2285"/>
      <c r="G245" s="2257">
        <f t="shared" si="89"/>
        <v>0</v>
      </c>
      <c r="H245" s="2285"/>
      <c r="I245" s="2285"/>
      <c r="J245" s="2257">
        <f t="shared" si="90"/>
        <v>0</v>
      </c>
      <c r="K245" s="2285"/>
      <c r="L245" s="2285"/>
      <c r="M245" s="2259">
        <f t="shared" si="91"/>
        <v>0</v>
      </c>
      <c r="N245" s="2284"/>
      <c r="O245" s="2285"/>
      <c r="P245" s="2259">
        <f t="shared" si="93"/>
        <v>0</v>
      </c>
      <c r="Q245" s="2294">
        <v>0</v>
      </c>
      <c r="R245" s="2285">
        <v>0</v>
      </c>
      <c r="S245" s="2259">
        <f t="shared" si="94"/>
        <v>0</v>
      </c>
      <c r="T245" s="2294">
        <f t="shared" ref="T245:U258" si="96">N245+Q245</f>
        <v>0</v>
      </c>
      <c r="U245" s="2285">
        <f t="shared" si="96"/>
        <v>0</v>
      </c>
      <c r="V245" s="2268">
        <f t="shared" si="73"/>
        <v>0</v>
      </c>
      <c r="W245" s="2294">
        <f t="shared" ref="W245:X257" si="97">N245</f>
        <v>0</v>
      </c>
      <c r="X245" s="2285">
        <f t="shared" si="97"/>
        <v>0</v>
      </c>
      <c r="Y245" s="2268">
        <f t="shared" si="74"/>
        <v>0</v>
      </c>
      <c r="Z245" s="2294">
        <f t="shared" ref="Z245:AA268" si="98">Q245</f>
        <v>0</v>
      </c>
      <c r="AA245" s="2285">
        <f t="shared" si="98"/>
        <v>0</v>
      </c>
      <c r="AB245" s="2268">
        <f t="shared" si="75"/>
        <v>0</v>
      </c>
      <c r="AC245" s="2113">
        <f t="shared" si="76"/>
        <v>0</v>
      </c>
      <c r="AD245" s="2114">
        <f t="shared" si="77"/>
        <v>0</v>
      </c>
      <c r="AE245" s="2113">
        <f t="shared" si="78"/>
        <v>0</v>
      </c>
      <c r="AF245" s="2114">
        <f t="shared" si="79"/>
        <v>0</v>
      </c>
      <c r="AG245" s="2113"/>
      <c r="AH245" s="2113"/>
      <c r="AI245" s="2114">
        <f>Z245+'2024 Калуга+область перекачка'!Z245+'2024 Калуга+область очистка'!Z245</f>
        <v>0</v>
      </c>
      <c r="AJ245" s="2114">
        <f>AA245+'2024 Калуга+область перекачка'!AA245+'2024 Калуга+область очистка'!AA245</f>
        <v>0</v>
      </c>
      <c r="AK245" s="2114">
        <f>AB245+'2024 Калуга+область перекачка'!AB245+'2024 Калуга+область очистка'!AB245</f>
        <v>0</v>
      </c>
      <c r="AL245" s="2114">
        <f>расчет_тарифа_К_!O246</f>
        <v>0</v>
      </c>
      <c r="AM245" s="2593">
        <f t="shared" si="80"/>
        <v>0</v>
      </c>
    </row>
    <row r="246" spans="1:39" s="2218" customFormat="1" ht="18" customHeight="1">
      <c r="A246" s="2235">
        <v>21</v>
      </c>
      <c r="B246" s="2423" t="s">
        <v>2105</v>
      </c>
      <c r="C246" s="2424" t="s">
        <v>2106</v>
      </c>
      <c r="D246" s="2425" t="s">
        <v>1128</v>
      </c>
      <c r="E246" s="2284"/>
      <c r="F246" s="2285"/>
      <c r="G246" s="2257">
        <f t="shared" si="89"/>
        <v>0</v>
      </c>
      <c r="H246" s="2285"/>
      <c r="I246" s="2285"/>
      <c r="J246" s="2257">
        <f t="shared" si="90"/>
        <v>0</v>
      </c>
      <c r="K246" s="2285"/>
      <c r="L246" s="2285"/>
      <c r="M246" s="2259">
        <f t="shared" si="91"/>
        <v>0</v>
      </c>
      <c r="N246" s="2284"/>
      <c r="O246" s="2285"/>
      <c r="P246" s="2259">
        <f t="shared" si="93"/>
        <v>0</v>
      </c>
      <c r="Q246" s="2284">
        <v>0</v>
      </c>
      <c r="R246" s="2285">
        <v>0</v>
      </c>
      <c r="S246" s="2259">
        <f t="shared" si="94"/>
        <v>0</v>
      </c>
      <c r="T246" s="2294">
        <f t="shared" si="96"/>
        <v>0</v>
      </c>
      <c r="U246" s="2285">
        <f t="shared" si="96"/>
        <v>0</v>
      </c>
      <c r="V246" s="2268">
        <f t="shared" si="73"/>
        <v>0</v>
      </c>
      <c r="W246" s="2294">
        <f t="shared" si="97"/>
        <v>0</v>
      </c>
      <c r="X246" s="2285">
        <f t="shared" si="97"/>
        <v>0</v>
      </c>
      <c r="Y246" s="2268">
        <f t="shared" si="74"/>
        <v>0</v>
      </c>
      <c r="Z246" s="2294">
        <f t="shared" si="98"/>
        <v>0</v>
      </c>
      <c r="AA246" s="2285">
        <f t="shared" si="98"/>
        <v>0</v>
      </c>
      <c r="AB246" s="2268">
        <f t="shared" si="75"/>
        <v>0</v>
      </c>
      <c r="AC246" s="2113">
        <f t="shared" si="76"/>
        <v>0</v>
      </c>
      <c r="AD246" s="2114">
        <f t="shared" si="77"/>
        <v>0</v>
      </c>
      <c r="AE246" s="2113">
        <f t="shared" si="78"/>
        <v>0</v>
      </c>
      <c r="AF246" s="2114">
        <f t="shared" si="79"/>
        <v>0</v>
      </c>
      <c r="AG246" s="2113"/>
      <c r="AH246" s="2113"/>
      <c r="AI246" s="2114">
        <f>Z246+'2024 Калуга+область перекачка'!Z246+'2024 Калуга+область очистка'!Z246</f>
        <v>0</v>
      </c>
      <c r="AJ246" s="2114">
        <f>AA246+'2024 Калуга+область перекачка'!AA246+'2024 Калуга+область очистка'!AA246</f>
        <v>0</v>
      </c>
      <c r="AK246" s="2114">
        <f>AB246+'2024 Калуга+область перекачка'!AB246+'2024 Калуга+область очистка'!AB246</f>
        <v>0</v>
      </c>
      <c r="AL246" s="2114">
        <f>расчет_тарифа_К_!O247</f>
        <v>0</v>
      </c>
      <c r="AM246" s="2593">
        <f t="shared" si="80"/>
        <v>0</v>
      </c>
    </row>
    <row r="247" spans="1:39" s="2218" customFormat="1" ht="18" customHeight="1">
      <c r="A247" s="2235">
        <v>40</v>
      </c>
      <c r="B247" s="2423" t="s">
        <v>2107</v>
      </c>
      <c r="C247" s="2424" t="s">
        <v>2108</v>
      </c>
      <c r="D247" s="2425" t="s">
        <v>1128</v>
      </c>
      <c r="E247" s="2284">
        <f>'[3]НВВ тран-ка'!K536</f>
        <v>985.22581999999977</v>
      </c>
      <c r="F247" s="2285">
        <f>'[3]НВВ тран-ка'!L536</f>
        <v>985.22581999999977</v>
      </c>
      <c r="G247" s="2257">
        <f t="shared" si="89"/>
        <v>985.22581999999977</v>
      </c>
      <c r="H247" s="2285"/>
      <c r="I247" s="2285"/>
      <c r="J247" s="2257">
        <f t="shared" si="90"/>
        <v>0</v>
      </c>
      <c r="K247" s="2285"/>
      <c r="L247" s="2285"/>
      <c r="M247" s="2259">
        <f t="shared" si="91"/>
        <v>0</v>
      </c>
      <c r="N247" s="2284"/>
      <c r="O247" s="2285"/>
      <c r="P247" s="2259">
        <f t="shared" si="93"/>
        <v>0</v>
      </c>
      <c r="Q247" s="2284">
        <v>0</v>
      </c>
      <c r="R247" s="2285">
        <v>10504.6891443</v>
      </c>
      <c r="S247" s="2259">
        <f t="shared" si="94"/>
        <v>5252.3445721500002</v>
      </c>
      <c r="T247" s="2294">
        <f t="shared" si="96"/>
        <v>0</v>
      </c>
      <c r="U247" s="2285">
        <f t="shared" si="96"/>
        <v>10504.6891443</v>
      </c>
      <c r="V247" s="2268">
        <f t="shared" si="73"/>
        <v>5252.3445721500002</v>
      </c>
      <c r="W247" s="2294">
        <f t="shared" si="97"/>
        <v>0</v>
      </c>
      <c r="X247" s="2285">
        <f t="shared" si="97"/>
        <v>0</v>
      </c>
      <c r="Y247" s="2268">
        <f t="shared" si="74"/>
        <v>0</v>
      </c>
      <c r="Z247" s="2294">
        <f t="shared" si="98"/>
        <v>0</v>
      </c>
      <c r="AA247" s="2285">
        <f t="shared" si="98"/>
        <v>10504.6891443</v>
      </c>
      <c r="AB247" s="2268">
        <f t="shared" si="75"/>
        <v>5252.3445721500002</v>
      </c>
      <c r="AC247" s="2113">
        <f t="shared" si="76"/>
        <v>2363.3234980264301</v>
      </c>
      <c r="AD247" s="2114">
        <f t="shared" si="77"/>
        <v>2363.3234980264301</v>
      </c>
      <c r="AE247" s="2113">
        <f t="shared" si="78"/>
        <v>8141.3656462735689</v>
      </c>
      <c r="AF247" s="2114">
        <f t="shared" si="79"/>
        <v>-2363.3234980264315</v>
      </c>
      <c r="AG247" s="2113"/>
      <c r="AH247" s="2113"/>
      <c r="AI247" s="2114">
        <f>Z247+'2024 Калуга+область перекачка'!Z247+'2024 Калуга+область очистка'!Z247</f>
        <v>0</v>
      </c>
      <c r="AJ247" s="2114">
        <f>AA247+'2024 Калуга+область перекачка'!AA247+'2024 Калуга+область очистка'!AA247</f>
        <v>10504.6891443</v>
      </c>
      <c r="AK247" s="2114">
        <f>AB247+'2024 Калуга+область перекачка'!AB247+'2024 Калуга+область очистка'!AB247</f>
        <v>5252.3445721500002</v>
      </c>
      <c r="AL247" s="2114">
        <f>расчет_тарифа_К_!O248</f>
        <v>10504.6891443</v>
      </c>
      <c r="AM247" s="2593">
        <f t="shared" si="80"/>
        <v>0</v>
      </c>
    </row>
    <row r="248" spans="1:39" s="2218" customFormat="1" ht="22.5" customHeight="1">
      <c r="A248" s="2235">
        <v>41</v>
      </c>
      <c r="B248" s="2423" t="s">
        <v>2109</v>
      </c>
      <c r="C248" s="2424" t="s">
        <v>2110</v>
      </c>
      <c r="D248" s="2425" t="s">
        <v>1128</v>
      </c>
      <c r="E248" s="2284"/>
      <c r="F248" s="2285"/>
      <c r="G248" s="2257">
        <f t="shared" si="89"/>
        <v>0</v>
      </c>
      <c r="H248" s="2285"/>
      <c r="I248" s="2285"/>
      <c r="J248" s="2257">
        <f t="shared" si="90"/>
        <v>0</v>
      </c>
      <c r="K248" s="2285"/>
      <c r="L248" s="2285"/>
      <c r="M248" s="2259">
        <f t="shared" si="91"/>
        <v>0</v>
      </c>
      <c r="N248" s="2284"/>
      <c r="O248" s="2285"/>
      <c r="P248" s="2259">
        <f t="shared" si="93"/>
        <v>0</v>
      </c>
      <c r="Q248" s="2284">
        <v>0</v>
      </c>
      <c r="R248" s="2285">
        <v>0</v>
      </c>
      <c r="S248" s="2259">
        <f t="shared" si="94"/>
        <v>0</v>
      </c>
      <c r="T248" s="2294">
        <f t="shared" si="96"/>
        <v>0</v>
      </c>
      <c r="U248" s="2285">
        <f t="shared" si="96"/>
        <v>0</v>
      </c>
      <c r="V248" s="2268">
        <f t="shared" si="73"/>
        <v>0</v>
      </c>
      <c r="W248" s="2294">
        <f t="shared" si="97"/>
        <v>0</v>
      </c>
      <c r="X248" s="2285">
        <f t="shared" si="97"/>
        <v>0</v>
      </c>
      <c r="Y248" s="2268">
        <f t="shared" si="74"/>
        <v>0</v>
      </c>
      <c r="Z248" s="2294">
        <f t="shared" si="98"/>
        <v>0</v>
      </c>
      <c r="AA248" s="2285">
        <f t="shared" si="98"/>
        <v>0</v>
      </c>
      <c r="AB248" s="2268">
        <f t="shared" si="75"/>
        <v>0</v>
      </c>
      <c r="AC248" s="2113">
        <f t="shared" si="76"/>
        <v>0</v>
      </c>
      <c r="AD248" s="2114">
        <f t="shared" si="77"/>
        <v>0</v>
      </c>
      <c r="AE248" s="2113">
        <f t="shared" si="78"/>
        <v>0</v>
      </c>
      <c r="AF248" s="2114">
        <f t="shared" si="79"/>
        <v>0</v>
      </c>
      <c r="AG248" s="2113"/>
      <c r="AH248" s="2113"/>
      <c r="AI248" s="2114">
        <f>Z248+'2024 Калуга+область перекачка'!Z248+'2024 Калуга+область очистка'!Z248</f>
        <v>0</v>
      </c>
      <c r="AJ248" s="2114">
        <f>AA248+'2024 Калуга+область перекачка'!AA248+'2024 Калуга+область очистка'!AA248</f>
        <v>0</v>
      </c>
      <c r="AK248" s="2114">
        <f>AB248+'2024 Калуга+область перекачка'!AB248+'2024 Калуга+область очистка'!AB248</f>
        <v>0</v>
      </c>
      <c r="AL248" s="2114">
        <f>расчет_тарифа_К_!O249</f>
        <v>0</v>
      </c>
      <c r="AM248" s="2593">
        <f t="shared" si="80"/>
        <v>0</v>
      </c>
    </row>
    <row r="249" spans="1:39" s="2218" customFormat="1" ht="18.75" customHeight="1">
      <c r="A249" s="2235">
        <v>42</v>
      </c>
      <c r="B249" s="2423" t="s">
        <v>2111</v>
      </c>
      <c r="C249" s="2424" t="s">
        <v>2112</v>
      </c>
      <c r="D249" s="2425" t="s">
        <v>1128</v>
      </c>
      <c r="E249" s="2284"/>
      <c r="F249" s="2285"/>
      <c r="G249" s="2257">
        <f t="shared" si="89"/>
        <v>0</v>
      </c>
      <c r="H249" s="2285"/>
      <c r="I249" s="2285"/>
      <c r="J249" s="2257">
        <f t="shared" si="90"/>
        <v>0</v>
      </c>
      <c r="K249" s="2285"/>
      <c r="L249" s="2285"/>
      <c r="M249" s="2259">
        <f t="shared" si="91"/>
        <v>0</v>
      </c>
      <c r="N249" s="2284"/>
      <c r="O249" s="2285"/>
      <c r="P249" s="2259">
        <f t="shared" si="93"/>
        <v>0</v>
      </c>
      <c r="Q249" s="2284">
        <v>0</v>
      </c>
      <c r="R249" s="2285">
        <v>0</v>
      </c>
      <c r="S249" s="2259">
        <f t="shared" si="94"/>
        <v>0</v>
      </c>
      <c r="T249" s="2294">
        <f t="shared" si="96"/>
        <v>0</v>
      </c>
      <c r="U249" s="2285">
        <f t="shared" si="96"/>
        <v>0</v>
      </c>
      <c r="V249" s="2268">
        <f t="shared" si="73"/>
        <v>0</v>
      </c>
      <c r="W249" s="2294">
        <f t="shared" si="97"/>
        <v>0</v>
      </c>
      <c r="X249" s="2285">
        <f t="shared" si="97"/>
        <v>0</v>
      </c>
      <c r="Y249" s="2268">
        <f t="shared" si="74"/>
        <v>0</v>
      </c>
      <c r="Z249" s="2294">
        <f t="shared" si="98"/>
        <v>0</v>
      </c>
      <c r="AA249" s="2285">
        <f t="shared" si="98"/>
        <v>0</v>
      </c>
      <c r="AB249" s="2268">
        <f t="shared" si="75"/>
        <v>0</v>
      </c>
      <c r="AC249" s="2113">
        <f t="shared" si="76"/>
        <v>0</v>
      </c>
      <c r="AD249" s="2114">
        <f t="shared" si="77"/>
        <v>0</v>
      </c>
      <c r="AE249" s="2113">
        <f t="shared" si="78"/>
        <v>0</v>
      </c>
      <c r="AF249" s="2114">
        <f t="shared" si="79"/>
        <v>0</v>
      </c>
      <c r="AG249" s="2113"/>
      <c r="AH249" s="2113"/>
      <c r="AI249" s="2114">
        <f>Z249+'2024 Калуга+область перекачка'!Z249+'2024 Калуга+область очистка'!Z249</f>
        <v>0</v>
      </c>
      <c r="AJ249" s="2114">
        <f>AA249+'2024 Калуга+область перекачка'!AA249+'2024 Калуга+область очистка'!AA249</f>
        <v>0</v>
      </c>
      <c r="AK249" s="2114">
        <f>AB249+'2024 Калуга+область перекачка'!AB249+'2024 Калуга+область очистка'!AB249</f>
        <v>0</v>
      </c>
      <c r="AL249" s="2114">
        <f>расчет_тарифа_К_!O250</f>
        <v>0</v>
      </c>
      <c r="AM249" s="2593">
        <f t="shared" si="80"/>
        <v>0</v>
      </c>
    </row>
    <row r="250" spans="1:39" s="2218" customFormat="1" ht="18.75" customHeight="1">
      <c r="A250" s="2235">
        <v>43</v>
      </c>
      <c r="B250" s="2423" t="s">
        <v>2113</v>
      </c>
      <c r="C250" s="2424" t="s">
        <v>2106</v>
      </c>
      <c r="D250" s="2425" t="s">
        <v>1128</v>
      </c>
      <c r="E250" s="2284"/>
      <c r="F250" s="2285"/>
      <c r="G250" s="2257">
        <f t="shared" si="89"/>
        <v>0</v>
      </c>
      <c r="H250" s="2285"/>
      <c r="I250" s="2285"/>
      <c r="J250" s="2257">
        <f t="shared" si="90"/>
        <v>0</v>
      </c>
      <c r="K250" s="2285"/>
      <c r="L250" s="2285"/>
      <c r="M250" s="2259">
        <f t="shared" si="91"/>
        <v>0</v>
      </c>
      <c r="N250" s="2284"/>
      <c r="O250" s="2285"/>
      <c r="P250" s="2259">
        <f t="shared" si="93"/>
        <v>0</v>
      </c>
      <c r="Q250" s="2284">
        <v>0</v>
      </c>
      <c r="R250" s="2285">
        <v>0</v>
      </c>
      <c r="S250" s="2259">
        <f t="shared" si="94"/>
        <v>0</v>
      </c>
      <c r="T250" s="2294">
        <f t="shared" si="96"/>
        <v>0</v>
      </c>
      <c r="U250" s="2285">
        <f t="shared" si="96"/>
        <v>0</v>
      </c>
      <c r="V250" s="2268">
        <f t="shared" si="73"/>
        <v>0</v>
      </c>
      <c r="W250" s="2294">
        <f t="shared" si="97"/>
        <v>0</v>
      </c>
      <c r="X250" s="2285">
        <f t="shared" si="97"/>
        <v>0</v>
      </c>
      <c r="Y250" s="2268">
        <f t="shared" si="74"/>
        <v>0</v>
      </c>
      <c r="Z250" s="2294">
        <f t="shared" si="98"/>
        <v>0</v>
      </c>
      <c r="AA250" s="2285">
        <f t="shared" si="98"/>
        <v>0</v>
      </c>
      <c r="AB250" s="2268">
        <f t="shared" si="75"/>
        <v>0</v>
      </c>
      <c r="AC250" s="2113">
        <f t="shared" si="76"/>
        <v>0</v>
      </c>
      <c r="AD250" s="2114">
        <f t="shared" si="77"/>
        <v>0</v>
      </c>
      <c r="AE250" s="2113">
        <f t="shared" si="78"/>
        <v>0</v>
      </c>
      <c r="AF250" s="2114">
        <f t="shared" si="79"/>
        <v>0</v>
      </c>
      <c r="AG250" s="2113"/>
      <c r="AH250" s="2113"/>
      <c r="AI250" s="2114">
        <f>Z250+'2024 Калуга+область перекачка'!Z250+'2024 Калуга+область очистка'!Z250</f>
        <v>0</v>
      </c>
      <c r="AJ250" s="2114">
        <f>AA250+'2024 Калуга+область перекачка'!AA250+'2024 Калуга+область очистка'!AA250</f>
        <v>0</v>
      </c>
      <c r="AK250" s="2114">
        <f>AB250+'2024 Калуга+область перекачка'!AB250+'2024 Калуга+область очистка'!AB250</f>
        <v>0</v>
      </c>
      <c r="AL250" s="2114">
        <f>расчет_тарифа_К_!O251</f>
        <v>0</v>
      </c>
      <c r="AM250" s="2593">
        <f t="shared" si="80"/>
        <v>0</v>
      </c>
    </row>
    <row r="251" spans="1:39" s="2218" customFormat="1" ht="32.25" customHeight="1">
      <c r="A251" s="2235">
        <v>22</v>
      </c>
      <c r="B251" s="2423" t="s">
        <v>2114</v>
      </c>
      <c r="C251" s="2426" t="s">
        <v>2115</v>
      </c>
      <c r="D251" s="2425" t="s">
        <v>1128</v>
      </c>
      <c r="E251" s="2255">
        <f>E252+E255+E259</f>
        <v>0</v>
      </c>
      <c r="F251" s="2256">
        <f>F252+F255+F259</f>
        <v>0</v>
      </c>
      <c r="G251" s="2257">
        <f t="shared" si="89"/>
        <v>0</v>
      </c>
      <c r="H251" s="2256">
        <f>H252+H255+H259</f>
        <v>0</v>
      </c>
      <c r="I251" s="2256">
        <f>I252+I255+I259</f>
        <v>0</v>
      </c>
      <c r="J251" s="2257">
        <f t="shared" si="90"/>
        <v>0</v>
      </c>
      <c r="K251" s="2256">
        <f>K252+K255+K259</f>
        <v>0</v>
      </c>
      <c r="L251" s="2256">
        <f>L252+L255+L259</f>
        <v>0</v>
      </c>
      <c r="M251" s="2259">
        <f t="shared" si="91"/>
        <v>0</v>
      </c>
      <c r="N251" s="2255">
        <v>0</v>
      </c>
      <c r="O251" s="2256">
        <v>0</v>
      </c>
      <c r="P251" s="2259">
        <f t="shared" si="93"/>
        <v>0</v>
      </c>
      <c r="Q251" s="2255">
        <v>0</v>
      </c>
      <c r="R251" s="2256">
        <v>10504.6891443</v>
      </c>
      <c r="S251" s="2259">
        <f t="shared" si="94"/>
        <v>5252.3445721500002</v>
      </c>
      <c r="T251" s="2246">
        <f t="shared" si="96"/>
        <v>0</v>
      </c>
      <c r="U251" s="2247">
        <f t="shared" si="96"/>
        <v>10504.6891443</v>
      </c>
      <c r="V251" s="2268">
        <f t="shared" si="73"/>
        <v>5252.3445721500002</v>
      </c>
      <c r="W251" s="2465">
        <f t="shared" si="97"/>
        <v>0</v>
      </c>
      <c r="X251" s="2256">
        <f t="shared" si="97"/>
        <v>0</v>
      </c>
      <c r="Y251" s="2268">
        <f t="shared" si="74"/>
        <v>0</v>
      </c>
      <c r="Z251" s="2465">
        <f t="shared" si="98"/>
        <v>0</v>
      </c>
      <c r="AA251" s="2256">
        <f t="shared" si="98"/>
        <v>10504.6891443</v>
      </c>
      <c r="AB251" s="2268">
        <f t="shared" si="75"/>
        <v>5252.3445721500002</v>
      </c>
      <c r="AC251" s="2113">
        <f t="shared" si="76"/>
        <v>2363.3234980264301</v>
      </c>
      <c r="AD251" s="2114">
        <f t="shared" si="77"/>
        <v>2363.3234980264301</v>
      </c>
      <c r="AE251" s="2113">
        <f t="shared" si="78"/>
        <v>8141.3656462735689</v>
      </c>
      <c r="AF251" s="2114">
        <f t="shared" si="79"/>
        <v>-2363.3234980264315</v>
      </c>
      <c r="AG251" s="2113"/>
      <c r="AH251" s="2113"/>
      <c r="AI251" s="2114">
        <f>Z251+'2024 Калуга+область перекачка'!Z251+'2024 Калуга+область очистка'!Z251</f>
        <v>0</v>
      </c>
      <c r="AJ251" s="2114">
        <f>AA251+'2024 Калуга+область перекачка'!AA251+'2024 Калуга+область очистка'!AA251</f>
        <v>10504.6891443</v>
      </c>
      <c r="AK251" s="2114">
        <f>AB251+'2024 Калуга+область перекачка'!AB251+'2024 Калуга+область очистка'!AB251</f>
        <v>5252.3445721500002</v>
      </c>
      <c r="AL251" s="2114">
        <f>расчет_тарифа_К_!O252</f>
        <v>10504.6891443</v>
      </c>
      <c r="AM251" s="2593">
        <f t="shared" si="80"/>
        <v>0</v>
      </c>
    </row>
    <row r="252" spans="1:39" s="2218" customFormat="1" ht="24" customHeight="1">
      <c r="A252" s="2235">
        <v>23</v>
      </c>
      <c r="B252" s="2423" t="s">
        <v>2116</v>
      </c>
      <c r="C252" s="2427" t="s">
        <v>2084</v>
      </c>
      <c r="D252" s="2425" t="s">
        <v>1128</v>
      </c>
      <c r="E252" s="2255">
        <f>E253+E254</f>
        <v>0</v>
      </c>
      <c r="F252" s="2256">
        <f>F253+F254</f>
        <v>0</v>
      </c>
      <c r="G252" s="2257">
        <f t="shared" si="89"/>
        <v>0</v>
      </c>
      <c r="H252" s="2256">
        <f>H253+H254</f>
        <v>0</v>
      </c>
      <c r="I252" s="2256">
        <f>I253+I254</f>
        <v>0</v>
      </c>
      <c r="J252" s="2257">
        <f t="shared" si="90"/>
        <v>0</v>
      </c>
      <c r="K252" s="2256">
        <f>K253+K254</f>
        <v>0</v>
      </c>
      <c r="L252" s="2256">
        <f>L253+L254</f>
        <v>0</v>
      </c>
      <c r="M252" s="2259">
        <f t="shared" si="91"/>
        <v>0</v>
      </c>
      <c r="N252" s="2255">
        <v>0</v>
      </c>
      <c r="O252" s="2256">
        <v>0</v>
      </c>
      <c r="P252" s="2259">
        <f t="shared" si="93"/>
        <v>0</v>
      </c>
      <c r="Q252" s="2255">
        <v>0</v>
      </c>
      <c r="R252" s="2256">
        <v>0</v>
      </c>
      <c r="S252" s="2259">
        <f t="shared" si="94"/>
        <v>0</v>
      </c>
      <c r="T252" s="2246">
        <f t="shared" si="96"/>
        <v>0</v>
      </c>
      <c r="U252" s="2247">
        <f t="shared" si="96"/>
        <v>0</v>
      </c>
      <c r="V252" s="2268">
        <f t="shared" si="73"/>
        <v>0</v>
      </c>
      <c r="W252" s="2465">
        <f t="shared" si="97"/>
        <v>0</v>
      </c>
      <c r="X252" s="2256">
        <f t="shared" si="97"/>
        <v>0</v>
      </c>
      <c r="Y252" s="2268">
        <f t="shared" si="74"/>
        <v>0</v>
      </c>
      <c r="Z252" s="2465">
        <f t="shared" si="98"/>
        <v>0</v>
      </c>
      <c r="AA252" s="2256">
        <f t="shared" si="98"/>
        <v>0</v>
      </c>
      <c r="AB252" s="2268">
        <f t="shared" si="75"/>
        <v>0</v>
      </c>
      <c r="AC252" s="2113">
        <f t="shared" si="76"/>
        <v>0</v>
      </c>
      <c r="AD252" s="2114">
        <f t="shared" si="77"/>
        <v>0</v>
      </c>
      <c r="AE252" s="2113">
        <f t="shared" si="78"/>
        <v>0</v>
      </c>
      <c r="AF252" s="2114">
        <f t="shared" si="79"/>
        <v>0</v>
      </c>
      <c r="AG252" s="2113"/>
      <c r="AH252" s="2113"/>
      <c r="AI252" s="2114">
        <f>Z252+'2024 Калуга+область перекачка'!Z252+'2024 Калуга+область очистка'!Z252</f>
        <v>0</v>
      </c>
      <c r="AJ252" s="2114">
        <f>AA252+'2024 Калуга+область перекачка'!AA252+'2024 Калуга+область очистка'!AA252</f>
        <v>0</v>
      </c>
      <c r="AK252" s="2114">
        <f>AB252+'2024 Калуга+область перекачка'!AB252+'2024 Калуга+область очистка'!AB252</f>
        <v>0</v>
      </c>
      <c r="AL252" s="2114">
        <f>расчет_тарифа_К_!O253</f>
        <v>0</v>
      </c>
      <c r="AM252" s="2593">
        <f t="shared" si="80"/>
        <v>0</v>
      </c>
    </row>
    <row r="253" spans="1:39" s="2218" customFormat="1" ht="25.5" customHeight="1">
      <c r="A253" s="2235">
        <v>24</v>
      </c>
      <c r="B253" s="2423" t="s">
        <v>2117</v>
      </c>
      <c r="C253" s="2424" t="s">
        <v>2118</v>
      </c>
      <c r="D253" s="2425" t="s">
        <v>1128</v>
      </c>
      <c r="E253" s="2284"/>
      <c r="F253" s="2285"/>
      <c r="G253" s="2257">
        <f t="shared" si="89"/>
        <v>0</v>
      </c>
      <c r="H253" s="2285"/>
      <c r="I253" s="2285"/>
      <c r="J253" s="2257">
        <f t="shared" si="90"/>
        <v>0</v>
      </c>
      <c r="K253" s="2285"/>
      <c r="L253" s="2285"/>
      <c r="M253" s="2259">
        <f t="shared" si="91"/>
        <v>0</v>
      </c>
      <c r="N253" s="2284"/>
      <c r="O253" s="2285"/>
      <c r="P253" s="2259">
        <f t="shared" si="93"/>
        <v>0</v>
      </c>
      <c r="Q253" s="2284">
        <v>0</v>
      </c>
      <c r="R253" s="2285">
        <v>0</v>
      </c>
      <c r="S253" s="2259">
        <f t="shared" si="94"/>
        <v>0</v>
      </c>
      <c r="T253" s="2294">
        <f t="shared" si="96"/>
        <v>0</v>
      </c>
      <c r="U253" s="2285">
        <f t="shared" si="96"/>
        <v>0</v>
      </c>
      <c r="V253" s="2268">
        <f t="shared" si="73"/>
        <v>0</v>
      </c>
      <c r="W253" s="2468">
        <f t="shared" si="97"/>
        <v>0</v>
      </c>
      <c r="X253" s="2296">
        <f t="shared" si="97"/>
        <v>0</v>
      </c>
      <c r="Y253" s="2268">
        <f t="shared" si="74"/>
        <v>0</v>
      </c>
      <c r="Z253" s="2468">
        <f t="shared" si="98"/>
        <v>0</v>
      </c>
      <c r="AA253" s="2296">
        <f t="shared" si="98"/>
        <v>0</v>
      </c>
      <c r="AB253" s="2268">
        <f t="shared" si="75"/>
        <v>0</v>
      </c>
      <c r="AC253" s="2113">
        <f t="shared" si="76"/>
        <v>0</v>
      </c>
      <c r="AD253" s="2114">
        <f t="shared" si="77"/>
        <v>0</v>
      </c>
      <c r="AE253" s="2113">
        <f t="shared" si="78"/>
        <v>0</v>
      </c>
      <c r="AF253" s="2114">
        <f t="shared" si="79"/>
        <v>0</v>
      </c>
      <c r="AG253" s="2113"/>
      <c r="AH253" s="2113"/>
      <c r="AI253" s="2114">
        <f>Z253+'2024 Калуга+область перекачка'!Z253+'2024 Калуга+область очистка'!Z253</f>
        <v>0</v>
      </c>
      <c r="AJ253" s="2114">
        <f>AA253+'2024 Калуга+область перекачка'!AA253+'2024 Калуга+область очистка'!AA253</f>
        <v>0</v>
      </c>
      <c r="AK253" s="2114">
        <f>AB253+'2024 Калуга+область перекачка'!AB253+'2024 Калуга+область очистка'!AB253</f>
        <v>0</v>
      </c>
      <c r="AL253" s="2114">
        <f>расчет_тарифа_К_!O254</f>
        <v>0</v>
      </c>
      <c r="AM253" s="2593">
        <f t="shared" si="80"/>
        <v>0</v>
      </c>
    </row>
    <row r="254" spans="1:39" s="2218" customFormat="1" ht="15.75" customHeight="1">
      <c r="A254" s="2235">
        <v>38</v>
      </c>
      <c r="B254" s="2423"/>
      <c r="C254" s="2424" t="s">
        <v>2119</v>
      </c>
      <c r="D254" s="2425" t="s">
        <v>1128</v>
      </c>
      <c r="E254" s="2284"/>
      <c r="F254" s="2285"/>
      <c r="G254" s="2257">
        <f t="shared" si="89"/>
        <v>0</v>
      </c>
      <c r="H254" s="2285"/>
      <c r="I254" s="2285"/>
      <c r="J254" s="2257">
        <f t="shared" si="90"/>
        <v>0</v>
      </c>
      <c r="K254" s="2285"/>
      <c r="L254" s="2285"/>
      <c r="M254" s="2259">
        <f t="shared" si="91"/>
        <v>0</v>
      </c>
      <c r="N254" s="2284"/>
      <c r="O254" s="2285"/>
      <c r="P254" s="2259">
        <f t="shared" si="93"/>
        <v>0</v>
      </c>
      <c r="Q254" s="2284">
        <v>0</v>
      </c>
      <c r="R254" s="2285">
        <v>0</v>
      </c>
      <c r="S254" s="2259">
        <f t="shared" si="94"/>
        <v>0</v>
      </c>
      <c r="T254" s="2294">
        <f t="shared" si="96"/>
        <v>0</v>
      </c>
      <c r="U254" s="2285">
        <f t="shared" si="96"/>
        <v>0</v>
      </c>
      <c r="V254" s="2268">
        <f t="shared" si="73"/>
        <v>0</v>
      </c>
      <c r="W254" s="2468">
        <f t="shared" si="97"/>
        <v>0</v>
      </c>
      <c r="X254" s="2296">
        <f t="shared" si="97"/>
        <v>0</v>
      </c>
      <c r="Y254" s="2268">
        <f t="shared" si="74"/>
        <v>0</v>
      </c>
      <c r="Z254" s="2468">
        <f t="shared" si="98"/>
        <v>0</v>
      </c>
      <c r="AA254" s="2296">
        <f t="shared" si="98"/>
        <v>0</v>
      </c>
      <c r="AB254" s="2268">
        <f t="shared" si="75"/>
        <v>0</v>
      </c>
      <c r="AC254" s="2113">
        <f t="shared" si="76"/>
        <v>0</v>
      </c>
      <c r="AD254" s="2114">
        <f t="shared" si="77"/>
        <v>0</v>
      </c>
      <c r="AE254" s="2113">
        <f t="shared" si="78"/>
        <v>0</v>
      </c>
      <c r="AF254" s="2114">
        <f t="shared" si="79"/>
        <v>0</v>
      </c>
      <c r="AG254" s="2113"/>
      <c r="AH254" s="2113"/>
      <c r="AI254" s="2114">
        <f>Z254+'2024 Калуга+область перекачка'!Z254+'2024 Калуга+область очистка'!Z254</f>
        <v>0</v>
      </c>
      <c r="AJ254" s="2114">
        <f>AA254+'2024 Калуга+область перекачка'!AA254+'2024 Калуга+область очистка'!AA254</f>
        <v>0</v>
      </c>
      <c r="AK254" s="2114">
        <f>AB254+'2024 Калуга+область перекачка'!AB254+'2024 Калуга+область очистка'!AB254</f>
        <v>0</v>
      </c>
      <c r="AL254" s="2114">
        <f>расчет_тарифа_К_!O255</f>
        <v>0</v>
      </c>
      <c r="AM254" s="2593">
        <f t="shared" si="80"/>
        <v>0</v>
      </c>
    </row>
    <row r="255" spans="1:39" s="2218" customFormat="1" ht="22.5" customHeight="1">
      <c r="A255" s="2235">
        <v>25</v>
      </c>
      <c r="B255" s="2423" t="s">
        <v>2120</v>
      </c>
      <c r="C255" s="2427" t="s">
        <v>2088</v>
      </c>
      <c r="D255" s="2425" t="s">
        <v>1128</v>
      </c>
      <c r="E255" s="2255">
        <f>E256+E257+E258</f>
        <v>0</v>
      </c>
      <c r="F255" s="2256">
        <f>F256+F257+F258</f>
        <v>0</v>
      </c>
      <c r="G255" s="2257">
        <f t="shared" si="89"/>
        <v>0</v>
      </c>
      <c r="H255" s="2256">
        <f>H256+H257+H258</f>
        <v>0</v>
      </c>
      <c r="I255" s="2256">
        <f>I256+I257+I258</f>
        <v>0</v>
      </c>
      <c r="J255" s="2257">
        <f t="shared" si="90"/>
        <v>0</v>
      </c>
      <c r="K255" s="2256">
        <f>K256+K257+K258</f>
        <v>0</v>
      </c>
      <c r="L255" s="2256">
        <f>L256+L257+L258</f>
        <v>0</v>
      </c>
      <c r="M255" s="2259">
        <f t="shared" si="91"/>
        <v>0</v>
      </c>
      <c r="N255" s="2255">
        <v>0</v>
      </c>
      <c r="O255" s="2256">
        <v>0</v>
      </c>
      <c r="P255" s="2259">
        <f t="shared" si="93"/>
        <v>0</v>
      </c>
      <c r="Q255" s="2255">
        <v>0</v>
      </c>
      <c r="R255" s="2256">
        <v>10504.6891443</v>
      </c>
      <c r="S255" s="2259">
        <f t="shared" si="94"/>
        <v>5252.3445721500002</v>
      </c>
      <c r="T255" s="2246">
        <f t="shared" si="96"/>
        <v>0</v>
      </c>
      <c r="U255" s="2247">
        <f t="shared" si="96"/>
        <v>10504.6891443</v>
      </c>
      <c r="V255" s="2268">
        <f t="shared" si="73"/>
        <v>5252.3445721500002</v>
      </c>
      <c r="W255" s="2465">
        <f t="shared" si="97"/>
        <v>0</v>
      </c>
      <c r="X255" s="2256">
        <f t="shared" si="97"/>
        <v>0</v>
      </c>
      <c r="Y255" s="2268">
        <f t="shared" si="74"/>
        <v>0</v>
      </c>
      <c r="Z255" s="2465">
        <f t="shared" si="98"/>
        <v>0</v>
      </c>
      <c r="AA255" s="2256">
        <f t="shared" si="98"/>
        <v>10504.6891443</v>
      </c>
      <c r="AB255" s="2268">
        <f t="shared" si="75"/>
        <v>5252.3445721500002</v>
      </c>
      <c r="AC255" s="2113">
        <f>U255/$U$272*$X$272</f>
        <v>2363.3234980264301</v>
      </c>
      <c r="AD255" s="2114">
        <f t="shared" si="77"/>
        <v>2363.3234980264301</v>
      </c>
      <c r="AE255" s="2113">
        <f t="shared" si="78"/>
        <v>8141.3656462735689</v>
      </c>
      <c r="AF255" s="2114">
        <f t="shared" si="79"/>
        <v>-2363.3234980264315</v>
      </c>
      <c r="AG255" s="2113"/>
      <c r="AH255" s="2113"/>
      <c r="AI255" s="2114">
        <f>Z255+'2024 Калуга+область перекачка'!Z255+'2024 Калуга+область очистка'!Z255</f>
        <v>0</v>
      </c>
      <c r="AJ255" s="2114">
        <f>AA255+'2024 Калуга+область перекачка'!AA255+'2024 Калуга+область очистка'!AA255</f>
        <v>10504.6891443</v>
      </c>
      <c r="AK255" s="2114">
        <f>AB255+'2024 Калуга+область перекачка'!AB255+'2024 Калуга+область очистка'!AB255</f>
        <v>5252.3445721500002</v>
      </c>
      <c r="AL255" s="2114">
        <f>расчет_тарифа_К_!O256</f>
        <v>10504.6891443</v>
      </c>
      <c r="AM255" s="2593">
        <f t="shared" si="80"/>
        <v>0</v>
      </c>
    </row>
    <row r="256" spans="1:39" s="2218" customFormat="1" ht="18" customHeight="1">
      <c r="A256" s="2235">
        <v>26</v>
      </c>
      <c r="B256" s="2423" t="s">
        <v>2121</v>
      </c>
      <c r="C256" s="2424" t="s">
        <v>2122</v>
      </c>
      <c r="D256" s="2425" t="s">
        <v>1128</v>
      </c>
      <c r="E256" s="2284"/>
      <c r="F256" s="2285"/>
      <c r="G256" s="2257">
        <f t="shared" si="89"/>
        <v>0</v>
      </c>
      <c r="H256" s="2285"/>
      <c r="I256" s="2285"/>
      <c r="J256" s="2257">
        <f t="shared" si="90"/>
        <v>0</v>
      </c>
      <c r="K256" s="2285"/>
      <c r="L256" s="2285"/>
      <c r="M256" s="2259">
        <f t="shared" si="91"/>
        <v>0</v>
      </c>
      <c r="N256" s="2284"/>
      <c r="O256" s="2285"/>
      <c r="P256" s="2259">
        <f t="shared" si="93"/>
        <v>0</v>
      </c>
      <c r="Q256" s="2284">
        <v>0</v>
      </c>
      <c r="R256" s="2285">
        <v>0</v>
      </c>
      <c r="S256" s="2259">
        <f t="shared" si="94"/>
        <v>0</v>
      </c>
      <c r="T256" s="2294">
        <f t="shared" si="96"/>
        <v>0</v>
      </c>
      <c r="U256" s="2285">
        <f t="shared" si="96"/>
        <v>0</v>
      </c>
      <c r="V256" s="2268">
        <f t="shared" si="73"/>
        <v>0</v>
      </c>
      <c r="W256" s="2468">
        <f t="shared" si="97"/>
        <v>0</v>
      </c>
      <c r="X256" s="2296">
        <f t="shared" si="97"/>
        <v>0</v>
      </c>
      <c r="Y256" s="2268">
        <f t="shared" si="74"/>
        <v>0</v>
      </c>
      <c r="Z256" s="2468">
        <f t="shared" si="98"/>
        <v>0</v>
      </c>
      <c r="AA256" s="2296">
        <f t="shared" si="98"/>
        <v>0</v>
      </c>
      <c r="AB256" s="2268">
        <f t="shared" si="75"/>
        <v>0</v>
      </c>
      <c r="AC256" s="2113">
        <f t="shared" si="76"/>
        <v>0</v>
      </c>
      <c r="AD256" s="2114">
        <f t="shared" si="77"/>
        <v>0</v>
      </c>
      <c r="AE256" s="2113">
        <f t="shared" si="78"/>
        <v>0</v>
      </c>
      <c r="AF256" s="2114">
        <f t="shared" si="79"/>
        <v>0</v>
      </c>
      <c r="AG256" s="2113"/>
      <c r="AH256" s="2113"/>
      <c r="AI256" s="2114">
        <f>Z256+'2024 Калуга+область перекачка'!Z256+'2024 Калуга+область очистка'!Z256</f>
        <v>0</v>
      </c>
      <c r="AJ256" s="2114">
        <f>AA256+'2024 Калуга+область перекачка'!AA256+'2024 Калуга+область очистка'!AA256</f>
        <v>0</v>
      </c>
      <c r="AK256" s="2114">
        <f>AB256+'2024 Калуга+область перекачка'!AB256+'2024 Калуга+область очистка'!AB256</f>
        <v>0</v>
      </c>
      <c r="AL256" s="2114">
        <f>расчет_тарифа_К_!O257</f>
        <v>0</v>
      </c>
      <c r="AM256" s="2593">
        <f t="shared" si="80"/>
        <v>0</v>
      </c>
    </row>
    <row r="257" spans="1:39" s="2218" customFormat="1" ht="15.75" customHeight="1">
      <c r="A257" s="2235">
        <v>39</v>
      </c>
      <c r="B257" s="2423"/>
      <c r="C257" s="2424" t="s">
        <v>2123</v>
      </c>
      <c r="D257" s="2425" t="s">
        <v>1128</v>
      </c>
      <c r="E257" s="2284"/>
      <c r="F257" s="2285"/>
      <c r="G257" s="2257">
        <f t="shared" si="89"/>
        <v>0</v>
      </c>
      <c r="H257" s="2285"/>
      <c r="I257" s="2285"/>
      <c r="J257" s="2257">
        <f t="shared" si="90"/>
        <v>0</v>
      </c>
      <c r="K257" s="2285"/>
      <c r="L257" s="2285"/>
      <c r="M257" s="2259">
        <f t="shared" si="91"/>
        <v>0</v>
      </c>
      <c r="N257" s="2284"/>
      <c r="O257" s="2285"/>
      <c r="P257" s="2259">
        <f t="shared" si="93"/>
        <v>0</v>
      </c>
      <c r="Q257" s="2284">
        <v>0</v>
      </c>
      <c r="R257" s="2285">
        <v>10504.6891443</v>
      </c>
      <c r="S257" s="2259">
        <f t="shared" si="94"/>
        <v>5252.3445721500002</v>
      </c>
      <c r="T257" s="2294">
        <f t="shared" si="96"/>
        <v>0</v>
      </c>
      <c r="U257" s="2285">
        <f t="shared" si="96"/>
        <v>10504.6891443</v>
      </c>
      <c r="V257" s="2268">
        <f t="shared" si="73"/>
        <v>5252.3445721500002</v>
      </c>
      <c r="W257" s="2468">
        <f t="shared" si="97"/>
        <v>0</v>
      </c>
      <c r="X257" s="2296">
        <f t="shared" si="97"/>
        <v>0</v>
      </c>
      <c r="Y257" s="2268">
        <f t="shared" si="74"/>
        <v>0</v>
      </c>
      <c r="Z257" s="2468">
        <f t="shared" si="98"/>
        <v>0</v>
      </c>
      <c r="AA257" s="2296">
        <f t="shared" si="98"/>
        <v>10504.6891443</v>
      </c>
      <c r="AB257" s="2268">
        <f t="shared" si="75"/>
        <v>5252.3445721500002</v>
      </c>
      <c r="AC257" s="2113">
        <f t="shared" si="76"/>
        <v>2363.3234980264301</v>
      </c>
      <c r="AD257" s="2114">
        <f t="shared" si="77"/>
        <v>2363.3234980264301</v>
      </c>
      <c r="AE257" s="2113">
        <f t="shared" si="78"/>
        <v>8141.3656462735689</v>
      </c>
      <c r="AF257" s="2114">
        <f t="shared" si="79"/>
        <v>-2363.3234980264315</v>
      </c>
      <c r="AG257" s="2113"/>
      <c r="AH257" s="2113"/>
      <c r="AI257" s="2114">
        <f>Z257+'2024 Калуга+область перекачка'!Z257+'2024 Калуга+область очистка'!Z257</f>
        <v>0</v>
      </c>
      <c r="AJ257" s="2114">
        <f>AA257+'2024 Калуга+область перекачка'!AA257+'2024 Калуга+область очистка'!AA257</f>
        <v>10504.6891443</v>
      </c>
      <c r="AK257" s="2114">
        <f>AB257+'2024 Калуга+область перекачка'!AB257+'2024 Калуга+область очистка'!AB257</f>
        <v>5252.3445721500002</v>
      </c>
      <c r="AL257" s="2114">
        <f>расчет_тарифа_К_!O258</f>
        <v>10504.6891443</v>
      </c>
      <c r="AM257" s="2593">
        <f t="shared" si="80"/>
        <v>0</v>
      </c>
    </row>
    <row r="258" spans="1:39" s="2218" customFormat="1" ht="20.25" customHeight="1">
      <c r="A258" s="2235">
        <v>27</v>
      </c>
      <c r="B258" s="2423" t="s">
        <v>2124</v>
      </c>
      <c r="C258" s="2424" t="s">
        <v>2125</v>
      </c>
      <c r="D258" s="2425" t="s">
        <v>1128</v>
      </c>
      <c r="E258" s="2284"/>
      <c r="F258" s="2285"/>
      <c r="G258" s="2257">
        <f t="shared" si="89"/>
        <v>0</v>
      </c>
      <c r="H258" s="2285"/>
      <c r="I258" s="2285"/>
      <c r="J258" s="2257">
        <f t="shared" si="90"/>
        <v>0</v>
      </c>
      <c r="K258" s="2285"/>
      <c r="L258" s="2285"/>
      <c r="M258" s="2259">
        <f t="shared" si="91"/>
        <v>0</v>
      </c>
      <c r="N258" s="2284"/>
      <c r="O258" s="2285"/>
      <c r="P258" s="2259">
        <f t="shared" si="93"/>
        <v>0</v>
      </c>
      <c r="Q258" s="2284">
        <v>0</v>
      </c>
      <c r="R258" s="2285">
        <v>0</v>
      </c>
      <c r="S258" s="2259">
        <f t="shared" si="94"/>
        <v>0</v>
      </c>
      <c r="T258" s="2294">
        <f t="shared" si="96"/>
        <v>0</v>
      </c>
      <c r="U258" s="2285">
        <f t="shared" si="96"/>
        <v>0</v>
      </c>
      <c r="V258" s="2268">
        <f t="shared" si="73"/>
        <v>0</v>
      </c>
      <c r="W258" s="2294">
        <f>Q258+T258</f>
        <v>0</v>
      </c>
      <c r="X258" s="2285">
        <f>R258+U258</f>
        <v>0</v>
      </c>
      <c r="Y258" s="2268">
        <f t="shared" si="74"/>
        <v>0</v>
      </c>
      <c r="Z258" s="2468">
        <f t="shared" si="98"/>
        <v>0</v>
      </c>
      <c r="AA258" s="2296">
        <f t="shared" si="98"/>
        <v>0</v>
      </c>
      <c r="AB258" s="2268">
        <f t="shared" si="75"/>
        <v>0</v>
      </c>
      <c r="AC258" s="2113">
        <f t="shared" si="76"/>
        <v>0</v>
      </c>
      <c r="AD258" s="2114">
        <f t="shared" si="77"/>
        <v>0</v>
      </c>
      <c r="AE258" s="2113">
        <f t="shared" si="78"/>
        <v>0</v>
      </c>
      <c r="AF258" s="2114">
        <f t="shared" si="79"/>
        <v>0</v>
      </c>
      <c r="AG258" s="2113"/>
      <c r="AH258" s="2113"/>
      <c r="AI258" s="2114">
        <f>Z258+'2024 Калуга+область перекачка'!Z258+'2024 Калуга+область очистка'!Z258</f>
        <v>0</v>
      </c>
      <c r="AJ258" s="2114">
        <f>AA258+'2024 Калуга+область перекачка'!AA258+'2024 Калуга+область очистка'!AA258</f>
        <v>0</v>
      </c>
      <c r="AK258" s="2114">
        <f>AB258+'2024 Калуга+область перекачка'!AB258+'2024 Калуга+область очистка'!AB258</f>
        <v>0</v>
      </c>
      <c r="AL258" s="2114">
        <f>расчет_тарифа_К_!O259</f>
        <v>0</v>
      </c>
      <c r="AM258" s="2593">
        <f t="shared" si="80"/>
        <v>0</v>
      </c>
    </row>
    <row r="259" spans="1:39" s="2218" customFormat="1" ht="22.5" customHeight="1">
      <c r="A259" s="2235">
        <v>28</v>
      </c>
      <c r="B259" s="2423" t="s">
        <v>2126</v>
      </c>
      <c r="C259" s="2427" t="s">
        <v>2127</v>
      </c>
      <c r="D259" s="2425" t="s">
        <v>1128</v>
      </c>
      <c r="E259" s="2255">
        <f>E260+E261+E262+E263+E264</f>
        <v>0</v>
      </c>
      <c r="F259" s="2256">
        <f>F260+F261+F262+F263+F264</f>
        <v>0</v>
      </c>
      <c r="G259" s="2257">
        <f t="shared" si="89"/>
        <v>0</v>
      </c>
      <c r="H259" s="2256">
        <f>H260+H261+H262+H263+H264</f>
        <v>0</v>
      </c>
      <c r="I259" s="2256">
        <f>I260+I261+I262+I263+I264</f>
        <v>0</v>
      </c>
      <c r="J259" s="2257">
        <f t="shared" si="90"/>
        <v>0</v>
      </c>
      <c r="K259" s="2256">
        <f>K260+K261+K262+K263+K264</f>
        <v>0</v>
      </c>
      <c r="L259" s="2256">
        <f>L260+L261+L262+L263+L264</f>
        <v>0</v>
      </c>
      <c r="M259" s="2259">
        <f t="shared" si="91"/>
        <v>0</v>
      </c>
      <c r="N259" s="2255">
        <v>0</v>
      </c>
      <c r="O259" s="2256">
        <v>0</v>
      </c>
      <c r="P259" s="2259">
        <f t="shared" si="93"/>
        <v>0</v>
      </c>
      <c r="Q259" s="2255">
        <v>0</v>
      </c>
      <c r="R259" s="2256">
        <v>0</v>
      </c>
      <c r="S259" s="2259">
        <f t="shared" si="94"/>
        <v>0</v>
      </c>
      <c r="T259" s="2246">
        <f>N259+Q259</f>
        <v>0</v>
      </c>
      <c r="U259" s="2247">
        <f>O259+R259</f>
        <v>0</v>
      </c>
      <c r="V259" s="2268">
        <f t="shared" si="73"/>
        <v>0</v>
      </c>
      <c r="W259" s="2246">
        <f t="shared" ref="W259:X268" si="99">N259</f>
        <v>0</v>
      </c>
      <c r="X259" s="2247">
        <f t="shared" si="99"/>
        <v>0</v>
      </c>
      <c r="Y259" s="2268">
        <f t="shared" si="74"/>
        <v>0</v>
      </c>
      <c r="Z259" s="2246">
        <f t="shared" si="98"/>
        <v>0</v>
      </c>
      <c r="AA259" s="2247">
        <f t="shared" si="98"/>
        <v>0</v>
      </c>
      <c r="AB259" s="2268">
        <f t="shared" si="75"/>
        <v>0</v>
      </c>
      <c r="AC259" s="2113">
        <f t="shared" si="76"/>
        <v>0</v>
      </c>
      <c r="AD259" s="2114">
        <f t="shared" si="77"/>
        <v>0</v>
      </c>
      <c r="AE259" s="2113">
        <f t="shared" si="78"/>
        <v>0</v>
      </c>
      <c r="AF259" s="2114">
        <f t="shared" si="79"/>
        <v>0</v>
      </c>
      <c r="AG259" s="2113"/>
      <c r="AH259" s="2113"/>
      <c r="AI259" s="2114">
        <f>Z259+'2024 Калуга+область перекачка'!Z259+'2024 Калуга+область очистка'!Z259</f>
        <v>0</v>
      </c>
      <c r="AJ259" s="2114">
        <f>AA259+'2024 Калуга+область перекачка'!AA259+'2024 Калуга+область очистка'!AA259</f>
        <v>0</v>
      </c>
      <c r="AK259" s="2114">
        <f>AB259+'2024 Калуга+область перекачка'!AB259+'2024 Калуга+область очистка'!AB259</f>
        <v>0</v>
      </c>
      <c r="AL259" s="2114">
        <f>расчет_тарифа_К_!O260</f>
        <v>0</v>
      </c>
      <c r="AM259" s="2593">
        <f t="shared" si="80"/>
        <v>0</v>
      </c>
    </row>
    <row r="260" spans="1:39" s="2218" customFormat="1" ht="24" customHeight="1">
      <c r="A260" s="2235">
        <v>29</v>
      </c>
      <c r="B260" s="2423" t="s">
        <v>2128</v>
      </c>
      <c r="C260" s="2424" t="s">
        <v>2129</v>
      </c>
      <c r="D260" s="2425" t="s">
        <v>1128</v>
      </c>
      <c r="E260" s="2284"/>
      <c r="F260" s="2285"/>
      <c r="G260" s="2257">
        <f t="shared" si="89"/>
        <v>0</v>
      </c>
      <c r="H260" s="2285"/>
      <c r="I260" s="2285"/>
      <c r="J260" s="2257">
        <f t="shared" si="90"/>
        <v>0</v>
      </c>
      <c r="K260" s="2285"/>
      <c r="L260" s="2285"/>
      <c r="M260" s="2259">
        <f t="shared" si="91"/>
        <v>0</v>
      </c>
      <c r="N260" s="2284"/>
      <c r="O260" s="2285"/>
      <c r="P260" s="2259">
        <f t="shared" si="93"/>
        <v>0</v>
      </c>
      <c r="Q260" s="2284">
        <v>0</v>
      </c>
      <c r="R260" s="2285">
        <v>0</v>
      </c>
      <c r="S260" s="2259">
        <f t="shared" si="94"/>
        <v>0</v>
      </c>
      <c r="T260" s="2294">
        <f t="shared" ref="T260:U264" si="100">N260+Q260</f>
        <v>0</v>
      </c>
      <c r="U260" s="2285">
        <f t="shared" si="100"/>
        <v>0</v>
      </c>
      <c r="V260" s="2268">
        <f t="shared" si="73"/>
        <v>0</v>
      </c>
      <c r="W260" s="2294">
        <f t="shared" si="99"/>
        <v>0</v>
      </c>
      <c r="X260" s="2285">
        <f t="shared" si="99"/>
        <v>0</v>
      </c>
      <c r="Y260" s="2268">
        <f t="shared" si="74"/>
        <v>0</v>
      </c>
      <c r="Z260" s="2294">
        <f t="shared" si="98"/>
        <v>0</v>
      </c>
      <c r="AA260" s="2285">
        <f t="shared" si="98"/>
        <v>0</v>
      </c>
      <c r="AB260" s="2268">
        <f t="shared" si="75"/>
        <v>0</v>
      </c>
      <c r="AC260" s="2113">
        <f t="shared" si="76"/>
        <v>0</v>
      </c>
      <c r="AD260" s="2114">
        <f t="shared" si="77"/>
        <v>0</v>
      </c>
      <c r="AE260" s="2113">
        <f t="shared" si="78"/>
        <v>0</v>
      </c>
      <c r="AF260" s="2114">
        <f t="shared" si="79"/>
        <v>0</v>
      </c>
      <c r="AG260" s="2113"/>
      <c r="AH260" s="2113"/>
      <c r="AI260" s="2114">
        <f>Z260+'2024 Калуга+область перекачка'!Z260+'2024 Калуга+область очистка'!Z260</f>
        <v>0</v>
      </c>
      <c r="AJ260" s="2114">
        <f>AA260+'2024 Калуга+область перекачка'!AA260+'2024 Калуга+область очистка'!AA260</f>
        <v>0</v>
      </c>
      <c r="AK260" s="2114">
        <f>AB260+'2024 Калуга+область перекачка'!AB260+'2024 Калуга+область очистка'!AB260</f>
        <v>0</v>
      </c>
      <c r="AL260" s="2114">
        <f>расчет_тарифа_К_!O261</f>
        <v>0</v>
      </c>
      <c r="AM260" s="2593">
        <f t="shared" si="80"/>
        <v>0</v>
      </c>
    </row>
    <row r="261" spans="1:39" s="2218" customFormat="1" ht="22.5" customHeight="1">
      <c r="A261" s="2235">
        <v>30</v>
      </c>
      <c r="B261" s="2423" t="s">
        <v>2130</v>
      </c>
      <c r="C261" s="2424" t="s">
        <v>2131</v>
      </c>
      <c r="D261" s="2425" t="s">
        <v>1128</v>
      </c>
      <c r="E261" s="2284"/>
      <c r="F261" s="2285"/>
      <c r="G261" s="2257">
        <f t="shared" si="89"/>
        <v>0</v>
      </c>
      <c r="H261" s="2285"/>
      <c r="I261" s="2285"/>
      <c r="J261" s="2257">
        <f t="shared" si="90"/>
        <v>0</v>
      </c>
      <c r="K261" s="2285"/>
      <c r="L261" s="2285"/>
      <c r="M261" s="2259">
        <f t="shared" si="91"/>
        <v>0</v>
      </c>
      <c r="N261" s="2284"/>
      <c r="O261" s="2285"/>
      <c r="P261" s="2259">
        <f t="shared" si="93"/>
        <v>0</v>
      </c>
      <c r="Q261" s="2284">
        <v>0</v>
      </c>
      <c r="R261" s="2285">
        <v>0</v>
      </c>
      <c r="S261" s="2259">
        <f t="shared" si="94"/>
        <v>0</v>
      </c>
      <c r="T261" s="2294">
        <f t="shared" si="100"/>
        <v>0</v>
      </c>
      <c r="U261" s="2285">
        <f t="shared" si="100"/>
        <v>0</v>
      </c>
      <c r="V261" s="2268">
        <f t="shared" ref="V261:V272" si="101">T261/2+U261/2</f>
        <v>0</v>
      </c>
      <c r="W261" s="2294">
        <f t="shared" si="99"/>
        <v>0</v>
      </c>
      <c r="X261" s="2285">
        <f t="shared" si="99"/>
        <v>0</v>
      </c>
      <c r="Y261" s="2268">
        <f t="shared" ref="Y261:Y271" si="102">W261/2+X261/2</f>
        <v>0</v>
      </c>
      <c r="Z261" s="2294">
        <f t="shared" si="98"/>
        <v>0</v>
      </c>
      <c r="AA261" s="2285">
        <f t="shared" si="98"/>
        <v>0</v>
      </c>
      <c r="AB261" s="2268">
        <f t="shared" ref="AB261:AB272" si="103">Z261/2+AA261/2</f>
        <v>0</v>
      </c>
      <c r="AC261" s="2113">
        <f t="shared" si="76"/>
        <v>0</v>
      </c>
      <c r="AD261" s="2114">
        <f t="shared" si="77"/>
        <v>0</v>
      </c>
      <c r="AE261" s="2113">
        <f t="shared" si="78"/>
        <v>0</v>
      </c>
      <c r="AF261" s="2114">
        <f t="shared" si="79"/>
        <v>0</v>
      </c>
      <c r="AG261" s="2113"/>
      <c r="AH261" s="2113"/>
      <c r="AI261" s="2114">
        <f>Z261+'2024 Калуга+область перекачка'!Z261+'2024 Калуга+область очистка'!Z261</f>
        <v>0</v>
      </c>
      <c r="AJ261" s="2114">
        <f>AA261+'2024 Калуга+область перекачка'!AA261+'2024 Калуга+область очистка'!AA261</f>
        <v>0</v>
      </c>
      <c r="AK261" s="2114">
        <f>AB261+'2024 Калуга+область перекачка'!AB261+'2024 Калуга+область очистка'!AB261</f>
        <v>0</v>
      </c>
      <c r="AL261" s="2114">
        <f>расчет_тарифа_К_!O262</f>
        <v>0</v>
      </c>
      <c r="AM261" s="2593">
        <f t="shared" si="80"/>
        <v>0</v>
      </c>
    </row>
    <row r="262" spans="1:39" s="2218" customFormat="1" ht="24" customHeight="1">
      <c r="A262" s="2235">
        <v>31</v>
      </c>
      <c r="B262" s="2423" t="s">
        <v>2132</v>
      </c>
      <c r="C262" s="2424" t="s">
        <v>2133</v>
      </c>
      <c r="D262" s="2425" t="s">
        <v>1128</v>
      </c>
      <c r="E262" s="2284"/>
      <c r="F262" s="2285"/>
      <c r="G262" s="2257">
        <f t="shared" si="89"/>
        <v>0</v>
      </c>
      <c r="H262" s="2285"/>
      <c r="I262" s="2285"/>
      <c r="J262" s="2257">
        <f t="shared" si="90"/>
        <v>0</v>
      </c>
      <c r="K262" s="2285"/>
      <c r="L262" s="2285"/>
      <c r="M262" s="2259">
        <f t="shared" si="91"/>
        <v>0</v>
      </c>
      <c r="N262" s="2284"/>
      <c r="O262" s="2285"/>
      <c r="P262" s="2259">
        <f t="shared" si="93"/>
        <v>0</v>
      </c>
      <c r="Q262" s="2284">
        <v>0</v>
      </c>
      <c r="R262" s="2285">
        <v>0</v>
      </c>
      <c r="S262" s="2259">
        <f t="shared" si="94"/>
        <v>0</v>
      </c>
      <c r="T262" s="2294">
        <f t="shared" si="100"/>
        <v>0</v>
      </c>
      <c r="U262" s="2285">
        <f t="shared" si="100"/>
        <v>0</v>
      </c>
      <c r="V262" s="2268">
        <f t="shared" si="101"/>
        <v>0</v>
      </c>
      <c r="W262" s="2294">
        <f t="shared" si="99"/>
        <v>0</v>
      </c>
      <c r="X262" s="2285">
        <f t="shared" si="99"/>
        <v>0</v>
      </c>
      <c r="Y262" s="2268">
        <f t="shared" si="102"/>
        <v>0</v>
      </c>
      <c r="Z262" s="2294">
        <f t="shared" si="98"/>
        <v>0</v>
      </c>
      <c r="AA262" s="2285">
        <f t="shared" si="98"/>
        <v>0</v>
      </c>
      <c r="AB262" s="2268">
        <f t="shared" si="103"/>
        <v>0</v>
      </c>
      <c r="AC262" s="2113">
        <f t="shared" ref="AC262:AC271" si="104">U262/$U$272*$X$272</f>
        <v>0</v>
      </c>
      <c r="AD262" s="2114">
        <f t="shared" ref="AD262:AD271" si="105">AC262-X262</f>
        <v>0</v>
      </c>
      <c r="AE262" s="2113">
        <f t="shared" ref="AE262:AE271" si="106">U262/$U$272*$AA$272</f>
        <v>0</v>
      </c>
      <c r="AF262" s="2114">
        <f t="shared" ref="AF262:AF271" si="107">AE262-AA262</f>
        <v>0</v>
      </c>
      <c r="AG262" s="2113"/>
      <c r="AH262" s="2113"/>
      <c r="AI262" s="2114">
        <f>Z262+'2024 Калуга+область перекачка'!Z262+'2024 Калуга+область очистка'!Z262</f>
        <v>0</v>
      </c>
      <c r="AJ262" s="2114">
        <f>AA262+'2024 Калуга+область перекачка'!AA262+'2024 Калуга+область очистка'!AA262</f>
        <v>0</v>
      </c>
      <c r="AK262" s="2114">
        <f>AB262+'2024 Калуга+область перекачка'!AB262+'2024 Калуга+область очистка'!AB262</f>
        <v>0</v>
      </c>
      <c r="AL262" s="2114">
        <f>расчет_тарифа_К_!O263</f>
        <v>0</v>
      </c>
      <c r="AM262" s="2593">
        <f t="shared" ref="AM262:AM273" si="108">AJ262-AL262</f>
        <v>0</v>
      </c>
    </row>
    <row r="263" spans="1:39" s="2218" customFormat="1" ht="24" customHeight="1">
      <c r="A263" s="2235">
        <v>32</v>
      </c>
      <c r="B263" s="2423" t="s">
        <v>2134</v>
      </c>
      <c r="C263" s="2424" t="s">
        <v>2135</v>
      </c>
      <c r="D263" s="2425" t="s">
        <v>1128</v>
      </c>
      <c r="E263" s="2284"/>
      <c r="F263" s="2285"/>
      <c r="G263" s="2257">
        <f t="shared" si="89"/>
        <v>0</v>
      </c>
      <c r="H263" s="2285"/>
      <c r="I263" s="2285"/>
      <c r="J263" s="2257">
        <f t="shared" si="90"/>
        <v>0</v>
      </c>
      <c r="K263" s="2285"/>
      <c r="L263" s="2285"/>
      <c r="M263" s="2259">
        <f t="shared" si="91"/>
        <v>0</v>
      </c>
      <c r="N263" s="2284"/>
      <c r="O263" s="2285"/>
      <c r="P263" s="2259">
        <f t="shared" si="93"/>
        <v>0</v>
      </c>
      <c r="Q263" s="2284">
        <v>0</v>
      </c>
      <c r="R263" s="2285">
        <v>0</v>
      </c>
      <c r="S263" s="2259">
        <f t="shared" si="94"/>
        <v>0</v>
      </c>
      <c r="T263" s="2294">
        <f t="shared" si="100"/>
        <v>0</v>
      </c>
      <c r="U263" s="2285">
        <f t="shared" si="100"/>
        <v>0</v>
      </c>
      <c r="V263" s="2268">
        <f t="shared" si="101"/>
        <v>0</v>
      </c>
      <c r="W263" s="2294">
        <f t="shared" si="99"/>
        <v>0</v>
      </c>
      <c r="X263" s="2285">
        <f t="shared" si="99"/>
        <v>0</v>
      </c>
      <c r="Y263" s="2268">
        <f t="shared" si="102"/>
        <v>0</v>
      </c>
      <c r="Z263" s="2294">
        <f t="shared" si="98"/>
        <v>0</v>
      </c>
      <c r="AA263" s="2285">
        <f t="shared" si="98"/>
        <v>0</v>
      </c>
      <c r="AB263" s="2268">
        <f t="shared" si="103"/>
        <v>0</v>
      </c>
      <c r="AC263" s="2113">
        <f t="shared" si="104"/>
        <v>0</v>
      </c>
      <c r="AD263" s="2114">
        <f t="shared" si="105"/>
        <v>0</v>
      </c>
      <c r="AE263" s="2113">
        <f t="shared" si="106"/>
        <v>0</v>
      </c>
      <c r="AF263" s="2114">
        <f t="shared" si="107"/>
        <v>0</v>
      </c>
      <c r="AG263" s="2113"/>
      <c r="AH263" s="2113"/>
      <c r="AI263" s="2114">
        <f>Z263+'2024 Калуга+область перекачка'!Z263+'2024 Калуга+область очистка'!Z263</f>
        <v>0</v>
      </c>
      <c r="AJ263" s="2114">
        <f>AA263+'2024 Калуга+область перекачка'!AA263+'2024 Калуга+область очистка'!AA263</f>
        <v>0</v>
      </c>
      <c r="AK263" s="2114">
        <f>AB263+'2024 Калуга+область перекачка'!AB263+'2024 Калуга+область очистка'!AB263</f>
        <v>0</v>
      </c>
      <c r="AL263" s="2114">
        <f>расчет_тарифа_К_!O264</f>
        <v>0</v>
      </c>
      <c r="AM263" s="2593">
        <f t="shared" si="108"/>
        <v>0</v>
      </c>
    </row>
    <row r="264" spans="1:39" s="2218" customFormat="1" ht="23.25" customHeight="1">
      <c r="A264" s="2235">
        <v>33</v>
      </c>
      <c r="B264" s="2423" t="s">
        <v>2136</v>
      </c>
      <c r="C264" s="2424" t="s">
        <v>2137</v>
      </c>
      <c r="D264" s="2425" t="s">
        <v>1128</v>
      </c>
      <c r="E264" s="2284"/>
      <c r="F264" s="2285"/>
      <c r="G264" s="2257">
        <f t="shared" si="89"/>
        <v>0</v>
      </c>
      <c r="H264" s="2285"/>
      <c r="I264" s="2285"/>
      <c r="J264" s="2257">
        <f t="shared" si="90"/>
        <v>0</v>
      </c>
      <c r="K264" s="2285"/>
      <c r="L264" s="2285"/>
      <c r="M264" s="2259">
        <f t="shared" si="91"/>
        <v>0</v>
      </c>
      <c r="N264" s="2284"/>
      <c r="O264" s="2285"/>
      <c r="P264" s="2259">
        <f t="shared" si="93"/>
        <v>0</v>
      </c>
      <c r="Q264" s="2284">
        <v>0</v>
      </c>
      <c r="R264" s="2285">
        <v>0</v>
      </c>
      <c r="S264" s="2259">
        <f t="shared" si="94"/>
        <v>0</v>
      </c>
      <c r="T264" s="2294">
        <f t="shared" si="100"/>
        <v>0</v>
      </c>
      <c r="U264" s="2285">
        <f t="shared" si="100"/>
        <v>0</v>
      </c>
      <c r="V264" s="2268">
        <f t="shared" si="101"/>
        <v>0</v>
      </c>
      <c r="W264" s="2294">
        <f t="shared" si="99"/>
        <v>0</v>
      </c>
      <c r="X264" s="2285">
        <f t="shared" si="99"/>
        <v>0</v>
      </c>
      <c r="Y264" s="2268">
        <f t="shared" si="102"/>
        <v>0</v>
      </c>
      <c r="Z264" s="2294">
        <f t="shared" si="98"/>
        <v>0</v>
      </c>
      <c r="AA264" s="2285">
        <f t="shared" si="98"/>
        <v>0</v>
      </c>
      <c r="AB264" s="2268">
        <f t="shared" si="103"/>
        <v>0</v>
      </c>
      <c r="AC264" s="2113">
        <f t="shared" si="104"/>
        <v>0</v>
      </c>
      <c r="AD264" s="2114">
        <f t="shared" si="105"/>
        <v>0</v>
      </c>
      <c r="AE264" s="2113">
        <f t="shared" si="106"/>
        <v>0</v>
      </c>
      <c r="AF264" s="2114">
        <f t="shared" si="107"/>
        <v>0</v>
      </c>
      <c r="AG264" s="2113"/>
      <c r="AH264" s="2113"/>
      <c r="AI264" s="2114">
        <f>Z264+'2024 Калуга+область перекачка'!Z264+'2024 Калуга+область очистка'!Z264</f>
        <v>0</v>
      </c>
      <c r="AJ264" s="2114">
        <f>AA264+'2024 Калуга+область перекачка'!AA264+'2024 Калуга+область очистка'!AA264</f>
        <v>0</v>
      </c>
      <c r="AK264" s="2114">
        <f>AB264+'2024 Калуга+область перекачка'!AB264+'2024 Калуга+область очистка'!AB264</f>
        <v>0</v>
      </c>
      <c r="AL264" s="2114">
        <f>расчет_тарифа_К_!O265</f>
        <v>0</v>
      </c>
      <c r="AM264" s="2593">
        <f t="shared" si="108"/>
        <v>0</v>
      </c>
    </row>
    <row r="265" spans="1:39" s="2218" customFormat="1" ht="22.5" customHeight="1">
      <c r="A265" s="2235">
        <v>34</v>
      </c>
      <c r="B265" s="2423" t="s">
        <v>2138</v>
      </c>
      <c r="C265" s="2424" t="s">
        <v>2139</v>
      </c>
      <c r="D265" s="2425" t="s">
        <v>1313</v>
      </c>
      <c r="E265" s="2255">
        <f>E266+E267</f>
        <v>0</v>
      </c>
      <c r="F265" s="2256">
        <f>F266+F267</f>
        <v>0</v>
      </c>
      <c r="G265" s="2257">
        <f t="shared" si="89"/>
        <v>0</v>
      </c>
      <c r="H265" s="2256">
        <f>H266+H267</f>
        <v>0</v>
      </c>
      <c r="I265" s="2256">
        <f>I266+I267</f>
        <v>0</v>
      </c>
      <c r="J265" s="2257">
        <f t="shared" si="90"/>
        <v>0</v>
      </c>
      <c r="K265" s="2256">
        <f>K266+K267</f>
        <v>0</v>
      </c>
      <c r="L265" s="2256">
        <f>L266+L267</f>
        <v>0</v>
      </c>
      <c r="M265" s="2259">
        <f t="shared" si="91"/>
        <v>0</v>
      </c>
      <c r="N265" s="2255">
        <v>0</v>
      </c>
      <c r="O265" s="2256">
        <v>0</v>
      </c>
      <c r="P265" s="2259">
        <f t="shared" si="93"/>
        <v>0</v>
      </c>
      <c r="Q265" s="2255">
        <v>0</v>
      </c>
      <c r="R265" s="2256">
        <v>0</v>
      </c>
      <c r="S265" s="2259">
        <f t="shared" si="94"/>
        <v>0</v>
      </c>
      <c r="T265" s="2246">
        <f>N265+Q265</f>
        <v>0</v>
      </c>
      <c r="U265" s="2247">
        <f>O265+R265</f>
        <v>0</v>
      </c>
      <c r="V265" s="2268">
        <f t="shared" si="101"/>
        <v>0</v>
      </c>
      <c r="W265" s="2246">
        <f t="shared" si="99"/>
        <v>0</v>
      </c>
      <c r="X265" s="2247">
        <f t="shared" si="99"/>
        <v>0</v>
      </c>
      <c r="Y265" s="2268">
        <f t="shared" si="102"/>
        <v>0</v>
      </c>
      <c r="Z265" s="2246">
        <f t="shared" si="98"/>
        <v>0</v>
      </c>
      <c r="AA265" s="2247">
        <f t="shared" si="98"/>
        <v>0</v>
      </c>
      <c r="AB265" s="2268">
        <f t="shared" si="103"/>
        <v>0</v>
      </c>
      <c r="AC265" s="2113">
        <f t="shared" si="104"/>
        <v>0</v>
      </c>
      <c r="AD265" s="2114">
        <f t="shared" si="105"/>
        <v>0</v>
      </c>
      <c r="AE265" s="2113">
        <f t="shared" si="106"/>
        <v>0</v>
      </c>
      <c r="AF265" s="2114">
        <f t="shared" si="107"/>
        <v>0</v>
      </c>
      <c r="AG265" s="2113"/>
      <c r="AH265" s="2113"/>
      <c r="AI265" s="2114">
        <f>Z265+'2024 Калуга+область перекачка'!Z265+'2024 Калуга+область очистка'!Z265</f>
        <v>0</v>
      </c>
      <c r="AJ265" s="2114">
        <f>AA265+'2024 Калуга+область перекачка'!AA265+'2024 Калуга+область очистка'!AA265</f>
        <v>0</v>
      </c>
      <c r="AK265" s="2114">
        <f>AB265+'2024 Калуга+область перекачка'!AB265+'2024 Калуга+область очистка'!AB265</f>
        <v>0</v>
      </c>
      <c r="AL265" s="2114">
        <f>расчет_тарифа_К_!O266</f>
        <v>0</v>
      </c>
      <c r="AM265" s="2593">
        <f t="shared" si="108"/>
        <v>0</v>
      </c>
    </row>
    <row r="266" spans="1:39" s="2218" customFormat="1" ht="25.5" customHeight="1">
      <c r="A266" s="2235">
        <v>35</v>
      </c>
      <c r="B266" s="2423" t="s">
        <v>2140</v>
      </c>
      <c r="C266" s="2424" t="s">
        <v>2084</v>
      </c>
      <c r="D266" s="2425" t="s">
        <v>1128</v>
      </c>
      <c r="E266" s="2284"/>
      <c r="F266" s="2285"/>
      <c r="G266" s="2257">
        <f t="shared" si="89"/>
        <v>0</v>
      </c>
      <c r="H266" s="2285"/>
      <c r="I266" s="2285"/>
      <c r="J266" s="2257">
        <f t="shared" si="90"/>
        <v>0</v>
      </c>
      <c r="K266" s="2285"/>
      <c r="L266" s="2285"/>
      <c r="M266" s="2259">
        <f t="shared" si="91"/>
        <v>0</v>
      </c>
      <c r="N266" s="2284"/>
      <c r="O266" s="2285"/>
      <c r="P266" s="2259">
        <f t="shared" si="93"/>
        <v>0</v>
      </c>
      <c r="Q266" s="2284">
        <v>0</v>
      </c>
      <c r="R266" s="2285">
        <v>0</v>
      </c>
      <c r="S266" s="2259">
        <f t="shared" si="94"/>
        <v>0</v>
      </c>
      <c r="T266" s="2294">
        <f t="shared" ref="T266:U272" si="109">N266+Q266</f>
        <v>0</v>
      </c>
      <c r="U266" s="2285">
        <f t="shared" si="109"/>
        <v>0</v>
      </c>
      <c r="V266" s="2268">
        <f t="shared" si="101"/>
        <v>0</v>
      </c>
      <c r="W266" s="2294">
        <f t="shared" si="99"/>
        <v>0</v>
      </c>
      <c r="X266" s="2285">
        <f t="shared" si="99"/>
        <v>0</v>
      </c>
      <c r="Y266" s="2268">
        <f t="shared" si="102"/>
        <v>0</v>
      </c>
      <c r="Z266" s="2294">
        <f t="shared" si="98"/>
        <v>0</v>
      </c>
      <c r="AA266" s="2285">
        <f t="shared" si="98"/>
        <v>0</v>
      </c>
      <c r="AB266" s="2268">
        <f t="shared" si="103"/>
        <v>0</v>
      </c>
      <c r="AC266" s="2113">
        <f t="shared" si="104"/>
        <v>0</v>
      </c>
      <c r="AD266" s="2114">
        <f t="shared" si="105"/>
        <v>0</v>
      </c>
      <c r="AE266" s="2113">
        <f t="shared" si="106"/>
        <v>0</v>
      </c>
      <c r="AF266" s="2114">
        <f t="shared" si="107"/>
        <v>0</v>
      </c>
      <c r="AG266" s="2113"/>
      <c r="AH266" s="2113"/>
      <c r="AI266" s="2114">
        <f>Z266+'2024 Калуга+область перекачка'!Z266+'2024 Калуга+область очистка'!Z266</f>
        <v>0</v>
      </c>
      <c r="AJ266" s="2114">
        <f>AA266+'2024 Калуга+область перекачка'!AA266+'2024 Калуга+область очистка'!AA266</f>
        <v>0</v>
      </c>
      <c r="AK266" s="2114">
        <f>AB266+'2024 Калуга+область перекачка'!AB266+'2024 Калуга+область очистка'!AB266</f>
        <v>0</v>
      </c>
      <c r="AL266" s="2114">
        <f>расчет_тарифа_К_!O267</f>
        <v>0</v>
      </c>
      <c r="AM266" s="2593">
        <f t="shared" si="108"/>
        <v>0</v>
      </c>
    </row>
    <row r="267" spans="1:39" s="2218" customFormat="1" ht="23.25" customHeight="1">
      <c r="A267" s="2235">
        <v>36</v>
      </c>
      <c r="B267" s="2423" t="s">
        <v>2141</v>
      </c>
      <c r="C267" s="2424" t="s">
        <v>2088</v>
      </c>
      <c r="D267" s="2425" t="s">
        <v>1128</v>
      </c>
      <c r="E267" s="2284"/>
      <c r="F267" s="2285"/>
      <c r="G267" s="2257">
        <f t="shared" si="89"/>
        <v>0</v>
      </c>
      <c r="H267" s="2285"/>
      <c r="I267" s="2285"/>
      <c r="J267" s="2257">
        <f t="shared" si="90"/>
        <v>0</v>
      </c>
      <c r="K267" s="2285"/>
      <c r="L267" s="2285"/>
      <c r="M267" s="2259">
        <f t="shared" si="91"/>
        <v>0</v>
      </c>
      <c r="N267" s="2284"/>
      <c r="O267" s="2285"/>
      <c r="P267" s="2259">
        <f t="shared" si="93"/>
        <v>0</v>
      </c>
      <c r="Q267" s="2284">
        <v>0</v>
      </c>
      <c r="R267" s="2285">
        <v>0</v>
      </c>
      <c r="S267" s="2259">
        <f t="shared" si="94"/>
        <v>0</v>
      </c>
      <c r="T267" s="2294">
        <f t="shared" si="109"/>
        <v>0</v>
      </c>
      <c r="U267" s="2285">
        <f t="shared" si="109"/>
        <v>0</v>
      </c>
      <c r="V267" s="2268">
        <f t="shared" si="101"/>
        <v>0</v>
      </c>
      <c r="W267" s="2294">
        <f t="shared" si="99"/>
        <v>0</v>
      </c>
      <c r="X267" s="2285">
        <f t="shared" si="99"/>
        <v>0</v>
      </c>
      <c r="Y267" s="2268">
        <f t="shared" si="102"/>
        <v>0</v>
      </c>
      <c r="Z267" s="2294">
        <f t="shared" si="98"/>
        <v>0</v>
      </c>
      <c r="AA267" s="2285">
        <f t="shared" si="98"/>
        <v>0</v>
      </c>
      <c r="AB267" s="2268">
        <f t="shared" si="103"/>
        <v>0</v>
      </c>
      <c r="AC267" s="2113">
        <f t="shared" si="104"/>
        <v>0</v>
      </c>
      <c r="AD267" s="2114">
        <f t="shared" si="105"/>
        <v>0</v>
      </c>
      <c r="AE267" s="2113">
        <f t="shared" si="106"/>
        <v>0</v>
      </c>
      <c r="AF267" s="2114">
        <f t="shared" si="107"/>
        <v>0</v>
      </c>
      <c r="AG267" s="2113"/>
      <c r="AH267" s="2113"/>
      <c r="AI267" s="2114">
        <f>Z267+'2024 Калуга+область перекачка'!Z267+'2024 Калуга+область очистка'!Z267</f>
        <v>0</v>
      </c>
      <c r="AJ267" s="2114">
        <f>AA267+'2024 Калуга+область перекачка'!AA267+'2024 Калуга+область очистка'!AA267</f>
        <v>0</v>
      </c>
      <c r="AK267" s="2114">
        <f>AB267+'2024 Калуга+область перекачка'!AB267+'2024 Калуга+область очистка'!AB267</f>
        <v>0</v>
      </c>
      <c r="AL267" s="2114">
        <f>расчет_тарифа_К_!O268</f>
        <v>0</v>
      </c>
      <c r="AM267" s="2593">
        <f t="shared" si="108"/>
        <v>0</v>
      </c>
    </row>
    <row r="268" spans="1:39" s="2218" customFormat="1" ht="20.25" customHeight="1" thickBot="1">
      <c r="A268" s="2235">
        <v>37</v>
      </c>
      <c r="B268" s="2428" t="s">
        <v>2142</v>
      </c>
      <c r="C268" s="2429" t="s">
        <v>2143</v>
      </c>
      <c r="D268" s="2430" t="s">
        <v>1128</v>
      </c>
      <c r="E268" s="2300"/>
      <c r="F268" s="2301"/>
      <c r="G268" s="2266">
        <f t="shared" si="89"/>
        <v>0</v>
      </c>
      <c r="H268" s="2301"/>
      <c r="I268" s="2301"/>
      <c r="J268" s="2266">
        <f t="shared" si="90"/>
        <v>0</v>
      </c>
      <c r="K268" s="2301"/>
      <c r="L268" s="2301"/>
      <c r="M268" s="2268">
        <f t="shared" si="91"/>
        <v>0</v>
      </c>
      <c r="N268" s="2300"/>
      <c r="O268" s="2301"/>
      <c r="P268" s="2268">
        <f t="shared" si="93"/>
        <v>0</v>
      </c>
      <c r="Q268" s="2300">
        <v>0</v>
      </c>
      <c r="R268" s="2301">
        <v>0</v>
      </c>
      <c r="S268" s="2268">
        <f t="shared" si="94"/>
        <v>0</v>
      </c>
      <c r="T268" s="2294">
        <f t="shared" si="109"/>
        <v>0</v>
      </c>
      <c r="U268" s="2285">
        <f t="shared" si="109"/>
        <v>0</v>
      </c>
      <c r="V268" s="2268">
        <f t="shared" si="101"/>
        <v>0</v>
      </c>
      <c r="W268" s="2294">
        <f t="shared" si="99"/>
        <v>0</v>
      </c>
      <c r="X268" s="2285">
        <f t="shared" si="99"/>
        <v>0</v>
      </c>
      <c r="Y268" s="2268">
        <f t="shared" si="102"/>
        <v>0</v>
      </c>
      <c r="Z268" s="2294">
        <f t="shared" si="98"/>
        <v>0</v>
      </c>
      <c r="AA268" s="2285">
        <f t="shared" si="98"/>
        <v>0</v>
      </c>
      <c r="AB268" s="2268">
        <f t="shared" si="103"/>
        <v>0</v>
      </c>
      <c r="AC268" s="2113">
        <f t="shared" si="104"/>
        <v>0</v>
      </c>
      <c r="AD268" s="2114">
        <f t="shared" si="105"/>
        <v>0</v>
      </c>
      <c r="AE268" s="2113">
        <f t="shared" si="106"/>
        <v>0</v>
      </c>
      <c r="AF268" s="2114">
        <f t="shared" si="107"/>
        <v>0</v>
      </c>
      <c r="AG268" s="2113"/>
      <c r="AH268" s="2113"/>
      <c r="AI268" s="2114">
        <f>Z268+'2024 Калуга+область перекачка'!Z268+'2024 Калуга+область очистка'!Z268</f>
        <v>0</v>
      </c>
      <c r="AJ268" s="2114">
        <f>AA268+'2024 Калуга+область перекачка'!AA268+'2024 Калуга+область очистка'!AA268</f>
        <v>0</v>
      </c>
      <c r="AK268" s="2114">
        <f>AB268+'2024 Калуга+область перекачка'!AB268+'2024 Калуга+область очистка'!AB268</f>
        <v>0</v>
      </c>
      <c r="AL268" s="2114">
        <f>расчет_тарифа_К_!O269</f>
        <v>0</v>
      </c>
      <c r="AM268" s="2593">
        <f t="shared" si="108"/>
        <v>0</v>
      </c>
    </row>
    <row r="269" spans="1:39" s="2218" customFormat="1" ht="57" thickBot="1">
      <c r="A269" s="2235">
        <v>197</v>
      </c>
      <c r="B269" s="2317" t="s">
        <v>2144</v>
      </c>
      <c r="C269" s="2318" t="s">
        <v>2145</v>
      </c>
      <c r="D269" s="2319" t="s">
        <v>1317</v>
      </c>
      <c r="E269" s="2431"/>
      <c r="F269" s="2432"/>
      <c r="G269" s="2374">
        <f>E269/2+F269/2</f>
        <v>0</v>
      </c>
      <c r="H269" s="2432"/>
      <c r="I269" s="2432"/>
      <c r="J269" s="2374">
        <f>H269/2+I269/2</f>
        <v>0</v>
      </c>
      <c r="K269" s="2432"/>
      <c r="L269" s="2432"/>
      <c r="M269" s="2374">
        <f>K269/2+L269/2</f>
        <v>0</v>
      </c>
      <c r="N269" s="2431"/>
      <c r="O269" s="2432"/>
      <c r="P269" s="2374">
        <f>N269/2+O269/2</f>
        <v>0</v>
      </c>
      <c r="Q269" s="2431">
        <v>0</v>
      </c>
      <c r="R269" s="2432">
        <v>0</v>
      </c>
      <c r="S269" s="2374">
        <f>Q269/2+R269/2</f>
        <v>0</v>
      </c>
      <c r="T269" s="2070">
        <f t="shared" si="109"/>
        <v>0</v>
      </c>
      <c r="U269" s="2413">
        <f t="shared" si="109"/>
        <v>0</v>
      </c>
      <c r="V269" s="2071">
        <f t="shared" si="101"/>
        <v>0</v>
      </c>
      <c r="W269" s="2945">
        <f>T269/$T$272*$N$272</f>
        <v>0</v>
      </c>
      <c r="X269" s="2373">
        <f>U269/$T$272*$N$272</f>
        <v>0</v>
      </c>
      <c r="Y269" s="2374">
        <f t="shared" si="102"/>
        <v>0</v>
      </c>
      <c r="Z269" s="2945">
        <f>T269/$T$272*$Z$272</f>
        <v>0</v>
      </c>
      <c r="AA269" s="2373">
        <f>U269/$T$272*$Z$272</f>
        <v>0</v>
      </c>
      <c r="AB269" s="2946">
        <f t="shared" si="103"/>
        <v>0</v>
      </c>
      <c r="AC269" s="2113">
        <f t="shared" si="104"/>
        <v>0</v>
      </c>
      <c r="AD269" s="2114">
        <f t="shared" si="105"/>
        <v>0</v>
      </c>
      <c r="AE269" s="2113">
        <f t="shared" si="106"/>
        <v>0</v>
      </c>
      <c r="AF269" s="2114">
        <f t="shared" si="107"/>
        <v>0</v>
      </c>
      <c r="AG269" s="2113"/>
      <c r="AH269" s="2113"/>
      <c r="AI269" s="2114">
        <f>Z269+'2024 Калуга+область перекачка'!Z269+'2024 Калуга+область очистка'!Z269</f>
        <v>0</v>
      </c>
      <c r="AJ269" s="2114">
        <f>AA269+'2024 Калуга+область перекачка'!AA269+'2024 Калуга+область очистка'!AA269</f>
        <v>0</v>
      </c>
      <c r="AK269" s="2114">
        <f>AB269+'2024 Калуга+область перекачка'!AB269+'2024 Калуга+область очистка'!AB269</f>
        <v>0</v>
      </c>
      <c r="AL269" s="2114">
        <f>расчет_тарифа_К_!O270</f>
        <v>0</v>
      </c>
      <c r="AM269" s="2593">
        <f t="shared" si="108"/>
        <v>0</v>
      </c>
    </row>
    <row r="270" spans="1:39" ht="106.5" customHeight="1">
      <c r="B270" s="2434"/>
      <c r="C270" s="2435" t="s">
        <v>2146</v>
      </c>
      <c r="D270" s="2307" t="s">
        <v>1317</v>
      </c>
      <c r="E270" s="2436"/>
      <c r="F270" s="2437"/>
      <c r="G270" s="2438">
        <f t="shared" si="89"/>
        <v>0</v>
      </c>
      <c r="H270" s="2437"/>
      <c r="I270" s="2437"/>
      <c r="J270" s="2438">
        <f>H270/2+I270/2</f>
        <v>0</v>
      </c>
      <c r="K270" s="2437"/>
      <c r="L270" s="2437"/>
      <c r="M270" s="2440">
        <f>K270/2+L270/2</f>
        <v>0</v>
      </c>
      <c r="N270" s="2436"/>
      <c r="O270" s="2437"/>
      <c r="P270" s="2440">
        <f>N270/2+O270/2</f>
        <v>0</v>
      </c>
      <c r="Q270" s="2436">
        <v>0</v>
      </c>
      <c r="R270" s="2437">
        <v>0</v>
      </c>
      <c r="S270" s="2440">
        <f>Q270/2+R270/2</f>
        <v>0</v>
      </c>
      <c r="T270" s="2294">
        <f t="shared" si="109"/>
        <v>0</v>
      </c>
      <c r="U270" s="2285">
        <f t="shared" si="109"/>
        <v>0</v>
      </c>
      <c r="V270" s="2268">
        <f t="shared" si="101"/>
        <v>0</v>
      </c>
      <c r="W270" s="2888">
        <f>T270/$T$272*$W$272</f>
        <v>0</v>
      </c>
      <c r="X270" s="2889">
        <f>U270/$T$272*$W$272</f>
        <v>0</v>
      </c>
      <c r="Y270" s="2268">
        <f t="shared" si="102"/>
        <v>0</v>
      </c>
      <c r="Z270" s="2888">
        <f>T270/$T$272*$Z$272</f>
        <v>0</v>
      </c>
      <c r="AA270" s="2889">
        <f>U270/$T$272*$Z$272</f>
        <v>0</v>
      </c>
      <c r="AB270" s="2268">
        <f t="shared" si="103"/>
        <v>0</v>
      </c>
      <c r="AC270" s="2113">
        <f t="shared" si="104"/>
        <v>0</v>
      </c>
      <c r="AD270" s="2114">
        <f t="shared" si="105"/>
        <v>0</v>
      </c>
      <c r="AE270" s="2113">
        <f t="shared" si="106"/>
        <v>0</v>
      </c>
      <c r="AF270" s="2114">
        <f t="shared" si="107"/>
        <v>0</v>
      </c>
      <c r="AI270" s="2114">
        <f>Z270+'2024 Калуга+область перекачка'!Z270+'2024 Калуга+область очистка'!Z270</f>
        <v>0</v>
      </c>
      <c r="AJ270" s="2114">
        <f>AA270+'2024 Калуга+область перекачка'!AA270+'2024 Калуга+область очистка'!AA270</f>
        <v>0</v>
      </c>
      <c r="AK270" s="2114">
        <f>AB270+'2024 Калуга+область перекачка'!AB270+'2024 Калуга+область очистка'!AB270</f>
        <v>0</v>
      </c>
      <c r="AL270" s="2114">
        <f>расчет_тарифа_К_!O271</f>
        <v>0</v>
      </c>
      <c r="AM270" s="2593">
        <f t="shared" si="108"/>
        <v>0</v>
      </c>
    </row>
    <row r="271" spans="1:39">
      <c r="B271" s="2442" t="s">
        <v>15036</v>
      </c>
      <c r="C271" s="2435" t="s">
        <v>15037</v>
      </c>
      <c r="D271" s="2307" t="s">
        <v>1317</v>
      </c>
      <c r="E271" s="2436"/>
      <c r="F271" s="2437"/>
      <c r="G271" s="2438"/>
      <c r="H271" s="2437"/>
      <c r="I271" s="2437"/>
      <c r="J271" s="2438"/>
      <c r="K271" s="2437"/>
      <c r="L271" s="2437"/>
      <c r="M271" s="2440"/>
      <c r="N271" s="2436"/>
      <c r="O271" s="2437"/>
      <c r="P271" s="2440"/>
      <c r="Q271" s="2436">
        <v>0</v>
      </c>
      <c r="R271" s="2437">
        <v>0</v>
      </c>
      <c r="S271" s="2440"/>
      <c r="T271" s="2294">
        <f t="shared" si="109"/>
        <v>0</v>
      </c>
      <c r="U271" s="2285">
        <f t="shared" si="109"/>
        <v>0</v>
      </c>
      <c r="V271" s="2268">
        <f t="shared" si="101"/>
        <v>0</v>
      </c>
      <c r="W271" s="2888">
        <f>T271/$T$272*$W$272</f>
        <v>0</v>
      </c>
      <c r="X271" s="3020">
        <v>-4300</v>
      </c>
      <c r="Y271" s="2268">
        <f t="shared" si="102"/>
        <v>-2150</v>
      </c>
      <c r="Z271" s="2294">
        <f>T271+W271</f>
        <v>0</v>
      </c>
      <c r="AA271" s="2387">
        <v>-13000</v>
      </c>
      <c r="AB271" s="2268">
        <f t="shared" si="103"/>
        <v>-6500</v>
      </c>
      <c r="AC271" s="2113">
        <f t="shared" si="104"/>
        <v>0</v>
      </c>
      <c r="AD271" s="2114">
        <f t="shared" si="105"/>
        <v>4300</v>
      </c>
      <c r="AE271" s="2113">
        <f t="shared" si="106"/>
        <v>0</v>
      </c>
      <c r="AF271" s="2114">
        <f t="shared" si="107"/>
        <v>13000</v>
      </c>
      <c r="AI271" s="2114">
        <f>Z271+'2024 Калуга+область перекачка'!Z271+'2024 Калуга+область очистка'!Z271</f>
        <v>0</v>
      </c>
      <c r="AJ271" s="2114">
        <f>AA271+'2024 Калуга+область перекачка'!AA271+'2024 Калуга+область очистка'!AA271</f>
        <v>-63600</v>
      </c>
      <c r="AK271" s="2114">
        <f>AB271+'2024 Калуга+область перекачка'!AB271+'2024 Калуга+область очистка'!AB271</f>
        <v>-31800</v>
      </c>
      <c r="AL271" s="2114">
        <f>расчет_тарифа_К_!O272</f>
        <v>-63600</v>
      </c>
      <c r="AM271" s="2593">
        <f t="shared" si="108"/>
        <v>0</v>
      </c>
    </row>
    <row r="272" spans="1:39" ht="37.5">
      <c r="B272" s="2443"/>
      <c r="C272" s="2444" t="s">
        <v>2147</v>
      </c>
      <c r="D272" s="2445" t="s">
        <v>1983</v>
      </c>
      <c r="E272" s="2446">
        <f>'[3]НВВ тран-ка'!K548</f>
        <v>7066.4698199999984</v>
      </c>
      <c r="F272" s="2447">
        <f>'[3]НВВ тран-ка'!L548</f>
        <v>7028.0483139999924</v>
      </c>
      <c r="G272" s="2448">
        <f t="shared" si="89"/>
        <v>7047.2590669999954</v>
      </c>
      <c r="H272" s="2447">
        <f>'[3]НВВ тран-ка'!T548</f>
        <v>7248.642347490586</v>
      </c>
      <c r="I272" s="2447">
        <f>'[3]НВВ тран-ка'!U548</f>
        <v>7433.5271845094285</v>
      </c>
      <c r="J272" s="2448">
        <f>H272/2+I272/2</f>
        <v>7341.0847660000072</v>
      </c>
      <c r="K272" s="2447">
        <f>'[3]НВВ тран-ка'!AC548</f>
        <v>8563.0050129999945</v>
      </c>
      <c r="L272" s="2447">
        <f>'[3]НВВ тран-ка'!AD548</f>
        <v>7730.1458849999981</v>
      </c>
      <c r="M272" s="2450">
        <f>K272/2+L272/2</f>
        <v>8146.5754489999963</v>
      </c>
      <c r="N272" s="2953">
        <v>8199.5969999999979</v>
      </c>
      <c r="O272" s="2954">
        <v>8199.5969999999979</v>
      </c>
      <c r="P272" s="2955">
        <f>N272/2+O272/2</f>
        <v>8199.5969999999979</v>
      </c>
      <c r="Q272" s="2953">
        <v>28246.627</v>
      </c>
      <c r="R272" s="2954">
        <v>28246.627</v>
      </c>
      <c r="S272" s="2955">
        <f>Q272/2+R272/2</f>
        <v>28246.627</v>
      </c>
      <c r="T272" s="2953">
        <f t="shared" si="109"/>
        <v>36446.224000000002</v>
      </c>
      <c r="U272" s="2954">
        <f t="shared" si="109"/>
        <v>36446.224000000002</v>
      </c>
      <c r="V272" s="2956">
        <f t="shared" si="101"/>
        <v>36446.224000000002</v>
      </c>
      <c r="W272" s="2953">
        <f>N272</f>
        <v>8199.5969999999979</v>
      </c>
      <c r="X272" s="2954">
        <f>O272</f>
        <v>8199.5969999999979</v>
      </c>
      <c r="Y272" s="2955">
        <f>W272/2+X272/2</f>
        <v>8199.5969999999979</v>
      </c>
      <c r="Z272" s="2953">
        <f>Q272</f>
        <v>28246.627</v>
      </c>
      <c r="AA272" s="2954">
        <f>R272</f>
        <v>28246.627</v>
      </c>
      <c r="AB272" s="2956">
        <f t="shared" si="103"/>
        <v>28246.627</v>
      </c>
      <c r="AI272" s="2114">
        <f>Z272+'2024 Калуга+область перекачка'!Z272+'2024 Калуга+область очистка'!Z272</f>
        <v>84486.379000000001</v>
      </c>
      <c r="AJ272" s="2114">
        <f>AA272+'2024 Калуга+область перекачка'!AA272+'2024 Калуга+область очистка'!AA272</f>
        <v>84486.379000000001</v>
      </c>
      <c r="AK272" s="2114">
        <f>AB272+'2024 Калуга+область перекачка'!AB272+'2024 Калуга+область очистка'!AB272</f>
        <v>84486.379000000001</v>
      </c>
      <c r="AL272" s="2114">
        <f>расчет_тарифа_К_!O273</f>
        <v>28172.545981405161</v>
      </c>
      <c r="AM272" s="2593">
        <f t="shared" si="108"/>
        <v>56313.833018594843</v>
      </c>
    </row>
    <row r="273" spans="2:39" ht="38.25" thickBot="1">
      <c r="B273" s="2451"/>
      <c r="C273" s="2452" t="s">
        <v>2148</v>
      </c>
      <c r="D273" s="2453" t="s">
        <v>1986</v>
      </c>
      <c r="E273" s="2454">
        <f>E5/E272</f>
        <v>11.916880590105356</v>
      </c>
      <c r="F273" s="2455">
        <f>F5/F272</f>
        <v>12.335106960762889</v>
      </c>
      <c r="G273" s="2455"/>
      <c r="H273" s="2455">
        <f>H5/H272</f>
        <v>11.25126297325718</v>
      </c>
      <c r="I273" s="2455">
        <f>I5/I272</f>
        <v>11.234590917653723</v>
      </c>
      <c r="J273" s="2455"/>
      <c r="K273" s="2455">
        <f>K5/K272</f>
        <v>10.137074164369439</v>
      </c>
      <c r="L273" s="2455">
        <f>L5/L272</f>
        <v>11.532421632521606</v>
      </c>
      <c r="M273" s="2456"/>
      <c r="N273" s="2454">
        <f>N5/N272</f>
        <v>4.0400002999421059</v>
      </c>
      <c r="O273" s="2455">
        <f>O5/O272</f>
        <v>10.082310906800235</v>
      </c>
      <c r="P273" s="2456"/>
      <c r="Q273" s="2454">
        <f>Q5/Q272</f>
        <v>4.040235383300935</v>
      </c>
      <c r="R273" s="2455">
        <f>R5/R272</f>
        <v>6.2836502763208957</v>
      </c>
      <c r="S273" s="2456"/>
      <c r="T273" s="2957">
        <f>T5/T272</f>
        <v>4.0401824947272429</v>
      </c>
      <c r="U273" s="2455">
        <f>U5/U272</f>
        <v>7.1382651826468964</v>
      </c>
      <c r="V273" s="2456"/>
      <c r="W273" s="2454">
        <f>W5/W272</f>
        <v>4.0401824947272438</v>
      </c>
      <c r="X273" s="2455">
        <f>X5/X272</f>
        <v>4.4320991163817247</v>
      </c>
      <c r="Y273" s="2456"/>
      <c r="Z273" s="2454">
        <f>Z5/Z272</f>
        <v>4.0401824947272429</v>
      </c>
      <c r="AA273" s="2455">
        <f>AA5/AA272</f>
        <v>5.489785339584123</v>
      </c>
      <c r="AB273" s="2456"/>
      <c r="AI273" s="2114">
        <f>Z273+'2024 Калуга+область перекачка'!Z273+'2024 Калуга+область очистка'!Z273</f>
        <v>19.414916032996778</v>
      </c>
      <c r="AJ273" s="2114">
        <f>AA273+'2024 Калуга+область перекачка'!AA273+'2024 Калуга+область очистка'!AA273</f>
        <v>24.784971874663505</v>
      </c>
      <c r="AK273" s="2114">
        <f>AB273+'2024 Калуга+область перекачка'!AB273+'2024 Калуга+область очистка'!AB273</f>
        <v>0</v>
      </c>
      <c r="AL273" s="2114">
        <f>расчет_тарифа_К_!O274</f>
        <v>24.784971588691288</v>
      </c>
      <c r="AM273" s="2593">
        <f t="shared" si="108"/>
        <v>2.8597221657378213E-7</v>
      </c>
    </row>
    <row r="274" spans="2:39" ht="14.25" customHeight="1">
      <c r="B274" s="3353"/>
      <c r="C274" s="3354"/>
      <c r="D274" s="3354"/>
      <c r="E274" s="3354"/>
      <c r="F274" s="3354"/>
      <c r="G274" s="3354"/>
      <c r="H274" s="3354"/>
      <c r="I274" s="3354"/>
      <c r="J274" s="3354"/>
      <c r="K274" s="3354"/>
      <c r="L274" s="3354"/>
      <c r="M274" s="2116"/>
      <c r="N274" s="3350" t="s">
        <v>15210</v>
      </c>
      <c r="O274" s="3350"/>
      <c r="P274" s="2116"/>
      <c r="Q274" s="2116"/>
      <c r="R274" s="2116"/>
      <c r="S274" s="2116"/>
      <c r="T274" s="2116"/>
      <c r="U274" s="2116"/>
      <c r="V274" s="2116"/>
      <c r="W274" s="2116"/>
      <c r="X274" s="2116"/>
      <c r="Y274" s="2116"/>
      <c r="Z274" s="2116"/>
      <c r="AA274" s="2116"/>
      <c r="AB274" s="2116"/>
    </row>
    <row r="275" spans="2:39">
      <c r="C275" s="2459"/>
      <c r="D275" s="2459"/>
      <c r="E275" s="2459"/>
      <c r="F275" s="2459"/>
      <c r="G275" s="2459"/>
      <c r="H275" s="2459"/>
      <c r="I275" s="2459"/>
      <c r="J275" s="2459"/>
      <c r="K275" s="2459"/>
      <c r="L275" s="2459"/>
      <c r="M275" s="2958"/>
      <c r="N275" s="3350" t="s">
        <v>15210</v>
      </c>
      <c r="O275" s="3350"/>
      <c r="P275" s="2116"/>
      <c r="Q275" s="3021"/>
      <c r="R275" s="2116"/>
      <c r="S275" s="2116"/>
      <c r="T275" s="2960"/>
      <c r="U275" s="2961">
        <f>U273/T273</f>
        <v>1.7668175118235119</v>
      </c>
      <c r="V275" s="2960"/>
      <c r="W275" s="2960"/>
      <c r="X275" s="2961">
        <f>X273/W273</f>
        <v>1.0970046828740936</v>
      </c>
      <c r="Y275" s="2960"/>
      <c r="Z275" s="2960"/>
      <c r="AA275" s="2961">
        <f>AA273/Z273</f>
        <v>1.3587963778242014</v>
      </c>
      <c r="AB275" s="2960"/>
    </row>
    <row r="276" spans="2:39" ht="18.75" customHeight="1">
      <c r="C276" s="3351"/>
      <c r="D276" s="3351"/>
      <c r="E276" s="3351"/>
      <c r="F276" s="3351"/>
      <c r="G276" s="3351"/>
      <c r="H276" s="2963"/>
      <c r="I276" s="2963"/>
      <c r="J276"/>
      <c r="K276"/>
      <c r="L276"/>
      <c r="M276" s="2899" t="s">
        <v>2018</v>
      </c>
      <c r="N276" s="2899">
        <f>'[5]ГП вода  без Калуги'!$G$3505</f>
        <v>537.89</v>
      </c>
      <c r="O276" s="2899">
        <f>N276</f>
        <v>537.89</v>
      </c>
      <c r="P276" s="2658"/>
      <c r="S276" s="2116"/>
      <c r="T276" s="2658"/>
      <c r="U276" s="2658"/>
      <c r="V276" s="2658"/>
      <c r="W276" s="2658"/>
      <c r="X276" s="2658"/>
      <c r="Y276" s="2658"/>
      <c r="Z276" s="2658"/>
      <c r="AA276" s="2658"/>
      <c r="AB276" s="2658"/>
      <c r="AC276" s="2603"/>
      <c r="AF276" s="2614"/>
    </row>
    <row r="277" spans="2:39" ht="21">
      <c r="B277" s="2462"/>
      <c r="C277" s="2964" t="s">
        <v>15211</v>
      </c>
      <c r="D277" s="2965"/>
      <c r="E277" s="2966"/>
      <c r="F277" s="2967"/>
      <c r="G277" s="2968"/>
      <c r="H277" s="2969" t="s">
        <v>15212</v>
      </c>
      <c r="I277" s="2459"/>
      <c r="J277" s="2459"/>
      <c r="K277" s="2459"/>
      <c r="L277" s="2459"/>
      <c r="M277" s="2958" t="s">
        <v>15213</v>
      </c>
      <c r="N277" s="2958">
        <v>30.1</v>
      </c>
      <c r="O277" s="2958">
        <f>N277</f>
        <v>30.1</v>
      </c>
      <c r="P277" s="2658"/>
      <c r="S277" s="2658"/>
      <c r="T277" s="2658"/>
      <c r="U277" s="2658"/>
      <c r="V277" s="2658"/>
      <c r="W277" s="2658"/>
      <c r="X277" s="2658"/>
      <c r="Y277" s="2658"/>
      <c r="Z277" s="2658"/>
      <c r="AA277" s="2658"/>
      <c r="AB277" s="2658"/>
      <c r="AF277" s="2602"/>
    </row>
    <row r="278" spans="2:39" ht="21">
      <c r="B278" s="2462"/>
      <c r="C278" s="2972"/>
      <c r="D278" s="2973"/>
      <c r="E278" s="3352" t="s">
        <v>15038</v>
      </c>
      <c r="F278" s="3352"/>
      <c r="G278" s="2974"/>
      <c r="H278" s="2965"/>
      <c r="I278" s="2460"/>
      <c r="J278" s="2460"/>
      <c r="K278" s="2460"/>
      <c r="L278"/>
      <c r="M278" s="2899" t="s">
        <v>15214</v>
      </c>
      <c r="N278" s="2975">
        <f>N277*N276</f>
        <v>16190.489</v>
      </c>
      <c r="O278" s="2975">
        <f>O277*O276</f>
        <v>16190.489</v>
      </c>
      <c r="P278" s="2658"/>
      <c r="S278" s="2658"/>
      <c r="T278" s="2658"/>
      <c r="U278" s="2658"/>
      <c r="V278" s="2658"/>
      <c r="W278" s="2658">
        <v>19.41</v>
      </c>
      <c r="X278" s="2658">
        <f>'[6]2024 Калуга+область перекачка'!X273+'[6]2024 Калуга+область очистка'!X273+'2024 Калуга+область транспортир'!X273</f>
        <v>21.175184263039291</v>
      </c>
      <c r="Y278" s="3022">
        <f>X278/W278</f>
        <v>1.0909420022173772</v>
      </c>
      <c r="Z278" s="2658">
        <v>19.41</v>
      </c>
      <c r="AA278" s="2658">
        <f>'[6]2024 Калуга+область перекачка'!AA273+'[6]2024 Калуга+область очистка'!AA273+'2024 Калуга+область транспортир'!AA273</f>
        <v>24.784971874663505</v>
      </c>
      <c r="AB278" s="3022">
        <f>AA278/Z278</f>
        <v>1.2769176648461362</v>
      </c>
      <c r="AC278" s="2116" t="s">
        <v>15228</v>
      </c>
    </row>
    <row r="279" spans="2:39" ht="21">
      <c r="B279" s="2462"/>
      <c r="C279" s="2973"/>
      <c r="D279" s="2974" t="s">
        <v>15039</v>
      </c>
      <c r="E279" s="2976"/>
      <c r="F279" s="2977"/>
      <c r="G279" s="2977"/>
      <c r="H279" s="2965"/>
      <c r="I279" s="2460"/>
      <c r="J279" s="2460"/>
      <c r="K279" s="2460"/>
      <c r="M279" s="2978"/>
      <c r="N279" s="2899"/>
      <c r="O279" s="2979"/>
      <c r="P279" s="2658"/>
      <c r="S279" s="2658"/>
      <c r="T279" s="2658"/>
      <c r="U279" s="2658"/>
      <c r="V279" s="2658"/>
      <c r="W279" s="2658"/>
      <c r="X279" s="3023">
        <f>X271/X5</f>
        <v>-0.11832226745398319</v>
      </c>
      <c r="Y279" s="3024"/>
      <c r="Z279" s="3024"/>
      <c r="AA279" s="3023">
        <f>AA271/AA5</f>
        <v>-8.3834232772499573E-2</v>
      </c>
      <c r="AB279" s="2658"/>
    </row>
    <row r="280" spans="2:39">
      <c r="B280" s="2462"/>
      <c r="C280" s="2461"/>
      <c r="D280" s="2461"/>
      <c r="E280" s="2980"/>
      <c r="F280" s="2981"/>
      <c r="G280" s="2980"/>
      <c r="H280" s="2980"/>
      <c r="I280" s="2463"/>
      <c r="J280" s="2463"/>
      <c r="K280" s="2463"/>
      <c r="M280" s="2978"/>
      <c r="N280" s="3348" t="s">
        <v>15215</v>
      </c>
      <c r="O280" s="3348"/>
      <c r="P280" s="2658"/>
      <c r="S280" s="2658"/>
      <c r="T280" s="2658"/>
      <c r="U280" s="2658"/>
      <c r="V280" s="2658"/>
      <c r="W280" s="2658"/>
      <c r="X280" s="2658"/>
      <c r="Y280" s="2658"/>
      <c r="Z280" s="2658"/>
      <c r="AA280" s="2658"/>
      <c r="AB280" s="2658"/>
    </row>
    <row r="281" spans="2:39" ht="21">
      <c r="B281" s="2982" t="s">
        <v>15216</v>
      </c>
      <c r="C281" s="2983"/>
      <c r="D281" s="2983"/>
      <c r="E281" s="2984"/>
      <c r="F281" s="2984"/>
      <c r="G281" s="2985"/>
      <c r="H281" s="2985"/>
      <c r="M281" s="2899" t="s">
        <v>2018</v>
      </c>
      <c r="N281" s="2986">
        <f>N272-N276</f>
        <v>7661.7069999999976</v>
      </c>
      <c r="O281" s="2986">
        <f>O272-O276</f>
        <v>7661.7069999999976</v>
      </c>
      <c r="P281" s="2658"/>
      <c r="S281" s="2658"/>
      <c r="T281" s="2658"/>
      <c r="U281" s="2658"/>
      <c r="V281" s="2658"/>
      <c r="W281" s="2658">
        <v>12.12</v>
      </c>
      <c r="X281" s="2658">
        <f>X273+'[6]2024 Калуга+область очистка'!X273</f>
        <v>13.300248144084495</v>
      </c>
      <c r="Y281" s="3022">
        <f>X281/W281</f>
        <v>1.0973802099079617</v>
      </c>
      <c r="Z281" s="2658">
        <v>12.12</v>
      </c>
      <c r="AA281" s="2658">
        <f>'[6]2024 Калуга+область очистка'!AA273+'2024 Калуга+область транспортир'!AA273</f>
        <v>16.912574888495666</v>
      </c>
      <c r="AB281" s="3022">
        <f>AA281/Z281</f>
        <v>1.3954269709979923</v>
      </c>
      <c r="AC281" s="3025" t="s">
        <v>15229</v>
      </c>
    </row>
    <row r="282" spans="2:39">
      <c r="B282" s="3349" t="s">
        <v>15217</v>
      </c>
      <c r="C282" s="3349"/>
      <c r="D282" s="3349"/>
      <c r="E282" s="2987"/>
      <c r="F282" s="2987"/>
      <c r="G282" s="2987"/>
      <c r="H282" s="2987"/>
      <c r="M282" s="2958" t="s">
        <v>15213</v>
      </c>
      <c r="N282" s="2978">
        <v>28.16</v>
      </c>
      <c r="O282" s="2978">
        <f>N282</f>
        <v>28.16</v>
      </c>
      <c r="P282" s="2658"/>
      <c r="S282" s="2658"/>
      <c r="T282" s="2658"/>
      <c r="U282" s="2658"/>
      <c r="V282" s="2658"/>
      <c r="W282" s="2658"/>
      <c r="X282" s="2658"/>
      <c r="Y282" s="2658"/>
      <c r="Z282" s="2658"/>
      <c r="AA282" s="2658"/>
      <c r="AB282" s="2658"/>
    </row>
    <row r="283" spans="2:39">
      <c r="M283" s="2899" t="s">
        <v>15214</v>
      </c>
      <c r="N283" s="2975">
        <f>N282*N281</f>
        <v>215753.66911999995</v>
      </c>
      <c r="O283" s="2975">
        <f>O282*O281</f>
        <v>215753.66911999995</v>
      </c>
      <c r="P283" s="2658"/>
      <c r="S283" s="2658"/>
      <c r="T283" s="2658"/>
      <c r="U283" s="2658"/>
      <c r="V283" s="2658"/>
      <c r="W283" s="2658"/>
      <c r="X283" s="2658"/>
      <c r="Y283" s="2658"/>
      <c r="Z283" s="2658"/>
      <c r="AA283" s="2658"/>
      <c r="AB283" s="2658"/>
      <c r="AD283" s="3025"/>
    </row>
    <row r="284" spans="2:39">
      <c r="M284" s="2978"/>
      <c r="N284" s="2978"/>
      <c r="O284" s="2978"/>
      <c r="P284" s="2658"/>
      <c r="S284" s="2658"/>
      <c r="T284" s="2658"/>
      <c r="U284" s="2658"/>
      <c r="V284" s="2658"/>
      <c r="W284" s="2658"/>
      <c r="X284" s="2658">
        <f>X272*4.43</f>
        <v>36324.214709999986</v>
      </c>
      <c r="Y284" s="2658"/>
      <c r="Z284" s="2658"/>
      <c r="AA284" s="2658"/>
      <c r="AB284" s="2658"/>
    </row>
    <row r="285" spans="2:39">
      <c r="M285" s="2978"/>
      <c r="N285" s="3348" t="s">
        <v>14949</v>
      </c>
      <c r="O285" s="3348"/>
      <c r="P285" s="2658"/>
      <c r="S285" s="2658"/>
      <c r="T285" s="2658"/>
      <c r="U285" s="2658"/>
      <c r="V285" s="2658"/>
      <c r="W285" s="2658"/>
      <c r="X285" s="2658">
        <f>X284-X5</f>
        <v>-17.211908386248979</v>
      </c>
      <c r="Y285" s="2658"/>
      <c r="Z285" s="2658"/>
      <c r="AA285" s="2658"/>
      <c r="AB285" s="2658"/>
    </row>
    <row r="286" spans="2:39">
      <c r="M286" s="2899" t="s">
        <v>2018</v>
      </c>
      <c r="N286" s="2986">
        <f>N276+N281</f>
        <v>8199.5969999999979</v>
      </c>
      <c r="O286" s="2986">
        <f>O276+O281</f>
        <v>8199.5969999999979</v>
      </c>
      <c r="P286" s="2658"/>
      <c r="S286" s="2658"/>
      <c r="T286" s="2658"/>
      <c r="U286" s="2658"/>
      <c r="V286" s="2658"/>
      <c r="W286" s="2658"/>
      <c r="X286" s="2658"/>
      <c r="Y286" s="2658"/>
      <c r="Z286" s="2658"/>
      <c r="AA286" s="2658"/>
      <c r="AB286" s="2658"/>
    </row>
    <row r="287" spans="2:39">
      <c r="M287" s="2958" t="s">
        <v>15213</v>
      </c>
      <c r="N287" s="2988">
        <f>N288/N286</f>
        <v>28.287263156957593</v>
      </c>
      <c r="O287" s="2988">
        <f>O288/O286</f>
        <v>28.287263156957593</v>
      </c>
      <c r="P287" s="2658"/>
      <c r="S287" s="2658"/>
      <c r="T287" s="2658"/>
      <c r="U287" s="2658"/>
      <c r="V287" s="2658"/>
      <c r="W287" s="2658"/>
      <c r="X287" s="2658"/>
      <c r="Y287" s="2658"/>
      <c r="Z287" s="2658"/>
      <c r="AA287" s="2658"/>
      <c r="AB287" s="2658"/>
    </row>
    <row r="288" spans="2:39">
      <c r="M288" s="2899" t="s">
        <v>15214</v>
      </c>
      <c r="N288" s="2986">
        <f>N283+N278</f>
        <v>231944.15811999995</v>
      </c>
      <c r="O288" s="2986">
        <f>O283+O278</f>
        <v>231944.15811999995</v>
      </c>
      <c r="P288" s="2658"/>
      <c r="S288" s="2658"/>
      <c r="T288" s="2658"/>
      <c r="U288" s="2658"/>
      <c r="V288" s="2658"/>
      <c r="W288" s="2658"/>
      <c r="X288" s="2658"/>
      <c r="Y288" s="2658"/>
      <c r="Z288" s="2658"/>
      <c r="AA288" s="2658"/>
      <c r="AB288" s="2658"/>
    </row>
    <row r="289" spans="13:28">
      <c r="M289" s="2978"/>
      <c r="N289" s="2986">
        <f>N5</f>
        <v>33126.374339404385</v>
      </c>
      <c r="O289" s="2986">
        <f>O5</f>
        <v>82670.886264466462</v>
      </c>
      <c r="P289" s="2658"/>
      <c r="S289" s="2658"/>
      <c r="T289" s="2658"/>
      <c r="U289" s="2658"/>
      <c r="V289" s="2658"/>
      <c r="W289" s="2658"/>
      <c r="X289" s="2658"/>
      <c r="Y289" s="2658"/>
      <c r="Z289" s="2658"/>
      <c r="AA289" s="2658"/>
      <c r="AB289" s="2658"/>
    </row>
    <row r="290" spans="13:28">
      <c r="M290" s="2978"/>
      <c r="N290" s="2986">
        <f>N289-N288</f>
        <v>-198817.78378059558</v>
      </c>
      <c r="O290" s="2986">
        <f>O289-O288</f>
        <v>-149273.27185553347</v>
      </c>
      <c r="P290" s="2658"/>
      <c r="S290" s="2658"/>
      <c r="T290" s="2658"/>
      <c r="U290" s="2658"/>
      <c r="V290" s="2658"/>
      <c r="W290" s="2658"/>
      <c r="X290" s="2658"/>
      <c r="Y290" s="2658"/>
      <c r="Z290" s="2658"/>
      <c r="AA290" s="2658"/>
      <c r="AB290" s="2658"/>
    </row>
    <row r="291" spans="13:28">
      <c r="M291" s="2990"/>
      <c r="N291" s="2991"/>
      <c r="O291" s="2990"/>
      <c r="P291" s="2601"/>
      <c r="S291" s="2601"/>
      <c r="T291" s="2601"/>
      <c r="U291" s="2601"/>
      <c r="V291" s="2601"/>
      <c r="W291" s="2601"/>
      <c r="X291" s="2601"/>
      <c r="Y291" s="2601"/>
      <c r="Z291" s="2601"/>
      <c r="AA291" s="2601"/>
      <c r="AB291" s="2601"/>
    </row>
    <row r="292" spans="13:28">
      <c r="M292" s="2990"/>
      <c r="N292" s="2991"/>
      <c r="O292" s="2990"/>
      <c r="P292" s="2601"/>
      <c r="S292" s="2601"/>
      <c r="T292" s="2601"/>
      <c r="U292" s="2601"/>
      <c r="V292" s="2601"/>
      <c r="W292" s="2601"/>
      <c r="X292" s="2601"/>
      <c r="Y292" s="2601"/>
      <c r="Z292" s="2601"/>
      <c r="AA292" s="2601"/>
      <c r="AB292" s="2601"/>
    </row>
    <row r="293" spans="13:28">
      <c r="M293" s="2990"/>
      <c r="N293" s="2990"/>
      <c r="O293" s="2990"/>
    </row>
    <row r="294" spans="13:28">
      <c r="N294" s="2464"/>
    </row>
    <row r="297" spans="13:28">
      <c r="N297" s="2464"/>
      <c r="O297" s="2464"/>
      <c r="Q297" s="2464"/>
      <c r="R297" s="2600"/>
    </row>
    <row r="298" spans="13:28">
      <c r="N298" s="2464"/>
      <c r="O298" s="2464"/>
      <c r="P298" s="2464"/>
      <c r="Q298" s="2219"/>
    </row>
    <row r="299" spans="13:28">
      <c r="Q299" s="2219"/>
    </row>
  </sheetData>
  <mergeCells count="22">
    <mergeCell ref="N280:O280"/>
    <mergeCell ref="B282:D282"/>
    <mergeCell ref="N285:O285"/>
    <mergeCell ref="W2:Y2"/>
    <mergeCell ref="Z2:AB2"/>
    <mergeCell ref="N275:O275"/>
    <mergeCell ref="C276:G276"/>
    <mergeCell ref="E278:F278"/>
    <mergeCell ref="B274:L274"/>
    <mergeCell ref="N274:O274"/>
    <mergeCell ref="C1:D1"/>
    <mergeCell ref="E1:M1"/>
    <mergeCell ref="N1:V1"/>
    <mergeCell ref="B2:B3"/>
    <mergeCell ref="C2:C3"/>
    <mergeCell ref="D2:D3"/>
    <mergeCell ref="E2:G2"/>
    <mergeCell ref="H2:J2"/>
    <mergeCell ref="K2:M2"/>
    <mergeCell ref="N2:P2"/>
    <mergeCell ref="Q2:S2"/>
    <mergeCell ref="T2:V2"/>
  </mergeCells>
  <printOptions horizontalCentered="1"/>
  <pageMargins left="0" right="0" top="0.39370078740157483" bottom="0.39370078740157483" header="0.31496062992125984" footer="0.31496062992125984"/>
  <pageSetup paperSize="9" scale="33" fitToHeight="1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 filterMode="1"/>
  <dimension ref="A1:Z667"/>
  <sheetViews>
    <sheetView tabSelected="1" view="pageBreakPreview" zoomScale="30" zoomScaleNormal="30" zoomScaleSheetLayoutView="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23" sqref="Q23"/>
    </sheetView>
  </sheetViews>
  <sheetFormatPr defaultRowHeight="27.75" outlineLevelRow="1"/>
  <cols>
    <col min="1" max="1" width="18.85546875" style="1163" customWidth="1"/>
    <col min="2" max="2" width="224.7109375" style="1164" customWidth="1"/>
    <col min="3" max="3" width="48.28515625" style="1057" customWidth="1"/>
    <col min="4" max="4" width="100.140625" style="1165" customWidth="1"/>
    <col min="5" max="5" width="79.7109375" style="1165" customWidth="1"/>
    <col min="6" max="6" width="29.140625" style="1056" customWidth="1"/>
    <col min="7" max="8" width="32.7109375" style="1056" customWidth="1"/>
    <col min="9" max="10" width="38.7109375" style="1143" bestFit="1" customWidth="1"/>
    <col min="11" max="12" width="35" style="1143" customWidth="1"/>
    <col min="13" max="13" width="34" style="1143" customWidth="1"/>
    <col min="14" max="14" width="32.5703125" style="1107" customWidth="1"/>
    <col min="15" max="15" width="70.5703125" style="1166" customWidth="1"/>
    <col min="16" max="16" width="100.140625" style="1057" customWidth="1"/>
    <col min="17" max="17" width="30.140625" style="1057" customWidth="1"/>
    <col min="18" max="18" width="35.140625" style="1059" customWidth="1"/>
    <col min="19" max="20" width="24.42578125" style="1059" bestFit="1" customWidth="1"/>
    <col min="21" max="21" width="35.140625" style="1059" customWidth="1"/>
    <col min="22" max="25" width="17.7109375" style="1059" customWidth="1"/>
    <col min="26" max="26" width="17.7109375" style="1057" customWidth="1"/>
    <col min="27" max="16384" width="9.140625" style="1057"/>
  </cols>
  <sheetData>
    <row r="1" spans="1:25" s="1016" customFormat="1">
      <c r="A1" s="1014"/>
      <c r="B1" s="1015"/>
      <c r="D1" s="1017"/>
      <c r="E1" s="1018"/>
      <c r="L1" s="1019"/>
      <c r="M1" s="1019"/>
      <c r="N1" s="1019"/>
      <c r="O1" s="1184" t="s">
        <v>19</v>
      </c>
      <c r="P1" s="1020"/>
    </row>
    <row r="2" spans="1:25" s="1021" customFormat="1" ht="61.5" customHeight="1" thickBot="1">
      <c r="A2" s="3429" t="s">
        <v>263</v>
      </c>
      <c r="B2" s="3429"/>
      <c r="C2" s="3429"/>
      <c r="D2" s="3429"/>
      <c r="E2" s="3429"/>
      <c r="F2" s="3429"/>
      <c r="G2" s="3429"/>
      <c r="H2" s="3429"/>
      <c r="I2" s="3429"/>
      <c r="J2" s="3429"/>
      <c r="K2" s="3429"/>
      <c r="L2" s="3429"/>
      <c r="M2" s="3429"/>
      <c r="N2" s="3429"/>
      <c r="O2" s="1016"/>
      <c r="P2" s="1020"/>
      <c r="Q2" s="1016"/>
      <c r="R2" s="1016"/>
      <c r="S2" s="1016"/>
      <c r="T2" s="1016"/>
      <c r="U2" s="1016"/>
      <c r="V2" s="1016"/>
      <c r="W2" s="1016"/>
      <c r="X2" s="1016"/>
      <c r="Y2" s="1016"/>
    </row>
    <row r="3" spans="1:25" s="1021" customFormat="1" ht="29.25" thickTop="1" thickBot="1">
      <c r="A3" s="1014"/>
      <c r="B3" s="1015"/>
      <c r="C3" s="1016"/>
      <c r="D3" s="1017"/>
      <c r="E3" s="1018"/>
      <c r="F3" s="1016"/>
      <c r="G3" s="1022"/>
      <c r="H3" s="1022"/>
      <c r="I3" s="1022"/>
      <c r="J3" s="1022"/>
      <c r="K3" s="1022"/>
      <c r="L3" s="1022"/>
      <c r="M3" s="1022"/>
      <c r="N3" s="1016"/>
      <c r="O3" s="1023"/>
      <c r="P3" s="1020"/>
      <c r="Q3" s="1016"/>
      <c r="R3" s="1016"/>
      <c r="S3" s="1016"/>
      <c r="T3" s="1016"/>
      <c r="U3" s="1016"/>
      <c r="V3" s="1016"/>
      <c r="W3" s="1016"/>
      <c r="X3" s="1016"/>
      <c r="Y3" s="1016"/>
    </row>
    <row r="4" spans="1:25" s="1025" customFormat="1" ht="70.5" customHeight="1" thickTop="1">
      <c r="A4" s="3430" t="s">
        <v>11</v>
      </c>
      <c r="B4" s="3431" t="s">
        <v>7</v>
      </c>
      <c r="C4" s="3430" t="s">
        <v>432</v>
      </c>
      <c r="D4" s="3433" t="s">
        <v>8</v>
      </c>
      <c r="E4" s="3433" t="s">
        <v>6</v>
      </c>
      <c r="F4" s="3434" t="s">
        <v>270</v>
      </c>
      <c r="G4" s="3434" t="s">
        <v>55</v>
      </c>
      <c r="H4" s="3434" t="s">
        <v>56</v>
      </c>
      <c r="I4" s="3430" t="s">
        <v>108</v>
      </c>
      <c r="J4" s="3430"/>
      <c r="K4" s="3430"/>
      <c r="L4" s="3430"/>
      <c r="M4" s="3430"/>
      <c r="N4" s="3432" t="s">
        <v>106</v>
      </c>
      <c r="O4" s="3430" t="s">
        <v>50</v>
      </c>
      <c r="P4" s="1024"/>
      <c r="R4" s="1026"/>
      <c r="S4" s="1026"/>
      <c r="T4" s="1026"/>
      <c r="U4" s="1026"/>
      <c r="V4" s="1026"/>
      <c r="W4" s="1026"/>
      <c r="X4" s="1026"/>
      <c r="Y4" s="1026"/>
    </row>
    <row r="5" spans="1:25" s="1025" customFormat="1" ht="61.5" customHeight="1">
      <c r="A5" s="3430"/>
      <c r="B5" s="3431"/>
      <c r="C5" s="3430"/>
      <c r="D5" s="3433"/>
      <c r="E5" s="3433"/>
      <c r="F5" s="3434"/>
      <c r="G5" s="3434"/>
      <c r="H5" s="3434"/>
      <c r="I5" s="2167" t="s">
        <v>264</v>
      </c>
      <c r="J5" s="2167" t="s">
        <v>265</v>
      </c>
      <c r="K5" s="2167" t="s">
        <v>266</v>
      </c>
      <c r="L5" s="2167" t="s">
        <v>267</v>
      </c>
      <c r="M5" s="2167" t="s">
        <v>268</v>
      </c>
      <c r="N5" s="3432"/>
      <c r="O5" s="3430"/>
      <c r="P5" s="1024"/>
      <c r="R5" s="1027"/>
      <c r="S5" s="1027"/>
      <c r="T5" s="1027"/>
      <c r="U5" s="1027"/>
      <c r="V5" s="1026"/>
      <c r="W5" s="1026"/>
      <c r="X5" s="1026"/>
      <c r="Y5" s="1026"/>
    </row>
    <row r="6" spans="1:25" s="1025" customFormat="1">
      <c r="A6" s="2165"/>
      <c r="B6" s="2171"/>
      <c r="C6" s="2172"/>
      <c r="D6" s="1053"/>
      <c r="E6" s="1053"/>
      <c r="F6" s="1028"/>
      <c r="G6" s="1028"/>
      <c r="H6" s="1028"/>
      <c r="I6" s="1028"/>
      <c r="J6" s="1028"/>
      <c r="K6" s="1028"/>
      <c r="L6" s="1028"/>
      <c r="M6" s="1028"/>
      <c r="N6" s="1028"/>
      <c r="O6" s="2167"/>
      <c r="P6" s="1024"/>
      <c r="R6" s="1026"/>
      <c r="S6" s="1026"/>
      <c r="T6" s="1026"/>
      <c r="U6" s="1026"/>
      <c r="V6" s="1026"/>
      <c r="W6" s="1026"/>
      <c r="X6" s="1026"/>
      <c r="Y6" s="1026"/>
    </row>
    <row r="7" spans="1:25" s="1035" customFormat="1" ht="36.75" customHeight="1">
      <c r="A7" s="1029"/>
      <c r="B7" s="1030" t="s">
        <v>5</v>
      </c>
      <c r="C7" s="1031"/>
      <c r="D7" s="1031"/>
      <c r="E7" s="1032"/>
      <c r="F7" s="1033"/>
      <c r="G7" s="1033"/>
      <c r="H7" s="1033"/>
      <c r="I7" s="2173"/>
      <c r="J7" s="1031"/>
      <c r="K7" s="1031"/>
      <c r="L7" s="1031"/>
      <c r="M7" s="1031"/>
      <c r="N7" s="1085" t="s">
        <v>1301</v>
      </c>
      <c r="O7" s="1090" t="s">
        <v>1301</v>
      </c>
      <c r="P7" s="1034"/>
      <c r="R7" s="1036"/>
      <c r="S7" s="1036"/>
      <c r="T7" s="1036"/>
      <c r="U7" s="1036"/>
      <c r="V7" s="1036"/>
      <c r="W7" s="1036"/>
      <c r="X7" s="1036"/>
      <c r="Y7" s="1036"/>
    </row>
    <row r="8" spans="1:25" s="1038" customFormat="1" ht="40.5" customHeight="1">
      <c r="A8" s="1029"/>
      <c r="B8" s="1030" t="s">
        <v>24</v>
      </c>
      <c r="C8" s="1033">
        <f t="shared" ref="C8:M8" si="0">SUM(C12,C144,C168,C184,C288,C300,C316)</f>
        <v>36486.5</v>
      </c>
      <c r="D8" s="1033">
        <f t="shared" si="0"/>
        <v>0</v>
      </c>
      <c r="E8" s="1033">
        <f t="shared" si="0"/>
        <v>0</v>
      </c>
      <c r="F8" s="1033">
        <f t="shared" si="0"/>
        <v>12108.972</v>
      </c>
      <c r="G8" s="1033">
        <f t="shared" si="0"/>
        <v>1889066.285396714</v>
      </c>
      <c r="H8" s="1033">
        <f t="shared" si="0"/>
        <v>2266879.5424760566</v>
      </c>
      <c r="I8" s="1033">
        <f t="shared" si="0"/>
        <v>311771.47487940447</v>
      </c>
      <c r="J8" s="1033">
        <f t="shared" si="0"/>
        <v>455428.89617962943</v>
      </c>
      <c r="K8" s="1033">
        <f t="shared" si="0"/>
        <v>359004.51098377601</v>
      </c>
      <c r="L8" s="1033">
        <f t="shared" si="0"/>
        <v>510191.56602938904</v>
      </c>
      <c r="M8" s="1033">
        <f t="shared" si="0"/>
        <v>630483.09440385748</v>
      </c>
      <c r="N8" s="1085" t="s">
        <v>1301</v>
      </c>
      <c r="O8" s="1085" t="s">
        <v>1301</v>
      </c>
      <c r="P8" s="1037"/>
      <c r="R8" s="1039"/>
      <c r="S8" s="1039"/>
      <c r="T8" s="1039"/>
      <c r="U8" s="1039"/>
      <c r="V8" s="1039"/>
      <c r="W8" s="1039"/>
      <c r="X8" s="1039"/>
      <c r="Y8" s="1039"/>
    </row>
    <row r="9" spans="1:25" s="1035" customFormat="1" ht="42.75" customHeight="1">
      <c r="A9" s="1040"/>
      <c r="B9" s="1041" t="s">
        <v>10</v>
      </c>
      <c r="C9" s="1033">
        <f t="shared" ref="C9:M9" si="1">SUM(C13,C145,C169,C185,C289,C301,C317)</f>
        <v>0</v>
      </c>
      <c r="D9" s="1033">
        <f t="shared" si="1"/>
        <v>0</v>
      </c>
      <c r="E9" s="1033">
        <f t="shared" si="1"/>
        <v>0</v>
      </c>
      <c r="F9" s="1033">
        <f t="shared" si="1"/>
        <v>0</v>
      </c>
      <c r="G9" s="1033">
        <f t="shared" si="1"/>
        <v>176153.71453117646</v>
      </c>
      <c r="H9" s="1033">
        <f t="shared" si="1"/>
        <v>211384.45743741177</v>
      </c>
      <c r="I9" s="1033">
        <f t="shared" si="1"/>
        <v>177478.15268265817</v>
      </c>
      <c r="J9" s="1033">
        <f t="shared" si="1"/>
        <v>16624.052485891199</v>
      </c>
      <c r="K9" s="1033">
        <f t="shared" si="1"/>
        <v>15819.552268862401</v>
      </c>
      <c r="L9" s="1033">
        <f t="shared" si="1"/>
        <v>1462.7</v>
      </c>
      <c r="M9" s="1033">
        <f t="shared" si="1"/>
        <v>0</v>
      </c>
      <c r="N9" s="1085" t="s">
        <v>1301</v>
      </c>
      <c r="O9" s="1090" t="s">
        <v>1301</v>
      </c>
      <c r="P9" s="1037"/>
      <c r="Q9" s="1038"/>
      <c r="R9" s="1036"/>
      <c r="S9" s="1036"/>
      <c r="T9" s="1036"/>
      <c r="U9" s="1036"/>
      <c r="V9" s="1036"/>
      <c r="W9" s="1036"/>
      <c r="X9" s="1036"/>
      <c r="Y9" s="1036"/>
    </row>
    <row r="10" spans="1:25" s="1035" customFormat="1" ht="46.5" customHeight="1">
      <c r="A10" s="1040"/>
      <c r="B10" s="1041" t="s">
        <v>9</v>
      </c>
      <c r="C10" s="1033">
        <f t="shared" ref="C10:M10" si="2">SUM(C14,C146,C170,C186,C290,C302,C318)</f>
        <v>0</v>
      </c>
      <c r="D10" s="1033">
        <f t="shared" si="2"/>
        <v>0</v>
      </c>
      <c r="E10" s="1033">
        <f t="shared" si="2"/>
        <v>0</v>
      </c>
      <c r="F10" s="1033">
        <f t="shared" si="2"/>
        <v>0</v>
      </c>
      <c r="G10" s="1033">
        <f t="shared" si="2"/>
        <v>1632191.9818323199</v>
      </c>
      <c r="H10" s="1033">
        <f t="shared" si="2"/>
        <v>1958630.3781987841</v>
      </c>
      <c r="I10" s="1033">
        <f t="shared" si="2"/>
        <v>119800.28324925878</v>
      </c>
      <c r="J10" s="1033">
        <f t="shared" si="2"/>
        <v>387655.46746164432</v>
      </c>
      <c r="K10" s="1033">
        <f t="shared" si="2"/>
        <v>332148.8182441424</v>
      </c>
      <c r="L10" s="1033">
        <f t="shared" si="2"/>
        <v>497891.98917178705</v>
      </c>
      <c r="M10" s="1033">
        <f t="shared" si="2"/>
        <v>621133.82007195137</v>
      </c>
      <c r="N10" s="1085" t="s">
        <v>1301</v>
      </c>
      <c r="O10" s="1090" t="s">
        <v>1301</v>
      </c>
      <c r="P10" s="1037"/>
      <c r="Q10" s="1038"/>
      <c r="R10" s="1036"/>
      <c r="S10" s="1036"/>
      <c r="T10" s="1036"/>
      <c r="U10" s="1036"/>
      <c r="V10" s="1036"/>
      <c r="W10" s="1036"/>
      <c r="X10" s="1036"/>
      <c r="Y10" s="1036"/>
    </row>
    <row r="11" spans="1:25" s="1035" customFormat="1" ht="42.75" customHeight="1">
      <c r="A11" s="1040"/>
      <c r="B11" s="1041" t="s">
        <v>14</v>
      </c>
      <c r="C11" s="1033">
        <f t="shared" ref="C11:M11" si="3">SUM(C15,C147,C171,C187,C291,C303,C319)</f>
        <v>0</v>
      </c>
      <c r="D11" s="1033">
        <f t="shared" si="3"/>
        <v>0</v>
      </c>
      <c r="E11" s="1033">
        <f t="shared" si="3"/>
        <v>0</v>
      </c>
      <c r="F11" s="1033">
        <f t="shared" si="3"/>
        <v>0</v>
      </c>
      <c r="G11" s="1033">
        <f>SUM(G15,G147,G171,G187,G291,G303,G319)</f>
        <v>80720.5890332173</v>
      </c>
      <c r="H11" s="1033">
        <f t="shared" si="3"/>
        <v>96864.706839860795</v>
      </c>
      <c r="I11" s="1033">
        <f t="shared" si="3"/>
        <v>14493.038947487572</v>
      </c>
      <c r="J11" s="1033">
        <f t="shared" si="3"/>
        <v>51149.37623209384</v>
      </c>
      <c r="K11" s="1033">
        <f t="shared" si="3"/>
        <v>11036.140470771203</v>
      </c>
      <c r="L11" s="1033">
        <f t="shared" si="3"/>
        <v>10836.87685760205</v>
      </c>
      <c r="M11" s="1033">
        <f t="shared" si="3"/>
        <v>9349.2743319061319</v>
      </c>
      <c r="N11" s="1085" t="s">
        <v>1301</v>
      </c>
      <c r="O11" s="1090" t="s">
        <v>1301</v>
      </c>
      <c r="P11" s="1037"/>
      <c r="Q11" s="1038"/>
      <c r="R11" s="1036"/>
      <c r="S11" s="1036"/>
      <c r="T11" s="1036"/>
      <c r="U11" s="1036"/>
      <c r="V11" s="1036"/>
      <c r="W11" s="1036"/>
      <c r="X11" s="1036"/>
      <c r="Y11" s="1036"/>
    </row>
    <row r="12" spans="1:25" s="1038" customFormat="1" ht="113.25" customHeight="1">
      <c r="A12" s="1029" t="s">
        <v>4</v>
      </c>
      <c r="B12" s="1042" t="s">
        <v>65</v>
      </c>
      <c r="C12" s="1033">
        <f t="shared" ref="C12:M12" si="4">SUM(C16,C92,C100,C128)</f>
        <v>25362</v>
      </c>
      <c r="D12" s="1033">
        <f t="shared" si="4"/>
        <v>0</v>
      </c>
      <c r="E12" s="1033">
        <f t="shared" si="4"/>
        <v>0</v>
      </c>
      <c r="F12" s="1033">
        <f t="shared" si="4"/>
        <v>12108.972</v>
      </c>
      <c r="G12" s="1033">
        <f t="shared" si="4"/>
        <v>429384.618361042</v>
      </c>
      <c r="H12" s="1033">
        <f t="shared" si="4"/>
        <v>515261.54203325033</v>
      </c>
      <c r="I12" s="1033">
        <f t="shared" si="4"/>
        <v>78550.159815837862</v>
      </c>
      <c r="J12" s="1033">
        <f t="shared" si="4"/>
        <v>289835.87271601555</v>
      </c>
      <c r="K12" s="1033">
        <f t="shared" si="4"/>
        <v>55180.703553856001</v>
      </c>
      <c r="L12" s="1033">
        <f t="shared" si="4"/>
        <v>44948.434288010249</v>
      </c>
      <c r="M12" s="1033">
        <f t="shared" si="4"/>
        <v>46746.371659530661</v>
      </c>
      <c r="N12" s="1085" t="s">
        <v>1301</v>
      </c>
      <c r="O12" s="1085" t="s">
        <v>1301</v>
      </c>
      <c r="P12" s="1037"/>
      <c r="R12" s="1039"/>
      <c r="S12" s="1039"/>
      <c r="T12" s="1039"/>
      <c r="U12" s="1039"/>
      <c r="V12" s="1039"/>
      <c r="W12" s="1039"/>
      <c r="X12" s="1039"/>
      <c r="Y12" s="1039"/>
    </row>
    <row r="13" spans="1:25" s="1035" customFormat="1" ht="44.25" customHeight="1">
      <c r="A13" s="1040"/>
      <c r="B13" s="1041" t="s">
        <v>10</v>
      </c>
      <c r="C13" s="1033">
        <f t="shared" ref="C13:M13" si="5">SUM(C17,C93,C101,C129)</f>
        <v>0</v>
      </c>
      <c r="D13" s="1033">
        <f t="shared" si="5"/>
        <v>0</v>
      </c>
      <c r="E13" s="1033">
        <f t="shared" si="5"/>
        <v>0</v>
      </c>
      <c r="F13" s="1033">
        <f t="shared" si="5"/>
        <v>0</v>
      </c>
      <c r="G13" s="1033">
        <f t="shared" si="5"/>
        <v>9164.4111494101126</v>
      </c>
      <c r="H13" s="1033">
        <f t="shared" si="5"/>
        <v>10997.293379292136</v>
      </c>
      <c r="I13" s="1033">
        <f t="shared" si="5"/>
        <v>7796.4891622633349</v>
      </c>
      <c r="J13" s="1033">
        <f t="shared" si="5"/>
        <v>2002.6522170287999</v>
      </c>
      <c r="K13" s="1033">
        <f t="shared" si="5"/>
        <v>1198.152</v>
      </c>
      <c r="L13" s="1033">
        <f t="shared" si="5"/>
        <v>0</v>
      </c>
      <c r="M13" s="1033">
        <f t="shared" si="5"/>
        <v>0</v>
      </c>
      <c r="N13" s="1085" t="s">
        <v>1301</v>
      </c>
      <c r="O13" s="1090" t="s">
        <v>1301</v>
      </c>
      <c r="P13" s="1037"/>
      <c r="Q13" s="1038"/>
      <c r="R13" s="1036"/>
      <c r="S13" s="1036"/>
      <c r="T13" s="1036"/>
      <c r="U13" s="1036"/>
      <c r="V13" s="1036"/>
      <c r="W13" s="1036"/>
      <c r="X13" s="1036"/>
      <c r="Y13" s="1036"/>
    </row>
    <row r="14" spans="1:25" s="1035" customFormat="1" ht="36.75" customHeight="1">
      <c r="A14" s="1040"/>
      <c r="B14" s="1041" t="s">
        <v>9</v>
      </c>
      <c r="C14" s="1033">
        <f t="shared" ref="C14:M14" si="6">SUM(C18,C94,C102,C130)</f>
        <v>0</v>
      </c>
      <c r="D14" s="1033">
        <f t="shared" si="6"/>
        <v>0</v>
      </c>
      <c r="E14" s="1033">
        <f t="shared" si="6"/>
        <v>0</v>
      </c>
      <c r="F14" s="1033">
        <f t="shared" si="6"/>
        <v>0</v>
      </c>
      <c r="G14" s="1033">
        <f t="shared" si="6"/>
        <v>341038.94317841448</v>
      </c>
      <c r="H14" s="1033">
        <f t="shared" si="6"/>
        <v>409246.73181409738</v>
      </c>
      <c r="I14" s="1033">
        <f t="shared" si="6"/>
        <v>56260.631706086941</v>
      </c>
      <c r="J14" s="1033">
        <f t="shared" si="6"/>
        <v>236683.84426689288</v>
      </c>
      <c r="K14" s="1033">
        <f t="shared" si="6"/>
        <v>42946.411083084808</v>
      </c>
      <c r="L14" s="1033">
        <f t="shared" si="6"/>
        <v>35958.747430408199</v>
      </c>
      <c r="M14" s="1033">
        <f t="shared" si="6"/>
        <v>37397.097327624528</v>
      </c>
      <c r="N14" s="1085" t="s">
        <v>1301</v>
      </c>
      <c r="O14" s="1090" t="s">
        <v>1301</v>
      </c>
      <c r="P14" s="1037"/>
      <c r="Q14" s="1038"/>
      <c r="R14" s="1036"/>
      <c r="S14" s="1036"/>
      <c r="T14" s="1036"/>
      <c r="U14" s="1036"/>
      <c r="V14" s="1036"/>
      <c r="W14" s="1036"/>
      <c r="X14" s="1036"/>
      <c r="Y14" s="1036"/>
    </row>
    <row r="15" spans="1:25" s="1035" customFormat="1" ht="42.75" customHeight="1">
      <c r="A15" s="1040"/>
      <c r="B15" s="1041" t="s">
        <v>14</v>
      </c>
      <c r="C15" s="1033">
        <f t="shared" ref="C15:M15" si="7">SUM(C19,C95,C103,C131)</f>
        <v>0</v>
      </c>
      <c r="D15" s="1033">
        <f t="shared" si="7"/>
        <v>0</v>
      </c>
      <c r="E15" s="1033">
        <f t="shared" si="7"/>
        <v>0</v>
      </c>
      <c r="F15" s="1033">
        <f t="shared" si="7"/>
        <v>0</v>
      </c>
      <c r="G15" s="1033">
        <f t="shared" si="7"/>
        <v>79181.264033217303</v>
      </c>
      <c r="H15" s="1033">
        <f t="shared" si="7"/>
        <v>95017.516839860793</v>
      </c>
      <c r="I15" s="1033">
        <f t="shared" si="7"/>
        <v>14493.038947487572</v>
      </c>
      <c r="J15" s="1033">
        <f t="shared" si="7"/>
        <v>51149.37623209384</v>
      </c>
      <c r="K15" s="1033">
        <f t="shared" si="7"/>
        <v>11036.140470771203</v>
      </c>
      <c r="L15" s="1033">
        <f t="shared" si="7"/>
        <v>8989.6868576020497</v>
      </c>
      <c r="M15" s="1033">
        <f t="shared" si="7"/>
        <v>9349.2743319061319</v>
      </c>
      <c r="N15" s="1085" t="s">
        <v>1301</v>
      </c>
      <c r="O15" s="1090" t="s">
        <v>1301</v>
      </c>
      <c r="P15" s="1037"/>
      <c r="Q15" s="2669"/>
      <c r="R15" s="1036"/>
      <c r="S15" s="1036"/>
      <c r="T15" s="1036"/>
      <c r="U15" s="1036"/>
      <c r="V15" s="1036"/>
      <c r="W15" s="1036"/>
      <c r="X15" s="1036"/>
      <c r="Y15" s="1036"/>
    </row>
    <row r="16" spans="1:25" s="1038" customFormat="1" ht="77.25" customHeight="1">
      <c r="A16" s="1043" t="s">
        <v>25</v>
      </c>
      <c r="B16" s="1042" t="s">
        <v>64</v>
      </c>
      <c r="C16" s="1033">
        <f t="shared" ref="C16" si="8">C20+C24+C28+C32+C36+C40+C44+C48+C56+C60+C64+C68+C72+C76+C80+C84+C52+C88</f>
        <v>17328</v>
      </c>
      <c r="D16" s="1033"/>
      <c r="E16" s="1033"/>
      <c r="F16" s="1033">
        <f t="shared" ref="F16:H16" si="9">F20+F24+F28+F32+F36+F40+F44+F48+F56+F60+F64+F68+F72+F76+F80+F84+F52+F88</f>
        <v>8471.1219999999994</v>
      </c>
      <c r="G16" s="1033">
        <f t="shared" si="9"/>
        <v>234888.88572999509</v>
      </c>
      <c r="H16" s="1033">
        <f t="shared" si="9"/>
        <v>281866.66287599411</v>
      </c>
      <c r="I16" s="1033">
        <f>I20+I24+I28+I32+I36+I40+I44+I48+I56+I60+I64+I68+I72+I76+I80+I84+I52+I88</f>
        <v>58863.35291183785</v>
      </c>
      <c r="J16" s="1033">
        <f t="shared" ref="J16:M17" si="10">J20+J24+J28+J32+J36+J40+J44+J48+J56+J60+J64+J68+J72+J76+J80+J84+J52+J88</f>
        <v>81634.618462759317</v>
      </c>
      <c r="K16" s="1033">
        <f t="shared" si="10"/>
        <v>49673.885553856002</v>
      </c>
      <c r="L16" s="1033">
        <f t="shared" si="10"/>
        <v>44948.434288010249</v>
      </c>
      <c r="M16" s="1033">
        <f t="shared" si="10"/>
        <v>46746.371659530661</v>
      </c>
      <c r="N16" s="1085" t="s">
        <v>1301</v>
      </c>
      <c r="O16" s="1085" t="s">
        <v>1301</v>
      </c>
      <c r="P16" s="1037"/>
      <c r="R16" s="1039"/>
      <c r="S16" s="1039"/>
      <c r="T16" s="1039"/>
      <c r="U16" s="1039"/>
      <c r="V16" s="1039"/>
      <c r="W16" s="1039"/>
      <c r="X16" s="1039"/>
      <c r="Y16" s="1039"/>
    </row>
    <row r="17" spans="1:25" s="1035" customFormat="1" ht="31.5" customHeight="1">
      <c r="A17" s="1044"/>
      <c r="B17" s="1041" t="s">
        <v>10</v>
      </c>
      <c r="C17" s="1033">
        <f t="shared" ref="C17:G19" si="11">C21+C25+C29+C33+C37+C41+C45+C49+C57+C61+C65+C69+C73+C77+C81+C85+C53+C89</f>
        <v>0</v>
      </c>
      <c r="D17" s="1033"/>
      <c r="E17" s="1033"/>
      <c r="F17" s="1033">
        <f t="shared" si="11"/>
        <v>0</v>
      </c>
      <c r="G17" s="1033">
        <f t="shared" si="11"/>
        <v>3414.6802718861131</v>
      </c>
      <c r="H17" s="1033">
        <f>H21+H25+H29+H33+H37+H41+H45+H49+H57+H61+H65+H69+H73+H77+H81+H85+H53+H89</f>
        <v>4097.6163262633354</v>
      </c>
      <c r="I17" s="1033">
        <f>I21+I25+I29+I33+I37+I41+I45+I49+I57+I61+I65+I69+I73+I77+I81+I85+I53+I89</f>
        <v>2273.1254782633359</v>
      </c>
      <c r="J17" s="1033">
        <f t="shared" si="10"/>
        <v>626.33884799999987</v>
      </c>
      <c r="K17" s="1033">
        <f t="shared" si="10"/>
        <v>1198.152</v>
      </c>
      <c r="L17" s="1033">
        <f t="shared" si="10"/>
        <v>0</v>
      </c>
      <c r="M17" s="1033">
        <f t="shared" si="10"/>
        <v>0</v>
      </c>
      <c r="N17" s="1085" t="s">
        <v>1301</v>
      </c>
      <c r="O17" s="1085" t="s">
        <v>1301</v>
      </c>
      <c r="P17" s="1037"/>
      <c r="Q17" s="1038"/>
      <c r="R17" s="1036"/>
      <c r="S17" s="1036"/>
      <c r="T17" s="1036"/>
      <c r="U17" s="1036"/>
      <c r="V17" s="1036"/>
      <c r="W17" s="1036"/>
      <c r="X17" s="1036"/>
      <c r="Y17" s="1036"/>
    </row>
    <row r="18" spans="1:25" s="1035" customFormat="1" ht="33" customHeight="1">
      <c r="A18" s="1044"/>
      <c r="B18" s="1041" t="s">
        <v>9</v>
      </c>
      <c r="C18" s="1033">
        <f t="shared" si="11"/>
        <v>0</v>
      </c>
      <c r="D18" s="1033"/>
      <c r="E18" s="1033"/>
      <c r="F18" s="1033">
        <f t="shared" si="11"/>
        <v>0</v>
      </c>
      <c r="G18" s="1033">
        <f t="shared" si="11"/>
        <v>184541.44631210994</v>
      </c>
      <c r="H18" s="1033">
        <f t="shared" ref="H18" si="12">H22+H26+H30+H34+H38+H42+H46+H50+H58+H62+H66+H70+H74+H78+H82+H86+H54+H90</f>
        <v>221449.73557453195</v>
      </c>
      <c r="I18" s="1033">
        <f t="shared" ref="I18:M18" si="13">I22+I26+I30+I34+I38+I42+I46+I50+I58+I62+I66+I70+I74+I78+I82+I86+I54+I90</f>
        <v>45228.709146086941</v>
      </c>
      <c r="J18" s="1033">
        <f t="shared" si="13"/>
        <v>64324.224987327441</v>
      </c>
      <c r="K18" s="1033">
        <f t="shared" si="13"/>
        <v>38540.956683084805</v>
      </c>
      <c r="L18" s="1033">
        <f t="shared" si="13"/>
        <v>35958.747430408199</v>
      </c>
      <c r="M18" s="1033">
        <f t="shared" si="13"/>
        <v>37397.097327624528</v>
      </c>
      <c r="N18" s="1085" t="s">
        <v>1301</v>
      </c>
      <c r="O18" s="1085" t="s">
        <v>1301</v>
      </c>
      <c r="P18" s="1037"/>
      <c r="Q18" s="1038"/>
      <c r="R18" s="1036"/>
      <c r="S18" s="1036"/>
      <c r="T18" s="1036"/>
      <c r="U18" s="1036"/>
      <c r="V18" s="1036"/>
      <c r="W18" s="1036"/>
      <c r="X18" s="1036"/>
      <c r="Y18" s="1036"/>
    </row>
    <row r="19" spans="1:25" s="1035" customFormat="1" ht="35.25" customHeight="1">
      <c r="A19" s="1044"/>
      <c r="B19" s="1041" t="s">
        <v>14</v>
      </c>
      <c r="C19" s="1033">
        <f t="shared" si="11"/>
        <v>0</v>
      </c>
      <c r="D19" s="1033"/>
      <c r="E19" s="1033"/>
      <c r="F19" s="1033">
        <f t="shared" si="11"/>
        <v>0</v>
      </c>
      <c r="G19" s="1033">
        <f t="shared" si="11"/>
        <v>46932.759145999</v>
      </c>
      <c r="H19" s="1033">
        <f t="shared" ref="H19" si="14">H23+H27+H31+H35+H39+H43+H47+H51+H59+H63+H67+H71+H75+H79+H83+H87+H55+H91</f>
        <v>56319.310975198809</v>
      </c>
      <c r="I19" s="1033">
        <f t="shared" ref="I19:M19" si="15">I23+I27+I31+I35+I39+I43+I47+I51+I59+I63+I67+I71+I75+I79+I83+I87+I55+I91</f>
        <v>11361.518287487572</v>
      </c>
      <c r="J19" s="1033">
        <f t="shared" si="15"/>
        <v>16684.054627431862</v>
      </c>
      <c r="K19" s="1033">
        <f t="shared" si="15"/>
        <v>9934.7768707712021</v>
      </c>
      <c r="L19" s="1033">
        <f t="shared" si="15"/>
        <v>8989.6868576020497</v>
      </c>
      <c r="M19" s="1033">
        <f t="shared" si="15"/>
        <v>9349.2743319061319</v>
      </c>
      <c r="N19" s="1085" t="s">
        <v>1301</v>
      </c>
      <c r="O19" s="1085" t="s">
        <v>1301</v>
      </c>
      <c r="P19" s="1037"/>
      <c r="Q19" s="1038"/>
      <c r="R19" s="1036"/>
      <c r="S19" s="1036"/>
      <c r="T19" s="1036"/>
      <c r="U19" s="1036"/>
      <c r="V19" s="1036"/>
      <c r="W19" s="1036"/>
      <c r="X19" s="1036"/>
      <c r="Y19" s="1036"/>
    </row>
    <row r="20" spans="1:25" s="1049" customFormat="1" ht="97.5" customHeight="1" outlineLevel="1">
      <c r="A20" s="1045" t="s">
        <v>82</v>
      </c>
      <c r="B20" s="1081" t="s">
        <v>540</v>
      </c>
      <c r="C20" s="1046">
        <f>'Заявители до 40 куб.Калуга'!F140*5</f>
        <v>13925</v>
      </c>
      <c r="D20" s="1046" t="s">
        <v>838</v>
      </c>
      <c r="E20" s="2174" t="s">
        <v>536</v>
      </c>
      <c r="F20" s="1046">
        <f>'Заявители до 40 куб.Калуга'!I140*5</f>
        <v>2042.4900000000007</v>
      </c>
      <c r="G20" s="1046">
        <f>H20/1.2</f>
        <v>180359.00241483081</v>
      </c>
      <c r="H20" s="1046">
        <f>SUM(I20:M20)</f>
        <v>216430.80289779697</v>
      </c>
      <c r="I20" s="1046">
        <f>'Заявители до 40 куб.Калуга'!J140</f>
        <v>39958.994410000007</v>
      </c>
      <c r="J20" s="1046">
        <f>I20*1.04</f>
        <v>41557.354186400007</v>
      </c>
      <c r="K20" s="1046">
        <f>J20*1.04</f>
        <v>43219.648353856006</v>
      </c>
      <c r="L20" s="1046">
        <f>K20*1.04</f>
        <v>44948.434288010249</v>
      </c>
      <c r="M20" s="1046">
        <f>L20*1.04</f>
        <v>46746.371659530661</v>
      </c>
      <c r="N20" s="2175" t="str">
        <f>'Прил.1 Перечень по подключению'!G11</f>
        <v>2024-2028гг.</v>
      </c>
      <c r="O20" s="1047" t="s">
        <v>60</v>
      </c>
      <c r="P20" s="1037"/>
      <c r="Q20" s="1038"/>
      <c r="R20" s="1050"/>
      <c r="S20" s="1050"/>
      <c r="T20" s="1050"/>
      <c r="U20" s="1050"/>
      <c r="V20" s="1050"/>
      <c r="W20" s="1050"/>
      <c r="X20" s="1050"/>
      <c r="Y20" s="1050"/>
    </row>
    <row r="21" spans="1:25" ht="75" customHeight="1" outlineLevel="1">
      <c r="A21" s="1051"/>
      <c r="B21" s="1052" t="s">
        <v>10</v>
      </c>
      <c r="C21" s="1053"/>
      <c r="D21" s="1053" t="str">
        <f>D20</f>
        <v>Жилые дома, нежилые здания и помещения на территории г.Калуга</v>
      </c>
      <c r="E21" s="2176" t="str">
        <f>E20</f>
        <v>Заявители, величина подключаемой нагрузки которых не превышает 40 куб.м.в сутки</v>
      </c>
      <c r="F21" s="1087"/>
      <c r="G21" s="1087">
        <f t="shared" ref="G21:G84" si="16">H21/1.2</f>
        <v>0</v>
      </c>
      <c r="H21" s="1087">
        <f t="shared" ref="H21:H27" si="17">SUM(I21:M21)</f>
        <v>0</v>
      </c>
      <c r="I21" s="1053"/>
      <c r="J21" s="1053"/>
      <c r="K21" s="1053"/>
      <c r="L21" s="1053"/>
      <c r="M21" s="1053"/>
      <c r="N21" s="2166"/>
      <c r="O21" s="1054" t="s">
        <v>60</v>
      </c>
      <c r="P21" s="1037"/>
      <c r="Q21" s="1038"/>
      <c r="R21" s="1058"/>
      <c r="S21" s="1058"/>
      <c r="T21" s="1058"/>
      <c r="U21" s="1058"/>
    </row>
    <row r="22" spans="1:25" ht="74.25" customHeight="1" outlineLevel="1">
      <c r="A22" s="1051"/>
      <c r="B22" s="1052" t="s">
        <v>9</v>
      </c>
      <c r="C22" s="1053"/>
      <c r="D22" s="1053" t="str">
        <f>D21</f>
        <v>Жилые дома, нежилые здания и помещения на территории г.Калуга</v>
      </c>
      <c r="E22" s="2176" t="str">
        <f>E20</f>
        <v>Заявители, величина подключаемой нагрузки которых не превышает 40 куб.м.в сутки</v>
      </c>
      <c r="F22" s="1087"/>
      <c r="G22" s="1087">
        <f t="shared" si="16"/>
        <v>144287.20193186463</v>
      </c>
      <c r="H22" s="1087">
        <f t="shared" si="17"/>
        <v>173144.64231823754</v>
      </c>
      <c r="I22" s="1053">
        <f>I20*80%</f>
        <v>31967.195528000007</v>
      </c>
      <c r="J22" s="1053">
        <f>J20*80%</f>
        <v>33245.883349120006</v>
      </c>
      <c r="K22" s="1053">
        <f>K20*80%</f>
        <v>34575.718683084808</v>
      </c>
      <c r="L22" s="1053">
        <f>L20*80%</f>
        <v>35958.747430408199</v>
      </c>
      <c r="M22" s="1053">
        <f>M20*80%</f>
        <v>37397.097327624528</v>
      </c>
      <c r="N22" s="2166"/>
      <c r="O22" s="1054" t="s">
        <v>60</v>
      </c>
      <c r="P22" s="1037"/>
      <c r="Q22" s="1038"/>
      <c r="R22" s="1058"/>
      <c r="S22" s="1058"/>
      <c r="T22" s="1058"/>
      <c r="U22" s="1058"/>
    </row>
    <row r="23" spans="1:25" ht="75" customHeight="1" outlineLevel="1">
      <c r="A23" s="1051"/>
      <c r="B23" s="1052" t="s">
        <v>14</v>
      </c>
      <c r="C23" s="1053"/>
      <c r="D23" s="1053" t="str">
        <f>D22</f>
        <v>Жилые дома, нежилые здания и помещения на территории г.Калуга</v>
      </c>
      <c r="E23" s="2176" t="str">
        <f>E21</f>
        <v>Заявители, величина подключаемой нагрузки которых не превышает 40 куб.м.в сутки</v>
      </c>
      <c r="F23" s="1087"/>
      <c r="G23" s="1087">
        <f t="shared" si="16"/>
        <v>36071.800482966159</v>
      </c>
      <c r="H23" s="1087">
        <f t="shared" si="17"/>
        <v>43286.160579559386</v>
      </c>
      <c r="I23" s="1053">
        <f>I20*20%</f>
        <v>7991.7988820000019</v>
      </c>
      <c r="J23" s="1053">
        <f>J20*20%</f>
        <v>8311.4708372800014</v>
      </c>
      <c r="K23" s="1053">
        <f>K20*20%</f>
        <v>8643.9296707712019</v>
      </c>
      <c r="L23" s="1053">
        <f>L20*20%</f>
        <v>8989.6868576020497</v>
      </c>
      <c r="M23" s="1053">
        <f>M20*20%</f>
        <v>9349.2743319061319</v>
      </c>
      <c r="N23" s="2166"/>
      <c r="O23" s="1054" t="s">
        <v>60</v>
      </c>
      <c r="P23" s="1037"/>
      <c r="Q23" s="1038"/>
      <c r="R23" s="1058"/>
      <c r="S23" s="1058"/>
      <c r="T23" s="1058"/>
      <c r="U23" s="1058"/>
    </row>
    <row r="24" spans="1:25" s="1049" customFormat="1" ht="121.5" customHeight="1" outlineLevel="1">
      <c r="A24" s="1045" t="s">
        <v>119</v>
      </c>
      <c r="B24" s="1060" t="s">
        <v>61</v>
      </c>
      <c r="C24" s="1046">
        <f>48.5+204</f>
        <v>252.5</v>
      </c>
      <c r="D24" s="1046" t="s">
        <v>839</v>
      </c>
      <c r="E24" s="2174" t="s">
        <v>295</v>
      </c>
      <c r="F24" s="1046">
        <f>'Прил.1 Перечень по подключению'!E12</f>
        <v>576.9</v>
      </c>
      <c r="G24" s="1046">
        <f t="shared" si="16"/>
        <v>848.86400000000003</v>
      </c>
      <c r="H24" s="1046">
        <f t="shared" si="17"/>
        <v>1018.6368</v>
      </c>
      <c r="I24" s="1046">
        <f>SUM(I25:I27)</f>
        <v>0</v>
      </c>
      <c r="J24" s="1046">
        <f>SUM(J25:J27)</f>
        <v>1018.6368</v>
      </c>
      <c r="K24" s="1046">
        <f>SUM(K25:K27)</f>
        <v>0</v>
      </c>
      <c r="L24" s="1046">
        <f>SUM(L25:L27)</f>
        <v>0</v>
      </c>
      <c r="M24" s="1046">
        <f>SUM(M25:M27)</f>
        <v>0</v>
      </c>
      <c r="N24" s="2177" t="str">
        <f>'Прил.1 Перечень по подключению'!G12</f>
        <v>2025год</v>
      </c>
      <c r="O24" s="1047" t="s">
        <v>57</v>
      </c>
      <c r="P24" s="1037"/>
      <c r="Q24" s="1038"/>
    </row>
    <row r="25" spans="1:25" ht="77.25" customHeight="1" outlineLevel="1">
      <c r="A25" s="1051"/>
      <c r="B25" s="1052" t="s">
        <v>10</v>
      </c>
      <c r="C25" s="1053"/>
      <c r="D25" s="1053" t="str">
        <f>D24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25" s="2176" t="str">
        <f>E24</f>
        <v>ООО Совместное предприятие "Минскстройэкспорт"</v>
      </c>
      <c r="F25" s="1087"/>
      <c r="G25" s="1087">
        <f t="shared" si="16"/>
        <v>0</v>
      </c>
      <c r="H25" s="1087">
        <f t="shared" si="17"/>
        <v>0</v>
      </c>
      <c r="I25" s="1053"/>
      <c r="J25" s="1053">
        <f>'Минскстрой_Малиновка-2'!F25</f>
        <v>0</v>
      </c>
      <c r="K25" s="1053"/>
      <c r="L25" s="1053"/>
      <c r="M25" s="1053"/>
      <c r="N25" s="2166"/>
      <c r="O25" s="1054" t="s">
        <v>57</v>
      </c>
      <c r="P25" s="1037"/>
      <c r="Q25" s="1038"/>
      <c r="R25" s="1057"/>
      <c r="S25" s="1057"/>
      <c r="T25" s="1057"/>
      <c r="U25" s="1057"/>
      <c r="V25" s="1057"/>
      <c r="W25" s="1057"/>
      <c r="X25" s="1057"/>
      <c r="Y25" s="1057"/>
    </row>
    <row r="26" spans="1:25" ht="80.25" customHeight="1" outlineLevel="1">
      <c r="A26" s="1051"/>
      <c r="B26" s="1052" t="s">
        <v>9</v>
      </c>
      <c r="C26" s="1053"/>
      <c r="D26" s="1053" t="str">
        <f>D24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26" s="2176" t="str">
        <f>E24</f>
        <v>ООО Совместное предприятие "Минскстройэкспорт"</v>
      </c>
      <c r="F26" s="1087"/>
      <c r="G26" s="1087">
        <f t="shared" si="16"/>
        <v>679.09100000000001</v>
      </c>
      <c r="H26" s="1087">
        <f t="shared" si="17"/>
        <v>814.90919999999994</v>
      </c>
      <c r="I26" s="1053"/>
      <c r="J26" s="1053">
        <f>'Минскстрой_Малиновка-2'!F26+'Минскстрой_Малиновка-2'!F28</f>
        <v>814.90919999999994</v>
      </c>
      <c r="K26" s="1053"/>
      <c r="L26" s="1053"/>
      <c r="M26" s="1053"/>
      <c r="N26" s="2166"/>
      <c r="O26" s="1054" t="s">
        <v>57</v>
      </c>
      <c r="P26" s="1037"/>
      <c r="Q26" s="1038"/>
      <c r="R26" s="1057"/>
      <c r="S26" s="1057"/>
      <c r="T26" s="1057"/>
      <c r="U26" s="1057"/>
      <c r="V26" s="1057"/>
      <c r="W26" s="1057"/>
      <c r="X26" s="1057"/>
      <c r="Y26" s="1057"/>
    </row>
    <row r="27" spans="1:25" ht="71.25" customHeight="1" outlineLevel="1">
      <c r="A27" s="1051"/>
      <c r="B27" s="1052" t="s">
        <v>14</v>
      </c>
      <c r="C27" s="1053"/>
      <c r="D27" s="1053" t="str">
        <f>D24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27" s="2176" t="str">
        <f>E24</f>
        <v>ООО Совместное предприятие "Минскстройэкспорт"</v>
      </c>
      <c r="F27" s="1087"/>
      <c r="G27" s="1087">
        <f t="shared" si="16"/>
        <v>169.773</v>
      </c>
      <c r="H27" s="1087">
        <f t="shared" si="17"/>
        <v>203.7276</v>
      </c>
      <c r="I27" s="1053"/>
      <c r="J27" s="1053">
        <f>'Минскстрой_Малиновка-2'!F29</f>
        <v>203.7276</v>
      </c>
      <c r="K27" s="1053"/>
      <c r="L27" s="1053"/>
      <c r="M27" s="1053"/>
      <c r="N27" s="2166"/>
      <c r="O27" s="1054" t="s">
        <v>57</v>
      </c>
      <c r="P27" s="1037"/>
      <c r="Q27" s="1038"/>
      <c r="R27" s="1057"/>
      <c r="S27" s="1057"/>
      <c r="T27" s="1057"/>
      <c r="U27" s="1057"/>
      <c r="V27" s="1057"/>
      <c r="W27" s="1057"/>
      <c r="X27" s="1057"/>
      <c r="Y27" s="1057"/>
    </row>
    <row r="28" spans="1:25" s="1049" customFormat="1" ht="204.75" customHeight="1" outlineLevel="1">
      <c r="A28" s="1045" t="s">
        <v>120</v>
      </c>
      <c r="B28" s="1081" t="s">
        <v>544</v>
      </c>
      <c r="C28" s="1046">
        <v>50</v>
      </c>
      <c r="D28" s="1046" t="s">
        <v>600</v>
      </c>
      <c r="E28" s="2174" t="s">
        <v>295</v>
      </c>
      <c r="F28" s="1046">
        <f>'Прил.1 Перечень по подключению'!E13</f>
        <v>345.6</v>
      </c>
      <c r="G28" s="1046">
        <f t="shared" si="16"/>
        <v>1350.54</v>
      </c>
      <c r="H28" s="1046">
        <f t="shared" ref="H28:H35" si="18">SUM(I28:M28)</f>
        <v>1620.6479999999999</v>
      </c>
      <c r="I28" s="1046">
        <f>SUM(I29:I31)</f>
        <v>1620.6479999999999</v>
      </c>
      <c r="J28" s="1046">
        <f>SUM(J29:J31)</f>
        <v>0</v>
      </c>
      <c r="K28" s="1046">
        <f>SUM(K29:K31)</f>
        <v>0</v>
      </c>
      <c r="L28" s="1046">
        <f>SUM(L29:L31)</f>
        <v>0</v>
      </c>
      <c r="M28" s="1046">
        <f>SUM(M29:M31)</f>
        <v>0</v>
      </c>
      <c r="N28" s="1047" t="str">
        <f>'Прил.1 Перечень по подключению'!G13</f>
        <v>2024год</v>
      </c>
      <c r="O28" s="1047" t="s">
        <v>57</v>
      </c>
      <c r="P28" s="1048"/>
      <c r="R28" s="1050"/>
      <c r="S28" s="1050"/>
      <c r="T28" s="1050"/>
      <c r="U28" s="1050"/>
      <c r="V28" s="1050"/>
      <c r="W28" s="1050"/>
      <c r="X28" s="1050"/>
      <c r="Y28" s="1050"/>
    </row>
    <row r="29" spans="1:25" ht="99" customHeight="1" outlineLevel="1">
      <c r="A29" s="1051"/>
      <c r="B29" s="1061" t="s">
        <v>10</v>
      </c>
      <c r="C29" s="1053"/>
      <c r="D29" s="1053" t="str">
        <f>D28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29" s="2176" t="str">
        <f>E28</f>
        <v>ООО Совместное предприятие "Минскстройэкспорт"</v>
      </c>
      <c r="F29" s="1087"/>
      <c r="G29" s="1087">
        <f t="shared" si="16"/>
        <v>0</v>
      </c>
      <c r="H29" s="1087">
        <f t="shared" si="18"/>
        <v>0</v>
      </c>
      <c r="I29" s="1053"/>
      <c r="J29" s="1053"/>
      <c r="K29" s="1053"/>
      <c r="L29" s="1053"/>
      <c r="M29" s="1053"/>
      <c r="N29" s="2166"/>
      <c r="O29" s="1054" t="s">
        <v>57</v>
      </c>
      <c r="P29" s="1056"/>
    </row>
    <row r="30" spans="1:25" ht="65.25" customHeight="1" outlineLevel="1">
      <c r="A30" s="1051"/>
      <c r="B30" s="1052" t="s">
        <v>9</v>
      </c>
      <c r="C30" s="1053"/>
      <c r="D30" s="1053" t="str">
        <f>D28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30" s="2176" t="str">
        <f>E28</f>
        <v>ООО Совместное предприятие "Минскстройэкспорт"</v>
      </c>
      <c r="F30" s="1087"/>
      <c r="G30" s="1087">
        <f t="shared" si="16"/>
        <v>1125.45</v>
      </c>
      <c r="H30" s="1087">
        <f t="shared" si="18"/>
        <v>1350.54</v>
      </c>
      <c r="I30" s="1053">
        <v>1350.54</v>
      </c>
      <c r="J30" s="1053"/>
      <c r="K30" s="1053"/>
      <c r="L30" s="1053"/>
      <c r="M30" s="1053"/>
      <c r="N30" s="2166"/>
      <c r="O30" s="1054" t="s">
        <v>57</v>
      </c>
      <c r="P30" s="1056"/>
    </row>
    <row r="31" spans="1:25" ht="66.75" customHeight="1" outlineLevel="1">
      <c r="A31" s="1051"/>
      <c r="B31" s="1052" t="s">
        <v>14</v>
      </c>
      <c r="C31" s="1053"/>
      <c r="D31" s="1053" t="str">
        <f>D28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31" s="2176" t="str">
        <f>E28</f>
        <v>ООО Совместное предприятие "Минскстройэкспорт"</v>
      </c>
      <c r="F31" s="1087"/>
      <c r="G31" s="1087">
        <f t="shared" si="16"/>
        <v>225.08999999999997</v>
      </c>
      <c r="H31" s="1087">
        <f t="shared" si="18"/>
        <v>270.10799999999995</v>
      </c>
      <c r="I31" s="1053">
        <v>270.10799999999995</v>
      </c>
      <c r="J31" s="1053"/>
      <c r="K31" s="1053"/>
      <c r="L31" s="1053"/>
      <c r="M31" s="1053"/>
      <c r="N31" s="2166"/>
      <c r="O31" s="1054" t="s">
        <v>57</v>
      </c>
      <c r="P31" s="1056"/>
    </row>
    <row r="32" spans="1:25" s="1066" customFormat="1" ht="162" outlineLevel="1">
      <c r="A32" s="1062" t="s">
        <v>114</v>
      </c>
      <c r="B32" s="1081" t="s">
        <v>1089</v>
      </c>
      <c r="C32" s="1063">
        <v>20</v>
      </c>
      <c r="D32" s="1063" t="s">
        <v>104</v>
      </c>
      <c r="E32" s="2178" t="str">
        <f>'Прил.1 Перечень по подключению'!D14</f>
        <v xml:space="preserve"> ГКУ КО "Управление капитального строительства"</v>
      </c>
      <c r="F32" s="1063">
        <f>'Прил.1 Перечень по подключению'!E14</f>
        <v>135.6</v>
      </c>
      <c r="G32" s="1063">
        <f t="shared" si="16"/>
        <v>629.779</v>
      </c>
      <c r="H32" s="1063">
        <f t="shared" si="18"/>
        <v>755.73479999999995</v>
      </c>
      <c r="I32" s="1063">
        <f>SUM(I33:I35)</f>
        <v>0</v>
      </c>
      <c r="J32" s="1063">
        <f>SUM(J33:J35)</f>
        <v>755.73479999999995</v>
      </c>
      <c r="K32" s="1063">
        <f>SUM(K33:K35)</f>
        <v>0</v>
      </c>
      <c r="L32" s="1063">
        <f>SUM(L33:L35)</f>
        <v>0</v>
      </c>
      <c r="M32" s="1063">
        <f>SUM(M33:M35)</f>
        <v>0</v>
      </c>
      <c r="N32" s="1064" t="str">
        <f>'Прил.1 Перечень по подключению'!G14</f>
        <v>2025год</v>
      </c>
      <c r="O32" s="1064" t="s">
        <v>57</v>
      </c>
      <c r="P32" s="1065"/>
    </row>
    <row r="33" spans="1:25" s="1072" customFormat="1" ht="48" customHeight="1" outlineLevel="1">
      <c r="A33" s="1067"/>
      <c r="B33" s="1068" t="s">
        <v>10</v>
      </c>
      <c r="C33" s="1069"/>
      <c r="D33" s="1069" t="str">
        <f>D32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33" s="1069" t="str">
        <f>E32</f>
        <v xml:space="preserve"> ГКУ КО "Управление капитального строительства"</v>
      </c>
      <c r="F33" s="2179"/>
      <c r="G33" s="2179">
        <f t="shared" si="16"/>
        <v>0</v>
      </c>
      <c r="H33" s="2179">
        <f t="shared" si="18"/>
        <v>0</v>
      </c>
      <c r="I33" s="1069"/>
      <c r="J33" s="1069">
        <v>0</v>
      </c>
      <c r="K33" s="1069"/>
      <c r="L33" s="1069"/>
      <c r="M33" s="1069"/>
      <c r="N33" s="1491"/>
      <c r="O33" s="1070" t="s">
        <v>57</v>
      </c>
      <c r="P33" s="1071"/>
    </row>
    <row r="34" spans="1:25" s="1072" customFormat="1" ht="48" customHeight="1" outlineLevel="1">
      <c r="A34" s="1067"/>
      <c r="B34" s="1073" t="s">
        <v>9</v>
      </c>
      <c r="C34" s="1069"/>
      <c r="D34" s="1069" t="str">
        <f>D33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34" s="2180" t="str">
        <f>E32</f>
        <v xml:space="preserve"> ГКУ КО "Управление капитального строительства"</v>
      </c>
      <c r="F34" s="2179"/>
      <c r="G34" s="2179">
        <f t="shared" si="16"/>
        <v>503.82299999999998</v>
      </c>
      <c r="H34" s="2179">
        <f>SUM(I34:M34)</f>
        <v>604.58759999999995</v>
      </c>
      <c r="I34" s="1069"/>
      <c r="J34" s="1069">
        <v>604.58759999999995</v>
      </c>
      <c r="K34" s="1069"/>
      <c r="L34" s="1069"/>
      <c r="M34" s="1069"/>
      <c r="N34" s="1491"/>
      <c r="O34" s="1070" t="s">
        <v>57</v>
      </c>
      <c r="P34" s="1071"/>
    </row>
    <row r="35" spans="1:25" s="1072" customFormat="1" ht="48" customHeight="1" outlineLevel="1">
      <c r="A35" s="1067"/>
      <c r="B35" s="1073" t="s">
        <v>14</v>
      </c>
      <c r="C35" s="1069"/>
      <c r="D35" s="1069" t="str">
        <f>D32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35" s="2180" t="str">
        <f>E32</f>
        <v xml:space="preserve"> ГКУ КО "Управление капитального строительства"</v>
      </c>
      <c r="F35" s="2179"/>
      <c r="G35" s="2179">
        <f t="shared" si="16"/>
        <v>125.956</v>
      </c>
      <c r="H35" s="2179">
        <f t="shared" si="18"/>
        <v>151.1472</v>
      </c>
      <c r="I35" s="1069"/>
      <c r="J35" s="1069">
        <v>151.1472</v>
      </c>
      <c r="K35" s="1069"/>
      <c r="L35" s="1069"/>
      <c r="M35" s="1069"/>
      <c r="N35" s="1491"/>
      <c r="O35" s="1070" t="s">
        <v>57</v>
      </c>
      <c r="P35" s="1071"/>
    </row>
    <row r="36" spans="1:25" s="1025" customFormat="1" ht="172.5" customHeight="1" outlineLevel="1">
      <c r="A36" s="1045" t="s">
        <v>121</v>
      </c>
      <c r="B36" s="1081" t="s">
        <v>14833</v>
      </c>
      <c r="C36" s="1046">
        <f>3+5</f>
        <v>8</v>
      </c>
      <c r="D36" s="1046" t="s">
        <v>49</v>
      </c>
      <c r="E36" s="2174" t="s">
        <v>51</v>
      </c>
      <c r="F36" s="1046">
        <f>'Прил.1 Перечень по подключению'!E15</f>
        <v>560</v>
      </c>
      <c r="G36" s="1046">
        <f t="shared" si="16"/>
        <v>206.26600000000002</v>
      </c>
      <c r="H36" s="1046">
        <f t="shared" ref="H36:H47" si="19">SUM(I36:M36)</f>
        <v>247.51920000000001</v>
      </c>
      <c r="I36" s="1046">
        <f>SUM(I37:I39)</f>
        <v>0</v>
      </c>
      <c r="J36" s="1046">
        <f>SUM(J37:J39)</f>
        <v>247.51920000000001</v>
      </c>
      <c r="K36" s="1046">
        <f>SUM(K37:K39)</f>
        <v>0</v>
      </c>
      <c r="L36" s="1046">
        <f>SUM(L37:L39)</f>
        <v>0</v>
      </c>
      <c r="M36" s="1046">
        <f>SUM(M37:M39)</f>
        <v>0</v>
      </c>
      <c r="N36" s="1047" t="str">
        <f>'Прил.1 Перечень по подключению'!G15</f>
        <v>2025год</v>
      </c>
      <c r="O36" s="1047" t="s">
        <v>57</v>
      </c>
      <c r="P36" s="1056"/>
      <c r="R36" s="1026"/>
      <c r="S36" s="1026"/>
      <c r="T36" s="1026"/>
      <c r="U36" s="1026"/>
      <c r="V36" s="1026"/>
      <c r="W36" s="1026"/>
      <c r="X36" s="1026"/>
      <c r="Y36" s="1026"/>
    </row>
    <row r="37" spans="1:25" ht="75.75" customHeight="1" outlineLevel="1">
      <c r="A37" s="1051"/>
      <c r="B37" s="1052" t="s">
        <v>10</v>
      </c>
      <c r="C37" s="1053"/>
      <c r="D37" s="1053" t="str">
        <f>D36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37" s="2176" t="str">
        <f>E36</f>
        <v>ЗАО Строительная компания "Правый берег" (ЗАО СК Правый берег)</v>
      </c>
      <c r="F37" s="1087"/>
      <c r="G37" s="1087">
        <f t="shared" si="16"/>
        <v>0</v>
      </c>
      <c r="H37" s="1087">
        <f t="shared" si="19"/>
        <v>0</v>
      </c>
      <c r="I37" s="1053"/>
      <c r="J37" s="1053"/>
      <c r="K37" s="1053"/>
      <c r="L37" s="1053"/>
      <c r="M37" s="1053"/>
      <c r="N37" s="2166"/>
      <c r="O37" s="1054" t="s">
        <v>57</v>
      </c>
      <c r="P37" s="1056"/>
    </row>
    <row r="38" spans="1:25" ht="75.75" customHeight="1" outlineLevel="1">
      <c r="A38" s="1051"/>
      <c r="B38" s="1052" t="s">
        <v>9</v>
      </c>
      <c r="C38" s="1053"/>
      <c r="D38" s="1053" t="str">
        <f>D37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38" s="2176" t="str">
        <f>E37</f>
        <v>ЗАО Строительная компания "Правый берег" (ЗАО СК Правый берег)</v>
      </c>
      <c r="F38" s="1087"/>
      <c r="G38" s="1087">
        <f t="shared" si="16"/>
        <v>165.01300000000001</v>
      </c>
      <c r="H38" s="1087">
        <f t="shared" si="19"/>
        <v>198.01560000000001</v>
      </c>
      <c r="I38" s="1053"/>
      <c r="J38" s="1053">
        <v>198.01560000000001</v>
      </c>
      <c r="K38" s="1053"/>
      <c r="L38" s="1053"/>
      <c r="M38" s="1053"/>
      <c r="N38" s="2166"/>
      <c r="O38" s="1054" t="s">
        <v>57</v>
      </c>
      <c r="P38" s="1056"/>
    </row>
    <row r="39" spans="1:25" ht="75.75" customHeight="1" outlineLevel="1">
      <c r="A39" s="1051"/>
      <c r="B39" s="1052" t="s">
        <v>14</v>
      </c>
      <c r="C39" s="1053"/>
      <c r="D39" s="1053" t="str">
        <f>D37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39" s="2176" t="str">
        <f>E36</f>
        <v>ЗАО Строительная компания "Правый берег" (ЗАО СК Правый берег)</v>
      </c>
      <c r="F39" s="1087"/>
      <c r="G39" s="1087">
        <f t="shared" si="16"/>
        <v>41.253</v>
      </c>
      <c r="H39" s="1087">
        <f t="shared" si="19"/>
        <v>49.503599999999999</v>
      </c>
      <c r="I39" s="1053"/>
      <c r="J39" s="1053">
        <v>49.503599999999999</v>
      </c>
      <c r="K39" s="1053"/>
      <c r="L39" s="1053"/>
      <c r="M39" s="1053"/>
      <c r="N39" s="2166"/>
      <c r="O39" s="1054" t="s">
        <v>57</v>
      </c>
      <c r="P39" s="1056"/>
    </row>
    <row r="40" spans="1:25" s="1025" customFormat="1" ht="261" customHeight="1" outlineLevel="1">
      <c r="A40" s="1045" t="s">
        <v>122</v>
      </c>
      <c r="B40" s="1081" t="s">
        <v>900</v>
      </c>
      <c r="C40" s="1046">
        <f>345+25</f>
        <v>370</v>
      </c>
      <c r="D40" s="1046" t="s">
        <v>279</v>
      </c>
      <c r="E40" s="2174" t="s">
        <v>52</v>
      </c>
      <c r="F40" s="1046">
        <f>'Прил.1 Перечень по подключению'!E16</f>
        <v>1220</v>
      </c>
      <c r="G40" s="1046">
        <f t="shared" si="16"/>
        <v>5378.5309999999999</v>
      </c>
      <c r="H40" s="1046">
        <f t="shared" si="19"/>
        <v>6454.2371999999996</v>
      </c>
      <c r="I40" s="1046">
        <f>SUM(I41:I43)</f>
        <v>0</v>
      </c>
      <c r="J40" s="1046">
        <f>SUM(J41:J43)</f>
        <v>0</v>
      </c>
      <c r="K40" s="1046">
        <f>SUM(K41:K43)</f>
        <v>6454.2371999999996</v>
      </c>
      <c r="L40" s="1046">
        <f>SUM(L41:L43)</f>
        <v>0</v>
      </c>
      <c r="M40" s="1046">
        <f>SUM(M41:M43)</f>
        <v>0</v>
      </c>
      <c r="N40" s="1047" t="str">
        <f>'Прил.1 Перечень по подключению'!G16</f>
        <v>2026год</v>
      </c>
      <c r="O40" s="1047" t="s">
        <v>57</v>
      </c>
      <c r="P40" s="1056"/>
      <c r="R40" s="1026"/>
      <c r="S40" s="1026"/>
      <c r="T40" s="1026"/>
      <c r="U40" s="1026"/>
      <c r="V40" s="1026"/>
      <c r="W40" s="1026"/>
      <c r="X40" s="1026"/>
      <c r="Y40" s="1026"/>
    </row>
    <row r="41" spans="1:25" ht="111" outlineLevel="1">
      <c r="A41" s="1051"/>
      <c r="B41" s="1052" t="s">
        <v>10</v>
      </c>
      <c r="C41" s="1053"/>
      <c r="D41" s="1053" t="str">
        <f>D40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41" s="2176" t="str">
        <f>E40</f>
        <v>ООО "СтройСервис" (АО ЦентрСпецСтрой)</v>
      </c>
      <c r="F41" s="1087"/>
      <c r="G41" s="1087">
        <f t="shared" si="16"/>
        <v>998.46</v>
      </c>
      <c r="H41" s="1087">
        <f t="shared" si="19"/>
        <v>1198.152</v>
      </c>
      <c r="I41" s="1053"/>
      <c r="J41" s="1053"/>
      <c r="K41" s="1053">
        <f>АО_ЦентрСпецСтрой!$E$25*1.2</f>
        <v>1198.152</v>
      </c>
      <c r="L41" s="1074"/>
      <c r="M41" s="1053"/>
      <c r="N41" s="2166"/>
      <c r="O41" s="1054" t="s">
        <v>57</v>
      </c>
      <c r="P41" s="1056"/>
    </row>
    <row r="42" spans="1:25" ht="111" outlineLevel="1">
      <c r="A42" s="1051"/>
      <c r="B42" s="1052" t="s">
        <v>9</v>
      </c>
      <c r="C42" s="1053"/>
      <c r="D42" s="1053" t="str">
        <f>D40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42" s="2176" t="str">
        <f>E41</f>
        <v>ООО "СтройСервис" (АО ЦентрСпецСтрой)</v>
      </c>
      <c r="F42" s="1087"/>
      <c r="G42" s="1087">
        <f t="shared" si="16"/>
        <v>3304.3649999999998</v>
      </c>
      <c r="H42" s="1087">
        <f t="shared" si="19"/>
        <v>3965.2379999999994</v>
      </c>
      <c r="I42" s="1053"/>
      <c r="J42" s="1053"/>
      <c r="K42" s="1053">
        <f>(АО_ЦентрСпецСтрой!$E$26+АО_ЦентрСпецСтрой!$E$27+АО_ЦентрСпецСтрой!$E$28)*1.2</f>
        <v>3965.2379999999994</v>
      </c>
      <c r="L42" s="1074"/>
      <c r="M42" s="1053"/>
      <c r="N42" s="2166"/>
      <c r="O42" s="1054" t="s">
        <v>57</v>
      </c>
      <c r="P42" s="1056"/>
    </row>
    <row r="43" spans="1:25" ht="111" outlineLevel="1">
      <c r="A43" s="1051"/>
      <c r="B43" s="1052" t="s">
        <v>14</v>
      </c>
      <c r="C43" s="1053"/>
      <c r="D43" s="1053" t="str">
        <f>D40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43" s="2176" t="str">
        <f>E42</f>
        <v>ООО "СтройСервис" (АО ЦентрСпецСтрой)</v>
      </c>
      <c r="F43" s="1087"/>
      <c r="G43" s="1087">
        <f t="shared" si="16"/>
        <v>1075.7059999999999</v>
      </c>
      <c r="H43" s="1087">
        <f t="shared" si="19"/>
        <v>1290.8471999999999</v>
      </c>
      <c r="I43" s="1053"/>
      <c r="J43" s="1053"/>
      <c r="K43" s="1053">
        <f>АО_ЦентрСпецСтрой!$E$29*1.2</f>
        <v>1290.8471999999999</v>
      </c>
      <c r="L43" s="1074"/>
      <c r="M43" s="1053"/>
      <c r="N43" s="2166"/>
      <c r="O43" s="1054" t="s">
        <v>57</v>
      </c>
      <c r="P43" s="1056"/>
    </row>
    <row r="44" spans="1:25" s="1049" customFormat="1" ht="257.25" customHeight="1" outlineLevel="1">
      <c r="A44" s="1045" t="s">
        <v>123</v>
      </c>
      <c r="B44" s="1081" t="s">
        <v>14834</v>
      </c>
      <c r="C44" s="1046">
        <v>6</v>
      </c>
      <c r="D44" s="1075" t="s">
        <v>111</v>
      </c>
      <c r="E44" s="2174" t="s">
        <v>112</v>
      </c>
      <c r="F44" s="1046">
        <f>'Прил.1 Перечень по подключению'!E18</f>
        <v>146.24</v>
      </c>
      <c r="G44" s="1046">
        <f t="shared" si="16"/>
        <v>195.25874999999999</v>
      </c>
      <c r="H44" s="1046">
        <f t="shared" si="19"/>
        <v>234.31049999999999</v>
      </c>
      <c r="I44" s="1046">
        <f>SUM(I45:I47)</f>
        <v>234.31049999999999</v>
      </c>
      <c r="J44" s="1046">
        <f>SUM(J45:J47)</f>
        <v>0</v>
      </c>
      <c r="K44" s="1046">
        <f>SUM(K45:K47)</f>
        <v>0</v>
      </c>
      <c r="L44" s="1046">
        <f>SUM(L45:L47)</f>
        <v>0</v>
      </c>
      <c r="M44" s="1046">
        <f>SUM(M45:M47)</f>
        <v>0</v>
      </c>
      <c r="N44" s="1047" t="str">
        <f>'Прил.1 Перечень по подключению'!G18</f>
        <v>2024год</v>
      </c>
      <c r="O44" s="1047" t="s">
        <v>57</v>
      </c>
      <c r="P44" s="1048"/>
      <c r="R44" s="1050"/>
      <c r="S44" s="1050"/>
      <c r="T44" s="1050"/>
      <c r="U44" s="1050"/>
      <c r="V44" s="1050"/>
      <c r="W44" s="1050"/>
      <c r="X44" s="1050"/>
      <c r="Y44" s="1050"/>
    </row>
    <row r="45" spans="1:25" ht="73.5" customHeight="1" outlineLevel="1">
      <c r="A45" s="1051"/>
      <c r="B45" s="1052" t="s">
        <v>10</v>
      </c>
      <c r="C45" s="1053"/>
      <c r="D45" s="1053" t="str">
        <f>D44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45" s="2176" t="str">
        <f>E44</f>
        <v>ООО «КалугаЭлитДевелопмент»</v>
      </c>
      <c r="F45" s="1087"/>
      <c r="G45" s="1087">
        <f t="shared" si="16"/>
        <v>0</v>
      </c>
      <c r="H45" s="1087">
        <f t="shared" si="19"/>
        <v>0</v>
      </c>
      <c r="I45" s="1053"/>
      <c r="J45" s="1053"/>
      <c r="K45" s="1053"/>
      <c r="L45" s="1053"/>
      <c r="M45" s="1053"/>
      <c r="N45" s="2166"/>
      <c r="O45" s="1054" t="s">
        <v>57</v>
      </c>
      <c r="P45" s="1076"/>
    </row>
    <row r="46" spans="1:25" ht="81" customHeight="1" outlineLevel="1">
      <c r="A46" s="1051"/>
      <c r="B46" s="1052" t="s">
        <v>9</v>
      </c>
      <c r="C46" s="1053"/>
      <c r="D46" s="1053" t="str">
        <f>D44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46" s="2176" t="str">
        <f>E44</f>
        <v>ООО «КалугаЭлитДевелопмент»</v>
      </c>
      <c r="F46" s="1087"/>
      <c r="G46" s="1087">
        <f t="shared" si="16"/>
        <v>156.20699999999999</v>
      </c>
      <c r="H46" s="1087">
        <f t="shared" si="19"/>
        <v>187.44839999999999</v>
      </c>
      <c r="I46" s="1053">
        <f>КалугаЭлитДевелопмент!F26+КалугаЭлитДевелопмент!F27</f>
        <v>187.44839999999999</v>
      </c>
      <c r="J46" s="1053"/>
      <c r="K46" s="1053"/>
      <c r="L46" s="1053"/>
      <c r="M46" s="1053"/>
      <c r="N46" s="2166"/>
      <c r="O46" s="1054" t="s">
        <v>57</v>
      </c>
      <c r="P46" s="1076"/>
    </row>
    <row r="47" spans="1:25" ht="50.25" customHeight="1" outlineLevel="1">
      <c r="A47" s="1051"/>
      <c r="B47" s="1052" t="s">
        <v>14</v>
      </c>
      <c r="C47" s="1053"/>
      <c r="D47" s="1053" t="str">
        <f>D45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47" s="2176" t="str">
        <f>E44</f>
        <v>ООО «КалугаЭлитДевелопмент»</v>
      </c>
      <c r="F47" s="1087"/>
      <c r="G47" s="1087">
        <f t="shared" si="16"/>
        <v>39.051749999999998</v>
      </c>
      <c r="H47" s="1087">
        <f t="shared" si="19"/>
        <v>46.862099999999998</v>
      </c>
      <c r="I47" s="1053">
        <f>КалугаЭлитДевелопмент!F29</f>
        <v>46.862099999999998</v>
      </c>
      <c r="J47" s="1053"/>
      <c r="K47" s="1053"/>
      <c r="L47" s="1053"/>
      <c r="M47" s="1053"/>
      <c r="N47" s="2166"/>
      <c r="O47" s="1054" t="s">
        <v>57</v>
      </c>
      <c r="P47" s="1056"/>
    </row>
    <row r="48" spans="1:25" s="1077" customFormat="1" ht="238.5" customHeight="1" outlineLevel="1">
      <c r="A48" s="1045" t="s">
        <v>124</v>
      </c>
      <c r="B48" s="1081" t="s">
        <v>14835</v>
      </c>
      <c r="C48" s="1046">
        <v>17.5</v>
      </c>
      <c r="D48" s="1046" t="s">
        <v>545</v>
      </c>
      <c r="E48" s="2174" t="str">
        <f>'Прил.1 Перечень по подключению'!D19</f>
        <v>ООО Совместное предприятие "Минскстройэкспорт" (уступка права ООО Драйвер)</v>
      </c>
      <c r="F48" s="1046">
        <f>'Прил.1 Перечень по подключению'!E19</f>
        <v>64.430000000000007</v>
      </c>
      <c r="G48" s="1046">
        <f t="shared" si="16"/>
        <v>150.31175000000002</v>
      </c>
      <c r="H48" s="1046">
        <f t="shared" ref="H48:H59" si="20">SUM(I48:M48)</f>
        <v>180.3741</v>
      </c>
      <c r="I48" s="1046">
        <f>SUM(I49:I51)</f>
        <v>180.3741</v>
      </c>
      <c r="J48" s="1046">
        <f>SUM(J49:J51)</f>
        <v>0</v>
      </c>
      <c r="K48" s="1046">
        <f>SUM(K49:K51)</f>
        <v>0</v>
      </c>
      <c r="L48" s="1046">
        <f>SUM(L49:L51)</f>
        <v>0</v>
      </c>
      <c r="M48" s="1046">
        <f>SUM(M49:M51)</f>
        <v>0</v>
      </c>
      <c r="N48" s="1047" t="str">
        <f>'Прил.1 Перечень по подключению'!G19</f>
        <v>2024год</v>
      </c>
      <c r="O48" s="1047" t="s">
        <v>57</v>
      </c>
      <c r="P48" s="1048"/>
    </row>
    <row r="49" spans="1:25" ht="54.75" customHeight="1" outlineLevel="1">
      <c r="A49" s="1051"/>
      <c r="B49" s="1052" t="s">
        <v>10</v>
      </c>
      <c r="C49" s="1053"/>
      <c r="D49" s="1053" t="str">
        <f>D48</f>
        <v>Многоквартирный жилой дом со встроенными административными помещениями» 8 этажей, высота 25 метров расположенному по адресу :г. Калуга, в районе, ограниченном улицами: Салтыкова – Щедрина, Беляева, Знаменской, Луначарского</v>
      </c>
      <c r="E49" s="2176" t="str">
        <f>E48</f>
        <v>ООО Совместное предприятие "Минскстройэкспорт" (уступка права ООО Драйвер)</v>
      </c>
      <c r="F49" s="1087"/>
      <c r="G49" s="1087">
        <f t="shared" si="16"/>
        <v>2.6574</v>
      </c>
      <c r="H49" s="1087">
        <f t="shared" si="20"/>
        <v>3.1888799999999997</v>
      </c>
      <c r="I49" s="1053">
        <v>3.1888799999999997</v>
      </c>
      <c r="J49" s="1053"/>
      <c r="K49" s="1053"/>
      <c r="L49" s="1053"/>
      <c r="M49" s="1053"/>
      <c r="N49" s="2166"/>
      <c r="O49" s="1054" t="s">
        <v>57</v>
      </c>
      <c r="P49" s="1076"/>
      <c r="R49" s="1057"/>
      <c r="S49" s="1057"/>
      <c r="T49" s="1057"/>
      <c r="U49" s="1057"/>
      <c r="V49" s="1057"/>
      <c r="W49" s="1057"/>
      <c r="X49" s="1057"/>
      <c r="Y49" s="1057"/>
    </row>
    <row r="50" spans="1:25" ht="39.75" customHeight="1" outlineLevel="1">
      <c r="A50" s="1051"/>
      <c r="B50" s="1052" t="s">
        <v>9</v>
      </c>
      <c r="C50" s="1053"/>
      <c r="D50" s="1053" t="str">
        <f>D48</f>
        <v>Многоквартирный жилой дом со встроенными административными помещениями» 8 этажей, высота 25 метров расположенному по адресу :г. Калуга, в районе, ограниченном улицами: Салтыкова – Щедрина, Беляева, Знаменской, Луначарского</v>
      </c>
      <c r="E50" s="2176" t="str">
        <f>E49</f>
        <v>ООО Совместное предприятие "Минскстройэкспорт" (уступка права ООО Драйвер)</v>
      </c>
      <c r="F50" s="1087"/>
      <c r="G50" s="1087">
        <f t="shared" si="16"/>
        <v>117.592</v>
      </c>
      <c r="H50" s="1087">
        <f t="shared" si="20"/>
        <v>141.1104</v>
      </c>
      <c r="I50" s="1053">
        <v>141.1104</v>
      </c>
      <c r="J50" s="1053"/>
      <c r="K50" s="1053"/>
      <c r="L50" s="1053"/>
      <c r="M50" s="1053"/>
      <c r="N50" s="2166"/>
      <c r="O50" s="1054" t="s">
        <v>57</v>
      </c>
      <c r="P50" s="1076"/>
      <c r="R50" s="1057"/>
      <c r="S50" s="1057"/>
      <c r="T50" s="1057"/>
      <c r="U50" s="1057"/>
      <c r="V50" s="1057"/>
      <c r="W50" s="1057"/>
      <c r="X50" s="1057"/>
      <c r="Y50" s="1057"/>
    </row>
    <row r="51" spans="1:25" ht="57.75" customHeight="1" outlineLevel="1">
      <c r="A51" s="1051"/>
      <c r="B51" s="1052" t="s">
        <v>14</v>
      </c>
      <c r="C51" s="1053"/>
      <c r="D51" s="1053" t="str">
        <f>D48</f>
        <v>Многоквартирный жилой дом со встроенными административными помещениями» 8 этажей, высота 25 метров расположенному по адресу :г. Калуга, в районе, ограниченном улицами: Салтыкова – Щедрина, Беляева, Знаменской, Луначарского</v>
      </c>
      <c r="E51" s="2176" t="str">
        <f>E50</f>
        <v>ООО Совместное предприятие "Минскстройэкспорт" (уступка права ООО Драйвер)</v>
      </c>
      <c r="F51" s="1087"/>
      <c r="G51" s="1087">
        <f t="shared" si="16"/>
        <v>30.062349999999999</v>
      </c>
      <c r="H51" s="1087">
        <f t="shared" si="20"/>
        <v>36.074819999999995</v>
      </c>
      <c r="I51" s="1053">
        <v>36.074819999999995</v>
      </c>
      <c r="J51" s="1053"/>
      <c r="K51" s="1053"/>
      <c r="L51" s="1053"/>
      <c r="M51" s="1053"/>
      <c r="N51" s="2166"/>
      <c r="O51" s="1054" t="s">
        <v>57</v>
      </c>
      <c r="P51" s="1056"/>
      <c r="R51" s="1057"/>
      <c r="S51" s="1057"/>
      <c r="T51" s="1057"/>
      <c r="U51" s="1057"/>
      <c r="V51" s="1057"/>
      <c r="W51" s="1057"/>
      <c r="X51" s="1057"/>
      <c r="Y51" s="1057"/>
    </row>
    <row r="52" spans="1:25" ht="153.75" customHeight="1" outlineLevel="1">
      <c r="A52" s="1045" t="s">
        <v>125</v>
      </c>
      <c r="B52" s="1078" t="s">
        <v>1277</v>
      </c>
      <c r="C52" s="1079"/>
      <c r="D52" s="1046" t="s">
        <v>655</v>
      </c>
      <c r="E52" s="2174" t="str">
        <f>'Прил.1 Перечень по подключению'!D20</f>
        <v>АО СЗ КОШЕЛЕВ-ПРОЕКТ</v>
      </c>
      <c r="F52" s="1046">
        <f>'Прил.1 Перечень по подключению'!E20</f>
        <v>351</v>
      </c>
      <c r="G52" s="1046">
        <f t="shared" si="16"/>
        <v>41.217500000000001</v>
      </c>
      <c r="H52" s="1046">
        <f>SUM(I52:M52)</f>
        <v>49.460999999999999</v>
      </c>
      <c r="I52" s="1046">
        <f>SUM(I53:I55)</f>
        <v>49.460999999999999</v>
      </c>
      <c r="J52" s="1046">
        <f>SUM(J53:J55)</f>
        <v>0</v>
      </c>
      <c r="K52" s="1046">
        <f>SUM(K53:K55)</f>
        <v>0</v>
      </c>
      <c r="L52" s="1046">
        <f>SUM(L53:L55)</f>
        <v>0</v>
      </c>
      <c r="M52" s="1046">
        <f>SUM(M53:M55)</f>
        <v>0</v>
      </c>
      <c r="N52" s="1047" t="str">
        <f>'Прил.1 Перечень по подключению'!G20</f>
        <v>2024год</v>
      </c>
      <c r="O52" s="1047" t="s">
        <v>57</v>
      </c>
      <c r="P52" s="1056"/>
      <c r="R52" s="1057"/>
      <c r="S52" s="1057"/>
      <c r="T52" s="1057"/>
      <c r="U52" s="1057"/>
      <c r="V52" s="1057"/>
      <c r="W52" s="1057"/>
      <c r="X52" s="1057"/>
      <c r="Y52" s="1057"/>
    </row>
    <row r="53" spans="1:25" ht="80.25" customHeight="1" outlineLevel="1">
      <c r="A53" s="1051"/>
      <c r="B53" s="1061" t="s">
        <v>10</v>
      </c>
      <c r="C53" s="1053"/>
      <c r="D53" s="1053" t="str">
        <f>D52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53" s="2176" t="str">
        <f>E52</f>
        <v>АО СЗ КОШЕЛЕВ-ПРОЕКТ</v>
      </c>
      <c r="F53" s="1087"/>
      <c r="G53" s="1087">
        <f t="shared" si="16"/>
        <v>0</v>
      </c>
      <c r="H53" s="1087">
        <f>SUM(I53:M53)</f>
        <v>0</v>
      </c>
      <c r="I53" s="1053"/>
      <c r="J53" s="1053"/>
      <c r="K53" s="1053"/>
      <c r="L53" s="1053"/>
      <c r="M53" s="1053"/>
      <c r="N53" s="2166"/>
      <c r="O53" s="1054" t="s">
        <v>57</v>
      </c>
      <c r="P53" s="1056"/>
      <c r="R53" s="1057"/>
      <c r="S53" s="1057"/>
      <c r="T53" s="1057"/>
      <c r="U53" s="1057"/>
      <c r="V53" s="1057"/>
      <c r="W53" s="1057"/>
      <c r="X53" s="1057"/>
      <c r="Y53" s="1057"/>
    </row>
    <row r="54" spans="1:25" ht="78" customHeight="1" outlineLevel="1">
      <c r="A54" s="1051"/>
      <c r="B54" s="1052" t="s">
        <v>9</v>
      </c>
      <c r="C54" s="1053"/>
      <c r="D54" s="1053" t="str">
        <f>D52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54" s="2176" t="str">
        <f>E53</f>
        <v>АО СЗ КОШЕЛЕВ-ПРОЕКТ</v>
      </c>
      <c r="F54" s="1087"/>
      <c r="G54" s="1087">
        <f t="shared" si="16"/>
        <v>32.973999999999997</v>
      </c>
      <c r="H54" s="1087">
        <f>SUM(I54:M54)</f>
        <v>39.568799999999996</v>
      </c>
      <c r="I54" s="2181">
        <f>КОШЕЛЕВ!F26</f>
        <v>39.568799999999996</v>
      </c>
      <c r="J54" s="1053"/>
      <c r="K54" s="1053"/>
      <c r="L54" s="1053"/>
      <c r="M54" s="1053"/>
      <c r="N54" s="2166"/>
      <c r="O54" s="1054" t="s">
        <v>57</v>
      </c>
      <c r="P54" s="1056"/>
      <c r="R54" s="1057"/>
      <c r="S54" s="1057"/>
      <c r="T54" s="1057"/>
      <c r="U54" s="1057"/>
      <c r="V54" s="1057"/>
      <c r="W54" s="1057"/>
      <c r="X54" s="1057"/>
      <c r="Y54" s="1057"/>
    </row>
    <row r="55" spans="1:25" ht="84" customHeight="1" outlineLevel="1">
      <c r="A55" s="1051"/>
      <c r="B55" s="1052" t="s">
        <v>14</v>
      </c>
      <c r="C55" s="1053"/>
      <c r="D55" s="1053" t="str">
        <f>D52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55" s="2176" t="str">
        <f>E54</f>
        <v>АО СЗ КОШЕЛЕВ-ПРОЕКТ</v>
      </c>
      <c r="F55" s="1087"/>
      <c r="G55" s="1087">
        <f t="shared" si="16"/>
        <v>8.2434999999999992</v>
      </c>
      <c r="H55" s="1087">
        <f>SUM(I55:M55)</f>
        <v>9.892199999999999</v>
      </c>
      <c r="I55" s="2181">
        <f>КОШЕЛЕВ!F29</f>
        <v>9.892199999999999</v>
      </c>
      <c r="J55" s="1053"/>
      <c r="K55" s="1053"/>
      <c r="L55" s="1053"/>
      <c r="M55" s="1053"/>
      <c r="N55" s="2166"/>
      <c r="O55" s="1054" t="s">
        <v>57</v>
      </c>
      <c r="P55" s="1056"/>
      <c r="R55" s="1057"/>
      <c r="S55" s="1057"/>
      <c r="T55" s="1057"/>
      <c r="U55" s="1057"/>
      <c r="V55" s="1057"/>
      <c r="W55" s="1057"/>
      <c r="X55" s="1057"/>
      <c r="Y55" s="1057"/>
    </row>
    <row r="56" spans="1:25" s="1049" customFormat="1" ht="235.5" customHeight="1" outlineLevel="1">
      <c r="A56" s="1045" t="s">
        <v>126</v>
      </c>
      <c r="B56" s="1081" t="s">
        <v>546</v>
      </c>
      <c r="C56" s="1046">
        <v>100</v>
      </c>
      <c r="D56" s="1046" t="s">
        <v>547</v>
      </c>
      <c r="E56" s="2174" t="str">
        <f>'Прил.1 Перечень по подключению'!D21</f>
        <v>ООО КОМЕТА</v>
      </c>
      <c r="F56" s="2182">
        <f>'Прил.1 Перечень по подключению'!E21</f>
        <v>52.98</v>
      </c>
      <c r="G56" s="1046">
        <f t="shared" si="16"/>
        <v>4758.6487499999994</v>
      </c>
      <c r="H56" s="1046">
        <f>SUM(I56:M56)</f>
        <v>5710.3784999999989</v>
      </c>
      <c r="I56" s="1046">
        <f>SUM(I57:I59)</f>
        <v>5710.3784999999989</v>
      </c>
      <c r="J56" s="1046">
        <f>SUM(J57:J59)</f>
        <v>0</v>
      </c>
      <c r="K56" s="1046">
        <f>SUM(K57:K59)</f>
        <v>0</v>
      </c>
      <c r="L56" s="1046">
        <f>SUM(L57:L59)</f>
        <v>0</v>
      </c>
      <c r="M56" s="1046">
        <f>SUM(M57:M59)</f>
        <v>0</v>
      </c>
      <c r="N56" s="1047" t="str">
        <f>'Прил.1 Перечень по подключению'!$G$21</f>
        <v>2024год</v>
      </c>
      <c r="O56" s="1047" t="s">
        <v>57</v>
      </c>
      <c r="P56" s="1048"/>
      <c r="R56" s="1050"/>
      <c r="S56" s="1050"/>
      <c r="T56" s="1050"/>
      <c r="U56" s="1050"/>
      <c r="V56" s="1050"/>
      <c r="W56" s="1050"/>
      <c r="X56" s="1050"/>
      <c r="Y56" s="1050"/>
    </row>
    <row r="57" spans="1:25" ht="83.25" outlineLevel="1">
      <c r="A57" s="1051"/>
      <c r="B57" s="1061" t="s">
        <v>10</v>
      </c>
      <c r="C57" s="1053"/>
      <c r="D57" s="1053" t="str">
        <f>D56</f>
        <v>Жилой дом, 17 этажей, 119 квартирный,расположенного по адресу: г. Калуга, ул. Серафима Туликова</v>
      </c>
      <c r="E57" s="2176" t="str">
        <f>E56</f>
        <v>ООО КОМЕТА</v>
      </c>
      <c r="F57" s="1087"/>
      <c r="G57" s="1087">
        <f t="shared" si="16"/>
        <v>199.14400000000001</v>
      </c>
      <c r="H57" s="1087">
        <f t="shared" si="20"/>
        <v>238.97280000000001</v>
      </c>
      <c r="I57" s="1053">
        <v>238.97280000000001</v>
      </c>
      <c r="J57" s="1053"/>
      <c r="K57" s="1053"/>
      <c r="L57" s="1053"/>
      <c r="M57" s="1053"/>
      <c r="N57" s="2166"/>
      <c r="O57" s="1054" t="s">
        <v>57</v>
      </c>
      <c r="P57" s="1056"/>
    </row>
    <row r="58" spans="1:25" ht="83.25" outlineLevel="1">
      <c r="A58" s="1051"/>
      <c r="B58" s="1052" t="s">
        <v>9</v>
      </c>
      <c r="C58" s="1053"/>
      <c r="D58" s="1053" t="str">
        <f>D57</f>
        <v>Жилой дом, 17 этажей, 119 квартирный,расположенного по адресу: г. Калуга, ул. Серафима Туликова</v>
      </c>
      <c r="E58" s="2176" t="str">
        <f>E57</f>
        <v>ООО КОМЕТА</v>
      </c>
      <c r="F58" s="1087"/>
      <c r="G58" s="1087">
        <f t="shared" si="16"/>
        <v>3607.7750000000001</v>
      </c>
      <c r="H58" s="1087">
        <f t="shared" si="20"/>
        <v>4329.33</v>
      </c>
      <c r="I58" s="1053">
        <v>4329.33</v>
      </c>
      <c r="J58" s="1053"/>
      <c r="K58" s="1053"/>
      <c r="L58" s="1053"/>
      <c r="M58" s="1053"/>
      <c r="N58" s="2166"/>
      <c r="O58" s="1054" t="s">
        <v>57</v>
      </c>
      <c r="P58" s="1056"/>
    </row>
    <row r="59" spans="1:25" ht="74.25" customHeight="1" outlineLevel="1">
      <c r="A59" s="1051"/>
      <c r="B59" s="1052" t="s">
        <v>14</v>
      </c>
      <c r="C59" s="1053"/>
      <c r="D59" s="1053" t="str">
        <f>D57</f>
        <v>Жилой дом, 17 этажей, 119 квартирный,расположенного по адресу: г. Калуга, ул. Серафима Туликова</v>
      </c>
      <c r="E59" s="2176" t="str">
        <f>E57</f>
        <v>ООО КОМЕТА</v>
      </c>
      <c r="F59" s="1087"/>
      <c r="G59" s="1087">
        <f t="shared" si="16"/>
        <v>951.72974999999997</v>
      </c>
      <c r="H59" s="1087">
        <f t="shared" si="20"/>
        <v>1142.0756999999999</v>
      </c>
      <c r="I59" s="1053">
        <v>1142.0756999999999</v>
      </c>
      <c r="J59" s="1053"/>
      <c r="K59" s="1053"/>
      <c r="L59" s="1053"/>
      <c r="M59" s="1053"/>
      <c r="N59" s="2166"/>
      <c r="O59" s="1054" t="s">
        <v>57</v>
      </c>
      <c r="P59" s="1056"/>
    </row>
    <row r="60" spans="1:25" s="1077" customFormat="1" ht="409.6" customHeight="1" outlineLevel="1">
      <c r="A60" s="1045" t="s">
        <v>127</v>
      </c>
      <c r="B60" s="1081" t="s">
        <v>15167</v>
      </c>
      <c r="C60" s="1046">
        <v>184</v>
      </c>
      <c r="D60" s="1046" t="s">
        <v>15162</v>
      </c>
      <c r="E60" s="2174" t="s">
        <v>298</v>
      </c>
      <c r="F60" s="2182">
        <v>66.552000000000007</v>
      </c>
      <c r="G60" s="1046">
        <f t="shared" si="16"/>
        <v>11310.267986530294</v>
      </c>
      <c r="H60" s="1046">
        <f>SUM(I60:M60)</f>
        <v>13572.321583836352</v>
      </c>
      <c r="I60" s="1046">
        <f>SUM(I61:I63)</f>
        <v>9031.7704870707366</v>
      </c>
      <c r="J60" s="1046">
        <f>SUM(J61:J63)</f>
        <v>4540.5510967656155</v>
      </c>
      <c r="K60" s="1046">
        <f>SUM(K61:K63)</f>
        <v>0</v>
      </c>
      <c r="L60" s="1046">
        <f>SUM(L61:L63)</f>
        <v>0</v>
      </c>
      <c r="M60" s="1046">
        <f>SUM(M61:M63)</f>
        <v>0</v>
      </c>
      <c r="N60" s="1047" t="str">
        <f>'Прил.1 Перечень по подключению'!G22</f>
        <v>2025год</v>
      </c>
      <c r="O60" s="1047" t="s">
        <v>57</v>
      </c>
      <c r="P60" s="1048"/>
    </row>
    <row r="61" spans="1:25" ht="54.75" customHeight="1" outlineLevel="1">
      <c r="A61" s="1051"/>
      <c r="B61" s="1080" t="s">
        <v>10</v>
      </c>
      <c r="C61" s="1053"/>
      <c r="D61" s="1053" t="str">
        <f>D60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61" s="2176" t="str">
        <f>E60</f>
        <v xml:space="preserve"> ГКУ КО "Управление капитального строительства"</v>
      </c>
      <c r="F61" s="1087"/>
      <c r="G61" s="1087">
        <f t="shared" si="16"/>
        <v>199.96096988611299</v>
      </c>
      <c r="H61" s="1087">
        <f>SUM(I61:M61)</f>
        <v>239.95316386333559</v>
      </c>
      <c r="I61" s="1053">
        <f>199.960969886113*1.2</f>
        <v>239.95316386333559</v>
      </c>
      <c r="J61" s="1053"/>
      <c r="K61" s="1053"/>
      <c r="L61" s="1053"/>
      <c r="M61" s="1053"/>
      <c r="N61" s="2166"/>
      <c r="O61" s="1054" t="s">
        <v>57</v>
      </c>
      <c r="P61" s="1056"/>
      <c r="R61" s="1057"/>
      <c r="S61" s="1057"/>
      <c r="T61" s="1057"/>
      <c r="U61" s="1057"/>
      <c r="V61" s="1057"/>
      <c r="W61" s="1057"/>
      <c r="X61" s="1057"/>
      <c r="Y61" s="1057"/>
    </row>
    <row r="62" spans="1:25" ht="63.75" customHeight="1" outlineLevel="1">
      <c r="A62" s="1051"/>
      <c r="B62" s="1052" t="s">
        <v>9</v>
      </c>
      <c r="C62" s="1053"/>
      <c r="D62" s="1053" t="str">
        <f>D60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62" s="2176" t="str">
        <f>E60</f>
        <v xml:space="preserve"> ГКУ КО "Управление капитального строительства"</v>
      </c>
      <c r="F62" s="1087"/>
      <c r="G62" s="1087">
        <f t="shared" si="16"/>
        <v>8848.2534193381198</v>
      </c>
      <c r="H62" s="1087">
        <f>SUM(I62:M62)</f>
        <v>10617.904103205743</v>
      </c>
      <c r="I62" s="1053">
        <f>5821.21935482771*1.2</f>
        <v>6985.4632257932517</v>
      </c>
      <c r="J62" s="1053">
        <f>3027.03406451041*1.2</f>
        <v>3632.4408774124922</v>
      </c>
      <c r="K62" s="1053"/>
      <c r="L62" s="1053"/>
      <c r="M62" s="1053"/>
      <c r="N62" s="2166"/>
      <c r="O62" s="1054" t="s">
        <v>57</v>
      </c>
      <c r="P62" s="1056"/>
      <c r="R62" s="1057"/>
      <c r="S62" s="1057"/>
      <c r="T62" s="1057"/>
      <c r="U62" s="1057"/>
      <c r="V62" s="1057"/>
      <c r="W62" s="1057"/>
      <c r="X62" s="1057"/>
      <c r="Y62" s="1057"/>
    </row>
    <row r="63" spans="1:25" ht="69" customHeight="1" outlineLevel="1">
      <c r="A63" s="1051"/>
      <c r="B63" s="1052" t="s">
        <v>14</v>
      </c>
      <c r="C63" s="1053"/>
      <c r="D63" s="1053" t="str">
        <f>D60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63" s="2176" t="str">
        <f>E60</f>
        <v xml:space="preserve"> ГКУ КО "Управление капитального строительства"</v>
      </c>
      <c r="F63" s="1087"/>
      <c r="G63" s="1087">
        <f t="shared" si="16"/>
        <v>2262.0535973060614</v>
      </c>
      <c r="H63" s="1087">
        <f>SUM(I63:M63)</f>
        <v>2714.4643167672734</v>
      </c>
      <c r="I63" s="1053">
        <f>49.9902424715283*1.2+1455.30483870693*1.2</f>
        <v>1806.3540974141499</v>
      </c>
      <c r="J63" s="1082">
        <f>756.758516127603*1.2</f>
        <v>908.11021935312363</v>
      </c>
      <c r="K63" s="1053"/>
      <c r="L63" s="1053"/>
      <c r="M63" s="1053"/>
      <c r="N63" s="2166"/>
      <c r="O63" s="1054" t="s">
        <v>57</v>
      </c>
      <c r="P63" s="1056"/>
      <c r="R63" s="1057"/>
      <c r="S63" s="1057"/>
      <c r="T63" s="1057"/>
      <c r="U63" s="1057"/>
      <c r="V63" s="1057"/>
      <c r="W63" s="1057"/>
      <c r="X63" s="1057"/>
      <c r="Y63" s="1057"/>
    </row>
    <row r="64" spans="1:25" s="1049" customFormat="1" ht="108" outlineLevel="1">
      <c r="A64" s="1045" t="s">
        <v>128</v>
      </c>
      <c r="B64" s="1081" t="s">
        <v>549</v>
      </c>
      <c r="C64" s="1046">
        <v>25</v>
      </c>
      <c r="D64" s="1046" t="s">
        <v>548</v>
      </c>
      <c r="E64" s="2174" t="str">
        <f>'Прил.1 Перечень по подключению'!D23</f>
        <v>ООО «ПроШкола№2»</v>
      </c>
      <c r="F64" s="1046">
        <f>'Прил.1 Перечень по подключению'!E23</f>
        <v>58.405999999999999</v>
      </c>
      <c r="G64" s="1046">
        <f t="shared" si="16"/>
        <v>118.08575</v>
      </c>
      <c r="H64" s="1046">
        <f>SUM(I64:M64)</f>
        <v>141.7029</v>
      </c>
      <c r="I64" s="1046">
        <f>SUM(I65:I67)</f>
        <v>141.7029</v>
      </c>
      <c r="J64" s="1046">
        <f>SUM(J65:J67)</f>
        <v>0</v>
      </c>
      <c r="K64" s="1046">
        <f>SUM(K65:K67)</f>
        <v>0</v>
      </c>
      <c r="L64" s="1046">
        <f>SUM(L65:L67)</f>
        <v>0</v>
      </c>
      <c r="M64" s="1046">
        <f>SUM(M65:M67)</f>
        <v>0</v>
      </c>
      <c r="N64" s="1047" t="str">
        <f>'Прил.1 Перечень по подключению'!$G$23</f>
        <v>2024год</v>
      </c>
      <c r="O64" s="1047" t="s">
        <v>57</v>
      </c>
      <c r="P64" s="1048"/>
      <c r="R64" s="1050"/>
      <c r="S64" s="1050"/>
      <c r="T64" s="1050"/>
      <c r="U64" s="1050"/>
      <c r="V64" s="1050"/>
      <c r="W64" s="1050"/>
      <c r="X64" s="1050"/>
      <c r="Y64" s="1050"/>
    </row>
    <row r="65" spans="1:25" ht="96" customHeight="1" outlineLevel="1">
      <c r="A65" s="1051"/>
      <c r="B65" s="1634" t="s">
        <v>10</v>
      </c>
      <c r="C65" s="1053"/>
      <c r="D65" s="1053" t="str">
        <f>D64</f>
        <v>Общеобразовательная школа на 1125 мест, размещение которого предусмотрено ул. Байконурская.</v>
      </c>
      <c r="E65" s="2176" t="str">
        <f>E64</f>
        <v>ООО «ПроШкола№2»</v>
      </c>
      <c r="F65" s="1087"/>
      <c r="G65" s="1087">
        <f t="shared" si="16"/>
        <v>4.4642999999999997</v>
      </c>
      <c r="H65" s="1087">
        <f t="shared" ref="H65:H77" si="21">SUM(I65:M65)</f>
        <v>5.3571599999999995</v>
      </c>
      <c r="I65" s="1053">
        <v>5.3571599999999995</v>
      </c>
      <c r="J65" s="1053"/>
      <c r="K65" s="1053"/>
      <c r="L65" s="1053"/>
      <c r="M65" s="1053"/>
      <c r="N65" s="2166"/>
      <c r="O65" s="1054" t="s">
        <v>57</v>
      </c>
      <c r="P65" s="1056"/>
    </row>
    <row r="66" spans="1:25" ht="45.75" customHeight="1" outlineLevel="1">
      <c r="A66" s="1051"/>
      <c r="B66" s="1052" t="s">
        <v>9</v>
      </c>
      <c r="C66" s="1053"/>
      <c r="D66" s="1053" t="str">
        <f>D65</f>
        <v>Общеобразовательная школа на 1125 мест, размещение которого предусмотрено ул. Байконурская.</v>
      </c>
      <c r="E66" s="2176" t="str">
        <f>E65</f>
        <v>ООО «ПроШкола№2»</v>
      </c>
      <c r="F66" s="1087"/>
      <c r="G66" s="1087">
        <f t="shared" si="16"/>
        <v>90.004300000000001</v>
      </c>
      <c r="H66" s="1087">
        <f t="shared" si="21"/>
        <v>108.00516</v>
      </c>
      <c r="I66" s="1053">
        <v>108.00516</v>
      </c>
      <c r="J66" s="1053"/>
      <c r="K66" s="1053"/>
      <c r="L66" s="1053"/>
      <c r="M66" s="1053"/>
      <c r="N66" s="2166"/>
      <c r="O66" s="1054" t="s">
        <v>57</v>
      </c>
      <c r="P66" s="1076"/>
    </row>
    <row r="67" spans="1:25" ht="45.75" customHeight="1" outlineLevel="1">
      <c r="A67" s="1051"/>
      <c r="B67" s="1052" t="s">
        <v>14</v>
      </c>
      <c r="C67" s="1053"/>
      <c r="D67" s="1053" t="str">
        <f>D65</f>
        <v>Общеобразовательная школа на 1125 мест, размещение которого предусмотрено ул. Байконурская.</v>
      </c>
      <c r="E67" s="1053" t="str">
        <f>E65</f>
        <v>ООО «ПроШкола№2»</v>
      </c>
      <c r="F67" s="1087"/>
      <c r="G67" s="1087">
        <f t="shared" si="16"/>
        <v>23.617149999999999</v>
      </c>
      <c r="H67" s="1087">
        <f t="shared" si="21"/>
        <v>28.340579999999999</v>
      </c>
      <c r="I67" s="1053">
        <v>28.340579999999999</v>
      </c>
      <c r="J67" s="1053"/>
      <c r="K67" s="1053"/>
      <c r="L67" s="1053"/>
      <c r="M67" s="1053"/>
      <c r="N67" s="2166"/>
      <c r="O67" s="1054" t="s">
        <v>57</v>
      </c>
      <c r="P67" s="1076"/>
    </row>
    <row r="68" spans="1:25" s="1049" customFormat="1" ht="240.75" customHeight="1" outlineLevel="1">
      <c r="A68" s="1045" t="s">
        <v>129</v>
      </c>
      <c r="B68" s="1081" t="s">
        <v>919</v>
      </c>
      <c r="C68" s="1046">
        <v>435</v>
      </c>
      <c r="D68" s="1046" t="s">
        <v>657</v>
      </c>
      <c r="E68" s="2174" t="str">
        <f>'Прил.1 Перечень по подключению'!D24</f>
        <v>ЗАО Калугагазстрой</v>
      </c>
      <c r="F68" s="1046">
        <f>'Прил.1 Перечень по подключению'!E24</f>
        <v>169.62</v>
      </c>
      <c r="G68" s="1046">
        <f t="shared" si="16"/>
        <v>2817.0946249999997</v>
      </c>
      <c r="H68" s="1046">
        <f>SUM(I68:M68)</f>
        <v>3380.5135499999997</v>
      </c>
      <c r="I68" s="1046">
        <f>SUM(I69:I71)</f>
        <v>0</v>
      </c>
      <c r="J68" s="1046">
        <f>SUM(J69:J71)</f>
        <v>3380.5135499999997</v>
      </c>
      <c r="K68" s="1046">
        <f>SUM(K69:K71)</f>
        <v>0</v>
      </c>
      <c r="L68" s="1046">
        <f>SUM(L69:L71)</f>
        <v>0</v>
      </c>
      <c r="M68" s="1046">
        <f>SUM(M69:M71)</f>
        <v>0</v>
      </c>
      <c r="N68" s="1047" t="str">
        <f>'Прил.1 Перечень по подключению'!G24</f>
        <v>2025год</v>
      </c>
      <c r="O68" s="1047" t="s">
        <v>57</v>
      </c>
      <c r="P68" s="1048"/>
      <c r="R68" s="1050"/>
      <c r="S68" s="1050"/>
      <c r="T68" s="1050"/>
      <c r="U68" s="1050"/>
      <c r="V68" s="1050"/>
      <c r="W68" s="1050"/>
      <c r="X68" s="1050"/>
      <c r="Y68" s="1050"/>
    </row>
    <row r="69" spans="1:25" ht="54" customHeight="1" outlineLevel="1">
      <c r="A69" s="1051"/>
      <c r="B69" s="1052" t="s">
        <v>10</v>
      </c>
      <c r="C69" s="1053"/>
      <c r="D69" s="1053" t="str">
        <f t="shared" ref="D69:E71" si="22">D68</f>
        <v xml:space="preserve">Нежилое здание для реализации общеобразовательных программ в г. Калуге на 1300 мест ул. Ермоловская </v>
      </c>
      <c r="E69" s="2176" t="str">
        <f t="shared" si="22"/>
        <v>ЗАО Калугагазстрой</v>
      </c>
      <c r="F69" s="1087"/>
      <c r="G69" s="1087">
        <f t="shared" si="16"/>
        <v>97.818299999999994</v>
      </c>
      <c r="H69" s="1087">
        <f t="shared" si="21"/>
        <v>117.38195999999999</v>
      </c>
      <c r="I69" s="1053"/>
      <c r="J69" s="1053">
        <v>117.38195999999999</v>
      </c>
      <c r="K69" s="1053"/>
      <c r="L69" s="1053"/>
      <c r="M69" s="1053"/>
      <c r="N69" s="2166"/>
      <c r="O69" s="1054" t="s">
        <v>57</v>
      </c>
      <c r="P69" s="1056"/>
    </row>
    <row r="70" spans="1:25" ht="54" customHeight="1" outlineLevel="1">
      <c r="A70" s="1051"/>
      <c r="B70" s="1052" t="s">
        <v>9</v>
      </c>
      <c r="C70" s="1053"/>
      <c r="D70" s="1053" t="str">
        <f t="shared" si="22"/>
        <v xml:space="preserve">Нежилое здание для реализации общеобразовательных программ в г. Калуге на 1300 мест ул. Ермоловская </v>
      </c>
      <c r="E70" s="2176" t="str">
        <f t="shared" si="22"/>
        <v>ЗАО Калугагазстрой</v>
      </c>
      <c r="F70" s="1087"/>
      <c r="G70" s="1087">
        <f t="shared" si="16"/>
        <v>2155.8573999999999</v>
      </c>
      <c r="H70" s="1087">
        <f t="shared" si="21"/>
        <v>2587.0288799999998</v>
      </c>
      <c r="I70" s="1053"/>
      <c r="J70" s="1053">
        <v>2587.0288799999998</v>
      </c>
      <c r="K70" s="1053"/>
      <c r="L70" s="1053"/>
      <c r="M70" s="1053"/>
      <c r="N70" s="2166"/>
      <c r="O70" s="1054" t="s">
        <v>57</v>
      </c>
      <c r="P70" s="1056"/>
    </row>
    <row r="71" spans="1:25" ht="54" customHeight="1" outlineLevel="1">
      <c r="A71" s="1051"/>
      <c r="B71" s="1052" t="s">
        <v>14</v>
      </c>
      <c r="C71" s="1053"/>
      <c r="D71" s="1053" t="str">
        <f t="shared" si="22"/>
        <v xml:space="preserve">Нежилое здание для реализации общеобразовательных программ в г. Калуге на 1300 мест ул. Ермоловская </v>
      </c>
      <c r="E71" s="1053" t="str">
        <f t="shared" si="22"/>
        <v>ЗАО Калугагазстрой</v>
      </c>
      <c r="F71" s="1087"/>
      <c r="G71" s="1087">
        <f t="shared" si="16"/>
        <v>563.41892499999994</v>
      </c>
      <c r="H71" s="1087">
        <f t="shared" si="21"/>
        <v>676.10270999999989</v>
      </c>
      <c r="I71" s="1053"/>
      <c r="J71" s="1053">
        <v>676.10270999999989</v>
      </c>
      <c r="K71" s="1053"/>
      <c r="L71" s="1053"/>
      <c r="M71" s="1053"/>
      <c r="N71" s="2166"/>
      <c r="O71" s="1054" t="s">
        <v>57</v>
      </c>
      <c r="P71" s="1056"/>
    </row>
    <row r="72" spans="1:25" s="1049" customFormat="1" ht="157.5" customHeight="1" outlineLevel="1">
      <c r="A72" s="1045" t="s">
        <v>130</v>
      </c>
      <c r="B72" s="1060" t="s">
        <v>550</v>
      </c>
      <c r="C72" s="1046">
        <v>15</v>
      </c>
      <c r="D72" s="1046" t="s">
        <v>553</v>
      </c>
      <c r="E72" s="2174" t="str">
        <f>'Прил.1 Перечень по подключению'!D25</f>
        <v>ООО «Строительная компания «Азимут-Калуга»</v>
      </c>
      <c r="F72" s="1046">
        <f>'Прил.1 Перечень по подключению'!E25</f>
        <v>73.27</v>
      </c>
      <c r="G72" s="1046">
        <f t="shared" si="16"/>
        <v>1502.9916781048332</v>
      </c>
      <c r="H72" s="1046">
        <f t="shared" si="21"/>
        <v>1803.5900137257997</v>
      </c>
      <c r="I72" s="1046">
        <f>SUM(I73:I75)</f>
        <v>0</v>
      </c>
      <c r="J72" s="1046">
        <f>SUM(J73:J75)</f>
        <v>1803.5900137257997</v>
      </c>
      <c r="K72" s="1046">
        <f>SUM(K73:K75)</f>
        <v>0</v>
      </c>
      <c r="L72" s="1046">
        <f>SUM(L73:L75)</f>
        <v>0</v>
      </c>
      <c r="M72" s="1046">
        <f>SUM(M73:M75)</f>
        <v>0</v>
      </c>
      <c r="N72" s="1047" t="str">
        <f>'Прил.1 Перечень по подключению'!G25</f>
        <v>2025год</v>
      </c>
      <c r="O72" s="1047" t="s">
        <v>57</v>
      </c>
      <c r="P72" s="1048"/>
      <c r="R72" s="1050"/>
      <c r="S72" s="1050"/>
      <c r="T72" s="1050"/>
      <c r="U72" s="1050"/>
      <c r="V72" s="1050"/>
      <c r="W72" s="1050"/>
      <c r="X72" s="1050"/>
      <c r="Y72" s="1050"/>
    </row>
    <row r="73" spans="1:25" ht="104.25" customHeight="1" outlineLevel="1">
      <c r="A73" s="1051"/>
      <c r="B73" s="1052" t="s">
        <v>10</v>
      </c>
      <c r="C73" s="1053"/>
      <c r="D73" s="1053" t="str">
        <f>D72</f>
        <v>Здание жилое многоквартирное со встроенными помещениями,г. Калуга, 3-Академический проезд, д.1</v>
      </c>
      <c r="E73" s="2176" t="str">
        <f>E72</f>
        <v>ООО «Строительная компания «Азимут-Калуга»</v>
      </c>
      <c r="F73" s="1087"/>
      <c r="G73" s="1087">
        <f t="shared" si="16"/>
        <v>46.670740000000009</v>
      </c>
      <c r="H73" s="1087">
        <f t="shared" si="21"/>
        <v>56.004888000000008</v>
      </c>
      <c r="I73" s="1053"/>
      <c r="J73" s="1053">
        <f>Азимут!$F$17*1.2</f>
        <v>56.004888000000008</v>
      </c>
      <c r="K73" s="1053"/>
      <c r="L73" s="1053"/>
      <c r="M73" s="1053"/>
      <c r="N73" s="2166"/>
      <c r="O73" s="1054" t="s">
        <v>57</v>
      </c>
      <c r="P73" s="1056"/>
    </row>
    <row r="74" spans="1:25" ht="104.25" customHeight="1" outlineLevel="1">
      <c r="A74" s="1051"/>
      <c r="B74" s="1052" t="s">
        <v>9</v>
      </c>
      <c r="C74" s="1053"/>
      <c r="D74" s="1053" t="str">
        <f>D73</f>
        <v>Здание жилое многоквартирное со встроенными помещениями,г. Калуга, 3-Академический проезд, д.1</v>
      </c>
      <c r="E74" s="2176" t="str">
        <f>E72</f>
        <v>ООО «Строительная компания «Азимут-Калуга»</v>
      </c>
      <c r="F74" s="1087"/>
      <c r="G74" s="1087">
        <f t="shared" si="16"/>
        <v>1155.7226024838665</v>
      </c>
      <c r="H74" s="1087">
        <f t="shared" si="21"/>
        <v>1386.8671229806398</v>
      </c>
      <c r="I74" s="1053"/>
      <c r="J74" s="1053">
        <f>Азимут!$F$20*1.2</f>
        <v>1386.8671229806398</v>
      </c>
      <c r="K74" s="1053"/>
      <c r="L74" s="1053"/>
      <c r="M74" s="1053"/>
      <c r="N74" s="2166"/>
      <c r="O74" s="1054" t="s">
        <v>57</v>
      </c>
      <c r="P74" s="1056"/>
    </row>
    <row r="75" spans="1:25" ht="104.25" customHeight="1" outlineLevel="1">
      <c r="A75" s="1051"/>
      <c r="B75" s="1052" t="s">
        <v>14</v>
      </c>
      <c r="C75" s="1053"/>
      <c r="D75" s="1053" t="str">
        <f>D73</f>
        <v>Здание жилое многоквартирное со встроенными помещениями,г. Калуга, 3-Академический проезд, д.1</v>
      </c>
      <c r="E75" s="2176" t="str">
        <f>E72</f>
        <v>ООО «Строительная компания «Азимут-Калуга»</v>
      </c>
      <c r="F75" s="1087"/>
      <c r="G75" s="1087">
        <f t="shared" si="16"/>
        <v>300.59833562096662</v>
      </c>
      <c r="H75" s="1087">
        <f t="shared" si="21"/>
        <v>360.71800274515994</v>
      </c>
      <c r="I75" s="1053"/>
      <c r="J75" s="1053">
        <f>Азимут!$G$46*1.2</f>
        <v>360.71800274515994</v>
      </c>
      <c r="K75" s="1053"/>
      <c r="L75" s="1053"/>
      <c r="M75" s="1053"/>
      <c r="N75" s="2166"/>
      <c r="O75" s="1054" t="s">
        <v>57</v>
      </c>
      <c r="P75" s="1056"/>
    </row>
    <row r="76" spans="1:25" s="1049" customFormat="1" ht="126" customHeight="1" outlineLevel="1">
      <c r="A76" s="1045" t="s">
        <v>131</v>
      </c>
      <c r="B76" s="1663" t="s">
        <v>904</v>
      </c>
      <c r="C76" s="1046">
        <f>1000+250</f>
        <v>1250</v>
      </c>
      <c r="D76" s="1075" t="s">
        <v>2173</v>
      </c>
      <c r="E76" s="2174" t="str">
        <f>'Прил.1 Перечень по подключению'!D26</f>
        <v>АО СЗ КОШЕЛЕВ-ПРОЕКТ</v>
      </c>
      <c r="F76" s="1046">
        <f>'Прил.1 Перечень по подключению'!E26</f>
        <v>1463.404</v>
      </c>
      <c r="G76" s="1046">
        <f t="shared" si="16"/>
        <v>13451.935525848239</v>
      </c>
      <c r="H76" s="1046">
        <f t="shared" si="21"/>
        <v>16142.322631017887</v>
      </c>
      <c r="I76" s="1046">
        <f>SUM(I77:I79)</f>
        <v>1785.6534744000001</v>
      </c>
      <c r="J76" s="1046">
        <f>SUM(J77:J79)</f>
        <v>14356.669156617887</v>
      </c>
      <c r="K76" s="1046">
        <f>SUM(K77:K79)</f>
        <v>0</v>
      </c>
      <c r="L76" s="1046">
        <f>SUM(L77:L79)</f>
        <v>0</v>
      </c>
      <c r="M76" s="1046">
        <f>SUM(M77:M79)</f>
        <v>0</v>
      </c>
      <c r="N76" s="2175" t="s">
        <v>542</v>
      </c>
      <c r="O76" s="1047" t="s">
        <v>57</v>
      </c>
      <c r="P76" s="1048"/>
      <c r="R76" s="1050"/>
      <c r="S76" s="1050"/>
      <c r="T76" s="1050"/>
      <c r="U76" s="1050"/>
      <c r="V76" s="1050"/>
      <c r="W76" s="1050"/>
      <c r="X76" s="1050"/>
      <c r="Y76" s="1050"/>
    </row>
    <row r="77" spans="1:25" ht="116.25" customHeight="1" outlineLevel="1">
      <c r="A77" s="1051"/>
      <c r="B77" s="1052" t="s">
        <v>10</v>
      </c>
      <c r="C77" s="1053"/>
      <c r="D77" s="1664" t="s">
        <v>2173</v>
      </c>
      <c r="E77" s="2176" t="str">
        <f>E76</f>
        <v>АО СЗ КОШЕЛЕВ-ПРОЕКТ</v>
      </c>
      <c r="F77" s="1087"/>
      <c r="G77" s="1087">
        <f t="shared" si="16"/>
        <v>1488.044562</v>
      </c>
      <c r="H77" s="1087">
        <f t="shared" si="21"/>
        <v>1785.6534744000001</v>
      </c>
      <c r="I77" s="1053">
        <f>КОШЕЛЕВ_НОВОЕ!U17*1.2</f>
        <v>1785.6534744000001</v>
      </c>
      <c r="J77" s="1053"/>
      <c r="K77" s="1053"/>
      <c r="L77" s="1053"/>
      <c r="M77" s="1053"/>
      <c r="N77" s="2166"/>
      <c r="O77" s="1054" t="s">
        <v>57</v>
      </c>
      <c r="P77" s="1056"/>
    </row>
    <row r="78" spans="1:25" ht="116.25" customHeight="1" outlineLevel="1">
      <c r="A78" s="1051"/>
      <c r="B78" s="1083" t="s">
        <v>9</v>
      </c>
      <c r="C78" s="1053"/>
      <c r="D78" s="1664" t="s">
        <v>2173</v>
      </c>
      <c r="E78" s="2176" t="str">
        <f>E77</f>
        <v>АО СЗ КОШЕЛЕВ-ПРОЕКТ</v>
      </c>
      <c r="F78" s="1087"/>
      <c r="G78" s="1087">
        <f t="shared" si="16"/>
        <v>9273.5038586785922</v>
      </c>
      <c r="H78" s="1087">
        <f>SUM(I78:M78)</f>
        <v>11128.20463041431</v>
      </c>
      <c r="I78" s="1053"/>
      <c r="J78" s="1053">
        <f>КОШЕЛЕВ_НОВОЕ!U20*1.2</f>
        <v>11128.20463041431</v>
      </c>
      <c r="K78" s="1053"/>
      <c r="L78" s="1053"/>
      <c r="M78" s="1053"/>
      <c r="N78" s="2166"/>
      <c r="O78" s="1054" t="s">
        <v>57</v>
      </c>
      <c r="P78" s="2170"/>
    </row>
    <row r="79" spans="1:25" ht="116.25" customHeight="1" outlineLevel="1">
      <c r="A79" s="1051"/>
      <c r="B79" s="1083" t="s">
        <v>14</v>
      </c>
      <c r="C79" s="1053"/>
      <c r="D79" s="1664" t="s">
        <v>2173</v>
      </c>
      <c r="E79" s="2176" t="str">
        <f>E78</f>
        <v>АО СЗ КОШЕЛЕВ-ПРОЕКТ</v>
      </c>
      <c r="F79" s="1087"/>
      <c r="G79" s="1087">
        <f t="shared" si="16"/>
        <v>2690.3871051696478</v>
      </c>
      <c r="H79" s="1087">
        <f>SUM(I79:M79)</f>
        <v>3228.4645262035774</v>
      </c>
      <c r="I79" s="1053"/>
      <c r="J79" s="1053">
        <f>КОШЕЛЕВ_НОВОЕ!U46*1.2</f>
        <v>3228.4645262035774</v>
      </c>
      <c r="K79" s="1053"/>
      <c r="L79" s="1053"/>
      <c r="M79" s="1053"/>
      <c r="N79" s="2166"/>
      <c r="O79" s="1054" t="s">
        <v>57</v>
      </c>
      <c r="P79" s="1056"/>
    </row>
    <row r="80" spans="1:25" s="1049" customFormat="1" ht="159.75" customHeight="1" outlineLevel="1">
      <c r="A80" s="1045" t="s">
        <v>132</v>
      </c>
      <c r="B80" s="1081" t="s">
        <v>14836</v>
      </c>
      <c r="C80" s="1046">
        <v>15</v>
      </c>
      <c r="D80" s="1046" t="s">
        <v>551</v>
      </c>
      <c r="E80" s="2174" t="str">
        <f>'Прил.1 Перечень по подключению'!D27</f>
        <v>ООО СЗ "Лидер-Бетон"</v>
      </c>
      <c r="F80" s="1046">
        <f>'Прил.1 Перечень по подключению'!E27</f>
        <v>65.459999999999994</v>
      </c>
      <c r="G80" s="1046">
        <f t="shared" si="16"/>
        <v>125.04961697258334</v>
      </c>
      <c r="H80" s="1046">
        <f t="shared" ref="H80:H87" si="23">SUM(I80:M80)</f>
        <v>150.0595403671</v>
      </c>
      <c r="I80" s="1046">
        <f>SUM(I81:I83)</f>
        <v>150.0595403671</v>
      </c>
      <c r="J80" s="1046">
        <f>SUM(J81:J83)</f>
        <v>0</v>
      </c>
      <c r="K80" s="1046">
        <f>SUM(K81:K83)</f>
        <v>0</v>
      </c>
      <c r="L80" s="1046">
        <f>SUM(L81:L83)</f>
        <v>0</v>
      </c>
      <c r="M80" s="1046">
        <f>SUM(M81:M83)</f>
        <v>0</v>
      </c>
      <c r="N80" s="1047" t="str">
        <f>'Прил.1 Перечень по подключению'!G27</f>
        <v>2024год</v>
      </c>
      <c r="O80" s="1047" t="s">
        <v>57</v>
      </c>
      <c r="P80" s="1048"/>
      <c r="R80" s="1050"/>
      <c r="S80" s="1050"/>
      <c r="T80" s="1050"/>
      <c r="U80" s="1050"/>
      <c r="V80" s="1050"/>
      <c r="W80" s="1050"/>
      <c r="X80" s="1050"/>
      <c r="Y80" s="1050"/>
    </row>
    <row r="81" spans="1:25" ht="91.5" customHeight="1" outlineLevel="1">
      <c r="A81" s="1051"/>
      <c r="B81" s="1052" t="s">
        <v>10</v>
      </c>
      <c r="C81" s="1053"/>
      <c r="D81" s="1664" t="str">
        <f>D80</f>
        <v>Отдельно стоящая котельная для теплоснабжения жилого комплекса с объектами соцкультбыта. г.Калуга,район Правобережья ,ограниченной улицами Минская,Фомушина,Академика Потехина</v>
      </c>
      <c r="E81" s="2176" t="str">
        <f>E80</f>
        <v>ООО СЗ "Лидер-Бетон"</v>
      </c>
      <c r="F81" s="1087"/>
      <c r="G81" s="1087">
        <f t="shared" si="16"/>
        <v>0</v>
      </c>
      <c r="H81" s="1087">
        <f t="shared" si="23"/>
        <v>0</v>
      </c>
      <c r="I81" s="1053"/>
      <c r="J81" s="1053"/>
      <c r="K81" s="1053"/>
      <c r="L81" s="1053"/>
      <c r="M81" s="1053"/>
      <c r="N81" s="2166"/>
      <c r="O81" s="1054" t="s">
        <v>57</v>
      </c>
      <c r="P81" s="1056"/>
    </row>
    <row r="82" spans="1:25" ht="91.5" customHeight="1" outlineLevel="1">
      <c r="A82" s="1051"/>
      <c r="B82" s="1052" t="s">
        <v>9</v>
      </c>
      <c r="C82" s="1053"/>
      <c r="D82" s="1664" t="str">
        <f>D81</f>
        <v>Отдельно стоящая котельная для теплоснабжения жилого комплекса с объектами соцкультбыта. г.Калуга,район Правобережья ,ограниченной улицами Минская,Фомушина,Академика Потехина</v>
      </c>
      <c r="E82" s="2176" t="str">
        <f>E81</f>
        <v>ООО СЗ "Лидер-Бетон"</v>
      </c>
      <c r="F82" s="1087"/>
      <c r="G82" s="1087">
        <f t="shared" si="16"/>
        <v>100.03969357806668</v>
      </c>
      <c r="H82" s="1087">
        <f>SUM(I82:M82)</f>
        <v>120.04763229368001</v>
      </c>
      <c r="I82" s="1053">
        <f>(Лидер_Бетон!R20+Лидер_Бетон!S20)*1.2</f>
        <v>120.04763229368001</v>
      </c>
      <c r="J82" s="1053"/>
      <c r="K82" s="1053"/>
      <c r="L82" s="1053"/>
      <c r="M82" s="1053"/>
      <c r="N82" s="2166"/>
      <c r="O82" s="1054" t="s">
        <v>57</v>
      </c>
      <c r="P82" s="1056"/>
    </row>
    <row r="83" spans="1:25" ht="91.5" customHeight="1" outlineLevel="1">
      <c r="A83" s="1051"/>
      <c r="B83" s="1052" t="s">
        <v>14</v>
      </c>
      <c r="C83" s="1053"/>
      <c r="D83" s="1664" t="str">
        <f>D81</f>
        <v>Отдельно стоящая котельная для теплоснабжения жилого комплекса с объектами соцкультбыта. г.Калуга,район Правобережья ,ограниченной улицами Минская,Фомушина,Академика Потехина</v>
      </c>
      <c r="E83" s="2176" t="str">
        <f>E81</f>
        <v>ООО СЗ "Лидер-Бетон"</v>
      </c>
      <c r="F83" s="1087"/>
      <c r="G83" s="1087">
        <f t="shared" si="16"/>
        <v>25.009923394516669</v>
      </c>
      <c r="H83" s="1087">
        <f t="shared" si="23"/>
        <v>30.011908073420003</v>
      </c>
      <c r="I83" s="1053">
        <f>(Лидер_Бетон!R46+Лидер_Бетон!S46)*1.2</f>
        <v>30.011908073420003</v>
      </c>
      <c r="J83" s="1053"/>
      <c r="K83" s="1053"/>
      <c r="L83" s="1053"/>
      <c r="M83" s="1053"/>
      <c r="N83" s="2166"/>
      <c r="O83" s="1054" t="s">
        <v>57</v>
      </c>
      <c r="P83" s="1056"/>
    </row>
    <row r="84" spans="1:25" s="1049" customFormat="1" ht="150.75" customHeight="1" outlineLevel="1">
      <c r="A84" s="1045" t="s">
        <v>133</v>
      </c>
      <c r="B84" s="1081" t="s">
        <v>555</v>
      </c>
      <c r="C84" s="1046">
        <v>655</v>
      </c>
      <c r="D84" s="1046" t="s">
        <v>552</v>
      </c>
      <c r="E84" s="2174" t="str">
        <f>'Прил.1 Перечень по подключению'!D28</f>
        <v>ООО Специализированный застройщик "УАЙТ ГРУПП-КАЛУГА"</v>
      </c>
      <c r="F84" s="1046">
        <f>'Прил.1 Перечень по подключению'!E28</f>
        <v>1079.17</v>
      </c>
      <c r="G84" s="1046">
        <f t="shared" si="16"/>
        <v>11645.04138270833</v>
      </c>
      <c r="H84" s="1046">
        <f t="shared" si="23"/>
        <v>13974.049659249995</v>
      </c>
      <c r="I84" s="1046">
        <f>SUM(I85:I87)</f>
        <v>0</v>
      </c>
      <c r="J84" s="1046">
        <f>SUM(J85:J87)</f>
        <v>13974.049659249995</v>
      </c>
      <c r="K84" s="1046">
        <f>SUM(K85:K87)</f>
        <v>0</v>
      </c>
      <c r="L84" s="1046">
        <f>SUM(L85:L87)</f>
        <v>0</v>
      </c>
      <c r="M84" s="1046">
        <f>SUM(M85:M87)</f>
        <v>0</v>
      </c>
      <c r="N84" s="1047" t="str">
        <f>'Прил.1 Перечень по подключению'!G28</f>
        <v>2025год</v>
      </c>
      <c r="O84" s="1047" t="s">
        <v>57</v>
      </c>
      <c r="P84" s="1048"/>
      <c r="R84" s="1050"/>
      <c r="S84" s="1050"/>
      <c r="T84" s="1050"/>
      <c r="U84" s="1050"/>
      <c r="V84" s="1050"/>
      <c r="W84" s="1050"/>
      <c r="X84" s="1050"/>
      <c r="Y84" s="1050"/>
    </row>
    <row r="85" spans="1:25" ht="49.5" customHeight="1" outlineLevel="1">
      <c r="A85" s="1051"/>
      <c r="B85" s="1052" t="s">
        <v>10</v>
      </c>
      <c r="C85" s="1053"/>
      <c r="D85" s="1053" t="str">
        <f>D84</f>
        <v>Комплекс многоквартирных жилых домов со встроенно-пристроенными торговыми помещениями,детский сад на 300 мест,школа на 1100 мест,г.Калуга,р-он с.Некрасово,уч.2</v>
      </c>
      <c r="E85" s="2176" t="str">
        <f>E84</f>
        <v>ООО Специализированный застройщик "УАЙТ ГРУПП-КАЛУГА"</v>
      </c>
      <c r="F85" s="1087"/>
      <c r="G85" s="1087">
        <f>H85/1.2</f>
        <v>377.46</v>
      </c>
      <c r="H85" s="1087">
        <f t="shared" si="23"/>
        <v>452.95199999999994</v>
      </c>
      <c r="I85" s="1053"/>
      <c r="J85" s="1053">
        <f>'Уайт Групп'!G17*1.2</f>
        <v>452.95199999999994</v>
      </c>
      <c r="K85" s="1082"/>
      <c r="L85" s="1053"/>
      <c r="M85" s="1053"/>
      <c r="N85" s="2166"/>
      <c r="O85" s="1054" t="s">
        <v>57</v>
      </c>
      <c r="P85" s="1076"/>
    </row>
    <row r="86" spans="1:25" ht="49.5" customHeight="1" outlineLevel="1">
      <c r="A86" s="1051"/>
      <c r="B86" s="1052" t="s">
        <v>9</v>
      </c>
      <c r="C86" s="1053"/>
      <c r="D86" s="1053" t="str">
        <f>D85</f>
        <v>Комплекс многоквартирных жилых домов со встроенно-пристроенными торговыми помещениями,детский сад на 300 мест,школа на 1100 мест,г.Калуга,р-он с.Некрасово,уч.2</v>
      </c>
      <c r="E86" s="2176" t="str">
        <f>E85</f>
        <v>ООО Специализированный застройщик "УАЙТ ГРУПП-КАЛУГА"</v>
      </c>
      <c r="F86" s="1087"/>
      <c r="G86" s="1087">
        <f>H86/1.2</f>
        <v>8938.5731061666647</v>
      </c>
      <c r="H86" s="1087">
        <f t="shared" si="23"/>
        <v>10726.287727399997</v>
      </c>
      <c r="I86" s="1053"/>
      <c r="J86" s="1053">
        <f>'Уайт Групп'!G20*1.2</f>
        <v>10726.287727399997</v>
      </c>
      <c r="K86" s="1082"/>
      <c r="L86" s="1053"/>
      <c r="M86" s="1053"/>
      <c r="N86" s="2166"/>
      <c r="O86" s="1054" t="s">
        <v>57</v>
      </c>
      <c r="P86" s="1076"/>
    </row>
    <row r="87" spans="1:25" ht="49.5" customHeight="1" outlineLevel="1">
      <c r="A87" s="1051"/>
      <c r="B87" s="1083" t="s">
        <v>14</v>
      </c>
      <c r="C87" s="1053"/>
      <c r="D87" s="1053" t="str">
        <f>D85</f>
        <v>Комплекс многоквартирных жилых домов со встроенно-пристроенными торговыми помещениями,детский сад на 300 мест,школа на 1100 мест,г.Калуга,р-он с.Некрасово,уч.2</v>
      </c>
      <c r="E87" s="1053" t="str">
        <f>E85</f>
        <v>ООО Специализированный застройщик "УАЙТ ГРУПП-КАЛУГА"</v>
      </c>
      <c r="F87" s="1087"/>
      <c r="G87" s="1087">
        <f>H87/1.2</f>
        <v>2329.008276541666</v>
      </c>
      <c r="H87" s="1087">
        <f t="shared" si="23"/>
        <v>2794.809931849999</v>
      </c>
      <c r="I87" s="1053"/>
      <c r="J87" s="1053">
        <f>'Уайт Групп'!G46*1.2</f>
        <v>2794.809931849999</v>
      </c>
      <c r="K87" s="1082"/>
      <c r="L87" s="1053"/>
      <c r="M87" s="1053"/>
      <c r="N87" s="2166"/>
      <c r="O87" s="1054" t="s">
        <v>57</v>
      </c>
      <c r="P87" s="1076"/>
    </row>
    <row r="88" spans="1:25" s="1049" customFormat="1" ht="409.6" hidden="1" customHeight="1" outlineLevel="1">
      <c r="A88" s="1045"/>
      <c r="B88" s="1081"/>
      <c r="C88" s="1046"/>
      <c r="D88" s="1046"/>
      <c r="E88" s="2174"/>
      <c r="F88" s="1046"/>
      <c r="G88" s="1046">
        <f t="shared" ref="G88" si="24">H88/1.2</f>
        <v>0</v>
      </c>
      <c r="H88" s="1046">
        <f t="shared" ref="H88:H91" si="25">SUM(I88:M88)</f>
        <v>0</v>
      </c>
      <c r="I88" s="1046">
        <f>SUM(I89:I91)</f>
        <v>0</v>
      </c>
      <c r="J88" s="1046">
        <f t="shared" ref="J88:M88" si="26">SUM(J89:J91)</f>
        <v>0</v>
      </c>
      <c r="K88" s="1046">
        <f t="shared" si="26"/>
        <v>0</v>
      </c>
      <c r="L88" s="1046">
        <f t="shared" si="26"/>
        <v>0</v>
      </c>
      <c r="M88" s="1046">
        <f t="shared" si="26"/>
        <v>0</v>
      </c>
      <c r="N88" s="1047"/>
      <c r="O88" s="1047"/>
      <c r="P88" s="1048"/>
      <c r="R88" s="1050"/>
      <c r="S88" s="1050"/>
      <c r="T88" s="1050"/>
      <c r="U88" s="1050"/>
      <c r="V88" s="1050"/>
      <c r="W88" s="1050"/>
      <c r="X88" s="1050"/>
      <c r="Y88" s="1050"/>
    </row>
    <row r="89" spans="1:25" hidden="1" outlineLevel="1">
      <c r="A89" s="1051"/>
      <c r="B89" s="1052"/>
      <c r="C89" s="1053"/>
      <c r="D89" s="1053">
        <f>D88</f>
        <v>0</v>
      </c>
      <c r="E89" s="2176">
        <f>E88</f>
        <v>0</v>
      </c>
      <c r="F89" s="1087"/>
      <c r="G89" s="1087">
        <f>H89/1.2</f>
        <v>0</v>
      </c>
      <c r="H89" s="1087">
        <f t="shared" si="25"/>
        <v>0</v>
      </c>
      <c r="I89" s="1053"/>
      <c r="J89" s="1053"/>
      <c r="K89" s="1082"/>
      <c r="L89" s="1053"/>
      <c r="M89" s="1053"/>
      <c r="N89" s="2664"/>
      <c r="O89" s="1054"/>
      <c r="P89" s="1076"/>
    </row>
    <row r="90" spans="1:25" hidden="1" outlineLevel="1">
      <c r="A90" s="1051"/>
      <c r="B90" s="1052"/>
      <c r="C90" s="1053"/>
      <c r="D90" s="1053">
        <f>D88</f>
        <v>0</v>
      </c>
      <c r="E90" s="2176">
        <f>E88</f>
        <v>0</v>
      </c>
      <c r="F90" s="1087"/>
      <c r="G90" s="1087">
        <f>H90/1.2</f>
        <v>0</v>
      </c>
      <c r="H90" s="1087">
        <f t="shared" si="25"/>
        <v>0</v>
      </c>
      <c r="I90" s="1053"/>
      <c r="J90" s="1053"/>
      <c r="K90" s="1053"/>
      <c r="L90" s="1053"/>
      <c r="M90" s="1053"/>
      <c r="N90" s="2664"/>
      <c r="O90" s="1054"/>
      <c r="P90" s="1076"/>
    </row>
    <row r="91" spans="1:25" hidden="1" outlineLevel="1">
      <c r="A91" s="1051"/>
      <c r="B91" s="1083"/>
      <c r="C91" s="1053"/>
      <c r="D91" s="1053">
        <f>D88</f>
        <v>0</v>
      </c>
      <c r="E91" s="1053">
        <f>E88</f>
        <v>0</v>
      </c>
      <c r="F91" s="1087"/>
      <c r="G91" s="1087">
        <f>H91/1.2</f>
        <v>0</v>
      </c>
      <c r="H91" s="1087">
        <f t="shared" si="25"/>
        <v>0</v>
      </c>
      <c r="I91" s="1053"/>
      <c r="J91" s="1082"/>
      <c r="K91" s="1082"/>
      <c r="L91" s="1053"/>
      <c r="M91" s="1053"/>
      <c r="N91" s="2664"/>
      <c r="O91" s="1054"/>
      <c r="P91" s="1076">
        <v>49.990242471528298</v>
      </c>
    </row>
    <row r="92" spans="1:25" s="1038" customFormat="1" collapsed="1">
      <c r="A92" s="1029" t="s">
        <v>3</v>
      </c>
      <c r="B92" s="1042" t="s">
        <v>66</v>
      </c>
      <c r="C92" s="1033">
        <f>C96</f>
        <v>0</v>
      </c>
      <c r="D92" s="1031"/>
      <c r="E92" s="1031"/>
      <c r="F92" s="1033">
        <f>F96</f>
        <v>0</v>
      </c>
      <c r="G92" s="1033">
        <f t="shared" ref="G92:M92" si="27">G96</f>
        <v>22646.181</v>
      </c>
      <c r="H92" s="1033">
        <f t="shared" si="27"/>
        <v>27175.4172</v>
      </c>
      <c r="I92" s="1033">
        <f t="shared" si="27"/>
        <v>0</v>
      </c>
      <c r="J92" s="1033">
        <f t="shared" si="27"/>
        <v>27175.4172</v>
      </c>
      <c r="K92" s="1033">
        <f t="shared" si="27"/>
        <v>0</v>
      </c>
      <c r="L92" s="1033">
        <f t="shared" si="27"/>
        <v>0</v>
      </c>
      <c r="M92" s="1033">
        <f t="shared" si="27"/>
        <v>0</v>
      </c>
      <c r="N92" s="1085" t="s">
        <v>1301</v>
      </c>
      <c r="O92" s="1085" t="s">
        <v>1301</v>
      </c>
      <c r="P92" s="1037"/>
      <c r="R92" s="1039"/>
      <c r="S92" s="1039"/>
      <c r="T92" s="1039"/>
      <c r="U92" s="1039"/>
      <c r="V92" s="1039"/>
      <c r="W92" s="1039"/>
      <c r="X92" s="1039"/>
      <c r="Y92" s="1039"/>
    </row>
    <row r="93" spans="1:25" s="1035" customFormat="1">
      <c r="A93" s="1040"/>
      <c r="B93" s="1041" t="s">
        <v>10</v>
      </c>
      <c r="C93" s="1033"/>
      <c r="D93" s="1031"/>
      <c r="E93" s="1031"/>
      <c r="F93" s="1033">
        <f t="shared" ref="F93:M93" si="28">F97</f>
        <v>0</v>
      </c>
      <c r="G93" s="1033">
        <f t="shared" si="28"/>
        <v>0</v>
      </c>
      <c r="H93" s="1033">
        <f t="shared" si="28"/>
        <v>0</v>
      </c>
      <c r="I93" s="1033">
        <f t="shared" si="28"/>
        <v>0</v>
      </c>
      <c r="J93" s="1033">
        <f t="shared" si="28"/>
        <v>0</v>
      </c>
      <c r="K93" s="1033">
        <f t="shared" si="28"/>
        <v>0</v>
      </c>
      <c r="L93" s="1033">
        <f t="shared" si="28"/>
        <v>0</v>
      </c>
      <c r="M93" s="1033">
        <f t="shared" si="28"/>
        <v>0</v>
      </c>
      <c r="N93" s="1085" t="s">
        <v>1301</v>
      </c>
      <c r="O93" s="1085" t="s">
        <v>1301</v>
      </c>
      <c r="P93" s="1037"/>
      <c r="R93" s="1036"/>
      <c r="S93" s="1036"/>
      <c r="T93" s="1036"/>
      <c r="U93" s="1036"/>
      <c r="V93" s="1036"/>
      <c r="W93" s="1036"/>
      <c r="X93" s="1036"/>
      <c r="Y93" s="1036"/>
    </row>
    <row r="94" spans="1:25" s="1035" customFormat="1" ht="33" customHeight="1">
      <c r="A94" s="1040"/>
      <c r="B94" s="1041" t="s">
        <v>9</v>
      </c>
      <c r="C94" s="1033"/>
      <c r="D94" s="1031"/>
      <c r="E94" s="1031"/>
      <c r="F94" s="1033">
        <f t="shared" ref="F94:M94" si="29">F98</f>
        <v>0</v>
      </c>
      <c r="G94" s="1033">
        <f t="shared" si="29"/>
        <v>18116.945</v>
      </c>
      <c r="H94" s="1033">
        <f t="shared" si="29"/>
        <v>21740.333999999999</v>
      </c>
      <c r="I94" s="1033">
        <f t="shared" si="29"/>
        <v>0</v>
      </c>
      <c r="J94" s="1033">
        <f t="shared" si="29"/>
        <v>21740.333999999999</v>
      </c>
      <c r="K94" s="1033">
        <f t="shared" si="29"/>
        <v>0</v>
      </c>
      <c r="L94" s="1033">
        <f t="shared" si="29"/>
        <v>0</v>
      </c>
      <c r="M94" s="1033">
        <f t="shared" si="29"/>
        <v>0</v>
      </c>
      <c r="N94" s="1085" t="s">
        <v>1301</v>
      </c>
      <c r="O94" s="1085" t="s">
        <v>1301</v>
      </c>
      <c r="P94" s="1037"/>
      <c r="R94" s="1036"/>
      <c r="S94" s="1036"/>
      <c r="T94" s="1036"/>
      <c r="U94" s="1036"/>
      <c r="V94" s="1036"/>
      <c r="W94" s="1036"/>
      <c r="X94" s="1036"/>
      <c r="Y94" s="1036"/>
    </row>
    <row r="95" spans="1:25" s="1035" customFormat="1" ht="34.5" customHeight="1">
      <c r="A95" s="1040"/>
      <c r="B95" s="1041" t="s">
        <v>14</v>
      </c>
      <c r="C95" s="1033"/>
      <c r="D95" s="1031"/>
      <c r="E95" s="1031"/>
      <c r="F95" s="1033">
        <f t="shared" ref="F95:M95" si="30">F99</f>
        <v>0</v>
      </c>
      <c r="G95" s="1033">
        <f t="shared" si="30"/>
        <v>4529.2359999999999</v>
      </c>
      <c r="H95" s="1033">
        <f t="shared" si="30"/>
        <v>5435.0832</v>
      </c>
      <c r="I95" s="1033">
        <f t="shared" si="30"/>
        <v>0</v>
      </c>
      <c r="J95" s="1033">
        <f t="shared" si="30"/>
        <v>5435.0832</v>
      </c>
      <c r="K95" s="1033">
        <f t="shared" si="30"/>
        <v>0</v>
      </c>
      <c r="L95" s="1033">
        <f t="shared" si="30"/>
        <v>0</v>
      </c>
      <c r="M95" s="1033">
        <f t="shared" si="30"/>
        <v>0</v>
      </c>
      <c r="N95" s="1085" t="s">
        <v>1301</v>
      </c>
      <c r="O95" s="1085" t="s">
        <v>1301</v>
      </c>
      <c r="P95" s="1037"/>
      <c r="R95" s="1036"/>
      <c r="S95" s="1036"/>
      <c r="T95" s="1036"/>
      <c r="U95" s="1036"/>
      <c r="V95" s="1036"/>
      <c r="W95" s="1036"/>
      <c r="X95" s="1036"/>
      <c r="Y95" s="1036"/>
    </row>
    <row r="96" spans="1:25" s="1025" customFormat="1" ht="275.25" customHeight="1" outlineLevel="1">
      <c r="A96" s="1086" t="s">
        <v>92</v>
      </c>
      <c r="B96" s="2183" t="s">
        <v>554</v>
      </c>
      <c r="C96" s="1087"/>
      <c r="D96" s="1087" t="s">
        <v>53</v>
      </c>
      <c r="E96" s="2184" t="s">
        <v>295</v>
      </c>
      <c r="F96" s="1087"/>
      <c r="G96" s="1087">
        <f>H96/1.2</f>
        <v>22646.181</v>
      </c>
      <c r="H96" s="1087">
        <f>SUM(I96:M96)</f>
        <v>27175.4172</v>
      </c>
      <c r="I96" s="2179">
        <f>SUM(I97:I99)</f>
        <v>0</v>
      </c>
      <c r="J96" s="2179">
        <f>SUM(J97:J99)</f>
        <v>27175.4172</v>
      </c>
      <c r="K96" s="2179">
        <f>SUM(K97:K99)</f>
        <v>0</v>
      </c>
      <c r="L96" s="2179">
        <f>SUM(L97:L99)</f>
        <v>0</v>
      </c>
      <c r="M96" s="2179">
        <f>SUM(M97:M99)</f>
        <v>0</v>
      </c>
      <c r="N96" s="1483" t="str">
        <f>'Прил.1 Перечень по подключению'!G12</f>
        <v>2025год</v>
      </c>
      <c r="O96" s="2166" t="s">
        <v>57</v>
      </c>
      <c r="P96" s="1056"/>
      <c r="R96" s="1026"/>
      <c r="S96" s="1026"/>
      <c r="T96" s="1026"/>
      <c r="U96" s="1026"/>
      <c r="V96" s="1026"/>
      <c r="W96" s="1026"/>
      <c r="X96" s="1026"/>
      <c r="Y96" s="1026"/>
    </row>
    <row r="97" spans="1:25" ht="83.25" outlineLevel="1">
      <c r="A97" s="1051"/>
      <c r="B97" s="1083" t="s">
        <v>10</v>
      </c>
      <c r="C97" s="1053"/>
      <c r="D97" s="1053" t="str">
        <f>D96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97" s="2176" t="str">
        <f>E96</f>
        <v>ООО Совместное предприятие "Минскстройэкспорт"</v>
      </c>
      <c r="F97" s="1087"/>
      <c r="G97" s="1087">
        <f>H97/1.2</f>
        <v>0</v>
      </c>
      <c r="H97" s="1087">
        <f>SUM(I97:M97)</f>
        <v>0</v>
      </c>
      <c r="I97" s="1069"/>
      <c r="J97" s="1069"/>
      <c r="K97" s="1069"/>
      <c r="L97" s="1069"/>
      <c r="M97" s="1069"/>
      <c r="N97" s="1483"/>
      <c r="O97" s="1054" t="s">
        <v>57</v>
      </c>
      <c r="P97" s="1056"/>
    </row>
    <row r="98" spans="1:25" ht="98.25" customHeight="1" outlineLevel="1">
      <c r="A98" s="1051"/>
      <c r="B98" s="1083" t="s">
        <v>9</v>
      </c>
      <c r="C98" s="1053"/>
      <c r="D98" s="1053" t="str">
        <f>D97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98" s="2176" t="str">
        <f>E97</f>
        <v>ООО Совместное предприятие "Минскстройэкспорт"</v>
      </c>
      <c r="F98" s="1087"/>
      <c r="G98" s="1087">
        <f>H98/1.2</f>
        <v>18116.945</v>
      </c>
      <c r="H98" s="1087">
        <f>SUM(I98:M98)</f>
        <v>21740.333999999999</v>
      </c>
      <c r="I98" s="1069"/>
      <c r="J98" s="1069">
        <f>'Минскстрой_Малиновка-2'!F32+'Минскстрой_Малиновка-2'!F33+'Минскстрой_Малиновка-2'!F34</f>
        <v>21740.333999999999</v>
      </c>
      <c r="K98" s="1069"/>
      <c r="L98" s="1069"/>
      <c r="M98" s="1069"/>
      <c r="N98" s="1483"/>
      <c r="O98" s="1054" t="s">
        <v>57</v>
      </c>
      <c r="P98" s="1056"/>
    </row>
    <row r="99" spans="1:25" ht="84.75" customHeight="1" outlineLevel="1">
      <c r="A99" s="1051"/>
      <c r="B99" s="1083" t="s">
        <v>14</v>
      </c>
      <c r="C99" s="1053"/>
      <c r="D99" s="1053" t="str">
        <f>D97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99" s="1053" t="str">
        <f>E97</f>
        <v>ООО Совместное предприятие "Минскстройэкспорт"</v>
      </c>
      <c r="F99" s="1087"/>
      <c r="G99" s="1087">
        <f>H99/1.2</f>
        <v>4529.2359999999999</v>
      </c>
      <c r="H99" s="1087">
        <f>SUM(I99:M99)</f>
        <v>5435.0832</v>
      </c>
      <c r="I99" s="1069"/>
      <c r="J99" s="1069">
        <f>'Минскстрой_Малиновка-2'!F35</f>
        <v>5435.0832</v>
      </c>
      <c r="K99" s="1069"/>
      <c r="L99" s="1069"/>
      <c r="M99" s="1069"/>
      <c r="N99" s="1483"/>
      <c r="O99" s="1054" t="s">
        <v>57</v>
      </c>
      <c r="P99" s="1056"/>
    </row>
    <row r="100" spans="1:25" s="1038" customFormat="1" ht="112.5" customHeight="1">
      <c r="A100" s="1029" t="s">
        <v>2</v>
      </c>
      <c r="B100" s="1042" t="s">
        <v>67</v>
      </c>
      <c r="C100" s="1088">
        <f>C104+C108+C112+C116+C120+C124</f>
        <v>8034</v>
      </c>
      <c r="D100" s="1088"/>
      <c r="E100" s="1088"/>
      <c r="F100" s="1088">
        <f>F104+F108+F112+F116+F120+F124</f>
        <v>3637.85</v>
      </c>
      <c r="G100" s="1088">
        <f t="shared" ref="G100:M100" si="31">G104+G108+G112+G116+G120+G124</f>
        <v>130880.59384703037</v>
      </c>
      <c r="H100" s="1088">
        <f t="shared" si="31"/>
        <v>157056.71261643645</v>
      </c>
      <c r="I100" s="1088">
        <f t="shared" si="31"/>
        <v>17546.342903999997</v>
      </c>
      <c r="J100" s="1088">
        <f t="shared" si="31"/>
        <v>134003.55171243643</v>
      </c>
      <c r="K100" s="1088">
        <f t="shared" si="31"/>
        <v>5506.8180000000002</v>
      </c>
      <c r="L100" s="1088">
        <f t="shared" si="31"/>
        <v>0</v>
      </c>
      <c r="M100" s="1088">
        <f t="shared" si="31"/>
        <v>0</v>
      </c>
      <c r="N100" s="1089" t="s">
        <v>1301</v>
      </c>
      <c r="O100" s="1085" t="s">
        <v>1301</v>
      </c>
      <c r="P100" s="1037"/>
      <c r="R100" s="1039"/>
      <c r="S100" s="1039"/>
      <c r="T100" s="1039"/>
      <c r="U100" s="1039"/>
      <c r="V100" s="1039"/>
      <c r="W100" s="1039"/>
      <c r="X100" s="1039"/>
      <c r="Y100" s="1039"/>
    </row>
    <row r="101" spans="1:25" s="1035" customFormat="1" ht="36" customHeight="1">
      <c r="A101" s="1040"/>
      <c r="B101" s="1041" t="s">
        <v>10</v>
      </c>
      <c r="C101" s="1088"/>
      <c r="D101" s="1088"/>
      <c r="E101" s="1088"/>
      <c r="F101" s="1088">
        <f t="shared" ref="F101:M101" si="32">F105+F109+F113+F117+F121+F125</f>
        <v>0</v>
      </c>
      <c r="G101" s="1088">
        <f t="shared" si="32"/>
        <v>5577.0804991040004</v>
      </c>
      <c r="H101" s="1088">
        <f t="shared" si="32"/>
        <v>6692.4965989247994</v>
      </c>
      <c r="I101" s="1088">
        <f t="shared" si="32"/>
        <v>5523.363683999999</v>
      </c>
      <c r="J101" s="1088">
        <f t="shared" si="32"/>
        <v>1169.1329149247999</v>
      </c>
      <c r="K101" s="1088">
        <f t="shared" si="32"/>
        <v>0</v>
      </c>
      <c r="L101" s="1088">
        <f t="shared" si="32"/>
        <v>0</v>
      </c>
      <c r="M101" s="1088">
        <f t="shared" si="32"/>
        <v>0</v>
      </c>
      <c r="N101" s="1089" t="s">
        <v>1301</v>
      </c>
      <c r="O101" s="1090" t="s">
        <v>1301</v>
      </c>
      <c r="P101" s="1037"/>
      <c r="R101" s="1036"/>
      <c r="S101" s="1036"/>
      <c r="T101" s="1036"/>
      <c r="U101" s="1036"/>
      <c r="V101" s="1036"/>
      <c r="W101" s="1036"/>
      <c r="X101" s="1036"/>
      <c r="Y101" s="1036"/>
    </row>
    <row r="102" spans="1:25" s="1035" customFormat="1" ht="39" customHeight="1">
      <c r="A102" s="1040"/>
      <c r="B102" s="1041" t="s">
        <v>9</v>
      </c>
      <c r="C102" s="1088"/>
      <c r="D102" s="1088"/>
      <c r="E102" s="1088"/>
      <c r="F102" s="1088">
        <f t="shared" ref="F102:M102" si="33">F106+F110+F114+F118+F122+F126</f>
        <v>0</v>
      </c>
      <c r="G102" s="1088">
        <f t="shared" si="33"/>
        <v>100889.57964415442</v>
      </c>
      <c r="H102" s="1088">
        <f t="shared" si="33"/>
        <v>121067.49557298531</v>
      </c>
      <c r="I102" s="1088">
        <f t="shared" si="33"/>
        <v>9319.5513599999995</v>
      </c>
      <c r="J102" s="1088">
        <f t="shared" si="33"/>
        <v>107342.48981298531</v>
      </c>
      <c r="K102" s="1088">
        <f t="shared" si="33"/>
        <v>4405.4544000000005</v>
      </c>
      <c r="L102" s="1088">
        <f t="shared" si="33"/>
        <v>0</v>
      </c>
      <c r="M102" s="1088">
        <f t="shared" si="33"/>
        <v>0</v>
      </c>
      <c r="N102" s="1089" t="s">
        <v>1301</v>
      </c>
      <c r="O102" s="1090" t="s">
        <v>1301</v>
      </c>
      <c r="P102" s="1037"/>
      <c r="R102" s="1036"/>
      <c r="S102" s="1036"/>
      <c r="T102" s="1036"/>
      <c r="U102" s="1036"/>
      <c r="V102" s="1036"/>
      <c r="W102" s="1036"/>
      <c r="X102" s="1036"/>
      <c r="Y102" s="1036"/>
    </row>
    <row r="103" spans="1:25" s="1035" customFormat="1" ht="46.5" customHeight="1">
      <c r="A103" s="1040"/>
      <c r="B103" s="1041" t="s">
        <v>14</v>
      </c>
      <c r="C103" s="1088"/>
      <c r="D103" s="1088"/>
      <c r="E103" s="1088"/>
      <c r="F103" s="1088">
        <f t="shared" ref="F103:M103" si="34">F107+F111+F115+F119+F123+F127</f>
        <v>0</v>
      </c>
      <c r="G103" s="1088">
        <f t="shared" si="34"/>
        <v>24413.933703771942</v>
      </c>
      <c r="H103" s="1088">
        <f t="shared" si="34"/>
        <v>29296.720444526327</v>
      </c>
      <c r="I103" s="1088">
        <f t="shared" si="34"/>
        <v>2703.4278599999998</v>
      </c>
      <c r="J103" s="1088">
        <f t="shared" si="34"/>
        <v>25491.928984526327</v>
      </c>
      <c r="K103" s="1088">
        <f t="shared" si="34"/>
        <v>1101.3635999999999</v>
      </c>
      <c r="L103" s="1088">
        <f t="shared" si="34"/>
        <v>0</v>
      </c>
      <c r="M103" s="1088">
        <f t="shared" si="34"/>
        <v>0</v>
      </c>
      <c r="N103" s="1089" t="s">
        <v>1301</v>
      </c>
      <c r="O103" s="1090" t="s">
        <v>1301</v>
      </c>
      <c r="P103" s="1037"/>
      <c r="R103" s="1036"/>
      <c r="S103" s="1036"/>
      <c r="T103" s="1036"/>
      <c r="U103" s="1036"/>
      <c r="V103" s="1036"/>
      <c r="W103" s="1036"/>
      <c r="X103" s="1036"/>
      <c r="Y103" s="1036"/>
    </row>
    <row r="104" spans="1:25" s="1490" customFormat="1" ht="154.5" customHeight="1" outlineLevel="1">
      <c r="A104" s="1062" t="s">
        <v>93</v>
      </c>
      <c r="B104" s="2185" t="s">
        <v>138</v>
      </c>
      <c r="C104" s="1488">
        <v>5799</v>
      </c>
      <c r="D104" s="1489" t="s">
        <v>104</v>
      </c>
      <c r="E104" s="1489" t="s">
        <v>298</v>
      </c>
      <c r="F104" s="1489"/>
      <c r="G104" s="1489">
        <f>H104/1.2</f>
        <v>49190.533333333333</v>
      </c>
      <c r="H104" s="1489">
        <f t="shared" ref="H104:H115" si="35">SUM(I104:M104)</f>
        <v>59028.639999999999</v>
      </c>
      <c r="I104" s="1489">
        <f>SUM(I105:I107)</f>
        <v>0</v>
      </c>
      <c r="J104" s="1489">
        <f>SUM(J105:J107)</f>
        <v>59028.639999999999</v>
      </c>
      <c r="K104" s="1489">
        <f>SUM(K105:K107)</f>
        <v>0</v>
      </c>
      <c r="L104" s="1489">
        <f>SUM(L105:L107)</f>
        <v>0</v>
      </c>
      <c r="M104" s="1489">
        <f>SUM(M105:M107)</f>
        <v>0</v>
      </c>
      <c r="N104" s="2186" t="str">
        <f>'Прил.1 Перечень по подключению'!G14</f>
        <v>2025год</v>
      </c>
      <c r="O104" s="1064" t="s">
        <v>149</v>
      </c>
      <c r="P104" s="1065"/>
    </row>
    <row r="105" spans="1:25" s="1484" customFormat="1" ht="59.25" customHeight="1" outlineLevel="1">
      <c r="A105" s="1491"/>
      <c r="B105" s="1134" t="s">
        <v>10</v>
      </c>
      <c r="C105" s="1492"/>
      <c r="D105" s="1135" t="str">
        <f>D104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105" s="1135" t="str">
        <f>E104</f>
        <v xml:space="preserve"> ГКУ КО "Управление капитального строительства"</v>
      </c>
      <c r="F105" s="1492"/>
      <c r="G105" s="1153">
        <f t="shared" ref="G105:G127" si="36">H105/1.2</f>
        <v>0</v>
      </c>
      <c r="H105" s="1153">
        <f t="shared" si="35"/>
        <v>0</v>
      </c>
      <c r="I105" s="1492"/>
      <c r="J105" s="1135"/>
      <c r="K105" s="1135"/>
      <c r="L105" s="1492"/>
      <c r="M105" s="1492"/>
      <c r="N105" s="2187"/>
      <c r="O105" s="1070" t="s">
        <v>149</v>
      </c>
      <c r="P105" s="1071"/>
    </row>
    <row r="106" spans="1:25" s="1484" customFormat="1" ht="54" customHeight="1" outlineLevel="1">
      <c r="A106" s="1491"/>
      <c r="B106" s="1134" t="s">
        <v>9</v>
      </c>
      <c r="C106" s="1492"/>
      <c r="D106" s="1135" t="str">
        <f>D104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106" s="1135" t="str">
        <f>E105</f>
        <v xml:space="preserve"> ГКУ КО "Управление капитального строительства"</v>
      </c>
      <c r="F106" s="1492"/>
      <c r="G106" s="1153">
        <f t="shared" si="36"/>
        <v>39352.424999999996</v>
      </c>
      <c r="H106" s="1153">
        <f t="shared" si="35"/>
        <v>47222.909999999996</v>
      </c>
      <c r="I106" s="1492"/>
      <c r="J106" s="2188">
        <f>47172.92+49.99</f>
        <v>47222.909999999996</v>
      </c>
      <c r="K106" s="1135"/>
      <c r="L106" s="1492"/>
      <c r="M106" s="1492"/>
      <c r="N106" s="2187"/>
      <c r="O106" s="1070" t="str">
        <f>O104</f>
        <v xml:space="preserve"> бюджет муниципального образования</v>
      </c>
      <c r="P106" s="1071"/>
    </row>
    <row r="107" spans="1:25" s="1484" customFormat="1" ht="61.5" customHeight="1" outlineLevel="1">
      <c r="A107" s="1491"/>
      <c r="B107" s="1134" t="s">
        <v>14</v>
      </c>
      <c r="C107" s="1492"/>
      <c r="D107" s="1135" t="str">
        <f>D104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107" s="1135" t="str">
        <f>E106</f>
        <v xml:space="preserve"> ГКУ КО "Управление капитального строительства"</v>
      </c>
      <c r="F107" s="1492"/>
      <c r="G107" s="1153">
        <f t="shared" si="36"/>
        <v>9838.1083333333336</v>
      </c>
      <c r="H107" s="1153">
        <f t="shared" si="35"/>
        <v>11805.73</v>
      </c>
      <c r="I107" s="1492"/>
      <c r="J107" s="2188">
        <v>11805.73</v>
      </c>
      <c r="K107" s="1135"/>
      <c r="L107" s="1492"/>
      <c r="M107" s="1492"/>
      <c r="N107" s="2187"/>
      <c r="O107" s="1070" t="str">
        <f>O104</f>
        <v xml:space="preserve"> бюджет муниципального образования</v>
      </c>
      <c r="P107" s="1071"/>
    </row>
    <row r="108" spans="1:25" s="1049" customFormat="1" ht="186" customHeight="1" outlineLevel="1">
      <c r="A108" s="1045" t="s">
        <v>134</v>
      </c>
      <c r="B108" s="1081" t="s">
        <v>2186</v>
      </c>
      <c r="C108" s="1091">
        <v>435</v>
      </c>
      <c r="D108" s="1092" t="s">
        <v>279</v>
      </c>
      <c r="E108" s="1092" t="s">
        <v>52</v>
      </c>
      <c r="F108" s="1092"/>
      <c r="G108" s="1092">
        <f t="shared" si="36"/>
        <v>4589.0150000000003</v>
      </c>
      <c r="H108" s="1092">
        <f t="shared" si="35"/>
        <v>5506.8180000000002</v>
      </c>
      <c r="I108" s="1092">
        <f>SUM(I109:I111)</f>
        <v>0</v>
      </c>
      <c r="J108" s="1092">
        <f>SUM(J109:J111)</f>
        <v>0</v>
      </c>
      <c r="K108" s="1092">
        <f>SUM(K109:K111)</f>
        <v>5506.8180000000002</v>
      </c>
      <c r="L108" s="1092">
        <f>SUM(L109:L111)</f>
        <v>0</v>
      </c>
      <c r="M108" s="1092">
        <f>SUM(M109:M111)</f>
        <v>0</v>
      </c>
      <c r="N108" s="2189" t="str">
        <f>'Прил.1 Перечень по подключению'!G16</f>
        <v>2026год</v>
      </c>
      <c r="O108" s="1047" t="s">
        <v>57</v>
      </c>
      <c r="P108" s="1048"/>
    </row>
    <row r="109" spans="1:25" s="1025" customFormat="1" ht="111" outlineLevel="1">
      <c r="A109" s="2165"/>
      <c r="B109" s="1083" t="s">
        <v>10</v>
      </c>
      <c r="C109" s="1093"/>
      <c r="D109" s="1094" t="str">
        <f>D108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109" s="1094" t="str">
        <f>E108</f>
        <v>ООО "СтройСервис" (АО ЦентрСпецСтрой)</v>
      </c>
      <c r="F109" s="1093"/>
      <c r="G109" s="1099">
        <f t="shared" si="36"/>
        <v>0</v>
      </c>
      <c r="H109" s="1099">
        <f t="shared" si="35"/>
        <v>0</v>
      </c>
      <c r="I109" s="1093"/>
      <c r="J109" s="1094"/>
      <c r="K109" s="1094"/>
      <c r="L109" s="1093"/>
      <c r="M109" s="1093"/>
      <c r="N109" s="2190"/>
      <c r="O109" s="1054" t="s">
        <v>57</v>
      </c>
      <c r="P109" s="1056"/>
    </row>
    <row r="110" spans="1:25" s="1025" customFormat="1" ht="111" outlineLevel="1">
      <c r="A110" s="2165"/>
      <c r="B110" s="1083" t="s">
        <v>9</v>
      </c>
      <c r="C110" s="1093"/>
      <c r="D110" s="1094" t="str">
        <f>D108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110" s="1094" t="str">
        <f>E108</f>
        <v>ООО "СтройСервис" (АО ЦентрСпецСтрой)</v>
      </c>
      <c r="F110" s="1093"/>
      <c r="G110" s="1099">
        <f t="shared" si="36"/>
        <v>3671.2120000000004</v>
      </c>
      <c r="H110" s="1099">
        <f t="shared" si="35"/>
        <v>4405.4544000000005</v>
      </c>
      <c r="I110" s="1093"/>
      <c r="J110" s="1094"/>
      <c r="K110" s="2191">
        <f>(АО_ЦентрСпецСтрой!E32+АО_ЦентрСпецСтрой!E33+АО_ЦентрСпецСтрой!E34)*1.2</f>
        <v>4405.4544000000005</v>
      </c>
      <c r="L110" s="1093"/>
      <c r="M110" s="1093"/>
      <c r="N110" s="2190"/>
      <c r="O110" s="1054" t="s">
        <v>57</v>
      </c>
      <c r="P110" s="1056"/>
    </row>
    <row r="111" spans="1:25" s="1025" customFormat="1" ht="48" customHeight="1" outlineLevel="1">
      <c r="A111" s="2165"/>
      <c r="B111" s="1083" t="s">
        <v>14</v>
      </c>
      <c r="C111" s="1093"/>
      <c r="D111" s="1094" t="str">
        <f>D108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111" s="1094" t="str">
        <f>E108</f>
        <v>ООО "СтройСервис" (АО ЦентрСпецСтрой)</v>
      </c>
      <c r="F111" s="1093"/>
      <c r="G111" s="1099">
        <f t="shared" si="36"/>
        <v>917.803</v>
      </c>
      <c r="H111" s="1099">
        <f t="shared" si="35"/>
        <v>1101.3635999999999</v>
      </c>
      <c r="I111" s="1093"/>
      <c r="J111" s="1094"/>
      <c r="K111" s="2191">
        <f>АО_ЦентрСпецСтрой!E35*1.2</f>
        <v>1101.3635999999999</v>
      </c>
      <c r="L111" s="1093"/>
      <c r="M111" s="1093"/>
      <c r="N111" s="2190"/>
      <c r="O111" s="1054" t="s">
        <v>57</v>
      </c>
      <c r="P111" s="1056"/>
    </row>
    <row r="112" spans="1:25" s="1049" customFormat="1" ht="138" customHeight="1" outlineLevel="1">
      <c r="A112" s="1045" t="s">
        <v>135</v>
      </c>
      <c r="B112" s="1081" t="s">
        <v>656</v>
      </c>
      <c r="C112" s="1092"/>
      <c r="D112" s="1092" t="s">
        <v>109</v>
      </c>
      <c r="E112" s="1092" t="s">
        <v>143</v>
      </c>
      <c r="F112" s="1091">
        <f>'Прил.1 Перечень по подключению'!E17</f>
        <v>2000</v>
      </c>
      <c r="G112" s="1092">
        <f t="shared" si="36"/>
        <v>2980.2962499999999</v>
      </c>
      <c r="H112" s="1092">
        <f t="shared" si="35"/>
        <v>3576.3554999999997</v>
      </c>
      <c r="I112" s="1092">
        <f>SUM(I113:I115)</f>
        <v>0</v>
      </c>
      <c r="J112" s="1092">
        <f>SUM(J113:J115)</f>
        <v>3576.3554999999997</v>
      </c>
      <c r="K112" s="2192">
        <f>SUM(K113:K115)</f>
        <v>0</v>
      </c>
      <c r="L112" s="1092">
        <f>SUM(L113:L115)</f>
        <v>0</v>
      </c>
      <c r="M112" s="1092">
        <f>SUM(M113:M115)</f>
        <v>0</v>
      </c>
      <c r="N112" s="2189" t="str">
        <f>'Прил.1 Перечень по подключению'!G17</f>
        <v>2025год</v>
      </c>
      <c r="O112" s="1047" t="s">
        <v>57</v>
      </c>
      <c r="P112" s="1048"/>
    </row>
    <row r="113" spans="1:25" s="1025" customFormat="1" ht="103.5" customHeight="1" outlineLevel="1">
      <c r="A113" s="2165"/>
      <c r="B113" s="1083" t="s">
        <v>10</v>
      </c>
      <c r="C113" s="1093"/>
      <c r="D113" s="1094" t="str">
        <f>D112</f>
        <v>Индустриальный парк «Грабцево» (с целью увеличения мощности системы (2 этажа)), расположенный по адресу: г. Калуга, Индустриальный парк «Грабцево»</v>
      </c>
      <c r="E113" s="1094" t="str">
        <f>E112</f>
        <v>Акционерное общество «Корпорация развития Калужской области»</v>
      </c>
      <c r="F113" s="1093"/>
      <c r="G113" s="1099">
        <f t="shared" si="36"/>
        <v>101.52200000000001</v>
      </c>
      <c r="H113" s="1099">
        <f t="shared" si="35"/>
        <v>121.82640000000001</v>
      </c>
      <c r="I113" s="2191"/>
      <c r="J113" s="2191">
        <v>121.82640000000001</v>
      </c>
      <c r="K113" s="2193"/>
      <c r="L113" s="1093"/>
      <c r="M113" s="1093"/>
      <c r="N113" s="2190"/>
      <c r="O113" s="1054" t="s">
        <v>57</v>
      </c>
      <c r="P113" s="1056"/>
    </row>
    <row r="114" spans="1:25" s="1025" customFormat="1" ht="99" customHeight="1" outlineLevel="1">
      <c r="A114" s="2165"/>
      <c r="B114" s="1083" t="s">
        <v>9</v>
      </c>
      <c r="C114" s="1093"/>
      <c r="D114" s="1094" t="str">
        <f>D113</f>
        <v>Индустриальный парк «Грабцево» (с целью увеличения мощности системы (2 этажа)), расположенный по адресу: г. Калуга, Индустриальный парк «Грабцево»</v>
      </c>
      <c r="E114" s="1094" t="str">
        <f>E113</f>
        <v>Акционерное общество «Корпорация развития Калужской области»</v>
      </c>
      <c r="F114" s="1093"/>
      <c r="G114" s="1099">
        <f t="shared" si="36"/>
        <v>2282.7150000000001</v>
      </c>
      <c r="H114" s="1099">
        <f t="shared" si="35"/>
        <v>2739.2579999999998</v>
      </c>
      <c r="I114" s="1094"/>
      <c r="J114" s="1094">
        <v>2739.2579999999998</v>
      </c>
      <c r="K114" s="2194"/>
      <c r="L114" s="2191"/>
      <c r="M114" s="1093"/>
      <c r="N114" s="2190"/>
      <c r="O114" s="1054" t="s">
        <v>57</v>
      </c>
      <c r="P114" s="1056"/>
    </row>
    <row r="115" spans="1:25" s="1025" customFormat="1" ht="82.5" customHeight="1" outlineLevel="1">
      <c r="A115" s="2165"/>
      <c r="B115" s="1083" t="s">
        <v>14</v>
      </c>
      <c r="C115" s="1093"/>
      <c r="D115" s="1094" t="str">
        <f>D113</f>
        <v>Индустриальный парк «Грабцево» (с целью увеличения мощности системы (2 этажа)), расположенный по адресу: г. Калуга, Индустриальный парк «Грабцево»</v>
      </c>
      <c r="E115" s="1094" t="str">
        <f>E113</f>
        <v>Акционерное общество «Корпорация развития Калужской области»</v>
      </c>
      <c r="F115" s="1093"/>
      <c r="G115" s="1099">
        <f t="shared" si="36"/>
        <v>596.05925000000002</v>
      </c>
      <c r="H115" s="1099">
        <f t="shared" si="35"/>
        <v>715.27110000000005</v>
      </c>
      <c r="I115" s="1094"/>
      <c r="J115" s="1094">
        <v>715.27110000000005</v>
      </c>
      <c r="K115" s="2194"/>
      <c r="L115" s="2191"/>
      <c r="M115" s="1093"/>
      <c r="N115" s="2190"/>
      <c r="O115" s="1054" t="s">
        <v>57</v>
      </c>
      <c r="P115" s="1056"/>
    </row>
    <row r="116" spans="1:25" s="1049" customFormat="1" ht="159.75" customHeight="1" outlineLevel="1">
      <c r="A116" s="1045" t="s">
        <v>136</v>
      </c>
      <c r="B116" s="1078" t="s">
        <v>113</v>
      </c>
      <c r="C116" s="1092"/>
      <c r="D116" s="1092" t="s">
        <v>111</v>
      </c>
      <c r="E116" s="1092" t="s">
        <v>112</v>
      </c>
      <c r="F116" s="1091"/>
      <c r="G116" s="1092">
        <f t="shared" si="36"/>
        <v>11264.28275</v>
      </c>
      <c r="H116" s="1092">
        <f t="shared" ref="H116:H127" si="37">SUM(I116:M116)</f>
        <v>13517.139299999999</v>
      </c>
      <c r="I116" s="1092">
        <f>SUM(I117:I119)</f>
        <v>13517.139299999999</v>
      </c>
      <c r="J116" s="1092">
        <f>SUM(J117:J119)</f>
        <v>0</v>
      </c>
      <c r="K116" s="1092">
        <f>SUM(K117:K119)</f>
        <v>0</v>
      </c>
      <c r="L116" s="1092">
        <f>SUM(L117:L119)</f>
        <v>0</v>
      </c>
      <c r="M116" s="1092">
        <f>SUM(M117:M119)</f>
        <v>0</v>
      </c>
      <c r="N116" s="2189" t="str">
        <f>'Прил.1 Перечень по подключению'!G18</f>
        <v>2024год</v>
      </c>
      <c r="O116" s="1047" t="s">
        <v>57</v>
      </c>
      <c r="P116" s="1048"/>
    </row>
    <row r="117" spans="1:25" s="1025" customFormat="1" ht="53.25" customHeight="1" outlineLevel="1">
      <c r="A117" s="2165"/>
      <c r="B117" s="1083" t="s">
        <v>10</v>
      </c>
      <c r="C117" s="1093"/>
      <c r="D117" s="1094" t="str">
        <f t="shared" ref="D117:E119" si="38">D116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117" s="1094" t="str">
        <f t="shared" si="38"/>
        <v>ООО «КалугаЭлитДевелопмент»</v>
      </c>
      <c r="F117" s="1093"/>
      <c r="G117" s="1099">
        <f t="shared" si="36"/>
        <v>1245.1333999999999</v>
      </c>
      <c r="H117" s="1099">
        <f t="shared" si="37"/>
        <v>1494.1600799999999</v>
      </c>
      <c r="I117" s="1094">
        <f>КалугаЭлитДевелопмент!$F$31</f>
        <v>1494.1600799999999</v>
      </c>
      <c r="J117" s="1094"/>
      <c r="K117" s="1094"/>
      <c r="L117" s="1094"/>
      <c r="M117" s="1093"/>
      <c r="N117" s="2190"/>
      <c r="O117" s="1054" t="s">
        <v>57</v>
      </c>
      <c r="P117" s="1056"/>
    </row>
    <row r="118" spans="1:25" s="1025" customFormat="1" ht="53.25" customHeight="1" outlineLevel="1">
      <c r="A118" s="2165"/>
      <c r="B118" s="1083" t="s">
        <v>9</v>
      </c>
      <c r="C118" s="1093"/>
      <c r="D118" s="1094" t="str">
        <f t="shared" si="38"/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118" s="1094" t="str">
        <f t="shared" si="38"/>
        <v>ООО «КалугаЭлитДевелопмент»</v>
      </c>
      <c r="F118" s="1093"/>
      <c r="G118" s="1099">
        <f t="shared" si="36"/>
        <v>7766.2928000000002</v>
      </c>
      <c r="H118" s="1099">
        <f t="shared" si="37"/>
        <v>9319.5513599999995</v>
      </c>
      <c r="I118" s="1094">
        <f>КалугаЭлитДевелопмент!$F$32+КалугаЭлитДевелопмент!$F$33</f>
        <v>9319.5513599999995</v>
      </c>
      <c r="J118" s="1094"/>
      <c r="K118" s="1094"/>
      <c r="L118" s="1094"/>
      <c r="M118" s="1093"/>
      <c r="N118" s="2190"/>
      <c r="O118" s="1054" t="s">
        <v>57</v>
      </c>
      <c r="P118" s="1056"/>
    </row>
    <row r="119" spans="1:25" s="1025" customFormat="1" ht="53.25" customHeight="1" outlineLevel="1">
      <c r="A119" s="2165"/>
      <c r="B119" s="1083" t="s">
        <v>14</v>
      </c>
      <c r="C119" s="1093"/>
      <c r="D119" s="1094" t="str">
        <f t="shared" si="38"/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119" s="1094" t="str">
        <f t="shared" si="38"/>
        <v>ООО «КалугаЭлитДевелопмент»</v>
      </c>
      <c r="F119" s="1093"/>
      <c r="G119" s="1099">
        <f t="shared" si="36"/>
        <v>2252.85655</v>
      </c>
      <c r="H119" s="1099">
        <f t="shared" si="37"/>
        <v>2703.4278599999998</v>
      </c>
      <c r="I119" s="1094">
        <f>КалугаЭлитДевелопмент!$F$35</f>
        <v>2703.4278599999998</v>
      </c>
      <c r="J119" s="1094"/>
      <c r="K119" s="1094"/>
      <c r="L119" s="1094"/>
      <c r="M119" s="1093"/>
      <c r="N119" s="2190"/>
      <c r="O119" s="1054" t="s">
        <v>57</v>
      </c>
      <c r="P119" s="1056"/>
    </row>
    <row r="120" spans="1:25" s="1049" customFormat="1" ht="126" customHeight="1" outlineLevel="1">
      <c r="A120" s="1045" t="s">
        <v>137</v>
      </c>
      <c r="B120" s="1078" t="s">
        <v>1082</v>
      </c>
      <c r="C120" s="1092">
        <v>1800</v>
      </c>
      <c r="D120" s="1092" t="s">
        <v>2173</v>
      </c>
      <c r="E120" s="1092" t="s">
        <v>172</v>
      </c>
      <c r="F120" s="1091"/>
      <c r="G120" s="1092">
        <f t="shared" si="36"/>
        <v>54045.532852193035</v>
      </c>
      <c r="H120" s="1092">
        <f t="shared" si="37"/>
        <v>64854.639422631641</v>
      </c>
      <c r="I120" s="1092">
        <f>SUM(I121:I123)</f>
        <v>4029.2036039999994</v>
      </c>
      <c r="J120" s="1092">
        <f>SUM(J121:J123)</f>
        <v>60825.435818631639</v>
      </c>
      <c r="K120" s="1092">
        <f>SUM(K121:K123)</f>
        <v>0</v>
      </c>
      <c r="L120" s="1092">
        <f>SUM(L121:L123)</f>
        <v>0</v>
      </c>
      <c r="M120" s="1092">
        <f>SUM(M121:M123)</f>
        <v>0</v>
      </c>
      <c r="N120" s="2195" t="s">
        <v>542</v>
      </c>
      <c r="O120" s="1047" t="s">
        <v>57</v>
      </c>
      <c r="P120" s="1048"/>
    </row>
    <row r="121" spans="1:25" s="1025" customFormat="1" ht="129.75" customHeight="1" outlineLevel="1">
      <c r="A121" s="2165"/>
      <c r="B121" s="1083" t="s">
        <v>10</v>
      </c>
      <c r="C121" s="1093"/>
      <c r="D121" s="1094" t="str">
        <f t="shared" ref="D121:E123" si="39">D120</f>
        <v>Комплексное освоение территории, в рамках которого предусматривается жилищное строительство, г. Калуга, ул. 40 лет Октября</v>
      </c>
      <c r="E121" s="1094" t="str">
        <f t="shared" si="39"/>
        <v>АО СЗ КОШЕЛЕВ-ПРОЕКТ</v>
      </c>
      <c r="F121" s="1093"/>
      <c r="G121" s="1099">
        <f t="shared" si="36"/>
        <v>3357.6696699999998</v>
      </c>
      <c r="H121" s="1099">
        <f t="shared" si="37"/>
        <v>4029.2036039999994</v>
      </c>
      <c r="I121" s="1094">
        <f>КОШЕЛЕВ_НОВОЕ!G17*1.2</f>
        <v>4029.2036039999994</v>
      </c>
      <c r="J121" s="1094"/>
      <c r="K121" s="1094"/>
      <c r="L121" s="1093"/>
      <c r="M121" s="1093"/>
      <c r="N121" s="2190"/>
      <c r="O121" s="1054" t="s">
        <v>57</v>
      </c>
      <c r="P121" s="1056"/>
    </row>
    <row r="122" spans="1:25" s="1025" customFormat="1" ht="129.75" customHeight="1" outlineLevel="1">
      <c r="A122" s="2165"/>
      <c r="B122" s="1083" t="s">
        <v>9</v>
      </c>
      <c r="C122" s="1093"/>
      <c r="D122" s="1094" t="str">
        <f t="shared" si="39"/>
        <v>Комплексное освоение территории, в рамках которого предусматривается жилищное строительство, г. Калуга, ул. 40 лет Октября</v>
      </c>
      <c r="E122" s="1094" t="str">
        <f t="shared" si="39"/>
        <v>АО СЗ КОШЕЛЕВ-ПРОЕКТ</v>
      </c>
      <c r="F122" s="1093"/>
      <c r="G122" s="1099">
        <f t="shared" si="36"/>
        <v>39878.756611754427</v>
      </c>
      <c r="H122" s="1099">
        <f t="shared" si="37"/>
        <v>47854.507934105313</v>
      </c>
      <c r="I122" s="1094"/>
      <c r="J122" s="1094">
        <f>КОШЕЛЕВ_НОВОЕ!G20*1.2</f>
        <v>47854.507934105313</v>
      </c>
      <c r="K122" s="1094"/>
      <c r="L122" s="1094"/>
      <c r="M122" s="1094"/>
      <c r="N122" s="2190"/>
      <c r="O122" s="1054" t="s">
        <v>57</v>
      </c>
      <c r="P122" s="1056"/>
    </row>
    <row r="123" spans="1:25" s="1025" customFormat="1" ht="129.75" customHeight="1" outlineLevel="1">
      <c r="A123" s="2165"/>
      <c r="B123" s="1083" t="s">
        <v>14</v>
      </c>
      <c r="C123" s="1093"/>
      <c r="D123" s="1094" t="str">
        <f t="shared" si="39"/>
        <v>Комплексное освоение территории, в рамках которого предусматривается жилищное строительство, г. Калуга, ул. 40 лет Октября</v>
      </c>
      <c r="E123" s="1094" t="str">
        <f t="shared" si="39"/>
        <v>АО СЗ КОШЕЛЕВ-ПРОЕКТ</v>
      </c>
      <c r="F123" s="1093"/>
      <c r="G123" s="1099">
        <f t="shared" si="36"/>
        <v>10809.106570438607</v>
      </c>
      <c r="H123" s="1099">
        <f t="shared" si="37"/>
        <v>12970.927884526329</v>
      </c>
      <c r="I123" s="1094"/>
      <c r="J123" s="1094">
        <f>КОШЕЛЕВ_НОВОЕ!G46*1.2</f>
        <v>12970.927884526329</v>
      </c>
      <c r="K123" s="1094"/>
      <c r="L123" s="1093"/>
      <c r="M123" s="1093"/>
      <c r="N123" s="2190"/>
      <c r="O123" s="1054" t="s">
        <v>57</v>
      </c>
      <c r="P123" s="1056"/>
    </row>
    <row r="124" spans="1:25" s="1049" customFormat="1" ht="90.75" customHeight="1" outlineLevel="1">
      <c r="A124" s="1045" t="s">
        <v>139</v>
      </c>
      <c r="B124" s="1078" t="str">
        <f>'Реконструкция ВОДА'!B13</f>
        <v>Реконструкция существующих водоводов (стеклопластик) Ду-400 в г. Калуга,  протяженностью 290 п.м. каждый (580 п.м. общая) мкрн.Байконур</v>
      </c>
      <c r="C124" s="1091"/>
      <c r="D124" s="1092" t="s">
        <v>771</v>
      </c>
      <c r="E124" s="1092" t="str">
        <f>'Прил.1 Перечень по подключению'!D29</f>
        <v>Заявитель</v>
      </c>
      <c r="F124" s="1091">
        <v>1637.85</v>
      </c>
      <c r="G124" s="1092">
        <f t="shared" si="36"/>
        <v>8810.9336615040011</v>
      </c>
      <c r="H124" s="1092">
        <f t="shared" si="37"/>
        <v>10573.1203938048</v>
      </c>
      <c r="I124" s="1092">
        <f>SUM(I125:I127)</f>
        <v>0</v>
      </c>
      <c r="J124" s="1092">
        <f>SUM(J125:J127)</f>
        <v>10573.1203938048</v>
      </c>
      <c r="K124" s="1092">
        <f>SUM(K125:K127)</f>
        <v>0</v>
      </c>
      <c r="L124" s="1092">
        <f>SUM(L125:L127)</f>
        <v>0</v>
      </c>
      <c r="M124" s="1092">
        <f>SUM(M125:M127)</f>
        <v>0</v>
      </c>
      <c r="N124" s="2189" t="s">
        <v>542</v>
      </c>
      <c r="O124" s="1047" t="s">
        <v>1091</v>
      </c>
      <c r="P124" s="1048"/>
    </row>
    <row r="125" spans="1:25" s="1025" customFormat="1" ht="55.5" outlineLevel="1">
      <c r="A125" s="2165"/>
      <c r="B125" s="1052" t="s">
        <v>10</v>
      </c>
      <c r="C125" s="1093"/>
      <c r="D125" s="1094" t="str">
        <f>D124</f>
        <v>Проект планировки и проект межевания территории жилого квартала, г.Калуга мкр.Кубяка,Байконур</v>
      </c>
      <c r="E125" s="1094" t="str">
        <f>E124</f>
        <v>Заявитель</v>
      </c>
      <c r="F125" s="1093"/>
      <c r="G125" s="1099">
        <f t="shared" si="36"/>
        <v>872.75542910400009</v>
      </c>
      <c r="H125" s="1099">
        <f>SUM(I125:M125)</f>
        <v>1047.3065149248</v>
      </c>
      <c r="I125" s="1093"/>
      <c r="J125" s="1094">
        <f>949.0392*1.053*1.048</f>
        <v>1047.3065149248</v>
      </c>
      <c r="K125" s="1094"/>
      <c r="L125" s="2191"/>
      <c r="M125" s="1093"/>
      <c r="N125" s="2190"/>
      <c r="O125" s="1054" t="s">
        <v>1091</v>
      </c>
      <c r="P125" s="1056"/>
    </row>
    <row r="126" spans="1:25" s="1025" customFormat="1" ht="55.5" outlineLevel="1">
      <c r="A126" s="2165"/>
      <c r="B126" s="1052" t="s">
        <v>9</v>
      </c>
      <c r="C126" s="1093"/>
      <c r="D126" s="1094" t="str">
        <f>D124</f>
        <v>Проект планировки и проект межевания территории жилого квартала, г.Калуга мкр.Кубяка,Байконур</v>
      </c>
      <c r="E126" s="1094" t="str">
        <f>E124</f>
        <v>Заявитель</v>
      </c>
      <c r="F126" s="1093"/>
      <c r="G126" s="1099">
        <f t="shared" si="36"/>
        <v>7938.1782324000005</v>
      </c>
      <c r="H126" s="1099">
        <f t="shared" si="37"/>
        <v>9525.8138788800006</v>
      </c>
      <c r="I126" s="1093"/>
      <c r="J126" s="2191">
        <f>8632.02*1.053*1.048</f>
        <v>9525.8138788800006</v>
      </c>
      <c r="K126" s="1093"/>
      <c r="L126" s="1093"/>
      <c r="M126" s="1093"/>
      <c r="N126" s="2190"/>
      <c r="O126" s="1054" t="s">
        <v>1091</v>
      </c>
      <c r="P126" s="1056"/>
    </row>
    <row r="127" spans="1:25" s="1025" customFormat="1" ht="55.5" outlineLevel="1">
      <c r="A127" s="2165"/>
      <c r="B127" s="1052" t="s">
        <v>14</v>
      </c>
      <c r="C127" s="1093"/>
      <c r="D127" s="1094" t="str">
        <f>D124</f>
        <v>Проект планировки и проект межевания территории жилого квартала, г.Калуга мкр.Кубяка,Байконур</v>
      </c>
      <c r="E127" s="1094" t="str">
        <f>E124</f>
        <v>Заявитель</v>
      </c>
      <c r="F127" s="1093"/>
      <c r="G127" s="1099">
        <f t="shared" si="36"/>
        <v>0</v>
      </c>
      <c r="H127" s="1099">
        <f t="shared" si="37"/>
        <v>0</v>
      </c>
      <c r="I127" s="1093"/>
      <c r="J127" s="2191"/>
      <c r="K127" s="2191"/>
      <c r="L127" s="2191"/>
      <c r="M127" s="1093"/>
      <c r="N127" s="2190"/>
      <c r="O127" s="1054" t="s">
        <v>1091</v>
      </c>
      <c r="P127" s="1056"/>
    </row>
    <row r="128" spans="1:25" s="1038" customFormat="1" ht="106.5" customHeight="1">
      <c r="A128" s="1029" t="s">
        <v>1</v>
      </c>
      <c r="B128" s="1042" t="s">
        <v>68</v>
      </c>
      <c r="C128" s="1088">
        <v>0</v>
      </c>
      <c r="D128" s="1095"/>
      <c r="E128" s="1095"/>
      <c r="F128" s="1088">
        <f>F132+F136+F140</f>
        <v>0</v>
      </c>
      <c r="G128" s="1088">
        <f t="shared" ref="G128:M128" si="40">G132+G136+G140</f>
        <v>40968.957784016471</v>
      </c>
      <c r="H128" s="1088">
        <f>H132+H136+H140</f>
        <v>49162.74934081977</v>
      </c>
      <c r="I128" s="1088">
        <f t="shared" si="40"/>
        <v>2140.4639999999999</v>
      </c>
      <c r="J128" s="1088">
        <f t="shared" si="40"/>
        <v>47022.28534081977</v>
      </c>
      <c r="K128" s="1088">
        <f t="shared" si="40"/>
        <v>0</v>
      </c>
      <c r="L128" s="1088">
        <f t="shared" si="40"/>
        <v>0</v>
      </c>
      <c r="M128" s="1088">
        <f t="shared" si="40"/>
        <v>0</v>
      </c>
      <c r="N128" s="1089" t="s">
        <v>1301</v>
      </c>
      <c r="O128" s="1085" t="s">
        <v>1301</v>
      </c>
      <c r="P128" s="1037"/>
      <c r="R128" s="1039"/>
      <c r="S128" s="1039"/>
      <c r="T128" s="1039"/>
      <c r="U128" s="1039"/>
      <c r="V128" s="1039"/>
      <c r="W128" s="1039"/>
      <c r="X128" s="1039"/>
      <c r="Y128" s="1039"/>
    </row>
    <row r="129" spans="1:25" s="1035" customFormat="1" ht="42" customHeight="1">
      <c r="A129" s="1040"/>
      <c r="B129" s="1041" t="s">
        <v>10</v>
      </c>
      <c r="C129" s="1088">
        <v>0</v>
      </c>
      <c r="D129" s="1095"/>
      <c r="E129" s="1095"/>
      <c r="F129" s="1088">
        <f t="shared" ref="F129:M129" si="41">F133+F137+F141</f>
        <v>0</v>
      </c>
      <c r="G129" s="1088">
        <f t="shared" si="41"/>
        <v>172.65037842000001</v>
      </c>
      <c r="H129" s="1088">
        <f t="shared" si="41"/>
        <v>207.18045410400001</v>
      </c>
      <c r="I129" s="1088">
        <f t="shared" si="41"/>
        <v>0</v>
      </c>
      <c r="J129" s="1088">
        <f t="shared" si="41"/>
        <v>207.18045410400001</v>
      </c>
      <c r="K129" s="1088">
        <f t="shared" si="41"/>
        <v>0</v>
      </c>
      <c r="L129" s="1088">
        <f t="shared" si="41"/>
        <v>0</v>
      </c>
      <c r="M129" s="1088">
        <f t="shared" si="41"/>
        <v>0</v>
      </c>
      <c r="N129" s="1089" t="s">
        <v>1301</v>
      </c>
      <c r="O129" s="1090" t="s">
        <v>1301</v>
      </c>
      <c r="P129" s="1096"/>
      <c r="R129" s="1036"/>
      <c r="S129" s="1036"/>
      <c r="T129" s="1036"/>
      <c r="U129" s="1036"/>
      <c r="V129" s="1036"/>
      <c r="W129" s="1036"/>
      <c r="X129" s="1036"/>
      <c r="Y129" s="1036"/>
    </row>
    <row r="130" spans="1:25" s="1035" customFormat="1" ht="45.75" customHeight="1">
      <c r="A130" s="1040"/>
      <c r="B130" s="1041" t="s">
        <v>9</v>
      </c>
      <c r="C130" s="1088">
        <v>0</v>
      </c>
      <c r="D130" s="1095"/>
      <c r="E130" s="1095"/>
      <c r="F130" s="1088">
        <f t="shared" ref="F130:M130" si="42">F134+F138+F142</f>
        <v>0</v>
      </c>
      <c r="G130" s="1088">
        <f t="shared" si="42"/>
        <v>37490.9722221501</v>
      </c>
      <c r="H130" s="1088">
        <f t="shared" si="42"/>
        <v>44989.166666580117</v>
      </c>
      <c r="I130" s="1088">
        <f t="shared" si="42"/>
        <v>1712.3712</v>
      </c>
      <c r="J130" s="1088">
        <f t="shared" si="42"/>
        <v>43276.795466580123</v>
      </c>
      <c r="K130" s="1088">
        <f t="shared" si="42"/>
        <v>0</v>
      </c>
      <c r="L130" s="1088">
        <f t="shared" si="42"/>
        <v>0</v>
      </c>
      <c r="M130" s="1088">
        <f t="shared" si="42"/>
        <v>0</v>
      </c>
      <c r="N130" s="1089" t="s">
        <v>1301</v>
      </c>
      <c r="O130" s="1090" t="s">
        <v>1301</v>
      </c>
      <c r="P130" s="1096"/>
      <c r="R130" s="1036"/>
      <c r="S130" s="1036"/>
      <c r="T130" s="1036"/>
      <c r="U130" s="1036"/>
      <c r="V130" s="1036"/>
      <c r="W130" s="1036"/>
      <c r="X130" s="1036"/>
      <c r="Y130" s="1036"/>
    </row>
    <row r="131" spans="1:25" s="1035" customFormat="1" ht="40.5" customHeight="1">
      <c r="A131" s="1040"/>
      <c r="B131" s="1041" t="s">
        <v>14</v>
      </c>
      <c r="C131" s="1088">
        <v>0</v>
      </c>
      <c r="D131" s="1095"/>
      <c r="E131" s="1095"/>
      <c r="F131" s="1088">
        <f t="shared" ref="F131:M131" si="43">F135+F139+F143</f>
        <v>0</v>
      </c>
      <c r="G131" s="1088">
        <f t="shared" si="43"/>
        <v>3305.3351834463751</v>
      </c>
      <c r="H131" s="1088">
        <f>H135+H139+H143</f>
        <v>3966.4022201356497</v>
      </c>
      <c r="I131" s="1088">
        <f t="shared" si="43"/>
        <v>428.09280000000001</v>
      </c>
      <c r="J131" s="1088">
        <f t="shared" si="43"/>
        <v>3538.3094201356498</v>
      </c>
      <c r="K131" s="1088">
        <f t="shared" si="43"/>
        <v>0</v>
      </c>
      <c r="L131" s="1088">
        <f t="shared" si="43"/>
        <v>0</v>
      </c>
      <c r="M131" s="1088">
        <f t="shared" si="43"/>
        <v>0</v>
      </c>
      <c r="N131" s="1089" t="s">
        <v>1301</v>
      </c>
      <c r="O131" s="1090" t="s">
        <v>1301</v>
      </c>
      <c r="P131" s="1096"/>
      <c r="R131" s="1036"/>
      <c r="S131" s="1036"/>
      <c r="T131" s="1036"/>
      <c r="U131" s="1036"/>
      <c r="V131" s="1036"/>
      <c r="W131" s="1036"/>
      <c r="X131" s="1036"/>
      <c r="Y131" s="1036"/>
    </row>
    <row r="132" spans="1:25" s="1049" customFormat="1" ht="108" outlineLevel="1">
      <c r="A132" s="1097" t="s">
        <v>97</v>
      </c>
      <c r="B132" s="1078" t="s">
        <v>1081</v>
      </c>
      <c r="C132" s="1092"/>
      <c r="D132" s="1092" t="s">
        <v>655</v>
      </c>
      <c r="E132" s="1092" t="s">
        <v>172</v>
      </c>
      <c r="F132" s="1092"/>
      <c r="G132" s="1092">
        <f>H132/1.2</f>
        <v>1783.72</v>
      </c>
      <c r="H132" s="1092">
        <f>SUM(I132:M132)</f>
        <v>2140.4639999999999</v>
      </c>
      <c r="I132" s="1092">
        <f>SUM(I133:I135)</f>
        <v>2140.4639999999999</v>
      </c>
      <c r="J132" s="1092">
        <f>SUM(J133:J135)</f>
        <v>0</v>
      </c>
      <c r="K132" s="1092">
        <f>SUM(K133:K135)</f>
        <v>0</v>
      </c>
      <c r="L132" s="1092">
        <f>SUM(L133:L135)</f>
        <v>0</v>
      </c>
      <c r="M132" s="1092">
        <f>SUM(M133:M135)</f>
        <v>0</v>
      </c>
      <c r="N132" s="2189" t="s">
        <v>541</v>
      </c>
      <c r="O132" s="1047" t="s">
        <v>57</v>
      </c>
      <c r="P132" s="1048"/>
      <c r="R132" s="1050"/>
      <c r="S132" s="1050"/>
      <c r="T132" s="1050"/>
      <c r="U132" s="1050"/>
      <c r="V132" s="1050"/>
      <c r="W132" s="1050"/>
      <c r="X132" s="1050"/>
      <c r="Y132" s="1050"/>
    </row>
    <row r="133" spans="1:25" ht="111" outlineLevel="1">
      <c r="A133" s="1098"/>
      <c r="B133" s="1083" t="s">
        <v>10</v>
      </c>
      <c r="C133" s="1099"/>
      <c r="D133" s="1094" t="str">
        <f>D132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133" s="1094" t="str">
        <f>E132</f>
        <v>АО СЗ КОШЕЛЕВ-ПРОЕКТ</v>
      </c>
      <c r="F133" s="1099"/>
      <c r="G133" s="1099">
        <f>H133/1.2</f>
        <v>0</v>
      </c>
      <c r="H133" s="1099">
        <f>SUM(I133:M133)</f>
        <v>0</v>
      </c>
      <c r="I133" s="1099">
        <f>КОШЕЛЕВ!F31</f>
        <v>0</v>
      </c>
      <c r="J133" s="1099"/>
      <c r="K133" s="1099"/>
      <c r="L133" s="1099"/>
      <c r="M133" s="1099"/>
      <c r="N133" s="1627"/>
      <c r="O133" s="1054" t="s">
        <v>57</v>
      </c>
      <c r="P133" s="1076"/>
    </row>
    <row r="134" spans="1:25" ht="111" outlineLevel="1">
      <c r="A134" s="1098"/>
      <c r="B134" s="1083" t="s">
        <v>9</v>
      </c>
      <c r="C134" s="1099"/>
      <c r="D134" s="1094" t="str">
        <f>D132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134" s="1094" t="str">
        <f>E133</f>
        <v>АО СЗ КОШЕЛЕВ-ПРОЕКТ</v>
      </c>
      <c r="F134" s="1099"/>
      <c r="G134" s="1099">
        <f t="shared" ref="G134:G139" si="44">H134/1.2</f>
        <v>1426.9760000000001</v>
      </c>
      <c r="H134" s="1099">
        <f>SUM(I134:M134)</f>
        <v>1712.3712</v>
      </c>
      <c r="I134" s="1094">
        <f>(КОШЕЛЕВ!F32)</f>
        <v>1712.3712</v>
      </c>
      <c r="J134" s="1099"/>
      <c r="K134" s="1099"/>
      <c r="L134" s="1099"/>
      <c r="M134" s="1099"/>
      <c r="N134" s="1627"/>
      <c r="O134" s="1054" t="s">
        <v>57</v>
      </c>
      <c r="P134" s="1076"/>
    </row>
    <row r="135" spans="1:25" ht="111" outlineLevel="1">
      <c r="A135" s="1098"/>
      <c r="B135" s="1083" t="s">
        <v>14</v>
      </c>
      <c r="C135" s="1099"/>
      <c r="D135" s="1094" t="str">
        <f>D132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135" s="1094" t="str">
        <f>E134</f>
        <v>АО СЗ КОШЕЛЕВ-ПРОЕКТ</v>
      </c>
      <c r="F135" s="1099"/>
      <c r="G135" s="1099">
        <f t="shared" si="44"/>
        <v>356.74400000000003</v>
      </c>
      <c r="H135" s="1099">
        <f>SUM(I135:M135)</f>
        <v>428.09280000000001</v>
      </c>
      <c r="I135" s="1094">
        <f>КОШЕЛЕВ!F35</f>
        <v>428.09280000000001</v>
      </c>
      <c r="J135" s="1099"/>
      <c r="K135" s="1099"/>
      <c r="L135" s="1099"/>
      <c r="M135" s="1099"/>
      <c r="N135" s="1627"/>
      <c r="O135" s="1054" t="s">
        <v>57</v>
      </c>
      <c r="P135" s="1076"/>
    </row>
    <row r="136" spans="1:25" s="1049" customFormat="1" ht="108" outlineLevel="1">
      <c r="A136" s="1097" t="s">
        <v>98</v>
      </c>
      <c r="B136" s="1078" t="s">
        <v>14916</v>
      </c>
      <c r="C136" s="1092"/>
      <c r="D136" s="1092" t="s">
        <v>303</v>
      </c>
      <c r="E136" s="1092" t="s">
        <v>305</v>
      </c>
      <c r="F136" s="1092"/>
      <c r="G136" s="1092">
        <f t="shared" si="44"/>
        <v>14742.955917231875</v>
      </c>
      <c r="H136" s="1092">
        <f t="shared" ref="H136:H143" si="45">SUM(I136:M136)</f>
        <v>17691.54710067825</v>
      </c>
      <c r="I136" s="1046">
        <f>SUM(I137:I139)</f>
        <v>0</v>
      </c>
      <c r="J136" s="1046">
        <f>SUM(J137:J139)</f>
        <v>17691.54710067825</v>
      </c>
      <c r="K136" s="1046">
        <f>SUM(K137:K139)</f>
        <v>0</v>
      </c>
      <c r="L136" s="1046">
        <f>SUM(L137:L139)</f>
        <v>0</v>
      </c>
      <c r="M136" s="1046">
        <f>SUM(M137:M139)</f>
        <v>0</v>
      </c>
      <c r="N136" s="2189" t="s">
        <v>542</v>
      </c>
      <c r="O136" s="1047" t="s">
        <v>57</v>
      </c>
      <c r="P136" s="1048"/>
      <c r="R136" s="1050"/>
      <c r="S136" s="1050"/>
      <c r="T136" s="1050"/>
      <c r="U136" s="1050"/>
      <c r="V136" s="1050"/>
      <c r="W136" s="1050"/>
      <c r="X136" s="1050"/>
      <c r="Y136" s="1050"/>
    </row>
    <row r="137" spans="1:25" ht="111" outlineLevel="1">
      <c r="A137" s="1098"/>
      <c r="B137" s="1083" t="s">
        <v>10</v>
      </c>
      <c r="C137" s="1099"/>
      <c r="D137" s="1094" t="str">
        <f>D136</f>
        <v>Комплекс многоквартирных жилых домов со встроенно-пристроенными торговыми помещениями,детский сад на 300 мест,школа на 1100 мест</v>
      </c>
      <c r="E137" s="1094" t="str">
        <f>E136</f>
        <v>ООО Специализированный застройщик "УАЙТ ГРУПП-КАЛУГА"</v>
      </c>
      <c r="F137" s="1099"/>
      <c r="G137" s="1099">
        <f t="shared" si="44"/>
        <v>0</v>
      </c>
      <c r="H137" s="1099">
        <f t="shared" si="45"/>
        <v>0</v>
      </c>
      <c r="I137" s="1099"/>
      <c r="J137" s="1099"/>
      <c r="K137" s="1099"/>
      <c r="L137" s="1099"/>
      <c r="M137" s="1099"/>
      <c r="N137" s="1627"/>
      <c r="O137" s="1054" t="s">
        <v>57</v>
      </c>
      <c r="P137" s="1076"/>
    </row>
    <row r="138" spans="1:25" ht="111" outlineLevel="1">
      <c r="A138" s="1098"/>
      <c r="B138" s="1083" t="s">
        <v>9</v>
      </c>
      <c r="C138" s="1099"/>
      <c r="D138" s="1094" t="str">
        <f>D136</f>
        <v>Комплекс многоквартирных жилых домов со встроенно-пристроенными торговыми помещениями,детский сад на 300 мест,школа на 1100 мест</v>
      </c>
      <c r="E138" s="1094" t="str">
        <f>E136</f>
        <v>ООО Специализированный застройщик "УАЙТ ГРУПП-КАЛУГА"</v>
      </c>
      <c r="F138" s="1099"/>
      <c r="G138" s="1099">
        <f t="shared" si="44"/>
        <v>11794.3647337855</v>
      </c>
      <c r="H138" s="1099">
        <f t="shared" si="45"/>
        <v>14153.237680542599</v>
      </c>
      <c r="I138" s="1099"/>
      <c r="J138" s="1094">
        <f>'Уайт Групп'!T20*1.2</f>
        <v>14153.237680542599</v>
      </c>
      <c r="K138" s="1099"/>
      <c r="L138" s="1099"/>
      <c r="M138" s="1099"/>
      <c r="N138" s="1627"/>
      <c r="O138" s="1054" t="s">
        <v>57</v>
      </c>
      <c r="P138" s="1076"/>
    </row>
    <row r="139" spans="1:25" ht="111" outlineLevel="1">
      <c r="A139" s="1098"/>
      <c r="B139" s="1083" t="s">
        <v>14</v>
      </c>
      <c r="C139" s="1099"/>
      <c r="D139" s="1094" t="str">
        <f>D136</f>
        <v>Комплекс многоквартирных жилых домов со встроенно-пристроенными торговыми помещениями,детский сад на 300 мест,школа на 1100 мест</v>
      </c>
      <c r="E139" s="1094" t="str">
        <f>E136</f>
        <v>ООО Специализированный застройщик "УАЙТ ГРУПП-КАЛУГА"</v>
      </c>
      <c r="F139" s="1099"/>
      <c r="G139" s="1099">
        <f t="shared" si="44"/>
        <v>2948.591183446375</v>
      </c>
      <c r="H139" s="1099">
        <f t="shared" si="45"/>
        <v>3538.3094201356498</v>
      </c>
      <c r="I139" s="1099"/>
      <c r="J139" s="1094">
        <f>'Уайт Групп'!T46*1.2</f>
        <v>3538.3094201356498</v>
      </c>
      <c r="K139" s="1099"/>
      <c r="L139" s="1099"/>
      <c r="M139" s="1099"/>
      <c r="N139" s="1627"/>
      <c r="O139" s="1054" t="s">
        <v>57</v>
      </c>
      <c r="P139" s="1076"/>
    </row>
    <row r="140" spans="1:25" s="1049" customFormat="1" ht="81" outlineLevel="1">
      <c r="A140" s="1097" t="s">
        <v>101</v>
      </c>
      <c r="B140" s="1078" t="s">
        <v>2171</v>
      </c>
      <c r="C140" s="1092"/>
      <c r="D140" s="1092" t="s">
        <v>771</v>
      </c>
      <c r="E140" s="1092" t="s">
        <v>660</v>
      </c>
      <c r="F140" s="1092"/>
      <c r="G140" s="1092">
        <f>H140/1.2</f>
        <v>24442.2818667846</v>
      </c>
      <c r="H140" s="1092">
        <f t="shared" si="45"/>
        <v>29330.73824014152</v>
      </c>
      <c r="I140" s="1046">
        <f>SUM(I141:I143)</f>
        <v>0</v>
      </c>
      <c r="J140" s="1046">
        <f>SUM(J141:J143)</f>
        <v>29330.73824014152</v>
      </c>
      <c r="K140" s="1046">
        <f>SUM(K141:K143)</f>
        <v>0</v>
      </c>
      <c r="L140" s="1046">
        <f>SUM(L141:L143)</f>
        <v>0</v>
      </c>
      <c r="M140" s="1046">
        <f>SUM(M141:M143)</f>
        <v>0</v>
      </c>
      <c r="N140" s="2189" t="s">
        <v>542</v>
      </c>
      <c r="O140" s="1047" t="s">
        <v>1091</v>
      </c>
      <c r="P140" s="1048"/>
      <c r="R140" s="1050"/>
      <c r="S140" s="1050"/>
      <c r="T140" s="1050"/>
      <c r="U140" s="1050"/>
      <c r="V140" s="1050"/>
      <c r="W140" s="1050"/>
      <c r="X140" s="1050"/>
      <c r="Y140" s="1050"/>
    </row>
    <row r="141" spans="1:25" ht="55.5" outlineLevel="1">
      <c r="A141" s="1098"/>
      <c r="B141" s="1083" t="s">
        <v>10</v>
      </c>
      <c r="C141" s="1099"/>
      <c r="D141" s="1094" t="str">
        <f>D140</f>
        <v>Проект планировки и проект межевания территории жилого квартала, г.Калуга мкр.Кубяка,Байконур</v>
      </c>
      <c r="E141" s="1094" t="str">
        <f>E140</f>
        <v>Заявитель</v>
      </c>
      <c r="F141" s="1099"/>
      <c r="G141" s="1099">
        <f>H141/1.2</f>
        <v>172.65037842000001</v>
      </c>
      <c r="H141" s="1099">
        <f t="shared" si="45"/>
        <v>207.18045410400001</v>
      </c>
      <c r="I141" s="1099"/>
      <c r="J141" s="1094">
        <f>187741/1000*1.053*1.048</f>
        <v>207.18045410400001</v>
      </c>
      <c r="K141" s="1099"/>
      <c r="L141" s="1099"/>
      <c r="M141" s="1099"/>
      <c r="N141" s="1627"/>
      <c r="O141" s="1054" t="s">
        <v>1091</v>
      </c>
      <c r="P141" s="1076"/>
    </row>
    <row r="142" spans="1:25" ht="55.5" outlineLevel="1">
      <c r="A142" s="1098"/>
      <c r="B142" s="1083" t="s">
        <v>9</v>
      </c>
      <c r="C142" s="1099"/>
      <c r="D142" s="1094" t="str">
        <f>D140</f>
        <v>Проект планировки и проект межевания территории жилого квартала, г.Калуга мкр.Кубяка,Байконур</v>
      </c>
      <c r="E142" s="1094" t="str">
        <f>E140</f>
        <v>Заявитель</v>
      </c>
      <c r="F142" s="1099"/>
      <c r="G142" s="1099">
        <f>H142/1.2</f>
        <v>24269.631488364601</v>
      </c>
      <c r="H142" s="1099">
        <f t="shared" si="45"/>
        <v>29123.55778603752</v>
      </c>
      <c r="I142" s="1099"/>
      <c r="J142" s="1094">
        <f>26390934.83/1000*1.053*1.048</f>
        <v>29123.55778603752</v>
      </c>
      <c r="K142" s="1099"/>
      <c r="L142" s="1099"/>
      <c r="M142" s="1099"/>
      <c r="N142" s="1627"/>
      <c r="O142" s="1054" t="s">
        <v>1091</v>
      </c>
      <c r="P142" s="1076"/>
    </row>
    <row r="143" spans="1:25" ht="55.5" outlineLevel="1">
      <c r="A143" s="1098"/>
      <c r="B143" s="1083" t="s">
        <v>14</v>
      </c>
      <c r="C143" s="1099"/>
      <c r="D143" s="1094" t="str">
        <f>D140</f>
        <v>Проект планировки и проект межевания территории жилого квартала, г.Калуга мкр.Кубяка,Байконур</v>
      </c>
      <c r="E143" s="1094" t="str">
        <f>E140</f>
        <v>Заявитель</v>
      </c>
      <c r="F143" s="1099"/>
      <c r="G143" s="1099">
        <f>H143/1.2</f>
        <v>0</v>
      </c>
      <c r="H143" s="1099">
        <f t="shared" si="45"/>
        <v>0</v>
      </c>
      <c r="I143" s="1099"/>
      <c r="J143" s="1099"/>
      <c r="K143" s="1099"/>
      <c r="L143" s="1099"/>
      <c r="M143" s="1099"/>
      <c r="N143" s="1627"/>
      <c r="O143" s="1054" t="s">
        <v>1091</v>
      </c>
      <c r="P143" s="1076"/>
    </row>
    <row r="144" spans="1:25" s="1035" customFormat="1" ht="105" customHeight="1">
      <c r="A144" s="1043" t="s">
        <v>32</v>
      </c>
      <c r="B144" s="2196" t="s">
        <v>69</v>
      </c>
      <c r="C144" s="1088">
        <f t="shared" ref="C144:M144" si="46">SUM(C148,C164)</f>
        <v>11124.5</v>
      </c>
      <c r="D144" s="1095">
        <f t="shared" si="46"/>
        <v>0</v>
      </c>
      <c r="E144" s="1095">
        <f t="shared" si="46"/>
        <v>0</v>
      </c>
      <c r="F144" s="1088">
        <f>SUM(F148,F164)</f>
        <v>0</v>
      </c>
      <c r="G144" s="1088">
        <f t="shared" si="46"/>
        <v>703750.66121499229</v>
      </c>
      <c r="H144" s="1088">
        <f t="shared" si="46"/>
        <v>844500.79345799063</v>
      </c>
      <c r="I144" s="1100">
        <f t="shared" si="46"/>
        <v>0</v>
      </c>
      <c r="J144" s="1088">
        <f t="shared" si="46"/>
        <v>10618.274920275358</v>
      </c>
      <c r="K144" s="1088">
        <f t="shared" si="46"/>
        <v>145687.56044166302</v>
      </c>
      <c r="L144" s="1088">
        <f t="shared" si="46"/>
        <v>256629.92056131459</v>
      </c>
      <c r="M144" s="1088">
        <f t="shared" si="46"/>
        <v>431565.03753473767</v>
      </c>
      <c r="N144" s="1089" t="s">
        <v>1301</v>
      </c>
      <c r="O144" s="1085" t="s">
        <v>1301</v>
      </c>
      <c r="P144" s="1037"/>
      <c r="R144" s="1036"/>
      <c r="S144" s="1036"/>
      <c r="T144" s="1036"/>
      <c r="U144" s="1036"/>
      <c r="V144" s="1036"/>
      <c r="W144" s="1036"/>
      <c r="X144" s="1036"/>
      <c r="Y144" s="1036"/>
    </row>
    <row r="145" spans="1:25" s="1038" customFormat="1" ht="44.25" customHeight="1">
      <c r="A145" s="1043"/>
      <c r="B145" s="1041" t="s">
        <v>10</v>
      </c>
      <c r="C145" s="1088">
        <f t="shared" ref="C145:M145" si="47">SUM(C149,C165)</f>
        <v>0</v>
      </c>
      <c r="D145" s="1088">
        <f t="shared" si="47"/>
        <v>0</v>
      </c>
      <c r="E145" s="1088">
        <f t="shared" si="47"/>
        <v>0</v>
      </c>
      <c r="F145" s="1088">
        <f t="shared" si="47"/>
        <v>0</v>
      </c>
      <c r="G145" s="1088">
        <f t="shared" si="47"/>
        <v>1218.9166666666667</v>
      </c>
      <c r="H145" s="1088">
        <f t="shared" si="47"/>
        <v>1462.7</v>
      </c>
      <c r="I145" s="1100">
        <f t="shared" si="47"/>
        <v>0</v>
      </c>
      <c r="J145" s="1088">
        <f t="shared" si="47"/>
        <v>0</v>
      </c>
      <c r="K145" s="1088">
        <f t="shared" si="47"/>
        <v>0</v>
      </c>
      <c r="L145" s="1088">
        <f t="shared" si="47"/>
        <v>1462.7</v>
      </c>
      <c r="M145" s="1088">
        <f t="shared" si="47"/>
        <v>0</v>
      </c>
      <c r="N145" s="1089" t="s">
        <v>1301</v>
      </c>
      <c r="O145" s="1085" t="s">
        <v>1301</v>
      </c>
      <c r="P145" s="1037"/>
      <c r="R145" s="1039"/>
      <c r="S145" s="1039"/>
      <c r="T145" s="1039"/>
      <c r="U145" s="1039"/>
      <c r="V145" s="1039"/>
      <c r="W145" s="1039"/>
      <c r="X145" s="1039"/>
      <c r="Y145" s="1039"/>
    </row>
    <row r="146" spans="1:25" s="1038" customFormat="1" ht="48" customHeight="1">
      <c r="A146" s="1043"/>
      <c r="B146" s="1041" t="s">
        <v>9</v>
      </c>
      <c r="C146" s="1088">
        <f t="shared" ref="C146:M146" si="48">SUM(C150,C166)</f>
        <v>0</v>
      </c>
      <c r="D146" s="1088">
        <f t="shared" si="48"/>
        <v>0</v>
      </c>
      <c r="E146" s="1088">
        <f t="shared" si="48"/>
        <v>0</v>
      </c>
      <c r="F146" s="1088">
        <f t="shared" si="48"/>
        <v>0</v>
      </c>
      <c r="G146" s="1088">
        <f t="shared" si="48"/>
        <v>700992.41954832559</v>
      </c>
      <c r="H146" s="1088">
        <f t="shared" si="48"/>
        <v>841190.90345799073</v>
      </c>
      <c r="I146" s="1100">
        <f t="shared" si="48"/>
        <v>0</v>
      </c>
      <c r="J146" s="1088">
        <f t="shared" si="48"/>
        <v>10618.274920275358</v>
      </c>
      <c r="K146" s="1088">
        <f t="shared" si="48"/>
        <v>145687.56044166302</v>
      </c>
      <c r="L146" s="1088">
        <f t="shared" si="48"/>
        <v>253320.03056131458</v>
      </c>
      <c r="M146" s="1088">
        <f t="shared" si="48"/>
        <v>431565.03753473767</v>
      </c>
      <c r="N146" s="1089" t="s">
        <v>1301</v>
      </c>
      <c r="O146" s="1085" t="s">
        <v>1301</v>
      </c>
      <c r="P146" s="1037"/>
      <c r="R146" s="1039"/>
      <c r="S146" s="1039"/>
      <c r="T146" s="1039"/>
      <c r="U146" s="1039"/>
      <c r="V146" s="1039"/>
      <c r="W146" s="1039"/>
      <c r="X146" s="1039"/>
      <c r="Y146" s="1039"/>
    </row>
    <row r="147" spans="1:25" s="1038" customFormat="1" ht="42" customHeight="1">
      <c r="A147" s="1043"/>
      <c r="B147" s="1041" t="s">
        <v>14</v>
      </c>
      <c r="C147" s="1088">
        <f t="shared" ref="C147:M147" si="49">SUM(C151,C167)</f>
        <v>0</v>
      </c>
      <c r="D147" s="1088">
        <f t="shared" si="49"/>
        <v>0</v>
      </c>
      <c r="E147" s="1088">
        <f t="shared" si="49"/>
        <v>0</v>
      </c>
      <c r="F147" s="1088">
        <f t="shared" si="49"/>
        <v>0</v>
      </c>
      <c r="G147" s="1088">
        <f t="shared" si="49"/>
        <v>1539.3249999999998</v>
      </c>
      <c r="H147" s="1088">
        <f t="shared" si="49"/>
        <v>1847.1899999999998</v>
      </c>
      <c r="I147" s="1100">
        <f t="shared" si="49"/>
        <v>0</v>
      </c>
      <c r="J147" s="1088">
        <f t="shared" si="49"/>
        <v>0</v>
      </c>
      <c r="K147" s="1088">
        <f t="shared" si="49"/>
        <v>0</v>
      </c>
      <c r="L147" s="1088">
        <f t="shared" si="49"/>
        <v>1847.1899999999998</v>
      </c>
      <c r="M147" s="1088">
        <f t="shared" si="49"/>
        <v>0</v>
      </c>
      <c r="N147" s="1089" t="s">
        <v>1301</v>
      </c>
      <c r="O147" s="1085" t="s">
        <v>1301</v>
      </c>
      <c r="P147" s="1037"/>
      <c r="R147" s="1039"/>
      <c r="S147" s="1039"/>
      <c r="T147" s="1039"/>
      <c r="U147" s="1039"/>
      <c r="V147" s="1039"/>
      <c r="W147" s="1039"/>
      <c r="X147" s="1039"/>
      <c r="Y147" s="1039"/>
    </row>
    <row r="148" spans="1:25" s="1035" customFormat="1" ht="93" customHeight="1">
      <c r="A148" s="1043" t="s">
        <v>26</v>
      </c>
      <c r="B148" s="2196" t="s">
        <v>33</v>
      </c>
      <c r="C148" s="1100">
        <f>C152+C156+C160</f>
        <v>11124.5</v>
      </c>
      <c r="D148" s="1100"/>
      <c r="E148" s="1100"/>
      <c r="F148" s="1100">
        <f>F152+F156+F160</f>
        <v>0</v>
      </c>
      <c r="G148" s="1100">
        <f t="shared" ref="G148:M148" si="50">G152+G156+G160</f>
        <v>703750.66121499229</v>
      </c>
      <c r="H148" s="1100">
        <f t="shared" si="50"/>
        <v>844500.79345799063</v>
      </c>
      <c r="I148" s="1100">
        <f t="shared" si="50"/>
        <v>0</v>
      </c>
      <c r="J148" s="1100">
        <f>J152+J156+J160</f>
        <v>10618.274920275358</v>
      </c>
      <c r="K148" s="1100">
        <f t="shared" si="50"/>
        <v>145687.56044166302</v>
      </c>
      <c r="L148" s="1100">
        <f t="shared" si="50"/>
        <v>256629.92056131459</v>
      </c>
      <c r="M148" s="1100">
        <f t="shared" si="50"/>
        <v>431565.03753473767</v>
      </c>
      <c r="N148" s="1621" t="s">
        <v>1301</v>
      </c>
      <c r="O148" s="1101" t="s">
        <v>1301</v>
      </c>
      <c r="P148" s="1037"/>
    </row>
    <row r="149" spans="1:25" s="1035" customFormat="1" ht="45" customHeight="1">
      <c r="A149" s="1043"/>
      <c r="B149" s="2197" t="s">
        <v>10</v>
      </c>
      <c r="C149" s="1100">
        <f>C153+C157+C161</f>
        <v>0</v>
      </c>
      <c r="D149" s="1100"/>
      <c r="E149" s="1100"/>
      <c r="F149" s="1100">
        <f t="shared" ref="F149:M149" si="51">F153+F157+F161</f>
        <v>0</v>
      </c>
      <c r="G149" s="1100">
        <f t="shared" si="51"/>
        <v>1218.9166666666667</v>
      </c>
      <c r="H149" s="1100">
        <f t="shared" si="51"/>
        <v>1462.7</v>
      </c>
      <c r="I149" s="1100">
        <f t="shared" si="51"/>
        <v>0</v>
      </c>
      <c r="J149" s="1100">
        <f t="shared" si="51"/>
        <v>0</v>
      </c>
      <c r="K149" s="1100">
        <f t="shared" si="51"/>
        <v>0</v>
      </c>
      <c r="L149" s="1100">
        <f t="shared" si="51"/>
        <v>1462.7</v>
      </c>
      <c r="M149" s="1100">
        <f t="shared" si="51"/>
        <v>0</v>
      </c>
      <c r="N149" s="1621" t="s">
        <v>1301</v>
      </c>
      <c r="O149" s="1101" t="s">
        <v>1301</v>
      </c>
      <c r="P149" s="1037"/>
    </row>
    <row r="150" spans="1:25" s="1035" customFormat="1" ht="40.5" customHeight="1">
      <c r="A150" s="1043"/>
      <c r="B150" s="2198" t="s">
        <v>9</v>
      </c>
      <c r="C150" s="1100">
        <f>C154+C158+C162</f>
        <v>0</v>
      </c>
      <c r="D150" s="1100"/>
      <c r="E150" s="1100"/>
      <c r="F150" s="1100">
        <f t="shared" ref="F150:M150" si="52">F154+F158+F162</f>
        <v>0</v>
      </c>
      <c r="G150" s="1100">
        <f t="shared" si="52"/>
        <v>700992.41954832559</v>
      </c>
      <c r="H150" s="1100">
        <f t="shared" si="52"/>
        <v>841190.90345799073</v>
      </c>
      <c r="I150" s="1100">
        <f t="shared" si="52"/>
        <v>0</v>
      </c>
      <c r="J150" s="1100">
        <f t="shared" si="52"/>
        <v>10618.274920275358</v>
      </c>
      <c r="K150" s="1100">
        <f t="shared" si="52"/>
        <v>145687.56044166302</v>
      </c>
      <c r="L150" s="1100">
        <f t="shared" si="52"/>
        <v>253320.03056131458</v>
      </c>
      <c r="M150" s="1100">
        <f t="shared" si="52"/>
        <v>431565.03753473767</v>
      </c>
      <c r="N150" s="1621" t="s">
        <v>1301</v>
      </c>
      <c r="O150" s="1101" t="s">
        <v>1301</v>
      </c>
      <c r="P150" s="1037"/>
    </row>
    <row r="151" spans="1:25" s="1035" customFormat="1" ht="55.5" customHeight="1">
      <c r="A151" s="1043"/>
      <c r="B151" s="2198" t="s">
        <v>14</v>
      </c>
      <c r="C151" s="1100">
        <f>C155+C159+C163</f>
        <v>0</v>
      </c>
      <c r="D151" s="1100"/>
      <c r="E151" s="1100"/>
      <c r="F151" s="1100">
        <f t="shared" ref="F151:M151" si="53">F155+F159+F163</f>
        <v>0</v>
      </c>
      <c r="G151" s="1100">
        <f t="shared" si="53"/>
        <v>1539.3249999999998</v>
      </c>
      <c r="H151" s="1100">
        <f t="shared" si="53"/>
        <v>1847.1899999999998</v>
      </c>
      <c r="I151" s="1100">
        <f t="shared" si="53"/>
        <v>0</v>
      </c>
      <c r="J151" s="1100">
        <f t="shared" si="53"/>
        <v>0</v>
      </c>
      <c r="K151" s="1100">
        <f t="shared" si="53"/>
        <v>0</v>
      </c>
      <c r="L151" s="1100">
        <f t="shared" si="53"/>
        <v>1847.1899999999998</v>
      </c>
      <c r="M151" s="1100">
        <f t="shared" si="53"/>
        <v>0</v>
      </c>
      <c r="N151" s="1621" t="s">
        <v>1301</v>
      </c>
      <c r="O151" s="1101" t="s">
        <v>1301</v>
      </c>
      <c r="P151" s="1037"/>
    </row>
    <row r="152" spans="1:25" ht="283.5" customHeight="1" outlineLevel="1">
      <c r="A152" s="1045" t="s">
        <v>658</v>
      </c>
      <c r="B152" s="1078" t="s">
        <v>14913</v>
      </c>
      <c r="C152" s="1092">
        <f>474.8+162.9+186.8</f>
        <v>824.5</v>
      </c>
      <c r="D152" s="1092" t="s">
        <v>118</v>
      </c>
      <c r="E152" s="2195" t="s">
        <v>1083</v>
      </c>
      <c r="F152" s="1092"/>
      <c r="G152" s="1092">
        <f>H152/1.2</f>
        <v>7696.6249999999991</v>
      </c>
      <c r="H152" s="1092">
        <f>SUM(I152:M152)</f>
        <v>9235.9499999999989</v>
      </c>
      <c r="I152" s="1092">
        <f>SUM(I153:I155)</f>
        <v>0</v>
      </c>
      <c r="J152" s="1092">
        <f>SUM(J153:J155)</f>
        <v>0</v>
      </c>
      <c r="K152" s="1092">
        <f>SUM(K153:K155)</f>
        <v>0</v>
      </c>
      <c r="L152" s="1092">
        <f>SUM(L153:L155)</f>
        <v>9235.9499999999989</v>
      </c>
      <c r="M152" s="1092">
        <f>SUM(M153:M155)</f>
        <v>0</v>
      </c>
      <c r="N152" s="2189" t="s">
        <v>537</v>
      </c>
      <c r="O152" s="1047" t="s">
        <v>1091</v>
      </c>
      <c r="P152" s="1056"/>
      <c r="R152" s="1057"/>
      <c r="S152" s="1057"/>
      <c r="T152" s="1057"/>
      <c r="U152" s="1057"/>
      <c r="V152" s="1057"/>
      <c r="W152" s="1057"/>
      <c r="X152" s="1057"/>
      <c r="Y152" s="1057"/>
    </row>
    <row r="153" spans="1:25" ht="60" customHeight="1" outlineLevel="1">
      <c r="A153" s="1051"/>
      <c r="B153" s="1084" t="s">
        <v>10</v>
      </c>
      <c r="C153" s="1094"/>
      <c r="D153" s="1094" t="s">
        <v>118</v>
      </c>
      <c r="E153" s="2067" t="s">
        <v>1083</v>
      </c>
      <c r="F153" s="1094"/>
      <c r="G153" s="1094">
        <f t="shared" ref="G153:G163" si="54">H153/1.2</f>
        <v>1218.9166666666667</v>
      </c>
      <c r="H153" s="1094">
        <f>SUM(I153:M153)</f>
        <v>1462.7</v>
      </c>
      <c r="I153" s="1168"/>
      <c r="J153" s="1168"/>
      <c r="K153" s="1168"/>
      <c r="L153" s="1168">
        <v>1462.7</v>
      </c>
      <c r="M153" s="1168"/>
      <c r="N153" s="1623"/>
      <c r="O153" s="1522" t="s">
        <v>1091</v>
      </c>
      <c r="P153" s="1076"/>
      <c r="R153" s="1057"/>
      <c r="S153" s="1057"/>
      <c r="T153" s="1057"/>
      <c r="U153" s="1057"/>
      <c r="V153" s="1057"/>
      <c r="W153" s="1057"/>
      <c r="X153" s="1057"/>
      <c r="Y153" s="1057"/>
    </row>
    <row r="154" spans="1:25" ht="60" customHeight="1" outlineLevel="1">
      <c r="A154" s="1051"/>
      <c r="B154" s="1083" t="s">
        <v>9</v>
      </c>
      <c r="C154" s="1094"/>
      <c r="D154" s="1094" t="s">
        <v>118</v>
      </c>
      <c r="E154" s="2067" t="s">
        <v>1083</v>
      </c>
      <c r="F154" s="1094"/>
      <c r="G154" s="1094">
        <f t="shared" si="54"/>
        <v>4938.3833333333332</v>
      </c>
      <c r="H154" s="1094">
        <f>SUM(I154:M154)</f>
        <v>5926.0599999999995</v>
      </c>
      <c r="I154" s="1168"/>
      <c r="J154" s="1168"/>
      <c r="K154" s="1168"/>
      <c r="L154" s="1168">
        <v>5926.0599999999995</v>
      </c>
      <c r="M154" s="1168"/>
      <c r="N154" s="1623"/>
      <c r="O154" s="1522" t="s">
        <v>1091</v>
      </c>
      <c r="P154" s="1076"/>
      <c r="R154" s="1057"/>
      <c r="S154" s="1057"/>
      <c r="T154" s="1057"/>
      <c r="U154" s="1057"/>
      <c r="V154" s="1057"/>
      <c r="W154" s="1057"/>
      <c r="X154" s="1057"/>
      <c r="Y154" s="1057"/>
    </row>
    <row r="155" spans="1:25" ht="60" customHeight="1" outlineLevel="1">
      <c r="A155" s="1051"/>
      <c r="B155" s="1083" t="s">
        <v>14</v>
      </c>
      <c r="C155" s="1094"/>
      <c r="D155" s="1094" t="s">
        <v>118</v>
      </c>
      <c r="E155" s="2067" t="s">
        <v>1083</v>
      </c>
      <c r="F155" s="1094"/>
      <c r="G155" s="1094">
        <f t="shared" si="54"/>
        <v>1539.3249999999998</v>
      </c>
      <c r="H155" s="1094">
        <f>SUM(I155:M155)</f>
        <v>1847.1899999999998</v>
      </c>
      <c r="I155" s="1168"/>
      <c r="J155" s="1168"/>
      <c r="K155" s="1168"/>
      <c r="L155" s="1168">
        <v>1847.1899999999998</v>
      </c>
      <c r="M155" s="1168"/>
      <c r="N155" s="1623"/>
      <c r="O155" s="1522" t="s">
        <v>1091</v>
      </c>
      <c r="P155" s="1076"/>
      <c r="R155" s="1057"/>
      <c r="S155" s="1057"/>
      <c r="T155" s="1057"/>
      <c r="U155" s="1057"/>
      <c r="V155" s="1057"/>
      <c r="W155" s="1057"/>
      <c r="X155" s="1057"/>
      <c r="Y155" s="1057"/>
    </row>
    <row r="156" spans="1:25" s="1077" customFormat="1" ht="54" outlineLevel="1">
      <c r="A156" s="1045" t="s">
        <v>659</v>
      </c>
      <c r="B156" s="1078" t="s">
        <v>1102</v>
      </c>
      <c r="C156" s="1092">
        <v>10000</v>
      </c>
      <c r="D156" s="1092" t="s">
        <v>823</v>
      </c>
      <c r="E156" s="2195" t="s">
        <v>1083</v>
      </c>
      <c r="F156" s="1092"/>
      <c r="G156" s="1092">
        <f t="shared" si="54"/>
        <v>687205.47378142946</v>
      </c>
      <c r="H156" s="1092">
        <f t="shared" ref="H156:H163" si="55">SUM(I156:M156)</f>
        <v>824646.56853771536</v>
      </c>
      <c r="I156" s="1102"/>
      <c r="J156" s="1091">
        <f>Строительство!P13/1000</f>
        <v>0</v>
      </c>
      <c r="K156" s="1091">
        <f>Строительство!Q13/1000</f>
        <v>145687.56044166302</v>
      </c>
      <c r="L156" s="1091">
        <f>Строительство!R13/1000</f>
        <v>247393.97056131458</v>
      </c>
      <c r="M156" s="1091">
        <f>Строительство!S13/1000</f>
        <v>431565.03753473767</v>
      </c>
      <c r="N156" s="2199" t="s">
        <v>14889</v>
      </c>
      <c r="O156" s="1047" t="s">
        <v>1300</v>
      </c>
      <c r="P156" s="1048"/>
    </row>
    <row r="157" spans="1:25" ht="60" customHeight="1" outlineLevel="1">
      <c r="A157" s="1051"/>
      <c r="B157" s="1052" t="s">
        <v>10</v>
      </c>
      <c r="C157" s="1094"/>
      <c r="D157" s="1094" t="str">
        <f>D156</f>
        <v>Проектирование и строительство сетей водоснабжения г.Калуга</v>
      </c>
      <c r="E157" s="2067" t="s">
        <v>1083</v>
      </c>
      <c r="F157" s="1094"/>
      <c r="G157" s="1094">
        <f t="shared" si="54"/>
        <v>0</v>
      </c>
      <c r="H157" s="1094">
        <f t="shared" si="55"/>
        <v>0</v>
      </c>
      <c r="I157" s="1168"/>
      <c r="J157" s="1168"/>
      <c r="K157" s="1168"/>
      <c r="L157" s="1168"/>
      <c r="M157" s="1168"/>
      <c r="N157" s="1623"/>
      <c r="O157" s="1054" t="s">
        <v>1300</v>
      </c>
      <c r="P157" s="1076"/>
      <c r="R157" s="1057"/>
      <c r="S157" s="1057"/>
      <c r="T157" s="1057"/>
      <c r="U157" s="1057"/>
      <c r="V157" s="1057"/>
      <c r="W157" s="1057"/>
      <c r="X157" s="1057"/>
      <c r="Y157" s="1057"/>
    </row>
    <row r="158" spans="1:25" ht="60" customHeight="1" outlineLevel="1">
      <c r="A158" s="1051"/>
      <c r="B158" s="1052" t="s">
        <v>9</v>
      </c>
      <c r="C158" s="1094"/>
      <c r="D158" s="1094" t="str">
        <f>D156</f>
        <v>Проектирование и строительство сетей водоснабжения г.Калуга</v>
      </c>
      <c r="E158" s="2067" t="s">
        <v>1083</v>
      </c>
      <c r="F158" s="1094"/>
      <c r="G158" s="1094">
        <f t="shared" si="54"/>
        <v>687205.47378142946</v>
      </c>
      <c r="H158" s="1094">
        <f t="shared" si="55"/>
        <v>824646.56853771536</v>
      </c>
      <c r="I158" s="1168"/>
      <c r="J158" s="1168">
        <f>J156</f>
        <v>0</v>
      </c>
      <c r="K158" s="1168">
        <f>K156</f>
        <v>145687.56044166302</v>
      </c>
      <c r="L158" s="1168">
        <f>L156</f>
        <v>247393.97056131458</v>
      </c>
      <c r="M158" s="1168">
        <f>M156</f>
        <v>431565.03753473767</v>
      </c>
      <c r="N158" s="1623"/>
      <c r="O158" s="1054" t="s">
        <v>1300</v>
      </c>
      <c r="P158" s="1076"/>
      <c r="R158" s="1057"/>
      <c r="S158" s="1057"/>
      <c r="T158" s="1057"/>
      <c r="U158" s="1057"/>
      <c r="V158" s="1057"/>
      <c r="W158" s="1057"/>
      <c r="X158" s="1057"/>
      <c r="Y158" s="1057"/>
    </row>
    <row r="159" spans="1:25" ht="60" customHeight="1" outlineLevel="1">
      <c r="A159" s="1051"/>
      <c r="B159" s="1052" t="s">
        <v>14</v>
      </c>
      <c r="C159" s="1094"/>
      <c r="D159" s="1094" t="str">
        <f>D156</f>
        <v>Проектирование и строительство сетей водоснабжения г.Калуга</v>
      </c>
      <c r="E159" s="2067" t="s">
        <v>1083</v>
      </c>
      <c r="F159" s="1094"/>
      <c r="G159" s="1094">
        <f t="shared" si="54"/>
        <v>0</v>
      </c>
      <c r="H159" s="1094">
        <f t="shared" si="55"/>
        <v>0</v>
      </c>
      <c r="I159" s="1168"/>
      <c r="J159" s="1168"/>
      <c r="K159" s="1168"/>
      <c r="L159" s="1168"/>
      <c r="M159" s="1168"/>
      <c r="N159" s="1623"/>
      <c r="O159" s="1054" t="s">
        <v>1300</v>
      </c>
      <c r="P159" s="1076"/>
      <c r="R159" s="1057"/>
      <c r="S159" s="1057"/>
      <c r="T159" s="1057"/>
      <c r="U159" s="1057"/>
      <c r="V159" s="1057"/>
      <c r="W159" s="1057"/>
      <c r="X159" s="1057"/>
      <c r="Y159" s="1057"/>
    </row>
    <row r="160" spans="1:25" s="1077" customFormat="1" ht="102" customHeight="1" outlineLevel="1">
      <c r="A160" s="1045" t="s">
        <v>822</v>
      </c>
      <c r="B160" s="1078" t="s">
        <v>1101</v>
      </c>
      <c r="C160" s="1092">
        <v>300</v>
      </c>
      <c r="D160" s="1092" t="s">
        <v>823</v>
      </c>
      <c r="E160" s="2200" t="s">
        <v>1083</v>
      </c>
      <c r="F160" s="1092"/>
      <c r="G160" s="1092">
        <f t="shared" si="54"/>
        <v>8848.5624335627999</v>
      </c>
      <c r="H160" s="1092">
        <f t="shared" si="55"/>
        <v>10618.274920275358</v>
      </c>
      <c r="I160" s="1102"/>
      <c r="J160" s="2199">
        <f>Строительство!P16/1000</f>
        <v>10618.274920275358</v>
      </c>
      <c r="K160" s="2199"/>
      <c r="L160" s="2199">
        <f>Строительство!R16/1000</f>
        <v>0</v>
      </c>
      <c r="M160" s="2199"/>
      <c r="N160" s="2199" t="s">
        <v>542</v>
      </c>
      <c r="O160" s="1047" t="s">
        <v>1300</v>
      </c>
      <c r="P160" s="1048"/>
    </row>
    <row r="161" spans="1:25" ht="60" customHeight="1" outlineLevel="1">
      <c r="A161" s="1051"/>
      <c r="B161" s="1052" t="s">
        <v>10</v>
      </c>
      <c r="C161" s="1094"/>
      <c r="D161" s="1094" t="str">
        <f>D160</f>
        <v>Проектирование и строительство сетей водоснабжения г.Калуга</v>
      </c>
      <c r="E161" s="2067" t="s">
        <v>1083</v>
      </c>
      <c r="F161" s="1094"/>
      <c r="G161" s="1094">
        <f t="shared" si="54"/>
        <v>0</v>
      </c>
      <c r="H161" s="1094">
        <f t="shared" si="55"/>
        <v>0</v>
      </c>
      <c r="I161" s="1168"/>
      <c r="J161" s="1168"/>
      <c r="K161" s="1168"/>
      <c r="L161" s="1168"/>
      <c r="M161" s="1168"/>
      <c r="N161" s="1623"/>
      <c r="O161" s="1054" t="s">
        <v>1300</v>
      </c>
      <c r="P161" s="1076"/>
      <c r="R161" s="1057"/>
      <c r="S161" s="1057"/>
      <c r="T161" s="1057"/>
      <c r="U161" s="1057"/>
      <c r="V161" s="1057"/>
      <c r="W161" s="1057"/>
      <c r="X161" s="1057"/>
      <c r="Y161" s="1057"/>
    </row>
    <row r="162" spans="1:25" ht="60" customHeight="1" outlineLevel="1">
      <c r="A162" s="1051"/>
      <c r="B162" s="1052" t="s">
        <v>9</v>
      </c>
      <c r="C162" s="1094"/>
      <c r="D162" s="1094" t="str">
        <f>D160</f>
        <v>Проектирование и строительство сетей водоснабжения г.Калуга</v>
      </c>
      <c r="E162" s="2067" t="s">
        <v>1083</v>
      </c>
      <c r="F162" s="1094"/>
      <c r="G162" s="1094">
        <f t="shared" si="54"/>
        <v>8848.5624335627999</v>
      </c>
      <c r="H162" s="1094">
        <f t="shared" si="55"/>
        <v>10618.274920275358</v>
      </c>
      <c r="I162" s="1168"/>
      <c r="J162" s="1168">
        <f>J160</f>
        <v>10618.274920275358</v>
      </c>
      <c r="K162" s="1168"/>
      <c r="L162" s="1168">
        <f>L160</f>
        <v>0</v>
      </c>
      <c r="M162" s="1168"/>
      <c r="N162" s="1623"/>
      <c r="O162" s="1054" t="s">
        <v>1300</v>
      </c>
      <c r="P162" s="1076"/>
      <c r="R162" s="1057"/>
      <c r="S162" s="1057"/>
      <c r="T162" s="1057"/>
      <c r="U162" s="1057"/>
      <c r="V162" s="1057"/>
      <c r="W162" s="1057"/>
      <c r="X162" s="1057"/>
      <c r="Y162" s="1057"/>
    </row>
    <row r="163" spans="1:25" ht="60" customHeight="1" outlineLevel="1">
      <c r="A163" s="1051"/>
      <c r="B163" s="1052" t="s">
        <v>14</v>
      </c>
      <c r="C163" s="1094"/>
      <c r="D163" s="1094" t="str">
        <f>D160</f>
        <v>Проектирование и строительство сетей водоснабжения г.Калуга</v>
      </c>
      <c r="E163" s="2067" t="s">
        <v>1083</v>
      </c>
      <c r="F163" s="1094"/>
      <c r="G163" s="1094">
        <f t="shared" si="54"/>
        <v>0</v>
      </c>
      <c r="H163" s="1094">
        <f t="shared" si="55"/>
        <v>0</v>
      </c>
      <c r="I163" s="1168"/>
      <c r="J163" s="1168"/>
      <c r="K163" s="1168"/>
      <c r="L163" s="1168"/>
      <c r="M163" s="1168"/>
      <c r="N163" s="1623"/>
      <c r="O163" s="1054" t="s">
        <v>1300</v>
      </c>
      <c r="P163" s="1076"/>
      <c r="R163" s="1057"/>
      <c r="S163" s="1057"/>
      <c r="T163" s="1057"/>
      <c r="U163" s="1057"/>
      <c r="V163" s="1057"/>
      <c r="W163" s="1057"/>
      <c r="X163" s="1057"/>
      <c r="Y163" s="1057"/>
    </row>
    <row r="164" spans="1:25" s="1035" customFormat="1" ht="150" customHeight="1">
      <c r="A164" s="1043" t="s">
        <v>27</v>
      </c>
      <c r="B164" s="2196" t="s">
        <v>34</v>
      </c>
      <c r="C164" s="1100"/>
      <c r="D164" s="1100"/>
      <c r="E164" s="1100"/>
      <c r="F164" s="1100"/>
      <c r="G164" s="1100"/>
      <c r="H164" s="1100"/>
      <c r="I164" s="1100"/>
      <c r="J164" s="1100"/>
      <c r="K164" s="1100"/>
      <c r="L164" s="1100"/>
      <c r="M164" s="1100"/>
      <c r="N164" s="1621" t="s">
        <v>1301</v>
      </c>
      <c r="O164" s="1101" t="s">
        <v>1301</v>
      </c>
      <c r="P164" s="1037"/>
    </row>
    <row r="165" spans="1:25" s="1035" customFormat="1" ht="37.5" customHeight="1">
      <c r="A165" s="1043"/>
      <c r="B165" s="2197" t="s">
        <v>10</v>
      </c>
      <c r="C165" s="1100"/>
      <c r="D165" s="1100"/>
      <c r="E165" s="1100"/>
      <c r="F165" s="1100"/>
      <c r="G165" s="1100"/>
      <c r="H165" s="1100"/>
      <c r="I165" s="1100"/>
      <c r="J165" s="1100"/>
      <c r="K165" s="1100"/>
      <c r="L165" s="1100"/>
      <c r="M165" s="1100"/>
      <c r="N165" s="1621" t="s">
        <v>1301</v>
      </c>
      <c r="O165" s="1101" t="s">
        <v>1301</v>
      </c>
      <c r="P165" s="1037"/>
    </row>
    <row r="166" spans="1:25" s="1035" customFormat="1" ht="39.75" customHeight="1">
      <c r="A166" s="1043"/>
      <c r="B166" s="2198" t="s">
        <v>9</v>
      </c>
      <c r="C166" s="1100"/>
      <c r="D166" s="1100"/>
      <c r="E166" s="1100"/>
      <c r="F166" s="1100"/>
      <c r="G166" s="1100"/>
      <c r="H166" s="1100"/>
      <c r="I166" s="1100"/>
      <c r="J166" s="1100"/>
      <c r="K166" s="1100"/>
      <c r="L166" s="1100"/>
      <c r="M166" s="1100"/>
      <c r="N166" s="1621" t="s">
        <v>1301</v>
      </c>
      <c r="O166" s="1101" t="s">
        <v>1301</v>
      </c>
      <c r="P166" s="1037"/>
    </row>
    <row r="167" spans="1:25" s="1035" customFormat="1" ht="32.25" customHeight="1">
      <c r="A167" s="1043"/>
      <c r="B167" s="2198" t="s">
        <v>14</v>
      </c>
      <c r="C167" s="1100"/>
      <c r="D167" s="1100"/>
      <c r="E167" s="1100"/>
      <c r="F167" s="1100"/>
      <c r="G167" s="1100"/>
      <c r="H167" s="1100"/>
      <c r="I167" s="1100"/>
      <c r="J167" s="1100"/>
      <c r="K167" s="1100"/>
      <c r="L167" s="1100"/>
      <c r="M167" s="1100"/>
      <c r="N167" s="1621" t="s">
        <v>1301</v>
      </c>
      <c r="O167" s="1101" t="s">
        <v>1301</v>
      </c>
      <c r="P167" s="1037"/>
    </row>
    <row r="168" spans="1:25" s="1035" customFormat="1" ht="107.25" customHeight="1">
      <c r="A168" s="1043" t="s">
        <v>35</v>
      </c>
      <c r="B168" s="2196" t="s">
        <v>70</v>
      </c>
      <c r="C168" s="1088">
        <f t="shared" ref="C168:M168" si="56">SUM(C172,C180)</f>
        <v>0</v>
      </c>
      <c r="D168" s="1095">
        <f t="shared" si="56"/>
        <v>0</v>
      </c>
      <c r="E168" s="1095">
        <f t="shared" si="56"/>
        <v>0</v>
      </c>
      <c r="F168" s="1088">
        <f t="shared" si="56"/>
        <v>0</v>
      </c>
      <c r="G168" s="1088">
        <f t="shared" si="56"/>
        <v>0</v>
      </c>
      <c r="H168" s="1088">
        <f t="shared" si="56"/>
        <v>0</v>
      </c>
      <c r="I168" s="1100">
        <f t="shared" si="56"/>
        <v>0</v>
      </c>
      <c r="J168" s="1088">
        <f t="shared" si="56"/>
        <v>0</v>
      </c>
      <c r="K168" s="1088">
        <f t="shared" si="56"/>
        <v>0</v>
      </c>
      <c r="L168" s="1088">
        <f t="shared" si="56"/>
        <v>0</v>
      </c>
      <c r="M168" s="1088">
        <f t="shared" si="56"/>
        <v>0</v>
      </c>
      <c r="N168" s="1089" t="s">
        <v>1301</v>
      </c>
      <c r="O168" s="1085" t="s">
        <v>1301</v>
      </c>
      <c r="P168" s="1037"/>
      <c r="R168" s="1036"/>
      <c r="S168" s="1036"/>
      <c r="T168" s="1036"/>
      <c r="U168" s="1036"/>
      <c r="V168" s="1036"/>
      <c r="W168" s="1036"/>
      <c r="X168" s="1036"/>
      <c r="Y168" s="1036"/>
    </row>
    <row r="169" spans="1:25" s="1035" customFormat="1" ht="42.75" customHeight="1">
      <c r="A169" s="1044"/>
      <c r="B169" s="1041" t="s">
        <v>10</v>
      </c>
      <c r="C169" s="1095"/>
      <c r="D169" s="1095"/>
      <c r="E169" s="1095"/>
      <c r="F169" s="1088">
        <f t="shared" ref="F169:M171" si="57">SUM(F173,F181)</f>
        <v>0</v>
      </c>
      <c r="G169" s="1088">
        <f t="shared" si="57"/>
        <v>0</v>
      </c>
      <c r="H169" s="1088">
        <f t="shared" si="57"/>
        <v>0</v>
      </c>
      <c r="I169" s="1942">
        <f t="shared" si="57"/>
        <v>0</v>
      </c>
      <c r="J169" s="1095">
        <f t="shared" si="57"/>
        <v>0</v>
      </c>
      <c r="K169" s="1095">
        <f t="shared" si="57"/>
        <v>0</v>
      </c>
      <c r="L169" s="1095">
        <f t="shared" si="57"/>
        <v>0</v>
      </c>
      <c r="M169" s="1095">
        <f t="shared" si="57"/>
        <v>0</v>
      </c>
      <c r="N169" s="1089" t="s">
        <v>1301</v>
      </c>
      <c r="O169" s="1090" t="s">
        <v>1301</v>
      </c>
      <c r="P169" s="1096"/>
      <c r="R169" s="1036"/>
      <c r="S169" s="1036"/>
      <c r="T169" s="1036"/>
      <c r="U169" s="1036"/>
      <c r="V169" s="1036"/>
      <c r="W169" s="1036"/>
      <c r="X169" s="1036"/>
      <c r="Y169" s="1036"/>
    </row>
    <row r="170" spans="1:25" s="1035" customFormat="1" ht="46.5" customHeight="1">
      <c r="A170" s="1044"/>
      <c r="B170" s="1041" t="s">
        <v>9</v>
      </c>
      <c r="C170" s="1095"/>
      <c r="D170" s="1095"/>
      <c r="E170" s="1095"/>
      <c r="F170" s="1088">
        <f t="shared" si="57"/>
        <v>0</v>
      </c>
      <c r="G170" s="1088">
        <f t="shared" si="57"/>
        <v>0</v>
      </c>
      <c r="H170" s="1088">
        <f t="shared" si="57"/>
        <v>0</v>
      </c>
      <c r="I170" s="1942">
        <f t="shared" si="57"/>
        <v>0</v>
      </c>
      <c r="J170" s="1095">
        <f t="shared" si="57"/>
        <v>0</v>
      </c>
      <c r="K170" s="1095">
        <f t="shared" si="57"/>
        <v>0</v>
      </c>
      <c r="L170" s="1095">
        <f t="shared" si="57"/>
        <v>0</v>
      </c>
      <c r="M170" s="1095">
        <f t="shared" si="57"/>
        <v>0</v>
      </c>
      <c r="N170" s="1089" t="s">
        <v>1301</v>
      </c>
      <c r="O170" s="1090" t="s">
        <v>1301</v>
      </c>
      <c r="P170" s="1096"/>
      <c r="R170" s="1036"/>
      <c r="S170" s="1036"/>
      <c r="T170" s="1036"/>
      <c r="U170" s="1036"/>
      <c r="V170" s="1036"/>
      <c r="W170" s="1036"/>
      <c r="X170" s="1036"/>
      <c r="Y170" s="1036"/>
    </row>
    <row r="171" spans="1:25" s="1035" customFormat="1" ht="41.25" customHeight="1">
      <c r="A171" s="1044"/>
      <c r="B171" s="1041" t="s">
        <v>14</v>
      </c>
      <c r="C171" s="1095"/>
      <c r="D171" s="1095"/>
      <c r="E171" s="1095"/>
      <c r="F171" s="1088">
        <f t="shared" si="57"/>
        <v>0</v>
      </c>
      <c r="G171" s="1088">
        <f t="shared" si="57"/>
        <v>0</v>
      </c>
      <c r="H171" s="1088">
        <f t="shared" si="57"/>
        <v>0</v>
      </c>
      <c r="I171" s="1942">
        <f t="shared" si="57"/>
        <v>0</v>
      </c>
      <c r="J171" s="1095">
        <f t="shared" si="57"/>
        <v>0</v>
      </c>
      <c r="K171" s="1095">
        <f t="shared" si="57"/>
        <v>0</v>
      </c>
      <c r="L171" s="1095">
        <f t="shared" si="57"/>
        <v>0</v>
      </c>
      <c r="M171" s="1095">
        <f t="shared" si="57"/>
        <v>0</v>
      </c>
      <c r="N171" s="1089" t="s">
        <v>1301</v>
      </c>
      <c r="O171" s="1090" t="s">
        <v>1301</v>
      </c>
      <c r="P171" s="1096"/>
      <c r="R171" s="1036"/>
      <c r="S171" s="1036"/>
      <c r="T171" s="1036"/>
      <c r="U171" s="1036"/>
      <c r="V171" s="1036"/>
      <c r="W171" s="1036"/>
      <c r="X171" s="1036"/>
      <c r="Y171" s="1036"/>
    </row>
    <row r="172" spans="1:25" s="1035" customFormat="1" ht="86.25" customHeight="1">
      <c r="A172" s="1043" t="s">
        <v>28</v>
      </c>
      <c r="B172" s="2196" t="s">
        <v>36</v>
      </c>
      <c r="C172" s="1100"/>
      <c r="D172" s="1100"/>
      <c r="E172" s="1100"/>
      <c r="F172" s="1100"/>
      <c r="G172" s="1100"/>
      <c r="H172" s="1100"/>
      <c r="I172" s="1100"/>
      <c r="J172" s="1100"/>
      <c r="K172" s="1100"/>
      <c r="L172" s="1100"/>
      <c r="M172" s="1100"/>
      <c r="N172" s="1621" t="s">
        <v>1301</v>
      </c>
      <c r="O172" s="1101" t="s">
        <v>1301</v>
      </c>
      <c r="P172" s="1037"/>
    </row>
    <row r="173" spans="1:25" s="1035" customFormat="1" ht="52.5" customHeight="1">
      <c r="A173" s="1043"/>
      <c r="B173" s="2197" t="s">
        <v>10</v>
      </c>
      <c r="C173" s="1100"/>
      <c r="D173" s="1100"/>
      <c r="E173" s="1100"/>
      <c r="F173" s="1100"/>
      <c r="G173" s="1100"/>
      <c r="H173" s="1100"/>
      <c r="I173" s="1100"/>
      <c r="J173" s="1100"/>
      <c r="K173" s="1100"/>
      <c r="L173" s="1100"/>
      <c r="M173" s="1100"/>
      <c r="N173" s="1621" t="s">
        <v>1301</v>
      </c>
      <c r="O173" s="1101" t="s">
        <v>1301</v>
      </c>
      <c r="P173" s="1037"/>
    </row>
    <row r="174" spans="1:25" s="1035" customFormat="1" ht="48.75" customHeight="1">
      <c r="A174" s="1043"/>
      <c r="B174" s="2198" t="s">
        <v>9</v>
      </c>
      <c r="C174" s="1100"/>
      <c r="D174" s="1100"/>
      <c r="E174" s="1100"/>
      <c r="F174" s="1100"/>
      <c r="G174" s="1100"/>
      <c r="H174" s="1100"/>
      <c r="I174" s="1100"/>
      <c r="J174" s="1100"/>
      <c r="K174" s="1100"/>
      <c r="L174" s="1100"/>
      <c r="M174" s="1100"/>
      <c r="N174" s="1621" t="s">
        <v>1301</v>
      </c>
      <c r="O174" s="1101" t="s">
        <v>1301</v>
      </c>
      <c r="P174" s="1037"/>
    </row>
    <row r="175" spans="1:25" s="1035" customFormat="1" ht="46.5" customHeight="1">
      <c r="A175" s="1043"/>
      <c r="B175" s="2198" t="s">
        <v>14</v>
      </c>
      <c r="C175" s="1100"/>
      <c r="D175" s="1100"/>
      <c r="E175" s="1100"/>
      <c r="F175" s="1100"/>
      <c r="G175" s="1100"/>
      <c r="H175" s="1100"/>
      <c r="I175" s="1100"/>
      <c r="J175" s="1100"/>
      <c r="K175" s="1100"/>
      <c r="L175" s="1100"/>
      <c r="M175" s="1100"/>
      <c r="N175" s="1621" t="s">
        <v>1301</v>
      </c>
      <c r="O175" s="1101" t="s">
        <v>1301</v>
      </c>
      <c r="P175" s="1037"/>
    </row>
    <row r="176" spans="1:25" ht="48" hidden="1" customHeight="1" outlineLevel="1">
      <c r="A176" s="1045"/>
      <c r="B176" s="1081"/>
      <c r="C176" s="1092"/>
      <c r="D176" s="1091"/>
      <c r="E176" s="1092"/>
      <c r="F176" s="1092"/>
      <c r="G176" s="1092">
        <f>H176/1.2</f>
        <v>0</v>
      </c>
      <c r="H176" s="1092">
        <f>SUM(I176:M176)</f>
        <v>0</v>
      </c>
      <c r="I176" s="1102">
        <f>SUM(I177:I179)</f>
        <v>0</v>
      </c>
      <c r="J176" s="1102">
        <f>SUM(J177:J179)</f>
        <v>0</v>
      </c>
      <c r="K176" s="1102">
        <f>SUM(K177:K179)</f>
        <v>0</v>
      </c>
      <c r="L176" s="1102">
        <f>SUM(L177:L179)</f>
        <v>0</v>
      </c>
      <c r="M176" s="1102">
        <f>SUM(M177:M179)</f>
        <v>0</v>
      </c>
      <c r="N176" s="1622"/>
      <c r="O176" s="1103" t="s">
        <v>1083</v>
      </c>
      <c r="P176" s="1056"/>
      <c r="R176" s="1057"/>
      <c r="S176" s="1057"/>
      <c r="T176" s="1057"/>
      <c r="U176" s="1057"/>
      <c r="V176" s="1057"/>
      <c r="W176" s="1057"/>
      <c r="X176" s="1057"/>
      <c r="Y176" s="1057"/>
    </row>
    <row r="177" spans="1:25" ht="41.25" hidden="1" customHeight="1" outlineLevel="1">
      <c r="A177" s="1051"/>
      <c r="B177" s="1083" t="s">
        <v>10</v>
      </c>
      <c r="C177" s="1094"/>
      <c r="D177" s="1094"/>
      <c r="E177" s="1094"/>
      <c r="F177" s="1099"/>
      <c r="G177" s="1099">
        <f>H177/1.2</f>
        <v>0</v>
      </c>
      <c r="H177" s="1099">
        <f>SUM(I177:M177)</f>
        <v>0</v>
      </c>
      <c r="I177" s="1104"/>
      <c r="J177" s="1104"/>
      <c r="K177" s="1104"/>
      <c r="L177" s="1104"/>
      <c r="M177" s="1104"/>
      <c r="N177" s="1623"/>
      <c r="O177" s="1105" t="s">
        <v>1083</v>
      </c>
      <c r="P177" s="1056"/>
      <c r="R177" s="1057"/>
      <c r="S177" s="1057"/>
      <c r="T177" s="1057"/>
      <c r="U177" s="1057"/>
      <c r="V177" s="1057"/>
      <c r="W177" s="1057"/>
      <c r="X177" s="1057"/>
      <c r="Y177" s="1057"/>
    </row>
    <row r="178" spans="1:25" ht="41.25" hidden="1" customHeight="1" outlineLevel="1">
      <c r="A178" s="1051"/>
      <c r="B178" s="1083" t="s">
        <v>9</v>
      </c>
      <c r="C178" s="1094"/>
      <c r="D178" s="1094"/>
      <c r="E178" s="1094"/>
      <c r="F178" s="1099"/>
      <c r="G178" s="1099">
        <f>H178/1.2</f>
        <v>0</v>
      </c>
      <c r="H178" s="1099">
        <f>SUM(I178:M178)</f>
        <v>0</v>
      </c>
      <c r="I178" s="1104"/>
      <c r="J178" s="1104"/>
      <c r="K178" s="1104"/>
      <c r="L178" s="1104"/>
      <c r="M178" s="1104"/>
      <c r="N178" s="1623"/>
      <c r="O178" s="1105" t="s">
        <v>1083</v>
      </c>
      <c r="P178" s="1056"/>
      <c r="R178" s="1057"/>
      <c r="S178" s="1057"/>
      <c r="T178" s="1057"/>
      <c r="U178" s="1057"/>
      <c r="V178" s="1057"/>
      <c r="W178" s="1057"/>
      <c r="X178" s="1057"/>
      <c r="Y178" s="1057"/>
    </row>
    <row r="179" spans="1:25" ht="41.25" hidden="1" customHeight="1" outlineLevel="1">
      <c r="A179" s="1051"/>
      <c r="B179" s="1083" t="s">
        <v>14</v>
      </c>
      <c r="C179" s="1094"/>
      <c r="D179" s="1094"/>
      <c r="E179" s="1094"/>
      <c r="F179" s="1099"/>
      <c r="G179" s="1099">
        <f>H179/1.2</f>
        <v>0</v>
      </c>
      <c r="H179" s="1099">
        <f>SUM(I179:M179)</f>
        <v>0</v>
      </c>
      <c r="I179" s="1104"/>
      <c r="J179" s="1104"/>
      <c r="K179" s="1104"/>
      <c r="L179" s="1104"/>
      <c r="M179" s="1104"/>
      <c r="N179" s="1623"/>
      <c r="O179" s="1105" t="s">
        <v>1083</v>
      </c>
      <c r="P179" s="1056"/>
      <c r="R179" s="1057"/>
      <c r="S179" s="1057"/>
      <c r="T179" s="1057"/>
      <c r="U179" s="1057"/>
      <c r="V179" s="1057"/>
      <c r="W179" s="1057"/>
      <c r="X179" s="1057"/>
      <c r="Y179" s="1057"/>
    </row>
    <row r="180" spans="1:25" s="1035" customFormat="1" ht="54" collapsed="1">
      <c r="A180" s="1043" t="s">
        <v>29</v>
      </c>
      <c r="B180" s="2196" t="s">
        <v>37</v>
      </c>
      <c r="C180" s="1100"/>
      <c r="D180" s="1100"/>
      <c r="E180" s="1100"/>
      <c r="F180" s="1100"/>
      <c r="G180" s="1100"/>
      <c r="H180" s="1100"/>
      <c r="I180" s="1100"/>
      <c r="J180" s="1100"/>
      <c r="K180" s="1100"/>
      <c r="L180" s="1100"/>
      <c r="M180" s="1100"/>
      <c r="N180" s="1621" t="s">
        <v>1301</v>
      </c>
      <c r="O180" s="1101" t="s">
        <v>1301</v>
      </c>
      <c r="P180" s="1037"/>
    </row>
    <row r="181" spans="1:25" s="1035" customFormat="1" ht="43.5" customHeight="1">
      <c r="A181" s="1043"/>
      <c r="B181" s="2197" t="s">
        <v>10</v>
      </c>
      <c r="C181" s="1100"/>
      <c r="D181" s="1100"/>
      <c r="E181" s="1100"/>
      <c r="F181" s="1100"/>
      <c r="G181" s="1100"/>
      <c r="H181" s="1100"/>
      <c r="I181" s="1100"/>
      <c r="J181" s="1100"/>
      <c r="K181" s="1100"/>
      <c r="L181" s="1100"/>
      <c r="M181" s="1100"/>
      <c r="N181" s="1621" t="s">
        <v>1301</v>
      </c>
      <c r="O181" s="1101" t="s">
        <v>1301</v>
      </c>
      <c r="P181" s="1037"/>
    </row>
    <row r="182" spans="1:25" s="1035" customFormat="1" ht="43.5" customHeight="1">
      <c r="A182" s="1043"/>
      <c r="B182" s="2198" t="s">
        <v>9</v>
      </c>
      <c r="C182" s="1100"/>
      <c r="D182" s="1100"/>
      <c r="E182" s="1100"/>
      <c r="F182" s="1100"/>
      <c r="G182" s="1100"/>
      <c r="H182" s="1100"/>
      <c r="I182" s="1100"/>
      <c r="J182" s="1100"/>
      <c r="K182" s="1100"/>
      <c r="L182" s="1100"/>
      <c r="M182" s="1100"/>
      <c r="N182" s="1621" t="s">
        <v>1301</v>
      </c>
      <c r="O182" s="1101" t="s">
        <v>1301</v>
      </c>
      <c r="P182" s="1037"/>
    </row>
    <row r="183" spans="1:25" s="1035" customFormat="1" ht="47.25" customHeight="1">
      <c r="A183" s="1043"/>
      <c r="B183" s="2198" t="s">
        <v>14</v>
      </c>
      <c r="C183" s="1100"/>
      <c r="D183" s="1100"/>
      <c r="E183" s="1100"/>
      <c r="F183" s="1100"/>
      <c r="G183" s="1100"/>
      <c r="H183" s="1100"/>
      <c r="I183" s="1100"/>
      <c r="J183" s="1100"/>
      <c r="K183" s="1100"/>
      <c r="L183" s="1100"/>
      <c r="M183" s="1100"/>
      <c r="N183" s="1621" t="s">
        <v>1301</v>
      </c>
      <c r="O183" s="1101" t="s">
        <v>1301</v>
      </c>
      <c r="P183" s="1037"/>
    </row>
    <row r="184" spans="1:25" s="1035" customFormat="1" ht="183" customHeight="1">
      <c r="A184" s="1043" t="s">
        <v>38</v>
      </c>
      <c r="B184" s="2196" t="s">
        <v>71</v>
      </c>
      <c r="C184" s="1088">
        <f>SUM(C188,C192,C196,C200,C204,C208,C212,C216,C220,C224,C228,C232,C236,C240,C244,C248,C252,C256,C260,C264,C268,C272,C276,C280,C284)</f>
        <v>0</v>
      </c>
      <c r="D184" s="1088">
        <f t="shared" ref="D184:M184" si="58">SUM(D188,D192,D196,D200,D204,D208,D212,D216,D220,D224,D228,D232,D236,D240,D244,D248,D252,D256,D260,D264,D268,D272,D276,D280,D284)</f>
        <v>0</v>
      </c>
      <c r="E184" s="1088">
        <f t="shared" si="58"/>
        <v>0</v>
      </c>
      <c r="F184" s="1088">
        <f t="shared" si="58"/>
        <v>0</v>
      </c>
      <c r="G184" s="1088">
        <f t="shared" ref="G184:I185" si="59">SUM(G188,G192,G196,G200,G204,G208,G212,G216,G220,G224,G228,G232,G236,G240,G244,G248,G252,G256,G260,G264,G268,G272,G276,G280,G284)</f>
        <v>437647.27787257562</v>
      </c>
      <c r="H184" s="1088">
        <f t="shared" si="59"/>
        <v>525176.73344709072</v>
      </c>
      <c r="I184" s="1088">
        <f t="shared" si="59"/>
        <v>187415.48056356664</v>
      </c>
      <c r="J184" s="1088">
        <f t="shared" si="58"/>
        <v>59997.341774476081</v>
      </c>
      <c r="K184" s="1088">
        <f>SUM(K188,K192,K196,K200,K204,K208,K212,K216,K220,K224,K228,K232,K236,K240,K244,K248,K252,K256,K260,K264,K268,K272,K276,K280,K284)</f>
        <v>68002.902719394508</v>
      </c>
      <c r="L184" s="1088">
        <f t="shared" si="58"/>
        <v>133101.2671800642</v>
      </c>
      <c r="M184" s="1088">
        <f t="shared" si="58"/>
        <v>76659.74120958928</v>
      </c>
      <c r="N184" s="1089" t="s">
        <v>1301</v>
      </c>
      <c r="O184" s="1089" t="s">
        <v>1301</v>
      </c>
      <c r="P184" s="1037"/>
      <c r="R184" s="1036"/>
      <c r="S184" s="1036"/>
      <c r="T184" s="1036"/>
      <c r="U184" s="1036"/>
      <c r="V184" s="1036"/>
      <c r="W184" s="1036"/>
      <c r="X184" s="1036"/>
      <c r="Y184" s="1036"/>
    </row>
    <row r="185" spans="1:25" s="1035" customFormat="1" ht="33.75" customHeight="1">
      <c r="A185" s="1044"/>
      <c r="B185" s="1041" t="s">
        <v>10</v>
      </c>
      <c r="C185" s="1088">
        <f t="shared" ref="C185:M185" si="60">SUM(C189,C193,C197,C201,C205,C209,C213,C217,C221,C225,C229,C233,C237,C241,C245,C249,C253,C257,C261,C265,C269,C273,C277,C281,C285)</f>
        <v>0</v>
      </c>
      <c r="D185" s="1088">
        <f t="shared" si="60"/>
        <v>0</v>
      </c>
      <c r="E185" s="1088">
        <f t="shared" si="60"/>
        <v>0</v>
      </c>
      <c r="F185" s="1088">
        <f t="shared" si="60"/>
        <v>0</v>
      </c>
      <c r="G185" s="1088">
        <f t="shared" si="59"/>
        <v>141401.38626699569</v>
      </c>
      <c r="H185" s="1088">
        <f t="shared" si="59"/>
        <v>169681.66352039482</v>
      </c>
      <c r="I185" s="1088">
        <f t="shared" si="59"/>
        <v>169681.66352039482</v>
      </c>
      <c r="J185" s="1088">
        <f t="shared" si="60"/>
        <v>0</v>
      </c>
      <c r="K185" s="1088">
        <f t="shared" si="60"/>
        <v>0</v>
      </c>
      <c r="L185" s="1088">
        <f t="shared" si="60"/>
        <v>0</v>
      </c>
      <c r="M185" s="1088">
        <f t="shared" si="60"/>
        <v>0</v>
      </c>
      <c r="N185" s="1089" t="s">
        <v>1301</v>
      </c>
      <c r="O185" s="1089" t="s">
        <v>1301</v>
      </c>
      <c r="P185" s="1037"/>
      <c r="R185" s="1036"/>
      <c r="S185" s="1036"/>
      <c r="T185" s="1036"/>
      <c r="U185" s="1036"/>
      <c r="V185" s="1036"/>
      <c r="W185" s="1036"/>
      <c r="X185" s="1036"/>
      <c r="Y185" s="1036"/>
    </row>
    <row r="186" spans="1:25" s="1035" customFormat="1" ht="33.75" customHeight="1">
      <c r="A186" s="1044"/>
      <c r="B186" s="1041" t="s">
        <v>9</v>
      </c>
      <c r="C186" s="1088">
        <f t="shared" ref="C186:M186" si="61">SUM(C190,C194,C198,C202,C206,C210,C214,C218,C222,C226,C230,C234,C238,C242,C246,C250,C254,C258,C262,C266,C270,C274,C278,C282,C286)</f>
        <v>0</v>
      </c>
      <c r="D186" s="1088">
        <f t="shared" si="61"/>
        <v>0</v>
      </c>
      <c r="E186" s="1088">
        <f t="shared" si="61"/>
        <v>0</v>
      </c>
      <c r="F186" s="1088">
        <f t="shared" si="61"/>
        <v>0</v>
      </c>
      <c r="G186" s="1088">
        <f t="shared" si="61"/>
        <v>296245.89160557988</v>
      </c>
      <c r="H186" s="1088">
        <f t="shared" si="61"/>
        <v>355495.0699266959</v>
      </c>
      <c r="I186" s="1088">
        <f t="shared" si="61"/>
        <v>17733.817043171843</v>
      </c>
      <c r="J186" s="1088">
        <f t="shared" si="61"/>
        <v>59997.341774476081</v>
      </c>
      <c r="K186" s="1088">
        <f t="shared" si="61"/>
        <v>68002.902719394508</v>
      </c>
      <c r="L186" s="1088">
        <f t="shared" si="61"/>
        <v>133101.2671800642</v>
      </c>
      <c r="M186" s="1088">
        <f t="shared" si="61"/>
        <v>76659.74120958928</v>
      </c>
      <c r="N186" s="1089" t="s">
        <v>1301</v>
      </c>
      <c r="O186" s="1089" t="s">
        <v>1301</v>
      </c>
      <c r="P186" s="1553"/>
      <c r="Q186" s="1036"/>
      <c r="R186" s="1036"/>
      <c r="S186" s="1036"/>
      <c r="T186" s="1036"/>
      <c r="U186" s="1036"/>
      <c r="V186" s="1036"/>
      <c r="W186" s="1036"/>
      <c r="X186" s="1036"/>
      <c r="Y186" s="1036"/>
    </row>
    <row r="187" spans="1:25" s="1035" customFormat="1" ht="33.75" customHeight="1">
      <c r="A187" s="1044"/>
      <c r="B187" s="1041" t="s">
        <v>14</v>
      </c>
      <c r="C187" s="1088">
        <f t="shared" ref="C187:M187" si="62">SUM(C191,C195,C199,C203,C207,C211,C215,C219,C223,C227,C231,C235,C239,C243,C247,C251,C255,C259,C263,C267,C271,C275,C279,C283,C287)</f>
        <v>0</v>
      </c>
      <c r="D187" s="1088">
        <f t="shared" si="62"/>
        <v>0</v>
      </c>
      <c r="E187" s="1088">
        <f t="shared" si="62"/>
        <v>0</v>
      </c>
      <c r="F187" s="1088">
        <f t="shared" si="62"/>
        <v>0</v>
      </c>
      <c r="G187" s="1088">
        <f t="shared" si="62"/>
        <v>0</v>
      </c>
      <c r="H187" s="1088">
        <f t="shared" si="62"/>
        <v>0</v>
      </c>
      <c r="I187" s="1088">
        <f t="shared" si="62"/>
        <v>0</v>
      </c>
      <c r="J187" s="1088">
        <f t="shared" si="62"/>
        <v>0</v>
      </c>
      <c r="K187" s="1088">
        <f t="shared" si="62"/>
        <v>0</v>
      </c>
      <c r="L187" s="1088">
        <f t="shared" si="62"/>
        <v>0</v>
      </c>
      <c r="M187" s="1088">
        <f t="shared" si="62"/>
        <v>0</v>
      </c>
      <c r="N187" s="1089" t="s">
        <v>1301</v>
      </c>
      <c r="O187" s="1089" t="s">
        <v>1301</v>
      </c>
      <c r="P187" s="1553"/>
      <c r="Q187" s="1036"/>
      <c r="R187" s="1036"/>
      <c r="S187" s="1036"/>
      <c r="T187" s="1036"/>
      <c r="U187" s="1036"/>
      <c r="V187" s="1036"/>
      <c r="W187" s="1036"/>
      <c r="X187" s="1036"/>
      <c r="Y187" s="1036"/>
    </row>
    <row r="188" spans="1:25" s="1484" customFormat="1" outlineLevel="1">
      <c r="A188" s="1482" t="s">
        <v>99</v>
      </c>
      <c r="B188" s="2201" t="s">
        <v>759</v>
      </c>
      <c r="C188" s="1153"/>
      <c r="D188" s="1153" t="s">
        <v>824</v>
      </c>
      <c r="E188" s="1135"/>
      <c r="F188" s="1153"/>
      <c r="G188" s="1153">
        <f>H188/1.2</f>
        <v>6980.5639640055588</v>
      </c>
      <c r="H188" s="1153">
        <f>SUM(I188:M188)</f>
        <v>8376.6767568066698</v>
      </c>
      <c r="I188" s="1153">
        <f>SUM(I189:I191)</f>
        <v>8376.6767568066698</v>
      </c>
      <c r="J188" s="1153">
        <f>SUM(J189:J191)</f>
        <v>0</v>
      </c>
      <c r="K188" s="1153">
        <f>SUM(K189:K191)</f>
        <v>0</v>
      </c>
      <c r="L188" s="1153">
        <f>SUM(L189:L191)</f>
        <v>0</v>
      </c>
      <c r="M188" s="1153">
        <f>SUM(M189:M191)</f>
        <v>0</v>
      </c>
      <c r="N188" s="2202" t="s">
        <v>541</v>
      </c>
      <c r="O188" s="1483" t="s">
        <v>1813</v>
      </c>
      <c r="P188" s="1673" t="s">
        <v>102</v>
      </c>
      <c r="Q188" s="1674">
        <f>10*24</f>
        <v>240</v>
      </c>
      <c r="R188" s="1675" t="s">
        <v>58</v>
      </c>
      <c r="S188" s="1485"/>
      <c r="T188" s="1485"/>
      <c r="U188" s="1485"/>
      <c r="V188" s="1485"/>
      <c r="W188" s="1485"/>
      <c r="X188" s="1485"/>
      <c r="Y188" s="1485"/>
    </row>
    <row r="189" spans="1:25" s="1072" customFormat="1" outlineLevel="1">
      <c r="A189" s="1067"/>
      <c r="B189" s="1134" t="s">
        <v>10</v>
      </c>
      <c r="C189" s="1135"/>
      <c r="D189" s="1135" t="str">
        <f>D188</f>
        <v>г.Калуга.д.Косарево</v>
      </c>
      <c r="E189" s="1135"/>
      <c r="F189" s="1153"/>
      <c r="G189" s="1153">
        <f t="shared" ref="G189:G252" si="63">H189/1.2</f>
        <v>1796.8375669956899</v>
      </c>
      <c r="H189" s="1153">
        <f t="shared" ref="H189:H195" si="64">SUM(I189:M189)</f>
        <v>2156.2050803948277</v>
      </c>
      <c r="I189" s="1135">
        <f>1796.83756699569*1.2</f>
        <v>2156.2050803948277</v>
      </c>
      <c r="J189" s="1135"/>
      <c r="K189" s="1135"/>
      <c r="L189" s="1135"/>
      <c r="M189" s="1135"/>
      <c r="N189" s="2202"/>
      <c r="O189" s="1070" t="s">
        <v>1813</v>
      </c>
      <c r="P189" s="1673"/>
      <c r="Q189" s="1676"/>
      <c r="R189" s="1677"/>
      <c r="S189" s="1136"/>
      <c r="T189" s="1136"/>
      <c r="U189" s="1136"/>
      <c r="V189" s="1136"/>
      <c r="W189" s="1136"/>
      <c r="X189" s="1136"/>
      <c r="Y189" s="1136"/>
    </row>
    <row r="190" spans="1:25" s="1072" customFormat="1" outlineLevel="1">
      <c r="A190" s="1067"/>
      <c r="B190" s="1134" t="s">
        <v>9</v>
      </c>
      <c r="C190" s="1135"/>
      <c r="D190" s="1135" t="str">
        <f>D188</f>
        <v>г.Калуга.д.Косарево</v>
      </c>
      <c r="E190" s="1135"/>
      <c r="F190" s="1153"/>
      <c r="G190" s="1153">
        <f t="shared" si="63"/>
        <v>5183.7263970098684</v>
      </c>
      <c r="H190" s="1153">
        <f t="shared" si="64"/>
        <v>6220.4716764118421</v>
      </c>
      <c r="I190" s="1135">
        <f>8376.67675680667-1796.83756699569*1.2</f>
        <v>6220.4716764118421</v>
      </c>
      <c r="J190" s="1135"/>
      <c r="K190" s="1135"/>
      <c r="L190" s="1135"/>
      <c r="M190" s="1135"/>
      <c r="N190" s="2202"/>
      <c r="O190" s="1070" t="s">
        <v>1813</v>
      </c>
      <c r="P190" s="1678"/>
      <c r="Q190" s="1679"/>
      <c r="R190" s="1679"/>
      <c r="S190" s="1650"/>
      <c r="T190" s="1650"/>
      <c r="U190" s="1650"/>
      <c r="V190" s="1650"/>
      <c r="W190" s="1651"/>
      <c r="X190" s="1136"/>
      <c r="Y190" s="1136"/>
    </row>
    <row r="191" spans="1:25" s="1072" customFormat="1" outlineLevel="1">
      <c r="A191" s="1067"/>
      <c r="B191" s="1134" t="s">
        <v>14</v>
      </c>
      <c r="C191" s="1135"/>
      <c r="D191" s="1135" t="str">
        <f>D188</f>
        <v>г.Калуга.д.Косарево</v>
      </c>
      <c r="E191" s="1135"/>
      <c r="F191" s="1153"/>
      <c r="G191" s="1153">
        <f t="shared" si="63"/>
        <v>0</v>
      </c>
      <c r="H191" s="1153">
        <f t="shared" si="64"/>
        <v>0</v>
      </c>
      <c r="I191" s="1135"/>
      <c r="J191" s="1135"/>
      <c r="K191" s="1135"/>
      <c r="L191" s="1135"/>
      <c r="M191" s="1135"/>
      <c r="N191" s="2202"/>
      <c r="O191" s="1070" t="s">
        <v>1813</v>
      </c>
      <c r="P191" s="1673"/>
      <c r="Q191" s="1676"/>
      <c r="R191" s="1677"/>
      <c r="S191" s="1136"/>
      <c r="T191" s="1136"/>
      <c r="U191" s="1136"/>
      <c r="V191" s="1136"/>
      <c r="W191" s="1136"/>
      <c r="X191" s="1136"/>
      <c r="Y191" s="1136"/>
    </row>
    <row r="192" spans="1:25" s="1484" customFormat="1" outlineLevel="1">
      <c r="A192" s="1482" t="s">
        <v>100</v>
      </c>
      <c r="B192" s="2201" t="s">
        <v>14871</v>
      </c>
      <c r="C192" s="1153"/>
      <c r="D192" s="1153" t="s">
        <v>14872</v>
      </c>
      <c r="E192" s="1135"/>
      <c r="F192" s="1153"/>
      <c r="G192" s="1153">
        <f t="shared" si="63"/>
        <v>3433.9122105000001</v>
      </c>
      <c r="H192" s="1153">
        <f>SUM(I192:M192)</f>
        <v>4120.6946526000002</v>
      </c>
      <c r="I192" s="1153">
        <f>SUM(I193:I195)</f>
        <v>4120.6946526000002</v>
      </c>
      <c r="J192" s="1153">
        <f>SUM(J193:J195)</f>
        <v>0</v>
      </c>
      <c r="K192" s="1153">
        <f>SUM(K193:K195)</f>
        <v>0</v>
      </c>
      <c r="L192" s="1153">
        <f>SUM(L193:L195)</f>
        <v>0</v>
      </c>
      <c r="M192" s="1153">
        <f>SUM(M193:M195)</f>
        <v>0</v>
      </c>
      <c r="N192" s="2202" t="s">
        <v>541</v>
      </c>
      <c r="O192" s="1483" t="s">
        <v>1813</v>
      </c>
      <c r="P192" s="1673" t="s">
        <v>103</v>
      </c>
      <c r="Q192" s="1674">
        <f>5*24</f>
        <v>120</v>
      </c>
      <c r="R192" s="1675" t="s">
        <v>58</v>
      </c>
      <c r="S192" s="1485"/>
      <c r="T192" s="1485"/>
      <c r="U192" s="1485"/>
      <c r="V192" s="1485"/>
      <c r="W192" s="1485"/>
      <c r="X192" s="1485"/>
      <c r="Y192" s="1485"/>
    </row>
    <row r="193" spans="1:26" s="1072" customFormat="1" outlineLevel="1">
      <c r="A193" s="1067"/>
      <c r="B193" s="1073" t="s">
        <v>10</v>
      </c>
      <c r="C193" s="1135"/>
      <c r="D193" s="1135" t="str">
        <f>D192</f>
        <v>г.Калуга.с.Козлово</v>
      </c>
      <c r="E193" s="1135"/>
      <c r="F193" s="1153"/>
      <c r="G193" s="1153">
        <f t="shared" si="63"/>
        <v>1802.2743499999999</v>
      </c>
      <c r="H193" s="1153">
        <f t="shared" si="64"/>
        <v>2162.7292199999997</v>
      </c>
      <c r="I193" s="1135">
        <f>1802.27435*1.2</f>
        <v>2162.7292199999997</v>
      </c>
      <c r="J193" s="1135"/>
      <c r="K193" s="1135"/>
      <c r="L193" s="1135"/>
      <c r="M193" s="1135"/>
      <c r="N193" s="2202"/>
      <c r="O193" s="1070" t="s">
        <v>1813</v>
      </c>
      <c r="P193" s="1680"/>
      <c r="Q193" s="1136"/>
      <c r="R193" s="1136"/>
      <c r="S193" s="1136"/>
      <c r="T193" s="1136"/>
      <c r="U193" s="1136"/>
      <c r="V193" s="1136"/>
      <c r="W193" s="1136"/>
      <c r="X193" s="1136"/>
      <c r="Y193" s="1136"/>
    </row>
    <row r="194" spans="1:26" s="1072" customFormat="1" outlineLevel="1">
      <c r="A194" s="1067"/>
      <c r="B194" s="1073" t="s">
        <v>9</v>
      </c>
      <c r="C194" s="1135"/>
      <c r="D194" s="1135" t="str">
        <f>D192</f>
        <v>г.Калуга.с.Козлово</v>
      </c>
      <c r="E194" s="1135"/>
      <c r="F194" s="1153"/>
      <c r="G194" s="1153">
        <f t="shared" si="63"/>
        <v>1631.6378605000004</v>
      </c>
      <c r="H194" s="1153">
        <f t="shared" si="64"/>
        <v>1957.9654326000004</v>
      </c>
      <c r="I194" s="1135">
        <f>4120.6946526-1802.27435*1.2</f>
        <v>1957.9654326000004</v>
      </c>
      <c r="J194" s="1135"/>
      <c r="K194" s="1135"/>
      <c r="L194" s="1135"/>
      <c r="M194" s="1135"/>
      <c r="N194" s="2202"/>
      <c r="O194" s="1070" t="s">
        <v>1813</v>
      </c>
      <c r="P194" s="1680"/>
      <c r="Q194" s="1136"/>
      <c r="R194" s="1136"/>
      <c r="S194" s="1136"/>
      <c r="T194" s="1136"/>
      <c r="U194" s="1136"/>
      <c r="V194" s="1136"/>
      <c r="W194" s="1136"/>
      <c r="X194" s="1136"/>
      <c r="Y194" s="1136"/>
    </row>
    <row r="195" spans="1:26" s="1072" customFormat="1" outlineLevel="1">
      <c r="A195" s="1067"/>
      <c r="B195" s="1073" t="s">
        <v>14</v>
      </c>
      <c r="C195" s="1135"/>
      <c r="D195" s="1135" t="str">
        <f>D192</f>
        <v>г.Калуга.с.Козлово</v>
      </c>
      <c r="E195" s="1135"/>
      <c r="F195" s="1153"/>
      <c r="G195" s="1153">
        <f t="shared" si="63"/>
        <v>0</v>
      </c>
      <c r="H195" s="1153">
        <f t="shared" si="64"/>
        <v>0</v>
      </c>
      <c r="I195" s="1135"/>
      <c r="J195" s="1135"/>
      <c r="K195" s="1135"/>
      <c r="L195" s="1135"/>
      <c r="M195" s="1135"/>
      <c r="N195" s="2202"/>
      <c r="O195" s="1070" t="s">
        <v>1813</v>
      </c>
      <c r="P195" s="1680"/>
      <c r="Q195" s="1136"/>
      <c r="R195" s="1136"/>
      <c r="S195" s="1136"/>
      <c r="T195" s="1136"/>
      <c r="U195" s="1136"/>
      <c r="V195" s="1136"/>
      <c r="W195" s="1136"/>
      <c r="X195" s="1136"/>
      <c r="Y195" s="1136"/>
    </row>
    <row r="196" spans="1:26" s="1072" customFormat="1" outlineLevel="1">
      <c r="A196" s="1482" t="s">
        <v>788</v>
      </c>
      <c r="B196" s="2203" t="s">
        <v>760</v>
      </c>
      <c r="C196" s="1135"/>
      <c r="D196" s="1153" t="s">
        <v>825</v>
      </c>
      <c r="E196" s="1135"/>
      <c r="F196" s="1153"/>
      <c r="G196" s="1153">
        <f t="shared" si="63"/>
        <v>3433.9122105000001</v>
      </c>
      <c r="H196" s="1153">
        <f t="shared" ref="H196:H204" si="65">SUM(I196:M196)</f>
        <v>4120.6946526000002</v>
      </c>
      <c r="I196" s="1153">
        <f>SUM(I197:I199)</f>
        <v>4120.6946526000002</v>
      </c>
      <c r="J196" s="1153">
        <f>SUM(J197:J199)</f>
        <v>0</v>
      </c>
      <c r="K196" s="1153">
        <f>SUM(K197:K199)</f>
        <v>0</v>
      </c>
      <c r="L196" s="1153">
        <f>SUM(L197:L199)</f>
        <v>0</v>
      </c>
      <c r="M196" s="1153">
        <f>SUM(M197:M199)</f>
        <v>0</v>
      </c>
      <c r="N196" s="2202" t="s">
        <v>541</v>
      </c>
      <c r="O196" s="1483" t="s">
        <v>1813</v>
      </c>
      <c r="P196" s="1680"/>
      <c r="Q196" s="1136"/>
      <c r="R196" s="1136"/>
      <c r="S196" s="1136"/>
      <c r="T196" s="1136"/>
      <c r="U196" s="1136"/>
      <c r="V196" s="1136"/>
      <c r="W196" s="1136"/>
      <c r="X196" s="1136"/>
      <c r="Y196" s="1136"/>
    </row>
    <row r="197" spans="1:26" s="1072" customFormat="1" outlineLevel="1">
      <c r="A197" s="1067"/>
      <c r="B197" s="1073" t="s">
        <v>10</v>
      </c>
      <c r="C197" s="1135"/>
      <c r="D197" s="1135" t="str">
        <f>D196</f>
        <v>г.Калуга.д.Починки</v>
      </c>
      <c r="E197" s="1135"/>
      <c r="F197" s="1153"/>
      <c r="G197" s="1153">
        <f t="shared" si="63"/>
        <v>1802.2743499999999</v>
      </c>
      <c r="H197" s="1153">
        <f t="shared" si="65"/>
        <v>2162.7292199999997</v>
      </c>
      <c r="I197" s="1135">
        <f>1802.27435*1.2</f>
        <v>2162.7292199999997</v>
      </c>
      <c r="J197" s="1135"/>
      <c r="K197" s="1135"/>
      <c r="L197" s="1135"/>
      <c r="M197" s="1135"/>
      <c r="N197" s="2202"/>
      <c r="O197" s="1070" t="s">
        <v>1813</v>
      </c>
      <c r="P197" s="1680"/>
      <c r="Q197" s="1136"/>
      <c r="R197" s="1136"/>
      <c r="S197" s="1136"/>
      <c r="T197" s="1136"/>
      <c r="U197" s="1136"/>
      <c r="V197" s="1136"/>
      <c r="W197" s="1136"/>
      <c r="X197" s="1136"/>
      <c r="Y197" s="1136"/>
    </row>
    <row r="198" spans="1:26" s="1072" customFormat="1" outlineLevel="1">
      <c r="A198" s="1067"/>
      <c r="B198" s="1073" t="s">
        <v>9</v>
      </c>
      <c r="C198" s="1135"/>
      <c r="D198" s="1135" t="str">
        <f>D196</f>
        <v>г.Калуга.д.Починки</v>
      </c>
      <c r="E198" s="1135"/>
      <c r="F198" s="1153"/>
      <c r="G198" s="1153">
        <f t="shared" si="63"/>
        <v>1631.6378605000004</v>
      </c>
      <c r="H198" s="1153">
        <f t="shared" si="65"/>
        <v>1957.9654326000004</v>
      </c>
      <c r="I198" s="1135">
        <f>4120.6946526-1802.27435*1.2</f>
        <v>1957.9654326000004</v>
      </c>
      <c r="J198" s="1135"/>
      <c r="K198" s="1135"/>
      <c r="L198" s="1135"/>
      <c r="M198" s="1135"/>
      <c r="N198" s="2202"/>
      <c r="O198" s="1070" t="s">
        <v>1813</v>
      </c>
      <c r="P198" s="1680"/>
      <c r="Q198" s="1136"/>
      <c r="R198" s="1136"/>
      <c r="S198" s="1136"/>
      <c r="T198" s="1136"/>
      <c r="U198" s="1136"/>
      <c r="V198" s="1136"/>
      <c r="W198" s="1136"/>
      <c r="X198" s="1136"/>
      <c r="Y198" s="1136"/>
    </row>
    <row r="199" spans="1:26" s="1072" customFormat="1" ht="28.5" outlineLevel="1">
      <c r="A199" s="1067"/>
      <c r="B199" s="1073" t="s">
        <v>14</v>
      </c>
      <c r="C199" s="1135"/>
      <c r="D199" s="1135" t="str">
        <f>D196</f>
        <v>г.Калуга.д.Починки</v>
      </c>
      <c r="E199" s="1135"/>
      <c r="F199" s="1153"/>
      <c r="G199" s="1153">
        <f t="shared" si="63"/>
        <v>0</v>
      </c>
      <c r="H199" s="1153">
        <f t="shared" si="65"/>
        <v>0</v>
      </c>
      <c r="I199" s="1486"/>
      <c r="J199" s="1135"/>
      <c r="K199" s="1135"/>
      <c r="L199" s="1135"/>
      <c r="M199" s="1135"/>
      <c r="N199" s="2202"/>
      <c r="O199" s="1070" t="s">
        <v>1813</v>
      </c>
      <c r="P199" s="1681"/>
      <c r="Q199" s="1680"/>
      <c r="R199" s="1136"/>
      <c r="S199" s="1136"/>
      <c r="T199" s="1136"/>
      <c r="U199" s="1136"/>
      <c r="V199" s="1136"/>
      <c r="W199" s="1136"/>
      <c r="X199" s="1136"/>
      <c r="Y199" s="1136"/>
      <c r="Z199" s="1136"/>
    </row>
    <row r="200" spans="1:26" s="1025" customFormat="1" ht="94.5" customHeight="1" outlineLevel="1">
      <c r="A200" s="1086" t="s">
        <v>789</v>
      </c>
      <c r="B200" s="1148" t="s">
        <v>758</v>
      </c>
      <c r="C200" s="1099"/>
      <c r="D200" s="1099" t="s">
        <v>654</v>
      </c>
      <c r="E200" s="1099"/>
      <c r="F200" s="1099"/>
      <c r="G200" s="1099">
        <f t="shared" si="63"/>
        <v>136000</v>
      </c>
      <c r="H200" s="1099">
        <f t="shared" si="65"/>
        <v>163200</v>
      </c>
      <c r="I200" s="1880">
        <f>SUM(I201:I203)</f>
        <v>163200</v>
      </c>
      <c r="J200" s="1669">
        <f>SUM(J201:J203)</f>
        <v>0</v>
      </c>
      <c r="K200" s="1669">
        <f>SUM(K201:K203)</f>
        <v>0</v>
      </c>
      <c r="L200" s="1669">
        <f>SUM(L201:L203)</f>
        <v>0</v>
      </c>
      <c r="M200" s="1669">
        <f>SUM(M201:M203)</f>
        <v>0</v>
      </c>
      <c r="N200" s="1627" t="s">
        <v>541</v>
      </c>
      <c r="O200" s="2166" t="s">
        <v>1813</v>
      </c>
      <c r="P200" s="1682"/>
      <c r="Q200" s="1683"/>
      <c r="R200" s="1026"/>
      <c r="S200" s="1026"/>
      <c r="T200" s="1026"/>
      <c r="U200" s="1026"/>
      <c r="V200" s="1026"/>
      <c r="W200" s="1026"/>
      <c r="X200" s="1026"/>
      <c r="Y200" s="1026"/>
      <c r="Z200" s="1026"/>
    </row>
    <row r="201" spans="1:26" ht="30" customHeight="1" outlineLevel="1">
      <c r="A201" s="1051"/>
      <c r="B201" s="1052" t="s">
        <v>10</v>
      </c>
      <c r="C201" s="1094"/>
      <c r="D201" s="1094" t="str">
        <f>D200</f>
        <v>г.Калуга</v>
      </c>
      <c r="E201" s="1094"/>
      <c r="F201" s="1099"/>
      <c r="G201" s="1099">
        <f t="shared" si="63"/>
        <v>136000</v>
      </c>
      <c r="H201" s="1099">
        <f t="shared" si="65"/>
        <v>163200</v>
      </c>
      <c r="I201" s="1670">
        <f>136000*1.2</f>
        <v>163200</v>
      </c>
      <c r="J201" s="1670"/>
      <c r="K201" s="1094"/>
      <c r="L201" s="1094"/>
      <c r="M201" s="1094"/>
      <c r="N201" s="1627"/>
      <c r="O201" s="1054" t="s">
        <v>1813</v>
      </c>
      <c r="P201" s="1055"/>
      <c r="Q201" s="1076"/>
      <c r="R201" s="1057"/>
      <c r="Z201" s="1059"/>
    </row>
    <row r="202" spans="1:26" ht="30" customHeight="1" outlineLevel="1">
      <c r="A202" s="1051"/>
      <c r="B202" s="1052" t="s">
        <v>9</v>
      </c>
      <c r="C202" s="1094"/>
      <c r="D202" s="1094" t="str">
        <f>D200</f>
        <v>г.Калуга</v>
      </c>
      <c r="E202" s="1094"/>
      <c r="F202" s="1099"/>
      <c r="G202" s="1099">
        <f t="shared" si="63"/>
        <v>0</v>
      </c>
      <c r="H202" s="1099">
        <f t="shared" si="65"/>
        <v>0</v>
      </c>
      <c r="I202" s="1670"/>
      <c r="J202" s="1094"/>
      <c r="K202" s="1094"/>
      <c r="L202" s="1094"/>
      <c r="M202" s="1094"/>
      <c r="N202" s="1627"/>
      <c r="O202" s="1054" t="s">
        <v>1813</v>
      </c>
      <c r="P202" s="1055"/>
      <c r="Q202" s="1076"/>
      <c r="R202" s="1057"/>
      <c r="Z202" s="1059"/>
    </row>
    <row r="203" spans="1:26" ht="30" customHeight="1" outlineLevel="1">
      <c r="A203" s="1051"/>
      <c r="B203" s="1052" t="s">
        <v>14</v>
      </c>
      <c r="C203" s="1094"/>
      <c r="D203" s="1094" t="str">
        <f>D200</f>
        <v>г.Калуга</v>
      </c>
      <c r="E203" s="1094"/>
      <c r="F203" s="1099"/>
      <c r="G203" s="1099">
        <f t="shared" si="63"/>
        <v>0</v>
      </c>
      <c r="H203" s="1099">
        <f t="shared" si="65"/>
        <v>0</v>
      </c>
      <c r="I203" s="1670"/>
      <c r="J203" s="1094"/>
      <c r="K203" s="1094"/>
      <c r="L203" s="1094"/>
      <c r="M203" s="1094"/>
      <c r="N203" s="1627"/>
      <c r="O203" s="1054" t="s">
        <v>1813</v>
      </c>
      <c r="P203" s="1055"/>
      <c r="Q203" s="1076"/>
      <c r="R203" s="1057"/>
      <c r="Z203" s="1059"/>
    </row>
    <row r="204" spans="1:26" ht="66" customHeight="1" outlineLevel="1">
      <c r="A204" s="1086" t="s">
        <v>790</v>
      </c>
      <c r="B204" s="1148" t="s">
        <v>737</v>
      </c>
      <c r="C204" s="1099"/>
      <c r="D204" s="1099" t="s">
        <v>844</v>
      </c>
      <c r="E204" s="1094"/>
      <c r="F204" s="1099"/>
      <c r="G204" s="1099">
        <f>H204/1.2</f>
        <v>10166.320288565999</v>
      </c>
      <c r="H204" s="1099">
        <f t="shared" si="65"/>
        <v>12199.584346279198</v>
      </c>
      <c r="I204" s="1099">
        <f>'Реконструкция ВОДА'!N5/1000</f>
        <v>0</v>
      </c>
      <c r="J204" s="1099">
        <f>'Реконструкция ВОДА'!O5/1000</f>
        <v>12199.584346279198</v>
      </c>
      <c r="K204" s="1099">
        <f>'Реконструкция ВОДА'!P5/1000</f>
        <v>0</v>
      </c>
      <c r="L204" s="1099">
        <f>'Реконструкция ВОДА'!Q5/1000</f>
        <v>0</v>
      </c>
      <c r="M204" s="1099">
        <f>'Реконструкция ВОДА'!R5/1000</f>
        <v>0</v>
      </c>
      <c r="N204" s="1627" t="s">
        <v>542</v>
      </c>
      <c r="O204" s="2662" t="s">
        <v>1300</v>
      </c>
      <c r="P204" s="2667"/>
      <c r="Q204" s="1076"/>
      <c r="R204" s="1057"/>
      <c r="Z204" s="1059"/>
    </row>
    <row r="205" spans="1:26" ht="33" customHeight="1" outlineLevel="1">
      <c r="A205" s="1051"/>
      <c r="B205" s="1052" t="s">
        <v>10</v>
      </c>
      <c r="C205" s="1094"/>
      <c r="D205" s="1094" t="str">
        <f>D204</f>
        <v>г.Калуга, пер.Хуторской</v>
      </c>
      <c r="E205" s="1094"/>
      <c r="F205" s="1099"/>
      <c r="G205" s="1099">
        <f t="shared" si="63"/>
        <v>0</v>
      </c>
      <c r="H205" s="1099">
        <f t="shared" ref="H205:H268" si="66">SUM(I205:M205)</f>
        <v>0</v>
      </c>
      <c r="I205" s="1486"/>
      <c r="J205" s="1094"/>
      <c r="K205" s="1094"/>
      <c r="L205" s="1094"/>
      <c r="M205" s="1094"/>
      <c r="N205" s="1627"/>
      <c r="O205" s="1054" t="s">
        <v>1300</v>
      </c>
      <c r="P205" s="1055"/>
      <c r="Q205" s="1076"/>
      <c r="R205" s="1057"/>
      <c r="Z205" s="1059"/>
    </row>
    <row r="206" spans="1:26" ht="33" customHeight="1" outlineLevel="1">
      <c r="A206" s="1051"/>
      <c r="B206" s="1052" t="s">
        <v>9</v>
      </c>
      <c r="C206" s="1094"/>
      <c r="D206" s="1094" t="str">
        <f>D204</f>
        <v>г.Калуга, пер.Хуторской</v>
      </c>
      <c r="E206" s="1094"/>
      <c r="F206" s="1099"/>
      <c r="G206" s="1099">
        <f t="shared" si="63"/>
        <v>10166.320288565999</v>
      </c>
      <c r="H206" s="1099">
        <f t="shared" si="66"/>
        <v>12199.584346279198</v>
      </c>
      <c r="I206" s="1486">
        <f>I204</f>
        <v>0</v>
      </c>
      <c r="J206" s="1094">
        <f>J204</f>
        <v>12199.584346279198</v>
      </c>
      <c r="K206" s="1094">
        <f>K204</f>
        <v>0</v>
      </c>
      <c r="L206" s="1094">
        <f>L204</f>
        <v>0</v>
      </c>
      <c r="M206" s="1094">
        <f>M204</f>
        <v>0</v>
      </c>
      <c r="N206" s="1627"/>
      <c r="O206" s="1054" t="s">
        <v>1300</v>
      </c>
      <c r="P206" s="1055"/>
      <c r="Q206" s="1076"/>
      <c r="R206" s="1057"/>
      <c r="Z206" s="1059"/>
    </row>
    <row r="207" spans="1:26" ht="33" customHeight="1" outlineLevel="1" thickBot="1">
      <c r="A207" s="1051"/>
      <c r="B207" s="1052" t="s">
        <v>14</v>
      </c>
      <c r="C207" s="1094"/>
      <c r="D207" s="1094" t="str">
        <f>D204</f>
        <v>г.Калуга, пер.Хуторской</v>
      </c>
      <c r="E207" s="1094"/>
      <c r="F207" s="1099"/>
      <c r="G207" s="1099">
        <f t="shared" si="63"/>
        <v>0</v>
      </c>
      <c r="H207" s="1099">
        <f t="shared" si="66"/>
        <v>0</v>
      </c>
      <c r="I207" s="1486"/>
      <c r="J207" s="1094"/>
      <c r="K207" s="1094"/>
      <c r="L207" s="1094"/>
      <c r="M207" s="1094"/>
      <c r="N207" s="1627"/>
      <c r="O207" s="1054" t="s">
        <v>1300</v>
      </c>
      <c r="P207" s="1055"/>
      <c r="Q207" s="1076"/>
      <c r="R207" s="1057"/>
      <c r="Z207" s="1059"/>
    </row>
    <row r="208" spans="1:26" ht="93" customHeight="1" outlineLevel="1">
      <c r="A208" s="1086" t="s">
        <v>791</v>
      </c>
      <c r="B208" s="1148" t="s">
        <v>768</v>
      </c>
      <c r="C208" s="1099"/>
      <c r="D208" s="1099" t="s">
        <v>845</v>
      </c>
      <c r="E208" s="1094"/>
      <c r="F208" s="1099"/>
      <c r="G208" s="1099">
        <f t="shared" si="63"/>
        <v>3659.1499002707997</v>
      </c>
      <c r="H208" s="1099">
        <f t="shared" si="66"/>
        <v>4390.9798803249596</v>
      </c>
      <c r="I208" s="1099">
        <f>'Реконструкция ВОДА'!N6/1000</f>
        <v>0</v>
      </c>
      <c r="J208" s="1099">
        <f>'Реконструкция ВОДА'!O6/1000</f>
        <v>4390.9798803249596</v>
      </c>
      <c r="K208" s="1099">
        <f>'Реконструкция ВОДА'!P6/1000</f>
        <v>0</v>
      </c>
      <c r="L208" s="1099"/>
      <c r="M208" s="1099"/>
      <c r="N208" s="1627" t="s">
        <v>542</v>
      </c>
      <c r="O208" s="2662" t="s">
        <v>1300</v>
      </c>
      <c r="P208" s="2668"/>
      <c r="Q208" s="1076"/>
      <c r="R208" s="1057"/>
      <c r="Z208" s="1059"/>
    </row>
    <row r="209" spans="1:26" ht="34.5" customHeight="1" outlineLevel="1">
      <c r="A209" s="1086"/>
      <c r="B209" s="1052" t="s">
        <v>10</v>
      </c>
      <c r="C209" s="1094"/>
      <c r="D209" s="1094" t="str">
        <f>D208</f>
        <v>г.Калуга ул.Суворова</v>
      </c>
      <c r="E209" s="1094"/>
      <c r="F209" s="1099"/>
      <c r="G209" s="1099">
        <f t="shared" si="63"/>
        <v>0</v>
      </c>
      <c r="H209" s="1099">
        <f t="shared" si="66"/>
        <v>0</v>
      </c>
      <c r="I209" s="1099"/>
      <c r="J209" s="1099"/>
      <c r="K209" s="1099"/>
      <c r="L209" s="1099"/>
      <c r="M209" s="1099"/>
      <c r="N209" s="1627"/>
      <c r="O209" s="1054" t="s">
        <v>1300</v>
      </c>
      <c r="P209" s="1055"/>
      <c r="Q209" s="1076"/>
      <c r="R209" s="1057"/>
      <c r="Z209" s="1059"/>
    </row>
    <row r="210" spans="1:26" ht="34.5" customHeight="1" outlineLevel="1">
      <c r="A210" s="1086"/>
      <c r="B210" s="1052" t="s">
        <v>9</v>
      </c>
      <c r="C210" s="1094"/>
      <c r="D210" s="1094" t="str">
        <f>D208</f>
        <v>г.Калуга ул.Суворова</v>
      </c>
      <c r="E210" s="1094"/>
      <c r="F210" s="1099"/>
      <c r="G210" s="1099">
        <f t="shared" si="63"/>
        <v>3659.1499002707997</v>
      </c>
      <c r="H210" s="1099">
        <f t="shared" si="66"/>
        <v>4390.9798803249596</v>
      </c>
      <c r="I210" s="1094">
        <f>I208</f>
        <v>0</v>
      </c>
      <c r="J210" s="1099">
        <f>J208</f>
        <v>4390.9798803249596</v>
      </c>
      <c r="K210" s="1099">
        <f>K208</f>
        <v>0</v>
      </c>
      <c r="L210" s="1099"/>
      <c r="M210" s="1099"/>
      <c r="N210" s="1627"/>
      <c r="O210" s="1054" t="s">
        <v>1300</v>
      </c>
      <c r="P210" s="1055"/>
      <c r="Q210" s="1076"/>
      <c r="R210" s="1057"/>
      <c r="Z210" s="1059"/>
    </row>
    <row r="211" spans="1:26" ht="34.5" customHeight="1" outlineLevel="1">
      <c r="A211" s="1086"/>
      <c r="B211" s="1052" t="s">
        <v>14</v>
      </c>
      <c r="C211" s="1094"/>
      <c r="D211" s="1094" t="str">
        <f>D208</f>
        <v>г.Калуга ул.Суворова</v>
      </c>
      <c r="E211" s="1094"/>
      <c r="F211" s="1099"/>
      <c r="G211" s="1099">
        <f t="shared" si="63"/>
        <v>0</v>
      </c>
      <c r="H211" s="1099">
        <f t="shared" si="66"/>
        <v>0</v>
      </c>
      <c r="I211" s="1099"/>
      <c r="J211" s="1099"/>
      <c r="K211" s="1099"/>
      <c r="L211" s="1099"/>
      <c r="M211" s="1099"/>
      <c r="N211" s="1627"/>
      <c r="O211" s="1054" t="s">
        <v>1300</v>
      </c>
      <c r="P211" s="1055"/>
      <c r="Q211" s="1076"/>
      <c r="R211" s="1057"/>
      <c r="Z211" s="1059"/>
    </row>
    <row r="212" spans="1:26" ht="94.5" customHeight="1" outlineLevel="1">
      <c r="A212" s="1086" t="s">
        <v>792</v>
      </c>
      <c r="B212" s="1148" t="s">
        <v>769</v>
      </c>
      <c r="C212" s="1099"/>
      <c r="D212" s="1099" t="s">
        <v>846</v>
      </c>
      <c r="E212" s="1094"/>
      <c r="F212" s="1099"/>
      <c r="G212" s="1099">
        <f t="shared" si="63"/>
        <v>4758.3808272935994</v>
      </c>
      <c r="H212" s="1099">
        <f t="shared" si="66"/>
        <v>5710.0569927523193</v>
      </c>
      <c r="I212" s="1099"/>
      <c r="J212" s="1099">
        <f>'Реконструкция ВОДА'!O7/1000</f>
        <v>5710.0569927523193</v>
      </c>
      <c r="K212" s="1099"/>
      <c r="L212" s="1099">
        <f>'Реконструкция ВОДА'!Q7/1000</f>
        <v>0</v>
      </c>
      <c r="M212" s="1099"/>
      <c r="N212" s="1627" t="s">
        <v>542</v>
      </c>
      <c r="O212" s="2662" t="s">
        <v>1300</v>
      </c>
      <c r="P212" s="1055"/>
      <c r="Q212" s="1076"/>
      <c r="R212" s="1057"/>
      <c r="Z212" s="1059"/>
    </row>
    <row r="213" spans="1:26" ht="33" customHeight="1" outlineLevel="1">
      <c r="A213" s="1086"/>
      <c r="B213" s="1052" t="s">
        <v>10</v>
      </c>
      <c r="C213" s="1094"/>
      <c r="D213" s="1094" t="str">
        <f>D212</f>
        <v>г.Калуга, ул.Плеханова</v>
      </c>
      <c r="E213" s="1094"/>
      <c r="F213" s="1099"/>
      <c r="G213" s="1099">
        <f t="shared" si="63"/>
        <v>0</v>
      </c>
      <c r="H213" s="1099">
        <f t="shared" si="66"/>
        <v>0</v>
      </c>
      <c r="I213" s="1099"/>
      <c r="J213" s="1099"/>
      <c r="K213" s="1099"/>
      <c r="L213" s="1099"/>
      <c r="M213" s="1099"/>
      <c r="N213" s="1627"/>
      <c r="O213" s="1054" t="s">
        <v>1300</v>
      </c>
      <c r="P213" s="1055"/>
      <c r="Q213" s="1076"/>
      <c r="R213" s="1057"/>
      <c r="Z213" s="1059"/>
    </row>
    <row r="214" spans="1:26" ht="33" customHeight="1" outlineLevel="1">
      <c r="A214" s="1086"/>
      <c r="B214" s="1052" t="s">
        <v>9</v>
      </c>
      <c r="C214" s="1094"/>
      <c r="D214" s="1094" t="str">
        <f>D212</f>
        <v>г.Калуга, ул.Плеханова</v>
      </c>
      <c r="E214" s="1094"/>
      <c r="F214" s="1099"/>
      <c r="G214" s="1099">
        <f t="shared" si="63"/>
        <v>4758.3808272935994</v>
      </c>
      <c r="H214" s="1099">
        <f t="shared" si="66"/>
        <v>5710.0569927523193</v>
      </c>
      <c r="I214" s="1099"/>
      <c r="J214" s="1099">
        <f>J212</f>
        <v>5710.0569927523193</v>
      </c>
      <c r="K214" s="1099"/>
      <c r="L214" s="1094">
        <f>L212</f>
        <v>0</v>
      </c>
      <c r="M214" s="1099"/>
      <c r="N214" s="1627"/>
      <c r="O214" s="1054" t="s">
        <v>1300</v>
      </c>
      <c r="P214" s="1055"/>
      <c r="Q214" s="1076"/>
      <c r="R214" s="1057"/>
      <c r="Z214" s="1059"/>
    </row>
    <row r="215" spans="1:26" ht="33" customHeight="1" outlineLevel="1">
      <c r="A215" s="1086"/>
      <c r="B215" s="1052" t="s">
        <v>14</v>
      </c>
      <c r="C215" s="1094"/>
      <c r="D215" s="1094" t="str">
        <f>D212</f>
        <v>г.Калуга, ул.Плеханова</v>
      </c>
      <c r="E215" s="1094"/>
      <c r="F215" s="1099"/>
      <c r="G215" s="1099">
        <f t="shared" si="63"/>
        <v>0</v>
      </c>
      <c r="H215" s="1099">
        <f t="shared" si="66"/>
        <v>0</v>
      </c>
      <c r="I215" s="1099"/>
      <c r="J215" s="1099"/>
      <c r="K215" s="1099"/>
      <c r="L215" s="1099"/>
      <c r="M215" s="1099"/>
      <c r="N215" s="1627"/>
      <c r="O215" s="1054" t="s">
        <v>1300</v>
      </c>
      <c r="P215" s="1055"/>
      <c r="Q215" s="1076"/>
      <c r="R215" s="1057"/>
      <c r="Z215" s="1059"/>
    </row>
    <row r="216" spans="1:26" ht="91.5" customHeight="1" outlineLevel="1">
      <c r="A216" s="1086" t="s">
        <v>793</v>
      </c>
      <c r="B216" s="1148" t="s">
        <v>738</v>
      </c>
      <c r="C216" s="1099"/>
      <c r="D216" s="1099" t="s">
        <v>847</v>
      </c>
      <c r="E216" s="1094"/>
      <c r="F216" s="1099"/>
      <c r="G216" s="1099">
        <f t="shared" si="63"/>
        <v>4030.9675411589997</v>
      </c>
      <c r="H216" s="1099">
        <f t="shared" si="66"/>
        <v>4837.1610493907992</v>
      </c>
      <c r="I216" s="1099"/>
      <c r="J216" s="1099">
        <f>'Реконструкция ВОДА'!O8/1000</f>
        <v>4837.1610493907992</v>
      </c>
      <c r="K216" s="1099">
        <f>'Реконструкция ВОДА'!P8/1000</f>
        <v>0</v>
      </c>
      <c r="L216" s="1099"/>
      <c r="M216" s="1099"/>
      <c r="N216" s="1627" t="s">
        <v>542</v>
      </c>
      <c r="O216" s="2662" t="s">
        <v>1300</v>
      </c>
      <c r="P216" s="1055"/>
      <c r="Q216" s="1076"/>
      <c r="R216" s="1057"/>
      <c r="Z216" s="1059"/>
    </row>
    <row r="217" spans="1:26" ht="36" customHeight="1" outlineLevel="1">
      <c r="A217" s="1086"/>
      <c r="B217" s="1052" t="s">
        <v>10</v>
      </c>
      <c r="C217" s="1094"/>
      <c r="D217" s="1094" t="str">
        <f>D216</f>
        <v>г.Калуга, ул.Родниковая</v>
      </c>
      <c r="E217" s="1094"/>
      <c r="F217" s="1099"/>
      <c r="G217" s="1099">
        <f t="shared" si="63"/>
        <v>0</v>
      </c>
      <c r="H217" s="1099">
        <f t="shared" si="66"/>
        <v>0</v>
      </c>
      <c r="I217" s="1099"/>
      <c r="J217" s="1099"/>
      <c r="K217" s="1099"/>
      <c r="L217" s="1099"/>
      <c r="M217" s="1099"/>
      <c r="N217" s="1627"/>
      <c r="O217" s="1054" t="s">
        <v>1300</v>
      </c>
      <c r="P217" s="1055"/>
      <c r="Q217" s="1076"/>
      <c r="R217" s="1057"/>
      <c r="Z217" s="1059"/>
    </row>
    <row r="218" spans="1:26" ht="36" customHeight="1" outlineLevel="1">
      <c r="A218" s="1086"/>
      <c r="B218" s="1052" t="s">
        <v>9</v>
      </c>
      <c r="C218" s="1094"/>
      <c r="D218" s="1094" t="str">
        <f>D216</f>
        <v>г.Калуга, ул.Родниковая</v>
      </c>
      <c r="E218" s="1094"/>
      <c r="F218" s="1099"/>
      <c r="G218" s="1099">
        <f t="shared" si="63"/>
        <v>4030.9675411589997</v>
      </c>
      <c r="H218" s="1099">
        <f t="shared" si="66"/>
        <v>4837.1610493907992</v>
      </c>
      <c r="I218" s="1099"/>
      <c r="J218" s="1094">
        <f>J216</f>
        <v>4837.1610493907992</v>
      </c>
      <c r="K218" s="1099">
        <f>K216</f>
        <v>0</v>
      </c>
      <c r="L218" s="1099"/>
      <c r="M218" s="1099"/>
      <c r="N218" s="1627"/>
      <c r="O218" s="1054" t="s">
        <v>1300</v>
      </c>
      <c r="P218" s="1055"/>
      <c r="Q218" s="1076"/>
      <c r="R218" s="1057"/>
      <c r="Z218" s="1059"/>
    </row>
    <row r="219" spans="1:26" ht="36" customHeight="1" outlineLevel="1">
      <c r="A219" s="1086"/>
      <c r="B219" s="1052" t="s">
        <v>14</v>
      </c>
      <c r="C219" s="1094"/>
      <c r="D219" s="1094" t="str">
        <f>D216</f>
        <v>г.Калуга, ул.Родниковая</v>
      </c>
      <c r="E219" s="1094"/>
      <c r="F219" s="1099"/>
      <c r="G219" s="1099">
        <f t="shared" si="63"/>
        <v>0</v>
      </c>
      <c r="H219" s="1099">
        <f t="shared" si="66"/>
        <v>0</v>
      </c>
      <c r="I219" s="1099"/>
      <c r="J219" s="1099"/>
      <c r="K219" s="1099"/>
      <c r="L219" s="1099"/>
      <c r="M219" s="1099"/>
      <c r="N219" s="1627"/>
      <c r="O219" s="1054" t="s">
        <v>1300</v>
      </c>
      <c r="P219" s="1055"/>
      <c r="Q219" s="1076"/>
      <c r="R219" s="1057"/>
      <c r="Z219" s="1059"/>
    </row>
    <row r="220" spans="1:26" ht="99" customHeight="1" outlineLevel="1">
      <c r="A220" s="1086" t="s">
        <v>826</v>
      </c>
      <c r="B220" s="1148" t="s">
        <v>735</v>
      </c>
      <c r="C220" s="1099"/>
      <c r="D220" s="1099" t="s">
        <v>848</v>
      </c>
      <c r="E220" s="1094"/>
      <c r="F220" s="1099"/>
      <c r="G220" s="1099">
        <f t="shared" si="63"/>
        <v>25206.1393733443</v>
      </c>
      <c r="H220" s="1099">
        <f t="shared" si="66"/>
        <v>30247.367248013157</v>
      </c>
      <c r="I220" s="1099">
        <f>'Реконструкция ВОДА'!N9/1000</f>
        <v>0</v>
      </c>
      <c r="J220" s="1099">
        <f>J222</f>
        <v>0</v>
      </c>
      <c r="K220" s="1099">
        <f>'Реконструкция ВОДА'!P9/1000</f>
        <v>30247.367248013157</v>
      </c>
      <c r="L220" s="1099"/>
      <c r="M220" s="1099"/>
      <c r="N220" s="1627" t="s">
        <v>761</v>
      </c>
      <c r="O220" s="2656" t="s">
        <v>1300</v>
      </c>
      <c r="P220" s="1055"/>
      <c r="Q220" s="1076"/>
      <c r="R220" s="1057"/>
      <c r="Z220" s="1059"/>
    </row>
    <row r="221" spans="1:26" ht="39" customHeight="1" outlineLevel="1">
      <c r="A221" s="1086"/>
      <c r="B221" s="1052" t="s">
        <v>10</v>
      </c>
      <c r="C221" s="1094"/>
      <c r="D221" s="1094" t="str">
        <f>D220</f>
        <v>г.Калуга,ул.Грабцевское шоссе</v>
      </c>
      <c r="E221" s="1094"/>
      <c r="F221" s="1099"/>
      <c r="G221" s="1099">
        <f t="shared" si="63"/>
        <v>0</v>
      </c>
      <c r="H221" s="1099">
        <f t="shared" si="66"/>
        <v>0</v>
      </c>
      <c r="I221" s="1099"/>
      <c r="J221" s="1099"/>
      <c r="K221" s="1099"/>
      <c r="L221" s="1099"/>
      <c r="M221" s="1099"/>
      <c r="N221" s="1627"/>
      <c r="O221" s="1054" t="s">
        <v>1300</v>
      </c>
      <c r="P221" s="1055"/>
      <c r="Q221" s="1076"/>
      <c r="R221" s="1057"/>
      <c r="Z221" s="1059"/>
    </row>
    <row r="222" spans="1:26" ht="39" customHeight="1" outlineLevel="1">
      <c r="A222" s="1086"/>
      <c r="B222" s="1052" t="s">
        <v>9</v>
      </c>
      <c r="C222" s="1094"/>
      <c r="D222" s="1094" t="str">
        <f>D220</f>
        <v>г.Калуга,ул.Грабцевское шоссе</v>
      </c>
      <c r="E222" s="1094"/>
      <c r="F222" s="1099"/>
      <c r="G222" s="1099">
        <f t="shared" si="63"/>
        <v>25206.1393733443</v>
      </c>
      <c r="H222" s="1099">
        <f t="shared" si="66"/>
        <v>30247.367248013157</v>
      </c>
      <c r="I222" s="1094">
        <f>I220</f>
        <v>0</v>
      </c>
      <c r="J222" s="1099">
        <f>'Реконструкция ВОДА'!O9/1000</f>
        <v>0</v>
      </c>
      <c r="K222" s="1099">
        <f>K220</f>
        <v>30247.367248013157</v>
      </c>
      <c r="L222" s="1099"/>
      <c r="M222" s="1099"/>
      <c r="N222" s="1627"/>
      <c r="O222" s="1054" t="s">
        <v>1300</v>
      </c>
      <c r="P222" s="1055"/>
      <c r="Q222" s="1076"/>
      <c r="R222" s="1057"/>
      <c r="Z222" s="1059"/>
    </row>
    <row r="223" spans="1:26" ht="39" customHeight="1" outlineLevel="1">
      <c r="A223" s="1086"/>
      <c r="B223" s="1052" t="s">
        <v>14</v>
      </c>
      <c r="C223" s="1094"/>
      <c r="D223" s="1094" t="str">
        <f>D220</f>
        <v>г.Калуга,ул.Грабцевское шоссе</v>
      </c>
      <c r="E223" s="1094"/>
      <c r="F223" s="1099"/>
      <c r="G223" s="1099">
        <f t="shared" si="63"/>
        <v>0</v>
      </c>
      <c r="H223" s="1099">
        <f t="shared" si="66"/>
        <v>0</v>
      </c>
      <c r="I223" s="1099"/>
      <c r="J223" s="1099"/>
      <c r="K223" s="1099"/>
      <c r="L223" s="1099"/>
      <c r="M223" s="1099"/>
      <c r="N223" s="1627"/>
      <c r="O223" s="1054" t="s">
        <v>1300</v>
      </c>
      <c r="P223" s="1055"/>
      <c r="Q223" s="1076"/>
      <c r="R223" s="1057"/>
      <c r="Z223" s="1059"/>
    </row>
    <row r="224" spans="1:26" ht="67.5" customHeight="1" outlineLevel="1">
      <c r="A224" s="1086" t="s">
        <v>827</v>
      </c>
      <c r="B224" s="1148" t="s">
        <v>734</v>
      </c>
      <c r="C224" s="1099"/>
      <c r="D224" s="1099" t="s">
        <v>856</v>
      </c>
      <c r="E224" s="1094"/>
      <c r="F224" s="1099"/>
      <c r="G224" s="1099">
        <f t="shared" si="63"/>
        <v>29555.671138338763</v>
      </c>
      <c r="H224" s="1099">
        <f t="shared" si="66"/>
        <v>35466.805366006512</v>
      </c>
      <c r="I224" s="1099"/>
      <c r="J224" s="1099"/>
      <c r="K224" s="1099">
        <f>'Реконструкция ВОДА'!P10/1000</f>
        <v>35466.805366006512</v>
      </c>
      <c r="L224" s="1099">
        <f>'Реконструкция ВОДА'!Q10/1000</f>
        <v>0</v>
      </c>
      <c r="M224" s="1099"/>
      <c r="N224" s="1627" t="s">
        <v>761</v>
      </c>
      <c r="O224" s="2662" t="s">
        <v>1300</v>
      </c>
      <c r="P224" s="1055"/>
      <c r="Q224" s="1076"/>
      <c r="R224" s="1057"/>
      <c r="Z224" s="1059"/>
    </row>
    <row r="225" spans="1:26" ht="34.5" customHeight="1" outlineLevel="1">
      <c r="A225" s="1086"/>
      <c r="B225" s="1052" t="s">
        <v>10</v>
      </c>
      <c r="C225" s="1094"/>
      <c r="D225" s="1094" t="str">
        <f>D224</f>
        <v>г.Калуга ул.40 лет Октября</v>
      </c>
      <c r="E225" s="1094"/>
      <c r="F225" s="1099"/>
      <c r="G225" s="1099">
        <f t="shared" si="63"/>
        <v>0</v>
      </c>
      <c r="H225" s="1099">
        <f t="shared" si="66"/>
        <v>0</v>
      </c>
      <c r="I225" s="1099"/>
      <c r="J225" s="1099"/>
      <c r="K225" s="1099"/>
      <c r="L225" s="1099"/>
      <c r="M225" s="1099"/>
      <c r="N225" s="1627"/>
      <c r="O225" s="1054" t="s">
        <v>1300</v>
      </c>
      <c r="P225" s="1055"/>
      <c r="Q225" s="1076"/>
      <c r="R225" s="1057"/>
      <c r="Z225" s="1059"/>
    </row>
    <row r="226" spans="1:26" ht="34.5" customHeight="1" outlineLevel="1">
      <c r="A226" s="1086"/>
      <c r="B226" s="1052" t="s">
        <v>9</v>
      </c>
      <c r="C226" s="1094"/>
      <c r="D226" s="1094" t="str">
        <f>D224</f>
        <v>г.Калуга ул.40 лет Октября</v>
      </c>
      <c r="E226" s="1094"/>
      <c r="F226" s="1099"/>
      <c r="G226" s="1099">
        <f t="shared" si="63"/>
        <v>29555.671138338763</v>
      </c>
      <c r="H226" s="1099">
        <f t="shared" si="66"/>
        <v>35466.805366006512</v>
      </c>
      <c r="I226" s="1099"/>
      <c r="J226" s="1099"/>
      <c r="K226" s="1099">
        <f>K224</f>
        <v>35466.805366006512</v>
      </c>
      <c r="L226" s="1094">
        <f>L224</f>
        <v>0</v>
      </c>
      <c r="M226" s="1099"/>
      <c r="N226" s="1627"/>
      <c r="O226" s="1054" t="s">
        <v>1300</v>
      </c>
      <c r="P226" s="1055"/>
      <c r="Q226" s="1076"/>
      <c r="R226" s="1057"/>
      <c r="Z226" s="1059"/>
    </row>
    <row r="227" spans="1:26" ht="34.5" customHeight="1" outlineLevel="1">
      <c r="A227" s="1086"/>
      <c r="B227" s="1052" t="s">
        <v>14</v>
      </c>
      <c r="C227" s="1094"/>
      <c r="D227" s="1094" t="str">
        <f>D224</f>
        <v>г.Калуга ул.40 лет Октября</v>
      </c>
      <c r="E227" s="1094"/>
      <c r="F227" s="1099"/>
      <c r="G227" s="1099">
        <f t="shared" si="63"/>
        <v>0</v>
      </c>
      <c r="H227" s="1099">
        <f t="shared" si="66"/>
        <v>0</v>
      </c>
      <c r="I227" s="1099"/>
      <c r="J227" s="1099"/>
      <c r="K227" s="1099"/>
      <c r="L227" s="1099"/>
      <c r="M227" s="1099"/>
      <c r="N227" s="1627"/>
      <c r="O227" s="1054" t="s">
        <v>1300</v>
      </c>
      <c r="P227" s="1055"/>
      <c r="Q227" s="1076"/>
      <c r="R227" s="1057"/>
      <c r="Z227" s="1059"/>
    </row>
    <row r="228" spans="1:26" ht="78" customHeight="1" outlineLevel="1">
      <c r="A228" s="1086" t="s">
        <v>828</v>
      </c>
      <c r="B228" s="1148" t="s">
        <v>741</v>
      </c>
      <c r="C228" s="1099"/>
      <c r="D228" s="1099" t="s">
        <v>849</v>
      </c>
      <c r="E228" s="1094"/>
      <c r="F228" s="1099"/>
      <c r="G228" s="1099">
        <f t="shared" si="63"/>
        <v>1481.7212631000002</v>
      </c>
      <c r="H228" s="1099">
        <f t="shared" si="66"/>
        <v>1778.0655157200001</v>
      </c>
      <c r="I228" s="1099">
        <f>'Реконструкция ВОДА'!N11/1000</f>
        <v>1778.0655157200001</v>
      </c>
      <c r="J228" s="1099">
        <f>'Реконструкция ВОДА'!O11/1000</f>
        <v>0</v>
      </c>
      <c r="K228" s="1099">
        <f>'Реконструкция ВОДА'!P11/1000</f>
        <v>0</v>
      </c>
      <c r="L228" s="1099"/>
      <c r="M228" s="1099"/>
      <c r="N228" s="1627" t="s">
        <v>541</v>
      </c>
      <c r="O228" s="2662" t="s">
        <v>1300</v>
      </c>
      <c r="P228" s="1055"/>
      <c r="Q228" s="1076"/>
      <c r="R228" s="1057"/>
      <c r="Z228" s="1059"/>
    </row>
    <row r="229" spans="1:26" ht="34.5" customHeight="1" outlineLevel="1">
      <c r="A229" s="1086"/>
      <c r="B229" s="1052" t="s">
        <v>10</v>
      </c>
      <c r="C229" s="1094"/>
      <c r="D229" s="1094" t="str">
        <f>$D$228</f>
        <v>г.Калуга,ул.Мелиораторов</v>
      </c>
      <c r="E229" s="1094"/>
      <c r="F229" s="1099"/>
      <c r="G229" s="1099">
        <f t="shared" si="63"/>
        <v>0</v>
      </c>
      <c r="H229" s="1099">
        <f t="shared" si="66"/>
        <v>0</v>
      </c>
      <c r="I229" s="1099"/>
      <c r="J229" s="1099"/>
      <c r="K229" s="1099"/>
      <c r="L229" s="1099"/>
      <c r="M229" s="1099"/>
      <c r="N229" s="1627"/>
      <c r="O229" s="1054" t="s">
        <v>1300</v>
      </c>
      <c r="P229" s="1055"/>
      <c r="Q229" s="1076"/>
      <c r="R229" s="1057"/>
      <c r="Z229" s="1059"/>
    </row>
    <row r="230" spans="1:26" ht="34.5" customHeight="1" outlineLevel="1">
      <c r="A230" s="1086"/>
      <c r="B230" s="1052" t="s">
        <v>9</v>
      </c>
      <c r="C230" s="1094"/>
      <c r="D230" s="1094" t="str">
        <f>$D$228</f>
        <v>г.Калуга,ул.Мелиораторов</v>
      </c>
      <c r="E230" s="1094"/>
      <c r="F230" s="1099"/>
      <c r="G230" s="1099">
        <f t="shared" si="63"/>
        <v>1481.7212631000002</v>
      </c>
      <c r="H230" s="1099">
        <f t="shared" si="66"/>
        <v>1778.0655157200001</v>
      </c>
      <c r="I230" s="1099">
        <f>I228</f>
        <v>1778.0655157200001</v>
      </c>
      <c r="J230" s="1094">
        <f>J228</f>
        <v>0</v>
      </c>
      <c r="K230" s="1099">
        <f>K228</f>
        <v>0</v>
      </c>
      <c r="L230" s="1099"/>
      <c r="M230" s="1099"/>
      <c r="N230" s="1627"/>
      <c r="O230" s="1054" t="s">
        <v>1300</v>
      </c>
      <c r="P230" s="1055"/>
      <c r="Q230" s="1076"/>
      <c r="R230" s="1057"/>
      <c r="Z230" s="1059"/>
    </row>
    <row r="231" spans="1:26" ht="34.5" customHeight="1" outlineLevel="1">
      <c r="A231" s="1086"/>
      <c r="B231" s="1052" t="s">
        <v>14</v>
      </c>
      <c r="C231" s="1094"/>
      <c r="D231" s="1094" t="str">
        <f>$D$228</f>
        <v>г.Калуга,ул.Мелиораторов</v>
      </c>
      <c r="E231" s="1094"/>
      <c r="F231" s="1099"/>
      <c r="G231" s="1099">
        <f t="shared" si="63"/>
        <v>0</v>
      </c>
      <c r="H231" s="1099">
        <f t="shared" si="66"/>
        <v>0</v>
      </c>
      <c r="I231" s="1099"/>
      <c r="J231" s="1099"/>
      <c r="K231" s="1099"/>
      <c r="L231" s="1099"/>
      <c r="M231" s="1099"/>
      <c r="N231" s="1627"/>
      <c r="O231" s="1054" t="s">
        <v>1300</v>
      </c>
      <c r="P231" s="1055"/>
      <c r="Q231" s="1076"/>
      <c r="R231" s="1057"/>
      <c r="Z231" s="1059"/>
    </row>
    <row r="232" spans="1:26" ht="67.5" customHeight="1" outlineLevel="1">
      <c r="A232" s="1086" t="s">
        <v>829</v>
      </c>
      <c r="B232" s="1148" t="s">
        <v>736</v>
      </c>
      <c r="C232" s="1099"/>
      <c r="D232" s="1099" t="s">
        <v>857</v>
      </c>
      <c r="E232" s="1094"/>
      <c r="F232" s="1099"/>
      <c r="G232" s="1099">
        <f t="shared" si="63"/>
        <v>4350.6094561955997</v>
      </c>
      <c r="H232" s="1099">
        <f t="shared" si="66"/>
        <v>5220.7313474347193</v>
      </c>
      <c r="I232" s="1099">
        <f>'Реконструкция ВОДА'!N12/1000</f>
        <v>0</v>
      </c>
      <c r="J232" s="1099">
        <f>'Реконструкция ВОДА'!O12/1000</f>
        <v>5220.7313474347193</v>
      </c>
      <c r="K232" s="1099">
        <f>'Реконструкция ВОДА'!P12/1000</f>
        <v>0</v>
      </c>
      <c r="L232" s="1099"/>
      <c r="M232" s="1099"/>
      <c r="N232" s="1627" t="s">
        <v>542</v>
      </c>
      <c r="O232" s="2662" t="s">
        <v>1300</v>
      </c>
      <c r="P232" s="1055"/>
      <c r="Q232" s="1076"/>
      <c r="R232" s="1057"/>
      <c r="Z232" s="1059"/>
    </row>
    <row r="233" spans="1:26" ht="49.5" customHeight="1" outlineLevel="1">
      <c r="A233" s="1086"/>
      <c r="B233" s="1052" t="s">
        <v>10</v>
      </c>
      <c r="C233" s="1094"/>
      <c r="D233" s="1094" t="str">
        <f>$D$232</f>
        <v>г.Калуга пер.Малинники</v>
      </c>
      <c r="E233" s="1094"/>
      <c r="F233" s="1099"/>
      <c r="G233" s="1099">
        <f t="shared" si="63"/>
        <v>0</v>
      </c>
      <c r="H233" s="1099">
        <f t="shared" si="66"/>
        <v>0</v>
      </c>
      <c r="I233" s="1099"/>
      <c r="J233" s="1099"/>
      <c r="K233" s="1099"/>
      <c r="L233" s="1099"/>
      <c r="M233" s="1099"/>
      <c r="N233" s="1627"/>
      <c r="O233" s="1054" t="s">
        <v>1300</v>
      </c>
      <c r="P233" s="1055"/>
      <c r="Q233" s="1076"/>
      <c r="R233" s="1057"/>
      <c r="Z233" s="1059"/>
    </row>
    <row r="234" spans="1:26" ht="49.5" customHeight="1" outlineLevel="1">
      <c r="A234" s="1086"/>
      <c r="B234" s="1052" t="s">
        <v>9</v>
      </c>
      <c r="C234" s="1094"/>
      <c r="D234" s="1094" t="str">
        <f>$D$232</f>
        <v>г.Калуга пер.Малинники</v>
      </c>
      <c r="E234" s="1094"/>
      <c r="F234" s="1099"/>
      <c r="G234" s="1099">
        <f t="shared" si="63"/>
        <v>4350.6094561955997</v>
      </c>
      <c r="H234" s="1099">
        <f t="shared" si="66"/>
        <v>5220.7313474347193</v>
      </c>
      <c r="I234" s="1094">
        <f>I232</f>
        <v>0</v>
      </c>
      <c r="J234" s="1099">
        <f>J232</f>
        <v>5220.7313474347193</v>
      </c>
      <c r="K234" s="1099">
        <f>K232</f>
        <v>0</v>
      </c>
      <c r="L234" s="1099"/>
      <c r="M234" s="1099"/>
      <c r="N234" s="1627"/>
      <c r="O234" s="1054" t="s">
        <v>1300</v>
      </c>
      <c r="P234" s="1055"/>
      <c r="Q234" s="1076"/>
      <c r="R234" s="1057"/>
      <c r="Z234" s="1059"/>
    </row>
    <row r="235" spans="1:26" ht="49.5" customHeight="1" outlineLevel="1">
      <c r="A235" s="1086"/>
      <c r="B235" s="1052" t="s">
        <v>14</v>
      </c>
      <c r="C235" s="1094"/>
      <c r="D235" s="1094" t="str">
        <f>$D$232</f>
        <v>г.Калуга пер.Малинники</v>
      </c>
      <c r="E235" s="1094"/>
      <c r="F235" s="1099"/>
      <c r="G235" s="1099">
        <f t="shared" si="63"/>
        <v>0</v>
      </c>
      <c r="H235" s="1099">
        <f t="shared" si="66"/>
        <v>0</v>
      </c>
      <c r="I235" s="1099"/>
      <c r="J235" s="1099"/>
      <c r="K235" s="1099"/>
      <c r="L235" s="1099"/>
      <c r="M235" s="1099"/>
      <c r="N235" s="1627"/>
      <c r="O235" s="1054" t="s">
        <v>1300</v>
      </c>
      <c r="P235" s="1055"/>
      <c r="Q235" s="1076"/>
      <c r="R235" s="1057"/>
      <c r="Z235" s="1059"/>
    </row>
    <row r="236" spans="1:26" ht="87" customHeight="1" outlineLevel="1">
      <c r="A236" s="1086" t="s">
        <v>830</v>
      </c>
      <c r="B236" s="1148" t="s">
        <v>739</v>
      </c>
      <c r="C236" s="1099"/>
      <c r="D236" s="1099" t="s">
        <v>858</v>
      </c>
      <c r="E236" s="1094"/>
      <c r="F236" s="1099"/>
      <c r="G236" s="1099">
        <f t="shared" si="63"/>
        <v>5004.5488471835997</v>
      </c>
      <c r="H236" s="1099">
        <f t="shared" si="66"/>
        <v>6005.4586166203198</v>
      </c>
      <c r="I236" s="1099">
        <f>'Реконструкция ВОДА'!N14/1000</f>
        <v>0</v>
      </c>
      <c r="J236" s="1099">
        <f>'Реконструкция ВОДА'!O14/1000</f>
        <v>6005.4586166203198</v>
      </c>
      <c r="K236" s="1099">
        <f>'Реконструкция ВОДА'!P14/1000</f>
        <v>0</v>
      </c>
      <c r="L236" s="1099"/>
      <c r="M236" s="1099"/>
      <c r="N236" s="1627" t="s">
        <v>542</v>
      </c>
      <c r="O236" s="2662" t="s">
        <v>1300</v>
      </c>
      <c r="P236" s="1055"/>
      <c r="Q236" s="1076"/>
      <c r="R236" s="1057"/>
      <c r="Z236" s="1059"/>
    </row>
    <row r="237" spans="1:26" ht="37.5" customHeight="1" outlineLevel="1">
      <c r="A237" s="1086"/>
      <c r="B237" s="1052" t="s">
        <v>10</v>
      </c>
      <c r="C237" s="1094"/>
      <c r="D237" s="1094" t="str">
        <f>$D$236</f>
        <v>г.Калуга,ул.Азаровская</v>
      </c>
      <c r="E237" s="1094"/>
      <c r="F237" s="1099"/>
      <c r="G237" s="1099">
        <f t="shared" si="63"/>
        <v>0</v>
      </c>
      <c r="H237" s="1099">
        <f t="shared" si="66"/>
        <v>0</v>
      </c>
      <c r="I237" s="1099"/>
      <c r="J237" s="1099"/>
      <c r="K237" s="1099"/>
      <c r="L237" s="1099"/>
      <c r="M237" s="1099"/>
      <c r="N237" s="1627"/>
      <c r="O237" s="1054" t="s">
        <v>1300</v>
      </c>
      <c r="P237" s="1055"/>
      <c r="Q237" s="1076"/>
      <c r="R237" s="1057"/>
      <c r="Z237" s="1059"/>
    </row>
    <row r="238" spans="1:26" ht="37.5" customHeight="1" outlineLevel="1">
      <c r="A238" s="1086"/>
      <c r="B238" s="1052" t="s">
        <v>9</v>
      </c>
      <c r="C238" s="1094"/>
      <c r="D238" s="1094" t="str">
        <f>$D$236</f>
        <v>г.Калуга,ул.Азаровская</v>
      </c>
      <c r="E238" s="1094"/>
      <c r="F238" s="1099"/>
      <c r="G238" s="1099">
        <f t="shared" si="63"/>
        <v>5004.5488471835997</v>
      </c>
      <c r="H238" s="1099">
        <f t="shared" si="66"/>
        <v>6005.4586166203198</v>
      </c>
      <c r="I238" s="1094">
        <f>I236</f>
        <v>0</v>
      </c>
      <c r="J238" s="1099">
        <f>J236</f>
        <v>6005.4586166203198</v>
      </c>
      <c r="K238" s="1099">
        <f>K236</f>
        <v>0</v>
      </c>
      <c r="L238" s="1099"/>
      <c r="M238" s="1099"/>
      <c r="N238" s="1627"/>
      <c r="O238" s="1054" t="s">
        <v>1300</v>
      </c>
      <c r="P238" s="1055"/>
      <c r="Q238" s="1076"/>
      <c r="R238" s="1057"/>
      <c r="Z238" s="1059"/>
    </row>
    <row r="239" spans="1:26" ht="37.5" customHeight="1" outlineLevel="1">
      <c r="A239" s="1086"/>
      <c r="B239" s="1052" t="s">
        <v>14</v>
      </c>
      <c r="C239" s="1094"/>
      <c r="D239" s="1094" t="str">
        <f>$D$236</f>
        <v>г.Калуга,ул.Азаровская</v>
      </c>
      <c r="E239" s="1094"/>
      <c r="F239" s="1099"/>
      <c r="G239" s="1099">
        <f t="shared" si="63"/>
        <v>0</v>
      </c>
      <c r="H239" s="1099">
        <f t="shared" si="66"/>
        <v>0</v>
      </c>
      <c r="I239" s="1099"/>
      <c r="J239" s="1099"/>
      <c r="K239" s="1099"/>
      <c r="L239" s="1099"/>
      <c r="M239" s="1099"/>
      <c r="N239" s="1627"/>
      <c r="O239" s="1054" t="s">
        <v>1300</v>
      </c>
      <c r="P239" s="1055"/>
      <c r="Q239" s="1076"/>
      <c r="R239" s="1057"/>
      <c r="Z239" s="1059"/>
    </row>
    <row r="240" spans="1:26" ht="60" customHeight="1" outlineLevel="1">
      <c r="A240" s="1086" t="s">
        <v>831</v>
      </c>
      <c r="B240" s="1148" t="s">
        <v>742</v>
      </c>
      <c r="C240" s="1099"/>
      <c r="D240" s="1099" t="s">
        <v>859</v>
      </c>
      <c r="E240" s="1094"/>
      <c r="F240" s="1099"/>
      <c r="G240" s="1099">
        <f t="shared" si="63"/>
        <v>1907.2750878123695</v>
      </c>
      <c r="H240" s="1099">
        <f t="shared" si="66"/>
        <v>2288.7301053748433</v>
      </c>
      <c r="I240" s="1099"/>
      <c r="J240" s="1099">
        <f>'Реконструкция ВОДА'!O15/1000</f>
        <v>0</v>
      </c>
      <c r="K240" s="1099">
        <f>'Реконструкция ВОДА'!P15/1000</f>
        <v>2288.7301053748433</v>
      </c>
      <c r="L240" s="1099"/>
      <c r="M240" s="1099"/>
      <c r="N240" s="1627" t="s">
        <v>761</v>
      </c>
      <c r="O240" s="2662" t="s">
        <v>1300</v>
      </c>
      <c r="P240" s="1055"/>
      <c r="Q240" s="1076"/>
      <c r="R240" s="1057"/>
      <c r="Z240" s="1059"/>
    </row>
    <row r="241" spans="1:26" ht="39" customHeight="1" outlineLevel="1">
      <c r="A241" s="1086"/>
      <c r="B241" s="1052" t="s">
        <v>10</v>
      </c>
      <c r="C241" s="1094"/>
      <c r="D241" s="1094" t="str">
        <f>$D$240</f>
        <v>г.Калуга,ул.Московская</v>
      </c>
      <c r="E241" s="1094"/>
      <c r="F241" s="1099"/>
      <c r="G241" s="1099">
        <f t="shared" si="63"/>
        <v>0</v>
      </c>
      <c r="H241" s="1099">
        <f t="shared" si="66"/>
        <v>0</v>
      </c>
      <c r="I241" s="1099"/>
      <c r="J241" s="1099"/>
      <c r="K241" s="1099"/>
      <c r="L241" s="1099"/>
      <c r="M241" s="1099"/>
      <c r="N241" s="1627"/>
      <c r="O241" s="1054" t="s">
        <v>1300</v>
      </c>
      <c r="P241" s="1055"/>
      <c r="Q241" s="1076"/>
      <c r="R241" s="1057"/>
      <c r="Z241" s="1059"/>
    </row>
    <row r="242" spans="1:26" ht="39" customHeight="1" outlineLevel="1">
      <c r="A242" s="1086"/>
      <c r="B242" s="1052" t="s">
        <v>9</v>
      </c>
      <c r="C242" s="1094"/>
      <c r="D242" s="1094" t="str">
        <f>$D$240</f>
        <v>г.Калуга,ул.Московская</v>
      </c>
      <c r="E242" s="1094"/>
      <c r="F242" s="1099"/>
      <c r="G242" s="1099">
        <f t="shared" si="63"/>
        <v>1907.2750878123695</v>
      </c>
      <c r="H242" s="1099">
        <f t="shared" si="66"/>
        <v>2288.7301053748433</v>
      </c>
      <c r="I242" s="1099"/>
      <c r="J242" s="1094">
        <f>J240</f>
        <v>0</v>
      </c>
      <c r="K242" s="1099">
        <f>K240</f>
        <v>2288.7301053748433</v>
      </c>
      <c r="L242" s="1099"/>
      <c r="M242" s="1099"/>
      <c r="N242" s="1627"/>
      <c r="O242" s="1054" t="s">
        <v>1300</v>
      </c>
      <c r="P242" s="1055"/>
      <c r="Q242" s="1076"/>
      <c r="R242" s="1057"/>
      <c r="Z242" s="1059"/>
    </row>
    <row r="243" spans="1:26" ht="39" customHeight="1" outlineLevel="1">
      <c r="A243" s="1086"/>
      <c r="B243" s="1052" t="s">
        <v>14</v>
      </c>
      <c r="C243" s="1094"/>
      <c r="D243" s="1094" t="str">
        <f>$D$240</f>
        <v>г.Калуга,ул.Московская</v>
      </c>
      <c r="E243" s="1094"/>
      <c r="F243" s="1099"/>
      <c r="G243" s="1099">
        <f t="shared" si="63"/>
        <v>0</v>
      </c>
      <c r="H243" s="1099">
        <f t="shared" si="66"/>
        <v>0</v>
      </c>
      <c r="I243" s="1099"/>
      <c r="J243" s="1099"/>
      <c r="K243" s="1099"/>
      <c r="L243" s="1099"/>
      <c r="M243" s="1099"/>
      <c r="N243" s="1627"/>
      <c r="O243" s="1054" t="s">
        <v>1300</v>
      </c>
      <c r="P243" s="1055"/>
      <c r="Q243" s="1076"/>
      <c r="R243" s="1057"/>
      <c r="Z243" s="1059"/>
    </row>
    <row r="244" spans="1:26" ht="69" customHeight="1" outlineLevel="1">
      <c r="A244" s="1086" t="s">
        <v>832</v>
      </c>
      <c r="B244" s="1148" t="s">
        <v>746</v>
      </c>
      <c r="C244" s="1099"/>
      <c r="D244" s="1099" t="s">
        <v>860</v>
      </c>
      <c r="E244" s="1094"/>
      <c r="F244" s="1099"/>
      <c r="G244" s="1099">
        <f t="shared" si="63"/>
        <v>8951.0690539764</v>
      </c>
      <c r="H244" s="1099">
        <f t="shared" si="66"/>
        <v>10741.28286477168</v>
      </c>
      <c r="I244" s="1099">
        <f>'Реконструкция ВОДА'!N16/1000</f>
        <v>0</v>
      </c>
      <c r="J244" s="1099">
        <f>'Реконструкция ВОДА'!O16/1000</f>
        <v>10741.28286477168</v>
      </c>
      <c r="K244" s="1099"/>
      <c r="L244" s="1099"/>
      <c r="M244" s="1099"/>
      <c r="N244" s="1627" t="s">
        <v>542</v>
      </c>
      <c r="O244" s="2656" t="s">
        <v>1300</v>
      </c>
      <c r="P244" s="1055"/>
      <c r="Q244" s="1076"/>
      <c r="R244" s="1057"/>
      <c r="Z244" s="1059"/>
    </row>
    <row r="245" spans="1:26" ht="39" customHeight="1" outlineLevel="1">
      <c r="A245" s="1086"/>
      <c r="B245" s="1052" t="s">
        <v>10</v>
      </c>
      <c r="C245" s="1094"/>
      <c r="D245" s="1094" t="str">
        <f>$D$244</f>
        <v>г.Калуга,ул. Привокзальная</v>
      </c>
      <c r="E245" s="1094"/>
      <c r="F245" s="1099"/>
      <c r="G245" s="1099">
        <f t="shared" si="63"/>
        <v>0</v>
      </c>
      <c r="H245" s="1099">
        <f t="shared" si="66"/>
        <v>0</v>
      </c>
      <c r="I245" s="1099"/>
      <c r="J245" s="1099"/>
      <c r="K245" s="1099"/>
      <c r="L245" s="1099"/>
      <c r="M245" s="1099"/>
      <c r="N245" s="1627"/>
      <c r="O245" s="1054" t="s">
        <v>1300</v>
      </c>
      <c r="P245" s="1055"/>
      <c r="Q245" s="1076"/>
      <c r="R245" s="1057"/>
      <c r="Z245" s="1059"/>
    </row>
    <row r="246" spans="1:26" ht="39" customHeight="1" outlineLevel="1">
      <c r="A246" s="1086"/>
      <c r="B246" s="1052" t="s">
        <v>9</v>
      </c>
      <c r="C246" s="1094"/>
      <c r="D246" s="1094" t="str">
        <f>$D$244</f>
        <v>г.Калуга,ул. Привокзальная</v>
      </c>
      <c r="E246" s="1094"/>
      <c r="F246" s="1099"/>
      <c r="G246" s="1099">
        <f t="shared" si="63"/>
        <v>8951.0690539764</v>
      </c>
      <c r="H246" s="1099">
        <f t="shared" si="66"/>
        <v>10741.28286477168</v>
      </c>
      <c r="I246" s="1094">
        <f>I244</f>
        <v>0</v>
      </c>
      <c r="J246" s="1099">
        <f>J244</f>
        <v>10741.28286477168</v>
      </c>
      <c r="K246" s="1099"/>
      <c r="L246" s="1099"/>
      <c r="M246" s="1099"/>
      <c r="N246" s="1627"/>
      <c r="O246" s="1054" t="s">
        <v>1300</v>
      </c>
      <c r="P246" s="1055"/>
      <c r="Q246" s="1076"/>
      <c r="R246" s="1057"/>
      <c r="Z246" s="1059"/>
    </row>
    <row r="247" spans="1:26" ht="39" customHeight="1" outlineLevel="1">
      <c r="A247" s="1086"/>
      <c r="B247" s="1052" t="s">
        <v>14</v>
      </c>
      <c r="C247" s="1094"/>
      <c r="D247" s="1094" t="str">
        <f>$D$244</f>
        <v>г.Калуга,ул. Привокзальная</v>
      </c>
      <c r="E247" s="1094"/>
      <c r="F247" s="1099"/>
      <c r="G247" s="1099">
        <f t="shared" si="63"/>
        <v>0</v>
      </c>
      <c r="H247" s="1099">
        <f t="shared" si="66"/>
        <v>0</v>
      </c>
      <c r="I247" s="1099"/>
      <c r="J247" s="1099"/>
      <c r="K247" s="1099"/>
      <c r="L247" s="1099"/>
      <c r="M247" s="1099"/>
      <c r="N247" s="1627"/>
      <c r="O247" s="1054" t="s">
        <v>1300</v>
      </c>
      <c r="P247" s="1055"/>
      <c r="Q247" s="1076"/>
      <c r="R247" s="1057"/>
      <c r="Z247" s="1059"/>
    </row>
    <row r="248" spans="1:26" ht="70.5" customHeight="1" outlineLevel="1">
      <c r="A248" s="1086" t="s">
        <v>833</v>
      </c>
      <c r="B248" s="1148" t="s">
        <v>740</v>
      </c>
      <c r="C248" s="1099"/>
      <c r="D248" s="1099" t="s">
        <v>861</v>
      </c>
      <c r="E248" s="1094"/>
      <c r="F248" s="1099"/>
      <c r="G248" s="1099">
        <f t="shared" si="63"/>
        <v>5890.7239230995992</v>
      </c>
      <c r="H248" s="1099">
        <f t="shared" si="66"/>
        <v>7068.8687077195191</v>
      </c>
      <c r="I248" s="1099"/>
      <c r="J248" s="1099">
        <f>'Реконструкция ВОДА'!O17/1000</f>
        <v>7068.8687077195191</v>
      </c>
      <c r="K248" s="1099"/>
      <c r="L248" s="1099"/>
      <c r="M248" s="1099"/>
      <c r="N248" s="1627" t="s">
        <v>542</v>
      </c>
      <c r="O248" s="2656" t="s">
        <v>1300</v>
      </c>
      <c r="P248" s="1055"/>
      <c r="Q248" s="1076"/>
      <c r="R248" s="1057"/>
      <c r="Z248" s="1059"/>
    </row>
    <row r="249" spans="1:26" ht="31.5" customHeight="1" outlineLevel="1">
      <c r="A249" s="1086"/>
      <c r="B249" s="1052" t="s">
        <v>10</v>
      </c>
      <c r="C249" s="1094"/>
      <c r="D249" s="1094" t="str">
        <f>$D$248</f>
        <v>г.Калуга,ул.Звездная</v>
      </c>
      <c r="E249" s="1094"/>
      <c r="F249" s="1099"/>
      <c r="G249" s="1099">
        <f t="shared" si="63"/>
        <v>0</v>
      </c>
      <c r="H249" s="1099">
        <f t="shared" si="66"/>
        <v>0</v>
      </c>
      <c r="I249" s="1099"/>
      <c r="J249" s="1099"/>
      <c r="K249" s="1099"/>
      <c r="L249" s="1099"/>
      <c r="M249" s="1099"/>
      <c r="N249" s="1627"/>
      <c r="O249" s="1054" t="s">
        <v>1300</v>
      </c>
      <c r="P249" s="1055"/>
      <c r="Q249" s="1076"/>
      <c r="R249" s="1057"/>
      <c r="Z249" s="1059"/>
    </row>
    <row r="250" spans="1:26" ht="31.5" customHeight="1" outlineLevel="1">
      <c r="A250" s="1086"/>
      <c r="B250" s="1052" t="s">
        <v>9</v>
      </c>
      <c r="C250" s="1094"/>
      <c r="D250" s="1094" t="str">
        <f>$D$248</f>
        <v>г.Калуга,ул.Звездная</v>
      </c>
      <c r="E250" s="1094"/>
      <c r="F250" s="1099"/>
      <c r="G250" s="1099">
        <f t="shared" si="63"/>
        <v>5890.7239230995992</v>
      </c>
      <c r="H250" s="1099">
        <f t="shared" si="66"/>
        <v>7068.8687077195191</v>
      </c>
      <c r="I250" s="1099"/>
      <c r="J250" s="1094">
        <f>J248</f>
        <v>7068.8687077195191</v>
      </c>
      <c r="K250" s="1099"/>
      <c r="L250" s="1099"/>
      <c r="M250" s="1099"/>
      <c r="N250" s="1627"/>
      <c r="O250" s="1054" t="s">
        <v>1300</v>
      </c>
      <c r="P250" s="1055"/>
      <c r="Q250" s="1076"/>
      <c r="R250" s="1057"/>
      <c r="Z250" s="1059"/>
    </row>
    <row r="251" spans="1:26" ht="31.5" customHeight="1" outlineLevel="1">
      <c r="A251" s="1086"/>
      <c r="B251" s="1052" t="s">
        <v>14</v>
      </c>
      <c r="C251" s="1094"/>
      <c r="D251" s="1094" t="str">
        <f>$D$248</f>
        <v>г.Калуга,ул.Звездная</v>
      </c>
      <c r="E251" s="1094"/>
      <c r="F251" s="1099"/>
      <c r="G251" s="1099">
        <f t="shared" si="63"/>
        <v>0</v>
      </c>
      <c r="H251" s="1099">
        <f t="shared" si="66"/>
        <v>0</v>
      </c>
      <c r="I251" s="1099"/>
      <c r="J251" s="1099"/>
      <c r="K251" s="1099"/>
      <c r="L251" s="1099"/>
      <c r="M251" s="1099"/>
      <c r="N251" s="1627"/>
      <c r="O251" s="1054" t="s">
        <v>1300</v>
      </c>
      <c r="P251" s="1055"/>
      <c r="Q251" s="1076"/>
      <c r="R251" s="1057"/>
      <c r="Z251" s="1059"/>
    </row>
    <row r="252" spans="1:26" ht="76.5" customHeight="1" outlineLevel="1">
      <c r="A252" s="1086" t="s">
        <v>834</v>
      </c>
      <c r="B252" s="1148" t="s">
        <v>751</v>
      </c>
      <c r="C252" s="1099"/>
      <c r="D252" s="1099" t="s">
        <v>862</v>
      </c>
      <c r="E252" s="1094"/>
      <c r="F252" s="1099"/>
      <c r="G252" s="1099">
        <f t="shared" si="63"/>
        <v>69887.010908496493</v>
      </c>
      <c r="H252" s="1099">
        <f t="shared" si="66"/>
        <v>83864.413090195783</v>
      </c>
      <c r="I252" s="1099">
        <f>'Реконструкция ВОДА'!N18/1000</f>
        <v>0</v>
      </c>
      <c r="J252" s="1099">
        <f>'Реконструкция ВОДА'!O18/1000</f>
        <v>0</v>
      </c>
      <c r="K252" s="1099">
        <f>'Реконструкция ВОДА'!P18/1000</f>
        <v>0</v>
      </c>
      <c r="L252" s="1099">
        <f>'Реконструкция ВОДА'!Q18/1000</f>
        <v>83864.413090195783</v>
      </c>
      <c r="M252" s="1099"/>
      <c r="N252" s="1627" t="s">
        <v>537</v>
      </c>
      <c r="O252" s="2662" t="s">
        <v>1300</v>
      </c>
      <c r="P252" s="1055"/>
      <c r="Q252" s="1076"/>
      <c r="R252" s="1057"/>
      <c r="Z252" s="1059"/>
    </row>
    <row r="253" spans="1:26" ht="31.5" customHeight="1" outlineLevel="1">
      <c r="A253" s="1086"/>
      <c r="B253" s="1052" t="s">
        <v>10</v>
      </c>
      <c r="C253" s="1094"/>
      <c r="D253" s="1094" t="str">
        <f>$D$252</f>
        <v>г.Калуга, от ул.Московская по ул.Азаровская</v>
      </c>
      <c r="E253" s="1094"/>
      <c r="F253" s="1099"/>
      <c r="G253" s="1099">
        <f t="shared" ref="G253:G287" si="67">H253/1.2</f>
        <v>0</v>
      </c>
      <c r="H253" s="1099">
        <f t="shared" si="66"/>
        <v>0</v>
      </c>
      <c r="I253" s="1099"/>
      <c r="J253" s="1099"/>
      <c r="K253" s="1099"/>
      <c r="L253" s="1099"/>
      <c r="M253" s="1099"/>
      <c r="N253" s="1627"/>
      <c r="O253" s="1054" t="s">
        <v>1300</v>
      </c>
      <c r="P253" s="1055"/>
      <c r="Q253" s="1076"/>
      <c r="R253" s="1057"/>
      <c r="Z253" s="1059"/>
    </row>
    <row r="254" spans="1:26" ht="31.5" customHeight="1" outlineLevel="1">
      <c r="A254" s="1086"/>
      <c r="B254" s="1052" t="s">
        <v>9</v>
      </c>
      <c r="C254" s="1094"/>
      <c r="D254" s="1094" t="str">
        <f>$D$252</f>
        <v>г.Калуга, от ул.Московская по ул.Азаровская</v>
      </c>
      <c r="E254" s="1094"/>
      <c r="F254" s="1099"/>
      <c r="G254" s="1099">
        <f t="shared" si="67"/>
        <v>69887.010908496493</v>
      </c>
      <c r="H254" s="1099">
        <f t="shared" si="66"/>
        <v>83864.413090195783</v>
      </c>
      <c r="I254" s="1094">
        <f>I252</f>
        <v>0</v>
      </c>
      <c r="J254" s="1099">
        <f>J252</f>
        <v>0</v>
      </c>
      <c r="K254" s="1099">
        <f>K252</f>
        <v>0</v>
      </c>
      <c r="L254" s="1099">
        <f>L252</f>
        <v>83864.413090195783</v>
      </c>
      <c r="M254" s="1099"/>
      <c r="N254" s="1627"/>
      <c r="O254" s="1054" t="s">
        <v>1300</v>
      </c>
      <c r="P254" s="1055"/>
      <c r="Q254" s="1076"/>
      <c r="R254" s="1057"/>
      <c r="Z254" s="1059"/>
    </row>
    <row r="255" spans="1:26" ht="31.5" customHeight="1" outlineLevel="1">
      <c r="A255" s="1086"/>
      <c r="B255" s="1052" t="s">
        <v>14</v>
      </c>
      <c r="C255" s="1094"/>
      <c r="D255" s="1094" t="str">
        <f>$D$252</f>
        <v>г.Калуга, от ул.Московская по ул.Азаровская</v>
      </c>
      <c r="E255" s="1094"/>
      <c r="F255" s="1099"/>
      <c r="G255" s="1099">
        <f t="shared" si="67"/>
        <v>0</v>
      </c>
      <c r="H255" s="1099">
        <f t="shared" si="66"/>
        <v>0</v>
      </c>
      <c r="I255" s="1099"/>
      <c r="J255" s="1099"/>
      <c r="K255" s="1099"/>
      <c r="L255" s="1099"/>
      <c r="M255" s="1099"/>
      <c r="N255" s="1627"/>
      <c r="O255" s="1054" t="s">
        <v>1300</v>
      </c>
      <c r="P255" s="1055"/>
      <c r="Q255" s="1076"/>
      <c r="R255" s="1057"/>
      <c r="Z255" s="1059"/>
    </row>
    <row r="256" spans="1:26" ht="87" customHeight="1" outlineLevel="1">
      <c r="A256" s="1086" t="s">
        <v>835</v>
      </c>
      <c r="B256" s="1148" t="s">
        <v>748</v>
      </c>
      <c r="C256" s="1099"/>
      <c r="D256" s="1099" t="s">
        <v>863</v>
      </c>
      <c r="E256" s="1094"/>
      <c r="F256" s="1099"/>
      <c r="G256" s="1099">
        <f t="shared" si="67"/>
        <v>3186.0149743187999</v>
      </c>
      <c r="H256" s="1099">
        <f t="shared" si="66"/>
        <v>3823.21796918256</v>
      </c>
      <c r="I256" s="1099"/>
      <c r="J256" s="1099">
        <f>'Реконструкция ВОДА'!O19/1000</f>
        <v>3823.21796918256</v>
      </c>
      <c r="K256" s="1099"/>
      <c r="L256" s="1099"/>
      <c r="M256" s="1099"/>
      <c r="N256" s="1627" t="s">
        <v>542</v>
      </c>
      <c r="O256" s="2656" t="s">
        <v>1300</v>
      </c>
      <c r="P256" s="1055"/>
      <c r="Q256" s="1076"/>
      <c r="R256" s="1057"/>
      <c r="Z256" s="1059"/>
    </row>
    <row r="257" spans="1:26" ht="37.5" customHeight="1" outlineLevel="1">
      <c r="A257" s="1086"/>
      <c r="B257" s="1052" t="s">
        <v>10</v>
      </c>
      <c r="C257" s="1094"/>
      <c r="D257" s="1094" t="str">
        <f>$D$256</f>
        <v>г.Калуга,  по ул.Родниковая до мкр.Турынино</v>
      </c>
      <c r="E257" s="1094"/>
      <c r="F257" s="1099"/>
      <c r="G257" s="1099">
        <f t="shared" si="67"/>
        <v>0</v>
      </c>
      <c r="H257" s="1099">
        <f t="shared" si="66"/>
        <v>0</v>
      </c>
      <c r="I257" s="1099"/>
      <c r="J257" s="1099"/>
      <c r="K257" s="1099"/>
      <c r="L257" s="1099"/>
      <c r="M257" s="1099"/>
      <c r="N257" s="1627"/>
      <c r="O257" s="1054" t="s">
        <v>1300</v>
      </c>
      <c r="P257" s="1055"/>
      <c r="Q257" s="1076"/>
      <c r="R257" s="1057"/>
      <c r="Z257" s="1059"/>
    </row>
    <row r="258" spans="1:26" ht="31.5" customHeight="1" outlineLevel="1">
      <c r="A258" s="1086"/>
      <c r="B258" s="1052" t="s">
        <v>9</v>
      </c>
      <c r="C258" s="1094"/>
      <c r="D258" s="1094" t="str">
        <f>$D$256</f>
        <v>г.Калуга,  по ул.Родниковая до мкр.Турынино</v>
      </c>
      <c r="E258" s="1094"/>
      <c r="F258" s="1099"/>
      <c r="G258" s="1099">
        <f t="shared" si="67"/>
        <v>3186.0149743187999</v>
      </c>
      <c r="H258" s="1099">
        <f t="shared" si="66"/>
        <v>3823.21796918256</v>
      </c>
      <c r="I258" s="1099"/>
      <c r="J258" s="1094">
        <f>J256</f>
        <v>3823.21796918256</v>
      </c>
      <c r="K258" s="1099"/>
      <c r="L258" s="1099"/>
      <c r="M258" s="1099"/>
      <c r="N258" s="1627"/>
      <c r="O258" s="1054" t="s">
        <v>1300</v>
      </c>
      <c r="P258" s="1055"/>
      <c r="Q258" s="1076"/>
      <c r="R258" s="1057"/>
      <c r="Z258" s="1059"/>
    </row>
    <row r="259" spans="1:26" ht="31.5" customHeight="1" outlineLevel="1">
      <c r="A259" s="1086"/>
      <c r="B259" s="1052" t="s">
        <v>14</v>
      </c>
      <c r="C259" s="1094"/>
      <c r="D259" s="1094" t="str">
        <f>$D$256</f>
        <v>г.Калуга,  по ул.Родниковая до мкр.Турынино</v>
      </c>
      <c r="E259" s="1094"/>
      <c r="F259" s="1099"/>
      <c r="G259" s="1099">
        <f t="shared" si="67"/>
        <v>0</v>
      </c>
      <c r="H259" s="1099">
        <f t="shared" si="66"/>
        <v>0</v>
      </c>
      <c r="I259" s="1099"/>
      <c r="J259" s="1099"/>
      <c r="K259" s="1099"/>
      <c r="L259" s="1099"/>
      <c r="M259" s="1099"/>
      <c r="N259" s="1627"/>
      <c r="O259" s="1054" t="s">
        <v>1300</v>
      </c>
      <c r="P259" s="1055"/>
      <c r="Q259" s="1076"/>
      <c r="R259" s="1057"/>
      <c r="Z259" s="1059"/>
    </row>
    <row r="260" spans="1:26" ht="99" customHeight="1" outlineLevel="1">
      <c r="A260" s="1086" t="s">
        <v>836</v>
      </c>
      <c r="B260" s="1148" t="s">
        <v>752</v>
      </c>
      <c r="C260" s="1099"/>
      <c r="D260" s="1099" t="s">
        <v>864</v>
      </c>
      <c r="E260" s="1094"/>
      <c r="F260" s="1099"/>
      <c r="G260" s="1099">
        <f t="shared" si="67"/>
        <v>28111.763361796584</v>
      </c>
      <c r="H260" s="1099">
        <f t="shared" si="66"/>
        <v>33734.116034155901</v>
      </c>
      <c r="I260" s="1099"/>
      <c r="J260" s="1099"/>
      <c r="K260" s="1099"/>
      <c r="L260" s="1099">
        <f>'Реконструкция ВОДА'!Q20/1000</f>
        <v>33734.116034155901</v>
      </c>
      <c r="M260" s="1099">
        <f>'Реконструкция ВОДА'!R20/1000</f>
        <v>0</v>
      </c>
      <c r="N260" s="1627" t="s">
        <v>537</v>
      </c>
      <c r="O260" s="2662" t="s">
        <v>1300</v>
      </c>
      <c r="P260" s="1055"/>
      <c r="Q260" s="1076"/>
      <c r="R260" s="1057"/>
      <c r="Z260" s="1059"/>
    </row>
    <row r="261" spans="1:26" ht="33" customHeight="1" outlineLevel="1">
      <c r="A261" s="1086"/>
      <c r="B261" s="1052" t="s">
        <v>10</v>
      </c>
      <c r="C261" s="1094"/>
      <c r="D261" s="1094" t="str">
        <f>$D$260</f>
        <v xml:space="preserve">г.Калуга от ул.Степана Разина по ул.Салтыкова-Щедрина </v>
      </c>
      <c r="E261" s="1094"/>
      <c r="F261" s="1099"/>
      <c r="G261" s="1099">
        <f t="shared" si="67"/>
        <v>0</v>
      </c>
      <c r="H261" s="1099">
        <f t="shared" si="66"/>
        <v>0</v>
      </c>
      <c r="I261" s="1099"/>
      <c r="J261" s="1099"/>
      <c r="K261" s="1099"/>
      <c r="L261" s="1099"/>
      <c r="M261" s="1099"/>
      <c r="N261" s="1627"/>
      <c r="O261" s="1054" t="s">
        <v>1300</v>
      </c>
      <c r="P261" s="1055"/>
      <c r="Q261" s="1076"/>
      <c r="R261" s="1057"/>
      <c r="Z261" s="1059"/>
    </row>
    <row r="262" spans="1:26" ht="33" customHeight="1" outlineLevel="1">
      <c r="A262" s="1086"/>
      <c r="B262" s="1052" t="s">
        <v>9</v>
      </c>
      <c r="C262" s="1094"/>
      <c r="D262" s="1094" t="str">
        <f>$D$260</f>
        <v xml:space="preserve">г.Калуга от ул.Степана Разина по ул.Салтыкова-Щедрина </v>
      </c>
      <c r="E262" s="1094"/>
      <c r="F262" s="1099"/>
      <c r="G262" s="1099">
        <f t="shared" si="67"/>
        <v>28111.763361796584</v>
      </c>
      <c r="H262" s="1099">
        <f t="shared" si="66"/>
        <v>33734.116034155901</v>
      </c>
      <c r="I262" s="1099"/>
      <c r="J262" s="1099"/>
      <c r="K262" s="1099"/>
      <c r="L262" s="1099">
        <f>L260</f>
        <v>33734.116034155901</v>
      </c>
      <c r="M262" s="1094">
        <f>M260</f>
        <v>0</v>
      </c>
      <c r="N262" s="1627"/>
      <c r="O262" s="1054" t="s">
        <v>1300</v>
      </c>
      <c r="P262" s="1055"/>
      <c r="Q262" s="1076"/>
      <c r="R262" s="1057"/>
      <c r="Z262" s="1059"/>
    </row>
    <row r="263" spans="1:26" ht="33" customHeight="1" outlineLevel="1">
      <c r="A263" s="1086"/>
      <c r="B263" s="1052" t="s">
        <v>14</v>
      </c>
      <c r="C263" s="1094"/>
      <c r="D263" s="1094" t="str">
        <f>$D$260</f>
        <v xml:space="preserve">г.Калуга от ул.Степана Разина по ул.Салтыкова-Щедрина </v>
      </c>
      <c r="E263" s="1094"/>
      <c r="F263" s="1099"/>
      <c r="G263" s="1099">
        <f t="shared" si="67"/>
        <v>0</v>
      </c>
      <c r="H263" s="1099">
        <f t="shared" si="66"/>
        <v>0</v>
      </c>
      <c r="I263" s="1099"/>
      <c r="J263" s="1099"/>
      <c r="K263" s="1099"/>
      <c r="L263" s="1099"/>
      <c r="M263" s="1099"/>
      <c r="N263" s="1627"/>
      <c r="O263" s="1054" t="s">
        <v>1300</v>
      </c>
      <c r="P263" s="1055"/>
      <c r="Q263" s="1076"/>
      <c r="R263" s="1057"/>
      <c r="Z263" s="1059"/>
    </row>
    <row r="264" spans="1:26" ht="61.5" customHeight="1" outlineLevel="1">
      <c r="A264" s="1086" t="s">
        <v>837</v>
      </c>
      <c r="B264" s="1148" t="s">
        <v>749</v>
      </c>
      <c r="C264" s="1099"/>
      <c r="D264" s="1099" t="s">
        <v>865</v>
      </c>
      <c r="E264" s="1094"/>
      <c r="F264" s="1099"/>
      <c r="G264" s="1099">
        <f t="shared" si="67"/>
        <v>2003.8333155749999</v>
      </c>
      <c r="H264" s="1099">
        <f t="shared" si="66"/>
        <v>2404.5999786899997</v>
      </c>
      <c r="I264" s="1099">
        <f>'Реконструкция ВОДА'!N21/1000</f>
        <v>2404.5999786899997</v>
      </c>
      <c r="J264" s="1099">
        <f>'Реконструкция ВОДА'!O21/1000</f>
        <v>0</v>
      </c>
      <c r="K264" s="1099"/>
      <c r="L264" s="1099">
        <f>'Реконструкция ВОДА'!Q21/1000</f>
        <v>0</v>
      </c>
      <c r="M264" s="1099"/>
      <c r="N264" s="1627" t="s">
        <v>541</v>
      </c>
      <c r="O264" s="2662" t="s">
        <v>1300</v>
      </c>
      <c r="P264" s="1055"/>
      <c r="Q264" s="1076"/>
      <c r="R264" s="1057"/>
      <c r="Z264" s="1059"/>
    </row>
    <row r="265" spans="1:26" ht="39" customHeight="1" outlineLevel="1">
      <c r="A265" s="1086"/>
      <c r="B265" s="1052" t="s">
        <v>10</v>
      </c>
      <c r="C265" s="1094"/>
      <c r="D265" s="1094" t="str">
        <f>$D$264</f>
        <v>г.Калуга , с.Росва, ул.Мира д.8 - ул.Московская д.5</v>
      </c>
      <c r="E265" s="1094"/>
      <c r="F265" s="1099"/>
      <c r="G265" s="1099">
        <f t="shared" si="67"/>
        <v>0</v>
      </c>
      <c r="H265" s="1099">
        <f t="shared" si="66"/>
        <v>0</v>
      </c>
      <c r="I265" s="1099"/>
      <c r="J265" s="1099"/>
      <c r="K265" s="1099"/>
      <c r="L265" s="1099"/>
      <c r="M265" s="1099"/>
      <c r="N265" s="1627"/>
      <c r="O265" s="1054" t="s">
        <v>1300</v>
      </c>
      <c r="P265" s="1055"/>
      <c r="Q265" s="1076"/>
      <c r="R265" s="1057"/>
      <c r="Z265" s="1059"/>
    </row>
    <row r="266" spans="1:26" ht="39" customHeight="1" outlineLevel="1">
      <c r="A266" s="1086"/>
      <c r="B266" s="1052" t="s">
        <v>9</v>
      </c>
      <c r="C266" s="1094"/>
      <c r="D266" s="1094" t="str">
        <f>$D$264</f>
        <v>г.Калуга , с.Росва, ул.Мира д.8 - ул.Московская д.5</v>
      </c>
      <c r="E266" s="1094"/>
      <c r="F266" s="1099"/>
      <c r="G266" s="1099">
        <f t="shared" si="67"/>
        <v>2003.8333155749999</v>
      </c>
      <c r="H266" s="1099">
        <f t="shared" si="66"/>
        <v>2404.5999786899997</v>
      </c>
      <c r="I266" s="1099">
        <f>I264</f>
        <v>2404.5999786899997</v>
      </c>
      <c r="J266" s="1099">
        <f>J264</f>
        <v>0</v>
      </c>
      <c r="K266" s="1099"/>
      <c r="L266" s="1094">
        <f>L264</f>
        <v>0</v>
      </c>
      <c r="M266" s="1099"/>
      <c r="N266" s="1627"/>
      <c r="O266" s="1054" t="s">
        <v>1300</v>
      </c>
      <c r="P266" s="1055"/>
      <c r="Q266" s="1076"/>
      <c r="R266" s="1057"/>
      <c r="Z266" s="1059"/>
    </row>
    <row r="267" spans="1:26" ht="39" customHeight="1" outlineLevel="1">
      <c r="A267" s="1086"/>
      <c r="B267" s="1052" t="s">
        <v>14</v>
      </c>
      <c r="C267" s="1094"/>
      <c r="D267" s="1094" t="str">
        <f>$D$264</f>
        <v>г.Калуга , с.Росва, ул.Мира д.8 - ул.Московская д.5</v>
      </c>
      <c r="E267" s="1094"/>
      <c r="F267" s="1099"/>
      <c r="G267" s="1099">
        <f t="shared" si="67"/>
        <v>0</v>
      </c>
      <c r="H267" s="1099">
        <f t="shared" si="66"/>
        <v>0</v>
      </c>
      <c r="I267" s="1099"/>
      <c r="J267" s="1099"/>
      <c r="K267" s="1099"/>
      <c r="L267" s="1099"/>
      <c r="M267" s="1099"/>
      <c r="N267" s="1627"/>
      <c r="O267" s="1054" t="s">
        <v>1300</v>
      </c>
      <c r="P267" s="1055"/>
      <c r="Q267" s="1076"/>
      <c r="R267" s="1057"/>
      <c r="Z267" s="1059"/>
    </row>
    <row r="268" spans="1:26" ht="61.5" customHeight="1" outlineLevel="1">
      <c r="A268" s="1086" t="s">
        <v>850</v>
      </c>
      <c r="B268" s="1148" t="s">
        <v>750</v>
      </c>
      <c r="C268" s="1099"/>
      <c r="D268" s="1099" t="s">
        <v>866</v>
      </c>
      <c r="E268" s="1094"/>
      <c r="F268" s="1099"/>
      <c r="G268" s="1099">
        <f t="shared" si="67"/>
        <v>1014.08703435</v>
      </c>
      <c r="H268" s="1099">
        <f t="shared" si="66"/>
        <v>1216.9044412199999</v>
      </c>
      <c r="I268" s="1099">
        <f>'Реконструкция ВОДА'!N22/1000</f>
        <v>1216.9044412199999</v>
      </c>
      <c r="J268" s="1099">
        <f>'Реконструкция ВОДА'!O22/1000</f>
        <v>0</v>
      </c>
      <c r="K268" s="1099"/>
      <c r="L268" s="1099">
        <f>'Реконструкция ВОДА'!Q22/1000</f>
        <v>0</v>
      </c>
      <c r="M268" s="1099"/>
      <c r="N268" s="1627" t="s">
        <v>541</v>
      </c>
      <c r="O268" s="2662" t="s">
        <v>1300</v>
      </c>
      <c r="P268" s="1055"/>
      <c r="Q268" s="1076"/>
      <c r="R268" s="1057"/>
      <c r="Z268" s="1059"/>
    </row>
    <row r="269" spans="1:26" ht="36" customHeight="1" outlineLevel="1">
      <c r="A269" s="1086"/>
      <c r="B269" s="1052" t="s">
        <v>10</v>
      </c>
      <c r="C269" s="1094"/>
      <c r="D269" s="1094" t="str">
        <f>$D$268</f>
        <v>г.Калуга,  с.Спас</v>
      </c>
      <c r="E269" s="1094"/>
      <c r="F269" s="1099"/>
      <c r="G269" s="1099">
        <f t="shared" si="67"/>
        <v>0</v>
      </c>
      <c r="H269" s="1099">
        <f t="shared" ref="H269:H287" si="68">SUM(I269:M269)</f>
        <v>0</v>
      </c>
      <c r="I269" s="1099"/>
      <c r="J269" s="1099"/>
      <c r="K269" s="1099"/>
      <c r="L269" s="1099"/>
      <c r="M269" s="1099"/>
      <c r="N269" s="1627"/>
      <c r="O269" s="1054" t="s">
        <v>1300</v>
      </c>
      <c r="P269" s="1055"/>
      <c r="Q269" s="1076"/>
      <c r="R269" s="1057"/>
      <c r="Z269" s="1059"/>
    </row>
    <row r="270" spans="1:26" ht="36" customHeight="1" outlineLevel="1">
      <c r="A270" s="1086"/>
      <c r="B270" s="1052" t="s">
        <v>9</v>
      </c>
      <c r="C270" s="1094"/>
      <c r="D270" s="1094" t="str">
        <f>$D$268</f>
        <v>г.Калуга,  с.Спас</v>
      </c>
      <c r="E270" s="1094"/>
      <c r="F270" s="1099"/>
      <c r="G270" s="1099">
        <f t="shared" si="67"/>
        <v>1014.08703435</v>
      </c>
      <c r="H270" s="1099">
        <f t="shared" si="68"/>
        <v>1216.9044412199999</v>
      </c>
      <c r="I270" s="1099">
        <f>I268</f>
        <v>1216.9044412199999</v>
      </c>
      <c r="J270" s="1099">
        <f>J268</f>
        <v>0</v>
      </c>
      <c r="K270" s="1099"/>
      <c r="L270" s="1094">
        <f>L268</f>
        <v>0</v>
      </c>
      <c r="M270" s="1099"/>
      <c r="N270" s="1627"/>
      <c r="O270" s="1054" t="s">
        <v>1300</v>
      </c>
      <c r="P270" s="1055"/>
      <c r="Q270" s="1076"/>
      <c r="R270" s="1057"/>
      <c r="Z270" s="1059"/>
    </row>
    <row r="271" spans="1:26" ht="36" customHeight="1" outlineLevel="1">
      <c r="A271" s="1051"/>
      <c r="B271" s="1052" t="s">
        <v>14</v>
      </c>
      <c r="C271" s="1094"/>
      <c r="D271" s="1094" t="str">
        <f>$D$268</f>
        <v>г.Калуга,  с.Спас</v>
      </c>
      <c r="E271" s="1094"/>
      <c r="F271" s="1099"/>
      <c r="G271" s="1099">
        <f t="shared" si="67"/>
        <v>0</v>
      </c>
      <c r="H271" s="1099">
        <f t="shared" si="68"/>
        <v>0</v>
      </c>
      <c r="I271" s="1099"/>
      <c r="J271" s="1099"/>
      <c r="K271" s="1099"/>
      <c r="L271" s="1099"/>
      <c r="M271" s="1099"/>
      <c r="N271" s="1627"/>
      <c r="O271" s="1054" t="s">
        <v>1300</v>
      </c>
      <c r="P271" s="1055"/>
      <c r="Q271" s="1076"/>
      <c r="R271" s="1057"/>
      <c r="Z271" s="1059"/>
    </row>
    <row r="272" spans="1:26" ht="90" customHeight="1" outlineLevel="1">
      <c r="A272" s="1086" t="s">
        <v>851</v>
      </c>
      <c r="B272" s="1148" t="s">
        <v>747</v>
      </c>
      <c r="C272" s="1099"/>
      <c r="D272" s="1099" t="s">
        <v>867</v>
      </c>
      <c r="E272" s="1094"/>
      <c r="F272" s="1099"/>
      <c r="G272" s="1099">
        <f t="shared" si="67"/>
        <v>12918.948379760433</v>
      </c>
      <c r="H272" s="1099">
        <f t="shared" si="68"/>
        <v>15502.73805571252</v>
      </c>
      <c r="I272" s="1099"/>
      <c r="J272" s="1099"/>
      <c r="K272" s="1099"/>
      <c r="L272" s="1099">
        <f>'Реконструкция ВОДА'!Q23/1000</f>
        <v>15502.73805571252</v>
      </c>
      <c r="M272" s="1099">
        <f>'Реконструкция ВОДА'!R23/1000</f>
        <v>0</v>
      </c>
      <c r="N272" s="1627" t="s">
        <v>537</v>
      </c>
      <c r="O272" s="2662" t="s">
        <v>1300</v>
      </c>
      <c r="P272" s="1055"/>
      <c r="Q272" s="1076"/>
      <c r="R272" s="1057"/>
      <c r="Z272" s="1059"/>
    </row>
    <row r="273" spans="1:26" ht="37.5" customHeight="1" outlineLevel="1">
      <c r="A273" s="1086"/>
      <c r="B273" s="1052" t="s">
        <v>10</v>
      </c>
      <c r="C273" s="1094"/>
      <c r="D273" s="1094" t="str">
        <f>$D$272</f>
        <v>г.Калуга от ул. Глаголева до ул.Ленина</v>
      </c>
      <c r="E273" s="1094"/>
      <c r="F273" s="1099"/>
      <c r="G273" s="1099">
        <f t="shared" si="67"/>
        <v>0</v>
      </c>
      <c r="H273" s="1099">
        <f t="shared" si="68"/>
        <v>0</v>
      </c>
      <c r="I273" s="1099"/>
      <c r="J273" s="1099"/>
      <c r="K273" s="1099"/>
      <c r="L273" s="1099"/>
      <c r="M273" s="1094"/>
      <c r="N273" s="1627"/>
      <c r="O273" s="1054" t="s">
        <v>1300</v>
      </c>
      <c r="P273" s="1055"/>
      <c r="Q273" s="1076"/>
      <c r="R273" s="1057"/>
      <c r="Z273" s="1059"/>
    </row>
    <row r="274" spans="1:26" ht="37.5" customHeight="1" outlineLevel="1">
      <c r="A274" s="1086"/>
      <c r="B274" s="1052" t="s">
        <v>9</v>
      </c>
      <c r="C274" s="1094"/>
      <c r="D274" s="1094" t="str">
        <f>$D$272</f>
        <v>г.Калуга от ул. Глаголева до ул.Ленина</v>
      </c>
      <c r="E274" s="1094"/>
      <c r="F274" s="1099"/>
      <c r="G274" s="1099">
        <f t="shared" si="67"/>
        <v>12918.948379760433</v>
      </c>
      <c r="H274" s="1099">
        <f t="shared" si="68"/>
        <v>15502.73805571252</v>
      </c>
      <c r="I274" s="1099"/>
      <c r="J274" s="1099"/>
      <c r="K274" s="1099"/>
      <c r="L274" s="1099">
        <f>L272</f>
        <v>15502.73805571252</v>
      </c>
      <c r="M274" s="1094">
        <f>M272</f>
        <v>0</v>
      </c>
      <c r="N274" s="1627"/>
      <c r="O274" s="1054" t="s">
        <v>1300</v>
      </c>
      <c r="P274" s="1055"/>
      <c r="Q274" s="1076"/>
      <c r="R274" s="1057"/>
      <c r="Z274" s="1059"/>
    </row>
    <row r="275" spans="1:26" ht="37.5" customHeight="1" outlineLevel="1">
      <c r="A275" s="1086"/>
      <c r="B275" s="1052" t="s">
        <v>14</v>
      </c>
      <c r="C275" s="1094"/>
      <c r="D275" s="1094" t="str">
        <f>$D$272</f>
        <v>г.Калуга от ул. Глаголева до ул.Ленина</v>
      </c>
      <c r="E275" s="1094"/>
      <c r="F275" s="1099"/>
      <c r="G275" s="1099">
        <f t="shared" si="67"/>
        <v>0</v>
      </c>
      <c r="H275" s="1099">
        <f t="shared" si="68"/>
        <v>0</v>
      </c>
      <c r="I275" s="1099"/>
      <c r="J275" s="1099"/>
      <c r="K275" s="1099"/>
      <c r="L275" s="1099"/>
      <c r="M275" s="1099"/>
      <c r="N275" s="1627"/>
      <c r="O275" s="1054" t="s">
        <v>1300</v>
      </c>
      <c r="P275" s="1055"/>
      <c r="Q275" s="1076"/>
      <c r="R275" s="1057"/>
      <c r="Z275" s="1059"/>
    </row>
    <row r="276" spans="1:26" ht="72" customHeight="1" outlineLevel="1">
      <c r="A276" s="1086" t="s">
        <v>852</v>
      </c>
      <c r="B276" s="1148" t="s">
        <v>743</v>
      </c>
      <c r="C276" s="1099"/>
      <c r="D276" s="1099" t="s">
        <v>868</v>
      </c>
      <c r="E276" s="1094"/>
      <c r="F276" s="1099"/>
      <c r="G276" s="1099">
        <f t="shared" si="67"/>
        <v>37164.831261665422</v>
      </c>
      <c r="H276" s="1099">
        <f t="shared" si="68"/>
        <v>44597.797513998506</v>
      </c>
      <c r="I276" s="1099"/>
      <c r="J276" s="1099"/>
      <c r="K276" s="1099">
        <f>'Реконструкция ВОДА'!P24/1000</f>
        <v>0</v>
      </c>
      <c r="L276" s="1099">
        <f>'Реконструкция ВОДА'!Q24/1000</f>
        <v>0</v>
      </c>
      <c r="M276" s="1099">
        <f>'Реконструкция ВОДА'!R24/1000</f>
        <v>44597.797513998506</v>
      </c>
      <c r="N276" s="1627" t="s">
        <v>14839</v>
      </c>
      <c r="O276" s="2656" t="s">
        <v>1300</v>
      </c>
      <c r="P276" s="1055"/>
      <c r="Q276" s="1076"/>
      <c r="R276" s="1057"/>
      <c r="Z276" s="1059"/>
    </row>
    <row r="277" spans="1:26" ht="28.5" customHeight="1" outlineLevel="1">
      <c r="A277" s="1086"/>
      <c r="B277" s="1052" t="s">
        <v>10</v>
      </c>
      <c r="C277" s="1094"/>
      <c r="D277" s="1094" t="str">
        <f>$D$276</f>
        <v>г.Калуга, от ул.Зеленый Крупец по ул.С.-Щедрина, ул.Краснопивцева</v>
      </c>
      <c r="E277" s="1094"/>
      <c r="F277" s="1099"/>
      <c r="G277" s="1099">
        <f t="shared" si="67"/>
        <v>0</v>
      </c>
      <c r="H277" s="1099">
        <f t="shared" si="68"/>
        <v>0</v>
      </c>
      <c r="I277" s="1099"/>
      <c r="J277" s="1099"/>
      <c r="K277" s="1099"/>
      <c r="L277" s="1099"/>
      <c r="M277" s="1099"/>
      <c r="N277" s="1627"/>
      <c r="O277" s="1054" t="s">
        <v>1300</v>
      </c>
      <c r="P277" s="1055"/>
      <c r="Q277" s="1076"/>
      <c r="R277" s="1057"/>
      <c r="Z277" s="1059"/>
    </row>
    <row r="278" spans="1:26" ht="28.5" customHeight="1" outlineLevel="1">
      <c r="A278" s="1086"/>
      <c r="B278" s="1052" t="s">
        <v>9</v>
      </c>
      <c r="C278" s="1094"/>
      <c r="D278" s="1094" t="str">
        <f>$D$276</f>
        <v>г.Калуга, от ул.Зеленый Крупец по ул.С.-Щедрина, ул.Краснопивцева</v>
      </c>
      <c r="E278" s="1094"/>
      <c r="F278" s="1099"/>
      <c r="G278" s="1099">
        <f t="shared" si="67"/>
        <v>37164.831261665422</v>
      </c>
      <c r="H278" s="1099">
        <f t="shared" si="68"/>
        <v>44597.797513998506</v>
      </c>
      <c r="I278" s="1099"/>
      <c r="J278" s="1099"/>
      <c r="K278" s="1094">
        <f>K276</f>
        <v>0</v>
      </c>
      <c r="L278" s="1099">
        <f>L276</f>
        <v>0</v>
      </c>
      <c r="M278" s="1099">
        <f>M276</f>
        <v>44597.797513998506</v>
      </c>
      <c r="N278" s="1627"/>
      <c r="O278" s="1054" t="s">
        <v>1300</v>
      </c>
      <c r="P278" s="1055"/>
      <c r="Q278" s="1076"/>
      <c r="R278" s="1057"/>
      <c r="Z278" s="1059"/>
    </row>
    <row r="279" spans="1:26" ht="28.5" customHeight="1" outlineLevel="1">
      <c r="A279" s="1086"/>
      <c r="B279" s="1052" t="s">
        <v>14</v>
      </c>
      <c r="C279" s="1094"/>
      <c r="D279" s="1094" t="str">
        <f>$D$276</f>
        <v>г.Калуга, от ул.Зеленый Крупец по ул.С.-Щедрина, ул.Краснопивцева</v>
      </c>
      <c r="E279" s="1094"/>
      <c r="F279" s="1099"/>
      <c r="G279" s="1099">
        <f t="shared" si="67"/>
        <v>0</v>
      </c>
      <c r="H279" s="1099">
        <f t="shared" si="68"/>
        <v>0</v>
      </c>
      <c r="I279" s="1099"/>
      <c r="J279" s="1099"/>
      <c r="K279" s="1099"/>
      <c r="L279" s="1099"/>
      <c r="M279" s="1099"/>
      <c r="N279" s="1627"/>
      <c r="O279" s="1054" t="s">
        <v>1300</v>
      </c>
      <c r="P279" s="1055"/>
      <c r="Q279" s="1076"/>
      <c r="R279" s="1057"/>
      <c r="Z279" s="1059"/>
    </row>
    <row r="280" spans="1:26" ht="73.5" customHeight="1" outlineLevel="1">
      <c r="A280" s="1086" t="s">
        <v>853</v>
      </c>
      <c r="B280" s="1148" t="s">
        <v>744</v>
      </c>
      <c r="C280" s="1099"/>
      <c r="D280" s="1099" t="s">
        <v>869</v>
      </c>
      <c r="E280" s="1094"/>
      <c r="F280" s="1099"/>
      <c r="G280" s="1099">
        <f t="shared" si="67"/>
        <v>26718.286412992307</v>
      </c>
      <c r="H280" s="1099">
        <f t="shared" si="68"/>
        <v>32061.943695590769</v>
      </c>
      <c r="I280" s="1099">
        <f>'Реконструкция ВОДА'!N25/1000</f>
        <v>0</v>
      </c>
      <c r="J280" s="1099">
        <f>'Реконструкция ВОДА'!O25/1000</f>
        <v>0</v>
      </c>
      <c r="K280" s="1099">
        <f>'Реконструкция ВОДА'!P25/1000</f>
        <v>0</v>
      </c>
      <c r="L280" s="1099">
        <f>'Реконструкция ВОДА'!Q25/1000</f>
        <v>0</v>
      </c>
      <c r="M280" s="1099">
        <f>'Реконструкция ВОДА'!R25/1000</f>
        <v>32061.943695590769</v>
      </c>
      <c r="N280" s="1627" t="s">
        <v>14839</v>
      </c>
      <c r="O280" s="2656" t="s">
        <v>1300</v>
      </c>
      <c r="P280" s="1055"/>
      <c r="Q280" s="1076"/>
      <c r="R280" s="1057"/>
      <c r="Z280" s="1059"/>
    </row>
    <row r="281" spans="1:26" ht="33" customHeight="1" outlineLevel="1">
      <c r="A281" s="1051"/>
      <c r="B281" s="1052" t="s">
        <v>10</v>
      </c>
      <c r="C281" s="1094"/>
      <c r="D281" s="1094" t="str">
        <f>$D$280</f>
        <v>г.Калуга,от ул.Октябрьский проезд до ул.Комарова</v>
      </c>
      <c r="E281" s="1094"/>
      <c r="F281" s="1099"/>
      <c r="G281" s="1099">
        <f t="shared" si="67"/>
        <v>0</v>
      </c>
      <c r="H281" s="1099">
        <f t="shared" si="68"/>
        <v>0</v>
      </c>
      <c r="I281" s="1099"/>
      <c r="J281" s="1099"/>
      <c r="K281" s="1099"/>
      <c r="L281" s="1099"/>
      <c r="M281" s="1099"/>
      <c r="N281" s="1627"/>
      <c r="O281" s="1054" t="s">
        <v>1300</v>
      </c>
      <c r="P281" s="1055"/>
      <c r="Q281" s="1076"/>
      <c r="R281" s="1057"/>
      <c r="Z281" s="1059"/>
    </row>
    <row r="282" spans="1:26" ht="33" customHeight="1" outlineLevel="1">
      <c r="A282" s="1051"/>
      <c r="B282" s="1052" t="s">
        <v>9</v>
      </c>
      <c r="C282" s="1094"/>
      <c r="D282" s="1094" t="str">
        <f>$D$280</f>
        <v>г.Калуга,от ул.Октябрьский проезд до ул.Комарова</v>
      </c>
      <c r="E282" s="1094"/>
      <c r="F282" s="1099"/>
      <c r="G282" s="1099">
        <f t="shared" si="67"/>
        <v>26718.286412992307</v>
      </c>
      <c r="H282" s="1099">
        <f t="shared" si="68"/>
        <v>32061.943695590769</v>
      </c>
      <c r="I282" s="1094">
        <f>I280</f>
        <v>0</v>
      </c>
      <c r="J282" s="1099">
        <f>J280</f>
        <v>0</v>
      </c>
      <c r="K282" s="1099">
        <f>K280</f>
        <v>0</v>
      </c>
      <c r="L282" s="1099">
        <f>L280</f>
        <v>0</v>
      </c>
      <c r="M282" s="1099">
        <f>M280</f>
        <v>32061.943695590769</v>
      </c>
      <c r="N282" s="1627"/>
      <c r="O282" s="1054" t="s">
        <v>1300</v>
      </c>
      <c r="P282" s="1055"/>
      <c r="Q282" s="1076"/>
      <c r="R282" s="1057"/>
      <c r="Z282" s="1059"/>
    </row>
    <row r="283" spans="1:26" ht="33" customHeight="1" outlineLevel="1">
      <c r="A283" s="1051"/>
      <c r="B283" s="1052" t="s">
        <v>14</v>
      </c>
      <c r="C283" s="1094"/>
      <c r="D283" s="1094" t="str">
        <f>$D$280</f>
        <v>г.Калуга,от ул.Октябрьский проезд до ул.Комарова</v>
      </c>
      <c r="E283" s="1094"/>
      <c r="F283" s="1099"/>
      <c r="G283" s="1099">
        <f t="shared" si="67"/>
        <v>0</v>
      </c>
      <c r="H283" s="1099">
        <f t="shared" si="68"/>
        <v>0</v>
      </c>
      <c r="I283" s="1099"/>
      <c r="J283" s="1099"/>
      <c r="K283" s="1099"/>
      <c r="L283" s="1099"/>
      <c r="M283" s="1099"/>
      <c r="N283" s="1627"/>
      <c r="O283" s="1054" t="s">
        <v>1300</v>
      </c>
      <c r="P283" s="1055"/>
      <c r="Q283" s="1076"/>
      <c r="R283" s="1057"/>
      <c r="Z283" s="1059"/>
    </row>
    <row r="284" spans="1:26" ht="63" customHeight="1" outlineLevel="1">
      <c r="A284" s="1086" t="s">
        <v>854</v>
      </c>
      <c r="B284" s="1148" t="s">
        <v>745</v>
      </c>
      <c r="C284" s="1099"/>
      <c r="D284" s="1099" t="s">
        <v>855</v>
      </c>
      <c r="E284" s="1094"/>
      <c r="F284" s="1099"/>
      <c r="G284" s="1099">
        <f t="shared" si="67"/>
        <v>1831.5371382750002</v>
      </c>
      <c r="H284" s="1099">
        <f t="shared" si="68"/>
        <v>2197.84456593</v>
      </c>
      <c r="I284" s="1099">
        <f>'Реконструкция ВОДА'!N26/1000</f>
        <v>2197.84456593</v>
      </c>
      <c r="J284" s="1099">
        <f>'Реконструкция ВОДА'!O26/1000</f>
        <v>0</v>
      </c>
      <c r="K284" s="1099"/>
      <c r="L284" s="1099"/>
      <c r="M284" s="1099"/>
      <c r="N284" s="1627" t="s">
        <v>541</v>
      </c>
      <c r="O284" s="2662" t="s">
        <v>1300</v>
      </c>
      <c r="P284" s="1055"/>
      <c r="Q284" s="1076"/>
      <c r="R284" s="1057"/>
      <c r="Z284" s="1059"/>
    </row>
    <row r="285" spans="1:26" ht="33" customHeight="1" outlineLevel="1">
      <c r="A285" s="1051"/>
      <c r="B285" s="1052" t="s">
        <v>10</v>
      </c>
      <c r="C285" s="1094"/>
      <c r="D285" s="1094" t="str">
        <f>$D$284</f>
        <v>г.Калуга, 2-ой Загородный проезд</v>
      </c>
      <c r="E285" s="1094"/>
      <c r="F285" s="1099"/>
      <c r="G285" s="1099">
        <f t="shared" si="67"/>
        <v>0</v>
      </c>
      <c r="H285" s="1099">
        <f t="shared" si="68"/>
        <v>0</v>
      </c>
      <c r="I285" s="1099"/>
      <c r="J285" s="1099"/>
      <c r="K285" s="1099"/>
      <c r="L285" s="1099"/>
      <c r="M285" s="1099"/>
      <c r="N285" s="1627"/>
      <c r="O285" s="1054" t="s">
        <v>1300</v>
      </c>
      <c r="P285" s="1055"/>
      <c r="Q285" s="1076"/>
      <c r="R285" s="1057"/>
      <c r="Z285" s="1059"/>
    </row>
    <row r="286" spans="1:26" ht="33" customHeight="1" outlineLevel="1">
      <c r="A286" s="1051"/>
      <c r="B286" s="1052" t="s">
        <v>9</v>
      </c>
      <c r="C286" s="1094"/>
      <c r="D286" s="1094" t="str">
        <f>$D$284</f>
        <v>г.Калуга, 2-ой Загородный проезд</v>
      </c>
      <c r="E286" s="1094"/>
      <c r="F286" s="1099"/>
      <c r="G286" s="1099">
        <f t="shared" si="67"/>
        <v>1831.5371382750002</v>
      </c>
      <c r="H286" s="1099">
        <f t="shared" si="68"/>
        <v>2197.84456593</v>
      </c>
      <c r="I286" s="1094">
        <f>I284</f>
        <v>2197.84456593</v>
      </c>
      <c r="J286" s="1099">
        <f>J284</f>
        <v>0</v>
      </c>
      <c r="K286" s="1099"/>
      <c r="L286" s="1099"/>
      <c r="M286" s="1099"/>
      <c r="N286" s="1627"/>
      <c r="O286" s="1054" t="s">
        <v>1300</v>
      </c>
      <c r="P286" s="1055"/>
      <c r="Q286" s="1076"/>
      <c r="R286" s="1057"/>
      <c r="Z286" s="1059"/>
    </row>
    <row r="287" spans="1:26" ht="34.5" customHeight="1" outlineLevel="1">
      <c r="A287" s="1051"/>
      <c r="B287" s="1052" t="s">
        <v>14</v>
      </c>
      <c r="C287" s="1094"/>
      <c r="D287" s="1094" t="str">
        <f>$D$284</f>
        <v>г.Калуга, 2-ой Загородный проезд</v>
      </c>
      <c r="E287" s="1094"/>
      <c r="F287" s="1099"/>
      <c r="G287" s="1099">
        <f t="shared" si="67"/>
        <v>0</v>
      </c>
      <c r="H287" s="1099">
        <f t="shared" si="68"/>
        <v>0</v>
      </c>
      <c r="I287" s="1099"/>
      <c r="J287" s="1099"/>
      <c r="K287" s="1099"/>
      <c r="L287" s="1099"/>
      <c r="M287" s="1099"/>
      <c r="N287" s="1627"/>
      <c r="O287" s="1054" t="s">
        <v>1300</v>
      </c>
      <c r="P287" s="1055"/>
      <c r="Q287" s="1076"/>
      <c r="R287" s="1057"/>
      <c r="Z287" s="1059"/>
    </row>
    <row r="288" spans="1:26" s="1035" customFormat="1" ht="70.5" customHeight="1">
      <c r="A288" s="1043" t="s">
        <v>39</v>
      </c>
      <c r="B288" s="2196" t="s">
        <v>72</v>
      </c>
      <c r="C288" s="1088">
        <f t="shared" ref="C288:M288" si="69">SUM(C292,C296)</f>
        <v>0</v>
      </c>
      <c r="D288" s="1095">
        <f t="shared" si="69"/>
        <v>0</v>
      </c>
      <c r="E288" s="1095">
        <f t="shared" si="69"/>
        <v>0</v>
      </c>
      <c r="F288" s="1088">
        <f t="shared" si="69"/>
        <v>0</v>
      </c>
      <c r="G288" s="1088">
        <f t="shared" si="69"/>
        <v>0</v>
      </c>
      <c r="H288" s="1088">
        <f t="shared" si="69"/>
        <v>0</v>
      </c>
      <c r="I288" s="1088">
        <f t="shared" si="69"/>
        <v>0</v>
      </c>
      <c r="J288" s="1088">
        <f t="shared" si="69"/>
        <v>0</v>
      </c>
      <c r="K288" s="1088">
        <f t="shared" si="69"/>
        <v>0</v>
      </c>
      <c r="L288" s="1088">
        <f t="shared" si="69"/>
        <v>0</v>
      </c>
      <c r="M288" s="1088">
        <f t="shared" si="69"/>
        <v>0</v>
      </c>
      <c r="N288" s="1089" t="s">
        <v>1301</v>
      </c>
      <c r="O288" s="1085" t="s">
        <v>1301</v>
      </c>
      <c r="P288" s="1055"/>
      <c r="Q288" s="1037"/>
      <c r="S288" s="1036"/>
      <c r="T288" s="1036"/>
      <c r="U288" s="1036"/>
      <c r="V288" s="1036"/>
      <c r="W288" s="1036"/>
      <c r="X288" s="1036"/>
      <c r="Y288" s="1036"/>
    </row>
    <row r="289" spans="1:25" s="1035" customFormat="1">
      <c r="A289" s="1044"/>
      <c r="B289" s="1041" t="s">
        <v>10</v>
      </c>
      <c r="C289" s="1095">
        <f t="shared" ref="C289:J289" si="70">SUM(C293,C297)</f>
        <v>0</v>
      </c>
      <c r="D289" s="1095">
        <f t="shared" si="70"/>
        <v>0</v>
      </c>
      <c r="E289" s="1095">
        <f t="shared" si="70"/>
        <v>0</v>
      </c>
      <c r="F289" s="1088">
        <f t="shared" si="70"/>
        <v>0</v>
      </c>
      <c r="G289" s="1088">
        <f t="shared" si="70"/>
        <v>0</v>
      </c>
      <c r="H289" s="1088">
        <f t="shared" si="70"/>
        <v>0</v>
      </c>
      <c r="I289" s="1942">
        <f t="shared" si="70"/>
        <v>0</v>
      </c>
      <c r="J289" s="1095">
        <f t="shared" si="70"/>
        <v>0</v>
      </c>
      <c r="K289" s="1095"/>
      <c r="L289" s="1095">
        <f t="shared" ref="L289:M291" si="71">SUM(L293,L297)</f>
        <v>0</v>
      </c>
      <c r="M289" s="1095">
        <f t="shared" si="71"/>
        <v>0</v>
      </c>
      <c r="N289" s="1089" t="s">
        <v>1301</v>
      </c>
      <c r="O289" s="1040" t="s">
        <v>1301</v>
      </c>
      <c r="P289" s="1096"/>
      <c r="R289" s="1036"/>
      <c r="S289" s="1036"/>
      <c r="T289" s="1036"/>
      <c r="U289" s="1036"/>
      <c r="V289" s="1036"/>
      <c r="W289" s="1036"/>
      <c r="X289" s="1036"/>
      <c r="Y289" s="1036"/>
    </row>
    <row r="290" spans="1:25" s="1035" customFormat="1">
      <c r="A290" s="1044"/>
      <c r="B290" s="1041" t="s">
        <v>9</v>
      </c>
      <c r="C290" s="1095">
        <f t="shared" ref="C290:J290" si="72">SUM(C294,C298)</f>
        <v>0</v>
      </c>
      <c r="D290" s="1095">
        <f t="shared" si="72"/>
        <v>0</v>
      </c>
      <c r="E290" s="1095">
        <f t="shared" si="72"/>
        <v>0</v>
      </c>
      <c r="F290" s="1088">
        <f t="shared" si="72"/>
        <v>0</v>
      </c>
      <c r="G290" s="1088">
        <f t="shared" si="72"/>
        <v>0</v>
      </c>
      <c r="H290" s="1088">
        <f t="shared" si="72"/>
        <v>0</v>
      </c>
      <c r="I290" s="1942">
        <f t="shared" si="72"/>
        <v>0</v>
      </c>
      <c r="J290" s="1095">
        <f t="shared" si="72"/>
        <v>0</v>
      </c>
      <c r="K290" s="1095"/>
      <c r="L290" s="1095">
        <f t="shared" si="71"/>
        <v>0</v>
      </c>
      <c r="M290" s="1095">
        <f t="shared" si="71"/>
        <v>0</v>
      </c>
      <c r="N290" s="1089" t="s">
        <v>1301</v>
      </c>
      <c r="O290" s="1040" t="s">
        <v>1301</v>
      </c>
      <c r="P290" s="1096"/>
      <c r="R290" s="1036"/>
      <c r="S290" s="1036"/>
      <c r="T290" s="1036"/>
      <c r="U290" s="1036"/>
      <c r="V290" s="1036"/>
      <c r="W290" s="1036"/>
      <c r="X290" s="1036"/>
      <c r="Y290" s="1036"/>
    </row>
    <row r="291" spans="1:25" s="1035" customFormat="1">
      <c r="A291" s="1044"/>
      <c r="B291" s="1041" t="s">
        <v>14</v>
      </c>
      <c r="C291" s="1095">
        <f t="shared" ref="C291:J291" si="73">SUM(C295,C299)</f>
        <v>0</v>
      </c>
      <c r="D291" s="1095">
        <f t="shared" si="73"/>
        <v>0</v>
      </c>
      <c r="E291" s="1095">
        <f t="shared" si="73"/>
        <v>0</v>
      </c>
      <c r="F291" s="1088">
        <f t="shared" si="73"/>
        <v>0</v>
      </c>
      <c r="G291" s="1088">
        <f t="shared" si="73"/>
        <v>0</v>
      </c>
      <c r="H291" s="1088">
        <f t="shared" si="73"/>
        <v>0</v>
      </c>
      <c r="I291" s="1942">
        <f t="shared" si="73"/>
        <v>0</v>
      </c>
      <c r="J291" s="1095">
        <f t="shared" si="73"/>
        <v>0</v>
      </c>
      <c r="K291" s="1095"/>
      <c r="L291" s="1095">
        <f t="shared" si="71"/>
        <v>0</v>
      </c>
      <c r="M291" s="1095">
        <f t="shared" si="71"/>
        <v>0</v>
      </c>
      <c r="N291" s="1089" t="s">
        <v>1301</v>
      </c>
      <c r="O291" s="1090" t="s">
        <v>1301</v>
      </c>
      <c r="P291" s="1096"/>
      <c r="R291" s="1036"/>
      <c r="S291" s="1036"/>
      <c r="T291" s="1036"/>
      <c r="U291" s="1036"/>
      <c r="V291" s="1036"/>
      <c r="W291" s="1036"/>
      <c r="X291" s="1036"/>
      <c r="Y291" s="1036"/>
    </row>
    <row r="292" spans="1:25" s="1035" customFormat="1">
      <c r="A292" s="1043" t="s">
        <v>30</v>
      </c>
      <c r="B292" s="2196" t="s">
        <v>40</v>
      </c>
      <c r="C292" s="1100"/>
      <c r="D292" s="1100"/>
      <c r="E292" s="1100"/>
      <c r="F292" s="1100"/>
      <c r="G292" s="1100"/>
      <c r="H292" s="1100"/>
      <c r="I292" s="1100"/>
      <c r="J292" s="1100"/>
      <c r="K292" s="1100"/>
      <c r="L292" s="1100"/>
      <c r="M292" s="1100"/>
      <c r="N292" s="1621" t="s">
        <v>1301</v>
      </c>
      <c r="O292" s="1090" t="s">
        <v>1301</v>
      </c>
      <c r="P292" s="1037"/>
    </row>
    <row r="293" spans="1:25" s="1035" customFormat="1">
      <c r="A293" s="1043"/>
      <c r="B293" s="2197" t="s">
        <v>10</v>
      </c>
      <c r="C293" s="1100"/>
      <c r="D293" s="1100"/>
      <c r="E293" s="1100"/>
      <c r="F293" s="1100"/>
      <c r="G293" s="1100"/>
      <c r="H293" s="1100"/>
      <c r="I293" s="1100"/>
      <c r="J293" s="1100"/>
      <c r="K293" s="1100"/>
      <c r="L293" s="1100"/>
      <c r="M293" s="1100"/>
      <c r="N293" s="1621" t="s">
        <v>1301</v>
      </c>
      <c r="O293" s="1090" t="s">
        <v>1301</v>
      </c>
      <c r="P293" s="1037"/>
    </row>
    <row r="294" spans="1:25" s="1035" customFormat="1">
      <c r="A294" s="1043"/>
      <c r="B294" s="2198" t="s">
        <v>9</v>
      </c>
      <c r="C294" s="1100"/>
      <c r="D294" s="1100"/>
      <c r="E294" s="1100"/>
      <c r="F294" s="1100"/>
      <c r="G294" s="1100"/>
      <c r="H294" s="1100"/>
      <c r="I294" s="1100"/>
      <c r="J294" s="1100"/>
      <c r="K294" s="1100"/>
      <c r="L294" s="1100"/>
      <c r="M294" s="1100"/>
      <c r="N294" s="1621" t="s">
        <v>1301</v>
      </c>
      <c r="O294" s="1090" t="s">
        <v>1301</v>
      </c>
      <c r="P294" s="1037"/>
    </row>
    <row r="295" spans="1:25" s="1035" customFormat="1">
      <c r="A295" s="1043"/>
      <c r="B295" s="2198" t="s">
        <v>14</v>
      </c>
      <c r="C295" s="1100"/>
      <c r="D295" s="1100"/>
      <c r="E295" s="1100"/>
      <c r="F295" s="1100"/>
      <c r="G295" s="1100"/>
      <c r="H295" s="1100"/>
      <c r="I295" s="1100"/>
      <c r="J295" s="1100"/>
      <c r="K295" s="1100"/>
      <c r="L295" s="1100"/>
      <c r="M295" s="1100"/>
      <c r="N295" s="1621" t="s">
        <v>1301</v>
      </c>
      <c r="O295" s="1090" t="s">
        <v>1301</v>
      </c>
      <c r="P295" s="1037"/>
    </row>
    <row r="296" spans="1:25" s="1035" customFormat="1" ht="54">
      <c r="A296" s="1043" t="s">
        <v>31</v>
      </c>
      <c r="B296" s="2196" t="s">
        <v>41</v>
      </c>
      <c r="C296" s="1100"/>
      <c r="D296" s="1100"/>
      <c r="E296" s="1100"/>
      <c r="F296" s="1100"/>
      <c r="G296" s="1100"/>
      <c r="H296" s="1100"/>
      <c r="I296" s="1100"/>
      <c r="J296" s="1100"/>
      <c r="K296" s="1100"/>
      <c r="L296" s="1100"/>
      <c r="M296" s="1100"/>
      <c r="N296" s="1621" t="s">
        <v>1301</v>
      </c>
      <c r="O296" s="1090" t="s">
        <v>1301</v>
      </c>
      <c r="P296" s="1037"/>
    </row>
    <row r="297" spans="1:25" s="1035" customFormat="1">
      <c r="A297" s="1043"/>
      <c r="B297" s="2197" t="s">
        <v>10</v>
      </c>
      <c r="C297" s="1100"/>
      <c r="D297" s="1100"/>
      <c r="E297" s="1100"/>
      <c r="F297" s="1100"/>
      <c r="G297" s="1100"/>
      <c r="H297" s="1100"/>
      <c r="I297" s="1100"/>
      <c r="J297" s="1100"/>
      <c r="K297" s="1100"/>
      <c r="L297" s="1100"/>
      <c r="M297" s="1100"/>
      <c r="N297" s="1621" t="s">
        <v>1301</v>
      </c>
      <c r="O297" s="1090" t="s">
        <v>1301</v>
      </c>
      <c r="P297" s="1037"/>
    </row>
    <row r="298" spans="1:25" s="1035" customFormat="1">
      <c r="A298" s="1043"/>
      <c r="B298" s="2198" t="s">
        <v>9</v>
      </c>
      <c r="C298" s="1100"/>
      <c r="D298" s="1100"/>
      <c r="E298" s="1100"/>
      <c r="F298" s="1100"/>
      <c r="G298" s="1100"/>
      <c r="H298" s="1100"/>
      <c r="I298" s="1100"/>
      <c r="J298" s="1100"/>
      <c r="K298" s="1100"/>
      <c r="L298" s="1100"/>
      <c r="M298" s="1100"/>
      <c r="N298" s="1621" t="s">
        <v>1301</v>
      </c>
      <c r="O298" s="1090" t="s">
        <v>1301</v>
      </c>
      <c r="P298" s="1037"/>
    </row>
    <row r="299" spans="1:25" s="1035" customFormat="1" ht="54.75" customHeight="1">
      <c r="A299" s="1043"/>
      <c r="B299" s="2198" t="s">
        <v>14</v>
      </c>
      <c r="C299" s="1100"/>
      <c r="D299" s="1100"/>
      <c r="E299" s="1100"/>
      <c r="F299" s="1100"/>
      <c r="G299" s="1100"/>
      <c r="H299" s="1100"/>
      <c r="I299" s="1100"/>
      <c r="J299" s="1100"/>
      <c r="K299" s="1100"/>
      <c r="L299" s="1100"/>
      <c r="M299" s="1100"/>
      <c r="N299" s="1621" t="s">
        <v>1301</v>
      </c>
      <c r="O299" s="1090" t="s">
        <v>1301</v>
      </c>
      <c r="P299" s="1037"/>
    </row>
    <row r="300" spans="1:25" s="1493" customFormat="1" ht="258.75" customHeight="1">
      <c r="A300" s="1043" t="s">
        <v>161</v>
      </c>
      <c r="B300" s="2196" t="s">
        <v>1095</v>
      </c>
      <c r="C300" s="1100"/>
      <c r="D300" s="1100"/>
      <c r="E300" s="1100"/>
      <c r="F300" s="1100"/>
      <c r="G300" s="1100">
        <f>SUM(G304,G308,G312)</f>
        <v>314738.34704910405</v>
      </c>
      <c r="H300" s="1100">
        <f t="shared" ref="H300:M300" si="74">SUM(H304,H308,H312)</f>
        <v>377686.01645892486</v>
      </c>
      <c r="I300" s="1100">
        <f t="shared" si="74"/>
        <v>42318.433597199997</v>
      </c>
      <c r="J300" s="1100">
        <f t="shared" si="74"/>
        <v>94785.64272486241</v>
      </c>
      <c r="K300" s="1100">
        <f t="shared" si="74"/>
        <v>89941.58022486241</v>
      </c>
      <c r="L300" s="1100">
        <f t="shared" si="74"/>
        <v>75320.179956000007</v>
      </c>
      <c r="M300" s="1100">
        <f t="shared" si="74"/>
        <v>75320.179956000007</v>
      </c>
      <c r="N300" s="1621" t="s">
        <v>1301</v>
      </c>
      <c r="O300" s="1090" t="s">
        <v>1301</v>
      </c>
      <c r="P300" s="1652"/>
    </row>
    <row r="301" spans="1:25" s="1493" customFormat="1">
      <c r="A301" s="1043"/>
      <c r="B301" s="2197" t="s">
        <v>10</v>
      </c>
      <c r="C301" s="1100"/>
      <c r="D301" s="1100"/>
      <c r="E301" s="1100"/>
      <c r="F301" s="1100"/>
      <c r="G301" s="1100">
        <f t="shared" ref="G301:M301" si="75">SUM(G305,G309,G313)</f>
        <v>24369.000448104001</v>
      </c>
      <c r="H301" s="1100">
        <f t="shared" si="75"/>
        <v>29242.800537724801</v>
      </c>
      <c r="I301" s="1100">
        <f t="shared" si="75"/>
        <v>0</v>
      </c>
      <c r="J301" s="1100">
        <f t="shared" si="75"/>
        <v>14621.4002688624</v>
      </c>
      <c r="K301" s="1100">
        <f t="shared" si="75"/>
        <v>14621.4002688624</v>
      </c>
      <c r="L301" s="1100">
        <f t="shared" si="75"/>
        <v>0</v>
      </c>
      <c r="M301" s="1100">
        <f t="shared" si="75"/>
        <v>0</v>
      </c>
      <c r="N301" s="1621" t="s">
        <v>1301</v>
      </c>
      <c r="O301" s="1090" t="s">
        <v>1301</v>
      </c>
      <c r="P301" s="1652"/>
    </row>
    <row r="302" spans="1:25" s="1493" customFormat="1">
      <c r="A302" s="1043"/>
      <c r="B302" s="2198" t="s">
        <v>9</v>
      </c>
      <c r="C302" s="1100"/>
      <c r="D302" s="1100"/>
      <c r="E302" s="1100"/>
      <c r="F302" s="1100"/>
      <c r="G302" s="1100">
        <f>SUM(G306,G310,G314)</f>
        <v>290369.34660100006</v>
      </c>
      <c r="H302" s="1100">
        <f t="shared" ref="H302:M302" si="76">SUM(H306,H310,H314)</f>
        <v>348443.21592120006</v>
      </c>
      <c r="I302" s="1100">
        <f t="shared" si="76"/>
        <v>42318.433597199997</v>
      </c>
      <c r="J302" s="1100">
        <f t="shared" si="76"/>
        <v>80164.242456000007</v>
      </c>
      <c r="K302" s="1100">
        <f t="shared" si="76"/>
        <v>75320.179956000007</v>
      </c>
      <c r="L302" s="1100">
        <f t="shared" si="76"/>
        <v>75320.179956000007</v>
      </c>
      <c r="M302" s="1100">
        <f t="shared" si="76"/>
        <v>75320.179956000007</v>
      </c>
      <c r="N302" s="1621" t="s">
        <v>1301</v>
      </c>
      <c r="O302" s="1090" t="s">
        <v>1301</v>
      </c>
      <c r="P302" s="1652"/>
    </row>
    <row r="303" spans="1:25" s="1493" customFormat="1">
      <c r="A303" s="1043"/>
      <c r="B303" s="2198" t="s">
        <v>14</v>
      </c>
      <c r="C303" s="1100"/>
      <c r="D303" s="1100"/>
      <c r="E303" s="1100"/>
      <c r="F303" s="1100"/>
      <c r="G303" s="1100">
        <f t="shared" ref="G303:M303" si="77">SUM(G307,G311,G315)</f>
        <v>0</v>
      </c>
      <c r="H303" s="1100">
        <f t="shared" si="77"/>
        <v>0</v>
      </c>
      <c r="I303" s="1100">
        <f t="shared" si="77"/>
        <v>0</v>
      </c>
      <c r="J303" s="1100">
        <f t="shared" si="77"/>
        <v>0</v>
      </c>
      <c r="K303" s="1100">
        <f t="shared" si="77"/>
        <v>0</v>
      </c>
      <c r="L303" s="1100">
        <f t="shared" si="77"/>
        <v>0</v>
      </c>
      <c r="M303" s="1100">
        <f t="shared" si="77"/>
        <v>0</v>
      </c>
      <c r="N303" s="1621" t="s">
        <v>1301</v>
      </c>
      <c r="O303" s="1185" t="s">
        <v>1301</v>
      </c>
      <c r="P303" s="1652"/>
    </row>
    <row r="304" spans="1:25" s="1182" customFormat="1" ht="81" outlineLevel="1">
      <c r="A304" s="1045" t="s">
        <v>872</v>
      </c>
      <c r="B304" s="1060" t="str">
        <f>'Пр 5.Мер-я по кап.влож.в ОС '!B13</f>
        <v>Корректировка Проектной документации на объект капитального строительства: «Строительство сетей водоснабжения  микрорайонов «Кошелев-проект, Ташир, кварталов № 5-19, 22, 23 в районе д. Верховая, д. Квань, г. Калуга»</v>
      </c>
      <c r="C304" s="1102"/>
      <c r="D304" s="1092" t="s">
        <v>874</v>
      </c>
      <c r="E304" s="1102"/>
      <c r="F304" s="1102"/>
      <c r="G304" s="1102">
        <f>H304/1.2</f>
        <v>24369.000448104001</v>
      </c>
      <c r="H304" s="1102">
        <f>SUM(I304:M304)</f>
        <v>29242.800537724801</v>
      </c>
      <c r="I304" s="1102"/>
      <c r="J304" s="1102">
        <f>Строительство!P17/1000</f>
        <v>14621.4002688624</v>
      </c>
      <c r="K304" s="1102">
        <f>Строительство!Q17/1000</f>
        <v>14621.4002688624</v>
      </c>
      <c r="L304" s="1102"/>
      <c r="M304" s="1102"/>
      <c r="N304" s="1622" t="s">
        <v>14930</v>
      </c>
      <c r="O304" s="1047" t="s">
        <v>1300</v>
      </c>
      <c r="P304" s="1653"/>
    </row>
    <row r="305" spans="1:25" s="1183" customFormat="1" ht="55.5" outlineLevel="1">
      <c r="A305" s="1051"/>
      <c r="B305" s="1052" t="s">
        <v>10</v>
      </c>
      <c r="C305" s="1168"/>
      <c r="D305" s="1168" t="str">
        <f>D304</f>
        <v xml:space="preserve">г.Калуга, в районе д. Верховая, д. Квань </v>
      </c>
      <c r="E305" s="1168"/>
      <c r="F305" s="1168"/>
      <c r="G305" s="1168">
        <f>H305/1.2</f>
        <v>24369.000448104001</v>
      </c>
      <c r="H305" s="1168">
        <f>SUM(I305:M305)</f>
        <v>29242.800537724801</v>
      </c>
      <c r="I305" s="1168">
        <f>I304</f>
        <v>0</v>
      </c>
      <c r="J305" s="1168">
        <f>J304</f>
        <v>14621.4002688624</v>
      </c>
      <c r="K305" s="1168">
        <f>K304</f>
        <v>14621.4002688624</v>
      </c>
      <c r="L305" s="1168"/>
      <c r="M305" s="1168"/>
      <c r="N305" s="1623"/>
      <c r="O305" s="1054" t="s">
        <v>1300</v>
      </c>
      <c r="P305" s="1654"/>
    </row>
    <row r="306" spans="1:25" s="1183" customFormat="1" ht="55.5" outlineLevel="1">
      <c r="A306" s="1051"/>
      <c r="B306" s="1052" t="s">
        <v>9</v>
      </c>
      <c r="C306" s="1168"/>
      <c r="D306" s="1168" t="str">
        <f>D304</f>
        <v xml:space="preserve">г.Калуга, в районе д. Верховая, д. Квань </v>
      </c>
      <c r="E306" s="1168"/>
      <c r="F306" s="1168"/>
      <c r="G306" s="1168">
        <f>H306/1.2</f>
        <v>0</v>
      </c>
      <c r="H306" s="1168">
        <f>SUM(I306:M306)</f>
        <v>0</v>
      </c>
      <c r="I306" s="1168"/>
      <c r="J306" s="1168"/>
      <c r="K306" s="1168"/>
      <c r="L306" s="1168"/>
      <c r="M306" s="1168"/>
      <c r="N306" s="1623"/>
      <c r="O306" s="1054" t="s">
        <v>1300</v>
      </c>
      <c r="P306" s="1654"/>
    </row>
    <row r="307" spans="1:25" s="1183" customFormat="1" ht="55.5" outlineLevel="1">
      <c r="A307" s="1051"/>
      <c r="B307" s="1052" t="s">
        <v>14</v>
      </c>
      <c r="C307" s="1168"/>
      <c r="D307" s="1168" t="str">
        <f>D304</f>
        <v xml:space="preserve">г.Калуга, в районе д. Верховая, д. Квань </v>
      </c>
      <c r="E307" s="1168"/>
      <c r="F307" s="1168"/>
      <c r="G307" s="1168"/>
      <c r="H307" s="1168"/>
      <c r="I307" s="1168"/>
      <c r="J307" s="1168"/>
      <c r="K307" s="1168"/>
      <c r="L307" s="1168"/>
      <c r="M307" s="1168"/>
      <c r="N307" s="1623"/>
      <c r="O307" s="1054" t="s">
        <v>1300</v>
      </c>
      <c r="P307" s="1654"/>
    </row>
    <row r="308" spans="1:25" s="1182" customFormat="1" ht="102.75" customHeight="1" outlineLevel="1">
      <c r="A308" s="1045" t="s">
        <v>873</v>
      </c>
      <c r="B308" s="1060" t="str">
        <f>'Пр 5.Мер-я по кап.влож.в ОС '!B17</f>
        <v>Внедрение модуля программного обеспечения "Расчеты с абонентами","Промышленный документооборот","Разработка личного кабинета"</v>
      </c>
      <c r="C308" s="1102"/>
      <c r="D308" s="1092" t="s">
        <v>654</v>
      </c>
      <c r="E308" s="1102"/>
      <c r="F308" s="1102"/>
      <c r="G308" s="1102">
        <f>H308/1.2</f>
        <v>8073.4375</v>
      </c>
      <c r="H308" s="1102">
        <f>SUM(I308:M308)</f>
        <v>9688.125</v>
      </c>
      <c r="I308" s="1102">
        <f>Старт!AD17/1000+Старт!AD21/1000</f>
        <v>4844.0625</v>
      </c>
      <c r="J308" s="1102">
        <f>(Старт!AE17+Старт!AE21)/1000</f>
        <v>4844.0625</v>
      </c>
      <c r="K308" s="1102"/>
      <c r="L308" s="1102"/>
      <c r="M308" s="1102"/>
      <c r="N308" s="1622" t="s">
        <v>653</v>
      </c>
      <c r="O308" s="1047" t="s">
        <v>1300</v>
      </c>
      <c r="P308" s="1653"/>
    </row>
    <row r="309" spans="1:25" s="1183" customFormat="1" ht="55.5" outlineLevel="1">
      <c r="A309" s="1051"/>
      <c r="B309" s="1052" t="s">
        <v>10</v>
      </c>
      <c r="C309" s="1168"/>
      <c r="D309" s="1168" t="str">
        <f>D308</f>
        <v>г.Калуга</v>
      </c>
      <c r="E309" s="1168"/>
      <c r="F309" s="1168"/>
      <c r="G309" s="1168"/>
      <c r="H309" s="1168"/>
      <c r="I309" s="1168"/>
      <c r="J309" s="1168"/>
      <c r="K309" s="1168"/>
      <c r="L309" s="1168"/>
      <c r="M309" s="1168"/>
      <c r="N309" s="1623"/>
      <c r="O309" s="1054" t="s">
        <v>1300</v>
      </c>
      <c r="P309" s="1654"/>
    </row>
    <row r="310" spans="1:25" s="1183" customFormat="1" ht="55.5" outlineLevel="1">
      <c r="A310" s="1051"/>
      <c r="B310" s="1052" t="s">
        <v>9</v>
      </c>
      <c r="C310" s="1168"/>
      <c r="D310" s="1168" t="str">
        <f>D308</f>
        <v>г.Калуга</v>
      </c>
      <c r="E310" s="1168"/>
      <c r="F310" s="1168"/>
      <c r="G310" s="1168">
        <f>H310/1.2</f>
        <v>8073.4375</v>
      </c>
      <c r="H310" s="1168">
        <f>SUM(I310:M310)</f>
        <v>9688.125</v>
      </c>
      <c r="I310" s="1168">
        <f>I308</f>
        <v>4844.0625</v>
      </c>
      <c r="J310" s="1168">
        <f>J308</f>
        <v>4844.0625</v>
      </c>
      <c r="K310" s="1168"/>
      <c r="L310" s="1168"/>
      <c r="M310" s="1168"/>
      <c r="N310" s="1623"/>
      <c r="O310" s="1054" t="s">
        <v>1300</v>
      </c>
      <c r="P310" s="1654"/>
    </row>
    <row r="311" spans="1:25" s="1183" customFormat="1" ht="55.5" outlineLevel="1">
      <c r="A311" s="1051"/>
      <c r="B311" s="1052" t="s">
        <v>14</v>
      </c>
      <c r="C311" s="1168"/>
      <c r="D311" s="1168" t="str">
        <f>D308</f>
        <v>г.Калуга</v>
      </c>
      <c r="E311" s="1168"/>
      <c r="F311" s="1168"/>
      <c r="G311" s="1168"/>
      <c r="H311" s="1168"/>
      <c r="I311" s="1168"/>
      <c r="J311" s="1168"/>
      <c r="K311" s="1168"/>
      <c r="L311" s="1168"/>
      <c r="M311" s="1168"/>
      <c r="N311" s="1623"/>
      <c r="O311" s="1054" t="s">
        <v>1300</v>
      </c>
      <c r="P311" s="1654"/>
    </row>
    <row r="312" spans="1:25" s="1182" customFormat="1" ht="101.25" customHeight="1" outlineLevel="1">
      <c r="A312" s="1045" t="s">
        <v>875</v>
      </c>
      <c r="B312" s="1060" t="str">
        <f>'Пр 5.Мер-я по кап.влож.в ОС '!B18</f>
        <v>Выполнение работ по установке (внедрению) автоматизированной информационно-измерительной системы учета водоснабжения (АИИСУВ)</v>
      </c>
      <c r="C312" s="1102"/>
      <c r="D312" s="1092" t="s">
        <v>654</v>
      </c>
      <c r="E312" s="1102"/>
      <c r="F312" s="1102"/>
      <c r="G312" s="1102">
        <f>H312/1.2</f>
        <v>282295.90910100006</v>
      </c>
      <c r="H312" s="1102">
        <f>SUM(I312:M312)</f>
        <v>338755.09092120006</v>
      </c>
      <c r="I312" s="1102">
        <f>Водоприбор!Y11/1000</f>
        <v>37474.371097199997</v>
      </c>
      <c r="J312" s="1102">
        <f>Водоприбор!Z11/1000</f>
        <v>75320.179956000007</v>
      </c>
      <c r="K312" s="1102">
        <f>Водоприбор!AA11/1000</f>
        <v>75320.179956000007</v>
      </c>
      <c r="L312" s="1102">
        <f>Водоприбор!AB11/1000</f>
        <v>75320.179956000007</v>
      </c>
      <c r="M312" s="1102">
        <f>Водоприбор!AC11/1000</f>
        <v>75320.179956000007</v>
      </c>
      <c r="N312" s="1622" t="s">
        <v>286</v>
      </c>
      <c r="O312" s="1047" t="s">
        <v>14883</v>
      </c>
      <c r="P312" s="1653"/>
    </row>
    <row r="313" spans="1:25" s="1183" customFormat="1" outlineLevel="1">
      <c r="A313" s="1051"/>
      <c r="B313" s="1052" t="s">
        <v>10</v>
      </c>
      <c r="C313" s="1168"/>
      <c r="D313" s="1168" t="str">
        <f>D312</f>
        <v>г.Калуга</v>
      </c>
      <c r="E313" s="1168"/>
      <c r="F313" s="1168"/>
      <c r="G313" s="1168"/>
      <c r="H313" s="1168"/>
      <c r="I313" s="1168"/>
      <c r="J313" s="1168"/>
      <c r="K313" s="1168"/>
      <c r="L313" s="1168"/>
      <c r="M313" s="1168"/>
      <c r="N313" s="1623"/>
      <c r="O313" s="1054" t="str">
        <f>O312</f>
        <v>амортизационные отчисления</v>
      </c>
      <c r="P313" s="1654"/>
    </row>
    <row r="314" spans="1:25" s="1183" customFormat="1" outlineLevel="1">
      <c r="A314" s="1051"/>
      <c r="B314" s="1052" t="s">
        <v>9</v>
      </c>
      <c r="C314" s="1168"/>
      <c r="D314" s="1168" t="str">
        <f>D312</f>
        <v>г.Калуга</v>
      </c>
      <c r="E314" s="1168"/>
      <c r="F314" s="1168"/>
      <c r="G314" s="1168">
        <f>H314/1.2</f>
        <v>282295.90910100006</v>
      </c>
      <c r="H314" s="1168">
        <f>SUM(I314:M314)</f>
        <v>338755.09092120006</v>
      </c>
      <c r="I314" s="1168">
        <f>I312</f>
        <v>37474.371097199997</v>
      </c>
      <c r="J314" s="1168">
        <f>J312</f>
        <v>75320.179956000007</v>
      </c>
      <c r="K314" s="1168">
        <f>K312</f>
        <v>75320.179956000007</v>
      </c>
      <c r="L314" s="1168">
        <f>L312</f>
        <v>75320.179956000007</v>
      </c>
      <c r="M314" s="1168">
        <f>M312</f>
        <v>75320.179956000007</v>
      </c>
      <c r="N314" s="1623"/>
      <c r="O314" s="1054" t="str">
        <f>O312</f>
        <v>амортизационные отчисления</v>
      </c>
      <c r="P314" s="1654"/>
    </row>
    <row r="315" spans="1:25" s="1183" customFormat="1" outlineLevel="1">
      <c r="A315" s="1051"/>
      <c r="B315" s="1052" t="s">
        <v>14</v>
      </c>
      <c r="C315" s="1168"/>
      <c r="D315" s="1168" t="str">
        <f>D312</f>
        <v>г.Калуга</v>
      </c>
      <c r="E315" s="1168"/>
      <c r="F315" s="1168"/>
      <c r="G315" s="1168"/>
      <c r="H315" s="1168"/>
      <c r="I315" s="1168"/>
      <c r="J315" s="1168"/>
      <c r="K315" s="1168"/>
      <c r="L315" s="1168"/>
      <c r="M315" s="1168"/>
      <c r="N315" s="1623"/>
      <c r="O315" s="1054" t="str">
        <f>O312</f>
        <v>амортизационные отчисления</v>
      </c>
      <c r="P315" s="1654"/>
    </row>
    <row r="316" spans="1:25" s="1493" customFormat="1" ht="54">
      <c r="A316" s="1043" t="s">
        <v>2197</v>
      </c>
      <c r="B316" s="2196" t="s">
        <v>2198</v>
      </c>
      <c r="C316" s="1100"/>
      <c r="D316" s="1100" t="s">
        <v>654</v>
      </c>
      <c r="E316" s="1100"/>
      <c r="F316" s="1100"/>
      <c r="G316" s="1944">
        <f>H316/1.2</f>
        <v>3545.3808989999993</v>
      </c>
      <c r="H316" s="1944">
        <f>SUM(I316:M316)</f>
        <v>4254.4570787999992</v>
      </c>
      <c r="I316" s="1944">
        <f>SUM(I317:I319)</f>
        <v>3487.4009027999996</v>
      </c>
      <c r="J316" s="1944">
        <f>SUM(J317:J319)</f>
        <v>191.76404399999998</v>
      </c>
      <c r="K316" s="1944">
        <f>SUM(K317:K319)</f>
        <v>191.76404399999998</v>
      </c>
      <c r="L316" s="1944">
        <f>SUM(L317:L319)</f>
        <v>191.76404399999998</v>
      </c>
      <c r="M316" s="1944">
        <f>SUM(M317:M319)</f>
        <v>191.76404399999998</v>
      </c>
      <c r="N316" s="1926" t="s">
        <v>286</v>
      </c>
      <c r="O316" s="1085" t="s">
        <v>14883</v>
      </c>
      <c r="P316" s="1652"/>
    </row>
    <row r="317" spans="1:25" s="1036" customFormat="1" hidden="1">
      <c r="A317" s="1044"/>
      <c r="B317" s="2204"/>
      <c r="C317" s="1942"/>
      <c r="D317" s="1942"/>
      <c r="E317" s="1942"/>
      <c r="F317" s="1942"/>
      <c r="G317" s="1942">
        <f>H317/1.2</f>
        <v>0</v>
      </c>
      <c r="H317" s="1942">
        <f>SUM(I317:M317)</f>
        <v>0</v>
      </c>
      <c r="I317" s="1942"/>
      <c r="J317" s="1942"/>
      <c r="K317" s="1942"/>
      <c r="L317" s="1942"/>
      <c r="M317" s="1942"/>
      <c r="N317" s="2205"/>
      <c r="O317" s="1090"/>
      <c r="P317" s="1943"/>
    </row>
    <row r="318" spans="1:25" s="1036" customFormat="1">
      <c r="A318" s="1044"/>
      <c r="B318" s="2206"/>
      <c r="C318" s="1942"/>
      <c r="D318" s="1942" t="str">
        <f>D316</f>
        <v>г.Калуга</v>
      </c>
      <c r="E318" s="1942"/>
      <c r="F318" s="1942"/>
      <c r="G318" s="1942">
        <f>H318/1.2</f>
        <v>3545.3808989999993</v>
      </c>
      <c r="H318" s="1942">
        <f>SUM(I318:M318)</f>
        <v>4254.4570787999992</v>
      </c>
      <c r="I318" s="1942">
        <f>'Пр.4 Мероприятия по ГО и ЧС'!D27/1000*1.2+'Пр.4 Мероприятия по ГО и ЧС'!D41/1000*1.2</f>
        <v>3487.4009027999996</v>
      </c>
      <c r="J318" s="1942">
        <f>'Пр.4 Мероприятия по ГО и ЧС'!D28/1000*1.2</f>
        <v>191.76404399999998</v>
      </c>
      <c r="K318" s="1942">
        <f>'Пр.4 Мероприятия по ГО и ЧС'!D29/1000*1.2</f>
        <v>191.76404399999998</v>
      </c>
      <c r="L318" s="1942">
        <f>'Пр.4 Мероприятия по ГО и ЧС'!D30/1000*1.2</f>
        <v>191.76404399999998</v>
      </c>
      <c r="M318" s="1942">
        <f>'Пр.4 Мероприятия по ГО и ЧС'!D31/1000*1.2</f>
        <v>191.76404399999998</v>
      </c>
      <c r="N318" s="2205" t="s">
        <v>1301</v>
      </c>
      <c r="O318" s="1090" t="str">
        <f>O316</f>
        <v>амортизационные отчисления</v>
      </c>
      <c r="P318" s="1943"/>
    </row>
    <row r="319" spans="1:25" s="1036" customFormat="1" hidden="1">
      <c r="A319" s="1044"/>
      <c r="B319" s="2206"/>
      <c r="C319" s="1942"/>
      <c r="D319" s="1942"/>
      <c r="E319" s="1942"/>
      <c r="F319" s="1942"/>
      <c r="G319" s="1942">
        <f>H319/1.2</f>
        <v>0</v>
      </c>
      <c r="H319" s="1942">
        <f>SUM(I319:M319)</f>
        <v>0</v>
      </c>
      <c r="I319" s="1942"/>
      <c r="J319" s="1942"/>
      <c r="K319" s="1942"/>
      <c r="L319" s="1942"/>
      <c r="M319" s="1942"/>
      <c r="N319" s="2205"/>
      <c r="O319" s="1090"/>
      <c r="P319" s="1943"/>
    </row>
    <row r="320" spans="1:25" s="1108" customFormat="1">
      <c r="A320" s="1110"/>
      <c r="B320" s="1106" t="s">
        <v>0</v>
      </c>
      <c r="C320" s="1112"/>
      <c r="D320" s="1117"/>
      <c r="E320" s="1117"/>
      <c r="F320" s="1112"/>
      <c r="G320" s="1112"/>
      <c r="H320" s="1112"/>
      <c r="I320" s="1149"/>
      <c r="J320" s="1112"/>
      <c r="K320" s="1112"/>
      <c r="L320" s="1112"/>
      <c r="M320" s="1112"/>
      <c r="N320" s="1624" t="s">
        <v>1301</v>
      </c>
      <c r="O320" s="1118" t="s">
        <v>1301</v>
      </c>
      <c r="P320" s="1107"/>
      <c r="R320" s="1109"/>
      <c r="S320" s="1109"/>
      <c r="T320" s="1109"/>
      <c r="U320" s="1109"/>
      <c r="V320" s="1109"/>
      <c r="W320" s="1109"/>
      <c r="X320" s="1109"/>
      <c r="Y320" s="1109"/>
    </row>
    <row r="321" spans="1:25" s="1108" customFormat="1" ht="27">
      <c r="A321" s="1110"/>
      <c r="B321" s="1111" t="s">
        <v>24</v>
      </c>
      <c r="C321" s="1112">
        <f t="shared" ref="C321:M321" si="78">SUM(C325,C441,C457,C469,C537,C549,C565)</f>
        <v>11714.73</v>
      </c>
      <c r="D321" s="1112">
        <f t="shared" si="78"/>
        <v>0</v>
      </c>
      <c r="E321" s="1112">
        <f t="shared" si="78"/>
        <v>0</v>
      </c>
      <c r="F321" s="1112">
        <f t="shared" si="78"/>
        <v>10756.8498</v>
      </c>
      <c r="G321" s="1112">
        <f t="shared" si="78"/>
        <v>906183.6058286496</v>
      </c>
      <c r="H321" s="1112">
        <f t="shared" si="78"/>
        <v>1087420.3269943795</v>
      </c>
      <c r="I321" s="1112">
        <f t="shared" si="78"/>
        <v>53478.216690111236</v>
      </c>
      <c r="J321" s="1112">
        <f t="shared" si="78"/>
        <v>364858.83947762713</v>
      </c>
      <c r="K321" s="1112">
        <f t="shared" si="78"/>
        <v>173764.84020344503</v>
      </c>
      <c r="L321" s="1112">
        <f t="shared" si="78"/>
        <v>218205.90401223209</v>
      </c>
      <c r="M321" s="1112">
        <f t="shared" si="78"/>
        <v>277112.52661096404</v>
      </c>
      <c r="N321" s="1624" t="s">
        <v>1301</v>
      </c>
      <c r="O321" s="1118" t="s">
        <v>1301</v>
      </c>
      <c r="P321" s="1107"/>
      <c r="R321" s="1109"/>
      <c r="S321" s="1109"/>
      <c r="T321" s="1109"/>
      <c r="U321" s="1109"/>
      <c r="V321" s="1109"/>
      <c r="W321" s="1109"/>
      <c r="X321" s="1109"/>
      <c r="Y321" s="1109"/>
    </row>
    <row r="322" spans="1:25" s="1114" customFormat="1">
      <c r="A322" s="1113"/>
      <c r="B322" s="1111" t="s">
        <v>10</v>
      </c>
      <c r="C322" s="1112">
        <f t="shared" ref="C322:M322" si="79">SUM(C326,C442,C458,C470,C538,C550,C566)</f>
        <v>0</v>
      </c>
      <c r="D322" s="1112">
        <f t="shared" si="79"/>
        <v>0</v>
      </c>
      <c r="E322" s="1112">
        <f t="shared" si="79"/>
        <v>0</v>
      </c>
      <c r="F322" s="1112">
        <f t="shared" si="79"/>
        <v>0</v>
      </c>
      <c r="G322" s="1112">
        <f t="shared" si="79"/>
        <v>51360.165652946736</v>
      </c>
      <c r="H322" s="1112">
        <f t="shared" si="79"/>
        <v>61632.198783536071</v>
      </c>
      <c r="I322" s="1112">
        <f t="shared" si="79"/>
        <v>1009.1001540302195</v>
      </c>
      <c r="J322" s="1112">
        <f t="shared" si="79"/>
        <v>35286.210985248006</v>
      </c>
      <c r="K322" s="1112">
        <f t="shared" si="79"/>
        <v>21205.439649388802</v>
      </c>
      <c r="L322" s="1112">
        <f t="shared" si="79"/>
        <v>4131.4479948690514</v>
      </c>
      <c r="M322" s="1112">
        <f t="shared" si="79"/>
        <v>0</v>
      </c>
      <c r="N322" s="1624" t="s">
        <v>1301</v>
      </c>
      <c r="O322" s="1118" t="s">
        <v>1301</v>
      </c>
      <c r="P322" s="1107"/>
      <c r="R322" s="1115"/>
      <c r="S322" s="1115"/>
      <c r="T322" s="1115"/>
      <c r="U322" s="1115"/>
      <c r="V322" s="1115"/>
      <c r="W322" s="1115"/>
      <c r="X322" s="1115"/>
      <c r="Y322" s="1115"/>
    </row>
    <row r="323" spans="1:25" s="1114" customFormat="1" ht="35.25" customHeight="1">
      <c r="A323" s="1113"/>
      <c r="B323" s="1111" t="s">
        <v>9</v>
      </c>
      <c r="C323" s="1112">
        <f t="shared" ref="C323:M323" si="80">SUM(C327,C443,C459,C471,C539,C551,C567)</f>
        <v>0</v>
      </c>
      <c r="D323" s="1112">
        <f t="shared" si="80"/>
        <v>0</v>
      </c>
      <c r="E323" s="1112">
        <f t="shared" si="80"/>
        <v>0</v>
      </c>
      <c r="F323" s="1112">
        <f t="shared" si="80"/>
        <v>0</v>
      </c>
      <c r="G323" s="1112">
        <f t="shared" si="80"/>
        <v>820576.5444291624</v>
      </c>
      <c r="H323" s="1112">
        <f t="shared" si="80"/>
        <v>984691.85331499483</v>
      </c>
      <c r="I323" s="1112">
        <f t="shared" si="80"/>
        <v>46348.171372732773</v>
      </c>
      <c r="J323" s="1112">
        <f t="shared" si="80"/>
        <v>313011.60233445192</v>
      </c>
      <c r="K323" s="1112">
        <f t="shared" si="80"/>
        <v>141732.37208986061</v>
      </c>
      <c r="L323" s="1112">
        <f t="shared" si="80"/>
        <v>210355.20351227606</v>
      </c>
      <c r="M323" s="1112">
        <f t="shared" si="80"/>
        <v>273244.50400567357</v>
      </c>
      <c r="N323" s="1624" t="s">
        <v>1301</v>
      </c>
      <c r="O323" s="1118" t="s">
        <v>1301</v>
      </c>
      <c r="P323" s="1107"/>
      <c r="R323" s="1115"/>
      <c r="S323" s="1115"/>
      <c r="T323" s="1115"/>
      <c r="U323" s="1115"/>
      <c r="V323" s="1115"/>
      <c r="W323" s="1115"/>
      <c r="X323" s="1115"/>
      <c r="Y323" s="1115"/>
    </row>
    <row r="324" spans="1:25" s="1114" customFormat="1">
      <c r="A324" s="1113"/>
      <c r="B324" s="1111" t="s">
        <v>14</v>
      </c>
      <c r="C324" s="1112">
        <f t="shared" ref="C324:M324" si="81">SUM(C328,C444,C460,C472,C540,C552,C568)</f>
        <v>0</v>
      </c>
      <c r="D324" s="1112">
        <f t="shared" si="81"/>
        <v>0</v>
      </c>
      <c r="E324" s="1112">
        <f t="shared" si="81"/>
        <v>0</v>
      </c>
      <c r="F324" s="1112">
        <f t="shared" si="81"/>
        <v>0</v>
      </c>
      <c r="G324" s="1112">
        <f t="shared" si="81"/>
        <v>34246.895746540438</v>
      </c>
      <c r="H324" s="1112">
        <f t="shared" si="81"/>
        <v>41096.274895848524</v>
      </c>
      <c r="I324" s="1112">
        <f t="shared" si="81"/>
        <v>6120.9451633482495</v>
      </c>
      <c r="J324" s="1112">
        <f t="shared" si="81"/>
        <v>16561.026157927274</v>
      </c>
      <c r="K324" s="1112">
        <f t="shared" si="81"/>
        <v>10827.028464195566</v>
      </c>
      <c r="L324" s="1112">
        <f t="shared" si="81"/>
        <v>3719.2525050869758</v>
      </c>
      <c r="M324" s="1112">
        <f t="shared" si="81"/>
        <v>3868.0226052904554</v>
      </c>
      <c r="N324" s="1624" t="s">
        <v>1301</v>
      </c>
      <c r="O324" s="1118" t="s">
        <v>1301</v>
      </c>
      <c r="P324" s="1107"/>
      <c r="R324" s="1115"/>
      <c r="S324" s="1115"/>
      <c r="T324" s="1115"/>
      <c r="U324" s="1115"/>
      <c r="V324" s="1115"/>
      <c r="W324" s="1115"/>
      <c r="X324" s="1115"/>
      <c r="Y324" s="1115"/>
    </row>
    <row r="325" spans="1:25" s="1108" customFormat="1" ht="71.25" customHeight="1">
      <c r="A325" s="1110">
        <v>1</v>
      </c>
      <c r="B325" s="1116" t="s">
        <v>73</v>
      </c>
      <c r="C325" s="1112">
        <f>SUM(C329,C401,C405,C425)</f>
        <v>7184.73</v>
      </c>
      <c r="D325" s="1112">
        <f t="shared" ref="D325:M325" si="82">SUM(D329,D401,D405,D425)</f>
        <v>0</v>
      </c>
      <c r="E325" s="1112">
        <f t="shared" si="82"/>
        <v>0</v>
      </c>
      <c r="F325" s="1112">
        <f t="shared" si="82"/>
        <v>10756.8498</v>
      </c>
      <c r="G325" s="1112">
        <f t="shared" si="82"/>
        <v>366871.30407597654</v>
      </c>
      <c r="H325" s="1112">
        <f t="shared" si="82"/>
        <v>440245.56489117187</v>
      </c>
      <c r="I325" s="1112">
        <f t="shared" si="82"/>
        <v>31003.767816741234</v>
      </c>
      <c r="J325" s="1112">
        <f t="shared" si="82"/>
        <v>317170.2804015656</v>
      </c>
      <c r="K325" s="1112">
        <f t="shared" si="82"/>
        <v>54135.141120977831</v>
      </c>
      <c r="L325" s="1112">
        <f t="shared" si="82"/>
        <v>18596.262525434879</v>
      </c>
      <c r="M325" s="1112">
        <f t="shared" si="82"/>
        <v>19340.113026452276</v>
      </c>
      <c r="N325" s="1624" t="s">
        <v>1301</v>
      </c>
      <c r="O325" s="1118" t="s">
        <v>1301</v>
      </c>
      <c r="P325" s="1107"/>
      <c r="R325" s="1109"/>
      <c r="S325" s="1109"/>
      <c r="T325" s="1109"/>
      <c r="U325" s="1109"/>
      <c r="V325" s="1109"/>
      <c r="W325" s="1109"/>
      <c r="X325" s="1109"/>
      <c r="Y325" s="1109"/>
    </row>
    <row r="326" spans="1:25" s="1114" customFormat="1" ht="42.75" customHeight="1">
      <c r="A326" s="1113"/>
      <c r="B326" s="1111" t="s">
        <v>10</v>
      </c>
      <c r="C326" s="1112">
        <f>SUM(C330,C402,C406,C426)</f>
        <v>0</v>
      </c>
      <c r="D326" s="1112">
        <f t="shared" ref="D326:M326" si="83">SUM(D330,D402,D406,D426)</f>
        <v>0</v>
      </c>
      <c r="E326" s="1112">
        <f t="shared" si="83"/>
        <v>0</v>
      </c>
      <c r="F326" s="1112">
        <f t="shared" si="83"/>
        <v>0</v>
      </c>
      <c r="G326" s="1112">
        <f t="shared" si="83"/>
        <v>15237.500908241185</v>
      </c>
      <c r="H326" s="1112">
        <f t="shared" si="83"/>
        <v>18285.001089889422</v>
      </c>
      <c r="I326" s="1112">
        <f t="shared" si="83"/>
        <v>1009.1001540302195</v>
      </c>
      <c r="J326" s="1112">
        <f t="shared" si="83"/>
        <v>15678.336135859203</v>
      </c>
      <c r="K326" s="1112">
        <f t="shared" si="83"/>
        <v>1597.5648000000001</v>
      </c>
      <c r="L326" s="1112">
        <f t="shared" si="83"/>
        <v>0</v>
      </c>
      <c r="M326" s="1112">
        <f t="shared" si="83"/>
        <v>0</v>
      </c>
      <c r="N326" s="1624" t="s">
        <v>1301</v>
      </c>
      <c r="O326" s="1119" t="s">
        <v>1301</v>
      </c>
      <c r="P326" s="1107"/>
      <c r="R326" s="1115"/>
      <c r="S326" s="1115"/>
      <c r="T326" s="1115"/>
      <c r="U326" s="1115"/>
      <c r="V326" s="1115"/>
      <c r="W326" s="1115"/>
      <c r="X326" s="1115"/>
      <c r="Y326" s="1115"/>
    </row>
    <row r="327" spans="1:25" s="1114" customFormat="1" ht="35.25" customHeight="1">
      <c r="A327" s="1113"/>
      <c r="B327" s="1111" t="s">
        <v>9</v>
      </c>
      <c r="C327" s="1112">
        <f>SUM(C331,C403,C407,C427)</f>
        <v>0</v>
      </c>
      <c r="D327" s="1112">
        <f t="shared" ref="D327:M327" si="84">SUM(D331,D403,D407,D427)</f>
        <v>0</v>
      </c>
      <c r="E327" s="1112">
        <f t="shared" si="84"/>
        <v>0</v>
      </c>
      <c r="F327" s="1112">
        <f t="shared" si="84"/>
        <v>0</v>
      </c>
      <c r="G327" s="1112">
        <f t="shared" si="84"/>
        <v>317386.90742119495</v>
      </c>
      <c r="H327" s="1112">
        <f t="shared" si="84"/>
        <v>380864.2889054339</v>
      </c>
      <c r="I327" s="1112">
        <f t="shared" si="84"/>
        <v>23873.722499362775</v>
      </c>
      <c r="J327" s="1112">
        <f t="shared" si="84"/>
        <v>284930.91810777917</v>
      </c>
      <c r="K327" s="1112">
        <f t="shared" si="84"/>
        <v>41710.547856782257</v>
      </c>
      <c r="L327" s="1112">
        <f t="shared" si="84"/>
        <v>14877.010020347903</v>
      </c>
      <c r="M327" s="1112">
        <f t="shared" si="84"/>
        <v>15472.090421161822</v>
      </c>
      <c r="N327" s="1624" t="s">
        <v>1301</v>
      </c>
      <c r="O327" s="1119" t="s">
        <v>1301</v>
      </c>
      <c r="P327" s="1107"/>
      <c r="R327" s="1115"/>
      <c r="S327" s="1115"/>
      <c r="T327" s="1115"/>
      <c r="U327" s="1115"/>
      <c r="V327" s="1115"/>
      <c r="W327" s="1115"/>
      <c r="X327" s="1115"/>
      <c r="Y327" s="1115"/>
    </row>
    <row r="328" spans="1:25" s="1114" customFormat="1" ht="37.5" customHeight="1">
      <c r="A328" s="1113"/>
      <c r="B328" s="1120" t="s">
        <v>14</v>
      </c>
      <c r="C328" s="1112">
        <f>SUM(C332,C404,C408,C428)</f>
        <v>0</v>
      </c>
      <c r="D328" s="1112">
        <f t="shared" ref="D328:M328" si="85">SUM(D332,D404,D408,D428)</f>
        <v>0</v>
      </c>
      <c r="E328" s="1112">
        <f t="shared" si="85"/>
        <v>0</v>
      </c>
      <c r="F328" s="1112">
        <f t="shared" si="85"/>
        <v>0</v>
      </c>
      <c r="G328" s="1112">
        <f t="shared" si="85"/>
        <v>34246.895746540438</v>
      </c>
      <c r="H328" s="1112">
        <f t="shared" si="85"/>
        <v>41096.274895848524</v>
      </c>
      <c r="I328" s="1112">
        <f t="shared" si="85"/>
        <v>6120.9451633482495</v>
      </c>
      <c r="J328" s="1112">
        <f t="shared" si="85"/>
        <v>16561.026157927274</v>
      </c>
      <c r="K328" s="1112">
        <f t="shared" si="85"/>
        <v>10827.028464195566</v>
      </c>
      <c r="L328" s="1112">
        <f t="shared" si="85"/>
        <v>3719.2525050869758</v>
      </c>
      <c r="M328" s="1112">
        <f t="shared" si="85"/>
        <v>3868.0226052904554</v>
      </c>
      <c r="N328" s="1624" t="s">
        <v>1301</v>
      </c>
      <c r="O328" s="1119" t="s">
        <v>1301</v>
      </c>
      <c r="P328" s="1107"/>
      <c r="R328" s="1115"/>
      <c r="S328" s="1115"/>
      <c r="T328" s="1115"/>
      <c r="U328" s="1115"/>
      <c r="V328" s="1115"/>
      <c r="W328" s="1115"/>
      <c r="X328" s="1115"/>
      <c r="Y328" s="1115"/>
    </row>
    <row r="329" spans="1:25" s="1108" customFormat="1" ht="84.75" customHeight="1">
      <c r="A329" s="1110" t="s">
        <v>25</v>
      </c>
      <c r="B329" s="1121" t="s">
        <v>74</v>
      </c>
      <c r="C329" s="1112">
        <f>C333+C337+C341+C345+C349+C353+C357+C361+C369+C373+C377+C381+C385+C389+C393+C365+C397</f>
        <v>6398</v>
      </c>
      <c r="D329" s="1112"/>
      <c r="E329" s="1112"/>
      <c r="F329" s="1112">
        <f>F333+F337+F341+F345+F349+F353+F357+F361+F369+F373+F377+F381+F385+F389+F393+F365+F397</f>
        <v>6782.9997999999996</v>
      </c>
      <c r="G329" s="1112">
        <f t="shared" ref="G329:M329" si="86">G333+G337+G341+G345+G349+G353+G357+G361+G369+G373+G377+G381+G385+G389+G393+G365+G397</f>
        <v>122443.6571613126</v>
      </c>
      <c r="H329" s="1112">
        <f t="shared" si="86"/>
        <v>146932.38859357513</v>
      </c>
      <c r="I329" s="1112">
        <f t="shared" si="86"/>
        <v>30604.727016741235</v>
      </c>
      <c r="J329" s="1112">
        <f t="shared" si="86"/>
        <v>39766.273565874704</v>
      </c>
      <c r="K329" s="1112">
        <f t="shared" si="86"/>
        <v>38625.012459071993</v>
      </c>
      <c r="L329" s="1112">
        <f t="shared" si="86"/>
        <v>18596.262525434879</v>
      </c>
      <c r="M329" s="1112">
        <f t="shared" si="86"/>
        <v>19340.113026452276</v>
      </c>
      <c r="N329" s="1624" t="s">
        <v>1301</v>
      </c>
      <c r="O329" s="1119" t="s">
        <v>1301</v>
      </c>
      <c r="P329" s="1107"/>
      <c r="Q329" s="1122"/>
      <c r="R329" s="1109"/>
      <c r="S329" s="1109"/>
      <c r="T329" s="1109"/>
      <c r="U329" s="1109"/>
      <c r="V329" s="1109"/>
      <c r="W329" s="1109"/>
      <c r="X329" s="1109"/>
      <c r="Y329" s="1109"/>
    </row>
    <row r="330" spans="1:25" s="1114" customFormat="1" ht="32.1" customHeight="1">
      <c r="A330" s="1113"/>
      <c r="B330" s="1120" t="s">
        <v>10</v>
      </c>
      <c r="C330" s="1112">
        <f t="shared" ref="C330" si="87">C334+C338+C342+C346+C350+C354+C358+C362+C370+C374+C378+C382+C386+C390+C394+C366+C398</f>
        <v>0</v>
      </c>
      <c r="D330" s="1112"/>
      <c r="E330" s="1112"/>
      <c r="F330" s="1112">
        <f t="shared" ref="F330:M330" si="88">F334+F338+F342+F346+F350+F354+F358+F362+F370+F374+F378+F382+F386+F390+F394+F366+F398</f>
        <v>0</v>
      </c>
      <c r="G330" s="1112">
        <f t="shared" si="88"/>
        <v>3453.8654750251826</v>
      </c>
      <c r="H330" s="1112">
        <f t="shared" si="88"/>
        <v>4144.6385700302199</v>
      </c>
      <c r="I330" s="1112">
        <f t="shared" si="88"/>
        <v>1009.1001540302195</v>
      </c>
      <c r="J330" s="1112">
        <f t="shared" si="88"/>
        <v>1537.9736160000002</v>
      </c>
      <c r="K330" s="1112">
        <f t="shared" si="88"/>
        <v>1597.5648000000001</v>
      </c>
      <c r="L330" s="1112">
        <f t="shared" si="88"/>
        <v>0</v>
      </c>
      <c r="M330" s="1112">
        <f t="shared" si="88"/>
        <v>0</v>
      </c>
      <c r="N330" s="1624" t="s">
        <v>1301</v>
      </c>
      <c r="O330" s="1119" t="s">
        <v>1301</v>
      </c>
      <c r="P330" s="1107"/>
      <c r="Q330" s="2670"/>
      <c r="R330" s="2671"/>
      <c r="S330" s="1115"/>
      <c r="T330" s="1115"/>
      <c r="U330" s="1115"/>
      <c r="V330" s="1115"/>
      <c r="W330" s="1115"/>
      <c r="X330" s="1115"/>
      <c r="Y330" s="1115"/>
    </row>
    <row r="331" spans="1:25" s="1114" customFormat="1" ht="32.1" customHeight="1">
      <c r="A331" s="1113"/>
      <c r="B331" s="1120" t="s">
        <v>9</v>
      </c>
      <c r="C331" s="1112">
        <f t="shared" ref="C331" si="89">C335+C339+C343+C347+C351+C355+C359+C363+C371+C375+C379+C383+C387+C391+C395+C367+C399</f>
        <v>0</v>
      </c>
      <c r="D331" s="1112"/>
      <c r="E331" s="1112"/>
      <c r="F331" s="1112">
        <f t="shared" ref="F331:M331" si="90">F335+F339+F343+F347+F351+F355+F359+F363+F371+F375+F379+F383+F387+F391+F395+F367+F399</f>
        <v>0</v>
      </c>
      <c r="G331" s="1112">
        <f t="shared" si="90"/>
        <v>94501.06045402489</v>
      </c>
      <c r="H331" s="1112">
        <f t="shared" si="90"/>
        <v>113401.27254482984</v>
      </c>
      <c r="I331" s="1112">
        <f t="shared" si="90"/>
        <v>23474.681699362776</v>
      </c>
      <c r="J331" s="1112">
        <f t="shared" si="90"/>
        <v>30275.045476699761</v>
      </c>
      <c r="K331" s="1112">
        <f t="shared" si="90"/>
        <v>29302.444927257595</v>
      </c>
      <c r="L331" s="1112">
        <f t="shared" si="90"/>
        <v>14877.010020347903</v>
      </c>
      <c r="M331" s="1112">
        <f t="shared" si="90"/>
        <v>15472.090421161822</v>
      </c>
      <c r="N331" s="1624" t="s">
        <v>1301</v>
      </c>
      <c r="O331" s="1119" t="s">
        <v>1301</v>
      </c>
      <c r="P331" s="1107"/>
      <c r="R331" s="1115"/>
      <c r="S331" s="1115"/>
      <c r="T331" s="1115"/>
      <c r="U331" s="1115"/>
      <c r="V331" s="1115"/>
      <c r="W331" s="1115"/>
      <c r="X331" s="1115"/>
      <c r="Y331" s="1115"/>
    </row>
    <row r="332" spans="1:25" s="1114" customFormat="1" ht="32.1" customHeight="1">
      <c r="A332" s="1113"/>
      <c r="B332" s="1120" t="s">
        <v>14</v>
      </c>
      <c r="C332" s="1112"/>
      <c r="D332" s="1112"/>
      <c r="E332" s="1112"/>
      <c r="F332" s="1112">
        <f t="shared" ref="F332:M332" si="91">F336+F340+F344+F348+F352+F356+F360+F364+F372+F376+F380+F384+F388+F392+F396+F368+F400</f>
        <v>0</v>
      </c>
      <c r="G332" s="1112">
        <f t="shared" si="91"/>
        <v>24488.731232262518</v>
      </c>
      <c r="H332" s="1112">
        <f t="shared" si="91"/>
        <v>29386.477478715024</v>
      </c>
      <c r="I332" s="1112">
        <f t="shared" si="91"/>
        <v>6120.9451633482495</v>
      </c>
      <c r="J332" s="1112">
        <f t="shared" si="91"/>
        <v>7953.2544731749404</v>
      </c>
      <c r="K332" s="1112">
        <f t="shared" si="91"/>
        <v>7725.0027318143993</v>
      </c>
      <c r="L332" s="1112">
        <f t="shared" si="91"/>
        <v>3719.2525050869758</v>
      </c>
      <c r="M332" s="1112">
        <f t="shared" si="91"/>
        <v>3868.0226052904554</v>
      </c>
      <c r="N332" s="1624" t="s">
        <v>1301</v>
      </c>
      <c r="O332" s="1119" t="s">
        <v>1301</v>
      </c>
      <c r="P332" s="1107"/>
      <c r="R332" s="1115"/>
      <c r="S332" s="1115"/>
      <c r="T332" s="1115"/>
      <c r="U332" s="1115"/>
      <c r="V332" s="1115"/>
      <c r="W332" s="1115"/>
      <c r="X332" s="1115"/>
      <c r="Y332" s="1115"/>
    </row>
    <row r="333" spans="1:25" s="1025" customFormat="1" ht="81" outlineLevel="1">
      <c r="A333" s="1123" t="s">
        <v>82</v>
      </c>
      <c r="B333" s="2207" t="s">
        <v>277</v>
      </c>
      <c r="C333" s="1124">
        <f>'Заявители до 40 куб.Калуга'!L140*5</f>
        <v>2490</v>
      </c>
      <c r="D333" s="1125" t="s">
        <v>838</v>
      </c>
      <c r="E333" s="1125" t="str">
        <f>'Прил.1 Перечень по подключению'!D11</f>
        <v>Заявители, величина подключаемой нагрузки которых не превышает 40 куб.м.в сутки</v>
      </c>
      <c r="F333" s="1125">
        <f>'Заявители до 40 куб.Калуга'!O140*5</f>
        <v>1165.1899999999998</v>
      </c>
      <c r="G333" s="1125">
        <f t="shared" ref="G333:G339" si="92">H333/1.2</f>
        <v>74618.914114799292</v>
      </c>
      <c r="H333" s="1125">
        <f>SUM(I333:M333)</f>
        <v>89542.696937759145</v>
      </c>
      <c r="I333" s="1125">
        <f>'Заявители до 40 куб.Калуга'!P140</f>
        <v>16532.009669999996</v>
      </c>
      <c r="J333" s="1125">
        <f>I333*1.04</f>
        <v>17193.290056799997</v>
      </c>
      <c r="K333" s="1125">
        <f>J333*1.04</f>
        <v>17881.021659071997</v>
      </c>
      <c r="L333" s="1125">
        <f>K333*1.04</f>
        <v>18596.262525434879</v>
      </c>
      <c r="M333" s="1125">
        <f>L333*1.04</f>
        <v>19340.113026452276</v>
      </c>
      <c r="N333" s="2208" t="str">
        <f>'Прил.1 Перечень по подключению'!G11</f>
        <v>2024-2028гг.</v>
      </c>
      <c r="O333" s="1126" t="s">
        <v>60</v>
      </c>
      <c r="P333" s="1056"/>
      <c r="Q333" s="1127"/>
      <c r="R333" s="1026"/>
      <c r="S333" s="1026"/>
      <c r="T333" s="1026"/>
      <c r="U333" s="1026"/>
      <c r="V333" s="1026"/>
      <c r="W333" s="1026"/>
      <c r="X333" s="1026"/>
      <c r="Y333" s="1026"/>
    </row>
    <row r="334" spans="1:25" ht="83.25" outlineLevel="1">
      <c r="A334" s="1051"/>
      <c r="B334" s="1052" t="s">
        <v>10</v>
      </c>
      <c r="C334" s="1094"/>
      <c r="D334" s="1094" t="str">
        <f>D333</f>
        <v>Жилые дома, нежилые здания и помещения на территории г.Калуга</v>
      </c>
      <c r="E334" s="1094" t="str">
        <f>E333</f>
        <v>Заявители, величина подключаемой нагрузки которых не превышает 40 куб.м.в сутки</v>
      </c>
      <c r="F334" s="1099"/>
      <c r="G334" s="1099">
        <f t="shared" si="92"/>
        <v>0</v>
      </c>
      <c r="H334" s="1099">
        <f>SUM(I334:M334)</f>
        <v>0</v>
      </c>
      <c r="I334" s="1094"/>
      <c r="J334" s="1094"/>
      <c r="K334" s="1094"/>
      <c r="L334" s="1094"/>
      <c r="M334" s="1094"/>
      <c r="N334" s="1627"/>
      <c r="O334" s="1054" t="s">
        <v>60</v>
      </c>
      <c r="P334" s="1056"/>
      <c r="Q334" s="1128"/>
      <c r="R334" s="1058"/>
      <c r="S334" s="1058"/>
      <c r="T334" s="1058"/>
      <c r="U334" s="1058"/>
    </row>
    <row r="335" spans="1:25" ht="83.25" outlineLevel="1">
      <c r="A335" s="1051"/>
      <c r="B335" s="1052" t="s">
        <v>9</v>
      </c>
      <c r="C335" s="1094"/>
      <c r="D335" s="1094" t="str">
        <f>D334</f>
        <v>Жилые дома, нежилые здания и помещения на территории г.Калуга</v>
      </c>
      <c r="E335" s="1094" t="str">
        <f>E333</f>
        <v>Заявители, величина подключаемой нагрузки которых не превышает 40 куб.м.в сутки</v>
      </c>
      <c r="F335" s="1099"/>
      <c r="G335" s="1099">
        <f t="shared" si="92"/>
        <v>59695.13129183944</v>
      </c>
      <c r="H335" s="1099">
        <f t="shared" ref="H335:H341" si="93">SUM(I335:M335)</f>
        <v>71634.157550207325</v>
      </c>
      <c r="I335" s="1094">
        <f>I333*80%</f>
        <v>13225.607735999998</v>
      </c>
      <c r="J335" s="1094">
        <f>J333*80%</f>
        <v>13754.632045439997</v>
      </c>
      <c r="K335" s="1094">
        <f>K333*80%</f>
        <v>14304.817327257599</v>
      </c>
      <c r="L335" s="1094">
        <f>L333*80%</f>
        <v>14877.010020347903</v>
      </c>
      <c r="M335" s="1094">
        <f>M333*80%</f>
        <v>15472.090421161822</v>
      </c>
      <c r="N335" s="1627"/>
      <c r="O335" s="1054" t="s">
        <v>60</v>
      </c>
      <c r="P335" s="1056"/>
      <c r="Q335" s="1128"/>
      <c r="R335" s="1058"/>
      <c r="S335" s="1058"/>
      <c r="T335" s="1058"/>
      <c r="U335" s="1058"/>
    </row>
    <row r="336" spans="1:25" ht="83.25" outlineLevel="1">
      <c r="A336" s="1051"/>
      <c r="B336" s="1083" t="s">
        <v>14</v>
      </c>
      <c r="C336" s="1094"/>
      <c r="D336" s="1094" t="str">
        <f>D335</f>
        <v>Жилые дома, нежилые здания и помещения на территории г.Калуга</v>
      </c>
      <c r="E336" s="1094" t="str">
        <f>E333</f>
        <v>Заявители, величина подключаемой нагрузки которых не превышает 40 куб.м.в сутки</v>
      </c>
      <c r="F336" s="1099"/>
      <c r="G336" s="1099">
        <f t="shared" si="92"/>
        <v>14923.78282295986</v>
      </c>
      <c r="H336" s="1099">
        <f t="shared" si="93"/>
        <v>17908.539387551831</v>
      </c>
      <c r="I336" s="1094">
        <f>I333*20%</f>
        <v>3306.4019339999995</v>
      </c>
      <c r="J336" s="1094">
        <f>J333*20%</f>
        <v>3438.6580113599994</v>
      </c>
      <c r="K336" s="1094">
        <f>K333*20%</f>
        <v>3576.2043318143997</v>
      </c>
      <c r="L336" s="1094">
        <f>L333*20%</f>
        <v>3719.2525050869758</v>
      </c>
      <c r="M336" s="1094">
        <f>M333*20%</f>
        <v>3868.0226052904554</v>
      </c>
      <c r="N336" s="1627"/>
      <c r="O336" s="1054" t="s">
        <v>60</v>
      </c>
      <c r="P336" s="1056"/>
      <c r="R336" s="1058"/>
      <c r="S336" s="1058"/>
      <c r="T336" s="1058"/>
      <c r="U336" s="1058"/>
    </row>
    <row r="337" spans="1:25" s="1025" customFormat="1" ht="118.5" customHeight="1" outlineLevel="1">
      <c r="A337" s="1123" t="s">
        <v>83</v>
      </c>
      <c r="B337" s="2207" t="s">
        <v>278</v>
      </c>
      <c r="C337" s="1125">
        <f>85.5+155</f>
        <v>240.5</v>
      </c>
      <c r="D337" s="1125" t="s">
        <v>53</v>
      </c>
      <c r="E337" s="1125" t="s">
        <v>295</v>
      </c>
      <c r="F337" s="1125"/>
      <c r="G337" s="1125">
        <f t="shared" si="92"/>
        <v>274.93600000000004</v>
      </c>
      <c r="H337" s="1125">
        <f t="shared" si="93"/>
        <v>329.92320000000001</v>
      </c>
      <c r="I337" s="1125">
        <f>SUM(I338:I340)</f>
        <v>0</v>
      </c>
      <c r="J337" s="1125">
        <f>SUM(J338:J340)</f>
        <v>329.92320000000001</v>
      </c>
      <c r="K337" s="1125">
        <f>SUM(K338:K340)</f>
        <v>0</v>
      </c>
      <c r="L337" s="1125">
        <f>SUM(L338:L340)</f>
        <v>0</v>
      </c>
      <c r="M337" s="1125">
        <f>SUM(M338:M340)</f>
        <v>0</v>
      </c>
      <c r="N337" s="1626" t="str">
        <f>'Прил.1 Перечень по подключению'!G12</f>
        <v>2025год</v>
      </c>
      <c r="O337" s="1126" t="s">
        <v>57</v>
      </c>
      <c r="P337" s="1056"/>
      <c r="R337" s="1026"/>
      <c r="S337" s="1026"/>
      <c r="T337" s="1026"/>
      <c r="U337" s="1026"/>
      <c r="V337" s="1026"/>
      <c r="W337" s="1026"/>
      <c r="X337" s="1026"/>
      <c r="Y337" s="1026"/>
    </row>
    <row r="338" spans="1:25" ht="61.5" customHeight="1" outlineLevel="1">
      <c r="A338" s="1051"/>
      <c r="B338" s="1052" t="s">
        <v>10</v>
      </c>
      <c r="C338" s="1094"/>
      <c r="D338" s="1094" t="str">
        <f>D337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338" s="1094" t="str">
        <f>E337</f>
        <v>ООО Совместное предприятие "Минскстройэкспорт"</v>
      </c>
      <c r="F338" s="1099"/>
      <c r="G338" s="1125">
        <f t="shared" si="92"/>
        <v>0</v>
      </c>
      <c r="H338" s="1125">
        <f t="shared" si="93"/>
        <v>0</v>
      </c>
      <c r="I338" s="1094"/>
      <c r="J338" s="1094"/>
      <c r="K338" s="1094"/>
      <c r="L338" s="1094"/>
      <c r="M338" s="1094"/>
      <c r="N338" s="1627"/>
      <c r="O338" s="1054" t="s">
        <v>57</v>
      </c>
      <c r="P338" s="1056"/>
    </row>
    <row r="339" spans="1:25" ht="63.75" customHeight="1" outlineLevel="1">
      <c r="A339" s="1051"/>
      <c r="B339" s="1052" t="s">
        <v>9</v>
      </c>
      <c r="C339" s="1094"/>
      <c r="D339" s="1094" t="str">
        <f>D337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339" s="1094" t="str">
        <f>E338</f>
        <v>ООО Совместное предприятие "Минскстройэкспорт"</v>
      </c>
      <c r="F339" s="1099"/>
      <c r="G339" s="1125">
        <f t="shared" si="92"/>
        <v>219.94900000000001</v>
      </c>
      <c r="H339" s="1125">
        <f t="shared" si="93"/>
        <v>263.93880000000001</v>
      </c>
      <c r="I339" s="1094"/>
      <c r="J339" s="1094">
        <f>'Минскстрой_Малиновка-2'!F50+'Минскстрой_Малиновка-2'!F52</f>
        <v>263.93880000000001</v>
      </c>
      <c r="K339" s="1094"/>
      <c r="L339" s="1094"/>
      <c r="M339" s="1094"/>
      <c r="N339" s="1627"/>
      <c r="O339" s="1054" t="s">
        <v>57</v>
      </c>
      <c r="P339" s="1056"/>
    </row>
    <row r="340" spans="1:25" ht="75" customHeight="1" outlineLevel="1">
      <c r="A340" s="1051"/>
      <c r="B340" s="1052" t="s">
        <v>14</v>
      </c>
      <c r="C340" s="1094"/>
      <c r="D340" s="1094" t="str">
        <f>D337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340" s="1094" t="str">
        <f>E337</f>
        <v>ООО Совместное предприятие "Минскстройэкспорт"</v>
      </c>
      <c r="F340" s="1099"/>
      <c r="G340" s="1125">
        <f t="shared" ref="G340:G349" si="94">H340/1.2</f>
        <v>54.986999999999995</v>
      </c>
      <c r="H340" s="1125">
        <f t="shared" si="93"/>
        <v>65.984399999999994</v>
      </c>
      <c r="I340" s="1094"/>
      <c r="J340" s="1094">
        <f>'Минскстрой_Малиновка-2'!F53</f>
        <v>65.984399999999994</v>
      </c>
      <c r="K340" s="1094"/>
      <c r="L340" s="1094"/>
      <c r="M340" s="1094"/>
      <c r="N340" s="1627"/>
      <c r="O340" s="1054" t="s">
        <v>57</v>
      </c>
      <c r="P340" s="1056"/>
    </row>
    <row r="341" spans="1:25" ht="133.5" customHeight="1" outlineLevel="1">
      <c r="A341" s="1123" t="s">
        <v>84</v>
      </c>
      <c r="B341" s="2207" t="s">
        <v>62</v>
      </c>
      <c r="C341" s="1125">
        <v>151</v>
      </c>
      <c r="D341" s="1125" t="s">
        <v>53</v>
      </c>
      <c r="E341" s="1125" t="s">
        <v>295</v>
      </c>
      <c r="F341" s="1125">
        <f>'Прил.1 Перечень по подключению'!F12</f>
        <v>576.9</v>
      </c>
      <c r="G341" s="1125">
        <f t="shared" si="94"/>
        <v>1145.4880000000001</v>
      </c>
      <c r="H341" s="1125">
        <f t="shared" si="93"/>
        <v>1374.5855999999999</v>
      </c>
      <c r="I341" s="1125">
        <f>SUM(I342:I344)</f>
        <v>0</v>
      </c>
      <c r="J341" s="1125">
        <f>SUM(J342:J344)</f>
        <v>1374.5855999999999</v>
      </c>
      <c r="K341" s="1125">
        <f>SUM(K342:K344)</f>
        <v>0</v>
      </c>
      <c r="L341" s="1125">
        <f>SUM(L342:L344)</f>
        <v>0</v>
      </c>
      <c r="M341" s="1125">
        <f>SUM(M342:M344)</f>
        <v>0</v>
      </c>
      <c r="N341" s="1626" t="str">
        <f>'Прил.1 Перечень по подключению'!G12</f>
        <v>2025год</v>
      </c>
      <c r="O341" s="1126" t="s">
        <v>57</v>
      </c>
      <c r="P341" s="1056"/>
    </row>
    <row r="342" spans="1:25" ht="45" customHeight="1" outlineLevel="1">
      <c r="A342" s="1051"/>
      <c r="B342" s="1083" t="s">
        <v>10</v>
      </c>
      <c r="C342" s="1094"/>
      <c r="D342" s="1094" t="s">
        <v>53</v>
      </c>
      <c r="E342" s="1094" t="str">
        <f>E341</f>
        <v>ООО Совместное предприятие "Минскстройэкспорт"</v>
      </c>
      <c r="F342" s="1099"/>
      <c r="G342" s="1125">
        <f t="shared" si="94"/>
        <v>0</v>
      </c>
      <c r="H342" s="1125">
        <f t="shared" ref="H342:H352" si="95">SUM(I342:M342)</f>
        <v>0</v>
      </c>
      <c r="I342" s="1094"/>
      <c r="J342" s="1094"/>
      <c r="K342" s="1094"/>
      <c r="L342" s="1094"/>
      <c r="M342" s="1094"/>
      <c r="N342" s="1627"/>
      <c r="O342" s="1054" t="s">
        <v>57</v>
      </c>
      <c r="P342" s="1056"/>
    </row>
    <row r="343" spans="1:25" ht="45" customHeight="1" outlineLevel="1">
      <c r="A343" s="1051"/>
      <c r="B343" s="1083" t="s">
        <v>9</v>
      </c>
      <c r="C343" s="1094"/>
      <c r="D343" s="1094" t="s">
        <v>53</v>
      </c>
      <c r="E343" s="1094" t="str">
        <f>E342</f>
        <v>ООО Совместное предприятие "Минскстройэкспорт"</v>
      </c>
      <c r="F343" s="1099"/>
      <c r="G343" s="1125">
        <f t="shared" si="94"/>
        <v>916.39099999999985</v>
      </c>
      <c r="H343" s="1125">
        <f t="shared" si="95"/>
        <v>1099.6691999999998</v>
      </c>
      <c r="I343" s="1094"/>
      <c r="J343" s="1094">
        <f>'Минскстрой_Малиновка-2'!F56+'Минскстрой_Малиновка-2'!F58</f>
        <v>1099.6691999999998</v>
      </c>
      <c r="K343" s="1094"/>
      <c r="L343" s="1094"/>
      <c r="M343" s="1094"/>
      <c r="N343" s="1627"/>
      <c r="O343" s="1054" t="s">
        <v>57</v>
      </c>
      <c r="P343" s="1056"/>
    </row>
    <row r="344" spans="1:25" ht="45" customHeight="1" outlineLevel="1">
      <c r="A344" s="1051"/>
      <c r="B344" s="1083" t="s">
        <v>14</v>
      </c>
      <c r="C344" s="1094"/>
      <c r="D344" s="1094" t="s">
        <v>53</v>
      </c>
      <c r="E344" s="1094" t="str">
        <f>E343</f>
        <v>ООО Совместное предприятие "Минскстройэкспорт"</v>
      </c>
      <c r="F344" s="1099"/>
      <c r="G344" s="1125">
        <f t="shared" si="94"/>
        <v>229.09700000000001</v>
      </c>
      <c r="H344" s="1125">
        <f t="shared" si="95"/>
        <v>274.91640000000001</v>
      </c>
      <c r="I344" s="1094"/>
      <c r="J344" s="1094">
        <f>'Минскстрой_Малиновка-2'!F59</f>
        <v>274.91640000000001</v>
      </c>
      <c r="K344" s="1094"/>
      <c r="L344" s="1094"/>
      <c r="M344" s="1094"/>
      <c r="N344" s="1627"/>
      <c r="O344" s="1054" t="s">
        <v>57</v>
      </c>
      <c r="P344" s="1056"/>
    </row>
    <row r="345" spans="1:25" s="1132" customFormat="1" ht="284.25" customHeight="1" outlineLevel="1">
      <c r="A345" s="1129" t="s">
        <v>85</v>
      </c>
      <c r="B345" s="1130" t="s">
        <v>1090</v>
      </c>
      <c r="C345" s="1124">
        <v>86</v>
      </c>
      <c r="D345" s="1124" t="s">
        <v>104</v>
      </c>
      <c r="E345" s="1124" t="s">
        <v>298</v>
      </c>
      <c r="F345" s="1124">
        <v>93</v>
      </c>
      <c r="G345" s="1124">
        <f t="shared" si="94"/>
        <v>1766.924</v>
      </c>
      <c r="H345" s="1124">
        <f t="shared" si="95"/>
        <v>2120.3087999999998</v>
      </c>
      <c r="I345" s="1124">
        <f>SUM(I346:I348)</f>
        <v>0</v>
      </c>
      <c r="J345" s="1124">
        <f>SUM(J346:J348)</f>
        <v>2120.3087999999998</v>
      </c>
      <c r="K345" s="1124">
        <f>SUM(K346:K348)</f>
        <v>0</v>
      </c>
      <c r="L345" s="1124">
        <f>SUM(L346:L348)</f>
        <v>0</v>
      </c>
      <c r="M345" s="1124">
        <f>SUM(M346:M348)</f>
        <v>0</v>
      </c>
      <c r="N345" s="2209" t="str">
        <f>'Прил.1 Перечень по подключению'!G14</f>
        <v>2025год</v>
      </c>
      <c r="O345" s="1186" t="s">
        <v>57</v>
      </c>
      <c r="P345" s="1131"/>
      <c r="R345" s="1133"/>
      <c r="S345" s="1133"/>
      <c r="T345" s="1133"/>
      <c r="U345" s="1133"/>
      <c r="V345" s="1133"/>
      <c r="W345" s="1133"/>
      <c r="X345" s="1133"/>
      <c r="Y345" s="1133"/>
    </row>
    <row r="346" spans="1:25" s="1072" customFormat="1" ht="54" customHeight="1" outlineLevel="1">
      <c r="A346" s="1067"/>
      <c r="B346" s="1134" t="s">
        <v>10</v>
      </c>
      <c r="C346" s="1135"/>
      <c r="D346" s="1135" t="str">
        <f>D345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346" s="1135" t="str">
        <f>E345</f>
        <v xml:space="preserve"> ГКУ КО "Управление капитального строительства"</v>
      </c>
      <c r="F346" s="1153"/>
      <c r="G346" s="1124">
        <f t="shared" si="94"/>
        <v>0</v>
      </c>
      <c r="H346" s="1124">
        <f t="shared" si="95"/>
        <v>0</v>
      </c>
      <c r="I346" s="1135"/>
      <c r="J346" s="1135">
        <f>УКС_Онкоцентр!F49</f>
        <v>0</v>
      </c>
      <c r="K346" s="1135"/>
      <c r="L346" s="1135"/>
      <c r="M346" s="1135"/>
      <c r="N346" s="2202"/>
      <c r="O346" s="1070" t="s">
        <v>57</v>
      </c>
      <c r="P346" s="1071"/>
      <c r="R346" s="1136"/>
      <c r="S346" s="1136"/>
      <c r="T346" s="1136"/>
      <c r="U346" s="1136"/>
      <c r="V346" s="1136"/>
      <c r="W346" s="1136"/>
      <c r="X346" s="1136"/>
      <c r="Y346" s="1136"/>
    </row>
    <row r="347" spans="1:25" s="1072" customFormat="1" ht="54" customHeight="1" outlineLevel="1">
      <c r="A347" s="1067"/>
      <c r="B347" s="1134" t="s">
        <v>9</v>
      </c>
      <c r="C347" s="1135"/>
      <c r="D347" s="1135" t="str">
        <f>D345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347" s="1135" t="str">
        <f>E345</f>
        <v xml:space="preserve"> ГКУ КО "Управление капитального строительства"</v>
      </c>
      <c r="F347" s="1153"/>
      <c r="G347" s="1124">
        <f t="shared" si="94"/>
        <v>1413.539</v>
      </c>
      <c r="H347" s="1124">
        <f t="shared" si="95"/>
        <v>1696.2467999999999</v>
      </c>
      <c r="I347" s="1135"/>
      <c r="J347" s="1135">
        <f>УКС_Онкоцентр!F50</f>
        <v>1696.2467999999999</v>
      </c>
      <c r="K347" s="1135"/>
      <c r="L347" s="1135"/>
      <c r="M347" s="1135"/>
      <c r="N347" s="2202"/>
      <c r="O347" s="1070" t="s">
        <v>57</v>
      </c>
      <c r="P347" s="1071"/>
      <c r="R347" s="1136"/>
      <c r="S347" s="1136"/>
      <c r="T347" s="1136"/>
      <c r="U347" s="1136"/>
      <c r="V347" s="1136"/>
      <c r="W347" s="1136"/>
      <c r="X347" s="1136"/>
      <c r="Y347" s="1136"/>
    </row>
    <row r="348" spans="1:25" s="1072" customFormat="1" ht="54" customHeight="1" outlineLevel="1">
      <c r="A348" s="1067"/>
      <c r="B348" s="1134" t="s">
        <v>14</v>
      </c>
      <c r="C348" s="1135"/>
      <c r="D348" s="1135" t="str">
        <f>D345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348" s="1135" t="str">
        <f>E345</f>
        <v xml:space="preserve"> ГКУ КО "Управление капитального строительства"</v>
      </c>
      <c r="F348" s="1153"/>
      <c r="G348" s="1124">
        <f t="shared" si="94"/>
        <v>353.38499999999999</v>
      </c>
      <c r="H348" s="1124">
        <f t="shared" si="95"/>
        <v>424.06199999999995</v>
      </c>
      <c r="I348" s="1135"/>
      <c r="J348" s="1135">
        <f>УКС_Онкоцентр!F53</f>
        <v>424.06199999999995</v>
      </c>
      <c r="K348" s="1135"/>
      <c r="L348" s="1135"/>
      <c r="M348" s="1135"/>
      <c r="N348" s="2202"/>
      <c r="O348" s="1070" t="s">
        <v>57</v>
      </c>
      <c r="P348" s="1071"/>
      <c r="R348" s="1136"/>
      <c r="S348" s="1136"/>
      <c r="T348" s="1136"/>
      <c r="U348" s="1136"/>
      <c r="V348" s="1136"/>
      <c r="W348" s="1136"/>
      <c r="X348" s="1136"/>
      <c r="Y348" s="1136"/>
    </row>
    <row r="349" spans="1:25" s="1025" customFormat="1" ht="199.5" customHeight="1" outlineLevel="1">
      <c r="A349" s="1123" t="s">
        <v>86</v>
      </c>
      <c r="B349" s="2207" t="s">
        <v>59</v>
      </c>
      <c r="C349" s="1125">
        <v>788.5</v>
      </c>
      <c r="D349" s="1125" t="s">
        <v>49</v>
      </c>
      <c r="E349" s="1125" t="s">
        <v>51</v>
      </c>
      <c r="F349" s="1125">
        <v>530</v>
      </c>
      <c r="G349" s="1125">
        <f t="shared" si="94"/>
        <v>6526.1379999999999</v>
      </c>
      <c r="H349" s="1125">
        <f t="shared" si="95"/>
        <v>7831.3655999999992</v>
      </c>
      <c r="I349" s="1125">
        <f>SUM(I350:I352)</f>
        <v>0</v>
      </c>
      <c r="J349" s="1125">
        <f>SUM(J350:J352)</f>
        <v>7831.3655999999992</v>
      </c>
      <c r="K349" s="1125">
        <f>SUM(K350:K352)</f>
        <v>0</v>
      </c>
      <c r="L349" s="1125">
        <f>SUM(L350:L352)</f>
        <v>0</v>
      </c>
      <c r="M349" s="1125">
        <f>SUM(M350:M352)</f>
        <v>0</v>
      </c>
      <c r="N349" s="1626" t="str">
        <f>'Прил.1 Перечень по подключению'!G15</f>
        <v>2025год</v>
      </c>
      <c r="O349" s="1126" t="s">
        <v>57</v>
      </c>
      <c r="P349" s="1056"/>
      <c r="R349" s="1026"/>
      <c r="S349" s="1026"/>
      <c r="T349" s="1026"/>
      <c r="U349" s="1026"/>
      <c r="V349" s="1026"/>
      <c r="W349" s="1026"/>
      <c r="X349" s="1026"/>
      <c r="Y349" s="1026"/>
    </row>
    <row r="350" spans="1:25" ht="103.5" customHeight="1" outlineLevel="1">
      <c r="A350" s="1051"/>
      <c r="B350" s="1052" t="s">
        <v>10</v>
      </c>
      <c r="C350" s="1094"/>
      <c r="D350" s="1094" t="str">
        <f>D349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350" s="1094" t="str">
        <f>E349</f>
        <v>ЗАО Строительная компания "Правый берег" (ЗАО СК Правый берег)</v>
      </c>
      <c r="F350" s="1099"/>
      <c r="G350" s="1125">
        <f t="shared" ref="G350:G396" si="96">H350/1.2</f>
        <v>945.32</v>
      </c>
      <c r="H350" s="1125">
        <f t="shared" si="95"/>
        <v>1134.384</v>
      </c>
      <c r="I350" s="1094"/>
      <c r="J350" s="1094">
        <v>1134.384</v>
      </c>
      <c r="K350" s="1094"/>
      <c r="L350" s="1094"/>
      <c r="M350" s="1094"/>
      <c r="N350" s="1627"/>
      <c r="O350" s="1054" t="s">
        <v>57</v>
      </c>
      <c r="P350" s="1056"/>
    </row>
    <row r="351" spans="1:25" ht="105" customHeight="1" outlineLevel="1">
      <c r="A351" s="1051"/>
      <c r="B351" s="1052" t="s">
        <v>9</v>
      </c>
      <c r="C351" s="1094"/>
      <c r="D351" s="1094" t="str">
        <f>D349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351" s="1094" t="str">
        <f>E349</f>
        <v>ЗАО Строительная компания "Правый берег" (ЗАО СК Правый берег)</v>
      </c>
      <c r="F351" s="1099"/>
      <c r="G351" s="1125">
        <f t="shared" si="96"/>
        <v>4275.59</v>
      </c>
      <c r="H351" s="1125">
        <f t="shared" si="95"/>
        <v>5130.7079999999996</v>
      </c>
      <c r="I351" s="1094"/>
      <c r="J351" s="1094">
        <v>5130.7079999999996</v>
      </c>
      <c r="K351" s="1094"/>
      <c r="L351" s="1094"/>
      <c r="M351" s="1094"/>
      <c r="N351" s="1627"/>
      <c r="O351" s="1054" t="s">
        <v>57</v>
      </c>
      <c r="P351" s="1056"/>
    </row>
    <row r="352" spans="1:25" ht="91.5" customHeight="1" outlineLevel="1">
      <c r="A352" s="1051"/>
      <c r="B352" s="1052" t="s">
        <v>14</v>
      </c>
      <c r="C352" s="1094"/>
      <c r="D352" s="1094" t="str">
        <f>D349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352" s="1094" t="str">
        <f>E351</f>
        <v>ЗАО Строительная компания "Правый берег" (ЗАО СК Правый берег)</v>
      </c>
      <c r="F352" s="1099"/>
      <c r="G352" s="1125">
        <f t="shared" si="96"/>
        <v>1305.2280000000001</v>
      </c>
      <c r="H352" s="1125">
        <f t="shared" si="95"/>
        <v>1566.2736</v>
      </c>
      <c r="I352" s="1094"/>
      <c r="J352" s="1094">
        <v>1566.2736</v>
      </c>
      <c r="K352" s="1094"/>
      <c r="L352" s="1094"/>
      <c r="M352" s="1094"/>
      <c r="N352" s="1627"/>
      <c r="O352" s="1054" t="s">
        <v>57</v>
      </c>
      <c r="P352" s="1056"/>
    </row>
    <row r="353" spans="1:25" ht="77.25" customHeight="1" outlineLevel="1">
      <c r="A353" s="1123" t="s">
        <v>87</v>
      </c>
      <c r="B353" s="1137" t="s">
        <v>1080</v>
      </c>
      <c r="C353" s="1125">
        <v>1728</v>
      </c>
      <c r="D353" s="1125" t="s">
        <v>279</v>
      </c>
      <c r="E353" s="1125" t="s">
        <v>52</v>
      </c>
      <c r="F353" s="1125">
        <f>'Прил.1 Перечень по подключению'!F16</f>
        <v>1131</v>
      </c>
      <c r="G353" s="1125">
        <f t="shared" si="96"/>
        <v>17286.659</v>
      </c>
      <c r="H353" s="1125">
        <f t="shared" ref="H353:H360" si="97">SUM(I353:M353)</f>
        <v>20743.9908</v>
      </c>
      <c r="I353" s="1125">
        <f>SUM(I354:I356)</f>
        <v>0</v>
      </c>
      <c r="J353" s="1125">
        <f>SUM(J354:J356)</f>
        <v>0</v>
      </c>
      <c r="K353" s="1125">
        <f>SUM(K354:K356)</f>
        <v>20743.9908</v>
      </c>
      <c r="L353" s="1125">
        <f>SUM(L354:L356)</f>
        <v>0</v>
      </c>
      <c r="M353" s="1125">
        <f>SUM(M354:M356)</f>
        <v>0</v>
      </c>
      <c r="N353" s="1626" t="str">
        <f>'Прил.1 Перечень по подключению'!G16</f>
        <v>2026год</v>
      </c>
      <c r="O353" s="1126" t="s">
        <v>57</v>
      </c>
      <c r="P353" s="1056"/>
    </row>
    <row r="354" spans="1:25" ht="111" outlineLevel="1">
      <c r="A354" s="1051"/>
      <c r="B354" s="1083" t="s">
        <v>10</v>
      </c>
      <c r="C354" s="1094"/>
      <c r="D354" s="1094" t="str">
        <f t="shared" ref="D354:E356" si="98">D353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354" s="1094" t="str">
        <f t="shared" si="98"/>
        <v>ООО "СтройСервис" (АО ЦентрСпецСтрой)</v>
      </c>
      <c r="F354" s="1099"/>
      <c r="G354" s="1125">
        <f t="shared" si="96"/>
        <v>1331.3040000000001</v>
      </c>
      <c r="H354" s="1125">
        <f t="shared" si="97"/>
        <v>1597.5648000000001</v>
      </c>
      <c r="I354" s="1094"/>
      <c r="J354" s="1094"/>
      <c r="K354" s="1094">
        <f>АО_ЦентрСпецСтрой!E49*1.2</f>
        <v>1597.5648000000001</v>
      </c>
      <c r="L354" s="1094"/>
      <c r="M354" s="1094"/>
      <c r="N354" s="1627"/>
      <c r="O354" s="1054" t="s">
        <v>57</v>
      </c>
      <c r="P354" s="1056"/>
    </row>
    <row r="355" spans="1:25" ht="111" outlineLevel="1">
      <c r="A355" s="1051"/>
      <c r="B355" s="1083" t="s">
        <v>9</v>
      </c>
      <c r="C355" s="1094"/>
      <c r="D355" s="1094" t="str">
        <f t="shared" si="98"/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355" s="1094" t="str">
        <f t="shared" si="98"/>
        <v>ООО "СтройСервис" (АО ЦентрСпецСтрой)</v>
      </c>
      <c r="F355" s="1099"/>
      <c r="G355" s="1125">
        <f t="shared" si="96"/>
        <v>12498.022999999999</v>
      </c>
      <c r="H355" s="1125">
        <f t="shared" si="97"/>
        <v>14997.627599999998</v>
      </c>
      <c r="I355" s="1094"/>
      <c r="J355" s="1094"/>
      <c r="K355" s="1094">
        <f>(АО_ЦентрСпецСтрой!E50+АО_ЦентрСпецСтрой!E51+АО_ЦентрСпецСтрой!E52)*1.2</f>
        <v>14997.627599999998</v>
      </c>
      <c r="L355" s="1094"/>
      <c r="M355" s="1094"/>
      <c r="N355" s="1627"/>
      <c r="O355" s="1054" t="s">
        <v>57</v>
      </c>
      <c r="P355" s="1056"/>
    </row>
    <row r="356" spans="1:25" ht="97.5" customHeight="1" outlineLevel="1">
      <c r="A356" s="1051"/>
      <c r="B356" s="1083" t="s">
        <v>14</v>
      </c>
      <c r="C356" s="1094"/>
      <c r="D356" s="1094" t="str">
        <f t="shared" si="98"/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356" s="1094" t="str">
        <f t="shared" si="98"/>
        <v>ООО "СтройСервис" (АО ЦентрСпецСтрой)</v>
      </c>
      <c r="F356" s="1099"/>
      <c r="G356" s="1125">
        <f t="shared" si="96"/>
        <v>3457.3319999999999</v>
      </c>
      <c r="H356" s="1125">
        <f t="shared" si="97"/>
        <v>4148.7983999999997</v>
      </c>
      <c r="I356" s="1094"/>
      <c r="J356" s="1094"/>
      <c r="K356" s="1094">
        <f>АО_ЦентрСпецСтрой!E53*1.2</f>
        <v>4148.7983999999997</v>
      </c>
      <c r="L356" s="1094"/>
      <c r="M356" s="1094"/>
      <c r="N356" s="1627"/>
      <c r="O356" s="1054" t="s">
        <v>57</v>
      </c>
      <c r="P356" s="1056"/>
    </row>
    <row r="357" spans="1:25" s="1025" customFormat="1" ht="179.25" customHeight="1" outlineLevel="1">
      <c r="A357" s="1123" t="s">
        <v>88</v>
      </c>
      <c r="B357" s="1138" t="s">
        <v>773</v>
      </c>
      <c r="C357" s="1125">
        <v>90</v>
      </c>
      <c r="D357" s="1125" t="s">
        <v>111</v>
      </c>
      <c r="E357" s="1125" t="s">
        <v>112</v>
      </c>
      <c r="F357" s="1125">
        <f>'Прил.1 Перечень по подключению'!F18</f>
        <v>140.28</v>
      </c>
      <c r="G357" s="1125">
        <f t="shared" si="96"/>
        <v>3127.0416250000003</v>
      </c>
      <c r="H357" s="1125">
        <f t="shared" si="97"/>
        <v>3752.4499500000002</v>
      </c>
      <c r="I357" s="1125">
        <f>SUM(I358:I360)</f>
        <v>3752.4499500000002</v>
      </c>
      <c r="J357" s="1125">
        <f>SUM(J358:J360)</f>
        <v>0</v>
      </c>
      <c r="K357" s="1125">
        <f>SUM(K358:K360)</f>
        <v>0</v>
      </c>
      <c r="L357" s="1125">
        <f>SUM(L358:L360)</f>
        <v>0</v>
      </c>
      <c r="M357" s="1125">
        <f>SUM(M358:M360)</f>
        <v>0</v>
      </c>
      <c r="N357" s="1626" t="str">
        <f>'Прил.1 Перечень по подключению'!G18</f>
        <v>2024год</v>
      </c>
      <c r="O357" s="1126" t="s">
        <v>57</v>
      </c>
      <c r="P357" s="1056"/>
      <c r="R357" s="1026"/>
      <c r="S357" s="1026"/>
      <c r="T357" s="1026"/>
      <c r="U357" s="1026"/>
      <c r="V357" s="1026"/>
      <c r="W357" s="1026"/>
      <c r="X357" s="1026"/>
      <c r="Y357" s="1026"/>
    </row>
    <row r="358" spans="1:25" ht="56.25" customHeight="1" outlineLevel="1">
      <c r="A358" s="1051"/>
      <c r="B358" s="1083" t="s">
        <v>10</v>
      </c>
      <c r="C358" s="1094"/>
      <c r="D358" s="1094" t="str">
        <f>D357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358" s="1094" t="str">
        <f>E357</f>
        <v>ООО «КалугаЭлитДевелопмент»</v>
      </c>
      <c r="F358" s="1099"/>
      <c r="G358" s="1125">
        <f t="shared" si="96"/>
        <v>504.45830000000001</v>
      </c>
      <c r="H358" s="1125">
        <f t="shared" si="97"/>
        <v>605.34996000000001</v>
      </c>
      <c r="I358" s="1094">
        <f>КалугаЭлитДевелопмент!F49</f>
        <v>605.34996000000001</v>
      </c>
      <c r="J358" s="1094"/>
      <c r="K358" s="1094"/>
      <c r="L358" s="1094"/>
      <c r="M358" s="1094"/>
      <c r="N358" s="1627"/>
      <c r="O358" s="1054" t="s">
        <v>57</v>
      </c>
      <c r="P358" s="1056"/>
    </row>
    <row r="359" spans="1:25" ht="76.5" customHeight="1" outlineLevel="1">
      <c r="A359" s="1051"/>
      <c r="B359" s="1083" t="s">
        <v>9</v>
      </c>
      <c r="C359" s="1094"/>
      <c r="D359" s="1094" t="str">
        <f>D357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359" s="1094" t="str">
        <f>E357</f>
        <v>ООО «КалугаЭлитДевелопмент»</v>
      </c>
      <c r="F359" s="1099"/>
      <c r="G359" s="1125">
        <f t="shared" si="96"/>
        <v>1997.1750000000002</v>
      </c>
      <c r="H359" s="1125">
        <f t="shared" si="97"/>
        <v>2396.61</v>
      </c>
      <c r="I359" s="1094">
        <f>КалугаЭлитДевелопмент!F50+КалугаЭлитДевелопмент!F51</f>
        <v>2396.61</v>
      </c>
      <c r="J359" s="1094"/>
      <c r="K359" s="1094"/>
      <c r="L359" s="1094"/>
      <c r="M359" s="1094"/>
      <c r="N359" s="1627"/>
      <c r="O359" s="1054" t="s">
        <v>57</v>
      </c>
      <c r="P359" s="1056"/>
    </row>
    <row r="360" spans="1:25" ht="56.25" customHeight="1" outlineLevel="1">
      <c r="A360" s="1051"/>
      <c r="B360" s="1083" t="s">
        <v>14</v>
      </c>
      <c r="C360" s="1094"/>
      <c r="D360" s="1094" t="str">
        <f>D357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360" s="1094" t="str">
        <f>E357</f>
        <v>ООО «КалугаЭлитДевелопмент»</v>
      </c>
      <c r="F360" s="1099"/>
      <c r="G360" s="1125">
        <f t="shared" si="96"/>
        <v>625.40832499999999</v>
      </c>
      <c r="H360" s="1125">
        <f t="shared" si="97"/>
        <v>750.48998999999992</v>
      </c>
      <c r="I360" s="1094">
        <f>КалугаЭлитДевелопмент!F53</f>
        <v>750.48998999999992</v>
      </c>
      <c r="J360" s="1094"/>
      <c r="K360" s="1094"/>
      <c r="L360" s="1094"/>
      <c r="M360" s="1094"/>
      <c r="N360" s="1627"/>
      <c r="O360" s="1054" t="s">
        <v>57</v>
      </c>
      <c r="P360" s="1056"/>
    </row>
    <row r="361" spans="1:25" ht="167.25" customHeight="1" outlineLevel="1">
      <c r="A361" s="1123" t="s">
        <v>89</v>
      </c>
      <c r="B361" s="1139" t="s">
        <v>110</v>
      </c>
      <c r="C361" s="1125">
        <v>10</v>
      </c>
      <c r="D361" s="1125" t="s">
        <v>271</v>
      </c>
      <c r="E361" s="1125" t="str">
        <f>'Прил.1 Перечень по подключению'!D19</f>
        <v>ООО Совместное предприятие "Минскстройэкспорт" (уступка права ООО Драйвер)</v>
      </c>
      <c r="F361" s="1125">
        <v>64.430000000000007</v>
      </c>
      <c r="G361" s="1125">
        <f t="shared" si="96"/>
        <v>59.706000000000003</v>
      </c>
      <c r="H361" s="1125">
        <f t="shared" ref="H361:H372" si="99">SUM(I361:M361)</f>
        <v>71.647199999999998</v>
      </c>
      <c r="I361" s="1125">
        <f>SUM(I362:I364)</f>
        <v>71.647199999999998</v>
      </c>
      <c r="J361" s="1125">
        <f>SUM(J362:J364)</f>
        <v>0</v>
      </c>
      <c r="K361" s="1125">
        <f>SUM(K362:K364)</f>
        <v>0</v>
      </c>
      <c r="L361" s="1125">
        <f>SUM(L362:L364)</f>
        <v>0</v>
      </c>
      <c r="M361" s="1125">
        <f>SUM(M362:M364)</f>
        <v>0</v>
      </c>
      <c r="N361" s="1626" t="str">
        <f>'Прил.1 Перечень по подключению'!G19</f>
        <v>2024год</v>
      </c>
      <c r="O361" s="1126" t="s">
        <v>57</v>
      </c>
      <c r="P361" s="1056"/>
    </row>
    <row r="362" spans="1:25" ht="117.75" customHeight="1" outlineLevel="1">
      <c r="A362" s="1051"/>
      <c r="B362" s="1052" t="s">
        <v>10</v>
      </c>
      <c r="C362" s="1094"/>
      <c r="D362" s="1094" t="s">
        <v>271</v>
      </c>
      <c r="E362" s="1094" t="str">
        <f>E361</f>
        <v>ООО Совместное предприятие "Минскстройэкспорт" (уступка права ООО Драйвер)</v>
      </c>
      <c r="F362" s="1099"/>
      <c r="G362" s="1125">
        <f t="shared" si="96"/>
        <v>0</v>
      </c>
      <c r="H362" s="1125">
        <f t="shared" si="99"/>
        <v>0</v>
      </c>
      <c r="I362" s="1094"/>
      <c r="J362" s="1094"/>
      <c r="K362" s="1094"/>
      <c r="L362" s="1094"/>
      <c r="M362" s="1094"/>
      <c r="N362" s="1627"/>
      <c r="O362" s="1054" t="s">
        <v>57</v>
      </c>
      <c r="P362" s="1056"/>
    </row>
    <row r="363" spans="1:25" ht="127.5" customHeight="1" outlineLevel="1">
      <c r="A363" s="1051"/>
      <c r="B363" s="1052" t="s">
        <v>9</v>
      </c>
      <c r="C363" s="1094"/>
      <c r="D363" s="1094" t="s">
        <v>271</v>
      </c>
      <c r="E363" s="1094" t="str">
        <f>E361</f>
        <v>ООО Совместное предприятие "Минскстройэкспорт" (уступка права ООО Драйвер)</v>
      </c>
      <c r="F363" s="1099"/>
      <c r="G363" s="1125">
        <f t="shared" si="96"/>
        <v>47.765000000000001</v>
      </c>
      <c r="H363" s="1125">
        <f t="shared" si="99"/>
        <v>57.317999999999998</v>
      </c>
      <c r="I363" s="1094">
        <v>57.317999999999998</v>
      </c>
      <c r="J363" s="1094"/>
      <c r="K363" s="1094"/>
      <c r="L363" s="1094"/>
      <c r="M363" s="1094"/>
      <c r="N363" s="1627"/>
      <c r="O363" s="1054" t="s">
        <v>57</v>
      </c>
      <c r="P363" s="1056"/>
    </row>
    <row r="364" spans="1:25" ht="116.25" customHeight="1" outlineLevel="1">
      <c r="A364" s="1051"/>
      <c r="B364" s="1083" t="s">
        <v>14</v>
      </c>
      <c r="C364" s="1094"/>
      <c r="D364" s="1094" t="s">
        <v>271</v>
      </c>
      <c r="E364" s="1094" t="str">
        <f>E362</f>
        <v>ООО Совместное предприятие "Минскстройэкспорт" (уступка права ООО Драйвер)</v>
      </c>
      <c r="F364" s="1099"/>
      <c r="G364" s="1125">
        <f t="shared" si="96"/>
        <v>11.941000000000001</v>
      </c>
      <c r="H364" s="1125">
        <f t="shared" si="99"/>
        <v>14.3292</v>
      </c>
      <c r="I364" s="1094">
        <v>14.3292</v>
      </c>
      <c r="J364" s="1094"/>
      <c r="K364" s="1094"/>
      <c r="L364" s="1094"/>
      <c r="M364" s="1094"/>
      <c r="N364" s="1627"/>
      <c r="O364" s="1054" t="s">
        <v>57</v>
      </c>
      <c r="P364" s="1056"/>
    </row>
    <row r="365" spans="1:25" ht="143.25" customHeight="1" outlineLevel="1">
      <c r="A365" s="1123" t="s">
        <v>774</v>
      </c>
      <c r="B365" s="1139" t="s">
        <v>1278</v>
      </c>
      <c r="C365" s="1125"/>
      <c r="D365" s="1125" t="s">
        <v>655</v>
      </c>
      <c r="E365" s="1125" t="str">
        <f>'Прил.1 Перечень по подключению'!D20</f>
        <v>АО СЗ КОШЕЛЕВ-ПРОЕКТ</v>
      </c>
      <c r="F365" s="1125">
        <f>'Прил.1 Перечень по подключению'!F20</f>
        <v>351</v>
      </c>
      <c r="G365" s="1125">
        <f t="shared" si="96"/>
        <v>28.928750000000001</v>
      </c>
      <c r="H365" s="1125">
        <f t="shared" si="99"/>
        <v>34.714500000000001</v>
      </c>
      <c r="I365" s="1125">
        <f>SUM(I366:I368)</f>
        <v>34.714500000000001</v>
      </c>
      <c r="J365" s="1125">
        <f>SUM(J366:J368)</f>
        <v>0</v>
      </c>
      <c r="K365" s="1125">
        <f>SUM(K366:K368)</f>
        <v>0</v>
      </c>
      <c r="L365" s="1125">
        <f>SUM(L366:L368)</f>
        <v>0</v>
      </c>
      <c r="M365" s="1125">
        <f>SUM(M366:M368)</f>
        <v>0</v>
      </c>
      <c r="N365" s="1626" t="str">
        <f>'Прил.1 Перечень по подключению'!G21</f>
        <v>2024год</v>
      </c>
      <c r="O365" s="1126" t="s">
        <v>57</v>
      </c>
      <c r="P365" s="1056"/>
    </row>
    <row r="366" spans="1:25" ht="70.5" customHeight="1" outlineLevel="1">
      <c r="A366" s="1051"/>
      <c r="B366" s="1083" t="s">
        <v>10</v>
      </c>
      <c r="C366" s="1094"/>
      <c r="D366" s="1094" t="s">
        <v>655</v>
      </c>
      <c r="E366" s="1094" t="str">
        <f>E365</f>
        <v>АО СЗ КОШЕЛЕВ-ПРОЕКТ</v>
      </c>
      <c r="F366" s="1099"/>
      <c r="G366" s="1125">
        <f t="shared" si="96"/>
        <v>0</v>
      </c>
      <c r="H366" s="1125">
        <f t="shared" si="99"/>
        <v>0</v>
      </c>
      <c r="I366" s="1094"/>
      <c r="J366" s="1094"/>
      <c r="K366" s="1094"/>
      <c r="L366" s="1094"/>
      <c r="M366" s="1094"/>
      <c r="N366" s="1627"/>
      <c r="O366" s="1054" t="s">
        <v>57</v>
      </c>
      <c r="P366" s="1056"/>
    </row>
    <row r="367" spans="1:25" ht="70.5" customHeight="1" outlineLevel="1">
      <c r="A367" s="1051"/>
      <c r="B367" s="1083" t="s">
        <v>9</v>
      </c>
      <c r="C367" s="1094"/>
      <c r="D367" s="1094" t="s">
        <v>655</v>
      </c>
      <c r="E367" s="1094" t="str">
        <f>E365</f>
        <v>АО СЗ КОШЕЛЕВ-ПРОЕКТ</v>
      </c>
      <c r="F367" s="1099"/>
      <c r="G367" s="1125">
        <f t="shared" si="96"/>
        <v>23.143000000000001</v>
      </c>
      <c r="H367" s="1125">
        <f t="shared" si="99"/>
        <v>27.771599999999999</v>
      </c>
      <c r="I367" s="1094">
        <f>КОШЕЛЕВ!F50</f>
        <v>27.771599999999999</v>
      </c>
      <c r="J367" s="1094"/>
      <c r="K367" s="1094"/>
      <c r="L367" s="1094"/>
      <c r="M367" s="1094"/>
      <c r="N367" s="1627"/>
      <c r="O367" s="1054" t="s">
        <v>57</v>
      </c>
      <c r="P367" s="1056"/>
    </row>
    <row r="368" spans="1:25" ht="70.5" customHeight="1" outlineLevel="1">
      <c r="A368" s="1051"/>
      <c r="B368" s="1083" t="s">
        <v>14</v>
      </c>
      <c r="C368" s="1094"/>
      <c r="D368" s="1094" t="s">
        <v>655</v>
      </c>
      <c r="E368" s="1094" t="str">
        <f>E366</f>
        <v>АО СЗ КОШЕЛЕВ-ПРОЕКТ</v>
      </c>
      <c r="F368" s="1099"/>
      <c r="G368" s="1125">
        <f t="shared" si="96"/>
        <v>5.7857500000000002</v>
      </c>
      <c r="H368" s="1125">
        <f t="shared" si="99"/>
        <v>6.9428999999999998</v>
      </c>
      <c r="I368" s="1094">
        <f>КОШЕЛЕВ!F53</f>
        <v>6.9428999999999998</v>
      </c>
      <c r="J368" s="1094"/>
      <c r="K368" s="1094"/>
      <c r="L368" s="1094"/>
      <c r="M368" s="1094"/>
      <c r="N368" s="1627"/>
      <c r="O368" s="1054" t="s">
        <v>57</v>
      </c>
      <c r="P368" s="1056"/>
    </row>
    <row r="369" spans="1:25" ht="249.75" customHeight="1" outlineLevel="1">
      <c r="A369" s="1123" t="s">
        <v>90</v>
      </c>
      <c r="B369" s="1139" t="s">
        <v>762</v>
      </c>
      <c r="C369" s="1125">
        <v>45</v>
      </c>
      <c r="D369" s="1125" t="s">
        <v>547</v>
      </c>
      <c r="E369" s="1125" t="s">
        <v>175</v>
      </c>
      <c r="F369" s="1125">
        <f>'Прил.1 Перечень по подключению'!F21</f>
        <v>52.98</v>
      </c>
      <c r="G369" s="1125">
        <f t="shared" si="96"/>
        <v>3563.7125000000001</v>
      </c>
      <c r="H369" s="1125">
        <f t="shared" si="99"/>
        <v>4276.4549999999999</v>
      </c>
      <c r="I369" s="1125">
        <f>SUM(I370:I372)</f>
        <v>4276.4549999999999</v>
      </c>
      <c r="J369" s="1125">
        <f>SUM(J370:J372)</f>
        <v>0</v>
      </c>
      <c r="K369" s="1125">
        <f>SUM(K370:K372)</f>
        <v>0</v>
      </c>
      <c r="L369" s="1125">
        <f>SUM(L370:L372)</f>
        <v>0</v>
      </c>
      <c r="M369" s="1125">
        <f>SUM(M370:M372)</f>
        <v>0</v>
      </c>
      <c r="N369" s="1126" t="str">
        <f>'Прил.1 Перечень по подключению'!$G$21</f>
        <v>2024год</v>
      </c>
      <c r="O369" s="1126" t="s">
        <v>57</v>
      </c>
      <c r="P369" s="1056"/>
    </row>
    <row r="370" spans="1:25" ht="80.25" customHeight="1" outlineLevel="1">
      <c r="A370" s="1051"/>
      <c r="B370" s="1052" t="s">
        <v>10</v>
      </c>
      <c r="C370" s="1094"/>
      <c r="D370" s="1094" t="str">
        <f>D369</f>
        <v>Жилой дом, 17 этажей, 119 квартирный,расположенного по адресу: г. Калуга, ул. Серафима Туликова</v>
      </c>
      <c r="E370" s="1094" t="str">
        <f>E369</f>
        <v>ООО КОМЕТА</v>
      </c>
      <c r="F370" s="1099"/>
      <c r="G370" s="1125">
        <f t="shared" si="96"/>
        <v>130.30600000000001</v>
      </c>
      <c r="H370" s="1125">
        <f t="shared" si="99"/>
        <v>156.3672</v>
      </c>
      <c r="I370" s="1094">
        <f>Комета!F49</f>
        <v>156.3672</v>
      </c>
      <c r="J370" s="1094"/>
      <c r="K370" s="1094"/>
      <c r="L370" s="1094"/>
      <c r="M370" s="1094"/>
      <c r="N370" s="1627"/>
      <c r="O370" s="1054" t="s">
        <v>57</v>
      </c>
      <c r="P370" s="1056"/>
    </row>
    <row r="371" spans="1:25" ht="69.75" customHeight="1" outlineLevel="1">
      <c r="A371" s="1051"/>
      <c r="B371" s="1052" t="s">
        <v>9</v>
      </c>
      <c r="C371" s="1094"/>
      <c r="D371" s="1094" t="str">
        <f>D369</f>
        <v>Жилой дом, 17 этажей, 119 квартирный,расположенного по адресу: г. Калуга, ул. Серафима Туликова</v>
      </c>
      <c r="E371" s="1094" t="str">
        <f>E369</f>
        <v>ООО КОМЕТА</v>
      </c>
      <c r="F371" s="1099"/>
      <c r="G371" s="1125">
        <f t="shared" si="96"/>
        <v>2720.6640000000002</v>
      </c>
      <c r="H371" s="1125">
        <f t="shared" si="99"/>
        <v>3264.7968000000001</v>
      </c>
      <c r="I371" s="1094">
        <f>Комета!F50</f>
        <v>3264.7968000000001</v>
      </c>
      <c r="J371" s="1094"/>
      <c r="K371" s="1094"/>
      <c r="L371" s="1094"/>
      <c r="M371" s="1094"/>
      <c r="N371" s="1627"/>
      <c r="O371" s="1054" t="s">
        <v>57</v>
      </c>
      <c r="P371" s="1056"/>
    </row>
    <row r="372" spans="1:25" ht="66" customHeight="1" outlineLevel="1">
      <c r="A372" s="1051"/>
      <c r="B372" s="1052" t="s">
        <v>14</v>
      </c>
      <c r="C372" s="1094"/>
      <c r="D372" s="1094" t="str">
        <f>D369</f>
        <v>Жилой дом, 17 этажей, 119 квартирный,расположенного по адресу: г. Калуга, ул. Серафима Туликова</v>
      </c>
      <c r="E372" s="1094" t="str">
        <f>E369</f>
        <v>ООО КОМЕТА</v>
      </c>
      <c r="F372" s="1099"/>
      <c r="G372" s="1125">
        <f t="shared" si="96"/>
        <v>712.74250000000006</v>
      </c>
      <c r="H372" s="1125">
        <f t="shared" si="99"/>
        <v>855.29100000000005</v>
      </c>
      <c r="I372" s="1094">
        <f>Комета!F53</f>
        <v>855.29100000000005</v>
      </c>
      <c r="J372" s="1094"/>
      <c r="K372" s="1094"/>
      <c r="L372" s="1094"/>
      <c r="M372" s="1094"/>
      <c r="N372" s="1627"/>
      <c r="O372" s="1054" t="s">
        <v>57</v>
      </c>
      <c r="P372" s="1056"/>
    </row>
    <row r="373" spans="1:25" s="1025" customFormat="1" ht="189" customHeight="1" outlineLevel="1">
      <c r="A373" s="1123" t="s">
        <v>91</v>
      </c>
      <c r="B373" s="2210" t="s">
        <v>15161</v>
      </c>
      <c r="C373" s="1125">
        <f>30+134</f>
        <v>164</v>
      </c>
      <c r="D373" s="1125" t="s">
        <v>15162</v>
      </c>
      <c r="E373" s="1125" t="s">
        <v>298</v>
      </c>
      <c r="F373" s="1125">
        <f>'Прил.1 Перечень по подключению'!F22</f>
        <v>45.156799999999997</v>
      </c>
      <c r="G373" s="1125">
        <f t="shared" si="96"/>
        <v>7099.8142107725416</v>
      </c>
      <c r="H373" s="1125">
        <f>SUM(I373:M373)</f>
        <v>8519.7770529270492</v>
      </c>
      <c r="I373" s="1125">
        <f>SUM(I374:I376)</f>
        <v>5706.944196741244</v>
      </c>
      <c r="J373" s="1125">
        <f>SUM(J374:J376)</f>
        <v>2812.8328561858052</v>
      </c>
      <c r="K373" s="1125">
        <f>SUM(K374:K376)</f>
        <v>0</v>
      </c>
      <c r="L373" s="1125">
        <f>SUM(L374:L376)</f>
        <v>0</v>
      </c>
      <c r="M373" s="1125">
        <f>SUM(M374:M376)</f>
        <v>0</v>
      </c>
      <c r="N373" s="1626" t="str">
        <f>'Прил.1 Перечень по подключению'!G22</f>
        <v>2025год</v>
      </c>
      <c r="O373" s="1126" t="s">
        <v>57</v>
      </c>
      <c r="P373" s="1056"/>
    </row>
    <row r="374" spans="1:25" ht="111.75" customHeight="1" outlineLevel="1">
      <c r="A374" s="1051"/>
      <c r="B374" s="1083" t="s">
        <v>10</v>
      </c>
      <c r="C374" s="1094"/>
      <c r="D374" s="1094" t="str">
        <f>D373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374" s="1094" t="str">
        <f>E373</f>
        <v xml:space="preserve"> ГКУ КО "Управление капитального строительства"</v>
      </c>
      <c r="F374" s="1099"/>
      <c r="G374" s="1125">
        <f t="shared" si="96"/>
        <v>198.43349502518299</v>
      </c>
      <c r="H374" s="1125">
        <f>SUM(I374:M374)</f>
        <v>238.12019403021958</v>
      </c>
      <c r="I374" s="1094">
        <f>198.433495025183*1.2</f>
        <v>238.12019403021958</v>
      </c>
      <c r="J374" s="1094"/>
      <c r="K374" s="1094"/>
      <c r="L374" s="1094"/>
      <c r="M374" s="1094"/>
      <c r="N374" s="1627"/>
      <c r="O374" s="1054" t="s">
        <v>57</v>
      </c>
      <c r="P374" s="1056"/>
      <c r="R374" s="1057"/>
      <c r="S374" s="1057"/>
      <c r="T374" s="1057"/>
      <c r="U374" s="1057"/>
      <c r="V374" s="1057"/>
      <c r="W374" s="1057"/>
      <c r="X374" s="1057"/>
      <c r="Y374" s="1057"/>
    </row>
    <row r="375" spans="1:25" ht="108.75" customHeight="1" outlineLevel="1">
      <c r="A375" s="1051"/>
      <c r="B375" s="1083" t="s">
        <v>9</v>
      </c>
      <c r="C375" s="1094"/>
      <c r="D375" s="1094" t="str">
        <f>D373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375" s="1094" t="str">
        <f>E373</f>
        <v xml:space="preserve"> ГКУ КО "Управление капитального строительства"</v>
      </c>
      <c r="F375" s="1099"/>
      <c r="G375" s="1125">
        <f t="shared" si="96"/>
        <v>5481.4178735928499</v>
      </c>
      <c r="H375" s="1125">
        <f>SUM(I375:M375)</f>
        <v>6577.7014483114199</v>
      </c>
      <c r="I375" s="1094">
        <f>3606.19596946898*1.2</f>
        <v>4327.4351633627757</v>
      </c>
      <c r="J375" s="1094">
        <f>1875.22190412387*1.2</f>
        <v>2250.2662849486437</v>
      </c>
      <c r="K375" s="1094"/>
      <c r="L375" s="1094"/>
      <c r="M375" s="1094"/>
      <c r="N375" s="1627"/>
      <c r="O375" s="1054" t="s">
        <v>57</v>
      </c>
      <c r="P375" s="1056"/>
      <c r="R375" s="1057"/>
      <c r="S375" s="1057"/>
      <c r="T375" s="1057"/>
      <c r="U375" s="1057"/>
      <c r="V375" s="1057"/>
      <c r="W375" s="1057"/>
      <c r="X375" s="1057"/>
      <c r="Y375" s="1057"/>
    </row>
    <row r="376" spans="1:25" ht="108.75" customHeight="1" outlineLevel="1">
      <c r="A376" s="1051"/>
      <c r="B376" s="1083" t="s">
        <v>14</v>
      </c>
      <c r="C376" s="1094"/>
      <c r="D376" s="1094" t="str">
        <f>D373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376" s="1094" t="str">
        <f>E373</f>
        <v xml:space="preserve"> ГКУ КО "Управление капитального строительства"</v>
      </c>
      <c r="F376" s="1099"/>
      <c r="G376" s="1125">
        <f t="shared" si="96"/>
        <v>1419.9628421545087</v>
      </c>
      <c r="H376" s="1125">
        <f>SUM(I376:M376)</f>
        <v>1703.9554105854104</v>
      </c>
      <c r="I376" s="1094">
        <f>49.6083737562958*1.2+901.548992367245*1.2</f>
        <v>1141.3888393482489</v>
      </c>
      <c r="J376" s="1094">
        <f>468.805476030968*1.2</f>
        <v>562.56657123716161</v>
      </c>
      <c r="K376" s="1094"/>
      <c r="L376" s="1094"/>
      <c r="M376" s="1094"/>
      <c r="N376" s="1627"/>
      <c r="O376" s="1054" t="s">
        <v>57</v>
      </c>
      <c r="P376" s="1056"/>
      <c r="R376" s="1057"/>
      <c r="S376" s="1057"/>
      <c r="T376" s="1057"/>
      <c r="U376" s="1057"/>
      <c r="V376" s="1057"/>
      <c r="W376" s="1057"/>
      <c r="X376" s="1057"/>
      <c r="Y376" s="1057"/>
    </row>
    <row r="377" spans="1:25" ht="209.25" customHeight="1" outlineLevel="1">
      <c r="A377" s="1123" t="s">
        <v>144</v>
      </c>
      <c r="B377" s="1139" t="s">
        <v>764</v>
      </c>
      <c r="C377" s="1125">
        <v>50</v>
      </c>
      <c r="D377" s="1125" t="s">
        <v>763</v>
      </c>
      <c r="E377" s="1125" t="s">
        <v>242</v>
      </c>
      <c r="F377" s="1125">
        <f>'Прил.1 Перечень по подключению'!F23</f>
        <v>57.436</v>
      </c>
      <c r="G377" s="1125">
        <f t="shared" si="96"/>
        <v>192.08874999999998</v>
      </c>
      <c r="H377" s="1125">
        <f>SUM(I377:M377)</f>
        <v>230.50649999999996</v>
      </c>
      <c r="I377" s="1125">
        <f>SUM(I378:I380)</f>
        <v>230.50649999999996</v>
      </c>
      <c r="J377" s="1125">
        <f>SUM(J378:J380)</f>
        <v>0</v>
      </c>
      <c r="K377" s="1125">
        <f>SUM(K378:K380)</f>
        <v>0</v>
      </c>
      <c r="L377" s="1125">
        <f>SUM(L378:L380)</f>
        <v>0</v>
      </c>
      <c r="M377" s="1125">
        <f>SUM(M378:M380)</f>
        <v>0</v>
      </c>
      <c r="N377" s="1626" t="str">
        <f>'Прил.1 Перечень по подключению'!$G$23</f>
        <v>2024год</v>
      </c>
      <c r="O377" s="1126" t="s">
        <v>57</v>
      </c>
      <c r="P377" s="1056"/>
      <c r="R377" s="1057"/>
      <c r="S377" s="1057"/>
      <c r="T377" s="1057"/>
      <c r="U377" s="1057"/>
      <c r="V377" s="1057"/>
      <c r="W377" s="1057"/>
      <c r="X377" s="1057"/>
      <c r="Y377" s="1057"/>
    </row>
    <row r="378" spans="1:25" ht="74.25" customHeight="1" outlineLevel="1">
      <c r="A378" s="1051"/>
      <c r="B378" s="1083" t="s">
        <v>10</v>
      </c>
      <c r="C378" s="1094"/>
      <c r="D378" s="1094" t="str">
        <f t="shared" ref="D378:E380" si="100">D377</f>
        <v xml:space="preserve">«Объект образования: общеобразовательная школа на 1125 мест,г. Калуга, ул. Байконурская. </v>
      </c>
      <c r="E378" s="1094" t="str">
        <f t="shared" si="100"/>
        <v>ООО «ПроШкола№2»</v>
      </c>
      <c r="F378" s="1099"/>
      <c r="G378" s="1125">
        <f t="shared" si="96"/>
        <v>7.7190000000000003</v>
      </c>
      <c r="H378" s="1125">
        <f t="shared" ref="H378:H386" si="101">SUM(I378:M378)</f>
        <v>9.2628000000000004</v>
      </c>
      <c r="I378" s="1094">
        <v>9.2628000000000004</v>
      </c>
      <c r="J378" s="1094"/>
      <c r="K378" s="1094"/>
      <c r="L378" s="1094"/>
      <c r="M378" s="1094"/>
      <c r="N378" s="1627"/>
      <c r="O378" s="1054" t="s">
        <v>57</v>
      </c>
      <c r="P378" s="1056"/>
      <c r="R378" s="1057"/>
      <c r="S378" s="1057"/>
      <c r="T378" s="1057"/>
      <c r="U378" s="1057"/>
      <c r="V378" s="1057"/>
      <c r="W378" s="1057"/>
      <c r="X378" s="1057"/>
      <c r="Y378" s="1057"/>
    </row>
    <row r="379" spans="1:25" ht="81.75" customHeight="1" outlineLevel="1">
      <c r="A379" s="1051"/>
      <c r="B379" s="1083" t="s">
        <v>9</v>
      </c>
      <c r="C379" s="1094"/>
      <c r="D379" s="1094" t="str">
        <f t="shared" si="100"/>
        <v xml:space="preserve">«Объект образования: общеобразовательная школа на 1125 мест,г. Калуга, ул. Байконурская. </v>
      </c>
      <c r="E379" s="1094" t="str">
        <f t="shared" si="100"/>
        <v>ООО «ПроШкола№2»</v>
      </c>
      <c r="F379" s="1099"/>
      <c r="G379" s="1125">
        <f t="shared" si="96"/>
        <v>145.952</v>
      </c>
      <c r="H379" s="1125">
        <f t="shared" si="101"/>
        <v>175.14239999999998</v>
      </c>
      <c r="I379" s="1094">
        <v>175.14239999999998</v>
      </c>
      <c r="J379" s="1094"/>
      <c r="K379" s="1094"/>
      <c r="L379" s="1094"/>
      <c r="M379" s="1094"/>
      <c r="N379" s="1627"/>
      <c r="O379" s="1054" t="s">
        <v>57</v>
      </c>
      <c r="P379" s="1056"/>
      <c r="R379" s="1057"/>
      <c r="S379" s="1057"/>
      <c r="T379" s="1057"/>
      <c r="U379" s="1057"/>
      <c r="V379" s="1057"/>
      <c r="W379" s="1057"/>
      <c r="X379" s="1057"/>
      <c r="Y379" s="1057"/>
    </row>
    <row r="380" spans="1:25" ht="69" customHeight="1" outlineLevel="1">
      <c r="A380" s="1051"/>
      <c r="B380" s="1083" t="s">
        <v>14</v>
      </c>
      <c r="C380" s="1094"/>
      <c r="D380" s="1094" t="str">
        <f t="shared" si="100"/>
        <v xml:space="preserve">«Объект образования: общеобразовательная школа на 1125 мест,г. Калуга, ул. Байконурская. </v>
      </c>
      <c r="E380" s="1094" t="str">
        <f t="shared" si="100"/>
        <v>ООО «ПроШкола№2»</v>
      </c>
      <c r="F380" s="1099"/>
      <c r="G380" s="1125">
        <f t="shared" si="96"/>
        <v>38.417749999999998</v>
      </c>
      <c r="H380" s="1125">
        <f t="shared" si="101"/>
        <v>46.101299999999995</v>
      </c>
      <c r="I380" s="1094">
        <v>46.101299999999995</v>
      </c>
      <c r="J380" s="1094"/>
      <c r="K380" s="1094"/>
      <c r="L380" s="1094"/>
      <c r="M380" s="1094"/>
      <c r="N380" s="1627"/>
      <c r="O380" s="1054" t="s">
        <v>57</v>
      </c>
      <c r="P380" s="1056"/>
      <c r="R380" s="1057"/>
      <c r="S380" s="1057"/>
      <c r="T380" s="1057"/>
      <c r="U380" s="1057"/>
      <c r="V380" s="1057"/>
      <c r="W380" s="1057"/>
      <c r="X380" s="1057"/>
      <c r="Y380" s="1057"/>
    </row>
    <row r="381" spans="1:25" s="1025" customFormat="1" ht="135" outlineLevel="1">
      <c r="A381" s="1123" t="s">
        <v>145</v>
      </c>
      <c r="B381" s="1138" t="s">
        <v>920</v>
      </c>
      <c r="C381" s="1125">
        <f>450</f>
        <v>450</v>
      </c>
      <c r="D381" s="1125" t="s">
        <v>657</v>
      </c>
      <c r="E381" s="1125" t="s">
        <v>244</v>
      </c>
      <c r="F381" s="1125">
        <f>'Прил.1 Перечень по подключению'!F24</f>
        <v>119.38</v>
      </c>
      <c r="G381" s="1125">
        <f t="shared" si="96"/>
        <v>3721.4355</v>
      </c>
      <c r="H381" s="1125">
        <f t="shared" si="101"/>
        <v>4465.7226000000001</v>
      </c>
      <c r="I381" s="1125">
        <f>SUM(I382:I384)</f>
        <v>0</v>
      </c>
      <c r="J381" s="1125">
        <f>SUM(J382:J384)</f>
        <v>4465.7226000000001</v>
      </c>
      <c r="K381" s="1125">
        <f>SUM(K382:K384)</f>
        <v>0</v>
      </c>
      <c r="L381" s="1125">
        <f>SUM(L382:L384)</f>
        <v>0</v>
      </c>
      <c r="M381" s="1125">
        <f>SUM(M382:M384)</f>
        <v>0</v>
      </c>
      <c r="N381" s="1626" t="str">
        <f>'Прил.1 Перечень по подключению'!G25</f>
        <v>2025год</v>
      </c>
      <c r="O381" s="1126" t="s">
        <v>57</v>
      </c>
      <c r="P381" s="1056"/>
      <c r="R381" s="1026"/>
      <c r="S381" s="1026"/>
      <c r="T381" s="1026"/>
      <c r="U381" s="1026"/>
      <c r="V381" s="1026"/>
      <c r="W381" s="1026"/>
      <c r="X381" s="1026"/>
      <c r="Y381" s="1026"/>
    </row>
    <row r="382" spans="1:25" ht="65.25" customHeight="1" outlineLevel="1">
      <c r="A382" s="1051"/>
      <c r="B382" s="1083" t="s">
        <v>10</v>
      </c>
      <c r="C382" s="1094"/>
      <c r="D382" s="1094" t="str">
        <f t="shared" ref="D382:E384" si="102">D381</f>
        <v xml:space="preserve">Нежилое здание для реализации общеобразовательных программ в г. Калуге на 1300 мест ул. Ермоловская </v>
      </c>
      <c r="E382" s="1094" t="str">
        <f t="shared" si="102"/>
        <v>ЗАО Калугагазстрой</v>
      </c>
      <c r="F382" s="1099"/>
      <c r="G382" s="1125">
        <f t="shared" si="96"/>
        <v>120.0414</v>
      </c>
      <c r="H382" s="1125">
        <f t="shared" si="101"/>
        <v>144.04968</v>
      </c>
      <c r="I382" s="1094"/>
      <c r="J382" s="1094">
        <v>144.04968</v>
      </c>
      <c r="K382" s="1094"/>
      <c r="L382" s="1094"/>
      <c r="M382" s="1094"/>
      <c r="N382" s="1627"/>
      <c r="O382" s="1054" t="s">
        <v>57</v>
      </c>
      <c r="P382" s="1056"/>
    </row>
    <row r="383" spans="1:25" ht="65.25" customHeight="1" outlineLevel="1">
      <c r="A383" s="1051"/>
      <c r="B383" s="1083" t="s">
        <v>9</v>
      </c>
      <c r="C383" s="1094"/>
      <c r="D383" s="1094" t="str">
        <f t="shared" si="102"/>
        <v xml:space="preserve">Нежилое здание для реализации общеобразовательных программ в г. Калуге на 1300 мест ул. Ермоловская </v>
      </c>
      <c r="E383" s="1094" t="str">
        <f t="shared" si="102"/>
        <v>ЗАО Калугагазстрой</v>
      </c>
      <c r="F383" s="1099"/>
      <c r="G383" s="1125">
        <f t="shared" si="96"/>
        <v>2857.107</v>
      </c>
      <c r="H383" s="1125">
        <f t="shared" si="101"/>
        <v>3428.5283999999997</v>
      </c>
      <c r="I383" s="1094"/>
      <c r="J383" s="1094">
        <v>3428.5283999999997</v>
      </c>
      <c r="K383" s="1094"/>
      <c r="L383" s="1094"/>
      <c r="M383" s="1094"/>
      <c r="N383" s="1627"/>
      <c r="O383" s="1054" t="s">
        <v>57</v>
      </c>
      <c r="P383" s="1056"/>
    </row>
    <row r="384" spans="1:25" ht="65.25" customHeight="1" outlineLevel="1">
      <c r="A384" s="1051"/>
      <c r="B384" s="1083" t="s">
        <v>14</v>
      </c>
      <c r="C384" s="1094"/>
      <c r="D384" s="1094" t="str">
        <f t="shared" si="102"/>
        <v xml:space="preserve">Нежилое здание для реализации общеобразовательных программ в г. Калуге на 1300 мест ул. Ермоловская </v>
      </c>
      <c r="E384" s="1094" t="str">
        <f t="shared" si="102"/>
        <v>ЗАО Калугагазстрой</v>
      </c>
      <c r="F384" s="1099"/>
      <c r="G384" s="1125">
        <f t="shared" si="96"/>
        <v>744.28710000000001</v>
      </c>
      <c r="H384" s="1125">
        <f t="shared" si="101"/>
        <v>893.14451999999994</v>
      </c>
      <c r="I384" s="1094"/>
      <c r="J384" s="1094">
        <v>893.14451999999994</v>
      </c>
      <c r="K384" s="1094"/>
      <c r="L384" s="1094"/>
      <c r="M384" s="1094"/>
      <c r="N384" s="1627"/>
      <c r="O384" s="1054" t="s">
        <v>57</v>
      </c>
      <c r="P384" s="1056"/>
    </row>
    <row r="385" spans="1:25" s="1025" customFormat="1" ht="176.25" customHeight="1" outlineLevel="1">
      <c r="A385" s="1123" t="s">
        <v>146</v>
      </c>
      <c r="B385" s="2207" t="s">
        <v>1112</v>
      </c>
      <c r="C385" s="1125">
        <v>20</v>
      </c>
      <c r="D385" s="1125" t="s">
        <v>765</v>
      </c>
      <c r="E385" s="1125" t="s">
        <v>309</v>
      </c>
      <c r="F385" s="1125">
        <f>'Прил.1 Перечень по подключению'!F25</f>
        <v>73.27</v>
      </c>
      <c r="G385" s="1125">
        <f t="shared" si="96"/>
        <v>285.78463695950001</v>
      </c>
      <c r="H385" s="1125">
        <f t="shared" si="101"/>
        <v>342.94156435139996</v>
      </c>
      <c r="I385" s="1125">
        <f>SUM(I386:I388)</f>
        <v>0</v>
      </c>
      <c r="J385" s="1125">
        <f>SUM(J386:J388)</f>
        <v>342.94156435139996</v>
      </c>
      <c r="K385" s="1125">
        <f>SUM(K386:K388)</f>
        <v>0</v>
      </c>
      <c r="L385" s="1125">
        <f>SUM(L386:L388)</f>
        <v>0</v>
      </c>
      <c r="M385" s="1125">
        <f>SUM(M386:M388)</f>
        <v>0</v>
      </c>
      <c r="N385" s="1626" t="str">
        <f>'Прил.1 Перечень по подключению'!G28</f>
        <v>2025год</v>
      </c>
      <c r="O385" s="1126" t="s">
        <v>57</v>
      </c>
      <c r="P385" s="1056"/>
      <c r="R385" s="1026"/>
      <c r="S385" s="1026"/>
      <c r="T385" s="1026"/>
      <c r="U385" s="1026"/>
      <c r="V385" s="1026"/>
      <c r="W385" s="1026"/>
      <c r="X385" s="1026"/>
      <c r="Y385" s="1026"/>
    </row>
    <row r="386" spans="1:25" ht="57.75" customHeight="1" outlineLevel="1">
      <c r="A386" s="1051"/>
      <c r="B386" s="1083" t="s">
        <v>10</v>
      </c>
      <c r="C386" s="1094"/>
      <c r="D386" s="1094" t="str">
        <f>D385</f>
        <v>Здание жилое многоквартирное со встроенными помещениями,почтовый адрес ориентира: г. Калуга, 3-Академический проезд, д.1".</v>
      </c>
      <c r="E386" s="1094" t="str">
        <f>E385</f>
        <v>ООО «Строительная компания «Азимут-Калуга»</v>
      </c>
      <c r="F386" s="1099"/>
      <c r="G386" s="1125">
        <f t="shared" si="96"/>
        <v>104.13228000000001</v>
      </c>
      <c r="H386" s="1125">
        <f t="shared" si="101"/>
        <v>124.958736</v>
      </c>
      <c r="I386" s="1094"/>
      <c r="J386" s="1094">
        <f>Азимут!AC17*1.2</f>
        <v>124.958736</v>
      </c>
      <c r="K386" s="1094"/>
      <c r="L386" s="1094"/>
      <c r="M386" s="1094"/>
      <c r="N386" s="1627"/>
      <c r="O386" s="1054" t="s">
        <v>57</v>
      </c>
      <c r="P386" s="1056"/>
    </row>
    <row r="387" spans="1:25" ht="61.5" customHeight="1" outlineLevel="1">
      <c r="A387" s="1051"/>
      <c r="B387" s="1083" t="s">
        <v>9</v>
      </c>
      <c r="C387" s="1094"/>
      <c r="D387" s="1094" t="str">
        <f>D386</f>
        <v>Здание жилое многоквартирное со встроенными помещениями,почтовый адрес ориентира: г. Калуга, 3-Академический проезд, д.1".</v>
      </c>
      <c r="E387" s="1094" t="str">
        <f>E386</f>
        <v>ООО «Строительная компания «Азимут-Калуга»</v>
      </c>
      <c r="F387" s="1099"/>
      <c r="G387" s="1125">
        <f t="shared" si="96"/>
        <v>124.49542956759998</v>
      </c>
      <c r="H387" s="1125">
        <f>SUM(I387:M387)</f>
        <v>149.39451548111998</v>
      </c>
      <c r="I387" s="1094"/>
      <c r="J387" s="1094">
        <f>Азимут!AO20*1.2</f>
        <v>149.39451548111998</v>
      </c>
      <c r="K387" s="1094"/>
      <c r="L387" s="1094"/>
      <c r="M387" s="1094"/>
      <c r="N387" s="1627"/>
      <c r="O387" s="1054" t="s">
        <v>57</v>
      </c>
      <c r="P387" s="1056"/>
    </row>
    <row r="388" spans="1:25" ht="61.5" customHeight="1" outlineLevel="1">
      <c r="A388" s="1051"/>
      <c r="B388" s="1083" t="s">
        <v>14</v>
      </c>
      <c r="C388" s="1094"/>
      <c r="D388" s="1094" t="str">
        <f>D385</f>
        <v>Здание жилое многоквартирное со встроенными помещениями,почтовый адрес ориентира: г. Калуга, 3-Академический проезд, д.1".</v>
      </c>
      <c r="E388" s="1094" t="str">
        <f>E387</f>
        <v>ООО «Строительная компания «Азимут-Калуга»</v>
      </c>
      <c r="F388" s="1099"/>
      <c r="G388" s="1125">
        <f t="shared" si="96"/>
        <v>57.156927391899998</v>
      </c>
      <c r="H388" s="1125">
        <f>SUM(I388:M388)</f>
        <v>68.588312870279992</v>
      </c>
      <c r="I388" s="1094"/>
      <c r="J388" s="1094">
        <f>Азимут!AO46*1.2</f>
        <v>68.588312870279992</v>
      </c>
      <c r="K388" s="1094"/>
      <c r="L388" s="1094"/>
      <c r="M388" s="1094"/>
      <c r="N388" s="1627"/>
      <c r="O388" s="1054" t="s">
        <v>57</v>
      </c>
      <c r="P388" s="1056"/>
    </row>
    <row r="389" spans="1:25" s="1025" customFormat="1" ht="182.25" customHeight="1" outlineLevel="1">
      <c r="A389" s="1123" t="s">
        <v>147</v>
      </c>
      <c r="B389" s="2210" t="s">
        <v>2200</v>
      </c>
      <c r="C389" s="1125">
        <f>80+5</f>
        <v>85</v>
      </c>
      <c r="D389" s="1125" t="s">
        <v>775</v>
      </c>
      <c r="E389" s="1125" t="s">
        <v>305</v>
      </c>
      <c r="F389" s="1125">
        <f>'Прил.1 Перечень по подключению'!F28</f>
        <v>1012.7329999999999</v>
      </c>
      <c r="G389" s="1125">
        <f t="shared" si="96"/>
        <v>2746.08607378125</v>
      </c>
      <c r="H389" s="1125">
        <f>SUM(I389:M389)</f>
        <v>3295.3032885375001</v>
      </c>
      <c r="I389" s="1125">
        <f>SUM(I390:I392)</f>
        <v>0</v>
      </c>
      <c r="J389" s="1125">
        <f>SUM(J390:J392)</f>
        <v>3295.3032885375001</v>
      </c>
      <c r="K389" s="1125">
        <f>SUM(K390:K392)</f>
        <v>0</v>
      </c>
      <c r="L389" s="1125">
        <f>SUM(L390:L392)</f>
        <v>0</v>
      </c>
      <c r="M389" s="1125">
        <f>SUM(M390:M392)</f>
        <v>0</v>
      </c>
      <c r="N389" s="1626" t="s">
        <v>542</v>
      </c>
      <c r="O389" s="1126" t="s">
        <v>57</v>
      </c>
      <c r="P389" s="1056"/>
      <c r="R389" s="1026"/>
      <c r="S389" s="1026"/>
      <c r="T389" s="1026"/>
      <c r="U389" s="1026"/>
      <c r="V389" s="1026"/>
      <c r="W389" s="1026"/>
      <c r="X389" s="1026"/>
      <c r="Y389" s="1026"/>
    </row>
    <row r="390" spans="1:25" ht="45" customHeight="1" outlineLevel="1">
      <c r="A390" s="1051"/>
      <c r="B390" s="1052" t="s">
        <v>10</v>
      </c>
      <c r="C390" s="1094"/>
      <c r="D390" s="1094" t="str">
        <f>D389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390" s="1094" t="str">
        <f>E389</f>
        <v>ООО Специализированный застройщик "УАЙТ ГРУПП-КАЛУГА"</v>
      </c>
      <c r="F390" s="1099"/>
      <c r="G390" s="1125">
        <f t="shared" si="96"/>
        <v>112.151</v>
      </c>
      <c r="H390" s="1125">
        <f t="shared" ref="H390:H396" si="103">SUM(I390:M390)</f>
        <v>134.5812</v>
      </c>
      <c r="I390" s="1094"/>
      <c r="J390" s="1094">
        <f>'Уайт Групп'!AO17*1.2+'Уайт Групп'!BY17*1.2</f>
        <v>134.5812</v>
      </c>
      <c r="K390" s="1094"/>
      <c r="L390" s="1094"/>
      <c r="M390" s="1094"/>
      <c r="N390" s="1627"/>
      <c r="O390" s="1054" t="s">
        <v>57</v>
      </c>
      <c r="P390" s="1056"/>
    </row>
    <row r="391" spans="1:25" ht="45" customHeight="1" outlineLevel="1">
      <c r="A391" s="1051"/>
      <c r="B391" s="1052" t="s">
        <v>9</v>
      </c>
      <c r="C391" s="1094"/>
      <c r="D391" s="1094" t="str">
        <f>D390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391" s="1094" t="str">
        <f>E389</f>
        <v>ООО Специализированный застройщик "УАЙТ ГРУПП-КАЛУГА"</v>
      </c>
      <c r="F391" s="1099"/>
      <c r="G391" s="1125">
        <f t="shared" si="96"/>
        <v>2084.7178590250001</v>
      </c>
      <c r="H391" s="1125">
        <f t="shared" si="103"/>
        <v>2501.66143083</v>
      </c>
      <c r="I391" s="1094"/>
      <c r="J391" s="1094">
        <f>'Уайт Групп'!AO20*1.2+'Уайт Групп'!BY20*1.2</f>
        <v>2501.66143083</v>
      </c>
      <c r="K391" s="1094"/>
      <c r="L391" s="1094"/>
      <c r="M391" s="1094"/>
      <c r="N391" s="1627"/>
      <c r="O391" s="1054" t="s">
        <v>57</v>
      </c>
      <c r="P391" s="1056"/>
    </row>
    <row r="392" spans="1:25" ht="45" customHeight="1" outlineLevel="1">
      <c r="A392" s="1051"/>
      <c r="B392" s="1052" t="s">
        <v>14</v>
      </c>
      <c r="C392" s="1094"/>
      <c r="D392" s="1094" t="str">
        <f>D389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392" s="1094" t="str">
        <f>E389</f>
        <v>ООО Специализированный застройщик "УАЙТ ГРУПП-КАЛУГА"</v>
      </c>
      <c r="F392" s="1099"/>
      <c r="G392" s="1125">
        <f t="shared" si="96"/>
        <v>549.21721475624997</v>
      </c>
      <c r="H392" s="1125">
        <f t="shared" si="103"/>
        <v>659.0606577074999</v>
      </c>
      <c r="I392" s="1094"/>
      <c r="J392" s="1094">
        <f>'Уайт Групп'!AO46*1.2+'Уайт Групп'!BY46*1.2</f>
        <v>659.0606577074999</v>
      </c>
      <c r="K392" s="1094"/>
      <c r="L392" s="1094"/>
      <c r="M392" s="1094"/>
      <c r="N392" s="1627"/>
      <c r="O392" s="1054" t="s">
        <v>57</v>
      </c>
      <c r="P392" s="1056"/>
    </row>
    <row r="393" spans="1:25" s="1025" customFormat="1" ht="251.25" hidden="1" customHeight="1" outlineLevel="1">
      <c r="A393" s="1123"/>
      <c r="B393" s="2210"/>
      <c r="C393" s="1125"/>
      <c r="D393" s="1125"/>
      <c r="E393" s="1125"/>
      <c r="F393" s="1125"/>
      <c r="G393" s="1125">
        <f t="shared" si="96"/>
        <v>0</v>
      </c>
      <c r="H393" s="1125">
        <f t="shared" si="103"/>
        <v>0</v>
      </c>
      <c r="I393" s="1125">
        <f>SUBTOTAL(9,I394:I396)</f>
        <v>0</v>
      </c>
      <c r="J393" s="1125">
        <f>SUBTOTAL(9,J394:J396)</f>
        <v>0</v>
      </c>
      <c r="K393" s="1125">
        <f>SUBTOTAL(9,K394:K396)</f>
        <v>0</v>
      </c>
      <c r="L393" s="1125">
        <f>SUBTOTAL(9,L394:L396)</f>
        <v>0</v>
      </c>
      <c r="M393" s="1125">
        <f>SUBTOTAL(9,M394:M396)</f>
        <v>0</v>
      </c>
      <c r="N393" s="1626"/>
      <c r="O393" s="1126"/>
      <c r="P393" s="2069"/>
      <c r="R393" s="1026"/>
      <c r="S393" s="1026"/>
      <c r="T393" s="1026"/>
      <c r="U393" s="1026"/>
      <c r="V393" s="1026"/>
      <c r="W393" s="1026"/>
      <c r="X393" s="1026"/>
      <c r="Y393" s="1026"/>
    </row>
    <row r="394" spans="1:25" hidden="1" outlineLevel="1">
      <c r="A394" s="1051"/>
      <c r="B394" s="1083"/>
      <c r="C394" s="1094"/>
      <c r="D394" s="1094">
        <f>D393</f>
        <v>0</v>
      </c>
      <c r="E394" s="1094">
        <f>E393</f>
        <v>0</v>
      </c>
      <c r="F394" s="1099"/>
      <c r="G394" s="1099">
        <f t="shared" si="96"/>
        <v>0</v>
      </c>
      <c r="H394" s="1099">
        <f t="shared" si="103"/>
        <v>0</v>
      </c>
      <c r="I394" s="1094"/>
      <c r="J394" s="1094"/>
      <c r="K394" s="1094"/>
      <c r="L394" s="1094"/>
      <c r="M394" s="1094"/>
      <c r="N394" s="1627"/>
      <c r="O394" s="1054"/>
      <c r="P394" s="1056"/>
      <c r="R394" s="1057"/>
      <c r="S394" s="1057"/>
      <c r="T394" s="1057"/>
      <c r="U394" s="1057"/>
      <c r="V394" s="1057"/>
      <c r="W394" s="1057"/>
      <c r="X394" s="1057"/>
      <c r="Y394" s="1057"/>
    </row>
    <row r="395" spans="1:25" hidden="1" outlineLevel="1">
      <c r="A395" s="1051"/>
      <c r="B395" s="1083"/>
      <c r="C395" s="1094"/>
      <c r="D395" s="1094">
        <f>D393</f>
        <v>0</v>
      </c>
      <c r="E395" s="1094">
        <f>E393</f>
        <v>0</v>
      </c>
      <c r="F395" s="1099"/>
      <c r="G395" s="1099">
        <f t="shared" si="96"/>
        <v>0</v>
      </c>
      <c r="H395" s="1099">
        <f t="shared" si="103"/>
        <v>0</v>
      </c>
      <c r="I395" s="1094"/>
      <c r="J395" s="1094"/>
      <c r="K395" s="1094"/>
      <c r="L395" s="1094"/>
      <c r="M395" s="1094"/>
      <c r="N395" s="1627"/>
      <c r="O395" s="1054"/>
      <c r="P395" s="1056"/>
      <c r="R395" s="1057"/>
      <c r="S395" s="1057"/>
      <c r="T395" s="1057"/>
      <c r="U395" s="1057"/>
      <c r="V395" s="1057"/>
      <c r="W395" s="1057"/>
      <c r="X395" s="1057"/>
      <c r="Y395" s="1057"/>
    </row>
    <row r="396" spans="1:25" hidden="1" outlineLevel="1">
      <c r="A396" s="1051"/>
      <c r="B396" s="1083"/>
      <c r="C396" s="1094" t="s">
        <v>15</v>
      </c>
      <c r="D396" s="1094">
        <f>D393</f>
        <v>0</v>
      </c>
      <c r="E396" s="1094">
        <f>E393</f>
        <v>0</v>
      </c>
      <c r="F396" s="1099"/>
      <c r="G396" s="1099">
        <f t="shared" si="96"/>
        <v>0</v>
      </c>
      <c r="H396" s="1099">
        <f t="shared" si="103"/>
        <v>0</v>
      </c>
      <c r="I396" s="1094"/>
      <c r="J396" s="1094"/>
      <c r="K396" s="1094"/>
      <c r="L396" s="1094"/>
      <c r="M396" s="1094"/>
      <c r="N396" s="1627"/>
      <c r="O396" s="1054"/>
      <c r="P396" s="1056"/>
      <c r="R396" s="1057"/>
      <c r="S396" s="1057"/>
      <c r="T396" s="1057"/>
      <c r="U396" s="1057"/>
      <c r="V396" s="1057"/>
      <c r="W396" s="1057"/>
      <c r="X396" s="1057"/>
      <c r="Y396" s="1057"/>
    </row>
    <row r="397" spans="1:25" s="1025" customFormat="1" ht="81" outlineLevel="1">
      <c r="A397" s="1123" t="s">
        <v>14890</v>
      </c>
      <c r="B397" s="2210" t="s">
        <v>1083</v>
      </c>
      <c r="C397" s="1125"/>
      <c r="D397" s="1125" t="s">
        <v>2173</v>
      </c>
      <c r="E397" s="1125" t="s">
        <v>172</v>
      </c>
      <c r="F397" s="1125">
        <f>'Прил.1 Перечень по подключению'!F26</f>
        <v>1370.2439999999999</v>
      </c>
      <c r="G397" s="1125">
        <f t="shared" ref="G397:G400" si="104">H397/1.2</f>
        <v>0</v>
      </c>
      <c r="H397" s="1125">
        <f t="shared" ref="H397:H400" si="105">SUM(I397:M397)</f>
        <v>0</v>
      </c>
      <c r="I397" s="1125">
        <f>SUBTOTAL(9,I398:I400)</f>
        <v>0</v>
      </c>
      <c r="J397" s="1125">
        <f>SUBTOTAL(9,J398:J400)</f>
        <v>0</v>
      </c>
      <c r="K397" s="1125">
        <f>SUBTOTAL(9,K398:K400)</f>
        <v>0</v>
      </c>
      <c r="L397" s="1125">
        <f>SUBTOTAL(9,L398:L400)</f>
        <v>0</v>
      </c>
      <c r="M397" s="1125">
        <f>SUBTOTAL(9,M398:M400)</f>
        <v>0</v>
      </c>
      <c r="N397" s="1626"/>
      <c r="O397" s="1126" t="s">
        <v>1301</v>
      </c>
      <c r="P397" s="2069"/>
      <c r="R397" s="1026"/>
      <c r="S397" s="1026"/>
      <c r="T397" s="1026"/>
      <c r="U397" s="1026"/>
      <c r="V397" s="1026"/>
      <c r="W397" s="1026"/>
      <c r="X397" s="1026"/>
      <c r="Y397" s="1026"/>
    </row>
    <row r="398" spans="1:25" ht="83.25" outlineLevel="1">
      <c r="A398" s="1051"/>
      <c r="B398" s="1083"/>
      <c r="C398" s="1094"/>
      <c r="D398" s="1094" t="str">
        <f>D397</f>
        <v>Комплексное освоение территории, в рамках которого предусматривается жилищное строительство, г. Калуга, ул. 40 лет Октября</v>
      </c>
      <c r="E398" s="1094" t="str">
        <f>E397</f>
        <v>АО СЗ КОШЕЛЕВ-ПРОЕКТ</v>
      </c>
      <c r="F398" s="1099"/>
      <c r="G398" s="1099">
        <f t="shared" si="104"/>
        <v>0</v>
      </c>
      <c r="H398" s="1099">
        <f t="shared" si="105"/>
        <v>0</v>
      </c>
      <c r="I398" s="1094"/>
      <c r="J398" s="1094"/>
      <c r="K398" s="1094"/>
      <c r="L398" s="1094"/>
      <c r="M398" s="1094"/>
      <c r="N398" s="1627"/>
      <c r="O398" s="1054" t="s">
        <v>1301</v>
      </c>
      <c r="P398" s="1056"/>
      <c r="R398" s="1057"/>
      <c r="S398" s="1057"/>
      <c r="T398" s="1057"/>
      <c r="U398" s="1057"/>
      <c r="V398" s="1057"/>
      <c r="W398" s="1057"/>
      <c r="X398" s="1057"/>
      <c r="Y398" s="1057"/>
    </row>
    <row r="399" spans="1:25" ht="83.25" outlineLevel="1">
      <c r="A399" s="1051"/>
      <c r="B399" s="1083"/>
      <c r="C399" s="1094"/>
      <c r="D399" s="1094" t="str">
        <f>D397</f>
        <v>Комплексное освоение территории, в рамках которого предусматривается жилищное строительство, г. Калуга, ул. 40 лет Октября</v>
      </c>
      <c r="E399" s="1094" t="str">
        <f>E397</f>
        <v>АО СЗ КОШЕЛЕВ-ПРОЕКТ</v>
      </c>
      <c r="F399" s="1099"/>
      <c r="G399" s="1099">
        <f t="shared" si="104"/>
        <v>0</v>
      </c>
      <c r="H399" s="1099">
        <f t="shared" si="105"/>
        <v>0</v>
      </c>
      <c r="I399" s="1094"/>
      <c r="J399" s="1094"/>
      <c r="K399" s="1094"/>
      <c r="L399" s="1094"/>
      <c r="M399" s="1094"/>
      <c r="N399" s="1627"/>
      <c r="O399" s="1054" t="s">
        <v>1301</v>
      </c>
      <c r="P399" s="1056"/>
      <c r="R399" s="1057"/>
      <c r="S399" s="1057"/>
      <c r="T399" s="1057"/>
      <c r="U399" s="1057"/>
      <c r="V399" s="1057"/>
      <c r="W399" s="1057"/>
      <c r="X399" s="1057"/>
      <c r="Y399" s="1057"/>
    </row>
    <row r="400" spans="1:25" ht="83.25" outlineLevel="1">
      <c r="A400" s="1051"/>
      <c r="B400" s="1083"/>
      <c r="C400" s="1094" t="s">
        <v>15</v>
      </c>
      <c r="D400" s="1094" t="str">
        <f>D397</f>
        <v>Комплексное освоение территории, в рамках которого предусматривается жилищное строительство, г. Калуга, ул. 40 лет Октября</v>
      </c>
      <c r="E400" s="1094" t="str">
        <f>E397</f>
        <v>АО СЗ КОШЕЛЕВ-ПРОЕКТ</v>
      </c>
      <c r="F400" s="1099"/>
      <c r="G400" s="1099">
        <f t="shared" si="104"/>
        <v>0</v>
      </c>
      <c r="H400" s="1099">
        <f t="shared" si="105"/>
        <v>0</v>
      </c>
      <c r="I400" s="1094"/>
      <c r="J400" s="1094"/>
      <c r="K400" s="1094"/>
      <c r="L400" s="1094"/>
      <c r="M400" s="1094"/>
      <c r="N400" s="1627"/>
      <c r="O400" s="1054" t="s">
        <v>1301</v>
      </c>
      <c r="P400" s="1056"/>
      <c r="R400" s="1057"/>
      <c r="S400" s="1057"/>
      <c r="T400" s="1057"/>
      <c r="U400" s="1057"/>
      <c r="V400" s="1057"/>
      <c r="W400" s="1057"/>
      <c r="X400" s="1057"/>
      <c r="Y400" s="1057"/>
    </row>
    <row r="401" spans="1:25" s="1108" customFormat="1">
      <c r="A401" s="1110" t="s">
        <v>3</v>
      </c>
      <c r="B401" s="1121" t="s">
        <v>75</v>
      </c>
      <c r="C401" s="1112"/>
      <c r="D401" s="1117"/>
      <c r="E401" s="1117"/>
      <c r="F401" s="1112"/>
      <c r="G401" s="1112"/>
      <c r="H401" s="1112"/>
      <c r="I401" s="1149"/>
      <c r="J401" s="1112"/>
      <c r="K401" s="1112"/>
      <c r="L401" s="1112"/>
      <c r="M401" s="1112"/>
      <c r="N401" s="1624" t="s">
        <v>1301</v>
      </c>
      <c r="O401" s="1118" t="s">
        <v>1301</v>
      </c>
      <c r="P401" s="1107"/>
      <c r="R401" s="1109"/>
      <c r="S401" s="1109"/>
      <c r="T401" s="1109"/>
      <c r="U401" s="1109"/>
      <c r="V401" s="1109"/>
      <c r="W401" s="1109"/>
      <c r="X401" s="1109"/>
      <c r="Y401" s="1109"/>
    </row>
    <row r="402" spans="1:25" s="1114" customFormat="1" ht="34.5" customHeight="1">
      <c r="A402" s="1113"/>
      <c r="B402" s="1111" t="s">
        <v>10</v>
      </c>
      <c r="C402" s="1117"/>
      <c r="D402" s="1117"/>
      <c r="E402" s="1117"/>
      <c r="F402" s="1112"/>
      <c r="G402" s="1112"/>
      <c r="H402" s="1112"/>
      <c r="I402" s="2211"/>
      <c r="J402" s="1117"/>
      <c r="K402" s="1117"/>
      <c r="L402" s="1117"/>
      <c r="M402" s="1117"/>
      <c r="N402" s="1624" t="s">
        <v>1301</v>
      </c>
      <c r="O402" s="1119" t="s">
        <v>1301</v>
      </c>
      <c r="P402" s="1143"/>
      <c r="R402" s="1115"/>
      <c r="S402" s="1115"/>
      <c r="T402" s="1115"/>
      <c r="U402" s="1115"/>
      <c r="V402" s="1115"/>
      <c r="W402" s="1115"/>
      <c r="X402" s="1115"/>
      <c r="Y402" s="1115"/>
    </row>
    <row r="403" spans="1:25" s="1114" customFormat="1">
      <c r="A403" s="1113"/>
      <c r="B403" s="1111" t="s">
        <v>9</v>
      </c>
      <c r="C403" s="1117"/>
      <c r="D403" s="1117"/>
      <c r="E403" s="1117"/>
      <c r="F403" s="1112"/>
      <c r="G403" s="1112"/>
      <c r="H403" s="1112"/>
      <c r="I403" s="2211"/>
      <c r="J403" s="1117"/>
      <c r="K403" s="1117"/>
      <c r="L403" s="1117"/>
      <c r="M403" s="1117"/>
      <c r="N403" s="1624" t="s">
        <v>1301</v>
      </c>
      <c r="O403" s="1119" t="s">
        <v>1301</v>
      </c>
      <c r="P403" s="1143"/>
      <c r="R403" s="1115"/>
      <c r="S403" s="1115"/>
      <c r="T403" s="1115"/>
      <c r="U403" s="1115"/>
      <c r="V403" s="1115"/>
      <c r="W403" s="1115"/>
      <c r="X403" s="1115"/>
      <c r="Y403" s="1115"/>
    </row>
    <row r="404" spans="1:25" s="1114" customFormat="1">
      <c r="A404" s="1113"/>
      <c r="B404" s="1111" t="s">
        <v>14</v>
      </c>
      <c r="C404" s="1117"/>
      <c r="D404" s="1117"/>
      <c r="E404" s="1117"/>
      <c r="F404" s="1112"/>
      <c r="G404" s="1112"/>
      <c r="H404" s="1112"/>
      <c r="I404" s="2211"/>
      <c r="J404" s="1117"/>
      <c r="K404" s="1117"/>
      <c r="L404" s="1117"/>
      <c r="M404" s="1117"/>
      <c r="N404" s="1624" t="s">
        <v>1301</v>
      </c>
      <c r="O404" s="1119" t="s">
        <v>1301</v>
      </c>
      <c r="P404" s="1143"/>
      <c r="R404" s="1115"/>
      <c r="S404" s="1115"/>
      <c r="T404" s="1115"/>
      <c r="U404" s="1115"/>
      <c r="V404" s="1115"/>
      <c r="W404" s="1115"/>
      <c r="X404" s="1115"/>
      <c r="Y404" s="1115"/>
    </row>
    <row r="405" spans="1:25" s="1108" customFormat="1" ht="54">
      <c r="A405" s="1110" t="s">
        <v>2</v>
      </c>
      <c r="B405" s="1116" t="s">
        <v>76</v>
      </c>
      <c r="C405" s="1112">
        <f>C409+C413+C417+C421</f>
        <v>786.73</v>
      </c>
      <c r="D405" s="1117"/>
      <c r="E405" s="1117"/>
      <c r="F405" s="1112">
        <f>F409+F413+F417+F421</f>
        <v>3973.85</v>
      </c>
      <c r="G405" s="1112">
        <f>G409+G413+G417+G421</f>
        <v>181055.54445868684</v>
      </c>
      <c r="H405" s="1112">
        <f t="shared" ref="H405:M405" si="106">H409+H413+H417+H421</f>
        <v>217266.6533504242</v>
      </c>
      <c r="I405" s="1112">
        <f t="shared" si="106"/>
        <v>399.04079999999999</v>
      </c>
      <c r="J405" s="1112">
        <f t="shared" si="106"/>
        <v>201357.48388851836</v>
      </c>
      <c r="K405" s="1112">
        <f t="shared" si="106"/>
        <v>15510.128661905834</v>
      </c>
      <c r="L405" s="1112">
        <f t="shared" si="106"/>
        <v>0</v>
      </c>
      <c r="M405" s="1112">
        <f t="shared" si="106"/>
        <v>0</v>
      </c>
      <c r="N405" s="1624" t="s">
        <v>1301</v>
      </c>
      <c r="O405" s="1118" t="s">
        <v>1301</v>
      </c>
      <c r="P405" s="1107"/>
      <c r="R405" s="1109"/>
      <c r="S405" s="1109"/>
      <c r="T405" s="1109"/>
      <c r="U405" s="1109"/>
      <c r="V405" s="1109"/>
      <c r="W405" s="1109"/>
      <c r="X405" s="1109"/>
      <c r="Y405" s="1109"/>
    </row>
    <row r="406" spans="1:25" s="1114" customFormat="1">
      <c r="A406" s="1113"/>
      <c r="B406" s="1111" t="s">
        <v>10</v>
      </c>
      <c r="C406" s="1112"/>
      <c r="D406" s="1117"/>
      <c r="E406" s="1117"/>
      <c r="F406" s="1112"/>
      <c r="G406" s="1112">
        <f t="shared" ref="G406:M406" si="107">G410+G414+G418+G422</f>
        <v>9417.5179144640024</v>
      </c>
      <c r="H406" s="1112">
        <f t="shared" si="107"/>
        <v>11301.021497356802</v>
      </c>
      <c r="I406" s="1112">
        <f t="shared" si="107"/>
        <v>0</v>
      </c>
      <c r="J406" s="1112">
        <f t="shared" si="107"/>
        <v>11301.021497356802</v>
      </c>
      <c r="K406" s="1112">
        <f t="shared" si="107"/>
        <v>0</v>
      </c>
      <c r="L406" s="1112">
        <f t="shared" si="107"/>
        <v>0</v>
      </c>
      <c r="M406" s="1112">
        <f t="shared" si="107"/>
        <v>0</v>
      </c>
      <c r="N406" s="1624" t="s">
        <v>1301</v>
      </c>
      <c r="O406" s="1119" t="s">
        <v>1301</v>
      </c>
      <c r="P406" s="1107"/>
      <c r="R406" s="1115"/>
      <c r="S406" s="1115"/>
      <c r="T406" s="1115"/>
      <c r="U406" s="1115"/>
      <c r="V406" s="1115"/>
      <c r="W406" s="1115"/>
      <c r="X406" s="1115"/>
      <c r="Y406" s="1115"/>
    </row>
    <row r="407" spans="1:25" s="1114" customFormat="1">
      <c r="A407" s="1113"/>
      <c r="B407" s="1111" t="s">
        <v>9</v>
      </c>
      <c r="C407" s="1112"/>
      <c r="D407" s="1117"/>
      <c r="E407" s="1117"/>
      <c r="F407" s="1112"/>
      <c r="G407" s="1112">
        <f t="shared" ref="G407:M407" si="108">G411+G415+G419+G423</f>
        <v>162815.75710057188</v>
      </c>
      <c r="H407" s="1112">
        <f t="shared" si="108"/>
        <v>195378.90852068624</v>
      </c>
      <c r="I407" s="1112">
        <f t="shared" si="108"/>
        <v>399.04079999999999</v>
      </c>
      <c r="J407" s="1112">
        <f t="shared" si="108"/>
        <v>182571.76479116158</v>
      </c>
      <c r="K407" s="1112">
        <f t="shared" si="108"/>
        <v>12408.102929524666</v>
      </c>
      <c r="L407" s="1112">
        <f t="shared" si="108"/>
        <v>0</v>
      </c>
      <c r="M407" s="1112">
        <f t="shared" si="108"/>
        <v>0</v>
      </c>
      <c r="N407" s="1624" t="s">
        <v>1301</v>
      </c>
      <c r="O407" s="1119" t="s">
        <v>1301</v>
      </c>
      <c r="P407" s="1107"/>
      <c r="R407" s="1115"/>
      <c r="S407" s="1115"/>
      <c r="T407" s="1115"/>
      <c r="U407" s="1115"/>
      <c r="V407" s="1115"/>
      <c r="W407" s="1115"/>
      <c r="X407" s="1115"/>
      <c r="Y407" s="1115"/>
    </row>
    <row r="408" spans="1:25" s="1114" customFormat="1">
      <c r="A408" s="1113"/>
      <c r="B408" s="1111" t="s">
        <v>14</v>
      </c>
      <c r="C408" s="1112"/>
      <c r="D408" s="1117"/>
      <c r="E408" s="1117"/>
      <c r="F408" s="1112"/>
      <c r="G408" s="1112">
        <f t="shared" ref="G408:M408" si="109">G412+G416+G420+G424</f>
        <v>8822.2694436509719</v>
      </c>
      <c r="H408" s="1112">
        <f t="shared" si="109"/>
        <v>10586.723332381167</v>
      </c>
      <c r="I408" s="1112">
        <f t="shared" si="109"/>
        <v>0</v>
      </c>
      <c r="J408" s="1112">
        <f t="shared" si="109"/>
        <v>7484.6975999999995</v>
      </c>
      <c r="K408" s="1112">
        <f t="shared" si="109"/>
        <v>3102.0257323811666</v>
      </c>
      <c r="L408" s="1112">
        <f t="shared" si="109"/>
        <v>0</v>
      </c>
      <c r="M408" s="1112">
        <f t="shared" si="109"/>
        <v>0</v>
      </c>
      <c r="N408" s="1624" t="s">
        <v>1301</v>
      </c>
      <c r="O408" s="1119" t="s">
        <v>1301</v>
      </c>
      <c r="P408" s="1107"/>
      <c r="R408" s="1115"/>
      <c r="S408" s="1115"/>
      <c r="T408" s="1115"/>
      <c r="U408" s="1115"/>
      <c r="V408" s="1115"/>
      <c r="W408" s="1115"/>
      <c r="X408" s="1115"/>
      <c r="Y408" s="1115"/>
    </row>
    <row r="409" spans="1:25" s="1025" customFormat="1" ht="122.25" customHeight="1" outlineLevel="1">
      <c r="A409" s="1123" t="s">
        <v>93</v>
      </c>
      <c r="B409" s="2207" t="s">
        <v>879</v>
      </c>
      <c r="C409" s="1125">
        <v>22.73</v>
      </c>
      <c r="D409" s="1125" t="s">
        <v>600</v>
      </c>
      <c r="E409" s="1125" t="s">
        <v>295</v>
      </c>
      <c r="F409" s="1125">
        <f>'Прил.1 Перечень по подключению'!F13</f>
        <v>336</v>
      </c>
      <c r="G409" s="1125">
        <f t="shared" ref="G409:G424" si="110">H409/1.2</f>
        <v>332.53399999999999</v>
      </c>
      <c r="H409" s="1125">
        <f t="shared" ref="H409:H424" si="111">SUM(I409:M409)</f>
        <v>399.04079999999999</v>
      </c>
      <c r="I409" s="1125">
        <f>SUM(I410:I412)</f>
        <v>399.04079999999999</v>
      </c>
      <c r="J409" s="1125">
        <f>SUM(J410:J412)</f>
        <v>0</v>
      </c>
      <c r="K409" s="1125">
        <f>SUM(K410:K412)</f>
        <v>0</v>
      </c>
      <c r="L409" s="1125">
        <f>SUM(L410:L412)</f>
        <v>0</v>
      </c>
      <c r="M409" s="1125">
        <f>SUM(M410:M412)</f>
        <v>0</v>
      </c>
      <c r="N409" s="1626" t="str">
        <f>'Прил.1 Перечень по подключению'!G13</f>
        <v>2024год</v>
      </c>
      <c r="O409" s="1126" t="s">
        <v>57</v>
      </c>
      <c r="P409" s="1056"/>
    </row>
    <row r="410" spans="1:25" s="1025" customFormat="1" ht="64.5" customHeight="1" outlineLevel="1">
      <c r="A410" s="2165"/>
      <c r="B410" s="1052" t="s">
        <v>10</v>
      </c>
      <c r="C410" s="1104"/>
      <c r="D410" s="1094" t="str">
        <f t="shared" ref="D410:E412" si="112">D409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410" s="1094" t="str">
        <f t="shared" si="112"/>
        <v>ООО Совместное предприятие "Минскстройэкспорт"</v>
      </c>
      <c r="F410" s="1104"/>
      <c r="G410" s="1099">
        <f t="shared" si="110"/>
        <v>0</v>
      </c>
      <c r="H410" s="1099">
        <f t="shared" si="111"/>
        <v>0</v>
      </c>
      <c r="I410" s="1104"/>
      <c r="J410" s="1104"/>
      <c r="K410" s="1104"/>
      <c r="L410" s="1104"/>
      <c r="M410" s="1104"/>
      <c r="N410" s="1623"/>
      <c r="O410" s="1054" t="s">
        <v>57</v>
      </c>
      <c r="P410" s="1056"/>
    </row>
    <row r="411" spans="1:25" s="1025" customFormat="1" ht="67.5" customHeight="1" outlineLevel="1">
      <c r="A411" s="2165"/>
      <c r="B411" s="1052" t="s">
        <v>9</v>
      </c>
      <c r="C411" s="1104"/>
      <c r="D411" s="1094" t="str">
        <f t="shared" si="112"/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411" s="1094" t="str">
        <f t="shared" si="112"/>
        <v>ООО Совместное предприятие "Минскстройэкспорт"</v>
      </c>
      <c r="F411" s="1104"/>
      <c r="G411" s="1099">
        <f t="shared" si="110"/>
        <v>332.53399999999999</v>
      </c>
      <c r="H411" s="1099">
        <f t="shared" si="111"/>
        <v>399.04079999999999</v>
      </c>
      <c r="I411" s="1168">
        <v>399.04079999999999</v>
      </c>
      <c r="J411" s="1168"/>
      <c r="K411" s="1168"/>
      <c r="L411" s="1168"/>
      <c r="M411" s="1104"/>
      <c r="N411" s="1623"/>
      <c r="O411" s="1054" t="s">
        <v>57</v>
      </c>
      <c r="P411" s="1056"/>
    </row>
    <row r="412" spans="1:25" s="1025" customFormat="1" ht="78" customHeight="1" outlineLevel="1">
      <c r="A412" s="2165"/>
      <c r="B412" s="1052" t="s">
        <v>14</v>
      </c>
      <c r="C412" s="1104"/>
      <c r="D412" s="1094" t="str">
        <f t="shared" si="112"/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412" s="1094" t="str">
        <f t="shared" si="112"/>
        <v>ООО Совместное предприятие "Минскстройэкспорт"</v>
      </c>
      <c r="F412" s="1104"/>
      <c r="G412" s="1099">
        <f t="shared" si="110"/>
        <v>0</v>
      </c>
      <c r="H412" s="1099">
        <f t="shared" si="111"/>
        <v>0</v>
      </c>
      <c r="I412" s="1104"/>
      <c r="J412" s="1168"/>
      <c r="K412" s="1168"/>
      <c r="L412" s="1168"/>
      <c r="M412" s="1104"/>
      <c r="N412" s="1623"/>
      <c r="O412" s="1054" t="s">
        <v>57</v>
      </c>
      <c r="P412" s="1056"/>
    </row>
    <row r="413" spans="1:25" s="1025" customFormat="1" ht="146.25" customHeight="1" outlineLevel="1">
      <c r="A413" s="1123" t="s">
        <v>94</v>
      </c>
      <c r="B413" s="2207" t="s">
        <v>63</v>
      </c>
      <c r="C413" s="1125">
        <v>260</v>
      </c>
      <c r="D413" s="1125" t="s">
        <v>279</v>
      </c>
      <c r="E413" s="1125" t="s">
        <v>52</v>
      </c>
      <c r="F413" s="1144"/>
      <c r="G413" s="1125">
        <f>H413/1.2</f>
        <v>12925.107218254861</v>
      </c>
      <c r="H413" s="1125">
        <f>SUM(I413:M413)</f>
        <v>15510.128661905834</v>
      </c>
      <c r="I413" s="1125">
        <f>SUM(I414:I416)</f>
        <v>0</v>
      </c>
      <c r="J413" s="1125">
        <f>SUM(J414:J416)</f>
        <v>0</v>
      </c>
      <c r="K413" s="1125">
        <f>SUM(K414:K416)</f>
        <v>15510.128661905834</v>
      </c>
      <c r="L413" s="1125">
        <f>SUM(L414:L416)</f>
        <v>0</v>
      </c>
      <c r="M413" s="1125">
        <f>SUM(M414:M416)</f>
        <v>0</v>
      </c>
      <c r="N413" s="1626" t="str">
        <f>'Прил.1 Перечень по подключению'!G16</f>
        <v>2026год</v>
      </c>
      <c r="O413" s="1126" t="s">
        <v>57</v>
      </c>
      <c r="P413" s="1056"/>
    </row>
    <row r="414" spans="1:25" s="1025" customFormat="1" ht="39" customHeight="1" outlineLevel="1">
      <c r="A414" s="2165"/>
      <c r="B414" s="1052" t="s">
        <v>10</v>
      </c>
      <c r="C414" s="1104"/>
      <c r="D414" s="1094" t="str">
        <f t="shared" ref="D414:E416" si="113">D413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414" s="1094" t="str">
        <f t="shared" si="113"/>
        <v>ООО "СтройСервис" (АО ЦентрСпецСтрой)</v>
      </c>
      <c r="F414" s="1104"/>
      <c r="G414" s="1099">
        <f t="shared" si="110"/>
        <v>0</v>
      </c>
      <c r="H414" s="1099">
        <f>SUM(I414:M414)</f>
        <v>0</v>
      </c>
      <c r="I414" s="1104"/>
      <c r="J414" s="1094"/>
      <c r="K414" s="1094"/>
      <c r="L414" s="1094"/>
      <c r="M414" s="1104"/>
      <c r="N414" s="1623"/>
      <c r="O414" s="1054" t="s">
        <v>57</v>
      </c>
      <c r="P414" s="1056"/>
    </row>
    <row r="415" spans="1:25" s="1025" customFormat="1" ht="39" customHeight="1" outlineLevel="1">
      <c r="A415" s="2165"/>
      <c r="B415" s="1052" t="s">
        <v>9</v>
      </c>
      <c r="C415" s="1104"/>
      <c r="D415" s="1094" t="str">
        <f t="shared" si="113"/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415" s="1094" t="str">
        <f t="shared" si="113"/>
        <v>ООО "СтройСервис" (АО ЦентрСпецСтрой)</v>
      </c>
      <c r="F415" s="1104"/>
      <c r="G415" s="1099">
        <f t="shared" si="110"/>
        <v>10340.085774603889</v>
      </c>
      <c r="H415" s="1099">
        <f>SUM(I415:M415)</f>
        <v>12408.102929524666</v>
      </c>
      <c r="I415" s="1104"/>
      <c r="J415" s="1094"/>
      <c r="K415" s="1094">
        <f>(АО_ЦентрСпецСтрой!E56+АО_ЦентрСпецСтрой!E57+АО_ЦентрСпецСтрой!E58)*1.2</f>
        <v>12408.102929524666</v>
      </c>
      <c r="L415" s="1094"/>
      <c r="M415" s="1104"/>
      <c r="N415" s="1623"/>
      <c r="O415" s="1054" t="s">
        <v>57</v>
      </c>
      <c r="P415" s="1056"/>
    </row>
    <row r="416" spans="1:25" s="1025" customFormat="1" ht="75" customHeight="1" outlineLevel="1">
      <c r="A416" s="2165"/>
      <c r="B416" s="1052" t="s">
        <v>14</v>
      </c>
      <c r="C416" s="1104"/>
      <c r="D416" s="1094" t="str">
        <f t="shared" si="113"/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416" s="1094" t="str">
        <f t="shared" si="113"/>
        <v>ООО "СтройСервис" (АО ЦентрСпецСтрой)</v>
      </c>
      <c r="F416" s="1104"/>
      <c r="G416" s="1099">
        <f t="shared" si="110"/>
        <v>2585.0214436509723</v>
      </c>
      <c r="H416" s="1099">
        <f t="shared" si="111"/>
        <v>3102.0257323811666</v>
      </c>
      <c r="I416" s="1104"/>
      <c r="J416" s="1094"/>
      <c r="K416" s="1094">
        <f>АО_ЦентрСпецСтрой!E59*1.2</f>
        <v>3102.0257323811666</v>
      </c>
      <c r="L416" s="1094"/>
      <c r="M416" s="1104"/>
      <c r="N416" s="1623"/>
      <c r="O416" s="1054" t="s">
        <v>57</v>
      </c>
      <c r="P416" s="1056"/>
    </row>
    <row r="417" spans="1:25" s="1145" customFormat="1" ht="304.5" customHeight="1" outlineLevel="1">
      <c r="A417" s="1123" t="s">
        <v>95</v>
      </c>
      <c r="B417" s="1138" t="s">
        <v>878</v>
      </c>
      <c r="C417" s="1144">
        <f>130+374</f>
        <v>504</v>
      </c>
      <c r="D417" s="1125" t="s">
        <v>109</v>
      </c>
      <c r="E417" s="1125" t="s">
        <v>143</v>
      </c>
      <c r="F417" s="1125">
        <f>'Прил.1 Перечень по подключению'!F17</f>
        <v>2000</v>
      </c>
      <c r="G417" s="1125">
        <f>H417/1.2</f>
        <v>31186.242999999995</v>
      </c>
      <c r="H417" s="1125">
        <f>SUM(I417:M417)</f>
        <v>37423.491599999994</v>
      </c>
      <c r="I417" s="1125">
        <f>SUM(I418:I420)</f>
        <v>0</v>
      </c>
      <c r="J417" s="1125">
        <f>SUM(J418:J420)</f>
        <v>37423.491599999994</v>
      </c>
      <c r="K417" s="1125">
        <f>SUM(K418:K420)</f>
        <v>0</v>
      </c>
      <c r="L417" s="1125">
        <f>SUM(L418:L420)</f>
        <v>0</v>
      </c>
      <c r="M417" s="1125">
        <f>SUM(M418:M420)</f>
        <v>0</v>
      </c>
      <c r="N417" s="1626" t="str">
        <f>'Прил.1 Перечень по подключению'!G17</f>
        <v>2025год</v>
      </c>
      <c r="O417" s="1126" t="s">
        <v>57</v>
      </c>
      <c r="P417" s="1141"/>
    </row>
    <row r="418" spans="1:25" s="1025" customFormat="1" ht="111" outlineLevel="1">
      <c r="A418" s="2165"/>
      <c r="B418" s="1052" t="s">
        <v>10</v>
      </c>
      <c r="C418" s="1104"/>
      <c r="D418" s="1146" t="s">
        <v>109</v>
      </c>
      <c r="E418" s="1094" t="str">
        <f>E417</f>
        <v>Акционерное общество «Корпорация развития Калужской области»</v>
      </c>
      <c r="F418" s="1104"/>
      <c r="G418" s="1099">
        <f>H418/1.2</f>
        <v>1608.2270000000001</v>
      </c>
      <c r="H418" s="1099">
        <f>SUM(I418:M418)</f>
        <v>1929.8724</v>
      </c>
      <c r="I418" s="1104"/>
      <c r="J418" s="1094">
        <f>1608.227*1.2</f>
        <v>1929.8724</v>
      </c>
      <c r="K418" s="1094"/>
      <c r="L418" s="1168"/>
      <c r="M418" s="1168"/>
      <c r="N418" s="1623"/>
      <c r="O418" s="1054" t="s">
        <v>57</v>
      </c>
      <c r="P418" s="1056"/>
    </row>
    <row r="419" spans="1:25" s="1025" customFormat="1" ht="111" outlineLevel="1">
      <c r="A419" s="2165"/>
      <c r="B419" s="1052" t="s">
        <v>9</v>
      </c>
      <c r="C419" s="1104"/>
      <c r="D419" s="1146" t="s">
        <v>109</v>
      </c>
      <c r="E419" s="1094" t="str">
        <f>E418</f>
        <v>Акционерное общество «Корпорация развития Калужской области»</v>
      </c>
      <c r="F419" s="1104"/>
      <c r="G419" s="1099">
        <f t="shared" si="110"/>
        <v>23340.768</v>
      </c>
      <c r="H419" s="1099">
        <f t="shared" si="111"/>
        <v>28008.921599999998</v>
      </c>
      <c r="I419" s="1104"/>
      <c r="J419" s="1094">
        <f>23340.768*1.2</f>
        <v>28008.921599999998</v>
      </c>
      <c r="K419" s="1094"/>
      <c r="L419" s="1168"/>
      <c r="M419" s="1168"/>
      <c r="N419" s="1623"/>
      <c r="O419" s="1054" t="s">
        <v>57</v>
      </c>
      <c r="P419" s="1056"/>
    </row>
    <row r="420" spans="1:25" s="1025" customFormat="1" ht="104.25" customHeight="1" outlineLevel="1">
      <c r="A420" s="2165"/>
      <c r="B420" s="1052" t="s">
        <v>14</v>
      </c>
      <c r="C420" s="1104"/>
      <c r="D420" s="1146" t="s">
        <v>109</v>
      </c>
      <c r="E420" s="1094" t="str">
        <f>E418</f>
        <v>Акционерное общество «Корпорация развития Калужской области»</v>
      </c>
      <c r="F420" s="1104"/>
      <c r="G420" s="1099">
        <f t="shared" si="110"/>
        <v>6237.2479999999996</v>
      </c>
      <c r="H420" s="1099">
        <f t="shared" si="111"/>
        <v>7484.6975999999995</v>
      </c>
      <c r="I420" s="1104"/>
      <c r="J420" s="1094">
        <f>6237.248*1.2</f>
        <v>7484.6975999999995</v>
      </c>
      <c r="K420" s="1094"/>
      <c r="L420" s="1168"/>
      <c r="M420" s="1168"/>
      <c r="N420" s="1623"/>
      <c r="O420" s="1054" t="s">
        <v>57</v>
      </c>
      <c r="P420" s="1056"/>
    </row>
    <row r="421" spans="1:25" s="1145" customFormat="1" ht="96" customHeight="1" outlineLevel="1">
      <c r="A421" s="1123" t="s">
        <v>96</v>
      </c>
      <c r="B421" s="1139" t="s">
        <v>880</v>
      </c>
      <c r="C421" s="1144"/>
      <c r="D421" s="1125" t="s">
        <v>771</v>
      </c>
      <c r="E421" s="1125" t="s">
        <v>660</v>
      </c>
      <c r="F421" s="1125">
        <f>'Прил.1 Перечень по подключению'!F29</f>
        <v>1637.85</v>
      </c>
      <c r="G421" s="1125">
        <f t="shared" si="110"/>
        <v>136611.66024043199</v>
      </c>
      <c r="H421" s="1125">
        <f t="shared" si="111"/>
        <v>163933.99228851838</v>
      </c>
      <c r="I421" s="1125">
        <f>SUM(I422:I424)</f>
        <v>0</v>
      </c>
      <c r="J421" s="1125">
        <f>SUM(J422:J424)</f>
        <v>163933.99228851838</v>
      </c>
      <c r="K421" s="1125">
        <f>SUM(K422:K424)</f>
        <v>0</v>
      </c>
      <c r="L421" s="1125">
        <f>SUM(L422:L424)</f>
        <v>0</v>
      </c>
      <c r="M421" s="1125">
        <f>SUM(M422:M424)</f>
        <v>0</v>
      </c>
      <c r="N421" s="1626" t="s">
        <v>542</v>
      </c>
      <c r="O421" s="1126" t="s">
        <v>1091</v>
      </c>
      <c r="P421" s="1141"/>
      <c r="R421" s="1155"/>
      <c r="S421" s="1155"/>
      <c r="T421" s="1155"/>
      <c r="U421" s="1155"/>
      <c r="V421" s="1155"/>
      <c r="W421" s="1155"/>
      <c r="X421" s="1155"/>
      <c r="Y421" s="1155"/>
    </row>
    <row r="422" spans="1:25" ht="96" customHeight="1" outlineLevel="1">
      <c r="A422" s="1051"/>
      <c r="B422" s="1052" t="s">
        <v>10</v>
      </c>
      <c r="C422" s="1094"/>
      <c r="D422" s="1094" t="str">
        <f>D421</f>
        <v>Проект планировки и проект межевания территории жилого квартала, г.Калуга мкр.Кубяка,Байконур</v>
      </c>
      <c r="E422" s="1094" t="str">
        <f>E421</f>
        <v>Заявитель</v>
      </c>
      <c r="F422" s="1099"/>
      <c r="G422" s="1099">
        <f t="shared" si="110"/>
        <v>7809.2909144640016</v>
      </c>
      <c r="H422" s="1099">
        <f t="shared" si="111"/>
        <v>9371.1490973568016</v>
      </c>
      <c r="I422" s="1094"/>
      <c r="J422" s="1094">
        <f>8491.8672*1.053*1.048</f>
        <v>9371.1490973568016</v>
      </c>
      <c r="K422" s="1094"/>
      <c r="L422" s="1094"/>
      <c r="M422" s="1094"/>
      <c r="N422" s="1627"/>
      <c r="O422" s="1054" t="s">
        <v>1091</v>
      </c>
      <c r="P422" s="1056"/>
    </row>
    <row r="423" spans="1:25" ht="96" customHeight="1" outlineLevel="1">
      <c r="A423" s="1051"/>
      <c r="B423" s="1052" t="s">
        <v>9</v>
      </c>
      <c r="C423" s="1094"/>
      <c r="D423" s="1094" t="str">
        <f>D421</f>
        <v>Проект планировки и проект межевания территории жилого квартала, г.Калуга мкр.Кубяка,Байконур</v>
      </c>
      <c r="E423" s="1094" t="str">
        <f>E421</f>
        <v>Заявитель</v>
      </c>
      <c r="F423" s="1099"/>
      <c r="G423" s="1099">
        <f t="shared" si="110"/>
        <v>128802.36932596799</v>
      </c>
      <c r="H423" s="1099">
        <f t="shared" si="111"/>
        <v>154562.84319116158</v>
      </c>
      <c r="I423" s="1094"/>
      <c r="J423" s="1094">
        <f>140060.4264*1.053*1.048</f>
        <v>154562.84319116158</v>
      </c>
      <c r="K423" s="1094"/>
      <c r="L423" s="1094"/>
      <c r="M423" s="1094"/>
      <c r="N423" s="1627"/>
      <c r="O423" s="1054" t="s">
        <v>1091</v>
      </c>
      <c r="P423" s="1056"/>
    </row>
    <row r="424" spans="1:25" ht="96" customHeight="1" outlineLevel="1">
      <c r="A424" s="1051"/>
      <c r="B424" s="1052" t="s">
        <v>14</v>
      </c>
      <c r="C424" s="1094"/>
      <c r="D424" s="1094" t="str">
        <f>D421</f>
        <v>Проект планировки и проект межевания территории жилого квартала, г.Калуга мкр.Кубяка,Байконур</v>
      </c>
      <c r="E424" s="1094" t="str">
        <f>E421</f>
        <v>Заявитель</v>
      </c>
      <c r="F424" s="1099"/>
      <c r="G424" s="1099">
        <f t="shared" si="110"/>
        <v>0</v>
      </c>
      <c r="H424" s="1099">
        <f t="shared" si="111"/>
        <v>0</v>
      </c>
      <c r="I424" s="1094"/>
      <c r="J424" s="1094"/>
      <c r="K424" s="1094"/>
      <c r="L424" s="1094"/>
      <c r="M424" s="1094"/>
      <c r="N424" s="1627"/>
      <c r="O424" s="1054" t="s">
        <v>1091</v>
      </c>
      <c r="P424" s="1056"/>
    </row>
    <row r="425" spans="1:25" s="1108" customFormat="1" ht="54">
      <c r="A425" s="1110" t="s">
        <v>1</v>
      </c>
      <c r="B425" s="1121" t="s">
        <v>77</v>
      </c>
      <c r="C425" s="1112">
        <f>C429+C433+C437</f>
        <v>0</v>
      </c>
      <c r="D425" s="1112"/>
      <c r="E425" s="1112"/>
      <c r="F425" s="1149">
        <f t="shared" ref="F425:M425" si="114">SUM(F429,F433,F437)</f>
        <v>0</v>
      </c>
      <c r="G425" s="1149">
        <f t="shared" si="114"/>
        <v>63372.102455977125</v>
      </c>
      <c r="H425" s="1149">
        <f t="shared" si="114"/>
        <v>76046.522947172547</v>
      </c>
      <c r="I425" s="1149">
        <f t="shared" si="114"/>
        <v>0</v>
      </c>
      <c r="J425" s="1149">
        <f t="shared" si="114"/>
        <v>76046.522947172547</v>
      </c>
      <c r="K425" s="1149">
        <f t="shared" si="114"/>
        <v>0</v>
      </c>
      <c r="L425" s="1149">
        <f t="shared" si="114"/>
        <v>0</v>
      </c>
      <c r="M425" s="1149">
        <f t="shared" si="114"/>
        <v>0</v>
      </c>
      <c r="N425" s="1625" t="s">
        <v>1301</v>
      </c>
      <c r="O425" s="1118" t="s">
        <v>1301</v>
      </c>
      <c r="P425" s="1107"/>
      <c r="R425" s="1109"/>
      <c r="S425" s="1109"/>
      <c r="T425" s="1109"/>
      <c r="U425" s="1109"/>
      <c r="V425" s="1109"/>
      <c r="W425" s="1109"/>
      <c r="X425" s="1109"/>
      <c r="Y425" s="1109"/>
    </row>
    <row r="426" spans="1:25" s="1114" customFormat="1">
      <c r="A426" s="1113"/>
      <c r="B426" s="1111" t="s">
        <v>10</v>
      </c>
      <c r="C426" s="1112"/>
      <c r="D426" s="1112"/>
      <c r="E426" s="1112"/>
      <c r="F426" s="1149">
        <f t="shared" ref="F426:H428" si="115">SUM(F430,F434,F438)</f>
        <v>0</v>
      </c>
      <c r="G426" s="1149">
        <f t="shared" si="115"/>
        <v>2366.1175187520003</v>
      </c>
      <c r="H426" s="1149">
        <f t="shared" si="115"/>
        <v>2839.3410225023999</v>
      </c>
      <c r="I426" s="1149">
        <f t="shared" ref="I426:M428" si="116">SUM(I430,I434,I438)</f>
        <v>0</v>
      </c>
      <c r="J426" s="1149">
        <f t="shared" si="116"/>
        <v>2839.3410225023999</v>
      </c>
      <c r="K426" s="1149">
        <f t="shared" si="116"/>
        <v>0</v>
      </c>
      <c r="L426" s="1149">
        <f t="shared" si="116"/>
        <v>0</v>
      </c>
      <c r="M426" s="1149">
        <f t="shared" si="116"/>
        <v>0</v>
      </c>
      <c r="N426" s="1625" t="s">
        <v>1301</v>
      </c>
      <c r="O426" s="1118" t="s">
        <v>1301</v>
      </c>
      <c r="P426" s="1107"/>
      <c r="R426" s="1115"/>
      <c r="S426" s="1115"/>
      <c r="T426" s="1115"/>
      <c r="U426" s="1115"/>
      <c r="V426" s="1115"/>
      <c r="W426" s="1115"/>
      <c r="X426" s="1115"/>
      <c r="Y426" s="1115"/>
    </row>
    <row r="427" spans="1:25" s="1114" customFormat="1">
      <c r="A427" s="1113"/>
      <c r="B427" s="1111" t="s">
        <v>9</v>
      </c>
      <c r="C427" s="1112"/>
      <c r="D427" s="1112"/>
      <c r="E427" s="1112"/>
      <c r="F427" s="1149">
        <f t="shared" si="115"/>
        <v>0</v>
      </c>
      <c r="G427" s="1149">
        <f t="shared" si="115"/>
        <v>60070.08986659818</v>
      </c>
      <c r="H427" s="1149">
        <f t="shared" si="115"/>
        <v>72084.107839917822</v>
      </c>
      <c r="I427" s="1149">
        <f t="shared" si="116"/>
        <v>0</v>
      </c>
      <c r="J427" s="1149">
        <f t="shared" si="116"/>
        <v>72084.107839917822</v>
      </c>
      <c r="K427" s="1149">
        <f t="shared" si="116"/>
        <v>0</v>
      </c>
      <c r="L427" s="1149">
        <f t="shared" si="116"/>
        <v>0</v>
      </c>
      <c r="M427" s="1149">
        <f t="shared" si="116"/>
        <v>0</v>
      </c>
      <c r="N427" s="1625" t="s">
        <v>1301</v>
      </c>
      <c r="O427" s="1118" t="s">
        <v>1301</v>
      </c>
      <c r="P427" s="1107"/>
      <c r="R427" s="1115"/>
      <c r="S427" s="1115"/>
      <c r="T427" s="1115"/>
      <c r="U427" s="1115"/>
      <c r="V427" s="1115"/>
      <c r="W427" s="1115"/>
      <c r="X427" s="1115"/>
      <c r="Y427" s="1115"/>
    </row>
    <row r="428" spans="1:25" s="1114" customFormat="1">
      <c r="A428" s="1113"/>
      <c r="B428" s="1111" t="s">
        <v>12</v>
      </c>
      <c r="C428" s="1112"/>
      <c r="D428" s="1112"/>
      <c r="E428" s="1112"/>
      <c r="F428" s="1149">
        <f t="shared" si="115"/>
        <v>0</v>
      </c>
      <c r="G428" s="1149">
        <f t="shared" si="115"/>
        <v>935.8950706269444</v>
      </c>
      <c r="H428" s="1149">
        <f t="shared" si="115"/>
        <v>1123.0740847523332</v>
      </c>
      <c r="I428" s="1149">
        <f t="shared" si="116"/>
        <v>0</v>
      </c>
      <c r="J428" s="1149">
        <f t="shared" si="116"/>
        <v>1123.0740847523332</v>
      </c>
      <c r="K428" s="1149">
        <f t="shared" si="116"/>
        <v>0</v>
      </c>
      <c r="L428" s="1149">
        <f t="shared" si="116"/>
        <v>0</v>
      </c>
      <c r="M428" s="1149">
        <f t="shared" si="116"/>
        <v>0</v>
      </c>
      <c r="N428" s="1625" t="s">
        <v>1301</v>
      </c>
      <c r="O428" s="1118" t="s">
        <v>1301</v>
      </c>
      <c r="P428" s="1107"/>
      <c r="R428" s="1115"/>
      <c r="S428" s="1115"/>
      <c r="T428" s="1115"/>
      <c r="U428" s="1115"/>
      <c r="V428" s="1115"/>
      <c r="W428" s="1115"/>
      <c r="X428" s="1115"/>
      <c r="Y428" s="1115"/>
    </row>
    <row r="429" spans="1:25" s="1132" customFormat="1" ht="309" customHeight="1" outlineLevel="1">
      <c r="A429" s="1150" t="s">
        <v>97</v>
      </c>
      <c r="B429" s="1151" t="s">
        <v>606</v>
      </c>
      <c r="C429" s="1124"/>
      <c r="D429" s="1124" t="s">
        <v>104</v>
      </c>
      <c r="E429" s="1124" t="s">
        <v>298</v>
      </c>
      <c r="F429" s="1124"/>
      <c r="G429" s="1124">
        <f t="shared" ref="G429:G440" si="117">H429/1.2</f>
        <v>3915.8910000000001</v>
      </c>
      <c r="H429" s="1124">
        <f t="shared" ref="H429:H436" si="118">SUM(I429:M429)</f>
        <v>4699.0691999999999</v>
      </c>
      <c r="I429" s="1124">
        <f>SUM(I430:I432)</f>
        <v>0</v>
      </c>
      <c r="J429" s="1124">
        <f>SUM(J430:J432)</f>
        <v>4699.0691999999999</v>
      </c>
      <c r="K429" s="1124"/>
      <c r="L429" s="1124">
        <f>SUM(L430:L432)</f>
        <v>0</v>
      </c>
      <c r="M429" s="1124">
        <f>SUM(M430:M432)</f>
        <v>0</v>
      </c>
      <c r="N429" s="2209" t="str">
        <f>'Прил.1 Перечень по подключению'!G14</f>
        <v>2025год</v>
      </c>
      <c r="O429" s="1186" t="s">
        <v>57</v>
      </c>
      <c r="P429" s="1131">
        <f>412207.49/1.2</f>
        <v>343506.2416666667</v>
      </c>
      <c r="R429" s="1133"/>
      <c r="S429" s="1133"/>
      <c r="T429" s="1133"/>
      <c r="U429" s="1133"/>
      <c r="V429" s="1133"/>
      <c r="W429" s="1133"/>
      <c r="X429" s="1133"/>
      <c r="Y429" s="1133"/>
    </row>
    <row r="430" spans="1:25" s="1072" customFormat="1" ht="89.25" customHeight="1" outlineLevel="1">
      <c r="A430" s="1152"/>
      <c r="B430" s="1073" t="s">
        <v>10</v>
      </c>
      <c r="C430" s="1135"/>
      <c r="D430" s="1135" t="str">
        <f t="shared" ref="D430:E432" si="119">D429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430" s="1135" t="str">
        <f t="shared" si="119"/>
        <v xml:space="preserve"> ГКУ КО "Управление капитального строительства"</v>
      </c>
      <c r="F430" s="1153"/>
      <c r="G430" s="1153">
        <f t="shared" si="117"/>
        <v>0</v>
      </c>
      <c r="H430" s="1153">
        <f t="shared" si="118"/>
        <v>0</v>
      </c>
      <c r="I430" s="1135"/>
      <c r="J430" s="1135"/>
      <c r="K430" s="1135"/>
      <c r="L430" s="1135"/>
      <c r="M430" s="1135"/>
      <c r="N430" s="2202"/>
      <c r="O430" s="1070" t="s">
        <v>57</v>
      </c>
      <c r="P430" s="1071"/>
      <c r="R430" s="1136"/>
      <c r="S430" s="1136"/>
      <c r="T430" s="1136"/>
      <c r="U430" s="1136"/>
      <c r="V430" s="1136"/>
      <c r="W430" s="1136"/>
      <c r="X430" s="1136"/>
      <c r="Y430" s="1136"/>
    </row>
    <row r="431" spans="1:25" s="1072" customFormat="1" ht="66.75" customHeight="1" outlineLevel="1">
      <c r="A431" s="1152"/>
      <c r="B431" s="1073" t="s">
        <v>9</v>
      </c>
      <c r="C431" s="1135"/>
      <c r="D431" s="1135" t="str">
        <f t="shared" si="119"/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431" s="1135" t="str">
        <f t="shared" si="119"/>
        <v xml:space="preserve"> ГКУ КО "Управление капитального строительства"</v>
      </c>
      <c r="F431" s="1153"/>
      <c r="G431" s="1153">
        <f t="shared" si="117"/>
        <v>3132.7170000000001</v>
      </c>
      <c r="H431" s="1153">
        <f t="shared" si="118"/>
        <v>3759.2604000000001</v>
      </c>
      <c r="I431" s="1135"/>
      <c r="J431" s="1135">
        <f>УКС_Онкоцентр!F56</f>
        <v>3759.2604000000001</v>
      </c>
      <c r="K431" s="1135"/>
      <c r="L431" s="1135"/>
      <c r="M431" s="1135"/>
      <c r="N431" s="2202"/>
      <c r="O431" s="1070" t="s">
        <v>57</v>
      </c>
      <c r="P431" s="1071"/>
      <c r="R431" s="1136"/>
      <c r="S431" s="1136"/>
      <c r="T431" s="1136"/>
      <c r="U431" s="1136"/>
      <c r="V431" s="1136"/>
      <c r="W431" s="1136"/>
      <c r="X431" s="1136"/>
      <c r="Y431" s="1136"/>
    </row>
    <row r="432" spans="1:25" s="1072" customFormat="1" ht="65.25" customHeight="1" outlineLevel="1">
      <c r="A432" s="1152"/>
      <c r="B432" s="1134" t="s">
        <v>14</v>
      </c>
      <c r="C432" s="1135"/>
      <c r="D432" s="1135" t="str">
        <f t="shared" si="119"/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432" s="1135" t="str">
        <f t="shared" si="119"/>
        <v xml:space="preserve"> ГКУ КО "Управление капитального строительства"</v>
      </c>
      <c r="F432" s="1153"/>
      <c r="G432" s="1153">
        <f t="shared" si="117"/>
        <v>783.17399999999998</v>
      </c>
      <c r="H432" s="1153">
        <f t="shared" si="118"/>
        <v>939.80879999999991</v>
      </c>
      <c r="I432" s="1135"/>
      <c r="J432" s="1135">
        <f>УКС_Онкоцентр!F59</f>
        <v>939.80879999999991</v>
      </c>
      <c r="K432" s="1135"/>
      <c r="L432" s="1135"/>
      <c r="M432" s="1135"/>
      <c r="N432" s="2202"/>
      <c r="O432" s="1070" t="s">
        <v>57</v>
      </c>
      <c r="P432" s="1071"/>
      <c r="R432" s="1136"/>
      <c r="S432" s="1136"/>
      <c r="T432" s="1136"/>
      <c r="U432" s="1136"/>
      <c r="V432" s="1136"/>
      <c r="W432" s="1136"/>
      <c r="X432" s="1136"/>
      <c r="Y432" s="1136"/>
    </row>
    <row r="433" spans="1:25" s="1145" customFormat="1" ht="144" customHeight="1" outlineLevel="1">
      <c r="A433" s="1154" t="s">
        <v>98</v>
      </c>
      <c r="B433" s="1139" t="s">
        <v>1111</v>
      </c>
      <c r="C433" s="1125"/>
      <c r="D433" s="1125" t="s">
        <v>775</v>
      </c>
      <c r="E433" s="1125" t="str">
        <f>'Прил.1 Перечень по подключению'!D28</f>
        <v>ООО Специализированный застройщик "УАЙТ ГРУПП-КАЛУГА"</v>
      </c>
      <c r="F433" s="1125"/>
      <c r="G433" s="1125">
        <f t="shared" si="117"/>
        <v>763.60535313472235</v>
      </c>
      <c r="H433" s="1125">
        <f t="shared" si="118"/>
        <v>916.32642376166677</v>
      </c>
      <c r="I433" s="1125">
        <f>SUM(I434:I436)</f>
        <v>0</v>
      </c>
      <c r="J433" s="1125">
        <f>SUM(J434:J436)</f>
        <v>916.32642376166677</v>
      </c>
      <c r="K433" s="1125"/>
      <c r="L433" s="1125">
        <f>SUM(L434:L436)</f>
        <v>0</v>
      </c>
      <c r="M433" s="1125">
        <f>SUM(M434:M436)</f>
        <v>0</v>
      </c>
      <c r="N433" s="1626" t="s">
        <v>542</v>
      </c>
      <c r="O433" s="1126" t="s">
        <v>57</v>
      </c>
      <c r="P433" s="1141"/>
      <c r="R433" s="1155"/>
      <c r="S433" s="1155"/>
      <c r="T433" s="1155"/>
      <c r="U433" s="1155"/>
      <c r="V433" s="1155"/>
      <c r="W433" s="1155"/>
      <c r="X433" s="1155"/>
      <c r="Y433" s="1155"/>
    </row>
    <row r="434" spans="1:25" ht="35.25" customHeight="1" outlineLevel="1">
      <c r="A434" s="1098"/>
      <c r="B434" s="1083" t="s">
        <v>10</v>
      </c>
      <c r="C434" s="1094"/>
      <c r="D434" s="1094" t="str">
        <f>D433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434" s="1094" t="str">
        <f>E433</f>
        <v>ООО Специализированный застройщик "УАЙТ ГРУПП-КАЛУГА"</v>
      </c>
      <c r="F434" s="1099"/>
      <c r="G434" s="1099">
        <f t="shared" si="117"/>
        <v>0</v>
      </c>
      <c r="H434" s="1099">
        <f t="shared" si="118"/>
        <v>0</v>
      </c>
      <c r="I434" s="1094"/>
      <c r="J434" s="1094"/>
      <c r="K434" s="1094"/>
      <c r="L434" s="1094"/>
      <c r="M434" s="1094"/>
      <c r="N434" s="1627"/>
      <c r="O434" s="1054" t="s">
        <v>57</v>
      </c>
      <c r="P434" s="1056"/>
    </row>
    <row r="435" spans="1:25" ht="35.25" customHeight="1" outlineLevel="1">
      <c r="A435" s="1098"/>
      <c r="B435" s="1083" t="s">
        <v>9</v>
      </c>
      <c r="C435" s="1094"/>
      <c r="D435" s="1094" t="str">
        <f>D433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435" s="1094" t="str">
        <f>E433</f>
        <v>ООО Специализированный застройщик "УАЙТ ГРУПП-КАЛУГА"</v>
      </c>
      <c r="F435" s="1099"/>
      <c r="G435" s="1099">
        <f t="shared" si="117"/>
        <v>610.88428250777781</v>
      </c>
      <c r="H435" s="1099">
        <f t="shared" si="118"/>
        <v>733.06113900933337</v>
      </c>
      <c r="I435" s="1094"/>
      <c r="J435" s="1094">
        <f>'Уайт Групп'!CK20*1.2</f>
        <v>733.06113900933337</v>
      </c>
      <c r="K435" s="1094"/>
      <c r="L435" s="1094"/>
      <c r="M435" s="1094"/>
      <c r="N435" s="1627"/>
      <c r="O435" s="1054" t="s">
        <v>57</v>
      </c>
      <c r="P435" s="1056"/>
    </row>
    <row r="436" spans="1:25" ht="35.25" customHeight="1" outlineLevel="1">
      <c r="A436" s="1098"/>
      <c r="B436" s="1083" t="s">
        <v>14</v>
      </c>
      <c r="C436" s="1094"/>
      <c r="D436" s="1094" t="str">
        <f>D433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436" s="1094" t="str">
        <f>E433</f>
        <v>ООО Специализированный застройщик "УАЙТ ГРУПП-КАЛУГА"</v>
      </c>
      <c r="F436" s="1099"/>
      <c r="G436" s="1099">
        <f t="shared" si="117"/>
        <v>152.72107062694445</v>
      </c>
      <c r="H436" s="1099">
        <f t="shared" si="118"/>
        <v>183.26528475233334</v>
      </c>
      <c r="I436" s="1094"/>
      <c r="J436" s="1094">
        <f>'Уайт Групп'!CK46*1.2</f>
        <v>183.26528475233334</v>
      </c>
      <c r="K436" s="1094"/>
      <c r="L436" s="1094"/>
      <c r="M436" s="1094"/>
      <c r="N436" s="1627"/>
      <c r="O436" s="1054" t="s">
        <v>57</v>
      </c>
      <c r="P436" s="1056"/>
    </row>
    <row r="437" spans="1:25" s="1145" customFormat="1" ht="101.25" customHeight="1" outlineLevel="1">
      <c r="A437" s="1123" t="s">
        <v>101</v>
      </c>
      <c r="B437" s="1139" t="s">
        <v>2172</v>
      </c>
      <c r="C437" s="1146"/>
      <c r="D437" s="1125" t="s">
        <v>771</v>
      </c>
      <c r="E437" s="1125" t="s">
        <v>660</v>
      </c>
      <c r="F437" s="1125"/>
      <c r="G437" s="1125">
        <f t="shared" si="117"/>
        <v>58692.606102842401</v>
      </c>
      <c r="H437" s="1125">
        <f>SUM(I437:M437)</f>
        <v>70431.127323410881</v>
      </c>
      <c r="I437" s="1125">
        <f>SUM(I438:I440)</f>
        <v>0</v>
      </c>
      <c r="J437" s="1125">
        <f>SUM(J438:J440)</f>
        <v>70431.127323410881</v>
      </c>
      <c r="K437" s="1125">
        <f>SUM(K438:K440)</f>
        <v>0</v>
      </c>
      <c r="L437" s="1125">
        <f>SUM(L438:L440)</f>
        <v>0</v>
      </c>
      <c r="M437" s="1125">
        <f>SUM(M438:M440)</f>
        <v>0</v>
      </c>
      <c r="N437" s="1626" t="s">
        <v>542</v>
      </c>
      <c r="O437" s="1126" t="s">
        <v>1091</v>
      </c>
      <c r="P437" s="1141"/>
    </row>
    <row r="438" spans="1:25" ht="101.25" customHeight="1" outlineLevel="1">
      <c r="A438" s="1051"/>
      <c r="B438" s="1083" t="s">
        <v>10</v>
      </c>
      <c r="C438" s="1094"/>
      <c r="D438" s="1094" t="str">
        <f>D437</f>
        <v>Проект планировки и проект межевания территории жилого квартала, г.Калуга мкр.Кубяка,Байконур</v>
      </c>
      <c r="E438" s="1094" t="str">
        <f>$E$437</f>
        <v>Заявитель</v>
      </c>
      <c r="F438" s="1099"/>
      <c r="G438" s="1099">
        <f t="shared" si="117"/>
        <v>2366.1175187520003</v>
      </c>
      <c r="H438" s="1099">
        <f>SUM(I438:M438)</f>
        <v>2839.3410225023999</v>
      </c>
      <c r="I438" s="1094"/>
      <c r="J438" s="1094">
        <f>2572.9296*1.053*1.048</f>
        <v>2839.3410225023999</v>
      </c>
      <c r="K438" s="1094"/>
      <c r="L438" s="1094"/>
      <c r="M438" s="1094"/>
      <c r="N438" s="1627"/>
      <c r="O438" s="1054" t="s">
        <v>1091</v>
      </c>
      <c r="P438" s="1056"/>
      <c r="R438" s="1057"/>
      <c r="S438" s="1057"/>
      <c r="T438" s="1057"/>
      <c r="U438" s="1057"/>
      <c r="V438" s="1057"/>
      <c r="W438" s="1057"/>
      <c r="X438" s="1057"/>
      <c r="Y438" s="1057"/>
    </row>
    <row r="439" spans="1:25" ht="101.25" customHeight="1" outlineLevel="1">
      <c r="A439" s="1051"/>
      <c r="B439" s="1083" t="s">
        <v>9</v>
      </c>
      <c r="C439" s="1094"/>
      <c r="D439" s="1094" t="str">
        <f>D437</f>
        <v>Проект планировки и проект межевания территории жилого квартала, г.Калуга мкр.Кубяка,Байконур</v>
      </c>
      <c r="E439" s="1094" t="str">
        <f>$E$437</f>
        <v>Заявитель</v>
      </c>
      <c r="F439" s="1099"/>
      <c r="G439" s="1099">
        <f t="shared" si="117"/>
        <v>56326.488584090403</v>
      </c>
      <c r="H439" s="1099">
        <f>SUM(I439:M439)</f>
        <v>67591.786300908483</v>
      </c>
      <c r="I439" s="1094"/>
      <c r="J439" s="1094">
        <f>61249742.92/1000*105.3/100*104.8/100</f>
        <v>67591.786300908483</v>
      </c>
      <c r="K439" s="1094"/>
      <c r="L439" s="1094"/>
      <c r="M439" s="1094"/>
      <c r="N439" s="1627"/>
      <c r="O439" s="1054" t="s">
        <v>1091</v>
      </c>
      <c r="P439" s="1056"/>
      <c r="R439" s="1057"/>
      <c r="S439" s="1057"/>
      <c r="T439" s="1057"/>
      <c r="U439" s="1057"/>
      <c r="V439" s="1057"/>
      <c r="W439" s="1057"/>
      <c r="X439" s="1057"/>
      <c r="Y439" s="1057"/>
    </row>
    <row r="440" spans="1:25" ht="101.25" customHeight="1" outlineLevel="1">
      <c r="A440" s="1051"/>
      <c r="B440" s="1083" t="s">
        <v>14</v>
      </c>
      <c r="C440" s="1094"/>
      <c r="D440" s="1094" t="str">
        <f>D437</f>
        <v>Проект планировки и проект межевания территории жилого квартала, г.Калуга мкр.Кубяка,Байконур</v>
      </c>
      <c r="E440" s="1094" t="str">
        <f>$E$437</f>
        <v>Заявитель</v>
      </c>
      <c r="F440" s="1099"/>
      <c r="G440" s="1099">
        <f t="shared" si="117"/>
        <v>0</v>
      </c>
      <c r="H440" s="1099">
        <f>SUM(I440:M440)</f>
        <v>0</v>
      </c>
      <c r="I440" s="1094"/>
      <c r="J440" s="1094"/>
      <c r="K440" s="1094"/>
      <c r="L440" s="1094"/>
      <c r="M440" s="1094"/>
      <c r="N440" s="1627"/>
      <c r="O440" s="1054" t="s">
        <v>1091</v>
      </c>
      <c r="P440" s="1056"/>
      <c r="R440" s="1057"/>
      <c r="S440" s="1057"/>
      <c r="T440" s="1057"/>
      <c r="U440" s="1057"/>
      <c r="V440" s="1057"/>
      <c r="W440" s="1057"/>
      <c r="X440" s="1057"/>
      <c r="Y440" s="1057"/>
    </row>
    <row r="441" spans="1:25" s="1114" customFormat="1" ht="97.5" customHeight="1">
      <c r="A441" s="1140" t="s">
        <v>32</v>
      </c>
      <c r="B441" s="1111" t="s">
        <v>78</v>
      </c>
      <c r="C441" s="1112">
        <f>SUM(C445)</f>
        <v>1030</v>
      </c>
      <c r="D441" s="1117">
        <f>SUM(D445)</f>
        <v>0</v>
      </c>
      <c r="E441" s="1117">
        <f>SUM(E445)</f>
        <v>0</v>
      </c>
      <c r="F441" s="1112">
        <f>SUM(F445)</f>
        <v>0</v>
      </c>
      <c r="G441" s="1112">
        <f t="shared" ref="G441:M441" si="120">SUM(G445)</f>
        <v>12727.010000000002</v>
      </c>
      <c r="H441" s="1112">
        <f t="shared" si="120"/>
        <v>15272.412</v>
      </c>
      <c r="I441" s="1112">
        <f t="shared" si="120"/>
        <v>0</v>
      </c>
      <c r="J441" s="1112">
        <f t="shared" si="120"/>
        <v>0</v>
      </c>
      <c r="K441" s="1112">
        <f t="shared" si="120"/>
        <v>0</v>
      </c>
      <c r="L441" s="1112">
        <f t="shared" si="120"/>
        <v>6250.5120000000006</v>
      </c>
      <c r="M441" s="1112">
        <f t="shared" si="120"/>
        <v>9021.9</v>
      </c>
      <c r="N441" s="1624" t="s">
        <v>1301</v>
      </c>
      <c r="O441" s="1118" t="s">
        <v>1301</v>
      </c>
      <c r="P441" s="1107"/>
      <c r="R441" s="1115"/>
      <c r="S441" s="1115"/>
      <c r="T441" s="1115"/>
      <c r="U441" s="1115"/>
      <c r="V441" s="1115"/>
      <c r="W441" s="1115"/>
      <c r="X441" s="1115"/>
      <c r="Y441" s="1115"/>
    </row>
    <row r="442" spans="1:25" s="1114" customFormat="1">
      <c r="A442" s="1156"/>
      <c r="B442" s="1111" t="s">
        <v>10</v>
      </c>
      <c r="C442" s="1112"/>
      <c r="D442" s="1117"/>
      <c r="E442" s="1117"/>
      <c r="F442" s="1112">
        <f t="shared" ref="F442:M442" si="121">SUM(F446)</f>
        <v>0</v>
      </c>
      <c r="G442" s="1112">
        <f t="shared" si="121"/>
        <v>517.72666666666669</v>
      </c>
      <c r="H442" s="1112">
        <f t="shared" si="121"/>
        <v>621.27200000000005</v>
      </c>
      <c r="I442" s="1112">
        <f t="shared" si="121"/>
        <v>0</v>
      </c>
      <c r="J442" s="1112">
        <f t="shared" si="121"/>
        <v>0</v>
      </c>
      <c r="K442" s="1112">
        <f t="shared" si="121"/>
        <v>0</v>
      </c>
      <c r="L442" s="1112">
        <f t="shared" si="121"/>
        <v>621.27200000000005</v>
      </c>
      <c r="M442" s="1112">
        <f t="shared" si="121"/>
        <v>0</v>
      </c>
      <c r="N442" s="1624" t="s">
        <v>1301</v>
      </c>
      <c r="O442" s="1119" t="s">
        <v>1301</v>
      </c>
      <c r="P442" s="1143"/>
      <c r="R442" s="1115"/>
      <c r="S442" s="1115"/>
      <c r="T442" s="1115"/>
      <c r="U442" s="1115"/>
      <c r="V442" s="1115"/>
      <c r="W442" s="1115"/>
      <c r="X442" s="1115"/>
      <c r="Y442" s="1115"/>
    </row>
    <row r="443" spans="1:25" s="1114" customFormat="1" ht="40.5" customHeight="1">
      <c r="A443" s="1156"/>
      <c r="B443" s="1111" t="s">
        <v>9</v>
      </c>
      <c r="C443" s="1112"/>
      <c r="D443" s="1117"/>
      <c r="E443" s="1117"/>
      <c r="F443" s="1112">
        <f t="shared" ref="F443:M443" si="122">SUM(F447)</f>
        <v>0</v>
      </c>
      <c r="G443" s="1112">
        <f t="shared" si="122"/>
        <v>12209.283333333333</v>
      </c>
      <c r="H443" s="1112">
        <f t="shared" si="122"/>
        <v>14651.14</v>
      </c>
      <c r="I443" s="1112">
        <f t="shared" si="122"/>
        <v>0</v>
      </c>
      <c r="J443" s="1112">
        <f t="shared" si="122"/>
        <v>0</v>
      </c>
      <c r="K443" s="1112">
        <f t="shared" si="122"/>
        <v>0</v>
      </c>
      <c r="L443" s="1112">
        <f t="shared" si="122"/>
        <v>5629.2400000000007</v>
      </c>
      <c r="M443" s="1112">
        <f t="shared" si="122"/>
        <v>9021.9</v>
      </c>
      <c r="N443" s="1624" t="s">
        <v>1301</v>
      </c>
      <c r="O443" s="1119" t="s">
        <v>1301</v>
      </c>
      <c r="P443" s="1143"/>
      <c r="R443" s="1115"/>
      <c r="S443" s="1115"/>
      <c r="T443" s="1115"/>
      <c r="U443" s="1115"/>
      <c r="V443" s="1115"/>
      <c r="W443" s="1115"/>
      <c r="X443" s="1115"/>
      <c r="Y443" s="1115"/>
    </row>
    <row r="444" spans="1:25" s="1114" customFormat="1" ht="39.75" customHeight="1">
      <c r="A444" s="1156"/>
      <c r="B444" s="1111" t="s">
        <v>14</v>
      </c>
      <c r="C444" s="1112"/>
      <c r="D444" s="1117"/>
      <c r="E444" s="1117"/>
      <c r="F444" s="1112">
        <f t="shared" ref="F444:M444" si="123">SUM(F448)</f>
        <v>0</v>
      </c>
      <c r="G444" s="1112">
        <f t="shared" si="123"/>
        <v>0</v>
      </c>
      <c r="H444" s="1112">
        <f t="shared" si="123"/>
        <v>0</v>
      </c>
      <c r="I444" s="1112">
        <f t="shared" si="123"/>
        <v>0</v>
      </c>
      <c r="J444" s="1112">
        <f t="shared" si="123"/>
        <v>0</v>
      </c>
      <c r="K444" s="1112">
        <f t="shared" si="123"/>
        <v>0</v>
      </c>
      <c r="L444" s="1112">
        <f t="shared" si="123"/>
        <v>0</v>
      </c>
      <c r="M444" s="1112">
        <f t="shared" si="123"/>
        <v>0</v>
      </c>
      <c r="N444" s="1624" t="s">
        <v>1301</v>
      </c>
      <c r="O444" s="1119" t="s">
        <v>1301</v>
      </c>
      <c r="P444" s="1143"/>
      <c r="R444" s="1115"/>
      <c r="S444" s="1115"/>
      <c r="T444" s="1115"/>
      <c r="U444" s="1115"/>
      <c r="V444" s="1115"/>
      <c r="W444" s="1115"/>
      <c r="X444" s="1115"/>
      <c r="Y444" s="1115"/>
    </row>
    <row r="445" spans="1:25" s="1161" customFormat="1" ht="54">
      <c r="A445" s="1157" t="s">
        <v>26</v>
      </c>
      <c r="B445" s="2212" t="s">
        <v>42</v>
      </c>
      <c r="C445" s="1158">
        <f>C449+C453</f>
        <v>1030</v>
      </c>
      <c r="D445" s="1158"/>
      <c r="E445" s="1158"/>
      <c r="F445" s="1158"/>
      <c r="G445" s="1158">
        <f>SUM(G449,G453)</f>
        <v>12727.010000000002</v>
      </c>
      <c r="H445" s="1158">
        <f t="shared" ref="H445:M445" si="124">SUM(H449,H453)</f>
        <v>15272.412</v>
      </c>
      <c r="I445" s="1158">
        <f t="shared" si="124"/>
        <v>0</v>
      </c>
      <c r="J445" s="1158">
        <f t="shared" si="124"/>
        <v>0</v>
      </c>
      <c r="K445" s="1158">
        <f t="shared" si="124"/>
        <v>0</v>
      </c>
      <c r="L445" s="1158">
        <f t="shared" si="124"/>
        <v>6250.5120000000006</v>
      </c>
      <c r="M445" s="1158">
        <f t="shared" si="124"/>
        <v>9021.9</v>
      </c>
      <c r="N445" s="1628" t="s">
        <v>1301</v>
      </c>
      <c r="O445" s="1159" t="s">
        <v>1301</v>
      </c>
      <c r="P445" s="1160"/>
    </row>
    <row r="446" spans="1:25" s="1161" customFormat="1">
      <c r="A446" s="1157"/>
      <c r="B446" s="2213" t="s">
        <v>10</v>
      </c>
      <c r="C446" s="1158"/>
      <c r="D446" s="1158"/>
      <c r="E446" s="1158"/>
      <c r="F446" s="1158"/>
      <c r="G446" s="1158">
        <f t="shared" ref="G446:M446" si="125">SUM(G450,G454)</f>
        <v>517.72666666666669</v>
      </c>
      <c r="H446" s="1158">
        <f t="shared" si="125"/>
        <v>621.27200000000005</v>
      </c>
      <c r="I446" s="1158">
        <f t="shared" si="125"/>
        <v>0</v>
      </c>
      <c r="J446" s="1158">
        <f t="shared" si="125"/>
        <v>0</v>
      </c>
      <c r="K446" s="1158">
        <f t="shared" si="125"/>
        <v>0</v>
      </c>
      <c r="L446" s="1158">
        <f t="shared" si="125"/>
        <v>621.27200000000005</v>
      </c>
      <c r="M446" s="1158">
        <f t="shared" si="125"/>
        <v>0</v>
      </c>
      <c r="N446" s="1628" t="s">
        <v>1301</v>
      </c>
      <c r="O446" s="1159" t="s">
        <v>1301</v>
      </c>
      <c r="P446" s="1160"/>
    </row>
    <row r="447" spans="1:25" s="1161" customFormat="1">
      <c r="A447" s="1157"/>
      <c r="B447" s="2214" t="s">
        <v>9</v>
      </c>
      <c r="C447" s="1158"/>
      <c r="D447" s="1158"/>
      <c r="E447" s="1158"/>
      <c r="F447" s="1158"/>
      <c r="G447" s="1158">
        <f t="shared" ref="G447:M447" si="126">SUM(G451,G455)</f>
        <v>12209.283333333333</v>
      </c>
      <c r="H447" s="1158">
        <f t="shared" si="126"/>
        <v>14651.14</v>
      </c>
      <c r="I447" s="1158">
        <f t="shared" si="126"/>
        <v>0</v>
      </c>
      <c r="J447" s="1158">
        <f t="shared" si="126"/>
        <v>0</v>
      </c>
      <c r="K447" s="1158">
        <f t="shared" si="126"/>
        <v>0</v>
      </c>
      <c r="L447" s="1158">
        <f t="shared" si="126"/>
        <v>5629.2400000000007</v>
      </c>
      <c r="M447" s="1158">
        <f t="shared" si="126"/>
        <v>9021.9</v>
      </c>
      <c r="N447" s="1628" t="s">
        <v>1301</v>
      </c>
      <c r="O447" s="1159" t="s">
        <v>1301</v>
      </c>
      <c r="P447" s="1160"/>
    </row>
    <row r="448" spans="1:25" s="1161" customFormat="1">
      <c r="A448" s="1157"/>
      <c r="B448" s="2214" t="s">
        <v>14</v>
      </c>
      <c r="C448" s="1158"/>
      <c r="D448" s="1158"/>
      <c r="E448" s="1158"/>
      <c r="F448" s="1158"/>
      <c r="G448" s="1158">
        <f t="shared" ref="G448:M448" si="127">SUM(G452,G456)</f>
        <v>0</v>
      </c>
      <c r="H448" s="1158">
        <f t="shared" si="127"/>
        <v>0</v>
      </c>
      <c r="I448" s="1158">
        <f t="shared" si="127"/>
        <v>0</v>
      </c>
      <c r="J448" s="1158">
        <f t="shared" si="127"/>
        <v>0</v>
      </c>
      <c r="K448" s="1158">
        <f t="shared" si="127"/>
        <v>0</v>
      </c>
      <c r="L448" s="1158">
        <f t="shared" si="127"/>
        <v>0</v>
      </c>
      <c r="M448" s="1158">
        <f t="shared" si="127"/>
        <v>0</v>
      </c>
      <c r="N448" s="1628" t="s">
        <v>1301</v>
      </c>
      <c r="O448" s="1159" t="s">
        <v>1301</v>
      </c>
      <c r="P448" s="1160"/>
    </row>
    <row r="449" spans="1:25" s="1145" customFormat="1" ht="88.5" customHeight="1" outlineLevel="1">
      <c r="A449" s="1123" t="s">
        <v>658</v>
      </c>
      <c r="B449" s="1139" t="s">
        <v>2168</v>
      </c>
      <c r="C449" s="1125">
        <v>230</v>
      </c>
      <c r="D449" s="1125" t="s">
        <v>115</v>
      </c>
      <c r="E449" s="1125"/>
      <c r="F449" s="1125"/>
      <c r="G449" s="1125">
        <f t="shared" ref="G449:G456" si="128">H449/1.2</f>
        <v>5208.7600000000011</v>
      </c>
      <c r="H449" s="1125">
        <f t="shared" ref="H449:H456" si="129">SUM(I449:M449)</f>
        <v>6250.5120000000006</v>
      </c>
      <c r="I449" s="1125">
        <f>I450+I451+I452</f>
        <v>0</v>
      </c>
      <c r="J449" s="1125">
        <f>J450+J451+J452</f>
        <v>0</v>
      </c>
      <c r="K449" s="1125">
        <f>K450+K451+K452</f>
        <v>0</v>
      </c>
      <c r="L449" s="1125">
        <f>L450+L451+L452</f>
        <v>6250.5120000000006</v>
      </c>
      <c r="M449" s="1125">
        <f>M450+M451+M452</f>
        <v>0</v>
      </c>
      <c r="N449" s="1626" t="s">
        <v>537</v>
      </c>
      <c r="O449" s="1126" t="s">
        <v>1091</v>
      </c>
      <c r="P449" s="1141"/>
    </row>
    <row r="450" spans="1:25" ht="108.75" customHeight="1" outlineLevel="1">
      <c r="A450" s="1086"/>
      <c r="B450" s="1083" t="s">
        <v>10</v>
      </c>
      <c r="C450" s="1099"/>
      <c r="D450" s="1094" t="str">
        <f>D449</f>
        <v>Проектирование и строительство систем водоотведения по адресу: г.Калуга, переулок 2-й Стекольный</v>
      </c>
      <c r="E450" s="1099"/>
      <c r="F450" s="1099"/>
      <c r="G450" s="1099">
        <f t="shared" si="128"/>
        <v>517.72666666666669</v>
      </c>
      <c r="H450" s="1099">
        <f t="shared" si="129"/>
        <v>621.27200000000005</v>
      </c>
      <c r="I450" s="1094"/>
      <c r="J450" s="1094"/>
      <c r="K450" s="1094"/>
      <c r="L450" s="1094">
        <v>621.27200000000005</v>
      </c>
      <c r="M450" s="1094"/>
      <c r="N450" s="1627"/>
      <c r="O450" s="1054" t="s">
        <v>1091</v>
      </c>
      <c r="P450" s="1056"/>
      <c r="R450" s="1057"/>
      <c r="S450" s="1057"/>
      <c r="T450" s="1057"/>
      <c r="U450" s="1057"/>
      <c r="V450" s="1057"/>
      <c r="W450" s="1057"/>
      <c r="X450" s="1057"/>
      <c r="Y450" s="1057"/>
    </row>
    <row r="451" spans="1:25" ht="83.25" outlineLevel="1">
      <c r="A451" s="1086"/>
      <c r="B451" s="1083" t="s">
        <v>9</v>
      </c>
      <c r="C451" s="1099"/>
      <c r="D451" s="1094" t="str">
        <f>D449</f>
        <v>Проектирование и строительство систем водоотведения по адресу: г.Калуга, переулок 2-й Стекольный</v>
      </c>
      <c r="E451" s="1099"/>
      <c r="F451" s="1099"/>
      <c r="G451" s="1099">
        <f t="shared" si="128"/>
        <v>4691.0333333333338</v>
      </c>
      <c r="H451" s="1099">
        <f t="shared" si="129"/>
        <v>5629.2400000000007</v>
      </c>
      <c r="I451" s="1094"/>
      <c r="J451" s="1094"/>
      <c r="K451" s="1094"/>
      <c r="L451" s="1094">
        <v>5629.2400000000007</v>
      </c>
      <c r="M451" s="1094"/>
      <c r="N451" s="1627"/>
      <c r="O451" s="1054" t="s">
        <v>1091</v>
      </c>
      <c r="P451" s="1056"/>
      <c r="R451" s="1057"/>
      <c r="S451" s="1057"/>
      <c r="T451" s="1057"/>
      <c r="U451" s="1057"/>
      <c r="V451" s="1057"/>
      <c r="W451" s="1057"/>
      <c r="X451" s="1057"/>
      <c r="Y451" s="1057"/>
    </row>
    <row r="452" spans="1:25" ht="83.25" outlineLevel="1">
      <c r="A452" s="1086"/>
      <c r="B452" s="1083" t="s">
        <v>14</v>
      </c>
      <c r="C452" s="1099"/>
      <c r="D452" s="1094" t="str">
        <f>D449</f>
        <v>Проектирование и строительство систем водоотведения по адресу: г.Калуга, переулок 2-й Стекольный</v>
      </c>
      <c r="E452" s="1099"/>
      <c r="F452" s="1099"/>
      <c r="G452" s="1099">
        <f t="shared" si="128"/>
        <v>0</v>
      </c>
      <c r="H452" s="1099">
        <f t="shared" si="129"/>
        <v>0</v>
      </c>
      <c r="I452" s="1094"/>
      <c r="J452" s="1094"/>
      <c r="K452" s="1094"/>
      <c r="L452" s="1094"/>
      <c r="M452" s="1094"/>
      <c r="N452" s="1627"/>
      <c r="O452" s="1054" t="s">
        <v>1091</v>
      </c>
      <c r="P452" s="1056"/>
      <c r="R452" s="1057"/>
      <c r="S452" s="1057"/>
      <c r="T452" s="1057"/>
      <c r="U452" s="1057"/>
      <c r="V452" s="1057"/>
      <c r="W452" s="1057"/>
      <c r="X452" s="1057"/>
      <c r="Y452" s="1057"/>
    </row>
    <row r="453" spans="1:25" s="1145" customFormat="1" ht="170.25" customHeight="1" outlineLevel="1">
      <c r="A453" s="1123" t="s">
        <v>659</v>
      </c>
      <c r="B453" s="1139" t="s">
        <v>116</v>
      </c>
      <c r="C453" s="1125">
        <f>600+200</f>
        <v>800</v>
      </c>
      <c r="D453" s="1125" t="s">
        <v>117</v>
      </c>
      <c r="E453" s="1125"/>
      <c r="F453" s="1125"/>
      <c r="G453" s="1125">
        <f t="shared" si="128"/>
        <v>7518.25</v>
      </c>
      <c r="H453" s="1125">
        <f t="shared" si="129"/>
        <v>9021.9</v>
      </c>
      <c r="I453" s="1125">
        <f>I454+I455+I456</f>
        <v>0</v>
      </c>
      <c r="J453" s="1125">
        <f>J454+J455+J456</f>
        <v>0</v>
      </c>
      <c r="K453" s="1125">
        <f>K454+K455+K456</f>
        <v>0</v>
      </c>
      <c r="L453" s="1125">
        <f>L454+L455+L456</f>
        <v>0</v>
      </c>
      <c r="M453" s="1125">
        <f>M454+M455+M456</f>
        <v>9021.9</v>
      </c>
      <c r="N453" s="1626" t="s">
        <v>14839</v>
      </c>
      <c r="O453" s="1126" t="s">
        <v>1091</v>
      </c>
      <c r="P453" s="1141"/>
    </row>
    <row r="454" spans="1:25" ht="55.5" outlineLevel="1">
      <c r="A454" s="1086"/>
      <c r="B454" s="1083" t="s">
        <v>10</v>
      </c>
      <c r="C454" s="1099"/>
      <c r="D454" s="1094" t="str">
        <f>D453</f>
        <v>Строительство системы водоотведения по адресу: г.Калуга, ул. Овражная</v>
      </c>
      <c r="E454" s="1099"/>
      <c r="F454" s="1099"/>
      <c r="G454" s="1099">
        <f t="shared" si="128"/>
        <v>0</v>
      </c>
      <c r="H454" s="1099">
        <f t="shared" si="129"/>
        <v>0</v>
      </c>
      <c r="I454" s="1094"/>
      <c r="J454" s="1094"/>
      <c r="K454" s="1094"/>
      <c r="L454" s="1094"/>
      <c r="M454" s="1094"/>
      <c r="N454" s="1627"/>
      <c r="O454" s="1054" t="s">
        <v>1091</v>
      </c>
      <c r="P454" s="1056"/>
      <c r="R454" s="1057"/>
      <c r="S454" s="1057"/>
      <c r="T454" s="1057"/>
      <c r="U454" s="1057"/>
      <c r="V454" s="1057"/>
      <c r="W454" s="1057"/>
      <c r="X454" s="1057"/>
      <c r="Y454" s="1057"/>
    </row>
    <row r="455" spans="1:25" ht="55.5" outlineLevel="1">
      <c r="A455" s="1086"/>
      <c r="B455" s="1083" t="s">
        <v>9</v>
      </c>
      <c r="C455" s="1099"/>
      <c r="D455" s="1094" t="str">
        <f>D453</f>
        <v>Строительство системы водоотведения по адресу: г.Калуга, ул. Овражная</v>
      </c>
      <c r="E455" s="1099"/>
      <c r="F455" s="1099"/>
      <c r="G455" s="1099">
        <f t="shared" si="128"/>
        <v>7518.25</v>
      </c>
      <c r="H455" s="1099">
        <f t="shared" si="129"/>
        <v>9021.9</v>
      </c>
      <c r="I455" s="1094"/>
      <c r="J455" s="1094"/>
      <c r="K455" s="1094"/>
      <c r="L455" s="1094"/>
      <c r="M455" s="1094">
        <v>9021.9</v>
      </c>
      <c r="N455" s="1627"/>
      <c r="O455" s="1054" t="s">
        <v>1091</v>
      </c>
      <c r="P455" s="1056"/>
      <c r="R455" s="1057"/>
      <c r="S455" s="1057"/>
      <c r="T455" s="1057"/>
      <c r="U455" s="1057"/>
      <c r="V455" s="1057"/>
      <c r="W455" s="1057"/>
      <c r="X455" s="1057"/>
      <c r="Y455" s="1057"/>
    </row>
    <row r="456" spans="1:25" ht="55.5" outlineLevel="1">
      <c r="A456" s="1086"/>
      <c r="B456" s="1083" t="s">
        <v>14</v>
      </c>
      <c r="C456" s="1099"/>
      <c r="D456" s="1094" t="str">
        <f>D453</f>
        <v>Строительство системы водоотведения по адресу: г.Калуга, ул. Овражная</v>
      </c>
      <c r="E456" s="1099"/>
      <c r="F456" s="1099"/>
      <c r="G456" s="1099">
        <f t="shared" si="128"/>
        <v>0</v>
      </c>
      <c r="H456" s="1099">
        <f t="shared" si="129"/>
        <v>0</v>
      </c>
      <c r="I456" s="1094"/>
      <c r="J456" s="1094"/>
      <c r="K456" s="1094"/>
      <c r="L456" s="1094"/>
      <c r="M456" s="1094"/>
      <c r="N456" s="1627"/>
      <c r="O456" s="1054" t="s">
        <v>1091</v>
      </c>
      <c r="P456" s="1056"/>
      <c r="R456" s="1057"/>
      <c r="S456" s="1057"/>
      <c r="T456" s="1057"/>
      <c r="U456" s="1057"/>
      <c r="V456" s="1057"/>
      <c r="W456" s="1057"/>
      <c r="X456" s="1057"/>
      <c r="Y456" s="1057"/>
    </row>
    <row r="457" spans="1:25" s="1114" customFormat="1" ht="54">
      <c r="A457" s="1140" t="s">
        <v>35</v>
      </c>
      <c r="B457" s="1111" t="s">
        <v>79</v>
      </c>
      <c r="C457" s="1112">
        <f t="shared" ref="C457:J457" si="130">SUM(C461,C465)</f>
        <v>0</v>
      </c>
      <c r="D457" s="1117">
        <f t="shared" si="130"/>
        <v>0</v>
      </c>
      <c r="E457" s="1117">
        <f t="shared" si="130"/>
        <v>0</v>
      </c>
      <c r="F457" s="1112">
        <f t="shared" si="130"/>
        <v>0</v>
      </c>
      <c r="G457" s="1112">
        <f t="shared" si="130"/>
        <v>0</v>
      </c>
      <c r="H457" s="1112">
        <f t="shared" si="130"/>
        <v>0</v>
      </c>
      <c r="I457" s="1112">
        <f t="shared" si="130"/>
        <v>0</v>
      </c>
      <c r="J457" s="1112">
        <f t="shared" si="130"/>
        <v>0</v>
      </c>
      <c r="K457" s="1112"/>
      <c r="L457" s="1112">
        <f t="shared" ref="L457:M460" si="131">SUM(L461,L465)</f>
        <v>0</v>
      </c>
      <c r="M457" s="1112">
        <f t="shared" si="131"/>
        <v>0</v>
      </c>
      <c r="N457" s="1624" t="s">
        <v>1301</v>
      </c>
      <c r="O457" s="1118" t="s">
        <v>1301</v>
      </c>
      <c r="P457" s="1107"/>
      <c r="R457" s="1115"/>
      <c r="S457" s="1115"/>
      <c r="T457" s="1115"/>
      <c r="U457" s="1115"/>
      <c r="V457" s="1115"/>
      <c r="W457" s="1115"/>
      <c r="X457" s="1115"/>
      <c r="Y457" s="1115"/>
    </row>
    <row r="458" spans="1:25" s="1114" customFormat="1">
      <c r="A458" s="1156"/>
      <c r="B458" s="1111" t="s">
        <v>10</v>
      </c>
      <c r="C458" s="1117">
        <f t="shared" ref="C458:J458" si="132">SUM(C462,C466)</f>
        <v>0</v>
      </c>
      <c r="D458" s="1117">
        <f t="shared" si="132"/>
        <v>0</v>
      </c>
      <c r="E458" s="1117">
        <f t="shared" si="132"/>
        <v>0</v>
      </c>
      <c r="F458" s="1112">
        <f t="shared" si="132"/>
        <v>0</v>
      </c>
      <c r="G458" s="1112">
        <f t="shared" si="132"/>
        <v>0</v>
      </c>
      <c r="H458" s="1112">
        <f t="shared" si="132"/>
        <v>0</v>
      </c>
      <c r="I458" s="1117">
        <f t="shared" si="132"/>
        <v>0</v>
      </c>
      <c r="J458" s="1117">
        <f t="shared" si="132"/>
        <v>0</v>
      </c>
      <c r="K458" s="1117"/>
      <c r="L458" s="1117">
        <f t="shared" si="131"/>
        <v>0</v>
      </c>
      <c r="M458" s="1117">
        <f t="shared" si="131"/>
        <v>0</v>
      </c>
      <c r="N458" s="1624" t="s">
        <v>1301</v>
      </c>
      <c r="O458" s="1119" t="s">
        <v>1301</v>
      </c>
      <c r="P458" s="1143"/>
      <c r="R458" s="1115"/>
      <c r="S458" s="1115"/>
      <c r="T458" s="1115"/>
      <c r="U458" s="1115"/>
      <c r="V458" s="1115"/>
      <c r="W458" s="1115"/>
      <c r="X458" s="1115"/>
      <c r="Y458" s="1115"/>
    </row>
    <row r="459" spans="1:25" s="1114" customFormat="1">
      <c r="A459" s="1156"/>
      <c r="B459" s="1111" t="s">
        <v>9</v>
      </c>
      <c r="C459" s="1117">
        <f t="shared" ref="C459:J459" si="133">SUM(C463,C467)</f>
        <v>0</v>
      </c>
      <c r="D459" s="1117">
        <f t="shared" si="133"/>
        <v>0</v>
      </c>
      <c r="E459" s="1117">
        <f t="shared" si="133"/>
        <v>0</v>
      </c>
      <c r="F459" s="1112">
        <f t="shared" si="133"/>
        <v>0</v>
      </c>
      <c r="G459" s="1112">
        <f t="shared" si="133"/>
        <v>0</v>
      </c>
      <c r="H459" s="1112">
        <f t="shared" si="133"/>
        <v>0</v>
      </c>
      <c r="I459" s="1117">
        <f t="shared" si="133"/>
        <v>0</v>
      </c>
      <c r="J459" s="1117">
        <f t="shared" si="133"/>
        <v>0</v>
      </c>
      <c r="K459" s="1117"/>
      <c r="L459" s="1117">
        <f t="shared" si="131"/>
        <v>0</v>
      </c>
      <c r="M459" s="1117">
        <f t="shared" si="131"/>
        <v>0</v>
      </c>
      <c r="N459" s="1624" t="s">
        <v>1301</v>
      </c>
      <c r="O459" s="1119" t="s">
        <v>1301</v>
      </c>
      <c r="P459" s="1143"/>
      <c r="R459" s="1115"/>
      <c r="S459" s="1115"/>
      <c r="T459" s="1115"/>
      <c r="U459" s="1115"/>
      <c r="V459" s="1115"/>
      <c r="W459" s="1115"/>
      <c r="X459" s="1115"/>
      <c r="Y459" s="1115"/>
    </row>
    <row r="460" spans="1:25" s="1114" customFormat="1">
      <c r="A460" s="1156"/>
      <c r="B460" s="1111" t="s">
        <v>14</v>
      </c>
      <c r="C460" s="1117">
        <f t="shared" ref="C460:J460" si="134">SUM(C464,C468)</f>
        <v>0</v>
      </c>
      <c r="D460" s="1117">
        <f t="shared" si="134"/>
        <v>0</v>
      </c>
      <c r="E460" s="1117">
        <f t="shared" si="134"/>
        <v>0</v>
      </c>
      <c r="F460" s="1112">
        <f t="shared" si="134"/>
        <v>0</v>
      </c>
      <c r="G460" s="1112">
        <f t="shared" si="134"/>
        <v>0</v>
      </c>
      <c r="H460" s="1112">
        <f t="shared" si="134"/>
        <v>0</v>
      </c>
      <c r="I460" s="1117">
        <f t="shared" si="134"/>
        <v>0</v>
      </c>
      <c r="J460" s="1117">
        <f t="shared" si="134"/>
        <v>0</v>
      </c>
      <c r="K460" s="1117"/>
      <c r="L460" s="1117">
        <f t="shared" si="131"/>
        <v>0</v>
      </c>
      <c r="M460" s="1117">
        <f t="shared" si="131"/>
        <v>0</v>
      </c>
      <c r="N460" s="1624" t="s">
        <v>1301</v>
      </c>
      <c r="O460" s="1119" t="s">
        <v>1301</v>
      </c>
      <c r="P460" s="1143"/>
      <c r="R460" s="1115"/>
      <c r="S460" s="1115"/>
      <c r="T460" s="1115"/>
      <c r="U460" s="1115"/>
      <c r="V460" s="1115"/>
      <c r="W460" s="1115"/>
      <c r="X460" s="1115"/>
      <c r="Y460" s="1115"/>
    </row>
    <row r="461" spans="1:25" s="1114" customFormat="1" ht="54">
      <c r="A461" s="1140" t="s">
        <v>28</v>
      </c>
      <c r="B461" s="1120" t="s">
        <v>44</v>
      </c>
      <c r="C461" s="1112"/>
      <c r="D461" s="1112"/>
      <c r="E461" s="1112"/>
      <c r="F461" s="1112"/>
      <c r="G461" s="1112"/>
      <c r="H461" s="1112"/>
      <c r="I461" s="1117"/>
      <c r="J461" s="1117"/>
      <c r="K461" s="1117"/>
      <c r="L461" s="1117"/>
      <c r="M461" s="1117"/>
      <c r="N461" s="1624" t="s">
        <v>1301</v>
      </c>
      <c r="O461" s="1119" t="s">
        <v>1301</v>
      </c>
      <c r="P461" s="1107"/>
    </row>
    <row r="462" spans="1:25" s="1114" customFormat="1">
      <c r="A462" s="1140"/>
      <c r="B462" s="2215" t="s">
        <v>10</v>
      </c>
      <c r="C462" s="1112"/>
      <c r="D462" s="1112"/>
      <c r="E462" s="1112"/>
      <c r="F462" s="1112"/>
      <c r="G462" s="1112"/>
      <c r="H462" s="1112"/>
      <c r="I462" s="1117"/>
      <c r="J462" s="1117"/>
      <c r="K462" s="1117"/>
      <c r="L462" s="1117"/>
      <c r="M462" s="1117"/>
      <c r="N462" s="1624" t="s">
        <v>1301</v>
      </c>
      <c r="O462" s="1119" t="s">
        <v>1301</v>
      </c>
      <c r="P462" s="1107"/>
    </row>
    <row r="463" spans="1:25" s="1114" customFormat="1">
      <c r="A463" s="1140"/>
      <c r="B463" s="2216" t="s">
        <v>9</v>
      </c>
      <c r="C463" s="1112"/>
      <c r="D463" s="1112"/>
      <c r="E463" s="1112"/>
      <c r="F463" s="1112"/>
      <c r="G463" s="1112"/>
      <c r="H463" s="1112"/>
      <c r="I463" s="1117"/>
      <c r="J463" s="1117"/>
      <c r="K463" s="1117"/>
      <c r="L463" s="1117"/>
      <c r="M463" s="1117"/>
      <c r="N463" s="1624" t="s">
        <v>1301</v>
      </c>
      <c r="O463" s="1119" t="s">
        <v>1301</v>
      </c>
      <c r="P463" s="1107"/>
    </row>
    <row r="464" spans="1:25" s="1114" customFormat="1">
      <c r="A464" s="1140"/>
      <c r="B464" s="2216" t="s">
        <v>14</v>
      </c>
      <c r="C464" s="1112"/>
      <c r="D464" s="1112"/>
      <c r="E464" s="1112"/>
      <c r="F464" s="1112"/>
      <c r="G464" s="1112"/>
      <c r="H464" s="1112"/>
      <c r="I464" s="1117"/>
      <c r="J464" s="1117"/>
      <c r="K464" s="1117"/>
      <c r="L464" s="1117"/>
      <c r="M464" s="1117"/>
      <c r="N464" s="1624" t="s">
        <v>1301</v>
      </c>
      <c r="O464" s="1119" t="s">
        <v>1301</v>
      </c>
      <c r="P464" s="1107"/>
    </row>
    <row r="465" spans="1:25" s="1114" customFormat="1" ht="135.75" customHeight="1">
      <c r="A465" s="1140" t="s">
        <v>29</v>
      </c>
      <c r="B465" s="1120" t="s">
        <v>45</v>
      </c>
      <c r="C465" s="1112"/>
      <c r="D465" s="1121"/>
      <c r="E465" s="1112"/>
      <c r="F465" s="1112"/>
      <c r="G465" s="1112"/>
      <c r="H465" s="1112"/>
      <c r="I465" s="1117"/>
      <c r="J465" s="1117"/>
      <c r="K465" s="1117"/>
      <c r="L465" s="1117"/>
      <c r="M465" s="1117"/>
      <c r="N465" s="1624" t="s">
        <v>1301</v>
      </c>
      <c r="O465" s="1119" t="s">
        <v>1301</v>
      </c>
      <c r="P465" s="1107"/>
    </row>
    <row r="466" spans="1:25" s="1114" customFormat="1">
      <c r="A466" s="1140"/>
      <c r="B466" s="2215" t="s">
        <v>10</v>
      </c>
      <c r="C466" s="1112"/>
      <c r="D466" s="1112"/>
      <c r="E466" s="1112"/>
      <c r="F466" s="1112"/>
      <c r="G466" s="1112"/>
      <c r="H466" s="1112"/>
      <c r="I466" s="1117"/>
      <c r="J466" s="1117"/>
      <c r="K466" s="1117"/>
      <c r="L466" s="1117"/>
      <c r="M466" s="1117"/>
      <c r="N466" s="1624" t="s">
        <v>1301</v>
      </c>
      <c r="O466" s="1119" t="s">
        <v>1301</v>
      </c>
      <c r="P466" s="1107"/>
    </row>
    <row r="467" spans="1:25" s="1114" customFormat="1">
      <c r="A467" s="1140"/>
      <c r="B467" s="2216" t="s">
        <v>9</v>
      </c>
      <c r="C467" s="1112"/>
      <c r="D467" s="1112"/>
      <c r="E467" s="1112"/>
      <c r="F467" s="1112"/>
      <c r="G467" s="1112"/>
      <c r="H467" s="1112"/>
      <c r="I467" s="1117"/>
      <c r="J467" s="1117"/>
      <c r="K467" s="1117"/>
      <c r="L467" s="1117"/>
      <c r="M467" s="1117"/>
      <c r="N467" s="1624" t="s">
        <v>1301</v>
      </c>
      <c r="O467" s="1119" t="s">
        <v>1301</v>
      </c>
      <c r="P467" s="1107"/>
    </row>
    <row r="468" spans="1:25" s="1114" customFormat="1">
      <c r="A468" s="1140"/>
      <c r="B468" s="2216" t="s">
        <v>14</v>
      </c>
      <c r="C468" s="1112"/>
      <c r="D468" s="1112"/>
      <c r="E468" s="1112"/>
      <c r="F468" s="1112"/>
      <c r="G468" s="1112"/>
      <c r="H468" s="1112"/>
      <c r="I468" s="1117"/>
      <c r="J468" s="1117"/>
      <c r="K468" s="1117"/>
      <c r="L468" s="1117"/>
      <c r="M468" s="1117"/>
      <c r="N468" s="1624" t="s">
        <v>1301</v>
      </c>
      <c r="O468" s="1119" t="s">
        <v>1301</v>
      </c>
      <c r="P468" s="1107"/>
    </row>
    <row r="469" spans="1:25" s="1108" customFormat="1" ht="81">
      <c r="A469" s="1140" t="s">
        <v>38</v>
      </c>
      <c r="B469" s="1111" t="s">
        <v>1109</v>
      </c>
      <c r="C469" s="1112"/>
      <c r="D469" s="1112"/>
      <c r="E469" s="1112"/>
      <c r="F469" s="1112">
        <f>SUM(F473,F477,F481,F485,F493,F497,F501,F505,F509,F513,F517,F521,F525,F529,F533,F489)</f>
        <v>0</v>
      </c>
      <c r="G469" s="1112">
        <f t="shared" ref="G469:M469" si="135">SUM(G473,G477,G481,G485,G493,G497,G501,G505,G509,G513,G517,G521,G525,G529,G533,G489)</f>
        <v>390410.78991383401</v>
      </c>
      <c r="H469" s="1112">
        <f t="shared" si="135"/>
        <v>468492.94789660082</v>
      </c>
      <c r="I469" s="1112">
        <f t="shared" si="135"/>
        <v>22474.448873370002</v>
      </c>
      <c r="J469" s="1112">
        <f t="shared" si="135"/>
        <v>28080.684226672747</v>
      </c>
      <c r="K469" s="1112">
        <f t="shared" si="135"/>
        <v>100021.82423307837</v>
      </c>
      <c r="L469" s="1112">
        <f t="shared" si="135"/>
        <v>136960.47046342236</v>
      </c>
      <c r="M469" s="1112">
        <f t="shared" si="135"/>
        <v>180955.52010005733</v>
      </c>
      <c r="N469" s="1624" t="s">
        <v>1301</v>
      </c>
      <c r="O469" s="1119" t="s">
        <v>1301</v>
      </c>
      <c r="P469" s="1107"/>
      <c r="R469" s="1109"/>
      <c r="S469" s="1109"/>
      <c r="T469" s="1109"/>
      <c r="U469" s="1109"/>
      <c r="V469" s="1109"/>
      <c r="W469" s="1109"/>
      <c r="X469" s="1109"/>
      <c r="Y469" s="1109"/>
    </row>
    <row r="470" spans="1:25" s="1108" customFormat="1">
      <c r="A470" s="1140"/>
      <c r="B470" s="1111" t="s">
        <v>10</v>
      </c>
      <c r="C470" s="1112"/>
      <c r="D470" s="1112"/>
      <c r="E470" s="1112"/>
      <c r="F470" s="1112">
        <f t="shared" ref="F470:M472" si="136">SUM(F474,F478,F482,F486,F494,F498,F502,F506,F510,F514,F518,F522,F526,F530,F534,F490)</f>
        <v>0</v>
      </c>
      <c r="G470" s="1112">
        <f t="shared" si="136"/>
        <v>0</v>
      </c>
      <c r="H470" s="1112">
        <f t="shared" si="136"/>
        <v>0</v>
      </c>
      <c r="I470" s="1112">
        <f t="shared" si="136"/>
        <v>0</v>
      </c>
      <c r="J470" s="1112">
        <f t="shared" si="136"/>
        <v>0</v>
      </c>
      <c r="K470" s="1112">
        <f t="shared" si="136"/>
        <v>0</v>
      </c>
      <c r="L470" s="1112">
        <f t="shared" si="136"/>
        <v>0</v>
      </c>
      <c r="M470" s="1112">
        <f t="shared" si="136"/>
        <v>0</v>
      </c>
      <c r="N470" s="1624" t="s">
        <v>1301</v>
      </c>
      <c r="O470" s="1119" t="s">
        <v>1301</v>
      </c>
      <c r="P470" s="1107"/>
      <c r="R470" s="1109"/>
      <c r="S470" s="1109"/>
      <c r="T470" s="1109"/>
      <c r="U470" s="1109"/>
      <c r="V470" s="1109"/>
      <c r="W470" s="1109"/>
      <c r="X470" s="1109"/>
      <c r="Y470" s="1109"/>
    </row>
    <row r="471" spans="1:25" s="1108" customFormat="1">
      <c r="A471" s="1140"/>
      <c r="B471" s="1120" t="s">
        <v>9</v>
      </c>
      <c r="C471" s="1112"/>
      <c r="D471" s="1112"/>
      <c r="E471" s="1112"/>
      <c r="F471" s="1112">
        <f t="shared" si="136"/>
        <v>0</v>
      </c>
      <c r="G471" s="1112">
        <f t="shared" si="136"/>
        <v>390410.78991383401</v>
      </c>
      <c r="H471" s="1112">
        <f t="shared" si="136"/>
        <v>468492.94789660082</v>
      </c>
      <c r="I471" s="1112">
        <f t="shared" si="136"/>
        <v>22474.448873370002</v>
      </c>
      <c r="J471" s="1112">
        <f t="shared" si="136"/>
        <v>28080.684226672747</v>
      </c>
      <c r="K471" s="1112">
        <f t="shared" si="136"/>
        <v>100021.82423307837</v>
      </c>
      <c r="L471" s="1112">
        <f t="shared" si="136"/>
        <v>136960.47046342236</v>
      </c>
      <c r="M471" s="1112">
        <f t="shared" si="136"/>
        <v>180955.52010005733</v>
      </c>
      <c r="N471" s="1624" t="s">
        <v>1301</v>
      </c>
      <c r="O471" s="1119" t="s">
        <v>1301</v>
      </c>
      <c r="P471" s="1107"/>
      <c r="R471" s="1109"/>
      <c r="S471" s="1109"/>
      <c r="T471" s="1109"/>
      <c r="U471" s="1109"/>
      <c r="V471" s="1109"/>
      <c r="W471" s="1109"/>
      <c r="X471" s="1109"/>
      <c r="Y471" s="1109"/>
    </row>
    <row r="472" spans="1:25" s="1108" customFormat="1">
      <c r="A472" s="1140"/>
      <c r="B472" s="1120" t="s">
        <v>14</v>
      </c>
      <c r="C472" s="1112"/>
      <c r="D472" s="1112"/>
      <c r="E472" s="1112"/>
      <c r="F472" s="1112">
        <f t="shared" si="136"/>
        <v>0</v>
      </c>
      <c r="G472" s="1112">
        <f t="shared" si="136"/>
        <v>0</v>
      </c>
      <c r="H472" s="1112">
        <f t="shared" si="136"/>
        <v>0</v>
      </c>
      <c r="I472" s="1112">
        <f t="shared" si="136"/>
        <v>0</v>
      </c>
      <c r="J472" s="1112">
        <f t="shared" si="136"/>
        <v>0</v>
      </c>
      <c r="K472" s="1112">
        <f t="shared" si="136"/>
        <v>0</v>
      </c>
      <c r="L472" s="1112">
        <f t="shared" si="136"/>
        <v>0</v>
      </c>
      <c r="M472" s="1112">
        <f t="shared" si="136"/>
        <v>0</v>
      </c>
      <c r="N472" s="1624" t="s">
        <v>1301</v>
      </c>
      <c r="O472" s="1119" t="s">
        <v>1301</v>
      </c>
      <c r="P472" s="1107"/>
      <c r="R472" s="1109"/>
      <c r="S472" s="1109"/>
      <c r="T472" s="1109"/>
      <c r="U472" s="1109"/>
      <c r="V472" s="1109"/>
      <c r="W472" s="1109"/>
      <c r="X472" s="1109"/>
      <c r="Y472" s="1109"/>
    </row>
    <row r="473" spans="1:25" s="1145" customFormat="1" ht="108" outlineLevel="1">
      <c r="A473" s="1123" t="s">
        <v>99</v>
      </c>
      <c r="B473" s="1139" t="s">
        <v>815</v>
      </c>
      <c r="C473" s="1125"/>
      <c r="D473" s="1125" t="s">
        <v>1293</v>
      </c>
      <c r="E473" s="1125"/>
      <c r="F473" s="1125"/>
      <c r="G473" s="1125">
        <f t="shared" ref="G473:G484" si="137">H473/1.2</f>
        <v>3476.35617615</v>
      </c>
      <c r="H473" s="1125">
        <f>SUM(I473:M473)</f>
        <v>4171.62741138</v>
      </c>
      <c r="I473" s="1125">
        <f>SUM(I474:I476)</f>
        <v>4171.62741138</v>
      </c>
      <c r="J473" s="1125">
        <f>SUM(J474:J476)</f>
        <v>0</v>
      </c>
      <c r="K473" s="1125">
        <f>SUM(K474:K476)</f>
        <v>0</v>
      </c>
      <c r="L473" s="1125">
        <f>Строительство!R20/1000</f>
        <v>0</v>
      </c>
      <c r="M473" s="1125">
        <f>SUM(M474:M476)</f>
        <v>0</v>
      </c>
      <c r="N473" s="1626" t="s">
        <v>541</v>
      </c>
      <c r="O473" s="1126" t="s">
        <v>14878</v>
      </c>
      <c r="P473" s="1141"/>
      <c r="R473" s="1155"/>
      <c r="S473" s="1155"/>
      <c r="T473" s="1155"/>
      <c r="U473" s="1155"/>
      <c r="V473" s="1155"/>
      <c r="W473" s="1155"/>
      <c r="X473" s="1155"/>
      <c r="Y473" s="1155"/>
    </row>
    <row r="474" spans="1:25" ht="111" outlineLevel="1">
      <c r="A474" s="1051"/>
      <c r="B474" s="1083" t="s">
        <v>10</v>
      </c>
      <c r="C474" s="1094"/>
      <c r="D474" s="1094" t="str">
        <f>D473</f>
        <v>г.Калуга, п.Муратовский Щебзавод</v>
      </c>
      <c r="E474" s="1094"/>
      <c r="F474" s="1099"/>
      <c r="G474" s="1125">
        <f t="shared" si="137"/>
        <v>0</v>
      </c>
      <c r="H474" s="1125">
        <f t="shared" ref="H474:H484" si="138">SUM(I474:M474)</f>
        <v>0</v>
      </c>
      <c r="I474" s="1094"/>
      <c r="J474" s="1094"/>
      <c r="K474" s="1094"/>
      <c r="L474" s="1094"/>
      <c r="M474" s="1094"/>
      <c r="N474" s="1627"/>
      <c r="O474" s="1054" t="str">
        <f>O473</f>
        <v xml:space="preserve">средства, полученные в виде платы за негативное воздействие на работу централизованной системы водоотведения </v>
      </c>
      <c r="P474" s="1076"/>
    </row>
    <row r="475" spans="1:25" ht="111" outlineLevel="1">
      <c r="A475" s="1051"/>
      <c r="B475" s="1083" t="s">
        <v>9</v>
      </c>
      <c r="C475" s="1094"/>
      <c r="D475" s="1094" t="str">
        <f>D473</f>
        <v>г.Калуга, п.Муратовский Щебзавод</v>
      </c>
      <c r="E475" s="1094"/>
      <c r="F475" s="1099"/>
      <c r="G475" s="1125">
        <f>H475/1.2</f>
        <v>3476.35617615</v>
      </c>
      <c r="H475" s="1125">
        <f t="shared" si="138"/>
        <v>4171.62741138</v>
      </c>
      <c r="I475" s="1094">
        <f>Строительство!O20/1000</f>
        <v>4171.62741138</v>
      </c>
      <c r="J475" s="1094"/>
      <c r="K475" s="1094"/>
      <c r="L475" s="1094"/>
      <c r="M475" s="1094"/>
      <c r="N475" s="1627"/>
      <c r="O475" s="1054" t="str">
        <f>O473</f>
        <v xml:space="preserve">средства, полученные в виде платы за негативное воздействие на работу централизованной системы водоотведения </v>
      </c>
      <c r="P475" s="1955"/>
    </row>
    <row r="476" spans="1:25" ht="111" outlineLevel="1">
      <c r="A476" s="1051"/>
      <c r="B476" s="1083" t="s">
        <v>14</v>
      </c>
      <c r="C476" s="1094"/>
      <c r="D476" s="1094" t="str">
        <f>D473</f>
        <v>г.Калуга, п.Муратовский Щебзавод</v>
      </c>
      <c r="E476" s="1094"/>
      <c r="F476" s="1099"/>
      <c r="G476" s="1125">
        <f t="shared" si="137"/>
        <v>0</v>
      </c>
      <c r="H476" s="1125">
        <f t="shared" si="138"/>
        <v>0</v>
      </c>
      <c r="I476" s="1094"/>
      <c r="J476" s="1094"/>
      <c r="K476" s="1094"/>
      <c r="L476" s="1094"/>
      <c r="M476" s="1094"/>
      <c r="N476" s="1627"/>
      <c r="O476" s="1054" t="str">
        <f>O473</f>
        <v xml:space="preserve">средства, полученные в виде платы за негативное воздействие на работу централизованной системы водоотведения </v>
      </c>
      <c r="P476" s="1076"/>
    </row>
    <row r="477" spans="1:25" s="1142" customFormat="1" ht="54" outlineLevel="1">
      <c r="A477" s="1123" t="s">
        <v>100</v>
      </c>
      <c r="B477" s="1139" t="s">
        <v>754</v>
      </c>
      <c r="C477" s="1125">
        <v>193</v>
      </c>
      <c r="D477" s="1125" t="s">
        <v>882</v>
      </c>
      <c r="E477" s="1146"/>
      <c r="F477" s="1125"/>
      <c r="G477" s="1125">
        <f t="shared" si="137"/>
        <v>8081.98215230393</v>
      </c>
      <c r="H477" s="1125">
        <f t="shared" si="138"/>
        <v>9698.3785827647152</v>
      </c>
      <c r="I477" s="1146"/>
      <c r="J477" s="1125">
        <f>'Реконструкция КАНАЛ'!S5/1000</f>
        <v>0</v>
      </c>
      <c r="K477" s="1146"/>
      <c r="L477" s="1125">
        <f>'Реконструкция КАНАЛ'!U5/1000</f>
        <v>9698.3785827647152</v>
      </c>
      <c r="M477" s="1125">
        <f>'Реконструкция КАНАЛ'!V5/1000</f>
        <v>0</v>
      </c>
      <c r="N477" s="1626" t="s">
        <v>537</v>
      </c>
      <c r="O477" s="1126" t="s">
        <v>1300</v>
      </c>
      <c r="P477" s="1162"/>
      <c r="R477" s="1147"/>
      <c r="S477" s="1147"/>
      <c r="T477" s="1147"/>
      <c r="U477" s="1147"/>
      <c r="V477" s="1147"/>
      <c r="W477" s="1147"/>
      <c r="X477" s="1147"/>
      <c r="Y477" s="1147"/>
    </row>
    <row r="478" spans="1:25" ht="55.5" outlineLevel="1">
      <c r="A478" s="1051"/>
      <c r="B478" s="1083" t="s">
        <v>10</v>
      </c>
      <c r="C478" s="1094"/>
      <c r="D478" s="1094" t="str">
        <f>$D$477</f>
        <v xml:space="preserve">г.Калуга, пер. Воскресенский от д. 3а до ул. Луначарского </v>
      </c>
      <c r="E478" s="1094"/>
      <c r="F478" s="1099"/>
      <c r="G478" s="1099">
        <f t="shared" si="137"/>
        <v>0</v>
      </c>
      <c r="H478" s="1099">
        <f t="shared" si="138"/>
        <v>0</v>
      </c>
      <c r="I478" s="1094"/>
      <c r="J478" s="1094"/>
      <c r="K478" s="1094"/>
      <c r="L478" s="1094"/>
      <c r="M478" s="1094"/>
      <c r="N478" s="1627"/>
      <c r="O478" s="1054" t="s">
        <v>1300</v>
      </c>
      <c r="P478" s="1076"/>
    </row>
    <row r="479" spans="1:25" ht="55.5" outlineLevel="1">
      <c r="A479" s="1051"/>
      <c r="B479" s="1083" t="s">
        <v>9</v>
      </c>
      <c r="C479" s="1094"/>
      <c r="D479" s="1094" t="str">
        <f>$D$477</f>
        <v xml:space="preserve">г.Калуга, пер. Воскресенский от д. 3а до ул. Луначарского </v>
      </c>
      <c r="E479" s="1094"/>
      <c r="F479" s="1099"/>
      <c r="G479" s="1099">
        <f t="shared" si="137"/>
        <v>8081.98215230393</v>
      </c>
      <c r="H479" s="1099">
        <f t="shared" si="138"/>
        <v>9698.3785827647152</v>
      </c>
      <c r="I479" s="1094"/>
      <c r="J479" s="1094">
        <f>J477</f>
        <v>0</v>
      </c>
      <c r="K479" s="1094"/>
      <c r="L479" s="1094">
        <f>L477</f>
        <v>9698.3785827647152</v>
      </c>
      <c r="M479" s="1094">
        <f>M477</f>
        <v>0</v>
      </c>
      <c r="N479" s="1627"/>
      <c r="O479" s="1054" t="s">
        <v>1300</v>
      </c>
      <c r="P479" s="1076"/>
    </row>
    <row r="480" spans="1:25" ht="55.5" outlineLevel="1">
      <c r="A480" s="1051"/>
      <c r="B480" s="1083" t="s">
        <v>14</v>
      </c>
      <c r="C480" s="1094"/>
      <c r="D480" s="1094" t="str">
        <f>$D$477</f>
        <v xml:space="preserve">г.Калуга, пер. Воскресенский от д. 3а до ул. Луначарского </v>
      </c>
      <c r="E480" s="1094"/>
      <c r="F480" s="1099"/>
      <c r="G480" s="1099">
        <f t="shared" si="137"/>
        <v>0</v>
      </c>
      <c r="H480" s="1099">
        <f t="shared" si="138"/>
        <v>0</v>
      </c>
      <c r="I480" s="1094"/>
      <c r="J480" s="1094"/>
      <c r="K480" s="1094"/>
      <c r="L480" s="1094"/>
      <c r="M480" s="1094"/>
      <c r="N480" s="1627"/>
      <c r="O480" s="1054" t="s">
        <v>1300</v>
      </c>
      <c r="P480" s="1076"/>
    </row>
    <row r="481" spans="1:25" s="1142" customFormat="1" ht="102.75" customHeight="1" outlineLevel="1">
      <c r="A481" s="1123" t="s">
        <v>788</v>
      </c>
      <c r="B481" s="1139" t="s">
        <v>756</v>
      </c>
      <c r="C481" s="1125">
        <v>197</v>
      </c>
      <c r="D481" s="1125" t="s">
        <v>884</v>
      </c>
      <c r="E481" s="1146"/>
      <c r="F481" s="1125"/>
      <c r="G481" s="1125">
        <f t="shared" si="137"/>
        <v>5785.8944124753643</v>
      </c>
      <c r="H481" s="1125">
        <f t="shared" si="138"/>
        <v>6943.073294970437</v>
      </c>
      <c r="I481" s="1146"/>
      <c r="J481" s="1125">
        <f>'Реконструкция КАНАЛ'!S6/1000</f>
        <v>0</v>
      </c>
      <c r="K481" s="1146"/>
      <c r="L481" s="1125">
        <f>'Реконструкция КАНАЛ'!U6/1000</f>
        <v>6943.073294970437</v>
      </c>
      <c r="M481" s="1125">
        <f>'Реконструкция КАНАЛ'!V6/1000</f>
        <v>0</v>
      </c>
      <c r="N481" s="1626" t="s">
        <v>537</v>
      </c>
      <c r="O481" s="1126" t="s">
        <v>1300</v>
      </c>
      <c r="P481" s="1162"/>
      <c r="R481" s="1147"/>
      <c r="S481" s="1147"/>
      <c r="T481" s="1147"/>
      <c r="U481" s="1147"/>
      <c r="V481" s="1147"/>
      <c r="W481" s="1147"/>
      <c r="X481" s="1147"/>
      <c r="Y481" s="1147"/>
    </row>
    <row r="482" spans="1:25" ht="55.5" outlineLevel="1">
      <c r="A482" s="1051"/>
      <c r="B482" s="1083" t="s">
        <v>10</v>
      </c>
      <c r="C482" s="1094"/>
      <c r="D482" s="1094" t="str">
        <f>$D$481</f>
        <v>г.Калуга по ул. Поле Свободы от д.30 до ул К. Либкнехта.</v>
      </c>
      <c r="E482" s="1094"/>
      <c r="F482" s="1099"/>
      <c r="G482" s="1125">
        <f t="shared" si="137"/>
        <v>0</v>
      </c>
      <c r="H482" s="1125">
        <f t="shared" si="138"/>
        <v>0</v>
      </c>
      <c r="I482" s="1094"/>
      <c r="J482" s="1094"/>
      <c r="K482" s="1094"/>
      <c r="L482" s="1094"/>
      <c r="M482" s="1094"/>
      <c r="N482" s="1627"/>
      <c r="O482" s="1054" t="s">
        <v>1300</v>
      </c>
      <c r="P482" s="1076"/>
    </row>
    <row r="483" spans="1:25" ht="55.5" outlineLevel="1">
      <c r="A483" s="1051"/>
      <c r="B483" s="1083" t="s">
        <v>9</v>
      </c>
      <c r="C483" s="1094"/>
      <c r="D483" s="1094" t="str">
        <f>$D$481</f>
        <v>г.Калуга по ул. Поле Свободы от д.30 до ул К. Либкнехта.</v>
      </c>
      <c r="E483" s="1094"/>
      <c r="F483" s="1099"/>
      <c r="G483" s="1125">
        <f t="shared" si="137"/>
        <v>5785.8944124753643</v>
      </c>
      <c r="H483" s="1125">
        <f t="shared" si="138"/>
        <v>6943.073294970437</v>
      </c>
      <c r="I483" s="1094"/>
      <c r="J483" s="1094">
        <f>J481</f>
        <v>0</v>
      </c>
      <c r="K483" s="1094"/>
      <c r="L483" s="1094">
        <f>L481</f>
        <v>6943.073294970437</v>
      </c>
      <c r="M483" s="1094">
        <f>M481</f>
        <v>0</v>
      </c>
      <c r="N483" s="1627"/>
      <c r="O483" s="1054" t="s">
        <v>1300</v>
      </c>
      <c r="P483" s="1076"/>
    </row>
    <row r="484" spans="1:25" ht="55.5" outlineLevel="1">
      <c r="A484" s="1051"/>
      <c r="B484" s="1083" t="s">
        <v>14</v>
      </c>
      <c r="C484" s="1094"/>
      <c r="D484" s="1094" t="str">
        <f>$D$481</f>
        <v>г.Калуга по ул. Поле Свободы от д.30 до ул К. Либкнехта.</v>
      </c>
      <c r="E484" s="1094"/>
      <c r="F484" s="1099"/>
      <c r="G484" s="1125">
        <f t="shared" si="137"/>
        <v>0</v>
      </c>
      <c r="H484" s="1125">
        <f t="shared" si="138"/>
        <v>0</v>
      </c>
      <c r="I484" s="1094"/>
      <c r="J484" s="1094"/>
      <c r="K484" s="1094"/>
      <c r="L484" s="1094"/>
      <c r="M484" s="1094"/>
      <c r="N484" s="1627"/>
      <c r="O484" s="1054" t="s">
        <v>1300</v>
      </c>
      <c r="P484" s="1076"/>
    </row>
    <row r="485" spans="1:25" s="1142" customFormat="1" ht="150.75" customHeight="1" outlineLevel="1">
      <c r="A485" s="1123" t="s">
        <v>789</v>
      </c>
      <c r="B485" s="1139" t="s">
        <v>883</v>
      </c>
      <c r="C485" s="1125">
        <v>1046</v>
      </c>
      <c r="D485" s="1125" t="s">
        <v>908</v>
      </c>
      <c r="E485" s="1146"/>
      <c r="F485" s="1125"/>
      <c r="G485" s="1125">
        <f>H485/1.2</f>
        <v>70864.733161106182</v>
      </c>
      <c r="H485" s="1125">
        <f>SUM(I485:M485)</f>
        <v>85037.679793327407</v>
      </c>
      <c r="I485" s="1125"/>
      <c r="J485" s="1125"/>
      <c r="K485" s="1125">
        <f>'Реконструкция КАНАЛ'!T7/1000</f>
        <v>0</v>
      </c>
      <c r="L485" s="1125">
        <f>'Реконструкция КАНАЛ'!U7/1000</f>
        <v>17007.535958665481</v>
      </c>
      <c r="M485" s="1125">
        <f>'Реконструкция КАНАЛ'!V7/1000</f>
        <v>68030.143834661925</v>
      </c>
      <c r="N485" s="1626" t="s">
        <v>15158</v>
      </c>
      <c r="O485" s="1126" t="s">
        <v>1300</v>
      </c>
      <c r="P485" s="1162"/>
      <c r="R485" s="1147"/>
      <c r="S485" s="1147"/>
      <c r="T485" s="1147"/>
      <c r="U485" s="1147"/>
      <c r="V485" s="1147"/>
      <c r="W485" s="1147"/>
      <c r="X485" s="1147"/>
      <c r="Y485" s="1147"/>
    </row>
    <row r="486" spans="1:25" ht="55.5" outlineLevel="1">
      <c r="A486" s="1051"/>
      <c r="B486" s="1083" t="s">
        <v>10</v>
      </c>
      <c r="C486" s="1094"/>
      <c r="D486" s="1094" t="str">
        <f>$D$485</f>
        <v>г.Калуга ул. Промышленная ;  ул. В. Никитиной от д.№29 до ул. Зерновая</v>
      </c>
      <c r="E486" s="1094"/>
      <c r="F486" s="1099"/>
      <c r="G486" s="1099">
        <f t="shared" ref="G486:G536" si="139">H486/1.2</f>
        <v>0</v>
      </c>
      <c r="H486" s="1099">
        <f t="shared" ref="H486:H536" si="140">SUM(I486:M486)</f>
        <v>0</v>
      </c>
      <c r="I486" s="1094"/>
      <c r="J486" s="1094"/>
      <c r="K486" s="1094"/>
      <c r="L486" s="1094"/>
      <c r="M486" s="1094"/>
      <c r="N486" s="1627"/>
      <c r="O486" s="1054" t="s">
        <v>1300</v>
      </c>
      <c r="P486" s="1076"/>
    </row>
    <row r="487" spans="1:25" ht="55.5" outlineLevel="1">
      <c r="A487" s="1051"/>
      <c r="B487" s="1083" t="s">
        <v>9</v>
      </c>
      <c r="C487" s="1094"/>
      <c r="D487" s="1094" t="str">
        <f>$D$485</f>
        <v>г.Калуга ул. Промышленная ;  ул. В. Никитиной от д.№29 до ул. Зерновая</v>
      </c>
      <c r="E487" s="1094"/>
      <c r="F487" s="1099"/>
      <c r="G487" s="1099">
        <f t="shared" si="139"/>
        <v>70864.733161106182</v>
      </c>
      <c r="H487" s="1099">
        <f t="shared" si="140"/>
        <v>85037.679793327407</v>
      </c>
      <c r="I487" s="1094"/>
      <c r="J487" s="1094"/>
      <c r="K487" s="1094">
        <f>K485</f>
        <v>0</v>
      </c>
      <c r="L487" s="1094">
        <f>L485</f>
        <v>17007.535958665481</v>
      </c>
      <c r="M487" s="1094">
        <f>M485</f>
        <v>68030.143834661925</v>
      </c>
      <c r="N487" s="1627"/>
      <c r="O487" s="1054" t="s">
        <v>1300</v>
      </c>
      <c r="P487" s="1076"/>
    </row>
    <row r="488" spans="1:25" ht="55.5" outlineLevel="1">
      <c r="A488" s="1051"/>
      <c r="B488" s="1083" t="s">
        <v>14</v>
      </c>
      <c r="C488" s="1094"/>
      <c r="D488" s="1094" t="str">
        <f>$D$485</f>
        <v>г.Калуга ул. Промышленная ;  ул. В. Никитиной от д.№29 до ул. Зерновая</v>
      </c>
      <c r="E488" s="1094"/>
      <c r="F488" s="1099"/>
      <c r="G488" s="1099">
        <f t="shared" si="139"/>
        <v>0</v>
      </c>
      <c r="H488" s="1099">
        <f t="shared" si="140"/>
        <v>0</v>
      </c>
      <c r="I488" s="1094"/>
      <c r="J488" s="1094"/>
      <c r="K488" s="1094"/>
      <c r="L488" s="1094"/>
      <c r="M488" s="1094"/>
      <c r="N488" s="1627"/>
      <c r="O488" s="1054" t="s">
        <v>1300</v>
      </c>
      <c r="P488" s="1076"/>
    </row>
    <row r="489" spans="1:25" s="1145" customFormat="1" ht="150.75" customHeight="1" outlineLevel="1">
      <c r="A489" s="1123" t="s">
        <v>790</v>
      </c>
      <c r="B489" s="1139" t="s">
        <v>1287</v>
      </c>
      <c r="C489" s="1125">
        <v>230</v>
      </c>
      <c r="D489" s="1125" t="s">
        <v>2167</v>
      </c>
      <c r="E489" s="1125"/>
      <c r="F489" s="1125"/>
      <c r="G489" s="1125">
        <f>H489/1.2</f>
        <v>30762.278378916017</v>
      </c>
      <c r="H489" s="1125">
        <f>SUM(I489:M489)</f>
        <v>36914.73405469922</v>
      </c>
      <c r="I489" s="1125"/>
      <c r="J489" s="1125">
        <f>'Реконструкция КАНАЛ'!S8/1000</f>
        <v>0</v>
      </c>
      <c r="K489" s="1125">
        <f>'Реконструкция КАНАЛ'!T8/1000</f>
        <v>0</v>
      </c>
      <c r="L489" s="1125">
        <f>'Реконструкция КАНАЛ'!U8/1000</f>
        <v>36914.73405469922</v>
      </c>
      <c r="M489" s="1125"/>
      <c r="N489" s="1626" t="s">
        <v>537</v>
      </c>
      <c r="O489" s="1126" t="s">
        <v>1300</v>
      </c>
      <c r="P489" s="1141"/>
      <c r="R489" s="1155"/>
      <c r="S489" s="1155"/>
      <c r="T489" s="1155"/>
      <c r="U489" s="1155"/>
      <c r="V489" s="1155"/>
      <c r="W489" s="1155"/>
      <c r="X489" s="1155"/>
      <c r="Y489" s="1155"/>
    </row>
    <row r="490" spans="1:25" ht="55.5" outlineLevel="1">
      <c r="A490" s="1051"/>
      <c r="B490" s="1083" t="s">
        <v>10</v>
      </c>
      <c r="C490" s="1094"/>
      <c r="D490" s="1094" t="str">
        <f>D489</f>
        <v>г.Калуга, по ул. Карла Либкнехта от ул. Московская в р-не д. 178 до д. 16 по ул. К. Либкнехта</v>
      </c>
      <c r="E490" s="1094"/>
      <c r="F490" s="1099"/>
      <c r="G490" s="1099">
        <f>H490/1.2</f>
        <v>0</v>
      </c>
      <c r="H490" s="1099">
        <f>SUM(I490:M490)</f>
        <v>0</v>
      </c>
      <c r="I490" s="1094"/>
      <c r="J490" s="1094"/>
      <c r="K490" s="1094"/>
      <c r="L490" s="1094"/>
      <c r="M490" s="1094"/>
      <c r="N490" s="1627"/>
      <c r="O490" s="1054" t="s">
        <v>1300</v>
      </c>
      <c r="P490" s="1076"/>
    </row>
    <row r="491" spans="1:25" ht="55.5" outlineLevel="1">
      <c r="A491" s="1051"/>
      <c r="B491" s="1083" t="s">
        <v>9</v>
      </c>
      <c r="C491" s="1094"/>
      <c r="D491" s="1094" t="str">
        <f>D489</f>
        <v>г.Калуга, по ул. Карла Либкнехта от ул. Московская в р-не д. 178 до д. 16 по ул. К. Либкнехта</v>
      </c>
      <c r="E491" s="1094"/>
      <c r="F491" s="1099"/>
      <c r="G491" s="1099">
        <f>H491/1.2</f>
        <v>30762.278378916017</v>
      </c>
      <c r="H491" s="1099">
        <f>SUM(I491:M491)</f>
        <v>36914.73405469922</v>
      </c>
      <c r="I491" s="1094"/>
      <c r="J491" s="1094">
        <f>J489</f>
        <v>0</v>
      </c>
      <c r="K491" s="1094">
        <f>K489</f>
        <v>0</v>
      </c>
      <c r="L491" s="1094">
        <f>L489</f>
        <v>36914.73405469922</v>
      </c>
      <c r="M491" s="1094"/>
      <c r="N491" s="1627"/>
      <c r="O491" s="1054" t="s">
        <v>1300</v>
      </c>
      <c r="P491" s="1076"/>
    </row>
    <row r="492" spans="1:25" ht="55.5" outlineLevel="1">
      <c r="A492" s="1051"/>
      <c r="B492" s="1083" t="s">
        <v>14</v>
      </c>
      <c r="C492" s="1094"/>
      <c r="D492" s="1094" t="str">
        <f>D489</f>
        <v>г.Калуга, по ул. Карла Либкнехта от ул. Московская в р-не д. 178 до д. 16 по ул. К. Либкнехта</v>
      </c>
      <c r="E492" s="1094"/>
      <c r="F492" s="1099"/>
      <c r="G492" s="1099">
        <f>H492/1.2</f>
        <v>0</v>
      </c>
      <c r="H492" s="1099">
        <f>SUM(I492:M492)</f>
        <v>0</v>
      </c>
      <c r="I492" s="1094"/>
      <c r="J492" s="1094"/>
      <c r="K492" s="1094"/>
      <c r="L492" s="1094"/>
      <c r="M492" s="1094"/>
      <c r="N492" s="1627"/>
      <c r="O492" s="1054" t="s">
        <v>1300</v>
      </c>
      <c r="P492" s="1076"/>
    </row>
    <row r="493" spans="1:25" s="1142" customFormat="1" ht="54" outlineLevel="1">
      <c r="A493" s="1123" t="s">
        <v>791</v>
      </c>
      <c r="B493" s="1139" t="s">
        <v>885</v>
      </c>
      <c r="C493" s="1125">
        <v>500</v>
      </c>
      <c r="D493" s="1125" t="s">
        <v>886</v>
      </c>
      <c r="E493" s="1146"/>
      <c r="F493" s="1125"/>
      <c r="G493" s="1125">
        <f t="shared" si="139"/>
        <v>15164.129358199041</v>
      </c>
      <c r="H493" s="1125">
        <f t="shared" si="140"/>
        <v>18196.955229838848</v>
      </c>
      <c r="I493" s="1125"/>
      <c r="J493" s="1125"/>
      <c r="K493" s="1125"/>
      <c r="L493" s="1125">
        <f>'Реконструкция КАНАЛ'!U10/1000</f>
        <v>18196.955229838848</v>
      </c>
      <c r="M493" s="1125">
        <f>'Реконструкция КАНАЛ'!V10/1000</f>
        <v>0</v>
      </c>
      <c r="N493" s="1626" t="s">
        <v>537</v>
      </c>
      <c r="O493" s="1126" t="s">
        <v>1300</v>
      </c>
      <c r="P493" s="1162"/>
      <c r="R493" s="1147"/>
      <c r="S493" s="1147"/>
      <c r="T493" s="1147"/>
      <c r="U493" s="1147"/>
      <c r="V493" s="1147"/>
      <c r="W493" s="1147"/>
      <c r="X493" s="1147"/>
      <c r="Y493" s="1147"/>
    </row>
    <row r="494" spans="1:25" ht="55.5" outlineLevel="1">
      <c r="A494" s="1051"/>
      <c r="B494" s="1083" t="s">
        <v>10</v>
      </c>
      <c r="C494" s="1094"/>
      <c r="D494" s="1094" t="str">
        <f>$D$493</f>
        <v>г.Калуга по ул. Ленина от д.8 до д. 22.</v>
      </c>
      <c r="E494" s="1094"/>
      <c r="F494" s="1099"/>
      <c r="G494" s="1099">
        <f t="shared" si="139"/>
        <v>0</v>
      </c>
      <c r="H494" s="1099">
        <f t="shared" si="140"/>
        <v>0</v>
      </c>
      <c r="I494" s="1094"/>
      <c r="J494" s="1094"/>
      <c r="K494" s="1094"/>
      <c r="L494" s="1094"/>
      <c r="M494" s="1094"/>
      <c r="N494" s="1627"/>
      <c r="O494" s="1054" t="s">
        <v>1300</v>
      </c>
      <c r="P494" s="1076"/>
    </row>
    <row r="495" spans="1:25" ht="55.5" outlineLevel="1">
      <c r="A495" s="1051"/>
      <c r="B495" s="1083" t="s">
        <v>9</v>
      </c>
      <c r="C495" s="1094"/>
      <c r="D495" s="1094" t="str">
        <f>$D$493</f>
        <v>г.Калуга по ул. Ленина от д.8 до д. 22.</v>
      </c>
      <c r="E495" s="1094"/>
      <c r="F495" s="1099"/>
      <c r="G495" s="1099">
        <f t="shared" si="139"/>
        <v>15164.129358199041</v>
      </c>
      <c r="H495" s="1099">
        <f t="shared" si="140"/>
        <v>18196.955229838848</v>
      </c>
      <c r="I495" s="1094"/>
      <c r="J495" s="1094"/>
      <c r="K495" s="1094"/>
      <c r="L495" s="1094">
        <f>L493</f>
        <v>18196.955229838848</v>
      </c>
      <c r="M495" s="1094">
        <f>M493</f>
        <v>0</v>
      </c>
      <c r="N495" s="1627"/>
      <c r="O495" s="1054" t="s">
        <v>1300</v>
      </c>
      <c r="P495" s="1076"/>
    </row>
    <row r="496" spans="1:25" ht="55.5" outlineLevel="1">
      <c r="A496" s="1051"/>
      <c r="B496" s="1083" t="s">
        <v>14</v>
      </c>
      <c r="C496" s="1094"/>
      <c r="D496" s="1094" t="str">
        <f>$D$493</f>
        <v>г.Калуга по ул. Ленина от д.8 до д. 22.</v>
      </c>
      <c r="E496" s="1094"/>
      <c r="F496" s="1099"/>
      <c r="G496" s="1099">
        <f t="shared" si="139"/>
        <v>0</v>
      </c>
      <c r="H496" s="1099">
        <f t="shared" si="140"/>
        <v>0</v>
      </c>
      <c r="I496" s="1094"/>
      <c r="J496" s="1094"/>
      <c r="K496" s="1094"/>
      <c r="L496" s="1094"/>
      <c r="M496" s="1094"/>
      <c r="N496" s="1627"/>
      <c r="O496" s="1054" t="s">
        <v>1300</v>
      </c>
      <c r="P496" s="1076"/>
    </row>
    <row r="497" spans="1:25" s="1142" customFormat="1" ht="114.75" customHeight="1" outlineLevel="1">
      <c r="A497" s="1123" t="s">
        <v>792</v>
      </c>
      <c r="B497" s="1139" t="s">
        <v>887</v>
      </c>
      <c r="C497" s="1125">
        <v>70</v>
      </c>
      <c r="D497" s="1125" t="s">
        <v>888</v>
      </c>
      <c r="E497" s="1146"/>
      <c r="F497" s="1125"/>
      <c r="G497" s="1125">
        <f t="shared" si="139"/>
        <v>580.99000342499994</v>
      </c>
      <c r="H497" s="1125">
        <f t="shared" si="140"/>
        <v>697.18800410999995</v>
      </c>
      <c r="I497" s="1146">
        <f>'Реконструкция КАНАЛ'!R11/1000</f>
        <v>697.18800410999995</v>
      </c>
      <c r="J497" s="1146"/>
      <c r="K497" s="1125"/>
      <c r="L497" s="1146"/>
      <c r="M497" s="1125">
        <f>'Реконструкция КАНАЛ'!V11/1000</f>
        <v>0</v>
      </c>
      <c r="N497" s="1626" t="s">
        <v>541</v>
      </c>
      <c r="O497" s="1126" t="s">
        <v>1300</v>
      </c>
      <c r="P497" s="1162"/>
      <c r="R497" s="1147"/>
      <c r="S497" s="1147"/>
      <c r="T497" s="1147"/>
      <c r="U497" s="1147"/>
      <c r="V497" s="1147"/>
      <c r="W497" s="1147"/>
      <c r="X497" s="1147"/>
      <c r="Y497" s="1147"/>
    </row>
    <row r="498" spans="1:25" ht="55.5" outlineLevel="1">
      <c r="A498" s="1051"/>
      <c r="B498" s="1083" t="s">
        <v>10</v>
      </c>
      <c r="C498" s="1094"/>
      <c r="D498" s="1094" t="str">
        <f>$D$497</f>
        <v>г.Калуга  д. Анненки, ул. Ипподромная  в районе КСШОР</v>
      </c>
      <c r="E498" s="1094"/>
      <c r="F498" s="1099"/>
      <c r="G498" s="1099">
        <f t="shared" si="139"/>
        <v>0</v>
      </c>
      <c r="H498" s="1099">
        <f t="shared" si="140"/>
        <v>0</v>
      </c>
      <c r="I498" s="1094"/>
      <c r="J498" s="1094"/>
      <c r="K498" s="1094"/>
      <c r="L498" s="1094"/>
      <c r="M498" s="1094"/>
      <c r="N498" s="1627"/>
      <c r="O498" s="1054" t="s">
        <v>1300</v>
      </c>
      <c r="P498" s="1076"/>
    </row>
    <row r="499" spans="1:25" ht="55.5" outlineLevel="1">
      <c r="A499" s="1051"/>
      <c r="B499" s="1083" t="s">
        <v>9</v>
      </c>
      <c r="C499" s="1094"/>
      <c r="D499" s="1094" t="str">
        <f>$D$497</f>
        <v>г.Калуга  д. Анненки, ул. Ипподромная  в районе КСШОР</v>
      </c>
      <c r="E499" s="1094"/>
      <c r="F499" s="1099"/>
      <c r="G499" s="1099">
        <f t="shared" si="139"/>
        <v>580.99000342499994</v>
      </c>
      <c r="H499" s="1099">
        <f t="shared" si="140"/>
        <v>697.18800410999995</v>
      </c>
      <c r="I499" s="1094">
        <f>I497</f>
        <v>697.18800410999995</v>
      </c>
      <c r="J499" s="1094"/>
      <c r="K499" s="1094"/>
      <c r="L499" s="1094"/>
      <c r="M499" s="1094">
        <f>M497</f>
        <v>0</v>
      </c>
      <c r="N499" s="1627"/>
      <c r="O499" s="1054" t="s">
        <v>1300</v>
      </c>
      <c r="P499" s="1076"/>
    </row>
    <row r="500" spans="1:25" ht="55.5" outlineLevel="1">
      <c r="A500" s="1051"/>
      <c r="B500" s="1083" t="s">
        <v>14</v>
      </c>
      <c r="C500" s="1094"/>
      <c r="D500" s="1094" t="str">
        <f>$D$497</f>
        <v>г.Калуга  д. Анненки, ул. Ипподромная  в районе КСШОР</v>
      </c>
      <c r="E500" s="1094"/>
      <c r="F500" s="1099"/>
      <c r="G500" s="1099">
        <f t="shared" si="139"/>
        <v>0</v>
      </c>
      <c r="H500" s="1099">
        <f t="shared" si="140"/>
        <v>0</v>
      </c>
      <c r="I500" s="1094"/>
      <c r="J500" s="1094"/>
      <c r="K500" s="1094"/>
      <c r="L500" s="1094"/>
      <c r="M500" s="1094"/>
      <c r="N500" s="1627"/>
      <c r="O500" s="1054" t="s">
        <v>1300</v>
      </c>
      <c r="P500" s="1076"/>
    </row>
    <row r="501" spans="1:25" s="1142" customFormat="1" ht="108.75" customHeight="1" outlineLevel="1">
      <c r="A501" s="1123" t="s">
        <v>793</v>
      </c>
      <c r="B501" s="1139" t="s">
        <v>757</v>
      </c>
      <c r="C501" s="1125">
        <v>314</v>
      </c>
      <c r="D501" s="1125" t="s">
        <v>893</v>
      </c>
      <c r="E501" s="1146"/>
      <c r="F501" s="1125"/>
      <c r="G501" s="1125">
        <f t="shared" si="139"/>
        <v>4901.6412930370952</v>
      </c>
      <c r="H501" s="1125">
        <f t="shared" si="140"/>
        <v>5881.9695516445136</v>
      </c>
      <c r="I501" s="1146"/>
      <c r="J501" s="1125"/>
      <c r="K501" s="1146"/>
      <c r="L501" s="1146"/>
      <c r="M501" s="1125">
        <f>'Реконструкция КАНАЛ'!V12/1000</f>
        <v>5881.9695516445136</v>
      </c>
      <c r="N501" s="1626" t="s">
        <v>14839</v>
      </c>
      <c r="O501" s="1126" t="s">
        <v>1300</v>
      </c>
      <c r="P501" s="1162"/>
      <c r="R501" s="1147"/>
      <c r="S501" s="1147"/>
      <c r="T501" s="1147"/>
      <c r="U501" s="1147"/>
      <c r="V501" s="1147"/>
      <c r="W501" s="1147"/>
      <c r="X501" s="1147"/>
      <c r="Y501" s="1147"/>
    </row>
    <row r="502" spans="1:25" ht="55.5" outlineLevel="1">
      <c r="A502" s="1051"/>
      <c r="B502" s="1083" t="s">
        <v>10</v>
      </c>
      <c r="C502" s="1094"/>
      <c r="D502" s="1094" t="str">
        <f>$D$501</f>
        <v>г.Калуга,д.Канищево от территории гаражей до КНС</v>
      </c>
      <c r="E502" s="1094"/>
      <c r="F502" s="1099"/>
      <c r="G502" s="1125">
        <f t="shared" si="139"/>
        <v>0</v>
      </c>
      <c r="H502" s="1125">
        <f t="shared" si="140"/>
        <v>0</v>
      </c>
      <c r="I502" s="1094"/>
      <c r="J502" s="1094"/>
      <c r="K502" s="1094"/>
      <c r="L502" s="1094"/>
      <c r="M502" s="1094"/>
      <c r="N502" s="1627"/>
      <c r="O502" s="1054" t="s">
        <v>1300</v>
      </c>
      <c r="P502" s="1076"/>
    </row>
    <row r="503" spans="1:25" ht="55.5" outlineLevel="1">
      <c r="A503" s="1051"/>
      <c r="B503" s="1083" t="s">
        <v>9</v>
      </c>
      <c r="C503" s="1094"/>
      <c r="D503" s="1094" t="str">
        <f>$D$501</f>
        <v>г.Калуга,д.Канищево от территории гаражей до КНС</v>
      </c>
      <c r="E503" s="1094"/>
      <c r="F503" s="1099"/>
      <c r="G503" s="1125">
        <f t="shared" si="139"/>
        <v>4901.6412930370952</v>
      </c>
      <c r="H503" s="1125">
        <f t="shared" si="140"/>
        <v>5881.9695516445136</v>
      </c>
      <c r="I503" s="1094"/>
      <c r="J503" s="1094"/>
      <c r="K503" s="1094"/>
      <c r="L503" s="1094"/>
      <c r="M503" s="1094">
        <f>M501</f>
        <v>5881.9695516445136</v>
      </c>
      <c r="N503" s="1627"/>
      <c r="O503" s="1054" t="s">
        <v>1300</v>
      </c>
      <c r="P503" s="1076"/>
    </row>
    <row r="504" spans="1:25" ht="55.5" outlineLevel="1">
      <c r="A504" s="1051"/>
      <c r="B504" s="1083" t="s">
        <v>14</v>
      </c>
      <c r="C504" s="1094"/>
      <c r="D504" s="1094" t="str">
        <f>$D$501</f>
        <v>г.Калуга,д.Канищево от территории гаражей до КНС</v>
      </c>
      <c r="E504" s="1094"/>
      <c r="F504" s="1099"/>
      <c r="G504" s="1125">
        <f t="shared" si="139"/>
        <v>0</v>
      </c>
      <c r="H504" s="1125">
        <f t="shared" si="140"/>
        <v>0</v>
      </c>
      <c r="I504" s="1094"/>
      <c r="J504" s="1094"/>
      <c r="K504" s="1094"/>
      <c r="L504" s="1094"/>
      <c r="M504" s="1094"/>
      <c r="N504" s="1627"/>
      <c r="O504" s="1054" t="s">
        <v>1300</v>
      </c>
      <c r="P504" s="1076"/>
    </row>
    <row r="505" spans="1:25" s="1145" customFormat="1" ht="54" outlineLevel="1">
      <c r="A505" s="1123" t="s">
        <v>826</v>
      </c>
      <c r="B505" s="1139" t="s">
        <v>889</v>
      </c>
      <c r="C505" s="1125">
        <v>810</v>
      </c>
      <c r="D505" s="1125" t="s">
        <v>892</v>
      </c>
      <c r="E505" s="1125"/>
      <c r="F505" s="1125"/>
      <c r="G505" s="1125">
        <f t="shared" si="139"/>
        <v>62401.52050371722</v>
      </c>
      <c r="H505" s="1125">
        <f t="shared" si="140"/>
        <v>74881.824604460664</v>
      </c>
      <c r="I505" s="1125"/>
      <c r="J505" s="1125">
        <f>'Реконструкция КАНАЛ'!S13/1000</f>
        <v>28080.684226672747</v>
      </c>
      <c r="K505" s="1125">
        <f>'Реконструкция КАНАЛ'!T13/1000</f>
        <v>33696.821072007297</v>
      </c>
      <c r="L505" s="1125">
        <f>'Реконструкция КАНАЛ'!U13/1000</f>
        <v>11232.273690669099</v>
      </c>
      <c r="M505" s="1125">
        <f>'Реконструкция КАНАЛ'!V13/1000</f>
        <v>1872.0456151115166</v>
      </c>
      <c r="N505" s="1626" t="s">
        <v>543</v>
      </c>
      <c r="O505" s="1126" t="s">
        <v>1300</v>
      </c>
      <c r="P505" s="1141"/>
      <c r="R505" s="1155"/>
      <c r="S505" s="1155"/>
      <c r="T505" s="1155"/>
      <c r="U505" s="1155"/>
      <c r="V505" s="1155"/>
      <c r="W505" s="1155"/>
      <c r="X505" s="1155"/>
      <c r="Y505" s="1155"/>
    </row>
    <row r="506" spans="1:25" ht="55.5" outlineLevel="1">
      <c r="A506" s="1051"/>
      <c r="B506" s="1083" t="s">
        <v>10</v>
      </c>
      <c r="C506" s="1094"/>
      <c r="D506" s="1094" t="str">
        <f>$D$505</f>
        <v xml:space="preserve">г.Калуга по ул. Степана Разина от д.57 до ул. Салтыкова - Щедрина </v>
      </c>
      <c r="E506" s="1094"/>
      <c r="F506" s="1099"/>
      <c r="G506" s="1125">
        <f t="shared" si="139"/>
        <v>0</v>
      </c>
      <c r="H506" s="1125">
        <f t="shared" si="140"/>
        <v>0</v>
      </c>
      <c r="I506" s="1094"/>
      <c r="J506" s="1094"/>
      <c r="K506" s="1094"/>
      <c r="L506" s="1094"/>
      <c r="M506" s="1094"/>
      <c r="N506" s="1627"/>
      <c r="O506" s="1054" t="s">
        <v>1300</v>
      </c>
      <c r="P506" s="1076"/>
    </row>
    <row r="507" spans="1:25" ht="55.5" outlineLevel="1">
      <c r="A507" s="1051"/>
      <c r="B507" s="1083" t="s">
        <v>9</v>
      </c>
      <c r="C507" s="1094"/>
      <c r="D507" s="1094" t="str">
        <f>$D$505</f>
        <v xml:space="preserve">г.Калуга по ул. Степана Разина от д.57 до ул. Салтыкова - Щедрина </v>
      </c>
      <c r="E507" s="1094"/>
      <c r="F507" s="1099"/>
      <c r="G507" s="1125">
        <f t="shared" si="139"/>
        <v>62401.52050371722</v>
      </c>
      <c r="H507" s="1125">
        <f t="shared" si="140"/>
        <v>74881.824604460664</v>
      </c>
      <c r="I507" s="1094">
        <f>I505</f>
        <v>0</v>
      </c>
      <c r="J507" s="1094">
        <f>J505</f>
        <v>28080.684226672747</v>
      </c>
      <c r="K507" s="1094">
        <f>K505</f>
        <v>33696.821072007297</v>
      </c>
      <c r="L507" s="1094">
        <f>L505</f>
        <v>11232.273690669099</v>
      </c>
      <c r="M507" s="1094">
        <f>M505</f>
        <v>1872.0456151115166</v>
      </c>
      <c r="N507" s="1627"/>
      <c r="O507" s="1054" t="s">
        <v>1300</v>
      </c>
      <c r="P507" s="1076"/>
    </row>
    <row r="508" spans="1:25" ht="55.5" outlineLevel="1">
      <c r="A508" s="1051"/>
      <c r="B508" s="1083" t="s">
        <v>14</v>
      </c>
      <c r="C508" s="1094"/>
      <c r="D508" s="1094" t="str">
        <f>$D$505</f>
        <v xml:space="preserve">г.Калуга по ул. Степана Разина от д.57 до ул. Салтыкова - Щедрина </v>
      </c>
      <c r="E508" s="1094"/>
      <c r="F508" s="1099"/>
      <c r="G508" s="1125">
        <f t="shared" si="139"/>
        <v>0</v>
      </c>
      <c r="H508" s="1125">
        <f t="shared" si="140"/>
        <v>0</v>
      </c>
      <c r="I508" s="1094"/>
      <c r="J508" s="1094"/>
      <c r="K508" s="1094"/>
      <c r="L508" s="1094"/>
      <c r="M508" s="1094"/>
      <c r="N508" s="1627"/>
      <c r="O508" s="1054" t="s">
        <v>1300</v>
      </c>
      <c r="P508" s="1076"/>
    </row>
    <row r="509" spans="1:25" s="1145" customFormat="1" ht="98.25" customHeight="1" outlineLevel="1">
      <c r="A509" s="1123" t="s">
        <v>827</v>
      </c>
      <c r="B509" s="1139" t="s">
        <v>890</v>
      </c>
      <c r="C509" s="1125">
        <v>300</v>
      </c>
      <c r="D509" s="1125" t="s">
        <v>891</v>
      </c>
      <c r="E509" s="1125"/>
      <c r="F509" s="1125"/>
      <c r="G509" s="1125">
        <f t="shared" si="139"/>
        <v>6324.7056005249997</v>
      </c>
      <c r="H509" s="1125">
        <f t="shared" si="140"/>
        <v>7589.6467206299994</v>
      </c>
      <c r="I509" s="1125">
        <f>'Реконструкция КАНАЛ'!R14/1000</f>
        <v>7589.6467206299994</v>
      </c>
      <c r="J509" s="1125"/>
      <c r="K509" s="1125"/>
      <c r="L509" s="1125"/>
      <c r="M509" s="1125"/>
      <c r="N509" s="1626" t="s">
        <v>541</v>
      </c>
      <c r="O509" s="1126" t="s">
        <v>14878</v>
      </c>
      <c r="P509" s="1141"/>
      <c r="R509" s="1155"/>
      <c r="S509" s="1155"/>
      <c r="T509" s="1155"/>
      <c r="U509" s="1155"/>
      <c r="V509" s="1155"/>
      <c r="W509" s="1155"/>
      <c r="X509" s="1155"/>
      <c r="Y509" s="1155"/>
    </row>
    <row r="510" spans="1:25" ht="111" outlineLevel="1">
      <c r="A510" s="1051"/>
      <c r="B510" s="1083" t="s">
        <v>10</v>
      </c>
      <c r="C510" s="1094"/>
      <c r="D510" s="1094" t="str">
        <f>$D$509</f>
        <v>г.Калуга от ул. Ленина д.58  до ул. Веры Андриановой</v>
      </c>
      <c r="E510" s="1094"/>
      <c r="F510" s="1099"/>
      <c r="G510" s="1125">
        <f t="shared" si="139"/>
        <v>0</v>
      </c>
      <c r="H510" s="1125">
        <f t="shared" si="140"/>
        <v>0</v>
      </c>
      <c r="I510" s="1094"/>
      <c r="J510" s="1094"/>
      <c r="K510" s="1094"/>
      <c r="L510" s="1094"/>
      <c r="M510" s="1094"/>
      <c r="N510" s="1627"/>
      <c r="O510" s="1054" t="str">
        <f>O509</f>
        <v xml:space="preserve">средства, полученные в виде платы за негативное воздействие на работу централизованной системы водоотведения </v>
      </c>
      <c r="P510" s="1076"/>
    </row>
    <row r="511" spans="1:25" ht="111" outlineLevel="1">
      <c r="A511" s="1051"/>
      <c r="B511" s="1083" t="s">
        <v>9</v>
      </c>
      <c r="C511" s="1094"/>
      <c r="D511" s="1094" t="str">
        <f>$D$509</f>
        <v>г.Калуга от ул. Ленина д.58  до ул. Веры Андриановой</v>
      </c>
      <c r="E511" s="1094"/>
      <c r="F511" s="1099"/>
      <c r="G511" s="1125">
        <f t="shared" si="139"/>
        <v>6324.7056005249997</v>
      </c>
      <c r="H511" s="1125">
        <f t="shared" si="140"/>
        <v>7589.6467206299994</v>
      </c>
      <c r="I511" s="1094">
        <f>I509</f>
        <v>7589.6467206299994</v>
      </c>
      <c r="J511" s="1094"/>
      <c r="K511" s="1094"/>
      <c r="L511" s="1094"/>
      <c r="M511" s="1094"/>
      <c r="N511" s="1627"/>
      <c r="O511" s="1054" t="str">
        <f>O509</f>
        <v xml:space="preserve">средства, полученные в виде платы за негативное воздействие на работу централизованной системы водоотведения </v>
      </c>
      <c r="P511" s="1955"/>
    </row>
    <row r="512" spans="1:25" ht="111" outlineLevel="1">
      <c r="A512" s="1051"/>
      <c r="B512" s="1083" t="s">
        <v>14</v>
      </c>
      <c r="C512" s="1094"/>
      <c r="D512" s="1094" t="str">
        <f>$D$509</f>
        <v>г.Калуга от ул. Ленина д.58  до ул. Веры Андриановой</v>
      </c>
      <c r="E512" s="1094"/>
      <c r="F512" s="1099"/>
      <c r="G512" s="1125">
        <f t="shared" si="139"/>
        <v>0</v>
      </c>
      <c r="H512" s="1125">
        <f t="shared" si="140"/>
        <v>0</v>
      </c>
      <c r="I512" s="1094"/>
      <c r="J512" s="1094"/>
      <c r="K512" s="1094"/>
      <c r="L512" s="1094"/>
      <c r="M512" s="1094"/>
      <c r="N512" s="1627"/>
      <c r="O512" s="1054" t="str">
        <f>O509</f>
        <v xml:space="preserve">средства, полученные в виде платы за негативное воздействие на работу централизованной системы водоотведения </v>
      </c>
      <c r="P512" s="1076"/>
    </row>
    <row r="513" spans="1:25" s="1145" customFormat="1" ht="104.25" customHeight="1" outlineLevel="1">
      <c r="A513" s="1123" t="s">
        <v>828</v>
      </c>
      <c r="B513" s="1139" t="s">
        <v>894</v>
      </c>
      <c r="C513" s="1125">
        <v>420</v>
      </c>
      <c r="D513" s="1125" t="s">
        <v>895</v>
      </c>
      <c r="E513" s="1125"/>
      <c r="F513" s="1125"/>
      <c r="G513" s="1125">
        <f t="shared" si="139"/>
        <v>4671.3545687249998</v>
      </c>
      <c r="H513" s="1125">
        <f t="shared" si="140"/>
        <v>5605.62548247</v>
      </c>
      <c r="I513" s="1125">
        <f>'Реконструкция КАНАЛ'!R16/1000</f>
        <v>5605.62548247</v>
      </c>
      <c r="J513" s="1125"/>
      <c r="K513" s="1125"/>
      <c r="L513" s="1125"/>
      <c r="M513" s="1125">
        <f>'Реконструкция КАНАЛ'!V16/1000</f>
        <v>0</v>
      </c>
      <c r="N513" s="1626" t="s">
        <v>541</v>
      </c>
      <c r="O513" s="1126" t="s">
        <v>1300</v>
      </c>
      <c r="P513" s="1141"/>
      <c r="R513" s="1155"/>
      <c r="S513" s="1155"/>
      <c r="T513" s="1155"/>
      <c r="U513" s="1155"/>
      <c r="V513" s="1155"/>
      <c r="W513" s="1155"/>
      <c r="X513" s="1155"/>
      <c r="Y513" s="1155"/>
    </row>
    <row r="514" spans="1:25" ht="55.5" outlineLevel="1">
      <c r="A514" s="1051"/>
      <c r="B514" s="1083" t="s">
        <v>10</v>
      </c>
      <c r="C514" s="1094"/>
      <c r="D514" s="1094" t="str">
        <f>$D$513</f>
        <v>г.Калуга от КНС Канищево до площадки коттеджного поселка Швейцарская деревня</v>
      </c>
      <c r="E514" s="1094"/>
      <c r="F514" s="1099"/>
      <c r="G514" s="1099">
        <f t="shared" si="139"/>
        <v>0</v>
      </c>
      <c r="H514" s="1099">
        <f t="shared" si="140"/>
        <v>0</v>
      </c>
      <c r="I514" s="1094"/>
      <c r="J514" s="1094"/>
      <c r="K514" s="1094"/>
      <c r="L514" s="1094"/>
      <c r="M514" s="1094"/>
      <c r="N514" s="1627"/>
      <c r="O514" s="1054" t="s">
        <v>1300</v>
      </c>
      <c r="P514" s="1076"/>
    </row>
    <row r="515" spans="1:25" ht="55.5" outlineLevel="1">
      <c r="A515" s="1051"/>
      <c r="B515" s="1083" t="s">
        <v>9</v>
      </c>
      <c r="C515" s="1094"/>
      <c r="D515" s="1094" t="str">
        <f>$D$513</f>
        <v>г.Калуга от КНС Канищево до площадки коттеджного поселка Швейцарская деревня</v>
      </c>
      <c r="E515" s="1094"/>
      <c r="F515" s="1099"/>
      <c r="G515" s="1099">
        <f t="shared" si="139"/>
        <v>4671.3545687249998</v>
      </c>
      <c r="H515" s="1099">
        <f t="shared" si="140"/>
        <v>5605.62548247</v>
      </c>
      <c r="I515" s="1094">
        <f>I513</f>
        <v>5605.62548247</v>
      </c>
      <c r="J515" s="1094"/>
      <c r="K515" s="1094"/>
      <c r="L515" s="1094"/>
      <c r="M515" s="1094">
        <f>M513</f>
        <v>0</v>
      </c>
      <c r="N515" s="1627"/>
      <c r="O515" s="1054" t="s">
        <v>1300</v>
      </c>
      <c r="P515" s="1076"/>
    </row>
    <row r="516" spans="1:25" ht="55.5" outlineLevel="1">
      <c r="A516" s="1051"/>
      <c r="B516" s="1083" t="s">
        <v>14</v>
      </c>
      <c r="C516" s="1094"/>
      <c r="D516" s="1094" t="str">
        <f>$D$513</f>
        <v>г.Калуга от КНС Канищево до площадки коттеджного поселка Швейцарская деревня</v>
      </c>
      <c r="E516" s="1094"/>
      <c r="F516" s="1099"/>
      <c r="G516" s="1099">
        <f t="shared" si="139"/>
        <v>0</v>
      </c>
      <c r="H516" s="1099">
        <f t="shared" si="140"/>
        <v>0</v>
      </c>
      <c r="I516" s="1094"/>
      <c r="J516" s="1094"/>
      <c r="K516" s="1094"/>
      <c r="L516" s="1094"/>
      <c r="M516" s="1094"/>
      <c r="N516" s="1627"/>
      <c r="O516" s="1054" t="s">
        <v>1300</v>
      </c>
      <c r="P516" s="1076"/>
    </row>
    <row r="517" spans="1:25" s="1142" customFormat="1" ht="54" outlineLevel="1">
      <c r="A517" s="1123" t="s">
        <v>829</v>
      </c>
      <c r="B517" s="1139" t="s">
        <v>896</v>
      </c>
      <c r="C517" s="1125">
        <v>3920</v>
      </c>
      <c r="D517" s="1125" t="s">
        <v>897</v>
      </c>
      <c r="E517" s="1146"/>
      <c r="F517" s="1125"/>
      <c r="G517" s="1125">
        <f t="shared" si="139"/>
        <v>110022.37991611479</v>
      </c>
      <c r="H517" s="1125">
        <f t="shared" si="140"/>
        <v>132026.85589933774</v>
      </c>
      <c r="I517" s="1146"/>
      <c r="J517" s="1125"/>
      <c r="K517" s="1125">
        <f>'Реконструкция КАНАЛ'!T17/1000</f>
        <v>36967.51965181456</v>
      </c>
      <c r="L517" s="1125">
        <f>'Реконструкция КАНАЛ'!U17/1000</f>
        <v>36967.51965181456</v>
      </c>
      <c r="M517" s="1125">
        <f>'Реконструкция КАНАЛ'!V17/1000</f>
        <v>58091.816595708602</v>
      </c>
      <c r="N517" s="1626" t="s">
        <v>14889</v>
      </c>
      <c r="O517" s="1126" t="s">
        <v>1300</v>
      </c>
      <c r="P517" s="1162"/>
      <c r="R517" s="1147"/>
      <c r="S517" s="1147"/>
      <c r="T517" s="1147"/>
      <c r="U517" s="1147"/>
      <c r="V517" s="1147"/>
      <c r="W517" s="1147"/>
      <c r="X517" s="1147"/>
      <c r="Y517" s="1147"/>
    </row>
    <row r="518" spans="1:25" ht="55.5" outlineLevel="1">
      <c r="A518" s="1086"/>
      <c r="B518" s="1083" t="s">
        <v>10</v>
      </c>
      <c r="C518" s="1094"/>
      <c r="D518" s="1094" t="str">
        <f>$D$517</f>
        <v>г.Калуга от КНС "Шопино" №13 до камеры гашения в районе ул. Хорошая</v>
      </c>
      <c r="E518" s="1094"/>
      <c r="F518" s="1099"/>
      <c r="G518" s="1125">
        <f t="shared" si="139"/>
        <v>0</v>
      </c>
      <c r="H518" s="1125">
        <f t="shared" si="140"/>
        <v>0</v>
      </c>
      <c r="I518" s="1094"/>
      <c r="J518" s="1094"/>
      <c r="K518" s="1094"/>
      <c r="L518" s="1094"/>
      <c r="M518" s="1094"/>
      <c r="N518" s="1627"/>
      <c r="O518" s="1054" t="s">
        <v>1300</v>
      </c>
      <c r="P518" s="1076"/>
    </row>
    <row r="519" spans="1:25" ht="55.5" outlineLevel="1">
      <c r="A519" s="1086"/>
      <c r="B519" s="1083" t="s">
        <v>9</v>
      </c>
      <c r="C519" s="1094"/>
      <c r="D519" s="1094" t="str">
        <f>$D$517</f>
        <v>г.Калуга от КНС "Шопино" №13 до камеры гашения в районе ул. Хорошая</v>
      </c>
      <c r="E519" s="1094"/>
      <c r="F519" s="1099"/>
      <c r="G519" s="1125">
        <f t="shared" si="139"/>
        <v>110022.37991611479</v>
      </c>
      <c r="H519" s="1125">
        <f t="shared" si="140"/>
        <v>132026.85589933774</v>
      </c>
      <c r="I519" s="1094"/>
      <c r="J519" s="1094"/>
      <c r="K519" s="1094">
        <f>K517</f>
        <v>36967.51965181456</v>
      </c>
      <c r="L519" s="1094">
        <f>L517</f>
        <v>36967.51965181456</v>
      </c>
      <c r="M519" s="1094">
        <f>M517</f>
        <v>58091.816595708602</v>
      </c>
      <c r="N519" s="1627"/>
      <c r="O519" s="1054" t="s">
        <v>1300</v>
      </c>
      <c r="P519" s="1076"/>
    </row>
    <row r="520" spans="1:25" ht="55.5" outlineLevel="1">
      <c r="A520" s="1086"/>
      <c r="B520" s="1083" t="s">
        <v>14</v>
      </c>
      <c r="C520" s="1094"/>
      <c r="D520" s="1094" t="str">
        <f>$D$517</f>
        <v>г.Калуга от КНС "Шопино" №13 до камеры гашения в районе ул. Хорошая</v>
      </c>
      <c r="E520" s="1094"/>
      <c r="F520" s="1099"/>
      <c r="G520" s="1125">
        <f t="shared" si="139"/>
        <v>0</v>
      </c>
      <c r="H520" s="1125">
        <f t="shared" si="140"/>
        <v>0</v>
      </c>
      <c r="I520" s="1094"/>
      <c r="J520" s="1094"/>
      <c r="K520" s="1094"/>
      <c r="L520" s="1094"/>
      <c r="M520" s="1094"/>
      <c r="N520" s="1627"/>
      <c r="O520" s="1054" t="s">
        <v>1300</v>
      </c>
      <c r="P520" s="1076"/>
    </row>
    <row r="521" spans="1:25" s="1142" customFormat="1" ht="54" outlineLevel="1">
      <c r="A521" s="1123" t="s">
        <v>830</v>
      </c>
      <c r="B521" s="1138" t="s">
        <v>755</v>
      </c>
      <c r="C521" s="1125">
        <v>2800</v>
      </c>
      <c r="D521" s="1125" t="s">
        <v>909</v>
      </c>
      <c r="E521" s="1146"/>
      <c r="F521" s="1125"/>
      <c r="G521" s="1125">
        <f t="shared" si="139"/>
        <v>24464.569591047082</v>
      </c>
      <c r="H521" s="1125">
        <f t="shared" si="140"/>
        <v>29357.483509256497</v>
      </c>
      <c r="I521" s="1146"/>
      <c r="J521" s="1125">
        <f>'Реконструкция КАНАЛ'!S18/1000</f>
        <v>0</v>
      </c>
      <c r="K521" s="1125">
        <f>'Реконструкция КАНАЛ'!T18/1000</f>
        <v>29357.483509256497</v>
      </c>
      <c r="L521" s="1125">
        <f>'Реконструкция КАНАЛ'!U18/1000</f>
        <v>0</v>
      </c>
      <c r="M521" s="1146"/>
      <c r="N521" s="1626" t="s">
        <v>761</v>
      </c>
      <c r="O521" s="1126" t="s">
        <v>1300</v>
      </c>
      <c r="P521" s="1162"/>
      <c r="R521" s="1147"/>
      <c r="S521" s="1147"/>
      <c r="T521" s="1147"/>
      <c r="U521" s="1147"/>
      <c r="V521" s="1147"/>
      <c r="W521" s="1147"/>
      <c r="X521" s="1147"/>
      <c r="Y521" s="1147"/>
    </row>
    <row r="522" spans="1:25" ht="55.5" outlineLevel="1">
      <c r="A522" s="1086"/>
      <c r="B522" s="1083" t="s">
        <v>10</v>
      </c>
      <c r="C522" s="1094"/>
      <c r="D522" s="1094" t="str">
        <f>$D$521</f>
        <v>г.Калуга от КНС Аэропорт до камеры гашения</v>
      </c>
      <c r="E522" s="1094"/>
      <c r="F522" s="1099"/>
      <c r="G522" s="1099">
        <f t="shared" si="139"/>
        <v>0</v>
      </c>
      <c r="H522" s="1099">
        <f t="shared" si="140"/>
        <v>0</v>
      </c>
      <c r="I522" s="1094"/>
      <c r="J522" s="1094"/>
      <c r="K522" s="1094"/>
      <c r="L522" s="1094"/>
      <c r="M522" s="1094"/>
      <c r="N522" s="1627"/>
      <c r="O522" s="1054" t="s">
        <v>1300</v>
      </c>
      <c r="P522" s="1076"/>
    </row>
    <row r="523" spans="1:25" ht="55.5" outlineLevel="1">
      <c r="A523" s="1051"/>
      <c r="B523" s="1083" t="s">
        <v>9</v>
      </c>
      <c r="C523" s="1094"/>
      <c r="D523" s="1094" t="str">
        <f>$D$521</f>
        <v>г.Калуга от КНС Аэропорт до камеры гашения</v>
      </c>
      <c r="E523" s="1094"/>
      <c r="F523" s="1099"/>
      <c r="G523" s="1099">
        <f t="shared" si="139"/>
        <v>24464.569591047082</v>
      </c>
      <c r="H523" s="1099">
        <f t="shared" si="140"/>
        <v>29357.483509256497</v>
      </c>
      <c r="I523" s="1094"/>
      <c r="J523" s="1094">
        <f>J521</f>
        <v>0</v>
      </c>
      <c r="K523" s="1094">
        <f>K521</f>
        <v>29357.483509256497</v>
      </c>
      <c r="L523" s="1094">
        <f>L521</f>
        <v>0</v>
      </c>
      <c r="M523" s="1094"/>
      <c r="N523" s="1627"/>
      <c r="O523" s="1054" t="s">
        <v>1300</v>
      </c>
      <c r="P523" s="1076"/>
    </row>
    <row r="524" spans="1:25" ht="55.5" outlineLevel="1">
      <c r="A524" s="1051"/>
      <c r="B524" s="1083" t="s">
        <v>14</v>
      </c>
      <c r="C524" s="1094"/>
      <c r="D524" s="1094" t="str">
        <f>$D$521</f>
        <v>г.Калуга от КНС Аэропорт до камеры гашения</v>
      </c>
      <c r="E524" s="1094"/>
      <c r="F524" s="1099"/>
      <c r="G524" s="1099">
        <f t="shared" si="139"/>
        <v>0</v>
      </c>
      <c r="H524" s="1099">
        <f t="shared" si="140"/>
        <v>0</v>
      </c>
      <c r="I524" s="1094"/>
      <c r="J524" s="1094"/>
      <c r="K524" s="1094"/>
      <c r="L524" s="1094"/>
      <c r="M524" s="1094"/>
      <c r="N524" s="1627"/>
      <c r="O524" s="1054" t="s">
        <v>1300</v>
      </c>
      <c r="P524" s="1076"/>
    </row>
    <row r="525" spans="1:25" s="1132" customFormat="1" ht="54" outlineLevel="1">
      <c r="A525" s="1129" t="s">
        <v>831</v>
      </c>
      <c r="B525" s="2217" t="s">
        <v>898</v>
      </c>
      <c r="C525" s="1124">
        <v>454</v>
      </c>
      <c r="D525" s="1124" t="s">
        <v>899</v>
      </c>
      <c r="E525" s="1124"/>
      <c r="F525" s="1124"/>
      <c r="G525" s="1124">
        <f t="shared" si="139"/>
        <v>33437.376978552522</v>
      </c>
      <c r="H525" s="1124">
        <f t="shared" si="140"/>
        <v>40124.852374263028</v>
      </c>
      <c r="I525" s="1124"/>
      <c r="J525" s="1124"/>
      <c r="K525" s="1124">
        <f>'Реконструкция КАНАЛ'!T19/1000</f>
        <v>0</v>
      </c>
      <c r="L525" s="1124">
        <f>'Реконструкция КАНАЛ'!U19/1000</f>
        <v>0</v>
      </c>
      <c r="M525" s="1124">
        <f>'Реконструкция КАНАЛ'!V19/1000</f>
        <v>40124.852374263028</v>
      </c>
      <c r="N525" s="2209" t="s">
        <v>14839</v>
      </c>
      <c r="O525" s="1186" t="s">
        <v>1300</v>
      </c>
      <c r="P525" s="1131"/>
      <c r="R525" s="1133"/>
      <c r="S525" s="1133"/>
      <c r="T525" s="1133"/>
      <c r="U525" s="1133"/>
      <c r="V525" s="1133"/>
      <c r="W525" s="1133"/>
      <c r="X525" s="1133"/>
      <c r="Y525" s="1133"/>
    </row>
    <row r="526" spans="1:25" s="1072" customFormat="1" ht="55.5" outlineLevel="1">
      <c r="A526" s="1482"/>
      <c r="B526" s="1134" t="s">
        <v>10</v>
      </c>
      <c r="C526" s="1135"/>
      <c r="D526" s="1135" t="str">
        <f>$D$525</f>
        <v>г.Калуга от КНС "Подгорная" до камеры гашения.</v>
      </c>
      <c r="E526" s="1135"/>
      <c r="F526" s="1153"/>
      <c r="G526" s="1124">
        <f t="shared" si="139"/>
        <v>0</v>
      </c>
      <c r="H526" s="1124">
        <f t="shared" si="140"/>
        <v>0</v>
      </c>
      <c r="I526" s="1135"/>
      <c r="J526" s="1135"/>
      <c r="K526" s="1135"/>
      <c r="L526" s="1135"/>
      <c r="M526" s="1135"/>
      <c r="N526" s="2202"/>
      <c r="O526" s="1070" t="s">
        <v>1300</v>
      </c>
      <c r="P526" s="1692"/>
      <c r="R526" s="1136"/>
      <c r="S526" s="1136"/>
      <c r="T526" s="1136"/>
      <c r="U526" s="1136"/>
      <c r="V526" s="1136"/>
      <c r="W526" s="1136"/>
      <c r="X526" s="1136"/>
      <c r="Y526" s="1136"/>
    </row>
    <row r="527" spans="1:25" s="1072" customFormat="1" ht="55.5" outlineLevel="1">
      <c r="A527" s="1067"/>
      <c r="B527" s="1134" t="s">
        <v>9</v>
      </c>
      <c r="C527" s="1135"/>
      <c r="D527" s="1135" t="str">
        <f>$D$525</f>
        <v>г.Калуга от КНС "Подгорная" до камеры гашения.</v>
      </c>
      <c r="E527" s="1135"/>
      <c r="F527" s="1153"/>
      <c r="G527" s="1124">
        <f t="shared" si="139"/>
        <v>33437.376978552522</v>
      </c>
      <c r="H527" s="1124">
        <f t="shared" si="140"/>
        <v>40124.852374263028</v>
      </c>
      <c r="I527" s="1135"/>
      <c r="J527" s="1135"/>
      <c r="K527" s="1135">
        <f>K525</f>
        <v>0</v>
      </c>
      <c r="L527" s="1135">
        <f>L525</f>
        <v>0</v>
      </c>
      <c r="M527" s="1135">
        <f>M525</f>
        <v>40124.852374263028</v>
      </c>
      <c r="N527" s="2202"/>
      <c r="O527" s="1070" t="s">
        <v>1300</v>
      </c>
      <c r="P527" s="1692"/>
      <c r="R527" s="1136"/>
      <c r="S527" s="1136"/>
      <c r="T527" s="1136"/>
      <c r="U527" s="1136"/>
      <c r="V527" s="1136"/>
      <c r="W527" s="1136"/>
      <c r="X527" s="1136"/>
      <c r="Y527" s="1136"/>
    </row>
    <row r="528" spans="1:25" s="1072" customFormat="1" ht="55.5" outlineLevel="1">
      <c r="A528" s="1067"/>
      <c r="B528" s="1134" t="s">
        <v>14</v>
      </c>
      <c r="C528" s="1135"/>
      <c r="D528" s="1135" t="str">
        <f>$D$525</f>
        <v>г.Калуга от КНС "Подгорная" до камеры гашения.</v>
      </c>
      <c r="E528" s="1135"/>
      <c r="F528" s="1153"/>
      <c r="G528" s="1124">
        <f t="shared" si="139"/>
        <v>0</v>
      </c>
      <c r="H528" s="1124">
        <f t="shared" si="140"/>
        <v>0</v>
      </c>
      <c r="I528" s="1135"/>
      <c r="J528" s="1135"/>
      <c r="K528" s="1135"/>
      <c r="L528" s="1135"/>
      <c r="M528" s="1135"/>
      <c r="N528" s="2202"/>
      <c r="O528" s="1070" t="s">
        <v>1300</v>
      </c>
      <c r="P528" s="1692"/>
      <c r="R528" s="1136"/>
      <c r="S528" s="1136"/>
      <c r="T528" s="1136"/>
      <c r="U528" s="1136"/>
      <c r="V528" s="1136"/>
      <c r="W528" s="1136"/>
      <c r="X528" s="1136"/>
      <c r="Y528" s="1136"/>
    </row>
    <row r="529" spans="1:25" s="1132" customFormat="1" ht="108.75" customHeight="1" outlineLevel="1">
      <c r="A529" s="1129" t="s">
        <v>832</v>
      </c>
      <c r="B529" s="2217" t="s">
        <v>1108</v>
      </c>
      <c r="C529" s="1124">
        <v>200</v>
      </c>
      <c r="D529" s="1124" t="s">
        <v>906</v>
      </c>
      <c r="E529" s="1124"/>
      <c r="F529" s="1124"/>
      <c r="G529" s="1124">
        <f t="shared" si="139"/>
        <v>5795.5767738897821</v>
      </c>
      <c r="H529" s="1124">
        <f t="shared" si="140"/>
        <v>6954.692128667738</v>
      </c>
      <c r="I529" s="1124"/>
      <c r="J529" s="1124"/>
      <c r="K529" s="1124"/>
      <c r="L529" s="1124"/>
      <c r="M529" s="1124">
        <f>'Реконструкция КАНАЛ'!V20/1000</f>
        <v>6954.692128667738</v>
      </c>
      <c r="N529" s="2209" t="s">
        <v>14839</v>
      </c>
      <c r="O529" s="1186" t="s">
        <v>1300</v>
      </c>
      <c r="P529" s="1131"/>
      <c r="R529" s="1133"/>
      <c r="S529" s="1133"/>
      <c r="T529" s="1133"/>
      <c r="U529" s="1133"/>
      <c r="V529" s="1133"/>
      <c r="W529" s="1133"/>
      <c r="X529" s="1133"/>
      <c r="Y529" s="1133"/>
    </row>
    <row r="530" spans="1:25" s="1072" customFormat="1" ht="55.5" outlineLevel="1">
      <c r="A530" s="1482"/>
      <c r="B530" s="1134" t="s">
        <v>10</v>
      </c>
      <c r="C530" s="1135"/>
      <c r="D530" s="1135" t="str">
        <f>$D$529</f>
        <v>г.Калуга ,ул.Ипподромная</v>
      </c>
      <c r="E530" s="1135"/>
      <c r="F530" s="1153"/>
      <c r="G530" s="1124">
        <f t="shared" si="139"/>
        <v>0</v>
      </c>
      <c r="H530" s="1124">
        <f t="shared" si="140"/>
        <v>0</v>
      </c>
      <c r="I530" s="1135"/>
      <c r="J530" s="1135"/>
      <c r="K530" s="1135"/>
      <c r="L530" s="1135"/>
      <c r="M530" s="1135"/>
      <c r="N530" s="2202"/>
      <c r="O530" s="1070" t="s">
        <v>1300</v>
      </c>
      <c r="P530" s="1692"/>
      <c r="R530" s="1136"/>
      <c r="S530" s="1136"/>
      <c r="T530" s="1136"/>
      <c r="U530" s="1136"/>
      <c r="V530" s="1136"/>
      <c r="W530" s="1136"/>
      <c r="X530" s="1136"/>
      <c r="Y530" s="1136"/>
    </row>
    <row r="531" spans="1:25" s="1072" customFormat="1" ht="55.5" outlineLevel="1">
      <c r="A531" s="1482"/>
      <c r="B531" s="1134" t="s">
        <v>9</v>
      </c>
      <c r="C531" s="1135"/>
      <c r="D531" s="1135" t="str">
        <f>$D$529</f>
        <v>г.Калуга ,ул.Ипподромная</v>
      </c>
      <c r="E531" s="1135"/>
      <c r="F531" s="1153"/>
      <c r="G531" s="1124">
        <f t="shared" si="139"/>
        <v>5795.5767738897821</v>
      </c>
      <c r="H531" s="1124">
        <f t="shared" si="140"/>
        <v>6954.692128667738</v>
      </c>
      <c r="I531" s="1135"/>
      <c r="J531" s="1135"/>
      <c r="K531" s="1135">
        <f>K529</f>
        <v>0</v>
      </c>
      <c r="L531" s="1135"/>
      <c r="M531" s="1135">
        <f>M529</f>
        <v>6954.692128667738</v>
      </c>
      <c r="N531" s="2202"/>
      <c r="O531" s="1070" t="s">
        <v>1300</v>
      </c>
      <c r="P531" s="1692"/>
      <c r="R531" s="1136"/>
      <c r="S531" s="1136"/>
      <c r="T531" s="1136"/>
      <c r="U531" s="1136"/>
      <c r="V531" s="1136"/>
      <c r="W531" s="1136"/>
      <c r="X531" s="1136"/>
      <c r="Y531" s="1136"/>
    </row>
    <row r="532" spans="1:25" s="1072" customFormat="1" ht="55.5" outlineLevel="1">
      <c r="A532" s="1482"/>
      <c r="B532" s="1134" t="s">
        <v>14</v>
      </c>
      <c r="C532" s="1135"/>
      <c r="D532" s="1135" t="str">
        <f>$D$529</f>
        <v>г.Калуга ,ул.Ипподромная</v>
      </c>
      <c r="E532" s="1135"/>
      <c r="F532" s="1153"/>
      <c r="G532" s="1124">
        <f t="shared" si="139"/>
        <v>0</v>
      </c>
      <c r="H532" s="1124">
        <f t="shared" si="140"/>
        <v>0</v>
      </c>
      <c r="I532" s="1135"/>
      <c r="J532" s="1135"/>
      <c r="K532" s="1135"/>
      <c r="L532" s="1135"/>
      <c r="M532" s="1135"/>
      <c r="N532" s="2202"/>
      <c r="O532" s="1070" t="s">
        <v>1300</v>
      </c>
      <c r="P532" s="1692"/>
      <c r="R532" s="1136"/>
      <c r="S532" s="1136"/>
      <c r="T532" s="1136"/>
      <c r="U532" s="1136"/>
      <c r="V532" s="1136"/>
      <c r="W532" s="1136"/>
      <c r="X532" s="1136"/>
      <c r="Y532" s="1136"/>
    </row>
    <row r="533" spans="1:25" s="1132" customFormat="1" ht="108" outlineLevel="1">
      <c r="A533" s="1129" t="s">
        <v>833</v>
      </c>
      <c r="B533" s="2217" t="s">
        <v>1107</v>
      </c>
      <c r="C533" s="1124">
        <v>294</v>
      </c>
      <c r="D533" s="1124" t="s">
        <v>654</v>
      </c>
      <c r="E533" s="1124"/>
      <c r="F533" s="1124"/>
      <c r="G533" s="1124">
        <f t="shared" si="139"/>
        <v>3675.3010456500006</v>
      </c>
      <c r="H533" s="1124">
        <f t="shared" si="140"/>
        <v>4410.3612547800003</v>
      </c>
      <c r="I533" s="1124">
        <f>'Реконструкция КАНАЛ'!R21/1000</f>
        <v>4410.3612547800003</v>
      </c>
      <c r="J533" s="1124"/>
      <c r="K533" s="1124"/>
      <c r="L533" s="1124"/>
      <c r="M533" s="1124"/>
      <c r="N533" s="2209" t="s">
        <v>541</v>
      </c>
      <c r="O533" s="1186" t="s">
        <v>14878</v>
      </c>
      <c r="P533" s="1131"/>
      <c r="R533" s="1133"/>
      <c r="S533" s="1133"/>
      <c r="T533" s="1133"/>
      <c r="U533" s="1133"/>
      <c r="V533" s="1133"/>
      <c r="W533" s="1133"/>
      <c r="X533" s="1133"/>
      <c r="Y533" s="1133"/>
    </row>
    <row r="534" spans="1:25" s="1072" customFormat="1" ht="111" outlineLevel="1">
      <c r="A534" s="1482"/>
      <c r="B534" s="1134" t="s">
        <v>10</v>
      </c>
      <c r="C534" s="1135"/>
      <c r="D534" s="1135" t="str">
        <f>$D$533</f>
        <v>г.Калуга</v>
      </c>
      <c r="E534" s="1135"/>
      <c r="F534" s="1153"/>
      <c r="G534" s="1124">
        <f t="shared" si="139"/>
        <v>0</v>
      </c>
      <c r="H534" s="1124">
        <f t="shared" si="140"/>
        <v>0</v>
      </c>
      <c r="I534" s="1135"/>
      <c r="J534" s="1135"/>
      <c r="K534" s="1135"/>
      <c r="L534" s="1135"/>
      <c r="M534" s="1135"/>
      <c r="N534" s="2202"/>
      <c r="O534" s="1070" t="str">
        <f>O533</f>
        <v xml:space="preserve">средства, полученные в виде платы за негативное воздействие на работу централизованной системы водоотведения </v>
      </c>
      <c r="P534" s="1692"/>
      <c r="R534" s="1136"/>
      <c r="S534" s="1136"/>
      <c r="T534" s="1136"/>
      <c r="U534" s="1136"/>
      <c r="V534" s="1136"/>
      <c r="W534" s="1136"/>
      <c r="X534" s="1136"/>
      <c r="Y534" s="1136"/>
    </row>
    <row r="535" spans="1:25" s="1072" customFormat="1" ht="111" outlineLevel="1">
      <c r="A535" s="1482"/>
      <c r="B535" s="1134" t="s">
        <v>9</v>
      </c>
      <c r="C535" s="1135"/>
      <c r="D535" s="1135" t="str">
        <f>$D$533</f>
        <v>г.Калуга</v>
      </c>
      <c r="E535" s="1135"/>
      <c r="F535" s="1153"/>
      <c r="G535" s="1124">
        <f t="shared" si="139"/>
        <v>3675.3010456500006</v>
      </c>
      <c r="H535" s="1124">
        <f t="shared" si="140"/>
        <v>4410.3612547800003</v>
      </c>
      <c r="I535" s="1135">
        <f>I533</f>
        <v>4410.3612547800003</v>
      </c>
      <c r="J535" s="1135"/>
      <c r="K535" s="1135"/>
      <c r="L535" s="1135"/>
      <c r="M535" s="1135"/>
      <c r="N535" s="2202"/>
      <c r="O535" s="1070" t="str">
        <f>O533</f>
        <v xml:space="preserve">средства, полученные в виде платы за негативное воздействие на работу централизованной системы водоотведения </v>
      </c>
      <c r="P535" s="1955"/>
      <c r="R535" s="1136"/>
      <c r="S535" s="1136"/>
      <c r="T535" s="1136"/>
      <c r="U535" s="1136"/>
      <c r="V535" s="1136"/>
      <c r="W535" s="1136"/>
      <c r="X535" s="1136"/>
      <c r="Y535" s="1136"/>
    </row>
    <row r="536" spans="1:25" s="1072" customFormat="1" ht="111" outlineLevel="1">
      <c r="A536" s="1067"/>
      <c r="B536" s="1134" t="s">
        <v>14</v>
      </c>
      <c r="C536" s="1135"/>
      <c r="D536" s="1135" t="str">
        <f>$D$533</f>
        <v>г.Калуга</v>
      </c>
      <c r="E536" s="1135"/>
      <c r="F536" s="1153"/>
      <c r="G536" s="1124">
        <f t="shared" si="139"/>
        <v>0</v>
      </c>
      <c r="H536" s="1124">
        <f t="shared" si="140"/>
        <v>0</v>
      </c>
      <c r="I536" s="1135"/>
      <c r="J536" s="1135"/>
      <c r="K536" s="1135"/>
      <c r="L536" s="1135"/>
      <c r="M536" s="1135"/>
      <c r="N536" s="2202"/>
      <c r="O536" s="1070" t="str">
        <f>O533</f>
        <v xml:space="preserve">средства, полученные в виде платы за негативное воздействие на работу централизованной системы водоотведения </v>
      </c>
      <c r="P536" s="1692"/>
      <c r="R536" s="1136"/>
      <c r="S536" s="1136"/>
      <c r="T536" s="1136"/>
      <c r="U536" s="1136"/>
      <c r="V536" s="1136"/>
      <c r="W536" s="1136"/>
      <c r="X536" s="1136"/>
      <c r="Y536" s="1136"/>
    </row>
    <row r="537" spans="1:25" s="1114" customFormat="1">
      <c r="A537" s="1140" t="s">
        <v>39</v>
      </c>
      <c r="B537" s="1120" t="s">
        <v>81</v>
      </c>
      <c r="C537" s="1112">
        <f t="shared" ref="C537:J537" si="141">SUM(C541,C545)</f>
        <v>0</v>
      </c>
      <c r="D537" s="1117">
        <f t="shared" si="141"/>
        <v>0</v>
      </c>
      <c r="E537" s="1117">
        <f t="shared" si="141"/>
        <v>0</v>
      </c>
      <c r="F537" s="1112">
        <f t="shared" si="141"/>
        <v>0</v>
      </c>
      <c r="G537" s="1112">
        <f t="shared" si="141"/>
        <v>0</v>
      </c>
      <c r="H537" s="1112">
        <f t="shared" si="141"/>
        <v>0</v>
      </c>
      <c r="I537" s="1112">
        <f t="shared" si="141"/>
        <v>0</v>
      </c>
      <c r="J537" s="1112">
        <f t="shared" si="141"/>
        <v>0</v>
      </c>
      <c r="K537" s="1112"/>
      <c r="L537" s="1112">
        <f t="shared" ref="L537:M540" si="142">SUM(L541,L545)</f>
        <v>0</v>
      </c>
      <c r="M537" s="1112">
        <f t="shared" si="142"/>
        <v>0</v>
      </c>
      <c r="N537" s="1624" t="s">
        <v>1301</v>
      </c>
      <c r="O537" s="1118" t="s">
        <v>1301</v>
      </c>
      <c r="P537" s="1107"/>
      <c r="R537" s="1115"/>
      <c r="S537" s="1115"/>
      <c r="T537" s="1115"/>
      <c r="U537" s="1115"/>
      <c r="V537" s="1115"/>
      <c r="W537" s="1115"/>
      <c r="X537" s="1115"/>
      <c r="Y537" s="1115"/>
    </row>
    <row r="538" spans="1:25" s="1114" customFormat="1">
      <c r="A538" s="1156"/>
      <c r="B538" s="1120" t="s">
        <v>10</v>
      </c>
      <c r="C538" s="1117">
        <f t="shared" ref="C538:J538" si="143">SUM(C542,C546)</f>
        <v>0</v>
      </c>
      <c r="D538" s="1117">
        <f t="shared" si="143"/>
        <v>0</v>
      </c>
      <c r="E538" s="1117">
        <f t="shared" si="143"/>
        <v>0</v>
      </c>
      <c r="F538" s="1112">
        <f t="shared" si="143"/>
        <v>0</v>
      </c>
      <c r="G538" s="1112">
        <f t="shared" si="143"/>
        <v>0</v>
      </c>
      <c r="H538" s="1112">
        <f t="shared" si="143"/>
        <v>0</v>
      </c>
      <c r="I538" s="1117">
        <f t="shared" si="143"/>
        <v>0</v>
      </c>
      <c r="J538" s="1117">
        <f t="shared" si="143"/>
        <v>0</v>
      </c>
      <c r="K538" s="1117"/>
      <c r="L538" s="1117">
        <f t="shared" si="142"/>
        <v>0</v>
      </c>
      <c r="M538" s="1117">
        <f t="shared" si="142"/>
        <v>0</v>
      </c>
      <c r="N538" s="1624" t="s">
        <v>1301</v>
      </c>
      <c r="O538" s="1119" t="s">
        <v>1301</v>
      </c>
      <c r="P538" s="1143"/>
      <c r="R538" s="1115"/>
      <c r="S538" s="1115"/>
      <c r="T538" s="1115"/>
      <c r="U538" s="1115"/>
      <c r="V538" s="1115"/>
      <c r="W538" s="1115"/>
      <c r="X538" s="1115"/>
      <c r="Y538" s="1115"/>
    </row>
    <row r="539" spans="1:25" s="1114" customFormat="1">
      <c r="A539" s="1156"/>
      <c r="B539" s="1120" t="s">
        <v>9</v>
      </c>
      <c r="C539" s="1117">
        <f t="shared" ref="C539:J539" si="144">SUM(C543,C547)</f>
        <v>0</v>
      </c>
      <c r="D539" s="1117">
        <f t="shared" si="144"/>
        <v>0</v>
      </c>
      <c r="E539" s="1117">
        <f t="shared" si="144"/>
        <v>0</v>
      </c>
      <c r="F539" s="1112">
        <f t="shared" si="144"/>
        <v>0</v>
      </c>
      <c r="G539" s="1112">
        <f t="shared" si="144"/>
        <v>0</v>
      </c>
      <c r="H539" s="1112">
        <f t="shared" si="144"/>
        <v>0</v>
      </c>
      <c r="I539" s="1117">
        <f t="shared" si="144"/>
        <v>0</v>
      </c>
      <c r="J539" s="1117">
        <f t="shared" si="144"/>
        <v>0</v>
      </c>
      <c r="K539" s="1117"/>
      <c r="L539" s="1117">
        <f t="shared" si="142"/>
        <v>0</v>
      </c>
      <c r="M539" s="1117">
        <f t="shared" si="142"/>
        <v>0</v>
      </c>
      <c r="N539" s="1624" t="s">
        <v>1301</v>
      </c>
      <c r="O539" s="1119" t="s">
        <v>1301</v>
      </c>
      <c r="P539" s="1143"/>
      <c r="R539" s="1115"/>
      <c r="S539" s="1115"/>
      <c r="T539" s="1115"/>
      <c r="U539" s="1115"/>
      <c r="V539" s="1115"/>
      <c r="W539" s="1115"/>
      <c r="X539" s="1115"/>
      <c r="Y539" s="1115"/>
    </row>
    <row r="540" spans="1:25" s="1114" customFormat="1">
      <c r="A540" s="1156"/>
      <c r="B540" s="1120" t="s">
        <v>14</v>
      </c>
      <c r="C540" s="1117">
        <f t="shared" ref="C540:J540" si="145">SUM(C544,C548)</f>
        <v>0</v>
      </c>
      <c r="D540" s="1117">
        <f t="shared" si="145"/>
        <v>0</v>
      </c>
      <c r="E540" s="1117">
        <f t="shared" si="145"/>
        <v>0</v>
      </c>
      <c r="F540" s="1112">
        <f t="shared" si="145"/>
        <v>0</v>
      </c>
      <c r="G540" s="1112">
        <f t="shared" si="145"/>
        <v>0</v>
      </c>
      <c r="H540" s="1112">
        <f t="shared" si="145"/>
        <v>0</v>
      </c>
      <c r="I540" s="1117">
        <f t="shared" si="145"/>
        <v>0</v>
      </c>
      <c r="J540" s="1117">
        <f t="shared" si="145"/>
        <v>0</v>
      </c>
      <c r="K540" s="1117"/>
      <c r="L540" s="1117">
        <f t="shared" si="142"/>
        <v>0</v>
      </c>
      <c r="M540" s="1117">
        <f t="shared" si="142"/>
        <v>0</v>
      </c>
      <c r="N540" s="1624" t="s">
        <v>1301</v>
      </c>
      <c r="O540" s="1119" t="s">
        <v>1301</v>
      </c>
      <c r="P540" s="1143"/>
      <c r="R540" s="1115"/>
      <c r="S540" s="1115"/>
      <c r="T540" s="1115"/>
      <c r="U540" s="1115"/>
      <c r="V540" s="1115"/>
      <c r="W540" s="1115"/>
      <c r="X540" s="1115"/>
      <c r="Y540" s="1115"/>
    </row>
    <row r="541" spans="1:25" s="1114" customFormat="1">
      <c r="A541" s="1140" t="s">
        <v>30</v>
      </c>
      <c r="B541" s="1120" t="s">
        <v>46</v>
      </c>
      <c r="C541" s="1112">
        <f>SUM(C545,C552)</f>
        <v>0</v>
      </c>
      <c r="D541" s="1112"/>
      <c r="E541" s="1112"/>
      <c r="F541" s="1112">
        <f>SUM(F545,F552)</f>
        <v>0</v>
      </c>
      <c r="G541" s="1112"/>
      <c r="H541" s="1112"/>
      <c r="I541" s="1112">
        <f>SUM(I545,I552)</f>
        <v>0</v>
      </c>
      <c r="J541" s="1112"/>
      <c r="K541" s="1112"/>
      <c r="L541" s="1112"/>
      <c r="M541" s="1112"/>
      <c r="N541" s="1624" t="s">
        <v>1301</v>
      </c>
      <c r="O541" s="1119" t="s">
        <v>1301</v>
      </c>
      <c r="P541" s="1107"/>
    </row>
    <row r="542" spans="1:25" s="1114" customFormat="1">
      <c r="A542" s="1140"/>
      <c r="B542" s="2215" t="s">
        <v>10</v>
      </c>
      <c r="C542" s="1112"/>
      <c r="D542" s="1112"/>
      <c r="E542" s="1112"/>
      <c r="F542" s="1112"/>
      <c r="G542" s="1112"/>
      <c r="H542" s="1112"/>
      <c r="I542" s="1117"/>
      <c r="J542" s="1117"/>
      <c r="K542" s="1117"/>
      <c r="L542" s="1117"/>
      <c r="M542" s="1117"/>
      <c r="N542" s="1624" t="s">
        <v>1301</v>
      </c>
      <c r="O542" s="1119" t="s">
        <v>1301</v>
      </c>
      <c r="P542" s="1107"/>
    </row>
    <row r="543" spans="1:25" s="1114" customFormat="1">
      <c r="A543" s="1140"/>
      <c r="B543" s="2216" t="s">
        <v>9</v>
      </c>
      <c r="C543" s="1112"/>
      <c r="D543" s="1112"/>
      <c r="E543" s="1112"/>
      <c r="F543" s="1112"/>
      <c r="G543" s="1112"/>
      <c r="H543" s="1112"/>
      <c r="I543" s="1117"/>
      <c r="J543" s="1117"/>
      <c r="K543" s="1117"/>
      <c r="L543" s="1117"/>
      <c r="M543" s="1117"/>
      <c r="N543" s="1624" t="s">
        <v>1301</v>
      </c>
      <c r="O543" s="1119" t="s">
        <v>1301</v>
      </c>
      <c r="P543" s="1107"/>
    </row>
    <row r="544" spans="1:25" s="1114" customFormat="1">
      <c r="A544" s="1140"/>
      <c r="B544" s="2216" t="s">
        <v>14</v>
      </c>
      <c r="C544" s="1112"/>
      <c r="D544" s="1112"/>
      <c r="E544" s="1112"/>
      <c r="F544" s="1112"/>
      <c r="G544" s="1112"/>
      <c r="H544" s="1112"/>
      <c r="I544" s="1117"/>
      <c r="J544" s="1117"/>
      <c r="K544" s="1117"/>
      <c r="L544" s="1117"/>
      <c r="M544" s="1117"/>
      <c r="N544" s="1624" t="s">
        <v>1301</v>
      </c>
      <c r="O544" s="1119" t="s">
        <v>1301</v>
      </c>
      <c r="P544" s="1107"/>
    </row>
    <row r="545" spans="1:25" s="1114" customFormat="1" ht="54">
      <c r="A545" s="1140" t="s">
        <v>31</v>
      </c>
      <c r="B545" s="1120" t="s">
        <v>47</v>
      </c>
      <c r="C545" s="1112"/>
      <c r="D545" s="1112"/>
      <c r="E545" s="1112"/>
      <c r="F545" s="1112"/>
      <c r="G545" s="1112"/>
      <c r="H545" s="1112"/>
      <c r="I545" s="1117"/>
      <c r="J545" s="1117"/>
      <c r="K545" s="1117"/>
      <c r="L545" s="1117"/>
      <c r="M545" s="1117"/>
      <c r="N545" s="1624" t="s">
        <v>1301</v>
      </c>
      <c r="O545" s="1119" t="s">
        <v>1301</v>
      </c>
      <c r="P545" s="1107"/>
    </row>
    <row r="546" spans="1:25" s="1114" customFormat="1">
      <c r="A546" s="1140"/>
      <c r="B546" s="2215" t="s">
        <v>10</v>
      </c>
      <c r="C546" s="1112"/>
      <c r="D546" s="1112"/>
      <c r="E546" s="1112"/>
      <c r="F546" s="1112"/>
      <c r="G546" s="1112"/>
      <c r="H546" s="1112"/>
      <c r="I546" s="1117"/>
      <c r="J546" s="1117"/>
      <c r="K546" s="1117"/>
      <c r="L546" s="1117"/>
      <c r="M546" s="1117"/>
      <c r="N546" s="1624" t="s">
        <v>1301</v>
      </c>
      <c r="O546" s="1119" t="s">
        <v>1301</v>
      </c>
      <c r="P546" s="1107"/>
    </row>
    <row r="547" spans="1:25" s="1114" customFormat="1">
      <c r="A547" s="1140"/>
      <c r="B547" s="2216" t="s">
        <v>9</v>
      </c>
      <c r="C547" s="1112"/>
      <c r="D547" s="1112"/>
      <c r="E547" s="1112"/>
      <c r="F547" s="1112"/>
      <c r="G547" s="1112"/>
      <c r="H547" s="1112"/>
      <c r="I547" s="1117"/>
      <c r="J547" s="1117"/>
      <c r="K547" s="1117"/>
      <c r="L547" s="1117"/>
      <c r="M547" s="1117"/>
      <c r="N547" s="1624" t="s">
        <v>1301</v>
      </c>
      <c r="O547" s="1119" t="s">
        <v>1301</v>
      </c>
      <c r="P547" s="1107"/>
    </row>
    <row r="548" spans="1:25" s="1114" customFormat="1">
      <c r="A548" s="1140"/>
      <c r="B548" s="2216" t="s">
        <v>14</v>
      </c>
      <c r="C548" s="1112"/>
      <c r="D548" s="1112"/>
      <c r="E548" s="1112"/>
      <c r="F548" s="1112"/>
      <c r="G548" s="1112"/>
      <c r="H548" s="1112"/>
      <c r="I548" s="1117"/>
      <c r="J548" s="1117"/>
      <c r="K548" s="1117"/>
      <c r="L548" s="1117"/>
      <c r="M548" s="1117"/>
      <c r="N548" s="1624" t="s">
        <v>1301</v>
      </c>
      <c r="O548" s="1119" t="s">
        <v>1301</v>
      </c>
      <c r="P548" s="1107"/>
    </row>
    <row r="549" spans="1:25" s="1114" customFormat="1" ht="135">
      <c r="A549" s="1140" t="s">
        <v>161</v>
      </c>
      <c r="B549" s="2212" t="s">
        <v>1096</v>
      </c>
      <c r="C549" s="1112">
        <f>C553+C557+C561</f>
        <v>3500</v>
      </c>
      <c r="D549" s="1112"/>
      <c r="E549" s="1112">
        <f>E553+E557+E561</f>
        <v>0</v>
      </c>
      <c r="F549" s="1112">
        <f>F553+F557+F561</f>
        <v>0</v>
      </c>
      <c r="G549" s="1112">
        <f t="shared" ref="G549:M549" si="146">G553+G557+G561</f>
        <v>136174.50183883909</v>
      </c>
      <c r="H549" s="1112">
        <f t="shared" si="146"/>
        <v>163409.40220660687</v>
      </c>
      <c r="I549" s="1112">
        <f t="shared" si="146"/>
        <v>0</v>
      </c>
      <c r="J549" s="1112">
        <f t="shared" si="146"/>
        <v>19607.874849388802</v>
      </c>
      <c r="K549" s="1112">
        <f t="shared" si="146"/>
        <v>19607.874849388802</v>
      </c>
      <c r="L549" s="1112">
        <f t="shared" si="146"/>
        <v>56398.659023374836</v>
      </c>
      <c r="M549" s="1112">
        <f t="shared" si="146"/>
        <v>67794.993484454433</v>
      </c>
      <c r="N549" s="1624" t="s">
        <v>1301</v>
      </c>
      <c r="O549" s="1119" t="s">
        <v>1301</v>
      </c>
      <c r="P549" s="1107"/>
    </row>
    <row r="550" spans="1:25" s="1114" customFormat="1">
      <c r="A550" s="1156"/>
      <c r="B550" s="1120" t="s">
        <v>10</v>
      </c>
      <c r="C550" s="1112">
        <f>C554+C558+C562</f>
        <v>0</v>
      </c>
      <c r="D550" s="1112"/>
      <c r="E550" s="1112">
        <f>E554+E558+E562</f>
        <v>0</v>
      </c>
      <c r="F550" s="1112">
        <f t="shared" ref="F550:M550" si="147">F554+F558+F562</f>
        <v>0</v>
      </c>
      <c r="G550" s="1112">
        <f t="shared" si="147"/>
        <v>35604.938078038882</v>
      </c>
      <c r="H550" s="1112">
        <f t="shared" si="147"/>
        <v>42725.925693646648</v>
      </c>
      <c r="I550" s="1112">
        <f t="shared" si="147"/>
        <v>0</v>
      </c>
      <c r="J550" s="1112">
        <f t="shared" si="147"/>
        <v>19607.874849388802</v>
      </c>
      <c r="K550" s="1112">
        <f t="shared" si="147"/>
        <v>19607.874849388802</v>
      </c>
      <c r="L550" s="1112">
        <f t="shared" si="147"/>
        <v>3510.1759948690515</v>
      </c>
      <c r="M550" s="1112">
        <f t="shared" si="147"/>
        <v>0</v>
      </c>
      <c r="N550" s="1624" t="s">
        <v>1301</v>
      </c>
      <c r="O550" s="1119" t="s">
        <v>1301</v>
      </c>
      <c r="P550" s="1107"/>
    </row>
    <row r="551" spans="1:25" s="1114" customFormat="1">
      <c r="A551" s="1156"/>
      <c r="B551" s="1120" t="s">
        <v>9</v>
      </c>
      <c r="C551" s="1112">
        <f>C555+C559+C563</f>
        <v>0</v>
      </c>
      <c r="D551" s="1112"/>
      <c r="E551" s="1112">
        <f>E555+E559+E563</f>
        <v>0</v>
      </c>
      <c r="F551" s="1112">
        <f t="shared" ref="F551:M551" si="148">F555+F559+F563</f>
        <v>0</v>
      </c>
      <c r="G551" s="1112">
        <f t="shared" si="148"/>
        <v>100569.5637608002</v>
      </c>
      <c r="H551" s="1112">
        <f t="shared" si="148"/>
        <v>120683.47651296022</v>
      </c>
      <c r="I551" s="1112">
        <f t="shared" si="148"/>
        <v>0</v>
      </c>
      <c r="J551" s="1112">
        <f t="shared" si="148"/>
        <v>0</v>
      </c>
      <c r="K551" s="1112">
        <f t="shared" si="148"/>
        <v>0</v>
      </c>
      <c r="L551" s="1112">
        <f t="shared" si="148"/>
        <v>52888.483028505791</v>
      </c>
      <c r="M551" s="1112">
        <f t="shared" si="148"/>
        <v>67794.993484454433</v>
      </c>
      <c r="N551" s="1624" t="s">
        <v>1301</v>
      </c>
      <c r="O551" s="1119" t="s">
        <v>1301</v>
      </c>
      <c r="P551" s="1107"/>
    </row>
    <row r="552" spans="1:25" s="1025" customFormat="1" ht="39" customHeight="1">
      <c r="A552" s="1156"/>
      <c r="B552" s="1120" t="s">
        <v>14</v>
      </c>
      <c r="C552" s="1112">
        <f>C556+C560+C564</f>
        <v>0</v>
      </c>
      <c r="D552" s="1112"/>
      <c r="E552" s="1112">
        <f>E556+E560+E564</f>
        <v>0</v>
      </c>
      <c r="F552" s="1112">
        <f t="shared" ref="F552:M552" si="149">F556+F560+F564</f>
        <v>0</v>
      </c>
      <c r="G552" s="1112">
        <f t="shared" si="149"/>
        <v>0</v>
      </c>
      <c r="H552" s="1112">
        <f t="shared" si="149"/>
        <v>0</v>
      </c>
      <c r="I552" s="1112">
        <f t="shared" si="149"/>
        <v>0</v>
      </c>
      <c r="J552" s="1112">
        <f t="shared" si="149"/>
        <v>0</v>
      </c>
      <c r="K552" s="1112">
        <f t="shared" si="149"/>
        <v>0</v>
      </c>
      <c r="L552" s="1112">
        <f t="shared" si="149"/>
        <v>0</v>
      </c>
      <c r="M552" s="1112">
        <f t="shared" si="149"/>
        <v>0</v>
      </c>
      <c r="N552" s="1624" t="s">
        <v>1301</v>
      </c>
      <c r="O552" s="1119" t="s">
        <v>1301</v>
      </c>
      <c r="P552" s="1056"/>
      <c r="R552" s="1026"/>
      <c r="S552" s="1026"/>
      <c r="T552" s="1026"/>
      <c r="U552" s="1026"/>
      <c r="V552" s="1026"/>
      <c r="W552" s="1026"/>
      <c r="X552" s="1026"/>
      <c r="Y552" s="1026"/>
    </row>
    <row r="553" spans="1:25" s="1145" customFormat="1" ht="168" customHeight="1" outlineLevel="1">
      <c r="A553" s="1123" t="s">
        <v>872</v>
      </c>
      <c r="B553" s="1139" t="str">
        <f>'Пр 5.Мер-я по кап.влож.в ОС '!B14</f>
        <v>Корректировка Проектной документации на объект капитального строительства: «Строительство сетей водоотведения микрорайонов «Кошелев-проект, Ташир, кварталов № 5-19, 22, 23 в районе д. Верховая, д. Квань, г. Калуга»</v>
      </c>
      <c r="C553" s="1125"/>
      <c r="D553" s="1125" t="s">
        <v>874</v>
      </c>
      <c r="E553" s="1125"/>
      <c r="F553" s="1125"/>
      <c r="G553" s="1125">
        <f>H553/1.2</f>
        <v>32679.791415648004</v>
      </c>
      <c r="H553" s="1125">
        <f>SUM(I553:M553)</f>
        <v>39215.749698777603</v>
      </c>
      <c r="I553" s="1635">
        <f>Строительство!O25/1000</f>
        <v>0</v>
      </c>
      <c r="J553" s="1125">
        <f>Строительство!P25/1000</f>
        <v>19607.874849388802</v>
      </c>
      <c r="K553" s="1125">
        <f>Строительство!Q25/1000</f>
        <v>19607.874849388802</v>
      </c>
      <c r="L553" s="1125"/>
      <c r="M553" s="1125"/>
      <c r="N553" s="1626" t="s">
        <v>14930</v>
      </c>
      <c r="O553" s="1126" t="s">
        <v>1300</v>
      </c>
      <c r="P553" s="1141"/>
      <c r="R553" s="1155"/>
      <c r="S553" s="1155"/>
      <c r="T553" s="1155"/>
      <c r="U553" s="1155"/>
      <c r="V553" s="1155"/>
      <c r="W553" s="1155"/>
      <c r="X553" s="1155"/>
      <c r="Y553" s="1155"/>
    </row>
    <row r="554" spans="1:25" ht="39" customHeight="1" outlineLevel="1">
      <c r="A554" s="1051"/>
      <c r="B554" s="1083" t="s">
        <v>10</v>
      </c>
      <c r="C554" s="1094"/>
      <c r="D554" s="1094" t="str">
        <f>$D$553</f>
        <v xml:space="preserve">г.Калуга, в районе д. Верховая, д. Квань </v>
      </c>
      <c r="E554" s="1094"/>
      <c r="F554" s="1094"/>
      <c r="G554" s="1094">
        <f>H554/1.2</f>
        <v>32679.791415648004</v>
      </c>
      <c r="H554" s="1099">
        <f>SUM(I554:M554)</f>
        <v>39215.749698777603</v>
      </c>
      <c r="I554" s="1168">
        <f>I553</f>
        <v>0</v>
      </c>
      <c r="J554" s="1094">
        <f>J553</f>
        <v>19607.874849388802</v>
      </c>
      <c r="K554" s="1094">
        <f>K553</f>
        <v>19607.874849388802</v>
      </c>
      <c r="L554" s="1094"/>
      <c r="M554" s="1094"/>
      <c r="N554" s="1627"/>
      <c r="O554" s="1054" t="s">
        <v>1300</v>
      </c>
      <c r="P554" s="1076"/>
    </row>
    <row r="555" spans="1:25" ht="39" customHeight="1" outlineLevel="1">
      <c r="A555" s="1051"/>
      <c r="B555" s="1083" t="s">
        <v>9</v>
      </c>
      <c r="C555" s="1094"/>
      <c r="D555" s="1094" t="str">
        <f>$D$553</f>
        <v xml:space="preserve">г.Калуга, в районе д. Верховая, д. Квань </v>
      </c>
      <c r="E555" s="1094"/>
      <c r="F555" s="1094"/>
      <c r="G555" s="1094">
        <f>H555/1.2</f>
        <v>0</v>
      </c>
      <c r="H555" s="1099">
        <f>SUM(I555:M555)</f>
        <v>0</v>
      </c>
      <c r="I555" s="1168"/>
      <c r="J555" s="1094"/>
      <c r="K555" s="1094"/>
      <c r="L555" s="1094"/>
      <c r="M555" s="1094"/>
      <c r="N555" s="1627"/>
      <c r="O555" s="1054" t="s">
        <v>1300</v>
      </c>
      <c r="P555" s="1955"/>
    </row>
    <row r="556" spans="1:25" ht="39" customHeight="1" outlineLevel="1">
      <c r="A556" s="1051"/>
      <c r="B556" s="1083" t="s">
        <v>14</v>
      </c>
      <c r="C556" s="1094"/>
      <c r="D556" s="1094" t="str">
        <f>$D$553</f>
        <v xml:space="preserve">г.Калуга, в районе д. Верховая, д. Квань </v>
      </c>
      <c r="E556" s="1094"/>
      <c r="F556" s="1094"/>
      <c r="G556" s="1094"/>
      <c r="H556" s="1099">
        <f>SUM(I556:M556)</f>
        <v>0</v>
      </c>
      <c r="I556" s="1168"/>
      <c r="J556" s="1094"/>
      <c r="K556" s="1094"/>
      <c r="L556" s="1094"/>
      <c r="M556" s="1094"/>
      <c r="N556" s="1627"/>
      <c r="O556" s="1054" t="s">
        <v>1300</v>
      </c>
      <c r="P556" s="1076"/>
    </row>
    <row r="557" spans="1:25" s="1145" customFormat="1" ht="136.5" customHeight="1" outlineLevel="1">
      <c r="A557" s="1123" t="s">
        <v>873</v>
      </c>
      <c r="B557" s="1139" t="str">
        <f>'Пр 5.Мер-я по кап.влож.в ОС '!B20</f>
        <v>Строительство напорной линии канализации от КНС до камеры гашения (район развлекательного комплекса "Ёлки-палки")  протяженностью 1000 п.м., восстановление КНС</v>
      </c>
      <c r="C557" s="1125">
        <v>1000</v>
      </c>
      <c r="D557" s="1125" t="s">
        <v>907</v>
      </c>
      <c r="E557" s="1125"/>
      <c r="F557" s="1125"/>
      <c r="G557" s="1125">
        <f>SUM(G558:G560)</f>
        <v>45347.426933427247</v>
      </c>
      <c r="H557" s="1125">
        <f t="shared" ref="H557:M557" si="150">SUM(H558:H560)</f>
        <v>54416.912320112686</v>
      </c>
      <c r="I557" s="1125">
        <f t="shared" si="150"/>
        <v>0</v>
      </c>
      <c r="J557" s="1125">
        <f t="shared" si="150"/>
        <v>0</v>
      </c>
      <c r="K557" s="1125">
        <f t="shared" si="150"/>
        <v>0</v>
      </c>
      <c r="L557" s="1125">
        <f t="shared" si="150"/>
        <v>54416.912320112686</v>
      </c>
      <c r="M557" s="1125">
        <f t="shared" si="150"/>
        <v>0</v>
      </c>
      <c r="N557" s="1626" t="s">
        <v>541</v>
      </c>
      <c r="O557" s="1126" t="s">
        <v>1300</v>
      </c>
      <c r="P557" s="1141"/>
      <c r="R557" s="1155"/>
      <c r="S557" s="1155"/>
      <c r="T557" s="1155"/>
      <c r="U557" s="1155"/>
      <c r="V557" s="1155"/>
      <c r="W557" s="1155"/>
      <c r="X557" s="1155"/>
      <c r="Y557" s="1155"/>
    </row>
    <row r="558" spans="1:25" ht="55.5" outlineLevel="1">
      <c r="A558" s="1051"/>
      <c r="B558" s="1083" t="s">
        <v>10</v>
      </c>
      <c r="C558" s="1094"/>
      <c r="D558" s="1094" t="str">
        <f>$D$557</f>
        <v xml:space="preserve">г.Калуга ,район развлекательного комплекса "Ёлки - палки" </v>
      </c>
      <c r="E558" s="1094"/>
      <c r="F558" s="1094"/>
      <c r="G558" s="1094">
        <f>H558/1.2</f>
        <v>1273.6910763390822</v>
      </c>
      <c r="H558" s="1094">
        <f>SUM(I558:M558)</f>
        <v>1528.4292916068987</v>
      </c>
      <c r="I558" s="1168"/>
      <c r="J558" s="1168"/>
      <c r="K558" s="1168"/>
      <c r="L558" s="1168">
        <f>1261052.4/1000*105.3/100*104.8/100*104.8/100*104.8/100</f>
        <v>1528.4292916068987</v>
      </c>
      <c r="M558" s="1094"/>
      <c r="N558" s="1627"/>
      <c r="O558" s="1054" t="s">
        <v>1300</v>
      </c>
      <c r="P558" s="1076"/>
    </row>
    <row r="559" spans="1:25" ht="55.5" outlineLevel="1">
      <c r="A559" s="1051"/>
      <c r="B559" s="1083" t="s">
        <v>9</v>
      </c>
      <c r="C559" s="1094"/>
      <c r="D559" s="1094" t="str">
        <f>$D$557</f>
        <v xml:space="preserve">г.Калуга ,район развлекательного комплекса "Ёлки - палки" </v>
      </c>
      <c r="E559" s="1094"/>
      <c r="F559" s="1094"/>
      <c r="G559" s="1094">
        <f>H559/1.2</f>
        <v>44073.735857088162</v>
      </c>
      <c r="H559" s="1094">
        <f>SUM(I559:M559)</f>
        <v>52888.483028505791</v>
      </c>
      <c r="I559" s="1168"/>
      <c r="J559" s="1168"/>
      <c r="K559" s="1168"/>
      <c r="L559" s="1094">
        <f>Строительство!R23/1000-L558</f>
        <v>52888.483028505791</v>
      </c>
      <c r="M559" s="1094"/>
      <c r="N559" s="1627"/>
      <c r="O559" s="1054" t="s">
        <v>1300</v>
      </c>
      <c r="P559" s="1076"/>
    </row>
    <row r="560" spans="1:25" ht="55.5" outlineLevel="1">
      <c r="A560" s="1051"/>
      <c r="B560" s="1083" t="s">
        <v>14</v>
      </c>
      <c r="C560" s="1094"/>
      <c r="D560" s="1094" t="str">
        <f>$D$557</f>
        <v xml:space="preserve">г.Калуга ,район развлекательного комплекса "Ёлки - палки" </v>
      </c>
      <c r="E560" s="1094"/>
      <c r="F560" s="1094"/>
      <c r="G560" s="1094"/>
      <c r="H560" s="1094">
        <f>SUM(I560:M560)</f>
        <v>0</v>
      </c>
      <c r="I560" s="1168"/>
      <c r="J560" s="1094"/>
      <c r="K560" s="1094"/>
      <c r="L560" s="1094"/>
      <c r="M560" s="1094"/>
      <c r="N560" s="1627"/>
      <c r="O560" s="1054" t="s">
        <v>1300</v>
      </c>
      <c r="P560" s="1076"/>
    </row>
    <row r="561" spans="1:25" s="1145" customFormat="1" ht="90" customHeight="1" outlineLevel="1">
      <c r="A561" s="1123" t="s">
        <v>875</v>
      </c>
      <c r="B561" s="1139" t="str">
        <f>'Пр 5.Мер-я по кап.влож.в ОС '!B21</f>
        <v>Строительство напорной канализации в 2 нитки Ду200 до КНС "Росва" протяженностью 2500 п.м. (д. Яглово)</v>
      </c>
      <c r="C561" s="1125">
        <v>2500</v>
      </c>
      <c r="D561" s="1125" t="s">
        <v>14959</v>
      </c>
      <c r="E561" s="1125"/>
      <c r="F561" s="1125"/>
      <c r="G561" s="1125">
        <f t="shared" ref="G561:M561" si="151">SUM(G562:G564)</f>
        <v>58147.283489763824</v>
      </c>
      <c r="H561" s="1125">
        <f t="shared" si="151"/>
        <v>69776.740187716583</v>
      </c>
      <c r="I561" s="1125">
        <f t="shared" si="151"/>
        <v>0</v>
      </c>
      <c r="J561" s="1125">
        <f t="shared" si="151"/>
        <v>0</v>
      </c>
      <c r="K561" s="1125">
        <f t="shared" si="151"/>
        <v>0</v>
      </c>
      <c r="L561" s="1125">
        <f t="shared" si="151"/>
        <v>1981.746703262153</v>
      </c>
      <c r="M561" s="1125">
        <f t="shared" si="151"/>
        <v>67794.993484454433</v>
      </c>
      <c r="N561" s="1626" t="s">
        <v>15158</v>
      </c>
      <c r="O561" s="1126" t="s">
        <v>1300</v>
      </c>
      <c r="P561" s="1141"/>
      <c r="R561" s="1155"/>
      <c r="S561" s="1155"/>
      <c r="T561" s="1155"/>
      <c r="U561" s="1155"/>
      <c r="V561" s="1155"/>
      <c r="W561" s="1155"/>
      <c r="X561" s="1155"/>
      <c r="Y561" s="1155"/>
    </row>
    <row r="562" spans="1:25" ht="39" customHeight="1" outlineLevel="1">
      <c r="A562" s="1051"/>
      <c r="B562" s="1083" t="s">
        <v>10</v>
      </c>
      <c r="C562" s="1094"/>
      <c r="D562" s="1094" t="str">
        <f>$D$561</f>
        <v>г.Калуга, д. Яглово</v>
      </c>
      <c r="E562" s="1094"/>
      <c r="F562" s="1094"/>
      <c r="G562" s="1094">
        <f>H562/1.2</f>
        <v>1651.4555860517942</v>
      </c>
      <c r="H562" s="1094">
        <f>SUM(I562:M562)</f>
        <v>1981.746703262153</v>
      </c>
      <c r="I562" s="1168"/>
      <c r="J562" s="1094"/>
      <c r="K562" s="1094"/>
      <c r="L562" s="1094">
        <f>(1635068.4*105.3/100*104.8/100*104.8/100*104.8/100)/1000</f>
        <v>1981.746703262153</v>
      </c>
      <c r="M562" s="1094"/>
      <c r="N562" s="1627"/>
      <c r="O562" s="1054" t="s">
        <v>1300</v>
      </c>
      <c r="P562" s="1076"/>
    </row>
    <row r="563" spans="1:25" ht="39" customHeight="1" outlineLevel="1">
      <c r="A563" s="1051"/>
      <c r="B563" s="1083" t="s">
        <v>9</v>
      </c>
      <c r="C563" s="1094"/>
      <c r="D563" s="1094" t="str">
        <f>$D$561</f>
        <v>г.Калуга, д. Яглово</v>
      </c>
      <c r="E563" s="1094"/>
      <c r="F563" s="1094"/>
      <c r="G563" s="1094">
        <f>H563/1.2</f>
        <v>56495.82790371203</v>
      </c>
      <c r="H563" s="1094">
        <f>SUM(I563:M563)</f>
        <v>67794.993484454433</v>
      </c>
      <c r="I563" s="1168"/>
      <c r="J563" s="1094"/>
      <c r="K563" s="1094"/>
      <c r="L563" s="1094"/>
      <c r="M563" s="1094">
        <f>Строительство!S24/1000</f>
        <v>67794.993484454433</v>
      </c>
      <c r="N563" s="1627"/>
      <c r="O563" s="1054" t="s">
        <v>1300</v>
      </c>
      <c r="P563" s="1076"/>
    </row>
    <row r="564" spans="1:25" ht="39" customHeight="1" outlineLevel="1">
      <c r="A564" s="1051"/>
      <c r="B564" s="1083" t="s">
        <v>14</v>
      </c>
      <c r="C564" s="1094"/>
      <c r="D564" s="1094" t="str">
        <f>$D$561</f>
        <v>г.Калуга, д. Яглово</v>
      </c>
      <c r="E564" s="1094"/>
      <c r="F564" s="1094"/>
      <c r="G564" s="1094"/>
      <c r="H564" s="1094">
        <f>SUM(I564:M564)</f>
        <v>0</v>
      </c>
      <c r="I564" s="1168"/>
      <c r="J564" s="1094"/>
      <c r="K564" s="1094"/>
      <c r="L564" s="1094"/>
      <c r="M564" s="1094"/>
      <c r="N564" s="1627"/>
      <c r="O564" s="1054" t="s">
        <v>1300</v>
      </c>
      <c r="P564" s="1076"/>
    </row>
    <row r="565" spans="1:25" s="1114" customFormat="1" ht="117.75" hidden="1" customHeight="1">
      <c r="A565" s="1140" t="s">
        <v>2197</v>
      </c>
      <c r="B565" s="1120" t="s">
        <v>2199</v>
      </c>
      <c r="C565" s="1112"/>
      <c r="D565" s="1112" t="s">
        <v>1083</v>
      </c>
      <c r="E565" s="1112"/>
      <c r="F565" s="1112"/>
      <c r="G565" s="1112">
        <f>H565/1.2</f>
        <v>0</v>
      </c>
      <c r="H565" s="1112">
        <f>SUM(I565:M565)</f>
        <v>0</v>
      </c>
      <c r="I565" s="1112"/>
      <c r="J565" s="1112"/>
      <c r="K565" s="1112"/>
      <c r="L565" s="1112"/>
      <c r="M565" s="1112"/>
      <c r="N565" s="1624" t="s">
        <v>1083</v>
      </c>
      <c r="O565" s="1118" t="s">
        <v>1083</v>
      </c>
      <c r="P565" s="1107"/>
    </row>
    <row r="566" spans="1:25" s="1108" customFormat="1" ht="39" hidden="1" customHeight="1">
      <c r="A566" s="1140"/>
      <c r="B566" s="2215"/>
      <c r="C566" s="1112"/>
      <c r="D566" s="1117"/>
      <c r="E566" s="1112"/>
      <c r="F566" s="1112"/>
      <c r="G566" s="1112"/>
      <c r="H566" s="1112"/>
      <c r="I566" s="1112"/>
      <c r="J566" s="1112"/>
      <c r="K566" s="1112"/>
      <c r="L566" s="1112"/>
      <c r="M566" s="1112"/>
      <c r="N566" s="1624"/>
      <c r="O566" s="1118" t="s">
        <v>1083</v>
      </c>
      <c r="P566" s="1107"/>
      <c r="R566" s="1109"/>
      <c r="S566" s="1109"/>
      <c r="T566" s="1109"/>
      <c r="U566" s="1109"/>
      <c r="V566" s="1109"/>
      <c r="W566" s="1109"/>
      <c r="X566" s="1109"/>
      <c r="Y566" s="1109"/>
    </row>
    <row r="567" spans="1:25" s="1108" customFormat="1" ht="39" hidden="1" customHeight="1">
      <c r="A567" s="1140"/>
      <c r="B567" s="2216"/>
      <c r="C567" s="1112"/>
      <c r="D567" s="1117" t="str">
        <f>D565</f>
        <v>-</v>
      </c>
      <c r="E567" s="1112"/>
      <c r="F567" s="1112"/>
      <c r="G567" s="1112">
        <f>H567/1.2</f>
        <v>0</v>
      </c>
      <c r="H567" s="1112">
        <f>SUM(I567:M567)</f>
        <v>0</v>
      </c>
      <c r="I567" s="1112"/>
      <c r="J567" s="1112"/>
      <c r="K567" s="1112"/>
      <c r="L567" s="1112"/>
      <c r="M567" s="1112"/>
      <c r="N567" s="1624" t="str">
        <f>N565</f>
        <v>-</v>
      </c>
      <c r="O567" s="1118" t="str">
        <f>O565</f>
        <v>-</v>
      </c>
      <c r="P567" s="1107"/>
      <c r="R567" s="1109"/>
      <c r="S567" s="1109"/>
      <c r="T567" s="1109"/>
      <c r="U567" s="1109"/>
      <c r="V567" s="1109"/>
      <c r="W567" s="1109"/>
      <c r="X567" s="1109"/>
      <c r="Y567" s="1109"/>
    </row>
    <row r="568" spans="1:25" s="1108" customFormat="1" ht="39" hidden="1" customHeight="1">
      <c r="A568" s="1140"/>
      <c r="B568" s="2216"/>
      <c r="C568" s="1112"/>
      <c r="D568" s="1117"/>
      <c r="E568" s="1112"/>
      <c r="F568" s="1112"/>
      <c r="G568" s="1112"/>
      <c r="H568" s="1112"/>
      <c r="I568" s="1112"/>
      <c r="J568" s="1112"/>
      <c r="K568" s="1112"/>
      <c r="L568" s="1112"/>
      <c r="M568" s="1112"/>
      <c r="N568" s="1624"/>
      <c r="O568" s="1118" t="s">
        <v>1083</v>
      </c>
      <c r="P568" s="1107"/>
      <c r="R568" s="1109"/>
      <c r="S568" s="1109"/>
      <c r="T568" s="1109"/>
      <c r="U568" s="1109"/>
      <c r="V568" s="1109"/>
      <c r="W568" s="1109"/>
      <c r="X568" s="1109"/>
      <c r="Y568" s="1109"/>
    </row>
    <row r="569" spans="1:25" s="1025" customFormat="1" ht="46.5" customHeight="1">
      <c r="A569" s="2165"/>
      <c r="B569" s="2183" t="s">
        <v>24</v>
      </c>
      <c r="C569" s="1099">
        <f>SUM(C8,C321)</f>
        <v>48201.229999999996</v>
      </c>
      <c r="D569" s="1099"/>
      <c r="E569" s="1099"/>
      <c r="F569" s="1099">
        <f t="shared" ref="F569:M572" si="152">SUM(F8,F321)</f>
        <v>22865.821799999998</v>
      </c>
      <c r="G569" s="1099">
        <f t="shared" si="152"/>
        <v>2795249.8912253636</v>
      </c>
      <c r="H569" s="1099">
        <f t="shared" si="152"/>
        <v>3354299.8694704361</v>
      </c>
      <c r="I569" s="1099">
        <f t="shared" si="152"/>
        <v>365249.69156951574</v>
      </c>
      <c r="J569" s="1099">
        <f t="shared" si="152"/>
        <v>820287.73565725656</v>
      </c>
      <c r="K569" s="1099">
        <f t="shared" si="152"/>
        <v>532769.35118722101</v>
      </c>
      <c r="L569" s="1099">
        <f t="shared" si="152"/>
        <v>728397.47004162113</v>
      </c>
      <c r="M569" s="1099">
        <f t="shared" si="152"/>
        <v>907595.62101482158</v>
      </c>
      <c r="N569" s="1627" t="s">
        <v>1301</v>
      </c>
      <c r="O569" s="2166" t="s">
        <v>1301</v>
      </c>
      <c r="P569" s="1056"/>
      <c r="R569" s="1026"/>
      <c r="S569" s="1026"/>
      <c r="T569" s="1026"/>
      <c r="U569" s="1026"/>
      <c r="V569" s="1026"/>
      <c r="W569" s="1026"/>
      <c r="X569" s="1026"/>
      <c r="Y569" s="1026"/>
    </row>
    <row r="570" spans="1:25" s="1025" customFormat="1" ht="44.25" customHeight="1">
      <c r="A570" s="2165"/>
      <c r="B570" s="1148" t="s">
        <v>10</v>
      </c>
      <c r="C570" s="1099">
        <f>SUM(C9,C322)</f>
        <v>0</v>
      </c>
      <c r="D570" s="1099"/>
      <c r="E570" s="1099"/>
      <c r="F570" s="1099">
        <f t="shared" si="152"/>
        <v>0</v>
      </c>
      <c r="G570" s="1099">
        <f t="shared" si="152"/>
        <v>227513.88018412321</v>
      </c>
      <c r="H570" s="1099">
        <f t="shared" si="152"/>
        <v>273016.65622094786</v>
      </c>
      <c r="I570" s="1099">
        <f t="shared" si="152"/>
        <v>178487.25283668839</v>
      </c>
      <c r="J570" s="1099">
        <f t="shared" si="152"/>
        <v>51910.263471139202</v>
      </c>
      <c r="K570" s="1099">
        <f t="shared" si="152"/>
        <v>37024.991918251202</v>
      </c>
      <c r="L570" s="1099">
        <f t="shared" si="152"/>
        <v>5594.1479948690512</v>
      </c>
      <c r="M570" s="1099">
        <f t="shared" si="152"/>
        <v>0</v>
      </c>
      <c r="N570" s="1627" t="s">
        <v>1301</v>
      </c>
      <c r="O570" s="2166" t="s">
        <v>1301</v>
      </c>
      <c r="P570" s="1056"/>
      <c r="R570" s="1026"/>
      <c r="S570" s="1026"/>
      <c r="T570" s="1026"/>
      <c r="U570" s="1026"/>
      <c r="V570" s="1026"/>
      <c r="W570" s="1026"/>
      <c r="X570" s="1026"/>
      <c r="Y570" s="1026"/>
    </row>
    <row r="571" spans="1:25" s="1025" customFormat="1" ht="42" customHeight="1">
      <c r="A571" s="2165"/>
      <c r="B571" s="1148" t="s">
        <v>9</v>
      </c>
      <c r="C571" s="1099">
        <f>SUM(C10,C323)</f>
        <v>0</v>
      </c>
      <c r="D571" s="1099"/>
      <c r="E571" s="1099"/>
      <c r="F571" s="1099">
        <f t="shared" si="152"/>
        <v>0</v>
      </c>
      <c r="G571" s="1099">
        <f t="shared" si="152"/>
        <v>2452768.5262614824</v>
      </c>
      <c r="H571" s="1099">
        <f t="shared" si="152"/>
        <v>2943322.2315137787</v>
      </c>
      <c r="I571" s="1099">
        <f t="shared" si="152"/>
        <v>166148.45462199155</v>
      </c>
      <c r="J571" s="1099">
        <f t="shared" si="152"/>
        <v>700667.0697960963</v>
      </c>
      <c r="K571" s="1099">
        <f t="shared" si="152"/>
        <v>473881.19033400301</v>
      </c>
      <c r="L571" s="1099">
        <f t="shared" si="152"/>
        <v>708247.19268406311</v>
      </c>
      <c r="M571" s="1099">
        <f t="shared" si="152"/>
        <v>894378.32407762494</v>
      </c>
      <c r="N571" s="1627" t="s">
        <v>1301</v>
      </c>
      <c r="O571" s="2166" t="s">
        <v>1301</v>
      </c>
      <c r="P571" s="1056"/>
      <c r="R571" s="1026"/>
      <c r="S571" s="1026"/>
      <c r="T571" s="1026"/>
      <c r="U571" s="1026"/>
      <c r="V571" s="1026"/>
      <c r="W571" s="1026"/>
      <c r="X571" s="1026"/>
      <c r="Y571" s="1026"/>
    </row>
    <row r="572" spans="1:25" s="1025" customFormat="1" ht="46.5" customHeight="1">
      <c r="A572" s="2165"/>
      <c r="B572" s="1148" t="s">
        <v>14</v>
      </c>
      <c r="C572" s="1099">
        <f>SUM(C11,C324)</f>
        <v>0</v>
      </c>
      <c r="D572" s="1099"/>
      <c r="E572" s="1099"/>
      <c r="F572" s="1099">
        <f t="shared" si="152"/>
        <v>0</v>
      </c>
      <c r="G572" s="1099">
        <f t="shared" si="152"/>
        <v>114967.48477975774</v>
      </c>
      <c r="H572" s="1099">
        <f t="shared" si="152"/>
        <v>137960.98173570933</v>
      </c>
      <c r="I572" s="1099">
        <f t="shared" si="152"/>
        <v>20613.984110835823</v>
      </c>
      <c r="J572" s="1099">
        <f t="shared" si="152"/>
        <v>67710.402390021118</v>
      </c>
      <c r="K572" s="1099">
        <f t="shared" si="152"/>
        <v>21863.168934966769</v>
      </c>
      <c r="L572" s="1099">
        <f t="shared" si="152"/>
        <v>14556.129362689026</v>
      </c>
      <c r="M572" s="1099">
        <f t="shared" si="152"/>
        <v>13217.296937196588</v>
      </c>
      <c r="N572" s="1627" t="s">
        <v>1301</v>
      </c>
      <c r="O572" s="2166" t="s">
        <v>1301</v>
      </c>
      <c r="P572" s="1056"/>
      <c r="R572" s="1026"/>
      <c r="S572" s="1026"/>
      <c r="T572" s="1026"/>
      <c r="U572" s="1026"/>
      <c r="V572" s="1026"/>
      <c r="W572" s="1026"/>
      <c r="X572" s="1026"/>
      <c r="Y572" s="1026"/>
    </row>
    <row r="575" spans="1:25">
      <c r="I575" s="1107"/>
      <c r="J575" s="1107"/>
      <c r="K575" s="1107"/>
      <c r="L575" s="1107"/>
      <c r="M575" s="1107"/>
      <c r="O575" s="1167"/>
    </row>
    <row r="576" spans="1:25">
      <c r="J576" s="1107"/>
    </row>
    <row r="577" spans="10:10">
      <c r="J577" s="1107"/>
    </row>
    <row r="578" spans="10:10">
      <c r="J578" s="1107"/>
    </row>
    <row r="580" spans="10:10">
      <c r="J580" s="1107"/>
    </row>
    <row r="581" spans="10:10">
      <c r="J581" s="1107"/>
    </row>
    <row r="582" spans="10:10">
      <c r="J582" s="1107"/>
    </row>
    <row r="583" spans="10:10">
      <c r="J583" s="1107"/>
    </row>
    <row r="584" spans="10:10">
      <c r="J584" s="1107"/>
    </row>
    <row r="585" spans="10:10">
      <c r="J585" s="1107"/>
    </row>
    <row r="586" spans="10:10">
      <c r="J586" s="1107"/>
    </row>
    <row r="587" spans="10:10">
      <c r="J587" s="1107"/>
    </row>
    <row r="588" spans="10:10">
      <c r="J588" s="1107"/>
    </row>
    <row r="589" spans="10:10">
      <c r="J589" s="1107"/>
    </row>
    <row r="590" spans="10:10">
      <c r="J590" s="1107"/>
    </row>
    <row r="591" spans="10:10">
      <c r="J591" s="1107"/>
    </row>
    <row r="592" spans="10:10">
      <c r="J592" s="1107"/>
    </row>
    <row r="593" spans="10:10">
      <c r="J593" s="1107"/>
    </row>
    <row r="594" spans="10:10">
      <c r="J594" s="1107"/>
    </row>
    <row r="595" spans="10:10">
      <c r="J595" s="1107"/>
    </row>
    <row r="596" spans="10:10">
      <c r="J596" s="1107"/>
    </row>
    <row r="597" spans="10:10">
      <c r="J597" s="1107"/>
    </row>
    <row r="598" spans="10:10">
      <c r="J598" s="1107"/>
    </row>
    <row r="599" spans="10:10">
      <c r="J599" s="1107"/>
    </row>
    <row r="600" spans="10:10">
      <c r="J600" s="1107"/>
    </row>
    <row r="601" spans="10:10">
      <c r="J601" s="1107"/>
    </row>
    <row r="602" spans="10:10">
      <c r="J602" s="1107"/>
    </row>
    <row r="603" spans="10:10">
      <c r="J603" s="1107"/>
    </row>
    <row r="604" spans="10:10">
      <c r="J604" s="1107"/>
    </row>
    <row r="605" spans="10:10">
      <c r="J605" s="1107"/>
    </row>
    <row r="606" spans="10:10">
      <c r="J606" s="1107"/>
    </row>
    <row r="607" spans="10:10">
      <c r="J607" s="1107"/>
    </row>
    <row r="608" spans="10:10">
      <c r="J608" s="1107"/>
    </row>
    <row r="609" spans="10:10">
      <c r="J609" s="1107"/>
    </row>
    <row r="610" spans="10:10">
      <c r="J610" s="1107"/>
    </row>
    <row r="611" spans="10:10">
      <c r="J611" s="1107"/>
    </row>
    <row r="612" spans="10:10">
      <c r="J612" s="1107"/>
    </row>
    <row r="613" spans="10:10">
      <c r="J613" s="1107"/>
    </row>
    <row r="614" spans="10:10">
      <c r="J614" s="1107"/>
    </row>
    <row r="615" spans="10:10">
      <c r="J615" s="1107"/>
    </row>
    <row r="616" spans="10:10">
      <c r="J616" s="1107"/>
    </row>
    <row r="617" spans="10:10">
      <c r="J617" s="1107"/>
    </row>
    <row r="618" spans="10:10">
      <c r="J618" s="1107"/>
    </row>
    <row r="619" spans="10:10">
      <c r="J619" s="1107"/>
    </row>
    <row r="620" spans="10:10">
      <c r="J620" s="1107"/>
    </row>
    <row r="621" spans="10:10">
      <c r="J621" s="1107"/>
    </row>
    <row r="622" spans="10:10">
      <c r="J622" s="1107"/>
    </row>
    <row r="623" spans="10:10">
      <c r="J623" s="1107"/>
    </row>
    <row r="624" spans="10:10">
      <c r="J624" s="1107"/>
    </row>
    <row r="625" spans="10:10">
      <c r="J625" s="1107"/>
    </row>
    <row r="626" spans="10:10">
      <c r="J626" s="1107"/>
    </row>
    <row r="627" spans="10:10">
      <c r="J627" s="1107"/>
    </row>
    <row r="628" spans="10:10">
      <c r="J628" s="1107"/>
    </row>
    <row r="629" spans="10:10">
      <c r="J629" s="1107"/>
    </row>
    <row r="630" spans="10:10">
      <c r="J630" s="1107"/>
    </row>
    <row r="631" spans="10:10">
      <c r="J631" s="1107"/>
    </row>
    <row r="632" spans="10:10">
      <c r="J632" s="1107"/>
    </row>
    <row r="633" spans="10:10">
      <c r="J633" s="1107"/>
    </row>
    <row r="634" spans="10:10">
      <c r="J634" s="1107"/>
    </row>
    <row r="635" spans="10:10">
      <c r="J635" s="1107"/>
    </row>
    <row r="636" spans="10:10">
      <c r="J636" s="1107"/>
    </row>
    <row r="637" spans="10:10">
      <c r="J637" s="1107"/>
    </row>
    <row r="638" spans="10:10">
      <c r="J638" s="1107"/>
    </row>
    <row r="639" spans="10:10">
      <c r="J639" s="1107"/>
    </row>
    <row r="640" spans="10:10">
      <c r="J640" s="1107"/>
    </row>
    <row r="641" spans="10:10">
      <c r="J641" s="1107"/>
    </row>
    <row r="642" spans="10:10">
      <c r="J642" s="1107"/>
    </row>
    <row r="643" spans="10:10">
      <c r="J643" s="1107"/>
    </row>
    <row r="644" spans="10:10">
      <c r="J644" s="1107"/>
    </row>
    <row r="645" spans="10:10">
      <c r="J645" s="1107"/>
    </row>
    <row r="646" spans="10:10">
      <c r="J646" s="1107"/>
    </row>
    <row r="647" spans="10:10">
      <c r="J647" s="1107"/>
    </row>
    <row r="648" spans="10:10">
      <c r="J648" s="1107"/>
    </row>
    <row r="649" spans="10:10">
      <c r="J649" s="1107"/>
    </row>
    <row r="650" spans="10:10">
      <c r="J650" s="1107"/>
    </row>
    <row r="651" spans="10:10">
      <c r="J651" s="1107"/>
    </row>
    <row r="652" spans="10:10">
      <c r="J652" s="1107"/>
    </row>
    <row r="653" spans="10:10">
      <c r="J653" s="1107"/>
    </row>
    <row r="654" spans="10:10">
      <c r="J654" s="1107"/>
    </row>
    <row r="655" spans="10:10">
      <c r="J655" s="1107"/>
    </row>
    <row r="656" spans="10:10">
      <c r="J656" s="1107"/>
    </row>
    <row r="657" spans="10:10">
      <c r="J657" s="1107"/>
    </row>
    <row r="658" spans="10:10">
      <c r="J658" s="1107"/>
    </row>
    <row r="659" spans="10:10">
      <c r="J659" s="1107"/>
    </row>
    <row r="660" spans="10:10">
      <c r="J660" s="1107"/>
    </row>
    <row r="661" spans="10:10">
      <c r="J661" s="1107"/>
    </row>
    <row r="662" spans="10:10">
      <c r="J662" s="1107"/>
    </row>
    <row r="663" spans="10:10">
      <c r="J663" s="1107"/>
    </row>
    <row r="664" spans="10:10">
      <c r="J664" s="1107"/>
    </row>
    <row r="665" spans="10:10">
      <c r="J665" s="1107"/>
    </row>
    <row r="666" spans="10:10">
      <c r="J666" s="1107"/>
    </row>
    <row r="667" spans="10:10">
      <c r="J667" s="1107"/>
    </row>
  </sheetData>
  <autoFilter ref="A6:X572">
    <filterColumn colId="14">
      <filters>
        <filter val="*"/>
        <filter val="амортизационные отчисления"/>
        <filter val="бюджет муниципального образования"/>
        <filter val="капитальные вложения из прибыли предприятия"/>
        <filter val="плата за подключение (по тарифам на подключение)"/>
        <filter val="плата за подключение в индивидуальном порядке"/>
        <filter val="прочие"/>
        <filter val="средства, полученные в виде платы за негативное воздействие на работу централизованной системы водоотведения"/>
      </filters>
    </filterColumn>
  </autoFilter>
  <mergeCells count="12">
    <mergeCell ref="O4:O5"/>
    <mergeCell ref="N4:N5"/>
    <mergeCell ref="D4:D5"/>
    <mergeCell ref="E4:E5"/>
    <mergeCell ref="G4:G5"/>
    <mergeCell ref="H4:H5"/>
    <mergeCell ref="F4:F5"/>
    <mergeCell ref="A2:N2"/>
    <mergeCell ref="A4:A5"/>
    <mergeCell ref="B4:B5"/>
    <mergeCell ref="C4:C5"/>
    <mergeCell ref="I4:M4"/>
  </mergeCells>
  <printOptions horizontalCentered="1"/>
  <pageMargins left="0" right="0" top="0.39370078740157483" bottom="0.39370078740157483" header="0" footer="0"/>
  <pageSetup paperSize="9" scale="16" fitToWidth="0" fitToHeight="0" orientation="landscape" r:id="rId1"/>
  <rowBreaks count="2" manualBreakCount="2">
    <brk id="325" max="14" man="1"/>
    <brk id="38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/>
  <dimension ref="B1:M52"/>
  <sheetViews>
    <sheetView view="pageBreakPreview" zoomScale="90" zoomScaleNormal="100" zoomScaleSheetLayoutView="90" workbookViewId="0">
      <pane xSplit="2" ySplit="3" topLeftCell="C10" activePane="bottomRight" state="frozen"/>
      <selection pane="topRight" activeCell="B1" sqref="B1"/>
      <selection pane="bottomLeft" activeCell="A3" sqref="A3"/>
      <selection pane="bottomRight" activeCell="K26" sqref="K26"/>
    </sheetView>
  </sheetViews>
  <sheetFormatPr defaultRowHeight="15"/>
  <cols>
    <col min="1" max="1" width="9.140625" style="806"/>
    <col min="2" max="2" width="58.42578125" style="806" customWidth="1"/>
    <col min="3" max="3" width="20" style="806" customWidth="1"/>
    <col min="4" max="4" width="14.140625" style="806" bestFit="1" customWidth="1"/>
    <col min="5" max="6" width="13.140625" style="806" bestFit="1" customWidth="1"/>
    <col min="7" max="8" width="11.28515625" style="806" bestFit="1" customWidth="1"/>
    <col min="9" max="9" width="11" style="806" bestFit="1" customWidth="1"/>
    <col min="10" max="16384" width="9.140625" style="806"/>
  </cols>
  <sheetData>
    <row r="1" spans="2:13" ht="15.75" thickBot="1"/>
    <row r="2" spans="2:13" ht="15" customHeight="1">
      <c r="B2" s="3440" t="s">
        <v>20</v>
      </c>
      <c r="C2" s="3438" t="s">
        <v>48</v>
      </c>
      <c r="D2" s="3435" t="s">
        <v>1110</v>
      </c>
      <c r="E2" s="3436"/>
      <c r="F2" s="3436"/>
      <c r="G2" s="3436"/>
      <c r="H2" s="3437"/>
    </row>
    <row r="3" spans="2:13" ht="15.75" thickBot="1">
      <c r="B3" s="3441"/>
      <c r="C3" s="3439"/>
      <c r="D3" s="1927">
        <v>2024</v>
      </c>
      <c r="E3" s="1927">
        <v>2025</v>
      </c>
      <c r="F3" s="1927">
        <v>2026</v>
      </c>
      <c r="G3" s="1927">
        <v>2027</v>
      </c>
      <c r="H3" s="1899">
        <v>2028</v>
      </c>
    </row>
    <row r="4" spans="2:13" s="809" customFormat="1">
      <c r="B4" s="1900" t="s">
        <v>18</v>
      </c>
      <c r="C4" s="1901">
        <f t="shared" ref="C4:H4" si="0">SUM(C5,C11)</f>
        <v>2266879.5424760566</v>
      </c>
      <c r="D4" s="1901">
        <f t="shared" si="0"/>
        <v>311771.47487940453</v>
      </c>
      <c r="E4" s="1901">
        <f t="shared" si="0"/>
        <v>455428.89617962937</v>
      </c>
      <c r="F4" s="1901">
        <f t="shared" si="0"/>
        <v>359004.51098377595</v>
      </c>
      <c r="G4" s="1901">
        <f t="shared" si="0"/>
        <v>510191.56602938904</v>
      </c>
      <c r="H4" s="1902">
        <f t="shared" si="0"/>
        <v>630483.0944038576</v>
      </c>
    </row>
    <row r="5" spans="2:13" s="809" customFormat="1">
      <c r="B5" s="807" t="s">
        <v>14882</v>
      </c>
      <c r="C5" s="808">
        <f t="shared" ref="C5:H5" si="1">SUM(C6,C7,C8,C9,C10)</f>
        <v>2158711.0938421101</v>
      </c>
      <c r="D5" s="808">
        <f t="shared" si="1"/>
        <v>311771.47487940453</v>
      </c>
      <c r="E5" s="808">
        <f t="shared" si="1"/>
        <v>356496.39754568302</v>
      </c>
      <c r="F5" s="808">
        <f t="shared" si="1"/>
        <v>359004.51098377595</v>
      </c>
      <c r="G5" s="808">
        <f t="shared" si="1"/>
        <v>500955.61602938903</v>
      </c>
      <c r="H5" s="1895">
        <f t="shared" si="1"/>
        <v>630483.0944038576</v>
      </c>
    </row>
    <row r="6" spans="2:13">
      <c r="B6" s="810" t="s">
        <v>14883</v>
      </c>
      <c r="C6" s="811">
        <f t="shared" ref="C6:C11" si="2">SUM(D6:H6)</f>
        <v>343009.54800000001</v>
      </c>
      <c r="D6" s="811">
        <f>Мероприятия_и_источники!I312+Мероприятия_и_источники!I316</f>
        <v>40961.771999999997</v>
      </c>
      <c r="E6" s="811">
        <f>Мероприятия_и_источники!J312+Мероприятия_и_источники!J316</f>
        <v>75511.944000000003</v>
      </c>
      <c r="F6" s="811">
        <f>Мероприятия_и_источники!K312+Мероприятия_и_источники!K316</f>
        <v>75511.944000000003</v>
      </c>
      <c r="G6" s="811">
        <f>Мероприятия_и_источники!L312+Мероприятия_и_источники!L316</f>
        <v>75511.944000000003</v>
      </c>
      <c r="H6" s="812">
        <f>Мероприятия_и_источники!M312+Мероприятия_и_источники!M316</f>
        <v>75511.944000000003</v>
      </c>
    </row>
    <row r="7" spans="2:13" ht="45">
      <c r="B7" s="810" t="s">
        <v>14884</v>
      </c>
      <c r="C7" s="811">
        <f t="shared" si="2"/>
        <v>1219554.4363807994</v>
      </c>
      <c r="D7" s="811">
        <f>Мероприятия_и_источники!I156+Мероприятия_и_источники!I160+Мероприятия_и_источники!I204+Мероприятия_и_источники!I208+Мероприятия_и_источники!I212+Мероприятия_и_источники!I216+Мероприятия_и_источники!I220+Мероприятия_и_источники!I224+Мероприятия_и_источники!I228+Мероприятия_и_источники!I232+Мероприятия_и_источники!I236+Мероприятия_и_источники!I240+Мероприятия_и_источники!I244+Мероприятия_и_источники!I248+Мероприятия_и_источники!I252+Мероприятия_и_источники!I256+Мероприятия_и_источники!I260+Мероприятия_и_источники!I264+Мероприятия_и_источники!I268+Мероприятия_и_источники!I272+Мероприятия_и_источники!I276+Мероприятия_и_источники!I280+Мероприятия_и_источники!I284+Мероприятия_и_источники!I304+Мероприятия_и_источники!I308</f>
        <v>12441.477001560001</v>
      </c>
      <c r="E7" s="811">
        <f>Мероприятия_и_источники!J156+Мероприятия_и_источники!J160+Мероприятия_и_источники!J204+Мероприятия_и_источники!J208+Мероприятия_и_источники!J212+Мероприятия_и_источники!J216+Мероприятия_и_источники!J220+Мероприятия_и_источники!J224+Мероприятия_и_источники!J228+Мероприятия_и_источники!J232+Мероприятия_и_источники!J236+Мероприятия_и_источники!J240+Мероприятия_и_источники!J244+Мероприятия_и_источники!J248+Мероприятия_и_источники!J252+Мероприятия_и_источники!J256+Мероприятия_и_источники!J260+Мероприятия_и_источники!J264+Мероприятия_и_источники!J268+Мероприятия_и_источники!J272+Мероприятия_и_источники!J276+Мероприятия_и_источники!J280+Мероприятия_и_источники!J284+Мероприятия_и_источники!J304+Мероприятия_и_источники!J308</f>
        <v>90081.079463613831</v>
      </c>
      <c r="F7" s="811">
        <f>Мероприятия_и_источники!K156+Мероприятия_и_источники!K160+Мероприятия_и_источники!K204+Мероприятия_и_источники!K208+Мероприятия_и_источники!K212+Мероприятия_и_источники!K216+Мероприятия_и_источники!K220+Мероприятия_и_источники!K224+Мероприятия_и_источники!K228+Мероприятия_и_источники!K232+Мероприятия_и_источники!K236+Мероприятия_и_источники!K240+Мероприятия_и_источники!K244+Мероприятия_и_источники!K248+Мероприятия_и_источники!K252+Мероприятия_и_источники!K256+Мероприятия_и_источники!K260+Мероприятия_и_источники!K264+Мероприятия_и_источники!K268+Мероприятия_и_источники!K272+Мероприятия_и_источники!K276+Мероприятия_и_источники!K280+Мероприятия_и_источники!K284+Мероприятия_и_источники!K304+Мероприятия_и_источники!K308</f>
        <v>228311.86342991993</v>
      </c>
      <c r="G7" s="811">
        <f>Мероприятия_и_источники!L156+Мероприятия_и_источники!L160+Мероприятия_и_источники!L204+Мероприятия_и_источники!L208+Мероприятия_и_источники!L212+Мероприятия_и_источники!L216+Мероприятия_и_источники!L220+Мероприятия_и_источники!L224+Мероприятия_и_источники!L228+Мероприятия_и_источники!L232+Мероприятия_и_источники!L236+Мероприятия_и_источники!L240+Мероприятия_и_источники!L244+Мероприятия_и_источники!L248+Мероприятия_и_источники!L252+Мероприятия_и_источники!L256+Мероприятия_и_источники!L260+Мероприятия_и_источники!L264+Мероприятия_и_источники!L268+Мероприятия_и_источники!L272+Мероприятия_и_источники!L276+Мероприятия_и_источники!L280+Мероприятия_и_источники!L284+Мероприятия_и_источники!L304+Мероприятия_и_источники!L308</f>
        <v>380495.23774137878</v>
      </c>
      <c r="H7" s="812">
        <f>Мероприятия_и_источники!M156+Мероприятия_и_источники!M160+Мероприятия_и_источники!M204+Мероприятия_и_источники!M208+Мероприятия_и_источники!M212+Мероприятия_и_источники!M216+Мероприятия_и_источники!M220+Мероприятия_и_источники!M224+Мероприятия_и_источники!M228+Мероприятия_и_источники!M232+Мероприятия_и_источники!M236+Мероприятия_и_источники!M240+Мероприятия_и_источники!M244+Мероприятия_и_источники!M248+Мероприятия_и_источники!M252+Мероприятия_и_источники!M256+Мероприятия_и_источники!M260+Мероприятия_и_источники!M264+Мероприятия_и_источники!M268+Мероприятия_и_источники!M272+Мероприятия_и_источники!M276+Мероприятия_и_источники!M280+Мероприятия_и_источники!M284+Мероприятия_и_источники!M304+Мероприятия_и_источники!M308</f>
        <v>508224.77874432696</v>
      </c>
    </row>
    <row r="8" spans="2:13">
      <c r="B8" s="810" t="s">
        <v>57</v>
      </c>
      <c r="C8" s="811">
        <f t="shared" si="2"/>
        <v>199898.24050150701</v>
      </c>
      <c r="D8" s="811">
        <f>Мероприятия_и_источники!I24+Мероприятия_и_источники!I28+Мероприятия_и_источники!I32+Мероприятия_и_источники!I36+Мероприятия_и_источники!I40+Мероприятия_и_источники!I44+Мероприятия_и_источники!I48+Мероприятия_и_источники!I52+Мероприятия_и_источники!I56+Мероприятия_и_источники!I60+Мероприятия_и_источники!I64+Мероприятия_и_источники!I68+Мероприятия_и_источники!I72+Мероприятия_и_источники!I76+Мероприятия_и_источники!I80+Мероприятия_и_источники!I84+Мероприятия_и_источники!I96+Мероприятия_и_источники!I108+Мероприятия_и_источники!I112+Мероприятия_и_источники!I116+Мероприятия_и_источники!I120+Мероприятия_и_источники!I132+Мероприятия_и_источники!I136+Мероприятия_и_источники!I88</f>
        <v>38591.165405837834</v>
      </c>
      <c r="E8" s="811">
        <f>Мероприятия_и_источники!J24+Мероприятия_и_источники!J28+Мероприятия_и_источники!J32+Мероприятия_и_источники!J36+Мероприятия_и_источники!J40+Мероприятия_и_источники!J44+Мероприятия_и_источники!J48+Мероприятия_и_источники!J52+Мероприятия_и_источники!J56+Мероприятия_и_источники!J60+Мероприятия_и_источники!J64+Мероприятия_и_источники!J68+Мероприятия_и_источники!J72+Мероприятия_и_источники!J76+Мероприятия_и_источники!J80+Мероприятия_и_источники!J84+Мероприятия_и_источники!J96+Мероприятия_и_источники!J108+Мероприятия_и_источники!J112+Мероприятия_и_источники!J116+Мероприятия_и_источники!J120+Мероприятия_и_источники!J132+Мероприятия_и_источники!J136+Мероприятия_и_источники!J88</f>
        <v>149346.01989566919</v>
      </c>
      <c r="F8" s="811">
        <f>Мероприятия_и_источники!K24+Мероприятия_и_источники!K28+Мероприятия_и_источники!K32+Мероприятия_и_источники!K36+Мероприятия_и_источники!K40+Мероприятия_и_источники!K44+Мероприятия_и_источники!K48+Мероприятия_и_источники!K52+Мероприятия_и_источники!K56+Мероприятия_и_источники!K60+Мероприятия_и_источники!K64+Мероприятия_и_источники!K68+Мероприятия_и_источники!K72+Мероприятия_и_источники!K76+Мероприятия_и_источники!K80+Мероприятия_и_источники!K84+Мероприятия_и_источники!K96+Мероприятия_и_источники!K108+Мероприятия_и_источники!K112+Мероприятия_и_источники!K116+Мероприятия_и_источники!K120+Мероприятия_и_источники!K132+Мероприятия_и_источники!K136+Мероприятия_и_источники!K88</f>
        <v>11961.055199999999</v>
      </c>
      <c r="G8" s="811">
        <f>Мероприятия_и_источники!L24+Мероприятия_и_источники!L28+Мероприятия_и_источники!L32+Мероприятия_и_источники!L36+Мероприятия_и_источники!L40+Мероприятия_и_источники!L44+Мероприятия_и_источники!L48+Мероприятия_и_источники!L52+Мероприятия_и_источники!L56+Мероприятия_и_источники!L60+Мероприятия_и_источники!L64+Мероприятия_и_источники!L68+Мероприятия_и_источники!L72+Мероприятия_и_источники!L76+Мероприятия_и_источники!L80+Мероприятия_и_источники!L84+Мероприятия_и_источники!L96+Мероприятия_и_источники!L108+Мероприятия_и_источники!L112+Мероприятия_и_источники!L116+Мероприятия_и_источники!L120+Мероприятия_и_источники!L132+Мероприятия_и_источники!L136+Мероприятия_и_источники!L88</f>
        <v>0</v>
      </c>
      <c r="H8" s="811">
        <f>Мероприятия_и_источники!M24+Мероприятия_и_источники!M28+Мероприятия_и_источники!M32+Мероприятия_и_источники!M36+Мероприятия_и_источники!M40+Мероприятия_и_источники!M44+Мероприятия_и_источники!M48+Мероприятия_и_источники!M52+Мероприятия_и_источники!M56+Мероприятия_и_источники!M60+Мероприятия_и_источники!M64+Мероприятия_и_источники!M68+Мероприятия_и_источники!M72+Мероприятия_и_источники!M76+Мероприятия_и_источники!M80+Мероприятия_и_источники!M84+Мероприятия_и_источники!M96+Мероприятия_и_источники!M108+Мероприятия_и_источники!M112+Мероприятия_и_источники!M116+Мероприятия_и_источники!M120+Мероприятия_и_источники!M132+Мероприятия_и_источники!M136+Мероприятия_и_источники!M88</f>
        <v>0</v>
      </c>
    </row>
    <row r="9" spans="2:13" ht="30">
      <c r="B9" s="810" t="s">
        <v>14885</v>
      </c>
      <c r="C9" s="811">
        <f t="shared" si="2"/>
        <v>216430.80289779697</v>
      </c>
      <c r="D9" s="811">
        <f>Мероприятия_и_источники!I20</f>
        <v>39958.994410000007</v>
      </c>
      <c r="E9" s="811">
        <f>Мероприятия_и_источники!J20</f>
        <v>41557.354186400007</v>
      </c>
      <c r="F9" s="811">
        <f>Мероприятия_и_источники!K20</f>
        <v>43219.648353856006</v>
      </c>
      <c r="G9" s="811">
        <f>Мероприятия_и_источники!L20</f>
        <v>44948.434288010249</v>
      </c>
      <c r="H9" s="812">
        <f>Мероприятия_и_источники!M20</f>
        <v>46746.371659530661</v>
      </c>
    </row>
    <row r="10" spans="2:13">
      <c r="B10" s="810" t="s">
        <v>1813</v>
      </c>
      <c r="C10" s="811">
        <f t="shared" si="2"/>
        <v>179818.06606200666</v>
      </c>
      <c r="D10" s="811">
        <f>Мероприятия_и_источники!I188+Мероприятия_и_источники!I192+Мероприятия_и_источники!I196+Мероприятия_и_источники!I200</f>
        <v>179818.06606200666</v>
      </c>
      <c r="E10" s="811">
        <f>Мероприятия_и_источники!J188+Мероприятия_и_источники!J192+Мероприятия_и_источники!J196+Мероприятия_и_источники!J200</f>
        <v>0</v>
      </c>
      <c r="F10" s="811">
        <f>Мероприятия_и_источники!K188+Мероприятия_и_источники!K192+Мероприятия_и_источники!K196+Мероприятия_и_источники!K200</f>
        <v>0</v>
      </c>
      <c r="G10" s="811">
        <f>Мероприятия_и_источники!L188+Мероприятия_и_источники!L192+Мероприятия_и_источники!L196+Мероприятия_и_источники!L200</f>
        <v>0</v>
      </c>
      <c r="H10" s="812">
        <f>Мероприятия_и_источники!M188+Мероприятия_и_источники!M192+Мероприятия_и_источники!M196+Мероприятия_и_источники!M200</f>
        <v>0</v>
      </c>
    </row>
    <row r="11" spans="2:13" ht="15.75" thickBot="1">
      <c r="B11" s="1896" t="s">
        <v>2127</v>
      </c>
      <c r="C11" s="1897">
        <f t="shared" si="2"/>
        <v>108168.44863394632</v>
      </c>
      <c r="D11" s="1897">
        <f>Мероприятия_и_источники!I104+Мероприятия_и_источники!I124+Мероприятия_и_источники!I140+Мероприятия_и_источники!I152</f>
        <v>0</v>
      </c>
      <c r="E11" s="1897">
        <f>Мероприятия_и_источники!J104+Мероприятия_и_источники!J124+Мероприятия_и_источники!J140+Мероприятия_и_источники!J152</f>
        <v>98932.498633946321</v>
      </c>
      <c r="F11" s="1897">
        <f>Мероприятия_и_источники!K104+Мероприятия_и_источники!K124+Мероприятия_и_источники!K140+Мероприятия_и_источники!K152</f>
        <v>0</v>
      </c>
      <c r="G11" s="1897">
        <f>Мероприятия_и_источники!L104+Мероприятия_и_источники!L124+Мероприятия_и_источники!L140+Мероприятия_и_источники!L152</f>
        <v>9235.9499999999989</v>
      </c>
      <c r="H11" s="1898">
        <f>Мероприятия_и_источники!M104+Мероприятия_и_источники!M124+Мероприятия_и_источники!M140+Мероприятия_и_источники!M152</f>
        <v>0</v>
      </c>
      <c r="L11" s="806">
        <v>38</v>
      </c>
      <c r="M11" s="806">
        <v>1</v>
      </c>
    </row>
    <row r="12" spans="2:13" s="813" customFormat="1" ht="15.75" thickBot="1">
      <c r="B12" s="1903"/>
      <c r="C12" s="1904"/>
      <c r="D12" s="1905"/>
      <c r="E12" s="1905"/>
      <c r="F12" s="1905"/>
      <c r="G12" s="1905"/>
      <c r="H12" s="1906"/>
      <c r="L12" s="806">
        <f>L11+1</f>
        <v>39</v>
      </c>
      <c r="M12" s="806">
        <v>2</v>
      </c>
    </row>
    <row r="13" spans="2:13" s="809" customFormat="1">
      <c r="B13" s="1907" t="s">
        <v>17</v>
      </c>
      <c r="C13" s="1901">
        <f t="shared" ref="C13:H13" si="3">SUM(C14,C20,C22)</f>
        <v>1087420.3269943795</v>
      </c>
      <c r="D13" s="1901">
        <f t="shared" si="3"/>
        <v>53478.216690111236</v>
      </c>
      <c r="E13" s="1901">
        <f t="shared" si="3"/>
        <v>364858.83947762719</v>
      </c>
      <c r="F13" s="1901">
        <f t="shared" si="3"/>
        <v>173764.840203445</v>
      </c>
      <c r="G13" s="1901">
        <f t="shared" si="3"/>
        <v>218205.90401223206</v>
      </c>
      <c r="H13" s="1902">
        <f t="shared" si="3"/>
        <v>277112.52661096404</v>
      </c>
      <c r="L13" s="806">
        <f t="shared" ref="L13:L25" si="4">L12+1</f>
        <v>40</v>
      </c>
      <c r="M13" s="806">
        <v>3</v>
      </c>
    </row>
    <row r="14" spans="2:13" s="809" customFormat="1">
      <c r="B14" s="807" t="s">
        <v>14882</v>
      </c>
      <c r="C14" s="808">
        <f>SUM(D14:H14)</f>
        <v>821611.15999566019</v>
      </c>
      <c r="D14" s="808">
        <f>SUM(D15,D16,D17,D18,D19)</f>
        <v>37306.58130332124</v>
      </c>
      <c r="E14" s="808">
        <f>SUM(E15,E16,E17,E18,E19)</f>
        <v>130493.7198656979</v>
      </c>
      <c r="F14" s="808">
        <f>SUM(F15,F16,F17,F18,F19)</f>
        <v>173764.840203445</v>
      </c>
      <c r="G14" s="808">
        <f>SUM(G15,G16,G17,G18,G19)</f>
        <v>211955.39201223207</v>
      </c>
      <c r="H14" s="1895">
        <f>SUM(H15,H16,H17,H18,H19)</f>
        <v>268090.62661096401</v>
      </c>
      <c r="L14" s="806">
        <f t="shared" si="4"/>
        <v>41</v>
      </c>
      <c r="M14" s="806">
        <v>4</v>
      </c>
    </row>
    <row r="15" spans="2:13">
      <c r="B15" s="810" t="s">
        <v>14883</v>
      </c>
      <c r="C15" s="808">
        <f>SUM(D15:H15)</f>
        <v>0</v>
      </c>
      <c r="D15" s="811">
        <f>Мероприятия_и_источники!I565</f>
        <v>0</v>
      </c>
      <c r="E15" s="811">
        <f>Мероприятия_и_источники!J565</f>
        <v>0</v>
      </c>
      <c r="F15" s="811">
        <f>Мероприятия_и_источники!K565</f>
        <v>0</v>
      </c>
      <c r="G15" s="811">
        <f>Мероприятия_и_источники!L565</f>
        <v>0</v>
      </c>
      <c r="H15" s="812">
        <f>Мероприятия_и_источники!M565</f>
        <v>0</v>
      </c>
      <c r="L15" s="806">
        <f t="shared" si="4"/>
        <v>42</v>
      </c>
      <c r="M15" s="806">
        <v>5</v>
      </c>
    </row>
    <row r="16" spans="2:13" ht="45">
      <c r="B16" s="810" t="s">
        <v>14884</v>
      </c>
      <c r="C16" s="811">
        <f>SUM(D16:H16)</f>
        <v>615730.71471641771</v>
      </c>
      <c r="D16" s="811">
        <f>Мероприятия_и_источники!I477+Мероприятия_и_источники!I481+Мероприятия_и_источники!I485+Мероприятия_и_источники!I489+Мероприятия_и_источники!I493+Мероприятия_и_источники!I497+Мероприятия_и_источники!I501+Мероприятия_и_источники!I505+Мероприятия_и_источники!I513+Мероприятия_и_источники!I517+Мероприятия_и_источники!I521+Мероприятия_и_источники!I525+Мероприятия_и_источники!I529+Мероприятия_и_источники!I553+Мероприятия_и_источники!I557+Мероприятия_и_источники!I561</f>
        <v>6302.8134865800002</v>
      </c>
      <c r="E16" s="811">
        <f>Мероприятия_и_источники!J477+Мероприятия_и_источники!J481+Мероприятия_и_источники!J485+Мероприятия_и_источники!J489+Мероприятия_и_источники!J493+Мероприятия_и_источники!J497+Мероприятия_и_источники!J501+Мероприятия_и_источники!J505+Мероприятия_и_источники!J513+Мероприятия_и_источники!J517+Мероприятия_и_источники!J521+Мероприятия_и_источники!J525+Мероприятия_и_источники!J529+Мероприятия_и_источники!J553+Мероприятия_и_источники!J557+Мероприятия_и_источники!J561</f>
        <v>47688.559076061545</v>
      </c>
      <c r="F16" s="811">
        <f>Мероприятия_и_источники!K477+Мероприятия_и_источники!K481+Мероприятия_и_источники!K485+Мероприятия_и_источники!K489+Мероприятия_и_источники!K493+Мероприятия_и_источники!K497+Мероприятия_и_источники!K501+Мероприятия_и_источники!K505+Мероприятия_и_источники!K513+Мероприятия_и_источники!K517+Мероприятия_и_источники!K521+Мероприятия_и_источники!K525+Мероприятия_и_источники!K529+Мероприятия_и_источники!K553+Мероприятия_и_источники!K557+Мероприятия_и_источники!K561</f>
        <v>119629.69908246717</v>
      </c>
      <c r="G16" s="811">
        <f>Мероприятия_и_источники!L477+Мероприятия_и_источники!L481+Мероприятия_и_источники!L485+Мероприятия_и_источники!L489+Мероприятия_и_источники!L493+Мероприятия_и_источники!L497+Мероприятия_и_источники!L501+Мероприятия_и_источники!L505+Мероприятия_и_источники!L513+Мероприятия_и_источники!L517+Мероприятия_и_источники!L521+Мероприятия_и_источники!L525+Мероприятия_и_источники!L529+Мероприятия_и_источники!L553+Мероприятия_и_источники!L557+Мероприятия_и_источники!L561</f>
        <v>193359.1294867972</v>
      </c>
      <c r="H16" s="812">
        <f>Мероприятия_и_источники!M477+Мероприятия_и_источники!M481+Мероприятия_и_источники!M485+Мероприятия_и_источники!M489+Мероприятия_и_источники!M493+Мероприятия_и_источники!M497+Мероприятия_и_источники!M501+Мероприятия_и_источники!M505+Мероприятия_и_источники!M513+Мероприятия_и_источники!M517+Мероприятия_и_источники!M521+Мероприятия_и_источники!M525+Мероприятия_и_источники!M529+Мероприятия_и_источники!M553+Мероприятия_и_источники!M557+Мероприятия_и_источники!M561</f>
        <v>248750.51358451176</v>
      </c>
      <c r="L16" s="806">
        <f t="shared" si="4"/>
        <v>43</v>
      </c>
      <c r="M16" s="806">
        <v>6</v>
      </c>
    </row>
    <row r="17" spans="2:13">
      <c r="B17" s="810" t="s">
        <v>57</v>
      </c>
      <c r="C17" s="811">
        <f>SUM(D17:H17)</f>
        <v>116337.74834148344</v>
      </c>
      <c r="D17" s="811">
        <f>Мероприятия_и_источники!I337+Мероприятия_и_источники!I341+Мероприятия_и_источники!I345+Мероприятия_и_источники!I349+Мероприятия_и_источники!I353+Мероприятия_и_источники!I357+Мероприятия_и_источники!I361+Мероприятия_и_источники!I365+Мероприятия_и_источники!I369+Мероприятия_и_источники!I373+Мероприятия_и_источники!I377+Мероприятия_и_источники!I381+Мероприятия_и_источники!I385+Мероприятия_и_источники!I389+Мероприятия_и_источники!I393+Мероприятия_и_источники!I409+Мероприятия_и_источники!I413+Мероприятия_и_источники!I417+Мероприятия_и_источники!I429+Мероприятия_и_источники!I433</f>
        <v>14471.758146741244</v>
      </c>
      <c r="E17" s="811">
        <f>Мероприятия_и_источники!J337+Мероприятия_и_источники!J341+Мероприятия_и_источники!J345+Мероприятия_и_источники!J349+Мероприятия_и_источники!J353+Мероприятия_и_источники!J357+Мероприятия_и_источники!J361+Мероприятия_и_источники!J365+Мероприятия_и_источники!J369+Мероприятия_и_источники!J373+Мероприятия_и_источники!J377+Мероприятия_и_источники!J381+Мероприятия_и_источники!J385+Мероприятия_и_источники!J389+Мероприятия_и_источники!J393+Мероприятия_и_источники!J409+Мероприятия_и_источники!J413+Мероприятия_и_источники!J417+Мероприятия_и_источники!J429+Мероприятия_и_источники!J433</f>
        <v>65611.870732836367</v>
      </c>
      <c r="F17" s="811">
        <f>Мероприятия_и_источники!K337+Мероприятия_и_источники!K341+Мероприятия_и_источники!K345+Мероприятия_и_источники!K349+Мероприятия_и_источники!K353+Мероприятия_и_источники!K357+Мероприятия_и_источники!K361+Мероприятия_и_источники!K365+Мероприятия_и_источники!K369+Мероприятия_и_источники!K373+Мероприятия_и_источники!K377+Мероприятия_и_источники!K381+Мероприятия_и_источники!K385+Мероприятия_и_источники!K389+Мероприятия_и_источники!K393+Мероприятия_и_источники!K409+Мероприятия_и_источники!K413+Мероприятия_и_источники!K417+Мероприятия_и_источники!K429+Мероприятия_и_источники!K433</f>
        <v>36254.119461905837</v>
      </c>
      <c r="G17" s="811">
        <f>Мероприятия_и_источники!L337+Мероприятия_и_источники!L341+Мероприятия_и_источники!L345+Мероприятия_и_источники!L349+Мероприятия_и_источники!L353+Мероприятия_и_источники!L357+Мероприятия_и_источники!L361+Мероприятия_и_источники!L365+Мероприятия_и_источники!L369+Мероприятия_и_источники!L373+Мероприятия_и_источники!L377+Мероприятия_и_источники!L381+Мероприятия_и_источники!L385+Мероприятия_и_источники!L389+Мероприятия_и_источники!L393+Мероприятия_и_источники!L409+Мероприятия_и_источники!L413+Мероприятия_и_источники!L417+Мероприятия_и_источники!L429+Мероприятия_и_источники!L433</f>
        <v>0</v>
      </c>
      <c r="H17" s="811">
        <f>Мероприятия_и_источники!M337+Мероприятия_и_источники!M341+Мероприятия_и_источники!M345+Мероприятия_и_источники!M349+Мероприятия_и_источники!M353+Мероприятия_и_источники!M357+Мероприятия_и_источники!M361+Мероприятия_и_источники!M365+Мероприятия_и_источники!M369+Мероприятия_и_источники!M373+Мероприятия_и_источники!M377+Мероприятия_и_источники!M381+Мероприятия_и_источники!M385+Мероприятия_и_источники!M389+Мероприятия_и_источники!M393+Мероприятия_и_источники!M409+Мероприятия_и_источники!M413+Мероприятия_и_источники!M417+Мероприятия_и_источники!M429+Мероприятия_и_источники!M433</f>
        <v>0</v>
      </c>
      <c r="K17" s="2672"/>
      <c r="L17" s="806">
        <f t="shared" si="4"/>
        <v>44</v>
      </c>
      <c r="M17" s="806">
        <v>7</v>
      </c>
    </row>
    <row r="18" spans="2:13" ht="30">
      <c r="B18" s="810" t="s">
        <v>14885</v>
      </c>
      <c r="C18" s="811">
        <f>SUM(D18:H18)</f>
        <v>89542.696937759145</v>
      </c>
      <c r="D18" s="811">
        <f>Мероприятия_и_источники!I333</f>
        <v>16532.009669999996</v>
      </c>
      <c r="E18" s="811">
        <f>Мероприятия_и_источники!J333</f>
        <v>17193.290056799997</v>
      </c>
      <c r="F18" s="811">
        <f>Мероприятия_и_источники!K333</f>
        <v>17881.021659071997</v>
      </c>
      <c r="G18" s="811">
        <f>Мероприятия_и_источники!L333</f>
        <v>18596.262525434879</v>
      </c>
      <c r="H18" s="812">
        <f>Мероприятия_и_источники!M333</f>
        <v>19340.113026452276</v>
      </c>
      <c r="L18" s="806">
        <f t="shared" si="4"/>
        <v>45</v>
      </c>
      <c r="M18" s="806">
        <v>8</v>
      </c>
    </row>
    <row r="19" spans="2:13">
      <c r="B19" s="810" t="s">
        <v>1813</v>
      </c>
      <c r="C19" s="811"/>
      <c r="D19" s="811"/>
      <c r="E19" s="811"/>
      <c r="F19" s="811"/>
      <c r="G19" s="811"/>
      <c r="H19" s="812"/>
      <c r="L19" s="806">
        <f t="shared" si="4"/>
        <v>46</v>
      </c>
      <c r="M19" s="806">
        <v>9</v>
      </c>
    </row>
    <row r="20" spans="2:13">
      <c r="B20" s="807" t="s">
        <v>14886</v>
      </c>
      <c r="C20" s="808">
        <f t="shared" ref="C20:H20" si="5">SUM(C21)</f>
        <v>16171.63538679</v>
      </c>
      <c r="D20" s="808">
        <f t="shared" si="5"/>
        <v>16171.63538679</v>
      </c>
      <c r="E20" s="808">
        <f t="shared" si="5"/>
        <v>0</v>
      </c>
      <c r="F20" s="808">
        <f t="shared" si="5"/>
        <v>0</v>
      </c>
      <c r="G20" s="808">
        <f t="shared" si="5"/>
        <v>0</v>
      </c>
      <c r="H20" s="1895">
        <f t="shared" si="5"/>
        <v>0</v>
      </c>
      <c r="L20" s="806">
        <f t="shared" si="4"/>
        <v>47</v>
      </c>
      <c r="M20" s="806">
        <v>10</v>
      </c>
    </row>
    <row r="21" spans="2:13" ht="45">
      <c r="B21" s="810" t="s">
        <v>14881</v>
      </c>
      <c r="C21" s="811">
        <f>SUM(D21:H21)</f>
        <v>16171.63538679</v>
      </c>
      <c r="D21" s="811">
        <f>Мероприятия_и_источники!I473+Мероприятия_и_источники!I509+Мероприятия_и_источники!I533</f>
        <v>16171.63538679</v>
      </c>
      <c r="E21" s="811">
        <f>Мероприятия_и_источники!J473+Мероприятия_и_источники!J509+Мероприятия_и_источники!J533</f>
        <v>0</v>
      </c>
      <c r="F21" s="811">
        <f>Мероприятия_и_источники!K473+Мероприятия_и_источники!K509+Мероприятия_и_источники!K533</f>
        <v>0</v>
      </c>
      <c r="G21" s="811">
        <f>Мероприятия_и_источники!L473+Мероприятия_и_источники!L509+Мероприятия_и_источники!L533</f>
        <v>0</v>
      </c>
      <c r="H21" s="812">
        <f>Мероприятия_и_источники!M473+Мероприятия_и_источники!M509+Мероприятия_и_источники!M533</f>
        <v>0</v>
      </c>
      <c r="L21" s="806">
        <f t="shared" si="4"/>
        <v>48</v>
      </c>
      <c r="M21" s="806">
        <v>11</v>
      </c>
    </row>
    <row r="22" spans="2:13" ht="15.75" thickBot="1">
      <c r="B22" s="1896" t="s">
        <v>2127</v>
      </c>
      <c r="C22" s="1897">
        <f>SUM(D22:H22)</f>
        <v>249637.53161192924</v>
      </c>
      <c r="D22" s="1897">
        <f>Мероприятия_и_источники!I421+Мероприятия_и_источники!I437+Мероприятия_и_источники!I449+Мероприятия_и_источники!I453</f>
        <v>0</v>
      </c>
      <c r="E22" s="1897">
        <f>Мероприятия_и_источники!J421+Мероприятия_и_источники!J437+Мероприятия_и_источники!J449+Мероприятия_и_источники!J453</f>
        <v>234365.11961192926</v>
      </c>
      <c r="F22" s="1897">
        <f>Мероприятия_и_источники!K421+Мероприятия_и_источники!K437+Мероприятия_и_источники!K449+Мероприятия_и_источники!K453</f>
        <v>0</v>
      </c>
      <c r="G22" s="1897">
        <f>Мероприятия_и_источники!L421+Мероприятия_и_источники!L437+Мероприятия_и_источники!L449+Мероприятия_и_источники!L453</f>
        <v>6250.5120000000006</v>
      </c>
      <c r="H22" s="1898">
        <f>Мероприятия_и_источники!M421+Мероприятия_и_источники!M437+Мероприятия_и_источники!M449+Мероприятия_и_источники!M453</f>
        <v>9021.9</v>
      </c>
      <c r="L22" s="806">
        <f t="shared" si="4"/>
        <v>49</v>
      </c>
      <c r="M22" s="806">
        <v>12</v>
      </c>
    </row>
    <row r="23" spans="2:13" s="813" customFormat="1" ht="15.75" thickBot="1">
      <c r="B23" s="1903"/>
      <c r="C23" s="1904"/>
      <c r="D23" s="1905"/>
      <c r="E23" s="1905"/>
      <c r="F23" s="1905"/>
      <c r="G23" s="1905"/>
      <c r="H23" s="1906"/>
      <c r="L23" s="806">
        <f t="shared" si="4"/>
        <v>50</v>
      </c>
      <c r="M23" s="806">
        <v>13</v>
      </c>
    </row>
    <row r="24" spans="2:13" s="809" customFormat="1">
      <c r="B24" s="1900" t="s">
        <v>16</v>
      </c>
      <c r="C24" s="1901">
        <f t="shared" ref="C24:H30" si="6">C4+C13</f>
        <v>3354299.8694704361</v>
      </c>
      <c r="D24" s="1901">
        <f t="shared" si="6"/>
        <v>365249.69156951574</v>
      </c>
      <c r="E24" s="1901">
        <f t="shared" si="6"/>
        <v>820287.73565725656</v>
      </c>
      <c r="F24" s="1901">
        <f t="shared" si="6"/>
        <v>532769.35118722101</v>
      </c>
      <c r="G24" s="1901">
        <f t="shared" si="6"/>
        <v>728397.47004162113</v>
      </c>
      <c r="H24" s="1902">
        <f t="shared" si="6"/>
        <v>907595.62101482158</v>
      </c>
      <c r="L24" s="806">
        <f t="shared" si="4"/>
        <v>51</v>
      </c>
      <c r="M24" s="806">
        <v>14</v>
      </c>
    </row>
    <row r="25" spans="2:13" s="809" customFormat="1">
      <c r="B25" s="807" t="s">
        <v>14882</v>
      </c>
      <c r="C25" s="808">
        <f t="shared" si="6"/>
        <v>2980322.2538377703</v>
      </c>
      <c r="D25" s="808">
        <f t="shared" si="6"/>
        <v>349078.05618272576</v>
      </c>
      <c r="E25" s="808">
        <f t="shared" si="6"/>
        <v>486990.11741138092</v>
      </c>
      <c r="F25" s="808">
        <f t="shared" si="6"/>
        <v>532769.35118722101</v>
      </c>
      <c r="G25" s="808">
        <f t="shared" si="6"/>
        <v>712911.00804162107</v>
      </c>
      <c r="H25" s="1895">
        <f t="shared" si="6"/>
        <v>898573.72101482167</v>
      </c>
      <c r="K25" s="809">
        <f>3354299.87-3348936.6</f>
        <v>5363.2700000000186</v>
      </c>
      <c r="L25" s="806">
        <f t="shared" si="4"/>
        <v>52</v>
      </c>
      <c r="M25" s="806">
        <v>15</v>
      </c>
    </row>
    <row r="26" spans="2:13">
      <c r="B26" s="810" t="s">
        <v>14883</v>
      </c>
      <c r="C26" s="811">
        <f t="shared" si="6"/>
        <v>343009.54800000001</v>
      </c>
      <c r="D26" s="811">
        <f t="shared" si="6"/>
        <v>40961.771999999997</v>
      </c>
      <c r="E26" s="811">
        <f t="shared" si="6"/>
        <v>75511.944000000003</v>
      </c>
      <c r="F26" s="811">
        <f t="shared" si="6"/>
        <v>75511.944000000003</v>
      </c>
      <c r="G26" s="811">
        <f t="shared" si="6"/>
        <v>75511.944000000003</v>
      </c>
      <c r="H26" s="812">
        <f t="shared" si="6"/>
        <v>75511.944000000003</v>
      </c>
      <c r="I26" s="2169"/>
      <c r="L26" s="806">
        <v>53</v>
      </c>
      <c r="M26" s="806">
        <v>16</v>
      </c>
    </row>
    <row r="27" spans="2:13" ht="45">
      <c r="B27" s="810" t="s">
        <v>14884</v>
      </c>
      <c r="C27" s="811">
        <f t="shared" si="6"/>
        <v>1835285.1510972171</v>
      </c>
      <c r="D27" s="811">
        <f>D7+D16</f>
        <v>18744.290488140003</v>
      </c>
      <c r="E27" s="811">
        <f t="shared" si="6"/>
        <v>137769.63853967539</v>
      </c>
      <c r="F27" s="811">
        <f t="shared" si="6"/>
        <v>347941.56251238711</v>
      </c>
      <c r="G27" s="811">
        <f t="shared" si="6"/>
        <v>573854.36722817598</v>
      </c>
      <c r="H27" s="812">
        <f t="shared" si="6"/>
        <v>756975.29232883872</v>
      </c>
    </row>
    <row r="28" spans="2:13">
      <c r="B28" s="810" t="s">
        <v>57</v>
      </c>
      <c r="C28" s="811">
        <f t="shared" si="6"/>
        <v>316235.98884299048</v>
      </c>
      <c r="D28" s="811">
        <f t="shared" si="6"/>
        <v>53062.923552579079</v>
      </c>
      <c r="E28" s="811">
        <f t="shared" si="6"/>
        <v>214957.89062850556</v>
      </c>
      <c r="F28" s="811">
        <f t="shared" si="6"/>
        <v>48215.174661905839</v>
      </c>
      <c r="G28" s="811">
        <f t="shared" si="6"/>
        <v>0</v>
      </c>
      <c r="H28" s="812">
        <f t="shared" si="6"/>
        <v>0</v>
      </c>
    </row>
    <row r="29" spans="2:13" ht="30">
      <c r="B29" s="810" t="s">
        <v>14885</v>
      </c>
      <c r="C29" s="811">
        <f t="shared" si="6"/>
        <v>305973.49983555614</v>
      </c>
      <c r="D29" s="811">
        <f t="shared" si="6"/>
        <v>56491.004079999999</v>
      </c>
      <c r="E29" s="811">
        <f t="shared" si="6"/>
        <v>58750.644243200004</v>
      </c>
      <c r="F29" s="811">
        <f t="shared" si="6"/>
        <v>61100.670012928007</v>
      </c>
      <c r="G29" s="811">
        <f t="shared" si="6"/>
        <v>63544.696813445131</v>
      </c>
      <c r="H29" s="812">
        <f t="shared" si="6"/>
        <v>66086.484685982941</v>
      </c>
      <c r="J29" s="806">
        <f>316235.99-310872.72</f>
        <v>5363.2700000000186</v>
      </c>
      <c r="L29" s="806">
        <f>5978.8+10750.04-13572.32-859.78</f>
        <v>2296.7400000000007</v>
      </c>
    </row>
    <row r="30" spans="2:13">
      <c r="B30" s="810" t="s">
        <v>1813</v>
      </c>
      <c r="C30" s="811">
        <f t="shared" si="6"/>
        <v>179818.06606200666</v>
      </c>
      <c r="D30" s="811">
        <f t="shared" si="6"/>
        <v>179818.06606200666</v>
      </c>
      <c r="E30" s="811">
        <f t="shared" si="6"/>
        <v>0</v>
      </c>
      <c r="F30" s="811">
        <f t="shared" si="6"/>
        <v>0</v>
      </c>
      <c r="G30" s="811">
        <f t="shared" si="6"/>
        <v>0</v>
      </c>
      <c r="H30" s="812">
        <f t="shared" si="6"/>
        <v>0</v>
      </c>
    </row>
    <row r="31" spans="2:13">
      <c r="B31" s="807" t="s">
        <v>14886</v>
      </c>
      <c r="C31" s="808">
        <f>C20</f>
        <v>16171.63538679</v>
      </c>
      <c r="D31" s="808">
        <f t="shared" ref="D31:H32" si="7">D20</f>
        <v>16171.63538679</v>
      </c>
      <c r="E31" s="808">
        <f t="shared" si="7"/>
        <v>0</v>
      </c>
      <c r="F31" s="808">
        <f t="shared" si="7"/>
        <v>0</v>
      </c>
      <c r="G31" s="808">
        <f t="shared" si="7"/>
        <v>0</v>
      </c>
      <c r="H31" s="1895">
        <f t="shared" si="7"/>
        <v>0</v>
      </c>
    </row>
    <row r="32" spans="2:13" ht="45">
      <c r="B32" s="810" t="s">
        <v>14881</v>
      </c>
      <c r="C32" s="811">
        <f>C21</f>
        <v>16171.63538679</v>
      </c>
      <c r="D32" s="811">
        <f t="shared" si="7"/>
        <v>16171.63538679</v>
      </c>
      <c r="E32" s="811">
        <f t="shared" si="7"/>
        <v>0</v>
      </c>
      <c r="F32" s="811">
        <f t="shared" si="7"/>
        <v>0</v>
      </c>
      <c r="G32" s="811">
        <f t="shared" si="7"/>
        <v>0</v>
      </c>
      <c r="H32" s="812">
        <f t="shared" si="7"/>
        <v>0</v>
      </c>
    </row>
    <row r="33" spans="2:11" ht="15.75" thickBot="1">
      <c r="B33" s="1896" t="s">
        <v>2127</v>
      </c>
      <c r="C33" s="1897">
        <f t="shared" ref="C33:H33" si="8">C11+C22</f>
        <v>357805.98024587554</v>
      </c>
      <c r="D33" s="1897">
        <f t="shared" si="8"/>
        <v>0</v>
      </c>
      <c r="E33" s="1897">
        <f t="shared" si="8"/>
        <v>333297.61824587558</v>
      </c>
      <c r="F33" s="1897">
        <f t="shared" si="8"/>
        <v>0</v>
      </c>
      <c r="G33" s="1897">
        <f t="shared" si="8"/>
        <v>15486.462</v>
      </c>
      <c r="H33" s="1898">
        <f t="shared" si="8"/>
        <v>9021.9</v>
      </c>
    </row>
    <row r="34" spans="2:11">
      <c r="C34" s="814"/>
      <c r="D34" s="814"/>
      <c r="E34" s="814"/>
      <c r="F34" s="814"/>
      <c r="G34" s="814"/>
      <c r="H34" s="814"/>
    </row>
    <row r="35" spans="2:11">
      <c r="C35" s="814"/>
      <c r="D35" s="814"/>
      <c r="E35" s="814"/>
      <c r="F35" s="814"/>
      <c r="G35" s="814"/>
      <c r="H35" s="814"/>
    </row>
    <row r="36" spans="2:11">
      <c r="C36" s="815"/>
      <c r="D36" s="815"/>
      <c r="E36" s="815"/>
      <c r="F36" s="815"/>
      <c r="G36" s="815"/>
      <c r="H36" s="815"/>
    </row>
    <row r="39" spans="2:11">
      <c r="B39" s="2150" t="s">
        <v>14940</v>
      </c>
      <c r="C39" s="2151">
        <f>D39+E39+F39+G39+H39</f>
        <v>343009.54800000001</v>
      </c>
      <c r="D39" s="2151">
        <f>34134.81*1.2</f>
        <v>40961.771999999997</v>
      </c>
      <c r="E39" s="2151">
        <f>62926.62*1.2</f>
        <v>75511.944000000003</v>
      </c>
      <c r="F39" s="2151">
        <f>62926.62*1.2</f>
        <v>75511.944000000003</v>
      </c>
      <c r="G39" s="2151">
        <f>62926.62*1.2</f>
        <v>75511.944000000003</v>
      </c>
      <c r="H39" s="2151">
        <f>62926.62*1.2</f>
        <v>75511.944000000003</v>
      </c>
    </row>
    <row r="40" spans="2:11">
      <c r="K40" s="806" t="s">
        <v>15</v>
      </c>
    </row>
    <row r="41" spans="2:11">
      <c r="B41" s="2150" t="s">
        <v>1085</v>
      </c>
      <c r="C41" s="2151">
        <f t="shared" ref="C41:H41" si="9">C6-C39</f>
        <v>0</v>
      </c>
      <c r="D41" s="2151">
        <f t="shared" si="9"/>
        <v>0</v>
      </c>
      <c r="E41" s="2151">
        <f t="shared" si="9"/>
        <v>0</v>
      </c>
      <c r="F41" s="2151">
        <f t="shared" si="9"/>
        <v>0</v>
      </c>
      <c r="G41" s="2151">
        <f t="shared" si="9"/>
        <v>0</v>
      </c>
      <c r="H41" s="2151">
        <f t="shared" si="9"/>
        <v>0</v>
      </c>
    </row>
    <row r="42" spans="2:11">
      <c r="J42" s="806" t="s">
        <v>15</v>
      </c>
    </row>
    <row r="43" spans="2:11">
      <c r="J43" s="806" t="s">
        <v>15</v>
      </c>
    </row>
    <row r="45" spans="2:11">
      <c r="D45" s="2168"/>
    </row>
    <row r="46" spans="2:11">
      <c r="D46" s="2168"/>
    </row>
    <row r="47" spans="2:11">
      <c r="D47" s="2168"/>
    </row>
    <row r="48" spans="2:11">
      <c r="D48" s="2168"/>
    </row>
    <row r="49" spans="4:4">
      <c r="D49" s="2168"/>
    </row>
    <row r="50" spans="4:4">
      <c r="D50" s="2168"/>
    </row>
    <row r="51" spans="4:4">
      <c r="D51" s="2168"/>
    </row>
    <row r="52" spans="4:4">
      <c r="D52" s="2168"/>
    </row>
  </sheetData>
  <mergeCells count="3">
    <mergeCell ref="D2:H2"/>
    <mergeCell ref="C2:C3"/>
    <mergeCell ref="B2:B3"/>
  </mergeCells>
  <printOptions horizontalCentered="1"/>
  <pageMargins left="0" right="0" top="0.39370078740157483" bottom="0.39370078740157483" header="0.31496062992125984" footer="0.31496062992125984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4"/>
  </sheetPr>
  <dimension ref="A1:AI596"/>
  <sheetViews>
    <sheetView view="pageBreakPreview" zoomScale="60" zoomScaleNormal="60" workbookViewId="0">
      <pane xSplit="7" ySplit="4" topLeftCell="H486" activePane="bottomRight" state="frozen"/>
      <selection pane="topRight" activeCell="H1" sqref="H1"/>
      <selection pane="bottomLeft" activeCell="A5" sqref="A5"/>
      <selection pane="bottomRight" activeCell="J334" sqref="J334"/>
    </sheetView>
  </sheetViews>
  <sheetFormatPr defaultColWidth="8.28515625" defaultRowHeight="17.25" outlineLevelRow="2" outlineLevelCol="1"/>
  <cols>
    <col min="1" max="1" width="0.7109375" style="1263" customWidth="1"/>
    <col min="2" max="2" width="20.5703125" style="1263" customWidth="1"/>
    <col min="3" max="3" width="73.7109375" style="1263" customWidth="1"/>
    <col min="4" max="4" width="23.5703125" style="1355" customWidth="1"/>
    <col min="5" max="5" width="16.5703125" style="1354" hidden="1" customWidth="1" outlineLevel="1"/>
    <col min="6" max="6" width="17" style="1354" hidden="1" customWidth="1" outlineLevel="1"/>
    <col min="7" max="7" width="14.85546875" style="1363" hidden="1" customWidth="1" outlineLevel="1"/>
    <col min="8" max="8" width="14.85546875" style="1354" bestFit="1" customWidth="1" collapsed="1"/>
    <col min="9" max="9" width="16" style="1354" customWidth="1"/>
    <col min="10" max="10" width="15.5703125" style="1363" bestFit="1" customWidth="1"/>
    <col min="11" max="12" width="16.7109375" style="1354" bestFit="1" customWidth="1"/>
    <col min="13" max="13" width="15.5703125" style="1363" bestFit="1" customWidth="1"/>
    <col min="14" max="15" width="16.7109375" style="1354" bestFit="1" customWidth="1"/>
    <col min="16" max="16" width="15.5703125" style="1363" bestFit="1" customWidth="1"/>
    <col min="17" max="18" width="16.7109375" style="1354" bestFit="1" customWidth="1"/>
    <col min="19" max="19" width="15.5703125" style="1363" bestFit="1" customWidth="1"/>
    <col min="20" max="21" width="16.7109375" style="1354" bestFit="1" customWidth="1"/>
    <col min="22" max="22" width="15.5703125" style="1363" bestFit="1" customWidth="1"/>
    <col min="23" max="23" width="16.7109375" style="1354" bestFit="1" customWidth="1"/>
    <col min="24" max="24" width="14.85546875" style="1354" bestFit="1" customWidth="1"/>
    <col min="25" max="25" width="16.85546875" style="1363" customWidth="1"/>
    <col min="26" max="26" width="15.42578125" style="2122" bestFit="1" customWidth="1"/>
    <col min="27" max="27" width="13" style="1354" bestFit="1" customWidth="1"/>
    <col min="28" max="28" width="13" style="1354" customWidth="1"/>
    <col min="29" max="29" width="14.7109375" style="1354" bestFit="1" customWidth="1"/>
    <col min="30" max="30" width="13.42578125" style="1354" bestFit="1" customWidth="1"/>
    <col min="31" max="31" width="14.85546875" style="1354" customWidth="1"/>
    <col min="32" max="32" width="23.7109375" style="1354" customWidth="1"/>
    <col min="33" max="207" width="8.28515625" style="1354"/>
    <col min="208" max="208" width="0.7109375" style="1354" customWidth="1"/>
    <col min="209" max="209" width="10.5703125" style="1354" customWidth="1"/>
    <col min="210" max="210" width="46.42578125" style="1354" customWidth="1"/>
    <col min="211" max="211" width="12.7109375" style="1354" customWidth="1"/>
    <col min="212" max="212" width="14.5703125" style="1354" customWidth="1"/>
    <col min="213" max="213" width="14.140625" style="1354" customWidth="1"/>
    <col min="214" max="214" width="17.140625" style="1354" customWidth="1"/>
    <col min="215" max="215" width="16.5703125" style="1354" customWidth="1"/>
    <col min="216" max="216" width="17" style="1354" customWidth="1"/>
    <col min="217" max="217" width="17.28515625" style="1354" customWidth="1"/>
    <col min="218" max="218" width="14.5703125" style="1354" customWidth="1"/>
    <col min="219" max="219" width="14.140625" style="1354" customWidth="1"/>
    <col min="220" max="220" width="13.42578125" style="1354" customWidth="1"/>
    <col min="221" max="222" width="13.7109375" style="1354" customWidth="1"/>
    <col min="223" max="223" width="13" style="1354" customWidth="1"/>
    <col min="224" max="224" width="14.5703125" style="1354" customWidth="1"/>
    <col min="225" max="225" width="14.140625" style="1354" customWidth="1"/>
    <col min="226" max="226" width="13" style="1354" customWidth="1"/>
    <col min="227" max="228" width="13.7109375" style="1354" customWidth="1"/>
    <col min="229" max="229" width="13" style="1354" customWidth="1"/>
    <col min="230" max="230" width="16" style="1354" customWidth="1"/>
    <col min="231" max="231" width="14.140625" style="1354" customWidth="1"/>
    <col min="232" max="232" width="13.42578125" style="1354" customWidth="1"/>
    <col min="233" max="234" width="13.7109375" style="1354" customWidth="1"/>
    <col min="235" max="235" width="13" style="1354" customWidth="1"/>
    <col min="236" max="236" width="13.85546875" style="1354" customWidth="1"/>
    <col min="237" max="237" width="14.5703125" style="1354" customWidth="1"/>
    <col min="238" max="238" width="11.5703125" style="1354" customWidth="1"/>
    <col min="239" max="240" width="13.7109375" style="1354" customWidth="1"/>
    <col min="241" max="241" width="13" style="1354" customWidth="1"/>
    <col min="242" max="242" width="14.140625" style="1354" customWidth="1"/>
    <col min="243" max="243" width="13.42578125" style="1354" customWidth="1"/>
    <col min="244" max="244" width="11.85546875" style="1354" customWidth="1"/>
    <col min="245" max="246" width="13.7109375" style="1354" customWidth="1"/>
    <col min="247" max="247" width="13" style="1354" customWidth="1"/>
    <col min="248" max="249" width="14.140625" style="1354" customWidth="1"/>
    <col min="250" max="250" width="17.28515625" style="1354" customWidth="1"/>
    <col min="251" max="252" width="14.140625" style="1354" customWidth="1"/>
    <col min="253" max="253" width="15.5703125" style="1354" customWidth="1"/>
    <col min="254" max="259" width="14.140625" style="1354" customWidth="1"/>
    <col min="260" max="260" width="11.42578125" style="1354" bestFit="1" customWidth="1"/>
    <col min="261" max="261" width="11.42578125" style="1354" customWidth="1"/>
    <col min="262" max="262" width="9.28515625" style="1354" bestFit="1" customWidth="1"/>
    <col min="263" max="263" width="10.28515625" style="1354" customWidth="1"/>
    <col min="264" max="463" width="8.28515625" style="1354"/>
    <col min="464" max="464" width="0.7109375" style="1354" customWidth="1"/>
    <col min="465" max="465" width="10.5703125" style="1354" customWidth="1"/>
    <col min="466" max="466" width="46.42578125" style="1354" customWidth="1"/>
    <col min="467" max="467" width="12.7109375" style="1354" customWidth="1"/>
    <col min="468" max="468" width="14.5703125" style="1354" customWidth="1"/>
    <col min="469" max="469" width="14.140625" style="1354" customWidth="1"/>
    <col min="470" max="470" width="17.140625" style="1354" customWidth="1"/>
    <col min="471" max="471" width="16.5703125" style="1354" customWidth="1"/>
    <col min="472" max="472" width="17" style="1354" customWidth="1"/>
    <col min="473" max="473" width="17.28515625" style="1354" customWidth="1"/>
    <col min="474" max="474" width="14.5703125" style="1354" customWidth="1"/>
    <col min="475" max="475" width="14.140625" style="1354" customWidth="1"/>
    <col min="476" max="476" width="13.42578125" style="1354" customWidth="1"/>
    <col min="477" max="478" width="13.7109375" style="1354" customWidth="1"/>
    <col min="479" max="479" width="13" style="1354" customWidth="1"/>
    <col min="480" max="480" width="14.5703125" style="1354" customWidth="1"/>
    <col min="481" max="481" width="14.140625" style="1354" customWidth="1"/>
    <col min="482" max="482" width="13" style="1354" customWidth="1"/>
    <col min="483" max="484" width="13.7109375" style="1354" customWidth="1"/>
    <col min="485" max="485" width="13" style="1354" customWidth="1"/>
    <col min="486" max="486" width="16" style="1354" customWidth="1"/>
    <col min="487" max="487" width="14.140625" style="1354" customWidth="1"/>
    <col min="488" max="488" width="13.42578125" style="1354" customWidth="1"/>
    <col min="489" max="490" width="13.7109375" style="1354" customWidth="1"/>
    <col min="491" max="491" width="13" style="1354" customWidth="1"/>
    <col min="492" max="492" width="13.85546875" style="1354" customWidth="1"/>
    <col min="493" max="493" width="14.5703125" style="1354" customWidth="1"/>
    <col min="494" max="494" width="11.5703125" style="1354" customWidth="1"/>
    <col min="495" max="496" width="13.7109375" style="1354" customWidth="1"/>
    <col min="497" max="497" width="13" style="1354" customWidth="1"/>
    <col min="498" max="498" width="14.140625" style="1354" customWidth="1"/>
    <col min="499" max="499" width="13.42578125" style="1354" customWidth="1"/>
    <col min="500" max="500" width="11.85546875" style="1354" customWidth="1"/>
    <col min="501" max="502" width="13.7109375" style="1354" customWidth="1"/>
    <col min="503" max="503" width="13" style="1354" customWidth="1"/>
    <col min="504" max="505" width="14.140625" style="1354" customWidth="1"/>
    <col min="506" max="506" width="17.28515625" style="1354" customWidth="1"/>
    <col min="507" max="508" width="14.140625" style="1354" customWidth="1"/>
    <col min="509" max="509" width="15.5703125" style="1354" customWidth="1"/>
    <col min="510" max="515" width="14.140625" style="1354" customWidth="1"/>
    <col min="516" max="516" width="11.42578125" style="1354" bestFit="1" customWidth="1"/>
    <col min="517" max="517" width="11.42578125" style="1354" customWidth="1"/>
    <col min="518" max="518" width="9.28515625" style="1354" bestFit="1" customWidth="1"/>
    <col min="519" max="519" width="10.28515625" style="1354" customWidth="1"/>
    <col min="520" max="719" width="8.28515625" style="1354"/>
    <col min="720" max="720" width="0.7109375" style="1354" customWidth="1"/>
    <col min="721" max="721" width="10.5703125" style="1354" customWidth="1"/>
    <col min="722" max="722" width="46.42578125" style="1354" customWidth="1"/>
    <col min="723" max="723" width="12.7109375" style="1354" customWidth="1"/>
    <col min="724" max="724" width="14.5703125" style="1354" customWidth="1"/>
    <col min="725" max="725" width="14.140625" style="1354" customWidth="1"/>
    <col min="726" max="726" width="17.140625" style="1354" customWidth="1"/>
    <col min="727" max="727" width="16.5703125" style="1354" customWidth="1"/>
    <col min="728" max="728" width="17" style="1354" customWidth="1"/>
    <col min="729" max="729" width="17.28515625" style="1354" customWidth="1"/>
    <col min="730" max="730" width="14.5703125" style="1354" customWidth="1"/>
    <col min="731" max="731" width="14.140625" style="1354" customWidth="1"/>
    <col min="732" max="732" width="13.42578125" style="1354" customWidth="1"/>
    <col min="733" max="734" width="13.7109375" style="1354" customWidth="1"/>
    <col min="735" max="735" width="13" style="1354" customWidth="1"/>
    <col min="736" max="736" width="14.5703125" style="1354" customWidth="1"/>
    <col min="737" max="737" width="14.140625" style="1354" customWidth="1"/>
    <col min="738" max="738" width="13" style="1354" customWidth="1"/>
    <col min="739" max="740" width="13.7109375" style="1354" customWidth="1"/>
    <col min="741" max="741" width="13" style="1354" customWidth="1"/>
    <col min="742" max="742" width="16" style="1354" customWidth="1"/>
    <col min="743" max="743" width="14.140625" style="1354" customWidth="1"/>
    <col min="744" max="744" width="13.42578125" style="1354" customWidth="1"/>
    <col min="745" max="746" width="13.7109375" style="1354" customWidth="1"/>
    <col min="747" max="747" width="13" style="1354" customWidth="1"/>
    <col min="748" max="748" width="13.85546875" style="1354" customWidth="1"/>
    <col min="749" max="749" width="14.5703125" style="1354" customWidth="1"/>
    <col min="750" max="750" width="11.5703125" style="1354" customWidth="1"/>
    <col min="751" max="752" width="13.7109375" style="1354" customWidth="1"/>
    <col min="753" max="753" width="13" style="1354" customWidth="1"/>
    <col min="754" max="754" width="14.140625" style="1354" customWidth="1"/>
    <col min="755" max="755" width="13.42578125" style="1354" customWidth="1"/>
    <col min="756" max="756" width="11.85546875" style="1354" customWidth="1"/>
    <col min="757" max="758" width="13.7109375" style="1354" customWidth="1"/>
    <col min="759" max="759" width="13" style="1354" customWidth="1"/>
    <col min="760" max="761" width="14.140625" style="1354" customWidth="1"/>
    <col min="762" max="762" width="17.28515625" style="1354" customWidth="1"/>
    <col min="763" max="764" width="14.140625" style="1354" customWidth="1"/>
    <col min="765" max="765" width="15.5703125" style="1354" customWidth="1"/>
    <col min="766" max="771" width="14.140625" style="1354" customWidth="1"/>
    <col min="772" max="772" width="11.42578125" style="1354" bestFit="1" customWidth="1"/>
    <col min="773" max="773" width="11.42578125" style="1354" customWidth="1"/>
    <col min="774" max="774" width="9.28515625" style="1354" bestFit="1" customWidth="1"/>
    <col min="775" max="775" width="10.28515625" style="1354" customWidth="1"/>
    <col min="776" max="975" width="8.28515625" style="1354"/>
    <col min="976" max="976" width="0.7109375" style="1354" customWidth="1"/>
    <col min="977" max="977" width="10.5703125" style="1354" customWidth="1"/>
    <col min="978" max="978" width="46.42578125" style="1354" customWidth="1"/>
    <col min="979" max="979" width="12.7109375" style="1354" customWidth="1"/>
    <col min="980" max="980" width="14.5703125" style="1354" customWidth="1"/>
    <col min="981" max="981" width="14.140625" style="1354" customWidth="1"/>
    <col min="982" max="982" width="17.140625" style="1354" customWidth="1"/>
    <col min="983" max="983" width="16.5703125" style="1354" customWidth="1"/>
    <col min="984" max="984" width="17" style="1354" customWidth="1"/>
    <col min="985" max="985" width="17.28515625" style="1354" customWidth="1"/>
    <col min="986" max="986" width="14.5703125" style="1354" customWidth="1"/>
    <col min="987" max="987" width="14.140625" style="1354" customWidth="1"/>
    <col min="988" max="988" width="13.42578125" style="1354" customWidth="1"/>
    <col min="989" max="990" width="13.7109375" style="1354" customWidth="1"/>
    <col min="991" max="991" width="13" style="1354" customWidth="1"/>
    <col min="992" max="992" width="14.5703125" style="1354" customWidth="1"/>
    <col min="993" max="993" width="14.140625" style="1354" customWidth="1"/>
    <col min="994" max="994" width="13" style="1354" customWidth="1"/>
    <col min="995" max="996" width="13.7109375" style="1354" customWidth="1"/>
    <col min="997" max="997" width="13" style="1354" customWidth="1"/>
    <col min="998" max="998" width="16" style="1354" customWidth="1"/>
    <col min="999" max="999" width="14.140625" style="1354" customWidth="1"/>
    <col min="1000" max="1000" width="13.42578125" style="1354" customWidth="1"/>
    <col min="1001" max="1002" width="13.7109375" style="1354" customWidth="1"/>
    <col min="1003" max="1003" width="13" style="1354" customWidth="1"/>
    <col min="1004" max="1004" width="13.85546875" style="1354" customWidth="1"/>
    <col min="1005" max="1005" width="14.5703125" style="1354" customWidth="1"/>
    <col min="1006" max="1006" width="11.5703125" style="1354" customWidth="1"/>
    <col min="1007" max="1008" width="13.7109375" style="1354" customWidth="1"/>
    <col min="1009" max="1009" width="13" style="1354" customWidth="1"/>
    <col min="1010" max="1010" width="14.140625" style="1354" customWidth="1"/>
    <col min="1011" max="1011" width="13.42578125" style="1354" customWidth="1"/>
    <col min="1012" max="1012" width="11.85546875" style="1354" customWidth="1"/>
    <col min="1013" max="1014" width="13.7109375" style="1354" customWidth="1"/>
    <col min="1015" max="1015" width="13" style="1354" customWidth="1"/>
    <col min="1016" max="1017" width="14.140625" style="1354" customWidth="1"/>
    <col min="1018" max="1018" width="17.28515625" style="1354" customWidth="1"/>
    <col min="1019" max="1020" width="14.140625" style="1354" customWidth="1"/>
    <col min="1021" max="1021" width="15.5703125" style="1354" customWidth="1"/>
    <col min="1022" max="1027" width="14.140625" style="1354" customWidth="1"/>
    <col min="1028" max="1028" width="11.42578125" style="1354" bestFit="1" customWidth="1"/>
    <col min="1029" max="1029" width="11.42578125" style="1354" customWidth="1"/>
    <col min="1030" max="1030" width="9.28515625" style="1354" bestFit="1" customWidth="1"/>
    <col min="1031" max="1031" width="10.28515625" style="1354" customWidth="1"/>
    <col min="1032" max="1231" width="8.28515625" style="1354"/>
    <col min="1232" max="1232" width="0.7109375" style="1354" customWidth="1"/>
    <col min="1233" max="1233" width="10.5703125" style="1354" customWidth="1"/>
    <col min="1234" max="1234" width="46.42578125" style="1354" customWidth="1"/>
    <col min="1235" max="1235" width="12.7109375" style="1354" customWidth="1"/>
    <col min="1236" max="1236" width="14.5703125" style="1354" customWidth="1"/>
    <col min="1237" max="1237" width="14.140625" style="1354" customWidth="1"/>
    <col min="1238" max="1238" width="17.140625" style="1354" customWidth="1"/>
    <col min="1239" max="1239" width="16.5703125" style="1354" customWidth="1"/>
    <col min="1240" max="1240" width="17" style="1354" customWidth="1"/>
    <col min="1241" max="1241" width="17.28515625" style="1354" customWidth="1"/>
    <col min="1242" max="1242" width="14.5703125" style="1354" customWidth="1"/>
    <col min="1243" max="1243" width="14.140625" style="1354" customWidth="1"/>
    <col min="1244" max="1244" width="13.42578125" style="1354" customWidth="1"/>
    <col min="1245" max="1246" width="13.7109375" style="1354" customWidth="1"/>
    <col min="1247" max="1247" width="13" style="1354" customWidth="1"/>
    <col min="1248" max="1248" width="14.5703125" style="1354" customWidth="1"/>
    <col min="1249" max="1249" width="14.140625" style="1354" customWidth="1"/>
    <col min="1250" max="1250" width="13" style="1354" customWidth="1"/>
    <col min="1251" max="1252" width="13.7109375" style="1354" customWidth="1"/>
    <col min="1253" max="1253" width="13" style="1354" customWidth="1"/>
    <col min="1254" max="1254" width="16" style="1354" customWidth="1"/>
    <col min="1255" max="1255" width="14.140625" style="1354" customWidth="1"/>
    <col min="1256" max="1256" width="13.42578125" style="1354" customWidth="1"/>
    <col min="1257" max="1258" width="13.7109375" style="1354" customWidth="1"/>
    <col min="1259" max="1259" width="13" style="1354" customWidth="1"/>
    <col min="1260" max="1260" width="13.85546875" style="1354" customWidth="1"/>
    <col min="1261" max="1261" width="14.5703125" style="1354" customWidth="1"/>
    <col min="1262" max="1262" width="11.5703125" style="1354" customWidth="1"/>
    <col min="1263" max="1264" width="13.7109375" style="1354" customWidth="1"/>
    <col min="1265" max="1265" width="13" style="1354" customWidth="1"/>
    <col min="1266" max="1266" width="14.140625" style="1354" customWidth="1"/>
    <col min="1267" max="1267" width="13.42578125" style="1354" customWidth="1"/>
    <col min="1268" max="1268" width="11.85546875" style="1354" customWidth="1"/>
    <col min="1269" max="1270" width="13.7109375" style="1354" customWidth="1"/>
    <col min="1271" max="1271" width="13" style="1354" customWidth="1"/>
    <col min="1272" max="1273" width="14.140625" style="1354" customWidth="1"/>
    <col min="1274" max="1274" width="17.28515625" style="1354" customWidth="1"/>
    <col min="1275" max="1276" width="14.140625" style="1354" customWidth="1"/>
    <col min="1277" max="1277" width="15.5703125" style="1354" customWidth="1"/>
    <col min="1278" max="1283" width="14.140625" style="1354" customWidth="1"/>
    <col min="1284" max="1284" width="11.42578125" style="1354" bestFit="1" customWidth="1"/>
    <col min="1285" max="1285" width="11.42578125" style="1354" customWidth="1"/>
    <col min="1286" max="1286" width="9.28515625" style="1354" bestFit="1" customWidth="1"/>
    <col min="1287" max="1287" width="10.28515625" style="1354" customWidth="1"/>
    <col min="1288" max="1487" width="8.28515625" style="1354"/>
    <col min="1488" max="1488" width="0.7109375" style="1354" customWidth="1"/>
    <col min="1489" max="1489" width="10.5703125" style="1354" customWidth="1"/>
    <col min="1490" max="1490" width="46.42578125" style="1354" customWidth="1"/>
    <col min="1491" max="1491" width="12.7109375" style="1354" customWidth="1"/>
    <col min="1492" max="1492" width="14.5703125" style="1354" customWidth="1"/>
    <col min="1493" max="1493" width="14.140625" style="1354" customWidth="1"/>
    <col min="1494" max="1494" width="17.140625" style="1354" customWidth="1"/>
    <col min="1495" max="1495" width="16.5703125" style="1354" customWidth="1"/>
    <col min="1496" max="1496" width="17" style="1354" customWidth="1"/>
    <col min="1497" max="1497" width="17.28515625" style="1354" customWidth="1"/>
    <col min="1498" max="1498" width="14.5703125" style="1354" customWidth="1"/>
    <col min="1499" max="1499" width="14.140625" style="1354" customWidth="1"/>
    <col min="1500" max="1500" width="13.42578125" style="1354" customWidth="1"/>
    <col min="1501" max="1502" width="13.7109375" style="1354" customWidth="1"/>
    <col min="1503" max="1503" width="13" style="1354" customWidth="1"/>
    <col min="1504" max="1504" width="14.5703125" style="1354" customWidth="1"/>
    <col min="1505" max="1505" width="14.140625" style="1354" customWidth="1"/>
    <col min="1506" max="1506" width="13" style="1354" customWidth="1"/>
    <col min="1507" max="1508" width="13.7109375" style="1354" customWidth="1"/>
    <col min="1509" max="1509" width="13" style="1354" customWidth="1"/>
    <col min="1510" max="1510" width="16" style="1354" customWidth="1"/>
    <col min="1511" max="1511" width="14.140625" style="1354" customWidth="1"/>
    <col min="1512" max="1512" width="13.42578125" style="1354" customWidth="1"/>
    <col min="1513" max="1514" width="13.7109375" style="1354" customWidth="1"/>
    <col min="1515" max="1515" width="13" style="1354" customWidth="1"/>
    <col min="1516" max="1516" width="13.85546875" style="1354" customWidth="1"/>
    <col min="1517" max="1517" width="14.5703125" style="1354" customWidth="1"/>
    <col min="1518" max="1518" width="11.5703125" style="1354" customWidth="1"/>
    <col min="1519" max="1520" width="13.7109375" style="1354" customWidth="1"/>
    <col min="1521" max="1521" width="13" style="1354" customWidth="1"/>
    <col min="1522" max="1522" width="14.140625" style="1354" customWidth="1"/>
    <col min="1523" max="1523" width="13.42578125" style="1354" customWidth="1"/>
    <col min="1524" max="1524" width="11.85546875" style="1354" customWidth="1"/>
    <col min="1525" max="1526" width="13.7109375" style="1354" customWidth="1"/>
    <col min="1527" max="1527" width="13" style="1354" customWidth="1"/>
    <col min="1528" max="1529" width="14.140625" style="1354" customWidth="1"/>
    <col min="1530" max="1530" width="17.28515625" style="1354" customWidth="1"/>
    <col min="1531" max="1532" width="14.140625" style="1354" customWidth="1"/>
    <col min="1533" max="1533" width="15.5703125" style="1354" customWidth="1"/>
    <col min="1534" max="1539" width="14.140625" style="1354" customWidth="1"/>
    <col min="1540" max="1540" width="11.42578125" style="1354" bestFit="1" customWidth="1"/>
    <col min="1541" max="1541" width="11.42578125" style="1354" customWidth="1"/>
    <col min="1542" max="1542" width="9.28515625" style="1354" bestFit="1" customWidth="1"/>
    <col min="1543" max="1543" width="10.28515625" style="1354" customWidth="1"/>
    <col min="1544" max="1743" width="8.28515625" style="1354"/>
    <col min="1744" max="1744" width="0.7109375" style="1354" customWidth="1"/>
    <col min="1745" max="1745" width="10.5703125" style="1354" customWidth="1"/>
    <col min="1746" max="1746" width="46.42578125" style="1354" customWidth="1"/>
    <col min="1747" max="1747" width="12.7109375" style="1354" customWidth="1"/>
    <col min="1748" max="1748" width="14.5703125" style="1354" customWidth="1"/>
    <col min="1749" max="1749" width="14.140625" style="1354" customWidth="1"/>
    <col min="1750" max="1750" width="17.140625" style="1354" customWidth="1"/>
    <col min="1751" max="1751" width="16.5703125" style="1354" customWidth="1"/>
    <col min="1752" max="1752" width="17" style="1354" customWidth="1"/>
    <col min="1753" max="1753" width="17.28515625" style="1354" customWidth="1"/>
    <col min="1754" max="1754" width="14.5703125" style="1354" customWidth="1"/>
    <col min="1755" max="1755" width="14.140625" style="1354" customWidth="1"/>
    <col min="1756" max="1756" width="13.42578125" style="1354" customWidth="1"/>
    <col min="1757" max="1758" width="13.7109375" style="1354" customWidth="1"/>
    <col min="1759" max="1759" width="13" style="1354" customWidth="1"/>
    <col min="1760" max="1760" width="14.5703125" style="1354" customWidth="1"/>
    <col min="1761" max="1761" width="14.140625" style="1354" customWidth="1"/>
    <col min="1762" max="1762" width="13" style="1354" customWidth="1"/>
    <col min="1763" max="1764" width="13.7109375" style="1354" customWidth="1"/>
    <col min="1765" max="1765" width="13" style="1354" customWidth="1"/>
    <col min="1766" max="1766" width="16" style="1354" customWidth="1"/>
    <col min="1767" max="1767" width="14.140625" style="1354" customWidth="1"/>
    <col min="1768" max="1768" width="13.42578125" style="1354" customWidth="1"/>
    <col min="1769" max="1770" width="13.7109375" style="1354" customWidth="1"/>
    <col min="1771" max="1771" width="13" style="1354" customWidth="1"/>
    <col min="1772" max="1772" width="13.85546875" style="1354" customWidth="1"/>
    <col min="1773" max="1773" width="14.5703125" style="1354" customWidth="1"/>
    <col min="1774" max="1774" width="11.5703125" style="1354" customWidth="1"/>
    <col min="1775" max="1776" width="13.7109375" style="1354" customWidth="1"/>
    <col min="1777" max="1777" width="13" style="1354" customWidth="1"/>
    <col min="1778" max="1778" width="14.140625" style="1354" customWidth="1"/>
    <col min="1779" max="1779" width="13.42578125" style="1354" customWidth="1"/>
    <col min="1780" max="1780" width="11.85546875" style="1354" customWidth="1"/>
    <col min="1781" max="1782" width="13.7109375" style="1354" customWidth="1"/>
    <col min="1783" max="1783" width="13" style="1354" customWidth="1"/>
    <col min="1784" max="1785" width="14.140625" style="1354" customWidth="1"/>
    <col min="1786" max="1786" width="17.28515625" style="1354" customWidth="1"/>
    <col min="1787" max="1788" width="14.140625" style="1354" customWidth="1"/>
    <col min="1789" max="1789" width="15.5703125" style="1354" customWidth="1"/>
    <col min="1790" max="1795" width="14.140625" style="1354" customWidth="1"/>
    <col min="1796" max="1796" width="11.42578125" style="1354" bestFit="1" customWidth="1"/>
    <col min="1797" max="1797" width="11.42578125" style="1354" customWidth="1"/>
    <col min="1798" max="1798" width="9.28515625" style="1354" bestFit="1" customWidth="1"/>
    <col min="1799" max="1799" width="10.28515625" style="1354" customWidth="1"/>
    <col min="1800" max="1999" width="8.28515625" style="1354"/>
    <col min="2000" max="2000" width="0.7109375" style="1354" customWidth="1"/>
    <col min="2001" max="2001" width="10.5703125" style="1354" customWidth="1"/>
    <col min="2002" max="2002" width="46.42578125" style="1354" customWidth="1"/>
    <col min="2003" max="2003" width="12.7109375" style="1354" customWidth="1"/>
    <col min="2004" max="2004" width="14.5703125" style="1354" customWidth="1"/>
    <col min="2005" max="2005" width="14.140625" style="1354" customWidth="1"/>
    <col min="2006" max="2006" width="17.140625" style="1354" customWidth="1"/>
    <col min="2007" max="2007" width="16.5703125" style="1354" customWidth="1"/>
    <col min="2008" max="2008" width="17" style="1354" customWidth="1"/>
    <col min="2009" max="2009" width="17.28515625" style="1354" customWidth="1"/>
    <col min="2010" max="2010" width="14.5703125" style="1354" customWidth="1"/>
    <col min="2011" max="2011" width="14.140625" style="1354" customWidth="1"/>
    <col min="2012" max="2012" width="13.42578125" style="1354" customWidth="1"/>
    <col min="2013" max="2014" width="13.7109375" style="1354" customWidth="1"/>
    <col min="2015" max="2015" width="13" style="1354" customWidth="1"/>
    <col min="2016" max="2016" width="14.5703125" style="1354" customWidth="1"/>
    <col min="2017" max="2017" width="14.140625" style="1354" customWidth="1"/>
    <col min="2018" max="2018" width="13" style="1354" customWidth="1"/>
    <col min="2019" max="2020" width="13.7109375" style="1354" customWidth="1"/>
    <col min="2021" max="2021" width="13" style="1354" customWidth="1"/>
    <col min="2022" max="2022" width="16" style="1354" customWidth="1"/>
    <col min="2023" max="2023" width="14.140625" style="1354" customWidth="1"/>
    <col min="2024" max="2024" width="13.42578125" style="1354" customWidth="1"/>
    <col min="2025" max="2026" width="13.7109375" style="1354" customWidth="1"/>
    <col min="2027" max="2027" width="13" style="1354" customWidth="1"/>
    <col min="2028" max="2028" width="13.85546875" style="1354" customWidth="1"/>
    <col min="2029" max="2029" width="14.5703125" style="1354" customWidth="1"/>
    <col min="2030" max="2030" width="11.5703125" style="1354" customWidth="1"/>
    <col min="2031" max="2032" width="13.7109375" style="1354" customWidth="1"/>
    <col min="2033" max="2033" width="13" style="1354" customWidth="1"/>
    <col min="2034" max="2034" width="14.140625" style="1354" customWidth="1"/>
    <col min="2035" max="2035" width="13.42578125" style="1354" customWidth="1"/>
    <col min="2036" max="2036" width="11.85546875" style="1354" customWidth="1"/>
    <col min="2037" max="2038" width="13.7109375" style="1354" customWidth="1"/>
    <col min="2039" max="2039" width="13" style="1354" customWidth="1"/>
    <col min="2040" max="2041" width="14.140625" style="1354" customWidth="1"/>
    <col min="2042" max="2042" width="17.28515625" style="1354" customWidth="1"/>
    <col min="2043" max="2044" width="14.140625" style="1354" customWidth="1"/>
    <col min="2045" max="2045" width="15.5703125" style="1354" customWidth="1"/>
    <col min="2046" max="2051" width="14.140625" style="1354" customWidth="1"/>
    <col min="2052" max="2052" width="11.42578125" style="1354" bestFit="1" customWidth="1"/>
    <col min="2053" max="2053" width="11.42578125" style="1354" customWidth="1"/>
    <col min="2054" max="2054" width="9.28515625" style="1354" bestFit="1" customWidth="1"/>
    <col min="2055" max="2055" width="10.28515625" style="1354" customWidth="1"/>
    <col min="2056" max="2255" width="8.28515625" style="1354"/>
    <col min="2256" max="2256" width="0.7109375" style="1354" customWidth="1"/>
    <col min="2257" max="2257" width="10.5703125" style="1354" customWidth="1"/>
    <col min="2258" max="2258" width="46.42578125" style="1354" customWidth="1"/>
    <col min="2259" max="2259" width="12.7109375" style="1354" customWidth="1"/>
    <col min="2260" max="2260" width="14.5703125" style="1354" customWidth="1"/>
    <col min="2261" max="2261" width="14.140625" style="1354" customWidth="1"/>
    <col min="2262" max="2262" width="17.140625" style="1354" customWidth="1"/>
    <col min="2263" max="2263" width="16.5703125" style="1354" customWidth="1"/>
    <col min="2264" max="2264" width="17" style="1354" customWidth="1"/>
    <col min="2265" max="2265" width="17.28515625" style="1354" customWidth="1"/>
    <col min="2266" max="2266" width="14.5703125" style="1354" customWidth="1"/>
    <col min="2267" max="2267" width="14.140625" style="1354" customWidth="1"/>
    <col min="2268" max="2268" width="13.42578125" style="1354" customWidth="1"/>
    <col min="2269" max="2270" width="13.7109375" style="1354" customWidth="1"/>
    <col min="2271" max="2271" width="13" style="1354" customWidth="1"/>
    <col min="2272" max="2272" width="14.5703125" style="1354" customWidth="1"/>
    <col min="2273" max="2273" width="14.140625" style="1354" customWidth="1"/>
    <col min="2274" max="2274" width="13" style="1354" customWidth="1"/>
    <col min="2275" max="2276" width="13.7109375" style="1354" customWidth="1"/>
    <col min="2277" max="2277" width="13" style="1354" customWidth="1"/>
    <col min="2278" max="2278" width="16" style="1354" customWidth="1"/>
    <col min="2279" max="2279" width="14.140625" style="1354" customWidth="1"/>
    <col min="2280" max="2280" width="13.42578125" style="1354" customWidth="1"/>
    <col min="2281" max="2282" width="13.7109375" style="1354" customWidth="1"/>
    <col min="2283" max="2283" width="13" style="1354" customWidth="1"/>
    <col min="2284" max="2284" width="13.85546875" style="1354" customWidth="1"/>
    <col min="2285" max="2285" width="14.5703125" style="1354" customWidth="1"/>
    <col min="2286" max="2286" width="11.5703125" style="1354" customWidth="1"/>
    <col min="2287" max="2288" width="13.7109375" style="1354" customWidth="1"/>
    <col min="2289" max="2289" width="13" style="1354" customWidth="1"/>
    <col min="2290" max="2290" width="14.140625" style="1354" customWidth="1"/>
    <col min="2291" max="2291" width="13.42578125" style="1354" customWidth="1"/>
    <col min="2292" max="2292" width="11.85546875" style="1354" customWidth="1"/>
    <col min="2293" max="2294" width="13.7109375" style="1354" customWidth="1"/>
    <col min="2295" max="2295" width="13" style="1354" customWidth="1"/>
    <col min="2296" max="2297" width="14.140625" style="1354" customWidth="1"/>
    <col min="2298" max="2298" width="17.28515625" style="1354" customWidth="1"/>
    <col min="2299" max="2300" width="14.140625" style="1354" customWidth="1"/>
    <col min="2301" max="2301" width="15.5703125" style="1354" customWidth="1"/>
    <col min="2302" max="2307" width="14.140625" style="1354" customWidth="1"/>
    <col min="2308" max="2308" width="11.42578125" style="1354" bestFit="1" customWidth="1"/>
    <col min="2309" max="2309" width="11.42578125" style="1354" customWidth="1"/>
    <col min="2310" max="2310" width="9.28515625" style="1354" bestFit="1" customWidth="1"/>
    <col min="2311" max="2311" width="10.28515625" style="1354" customWidth="1"/>
    <col min="2312" max="2511" width="8.28515625" style="1354"/>
    <col min="2512" max="2512" width="0.7109375" style="1354" customWidth="1"/>
    <col min="2513" max="2513" width="10.5703125" style="1354" customWidth="1"/>
    <col min="2514" max="2514" width="46.42578125" style="1354" customWidth="1"/>
    <col min="2515" max="2515" width="12.7109375" style="1354" customWidth="1"/>
    <col min="2516" max="2516" width="14.5703125" style="1354" customWidth="1"/>
    <col min="2517" max="2517" width="14.140625" style="1354" customWidth="1"/>
    <col min="2518" max="2518" width="17.140625" style="1354" customWidth="1"/>
    <col min="2519" max="2519" width="16.5703125" style="1354" customWidth="1"/>
    <col min="2520" max="2520" width="17" style="1354" customWidth="1"/>
    <col min="2521" max="2521" width="17.28515625" style="1354" customWidth="1"/>
    <col min="2522" max="2522" width="14.5703125" style="1354" customWidth="1"/>
    <col min="2523" max="2523" width="14.140625" style="1354" customWidth="1"/>
    <col min="2524" max="2524" width="13.42578125" style="1354" customWidth="1"/>
    <col min="2525" max="2526" width="13.7109375" style="1354" customWidth="1"/>
    <col min="2527" max="2527" width="13" style="1354" customWidth="1"/>
    <col min="2528" max="2528" width="14.5703125" style="1354" customWidth="1"/>
    <col min="2529" max="2529" width="14.140625" style="1354" customWidth="1"/>
    <col min="2530" max="2530" width="13" style="1354" customWidth="1"/>
    <col min="2531" max="2532" width="13.7109375" style="1354" customWidth="1"/>
    <col min="2533" max="2533" width="13" style="1354" customWidth="1"/>
    <col min="2534" max="2534" width="16" style="1354" customWidth="1"/>
    <col min="2535" max="2535" width="14.140625" style="1354" customWidth="1"/>
    <col min="2536" max="2536" width="13.42578125" style="1354" customWidth="1"/>
    <col min="2537" max="2538" width="13.7109375" style="1354" customWidth="1"/>
    <col min="2539" max="2539" width="13" style="1354" customWidth="1"/>
    <col min="2540" max="2540" width="13.85546875" style="1354" customWidth="1"/>
    <col min="2541" max="2541" width="14.5703125" style="1354" customWidth="1"/>
    <col min="2542" max="2542" width="11.5703125" style="1354" customWidth="1"/>
    <col min="2543" max="2544" width="13.7109375" style="1354" customWidth="1"/>
    <col min="2545" max="2545" width="13" style="1354" customWidth="1"/>
    <col min="2546" max="2546" width="14.140625" style="1354" customWidth="1"/>
    <col min="2547" max="2547" width="13.42578125" style="1354" customWidth="1"/>
    <col min="2548" max="2548" width="11.85546875" style="1354" customWidth="1"/>
    <col min="2549" max="2550" width="13.7109375" style="1354" customWidth="1"/>
    <col min="2551" max="2551" width="13" style="1354" customWidth="1"/>
    <col min="2552" max="2553" width="14.140625" style="1354" customWidth="1"/>
    <col min="2554" max="2554" width="17.28515625" style="1354" customWidth="1"/>
    <col min="2555" max="2556" width="14.140625" style="1354" customWidth="1"/>
    <col min="2557" max="2557" width="15.5703125" style="1354" customWidth="1"/>
    <col min="2558" max="2563" width="14.140625" style="1354" customWidth="1"/>
    <col min="2564" max="2564" width="11.42578125" style="1354" bestFit="1" customWidth="1"/>
    <col min="2565" max="2565" width="11.42578125" style="1354" customWidth="1"/>
    <col min="2566" max="2566" width="9.28515625" style="1354" bestFit="1" customWidth="1"/>
    <col min="2567" max="2567" width="10.28515625" style="1354" customWidth="1"/>
    <col min="2568" max="2767" width="8.28515625" style="1354"/>
    <col min="2768" max="2768" width="0.7109375" style="1354" customWidth="1"/>
    <col min="2769" max="2769" width="10.5703125" style="1354" customWidth="1"/>
    <col min="2770" max="2770" width="46.42578125" style="1354" customWidth="1"/>
    <col min="2771" max="2771" width="12.7109375" style="1354" customWidth="1"/>
    <col min="2772" max="2772" width="14.5703125" style="1354" customWidth="1"/>
    <col min="2773" max="2773" width="14.140625" style="1354" customWidth="1"/>
    <col min="2774" max="2774" width="17.140625" style="1354" customWidth="1"/>
    <col min="2775" max="2775" width="16.5703125" style="1354" customWidth="1"/>
    <col min="2776" max="2776" width="17" style="1354" customWidth="1"/>
    <col min="2777" max="2777" width="17.28515625" style="1354" customWidth="1"/>
    <col min="2778" max="2778" width="14.5703125" style="1354" customWidth="1"/>
    <col min="2779" max="2779" width="14.140625" style="1354" customWidth="1"/>
    <col min="2780" max="2780" width="13.42578125" style="1354" customWidth="1"/>
    <col min="2781" max="2782" width="13.7109375" style="1354" customWidth="1"/>
    <col min="2783" max="2783" width="13" style="1354" customWidth="1"/>
    <col min="2784" max="2784" width="14.5703125" style="1354" customWidth="1"/>
    <col min="2785" max="2785" width="14.140625" style="1354" customWidth="1"/>
    <col min="2786" max="2786" width="13" style="1354" customWidth="1"/>
    <col min="2787" max="2788" width="13.7109375" style="1354" customWidth="1"/>
    <col min="2789" max="2789" width="13" style="1354" customWidth="1"/>
    <col min="2790" max="2790" width="16" style="1354" customWidth="1"/>
    <col min="2791" max="2791" width="14.140625" style="1354" customWidth="1"/>
    <col min="2792" max="2792" width="13.42578125" style="1354" customWidth="1"/>
    <col min="2793" max="2794" width="13.7109375" style="1354" customWidth="1"/>
    <col min="2795" max="2795" width="13" style="1354" customWidth="1"/>
    <col min="2796" max="2796" width="13.85546875" style="1354" customWidth="1"/>
    <col min="2797" max="2797" width="14.5703125" style="1354" customWidth="1"/>
    <col min="2798" max="2798" width="11.5703125" style="1354" customWidth="1"/>
    <col min="2799" max="2800" width="13.7109375" style="1354" customWidth="1"/>
    <col min="2801" max="2801" width="13" style="1354" customWidth="1"/>
    <col min="2802" max="2802" width="14.140625" style="1354" customWidth="1"/>
    <col min="2803" max="2803" width="13.42578125" style="1354" customWidth="1"/>
    <col min="2804" max="2804" width="11.85546875" style="1354" customWidth="1"/>
    <col min="2805" max="2806" width="13.7109375" style="1354" customWidth="1"/>
    <col min="2807" max="2807" width="13" style="1354" customWidth="1"/>
    <col min="2808" max="2809" width="14.140625" style="1354" customWidth="1"/>
    <col min="2810" max="2810" width="17.28515625" style="1354" customWidth="1"/>
    <col min="2811" max="2812" width="14.140625" style="1354" customWidth="1"/>
    <col min="2813" max="2813" width="15.5703125" style="1354" customWidth="1"/>
    <col min="2814" max="2819" width="14.140625" style="1354" customWidth="1"/>
    <col min="2820" max="2820" width="11.42578125" style="1354" bestFit="1" customWidth="1"/>
    <col min="2821" max="2821" width="11.42578125" style="1354" customWidth="1"/>
    <col min="2822" max="2822" width="9.28515625" style="1354" bestFit="1" customWidth="1"/>
    <col min="2823" max="2823" width="10.28515625" style="1354" customWidth="1"/>
    <col min="2824" max="3023" width="8.28515625" style="1354"/>
    <col min="3024" max="3024" width="0.7109375" style="1354" customWidth="1"/>
    <col min="3025" max="3025" width="10.5703125" style="1354" customWidth="1"/>
    <col min="3026" max="3026" width="46.42578125" style="1354" customWidth="1"/>
    <col min="3027" max="3027" width="12.7109375" style="1354" customWidth="1"/>
    <col min="3028" max="3028" width="14.5703125" style="1354" customWidth="1"/>
    <col min="3029" max="3029" width="14.140625" style="1354" customWidth="1"/>
    <col min="3030" max="3030" width="17.140625" style="1354" customWidth="1"/>
    <col min="3031" max="3031" width="16.5703125" style="1354" customWidth="1"/>
    <col min="3032" max="3032" width="17" style="1354" customWidth="1"/>
    <col min="3033" max="3033" width="17.28515625" style="1354" customWidth="1"/>
    <col min="3034" max="3034" width="14.5703125" style="1354" customWidth="1"/>
    <col min="3035" max="3035" width="14.140625" style="1354" customWidth="1"/>
    <col min="3036" max="3036" width="13.42578125" style="1354" customWidth="1"/>
    <col min="3037" max="3038" width="13.7109375" style="1354" customWidth="1"/>
    <col min="3039" max="3039" width="13" style="1354" customWidth="1"/>
    <col min="3040" max="3040" width="14.5703125" style="1354" customWidth="1"/>
    <col min="3041" max="3041" width="14.140625" style="1354" customWidth="1"/>
    <col min="3042" max="3042" width="13" style="1354" customWidth="1"/>
    <col min="3043" max="3044" width="13.7109375" style="1354" customWidth="1"/>
    <col min="3045" max="3045" width="13" style="1354" customWidth="1"/>
    <col min="3046" max="3046" width="16" style="1354" customWidth="1"/>
    <col min="3047" max="3047" width="14.140625" style="1354" customWidth="1"/>
    <col min="3048" max="3048" width="13.42578125" style="1354" customWidth="1"/>
    <col min="3049" max="3050" width="13.7109375" style="1354" customWidth="1"/>
    <col min="3051" max="3051" width="13" style="1354" customWidth="1"/>
    <col min="3052" max="3052" width="13.85546875" style="1354" customWidth="1"/>
    <col min="3053" max="3053" width="14.5703125" style="1354" customWidth="1"/>
    <col min="3054" max="3054" width="11.5703125" style="1354" customWidth="1"/>
    <col min="3055" max="3056" width="13.7109375" style="1354" customWidth="1"/>
    <col min="3057" max="3057" width="13" style="1354" customWidth="1"/>
    <col min="3058" max="3058" width="14.140625" style="1354" customWidth="1"/>
    <col min="3059" max="3059" width="13.42578125" style="1354" customWidth="1"/>
    <col min="3060" max="3060" width="11.85546875" style="1354" customWidth="1"/>
    <col min="3061" max="3062" width="13.7109375" style="1354" customWidth="1"/>
    <col min="3063" max="3063" width="13" style="1354" customWidth="1"/>
    <col min="3064" max="3065" width="14.140625" style="1354" customWidth="1"/>
    <col min="3066" max="3066" width="17.28515625" style="1354" customWidth="1"/>
    <col min="3067" max="3068" width="14.140625" style="1354" customWidth="1"/>
    <col min="3069" max="3069" width="15.5703125" style="1354" customWidth="1"/>
    <col min="3070" max="3075" width="14.140625" style="1354" customWidth="1"/>
    <col min="3076" max="3076" width="11.42578125" style="1354" bestFit="1" customWidth="1"/>
    <col min="3077" max="3077" width="11.42578125" style="1354" customWidth="1"/>
    <col min="3078" max="3078" width="9.28515625" style="1354" bestFit="1" customWidth="1"/>
    <col min="3079" max="3079" width="10.28515625" style="1354" customWidth="1"/>
    <col min="3080" max="3279" width="8.28515625" style="1354"/>
    <col min="3280" max="3280" width="0.7109375" style="1354" customWidth="1"/>
    <col min="3281" max="3281" width="10.5703125" style="1354" customWidth="1"/>
    <col min="3282" max="3282" width="46.42578125" style="1354" customWidth="1"/>
    <col min="3283" max="3283" width="12.7109375" style="1354" customWidth="1"/>
    <col min="3284" max="3284" width="14.5703125" style="1354" customWidth="1"/>
    <col min="3285" max="3285" width="14.140625" style="1354" customWidth="1"/>
    <col min="3286" max="3286" width="17.140625" style="1354" customWidth="1"/>
    <col min="3287" max="3287" width="16.5703125" style="1354" customWidth="1"/>
    <col min="3288" max="3288" width="17" style="1354" customWidth="1"/>
    <col min="3289" max="3289" width="17.28515625" style="1354" customWidth="1"/>
    <col min="3290" max="3290" width="14.5703125" style="1354" customWidth="1"/>
    <col min="3291" max="3291" width="14.140625" style="1354" customWidth="1"/>
    <col min="3292" max="3292" width="13.42578125" style="1354" customWidth="1"/>
    <col min="3293" max="3294" width="13.7109375" style="1354" customWidth="1"/>
    <col min="3295" max="3295" width="13" style="1354" customWidth="1"/>
    <col min="3296" max="3296" width="14.5703125" style="1354" customWidth="1"/>
    <col min="3297" max="3297" width="14.140625" style="1354" customWidth="1"/>
    <col min="3298" max="3298" width="13" style="1354" customWidth="1"/>
    <col min="3299" max="3300" width="13.7109375" style="1354" customWidth="1"/>
    <col min="3301" max="3301" width="13" style="1354" customWidth="1"/>
    <col min="3302" max="3302" width="16" style="1354" customWidth="1"/>
    <col min="3303" max="3303" width="14.140625" style="1354" customWidth="1"/>
    <col min="3304" max="3304" width="13.42578125" style="1354" customWidth="1"/>
    <col min="3305" max="3306" width="13.7109375" style="1354" customWidth="1"/>
    <col min="3307" max="3307" width="13" style="1354" customWidth="1"/>
    <col min="3308" max="3308" width="13.85546875" style="1354" customWidth="1"/>
    <col min="3309" max="3309" width="14.5703125" style="1354" customWidth="1"/>
    <col min="3310" max="3310" width="11.5703125" style="1354" customWidth="1"/>
    <col min="3311" max="3312" width="13.7109375" style="1354" customWidth="1"/>
    <col min="3313" max="3313" width="13" style="1354" customWidth="1"/>
    <col min="3314" max="3314" width="14.140625" style="1354" customWidth="1"/>
    <col min="3315" max="3315" width="13.42578125" style="1354" customWidth="1"/>
    <col min="3316" max="3316" width="11.85546875" style="1354" customWidth="1"/>
    <col min="3317" max="3318" width="13.7109375" style="1354" customWidth="1"/>
    <col min="3319" max="3319" width="13" style="1354" customWidth="1"/>
    <col min="3320" max="3321" width="14.140625" style="1354" customWidth="1"/>
    <col min="3322" max="3322" width="17.28515625" style="1354" customWidth="1"/>
    <col min="3323" max="3324" width="14.140625" style="1354" customWidth="1"/>
    <col min="3325" max="3325" width="15.5703125" style="1354" customWidth="1"/>
    <col min="3326" max="3331" width="14.140625" style="1354" customWidth="1"/>
    <col min="3332" max="3332" width="11.42578125" style="1354" bestFit="1" customWidth="1"/>
    <col min="3333" max="3333" width="11.42578125" style="1354" customWidth="1"/>
    <col min="3334" max="3334" width="9.28515625" style="1354" bestFit="1" customWidth="1"/>
    <col min="3335" max="3335" width="10.28515625" style="1354" customWidth="1"/>
    <col min="3336" max="3535" width="8.28515625" style="1354"/>
    <col min="3536" max="3536" width="0.7109375" style="1354" customWidth="1"/>
    <col min="3537" max="3537" width="10.5703125" style="1354" customWidth="1"/>
    <col min="3538" max="3538" width="46.42578125" style="1354" customWidth="1"/>
    <col min="3539" max="3539" width="12.7109375" style="1354" customWidth="1"/>
    <col min="3540" max="3540" width="14.5703125" style="1354" customWidth="1"/>
    <col min="3541" max="3541" width="14.140625" style="1354" customWidth="1"/>
    <col min="3542" max="3542" width="17.140625" style="1354" customWidth="1"/>
    <col min="3543" max="3543" width="16.5703125" style="1354" customWidth="1"/>
    <col min="3544" max="3544" width="17" style="1354" customWidth="1"/>
    <col min="3545" max="3545" width="17.28515625" style="1354" customWidth="1"/>
    <col min="3546" max="3546" width="14.5703125" style="1354" customWidth="1"/>
    <col min="3547" max="3547" width="14.140625" style="1354" customWidth="1"/>
    <col min="3548" max="3548" width="13.42578125" style="1354" customWidth="1"/>
    <col min="3549" max="3550" width="13.7109375" style="1354" customWidth="1"/>
    <col min="3551" max="3551" width="13" style="1354" customWidth="1"/>
    <col min="3552" max="3552" width="14.5703125" style="1354" customWidth="1"/>
    <col min="3553" max="3553" width="14.140625" style="1354" customWidth="1"/>
    <col min="3554" max="3554" width="13" style="1354" customWidth="1"/>
    <col min="3555" max="3556" width="13.7109375" style="1354" customWidth="1"/>
    <col min="3557" max="3557" width="13" style="1354" customWidth="1"/>
    <col min="3558" max="3558" width="16" style="1354" customWidth="1"/>
    <col min="3559" max="3559" width="14.140625" style="1354" customWidth="1"/>
    <col min="3560" max="3560" width="13.42578125" style="1354" customWidth="1"/>
    <col min="3561" max="3562" width="13.7109375" style="1354" customWidth="1"/>
    <col min="3563" max="3563" width="13" style="1354" customWidth="1"/>
    <col min="3564" max="3564" width="13.85546875" style="1354" customWidth="1"/>
    <col min="3565" max="3565" width="14.5703125" style="1354" customWidth="1"/>
    <col min="3566" max="3566" width="11.5703125" style="1354" customWidth="1"/>
    <col min="3567" max="3568" width="13.7109375" style="1354" customWidth="1"/>
    <col min="3569" max="3569" width="13" style="1354" customWidth="1"/>
    <col min="3570" max="3570" width="14.140625" style="1354" customWidth="1"/>
    <col min="3571" max="3571" width="13.42578125" style="1354" customWidth="1"/>
    <col min="3572" max="3572" width="11.85546875" style="1354" customWidth="1"/>
    <col min="3573" max="3574" width="13.7109375" style="1354" customWidth="1"/>
    <col min="3575" max="3575" width="13" style="1354" customWidth="1"/>
    <col min="3576" max="3577" width="14.140625" style="1354" customWidth="1"/>
    <col min="3578" max="3578" width="17.28515625" style="1354" customWidth="1"/>
    <col min="3579" max="3580" width="14.140625" style="1354" customWidth="1"/>
    <col min="3581" max="3581" width="15.5703125" style="1354" customWidth="1"/>
    <col min="3582" max="3587" width="14.140625" style="1354" customWidth="1"/>
    <col min="3588" max="3588" width="11.42578125" style="1354" bestFit="1" customWidth="1"/>
    <col min="3589" max="3589" width="11.42578125" style="1354" customWidth="1"/>
    <col min="3590" max="3590" width="9.28515625" style="1354" bestFit="1" customWidth="1"/>
    <col min="3591" max="3591" width="10.28515625" style="1354" customWidth="1"/>
    <col min="3592" max="3791" width="8.28515625" style="1354"/>
    <col min="3792" max="3792" width="0.7109375" style="1354" customWidth="1"/>
    <col min="3793" max="3793" width="10.5703125" style="1354" customWidth="1"/>
    <col min="3794" max="3794" width="46.42578125" style="1354" customWidth="1"/>
    <col min="3795" max="3795" width="12.7109375" style="1354" customWidth="1"/>
    <col min="3796" max="3796" width="14.5703125" style="1354" customWidth="1"/>
    <col min="3797" max="3797" width="14.140625" style="1354" customWidth="1"/>
    <col min="3798" max="3798" width="17.140625" style="1354" customWidth="1"/>
    <col min="3799" max="3799" width="16.5703125" style="1354" customWidth="1"/>
    <col min="3800" max="3800" width="17" style="1354" customWidth="1"/>
    <col min="3801" max="3801" width="17.28515625" style="1354" customWidth="1"/>
    <col min="3802" max="3802" width="14.5703125" style="1354" customWidth="1"/>
    <col min="3803" max="3803" width="14.140625" style="1354" customWidth="1"/>
    <col min="3804" max="3804" width="13.42578125" style="1354" customWidth="1"/>
    <col min="3805" max="3806" width="13.7109375" style="1354" customWidth="1"/>
    <col min="3807" max="3807" width="13" style="1354" customWidth="1"/>
    <col min="3808" max="3808" width="14.5703125" style="1354" customWidth="1"/>
    <col min="3809" max="3809" width="14.140625" style="1354" customWidth="1"/>
    <col min="3810" max="3810" width="13" style="1354" customWidth="1"/>
    <col min="3811" max="3812" width="13.7109375" style="1354" customWidth="1"/>
    <col min="3813" max="3813" width="13" style="1354" customWidth="1"/>
    <col min="3814" max="3814" width="16" style="1354" customWidth="1"/>
    <col min="3815" max="3815" width="14.140625" style="1354" customWidth="1"/>
    <col min="3816" max="3816" width="13.42578125" style="1354" customWidth="1"/>
    <col min="3817" max="3818" width="13.7109375" style="1354" customWidth="1"/>
    <col min="3819" max="3819" width="13" style="1354" customWidth="1"/>
    <col min="3820" max="3820" width="13.85546875" style="1354" customWidth="1"/>
    <col min="3821" max="3821" width="14.5703125" style="1354" customWidth="1"/>
    <col min="3822" max="3822" width="11.5703125" style="1354" customWidth="1"/>
    <col min="3823" max="3824" width="13.7109375" style="1354" customWidth="1"/>
    <col min="3825" max="3825" width="13" style="1354" customWidth="1"/>
    <col min="3826" max="3826" width="14.140625" style="1354" customWidth="1"/>
    <col min="3827" max="3827" width="13.42578125" style="1354" customWidth="1"/>
    <col min="3828" max="3828" width="11.85546875" style="1354" customWidth="1"/>
    <col min="3829" max="3830" width="13.7109375" style="1354" customWidth="1"/>
    <col min="3831" max="3831" width="13" style="1354" customWidth="1"/>
    <col min="3832" max="3833" width="14.140625" style="1354" customWidth="1"/>
    <col min="3834" max="3834" width="17.28515625" style="1354" customWidth="1"/>
    <col min="3835" max="3836" width="14.140625" style="1354" customWidth="1"/>
    <col min="3837" max="3837" width="15.5703125" style="1354" customWidth="1"/>
    <col min="3838" max="3843" width="14.140625" style="1354" customWidth="1"/>
    <col min="3844" max="3844" width="11.42578125" style="1354" bestFit="1" customWidth="1"/>
    <col min="3845" max="3845" width="11.42578125" style="1354" customWidth="1"/>
    <col min="3846" max="3846" width="9.28515625" style="1354" bestFit="1" customWidth="1"/>
    <col min="3847" max="3847" width="10.28515625" style="1354" customWidth="1"/>
    <col min="3848" max="4047" width="8.28515625" style="1354"/>
    <col min="4048" max="4048" width="0.7109375" style="1354" customWidth="1"/>
    <col min="4049" max="4049" width="10.5703125" style="1354" customWidth="1"/>
    <col min="4050" max="4050" width="46.42578125" style="1354" customWidth="1"/>
    <col min="4051" max="4051" width="12.7109375" style="1354" customWidth="1"/>
    <col min="4052" max="4052" width="14.5703125" style="1354" customWidth="1"/>
    <col min="4053" max="4053" width="14.140625" style="1354" customWidth="1"/>
    <col min="4054" max="4054" width="17.140625" style="1354" customWidth="1"/>
    <col min="4055" max="4055" width="16.5703125" style="1354" customWidth="1"/>
    <col min="4056" max="4056" width="17" style="1354" customWidth="1"/>
    <col min="4057" max="4057" width="17.28515625" style="1354" customWidth="1"/>
    <col min="4058" max="4058" width="14.5703125" style="1354" customWidth="1"/>
    <col min="4059" max="4059" width="14.140625" style="1354" customWidth="1"/>
    <col min="4060" max="4060" width="13.42578125" style="1354" customWidth="1"/>
    <col min="4061" max="4062" width="13.7109375" style="1354" customWidth="1"/>
    <col min="4063" max="4063" width="13" style="1354" customWidth="1"/>
    <col min="4064" max="4064" width="14.5703125" style="1354" customWidth="1"/>
    <col min="4065" max="4065" width="14.140625" style="1354" customWidth="1"/>
    <col min="4066" max="4066" width="13" style="1354" customWidth="1"/>
    <col min="4067" max="4068" width="13.7109375" style="1354" customWidth="1"/>
    <col min="4069" max="4069" width="13" style="1354" customWidth="1"/>
    <col min="4070" max="4070" width="16" style="1354" customWidth="1"/>
    <col min="4071" max="4071" width="14.140625" style="1354" customWidth="1"/>
    <col min="4072" max="4072" width="13.42578125" style="1354" customWidth="1"/>
    <col min="4073" max="4074" width="13.7109375" style="1354" customWidth="1"/>
    <col min="4075" max="4075" width="13" style="1354" customWidth="1"/>
    <col min="4076" max="4076" width="13.85546875" style="1354" customWidth="1"/>
    <col min="4077" max="4077" width="14.5703125" style="1354" customWidth="1"/>
    <col min="4078" max="4078" width="11.5703125" style="1354" customWidth="1"/>
    <col min="4079" max="4080" width="13.7109375" style="1354" customWidth="1"/>
    <col min="4081" max="4081" width="13" style="1354" customWidth="1"/>
    <col min="4082" max="4082" width="14.140625" style="1354" customWidth="1"/>
    <col min="4083" max="4083" width="13.42578125" style="1354" customWidth="1"/>
    <col min="4084" max="4084" width="11.85546875" style="1354" customWidth="1"/>
    <col min="4085" max="4086" width="13.7109375" style="1354" customWidth="1"/>
    <col min="4087" max="4087" width="13" style="1354" customWidth="1"/>
    <col min="4088" max="4089" width="14.140625" style="1354" customWidth="1"/>
    <col min="4090" max="4090" width="17.28515625" style="1354" customWidth="1"/>
    <col min="4091" max="4092" width="14.140625" style="1354" customWidth="1"/>
    <col min="4093" max="4093" width="15.5703125" style="1354" customWidth="1"/>
    <col min="4094" max="4099" width="14.140625" style="1354" customWidth="1"/>
    <col min="4100" max="4100" width="11.42578125" style="1354" bestFit="1" customWidth="1"/>
    <col min="4101" max="4101" width="11.42578125" style="1354" customWidth="1"/>
    <col min="4102" max="4102" width="9.28515625" style="1354" bestFit="1" customWidth="1"/>
    <col min="4103" max="4103" width="10.28515625" style="1354" customWidth="1"/>
    <col min="4104" max="4303" width="8.28515625" style="1354"/>
    <col min="4304" max="4304" width="0.7109375" style="1354" customWidth="1"/>
    <col min="4305" max="4305" width="10.5703125" style="1354" customWidth="1"/>
    <col min="4306" max="4306" width="46.42578125" style="1354" customWidth="1"/>
    <col min="4307" max="4307" width="12.7109375" style="1354" customWidth="1"/>
    <col min="4308" max="4308" width="14.5703125" style="1354" customWidth="1"/>
    <col min="4309" max="4309" width="14.140625" style="1354" customWidth="1"/>
    <col min="4310" max="4310" width="17.140625" style="1354" customWidth="1"/>
    <col min="4311" max="4311" width="16.5703125" style="1354" customWidth="1"/>
    <col min="4312" max="4312" width="17" style="1354" customWidth="1"/>
    <col min="4313" max="4313" width="17.28515625" style="1354" customWidth="1"/>
    <col min="4314" max="4314" width="14.5703125" style="1354" customWidth="1"/>
    <col min="4315" max="4315" width="14.140625" style="1354" customWidth="1"/>
    <col min="4316" max="4316" width="13.42578125" style="1354" customWidth="1"/>
    <col min="4317" max="4318" width="13.7109375" style="1354" customWidth="1"/>
    <col min="4319" max="4319" width="13" style="1354" customWidth="1"/>
    <col min="4320" max="4320" width="14.5703125" style="1354" customWidth="1"/>
    <col min="4321" max="4321" width="14.140625" style="1354" customWidth="1"/>
    <col min="4322" max="4322" width="13" style="1354" customWidth="1"/>
    <col min="4323" max="4324" width="13.7109375" style="1354" customWidth="1"/>
    <col min="4325" max="4325" width="13" style="1354" customWidth="1"/>
    <col min="4326" max="4326" width="16" style="1354" customWidth="1"/>
    <col min="4327" max="4327" width="14.140625" style="1354" customWidth="1"/>
    <col min="4328" max="4328" width="13.42578125" style="1354" customWidth="1"/>
    <col min="4329" max="4330" width="13.7109375" style="1354" customWidth="1"/>
    <col min="4331" max="4331" width="13" style="1354" customWidth="1"/>
    <col min="4332" max="4332" width="13.85546875" style="1354" customWidth="1"/>
    <col min="4333" max="4333" width="14.5703125" style="1354" customWidth="1"/>
    <col min="4334" max="4334" width="11.5703125" style="1354" customWidth="1"/>
    <col min="4335" max="4336" width="13.7109375" style="1354" customWidth="1"/>
    <col min="4337" max="4337" width="13" style="1354" customWidth="1"/>
    <col min="4338" max="4338" width="14.140625" style="1354" customWidth="1"/>
    <col min="4339" max="4339" width="13.42578125" style="1354" customWidth="1"/>
    <col min="4340" max="4340" width="11.85546875" style="1354" customWidth="1"/>
    <col min="4341" max="4342" width="13.7109375" style="1354" customWidth="1"/>
    <col min="4343" max="4343" width="13" style="1354" customWidth="1"/>
    <col min="4344" max="4345" width="14.140625" style="1354" customWidth="1"/>
    <col min="4346" max="4346" width="17.28515625" style="1354" customWidth="1"/>
    <col min="4347" max="4348" width="14.140625" style="1354" customWidth="1"/>
    <col min="4349" max="4349" width="15.5703125" style="1354" customWidth="1"/>
    <col min="4350" max="4355" width="14.140625" style="1354" customWidth="1"/>
    <col min="4356" max="4356" width="11.42578125" style="1354" bestFit="1" customWidth="1"/>
    <col min="4357" max="4357" width="11.42578125" style="1354" customWidth="1"/>
    <col min="4358" max="4358" width="9.28515625" style="1354" bestFit="1" customWidth="1"/>
    <col min="4359" max="4359" width="10.28515625" style="1354" customWidth="1"/>
    <col min="4360" max="4559" width="8.28515625" style="1354"/>
    <col min="4560" max="4560" width="0.7109375" style="1354" customWidth="1"/>
    <col min="4561" max="4561" width="10.5703125" style="1354" customWidth="1"/>
    <col min="4562" max="4562" width="46.42578125" style="1354" customWidth="1"/>
    <col min="4563" max="4563" width="12.7109375" style="1354" customWidth="1"/>
    <col min="4564" max="4564" width="14.5703125" style="1354" customWidth="1"/>
    <col min="4565" max="4565" width="14.140625" style="1354" customWidth="1"/>
    <col min="4566" max="4566" width="17.140625" style="1354" customWidth="1"/>
    <col min="4567" max="4567" width="16.5703125" style="1354" customWidth="1"/>
    <col min="4568" max="4568" width="17" style="1354" customWidth="1"/>
    <col min="4569" max="4569" width="17.28515625" style="1354" customWidth="1"/>
    <col min="4570" max="4570" width="14.5703125" style="1354" customWidth="1"/>
    <col min="4571" max="4571" width="14.140625" style="1354" customWidth="1"/>
    <col min="4572" max="4572" width="13.42578125" style="1354" customWidth="1"/>
    <col min="4573" max="4574" width="13.7109375" style="1354" customWidth="1"/>
    <col min="4575" max="4575" width="13" style="1354" customWidth="1"/>
    <col min="4576" max="4576" width="14.5703125" style="1354" customWidth="1"/>
    <col min="4577" max="4577" width="14.140625" style="1354" customWidth="1"/>
    <col min="4578" max="4578" width="13" style="1354" customWidth="1"/>
    <col min="4579" max="4580" width="13.7109375" style="1354" customWidth="1"/>
    <col min="4581" max="4581" width="13" style="1354" customWidth="1"/>
    <col min="4582" max="4582" width="16" style="1354" customWidth="1"/>
    <col min="4583" max="4583" width="14.140625" style="1354" customWidth="1"/>
    <col min="4584" max="4584" width="13.42578125" style="1354" customWidth="1"/>
    <col min="4585" max="4586" width="13.7109375" style="1354" customWidth="1"/>
    <col min="4587" max="4587" width="13" style="1354" customWidth="1"/>
    <col min="4588" max="4588" width="13.85546875" style="1354" customWidth="1"/>
    <col min="4589" max="4589" width="14.5703125" style="1354" customWidth="1"/>
    <col min="4590" max="4590" width="11.5703125" style="1354" customWidth="1"/>
    <col min="4591" max="4592" width="13.7109375" style="1354" customWidth="1"/>
    <col min="4593" max="4593" width="13" style="1354" customWidth="1"/>
    <col min="4594" max="4594" width="14.140625" style="1354" customWidth="1"/>
    <col min="4595" max="4595" width="13.42578125" style="1354" customWidth="1"/>
    <col min="4596" max="4596" width="11.85546875" style="1354" customWidth="1"/>
    <col min="4597" max="4598" width="13.7109375" style="1354" customWidth="1"/>
    <col min="4599" max="4599" width="13" style="1354" customWidth="1"/>
    <col min="4600" max="4601" width="14.140625" style="1354" customWidth="1"/>
    <col min="4602" max="4602" width="17.28515625" style="1354" customWidth="1"/>
    <col min="4603" max="4604" width="14.140625" style="1354" customWidth="1"/>
    <col min="4605" max="4605" width="15.5703125" style="1354" customWidth="1"/>
    <col min="4606" max="4611" width="14.140625" style="1354" customWidth="1"/>
    <col min="4612" max="4612" width="11.42578125" style="1354" bestFit="1" customWidth="1"/>
    <col min="4613" max="4613" width="11.42578125" style="1354" customWidth="1"/>
    <col min="4614" max="4614" width="9.28515625" style="1354" bestFit="1" customWidth="1"/>
    <col min="4615" max="4615" width="10.28515625" style="1354" customWidth="1"/>
    <col min="4616" max="4815" width="8.28515625" style="1354"/>
    <col min="4816" max="4816" width="0.7109375" style="1354" customWidth="1"/>
    <col min="4817" max="4817" width="10.5703125" style="1354" customWidth="1"/>
    <col min="4818" max="4818" width="46.42578125" style="1354" customWidth="1"/>
    <col min="4819" max="4819" width="12.7109375" style="1354" customWidth="1"/>
    <col min="4820" max="4820" width="14.5703125" style="1354" customWidth="1"/>
    <col min="4821" max="4821" width="14.140625" style="1354" customWidth="1"/>
    <col min="4822" max="4822" width="17.140625" style="1354" customWidth="1"/>
    <col min="4823" max="4823" width="16.5703125" style="1354" customWidth="1"/>
    <col min="4824" max="4824" width="17" style="1354" customWidth="1"/>
    <col min="4825" max="4825" width="17.28515625" style="1354" customWidth="1"/>
    <col min="4826" max="4826" width="14.5703125" style="1354" customWidth="1"/>
    <col min="4827" max="4827" width="14.140625" style="1354" customWidth="1"/>
    <col min="4828" max="4828" width="13.42578125" style="1354" customWidth="1"/>
    <col min="4829" max="4830" width="13.7109375" style="1354" customWidth="1"/>
    <col min="4831" max="4831" width="13" style="1354" customWidth="1"/>
    <col min="4832" max="4832" width="14.5703125" style="1354" customWidth="1"/>
    <col min="4833" max="4833" width="14.140625" style="1354" customWidth="1"/>
    <col min="4834" max="4834" width="13" style="1354" customWidth="1"/>
    <col min="4835" max="4836" width="13.7109375" style="1354" customWidth="1"/>
    <col min="4837" max="4837" width="13" style="1354" customWidth="1"/>
    <col min="4838" max="4838" width="16" style="1354" customWidth="1"/>
    <col min="4839" max="4839" width="14.140625" style="1354" customWidth="1"/>
    <col min="4840" max="4840" width="13.42578125" style="1354" customWidth="1"/>
    <col min="4841" max="4842" width="13.7109375" style="1354" customWidth="1"/>
    <col min="4843" max="4843" width="13" style="1354" customWidth="1"/>
    <col min="4844" max="4844" width="13.85546875" style="1354" customWidth="1"/>
    <col min="4845" max="4845" width="14.5703125" style="1354" customWidth="1"/>
    <col min="4846" max="4846" width="11.5703125" style="1354" customWidth="1"/>
    <col min="4847" max="4848" width="13.7109375" style="1354" customWidth="1"/>
    <col min="4849" max="4849" width="13" style="1354" customWidth="1"/>
    <col min="4850" max="4850" width="14.140625" style="1354" customWidth="1"/>
    <col min="4851" max="4851" width="13.42578125" style="1354" customWidth="1"/>
    <col min="4852" max="4852" width="11.85546875" style="1354" customWidth="1"/>
    <col min="4853" max="4854" width="13.7109375" style="1354" customWidth="1"/>
    <col min="4855" max="4855" width="13" style="1354" customWidth="1"/>
    <col min="4856" max="4857" width="14.140625" style="1354" customWidth="1"/>
    <col min="4858" max="4858" width="17.28515625" style="1354" customWidth="1"/>
    <col min="4859" max="4860" width="14.140625" style="1354" customWidth="1"/>
    <col min="4861" max="4861" width="15.5703125" style="1354" customWidth="1"/>
    <col min="4862" max="4867" width="14.140625" style="1354" customWidth="1"/>
    <col min="4868" max="4868" width="11.42578125" style="1354" bestFit="1" customWidth="1"/>
    <col min="4869" max="4869" width="11.42578125" style="1354" customWidth="1"/>
    <col min="4870" max="4870" width="9.28515625" style="1354" bestFit="1" customWidth="1"/>
    <col min="4871" max="4871" width="10.28515625" style="1354" customWidth="1"/>
    <col min="4872" max="5071" width="8.28515625" style="1354"/>
    <col min="5072" max="5072" width="0.7109375" style="1354" customWidth="1"/>
    <col min="5073" max="5073" width="10.5703125" style="1354" customWidth="1"/>
    <col min="5074" max="5074" width="46.42578125" style="1354" customWidth="1"/>
    <col min="5075" max="5075" width="12.7109375" style="1354" customWidth="1"/>
    <col min="5076" max="5076" width="14.5703125" style="1354" customWidth="1"/>
    <col min="5077" max="5077" width="14.140625" style="1354" customWidth="1"/>
    <col min="5078" max="5078" width="17.140625" style="1354" customWidth="1"/>
    <col min="5079" max="5079" width="16.5703125" style="1354" customWidth="1"/>
    <col min="5080" max="5080" width="17" style="1354" customWidth="1"/>
    <col min="5081" max="5081" width="17.28515625" style="1354" customWidth="1"/>
    <col min="5082" max="5082" width="14.5703125" style="1354" customWidth="1"/>
    <col min="5083" max="5083" width="14.140625" style="1354" customWidth="1"/>
    <col min="5084" max="5084" width="13.42578125" style="1354" customWidth="1"/>
    <col min="5085" max="5086" width="13.7109375" style="1354" customWidth="1"/>
    <col min="5087" max="5087" width="13" style="1354" customWidth="1"/>
    <col min="5088" max="5088" width="14.5703125" style="1354" customWidth="1"/>
    <col min="5089" max="5089" width="14.140625" style="1354" customWidth="1"/>
    <col min="5090" max="5090" width="13" style="1354" customWidth="1"/>
    <col min="5091" max="5092" width="13.7109375" style="1354" customWidth="1"/>
    <col min="5093" max="5093" width="13" style="1354" customWidth="1"/>
    <col min="5094" max="5094" width="16" style="1354" customWidth="1"/>
    <col min="5095" max="5095" width="14.140625" style="1354" customWidth="1"/>
    <col min="5096" max="5096" width="13.42578125" style="1354" customWidth="1"/>
    <col min="5097" max="5098" width="13.7109375" style="1354" customWidth="1"/>
    <col min="5099" max="5099" width="13" style="1354" customWidth="1"/>
    <col min="5100" max="5100" width="13.85546875" style="1354" customWidth="1"/>
    <col min="5101" max="5101" width="14.5703125" style="1354" customWidth="1"/>
    <col min="5102" max="5102" width="11.5703125" style="1354" customWidth="1"/>
    <col min="5103" max="5104" width="13.7109375" style="1354" customWidth="1"/>
    <col min="5105" max="5105" width="13" style="1354" customWidth="1"/>
    <col min="5106" max="5106" width="14.140625" style="1354" customWidth="1"/>
    <col min="5107" max="5107" width="13.42578125" style="1354" customWidth="1"/>
    <col min="5108" max="5108" width="11.85546875" style="1354" customWidth="1"/>
    <col min="5109" max="5110" width="13.7109375" style="1354" customWidth="1"/>
    <col min="5111" max="5111" width="13" style="1354" customWidth="1"/>
    <col min="5112" max="5113" width="14.140625" style="1354" customWidth="1"/>
    <col min="5114" max="5114" width="17.28515625" style="1354" customWidth="1"/>
    <col min="5115" max="5116" width="14.140625" style="1354" customWidth="1"/>
    <col min="5117" max="5117" width="15.5703125" style="1354" customWidth="1"/>
    <col min="5118" max="5123" width="14.140625" style="1354" customWidth="1"/>
    <col min="5124" max="5124" width="11.42578125" style="1354" bestFit="1" customWidth="1"/>
    <col min="5125" max="5125" width="11.42578125" style="1354" customWidth="1"/>
    <col min="5126" max="5126" width="9.28515625" style="1354" bestFit="1" customWidth="1"/>
    <col min="5127" max="5127" width="10.28515625" style="1354" customWidth="1"/>
    <col min="5128" max="5327" width="8.28515625" style="1354"/>
    <col min="5328" max="5328" width="0.7109375" style="1354" customWidth="1"/>
    <col min="5329" max="5329" width="10.5703125" style="1354" customWidth="1"/>
    <col min="5330" max="5330" width="46.42578125" style="1354" customWidth="1"/>
    <col min="5331" max="5331" width="12.7109375" style="1354" customWidth="1"/>
    <col min="5332" max="5332" width="14.5703125" style="1354" customWidth="1"/>
    <col min="5333" max="5333" width="14.140625" style="1354" customWidth="1"/>
    <col min="5334" max="5334" width="17.140625" style="1354" customWidth="1"/>
    <col min="5335" max="5335" width="16.5703125" style="1354" customWidth="1"/>
    <col min="5336" max="5336" width="17" style="1354" customWidth="1"/>
    <col min="5337" max="5337" width="17.28515625" style="1354" customWidth="1"/>
    <col min="5338" max="5338" width="14.5703125" style="1354" customWidth="1"/>
    <col min="5339" max="5339" width="14.140625" style="1354" customWidth="1"/>
    <col min="5340" max="5340" width="13.42578125" style="1354" customWidth="1"/>
    <col min="5341" max="5342" width="13.7109375" style="1354" customWidth="1"/>
    <col min="5343" max="5343" width="13" style="1354" customWidth="1"/>
    <col min="5344" max="5344" width="14.5703125" style="1354" customWidth="1"/>
    <col min="5345" max="5345" width="14.140625" style="1354" customWidth="1"/>
    <col min="5346" max="5346" width="13" style="1354" customWidth="1"/>
    <col min="5347" max="5348" width="13.7109375" style="1354" customWidth="1"/>
    <col min="5349" max="5349" width="13" style="1354" customWidth="1"/>
    <col min="5350" max="5350" width="16" style="1354" customWidth="1"/>
    <col min="5351" max="5351" width="14.140625" style="1354" customWidth="1"/>
    <col min="5352" max="5352" width="13.42578125" style="1354" customWidth="1"/>
    <col min="5353" max="5354" width="13.7109375" style="1354" customWidth="1"/>
    <col min="5355" max="5355" width="13" style="1354" customWidth="1"/>
    <col min="5356" max="5356" width="13.85546875" style="1354" customWidth="1"/>
    <col min="5357" max="5357" width="14.5703125" style="1354" customWidth="1"/>
    <col min="5358" max="5358" width="11.5703125" style="1354" customWidth="1"/>
    <col min="5359" max="5360" width="13.7109375" style="1354" customWidth="1"/>
    <col min="5361" max="5361" width="13" style="1354" customWidth="1"/>
    <col min="5362" max="5362" width="14.140625" style="1354" customWidth="1"/>
    <col min="5363" max="5363" width="13.42578125" style="1354" customWidth="1"/>
    <col min="5364" max="5364" width="11.85546875" style="1354" customWidth="1"/>
    <col min="5365" max="5366" width="13.7109375" style="1354" customWidth="1"/>
    <col min="5367" max="5367" width="13" style="1354" customWidth="1"/>
    <col min="5368" max="5369" width="14.140625" style="1354" customWidth="1"/>
    <col min="5370" max="5370" width="17.28515625" style="1354" customWidth="1"/>
    <col min="5371" max="5372" width="14.140625" style="1354" customWidth="1"/>
    <col min="5373" max="5373" width="15.5703125" style="1354" customWidth="1"/>
    <col min="5374" max="5379" width="14.140625" style="1354" customWidth="1"/>
    <col min="5380" max="5380" width="11.42578125" style="1354" bestFit="1" customWidth="1"/>
    <col min="5381" max="5381" width="11.42578125" style="1354" customWidth="1"/>
    <col min="5382" max="5382" width="9.28515625" style="1354" bestFit="1" customWidth="1"/>
    <col min="5383" max="5383" width="10.28515625" style="1354" customWidth="1"/>
    <col min="5384" max="5583" width="8.28515625" style="1354"/>
    <col min="5584" max="5584" width="0.7109375" style="1354" customWidth="1"/>
    <col min="5585" max="5585" width="10.5703125" style="1354" customWidth="1"/>
    <col min="5586" max="5586" width="46.42578125" style="1354" customWidth="1"/>
    <col min="5587" max="5587" width="12.7109375" style="1354" customWidth="1"/>
    <col min="5588" max="5588" width="14.5703125" style="1354" customWidth="1"/>
    <col min="5589" max="5589" width="14.140625" style="1354" customWidth="1"/>
    <col min="5590" max="5590" width="17.140625" style="1354" customWidth="1"/>
    <col min="5591" max="5591" width="16.5703125" style="1354" customWidth="1"/>
    <col min="5592" max="5592" width="17" style="1354" customWidth="1"/>
    <col min="5593" max="5593" width="17.28515625" style="1354" customWidth="1"/>
    <col min="5594" max="5594" width="14.5703125" style="1354" customWidth="1"/>
    <col min="5595" max="5595" width="14.140625" style="1354" customWidth="1"/>
    <col min="5596" max="5596" width="13.42578125" style="1354" customWidth="1"/>
    <col min="5597" max="5598" width="13.7109375" style="1354" customWidth="1"/>
    <col min="5599" max="5599" width="13" style="1354" customWidth="1"/>
    <col min="5600" max="5600" width="14.5703125" style="1354" customWidth="1"/>
    <col min="5601" max="5601" width="14.140625" style="1354" customWidth="1"/>
    <col min="5602" max="5602" width="13" style="1354" customWidth="1"/>
    <col min="5603" max="5604" width="13.7109375" style="1354" customWidth="1"/>
    <col min="5605" max="5605" width="13" style="1354" customWidth="1"/>
    <col min="5606" max="5606" width="16" style="1354" customWidth="1"/>
    <col min="5607" max="5607" width="14.140625" style="1354" customWidth="1"/>
    <col min="5608" max="5608" width="13.42578125" style="1354" customWidth="1"/>
    <col min="5609" max="5610" width="13.7109375" style="1354" customWidth="1"/>
    <col min="5611" max="5611" width="13" style="1354" customWidth="1"/>
    <col min="5612" max="5612" width="13.85546875" style="1354" customWidth="1"/>
    <col min="5613" max="5613" width="14.5703125" style="1354" customWidth="1"/>
    <col min="5614" max="5614" width="11.5703125" style="1354" customWidth="1"/>
    <col min="5615" max="5616" width="13.7109375" style="1354" customWidth="1"/>
    <col min="5617" max="5617" width="13" style="1354" customWidth="1"/>
    <col min="5618" max="5618" width="14.140625" style="1354" customWidth="1"/>
    <col min="5619" max="5619" width="13.42578125" style="1354" customWidth="1"/>
    <col min="5620" max="5620" width="11.85546875" style="1354" customWidth="1"/>
    <col min="5621" max="5622" width="13.7109375" style="1354" customWidth="1"/>
    <col min="5623" max="5623" width="13" style="1354" customWidth="1"/>
    <col min="5624" max="5625" width="14.140625" style="1354" customWidth="1"/>
    <col min="5626" max="5626" width="17.28515625" style="1354" customWidth="1"/>
    <col min="5627" max="5628" width="14.140625" style="1354" customWidth="1"/>
    <col min="5629" max="5629" width="15.5703125" style="1354" customWidth="1"/>
    <col min="5630" max="5635" width="14.140625" style="1354" customWidth="1"/>
    <col min="5636" max="5636" width="11.42578125" style="1354" bestFit="1" customWidth="1"/>
    <col min="5637" max="5637" width="11.42578125" style="1354" customWidth="1"/>
    <col min="5638" max="5638" width="9.28515625" style="1354" bestFit="1" customWidth="1"/>
    <col min="5639" max="5639" width="10.28515625" style="1354" customWidth="1"/>
    <col min="5640" max="5839" width="8.28515625" style="1354"/>
    <col min="5840" max="5840" width="0.7109375" style="1354" customWidth="1"/>
    <col min="5841" max="5841" width="10.5703125" style="1354" customWidth="1"/>
    <col min="5842" max="5842" width="46.42578125" style="1354" customWidth="1"/>
    <col min="5843" max="5843" width="12.7109375" style="1354" customWidth="1"/>
    <col min="5844" max="5844" width="14.5703125" style="1354" customWidth="1"/>
    <col min="5845" max="5845" width="14.140625" style="1354" customWidth="1"/>
    <col min="5846" max="5846" width="17.140625" style="1354" customWidth="1"/>
    <col min="5847" max="5847" width="16.5703125" style="1354" customWidth="1"/>
    <col min="5848" max="5848" width="17" style="1354" customWidth="1"/>
    <col min="5849" max="5849" width="17.28515625" style="1354" customWidth="1"/>
    <col min="5850" max="5850" width="14.5703125" style="1354" customWidth="1"/>
    <col min="5851" max="5851" width="14.140625" style="1354" customWidth="1"/>
    <col min="5852" max="5852" width="13.42578125" style="1354" customWidth="1"/>
    <col min="5853" max="5854" width="13.7109375" style="1354" customWidth="1"/>
    <col min="5855" max="5855" width="13" style="1354" customWidth="1"/>
    <col min="5856" max="5856" width="14.5703125" style="1354" customWidth="1"/>
    <col min="5857" max="5857" width="14.140625" style="1354" customWidth="1"/>
    <col min="5858" max="5858" width="13" style="1354" customWidth="1"/>
    <col min="5859" max="5860" width="13.7109375" style="1354" customWidth="1"/>
    <col min="5861" max="5861" width="13" style="1354" customWidth="1"/>
    <col min="5862" max="5862" width="16" style="1354" customWidth="1"/>
    <col min="5863" max="5863" width="14.140625" style="1354" customWidth="1"/>
    <col min="5864" max="5864" width="13.42578125" style="1354" customWidth="1"/>
    <col min="5865" max="5866" width="13.7109375" style="1354" customWidth="1"/>
    <col min="5867" max="5867" width="13" style="1354" customWidth="1"/>
    <col min="5868" max="5868" width="13.85546875" style="1354" customWidth="1"/>
    <col min="5869" max="5869" width="14.5703125" style="1354" customWidth="1"/>
    <col min="5870" max="5870" width="11.5703125" style="1354" customWidth="1"/>
    <col min="5871" max="5872" width="13.7109375" style="1354" customWidth="1"/>
    <col min="5873" max="5873" width="13" style="1354" customWidth="1"/>
    <col min="5874" max="5874" width="14.140625" style="1354" customWidth="1"/>
    <col min="5875" max="5875" width="13.42578125" style="1354" customWidth="1"/>
    <col min="5876" max="5876" width="11.85546875" style="1354" customWidth="1"/>
    <col min="5877" max="5878" width="13.7109375" style="1354" customWidth="1"/>
    <col min="5879" max="5879" width="13" style="1354" customWidth="1"/>
    <col min="5880" max="5881" width="14.140625" style="1354" customWidth="1"/>
    <col min="5882" max="5882" width="17.28515625" style="1354" customWidth="1"/>
    <col min="5883" max="5884" width="14.140625" style="1354" customWidth="1"/>
    <col min="5885" max="5885" width="15.5703125" style="1354" customWidth="1"/>
    <col min="5886" max="5891" width="14.140625" style="1354" customWidth="1"/>
    <col min="5892" max="5892" width="11.42578125" style="1354" bestFit="1" customWidth="1"/>
    <col min="5893" max="5893" width="11.42578125" style="1354" customWidth="1"/>
    <col min="5894" max="5894" width="9.28515625" style="1354" bestFit="1" customWidth="1"/>
    <col min="5895" max="5895" width="10.28515625" style="1354" customWidth="1"/>
    <col min="5896" max="6095" width="8.28515625" style="1354"/>
    <col min="6096" max="6096" width="0.7109375" style="1354" customWidth="1"/>
    <col min="6097" max="6097" width="10.5703125" style="1354" customWidth="1"/>
    <col min="6098" max="6098" width="46.42578125" style="1354" customWidth="1"/>
    <col min="6099" max="6099" width="12.7109375" style="1354" customWidth="1"/>
    <col min="6100" max="6100" width="14.5703125" style="1354" customWidth="1"/>
    <col min="6101" max="6101" width="14.140625" style="1354" customWidth="1"/>
    <col min="6102" max="6102" width="17.140625" style="1354" customWidth="1"/>
    <col min="6103" max="6103" width="16.5703125" style="1354" customWidth="1"/>
    <col min="6104" max="6104" width="17" style="1354" customWidth="1"/>
    <col min="6105" max="6105" width="17.28515625" style="1354" customWidth="1"/>
    <col min="6106" max="6106" width="14.5703125" style="1354" customWidth="1"/>
    <col min="6107" max="6107" width="14.140625" style="1354" customWidth="1"/>
    <col min="6108" max="6108" width="13.42578125" style="1354" customWidth="1"/>
    <col min="6109" max="6110" width="13.7109375" style="1354" customWidth="1"/>
    <col min="6111" max="6111" width="13" style="1354" customWidth="1"/>
    <col min="6112" max="6112" width="14.5703125" style="1354" customWidth="1"/>
    <col min="6113" max="6113" width="14.140625" style="1354" customWidth="1"/>
    <col min="6114" max="6114" width="13" style="1354" customWidth="1"/>
    <col min="6115" max="6116" width="13.7109375" style="1354" customWidth="1"/>
    <col min="6117" max="6117" width="13" style="1354" customWidth="1"/>
    <col min="6118" max="6118" width="16" style="1354" customWidth="1"/>
    <col min="6119" max="6119" width="14.140625" style="1354" customWidth="1"/>
    <col min="6120" max="6120" width="13.42578125" style="1354" customWidth="1"/>
    <col min="6121" max="6122" width="13.7109375" style="1354" customWidth="1"/>
    <col min="6123" max="6123" width="13" style="1354" customWidth="1"/>
    <col min="6124" max="6124" width="13.85546875" style="1354" customWidth="1"/>
    <col min="6125" max="6125" width="14.5703125" style="1354" customWidth="1"/>
    <col min="6126" max="6126" width="11.5703125" style="1354" customWidth="1"/>
    <col min="6127" max="6128" width="13.7109375" style="1354" customWidth="1"/>
    <col min="6129" max="6129" width="13" style="1354" customWidth="1"/>
    <col min="6130" max="6130" width="14.140625" style="1354" customWidth="1"/>
    <col min="6131" max="6131" width="13.42578125" style="1354" customWidth="1"/>
    <col min="6132" max="6132" width="11.85546875" style="1354" customWidth="1"/>
    <col min="6133" max="6134" width="13.7109375" style="1354" customWidth="1"/>
    <col min="6135" max="6135" width="13" style="1354" customWidth="1"/>
    <col min="6136" max="6137" width="14.140625" style="1354" customWidth="1"/>
    <col min="6138" max="6138" width="17.28515625" style="1354" customWidth="1"/>
    <col min="6139" max="6140" width="14.140625" style="1354" customWidth="1"/>
    <col min="6141" max="6141" width="15.5703125" style="1354" customWidth="1"/>
    <col min="6142" max="6147" width="14.140625" style="1354" customWidth="1"/>
    <col min="6148" max="6148" width="11.42578125" style="1354" bestFit="1" customWidth="1"/>
    <col min="6149" max="6149" width="11.42578125" style="1354" customWidth="1"/>
    <col min="6150" max="6150" width="9.28515625" style="1354" bestFit="1" customWidth="1"/>
    <col min="6151" max="6151" width="10.28515625" style="1354" customWidth="1"/>
    <col min="6152" max="6351" width="8.28515625" style="1354"/>
    <col min="6352" max="6352" width="0.7109375" style="1354" customWidth="1"/>
    <col min="6353" max="6353" width="10.5703125" style="1354" customWidth="1"/>
    <col min="6354" max="6354" width="46.42578125" style="1354" customWidth="1"/>
    <col min="6355" max="6355" width="12.7109375" style="1354" customWidth="1"/>
    <col min="6356" max="6356" width="14.5703125" style="1354" customWidth="1"/>
    <col min="6357" max="6357" width="14.140625" style="1354" customWidth="1"/>
    <col min="6358" max="6358" width="17.140625" style="1354" customWidth="1"/>
    <col min="6359" max="6359" width="16.5703125" style="1354" customWidth="1"/>
    <col min="6360" max="6360" width="17" style="1354" customWidth="1"/>
    <col min="6361" max="6361" width="17.28515625" style="1354" customWidth="1"/>
    <col min="6362" max="6362" width="14.5703125" style="1354" customWidth="1"/>
    <col min="6363" max="6363" width="14.140625" style="1354" customWidth="1"/>
    <col min="6364" max="6364" width="13.42578125" style="1354" customWidth="1"/>
    <col min="6365" max="6366" width="13.7109375" style="1354" customWidth="1"/>
    <col min="6367" max="6367" width="13" style="1354" customWidth="1"/>
    <col min="6368" max="6368" width="14.5703125" style="1354" customWidth="1"/>
    <col min="6369" max="6369" width="14.140625" style="1354" customWidth="1"/>
    <col min="6370" max="6370" width="13" style="1354" customWidth="1"/>
    <col min="6371" max="6372" width="13.7109375" style="1354" customWidth="1"/>
    <col min="6373" max="6373" width="13" style="1354" customWidth="1"/>
    <col min="6374" max="6374" width="16" style="1354" customWidth="1"/>
    <col min="6375" max="6375" width="14.140625" style="1354" customWidth="1"/>
    <col min="6376" max="6376" width="13.42578125" style="1354" customWidth="1"/>
    <col min="6377" max="6378" width="13.7109375" style="1354" customWidth="1"/>
    <col min="6379" max="6379" width="13" style="1354" customWidth="1"/>
    <col min="6380" max="6380" width="13.85546875" style="1354" customWidth="1"/>
    <col min="6381" max="6381" width="14.5703125" style="1354" customWidth="1"/>
    <col min="6382" max="6382" width="11.5703125" style="1354" customWidth="1"/>
    <col min="6383" max="6384" width="13.7109375" style="1354" customWidth="1"/>
    <col min="6385" max="6385" width="13" style="1354" customWidth="1"/>
    <col min="6386" max="6386" width="14.140625" style="1354" customWidth="1"/>
    <col min="6387" max="6387" width="13.42578125" style="1354" customWidth="1"/>
    <col min="6388" max="6388" width="11.85546875" style="1354" customWidth="1"/>
    <col min="6389" max="6390" width="13.7109375" style="1354" customWidth="1"/>
    <col min="6391" max="6391" width="13" style="1354" customWidth="1"/>
    <col min="6392" max="6393" width="14.140625" style="1354" customWidth="1"/>
    <col min="6394" max="6394" width="17.28515625" style="1354" customWidth="1"/>
    <col min="6395" max="6396" width="14.140625" style="1354" customWidth="1"/>
    <col min="6397" max="6397" width="15.5703125" style="1354" customWidth="1"/>
    <col min="6398" max="6403" width="14.140625" style="1354" customWidth="1"/>
    <col min="6404" max="6404" width="11.42578125" style="1354" bestFit="1" customWidth="1"/>
    <col min="6405" max="6405" width="11.42578125" style="1354" customWidth="1"/>
    <col min="6406" max="6406" width="9.28515625" style="1354" bestFit="1" customWidth="1"/>
    <col min="6407" max="6407" width="10.28515625" style="1354" customWidth="1"/>
    <col min="6408" max="6607" width="8.28515625" style="1354"/>
    <col min="6608" max="6608" width="0.7109375" style="1354" customWidth="1"/>
    <col min="6609" max="6609" width="10.5703125" style="1354" customWidth="1"/>
    <col min="6610" max="6610" width="46.42578125" style="1354" customWidth="1"/>
    <col min="6611" max="6611" width="12.7109375" style="1354" customWidth="1"/>
    <col min="6612" max="6612" width="14.5703125" style="1354" customWidth="1"/>
    <col min="6613" max="6613" width="14.140625" style="1354" customWidth="1"/>
    <col min="6614" max="6614" width="17.140625" style="1354" customWidth="1"/>
    <col min="6615" max="6615" width="16.5703125" style="1354" customWidth="1"/>
    <col min="6616" max="6616" width="17" style="1354" customWidth="1"/>
    <col min="6617" max="6617" width="17.28515625" style="1354" customWidth="1"/>
    <col min="6618" max="6618" width="14.5703125" style="1354" customWidth="1"/>
    <col min="6619" max="6619" width="14.140625" style="1354" customWidth="1"/>
    <col min="6620" max="6620" width="13.42578125" style="1354" customWidth="1"/>
    <col min="6621" max="6622" width="13.7109375" style="1354" customWidth="1"/>
    <col min="6623" max="6623" width="13" style="1354" customWidth="1"/>
    <col min="6624" max="6624" width="14.5703125" style="1354" customWidth="1"/>
    <col min="6625" max="6625" width="14.140625" style="1354" customWidth="1"/>
    <col min="6626" max="6626" width="13" style="1354" customWidth="1"/>
    <col min="6627" max="6628" width="13.7109375" style="1354" customWidth="1"/>
    <col min="6629" max="6629" width="13" style="1354" customWidth="1"/>
    <col min="6630" max="6630" width="16" style="1354" customWidth="1"/>
    <col min="6631" max="6631" width="14.140625" style="1354" customWidth="1"/>
    <col min="6632" max="6632" width="13.42578125" style="1354" customWidth="1"/>
    <col min="6633" max="6634" width="13.7109375" style="1354" customWidth="1"/>
    <col min="6635" max="6635" width="13" style="1354" customWidth="1"/>
    <col min="6636" max="6636" width="13.85546875" style="1354" customWidth="1"/>
    <col min="6637" max="6637" width="14.5703125" style="1354" customWidth="1"/>
    <col min="6638" max="6638" width="11.5703125" style="1354" customWidth="1"/>
    <col min="6639" max="6640" width="13.7109375" style="1354" customWidth="1"/>
    <col min="6641" max="6641" width="13" style="1354" customWidth="1"/>
    <col min="6642" max="6642" width="14.140625" style="1354" customWidth="1"/>
    <col min="6643" max="6643" width="13.42578125" style="1354" customWidth="1"/>
    <col min="6644" max="6644" width="11.85546875" style="1354" customWidth="1"/>
    <col min="6645" max="6646" width="13.7109375" style="1354" customWidth="1"/>
    <col min="6647" max="6647" width="13" style="1354" customWidth="1"/>
    <col min="6648" max="6649" width="14.140625" style="1354" customWidth="1"/>
    <col min="6650" max="6650" width="17.28515625" style="1354" customWidth="1"/>
    <col min="6651" max="6652" width="14.140625" style="1354" customWidth="1"/>
    <col min="6653" max="6653" width="15.5703125" style="1354" customWidth="1"/>
    <col min="6654" max="6659" width="14.140625" style="1354" customWidth="1"/>
    <col min="6660" max="6660" width="11.42578125" style="1354" bestFit="1" customWidth="1"/>
    <col min="6661" max="6661" width="11.42578125" style="1354" customWidth="1"/>
    <col min="6662" max="6662" width="9.28515625" style="1354" bestFit="1" customWidth="1"/>
    <col min="6663" max="6663" width="10.28515625" style="1354" customWidth="1"/>
    <col min="6664" max="6863" width="8.28515625" style="1354"/>
    <col min="6864" max="6864" width="0.7109375" style="1354" customWidth="1"/>
    <col min="6865" max="6865" width="10.5703125" style="1354" customWidth="1"/>
    <col min="6866" max="6866" width="46.42578125" style="1354" customWidth="1"/>
    <col min="6867" max="6867" width="12.7109375" style="1354" customWidth="1"/>
    <col min="6868" max="6868" width="14.5703125" style="1354" customWidth="1"/>
    <col min="6869" max="6869" width="14.140625" style="1354" customWidth="1"/>
    <col min="6870" max="6870" width="17.140625" style="1354" customWidth="1"/>
    <col min="6871" max="6871" width="16.5703125" style="1354" customWidth="1"/>
    <col min="6872" max="6872" width="17" style="1354" customWidth="1"/>
    <col min="6873" max="6873" width="17.28515625" style="1354" customWidth="1"/>
    <col min="6874" max="6874" width="14.5703125" style="1354" customWidth="1"/>
    <col min="6875" max="6875" width="14.140625" style="1354" customWidth="1"/>
    <col min="6876" max="6876" width="13.42578125" style="1354" customWidth="1"/>
    <col min="6877" max="6878" width="13.7109375" style="1354" customWidth="1"/>
    <col min="6879" max="6879" width="13" style="1354" customWidth="1"/>
    <col min="6880" max="6880" width="14.5703125" style="1354" customWidth="1"/>
    <col min="6881" max="6881" width="14.140625" style="1354" customWidth="1"/>
    <col min="6882" max="6882" width="13" style="1354" customWidth="1"/>
    <col min="6883" max="6884" width="13.7109375" style="1354" customWidth="1"/>
    <col min="6885" max="6885" width="13" style="1354" customWidth="1"/>
    <col min="6886" max="6886" width="16" style="1354" customWidth="1"/>
    <col min="6887" max="6887" width="14.140625" style="1354" customWidth="1"/>
    <col min="6888" max="6888" width="13.42578125" style="1354" customWidth="1"/>
    <col min="6889" max="6890" width="13.7109375" style="1354" customWidth="1"/>
    <col min="6891" max="6891" width="13" style="1354" customWidth="1"/>
    <col min="6892" max="6892" width="13.85546875" style="1354" customWidth="1"/>
    <col min="6893" max="6893" width="14.5703125" style="1354" customWidth="1"/>
    <col min="6894" max="6894" width="11.5703125" style="1354" customWidth="1"/>
    <col min="6895" max="6896" width="13.7109375" style="1354" customWidth="1"/>
    <col min="6897" max="6897" width="13" style="1354" customWidth="1"/>
    <col min="6898" max="6898" width="14.140625" style="1354" customWidth="1"/>
    <col min="6899" max="6899" width="13.42578125" style="1354" customWidth="1"/>
    <col min="6900" max="6900" width="11.85546875" style="1354" customWidth="1"/>
    <col min="6901" max="6902" width="13.7109375" style="1354" customWidth="1"/>
    <col min="6903" max="6903" width="13" style="1354" customWidth="1"/>
    <col min="6904" max="6905" width="14.140625" style="1354" customWidth="1"/>
    <col min="6906" max="6906" width="17.28515625" style="1354" customWidth="1"/>
    <col min="6907" max="6908" width="14.140625" style="1354" customWidth="1"/>
    <col min="6909" max="6909" width="15.5703125" style="1354" customWidth="1"/>
    <col min="6910" max="6915" width="14.140625" style="1354" customWidth="1"/>
    <col min="6916" max="6916" width="11.42578125" style="1354" bestFit="1" customWidth="1"/>
    <col min="6917" max="6917" width="11.42578125" style="1354" customWidth="1"/>
    <col min="6918" max="6918" width="9.28515625" style="1354" bestFit="1" customWidth="1"/>
    <col min="6919" max="6919" width="10.28515625" style="1354" customWidth="1"/>
    <col min="6920" max="7119" width="8.28515625" style="1354"/>
    <col min="7120" max="7120" width="0.7109375" style="1354" customWidth="1"/>
    <col min="7121" max="7121" width="10.5703125" style="1354" customWidth="1"/>
    <col min="7122" max="7122" width="46.42578125" style="1354" customWidth="1"/>
    <col min="7123" max="7123" width="12.7109375" style="1354" customWidth="1"/>
    <col min="7124" max="7124" width="14.5703125" style="1354" customWidth="1"/>
    <col min="7125" max="7125" width="14.140625" style="1354" customWidth="1"/>
    <col min="7126" max="7126" width="17.140625" style="1354" customWidth="1"/>
    <col min="7127" max="7127" width="16.5703125" style="1354" customWidth="1"/>
    <col min="7128" max="7128" width="17" style="1354" customWidth="1"/>
    <col min="7129" max="7129" width="17.28515625" style="1354" customWidth="1"/>
    <col min="7130" max="7130" width="14.5703125" style="1354" customWidth="1"/>
    <col min="7131" max="7131" width="14.140625" style="1354" customWidth="1"/>
    <col min="7132" max="7132" width="13.42578125" style="1354" customWidth="1"/>
    <col min="7133" max="7134" width="13.7109375" style="1354" customWidth="1"/>
    <col min="7135" max="7135" width="13" style="1354" customWidth="1"/>
    <col min="7136" max="7136" width="14.5703125" style="1354" customWidth="1"/>
    <col min="7137" max="7137" width="14.140625" style="1354" customWidth="1"/>
    <col min="7138" max="7138" width="13" style="1354" customWidth="1"/>
    <col min="7139" max="7140" width="13.7109375" style="1354" customWidth="1"/>
    <col min="7141" max="7141" width="13" style="1354" customWidth="1"/>
    <col min="7142" max="7142" width="16" style="1354" customWidth="1"/>
    <col min="7143" max="7143" width="14.140625" style="1354" customWidth="1"/>
    <col min="7144" max="7144" width="13.42578125" style="1354" customWidth="1"/>
    <col min="7145" max="7146" width="13.7109375" style="1354" customWidth="1"/>
    <col min="7147" max="7147" width="13" style="1354" customWidth="1"/>
    <col min="7148" max="7148" width="13.85546875" style="1354" customWidth="1"/>
    <col min="7149" max="7149" width="14.5703125" style="1354" customWidth="1"/>
    <col min="7150" max="7150" width="11.5703125" style="1354" customWidth="1"/>
    <col min="7151" max="7152" width="13.7109375" style="1354" customWidth="1"/>
    <col min="7153" max="7153" width="13" style="1354" customWidth="1"/>
    <col min="7154" max="7154" width="14.140625" style="1354" customWidth="1"/>
    <col min="7155" max="7155" width="13.42578125" style="1354" customWidth="1"/>
    <col min="7156" max="7156" width="11.85546875" style="1354" customWidth="1"/>
    <col min="7157" max="7158" width="13.7109375" style="1354" customWidth="1"/>
    <col min="7159" max="7159" width="13" style="1354" customWidth="1"/>
    <col min="7160" max="7161" width="14.140625" style="1354" customWidth="1"/>
    <col min="7162" max="7162" width="17.28515625" style="1354" customWidth="1"/>
    <col min="7163" max="7164" width="14.140625" style="1354" customWidth="1"/>
    <col min="7165" max="7165" width="15.5703125" style="1354" customWidth="1"/>
    <col min="7166" max="7171" width="14.140625" style="1354" customWidth="1"/>
    <col min="7172" max="7172" width="11.42578125" style="1354" bestFit="1" customWidth="1"/>
    <col min="7173" max="7173" width="11.42578125" style="1354" customWidth="1"/>
    <col min="7174" max="7174" width="9.28515625" style="1354" bestFit="1" customWidth="1"/>
    <col min="7175" max="7175" width="10.28515625" style="1354" customWidth="1"/>
    <col min="7176" max="7375" width="8.28515625" style="1354"/>
    <col min="7376" max="7376" width="0.7109375" style="1354" customWidth="1"/>
    <col min="7377" max="7377" width="10.5703125" style="1354" customWidth="1"/>
    <col min="7378" max="7378" width="46.42578125" style="1354" customWidth="1"/>
    <col min="7379" max="7379" width="12.7109375" style="1354" customWidth="1"/>
    <col min="7380" max="7380" width="14.5703125" style="1354" customWidth="1"/>
    <col min="7381" max="7381" width="14.140625" style="1354" customWidth="1"/>
    <col min="7382" max="7382" width="17.140625" style="1354" customWidth="1"/>
    <col min="7383" max="7383" width="16.5703125" style="1354" customWidth="1"/>
    <col min="7384" max="7384" width="17" style="1354" customWidth="1"/>
    <col min="7385" max="7385" width="17.28515625" style="1354" customWidth="1"/>
    <col min="7386" max="7386" width="14.5703125" style="1354" customWidth="1"/>
    <col min="7387" max="7387" width="14.140625" style="1354" customWidth="1"/>
    <col min="7388" max="7388" width="13.42578125" style="1354" customWidth="1"/>
    <col min="7389" max="7390" width="13.7109375" style="1354" customWidth="1"/>
    <col min="7391" max="7391" width="13" style="1354" customWidth="1"/>
    <col min="7392" max="7392" width="14.5703125" style="1354" customWidth="1"/>
    <col min="7393" max="7393" width="14.140625" style="1354" customWidth="1"/>
    <col min="7394" max="7394" width="13" style="1354" customWidth="1"/>
    <col min="7395" max="7396" width="13.7109375" style="1354" customWidth="1"/>
    <col min="7397" max="7397" width="13" style="1354" customWidth="1"/>
    <col min="7398" max="7398" width="16" style="1354" customWidth="1"/>
    <col min="7399" max="7399" width="14.140625" style="1354" customWidth="1"/>
    <col min="7400" max="7400" width="13.42578125" style="1354" customWidth="1"/>
    <col min="7401" max="7402" width="13.7109375" style="1354" customWidth="1"/>
    <col min="7403" max="7403" width="13" style="1354" customWidth="1"/>
    <col min="7404" max="7404" width="13.85546875" style="1354" customWidth="1"/>
    <col min="7405" max="7405" width="14.5703125" style="1354" customWidth="1"/>
    <col min="7406" max="7406" width="11.5703125" style="1354" customWidth="1"/>
    <col min="7407" max="7408" width="13.7109375" style="1354" customWidth="1"/>
    <col min="7409" max="7409" width="13" style="1354" customWidth="1"/>
    <col min="7410" max="7410" width="14.140625" style="1354" customWidth="1"/>
    <col min="7411" max="7411" width="13.42578125" style="1354" customWidth="1"/>
    <col min="7412" max="7412" width="11.85546875" style="1354" customWidth="1"/>
    <col min="7413" max="7414" width="13.7109375" style="1354" customWidth="1"/>
    <col min="7415" max="7415" width="13" style="1354" customWidth="1"/>
    <col min="7416" max="7417" width="14.140625" style="1354" customWidth="1"/>
    <col min="7418" max="7418" width="17.28515625" style="1354" customWidth="1"/>
    <col min="7419" max="7420" width="14.140625" style="1354" customWidth="1"/>
    <col min="7421" max="7421" width="15.5703125" style="1354" customWidth="1"/>
    <col min="7422" max="7427" width="14.140625" style="1354" customWidth="1"/>
    <col min="7428" max="7428" width="11.42578125" style="1354" bestFit="1" customWidth="1"/>
    <col min="7429" max="7429" width="11.42578125" style="1354" customWidth="1"/>
    <col min="7430" max="7430" width="9.28515625" style="1354" bestFit="1" customWidth="1"/>
    <col min="7431" max="7431" width="10.28515625" style="1354" customWidth="1"/>
    <col min="7432" max="7631" width="8.28515625" style="1354"/>
    <col min="7632" max="7632" width="0.7109375" style="1354" customWidth="1"/>
    <col min="7633" max="7633" width="10.5703125" style="1354" customWidth="1"/>
    <col min="7634" max="7634" width="46.42578125" style="1354" customWidth="1"/>
    <col min="7635" max="7635" width="12.7109375" style="1354" customWidth="1"/>
    <col min="7636" max="7636" width="14.5703125" style="1354" customWidth="1"/>
    <col min="7637" max="7637" width="14.140625" style="1354" customWidth="1"/>
    <col min="7638" max="7638" width="17.140625" style="1354" customWidth="1"/>
    <col min="7639" max="7639" width="16.5703125" style="1354" customWidth="1"/>
    <col min="7640" max="7640" width="17" style="1354" customWidth="1"/>
    <col min="7641" max="7641" width="17.28515625" style="1354" customWidth="1"/>
    <col min="7642" max="7642" width="14.5703125" style="1354" customWidth="1"/>
    <col min="7643" max="7643" width="14.140625" style="1354" customWidth="1"/>
    <col min="7644" max="7644" width="13.42578125" style="1354" customWidth="1"/>
    <col min="7645" max="7646" width="13.7109375" style="1354" customWidth="1"/>
    <col min="7647" max="7647" width="13" style="1354" customWidth="1"/>
    <col min="7648" max="7648" width="14.5703125" style="1354" customWidth="1"/>
    <col min="7649" max="7649" width="14.140625" style="1354" customWidth="1"/>
    <col min="7650" max="7650" width="13" style="1354" customWidth="1"/>
    <col min="7651" max="7652" width="13.7109375" style="1354" customWidth="1"/>
    <col min="7653" max="7653" width="13" style="1354" customWidth="1"/>
    <col min="7654" max="7654" width="16" style="1354" customWidth="1"/>
    <col min="7655" max="7655" width="14.140625" style="1354" customWidth="1"/>
    <col min="7656" max="7656" width="13.42578125" style="1354" customWidth="1"/>
    <col min="7657" max="7658" width="13.7109375" style="1354" customWidth="1"/>
    <col min="7659" max="7659" width="13" style="1354" customWidth="1"/>
    <col min="7660" max="7660" width="13.85546875" style="1354" customWidth="1"/>
    <col min="7661" max="7661" width="14.5703125" style="1354" customWidth="1"/>
    <col min="7662" max="7662" width="11.5703125" style="1354" customWidth="1"/>
    <col min="7663" max="7664" width="13.7109375" style="1354" customWidth="1"/>
    <col min="7665" max="7665" width="13" style="1354" customWidth="1"/>
    <col min="7666" max="7666" width="14.140625" style="1354" customWidth="1"/>
    <col min="7667" max="7667" width="13.42578125" style="1354" customWidth="1"/>
    <col min="7668" max="7668" width="11.85546875" style="1354" customWidth="1"/>
    <col min="7669" max="7670" width="13.7109375" style="1354" customWidth="1"/>
    <col min="7671" max="7671" width="13" style="1354" customWidth="1"/>
    <col min="7672" max="7673" width="14.140625" style="1354" customWidth="1"/>
    <col min="7674" max="7674" width="17.28515625" style="1354" customWidth="1"/>
    <col min="7675" max="7676" width="14.140625" style="1354" customWidth="1"/>
    <col min="7677" max="7677" width="15.5703125" style="1354" customWidth="1"/>
    <col min="7678" max="7683" width="14.140625" style="1354" customWidth="1"/>
    <col min="7684" max="7684" width="11.42578125" style="1354" bestFit="1" customWidth="1"/>
    <col min="7685" max="7685" width="11.42578125" style="1354" customWidth="1"/>
    <col min="7686" max="7686" width="9.28515625" style="1354" bestFit="1" customWidth="1"/>
    <col min="7687" max="7687" width="10.28515625" style="1354" customWidth="1"/>
    <col min="7688" max="7887" width="8.28515625" style="1354"/>
    <col min="7888" max="7888" width="0.7109375" style="1354" customWidth="1"/>
    <col min="7889" max="7889" width="10.5703125" style="1354" customWidth="1"/>
    <col min="7890" max="7890" width="46.42578125" style="1354" customWidth="1"/>
    <col min="7891" max="7891" width="12.7109375" style="1354" customWidth="1"/>
    <col min="7892" max="7892" width="14.5703125" style="1354" customWidth="1"/>
    <col min="7893" max="7893" width="14.140625" style="1354" customWidth="1"/>
    <col min="7894" max="7894" width="17.140625" style="1354" customWidth="1"/>
    <col min="7895" max="7895" width="16.5703125" style="1354" customWidth="1"/>
    <col min="7896" max="7896" width="17" style="1354" customWidth="1"/>
    <col min="7897" max="7897" width="17.28515625" style="1354" customWidth="1"/>
    <col min="7898" max="7898" width="14.5703125" style="1354" customWidth="1"/>
    <col min="7899" max="7899" width="14.140625" style="1354" customWidth="1"/>
    <col min="7900" max="7900" width="13.42578125" style="1354" customWidth="1"/>
    <col min="7901" max="7902" width="13.7109375" style="1354" customWidth="1"/>
    <col min="7903" max="7903" width="13" style="1354" customWidth="1"/>
    <col min="7904" max="7904" width="14.5703125" style="1354" customWidth="1"/>
    <col min="7905" max="7905" width="14.140625" style="1354" customWidth="1"/>
    <col min="7906" max="7906" width="13" style="1354" customWidth="1"/>
    <col min="7907" max="7908" width="13.7109375" style="1354" customWidth="1"/>
    <col min="7909" max="7909" width="13" style="1354" customWidth="1"/>
    <col min="7910" max="7910" width="16" style="1354" customWidth="1"/>
    <col min="7911" max="7911" width="14.140625" style="1354" customWidth="1"/>
    <col min="7912" max="7912" width="13.42578125" style="1354" customWidth="1"/>
    <col min="7913" max="7914" width="13.7109375" style="1354" customWidth="1"/>
    <col min="7915" max="7915" width="13" style="1354" customWidth="1"/>
    <col min="7916" max="7916" width="13.85546875" style="1354" customWidth="1"/>
    <col min="7917" max="7917" width="14.5703125" style="1354" customWidth="1"/>
    <col min="7918" max="7918" width="11.5703125" style="1354" customWidth="1"/>
    <col min="7919" max="7920" width="13.7109375" style="1354" customWidth="1"/>
    <col min="7921" max="7921" width="13" style="1354" customWidth="1"/>
    <col min="7922" max="7922" width="14.140625" style="1354" customWidth="1"/>
    <col min="7923" max="7923" width="13.42578125" style="1354" customWidth="1"/>
    <col min="7924" max="7924" width="11.85546875" style="1354" customWidth="1"/>
    <col min="7925" max="7926" width="13.7109375" style="1354" customWidth="1"/>
    <col min="7927" max="7927" width="13" style="1354" customWidth="1"/>
    <col min="7928" max="7929" width="14.140625" style="1354" customWidth="1"/>
    <col min="7930" max="7930" width="17.28515625" style="1354" customWidth="1"/>
    <col min="7931" max="7932" width="14.140625" style="1354" customWidth="1"/>
    <col min="7933" max="7933" width="15.5703125" style="1354" customWidth="1"/>
    <col min="7934" max="7939" width="14.140625" style="1354" customWidth="1"/>
    <col min="7940" max="7940" width="11.42578125" style="1354" bestFit="1" customWidth="1"/>
    <col min="7941" max="7941" width="11.42578125" style="1354" customWidth="1"/>
    <col min="7942" max="7942" width="9.28515625" style="1354" bestFit="1" customWidth="1"/>
    <col min="7943" max="7943" width="10.28515625" style="1354" customWidth="1"/>
    <col min="7944" max="8143" width="8.28515625" style="1354"/>
    <col min="8144" max="8144" width="0.7109375" style="1354" customWidth="1"/>
    <col min="8145" max="8145" width="10.5703125" style="1354" customWidth="1"/>
    <col min="8146" max="8146" width="46.42578125" style="1354" customWidth="1"/>
    <col min="8147" max="8147" width="12.7109375" style="1354" customWidth="1"/>
    <col min="8148" max="8148" width="14.5703125" style="1354" customWidth="1"/>
    <col min="8149" max="8149" width="14.140625" style="1354" customWidth="1"/>
    <col min="8150" max="8150" width="17.140625" style="1354" customWidth="1"/>
    <col min="8151" max="8151" width="16.5703125" style="1354" customWidth="1"/>
    <col min="8152" max="8152" width="17" style="1354" customWidth="1"/>
    <col min="8153" max="8153" width="17.28515625" style="1354" customWidth="1"/>
    <col min="8154" max="8154" width="14.5703125" style="1354" customWidth="1"/>
    <col min="8155" max="8155" width="14.140625" style="1354" customWidth="1"/>
    <col min="8156" max="8156" width="13.42578125" style="1354" customWidth="1"/>
    <col min="8157" max="8158" width="13.7109375" style="1354" customWidth="1"/>
    <col min="8159" max="8159" width="13" style="1354" customWidth="1"/>
    <col min="8160" max="8160" width="14.5703125" style="1354" customWidth="1"/>
    <col min="8161" max="8161" width="14.140625" style="1354" customWidth="1"/>
    <col min="8162" max="8162" width="13" style="1354" customWidth="1"/>
    <col min="8163" max="8164" width="13.7109375" style="1354" customWidth="1"/>
    <col min="8165" max="8165" width="13" style="1354" customWidth="1"/>
    <col min="8166" max="8166" width="16" style="1354" customWidth="1"/>
    <col min="8167" max="8167" width="14.140625" style="1354" customWidth="1"/>
    <col min="8168" max="8168" width="13.42578125" style="1354" customWidth="1"/>
    <col min="8169" max="8170" width="13.7109375" style="1354" customWidth="1"/>
    <col min="8171" max="8171" width="13" style="1354" customWidth="1"/>
    <col min="8172" max="8172" width="13.85546875" style="1354" customWidth="1"/>
    <col min="8173" max="8173" width="14.5703125" style="1354" customWidth="1"/>
    <col min="8174" max="8174" width="11.5703125" style="1354" customWidth="1"/>
    <col min="8175" max="8176" width="13.7109375" style="1354" customWidth="1"/>
    <col min="8177" max="8177" width="13" style="1354" customWidth="1"/>
    <col min="8178" max="8178" width="14.140625" style="1354" customWidth="1"/>
    <col min="8179" max="8179" width="13.42578125" style="1354" customWidth="1"/>
    <col min="8180" max="8180" width="11.85546875" style="1354" customWidth="1"/>
    <col min="8181" max="8182" width="13.7109375" style="1354" customWidth="1"/>
    <col min="8183" max="8183" width="13" style="1354" customWidth="1"/>
    <col min="8184" max="8185" width="14.140625" style="1354" customWidth="1"/>
    <col min="8186" max="8186" width="17.28515625" style="1354" customWidth="1"/>
    <col min="8187" max="8188" width="14.140625" style="1354" customWidth="1"/>
    <col min="8189" max="8189" width="15.5703125" style="1354" customWidth="1"/>
    <col min="8190" max="8195" width="14.140625" style="1354" customWidth="1"/>
    <col min="8196" max="8196" width="11.42578125" style="1354" bestFit="1" customWidth="1"/>
    <col min="8197" max="8197" width="11.42578125" style="1354" customWidth="1"/>
    <col min="8198" max="8198" width="9.28515625" style="1354" bestFit="1" customWidth="1"/>
    <col min="8199" max="8199" width="10.28515625" style="1354" customWidth="1"/>
    <col min="8200" max="8399" width="8.28515625" style="1354"/>
    <col min="8400" max="8400" width="0.7109375" style="1354" customWidth="1"/>
    <col min="8401" max="8401" width="10.5703125" style="1354" customWidth="1"/>
    <col min="8402" max="8402" width="46.42578125" style="1354" customWidth="1"/>
    <col min="8403" max="8403" width="12.7109375" style="1354" customWidth="1"/>
    <col min="8404" max="8404" width="14.5703125" style="1354" customWidth="1"/>
    <col min="8405" max="8405" width="14.140625" style="1354" customWidth="1"/>
    <col min="8406" max="8406" width="17.140625" style="1354" customWidth="1"/>
    <col min="8407" max="8407" width="16.5703125" style="1354" customWidth="1"/>
    <col min="8408" max="8408" width="17" style="1354" customWidth="1"/>
    <col min="8409" max="8409" width="17.28515625" style="1354" customWidth="1"/>
    <col min="8410" max="8410" width="14.5703125" style="1354" customWidth="1"/>
    <col min="8411" max="8411" width="14.140625" style="1354" customWidth="1"/>
    <col min="8412" max="8412" width="13.42578125" style="1354" customWidth="1"/>
    <col min="8413" max="8414" width="13.7109375" style="1354" customWidth="1"/>
    <col min="8415" max="8415" width="13" style="1354" customWidth="1"/>
    <col min="8416" max="8416" width="14.5703125" style="1354" customWidth="1"/>
    <col min="8417" max="8417" width="14.140625" style="1354" customWidth="1"/>
    <col min="8418" max="8418" width="13" style="1354" customWidth="1"/>
    <col min="8419" max="8420" width="13.7109375" style="1354" customWidth="1"/>
    <col min="8421" max="8421" width="13" style="1354" customWidth="1"/>
    <col min="8422" max="8422" width="16" style="1354" customWidth="1"/>
    <col min="8423" max="8423" width="14.140625" style="1354" customWidth="1"/>
    <col min="8424" max="8424" width="13.42578125" style="1354" customWidth="1"/>
    <col min="8425" max="8426" width="13.7109375" style="1354" customWidth="1"/>
    <col min="8427" max="8427" width="13" style="1354" customWidth="1"/>
    <col min="8428" max="8428" width="13.85546875" style="1354" customWidth="1"/>
    <col min="8429" max="8429" width="14.5703125" style="1354" customWidth="1"/>
    <col min="8430" max="8430" width="11.5703125" style="1354" customWidth="1"/>
    <col min="8431" max="8432" width="13.7109375" style="1354" customWidth="1"/>
    <col min="8433" max="8433" width="13" style="1354" customWidth="1"/>
    <col min="8434" max="8434" width="14.140625" style="1354" customWidth="1"/>
    <col min="8435" max="8435" width="13.42578125" style="1354" customWidth="1"/>
    <col min="8436" max="8436" width="11.85546875" style="1354" customWidth="1"/>
    <col min="8437" max="8438" width="13.7109375" style="1354" customWidth="1"/>
    <col min="8439" max="8439" width="13" style="1354" customWidth="1"/>
    <col min="8440" max="8441" width="14.140625" style="1354" customWidth="1"/>
    <col min="8442" max="8442" width="17.28515625" style="1354" customWidth="1"/>
    <col min="8443" max="8444" width="14.140625" style="1354" customWidth="1"/>
    <col min="8445" max="8445" width="15.5703125" style="1354" customWidth="1"/>
    <col min="8446" max="8451" width="14.140625" style="1354" customWidth="1"/>
    <col min="8452" max="8452" width="11.42578125" style="1354" bestFit="1" customWidth="1"/>
    <col min="8453" max="8453" width="11.42578125" style="1354" customWidth="1"/>
    <col min="8454" max="8454" width="9.28515625" style="1354" bestFit="1" customWidth="1"/>
    <col min="8455" max="8455" width="10.28515625" style="1354" customWidth="1"/>
    <col min="8456" max="8655" width="8.28515625" style="1354"/>
    <col min="8656" max="8656" width="0.7109375" style="1354" customWidth="1"/>
    <col min="8657" max="8657" width="10.5703125" style="1354" customWidth="1"/>
    <col min="8658" max="8658" width="46.42578125" style="1354" customWidth="1"/>
    <col min="8659" max="8659" width="12.7109375" style="1354" customWidth="1"/>
    <col min="8660" max="8660" width="14.5703125" style="1354" customWidth="1"/>
    <col min="8661" max="8661" width="14.140625" style="1354" customWidth="1"/>
    <col min="8662" max="8662" width="17.140625" style="1354" customWidth="1"/>
    <col min="8663" max="8663" width="16.5703125" style="1354" customWidth="1"/>
    <col min="8664" max="8664" width="17" style="1354" customWidth="1"/>
    <col min="8665" max="8665" width="17.28515625" style="1354" customWidth="1"/>
    <col min="8666" max="8666" width="14.5703125" style="1354" customWidth="1"/>
    <col min="8667" max="8667" width="14.140625" style="1354" customWidth="1"/>
    <col min="8668" max="8668" width="13.42578125" style="1354" customWidth="1"/>
    <col min="8669" max="8670" width="13.7109375" style="1354" customWidth="1"/>
    <col min="8671" max="8671" width="13" style="1354" customWidth="1"/>
    <col min="8672" max="8672" width="14.5703125" style="1354" customWidth="1"/>
    <col min="8673" max="8673" width="14.140625" style="1354" customWidth="1"/>
    <col min="8674" max="8674" width="13" style="1354" customWidth="1"/>
    <col min="8675" max="8676" width="13.7109375" style="1354" customWidth="1"/>
    <col min="8677" max="8677" width="13" style="1354" customWidth="1"/>
    <col min="8678" max="8678" width="16" style="1354" customWidth="1"/>
    <col min="8679" max="8679" width="14.140625" style="1354" customWidth="1"/>
    <col min="8680" max="8680" width="13.42578125" style="1354" customWidth="1"/>
    <col min="8681" max="8682" width="13.7109375" style="1354" customWidth="1"/>
    <col min="8683" max="8683" width="13" style="1354" customWidth="1"/>
    <col min="8684" max="8684" width="13.85546875" style="1354" customWidth="1"/>
    <col min="8685" max="8685" width="14.5703125" style="1354" customWidth="1"/>
    <col min="8686" max="8686" width="11.5703125" style="1354" customWidth="1"/>
    <col min="8687" max="8688" width="13.7109375" style="1354" customWidth="1"/>
    <col min="8689" max="8689" width="13" style="1354" customWidth="1"/>
    <col min="8690" max="8690" width="14.140625" style="1354" customWidth="1"/>
    <col min="8691" max="8691" width="13.42578125" style="1354" customWidth="1"/>
    <col min="8692" max="8692" width="11.85546875" style="1354" customWidth="1"/>
    <col min="8693" max="8694" width="13.7109375" style="1354" customWidth="1"/>
    <col min="8695" max="8695" width="13" style="1354" customWidth="1"/>
    <col min="8696" max="8697" width="14.140625" style="1354" customWidth="1"/>
    <col min="8698" max="8698" width="17.28515625" style="1354" customWidth="1"/>
    <col min="8699" max="8700" width="14.140625" style="1354" customWidth="1"/>
    <col min="8701" max="8701" width="15.5703125" style="1354" customWidth="1"/>
    <col min="8702" max="8707" width="14.140625" style="1354" customWidth="1"/>
    <col min="8708" max="8708" width="11.42578125" style="1354" bestFit="1" customWidth="1"/>
    <col min="8709" max="8709" width="11.42578125" style="1354" customWidth="1"/>
    <col min="8710" max="8710" width="9.28515625" style="1354" bestFit="1" customWidth="1"/>
    <col min="8711" max="8711" width="10.28515625" style="1354" customWidth="1"/>
    <col min="8712" max="8911" width="8.28515625" style="1354"/>
    <col min="8912" max="8912" width="0.7109375" style="1354" customWidth="1"/>
    <col min="8913" max="8913" width="10.5703125" style="1354" customWidth="1"/>
    <col min="8914" max="8914" width="46.42578125" style="1354" customWidth="1"/>
    <col min="8915" max="8915" width="12.7109375" style="1354" customWidth="1"/>
    <col min="8916" max="8916" width="14.5703125" style="1354" customWidth="1"/>
    <col min="8917" max="8917" width="14.140625" style="1354" customWidth="1"/>
    <col min="8918" max="8918" width="17.140625" style="1354" customWidth="1"/>
    <col min="8919" max="8919" width="16.5703125" style="1354" customWidth="1"/>
    <col min="8920" max="8920" width="17" style="1354" customWidth="1"/>
    <col min="8921" max="8921" width="17.28515625" style="1354" customWidth="1"/>
    <col min="8922" max="8922" width="14.5703125" style="1354" customWidth="1"/>
    <col min="8923" max="8923" width="14.140625" style="1354" customWidth="1"/>
    <col min="8924" max="8924" width="13.42578125" style="1354" customWidth="1"/>
    <col min="8925" max="8926" width="13.7109375" style="1354" customWidth="1"/>
    <col min="8927" max="8927" width="13" style="1354" customWidth="1"/>
    <col min="8928" max="8928" width="14.5703125" style="1354" customWidth="1"/>
    <col min="8929" max="8929" width="14.140625" style="1354" customWidth="1"/>
    <col min="8930" max="8930" width="13" style="1354" customWidth="1"/>
    <col min="8931" max="8932" width="13.7109375" style="1354" customWidth="1"/>
    <col min="8933" max="8933" width="13" style="1354" customWidth="1"/>
    <col min="8934" max="8934" width="16" style="1354" customWidth="1"/>
    <col min="8935" max="8935" width="14.140625" style="1354" customWidth="1"/>
    <col min="8936" max="8936" width="13.42578125" style="1354" customWidth="1"/>
    <col min="8937" max="8938" width="13.7109375" style="1354" customWidth="1"/>
    <col min="8939" max="8939" width="13" style="1354" customWidth="1"/>
    <col min="8940" max="8940" width="13.85546875" style="1354" customWidth="1"/>
    <col min="8941" max="8941" width="14.5703125" style="1354" customWidth="1"/>
    <col min="8942" max="8942" width="11.5703125" style="1354" customWidth="1"/>
    <col min="8943" max="8944" width="13.7109375" style="1354" customWidth="1"/>
    <col min="8945" max="8945" width="13" style="1354" customWidth="1"/>
    <col min="8946" max="8946" width="14.140625" style="1354" customWidth="1"/>
    <col min="8947" max="8947" width="13.42578125" style="1354" customWidth="1"/>
    <col min="8948" max="8948" width="11.85546875" style="1354" customWidth="1"/>
    <col min="8949" max="8950" width="13.7109375" style="1354" customWidth="1"/>
    <col min="8951" max="8951" width="13" style="1354" customWidth="1"/>
    <col min="8952" max="8953" width="14.140625" style="1354" customWidth="1"/>
    <col min="8954" max="8954" width="17.28515625" style="1354" customWidth="1"/>
    <col min="8955" max="8956" width="14.140625" style="1354" customWidth="1"/>
    <col min="8957" max="8957" width="15.5703125" style="1354" customWidth="1"/>
    <col min="8958" max="8963" width="14.140625" style="1354" customWidth="1"/>
    <col min="8964" max="8964" width="11.42578125" style="1354" bestFit="1" customWidth="1"/>
    <col min="8965" max="8965" width="11.42578125" style="1354" customWidth="1"/>
    <col min="8966" max="8966" width="9.28515625" style="1354" bestFit="1" customWidth="1"/>
    <col min="8967" max="8967" width="10.28515625" style="1354" customWidth="1"/>
    <col min="8968" max="9167" width="8.28515625" style="1354"/>
    <col min="9168" max="9168" width="0.7109375" style="1354" customWidth="1"/>
    <col min="9169" max="9169" width="10.5703125" style="1354" customWidth="1"/>
    <col min="9170" max="9170" width="46.42578125" style="1354" customWidth="1"/>
    <col min="9171" max="9171" width="12.7109375" style="1354" customWidth="1"/>
    <col min="9172" max="9172" width="14.5703125" style="1354" customWidth="1"/>
    <col min="9173" max="9173" width="14.140625" style="1354" customWidth="1"/>
    <col min="9174" max="9174" width="17.140625" style="1354" customWidth="1"/>
    <col min="9175" max="9175" width="16.5703125" style="1354" customWidth="1"/>
    <col min="9176" max="9176" width="17" style="1354" customWidth="1"/>
    <col min="9177" max="9177" width="17.28515625" style="1354" customWidth="1"/>
    <col min="9178" max="9178" width="14.5703125" style="1354" customWidth="1"/>
    <col min="9179" max="9179" width="14.140625" style="1354" customWidth="1"/>
    <col min="9180" max="9180" width="13.42578125" style="1354" customWidth="1"/>
    <col min="9181" max="9182" width="13.7109375" style="1354" customWidth="1"/>
    <col min="9183" max="9183" width="13" style="1354" customWidth="1"/>
    <col min="9184" max="9184" width="14.5703125" style="1354" customWidth="1"/>
    <col min="9185" max="9185" width="14.140625" style="1354" customWidth="1"/>
    <col min="9186" max="9186" width="13" style="1354" customWidth="1"/>
    <col min="9187" max="9188" width="13.7109375" style="1354" customWidth="1"/>
    <col min="9189" max="9189" width="13" style="1354" customWidth="1"/>
    <col min="9190" max="9190" width="16" style="1354" customWidth="1"/>
    <col min="9191" max="9191" width="14.140625" style="1354" customWidth="1"/>
    <col min="9192" max="9192" width="13.42578125" style="1354" customWidth="1"/>
    <col min="9193" max="9194" width="13.7109375" style="1354" customWidth="1"/>
    <col min="9195" max="9195" width="13" style="1354" customWidth="1"/>
    <col min="9196" max="9196" width="13.85546875" style="1354" customWidth="1"/>
    <col min="9197" max="9197" width="14.5703125" style="1354" customWidth="1"/>
    <col min="9198" max="9198" width="11.5703125" style="1354" customWidth="1"/>
    <col min="9199" max="9200" width="13.7109375" style="1354" customWidth="1"/>
    <col min="9201" max="9201" width="13" style="1354" customWidth="1"/>
    <col min="9202" max="9202" width="14.140625" style="1354" customWidth="1"/>
    <col min="9203" max="9203" width="13.42578125" style="1354" customWidth="1"/>
    <col min="9204" max="9204" width="11.85546875" style="1354" customWidth="1"/>
    <col min="9205" max="9206" width="13.7109375" style="1354" customWidth="1"/>
    <col min="9207" max="9207" width="13" style="1354" customWidth="1"/>
    <col min="9208" max="9209" width="14.140625" style="1354" customWidth="1"/>
    <col min="9210" max="9210" width="17.28515625" style="1354" customWidth="1"/>
    <col min="9211" max="9212" width="14.140625" style="1354" customWidth="1"/>
    <col min="9213" max="9213" width="15.5703125" style="1354" customWidth="1"/>
    <col min="9214" max="9219" width="14.140625" style="1354" customWidth="1"/>
    <col min="9220" max="9220" width="11.42578125" style="1354" bestFit="1" customWidth="1"/>
    <col min="9221" max="9221" width="11.42578125" style="1354" customWidth="1"/>
    <col min="9222" max="9222" width="9.28515625" style="1354" bestFit="1" customWidth="1"/>
    <col min="9223" max="9223" width="10.28515625" style="1354" customWidth="1"/>
    <col min="9224" max="9423" width="8.28515625" style="1354"/>
    <col min="9424" max="9424" width="0.7109375" style="1354" customWidth="1"/>
    <col min="9425" max="9425" width="10.5703125" style="1354" customWidth="1"/>
    <col min="9426" max="9426" width="46.42578125" style="1354" customWidth="1"/>
    <col min="9427" max="9427" width="12.7109375" style="1354" customWidth="1"/>
    <col min="9428" max="9428" width="14.5703125" style="1354" customWidth="1"/>
    <col min="9429" max="9429" width="14.140625" style="1354" customWidth="1"/>
    <col min="9430" max="9430" width="17.140625" style="1354" customWidth="1"/>
    <col min="9431" max="9431" width="16.5703125" style="1354" customWidth="1"/>
    <col min="9432" max="9432" width="17" style="1354" customWidth="1"/>
    <col min="9433" max="9433" width="17.28515625" style="1354" customWidth="1"/>
    <col min="9434" max="9434" width="14.5703125" style="1354" customWidth="1"/>
    <col min="9435" max="9435" width="14.140625" style="1354" customWidth="1"/>
    <col min="9436" max="9436" width="13.42578125" style="1354" customWidth="1"/>
    <col min="9437" max="9438" width="13.7109375" style="1354" customWidth="1"/>
    <col min="9439" max="9439" width="13" style="1354" customWidth="1"/>
    <col min="9440" max="9440" width="14.5703125" style="1354" customWidth="1"/>
    <col min="9441" max="9441" width="14.140625" style="1354" customWidth="1"/>
    <col min="9442" max="9442" width="13" style="1354" customWidth="1"/>
    <col min="9443" max="9444" width="13.7109375" style="1354" customWidth="1"/>
    <col min="9445" max="9445" width="13" style="1354" customWidth="1"/>
    <col min="9446" max="9446" width="16" style="1354" customWidth="1"/>
    <col min="9447" max="9447" width="14.140625" style="1354" customWidth="1"/>
    <col min="9448" max="9448" width="13.42578125" style="1354" customWidth="1"/>
    <col min="9449" max="9450" width="13.7109375" style="1354" customWidth="1"/>
    <col min="9451" max="9451" width="13" style="1354" customWidth="1"/>
    <col min="9452" max="9452" width="13.85546875" style="1354" customWidth="1"/>
    <col min="9453" max="9453" width="14.5703125" style="1354" customWidth="1"/>
    <col min="9454" max="9454" width="11.5703125" style="1354" customWidth="1"/>
    <col min="9455" max="9456" width="13.7109375" style="1354" customWidth="1"/>
    <col min="9457" max="9457" width="13" style="1354" customWidth="1"/>
    <col min="9458" max="9458" width="14.140625" style="1354" customWidth="1"/>
    <col min="9459" max="9459" width="13.42578125" style="1354" customWidth="1"/>
    <col min="9460" max="9460" width="11.85546875" style="1354" customWidth="1"/>
    <col min="9461" max="9462" width="13.7109375" style="1354" customWidth="1"/>
    <col min="9463" max="9463" width="13" style="1354" customWidth="1"/>
    <col min="9464" max="9465" width="14.140625" style="1354" customWidth="1"/>
    <col min="9466" max="9466" width="17.28515625" style="1354" customWidth="1"/>
    <col min="9467" max="9468" width="14.140625" style="1354" customWidth="1"/>
    <col min="9469" max="9469" width="15.5703125" style="1354" customWidth="1"/>
    <col min="9470" max="9475" width="14.140625" style="1354" customWidth="1"/>
    <col min="9476" max="9476" width="11.42578125" style="1354" bestFit="1" customWidth="1"/>
    <col min="9477" max="9477" width="11.42578125" style="1354" customWidth="1"/>
    <col min="9478" max="9478" width="9.28515625" style="1354" bestFit="1" customWidth="1"/>
    <col min="9479" max="9479" width="10.28515625" style="1354" customWidth="1"/>
    <col min="9480" max="9679" width="8.28515625" style="1354"/>
    <col min="9680" max="9680" width="0.7109375" style="1354" customWidth="1"/>
    <col min="9681" max="9681" width="10.5703125" style="1354" customWidth="1"/>
    <col min="9682" max="9682" width="46.42578125" style="1354" customWidth="1"/>
    <col min="9683" max="9683" width="12.7109375" style="1354" customWidth="1"/>
    <col min="9684" max="9684" width="14.5703125" style="1354" customWidth="1"/>
    <col min="9685" max="9685" width="14.140625" style="1354" customWidth="1"/>
    <col min="9686" max="9686" width="17.140625" style="1354" customWidth="1"/>
    <col min="9687" max="9687" width="16.5703125" style="1354" customWidth="1"/>
    <col min="9688" max="9688" width="17" style="1354" customWidth="1"/>
    <col min="9689" max="9689" width="17.28515625" style="1354" customWidth="1"/>
    <col min="9690" max="9690" width="14.5703125" style="1354" customWidth="1"/>
    <col min="9691" max="9691" width="14.140625" style="1354" customWidth="1"/>
    <col min="9692" max="9692" width="13.42578125" style="1354" customWidth="1"/>
    <col min="9693" max="9694" width="13.7109375" style="1354" customWidth="1"/>
    <col min="9695" max="9695" width="13" style="1354" customWidth="1"/>
    <col min="9696" max="9696" width="14.5703125" style="1354" customWidth="1"/>
    <col min="9697" max="9697" width="14.140625" style="1354" customWidth="1"/>
    <col min="9698" max="9698" width="13" style="1354" customWidth="1"/>
    <col min="9699" max="9700" width="13.7109375" style="1354" customWidth="1"/>
    <col min="9701" max="9701" width="13" style="1354" customWidth="1"/>
    <col min="9702" max="9702" width="16" style="1354" customWidth="1"/>
    <col min="9703" max="9703" width="14.140625" style="1354" customWidth="1"/>
    <col min="9704" max="9704" width="13.42578125" style="1354" customWidth="1"/>
    <col min="9705" max="9706" width="13.7109375" style="1354" customWidth="1"/>
    <col min="9707" max="9707" width="13" style="1354" customWidth="1"/>
    <col min="9708" max="9708" width="13.85546875" style="1354" customWidth="1"/>
    <col min="9709" max="9709" width="14.5703125" style="1354" customWidth="1"/>
    <col min="9710" max="9710" width="11.5703125" style="1354" customWidth="1"/>
    <col min="9711" max="9712" width="13.7109375" style="1354" customWidth="1"/>
    <col min="9713" max="9713" width="13" style="1354" customWidth="1"/>
    <col min="9714" max="9714" width="14.140625" style="1354" customWidth="1"/>
    <col min="9715" max="9715" width="13.42578125" style="1354" customWidth="1"/>
    <col min="9716" max="9716" width="11.85546875" style="1354" customWidth="1"/>
    <col min="9717" max="9718" width="13.7109375" style="1354" customWidth="1"/>
    <col min="9719" max="9719" width="13" style="1354" customWidth="1"/>
    <col min="9720" max="9721" width="14.140625" style="1354" customWidth="1"/>
    <col min="9722" max="9722" width="17.28515625" style="1354" customWidth="1"/>
    <col min="9723" max="9724" width="14.140625" style="1354" customWidth="1"/>
    <col min="9725" max="9725" width="15.5703125" style="1354" customWidth="1"/>
    <col min="9726" max="9731" width="14.140625" style="1354" customWidth="1"/>
    <col min="9732" max="9732" width="11.42578125" style="1354" bestFit="1" customWidth="1"/>
    <col min="9733" max="9733" width="11.42578125" style="1354" customWidth="1"/>
    <col min="9734" max="9734" width="9.28515625" style="1354" bestFit="1" customWidth="1"/>
    <col min="9735" max="9735" width="10.28515625" style="1354" customWidth="1"/>
    <col min="9736" max="9935" width="8.28515625" style="1354"/>
    <col min="9936" max="9936" width="0.7109375" style="1354" customWidth="1"/>
    <col min="9937" max="9937" width="10.5703125" style="1354" customWidth="1"/>
    <col min="9938" max="9938" width="46.42578125" style="1354" customWidth="1"/>
    <col min="9939" max="9939" width="12.7109375" style="1354" customWidth="1"/>
    <col min="9940" max="9940" width="14.5703125" style="1354" customWidth="1"/>
    <col min="9941" max="9941" width="14.140625" style="1354" customWidth="1"/>
    <col min="9942" max="9942" width="17.140625" style="1354" customWidth="1"/>
    <col min="9943" max="9943" width="16.5703125" style="1354" customWidth="1"/>
    <col min="9944" max="9944" width="17" style="1354" customWidth="1"/>
    <col min="9945" max="9945" width="17.28515625" style="1354" customWidth="1"/>
    <col min="9946" max="9946" width="14.5703125" style="1354" customWidth="1"/>
    <col min="9947" max="9947" width="14.140625" style="1354" customWidth="1"/>
    <col min="9948" max="9948" width="13.42578125" style="1354" customWidth="1"/>
    <col min="9949" max="9950" width="13.7109375" style="1354" customWidth="1"/>
    <col min="9951" max="9951" width="13" style="1354" customWidth="1"/>
    <col min="9952" max="9952" width="14.5703125" style="1354" customWidth="1"/>
    <col min="9953" max="9953" width="14.140625" style="1354" customWidth="1"/>
    <col min="9954" max="9954" width="13" style="1354" customWidth="1"/>
    <col min="9955" max="9956" width="13.7109375" style="1354" customWidth="1"/>
    <col min="9957" max="9957" width="13" style="1354" customWidth="1"/>
    <col min="9958" max="9958" width="16" style="1354" customWidth="1"/>
    <col min="9959" max="9959" width="14.140625" style="1354" customWidth="1"/>
    <col min="9960" max="9960" width="13.42578125" style="1354" customWidth="1"/>
    <col min="9961" max="9962" width="13.7109375" style="1354" customWidth="1"/>
    <col min="9963" max="9963" width="13" style="1354" customWidth="1"/>
    <col min="9964" max="9964" width="13.85546875" style="1354" customWidth="1"/>
    <col min="9965" max="9965" width="14.5703125" style="1354" customWidth="1"/>
    <col min="9966" max="9966" width="11.5703125" style="1354" customWidth="1"/>
    <col min="9967" max="9968" width="13.7109375" style="1354" customWidth="1"/>
    <col min="9969" max="9969" width="13" style="1354" customWidth="1"/>
    <col min="9970" max="9970" width="14.140625" style="1354" customWidth="1"/>
    <col min="9971" max="9971" width="13.42578125" style="1354" customWidth="1"/>
    <col min="9972" max="9972" width="11.85546875" style="1354" customWidth="1"/>
    <col min="9973" max="9974" width="13.7109375" style="1354" customWidth="1"/>
    <col min="9975" max="9975" width="13" style="1354" customWidth="1"/>
    <col min="9976" max="9977" width="14.140625" style="1354" customWidth="1"/>
    <col min="9978" max="9978" width="17.28515625" style="1354" customWidth="1"/>
    <col min="9979" max="9980" width="14.140625" style="1354" customWidth="1"/>
    <col min="9981" max="9981" width="15.5703125" style="1354" customWidth="1"/>
    <col min="9982" max="9987" width="14.140625" style="1354" customWidth="1"/>
    <col min="9988" max="9988" width="11.42578125" style="1354" bestFit="1" customWidth="1"/>
    <col min="9989" max="9989" width="11.42578125" style="1354" customWidth="1"/>
    <col min="9990" max="9990" width="9.28515625" style="1354" bestFit="1" customWidth="1"/>
    <col min="9991" max="9991" width="10.28515625" style="1354" customWidth="1"/>
    <col min="9992" max="10191" width="8.28515625" style="1354"/>
    <col min="10192" max="10192" width="0.7109375" style="1354" customWidth="1"/>
    <col min="10193" max="10193" width="10.5703125" style="1354" customWidth="1"/>
    <col min="10194" max="10194" width="46.42578125" style="1354" customWidth="1"/>
    <col min="10195" max="10195" width="12.7109375" style="1354" customWidth="1"/>
    <col min="10196" max="10196" width="14.5703125" style="1354" customWidth="1"/>
    <col min="10197" max="10197" width="14.140625" style="1354" customWidth="1"/>
    <col min="10198" max="10198" width="17.140625" style="1354" customWidth="1"/>
    <col min="10199" max="10199" width="16.5703125" style="1354" customWidth="1"/>
    <col min="10200" max="10200" width="17" style="1354" customWidth="1"/>
    <col min="10201" max="10201" width="17.28515625" style="1354" customWidth="1"/>
    <col min="10202" max="10202" width="14.5703125" style="1354" customWidth="1"/>
    <col min="10203" max="10203" width="14.140625" style="1354" customWidth="1"/>
    <col min="10204" max="10204" width="13.42578125" style="1354" customWidth="1"/>
    <col min="10205" max="10206" width="13.7109375" style="1354" customWidth="1"/>
    <col min="10207" max="10207" width="13" style="1354" customWidth="1"/>
    <col min="10208" max="10208" width="14.5703125" style="1354" customWidth="1"/>
    <col min="10209" max="10209" width="14.140625" style="1354" customWidth="1"/>
    <col min="10210" max="10210" width="13" style="1354" customWidth="1"/>
    <col min="10211" max="10212" width="13.7109375" style="1354" customWidth="1"/>
    <col min="10213" max="10213" width="13" style="1354" customWidth="1"/>
    <col min="10214" max="10214" width="16" style="1354" customWidth="1"/>
    <col min="10215" max="10215" width="14.140625" style="1354" customWidth="1"/>
    <col min="10216" max="10216" width="13.42578125" style="1354" customWidth="1"/>
    <col min="10217" max="10218" width="13.7109375" style="1354" customWidth="1"/>
    <col min="10219" max="10219" width="13" style="1354" customWidth="1"/>
    <col min="10220" max="10220" width="13.85546875" style="1354" customWidth="1"/>
    <col min="10221" max="10221" width="14.5703125" style="1354" customWidth="1"/>
    <col min="10222" max="10222" width="11.5703125" style="1354" customWidth="1"/>
    <col min="10223" max="10224" width="13.7109375" style="1354" customWidth="1"/>
    <col min="10225" max="10225" width="13" style="1354" customWidth="1"/>
    <col min="10226" max="10226" width="14.140625" style="1354" customWidth="1"/>
    <col min="10227" max="10227" width="13.42578125" style="1354" customWidth="1"/>
    <col min="10228" max="10228" width="11.85546875" style="1354" customWidth="1"/>
    <col min="10229" max="10230" width="13.7109375" style="1354" customWidth="1"/>
    <col min="10231" max="10231" width="13" style="1354" customWidth="1"/>
    <col min="10232" max="10233" width="14.140625" style="1354" customWidth="1"/>
    <col min="10234" max="10234" width="17.28515625" style="1354" customWidth="1"/>
    <col min="10235" max="10236" width="14.140625" style="1354" customWidth="1"/>
    <col min="10237" max="10237" width="15.5703125" style="1354" customWidth="1"/>
    <col min="10238" max="10243" width="14.140625" style="1354" customWidth="1"/>
    <col min="10244" max="10244" width="11.42578125" style="1354" bestFit="1" customWidth="1"/>
    <col min="10245" max="10245" width="11.42578125" style="1354" customWidth="1"/>
    <col min="10246" max="10246" width="9.28515625" style="1354" bestFit="1" customWidth="1"/>
    <col min="10247" max="10247" width="10.28515625" style="1354" customWidth="1"/>
    <col min="10248" max="10447" width="8.28515625" style="1354"/>
    <col min="10448" max="10448" width="0.7109375" style="1354" customWidth="1"/>
    <col min="10449" max="10449" width="10.5703125" style="1354" customWidth="1"/>
    <col min="10450" max="10450" width="46.42578125" style="1354" customWidth="1"/>
    <col min="10451" max="10451" width="12.7109375" style="1354" customWidth="1"/>
    <col min="10452" max="10452" width="14.5703125" style="1354" customWidth="1"/>
    <col min="10453" max="10453" width="14.140625" style="1354" customWidth="1"/>
    <col min="10454" max="10454" width="17.140625" style="1354" customWidth="1"/>
    <col min="10455" max="10455" width="16.5703125" style="1354" customWidth="1"/>
    <col min="10456" max="10456" width="17" style="1354" customWidth="1"/>
    <col min="10457" max="10457" width="17.28515625" style="1354" customWidth="1"/>
    <col min="10458" max="10458" width="14.5703125" style="1354" customWidth="1"/>
    <col min="10459" max="10459" width="14.140625" style="1354" customWidth="1"/>
    <col min="10460" max="10460" width="13.42578125" style="1354" customWidth="1"/>
    <col min="10461" max="10462" width="13.7109375" style="1354" customWidth="1"/>
    <col min="10463" max="10463" width="13" style="1354" customWidth="1"/>
    <col min="10464" max="10464" width="14.5703125" style="1354" customWidth="1"/>
    <col min="10465" max="10465" width="14.140625" style="1354" customWidth="1"/>
    <col min="10466" max="10466" width="13" style="1354" customWidth="1"/>
    <col min="10467" max="10468" width="13.7109375" style="1354" customWidth="1"/>
    <col min="10469" max="10469" width="13" style="1354" customWidth="1"/>
    <col min="10470" max="10470" width="16" style="1354" customWidth="1"/>
    <col min="10471" max="10471" width="14.140625" style="1354" customWidth="1"/>
    <col min="10472" max="10472" width="13.42578125" style="1354" customWidth="1"/>
    <col min="10473" max="10474" width="13.7109375" style="1354" customWidth="1"/>
    <col min="10475" max="10475" width="13" style="1354" customWidth="1"/>
    <col min="10476" max="10476" width="13.85546875" style="1354" customWidth="1"/>
    <col min="10477" max="10477" width="14.5703125" style="1354" customWidth="1"/>
    <col min="10478" max="10478" width="11.5703125" style="1354" customWidth="1"/>
    <col min="10479" max="10480" width="13.7109375" style="1354" customWidth="1"/>
    <col min="10481" max="10481" width="13" style="1354" customWidth="1"/>
    <col min="10482" max="10482" width="14.140625" style="1354" customWidth="1"/>
    <col min="10483" max="10483" width="13.42578125" style="1354" customWidth="1"/>
    <col min="10484" max="10484" width="11.85546875" style="1354" customWidth="1"/>
    <col min="10485" max="10486" width="13.7109375" style="1354" customWidth="1"/>
    <col min="10487" max="10487" width="13" style="1354" customWidth="1"/>
    <col min="10488" max="10489" width="14.140625" style="1354" customWidth="1"/>
    <col min="10490" max="10490" width="17.28515625" style="1354" customWidth="1"/>
    <col min="10491" max="10492" width="14.140625" style="1354" customWidth="1"/>
    <col min="10493" max="10493" width="15.5703125" style="1354" customWidth="1"/>
    <col min="10494" max="10499" width="14.140625" style="1354" customWidth="1"/>
    <col min="10500" max="10500" width="11.42578125" style="1354" bestFit="1" customWidth="1"/>
    <col min="10501" max="10501" width="11.42578125" style="1354" customWidth="1"/>
    <col min="10502" max="10502" width="9.28515625" style="1354" bestFit="1" customWidth="1"/>
    <col min="10503" max="10503" width="10.28515625" style="1354" customWidth="1"/>
    <col min="10504" max="10703" width="8.28515625" style="1354"/>
    <col min="10704" max="10704" width="0.7109375" style="1354" customWidth="1"/>
    <col min="10705" max="10705" width="10.5703125" style="1354" customWidth="1"/>
    <col min="10706" max="10706" width="46.42578125" style="1354" customWidth="1"/>
    <col min="10707" max="10707" width="12.7109375" style="1354" customWidth="1"/>
    <col min="10708" max="10708" width="14.5703125" style="1354" customWidth="1"/>
    <col min="10709" max="10709" width="14.140625" style="1354" customWidth="1"/>
    <col min="10710" max="10710" width="17.140625" style="1354" customWidth="1"/>
    <col min="10711" max="10711" width="16.5703125" style="1354" customWidth="1"/>
    <col min="10712" max="10712" width="17" style="1354" customWidth="1"/>
    <col min="10713" max="10713" width="17.28515625" style="1354" customWidth="1"/>
    <col min="10714" max="10714" width="14.5703125" style="1354" customWidth="1"/>
    <col min="10715" max="10715" width="14.140625" style="1354" customWidth="1"/>
    <col min="10716" max="10716" width="13.42578125" style="1354" customWidth="1"/>
    <col min="10717" max="10718" width="13.7109375" style="1354" customWidth="1"/>
    <col min="10719" max="10719" width="13" style="1354" customWidth="1"/>
    <col min="10720" max="10720" width="14.5703125" style="1354" customWidth="1"/>
    <col min="10721" max="10721" width="14.140625" style="1354" customWidth="1"/>
    <col min="10722" max="10722" width="13" style="1354" customWidth="1"/>
    <col min="10723" max="10724" width="13.7109375" style="1354" customWidth="1"/>
    <col min="10725" max="10725" width="13" style="1354" customWidth="1"/>
    <col min="10726" max="10726" width="16" style="1354" customWidth="1"/>
    <col min="10727" max="10727" width="14.140625" style="1354" customWidth="1"/>
    <col min="10728" max="10728" width="13.42578125" style="1354" customWidth="1"/>
    <col min="10729" max="10730" width="13.7109375" style="1354" customWidth="1"/>
    <col min="10731" max="10731" width="13" style="1354" customWidth="1"/>
    <col min="10732" max="10732" width="13.85546875" style="1354" customWidth="1"/>
    <col min="10733" max="10733" width="14.5703125" style="1354" customWidth="1"/>
    <col min="10734" max="10734" width="11.5703125" style="1354" customWidth="1"/>
    <col min="10735" max="10736" width="13.7109375" style="1354" customWidth="1"/>
    <col min="10737" max="10737" width="13" style="1354" customWidth="1"/>
    <col min="10738" max="10738" width="14.140625" style="1354" customWidth="1"/>
    <col min="10739" max="10739" width="13.42578125" style="1354" customWidth="1"/>
    <col min="10740" max="10740" width="11.85546875" style="1354" customWidth="1"/>
    <col min="10741" max="10742" width="13.7109375" style="1354" customWidth="1"/>
    <col min="10743" max="10743" width="13" style="1354" customWidth="1"/>
    <col min="10744" max="10745" width="14.140625" style="1354" customWidth="1"/>
    <col min="10746" max="10746" width="17.28515625" style="1354" customWidth="1"/>
    <col min="10747" max="10748" width="14.140625" style="1354" customWidth="1"/>
    <col min="10749" max="10749" width="15.5703125" style="1354" customWidth="1"/>
    <col min="10750" max="10755" width="14.140625" style="1354" customWidth="1"/>
    <col min="10756" max="10756" width="11.42578125" style="1354" bestFit="1" customWidth="1"/>
    <col min="10757" max="10757" width="11.42578125" style="1354" customWidth="1"/>
    <col min="10758" max="10758" width="9.28515625" style="1354" bestFit="1" customWidth="1"/>
    <col min="10759" max="10759" width="10.28515625" style="1354" customWidth="1"/>
    <col min="10760" max="10959" width="8.28515625" style="1354"/>
    <col min="10960" max="10960" width="0.7109375" style="1354" customWidth="1"/>
    <col min="10961" max="10961" width="10.5703125" style="1354" customWidth="1"/>
    <col min="10962" max="10962" width="46.42578125" style="1354" customWidth="1"/>
    <col min="10963" max="10963" width="12.7109375" style="1354" customWidth="1"/>
    <col min="10964" max="10964" width="14.5703125" style="1354" customWidth="1"/>
    <col min="10965" max="10965" width="14.140625" style="1354" customWidth="1"/>
    <col min="10966" max="10966" width="17.140625" style="1354" customWidth="1"/>
    <col min="10967" max="10967" width="16.5703125" style="1354" customWidth="1"/>
    <col min="10968" max="10968" width="17" style="1354" customWidth="1"/>
    <col min="10969" max="10969" width="17.28515625" style="1354" customWidth="1"/>
    <col min="10970" max="10970" width="14.5703125" style="1354" customWidth="1"/>
    <col min="10971" max="10971" width="14.140625" style="1354" customWidth="1"/>
    <col min="10972" max="10972" width="13.42578125" style="1354" customWidth="1"/>
    <col min="10973" max="10974" width="13.7109375" style="1354" customWidth="1"/>
    <col min="10975" max="10975" width="13" style="1354" customWidth="1"/>
    <col min="10976" max="10976" width="14.5703125" style="1354" customWidth="1"/>
    <col min="10977" max="10977" width="14.140625" style="1354" customWidth="1"/>
    <col min="10978" max="10978" width="13" style="1354" customWidth="1"/>
    <col min="10979" max="10980" width="13.7109375" style="1354" customWidth="1"/>
    <col min="10981" max="10981" width="13" style="1354" customWidth="1"/>
    <col min="10982" max="10982" width="16" style="1354" customWidth="1"/>
    <col min="10983" max="10983" width="14.140625" style="1354" customWidth="1"/>
    <col min="10984" max="10984" width="13.42578125" style="1354" customWidth="1"/>
    <col min="10985" max="10986" width="13.7109375" style="1354" customWidth="1"/>
    <col min="10987" max="10987" width="13" style="1354" customWidth="1"/>
    <col min="10988" max="10988" width="13.85546875" style="1354" customWidth="1"/>
    <col min="10989" max="10989" width="14.5703125" style="1354" customWidth="1"/>
    <col min="10990" max="10990" width="11.5703125" style="1354" customWidth="1"/>
    <col min="10991" max="10992" width="13.7109375" style="1354" customWidth="1"/>
    <col min="10993" max="10993" width="13" style="1354" customWidth="1"/>
    <col min="10994" max="10994" width="14.140625" style="1354" customWidth="1"/>
    <col min="10995" max="10995" width="13.42578125" style="1354" customWidth="1"/>
    <col min="10996" max="10996" width="11.85546875" style="1354" customWidth="1"/>
    <col min="10997" max="10998" width="13.7109375" style="1354" customWidth="1"/>
    <col min="10999" max="10999" width="13" style="1354" customWidth="1"/>
    <col min="11000" max="11001" width="14.140625" style="1354" customWidth="1"/>
    <col min="11002" max="11002" width="17.28515625" style="1354" customWidth="1"/>
    <col min="11003" max="11004" width="14.140625" style="1354" customWidth="1"/>
    <col min="11005" max="11005" width="15.5703125" style="1354" customWidth="1"/>
    <col min="11006" max="11011" width="14.140625" style="1354" customWidth="1"/>
    <col min="11012" max="11012" width="11.42578125" style="1354" bestFit="1" customWidth="1"/>
    <col min="11013" max="11013" width="11.42578125" style="1354" customWidth="1"/>
    <col min="11014" max="11014" width="9.28515625" style="1354" bestFit="1" customWidth="1"/>
    <col min="11015" max="11015" width="10.28515625" style="1354" customWidth="1"/>
    <col min="11016" max="11215" width="8.28515625" style="1354"/>
    <col min="11216" max="11216" width="0.7109375" style="1354" customWidth="1"/>
    <col min="11217" max="11217" width="10.5703125" style="1354" customWidth="1"/>
    <col min="11218" max="11218" width="46.42578125" style="1354" customWidth="1"/>
    <col min="11219" max="11219" width="12.7109375" style="1354" customWidth="1"/>
    <col min="11220" max="11220" width="14.5703125" style="1354" customWidth="1"/>
    <col min="11221" max="11221" width="14.140625" style="1354" customWidth="1"/>
    <col min="11222" max="11222" width="17.140625" style="1354" customWidth="1"/>
    <col min="11223" max="11223" width="16.5703125" style="1354" customWidth="1"/>
    <col min="11224" max="11224" width="17" style="1354" customWidth="1"/>
    <col min="11225" max="11225" width="17.28515625" style="1354" customWidth="1"/>
    <col min="11226" max="11226" width="14.5703125" style="1354" customWidth="1"/>
    <col min="11227" max="11227" width="14.140625" style="1354" customWidth="1"/>
    <col min="11228" max="11228" width="13.42578125" style="1354" customWidth="1"/>
    <col min="11229" max="11230" width="13.7109375" style="1354" customWidth="1"/>
    <col min="11231" max="11231" width="13" style="1354" customWidth="1"/>
    <col min="11232" max="11232" width="14.5703125" style="1354" customWidth="1"/>
    <col min="11233" max="11233" width="14.140625" style="1354" customWidth="1"/>
    <col min="11234" max="11234" width="13" style="1354" customWidth="1"/>
    <col min="11235" max="11236" width="13.7109375" style="1354" customWidth="1"/>
    <col min="11237" max="11237" width="13" style="1354" customWidth="1"/>
    <col min="11238" max="11238" width="16" style="1354" customWidth="1"/>
    <col min="11239" max="11239" width="14.140625" style="1354" customWidth="1"/>
    <col min="11240" max="11240" width="13.42578125" style="1354" customWidth="1"/>
    <col min="11241" max="11242" width="13.7109375" style="1354" customWidth="1"/>
    <col min="11243" max="11243" width="13" style="1354" customWidth="1"/>
    <col min="11244" max="11244" width="13.85546875" style="1354" customWidth="1"/>
    <col min="11245" max="11245" width="14.5703125" style="1354" customWidth="1"/>
    <col min="11246" max="11246" width="11.5703125" style="1354" customWidth="1"/>
    <col min="11247" max="11248" width="13.7109375" style="1354" customWidth="1"/>
    <col min="11249" max="11249" width="13" style="1354" customWidth="1"/>
    <col min="11250" max="11250" width="14.140625" style="1354" customWidth="1"/>
    <col min="11251" max="11251" width="13.42578125" style="1354" customWidth="1"/>
    <col min="11252" max="11252" width="11.85546875" style="1354" customWidth="1"/>
    <col min="11253" max="11254" width="13.7109375" style="1354" customWidth="1"/>
    <col min="11255" max="11255" width="13" style="1354" customWidth="1"/>
    <col min="11256" max="11257" width="14.140625" style="1354" customWidth="1"/>
    <col min="11258" max="11258" width="17.28515625" style="1354" customWidth="1"/>
    <col min="11259" max="11260" width="14.140625" style="1354" customWidth="1"/>
    <col min="11261" max="11261" width="15.5703125" style="1354" customWidth="1"/>
    <col min="11262" max="11267" width="14.140625" style="1354" customWidth="1"/>
    <col min="11268" max="11268" width="11.42578125" style="1354" bestFit="1" customWidth="1"/>
    <col min="11269" max="11269" width="11.42578125" style="1354" customWidth="1"/>
    <col min="11270" max="11270" width="9.28515625" style="1354" bestFit="1" customWidth="1"/>
    <col min="11271" max="11271" width="10.28515625" style="1354" customWidth="1"/>
    <col min="11272" max="11471" width="8.28515625" style="1354"/>
    <col min="11472" max="11472" width="0.7109375" style="1354" customWidth="1"/>
    <col min="11473" max="11473" width="10.5703125" style="1354" customWidth="1"/>
    <col min="11474" max="11474" width="46.42578125" style="1354" customWidth="1"/>
    <col min="11475" max="11475" width="12.7109375" style="1354" customWidth="1"/>
    <col min="11476" max="11476" width="14.5703125" style="1354" customWidth="1"/>
    <col min="11477" max="11477" width="14.140625" style="1354" customWidth="1"/>
    <col min="11478" max="11478" width="17.140625" style="1354" customWidth="1"/>
    <col min="11479" max="11479" width="16.5703125" style="1354" customWidth="1"/>
    <col min="11480" max="11480" width="17" style="1354" customWidth="1"/>
    <col min="11481" max="11481" width="17.28515625" style="1354" customWidth="1"/>
    <col min="11482" max="11482" width="14.5703125" style="1354" customWidth="1"/>
    <col min="11483" max="11483" width="14.140625" style="1354" customWidth="1"/>
    <col min="11484" max="11484" width="13.42578125" style="1354" customWidth="1"/>
    <col min="11485" max="11486" width="13.7109375" style="1354" customWidth="1"/>
    <col min="11487" max="11487" width="13" style="1354" customWidth="1"/>
    <col min="11488" max="11488" width="14.5703125" style="1354" customWidth="1"/>
    <col min="11489" max="11489" width="14.140625" style="1354" customWidth="1"/>
    <col min="11490" max="11490" width="13" style="1354" customWidth="1"/>
    <col min="11491" max="11492" width="13.7109375" style="1354" customWidth="1"/>
    <col min="11493" max="11493" width="13" style="1354" customWidth="1"/>
    <col min="11494" max="11494" width="16" style="1354" customWidth="1"/>
    <col min="11495" max="11495" width="14.140625" style="1354" customWidth="1"/>
    <col min="11496" max="11496" width="13.42578125" style="1354" customWidth="1"/>
    <col min="11497" max="11498" width="13.7109375" style="1354" customWidth="1"/>
    <col min="11499" max="11499" width="13" style="1354" customWidth="1"/>
    <col min="11500" max="11500" width="13.85546875" style="1354" customWidth="1"/>
    <col min="11501" max="11501" width="14.5703125" style="1354" customWidth="1"/>
    <col min="11502" max="11502" width="11.5703125" style="1354" customWidth="1"/>
    <col min="11503" max="11504" width="13.7109375" style="1354" customWidth="1"/>
    <col min="11505" max="11505" width="13" style="1354" customWidth="1"/>
    <col min="11506" max="11506" width="14.140625" style="1354" customWidth="1"/>
    <col min="11507" max="11507" width="13.42578125" style="1354" customWidth="1"/>
    <col min="11508" max="11508" width="11.85546875" style="1354" customWidth="1"/>
    <col min="11509" max="11510" width="13.7109375" style="1354" customWidth="1"/>
    <col min="11511" max="11511" width="13" style="1354" customWidth="1"/>
    <col min="11512" max="11513" width="14.140625" style="1354" customWidth="1"/>
    <col min="11514" max="11514" width="17.28515625" style="1354" customWidth="1"/>
    <col min="11515" max="11516" width="14.140625" style="1354" customWidth="1"/>
    <col min="11517" max="11517" width="15.5703125" style="1354" customWidth="1"/>
    <col min="11518" max="11523" width="14.140625" style="1354" customWidth="1"/>
    <col min="11524" max="11524" width="11.42578125" style="1354" bestFit="1" customWidth="1"/>
    <col min="11525" max="11525" width="11.42578125" style="1354" customWidth="1"/>
    <col min="11526" max="11526" width="9.28515625" style="1354" bestFit="1" customWidth="1"/>
    <col min="11527" max="11527" width="10.28515625" style="1354" customWidth="1"/>
    <col min="11528" max="11727" width="8.28515625" style="1354"/>
    <col min="11728" max="11728" width="0.7109375" style="1354" customWidth="1"/>
    <col min="11729" max="11729" width="10.5703125" style="1354" customWidth="1"/>
    <col min="11730" max="11730" width="46.42578125" style="1354" customWidth="1"/>
    <col min="11731" max="11731" width="12.7109375" style="1354" customWidth="1"/>
    <col min="11732" max="11732" width="14.5703125" style="1354" customWidth="1"/>
    <col min="11733" max="11733" width="14.140625" style="1354" customWidth="1"/>
    <col min="11734" max="11734" width="17.140625" style="1354" customWidth="1"/>
    <col min="11735" max="11735" width="16.5703125" style="1354" customWidth="1"/>
    <col min="11736" max="11736" width="17" style="1354" customWidth="1"/>
    <col min="11737" max="11737" width="17.28515625" style="1354" customWidth="1"/>
    <col min="11738" max="11738" width="14.5703125" style="1354" customWidth="1"/>
    <col min="11739" max="11739" width="14.140625" style="1354" customWidth="1"/>
    <col min="11740" max="11740" width="13.42578125" style="1354" customWidth="1"/>
    <col min="11741" max="11742" width="13.7109375" style="1354" customWidth="1"/>
    <col min="11743" max="11743" width="13" style="1354" customWidth="1"/>
    <col min="11744" max="11744" width="14.5703125" style="1354" customWidth="1"/>
    <col min="11745" max="11745" width="14.140625" style="1354" customWidth="1"/>
    <col min="11746" max="11746" width="13" style="1354" customWidth="1"/>
    <col min="11747" max="11748" width="13.7109375" style="1354" customWidth="1"/>
    <col min="11749" max="11749" width="13" style="1354" customWidth="1"/>
    <col min="11750" max="11750" width="16" style="1354" customWidth="1"/>
    <col min="11751" max="11751" width="14.140625" style="1354" customWidth="1"/>
    <col min="11752" max="11752" width="13.42578125" style="1354" customWidth="1"/>
    <col min="11753" max="11754" width="13.7109375" style="1354" customWidth="1"/>
    <col min="11755" max="11755" width="13" style="1354" customWidth="1"/>
    <col min="11756" max="11756" width="13.85546875" style="1354" customWidth="1"/>
    <col min="11757" max="11757" width="14.5703125" style="1354" customWidth="1"/>
    <col min="11758" max="11758" width="11.5703125" style="1354" customWidth="1"/>
    <col min="11759" max="11760" width="13.7109375" style="1354" customWidth="1"/>
    <col min="11761" max="11761" width="13" style="1354" customWidth="1"/>
    <col min="11762" max="11762" width="14.140625" style="1354" customWidth="1"/>
    <col min="11763" max="11763" width="13.42578125" style="1354" customWidth="1"/>
    <col min="11764" max="11764" width="11.85546875" style="1354" customWidth="1"/>
    <col min="11765" max="11766" width="13.7109375" style="1354" customWidth="1"/>
    <col min="11767" max="11767" width="13" style="1354" customWidth="1"/>
    <col min="11768" max="11769" width="14.140625" style="1354" customWidth="1"/>
    <col min="11770" max="11770" width="17.28515625" style="1354" customWidth="1"/>
    <col min="11771" max="11772" width="14.140625" style="1354" customWidth="1"/>
    <col min="11773" max="11773" width="15.5703125" style="1354" customWidth="1"/>
    <col min="11774" max="11779" width="14.140625" style="1354" customWidth="1"/>
    <col min="11780" max="11780" width="11.42578125" style="1354" bestFit="1" customWidth="1"/>
    <col min="11781" max="11781" width="11.42578125" style="1354" customWidth="1"/>
    <col min="11782" max="11782" width="9.28515625" style="1354" bestFit="1" customWidth="1"/>
    <col min="11783" max="11783" width="10.28515625" style="1354" customWidth="1"/>
    <col min="11784" max="11983" width="8.28515625" style="1354"/>
    <col min="11984" max="11984" width="0.7109375" style="1354" customWidth="1"/>
    <col min="11985" max="11985" width="10.5703125" style="1354" customWidth="1"/>
    <col min="11986" max="11986" width="46.42578125" style="1354" customWidth="1"/>
    <col min="11987" max="11987" width="12.7109375" style="1354" customWidth="1"/>
    <col min="11988" max="11988" width="14.5703125" style="1354" customWidth="1"/>
    <col min="11989" max="11989" width="14.140625" style="1354" customWidth="1"/>
    <col min="11990" max="11990" width="17.140625" style="1354" customWidth="1"/>
    <col min="11991" max="11991" width="16.5703125" style="1354" customWidth="1"/>
    <col min="11992" max="11992" width="17" style="1354" customWidth="1"/>
    <col min="11993" max="11993" width="17.28515625" style="1354" customWidth="1"/>
    <col min="11994" max="11994" width="14.5703125" style="1354" customWidth="1"/>
    <col min="11995" max="11995" width="14.140625" style="1354" customWidth="1"/>
    <col min="11996" max="11996" width="13.42578125" style="1354" customWidth="1"/>
    <col min="11997" max="11998" width="13.7109375" style="1354" customWidth="1"/>
    <col min="11999" max="11999" width="13" style="1354" customWidth="1"/>
    <col min="12000" max="12000" width="14.5703125" style="1354" customWidth="1"/>
    <col min="12001" max="12001" width="14.140625" style="1354" customWidth="1"/>
    <col min="12002" max="12002" width="13" style="1354" customWidth="1"/>
    <col min="12003" max="12004" width="13.7109375" style="1354" customWidth="1"/>
    <col min="12005" max="12005" width="13" style="1354" customWidth="1"/>
    <col min="12006" max="12006" width="16" style="1354" customWidth="1"/>
    <col min="12007" max="12007" width="14.140625" style="1354" customWidth="1"/>
    <col min="12008" max="12008" width="13.42578125" style="1354" customWidth="1"/>
    <col min="12009" max="12010" width="13.7109375" style="1354" customWidth="1"/>
    <col min="12011" max="12011" width="13" style="1354" customWidth="1"/>
    <col min="12012" max="12012" width="13.85546875" style="1354" customWidth="1"/>
    <col min="12013" max="12013" width="14.5703125" style="1354" customWidth="1"/>
    <col min="12014" max="12014" width="11.5703125" style="1354" customWidth="1"/>
    <col min="12015" max="12016" width="13.7109375" style="1354" customWidth="1"/>
    <col min="12017" max="12017" width="13" style="1354" customWidth="1"/>
    <col min="12018" max="12018" width="14.140625" style="1354" customWidth="1"/>
    <col min="12019" max="12019" width="13.42578125" style="1354" customWidth="1"/>
    <col min="12020" max="12020" width="11.85546875" style="1354" customWidth="1"/>
    <col min="12021" max="12022" width="13.7109375" style="1354" customWidth="1"/>
    <col min="12023" max="12023" width="13" style="1354" customWidth="1"/>
    <col min="12024" max="12025" width="14.140625" style="1354" customWidth="1"/>
    <col min="12026" max="12026" width="17.28515625" style="1354" customWidth="1"/>
    <col min="12027" max="12028" width="14.140625" style="1354" customWidth="1"/>
    <col min="12029" max="12029" width="15.5703125" style="1354" customWidth="1"/>
    <col min="12030" max="12035" width="14.140625" style="1354" customWidth="1"/>
    <col min="12036" max="12036" width="11.42578125" style="1354" bestFit="1" customWidth="1"/>
    <col min="12037" max="12037" width="11.42578125" style="1354" customWidth="1"/>
    <col min="12038" max="12038" width="9.28515625" style="1354" bestFit="1" customWidth="1"/>
    <col min="12039" max="12039" width="10.28515625" style="1354" customWidth="1"/>
    <col min="12040" max="12239" width="8.28515625" style="1354"/>
    <col min="12240" max="12240" width="0.7109375" style="1354" customWidth="1"/>
    <col min="12241" max="12241" width="10.5703125" style="1354" customWidth="1"/>
    <col min="12242" max="12242" width="46.42578125" style="1354" customWidth="1"/>
    <col min="12243" max="12243" width="12.7109375" style="1354" customWidth="1"/>
    <col min="12244" max="12244" width="14.5703125" style="1354" customWidth="1"/>
    <col min="12245" max="12245" width="14.140625" style="1354" customWidth="1"/>
    <col min="12246" max="12246" width="17.140625" style="1354" customWidth="1"/>
    <col min="12247" max="12247" width="16.5703125" style="1354" customWidth="1"/>
    <col min="12248" max="12248" width="17" style="1354" customWidth="1"/>
    <col min="12249" max="12249" width="17.28515625" style="1354" customWidth="1"/>
    <col min="12250" max="12250" width="14.5703125" style="1354" customWidth="1"/>
    <col min="12251" max="12251" width="14.140625" style="1354" customWidth="1"/>
    <col min="12252" max="12252" width="13.42578125" style="1354" customWidth="1"/>
    <col min="12253" max="12254" width="13.7109375" style="1354" customWidth="1"/>
    <col min="12255" max="12255" width="13" style="1354" customWidth="1"/>
    <col min="12256" max="12256" width="14.5703125" style="1354" customWidth="1"/>
    <col min="12257" max="12257" width="14.140625" style="1354" customWidth="1"/>
    <col min="12258" max="12258" width="13" style="1354" customWidth="1"/>
    <col min="12259" max="12260" width="13.7109375" style="1354" customWidth="1"/>
    <col min="12261" max="12261" width="13" style="1354" customWidth="1"/>
    <col min="12262" max="12262" width="16" style="1354" customWidth="1"/>
    <col min="12263" max="12263" width="14.140625" style="1354" customWidth="1"/>
    <col min="12264" max="12264" width="13.42578125" style="1354" customWidth="1"/>
    <col min="12265" max="12266" width="13.7109375" style="1354" customWidth="1"/>
    <col min="12267" max="12267" width="13" style="1354" customWidth="1"/>
    <col min="12268" max="12268" width="13.85546875" style="1354" customWidth="1"/>
    <col min="12269" max="12269" width="14.5703125" style="1354" customWidth="1"/>
    <col min="12270" max="12270" width="11.5703125" style="1354" customWidth="1"/>
    <col min="12271" max="12272" width="13.7109375" style="1354" customWidth="1"/>
    <col min="12273" max="12273" width="13" style="1354" customWidth="1"/>
    <col min="12274" max="12274" width="14.140625" style="1354" customWidth="1"/>
    <col min="12275" max="12275" width="13.42578125" style="1354" customWidth="1"/>
    <col min="12276" max="12276" width="11.85546875" style="1354" customWidth="1"/>
    <col min="12277" max="12278" width="13.7109375" style="1354" customWidth="1"/>
    <col min="12279" max="12279" width="13" style="1354" customWidth="1"/>
    <col min="12280" max="12281" width="14.140625" style="1354" customWidth="1"/>
    <col min="12282" max="12282" width="17.28515625" style="1354" customWidth="1"/>
    <col min="12283" max="12284" width="14.140625" style="1354" customWidth="1"/>
    <col min="12285" max="12285" width="15.5703125" style="1354" customWidth="1"/>
    <col min="12286" max="12291" width="14.140625" style="1354" customWidth="1"/>
    <col min="12292" max="12292" width="11.42578125" style="1354" bestFit="1" customWidth="1"/>
    <col min="12293" max="12293" width="11.42578125" style="1354" customWidth="1"/>
    <col min="12294" max="12294" width="9.28515625" style="1354" bestFit="1" customWidth="1"/>
    <col min="12295" max="12295" width="10.28515625" style="1354" customWidth="1"/>
    <col min="12296" max="12495" width="8.28515625" style="1354"/>
    <col min="12496" max="12496" width="0.7109375" style="1354" customWidth="1"/>
    <col min="12497" max="12497" width="10.5703125" style="1354" customWidth="1"/>
    <col min="12498" max="12498" width="46.42578125" style="1354" customWidth="1"/>
    <col min="12499" max="12499" width="12.7109375" style="1354" customWidth="1"/>
    <col min="12500" max="12500" width="14.5703125" style="1354" customWidth="1"/>
    <col min="12501" max="12501" width="14.140625" style="1354" customWidth="1"/>
    <col min="12502" max="12502" width="17.140625" style="1354" customWidth="1"/>
    <col min="12503" max="12503" width="16.5703125" style="1354" customWidth="1"/>
    <col min="12504" max="12504" width="17" style="1354" customWidth="1"/>
    <col min="12505" max="12505" width="17.28515625" style="1354" customWidth="1"/>
    <col min="12506" max="12506" width="14.5703125" style="1354" customWidth="1"/>
    <col min="12507" max="12507" width="14.140625" style="1354" customWidth="1"/>
    <col min="12508" max="12508" width="13.42578125" style="1354" customWidth="1"/>
    <col min="12509" max="12510" width="13.7109375" style="1354" customWidth="1"/>
    <col min="12511" max="12511" width="13" style="1354" customWidth="1"/>
    <col min="12512" max="12512" width="14.5703125" style="1354" customWidth="1"/>
    <col min="12513" max="12513" width="14.140625" style="1354" customWidth="1"/>
    <col min="12514" max="12514" width="13" style="1354" customWidth="1"/>
    <col min="12515" max="12516" width="13.7109375" style="1354" customWidth="1"/>
    <col min="12517" max="12517" width="13" style="1354" customWidth="1"/>
    <col min="12518" max="12518" width="16" style="1354" customWidth="1"/>
    <col min="12519" max="12519" width="14.140625" style="1354" customWidth="1"/>
    <col min="12520" max="12520" width="13.42578125" style="1354" customWidth="1"/>
    <col min="12521" max="12522" width="13.7109375" style="1354" customWidth="1"/>
    <col min="12523" max="12523" width="13" style="1354" customWidth="1"/>
    <col min="12524" max="12524" width="13.85546875" style="1354" customWidth="1"/>
    <col min="12525" max="12525" width="14.5703125" style="1354" customWidth="1"/>
    <col min="12526" max="12526" width="11.5703125" style="1354" customWidth="1"/>
    <col min="12527" max="12528" width="13.7109375" style="1354" customWidth="1"/>
    <col min="12529" max="12529" width="13" style="1354" customWidth="1"/>
    <col min="12530" max="12530" width="14.140625" style="1354" customWidth="1"/>
    <col min="12531" max="12531" width="13.42578125" style="1354" customWidth="1"/>
    <col min="12532" max="12532" width="11.85546875" style="1354" customWidth="1"/>
    <col min="12533" max="12534" width="13.7109375" style="1354" customWidth="1"/>
    <col min="12535" max="12535" width="13" style="1354" customWidth="1"/>
    <col min="12536" max="12537" width="14.140625" style="1354" customWidth="1"/>
    <col min="12538" max="12538" width="17.28515625" style="1354" customWidth="1"/>
    <col min="12539" max="12540" width="14.140625" style="1354" customWidth="1"/>
    <col min="12541" max="12541" width="15.5703125" style="1354" customWidth="1"/>
    <col min="12542" max="12547" width="14.140625" style="1354" customWidth="1"/>
    <col min="12548" max="12548" width="11.42578125" style="1354" bestFit="1" customWidth="1"/>
    <col min="12549" max="12549" width="11.42578125" style="1354" customWidth="1"/>
    <col min="12550" max="12550" width="9.28515625" style="1354" bestFit="1" customWidth="1"/>
    <col min="12551" max="12551" width="10.28515625" style="1354" customWidth="1"/>
    <col min="12552" max="12751" width="8.28515625" style="1354"/>
    <col min="12752" max="12752" width="0.7109375" style="1354" customWidth="1"/>
    <col min="12753" max="12753" width="10.5703125" style="1354" customWidth="1"/>
    <col min="12754" max="12754" width="46.42578125" style="1354" customWidth="1"/>
    <col min="12755" max="12755" width="12.7109375" style="1354" customWidth="1"/>
    <col min="12756" max="12756" width="14.5703125" style="1354" customWidth="1"/>
    <col min="12757" max="12757" width="14.140625" style="1354" customWidth="1"/>
    <col min="12758" max="12758" width="17.140625" style="1354" customWidth="1"/>
    <col min="12759" max="12759" width="16.5703125" style="1354" customWidth="1"/>
    <col min="12760" max="12760" width="17" style="1354" customWidth="1"/>
    <col min="12761" max="12761" width="17.28515625" style="1354" customWidth="1"/>
    <col min="12762" max="12762" width="14.5703125" style="1354" customWidth="1"/>
    <col min="12763" max="12763" width="14.140625" style="1354" customWidth="1"/>
    <col min="12764" max="12764" width="13.42578125" style="1354" customWidth="1"/>
    <col min="12765" max="12766" width="13.7109375" style="1354" customWidth="1"/>
    <col min="12767" max="12767" width="13" style="1354" customWidth="1"/>
    <col min="12768" max="12768" width="14.5703125" style="1354" customWidth="1"/>
    <col min="12769" max="12769" width="14.140625" style="1354" customWidth="1"/>
    <col min="12770" max="12770" width="13" style="1354" customWidth="1"/>
    <col min="12771" max="12772" width="13.7109375" style="1354" customWidth="1"/>
    <col min="12773" max="12773" width="13" style="1354" customWidth="1"/>
    <col min="12774" max="12774" width="16" style="1354" customWidth="1"/>
    <col min="12775" max="12775" width="14.140625" style="1354" customWidth="1"/>
    <col min="12776" max="12776" width="13.42578125" style="1354" customWidth="1"/>
    <col min="12777" max="12778" width="13.7109375" style="1354" customWidth="1"/>
    <col min="12779" max="12779" width="13" style="1354" customWidth="1"/>
    <col min="12780" max="12780" width="13.85546875" style="1354" customWidth="1"/>
    <col min="12781" max="12781" width="14.5703125" style="1354" customWidth="1"/>
    <col min="12782" max="12782" width="11.5703125" style="1354" customWidth="1"/>
    <col min="12783" max="12784" width="13.7109375" style="1354" customWidth="1"/>
    <col min="12785" max="12785" width="13" style="1354" customWidth="1"/>
    <col min="12786" max="12786" width="14.140625" style="1354" customWidth="1"/>
    <col min="12787" max="12787" width="13.42578125" style="1354" customWidth="1"/>
    <col min="12788" max="12788" width="11.85546875" style="1354" customWidth="1"/>
    <col min="12789" max="12790" width="13.7109375" style="1354" customWidth="1"/>
    <col min="12791" max="12791" width="13" style="1354" customWidth="1"/>
    <col min="12792" max="12793" width="14.140625" style="1354" customWidth="1"/>
    <col min="12794" max="12794" width="17.28515625" style="1354" customWidth="1"/>
    <col min="12795" max="12796" width="14.140625" style="1354" customWidth="1"/>
    <col min="12797" max="12797" width="15.5703125" style="1354" customWidth="1"/>
    <col min="12798" max="12803" width="14.140625" style="1354" customWidth="1"/>
    <col min="12804" max="12804" width="11.42578125" style="1354" bestFit="1" customWidth="1"/>
    <col min="12805" max="12805" width="11.42578125" style="1354" customWidth="1"/>
    <col min="12806" max="12806" width="9.28515625" style="1354" bestFit="1" customWidth="1"/>
    <col min="12807" max="12807" width="10.28515625" style="1354" customWidth="1"/>
    <col min="12808" max="13007" width="8.28515625" style="1354"/>
    <col min="13008" max="13008" width="0.7109375" style="1354" customWidth="1"/>
    <col min="13009" max="13009" width="10.5703125" style="1354" customWidth="1"/>
    <col min="13010" max="13010" width="46.42578125" style="1354" customWidth="1"/>
    <col min="13011" max="13011" width="12.7109375" style="1354" customWidth="1"/>
    <col min="13012" max="13012" width="14.5703125" style="1354" customWidth="1"/>
    <col min="13013" max="13013" width="14.140625" style="1354" customWidth="1"/>
    <col min="13014" max="13014" width="17.140625" style="1354" customWidth="1"/>
    <col min="13015" max="13015" width="16.5703125" style="1354" customWidth="1"/>
    <col min="13016" max="13016" width="17" style="1354" customWidth="1"/>
    <col min="13017" max="13017" width="17.28515625" style="1354" customWidth="1"/>
    <col min="13018" max="13018" width="14.5703125" style="1354" customWidth="1"/>
    <col min="13019" max="13019" width="14.140625" style="1354" customWidth="1"/>
    <col min="13020" max="13020" width="13.42578125" style="1354" customWidth="1"/>
    <col min="13021" max="13022" width="13.7109375" style="1354" customWidth="1"/>
    <col min="13023" max="13023" width="13" style="1354" customWidth="1"/>
    <col min="13024" max="13024" width="14.5703125" style="1354" customWidth="1"/>
    <col min="13025" max="13025" width="14.140625" style="1354" customWidth="1"/>
    <col min="13026" max="13026" width="13" style="1354" customWidth="1"/>
    <col min="13027" max="13028" width="13.7109375" style="1354" customWidth="1"/>
    <col min="13029" max="13029" width="13" style="1354" customWidth="1"/>
    <col min="13030" max="13030" width="16" style="1354" customWidth="1"/>
    <col min="13031" max="13031" width="14.140625" style="1354" customWidth="1"/>
    <col min="13032" max="13032" width="13.42578125" style="1354" customWidth="1"/>
    <col min="13033" max="13034" width="13.7109375" style="1354" customWidth="1"/>
    <col min="13035" max="13035" width="13" style="1354" customWidth="1"/>
    <col min="13036" max="13036" width="13.85546875" style="1354" customWidth="1"/>
    <col min="13037" max="13037" width="14.5703125" style="1354" customWidth="1"/>
    <col min="13038" max="13038" width="11.5703125" style="1354" customWidth="1"/>
    <col min="13039" max="13040" width="13.7109375" style="1354" customWidth="1"/>
    <col min="13041" max="13041" width="13" style="1354" customWidth="1"/>
    <col min="13042" max="13042" width="14.140625" style="1354" customWidth="1"/>
    <col min="13043" max="13043" width="13.42578125" style="1354" customWidth="1"/>
    <col min="13044" max="13044" width="11.85546875" style="1354" customWidth="1"/>
    <col min="13045" max="13046" width="13.7109375" style="1354" customWidth="1"/>
    <col min="13047" max="13047" width="13" style="1354" customWidth="1"/>
    <col min="13048" max="13049" width="14.140625" style="1354" customWidth="1"/>
    <col min="13050" max="13050" width="17.28515625" style="1354" customWidth="1"/>
    <col min="13051" max="13052" width="14.140625" style="1354" customWidth="1"/>
    <col min="13053" max="13053" width="15.5703125" style="1354" customWidth="1"/>
    <col min="13054" max="13059" width="14.140625" style="1354" customWidth="1"/>
    <col min="13060" max="13060" width="11.42578125" style="1354" bestFit="1" customWidth="1"/>
    <col min="13061" max="13061" width="11.42578125" style="1354" customWidth="1"/>
    <col min="13062" max="13062" width="9.28515625" style="1354" bestFit="1" customWidth="1"/>
    <col min="13063" max="13063" width="10.28515625" style="1354" customWidth="1"/>
    <col min="13064" max="13263" width="8.28515625" style="1354"/>
    <col min="13264" max="13264" width="0.7109375" style="1354" customWidth="1"/>
    <col min="13265" max="13265" width="10.5703125" style="1354" customWidth="1"/>
    <col min="13266" max="13266" width="46.42578125" style="1354" customWidth="1"/>
    <col min="13267" max="13267" width="12.7109375" style="1354" customWidth="1"/>
    <col min="13268" max="13268" width="14.5703125" style="1354" customWidth="1"/>
    <col min="13269" max="13269" width="14.140625" style="1354" customWidth="1"/>
    <col min="13270" max="13270" width="17.140625" style="1354" customWidth="1"/>
    <col min="13271" max="13271" width="16.5703125" style="1354" customWidth="1"/>
    <col min="13272" max="13272" width="17" style="1354" customWidth="1"/>
    <col min="13273" max="13273" width="17.28515625" style="1354" customWidth="1"/>
    <col min="13274" max="13274" width="14.5703125" style="1354" customWidth="1"/>
    <col min="13275" max="13275" width="14.140625" style="1354" customWidth="1"/>
    <col min="13276" max="13276" width="13.42578125" style="1354" customWidth="1"/>
    <col min="13277" max="13278" width="13.7109375" style="1354" customWidth="1"/>
    <col min="13279" max="13279" width="13" style="1354" customWidth="1"/>
    <col min="13280" max="13280" width="14.5703125" style="1354" customWidth="1"/>
    <col min="13281" max="13281" width="14.140625" style="1354" customWidth="1"/>
    <col min="13282" max="13282" width="13" style="1354" customWidth="1"/>
    <col min="13283" max="13284" width="13.7109375" style="1354" customWidth="1"/>
    <col min="13285" max="13285" width="13" style="1354" customWidth="1"/>
    <col min="13286" max="13286" width="16" style="1354" customWidth="1"/>
    <col min="13287" max="13287" width="14.140625" style="1354" customWidth="1"/>
    <col min="13288" max="13288" width="13.42578125" style="1354" customWidth="1"/>
    <col min="13289" max="13290" width="13.7109375" style="1354" customWidth="1"/>
    <col min="13291" max="13291" width="13" style="1354" customWidth="1"/>
    <col min="13292" max="13292" width="13.85546875" style="1354" customWidth="1"/>
    <col min="13293" max="13293" width="14.5703125" style="1354" customWidth="1"/>
    <col min="13294" max="13294" width="11.5703125" style="1354" customWidth="1"/>
    <col min="13295" max="13296" width="13.7109375" style="1354" customWidth="1"/>
    <col min="13297" max="13297" width="13" style="1354" customWidth="1"/>
    <col min="13298" max="13298" width="14.140625" style="1354" customWidth="1"/>
    <col min="13299" max="13299" width="13.42578125" style="1354" customWidth="1"/>
    <col min="13300" max="13300" width="11.85546875" style="1354" customWidth="1"/>
    <col min="13301" max="13302" width="13.7109375" style="1354" customWidth="1"/>
    <col min="13303" max="13303" width="13" style="1354" customWidth="1"/>
    <col min="13304" max="13305" width="14.140625" style="1354" customWidth="1"/>
    <col min="13306" max="13306" width="17.28515625" style="1354" customWidth="1"/>
    <col min="13307" max="13308" width="14.140625" style="1354" customWidth="1"/>
    <col min="13309" max="13309" width="15.5703125" style="1354" customWidth="1"/>
    <col min="13310" max="13315" width="14.140625" style="1354" customWidth="1"/>
    <col min="13316" max="13316" width="11.42578125" style="1354" bestFit="1" customWidth="1"/>
    <col min="13317" max="13317" width="11.42578125" style="1354" customWidth="1"/>
    <col min="13318" max="13318" width="9.28515625" style="1354" bestFit="1" customWidth="1"/>
    <col min="13319" max="13319" width="10.28515625" style="1354" customWidth="1"/>
    <col min="13320" max="13519" width="8.28515625" style="1354"/>
    <col min="13520" max="13520" width="0.7109375" style="1354" customWidth="1"/>
    <col min="13521" max="13521" width="10.5703125" style="1354" customWidth="1"/>
    <col min="13522" max="13522" width="46.42578125" style="1354" customWidth="1"/>
    <col min="13523" max="13523" width="12.7109375" style="1354" customWidth="1"/>
    <col min="13524" max="13524" width="14.5703125" style="1354" customWidth="1"/>
    <col min="13525" max="13525" width="14.140625" style="1354" customWidth="1"/>
    <col min="13526" max="13526" width="17.140625" style="1354" customWidth="1"/>
    <col min="13527" max="13527" width="16.5703125" style="1354" customWidth="1"/>
    <col min="13528" max="13528" width="17" style="1354" customWidth="1"/>
    <col min="13529" max="13529" width="17.28515625" style="1354" customWidth="1"/>
    <col min="13530" max="13530" width="14.5703125" style="1354" customWidth="1"/>
    <col min="13531" max="13531" width="14.140625" style="1354" customWidth="1"/>
    <col min="13532" max="13532" width="13.42578125" style="1354" customWidth="1"/>
    <col min="13533" max="13534" width="13.7109375" style="1354" customWidth="1"/>
    <col min="13535" max="13535" width="13" style="1354" customWidth="1"/>
    <col min="13536" max="13536" width="14.5703125" style="1354" customWidth="1"/>
    <col min="13537" max="13537" width="14.140625" style="1354" customWidth="1"/>
    <col min="13538" max="13538" width="13" style="1354" customWidth="1"/>
    <col min="13539" max="13540" width="13.7109375" style="1354" customWidth="1"/>
    <col min="13541" max="13541" width="13" style="1354" customWidth="1"/>
    <col min="13542" max="13542" width="16" style="1354" customWidth="1"/>
    <col min="13543" max="13543" width="14.140625" style="1354" customWidth="1"/>
    <col min="13544" max="13544" width="13.42578125" style="1354" customWidth="1"/>
    <col min="13545" max="13546" width="13.7109375" style="1354" customWidth="1"/>
    <col min="13547" max="13547" width="13" style="1354" customWidth="1"/>
    <col min="13548" max="13548" width="13.85546875" style="1354" customWidth="1"/>
    <col min="13549" max="13549" width="14.5703125" style="1354" customWidth="1"/>
    <col min="13550" max="13550" width="11.5703125" style="1354" customWidth="1"/>
    <col min="13551" max="13552" width="13.7109375" style="1354" customWidth="1"/>
    <col min="13553" max="13553" width="13" style="1354" customWidth="1"/>
    <col min="13554" max="13554" width="14.140625" style="1354" customWidth="1"/>
    <col min="13555" max="13555" width="13.42578125" style="1354" customWidth="1"/>
    <col min="13556" max="13556" width="11.85546875" style="1354" customWidth="1"/>
    <col min="13557" max="13558" width="13.7109375" style="1354" customWidth="1"/>
    <col min="13559" max="13559" width="13" style="1354" customWidth="1"/>
    <col min="13560" max="13561" width="14.140625" style="1354" customWidth="1"/>
    <col min="13562" max="13562" width="17.28515625" style="1354" customWidth="1"/>
    <col min="13563" max="13564" width="14.140625" style="1354" customWidth="1"/>
    <col min="13565" max="13565" width="15.5703125" style="1354" customWidth="1"/>
    <col min="13566" max="13571" width="14.140625" style="1354" customWidth="1"/>
    <col min="13572" max="13572" width="11.42578125" style="1354" bestFit="1" customWidth="1"/>
    <col min="13573" max="13573" width="11.42578125" style="1354" customWidth="1"/>
    <col min="13574" max="13574" width="9.28515625" style="1354" bestFit="1" customWidth="1"/>
    <col min="13575" max="13575" width="10.28515625" style="1354" customWidth="1"/>
    <col min="13576" max="13775" width="8.28515625" style="1354"/>
    <col min="13776" max="13776" width="0.7109375" style="1354" customWidth="1"/>
    <col min="13777" max="13777" width="10.5703125" style="1354" customWidth="1"/>
    <col min="13778" max="13778" width="46.42578125" style="1354" customWidth="1"/>
    <col min="13779" max="13779" width="12.7109375" style="1354" customWidth="1"/>
    <col min="13780" max="13780" width="14.5703125" style="1354" customWidth="1"/>
    <col min="13781" max="13781" width="14.140625" style="1354" customWidth="1"/>
    <col min="13782" max="13782" width="17.140625" style="1354" customWidth="1"/>
    <col min="13783" max="13783" width="16.5703125" style="1354" customWidth="1"/>
    <col min="13784" max="13784" width="17" style="1354" customWidth="1"/>
    <col min="13785" max="13785" width="17.28515625" style="1354" customWidth="1"/>
    <col min="13786" max="13786" width="14.5703125" style="1354" customWidth="1"/>
    <col min="13787" max="13787" width="14.140625" style="1354" customWidth="1"/>
    <col min="13788" max="13788" width="13.42578125" style="1354" customWidth="1"/>
    <col min="13789" max="13790" width="13.7109375" style="1354" customWidth="1"/>
    <col min="13791" max="13791" width="13" style="1354" customWidth="1"/>
    <col min="13792" max="13792" width="14.5703125" style="1354" customWidth="1"/>
    <col min="13793" max="13793" width="14.140625" style="1354" customWidth="1"/>
    <col min="13794" max="13794" width="13" style="1354" customWidth="1"/>
    <col min="13795" max="13796" width="13.7109375" style="1354" customWidth="1"/>
    <col min="13797" max="13797" width="13" style="1354" customWidth="1"/>
    <col min="13798" max="13798" width="16" style="1354" customWidth="1"/>
    <col min="13799" max="13799" width="14.140625" style="1354" customWidth="1"/>
    <col min="13800" max="13800" width="13.42578125" style="1354" customWidth="1"/>
    <col min="13801" max="13802" width="13.7109375" style="1354" customWidth="1"/>
    <col min="13803" max="13803" width="13" style="1354" customWidth="1"/>
    <col min="13804" max="13804" width="13.85546875" style="1354" customWidth="1"/>
    <col min="13805" max="13805" width="14.5703125" style="1354" customWidth="1"/>
    <col min="13806" max="13806" width="11.5703125" style="1354" customWidth="1"/>
    <col min="13807" max="13808" width="13.7109375" style="1354" customWidth="1"/>
    <col min="13809" max="13809" width="13" style="1354" customWidth="1"/>
    <col min="13810" max="13810" width="14.140625" style="1354" customWidth="1"/>
    <col min="13811" max="13811" width="13.42578125" style="1354" customWidth="1"/>
    <col min="13812" max="13812" width="11.85546875" style="1354" customWidth="1"/>
    <col min="13813" max="13814" width="13.7109375" style="1354" customWidth="1"/>
    <col min="13815" max="13815" width="13" style="1354" customWidth="1"/>
    <col min="13816" max="13817" width="14.140625" style="1354" customWidth="1"/>
    <col min="13818" max="13818" width="17.28515625" style="1354" customWidth="1"/>
    <col min="13819" max="13820" width="14.140625" style="1354" customWidth="1"/>
    <col min="13821" max="13821" width="15.5703125" style="1354" customWidth="1"/>
    <col min="13822" max="13827" width="14.140625" style="1354" customWidth="1"/>
    <col min="13828" max="13828" width="11.42578125" style="1354" bestFit="1" customWidth="1"/>
    <col min="13829" max="13829" width="11.42578125" style="1354" customWidth="1"/>
    <col min="13830" max="13830" width="9.28515625" style="1354" bestFit="1" customWidth="1"/>
    <col min="13831" max="13831" width="10.28515625" style="1354" customWidth="1"/>
    <col min="13832" max="14031" width="8.28515625" style="1354"/>
    <col min="14032" max="14032" width="0.7109375" style="1354" customWidth="1"/>
    <col min="14033" max="14033" width="10.5703125" style="1354" customWidth="1"/>
    <col min="14034" max="14034" width="46.42578125" style="1354" customWidth="1"/>
    <col min="14035" max="14035" width="12.7109375" style="1354" customWidth="1"/>
    <col min="14036" max="14036" width="14.5703125" style="1354" customWidth="1"/>
    <col min="14037" max="14037" width="14.140625" style="1354" customWidth="1"/>
    <col min="14038" max="14038" width="17.140625" style="1354" customWidth="1"/>
    <col min="14039" max="14039" width="16.5703125" style="1354" customWidth="1"/>
    <col min="14040" max="14040" width="17" style="1354" customWidth="1"/>
    <col min="14041" max="14041" width="17.28515625" style="1354" customWidth="1"/>
    <col min="14042" max="14042" width="14.5703125" style="1354" customWidth="1"/>
    <col min="14043" max="14043" width="14.140625" style="1354" customWidth="1"/>
    <col min="14044" max="14044" width="13.42578125" style="1354" customWidth="1"/>
    <col min="14045" max="14046" width="13.7109375" style="1354" customWidth="1"/>
    <col min="14047" max="14047" width="13" style="1354" customWidth="1"/>
    <col min="14048" max="14048" width="14.5703125" style="1354" customWidth="1"/>
    <col min="14049" max="14049" width="14.140625" style="1354" customWidth="1"/>
    <col min="14050" max="14050" width="13" style="1354" customWidth="1"/>
    <col min="14051" max="14052" width="13.7109375" style="1354" customWidth="1"/>
    <col min="14053" max="14053" width="13" style="1354" customWidth="1"/>
    <col min="14054" max="14054" width="16" style="1354" customWidth="1"/>
    <col min="14055" max="14055" width="14.140625" style="1354" customWidth="1"/>
    <col min="14056" max="14056" width="13.42578125" style="1354" customWidth="1"/>
    <col min="14057" max="14058" width="13.7109375" style="1354" customWidth="1"/>
    <col min="14059" max="14059" width="13" style="1354" customWidth="1"/>
    <col min="14060" max="14060" width="13.85546875" style="1354" customWidth="1"/>
    <col min="14061" max="14061" width="14.5703125" style="1354" customWidth="1"/>
    <col min="14062" max="14062" width="11.5703125" style="1354" customWidth="1"/>
    <col min="14063" max="14064" width="13.7109375" style="1354" customWidth="1"/>
    <col min="14065" max="14065" width="13" style="1354" customWidth="1"/>
    <col min="14066" max="14066" width="14.140625" style="1354" customWidth="1"/>
    <col min="14067" max="14067" width="13.42578125" style="1354" customWidth="1"/>
    <col min="14068" max="14068" width="11.85546875" style="1354" customWidth="1"/>
    <col min="14069" max="14070" width="13.7109375" style="1354" customWidth="1"/>
    <col min="14071" max="14071" width="13" style="1354" customWidth="1"/>
    <col min="14072" max="14073" width="14.140625" style="1354" customWidth="1"/>
    <col min="14074" max="14074" width="17.28515625" style="1354" customWidth="1"/>
    <col min="14075" max="14076" width="14.140625" style="1354" customWidth="1"/>
    <col min="14077" max="14077" width="15.5703125" style="1354" customWidth="1"/>
    <col min="14078" max="14083" width="14.140625" style="1354" customWidth="1"/>
    <col min="14084" max="14084" width="11.42578125" style="1354" bestFit="1" customWidth="1"/>
    <col min="14085" max="14085" width="11.42578125" style="1354" customWidth="1"/>
    <col min="14086" max="14086" width="9.28515625" style="1354" bestFit="1" customWidth="1"/>
    <col min="14087" max="14087" width="10.28515625" style="1354" customWidth="1"/>
    <col min="14088" max="14287" width="8.28515625" style="1354"/>
    <col min="14288" max="14288" width="0.7109375" style="1354" customWidth="1"/>
    <col min="14289" max="14289" width="10.5703125" style="1354" customWidth="1"/>
    <col min="14290" max="14290" width="46.42578125" style="1354" customWidth="1"/>
    <col min="14291" max="14291" width="12.7109375" style="1354" customWidth="1"/>
    <col min="14292" max="14292" width="14.5703125" style="1354" customWidth="1"/>
    <col min="14293" max="14293" width="14.140625" style="1354" customWidth="1"/>
    <col min="14294" max="14294" width="17.140625" style="1354" customWidth="1"/>
    <col min="14295" max="14295" width="16.5703125" style="1354" customWidth="1"/>
    <col min="14296" max="14296" width="17" style="1354" customWidth="1"/>
    <col min="14297" max="14297" width="17.28515625" style="1354" customWidth="1"/>
    <col min="14298" max="14298" width="14.5703125" style="1354" customWidth="1"/>
    <col min="14299" max="14299" width="14.140625" style="1354" customWidth="1"/>
    <col min="14300" max="14300" width="13.42578125" style="1354" customWidth="1"/>
    <col min="14301" max="14302" width="13.7109375" style="1354" customWidth="1"/>
    <col min="14303" max="14303" width="13" style="1354" customWidth="1"/>
    <col min="14304" max="14304" width="14.5703125" style="1354" customWidth="1"/>
    <col min="14305" max="14305" width="14.140625" style="1354" customWidth="1"/>
    <col min="14306" max="14306" width="13" style="1354" customWidth="1"/>
    <col min="14307" max="14308" width="13.7109375" style="1354" customWidth="1"/>
    <col min="14309" max="14309" width="13" style="1354" customWidth="1"/>
    <col min="14310" max="14310" width="16" style="1354" customWidth="1"/>
    <col min="14311" max="14311" width="14.140625" style="1354" customWidth="1"/>
    <col min="14312" max="14312" width="13.42578125" style="1354" customWidth="1"/>
    <col min="14313" max="14314" width="13.7109375" style="1354" customWidth="1"/>
    <col min="14315" max="14315" width="13" style="1354" customWidth="1"/>
    <col min="14316" max="14316" width="13.85546875" style="1354" customWidth="1"/>
    <col min="14317" max="14317" width="14.5703125" style="1354" customWidth="1"/>
    <col min="14318" max="14318" width="11.5703125" style="1354" customWidth="1"/>
    <col min="14319" max="14320" width="13.7109375" style="1354" customWidth="1"/>
    <col min="14321" max="14321" width="13" style="1354" customWidth="1"/>
    <col min="14322" max="14322" width="14.140625" style="1354" customWidth="1"/>
    <col min="14323" max="14323" width="13.42578125" style="1354" customWidth="1"/>
    <col min="14324" max="14324" width="11.85546875" style="1354" customWidth="1"/>
    <col min="14325" max="14326" width="13.7109375" style="1354" customWidth="1"/>
    <col min="14327" max="14327" width="13" style="1354" customWidth="1"/>
    <col min="14328" max="14329" width="14.140625" style="1354" customWidth="1"/>
    <col min="14330" max="14330" width="17.28515625" style="1354" customWidth="1"/>
    <col min="14331" max="14332" width="14.140625" style="1354" customWidth="1"/>
    <col min="14333" max="14333" width="15.5703125" style="1354" customWidth="1"/>
    <col min="14334" max="14339" width="14.140625" style="1354" customWidth="1"/>
    <col min="14340" max="14340" width="11.42578125" style="1354" bestFit="1" customWidth="1"/>
    <col min="14341" max="14341" width="11.42578125" style="1354" customWidth="1"/>
    <col min="14342" max="14342" width="9.28515625" style="1354" bestFit="1" customWidth="1"/>
    <col min="14343" max="14343" width="10.28515625" style="1354" customWidth="1"/>
    <col min="14344" max="14543" width="8.28515625" style="1354"/>
    <col min="14544" max="14544" width="0.7109375" style="1354" customWidth="1"/>
    <col min="14545" max="14545" width="10.5703125" style="1354" customWidth="1"/>
    <col min="14546" max="14546" width="46.42578125" style="1354" customWidth="1"/>
    <col min="14547" max="14547" width="12.7109375" style="1354" customWidth="1"/>
    <col min="14548" max="14548" width="14.5703125" style="1354" customWidth="1"/>
    <col min="14549" max="14549" width="14.140625" style="1354" customWidth="1"/>
    <col min="14550" max="14550" width="17.140625" style="1354" customWidth="1"/>
    <col min="14551" max="14551" width="16.5703125" style="1354" customWidth="1"/>
    <col min="14552" max="14552" width="17" style="1354" customWidth="1"/>
    <col min="14553" max="14553" width="17.28515625" style="1354" customWidth="1"/>
    <col min="14554" max="14554" width="14.5703125" style="1354" customWidth="1"/>
    <col min="14555" max="14555" width="14.140625" style="1354" customWidth="1"/>
    <col min="14556" max="14556" width="13.42578125" style="1354" customWidth="1"/>
    <col min="14557" max="14558" width="13.7109375" style="1354" customWidth="1"/>
    <col min="14559" max="14559" width="13" style="1354" customWidth="1"/>
    <col min="14560" max="14560" width="14.5703125" style="1354" customWidth="1"/>
    <col min="14561" max="14561" width="14.140625" style="1354" customWidth="1"/>
    <col min="14562" max="14562" width="13" style="1354" customWidth="1"/>
    <col min="14563" max="14564" width="13.7109375" style="1354" customWidth="1"/>
    <col min="14565" max="14565" width="13" style="1354" customWidth="1"/>
    <col min="14566" max="14566" width="16" style="1354" customWidth="1"/>
    <col min="14567" max="14567" width="14.140625" style="1354" customWidth="1"/>
    <col min="14568" max="14568" width="13.42578125" style="1354" customWidth="1"/>
    <col min="14569" max="14570" width="13.7109375" style="1354" customWidth="1"/>
    <col min="14571" max="14571" width="13" style="1354" customWidth="1"/>
    <col min="14572" max="14572" width="13.85546875" style="1354" customWidth="1"/>
    <col min="14573" max="14573" width="14.5703125" style="1354" customWidth="1"/>
    <col min="14574" max="14574" width="11.5703125" style="1354" customWidth="1"/>
    <col min="14575" max="14576" width="13.7109375" style="1354" customWidth="1"/>
    <col min="14577" max="14577" width="13" style="1354" customWidth="1"/>
    <col min="14578" max="14578" width="14.140625" style="1354" customWidth="1"/>
    <col min="14579" max="14579" width="13.42578125" style="1354" customWidth="1"/>
    <col min="14580" max="14580" width="11.85546875" style="1354" customWidth="1"/>
    <col min="14581" max="14582" width="13.7109375" style="1354" customWidth="1"/>
    <col min="14583" max="14583" width="13" style="1354" customWidth="1"/>
    <col min="14584" max="14585" width="14.140625" style="1354" customWidth="1"/>
    <col min="14586" max="14586" width="17.28515625" style="1354" customWidth="1"/>
    <col min="14587" max="14588" width="14.140625" style="1354" customWidth="1"/>
    <col min="14589" max="14589" width="15.5703125" style="1354" customWidth="1"/>
    <col min="14590" max="14595" width="14.140625" style="1354" customWidth="1"/>
    <col min="14596" max="14596" width="11.42578125" style="1354" bestFit="1" customWidth="1"/>
    <col min="14597" max="14597" width="11.42578125" style="1354" customWidth="1"/>
    <col min="14598" max="14598" width="9.28515625" style="1354" bestFit="1" customWidth="1"/>
    <col min="14599" max="14599" width="10.28515625" style="1354" customWidth="1"/>
    <col min="14600" max="14799" width="8.28515625" style="1354"/>
    <col min="14800" max="14800" width="0.7109375" style="1354" customWidth="1"/>
    <col min="14801" max="14801" width="10.5703125" style="1354" customWidth="1"/>
    <col min="14802" max="14802" width="46.42578125" style="1354" customWidth="1"/>
    <col min="14803" max="14803" width="12.7109375" style="1354" customWidth="1"/>
    <col min="14804" max="14804" width="14.5703125" style="1354" customWidth="1"/>
    <col min="14805" max="14805" width="14.140625" style="1354" customWidth="1"/>
    <col min="14806" max="14806" width="17.140625" style="1354" customWidth="1"/>
    <col min="14807" max="14807" width="16.5703125" style="1354" customWidth="1"/>
    <col min="14808" max="14808" width="17" style="1354" customWidth="1"/>
    <col min="14809" max="14809" width="17.28515625" style="1354" customWidth="1"/>
    <col min="14810" max="14810" width="14.5703125" style="1354" customWidth="1"/>
    <col min="14811" max="14811" width="14.140625" style="1354" customWidth="1"/>
    <col min="14812" max="14812" width="13.42578125" style="1354" customWidth="1"/>
    <col min="14813" max="14814" width="13.7109375" style="1354" customWidth="1"/>
    <col min="14815" max="14815" width="13" style="1354" customWidth="1"/>
    <col min="14816" max="14816" width="14.5703125" style="1354" customWidth="1"/>
    <col min="14817" max="14817" width="14.140625" style="1354" customWidth="1"/>
    <col min="14818" max="14818" width="13" style="1354" customWidth="1"/>
    <col min="14819" max="14820" width="13.7109375" style="1354" customWidth="1"/>
    <col min="14821" max="14821" width="13" style="1354" customWidth="1"/>
    <col min="14822" max="14822" width="16" style="1354" customWidth="1"/>
    <col min="14823" max="14823" width="14.140625" style="1354" customWidth="1"/>
    <col min="14824" max="14824" width="13.42578125" style="1354" customWidth="1"/>
    <col min="14825" max="14826" width="13.7109375" style="1354" customWidth="1"/>
    <col min="14827" max="14827" width="13" style="1354" customWidth="1"/>
    <col min="14828" max="14828" width="13.85546875" style="1354" customWidth="1"/>
    <col min="14829" max="14829" width="14.5703125" style="1354" customWidth="1"/>
    <col min="14830" max="14830" width="11.5703125" style="1354" customWidth="1"/>
    <col min="14831" max="14832" width="13.7109375" style="1354" customWidth="1"/>
    <col min="14833" max="14833" width="13" style="1354" customWidth="1"/>
    <col min="14834" max="14834" width="14.140625" style="1354" customWidth="1"/>
    <col min="14835" max="14835" width="13.42578125" style="1354" customWidth="1"/>
    <col min="14836" max="14836" width="11.85546875" style="1354" customWidth="1"/>
    <col min="14837" max="14838" width="13.7109375" style="1354" customWidth="1"/>
    <col min="14839" max="14839" width="13" style="1354" customWidth="1"/>
    <col min="14840" max="14841" width="14.140625" style="1354" customWidth="1"/>
    <col min="14842" max="14842" width="17.28515625" style="1354" customWidth="1"/>
    <col min="14843" max="14844" width="14.140625" style="1354" customWidth="1"/>
    <col min="14845" max="14845" width="15.5703125" style="1354" customWidth="1"/>
    <col min="14846" max="14851" width="14.140625" style="1354" customWidth="1"/>
    <col min="14852" max="14852" width="11.42578125" style="1354" bestFit="1" customWidth="1"/>
    <col min="14853" max="14853" width="11.42578125" style="1354" customWidth="1"/>
    <col min="14854" max="14854" width="9.28515625" style="1354" bestFit="1" customWidth="1"/>
    <col min="14855" max="14855" width="10.28515625" style="1354" customWidth="1"/>
    <col min="14856" max="15055" width="8.28515625" style="1354"/>
    <col min="15056" max="15056" width="0.7109375" style="1354" customWidth="1"/>
    <col min="15057" max="15057" width="10.5703125" style="1354" customWidth="1"/>
    <col min="15058" max="15058" width="46.42578125" style="1354" customWidth="1"/>
    <col min="15059" max="15059" width="12.7109375" style="1354" customWidth="1"/>
    <col min="15060" max="15060" width="14.5703125" style="1354" customWidth="1"/>
    <col min="15061" max="15061" width="14.140625" style="1354" customWidth="1"/>
    <col min="15062" max="15062" width="17.140625" style="1354" customWidth="1"/>
    <col min="15063" max="15063" width="16.5703125" style="1354" customWidth="1"/>
    <col min="15064" max="15064" width="17" style="1354" customWidth="1"/>
    <col min="15065" max="15065" width="17.28515625" style="1354" customWidth="1"/>
    <col min="15066" max="15066" width="14.5703125" style="1354" customWidth="1"/>
    <col min="15067" max="15067" width="14.140625" style="1354" customWidth="1"/>
    <col min="15068" max="15068" width="13.42578125" style="1354" customWidth="1"/>
    <col min="15069" max="15070" width="13.7109375" style="1354" customWidth="1"/>
    <col min="15071" max="15071" width="13" style="1354" customWidth="1"/>
    <col min="15072" max="15072" width="14.5703125" style="1354" customWidth="1"/>
    <col min="15073" max="15073" width="14.140625" style="1354" customWidth="1"/>
    <col min="15074" max="15074" width="13" style="1354" customWidth="1"/>
    <col min="15075" max="15076" width="13.7109375" style="1354" customWidth="1"/>
    <col min="15077" max="15077" width="13" style="1354" customWidth="1"/>
    <col min="15078" max="15078" width="16" style="1354" customWidth="1"/>
    <col min="15079" max="15079" width="14.140625" style="1354" customWidth="1"/>
    <col min="15080" max="15080" width="13.42578125" style="1354" customWidth="1"/>
    <col min="15081" max="15082" width="13.7109375" style="1354" customWidth="1"/>
    <col min="15083" max="15083" width="13" style="1354" customWidth="1"/>
    <col min="15084" max="15084" width="13.85546875" style="1354" customWidth="1"/>
    <col min="15085" max="15085" width="14.5703125" style="1354" customWidth="1"/>
    <col min="15086" max="15086" width="11.5703125" style="1354" customWidth="1"/>
    <col min="15087" max="15088" width="13.7109375" style="1354" customWidth="1"/>
    <col min="15089" max="15089" width="13" style="1354" customWidth="1"/>
    <col min="15090" max="15090" width="14.140625" style="1354" customWidth="1"/>
    <col min="15091" max="15091" width="13.42578125" style="1354" customWidth="1"/>
    <col min="15092" max="15092" width="11.85546875" style="1354" customWidth="1"/>
    <col min="15093" max="15094" width="13.7109375" style="1354" customWidth="1"/>
    <col min="15095" max="15095" width="13" style="1354" customWidth="1"/>
    <col min="15096" max="15097" width="14.140625" style="1354" customWidth="1"/>
    <col min="15098" max="15098" width="17.28515625" style="1354" customWidth="1"/>
    <col min="15099" max="15100" width="14.140625" style="1354" customWidth="1"/>
    <col min="15101" max="15101" width="15.5703125" style="1354" customWidth="1"/>
    <col min="15102" max="15107" width="14.140625" style="1354" customWidth="1"/>
    <col min="15108" max="15108" width="11.42578125" style="1354" bestFit="1" customWidth="1"/>
    <col min="15109" max="15109" width="11.42578125" style="1354" customWidth="1"/>
    <col min="15110" max="15110" width="9.28515625" style="1354" bestFit="1" customWidth="1"/>
    <col min="15111" max="15111" width="10.28515625" style="1354" customWidth="1"/>
    <col min="15112" max="15311" width="8.28515625" style="1354"/>
    <col min="15312" max="15312" width="0.7109375" style="1354" customWidth="1"/>
    <col min="15313" max="15313" width="10.5703125" style="1354" customWidth="1"/>
    <col min="15314" max="15314" width="46.42578125" style="1354" customWidth="1"/>
    <col min="15315" max="15315" width="12.7109375" style="1354" customWidth="1"/>
    <col min="15316" max="15316" width="14.5703125" style="1354" customWidth="1"/>
    <col min="15317" max="15317" width="14.140625" style="1354" customWidth="1"/>
    <col min="15318" max="15318" width="17.140625" style="1354" customWidth="1"/>
    <col min="15319" max="15319" width="16.5703125" style="1354" customWidth="1"/>
    <col min="15320" max="15320" width="17" style="1354" customWidth="1"/>
    <col min="15321" max="15321" width="17.28515625" style="1354" customWidth="1"/>
    <col min="15322" max="15322" width="14.5703125" style="1354" customWidth="1"/>
    <col min="15323" max="15323" width="14.140625" style="1354" customWidth="1"/>
    <col min="15324" max="15324" width="13.42578125" style="1354" customWidth="1"/>
    <col min="15325" max="15326" width="13.7109375" style="1354" customWidth="1"/>
    <col min="15327" max="15327" width="13" style="1354" customWidth="1"/>
    <col min="15328" max="15328" width="14.5703125" style="1354" customWidth="1"/>
    <col min="15329" max="15329" width="14.140625" style="1354" customWidth="1"/>
    <col min="15330" max="15330" width="13" style="1354" customWidth="1"/>
    <col min="15331" max="15332" width="13.7109375" style="1354" customWidth="1"/>
    <col min="15333" max="15333" width="13" style="1354" customWidth="1"/>
    <col min="15334" max="15334" width="16" style="1354" customWidth="1"/>
    <col min="15335" max="15335" width="14.140625" style="1354" customWidth="1"/>
    <col min="15336" max="15336" width="13.42578125" style="1354" customWidth="1"/>
    <col min="15337" max="15338" width="13.7109375" style="1354" customWidth="1"/>
    <col min="15339" max="15339" width="13" style="1354" customWidth="1"/>
    <col min="15340" max="15340" width="13.85546875" style="1354" customWidth="1"/>
    <col min="15341" max="15341" width="14.5703125" style="1354" customWidth="1"/>
    <col min="15342" max="15342" width="11.5703125" style="1354" customWidth="1"/>
    <col min="15343" max="15344" width="13.7109375" style="1354" customWidth="1"/>
    <col min="15345" max="15345" width="13" style="1354" customWidth="1"/>
    <col min="15346" max="15346" width="14.140625" style="1354" customWidth="1"/>
    <col min="15347" max="15347" width="13.42578125" style="1354" customWidth="1"/>
    <col min="15348" max="15348" width="11.85546875" style="1354" customWidth="1"/>
    <col min="15349" max="15350" width="13.7109375" style="1354" customWidth="1"/>
    <col min="15351" max="15351" width="13" style="1354" customWidth="1"/>
    <col min="15352" max="15353" width="14.140625" style="1354" customWidth="1"/>
    <col min="15354" max="15354" width="17.28515625" style="1354" customWidth="1"/>
    <col min="15355" max="15356" width="14.140625" style="1354" customWidth="1"/>
    <col min="15357" max="15357" width="15.5703125" style="1354" customWidth="1"/>
    <col min="15358" max="15363" width="14.140625" style="1354" customWidth="1"/>
    <col min="15364" max="15364" width="11.42578125" style="1354" bestFit="1" customWidth="1"/>
    <col min="15365" max="15365" width="11.42578125" style="1354" customWidth="1"/>
    <col min="15366" max="15366" width="9.28515625" style="1354" bestFit="1" customWidth="1"/>
    <col min="15367" max="15367" width="10.28515625" style="1354" customWidth="1"/>
    <col min="15368" max="15567" width="8.28515625" style="1354"/>
    <col min="15568" max="15568" width="0.7109375" style="1354" customWidth="1"/>
    <col min="15569" max="15569" width="10.5703125" style="1354" customWidth="1"/>
    <col min="15570" max="15570" width="46.42578125" style="1354" customWidth="1"/>
    <col min="15571" max="15571" width="12.7109375" style="1354" customWidth="1"/>
    <col min="15572" max="15572" width="14.5703125" style="1354" customWidth="1"/>
    <col min="15573" max="15573" width="14.140625" style="1354" customWidth="1"/>
    <col min="15574" max="15574" width="17.140625" style="1354" customWidth="1"/>
    <col min="15575" max="15575" width="16.5703125" style="1354" customWidth="1"/>
    <col min="15576" max="15576" width="17" style="1354" customWidth="1"/>
    <col min="15577" max="15577" width="17.28515625" style="1354" customWidth="1"/>
    <col min="15578" max="15578" width="14.5703125" style="1354" customWidth="1"/>
    <col min="15579" max="15579" width="14.140625" style="1354" customWidth="1"/>
    <col min="15580" max="15580" width="13.42578125" style="1354" customWidth="1"/>
    <col min="15581" max="15582" width="13.7109375" style="1354" customWidth="1"/>
    <col min="15583" max="15583" width="13" style="1354" customWidth="1"/>
    <col min="15584" max="15584" width="14.5703125" style="1354" customWidth="1"/>
    <col min="15585" max="15585" width="14.140625" style="1354" customWidth="1"/>
    <col min="15586" max="15586" width="13" style="1354" customWidth="1"/>
    <col min="15587" max="15588" width="13.7109375" style="1354" customWidth="1"/>
    <col min="15589" max="15589" width="13" style="1354" customWidth="1"/>
    <col min="15590" max="15590" width="16" style="1354" customWidth="1"/>
    <col min="15591" max="15591" width="14.140625" style="1354" customWidth="1"/>
    <col min="15592" max="15592" width="13.42578125" style="1354" customWidth="1"/>
    <col min="15593" max="15594" width="13.7109375" style="1354" customWidth="1"/>
    <col min="15595" max="15595" width="13" style="1354" customWidth="1"/>
    <col min="15596" max="15596" width="13.85546875" style="1354" customWidth="1"/>
    <col min="15597" max="15597" width="14.5703125" style="1354" customWidth="1"/>
    <col min="15598" max="15598" width="11.5703125" style="1354" customWidth="1"/>
    <col min="15599" max="15600" width="13.7109375" style="1354" customWidth="1"/>
    <col min="15601" max="15601" width="13" style="1354" customWidth="1"/>
    <col min="15602" max="15602" width="14.140625" style="1354" customWidth="1"/>
    <col min="15603" max="15603" width="13.42578125" style="1354" customWidth="1"/>
    <col min="15604" max="15604" width="11.85546875" style="1354" customWidth="1"/>
    <col min="15605" max="15606" width="13.7109375" style="1354" customWidth="1"/>
    <col min="15607" max="15607" width="13" style="1354" customWidth="1"/>
    <col min="15608" max="15609" width="14.140625" style="1354" customWidth="1"/>
    <col min="15610" max="15610" width="17.28515625" style="1354" customWidth="1"/>
    <col min="15611" max="15612" width="14.140625" style="1354" customWidth="1"/>
    <col min="15613" max="15613" width="15.5703125" style="1354" customWidth="1"/>
    <col min="15614" max="15619" width="14.140625" style="1354" customWidth="1"/>
    <col min="15620" max="15620" width="11.42578125" style="1354" bestFit="1" customWidth="1"/>
    <col min="15621" max="15621" width="11.42578125" style="1354" customWidth="1"/>
    <col min="15622" max="15622" width="9.28515625" style="1354" bestFit="1" customWidth="1"/>
    <col min="15623" max="15623" width="10.28515625" style="1354" customWidth="1"/>
    <col min="15624" max="15823" width="8.28515625" style="1354"/>
    <col min="15824" max="15824" width="0.7109375" style="1354" customWidth="1"/>
    <col min="15825" max="15825" width="10.5703125" style="1354" customWidth="1"/>
    <col min="15826" max="15826" width="46.42578125" style="1354" customWidth="1"/>
    <col min="15827" max="15827" width="12.7109375" style="1354" customWidth="1"/>
    <col min="15828" max="15828" width="14.5703125" style="1354" customWidth="1"/>
    <col min="15829" max="15829" width="14.140625" style="1354" customWidth="1"/>
    <col min="15830" max="15830" width="17.140625" style="1354" customWidth="1"/>
    <col min="15831" max="15831" width="16.5703125" style="1354" customWidth="1"/>
    <col min="15832" max="15832" width="17" style="1354" customWidth="1"/>
    <col min="15833" max="15833" width="17.28515625" style="1354" customWidth="1"/>
    <col min="15834" max="15834" width="14.5703125" style="1354" customWidth="1"/>
    <col min="15835" max="15835" width="14.140625" style="1354" customWidth="1"/>
    <col min="15836" max="15836" width="13.42578125" style="1354" customWidth="1"/>
    <col min="15837" max="15838" width="13.7109375" style="1354" customWidth="1"/>
    <col min="15839" max="15839" width="13" style="1354" customWidth="1"/>
    <col min="15840" max="15840" width="14.5703125" style="1354" customWidth="1"/>
    <col min="15841" max="15841" width="14.140625" style="1354" customWidth="1"/>
    <col min="15842" max="15842" width="13" style="1354" customWidth="1"/>
    <col min="15843" max="15844" width="13.7109375" style="1354" customWidth="1"/>
    <col min="15845" max="15845" width="13" style="1354" customWidth="1"/>
    <col min="15846" max="15846" width="16" style="1354" customWidth="1"/>
    <col min="15847" max="15847" width="14.140625" style="1354" customWidth="1"/>
    <col min="15848" max="15848" width="13.42578125" style="1354" customWidth="1"/>
    <col min="15849" max="15850" width="13.7109375" style="1354" customWidth="1"/>
    <col min="15851" max="15851" width="13" style="1354" customWidth="1"/>
    <col min="15852" max="15852" width="13.85546875" style="1354" customWidth="1"/>
    <col min="15853" max="15853" width="14.5703125" style="1354" customWidth="1"/>
    <col min="15854" max="15854" width="11.5703125" style="1354" customWidth="1"/>
    <col min="15855" max="15856" width="13.7109375" style="1354" customWidth="1"/>
    <col min="15857" max="15857" width="13" style="1354" customWidth="1"/>
    <col min="15858" max="15858" width="14.140625" style="1354" customWidth="1"/>
    <col min="15859" max="15859" width="13.42578125" style="1354" customWidth="1"/>
    <col min="15860" max="15860" width="11.85546875" style="1354" customWidth="1"/>
    <col min="15861" max="15862" width="13.7109375" style="1354" customWidth="1"/>
    <col min="15863" max="15863" width="13" style="1354" customWidth="1"/>
    <col min="15864" max="15865" width="14.140625" style="1354" customWidth="1"/>
    <col min="15866" max="15866" width="17.28515625" style="1354" customWidth="1"/>
    <col min="15867" max="15868" width="14.140625" style="1354" customWidth="1"/>
    <col min="15869" max="15869" width="15.5703125" style="1354" customWidth="1"/>
    <col min="15870" max="15875" width="14.140625" style="1354" customWidth="1"/>
    <col min="15876" max="15876" width="11.42578125" style="1354" bestFit="1" customWidth="1"/>
    <col min="15877" max="15877" width="11.42578125" style="1354" customWidth="1"/>
    <col min="15878" max="15878" width="9.28515625" style="1354" bestFit="1" customWidth="1"/>
    <col min="15879" max="15879" width="10.28515625" style="1354" customWidth="1"/>
    <col min="15880" max="16079" width="8.28515625" style="1354"/>
    <col min="16080" max="16080" width="0.7109375" style="1354" customWidth="1"/>
    <col min="16081" max="16081" width="10.5703125" style="1354" customWidth="1"/>
    <col min="16082" max="16082" width="46.42578125" style="1354" customWidth="1"/>
    <col min="16083" max="16083" width="12.7109375" style="1354" customWidth="1"/>
    <col min="16084" max="16084" width="14.5703125" style="1354" customWidth="1"/>
    <col min="16085" max="16085" width="14.140625" style="1354" customWidth="1"/>
    <col min="16086" max="16086" width="17.140625" style="1354" customWidth="1"/>
    <col min="16087" max="16087" width="16.5703125" style="1354" customWidth="1"/>
    <col min="16088" max="16088" width="17" style="1354" customWidth="1"/>
    <col min="16089" max="16089" width="17.28515625" style="1354" customWidth="1"/>
    <col min="16090" max="16090" width="14.5703125" style="1354" customWidth="1"/>
    <col min="16091" max="16091" width="14.140625" style="1354" customWidth="1"/>
    <col min="16092" max="16092" width="13.42578125" style="1354" customWidth="1"/>
    <col min="16093" max="16094" width="13.7109375" style="1354" customWidth="1"/>
    <col min="16095" max="16095" width="13" style="1354" customWidth="1"/>
    <col min="16096" max="16096" width="14.5703125" style="1354" customWidth="1"/>
    <col min="16097" max="16097" width="14.140625" style="1354" customWidth="1"/>
    <col min="16098" max="16098" width="13" style="1354" customWidth="1"/>
    <col min="16099" max="16100" width="13.7109375" style="1354" customWidth="1"/>
    <col min="16101" max="16101" width="13" style="1354" customWidth="1"/>
    <col min="16102" max="16102" width="16" style="1354" customWidth="1"/>
    <col min="16103" max="16103" width="14.140625" style="1354" customWidth="1"/>
    <col min="16104" max="16104" width="13.42578125" style="1354" customWidth="1"/>
    <col min="16105" max="16106" width="13.7109375" style="1354" customWidth="1"/>
    <col min="16107" max="16107" width="13" style="1354" customWidth="1"/>
    <col min="16108" max="16108" width="13.85546875" style="1354" customWidth="1"/>
    <col min="16109" max="16109" width="14.5703125" style="1354" customWidth="1"/>
    <col min="16110" max="16110" width="11.5703125" style="1354" customWidth="1"/>
    <col min="16111" max="16112" width="13.7109375" style="1354" customWidth="1"/>
    <col min="16113" max="16113" width="13" style="1354" customWidth="1"/>
    <col min="16114" max="16114" width="14.140625" style="1354" customWidth="1"/>
    <col min="16115" max="16115" width="13.42578125" style="1354" customWidth="1"/>
    <col min="16116" max="16116" width="11.85546875" style="1354" customWidth="1"/>
    <col min="16117" max="16118" width="13.7109375" style="1354" customWidth="1"/>
    <col min="16119" max="16119" width="13" style="1354" customWidth="1"/>
    <col min="16120" max="16121" width="14.140625" style="1354" customWidth="1"/>
    <col min="16122" max="16122" width="17.28515625" style="1354" customWidth="1"/>
    <col min="16123" max="16124" width="14.140625" style="1354" customWidth="1"/>
    <col min="16125" max="16125" width="15.5703125" style="1354" customWidth="1"/>
    <col min="16126" max="16131" width="14.140625" style="1354" customWidth="1"/>
    <col min="16132" max="16132" width="11.42578125" style="1354" bestFit="1" customWidth="1"/>
    <col min="16133" max="16133" width="11.42578125" style="1354" customWidth="1"/>
    <col min="16134" max="16134" width="9.28515625" style="1354" bestFit="1" customWidth="1"/>
    <col min="16135" max="16135" width="10.28515625" style="1354" customWidth="1"/>
    <col min="16136" max="16384" width="8.28515625" style="1354"/>
  </cols>
  <sheetData>
    <row r="1" spans="1:26" s="1402" customFormat="1" ht="27.95" customHeight="1" thickBot="1">
      <c r="A1" s="1399"/>
      <c r="B1" s="1400"/>
      <c r="C1" s="1400"/>
      <c r="D1" s="2077"/>
      <c r="E1" s="3442"/>
      <c r="F1" s="3442"/>
      <c r="G1" s="3442"/>
      <c r="H1" s="2075"/>
      <c r="I1" s="2075"/>
      <c r="J1" s="2075"/>
      <c r="K1" s="2075"/>
      <c r="L1" s="2075"/>
      <c r="M1" s="2075"/>
      <c r="N1" s="2075"/>
      <c r="O1" s="2075"/>
      <c r="P1" s="2075"/>
      <c r="Q1" s="2075"/>
      <c r="R1" s="2075"/>
      <c r="S1" s="2075"/>
      <c r="T1" s="2075"/>
      <c r="U1" s="2075"/>
      <c r="V1" s="2075"/>
      <c r="W1" s="2075"/>
      <c r="X1" s="2075"/>
      <c r="Y1" s="2075"/>
      <c r="Z1" s="2121"/>
    </row>
    <row r="2" spans="1:26" s="1263" customFormat="1" ht="23.25" customHeight="1">
      <c r="B2" s="3450" t="s">
        <v>665</v>
      </c>
      <c r="C2" s="3452" t="s">
        <v>1306</v>
      </c>
      <c r="D2" s="3454" t="s">
        <v>1307</v>
      </c>
      <c r="E2" s="3444" t="s">
        <v>2157</v>
      </c>
      <c r="F2" s="3444"/>
      <c r="G2" s="3444"/>
      <c r="H2" s="3444" t="s">
        <v>2158</v>
      </c>
      <c r="I2" s="3444"/>
      <c r="J2" s="3447"/>
      <c r="K2" s="3446" t="s">
        <v>2159</v>
      </c>
      <c r="L2" s="3444"/>
      <c r="M2" s="3447"/>
      <c r="N2" s="3446" t="s">
        <v>2160</v>
      </c>
      <c r="O2" s="3444"/>
      <c r="P2" s="3445"/>
      <c r="Q2" s="3443" t="s">
        <v>2161</v>
      </c>
      <c r="R2" s="3444"/>
      <c r="S2" s="3447"/>
      <c r="T2" s="3446" t="s">
        <v>2162</v>
      </c>
      <c r="U2" s="3444"/>
      <c r="V2" s="3445"/>
      <c r="W2" s="3443" t="s">
        <v>16</v>
      </c>
      <c r="X2" s="3444"/>
      <c r="Y2" s="3445"/>
      <c r="Z2" s="1376"/>
    </row>
    <row r="3" spans="1:26" s="1263" customFormat="1" ht="39" customHeight="1" thickBot="1">
      <c r="B3" s="3451"/>
      <c r="C3" s="3453"/>
      <c r="D3" s="3455"/>
      <c r="E3" s="1406" t="s">
        <v>1308</v>
      </c>
      <c r="F3" s="1407" t="s">
        <v>1309</v>
      </c>
      <c r="G3" s="1408" t="s">
        <v>1310</v>
      </c>
      <c r="H3" s="1406" t="s">
        <v>2187</v>
      </c>
      <c r="I3" s="1407" t="s">
        <v>2188</v>
      </c>
      <c r="J3" s="1419" t="s">
        <v>1310</v>
      </c>
      <c r="K3" s="1406" t="s">
        <v>2189</v>
      </c>
      <c r="L3" s="1407" t="s">
        <v>2190</v>
      </c>
      <c r="M3" s="1419" t="s">
        <v>1310</v>
      </c>
      <c r="N3" s="1406" t="s">
        <v>2191</v>
      </c>
      <c r="O3" s="1407" t="s">
        <v>2192</v>
      </c>
      <c r="P3" s="2827" t="s">
        <v>1310</v>
      </c>
      <c r="Q3" s="1420" t="s">
        <v>2193</v>
      </c>
      <c r="R3" s="1407" t="s">
        <v>2194</v>
      </c>
      <c r="S3" s="1419" t="s">
        <v>1310</v>
      </c>
      <c r="T3" s="1406" t="s">
        <v>2195</v>
      </c>
      <c r="U3" s="1407" t="s">
        <v>2196</v>
      </c>
      <c r="V3" s="2827" t="s">
        <v>1310</v>
      </c>
      <c r="W3" s="1420"/>
      <c r="X3" s="1407"/>
      <c r="Y3" s="2088" t="s">
        <v>1310</v>
      </c>
      <c r="Z3" s="1376"/>
    </row>
    <row r="4" spans="1:26" s="1263" customFormat="1" ht="10.5" hidden="1" customHeight="1" outlineLevel="1" thickBot="1">
      <c r="B4" s="1403"/>
      <c r="C4" s="1404"/>
      <c r="D4" s="1405"/>
      <c r="E4" s="1264"/>
      <c r="F4" s="1265"/>
      <c r="G4" s="1266"/>
      <c r="H4" s="2078"/>
      <c r="I4" s="2078"/>
      <c r="J4" s="2078"/>
      <c r="K4" s="2078"/>
      <c r="L4" s="2078"/>
      <c r="M4" s="2078"/>
      <c r="N4" s="2078"/>
      <c r="O4" s="2078"/>
      <c r="P4" s="2096"/>
      <c r="Q4" s="2866"/>
      <c r="R4" s="2078"/>
      <c r="S4" s="2078"/>
      <c r="T4" s="2078"/>
      <c r="U4" s="2078"/>
      <c r="V4" s="2096"/>
      <c r="W4" s="2090"/>
      <c r="X4" s="2090"/>
      <c r="Y4" s="2090"/>
      <c r="Z4" s="1376"/>
    </row>
    <row r="5" spans="1:26" s="1263" customFormat="1" ht="18" collapsed="1" thickBot="1">
      <c r="A5" s="1267">
        <v>1</v>
      </c>
      <c r="B5" s="1268"/>
      <c r="C5" s="1269" t="s">
        <v>1311</v>
      </c>
      <c r="D5" s="1452"/>
      <c r="E5" s="1270">
        <f>E6+E509+E542+E508</f>
        <v>1164261.0811285377</v>
      </c>
      <c r="F5" s="1270">
        <f>F6+F509+F542+F508</f>
        <v>1164261.0811285377</v>
      </c>
      <c r="G5" s="1271">
        <f>E5/2+F5/2</f>
        <v>1164261.0811285377</v>
      </c>
      <c r="H5" s="1270">
        <f>H6+H509+H542+H508+H543</f>
        <v>830325.25666681689</v>
      </c>
      <c r="I5" s="1950">
        <f>I6+I509+I542+I508+I543</f>
        <v>1104065.2096253021</v>
      </c>
      <c r="J5" s="1271">
        <f t="shared" ref="J5:J68" si="0">H5/2+I5/2</f>
        <v>967195.23314605956</v>
      </c>
      <c r="K5" s="1270">
        <f>K6+K509+K542+K508+K543</f>
        <v>1104065.2096253021</v>
      </c>
      <c r="L5" s="1950">
        <f>L6+L509+L542+L508+L543</f>
        <v>1326502.9636164792</v>
      </c>
      <c r="M5" s="2856">
        <f t="shared" ref="M5:M68" si="1">K5/2+L5/2</f>
        <v>1215284.0866208905</v>
      </c>
      <c r="N5" s="1270">
        <f>N6+N509+N542+N508+N543</f>
        <v>1326502.9636164792</v>
      </c>
      <c r="O5" s="1950">
        <f>O6+O509+O542+O508+O543</f>
        <v>1573739.5995782281</v>
      </c>
      <c r="P5" s="1271">
        <f t="shared" ref="P5:P68" si="2">N5/2+O5/2</f>
        <v>1450121.2815973535</v>
      </c>
      <c r="Q5" s="1950">
        <f>Q6+Q509+Q542+Q508+Q543</f>
        <v>1573739.5995782281</v>
      </c>
      <c r="R5" s="1950">
        <f>R6+R509+R542+R508+R543</f>
        <v>1843021.5606347665</v>
      </c>
      <c r="S5" s="2856">
        <f t="shared" ref="S5:S68" si="3">Q5/2+R5/2</f>
        <v>1708380.5801064973</v>
      </c>
      <c r="T5" s="1270">
        <f>T6+T509+T542+T508+T543</f>
        <v>1843021.5606347665</v>
      </c>
      <c r="U5" s="1950">
        <f>U6+U509+U542+U508+U543</f>
        <v>2075011.3961544819</v>
      </c>
      <c r="V5" s="1271">
        <f t="shared" ref="V5:V68" si="4">T5/2+U5/2</f>
        <v>1959016.4783946243</v>
      </c>
      <c r="W5" s="2091"/>
      <c r="X5" s="2091"/>
      <c r="Y5" s="2092"/>
      <c r="Z5" s="1376"/>
    </row>
    <row r="6" spans="1:26" s="1263" customFormat="1" ht="27" customHeight="1" outlineLevel="1">
      <c r="A6" s="1267">
        <v>253</v>
      </c>
      <c r="B6" s="1272"/>
      <c r="C6" s="1273" t="s">
        <v>1312</v>
      </c>
      <c r="D6" s="1453" t="s">
        <v>1313</v>
      </c>
      <c r="E6" s="1274">
        <f>E7+E506</f>
        <v>1135684.0811285377</v>
      </c>
      <c r="F6" s="1275">
        <f>F7+F506</f>
        <v>1135684.0811285377</v>
      </c>
      <c r="G6" s="1276">
        <f t="shared" ref="G6:G68" si="5">E6/2+F6/2</f>
        <v>1135684.0811285377</v>
      </c>
      <c r="H6" s="1274">
        <f>H7+H506</f>
        <v>830325.25666681689</v>
      </c>
      <c r="I6" s="1275">
        <f>I7+I506</f>
        <v>1207511.1974939415</v>
      </c>
      <c r="J6" s="1276">
        <f t="shared" si="0"/>
        <v>1018918.2270803791</v>
      </c>
      <c r="K6" s="1274">
        <f>K7+K506</f>
        <v>1207511.1974939415</v>
      </c>
      <c r="L6" s="1275">
        <f>L7+L506</f>
        <v>1254960.6803658118</v>
      </c>
      <c r="M6" s="2857">
        <f t="shared" si="1"/>
        <v>1231235.9389298768</v>
      </c>
      <c r="N6" s="1274">
        <f>N7+N506</f>
        <v>1254960.6803658118</v>
      </c>
      <c r="O6" s="1275">
        <f>O7+O506</f>
        <v>1304638.5009853172</v>
      </c>
      <c r="P6" s="1276">
        <f t="shared" si="2"/>
        <v>1279799.5906755645</v>
      </c>
      <c r="Q6" s="2081">
        <f>Q7+Q506</f>
        <v>1304638.5009853172</v>
      </c>
      <c r="R6" s="1275">
        <f>R7+R506</f>
        <v>1356651.3758199192</v>
      </c>
      <c r="S6" s="2857">
        <f t="shared" si="3"/>
        <v>1330644.9384026183</v>
      </c>
      <c r="T6" s="1274">
        <f>T7+T506</f>
        <v>1356651.3758199192</v>
      </c>
      <c r="U6" s="1275">
        <f>U7+U506</f>
        <v>1411111.2270697723</v>
      </c>
      <c r="V6" s="1276">
        <f t="shared" si="4"/>
        <v>1383881.3014448457</v>
      </c>
      <c r="W6" s="2093"/>
      <c r="X6" s="2093"/>
      <c r="Y6" s="2092"/>
      <c r="Z6" s="1376"/>
    </row>
    <row r="7" spans="1:26" s="1263" customFormat="1" ht="25.5" customHeight="1" outlineLevel="1">
      <c r="A7" s="1267">
        <v>252</v>
      </c>
      <c r="B7" s="1277">
        <v>1</v>
      </c>
      <c r="C7" s="1278" t="s">
        <v>1314</v>
      </c>
      <c r="D7" s="1454" t="s">
        <v>1313</v>
      </c>
      <c r="E7" s="1279">
        <f>E8+E396+E446</f>
        <v>1092048.1611285377</v>
      </c>
      <c r="F7" s="1280">
        <f>F8+F396+F446</f>
        <v>1092048.1611285377</v>
      </c>
      <c r="G7" s="1281">
        <f t="shared" si="5"/>
        <v>1092048.1611285377</v>
      </c>
      <c r="H7" s="1279">
        <f>H8+H396+H446</f>
        <v>827672.4224482635</v>
      </c>
      <c r="I7" s="1280">
        <f>I8+I396+I446</f>
        <v>1030906.0093094506</v>
      </c>
      <c r="J7" s="1281">
        <f t="shared" si="0"/>
        <v>929289.21587885707</v>
      </c>
      <c r="K7" s="1279">
        <f>K8+K396+K446</f>
        <v>1030906.0093094506</v>
      </c>
      <c r="L7" s="1280">
        <f>L8+L396+L446</f>
        <v>1078355.4921813209</v>
      </c>
      <c r="M7" s="1370">
        <f t="shared" si="1"/>
        <v>1054630.7507453859</v>
      </c>
      <c r="N7" s="1279">
        <f>N8+N396+N446</f>
        <v>1078355.4921813209</v>
      </c>
      <c r="O7" s="1280">
        <f>O8+O396+O446</f>
        <v>1128033.3128008263</v>
      </c>
      <c r="P7" s="1281">
        <f t="shared" si="2"/>
        <v>1103194.4024910736</v>
      </c>
      <c r="Q7" s="2867">
        <f>Q8+Q396+Q446</f>
        <v>1128033.3128008263</v>
      </c>
      <c r="R7" s="1280">
        <f>R8+R396+R446</f>
        <v>1180046.1876354283</v>
      </c>
      <c r="S7" s="1370">
        <f t="shared" si="3"/>
        <v>1154039.7502181274</v>
      </c>
      <c r="T7" s="1279">
        <f>T8+T396+T446</f>
        <v>1180046.1876354283</v>
      </c>
      <c r="U7" s="1280">
        <f>U8+U396+U446</f>
        <v>1234506.0388852814</v>
      </c>
      <c r="V7" s="1281">
        <f t="shared" si="4"/>
        <v>1207276.1132603548</v>
      </c>
      <c r="W7" s="2093"/>
      <c r="X7" s="2093"/>
      <c r="Y7" s="2092"/>
      <c r="Z7" s="1376"/>
    </row>
    <row r="8" spans="1:26" s="1263" customFormat="1" ht="26.25" customHeight="1" outlineLevel="1" thickBot="1">
      <c r="A8" s="1267">
        <v>254</v>
      </c>
      <c r="B8" s="1282" t="s">
        <v>25</v>
      </c>
      <c r="C8" s="1283" t="s">
        <v>1315</v>
      </c>
      <c r="D8" s="1455" t="s">
        <v>1313</v>
      </c>
      <c r="E8" s="1284">
        <f>E9+E352+E367+E394</f>
        <v>498948.37395526143</v>
      </c>
      <c r="F8" s="1285">
        <f>F9+F352+F367+F394</f>
        <v>498948.37395526143</v>
      </c>
      <c r="G8" s="1286">
        <f t="shared" si="5"/>
        <v>498948.37395526143</v>
      </c>
      <c r="H8" s="1284">
        <f>H9+H352+H367+H394</f>
        <v>364064.30172814394</v>
      </c>
      <c r="I8" s="1285">
        <f>I9+I352+I367+I394</f>
        <v>527486.31625463755</v>
      </c>
      <c r="J8" s="1286">
        <f t="shared" si="0"/>
        <v>445775.30899139075</v>
      </c>
      <c r="K8" s="1284">
        <f>K9+K352+K367+K394</f>
        <v>527486.31625463755</v>
      </c>
      <c r="L8" s="1285">
        <f>L9+L352+L367+L394</f>
        <v>548587.18307330168</v>
      </c>
      <c r="M8" s="2858">
        <f t="shared" si="1"/>
        <v>538036.74966396962</v>
      </c>
      <c r="N8" s="1284">
        <f>N9+N352+N367+N394</f>
        <v>548587.18307330168</v>
      </c>
      <c r="O8" s="1285">
        <f>O9+O352+O367+O394</f>
        <v>570532.15951564198</v>
      </c>
      <c r="P8" s="1286">
        <f t="shared" si="2"/>
        <v>559559.67129447183</v>
      </c>
      <c r="Q8" s="2868">
        <f>Q9+Q352+Q367+Q394</f>
        <v>570532.15951564198</v>
      </c>
      <c r="R8" s="1285">
        <f>R9+R352+R367+R394</f>
        <v>593355.01393900428</v>
      </c>
      <c r="S8" s="2858">
        <f t="shared" si="3"/>
        <v>581943.58672732313</v>
      </c>
      <c r="T8" s="1284">
        <f>T9+T352+T367+T394</f>
        <v>593355.01393900428</v>
      </c>
      <c r="U8" s="1285">
        <f>U9+U352+U367+U394</f>
        <v>617090.86564556626</v>
      </c>
      <c r="V8" s="1286">
        <f t="shared" si="4"/>
        <v>605222.93979228521</v>
      </c>
      <c r="W8" s="2093"/>
      <c r="X8" s="2093"/>
      <c r="Y8" s="2092"/>
      <c r="Z8" s="1376"/>
    </row>
    <row r="9" spans="1:26" s="1263" customFormat="1" ht="30" customHeight="1" outlineLevel="1" thickBot="1">
      <c r="A9" s="1267">
        <v>3</v>
      </c>
      <c r="B9" s="1287" t="s">
        <v>1132</v>
      </c>
      <c r="C9" s="1288" t="s">
        <v>1316</v>
      </c>
      <c r="D9" s="1456" t="s">
        <v>1317</v>
      </c>
      <c r="E9" s="1289">
        <f>E10+E328+E329+E341+E342+E345</f>
        <v>206305.56395526143</v>
      </c>
      <c r="F9" s="1290">
        <f>F10+F328+F329+F341+F342+F345</f>
        <v>206305.56395526143</v>
      </c>
      <c r="G9" s="1291">
        <f t="shared" si="5"/>
        <v>206305.56395526143</v>
      </c>
      <c r="H9" s="1289">
        <f>H10+H328+H329+H341+H342+H345</f>
        <v>157106.60943032979</v>
      </c>
      <c r="I9" s="1290">
        <f>I10+I328+I329+I341+I342+I345</f>
        <v>209828.35981015948</v>
      </c>
      <c r="J9" s="1291">
        <f t="shared" si="0"/>
        <v>183467.48462024465</v>
      </c>
      <c r="K9" s="1289">
        <f>K10+K328+K329+K341+K342+K345</f>
        <v>209828.35981015948</v>
      </c>
      <c r="L9" s="1290">
        <f>L10+L328+L329+L341+L342+L345</f>
        <v>218221.49420256587</v>
      </c>
      <c r="M9" s="2859">
        <f t="shared" si="1"/>
        <v>214024.92700636268</v>
      </c>
      <c r="N9" s="1289">
        <f>N10+N328+N329+N341+N342+N345</f>
        <v>218221.49420256587</v>
      </c>
      <c r="O9" s="1290">
        <f>O10+O328+O329+O341+O342+O345</f>
        <v>226950.35397066851</v>
      </c>
      <c r="P9" s="1291">
        <f t="shared" si="2"/>
        <v>222585.92408661719</v>
      </c>
      <c r="Q9" s="2869">
        <f>Q10+Q328+Q329+Q341+Q342+Q345</f>
        <v>226950.35397066851</v>
      </c>
      <c r="R9" s="1290">
        <f>R10+R328+R329+R341+R342+R345</f>
        <v>236028.36812949527</v>
      </c>
      <c r="S9" s="2859">
        <f t="shared" si="3"/>
        <v>231489.3610500819</v>
      </c>
      <c r="T9" s="1289">
        <f>T10+T328+T329+T341+T342+T345</f>
        <v>236028.36812949527</v>
      </c>
      <c r="U9" s="1290">
        <f>U10+U328+U329+U341+U342+U345</f>
        <v>245469.50285467508</v>
      </c>
      <c r="V9" s="1291">
        <f t="shared" si="4"/>
        <v>240748.93549208518</v>
      </c>
      <c r="W9" s="2093"/>
      <c r="X9" s="2093"/>
      <c r="Y9" s="2092"/>
      <c r="Z9" s="1376"/>
    </row>
    <row r="10" spans="1:26" s="1263" customFormat="1" outlineLevel="1">
      <c r="A10" s="1267">
        <v>4</v>
      </c>
      <c r="B10" s="1272" t="s">
        <v>1318</v>
      </c>
      <c r="C10" s="1273" t="s">
        <v>1319</v>
      </c>
      <c r="D10" s="1453" t="s">
        <v>1317</v>
      </c>
      <c r="E10" s="1274">
        <f>E11+E310+E327</f>
        <v>61296.083955261463</v>
      </c>
      <c r="F10" s="1275">
        <f>F11+F310+F327</f>
        <v>61296.083955261463</v>
      </c>
      <c r="G10" s="1276">
        <f t="shared" si="5"/>
        <v>61296.083955261463</v>
      </c>
      <c r="H10" s="1274">
        <f>H11+H310+H327</f>
        <v>35192.731130884145</v>
      </c>
      <c r="I10" s="1275">
        <f>I11+I310+I327</f>
        <v>58316.357992589328</v>
      </c>
      <c r="J10" s="1276">
        <f t="shared" si="0"/>
        <v>46754.544561736737</v>
      </c>
      <c r="K10" s="1274">
        <f>K11+K310+K327</f>
        <v>58316.357992589328</v>
      </c>
      <c r="L10" s="1275">
        <f>L11+L310+L327</f>
        <v>60649.012312292907</v>
      </c>
      <c r="M10" s="2857">
        <f t="shared" si="1"/>
        <v>59482.685152441118</v>
      </c>
      <c r="N10" s="1274">
        <f>N11+N310+N327</f>
        <v>60649.012312292907</v>
      </c>
      <c r="O10" s="1275">
        <f>O11+O310+O327</f>
        <v>63074.972804784629</v>
      </c>
      <c r="P10" s="1276">
        <f t="shared" si="2"/>
        <v>61861.992558538768</v>
      </c>
      <c r="Q10" s="1525">
        <f>Q11+Q310+Q327</f>
        <v>63074.972804784629</v>
      </c>
      <c r="R10" s="2081">
        <f>R11+R310+R327</f>
        <v>65597.971716976012</v>
      </c>
      <c r="S10" s="2857">
        <f t="shared" si="3"/>
        <v>64336.47226088032</v>
      </c>
      <c r="T10" s="1274">
        <f>T11+T310+T327</f>
        <v>65597.971716976012</v>
      </c>
      <c r="U10" s="1275">
        <f>U11+U310+U327</f>
        <v>68221.890585655055</v>
      </c>
      <c r="V10" s="1276">
        <f t="shared" si="4"/>
        <v>66909.931151315541</v>
      </c>
      <c r="W10" s="2093"/>
      <c r="X10" s="2093"/>
      <c r="Y10" s="2092"/>
      <c r="Z10" s="1376"/>
    </row>
    <row r="11" spans="1:26" s="1263" customFormat="1" ht="23.25" hidden="1" customHeight="1" outlineLevel="2">
      <c r="A11" s="1267">
        <v>313</v>
      </c>
      <c r="B11" s="1292" t="s">
        <v>1320</v>
      </c>
      <c r="C11" s="1293" t="s">
        <v>1321</v>
      </c>
      <c r="D11" s="1454"/>
      <c r="E11" s="1279">
        <f>E12+E31+E53</f>
        <v>4984.2558532000003</v>
      </c>
      <c r="F11" s="1280">
        <f>F12+F31+F53</f>
        <v>4984.2558532000003</v>
      </c>
      <c r="G11" s="1281">
        <f t="shared" si="5"/>
        <v>4984.2558532000003</v>
      </c>
      <c r="H11" s="1279">
        <f>H12+H31+H53</f>
        <v>0</v>
      </c>
      <c r="I11" s="1280">
        <f>I12+I31+I53</f>
        <v>0</v>
      </c>
      <c r="J11" s="1276">
        <f t="shared" si="0"/>
        <v>0</v>
      </c>
      <c r="K11" s="1279">
        <f>K12+K31+K53</f>
        <v>0</v>
      </c>
      <c r="L11" s="1280">
        <f>L12+L31+L53</f>
        <v>0</v>
      </c>
      <c r="M11" s="1370">
        <f t="shared" si="1"/>
        <v>0</v>
      </c>
      <c r="N11" s="1279">
        <f>N12+N31+N53</f>
        <v>0</v>
      </c>
      <c r="O11" s="1280">
        <f>O12+O31+O53</f>
        <v>0</v>
      </c>
      <c r="P11" s="1281">
        <f t="shared" si="2"/>
        <v>0</v>
      </c>
      <c r="Q11" s="1279">
        <f>Q12+Q31+Q53</f>
        <v>0</v>
      </c>
      <c r="R11" s="2867">
        <f>R12+R31+R53</f>
        <v>0</v>
      </c>
      <c r="S11" s="1370">
        <f t="shared" si="3"/>
        <v>0</v>
      </c>
      <c r="T11" s="1279">
        <f>T12+T31+T53</f>
        <v>0</v>
      </c>
      <c r="U11" s="1280">
        <f>U12+U31+U53</f>
        <v>0</v>
      </c>
      <c r="V11" s="1281">
        <f t="shared" si="4"/>
        <v>0</v>
      </c>
      <c r="W11" s="2093"/>
      <c r="X11" s="2093"/>
      <c r="Y11" s="2092"/>
      <c r="Z11" s="1376"/>
    </row>
    <row r="12" spans="1:26" s="1263" customFormat="1" hidden="1" outlineLevel="2">
      <c r="A12" s="1267">
        <v>314</v>
      </c>
      <c r="B12" s="1292" t="s">
        <v>1322</v>
      </c>
      <c r="C12" s="1293" t="s">
        <v>1323</v>
      </c>
      <c r="D12" s="1454"/>
      <c r="E12" s="1279">
        <f>E13+E16+E19+E22+E25+E28</f>
        <v>0</v>
      </c>
      <c r="F12" s="1280">
        <f>F13+F16+F19+F22+F25+F28</f>
        <v>0</v>
      </c>
      <c r="G12" s="1281">
        <f t="shared" si="5"/>
        <v>0</v>
      </c>
      <c r="H12" s="1279">
        <f>H13+H16+H19+H22+H25+H28</f>
        <v>0</v>
      </c>
      <c r="I12" s="1280">
        <f>I13+I16+I19+I22+I25+I28</f>
        <v>0</v>
      </c>
      <c r="J12" s="1276">
        <f t="shared" si="0"/>
        <v>0</v>
      </c>
      <c r="K12" s="1279">
        <f>K13+K16+K19+K22+K25+K28</f>
        <v>0</v>
      </c>
      <c r="L12" s="1280">
        <f>L13+L16+L19+L22+L25+L28</f>
        <v>0</v>
      </c>
      <c r="M12" s="1370">
        <f t="shared" si="1"/>
        <v>0</v>
      </c>
      <c r="N12" s="1279">
        <f>N13+N16+N19+N22+N25+N28</f>
        <v>0</v>
      </c>
      <c r="O12" s="1280">
        <f>O13+O16+O19+O22+O25+O28</f>
        <v>0</v>
      </c>
      <c r="P12" s="1281">
        <f t="shared" si="2"/>
        <v>0</v>
      </c>
      <c r="Q12" s="1279">
        <f>Q13+Q16+Q19+Q22+Q25+Q28</f>
        <v>0</v>
      </c>
      <c r="R12" s="2867">
        <f>R13+R16+R19+R22+R25+R28</f>
        <v>0</v>
      </c>
      <c r="S12" s="1370">
        <f t="shared" si="3"/>
        <v>0</v>
      </c>
      <c r="T12" s="1279">
        <f>T13+T16+T19+T22+T25+T28</f>
        <v>0</v>
      </c>
      <c r="U12" s="1280">
        <f>U13+U16+U19+U22+U25+U28</f>
        <v>0</v>
      </c>
      <c r="V12" s="1281">
        <f t="shared" si="4"/>
        <v>0</v>
      </c>
      <c r="W12" s="2093"/>
      <c r="X12" s="2093"/>
      <c r="Y12" s="2092"/>
      <c r="Z12" s="1376"/>
    </row>
    <row r="13" spans="1:26" s="1263" customFormat="1" hidden="1" outlineLevel="2">
      <c r="A13" s="1267">
        <v>428</v>
      </c>
      <c r="B13" s="1292" t="s">
        <v>1324</v>
      </c>
      <c r="C13" s="1293" t="s">
        <v>1325</v>
      </c>
      <c r="D13" s="1454"/>
      <c r="E13" s="1279">
        <f>E14*E15/1000</f>
        <v>0</v>
      </c>
      <c r="F13" s="1280">
        <f>F14*F15/1000</f>
        <v>0</v>
      </c>
      <c r="G13" s="1281">
        <f t="shared" si="5"/>
        <v>0</v>
      </c>
      <c r="H13" s="1279">
        <f>H14*H15/1000</f>
        <v>0</v>
      </c>
      <c r="I13" s="1280">
        <f>I14*I15/1000</f>
        <v>0</v>
      </c>
      <c r="J13" s="1276">
        <f t="shared" si="0"/>
        <v>0</v>
      </c>
      <c r="K13" s="1279">
        <f>K14*K15/1000</f>
        <v>0</v>
      </c>
      <c r="L13" s="1280">
        <f>L14*L15/1000</f>
        <v>0</v>
      </c>
      <c r="M13" s="1370">
        <f t="shared" si="1"/>
        <v>0</v>
      </c>
      <c r="N13" s="1279">
        <f>N14*N15/1000</f>
        <v>0</v>
      </c>
      <c r="O13" s="1280">
        <f>O14*O15/1000</f>
        <v>0</v>
      </c>
      <c r="P13" s="1281">
        <f t="shared" si="2"/>
        <v>0</v>
      </c>
      <c r="Q13" s="1279">
        <f>Q14*Q15/1000</f>
        <v>0</v>
      </c>
      <c r="R13" s="2867">
        <f>R14*R15/1000</f>
        <v>0</v>
      </c>
      <c r="S13" s="1370">
        <f t="shared" si="3"/>
        <v>0</v>
      </c>
      <c r="T13" s="1279">
        <f>T14*T15/1000</f>
        <v>0</v>
      </c>
      <c r="U13" s="1280">
        <f>U14*U15/1000</f>
        <v>0</v>
      </c>
      <c r="V13" s="1281">
        <f t="shared" si="4"/>
        <v>0</v>
      </c>
      <c r="W13" s="2093"/>
      <c r="X13" s="2093"/>
      <c r="Y13" s="2092"/>
      <c r="Z13" s="1376"/>
    </row>
    <row r="14" spans="1:26" s="1263" customFormat="1" hidden="1" outlineLevel="2">
      <c r="A14" s="1267">
        <v>315</v>
      </c>
      <c r="B14" s="1294" t="s">
        <v>1326</v>
      </c>
      <c r="C14" s="1295" t="s">
        <v>1327</v>
      </c>
      <c r="D14" s="1457" t="s">
        <v>1328</v>
      </c>
      <c r="E14" s="1296"/>
      <c r="F14" s="1297"/>
      <c r="G14" s="1281">
        <f t="shared" si="5"/>
        <v>0</v>
      </c>
      <c r="H14" s="1296"/>
      <c r="I14" s="1297"/>
      <c r="J14" s="1276">
        <f t="shared" si="0"/>
        <v>0</v>
      </c>
      <c r="K14" s="1296"/>
      <c r="L14" s="1297"/>
      <c r="M14" s="1370">
        <f t="shared" si="1"/>
        <v>0</v>
      </c>
      <c r="N14" s="1296"/>
      <c r="O14" s="1297"/>
      <c r="P14" s="1281">
        <f t="shared" si="2"/>
        <v>0</v>
      </c>
      <c r="Q14" s="1296"/>
      <c r="R14" s="2870"/>
      <c r="S14" s="1370">
        <f t="shared" si="3"/>
        <v>0</v>
      </c>
      <c r="T14" s="1296"/>
      <c r="U14" s="1297"/>
      <c r="V14" s="1281">
        <f t="shared" si="4"/>
        <v>0</v>
      </c>
      <c r="W14" s="2094"/>
      <c r="X14" s="2094"/>
      <c r="Y14" s="2092"/>
      <c r="Z14" s="1376"/>
    </row>
    <row r="15" spans="1:26" s="1263" customFormat="1" hidden="1" outlineLevel="2">
      <c r="A15" s="1267">
        <v>316</v>
      </c>
      <c r="B15" s="1294" t="s">
        <v>1329</v>
      </c>
      <c r="C15" s="1295" t="s">
        <v>1330</v>
      </c>
      <c r="D15" s="1457" t="s">
        <v>1331</v>
      </c>
      <c r="E15" s="1296"/>
      <c r="F15" s="1297"/>
      <c r="G15" s="1281">
        <f t="shared" si="5"/>
        <v>0</v>
      </c>
      <c r="H15" s="1296"/>
      <c r="I15" s="1297"/>
      <c r="J15" s="1276">
        <f t="shared" si="0"/>
        <v>0</v>
      </c>
      <c r="K15" s="1296"/>
      <c r="L15" s="1297"/>
      <c r="M15" s="1370">
        <f t="shared" si="1"/>
        <v>0</v>
      </c>
      <c r="N15" s="1296"/>
      <c r="O15" s="1297"/>
      <c r="P15" s="1281">
        <f t="shared" si="2"/>
        <v>0</v>
      </c>
      <c r="Q15" s="1296"/>
      <c r="R15" s="2870"/>
      <c r="S15" s="1370">
        <f t="shared" si="3"/>
        <v>0</v>
      </c>
      <c r="T15" s="1296"/>
      <c r="U15" s="1297"/>
      <c r="V15" s="1281">
        <f t="shared" si="4"/>
        <v>0</v>
      </c>
      <c r="W15" s="2094"/>
      <c r="X15" s="2094"/>
      <c r="Y15" s="2092"/>
      <c r="Z15" s="1376"/>
    </row>
    <row r="16" spans="1:26" s="1263" customFormat="1" hidden="1" outlineLevel="2">
      <c r="A16" s="1267">
        <v>429</v>
      </c>
      <c r="B16" s="1292" t="s">
        <v>1332</v>
      </c>
      <c r="C16" s="1293" t="s">
        <v>1333</v>
      </c>
      <c r="D16" s="1454"/>
      <c r="E16" s="1279">
        <f>E17*E18/1000</f>
        <v>0</v>
      </c>
      <c r="F16" s="1280">
        <f>F17*F18/1000</f>
        <v>0</v>
      </c>
      <c r="G16" s="1281">
        <f t="shared" si="5"/>
        <v>0</v>
      </c>
      <c r="H16" s="1279">
        <f>H17*H18/1000</f>
        <v>0</v>
      </c>
      <c r="I16" s="1280">
        <f>I17*I18/1000</f>
        <v>0</v>
      </c>
      <c r="J16" s="1276">
        <f t="shared" si="0"/>
        <v>0</v>
      </c>
      <c r="K16" s="1279">
        <f>K17*K18/1000</f>
        <v>0</v>
      </c>
      <c r="L16" s="1280">
        <f>L17*L18/1000</f>
        <v>0</v>
      </c>
      <c r="M16" s="1370">
        <f t="shared" si="1"/>
        <v>0</v>
      </c>
      <c r="N16" s="1279">
        <f>N17*N18/1000</f>
        <v>0</v>
      </c>
      <c r="O16" s="1280">
        <f>O17*O18/1000</f>
        <v>0</v>
      </c>
      <c r="P16" s="1281">
        <f t="shared" si="2"/>
        <v>0</v>
      </c>
      <c r="Q16" s="1279">
        <f>Q17*Q18/1000</f>
        <v>0</v>
      </c>
      <c r="R16" s="2867">
        <f>R17*R18/1000</f>
        <v>0</v>
      </c>
      <c r="S16" s="1370">
        <f t="shared" si="3"/>
        <v>0</v>
      </c>
      <c r="T16" s="1279">
        <f>T17*T18/1000</f>
        <v>0</v>
      </c>
      <c r="U16" s="1280">
        <f>U17*U18/1000</f>
        <v>0</v>
      </c>
      <c r="V16" s="1281">
        <f t="shared" si="4"/>
        <v>0</v>
      </c>
      <c r="W16" s="2093"/>
      <c r="X16" s="2093"/>
      <c r="Y16" s="2092"/>
      <c r="Z16" s="1376"/>
    </row>
    <row r="17" spans="1:26" s="1263" customFormat="1" hidden="1" outlineLevel="2">
      <c r="A17" s="1267">
        <v>433</v>
      </c>
      <c r="B17" s="1294" t="s">
        <v>1334</v>
      </c>
      <c r="C17" s="1295" t="s">
        <v>1330</v>
      </c>
      <c r="D17" s="1457" t="s">
        <v>1331</v>
      </c>
      <c r="E17" s="1296"/>
      <c r="F17" s="1297"/>
      <c r="G17" s="1281">
        <f t="shared" si="5"/>
        <v>0</v>
      </c>
      <c r="H17" s="1296"/>
      <c r="I17" s="1297"/>
      <c r="J17" s="1276">
        <f t="shared" si="0"/>
        <v>0</v>
      </c>
      <c r="K17" s="1296"/>
      <c r="L17" s="1297"/>
      <c r="M17" s="1370">
        <f t="shared" si="1"/>
        <v>0</v>
      </c>
      <c r="N17" s="1296"/>
      <c r="O17" s="1297"/>
      <c r="P17" s="1281">
        <f t="shared" si="2"/>
        <v>0</v>
      </c>
      <c r="Q17" s="1296"/>
      <c r="R17" s="2870"/>
      <c r="S17" s="1370">
        <f t="shared" si="3"/>
        <v>0</v>
      </c>
      <c r="T17" s="1296"/>
      <c r="U17" s="1297"/>
      <c r="V17" s="1281">
        <f t="shared" si="4"/>
        <v>0</v>
      </c>
      <c r="W17" s="2094"/>
      <c r="X17" s="2094"/>
      <c r="Y17" s="2092"/>
      <c r="Z17" s="1376"/>
    </row>
    <row r="18" spans="1:26" s="1263" customFormat="1" hidden="1" outlineLevel="2">
      <c r="A18" s="1267">
        <v>434</v>
      </c>
      <c r="B18" s="1294" t="s">
        <v>1335</v>
      </c>
      <c r="C18" s="1295" t="s">
        <v>1327</v>
      </c>
      <c r="D18" s="1457" t="s">
        <v>1328</v>
      </c>
      <c r="E18" s="1296"/>
      <c r="F18" s="1297"/>
      <c r="G18" s="1281">
        <f t="shared" si="5"/>
        <v>0</v>
      </c>
      <c r="H18" s="1296"/>
      <c r="I18" s="1297"/>
      <c r="J18" s="1276">
        <f t="shared" si="0"/>
        <v>0</v>
      </c>
      <c r="K18" s="1296"/>
      <c r="L18" s="1297"/>
      <c r="M18" s="1370">
        <f t="shared" si="1"/>
        <v>0</v>
      </c>
      <c r="N18" s="1296"/>
      <c r="O18" s="1297"/>
      <c r="P18" s="1281">
        <f t="shared" si="2"/>
        <v>0</v>
      </c>
      <c r="Q18" s="1296"/>
      <c r="R18" s="2870"/>
      <c r="S18" s="1370">
        <f t="shared" si="3"/>
        <v>0</v>
      </c>
      <c r="T18" s="1296"/>
      <c r="U18" s="1297"/>
      <c r="V18" s="1281">
        <f t="shared" si="4"/>
        <v>0</v>
      </c>
      <c r="W18" s="2094"/>
      <c r="X18" s="2094"/>
      <c r="Y18" s="2092"/>
      <c r="Z18" s="1376"/>
    </row>
    <row r="19" spans="1:26" s="1263" customFormat="1" hidden="1" outlineLevel="2">
      <c r="A19" s="1267">
        <v>430</v>
      </c>
      <c r="B19" s="1292" t="s">
        <v>1336</v>
      </c>
      <c r="C19" s="1293" t="s">
        <v>1337</v>
      </c>
      <c r="D19" s="1454"/>
      <c r="E19" s="1279">
        <f>E20*E21/1000</f>
        <v>0</v>
      </c>
      <c r="F19" s="1280">
        <f>F20*F21/1000</f>
        <v>0</v>
      </c>
      <c r="G19" s="1281">
        <f t="shared" si="5"/>
        <v>0</v>
      </c>
      <c r="H19" s="1279">
        <f>H20*H21/1000</f>
        <v>0</v>
      </c>
      <c r="I19" s="1280">
        <f>I20*I21/1000</f>
        <v>0</v>
      </c>
      <c r="J19" s="1276">
        <f t="shared" si="0"/>
        <v>0</v>
      </c>
      <c r="K19" s="1279">
        <f>K20*K21/1000</f>
        <v>0</v>
      </c>
      <c r="L19" s="1280">
        <f>L20*L21/1000</f>
        <v>0</v>
      </c>
      <c r="M19" s="1370">
        <f t="shared" si="1"/>
        <v>0</v>
      </c>
      <c r="N19" s="1279">
        <f>N20*N21/1000</f>
        <v>0</v>
      </c>
      <c r="O19" s="1280">
        <f>O20*O21/1000</f>
        <v>0</v>
      </c>
      <c r="P19" s="1281">
        <f t="shared" si="2"/>
        <v>0</v>
      </c>
      <c r="Q19" s="1279">
        <f>Q20*Q21/1000</f>
        <v>0</v>
      </c>
      <c r="R19" s="2867">
        <f>R20*R21/1000</f>
        <v>0</v>
      </c>
      <c r="S19" s="1370">
        <f t="shared" si="3"/>
        <v>0</v>
      </c>
      <c r="T19" s="1279">
        <f>T20*T21/1000</f>
        <v>0</v>
      </c>
      <c r="U19" s="1280">
        <f>U20*U21/1000</f>
        <v>0</v>
      </c>
      <c r="V19" s="1281">
        <f t="shared" si="4"/>
        <v>0</v>
      </c>
      <c r="W19" s="2093"/>
      <c r="X19" s="2093"/>
      <c r="Y19" s="2092"/>
      <c r="Z19" s="1376"/>
    </row>
    <row r="20" spans="1:26" s="1263" customFormat="1" hidden="1" outlineLevel="2">
      <c r="A20" s="1267">
        <v>435</v>
      </c>
      <c r="B20" s="1294" t="s">
        <v>1338</v>
      </c>
      <c r="C20" s="1295" t="s">
        <v>1330</v>
      </c>
      <c r="D20" s="1457" t="s">
        <v>1331</v>
      </c>
      <c r="E20" s="1296"/>
      <c r="F20" s="1297"/>
      <c r="G20" s="1281">
        <f t="shared" si="5"/>
        <v>0</v>
      </c>
      <c r="H20" s="1296"/>
      <c r="I20" s="1297"/>
      <c r="J20" s="1276">
        <f t="shared" si="0"/>
        <v>0</v>
      </c>
      <c r="K20" s="1296"/>
      <c r="L20" s="1297"/>
      <c r="M20" s="1370">
        <f t="shared" si="1"/>
        <v>0</v>
      </c>
      <c r="N20" s="1296"/>
      <c r="O20" s="1297"/>
      <c r="P20" s="1281">
        <f t="shared" si="2"/>
        <v>0</v>
      </c>
      <c r="Q20" s="1296"/>
      <c r="R20" s="2870"/>
      <c r="S20" s="1370">
        <f t="shared" si="3"/>
        <v>0</v>
      </c>
      <c r="T20" s="1296"/>
      <c r="U20" s="1297"/>
      <c r="V20" s="1281">
        <f t="shared" si="4"/>
        <v>0</v>
      </c>
      <c r="W20" s="2094"/>
      <c r="X20" s="2094"/>
      <c r="Y20" s="2092"/>
      <c r="Z20" s="1376"/>
    </row>
    <row r="21" spans="1:26" s="1263" customFormat="1" hidden="1" outlineLevel="2">
      <c r="A21" s="1267">
        <v>436</v>
      </c>
      <c r="B21" s="1294" t="s">
        <v>1339</v>
      </c>
      <c r="C21" s="1295" t="s">
        <v>1327</v>
      </c>
      <c r="D21" s="1457" t="s">
        <v>1328</v>
      </c>
      <c r="E21" s="1296"/>
      <c r="F21" s="1297"/>
      <c r="G21" s="1281">
        <f t="shared" si="5"/>
        <v>0</v>
      </c>
      <c r="H21" s="1296"/>
      <c r="I21" s="1297"/>
      <c r="J21" s="1276">
        <f t="shared" si="0"/>
        <v>0</v>
      </c>
      <c r="K21" s="1296"/>
      <c r="L21" s="1297"/>
      <c r="M21" s="1370">
        <f t="shared" si="1"/>
        <v>0</v>
      </c>
      <c r="N21" s="1296"/>
      <c r="O21" s="1297"/>
      <c r="P21" s="1281">
        <f t="shared" si="2"/>
        <v>0</v>
      </c>
      <c r="Q21" s="1296"/>
      <c r="R21" s="2870"/>
      <c r="S21" s="1370">
        <f t="shared" si="3"/>
        <v>0</v>
      </c>
      <c r="T21" s="1296"/>
      <c r="U21" s="1297"/>
      <c r="V21" s="1281">
        <f t="shared" si="4"/>
        <v>0</v>
      </c>
      <c r="W21" s="2094"/>
      <c r="X21" s="2094"/>
      <c r="Y21" s="2092"/>
      <c r="Z21" s="1376"/>
    </row>
    <row r="22" spans="1:26" s="1263" customFormat="1" hidden="1" outlineLevel="2">
      <c r="A22" s="1267">
        <v>431</v>
      </c>
      <c r="B22" s="1292" t="s">
        <v>1340</v>
      </c>
      <c r="C22" s="1293" t="s">
        <v>1341</v>
      </c>
      <c r="D22" s="1454"/>
      <c r="E22" s="1279">
        <f>E23*E24/1000</f>
        <v>0</v>
      </c>
      <c r="F22" s="1280">
        <f>F23*F24/1000</f>
        <v>0</v>
      </c>
      <c r="G22" s="1281">
        <f t="shared" si="5"/>
        <v>0</v>
      </c>
      <c r="H22" s="1279">
        <f>H23*H24/1000</f>
        <v>0</v>
      </c>
      <c r="I22" s="1280">
        <f>I23*I24/1000</f>
        <v>0</v>
      </c>
      <c r="J22" s="1276">
        <f t="shared" si="0"/>
        <v>0</v>
      </c>
      <c r="K22" s="1279">
        <f>K23*K24/1000</f>
        <v>0</v>
      </c>
      <c r="L22" s="1280">
        <f>L23*L24/1000</f>
        <v>0</v>
      </c>
      <c r="M22" s="1370">
        <f t="shared" si="1"/>
        <v>0</v>
      </c>
      <c r="N22" s="1279">
        <f>N23*N24/1000</f>
        <v>0</v>
      </c>
      <c r="O22" s="1280">
        <f>O23*O24/1000</f>
        <v>0</v>
      </c>
      <c r="P22" s="1281">
        <f t="shared" si="2"/>
        <v>0</v>
      </c>
      <c r="Q22" s="1279">
        <f>Q23*Q24/1000</f>
        <v>0</v>
      </c>
      <c r="R22" s="2867">
        <f>R23*R24/1000</f>
        <v>0</v>
      </c>
      <c r="S22" s="1370">
        <f t="shared" si="3"/>
        <v>0</v>
      </c>
      <c r="T22" s="1279">
        <f>T23*T24/1000</f>
        <v>0</v>
      </c>
      <c r="U22" s="1280">
        <f>U23*U24/1000</f>
        <v>0</v>
      </c>
      <c r="V22" s="1281">
        <f t="shared" si="4"/>
        <v>0</v>
      </c>
      <c r="W22" s="2093"/>
      <c r="X22" s="2093"/>
      <c r="Y22" s="2092"/>
      <c r="Z22" s="1376"/>
    </row>
    <row r="23" spans="1:26" s="1263" customFormat="1" hidden="1" outlineLevel="2">
      <c r="A23" s="1267">
        <v>437</v>
      </c>
      <c r="B23" s="1294" t="s">
        <v>1342</v>
      </c>
      <c r="C23" s="1295" t="s">
        <v>1330</v>
      </c>
      <c r="D23" s="1457" t="s">
        <v>1331</v>
      </c>
      <c r="E23" s="1296"/>
      <c r="F23" s="1297"/>
      <c r="G23" s="1281">
        <f t="shared" si="5"/>
        <v>0</v>
      </c>
      <c r="H23" s="1296"/>
      <c r="I23" s="1297"/>
      <c r="J23" s="1276">
        <f t="shared" si="0"/>
        <v>0</v>
      </c>
      <c r="K23" s="1296"/>
      <c r="L23" s="1297"/>
      <c r="M23" s="1370">
        <f t="shared" si="1"/>
        <v>0</v>
      </c>
      <c r="N23" s="1296"/>
      <c r="O23" s="1297"/>
      <c r="P23" s="1281">
        <f t="shared" si="2"/>
        <v>0</v>
      </c>
      <c r="Q23" s="1296"/>
      <c r="R23" s="2870"/>
      <c r="S23" s="1370">
        <f t="shared" si="3"/>
        <v>0</v>
      </c>
      <c r="T23" s="1296"/>
      <c r="U23" s="1297"/>
      <c r="V23" s="1281">
        <f t="shared" si="4"/>
        <v>0</v>
      </c>
      <c r="W23" s="2094"/>
      <c r="X23" s="2094"/>
      <c r="Y23" s="2092"/>
      <c r="Z23" s="1376"/>
    </row>
    <row r="24" spans="1:26" s="1263" customFormat="1" hidden="1" outlineLevel="2">
      <c r="A24" s="1267">
        <v>438</v>
      </c>
      <c r="B24" s="1294" t="s">
        <v>1343</v>
      </c>
      <c r="C24" s="1295" t="s">
        <v>1327</v>
      </c>
      <c r="D24" s="1457" t="s">
        <v>1328</v>
      </c>
      <c r="E24" s="1296"/>
      <c r="F24" s="1297"/>
      <c r="G24" s="1281">
        <f t="shared" si="5"/>
        <v>0</v>
      </c>
      <c r="H24" s="1296"/>
      <c r="I24" s="1297"/>
      <c r="J24" s="1276">
        <f t="shared" si="0"/>
        <v>0</v>
      </c>
      <c r="K24" s="1296"/>
      <c r="L24" s="1297"/>
      <c r="M24" s="1370">
        <f t="shared" si="1"/>
        <v>0</v>
      </c>
      <c r="N24" s="1296"/>
      <c r="O24" s="1297"/>
      <c r="P24" s="1281">
        <f t="shared" si="2"/>
        <v>0</v>
      </c>
      <c r="Q24" s="1296"/>
      <c r="R24" s="2870"/>
      <c r="S24" s="1370">
        <f t="shared" si="3"/>
        <v>0</v>
      </c>
      <c r="T24" s="1296"/>
      <c r="U24" s="1297"/>
      <c r="V24" s="1281">
        <f t="shared" si="4"/>
        <v>0</v>
      </c>
      <c r="W24" s="2094"/>
      <c r="X24" s="2094"/>
      <c r="Y24" s="2092"/>
      <c r="Z24" s="1376"/>
    </row>
    <row r="25" spans="1:26" s="1263" customFormat="1" hidden="1" outlineLevel="2">
      <c r="A25" s="1267">
        <v>432</v>
      </c>
      <c r="B25" s="1292" t="s">
        <v>1344</v>
      </c>
      <c r="C25" s="1293" t="s">
        <v>1345</v>
      </c>
      <c r="D25" s="1454"/>
      <c r="E25" s="1279">
        <f>E26*E27/1000</f>
        <v>0</v>
      </c>
      <c r="F25" s="1280">
        <f>F26*F27/1000</f>
        <v>0</v>
      </c>
      <c r="G25" s="1281">
        <f t="shared" si="5"/>
        <v>0</v>
      </c>
      <c r="H25" s="1279">
        <f>H26*H27/1000</f>
        <v>0</v>
      </c>
      <c r="I25" s="1280">
        <f>I26*I27/1000</f>
        <v>0</v>
      </c>
      <c r="J25" s="1276">
        <f t="shared" si="0"/>
        <v>0</v>
      </c>
      <c r="K25" s="1279">
        <f>K26*K27/1000</f>
        <v>0</v>
      </c>
      <c r="L25" s="1280">
        <f>L26*L27/1000</f>
        <v>0</v>
      </c>
      <c r="M25" s="1370">
        <f t="shared" si="1"/>
        <v>0</v>
      </c>
      <c r="N25" s="1279">
        <f>N26*N27/1000</f>
        <v>0</v>
      </c>
      <c r="O25" s="1280">
        <f>O26*O27/1000</f>
        <v>0</v>
      </c>
      <c r="P25" s="1281">
        <f t="shared" si="2"/>
        <v>0</v>
      </c>
      <c r="Q25" s="1279">
        <f>Q26*Q27/1000</f>
        <v>0</v>
      </c>
      <c r="R25" s="2867">
        <f>R26*R27/1000</f>
        <v>0</v>
      </c>
      <c r="S25" s="1370">
        <f t="shared" si="3"/>
        <v>0</v>
      </c>
      <c r="T25" s="1279">
        <f>T26*T27/1000</f>
        <v>0</v>
      </c>
      <c r="U25" s="1280">
        <f>U26*U27/1000</f>
        <v>0</v>
      </c>
      <c r="V25" s="1281">
        <f t="shared" si="4"/>
        <v>0</v>
      </c>
      <c r="W25" s="2093"/>
      <c r="X25" s="2093"/>
      <c r="Y25" s="2092"/>
      <c r="Z25" s="1376"/>
    </row>
    <row r="26" spans="1:26" s="1263" customFormat="1" hidden="1" outlineLevel="2">
      <c r="A26" s="1267">
        <v>439</v>
      </c>
      <c r="B26" s="1294" t="s">
        <v>1346</v>
      </c>
      <c r="C26" s="1295" t="s">
        <v>1330</v>
      </c>
      <c r="D26" s="1457" t="s">
        <v>1331</v>
      </c>
      <c r="E26" s="1296"/>
      <c r="F26" s="1297"/>
      <c r="G26" s="1281">
        <f t="shared" si="5"/>
        <v>0</v>
      </c>
      <c r="H26" s="1296"/>
      <c r="I26" s="1297"/>
      <c r="J26" s="1276">
        <f t="shared" si="0"/>
        <v>0</v>
      </c>
      <c r="K26" s="1296"/>
      <c r="L26" s="1297"/>
      <c r="M26" s="1370">
        <f t="shared" si="1"/>
        <v>0</v>
      </c>
      <c r="N26" s="1296"/>
      <c r="O26" s="1297"/>
      <c r="P26" s="1281">
        <f t="shared" si="2"/>
        <v>0</v>
      </c>
      <c r="Q26" s="1296"/>
      <c r="R26" s="2870"/>
      <c r="S26" s="1370">
        <f t="shared" si="3"/>
        <v>0</v>
      </c>
      <c r="T26" s="1296"/>
      <c r="U26" s="1297"/>
      <c r="V26" s="1281">
        <f t="shared" si="4"/>
        <v>0</v>
      </c>
      <c r="W26" s="2094"/>
      <c r="X26" s="2094"/>
      <c r="Y26" s="2092"/>
      <c r="Z26" s="1376"/>
    </row>
    <row r="27" spans="1:26" s="1263" customFormat="1" hidden="1" outlineLevel="2">
      <c r="A27" s="1267">
        <v>440</v>
      </c>
      <c r="B27" s="1294" t="s">
        <v>1347</v>
      </c>
      <c r="C27" s="1295" t="s">
        <v>1327</v>
      </c>
      <c r="D27" s="1457" t="s">
        <v>1328</v>
      </c>
      <c r="E27" s="1296"/>
      <c r="F27" s="1297"/>
      <c r="G27" s="1281">
        <f t="shared" si="5"/>
        <v>0</v>
      </c>
      <c r="H27" s="1296"/>
      <c r="I27" s="1297"/>
      <c r="J27" s="1276">
        <f t="shared" si="0"/>
        <v>0</v>
      </c>
      <c r="K27" s="1296"/>
      <c r="L27" s="1297"/>
      <c r="M27" s="1370">
        <f t="shared" si="1"/>
        <v>0</v>
      </c>
      <c r="N27" s="1296"/>
      <c r="O27" s="1297"/>
      <c r="P27" s="1281">
        <f t="shared" si="2"/>
        <v>0</v>
      </c>
      <c r="Q27" s="1296"/>
      <c r="R27" s="2870"/>
      <c r="S27" s="1370">
        <f t="shared" si="3"/>
        <v>0</v>
      </c>
      <c r="T27" s="1296"/>
      <c r="U27" s="1297"/>
      <c r="V27" s="1281">
        <f t="shared" si="4"/>
        <v>0</v>
      </c>
      <c r="W27" s="2094"/>
      <c r="X27" s="2094"/>
      <c r="Y27" s="2092"/>
      <c r="Z27" s="1376"/>
    </row>
    <row r="28" spans="1:26" s="1263" customFormat="1" hidden="1" outlineLevel="2">
      <c r="A28" s="1267">
        <v>650</v>
      </c>
      <c r="B28" s="1292" t="s">
        <v>1348</v>
      </c>
      <c r="C28" s="1293" t="s">
        <v>1349</v>
      </c>
      <c r="D28" s="1454"/>
      <c r="E28" s="1279">
        <f>E29*E30/1000</f>
        <v>0</v>
      </c>
      <c r="F28" s="1280">
        <f>F29*F30/1000</f>
        <v>0</v>
      </c>
      <c r="G28" s="1281">
        <f t="shared" si="5"/>
        <v>0</v>
      </c>
      <c r="H28" s="1279">
        <f>H29*H30/1000</f>
        <v>0</v>
      </c>
      <c r="I28" s="1280">
        <f>I29*I30/1000</f>
        <v>0</v>
      </c>
      <c r="J28" s="1276">
        <f t="shared" si="0"/>
        <v>0</v>
      </c>
      <c r="K28" s="1279">
        <f>K29*K30/1000</f>
        <v>0</v>
      </c>
      <c r="L28" s="1280">
        <f>L29*L30/1000</f>
        <v>0</v>
      </c>
      <c r="M28" s="1370">
        <f t="shared" si="1"/>
        <v>0</v>
      </c>
      <c r="N28" s="1279">
        <f>N29*N30/1000</f>
        <v>0</v>
      </c>
      <c r="O28" s="1280">
        <f>O29*O30/1000</f>
        <v>0</v>
      </c>
      <c r="P28" s="1281">
        <f t="shared" si="2"/>
        <v>0</v>
      </c>
      <c r="Q28" s="1279">
        <f>Q29*Q30/1000</f>
        <v>0</v>
      </c>
      <c r="R28" s="2867">
        <f>R29*R30/1000</f>
        <v>0</v>
      </c>
      <c r="S28" s="1370">
        <f t="shared" si="3"/>
        <v>0</v>
      </c>
      <c r="T28" s="1279">
        <f>T29*T30/1000</f>
        <v>0</v>
      </c>
      <c r="U28" s="1280">
        <f>U29*U30/1000</f>
        <v>0</v>
      </c>
      <c r="V28" s="1281">
        <f t="shared" si="4"/>
        <v>0</v>
      </c>
      <c r="W28" s="2093"/>
      <c r="X28" s="2093"/>
      <c r="Y28" s="2092"/>
      <c r="Z28" s="1376"/>
    </row>
    <row r="29" spans="1:26" s="1263" customFormat="1" hidden="1" outlineLevel="2">
      <c r="A29" s="1267">
        <v>651</v>
      </c>
      <c r="B29" s="1294" t="s">
        <v>1350</v>
      </c>
      <c r="C29" s="1295" t="s">
        <v>1327</v>
      </c>
      <c r="D29" s="1457" t="s">
        <v>1328</v>
      </c>
      <c r="E29" s="1296"/>
      <c r="F29" s="1297"/>
      <c r="G29" s="1281">
        <f t="shared" si="5"/>
        <v>0</v>
      </c>
      <c r="H29" s="1296"/>
      <c r="I29" s="1297"/>
      <c r="J29" s="1276">
        <f t="shared" si="0"/>
        <v>0</v>
      </c>
      <c r="K29" s="1296"/>
      <c r="L29" s="1297"/>
      <c r="M29" s="1370">
        <f t="shared" si="1"/>
        <v>0</v>
      </c>
      <c r="N29" s="1296"/>
      <c r="O29" s="1297"/>
      <c r="P29" s="1281">
        <f t="shared" si="2"/>
        <v>0</v>
      </c>
      <c r="Q29" s="1296"/>
      <c r="R29" s="2870"/>
      <c r="S29" s="1370">
        <f t="shared" si="3"/>
        <v>0</v>
      </c>
      <c r="T29" s="1296"/>
      <c r="U29" s="1297"/>
      <c r="V29" s="1281">
        <f t="shared" si="4"/>
        <v>0</v>
      </c>
      <c r="W29" s="2094"/>
      <c r="X29" s="2094"/>
      <c r="Y29" s="2092"/>
      <c r="Z29" s="1376"/>
    </row>
    <row r="30" spans="1:26" s="1263" customFormat="1" hidden="1" outlineLevel="2">
      <c r="A30" s="1267">
        <v>652</v>
      </c>
      <c r="B30" s="1294" t="s">
        <v>1351</v>
      </c>
      <c r="C30" s="1295" t="s">
        <v>1330</v>
      </c>
      <c r="D30" s="1457" t="s">
        <v>1331</v>
      </c>
      <c r="E30" s="1296"/>
      <c r="F30" s="1297"/>
      <c r="G30" s="1281">
        <f t="shared" si="5"/>
        <v>0</v>
      </c>
      <c r="H30" s="1296"/>
      <c r="I30" s="1297"/>
      <c r="J30" s="1276">
        <f t="shared" si="0"/>
        <v>0</v>
      </c>
      <c r="K30" s="1296"/>
      <c r="L30" s="1297"/>
      <c r="M30" s="1370">
        <f t="shared" si="1"/>
        <v>0</v>
      </c>
      <c r="N30" s="1296"/>
      <c r="O30" s="1297"/>
      <c r="P30" s="1281">
        <f t="shared" si="2"/>
        <v>0</v>
      </c>
      <c r="Q30" s="1296"/>
      <c r="R30" s="2870"/>
      <c r="S30" s="1370">
        <f t="shared" si="3"/>
        <v>0</v>
      </c>
      <c r="T30" s="1296"/>
      <c r="U30" s="1297"/>
      <c r="V30" s="1281">
        <f t="shared" si="4"/>
        <v>0</v>
      </c>
      <c r="W30" s="2094"/>
      <c r="X30" s="2094"/>
      <c r="Y30" s="2092"/>
      <c r="Z30" s="1376"/>
    </row>
    <row r="31" spans="1:26" s="1263" customFormat="1" hidden="1" outlineLevel="2">
      <c r="A31" s="1267">
        <v>343</v>
      </c>
      <c r="B31" s="1292" t="s">
        <v>1352</v>
      </c>
      <c r="C31" s="1293" t="s">
        <v>1353</v>
      </c>
      <c r="D31" s="1454"/>
      <c r="E31" s="1279">
        <f>E32+E35+E38+E41+E44+E47+E50</f>
        <v>205.05054749999999</v>
      </c>
      <c r="F31" s="1280">
        <f>F32+F35+F38+F41+F44+F47+F50</f>
        <v>205.05054749999999</v>
      </c>
      <c r="G31" s="1281">
        <f t="shared" si="5"/>
        <v>205.05054749999999</v>
      </c>
      <c r="H31" s="1279">
        <f>H32+H35+H38+H41+H44+H47+H50</f>
        <v>0</v>
      </c>
      <c r="I31" s="1280">
        <f>I32+I35+I38+I41+I44+I47+I50</f>
        <v>0</v>
      </c>
      <c r="J31" s="1276">
        <f t="shared" si="0"/>
        <v>0</v>
      </c>
      <c r="K31" s="1279">
        <f>K32+K35+K38+K41+K44+K47+K50</f>
        <v>0</v>
      </c>
      <c r="L31" s="1280">
        <f>L32+L35+L38+L41+L44+L47+L50</f>
        <v>0</v>
      </c>
      <c r="M31" s="1370">
        <f t="shared" si="1"/>
        <v>0</v>
      </c>
      <c r="N31" s="1279">
        <f>N32+N35+N38+N41+N44+N47+N50</f>
        <v>0</v>
      </c>
      <c r="O31" s="1280">
        <f>O32+O35+O38+O41+O44+O47+O50</f>
        <v>0</v>
      </c>
      <c r="P31" s="1281">
        <f t="shared" si="2"/>
        <v>0</v>
      </c>
      <c r="Q31" s="1279">
        <f>Q32+Q35+Q38+Q41+Q44+Q47+Q50</f>
        <v>0</v>
      </c>
      <c r="R31" s="2867">
        <f>R32+R35+R38+R41+R44+R47+R50</f>
        <v>0</v>
      </c>
      <c r="S31" s="1370">
        <f t="shared" si="3"/>
        <v>0</v>
      </c>
      <c r="T31" s="1279">
        <f>T32+T35+T38+T41+T44+T47+T50</f>
        <v>0</v>
      </c>
      <c r="U31" s="1280">
        <f>U32+U35+U38+U41+U44+U47+U50</f>
        <v>0</v>
      </c>
      <c r="V31" s="1281">
        <f t="shared" si="4"/>
        <v>0</v>
      </c>
      <c r="W31" s="2093"/>
      <c r="X31" s="2093"/>
      <c r="Y31" s="2092"/>
      <c r="Z31" s="1376"/>
    </row>
    <row r="32" spans="1:26" s="1263" customFormat="1" hidden="1" outlineLevel="2">
      <c r="A32" s="1267">
        <v>344</v>
      </c>
      <c r="B32" s="1292" t="s">
        <v>1354</v>
      </c>
      <c r="C32" s="1293" t="s">
        <v>1355</v>
      </c>
      <c r="D32" s="1454"/>
      <c r="E32" s="1279">
        <f>E33*E34/1000</f>
        <v>0</v>
      </c>
      <c r="F32" s="1280">
        <f>F33*F34/1000</f>
        <v>0</v>
      </c>
      <c r="G32" s="1281">
        <f t="shared" si="5"/>
        <v>0</v>
      </c>
      <c r="H32" s="1279">
        <f>H33*H34/1000</f>
        <v>0</v>
      </c>
      <c r="I32" s="1280">
        <f>I33*I34/1000</f>
        <v>0</v>
      </c>
      <c r="J32" s="1276">
        <f t="shared" si="0"/>
        <v>0</v>
      </c>
      <c r="K32" s="1279">
        <f>K33*K34/1000</f>
        <v>0</v>
      </c>
      <c r="L32" s="1280">
        <f>L33*L34/1000</f>
        <v>0</v>
      </c>
      <c r="M32" s="1370">
        <f t="shared" si="1"/>
        <v>0</v>
      </c>
      <c r="N32" s="1279">
        <f>N33*N34/1000</f>
        <v>0</v>
      </c>
      <c r="O32" s="1280">
        <f>O33*O34/1000</f>
        <v>0</v>
      </c>
      <c r="P32" s="1281">
        <f t="shared" si="2"/>
        <v>0</v>
      </c>
      <c r="Q32" s="1279">
        <f>Q33*Q34/1000</f>
        <v>0</v>
      </c>
      <c r="R32" s="2867">
        <f>R33*R34/1000</f>
        <v>0</v>
      </c>
      <c r="S32" s="1370">
        <f t="shared" si="3"/>
        <v>0</v>
      </c>
      <c r="T32" s="1279">
        <f>T33*T34/1000</f>
        <v>0</v>
      </c>
      <c r="U32" s="1280">
        <f>U33*U34/1000</f>
        <v>0</v>
      </c>
      <c r="V32" s="1281">
        <f t="shared" si="4"/>
        <v>0</v>
      </c>
      <c r="W32" s="2093"/>
      <c r="X32" s="2093"/>
      <c r="Y32" s="2092"/>
      <c r="Z32" s="1376"/>
    </row>
    <row r="33" spans="1:26" s="1263" customFormat="1" hidden="1" outlineLevel="2">
      <c r="A33" s="1267">
        <v>443</v>
      </c>
      <c r="B33" s="1294" t="s">
        <v>1356</v>
      </c>
      <c r="C33" s="1295" t="s">
        <v>1330</v>
      </c>
      <c r="D33" s="1457" t="s">
        <v>1331</v>
      </c>
      <c r="E33" s="1296"/>
      <c r="F33" s="1297"/>
      <c r="G33" s="1281">
        <f t="shared" si="5"/>
        <v>0</v>
      </c>
      <c r="H33" s="1296"/>
      <c r="I33" s="1297"/>
      <c r="J33" s="1276">
        <f t="shared" si="0"/>
        <v>0</v>
      </c>
      <c r="K33" s="1296"/>
      <c r="L33" s="1297"/>
      <c r="M33" s="1370">
        <f t="shared" si="1"/>
        <v>0</v>
      </c>
      <c r="N33" s="1296"/>
      <c r="O33" s="1297"/>
      <c r="P33" s="1281">
        <f t="shared" si="2"/>
        <v>0</v>
      </c>
      <c r="Q33" s="1296"/>
      <c r="R33" s="2870"/>
      <c r="S33" s="1370">
        <f t="shared" si="3"/>
        <v>0</v>
      </c>
      <c r="T33" s="1296"/>
      <c r="U33" s="1297"/>
      <c r="V33" s="1281">
        <f t="shared" si="4"/>
        <v>0</v>
      </c>
      <c r="W33" s="2094"/>
      <c r="X33" s="2094"/>
      <c r="Y33" s="2092"/>
      <c r="Z33" s="1376"/>
    </row>
    <row r="34" spans="1:26" s="1263" customFormat="1" hidden="1" outlineLevel="2">
      <c r="A34" s="1267">
        <v>444</v>
      </c>
      <c r="B34" s="1294" t="s">
        <v>1357</v>
      </c>
      <c r="C34" s="1295" t="s">
        <v>1327</v>
      </c>
      <c r="D34" s="1457" t="s">
        <v>1328</v>
      </c>
      <c r="E34" s="1296"/>
      <c r="F34" s="1297"/>
      <c r="G34" s="1281">
        <f t="shared" si="5"/>
        <v>0</v>
      </c>
      <c r="H34" s="1296"/>
      <c r="I34" s="1297"/>
      <c r="J34" s="1276">
        <f t="shared" si="0"/>
        <v>0</v>
      </c>
      <c r="K34" s="1296"/>
      <c r="L34" s="1297"/>
      <c r="M34" s="1370">
        <f t="shared" si="1"/>
        <v>0</v>
      </c>
      <c r="N34" s="1296"/>
      <c r="O34" s="1297"/>
      <c r="P34" s="1281">
        <f t="shared" si="2"/>
        <v>0</v>
      </c>
      <c r="Q34" s="1296"/>
      <c r="R34" s="2870"/>
      <c r="S34" s="1370">
        <f t="shared" si="3"/>
        <v>0</v>
      </c>
      <c r="T34" s="1296"/>
      <c r="U34" s="1297"/>
      <c r="V34" s="1281">
        <f t="shared" si="4"/>
        <v>0</v>
      </c>
      <c r="W34" s="2094"/>
      <c r="X34" s="2094"/>
      <c r="Y34" s="2092"/>
      <c r="Z34" s="1376"/>
    </row>
    <row r="35" spans="1:26" s="1263" customFormat="1" hidden="1" outlineLevel="2">
      <c r="A35" s="1267">
        <v>346</v>
      </c>
      <c r="B35" s="1292" t="s">
        <v>1358</v>
      </c>
      <c r="C35" s="1293" t="s">
        <v>1359</v>
      </c>
      <c r="D35" s="1454"/>
      <c r="E35" s="1279">
        <f>E36*E37/1000</f>
        <v>0</v>
      </c>
      <c r="F35" s="1280">
        <f>F36*F37/1000</f>
        <v>0</v>
      </c>
      <c r="G35" s="1281">
        <f t="shared" si="5"/>
        <v>0</v>
      </c>
      <c r="H35" s="1279">
        <f>H36*H37/1000</f>
        <v>0</v>
      </c>
      <c r="I35" s="1280">
        <f>I36*I37/1000</f>
        <v>0</v>
      </c>
      <c r="J35" s="1276">
        <f t="shared" si="0"/>
        <v>0</v>
      </c>
      <c r="K35" s="1279">
        <f>K36*K37/1000</f>
        <v>0</v>
      </c>
      <c r="L35" s="1280">
        <f>L36*L37/1000</f>
        <v>0</v>
      </c>
      <c r="M35" s="1370">
        <f t="shared" si="1"/>
        <v>0</v>
      </c>
      <c r="N35" s="1279">
        <f>N36*N37/1000</f>
        <v>0</v>
      </c>
      <c r="O35" s="1280">
        <f>O36*O37/1000</f>
        <v>0</v>
      </c>
      <c r="P35" s="1281">
        <f t="shared" si="2"/>
        <v>0</v>
      </c>
      <c r="Q35" s="1279">
        <f>Q36*Q37/1000</f>
        <v>0</v>
      </c>
      <c r="R35" s="2867">
        <f>R36*R37/1000</f>
        <v>0</v>
      </c>
      <c r="S35" s="1370">
        <f t="shared" si="3"/>
        <v>0</v>
      </c>
      <c r="T35" s="1279">
        <f>T36*T37/1000</f>
        <v>0</v>
      </c>
      <c r="U35" s="1280">
        <f>U36*U37/1000</f>
        <v>0</v>
      </c>
      <c r="V35" s="1281">
        <f t="shared" si="4"/>
        <v>0</v>
      </c>
      <c r="W35" s="2093"/>
      <c r="X35" s="2093"/>
      <c r="Y35" s="2092"/>
      <c r="Z35" s="1376"/>
    </row>
    <row r="36" spans="1:26" s="1263" customFormat="1" hidden="1" outlineLevel="2">
      <c r="A36" s="1267">
        <v>445</v>
      </c>
      <c r="B36" s="1294" t="s">
        <v>1360</v>
      </c>
      <c r="C36" s="1295" t="s">
        <v>1327</v>
      </c>
      <c r="D36" s="1457" t="s">
        <v>1328</v>
      </c>
      <c r="E36" s="1296"/>
      <c r="F36" s="1297"/>
      <c r="G36" s="1281">
        <f t="shared" si="5"/>
        <v>0</v>
      </c>
      <c r="H36" s="1296"/>
      <c r="I36" s="1297"/>
      <c r="J36" s="1276">
        <f t="shared" si="0"/>
        <v>0</v>
      </c>
      <c r="K36" s="1296"/>
      <c r="L36" s="1297"/>
      <c r="M36" s="1370">
        <f t="shared" si="1"/>
        <v>0</v>
      </c>
      <c r="N36" s="1296"/>
      <c r="O36" s="1297"/>
      <c r="P36" s="1281">
        <f t="shared" si="2"/>
        <v>0</v>
      </c>
      <c r="Q36" s="1296"/>
      <c r="R36" s="2870"/>
      <c r="S36" s="1370">
        <f t="shared" si="3"/>
        <v>0</v>
      </c>
      <c r="T36" s="1296"/>
      <c r="U36" s="1297"/>
      <c r="V36" s="1281">
        <f t="shared" si="4"/>
        <v>0</v>
      </c>
      <c r="W36" s="2094"/>
      <c r="X36" s="2094"/>
      <c r="Y36" s="2092"/>
      <c r="Z36" s="1376"/>
    </row>
    <row r="37" spans="1:26" s="1263" customFormat="1" hidden="1" outlineLevel="2">
      <c r="A37" s="1267">
        <v>446</v>
      </c>
      <c r="B37" s="1294" t="s">
        <v>1361</v>
      </c>
      <c r="C37" s="1295" t="s">
        <v>1330</v>
      </c>
      <c r="D37" s="1457" t="s">
        <v>1331</v>
      </c>
      <c r="E37" s="1296"/>
      <c r="F37" s="1297"/>
      <c r="G37" s="1281">
        <f t="shared" si="5"/>
        <v>0</v>
      </c>
      <c r="H37" s="1296"/>
      <c r="I37" s="1297"/>
      <c r="J37" s="1276">
        <f t="shared" si="0"/>
        <v>0</v>
      </c>
      <c r="K37" s="1296"/>
      <c r="L37" s="1297"/>
      <c r="M37" s="1370">
        <f t="shared" si="1"/>
        <v>0</v>
      </c>
      <c r="N37" s="1296"/>
      <c r="O37" s="1297"/>
      <c r="P37" s="1281">
        <f t="shared" si="2"/>
        <v>0</v>
      </c>
      <c r="Q37" s="1296"/>
      <c r="R37" s="2870"/>
      <c r="S37" s="1370">
        <f t="shared" si="3"/>
        <v>0</v>
      </c>
      <c r="T37" s="1296"/>
      <c r="U37" s="1297"/>
      <c r="V37" s="1281">
        <f t="shared" si="4"/>
        <v>0</v>
      </c>
      <c r="W37" s="2094"/>
      <c r="X37" s="2094"/>
      <c r="Y37" s="2092"/>
      <c r="Z37" s="1376"/>
    </row>
    <row r="38" spans="1:26" s="1263" customFormat="1" hidden="1" outlineLevel="2">
      <c r="A38" s="1267">
        <v>620</v>
      </c>
      <c r="B38" s="1292" t="s">
        <v>1362</v>
      </c>
      <c r="C38" s="1293" t="s">
        <v>1363</v>
      </c>
      <c r="D38" s="1454"/>
      <c r="E38" s="1279">
        <f>E39*E40/1000</f>
        <v>0</v>
      </c>
      <c r="F38" s="1280">
        <f>F39*F40/1000</f>
        <v>0</v>
      </c>
      <c r="G38" s="1281">
        <f t="shared" si="5"/>
        <v>0</v>
      </c>
      <c r="H38" s="1279">
        <f>H39*H40/1000</f>
        <v>0</v>
      </c>
      <c r="I38" s="1280">
        <f>I39*I40/1000</f>
        <v>0</v>
      </c>
      <c r="J38" s="1276">
        <f t="shared" si="0"/>
        <v>0</v>
      </c>
      <c r="K38" s="1279">
        <f>K39*K40/1000</f>
        <v>0</v>
      </c>
      <c r="L38" s="1280">
        <f>L39*L40/1000</f>
        <v>0</v>
      </c>
      <c r="M38" s="1370">
        <f t="shared" si="1"/>
        <v>0</v>
      </c>
      <c r="N38" s="1279">
        <f>N39*N40/1000</f>
        <v>0</v>
      </c>
      <c r="O38" s="1280">
        <f>O39*O40/1000</f>
        <v>0</v>
      </c>
      <c r="P38" s="1281">
        <f t="shared" si="2"/>
        <v>0</v>
      </c>
      <c r="Q38" s="1279">
        <f>Q39*Q40/1000</f>
        <v>0</v>
      </c>
      <c r="R38" s="2867">
        <f>R39*R40/1000</f>
        <v>0</v>
      </c>
      <c r="S38" s="1370">
        <f t="shared" si="3"/>
        <v>0</v>
      </c>
      <c r="T38" s="1279">
        <f>T39*T40/1000</f>
        <v>0</v>
      </c>
      <c r="U38" s="1280">
        <f>U39*U40/1000</f>
        <v>0</v>
      </c>
      <c r="V38" s="1281">
        <f t="shared" si="4"/>
        <v>0</v>
      </c>
      <c r="W38" s="2093"/>
      <c r="X38" s="2093"/>
      <c r="Y38" s="2092"/>
      <c r="Z38" s="1376"/>
    </row>
    <row r="39" spans="1:26" s="1263" customFormat="1" hidden="1" outlineLevel="2">
      <c r="A39" s="1267">
        <v>621</v>
      </c>
      <c r="B39" s="1294" t="s">
        <v>1364</v>
      </c>
      <c r="C39" s="1295" t="s">
        <v>1327</v>
      </c>
      <c r="D39" s="1457" t="s">
        <v>1328</v>
      </c>
      <c r="E39" s="1296"/>
      <c r="F39" s="1297"/>
      <c r="G39" s="1281">
        <f t="shared" si="5"/>
        <v>0</v>
      </c>
      <c r="H39" s="1296"/>
      <c r="I39" s="1297"/>
      <c r="J39" s="1276">
        <f t="shared" si="0"/>
        <v>0</v>
      </c>
      <c r="K39" s="1296"/>
      <c r="L39" s="1297"/>
      <c r="M39" s="1370">
        <f t="shared" si="1"/>
        <v>0</v>
      </c>
      <c r="N39" s="1296"/>
      <c r="O39" s="1297"/>
      <c r="P39" s="1281">
        <f t="shared" si="2"/>
        <v>0</v>
      </c>
      <c r="Q39" s="1296"/>
      <c r="R39" s="2870"/>
      <c r="S39" s="1370">
        <f t="shared" si="3"/>
        <v>0</v>
      </c>
      <c r="T39" s="1296"/>
      <c r="U39" s="1297"/>
      <c r="V39" s="1281">
        <f t="shared" si="4"/>
        <v>0</v>
      </c>
      <c r="W39" s="2094"/>
      <c r="X39" s="2094"/>
      <c r="Y39" s="2092"/>
      <c r="Z39" s="1376"/>
    </row>
    <row r="40" spans="1:26" s="1263" customFormat="1" hidden="1" outlineLevel="2">
      <c r="A40" s="1267">
        <v>622</v>
      </c>
      <c r="B40" s="1294" t="s">
        <v>1365</v>
      </c>
      <c r="C40" s="1295" t="s">
        <v>1330</v>
      </c>
      <c r="D40" s="1457" t="s">
        <v>1331</v>
      </c>
      <c r="E40" s="1296"/>
      <c r="F40" s="1297"/>
      <c r="G40" s="1281">
        <f t="shared" si="5"/>
        <v>0</v>
      </c>
      <c r="H40" s="1296"/>
      <c r="I40" s="1297"/>
      <c r="J40" s="1276">
        <f t="shared" si="0"/>
        <v>0</v>
      </c>
      <c r="K40" s="1296"/>
      <c r="L40" s="1297"/>
      <c r="M40" s="1370">
        <f t="shared" si="1"/>
        <v>0</v>
      </c>
      <c r="N40" s="1296"/>
      <c r="O40" s="1297"/>
      <c r="P40" s="1281">
        <f t="shared" si="2"/>
        <v>0</v>
      </c>
      <c r="Q40" s="1296"/>
      <c r="R40" s="2870"/>
      <c r="S40" s="1370">
        <f t="shared" si="3"/>
        <v>0</v>
      </c>
      <c r="T40" s="1296"/>
      <c r="U40" s="1297"/>
      <c r="V40" s="1281">
        <f t="shared" si="4"/>
        <v>0</v>
      </c>
      <c r="W40" s="2094"/>
      <c r="X40" s="2094"/>
      <c r="Y40" s="2092"/>
      <c r="Z40" s="1376"/>
    </row>
    <row r="41" spans="1:26" s="1263" customFormat="1" hidden="1" outlineLevel="2">
      <c r="A41" s="1267">
        <v>635</v>
      </c>
      <c r="B41" s="1292" t="s">
        <v>1366</v>
      </c>
      <c r="C41" s="1293" t="s">
        <v>1367</v>
      </c>
      <c r="D41" s="1454"/>
      <c r="E41" s="1279">
        <f>E42*E43/1000</f>
        <v>205.05054749999999</v>
      </c>
      <c r="F41" s="1280">
        <f>F42*F43/1000</f>
        <v>205.05054749999999</v>
      </c>
      <c r="G41" s="1281">
        <f t="shared" si="5"/>
        <v>205.05054749999999</v>
      </c>
      <c r="H41" s="1279">
        <f>H42*H43/1000</f>
        <v>0</v>
      </c>
      <c r="I41" s="1280">
        <f>I42*I43/1000</f>
        <v>0</v>
      </c>
      <c r="J41" s="1276">
        <f t="shared" si="0"/>
        <v>0</v>
      </c>
      <c r="K41" s="1279">
        <f>K42*K43/1000</f>
        <v>0</v>
      </c>
      <c r="L41" s="1280">
        <f>L42*L43/1000</f>
        <v>0</v>
      </c>
      <c r="M41" s="1370">
        <f t="shared" si="1"/>
        <v>0</v>
      </c>
      <c r="N41" s="1279">
        <f>N42*N43/1000</f>
        <v>0</v>
      </c>
      <c r="O41" s="1280">
        <f>O42*O43/1000</f>
        <v>0</v>
      </c>
      <c r="P41" s="1281">
        <f t="shared" si="2"/>
        <v>0</v>
      </c>
      <c r="Q41" s="1279">
        <f>Q42*Q43/1000</f>
        <v>0</v>
      </c>
      <c r="R41" s="2867">
        <f>R42*R43/1000</f>
        <v>0</v>
      </c>
      <c r="S41" s="1370">
        <f t="shared" si="3"/>
        <v>0</v>
      </c>
      <c r="T41" s="1279">
        <f>T42*T43/1000</f>
        <v>0</v>
      </c>
      <c r="U41" s="1280">
        <f>U42*U43/1000</f>
        <v>0</v>
      </c>
      <c r="V41" s="1281">
        <f t="shared" si="4"/>
        <v>0</v>
      </c>
      <c r="W41" s="2093"/>
      <c r="X41" s="2093"/>
      <c r="Y41" s="2092"/>
      <c r="Z41" s="1376"/>
    </row>
    <row r="42" spans="1:26" s="1263" customFormat="1" hidden="1" outlineLevel="2">
      <c r="A42" s="1267">
        <v>636</v>
      </c>
      <c r="B42" s="1294" t="s">
        <v>1368</v>
      </c>
      <c r="C42" s="1295" t="s">
        <v>1327</v>
      </c>
      <c r="D42" s="1457" t="s">
        <v>1328</v>
      </c>
      <c r="E42" s="1296" t="s">
        <v>1369</v>
      </c>
      <c r="F42" s="1297" t="s">
        <v>1369</v>
      </c>
      <c r="G42" s="1281">
        <f t="shared" si="5"/>
        <v>0.75</v>
      </c>
      <c r="H42" s="1296"/>
      <c r="I42" s="1297"/>
      <c r="J42" s="1276">
        <f t="shared" si="0"/>
        <v>0</v>
      </c>
      <c r="K42" s="1296"/>
      <c r="L42" s="1297"/>
      <c r="M42" s="1370">
        <f t="shared" si="1"/>
        <v>0</v>
      </c>
      <c r="N42" s="1296"/>
      <c r="O42" s="1297"/>
      <c r="P42" s="1281">
        <f t="shared" si="2"/>
        <v>0</v>
      </c>
      <c r="Q42" s="1296"/>
      <c r="R42" s="2870"/>
      <c r="S42" s="1370">
        <f t="shared" si="3"/>
        <v>0</v>
      </c>
      <c r="T42" s="1296"/>
      <c r="U42" s="1297"/>
      <c r="V42" s="1281">
        <f t="shared" si="4"/>
        <v>0</v>
      </c>
      <c r="W42" s="2094"/>
      <c r="X42" s="2094"/>
      <c r="Y42" s="2092"/>
      <c r="Z42" s="1376"/>
    </row>
    <row r="43" spans="1:26" s="1263" customFormat="1" hidden="1" outlineLevel="2">
      <c r="A43" s="1267">
        <v>637</v>
      </c>
      <c r="B43" s="1294" t="s">
        <v>1370</v>
      </c>
      <c r="C43" s="1295" t="s">
        <v>1330</v>
      </c>
      <c r="D43" s="1457" t="s">
        <v>1331</v>
      </c>
      <c r="E43" s="1296" t="s">
        <v>1371</v>
      </c>
      <c r="F43" s="1297" t="s">
        <v>1371</v>
      </c>
      <c r="G43" s="1281">
        <f t="shared" si="5"/>
        <v>273400.73</v>
      </c>
      <c r="H43" s="1296"/>
      <c r="I43" s="1297"/>
      <c r="J43" s="1276">
        <f t="shared" si="0"/>
        <v>0</v>
      </c>
      <c r="K43" s="1296"/>
      <c r="L43" s="1297"/>
      <c r="M43" s="1370">
        <f t="shared" si="1"/>
        <v>0</v>
      </c>
      <c r="N43" s="1296"/>
      <c r="O43" s="1297"/>
      <c r="P43" s="1281">
        <f t="shared" si="2"/>
        <v>0</v>
      </c>
      <c r="Q43" s="1296"/>
      <c r="R43" s="2870"/>
      <c r="S43" s="1370">
        <f t="shared" si="3"/>
        <v>0</v>
      </c>
      <c r="T43" s="1296"/>
      <c r="U43" s="1297"/>
      <c r="V43" s="1281">
        <f t="shared" si="4"/>
        <v>0</v>
      </c>
      <c r="W43" s="2094"/>
      <c r="X43" s="2094"/>
      <c r="Y43" s="2092"/>
      <c r="Z43" s="1376"/>
    </row>
    <row r="44" spans="1:26" s="1263" customFormat="1" hidden="1" outlineLevel="2">
      <c r="A44" s="1267">
        <v>641</v>
      </c>
      <c r="B44" s="1292" t="s">
        <v>1372</v>
      </c>
      <c r="C44" s="1293" t="s">
        <v>1373</v>
      </c>
      <c r="D44" s="1454"/>
      <c r="E44" s="1279">
        <f>E45*E46/1000</f>
        <v>0</v>
      </c>
      <c r="F44" s="1280">
        <f>F45*F46/1000</f>
        <v>0</v>
      </c>
      <c r="G44" s="1281">
        <f t="shared" si="5"/>
        <v>0</v>
      </c>
      <c r="H44" s="1279">
        <f>H45*H46/1000</f>
        <v>0</v>
      </c>
      <c r="I44" s="1280">
        <f>I45*I46/1000</f>
        <v>0</v>
      </c>
      <c r="J44" s="1276">
        <f t="shared" si="0"/>
        <v>0</v>
      </c>
      <c r="K44" s="1279">
        <f>K45*K46/1000</f>
        <v>0</v>
      </c>
      <c r="L44" s="1280">
        <f>L45*L46/1000</f>
        <v>0</v>
      </c>
      <c r="M44" s="1370">
        <f t="shared" si="1"/>
        <v>0</v>
      </c>
      <c r="N44" s="1279">
        <f>N45*N46/1000</f>
        <v>0</v>
      </c>
      <c r="O44" s="1280">
        <f>O45*O46/1000</f>
        <v>0</v>
      </c>
      <c r="P44" s="1281">
        <f t="shared" si="2"/>
        <v>0</v>
      </c>
      <c r="Q44" s="1279">
        <f>Q45*Q46/1000</f>
        <v>0</v>
      </c>
      <c r="R44" s="2867">
        <f>R45*R46/1000</f>
        <v>0</v>
      </c>
      <c r="S44" s="1370">
        <f t="shared" si="3"/>
        <v>0</v>
      </c>
      <c r="T44" s="1279">
        <f>T45*T46/1000</f>
        <v>0</v>
      </c>
      <c r="U44" s="1280">
        <f>U45*U46/1000</f>
        <v>0</v>
      </c>
      <c r="V44" s="1281">
        <f t="shared" si="4"/>
        <v>0</v>
      </c>
      <c r="W44" s="2093"/>
      <c r="X44" s="2093"/>
      <c r="Y44" s="2092"/>
      <c r="Z44" s="1376"/>
    </row>
    <row r="45" spans="1:26" s="1263" customFormat="1" hidden="1" outlineLevel="2">
      <c r="A45" s="1267">
        <v>642</v>
      </c>
      <c r="B45" s="1294" t="s">
        <v>1374</v>
      </c>
      <c r="C45" s="1295" t="s">
        <v>1327</v>
      </c>
      <c r="D45" s="1457" t="s">
        <v>1328</v>
      </c>
      <c r="E45" s="1296"/>
      <c r="F45" s="1297"/>
      <c r="G45" s="1281">
        <f t="shared" si="5"/>
        <v>0</v>
      </c>
      <c r="H45" s="1296"/>
      <c r="I45" s="1297"/>
      <c r="J45" s="1276">
        <f t="shared" si="0"/>
        <v>0</v>
      </c>
      <c r="K45" s="1296"/>
      <c r="L45" s="1297"/>
      <c r="M45" s="1370">
        <f t="shared" si="1"/>
        <v>0</v>
      </c>
      <c r="N45" s="1296"/>
      <c r="O45" s="1297"/>
      <c r="P45" s="1281">
        <f t="shared" si="2"/>
        <v>0</v>
      </c>
      <c r="Q45" s="1296"/>
      <c r="R45" s="2870"/>
      <c r="S45" s="1370">
        <f t="shared" si="3"/>
        <v>0</v>
      </c>
      <c r="T45" s="1296"/>
      <c r="U45" s="1297"/>
      <c r="V45" s="1281">
        <f t="shared" si="4"/>
        <v>0</v>
      </c>
      <c r="W45" s="2094"/>
      <c r="X45" s="2094"/>
      <c r="Y45" s="2092"/>
      <c r="Z45" s="1376"/>
    </row>
    <row r="46" spans="1:26" s="1263" customFormat="1" hidden="1" outlineLevel="2">
      <c r="A46" s="1267">
        <v>643</v>
      </c>
      <c r="B46" s="1294" t="s">
        <v>1375</v>
      </c>
      <c r="C46" s="1295" t="s">
        <v>1330</v>
      </c>
      <c r="D46" s="1457" t="s">
        <v>1331</v>
      </c>
      <c r="E46" s="1296"/>
      <c r="F46" s="1297"/>
      <c r="G46" s="1281">
        <f t="shared" si="5"/>
        <v>0</v>
      </c>
      <c r="H46" s="1296"/>
      <c r="I46" s="1297"/>
      <c r="J46" s="1276">
        <f t="shared" si="0"/>
        <v>0</v>
      </c>
      <c r="K46" s="1296"/>
      <c r="L46" s="1297"/>
      <c r="M46" s="1370">
        <f t="shared" si="1"/>
        <v>0</v>
      </c>
      <c r="N46" s="1296"/>
      <c r="O46" s="1297"/>
      <c r="P46" s="1281">
        <f t="shared" si="2"/>
        <v>0</v>
      </c>
      <c r="Q46" s="1296"/>
      <c r="R46" s="2870"/>
      <c r="S46" s="1370">
        <f t="shared" si="3"/>
        <v>0</v>
      </c>
      <c r="T46" s="1296"/>
      <c r="U46" s="1297"/>
      <c r="V46" s="1281">
        <f t="shared" si="4"/>
        <v>0</v>
      </c>
      <c r="W46" s="2094"/>
      <c r="X46" s="2094"/>
      <c r="Y46" s="2092"/>
      <c r="Z46" s="1376"/>
    </row>
    <row r="47" spans="1:26" s="1263" customFormat="1" hidden="1" outlineLevel="2">
      <c r="A47" s="1267">
        <v>644</v>
      </c>
      <c r="B47" s="1292" t="s">
        <v>1376</v>
      </c>
      <c r="C47" s="1293" t="s">
        <v>1377</v>
      </c>
      <c r="D47" s="1454"/>
      <c r="E47" s="1279">
        <f>E48*E49/1000</f>
        <v>0</v>
      </c>
      <c r="F47" s="1280">
        <f>F48*F49/1000</f>
        <v>0</v>
      </c>
      <c r="G47" s="1281">
        <f t="shared" si="5"/>
        <v>0</v>
      </c>
      <c r="H47" s="1279">
        <f>H48*H49/1000</f>
        <v>0</v>
      </c>
      <c r="I47" s="1280">
        <f>I48*I49/1000</f>
        <v>0</v>
      </c>
      <c r="J47" s="1276">
        <f t="shared" si="0"/>
        <v>0</v>
      </c>
      <c r="K47" s="1279">
        <f>K48*K49/1000</f>
        <v>0</v>
      </c>
      <c r="L47" s="1280">
        <f>L48*L49/1000</f>
        <v>0</v>
      </c>
      <c r="M47" s="1370">
        <f t="shared" si="1"/>
        <v>0</v>
      </c>
      <c r="N47" s="1279">
        <f>N48*N49/1000</f>
        <v>0</v>
      </c>
      <c r="O47" s="1280">
        <f>O48*O49/1000</f>
        <v>0</v>
      </c>
      <c r="P47" s="1281">
        <f t="shared" si="2"/>
        <v>0</v>
      </c>
      <c r="Q47" s="1279">
        <f>Q48*Q49/1000</f>
        <v>0</v>
      </c>
      <c r="R47" s="2867">
        <f>R48*R49/1000</f>
        <v>0</v>
      </c>
      <c r="S47" s="1370">
        <f t="shared" si="3"/>
        <v>0</v>
      </c>
      <c r="T47" s="1279">
        <f>T48*T49/1000</f>
        <v>0</v>
      </c>
      <c r="U47" s="1280">
        <f>U48*U49/1000</f>
        <v>0</v>
      </c>
      <c r="V47" s="1281">
        <f t="shared" si="4"/>
        <v>0</v>
      </c>
      <c r="W47" s="2093"/>
      <c r="X47" s="2093"/>
      <c r="Y47" s="2092"/>
      <c r="Z47" s="1376"/>
    </row>
    <row r="48" spans="1:26" s="1263" customFormat="1" hidden="1" outlineLevel="2">
      <c r="A48" s="1267">
        <v>645</v>
      </c>
      <c r="B48" s="1294" t="s">
        <v>1378</v>
      </c>
      <c r="C48" s="1295" t="s">
        <v>1327</v>
      </c>
      <c r="D48" s="1457" t="s">
        <v>1328</v>
      </c>
      <c r="E48" s="1296"/>
      <c r="F48" s="1297"/>
      <c r="G48" s="1281">
        <f t="shared" si="5"/>
        <v>0</v>
      </c>
      <c r="H48" s="1296"/>
      <c r="I48" s="1297"/>
      <c r="J48" s="1276">
        <f t="shared" si="0"/>
        <v>0</v>
      </c>
      <c r="K48" s="1296"/>
      <c r="L48" s="1297"/>
      <c r="M48" s="1370">
        <f t="shared" si="1"/>
        <v>0</v>
      </c>
      <c r="N48" s="1296"/>
      <c r="O48" s="1297"/>
      <c r="P48" s="1281">
        <f t="shared" si="2"/>
        <v>0</v>
      </c>
      <c r="Q48" s="1296"/>
      <c r="R48" s="2870"/>
      <c r="S48" s="1370">
        <f t="shared" si="3"/>
        <v>0</v>
      </c>
      <c r="T48" s="1296"/>
      <c r="U48" s="1297"/>
      <c r="V48" s="1281">
        <f t="shared" si="4"/>
        <v>0</v>
      </c>
      <c r="W48" s="2094"/>
      <c r="X48" s="2094"/>
      <c r="Y48" s="2092"/>
      <c r="Z48" s="1376"/>
    </row>
    <row r="49" spans="1:26" s="1263" customFormat="1" hidden="1" outlineLevel="2">
      <c r="A49" s="1267">
        <v>646</v>
      </c>
      <c r="B49" s="1294" t="s">
        <v>1379</v>
      </c>
      <c r="C49" s="1295" t="s">
        <v>1330</v>
      </c>
      <c r="D49" s="1457" t="s">
        <v>1331</v>
      </c>
      <c r="E49" s="1296"/>
      <c r="F49" s="1297"/>
      <c r="G49" s="1281">
        <f t="shared" si="5"/>
        <v>0</v>
      </c>
      <c r="H49" s="1296"/>
      <c r="I49" s="1297"/>
      <c r="J49" s="1276">
        <f t="shared" si="0"/>
        <v>0</v>
      </c>
      <c r="K49" s="1296"/>
      <c r="L49" s="1297"/>
      <c r="M49" s="1370">
        <f t="shared" si="1"/>
        <v>0</v>
      </c>
      <c r="N49" s="1296"/>
      <c r="O49" s="1297"/>
      <c r="P49" s="1281">
        <f t="shared" si="2"/>
        <v>0</v>
      </c>
      <c r="Q49" s="1296"/>
      <c r="R49" s="2870"/>
      <c r="S49" s="1370">
        <f t="shared" si="3"/>
        <v>0</v>
      </c>
      <c r="T49" s="1296"/>
      <c r="U49" s="1297"/>
      <c r="V49" s="1281">
        <f t="shared" si="4"/>
        <v>0</v>
      </c>
      <c r="W49" s="2094"/>
      <c r="X49" s="2094"/>
      <c r="Y49" s="2092"/>
      <c r="Z49" s="1376"/>
    </row>
    <row r="50" spans="1:26" s="1263" customFormat="1" hidden="1" outlineLevel="2">
      <c r="A50" s="1267">
        <v>647</v>
      </c>
      <c r="B50" s="1292" t="s">
        <v>1380</v>
      </c>
      <c r="C50" s="1293" t="s">
        <v>1381</v>
      </c>
      <c r="D50" s="1454"/>
      <c r="E50" s="1279">
        <f>E51*E52/1000</f>
        <v>0</v>
      </c>
      <c r="F50" s="1280">
        <f>F51*F52/1000</f>
        <v>0</v>
      </c>
      <c r="G50" s="1281">
        <f t="shared" si="5"/>
        <v>0</v>
      </c>
      <c r="H50" s="1279">
        <f>H51*H52/1000</f>
        <v>0</v>
      </c>
      <c r="I50" s="1280">
        <f>I51*I52/1000</f>
        <v>0</v>
      </c>
      <c r="J50" s="1276">
        <f t="shared" si="0"/>
        <v>0</v>
      </c>
      <c r="K50" s="1279">
        <f>K51*K52/1000</f>
        <v>0</v>
      </c>
      <c r="L50" s="1280">
        <f>L51*L52/1000</f>
        <v>0</v>
      </c>
      <c r="M50" s="1370">
        <f t="shared" si="1"/>
        <v>0</v>
      </c>
      <c r="N50" s="1279">
        <f>N51*N52/1000</f>
        <v>0</v>
      </c>
      <c r="O50" s="1280">
        <f>O51*O52/1000</f>
        <v>0</v>
      </c>
      <c r="P50" s="1281">
        <f t="shared" si="2"/>
        <v>0</v>
      </c>
      <c r="Q50" s="1279">
        <f>Q51*Q52/1000</f>
        <v>0</v>
      </c>
      <c r="R50" s="2867">
        <f>R51*R52/1000</f>
        <v>0</v>
      </c>
      <c r="S50" s="1370">
        <f t="shared" si="3"/>
        <v>0</v>
      </c>
      <c r="T50" s="1279">
        <f>T51*T52/1000</f>
        <v>0</v>
      </c>
      <c r="U50" s="1280">
        <f>U51*U52/1000</f>
        <v>0</v>
      </c>
      <c r="V50" s="1281">
        <f t="shared" si="4"/>
        <v>0</v>
      </c>
      <c r="W50" s="2093"/>
      <c r="X50" s="2093"/>
      <c r="Y50" s="2092"/>
      <c r="Z50" s="1376"/>
    </row>
    <row r="51" spans="1:26" s="1263" customFormat="1" hidden="1" outlineLevel="2">
      <c r="A51" s="1267">
        <v>648</v>
      </c>
      <c r="B51" s="1294" t="s">
        <v>1382</v>
      </c>
      <c r="C51" s="1295" t="s">
        <v>1327</v>
      </c>
      <c r="D51" s="1457" t="s">
        <v>1328</v>
      </c>
      <c r="E51" s="1296"/>
      <c r="F51" s="1297"/>
      <c r="G51" s="1281">
        <f t="shared" si="5"/>
        <v>0</v>
      </c>
      <c r="H51" s="1296"/>
      <c r="I51" s="1297"/>
      <c r="J51" s="1276">
        <f t="shared" si="0"/>
        <v>0</v>
      </c>
      <c r="K51" s="1296"/>
      <c r="L51" s="1297"/>
      <c r="M51" s="1370">
        <f t="shared" si="1"/>
        <v>0</v>
      </c>
      <c r="N51" s="1296"/>
      <c r="O51" s="1297"/>
      <c r="P51" s="1281">
        <f t="shared" si="2"/>
        <v>0</v>
      </c>
      <c r="Q51" s="1296"/>
      <c r="R51" s="2870"/>
      <c r="S51" s="1370">
        <f t="shared" si="3"/>
        <v>0</v>
      </c>
      <c r="T51" s="1296"/>
      <c r="U51" s="1297"/>
      <c r="V51" s="1281">
        <f t="shared" si="4"/>
        <v>0</v>
      </c>
      <c r="W51" s="2094"/>
      <c r="X51" s="2094"/>
      <c r="Y51" s="2092"/>
      <c r="Z51" s="1376"/>
    </row>
    <row r="52" spans="1:26" s="1263" customFormat="1" hidden="1" outlineLevel="2">
      <c r="A52" s="1267">
        <v>649</v>
      </c>
      <c r="B52" s="1294" t="s">
        <v>1383</v>
      </c>
      <c r="C52" s="1295" t="s">
        <v>1330</v>
      </c>
      <c r="D52" s="1457" t="s">
        <v>1331</v>
      </c>
      <c r="E52" s="1296"/>
      <c r="F52" s="1297"/>
      <c r="G52" s="1281">
        <f t="shared" si="5"/>
        <v>0</v>
      </c>
      <c r="H52" s="1296"/>
      <c r="I52" s="1297"/>
      <c r="J52" s="1276">
        <f t="shared" si="0"/>
        <v>0</v>
      </c>
      <c r="K52" s="1296"/>
      <c r="L52" s="1297"/>
      <c r="M52" s="1370">
        <f t="shared" si="1"/>
        <v>0</v>
      </c>
      <c r="N52" s="1296"/>
      <c r="O52" s="1297"/>
      <c r="P52" s="1281">
        <f t="shared" si="2"/>
        <v>0</v>
      </c>
      <c r="Q52" s="1296"/>
      <c r="R52" s="2870"/>
      <c r="S52" s="1370">
        <f t="shared" si="3"/>
        <v>0</v>
      </c>
      <c r="T52" s="1296"/>
      <c r="U52" s="1297"/>
      <c r="V52" s="1281">
        <f t="shared" si="4"/>
        <v>0</v>
      </c>
      <c r="W52" s="2094"/>
      <c r="X52" s="2094"/>
      <c r="Y52" s="2092"/>
      <c r="Z52" s="1376"/>
    </row>
    <row r="53" spans="1:26" s="1263" customFormat="1" hidden="1" outlineLevel="2">
      <c r="A53" s="1267">
        <v>345</v>
      </c>
      <c r="B53" s="1292" t="s">
        <v>1384</v>
      </c>
      <c r="C53" s="1293" t="s">
        <v>1321</v>
      </c>
      <c r="D53" s="1454"/>
      <c r="E53" s="1279">
        <f>E54+E57+E60+E63+E66+E69+E72+E75+E78+E81+E84+E87+E90+E93+E96+E99+E102+E105+E108+E111+E117+E114+E120+E123+E126+E129+E132+E135+E138+E141+E144+E147+E150+E153+E156+E159+E162+E165+E168+E171+E174+E177+E180+E183+E186+E189+E192+E195+E198+E201+E204+E207+E210+E213+E216+E219+E222+E225+E228+E231+E234+E237+E240+E243+E246+E249+E252+E255+E258+E261+E264+E267+E270+E273+E276+E279+E282+E285+E288+E291+E294+E297+E300+E303+E306+E309</f>
        <v>4779.2053057000003</v>
      </c>
      <c r="F53" s="1280">
        <f>F54+F57+F60+F63+F66+F69+F72+F75+F78+F81+F84+F87+F90+F93+F96+F99+F102+F105+F108+F111+F117+F114+F120+F123+F126+F129+F132+F135+F138+F141+F144+F147+F150+F153+F156+F159+F162+F165+F168+F171+F174+F177+F180+F183+F186+F189+F192+F195+F198+F201+F204+F207+F210+F213+F216+F219+F222+F225+F228+F231+F234+F237+F240+F243+F246+F249+F252+F255+F258+F261+F264+F267+F270+F273+F276+F279+F282+F285+F288+F291+F294+F297+F300+F303+F306+F309</f>
        <v>4779.2053057000003</v>
      </c>
      <c r="G53" s="1281">
        <f t="shared" si="5"/>
        <v>4779.2053057000003</v>
      </c>
      <c r="H53" s="1279">
        <f>H54+H57+H60+H63+H66+H69+H72+H75+H78+H81+H84+H87+H90+H93+H96+H99+H102+H105+H108+H111+H117+H114+H120+H123+H126+H129+H132+H135+H138+H141+H144+H147+H150+H153+H156+H159+H162+H165+H168+H171+H174+H177+H180+H183+H186+H189+H192+H195+H198+H201+H204+H207+H210+H213+H216+H219+H222+H225+H228+H231+H234+H237+H240+H243+H246+H249+H252+H255+H258+H261+H264+H267+H270+H273+H276+H279+H282+H285+H288+H291+H294+H297+H300+H303+H306+H309</f>
        <v>0</v>
      </c>
      <c r="I53" s="1280">
        <f>I54+I57+I60+I63+I66+I69+I72+I75+I78+I81+I84+I87+I90+I93+I96+I99+I102+I105+I108+I111+I117+I114+I120+I123+I126+I129+I132+I135+I138+I141+I144+I147+I150+I153+I156+I159+I162+I165+I168+I171+I174+I177+I180+I183+I186+I189+I192+I195+I198+I201+I204+I207+I210+I213+I216+I219+I222+I225+I228+I231+I234+I237+I240+I243+I246+I249+I252+I255+I258+I261+I264+I267+I270+I273+I276+I279+I282+I285+I288+I291+I294+I297+I300+I303+I306+I309</f>
        <v>0</v>
      </c>
      <c r="J53" s="1276">
        <f t="shared" si="0"/>
        <v>0</v>
      </c>
      <c r="K53" s="1279">
        <f>K54+K57+K60+K63+K66+K69+K72+K75+K78+K81+K84+K87+K90+K93+K96+K99+K102+K105+K108+K111+K117+K114+K120+K123+K126+K129+K132+K135+K138+K141+K144+K147+K150+K153+K156+K159+K162+K165+K168+K171+K174+K177+K180+K183+K186+K189+K192+K195+K198+K201+K204+K207+K210+K213+K216+K219+K222+K225+K228+K231+K234+K237+K240+K243+K246+K249+K252+K255+K258+K261+K264+K267+K270+K273+K276+K279+K282+K285+K288+K291+K294+K297+K300+K303+K306+K309</f>
        <v>0</v>
      </c>
      <c r="L53" s="1280">
        <f>L54+L57+L60+L63+L66+L69+L72+L75+L78+L81+L84+L87+L90+L93+L96+L99+L102+L105+L108+L111+L117+L114+L120+L123+L126+L129+L132+L135+L138+L141+L144+L147+L150+L153+L156+L159+L162+L165+L168+L171+L174+L177+L180+L183+L186+L189+L192+L195+L198+L201+L204+L207+L210+L213+L216+L219+L222+L225+L228+L231+L234+L237+L240+L243+L246+L249+L252+L255+L258+L261+L264+L267+L270+L273+L276+L279+L282+L285+L288+L291+L294+L297+L300+L303+L306+L309</f>
        <v>0</v>
      </c>
      <c r="M53" s="1370">
        <f t="shared" si="1"/>
        <v>0</v>
      </c>
      <c r="N53" s="1279">
        <f>N54+N57+N60+N63+N66+N69+N72+N75+N78+N81+N84+N87+N90+N93+N96+N99+N102+N105+N108+N111+N117+N114+N120+N123+N126+N129+N132+N135+N138+N141+N144+N147+N150+N153+N156+N159+N162+N165+N168+N171+N174+N177+N180+N183+N186+N189+N192+N195+N198+N201+N204+N207+N210+N213+N216+N219+N222+N225+N228+N231+N234+N237+N240+N243+N246+N249+N252+N255+N258+N261+N264+N267+N270+N273+N276+N279+N282+N285+N288+N291+N294+N297+N300+N303+N306+N309</f>
        <v>0</v>
      </c>
      <c r="O53" s="1280">
        <f>O54+O57+O60+O63+O66+O69+O72+O75+O78+O81+O84+O87+O90+O93+O96+O99+O102+O105+O108+O111+O117+O114+O120+O123+O126+O129+O132+O135+O138+O141+O144+O147+O150+O153+O156+O159+O162+O165+O168+O171+O174+O177+O180+O183+O186+O189+O192+O195+O198+O201+O204+O207+O210+O213+O216+O219+O222+O225+O228+O231+O234+O237+O240+O243+O246+O249+O252+O255+O258+O261+O264+O267+O270+O273+O276+O279+O282+O285+O288+O291+O294+O297+O300+O303+O306+O309</f>
        <v>0</v>
      </c>
      <c r="P53" s="1281">
        <f t="shared" si="2"/>
        <v>0</v>
      </c>
      <c r="Q53" s="1279">
        <f>Q54+Q57+Q60+Q63+Q66+Q69+Q72+Q75+Q78+Q81+Q84+Q87+Q90+Q93+Q96+Q99+Q102+Q105+Q108+Q111+Q117+Q114+Q120+Q123+Q126+Q129+Q132+Q135+Q138+Q141+Q144+Q147+Q150+Q153+Q156+Q159+Q162+Q165+Q168+Q171+Q174+Q177+Q180+Q183+Q186+Q189+Q192+Q195+Q198+Q201+Q204+Q207+Q210+Q213+Q216+Q219+Q222+Q225+Q228+Q231+Q234+Q237+Q240+Q243+Q246+Q249+Q252+Q255+Q258+Q261+Q264+Q267+Q270+Q273+Q276+Q279+Q282+Q285+Q288+Q291+Q294+Q297+Q300+Q303+Q306+Q309</f>
        <v>0</v>
      </c>
      <c r="R53" s="2867">
        <f>R54+R57+R60+R63+R66+R69+R72+R75+R78+R81+R84+R87+R90+R93+R96+R99+R102+R105+R108+R111+R117+R114+R120+R123+R126+R129+R132+R135+R138+R141+R144+R147+R150+R153+R156+R159+R162+R165+R168+R171+R174+R177+R180+R183+R186+R189+R192+R195+R198+R201+R204+R207+R210+R213+R216+R219+R222+R225+R228+R231+R234+R237+R240+R243+R246+R249+R252+R255+R258+R261+R264+R267+R270+R273+R276+R279+R282+R285+R288+R291+R294+R297+R300+R303+R306+R309</f>
        <v>0</v>
      </c>
      <c r="S53" s="1370">
        <f t="shared" si="3"/>
        <v>0</v>
      </c>
      <c r="T53" s="1279">
        <f>T54+T57+T60+T63+T66+T69+T72+T75+T78+T81+T84+T87+T90+T93+T96+T99+T102+T105+T108+T111+T117+T114+T120+T123+T126+T129+T132+T135+T138+T141+T144+T147+T150+T153+T156+T159+T162+T165+T168+T171+T174+T177+T180+T183+T186+T189+T192+T195+T198+T201+T204+T207+T210+T213+T216+T219+T222+T225+T228+T231+T234+T237+T240+T243+T246+T249+T252+T255+T258+T261+T264+T267+T270+T273+T276+T279+T282+T285+T288+T291+T294+T297+T300+T303+T306+T309</f>
        <v>0</v>
      </c>
      <c r="U53" s="1280">
        <f>U54+U57+U60+U63+U66+U69+U72+U75+U78+U81+U84+U87+U90+U93+U96+U99+U102+U105+U108+U111+U117+U114+U120+U123+U126+U129+U132+U135+U138+U141+U144+U147+U150+U153+U156+U159+U162+U165+U168+U171+U174+U177+U180+U183+U186+U189+U192+U195+U198+U201+U204+U207+U210+U213+U216+U219+U222+U225+U228+U231+U234+U237+U240+U243+U246+U249+U252+U255+U258+U261+U264+U267+U270+U273+U276+U279+U282+U285+U288+U291+U294+U297+U300+U303+U306+U309</f>
        <v>0</v>
      </c>
      <c r="V53" s="1281">
        <f t="shared" si="4"/>
        <v>0</v>
      </c>
      <c r="W53" s="2093"/>
      <c r="X53" s="2093"/>
      <c r="Y53" s="2092"/>
      <c r="Z53" s="1376"/>
    </row>
    <row r="54" spans="1:26" s="1263" customFormat="1" hidden="1" outlineLevel="2">
      <c r="A54" s="1267">
        <v>347</v>
      </c>
      <c r="B54" s="1292" t="s">
        <v>1385</v>
      </c>
      <c r="C54" s="1293" t="s">
        <v>1386</v>
      </c>
      <c r="D54" s="1454"/>
      <c r="E54" s="1279">
        <f>E55*E56/1000</f>
        <v>0</v>
      </c>
      <c r="F54" s="1280">
        <f>F55*F56/1000</f>
        <v>0</v>
      </c>
      <c r="G54" s="1281">
        <f t="shared" si="5"/>
        <v>0</v>
      </c>
      <c r="H54" s="1279">
        <f>H55*H56/1000</f>
        <v>0</v>
      </c>
      <c r="I54" s="1280">
        <f>I55*I56/1000</f>
        <v>0</v>
      </c>
      <c r="J54" s="1276">
        <f t="shared" si="0"/>
        <v>0</v>
      </c>
      <c r="K54" s="1279">
        <f>K55*K56/1000</f>
        <v>0</v>
      </c>
      <c r="L54" s="1280">
        <f>L55*L56/1000</f>
        <v>0</v>
      </c>
      <c r="M54" s="1370">
        <f t="shared" si="1"/>
        <v>0</v>
      </c>
      <c r="N54" s="1279">
        <f>N55*N56/1000</f>
        <v>0</v>
      </c>
      <c r="O54" s="1280">
        <f>O55*O56/1000</f>
        <v>0</v>
      </c>
      <c r="P54" s="1281">
        <f t="shared" si="2"/>
        <v>0</v>
      </c>
      <c r="Q54" s="1279">
        <f>Q55*Q56/1000</f>
        <v>0</v>
      </c>
      <c r="R54" s="2867">
        <f>R55*R56/1000</f>
        <v>0</v>
      </c>
      <c r="S54" s="1370">
        <f t="shared" si="3"/>
        <v>0</v>
      </c>
      <c r="T54" s="1279">
        <f>T55*T56/1000</f>
        <v>0</v>
      </c>
      <c r="U54" s="1280">
        <f>U55*U56/1000</f>
        <v>0</v>
      </c>
      <c r="V54" s="1281">
        <f t="shared" si="4"/>
        <v>0</v>
      </c>
      <c r="W54" s="2093"/>
      <c r="X54" s="2093"/>
      <c r="Y54" s="2092"/>
      <c r="Z54" s="1376"/>
    </row>
    <row r="55" spans="1:26" s="1263" customFormat="1" hidden="1" outlineLevel="2">
      <c r="A55" s="1267">
        <v>447</v>
      </c>
      <c r="B55" s="1294" t="s">
        <v>1387</v>
      </c>
      <c r="C55" s="1295" t="s">
        <v>1327</v>
      </c>
      <c r="D55" s="1457" t="s">
        <v>1328</v>
      </c>
      <c r="E55" s="1296"/>
      <c r="F55" s="1297"/>
      <c r="G55" s="1281">
        <f t="shared" si="5"/>
        <v>0</v>
      </c>
      <c r="H55" s="1296"/>
      <c r="I55" s="1297"/>
      <c r="J55" s="1276">
        <f t="shared" si="0"/>
        <v>0</v>
      </c>
      <c r="K55" s="1296"/>
      <c r="L55" s="1297"/>
      <c r="M55" s="1370">
        <f t="shared" si="1"/>
        <v>0</v>
      </c>
      <c r="N55" s="1296"/>
      <c r="O55" s="1297"/>
      <c r="P55" s="1281">
        <f t="shared" si="2"/>
        <v>0</v>
      </c>
      <c r="Q55" s="1296"/>
      <c r="R55" s="2870"/>
      <c r="S55" s="1370">
        <f t="shared" si="3"/>
        <v>0</v>
      </c>
      <c r="T55" s="1296"/>
      <c r="U55" s="1297"/>
      <c r="V55" s="1281">
        <f t="shared" si="4"/>
        <v>0</v>
      </c>
      <c r="W55" s="2094"/>
      <c r="X55" s="2094"/>
      <c r="Y55" s="2092"/>
      <c r="Z55" s="1376"/>
    </row>
    <row r="56" spans="1:26" s="1263" customFormat="1" hidden="1" outlineLevel="2">
      <c r="A56" s="1267">
        <v>448</v>
      </c>
      <c r="B56" s="1294" t="s">
        <v>1388</v>
      </c>
      <c r="C56" s="1295" t="s">
        <v>1330</v>
      </c>
      <c r="D56" s="1457" t="s">
        <v>1331</v>
      </c>
      <c r="E56" s="1296"/>
      <c r="F56" s="1297"/>
      <c r="G56" s="1281">
        <f t="shared" si="5"/>
        <v>0</v>
      </c>
      <c r="H56" s="1296"/>
      <c r="I56" s="1297"/>
      <c r="J56" s="1276">
        <f t="shared" si="0"/>
        <v>0</v>
      </c>
      <c r="K56" s="1296"/>
      <c r="L56" s="1297"/>
      <c r="M56" s="1370">
        <f t="shared" si="1"/>
        <v>0</v>
      </c>
      <c r="N56" s="1296"/>
      <c r="O56" s="1297"/>
      <c r="P56" s="1281">
        <f t="shared" si="2"/>
        <v>0</v>
      </c>
      <c r="Q56" s="1296"/>
      <c r="R56" s="2870"/>
      <c r="S56" s="1370">
        <f t="shared" si="3"/>
        <v>0</v>
      </c>
      <c r="T56" s="1296"/>
      <c r="U56" s="1297"/>
      <c r="V56" s="1281">
        <f t="shared" si="4"/>
        <v>0</v>
      </c>
      <c r="W56" s="2094"/>
      <c r="X56" s="2094"/>
      <c r="Y56" s="2092"/>
      <c r="Z56" s="1376"/>
    </row>
    <row r="57" spans="1:26" s="1263" customFormat="1" hidden="1" outlineLevel="2">
      <c r="A57" s="1267">
        <v>348</v>
      </c>
      <c r="B57" s="1292" t="s">
        <v>1389</v>
      </c>
      <c r="C57" s="1293" t="s">
        <v>1390</v>
      </c>
      <c r="D57" s="1454"/>
      <c r="E57" s="1279">
        <f>E58*E59/1000</f>
        <v>0</v>
      </c>
      <c r="F57" s="1280">
        <f>F58*F59/1000</f>
        <v>0</v>
      </c>
      <c r="G57" s="1281">
        <f t="shared" si="5"/>
        <v>0</v>
      </c>
      <c r="H57" s="1279">
        <f>H58*H59/1000</f>
        <v>0</v>
      </c>
      <c r="I57" s="1280">
        <f>I58*I59/1000</f>
        <v>0</v>
      </c>
      <c r="J57" s="1276">
        <f t="shared" si="0"/>
        <v>0</v>
      </c>
      <c r="K57" s="1279">
        <f>K58*K59/1000</f>
        <v>0</v>
      </c>
      <c r="L57" s="1280">
        <f>L58*L59/1000</f>
        <v>0</v>
      </c>
      <c r="M57" s="1370">
        <f t="shared" si="1"/>
        <v>0</v>
      </c>
      <c r="N57" s="1279">
        <f>N58*N59/1000</f>
        <v>0</v>
      </c>
      <c r="O57" s="1280">
        <f>O58*O59/1000</f>
        <v>0</v>
      </c>
      <c r="P57" s="1281">
        <f t="shared" si="2"/>
        <v>0</v>
      </c>
      <c r="Q57" s="1279">
        <f>Q58*Q59/1000</f>
        <v>0</v>
      </c>
      <c r="R57" s="2867">
        <f>R58*R59/1000</f>
        <v>0</v>
      </c>
      <c r="S57" s="1370">
        <f t="shared" si="3"/>
        <v>0</v>
      </c>
      <c r="T57" s="1279">
        <f>T58*T59/1000</f>
        <v>0</v>
      </c>
      <c r="U57" s="1280">
        <f>U58*U59/1000</f>
        <v>0</v>
      </c>
      <c r="V57" s="1281">
        <f t="shared" si="4"/>
        <v>0</v>
      </c>
      <c r="W57" s="2093"/>
      <c r="X57" s="2093"/>
      <c r="Y57" s="2092"/>
      <c r="Z57" s="1376"/>
    </row>
    <row r="58" spans="1:26" s="1263" customFormat="1" hidden="1" outlineLevel="2">
      <c r="A58" s="1267">
        <v>449</v>
      </c>
      <c r="B58" s="1294" t="s">
        <v>1391</v>
      </c>
      <c r="C58" s="1295" t="s">
        <v>1327</v>
      </c>
      <c r="D58" s="1457" t="s">
        <v>1328</v>
      </c>
      <c r="E58" s="1296"/>
      <c r="F58" s="1297"/>
      <c r="G58" s="1281">
        <f t="shared" si="5"/>
        <v>0</v>
      </c>
      <c r="H58" s="1296"/>
      <c r="I58" s="1297"/>
      <c r="J58" s="1276">
        <f t="shared" si="0"/>
        <v>0</v>
      </c>
      <c r="K58" s="1296"/>
      <c r="L58" s="1297"/>
      <c r="M58" s="1370">
        <f t="shared" si="1"/>
        <v>0</v>
      </c>
      <c r="N58" s="1296"/>
      <c r="O58" s="1297"/>
      <c r="P58" s="1281">
        <f t="shared" si="2"/>
        <v>0</v>
      </c>
      <c r="Q58" s="1296"/>
      <c r="R58" s="2870"/>
      <c r="S58" s="1370">
        <f t="shared" si="3"/>
        <v>0</v>
      </c>
      <c r="T58" s="1296"/>
      <c r="U58" s="1297"/>
      <c r="V58" s="1281">
        <f t="shared" si="4"/>
        <v>0</v>
      </c>
      <c r="W58" s="2094"/>
      <c r="X58" s="2094"/>
      <c r="Y58" s="2092"/>
      <c r="Z58" s="1376"/>
    </row>
    <row r="59" spans="1:26" s="1263" customFormat="1" hidden="1" outlineLevel="2">
      <c r="A59" s="1267">
        <v>450</v>
      </c>
      <c r="B59" s="1294" t="s">
        <v>1392</v>
      </c>
      <c r="C59" s="1295" t="s">
        <v>1330</v>
      </c>
      <c r="D59" s="1457" t="s">
        <v>1331</v>
      </c>
      <c r="E59" s="1296"/>
      <c r="F59" s="1297"/>
      <c r="G59" s="1281">
        <f t="shared" si="5"/>
        <v>0</v>
      </c>
      <c r="H59" s="1296"/>
      <c r="I59" s="1297"/>
      <c r="J59" s="1276">
        <f t="shared" si="0"/>
        <v>0</v>
      </c>
      <c r="K59" s="1296"/>
      <c r="L59" s="1297"/>
      <c r="M59" s="1370">
        <f t="shared" si="1"/>
        <v>0</v>
      </c>
      <c r="N59" s="1296"/>
      <c r="O59" s="1297"/>
      <c r="P59" s="1281">
        <f t="shared" si="2"/>
        <v>0</v>
      </c>
      <c r="Q59" s="1296"/>
      <c r="R59" s="2870"/>
      <c r="S59" s="1370">
        <f t="shared" si="3"/>
        <v>0</v>
      </c>
      <c r="T59" s="1296"/>
      <c r="U59" s="1297"/>
      <c r="V59" s="1281">
        <f t="shared" si="4"/>
        <v>0</v>
      </c>
      <c r="W59" s="2094"/>
      <c r="X59" s="2094"/>
      <c r="Y59" s="2092"/>
      <c r="Z59" s="1376"/>
    </row>
    <row r="60" spans="1:26" s="1263" customFormat="1" hidden="1" outlineLevel="2">
      <c r="A60" s="1267">
        <v>349</v>
      </c>
      <c r="B60" s="1292" t="s">
        <v>1393</v>
      </c>
      <c r="C60" s="1293" t="s">
        <v>1394</v>
      </c>
      <c r="D60" s="1454"/>
      <c r="E60" s="1279">
        <f>E61*E62/1000</f>
        <v>0</v>
      </c>
      <c r="F60" s="1280">
        <f>F61*F62/1000</f>
        <v>0</v>
      </c>
      <c r="G60" s="1281">
        <f t="shared" si="5"/>
        <v>0</v>
      </c>
      <c r="H60" s="1279">
        <f>H61*H62/1000</f>
        <v>0</v>
      </c>
      <c r="I60" s="1280">
        <f>I61*I62/1000</f>
        <v>0</v>
      </c>
      <c r="J60" s="1276">
        <f t="shared" si="0"/>
        <v>0</v>
      </c>
      <c r="K60" s="1279">
        <f>K61*K62/1000</f>
        <v>0</v>
      </c>
      <c r="L60" s="1280">
        <f>L61*L62/1000</f>
        <v>0</v>
      </c>
      <c r="M60" s="1370">
        <f t="shared" si="1"/>
        <v>0</v>
      </c>
      <c r="N60" s="1279">
        <f>N61*N62/1000</f>
        <v>0</v>
      </c>
      <c r="O60" s="1280">
        <f>O61*O62/1000</f>
        <v>0</v>
      </c>
      <c r="P60" s="1281">
        <f t="shared" si="2"/>
        <v>0</v>
      </c>
      <c r="Q60" s="1279">
        <f>Q61*Q62/1000</f>
        <v>0</v>
      </c>
      <c r="R60" s="2867">
        <f>R61*R62/1000</f>
        <v>0</v>
      </c>
      <c r="S60" s="1370">
        <f t="shared" si="3"/>
        <v>0</v>
      </c>
      <c r="T60" s="1279">
        <f>T61*T62/1000</f>
        <v>0</v>
      </c>
      <c r="U60" s="1280">
        <f>U61*U62/1000</f>
        <v>0</v>
      </c>
      <c r="V60" s="1281">
        <f t="shared" si="4"/>
        <v>0</v>
      </c>
      <c r="W60" s="2093"/>
      <c r="X60" s="2093"/>
      <c r="Y60" s="2092"/>
      <c r="Z60" s="1376"/>
    </row>
    <row r="61" spans="1:26" s="1263" customFormat="1" hidden="1" outlineLevel="2">
      <c r="A61" s="1267">
        <v>451</v>
      </c>
      <c r="B61" s="1294" t="s">
        <v>1395</v>
      </c>
      <c r="C61" s="1295" t="s">
        <v>1327</v>
      </c>
      <c r="D61" s="1457" t="s">
        <v>1328</v>
      </c>
      <c r="E61" s="1296"/>
      <c r="F61" s="1297"/>
      <c r="G61" s="1281">
        <f t="shared" si="5"/>
        <v>0</v>
      </c>
      <c r="H61" s="1296"/>
      <c r="I61" s="1297"/>
      <c r="J61" s="1276">
        <f t="shared" si="0"/>
        <v>0</v>
      </c>
      <c r="K61" s="1296"/>
      <c r="L61" s="1297"/>
      <c r="M61" s="1370">
        <f t="shared" si="1"/>
        <v>0</v>
      </c>
      <c r="N61" s="1296"/>
      <c r="O61" s="1297"/>
      <c r="P61" s="1281">
        <f t="shared" si="2"/>
        <v>0</v>
      </c>
      <c r="Q61" s="1296"/>
      <c r="R61" s="2870"/>
      <c r="S61" s="1370">
        <f t="shared" si="3"/>
        <v>0</v>
      </c>
      <c r="T61" s="1296"/>
      <c r="U61" s="1297"/>
      <c r="V61" s="1281">
        <f t="shared" si="4"/>
        <v>0</v>
      </c>
      <c r="W61" s="2094"/>
      <c r="X61" s="2094"/>
      <c r="Y61" s="2092"/>
      <c r="Z61" s="1376"/>
    </row>
    <row r="62" spans="1:26" s="1263" customFormat="1" hidden="1" outlineLevel="2">
      <c r="A62" s="1267">
        <v>452</v>
      </c>
      <c r="B62" s="1294" t="s">
        <v>1396</v>
      </c>
      <c r="C62" s="1295" t="s">
        <v>1330</v>
      </c>
      <c r="D62" s="1457" t="s">
        <v>1331</v>
      </c>
      <c r="E62" s="1296"/>
      <c r="F62" s="1297"/>
      <c r="G62" s="1281">
        <f t="shared" si="5"/>
        <v>0</v>
      </c>
      <c r="H62" s="1296"/>
      <c r="I62" s="1297"/>
      <c r="J62" s="1276">
        <f t="shared" si="0"/>
        <v>0</v>
      </c>
      <c r="K62" s="1296"/>
      <c r="L62" s="1297"/>
      <c r="M62" s="1370">
        <f t="shared" si="1"/>
        <v>0</v>
      </c>
      <c r="N62" s="1296"/>
      <c r="O62" s="1297"/>
      <c r="P62" s="1281">
        <f t="shared" si="2"/>
        <v>0</v>
      </c>
      <c r="Q62" s="1296"/>
      <c r="R62" s="2870"/>
      <c r="S62" s="1370">
        <f t="shared" si="3"/>
        <v>0</v>
      </c>
      <c r="T62" s="1296"/>
      <c r="U62" s="1297"/>
      <c r="V62" s="1281">
        <f t="shared" si="4"/>
        <v>0</v>
      </c>
      <c r="W62" s="2094"/>
      <c r="X62" s="2094"/>
      <c r="Y62" s="2092"/>
      <c r="Z62" s="1376"/>
    </row>
    <row r="63" spans="1:26" s="1263" customFormat="1" hidden="1" outlineLevel="2">
      <c r="A63" s="1267">
        <v>350</v>
      </c>
      <c r="B63" s="1292" t="s">
        <v>1397</v>
      </c>
      <c r="C63" s="1293" t="s">
        <v>1398</v>
      </c>
      <c r="D63" s="1454"/>
      <c r="E63" s="1279">
        <f>E64*E65/1000</f>
        <v>2747.15416</v>
      </c>
      <c r="F63" s="1280">
        <f>F64*F65/1000</f>
        <v>2747.15416</v>
      </c>
      <c r="G63" s="1281">
        <f t="shared" si="5"/>
        <v>2747.15416</v>
      </c>
      <c r="H63" s="1279">
        <f>H64*H65/1000</f>
        <v>0</v>
      </c>
      <c r="I63" s="1280">
        <f>I64*I65/1000</f>
        <v>0</v>
      </c>
      <c r="J63" s="1276">
        <f t="shared" si="0"/>
        <v>0</v>
      </c>
      <c r="K63" s="1279">
        <f>K64*K65/1000</f>
        <v>0</v>
      </c>
      <c r="L63" s="1280">
        <f>L64*L65/1000</f>
        <v>0</v>
      </c>
      <c r="M63" s="1370">
        <f t="shared" si="1"/>
        <v>0</v>
      </c>
      <c r="N63" s="1279">
        <f>N64*N65/1000</f>
        <v>0</v>
      </c>
      <c r="O63" s="1280">
        <f>O64*O65/1000</f>
        <v>0</v>
      </c>
      <c r="P63" s="1281">
        <f t="shared" si="2"/>
        <v>0</v>
      </c>
      <c r="Q63" s="1279">
        <f>Q64*Q65/1000</f>
        <v>0</v>
      </c>
      <c r="R63" s="2867">
        <f>R64*R65/1000</f>
        <v>0</v>
      </c>
      <c r="S63" s="1370">
        <f t="shared" si="3"/>
        <v>0</v>
      </c>
      <c r="T63" s="1279">
        <f>T64*T65/1000</f>
        <v>0</v>
      </c>
      <c r="U63" s="1280">
        <f>U64*U65/1000</f>
        <v>0</v>
      </c>
      <c r="V63" s="1281">
        <f t="shared" si="4"/>
        <v>0</v>
      </c>
      <c r="W63" s="2093"/>
      <c r="X63" s="2093"/>
      <c r="Y63" s="2092"/>
      <c r="Z63" s="1376"/>
    </row>
    <row r="64" spans="1:26" s="1263" customFormat="1" hidden="1" outlineLevel="2">
      <c r="A64" s="1267">
        <v>453</v>
      </c>
      <c r="B64" s="1294" t="s">
        <v>1399</v>
      </c>
      <c r="C64" s="1295" t="s">
        <v>1327</v>
      </c>
      <c r="D64" s="1457" t="s">
        <v>1328</v>
      </c>
      <c r="E64" s="1296" t="s">
        <v>1400</v>
      </c>
      <c r="F64" s="1297" t="s">
        <v>1400</v>
      </c>
      <c r="G64" s="1281">
        <f t="shared" si="5"/>
        <v>147.19</v>
      </c>
      <c r="H64" s="1296"/>
      <c r="I64" s="1297"/>
      <c r="J64" s="1276">
        <f t="shared" si="0"/>
        <v>0</v>
      </c>
      <c r="K64" s="1296"/>
      <c r="L64" s="1297"/>
      <c r="M64" s="1370">
        <f t="shared" si="1"/>
        <v>0</v>
      </c>
      <c r="N64" s="1296"/>
      <c r="O64" s="1297"/>
      <c r="P64" s="1281">
        <f t="shared" si="2"/>
        <v>0</v>
      </c>
      <c r="Q64" s="1296"/>
      <c r="R64" s="2870"/>
      <c r="S64" s="1370">
        <f t="shared" si="3"/>
        <v>0</v>
      </c>
      <c r="T64" s="1296"/>
      <c r="U64" s="1297"/>
      <c r="V64" s="1281">
        <f t="shared" si="4"/>
        <v>0</v>
      </c>
      <c r="W64" s="2094"/>
      <c r="X64" s="2094"/>
      <c r="Y64" s="2092"/>
      <c r="Z64" s="1376"/>
    </row>
    <row r="65" spans="1:26" s="1263" customFormat="1" hidden="1" outlineLevel="2">
      <c r="A65" s="1267">
        <v>454</v>
      </c>
      <c r="B65" s="1294" t="s">
        <v>1401</v>
      </c>
      <c r="C65" s="1295" t="s">
        <v>1330</v>
      </c>
      <c r="D65" s="1457" t="s">
        <v>1331</v>
      </c>
      <c r="E65" s="1296" t="s">
        <v>1402</v>
      </c>
      <c r="F65" s="1297" t="s">
        <v>1402</v>
      </c>
      <c r="G65" s="1281">
        <f t="shared" si="5"/>
        <v>18664</v>
      </c>
      <c r="H65" s="1296"/>
      <c r="I65" s="1297"/>
      <c r="J65" s="1276">
        <f t="shared" si="0"/>
        <v>0</v>
      </c>
      <c r="K65" s="1296"/>
      <c r="L65" s="1297"/>
      <c r="M65" s="1370">
        <f t="shared" si="1"/>
        <v>0</v>
      </c>
      <c r="N65" s="1296"/>
      <c r="O65" s="1297"/>
      <c r="P65" s="1281">
        <f t="shared" si="2"/>
        <v>0</v>
      </c>
      <c r="Q65" s="1296"/>
      <c r="R65" s="2870"/>
      <c r="S65" s="1370">
        <f t="shared" si="3"/>
        <v>0</v>
      </c>
      <c r="T65" s="1296"/>
      <c r="U65" s="1297"/>
      <c r="V65" s="1281">
        <f t="shared" si="4"/>
        <v>0</v>
      </c>
      <c r="W65" s="2094"/>
      <c r="X65" s="2094"/>
      <c r="Y65" s="2092"/>
      <c r="Z65" s="1376"/>
    </row>
    <row r="66" spans="1:26" s="1263" customFormat="1" hidden="1" outlineLevel="2">
      <c r="A66" s="1267">
        <v>351</v>
      </c>
      <c r="B66" s="1292" t="s">
        <v>1403</v>
      </c>
      <c r="C66" s="1293" t="s">
        <v>1404</v>
      </c>
      <c r="D66" s="1454"/>
      <c r="E66" s="1279">
        <f>E67*E68/1000</f>
        <v>0</v>
      </c>
      <c r="F66" s="1280">
        <f>F67*F68/1000</f>
        <v>0</v>
      </c>
      <c r="G66" s="1281">
        <f t="shared" si="5"/>
        <v>0</v>
      </c>
      <c r="H66" s="1279">
        <f>H67*H68/1000</f>
        <v>0</v>
      </c>
      <c r="I66" s="1280">
        <f>I67*I68/1000</f>
        <v>0</v>
      </c>
      <c r="J66" s="1276">
        <f t="shared" si="0"/>
        <v>0</v>
      </c>
      <c r="K66" s="1279">
        <f>K67*K68/1000</f>
        <v>0</v>
      </c>
      <c r="L66" s="1280">
        <f>L67*L68/1000</f>
        <v>0</v>
      </c>
      <c r="M66" s="1370">
        <f t="shared" si="1"/>
        <v>0</v>
      </c>
      <c r="N66" s="1279">
        <f>N67*N68/1000</f>
        <v>0</v>
      </c>
      <c r="O66" s="1280">
        <f>O67*O68/1000</f>
        <v>0</v>
      </c>
      <c r="P66" s="1281">
        <f t="shared" si="2"/>
        <v>0</v>
      </c>
      <c r="Q66" s="1279">
        <f>Q67*Q68/1000</f>
        <v>0</v>
      </c>
      <c r="R66" s="2867">
        <f>R67*R68/1000</f>
        <v>0</v>
      </c>
      <c r="S66" s="1370">
        <f t="shared" si="3"/>
        <v>0</v>
      </c>
      <c r="T66" s="1279">
        <f>T67*T68/1000</f>
        <v>0</v>
      </c>
      <c r="U66" s="1280">
        <f>U67*U68/1000</f>
        <v>0</v>
      </c>
      <c r="V66" s="1281">
        <f t="shared" si="4"/>
        <v>0</v>
      </c>
      <c r="W66" s="2093"/>
      <c r="X66" s="2093"/>
      <c r="Y66" s="2092"/>
      <c r="Z66" s="1376"/>
    </row>
    <row r="67" spans="1:26" s="1263" customFormat="1" hidden="1" outlineLevel="2">
      <c r="A67" s="1267">
        <v>455</v>
      </c>
      <c r="B67" s="1294" t="s">
        <v>1405</v>
      </c>
      <c r="C67" s="1295" t="s">
        <v>1327</v>
      </c>
      <c r="D67" s="1457" t="s">
        <v>1328</v>
      </c>
      <c r="E67" s="1296"/>
      <c r="F67" s="1297"/>
      <c r="G67" s="1281">
        <f t="shared" si="5"/>
        <v>0</v>
      </c>
      <c r="H67" s="1296"/>
      <c r="I67" s="1297"/>
      <c r="J67" s="1276">
        <f t="shared" si="0"/>
        <v>0</v>
      </c>
      <c r="K67" s="1296"/>
      <c r="L67" s="1297"/>
      <c r="M67" s="1370">
        <f t="shared" si="1"/>
        <v>0</v>
      </c>
      <c r="N67" s="1296"/>
      <c r="O67" s="1297"/>
      <c r="P67" s="1281">
        <f t="shared" si="2"/>
        <v>0</v>
      </c>
      <c r="Q67" s="1296"/>
      <c r="R67" s="2870"/>
      <c r="S67" s="1370">
        <f t="shared" si="3"/>
        <v>0</v>
      </c>
      <c r="T67" s="1296"/>
      <c r="U67" s="1297"/>
      <c r="V67" s="1281">
        <f t="shared" si="4"/>
        <v>0</v>
      </c>
      <c r="W67" s="2094"/>
      <c r="X67" s="2094"/>
      <c r="Y67" s="2092"/>
      <c r="Z67" s="1376"/>
    </row>
    <row r="68" spans="1:26" s="1263" customFormat="1" hidden="1" outlineLevel="2">
      <c r="A68" s="1267">
        <v>456</v>
      </c>
      <c r="B68" s="1294" t="s">
        <v>1406</v>
      </c>
      <c r="C68" s="1295" t="s">
        <v>1330</v>
      </c>
      <c r="D68" s="1457" t="s">
        <v>1331</v>
      </c>
      <c r="E68" s="1296"/>
      <c r="F68" s="1297"/>
      <c r="G68" s="1281">
        <f t="shared" si="5"/>
        <v>0</v>
      </c>
      <c r="H68" s="1296"/>
      <c r="I68" s="1297"/>
      <c r="J68" s="1276">
        <f t="shared" si="0"/>
        <v>0</v>
      </c>
      <c r="K68" s="1296"/>
      <c r="L68" s="1297"/>
      <c r="M68" s="1370">
        <f t="shared" si="1"/>
        <v>0</v>
      </c>
      <c r="N68" s="1296"/>
      <c r="O68" s="1297"/>
      <c r="P68" s="1281">
        <f t="shared" si="2"/>
        <v>0</v>
      </c>
      <c r="Q68" s="1296"/>
      <c r="R68" s="2870"/>
      <c r="S68" s="1370">
        <f t="shared" si="3"/>
        <v>0</v>
      </c>
      <c r="T68" s="1296"/>
      <c r="U68" s="1297"/>
      <c r="V68" s="1281">
        <f t="shared" si="4"/>
        <v>0</v>
      </c>
      <c r="W68" s="2094"/>
      <c r="X68" s="2094"/>
      <c r="Y68" s="2092"/>
      <c r="Z68" s="1376"/>
    </row>
    <row r="69" spans="1:26" s="1263" customFormat="1" hidden="1" outlineLevel="2">
      <c r="A69" s="1267">
        <v>352</v>
      </c>
      <c r="B69" s="1292" t="s">
        <v>1407</v>
      </c>
      <c r="C69" s="1293" t="s">
        <v>1408</v>
      </c>
      <c r="D69" s="1454"/>
      <c r="E69" s="1279">
        <f>E70*E71/1000</f>
        <v>0</v>
      </c>
      <c r="F69" s="1280">
        <f>F70*F71/1000</f>
        <v>0</v>
      </c>
      <c r="G69" s="1281">
        <f t="shared" ref="G69:G132" si="6">E69/2+F69/2</f>
        <v>0</v>
      </c>
      <c r="H69" s="1279">
        <f>H70*H71/1000</f>
        <v>0</v>
      </c>
      <c r="I69" s="1280">
        <f>I70*I71/1000</f>
        <v>0</v>
      </c>
      <c r="J69" s="1276">
        <f t="shared" ref="J69:J132" si="7">H69/2+I69/2</f>
        <v>0</v>
      </c>
      <c r="K69" s="1279">
        <f>K70*K71/1000</f>
        <v>0</v>
      </c>
      <c r="L69" s="1280">
        <f>L70*L71/1000</f>
        <v>0</v>
      </c>
      <c r="M69" s="1370">
        <f t="shared" ref="M69:M132" si="8">K69/2+L69/2</f>
        <v>0</v>
      </c>
      <c r="N69" s="1279">
        <f>N70*N71/1000</f>
        <v>0</v>
      </c>
      <c r="O69" s="1280">
        <f>O70*O71/1000</f>
        <v>0</v>
      </c>
      <c r="P69" s="1281">
        <f t="shared" ref="P69:P132" si="9">N69/2+O69/2</f>
        <v>0</v>
      </c>
      <c r="Q69" s="1279">
        <f>Q70*Q71/1000</f>
        <v>0</v>
      </c>
      <c r="R69" s="2867">
        <f>R70*R71/1000</f>
        <v>0</v>
      </c>
      <c r="S69" s="1370">
        <f t="shared" ref="S69:S132" si="10">Q69/2+R69/2</f>
        <v>0</v>
      </c>
      <c r="T69" s="1279">
        <f>T70*T71/1000</f>
        <v>0</v>
      </c>
      <c r="U69" s="1280">
        <f>U70*U71/1000</f>
        <v>0</v>
      </c>
      <c r="V69" s="1281">
        <f t="shared" ref="V69:V132" si="11">T69/2+U69/2</f>
        <v>0</v>
      </c>
      <c r="W69" s="2093"/>
      <c r="X69" s="2093"/>
      <c r="Y69" s="2092"/>
      <c r="Z69" s="1376"/>
    </row>
    <row r="70" spans="1:26" s="1263" customFormat="1" hidden="1" outlineLevel="2">
      <c r="A70" s="1267">
        <v>460</v>
      </c>
      <c r="B70" s="1294" t="s">
        <v>1409</v>
      </c>
      <c r="C70" s="1295" t="s">
        <v>1327</v>
      </c>
      <c r="D70" s="1457" t="s">
        <v>1328</v>
      </c>
      <c r="E70" s="1296"/>
      <c r="F70" s="1297"/>
      <c r="G70" s="1281">
        <f t="shared" si="6"/>
        <v>0</v>
      </c>
      <c r="H70" s="1296"/>
      <c r="I70" s="1297"/>
      <c r="J70" s="1276">
        <f t="shared" si="7"/>
        <v>0</v>
      </c>
      <c r="K70" s="1296"/>
      <c r="L70" s="1297"/>
      <c r="M70" s="1370">
        <f t="shared" si="8"/>
        <v>0</v>
      </c>
      <c r="N70" s="1296"/>
      <c r="O70" s="1297"/>
      <c r="P70" s="1281">
        <f t="shared" si="9"/>
        <v>0</v>
      </c>
      <c r="Q70" s="1296"/>
      <c r="R70" s="2870"/>
      <c r="S70" s="1370">
        <f t="shared" si="10"/>
        <v>0</v>
      </c>
      <c r="T70" s="1296"/>
      <c r="U70" s="1297"/>
      <c r="V70" s="1281">
        <f t="shared" si="11"/>
        <v>0</v>
      </c>
      <c r="W70" s="2094"/>
      <c r="X70" s="2094"/>
      <c r="Y70" s="2092"/>
      <c r="Z70" s="1376"/>
    </row>
    <row r="71" spans="1:26" s="1263" customFormat="1" hidden="1" outlineLevel="2">
      <c r="A71" s="1267">
        <v>461</v>
      </c>
      <c r="B71" s="1294" t="s">
        <v>1410</v>
      </c>
      <c r="C71" s="1295" t="s">
        <v>1330</v>
      </c>
      <c r="D71" s="1457" t="s">
        <v>1331</v>
      </c>
      <c r="E71" s="1296"/>
      <c r="F71" s="1297"/>
      <c r="G71" s="1281">
        <f t="shared" si="6"/>
        <v>0</v>
      </c>
      <c r="H71" s="1296"/>
      <c r="I71" s="1297"/>
      <c r="J71" s="1276">
        <f t="shared" si="7"/>
        <v>0</v>
      </c>
      <c r="K71" s="1296"/>
      <c r="L71" s="1297"/>
      <c r="M71" s="1370">
        <f t="shared" si="8"/>
        <v>0</v>
      </c>
      <c r="N71" s="1296"/>
      <c r="O71" s="1297"/>
      <c r="P71" s="1281">
        <f t="shared" si="9"/>
        <v>0</v>
      </c>
      <c r="Q71" s="1296"/>
      <c r="R71" s="2870"/>
      <c r="S71" s="1370">
        <f t="shared" si="10"/>
        <v>0</v>
      </c>
      <c r="T71" s="1296"/>
      <c r="U71" s="1297"/>
      <c r="V71" s="1281">
        <f t="shared" si="11"/>
        <v>0</v>
      </c>
      <c r="W71" s="2094"/>
      <c r="X71" s="2094"/>
      <c r="Y71" s="2092"/>
      <c r="Z71" s="1376"/>
    </row>
    <row r="72" spans="1:26" s="1263" customFormat="1" hidden="1" outlineLevel="2">
      <c r="A72" s="1267">
        <v>353</v>
      </c>
      <c r="B72" s="1292" t="s">
        <v>1411</v>
      </c>
      <c r="C72" s="1293" t="s">
        <v>1412</v>
      </c>
      <c r="D72" s="1454"/>
      <c r="E72" s="1279">
        <f>E73*E74/1000</f>
        <v>0</v>
      </c>
      <c r="F72" s="1280">
        <f>F73*F74/1000</f>
        <v>0</v>
      </c>
      <c r="G72" s="1281">
        <f t="shared" si="6"/>
        <v>0</v>
      </c>
      <c r="H72" s="1279">
        <f>H73*H74/1000</f>
        <v>0</v>
      </c>
      <c r="I72" s="1280">
        <f>I73*I74/1000</f>
        <v>0</v>
      </c>
      <c r="J72" s="1276">
        <f t="shared" si="7"/>
        <v>0</v>
      </c>
      <c r="K72" s="1279">
        <f>K73*K74/1000</f>
        <v>0</v>
      </c>
      <c r="L72" s="1280">
        <f>L73*L74/1000</f>
        <v>0</v>
      </c>
      <c r="M72" s="1370">
        <f t="shared" si="8"/>
        <v>0</v>
      </c>
      <c r="N72" s="1279">
        <f>N73*N74/1000</f>
        <v>0</v>
      </c>
      <c r="O72" s="1280">
        <f>O73*O74/1000</f>
        <v>0</v>
      </c>
      <c r="P72" s="1281">
        <f t="shared" si="9"/>
        <v>0</v>
      </c>
      <c r="Q72" s="1279">
        <f>Q73*Q74/1000</f>
        <v>0</v>
      </c>
      <c r="R72" s="2867">
        <f>R73*R74/1000</f>
        <v>0</v>
      </c>
      <c r="S72" s="1370">
        <f t="shared" si="10"/>
        <v>0</v>
      </c>
      <c r="T72" s="1279">
        <f>T73*T74/1000</f>
        <v>0</v>
      </c>
      <c r="U72" s="1280">
        <f>U73*U74/1000</f>
        <v>0</v>
      </c>
      <c r="V72" s="1281">
        <f t="shared" si="11"/>
        <v>0</v>
      </c>
      <c r="W72" s="2093"/>
      <c r="X72" s="2093"/>
      <c r="Y72" s="2092"/>
      <c r="Z72" s="1376"/>
    </row>
    <row r="73" spans="1:26" s="1263" customFormat="1" hidden="1" outlineLevel="2">
      <c r="A73" s="1267">
        <v>462</v>
      </c>
      <c r="B73" s="1294" t="s">
        <v>1413</v>
      </c>
      <c r="C73" s="1295" t="s">
        <v>1327</v>
      </c>
      <c r="D73" s="1457" t="s">
        <v>1328</v>
      </c>
      <c r="E73" s="1296"/>
      <c r="F73" s="1297"/>
      <c r="G73" s="1281">
        <f t="shared" si="6"/>
        <v>0</v>
      </c>
      <c r="H73" s="1296"/>
      <c r="I73" s="1297"/>
      <c r="J73" s="1276">
        <f t="shared" si="7"/>
        <v>0</v>
      </c>
      <c r="K73" s="1296"/>
      <c r="L73" s="1297"/>
      <c r="M73" s="1370">
        <f t="shared" si="8"/>
        <v>0</v>
      </c>
      <c r="N73" s="1296"/>
      <c r="O73" s="1297"/>
      <c r="P73" s="1281">
        <f t="shared" si="9"/>
        <v>0</v>
      </c>
      <c r="Q73" s="1296"/>
      <c r="R73" s="2870"/>
      <c r="S73" s="1370">
        <f t="shared" si="10"/>
        <v>0</v>
      </c>
      <c r="T73" s="1296"/>
      <c r="U73" s="1297"/>
      <c r="V73" s="1281">
        <f t="shared" si="11"/>
        <v>0</v>
      </c>
      <c r="W73" s="2094"/>
      <c r="X73" s="2094"/>
      <c r="Y73" s="2092"/>
      <c r="Z73" s="1376"/>
    </row>
    <row r="74" spans="1:26" s="1263" customFormat="1" hidden="1" outlineLevel="2">
      <c r="A74" s="1267">
        <v>463</v>
      </c>
      <c r="B74" s="1294" t="s">
        <v>1414</v>
      </c>
      <c r="C74" s="1295" t="s">
        <v>1330</v>
      </c>
      <c r="D74" s="1457" t="s">
        <v>1331</v>
      </c>
      <c r="E74" s="1296"/>
      <c r="F74" s="1297"/>
      <c r="G74" s="1281">
        <f t="shared" si="6"/>
        <v>0</v>
      </c>
      <c r="H74" s="1296"/>
      <c r="I74" s="1297"/>
      <c r="J74" s="1276">
        <f t="shared" si="7"/>
        <v>0</v>
      </c>
      <c r="K74" s="1296"/>
      <c r="L74" s="1297"/>
      <c r="M74" s="1370">
        <f t="shared" si="8"/>
        <v>0</v>
      </c>
      <c r="N74" s="1296"/>
      <c r="O74" s="1297"/>
      <c r="P74" s="1281">
        <f t="shared" si="9"/>
        <v>0</v>
      </c>
      <c r="Q74" s="1296"/>
      <c r="R74" s="2870"/>
      <c r="S74" s="1370">
        <f t="shared" si="10"/>
        <v>0</v>
      </c>
      <c r="T74" s="1296"/>
      <c r="U74" s="1297"/>
      <c r="V74" s="1281">
        <f t="shared" si="11"/>
        <v>0</v>
      </c>
      <c r="W74" s="2094"/>
      <c r="X74" s="2094"/>
      <c r="Y74" s="2092"/>
      <c r="Z74" s="1376"/>
    </row>
    <row r="75" spans="1:26" s="1263" customFormat="1" hidden="1" outlineLevel="2">
      <c r="A75" s="1267">
        <v>354</v>
      </c>
      <c r="B75" s="1292" t="s">
        <v>1415</v>
      </c>
      <c r="C75" s="1293" t="s">
        <v>1416</v>
      </c>
      <c r="D75" s="1454"/>
      <c r="E75" s="1279">
        <f>E76*E77/1000</f>
        <v>0</v>
      </c>
      <c r="F75" s="1280">
        <f>F76*F77/1000</f>
        <v>0</v>
      </c>
      <c r="G75" s="1281">
        <f t="shared" si="6"/>
        <v>0</v>
      </c>
      <c r="H75" s="1279">
        <f>H76*H77/1000</f>
        <v>0</v>
      </c>
      <c r="I75" s="1280">
        <f>I76*I77/1000</f>
        <v>0</v>
      </c>
      <c r="J75" s="1276">
        <f t="shared" si="7"/>
        <v>0</v>
      </c>
      <c r="K75" s="1279">
        <f>K76*K77/1000</f>
        <v>0</v>
      </c>
      <c r="L75" s="1280">
        <f>L76*L77/1000</f>
        <v>0</v>
      </c>
      <c r="M75" s="1370">
        <f t="shared" si="8"/>
        <v>0</v>
      </c>
      <c r="N75" s="1279">
        <f>N76*N77/1000</f>
        <v>0</v>
      </c>
      <c r="O75" s="1280">
        <f>O76*O77/1000</f>
        <v>0</v>
      </c>
      <c r="P75" s="1281">
        <f t="shared" si="9"/>
        <v>0</v>
      </c>
      <c r="Q75" s="1279">
        <f>Q76*Q77/1000</f>
        <v>0</v>
      </c>
      <c r="R75" s="2867">
        <f>R76*R77/1000</f>
        <v>0</v>
      </c>
      <c r="S75" s="1370">
        <f t="shared" si="10"/>
        <v>0</v>
      </c>
      <c r="T75" s="1279">
        <f>T76*T77/1000</f>
        <v>0</v>
      </c>
      <c r="U75" s="1280">
        <f>U76*U77/1000</f>
        <v>0</v>
      </c>
      <c r="V75" s="1281">
        <f t="shared" si="11"/>
        <v>0</v>
      </c>
      <c r="W75" s="2093"/>
      <c r="X75" s="2093"/>
      <c r="Y75" s="2092"/>
      <c r="Z75" s="1376"/>
    </row>
    <row r="76" spans="1:26" s="1263" customFormat="1" hidden="1" outlineLevel="2">
      <c r="A76" s="1267">
        <v>464</v>
      </c>
      <c r="B76" s="1294" t="s">
        <v>1417</v>
      </c>
      <c r="C76" s="1295" t="s">
        <v>1327</v>
      </c>
      <c r="D76" s="1457" t="s">
        <v>1328</v>
      </c>
      <c r="E76" s="1296"/>
      <c r="F76" s="1297"/>
      <c r="G76" s="1281">
        <f t="shared" si="6"/>
        <v>0</v>
      </c>
      <c r="H76" s="1296"/>
      <c r="I76" s="1297"/>
      <c r="J76" s="1276">
        <f t="shared" si="7"/>
        <v>0</v>
      </c>
      <c r="K76" s="1296"/>
      <c r="L76" s="1297"/>
      <c r="M76" s="1370">
        <f t="shared" si="8"/>
        <v>0</v>
      </c>
      <c r="N76" s="1296"/>
      <c r="O76" s="1297"/>
      <c r="P76" s="1281">
        <f t="shared" si="9"/>
        <v>0</v>
      </c>
      <c r="Q76" s="1296"/>
      <c r="R76" s="2870"/>
      <c r="S76" s="1370">
        <f t="shared" si="10"/>
        <v>0</v>
      </c>
      <c r="T76" s="1296"/>
      <c r="U76" s="1297"/>
      <c r="V76" s="1281">
        <f t="shared" si="11"/>
        <v>0</v>
      </c>
      <c r="W76" s="2094"/>
      <c r="X76" s="2094"/>
      <c r="Y76" s="2092"/>
      <c r="Z76" s="1376"/>
    </row>
    <row r="77" spans="1:26" s="1263" customFormat="1" hidden="1" outlineLevel="2">
      <c r="A77" s="1267">
        <v>465</v>
      </c>
      <c r="B77" s="1294" t="s">
        <v>1418</v>
      </c>
      <c r="C77" s="1295" t="s">
        <v>1330</v>
      </c>
      <c r="D77" s="1457" t="s">
        <v>1331</v>
      </c>
      <c r="E77" s="1296"/>
      <c r="F77" s="1297"/>
      <c r="G77" s="1281">
        <f t="shared" si="6"/>
        <v>0</v>
      </c>
      <c r="H77" s="1296"/>
      <c r="I77" s="1297"/>
      <c r="J77" s="1276">
        <f t="shared" si="7"/>
        <v>0</v>
      </c>
      <c r="K77" s="1296"/>
      <c r="L77" s="1297"/>
      <c r="M77" s="1370">
        <f t="shared" si="8"/>
        <v>0</v>
      </c>
      <c r="N77" s="1296"/>
      <c r="O77" s="1297"/>
      <c r="P77" s="1281">
        <f t="shared" si="9"/>
        <v>0</v>
      </c>
      <c r="Q77" s="1296"/>
      <c r="R77" s="2870"/>
      <c r="S77" s="1370">
        <f t="shared" si="10"/>
        <v>0</v>
      </c>
      <c r="T77" s="1296"/>
      <c r="U77" s="1297"/>
      <c r="V77" s="1281">
        <f t="shared" si="11"/>
        <v>0</v>
      </c>
      <c r="W77" s="2094"/>
      <c r="X77" s="2094"/>
      <c r="Y77" s="2092"/>
      <c r="Z77" s="1376"/>
    </row>
    <row r="78" spans="1:26" s="1263" customFormat="1" hidden="1" outlineLevel="2">
      <c r="A78" s="1267">
        <v>355</v>
      </c>
      <c r="B78" s="1292" t="s">
        <v>1419</v>
      </c>
      <c r="C78" s="1293" t="s">
        <v>1420</v>
      </c>
      <c r="D78" s="1454"/>
      <c r="E78" s="1279">
        <f>E79*E80/1000</f>
        <v>0</v>
      </c>
      <c r="F78" s="1280">
        <f>F79*F80/1000</f>
        <v>0</v>
      </c>
      <c r="G78" s="1281">
        <f t="shared" si="6"/>
        <v>0</v>
      </c>
      <c r="H78" s="1279">
        <f>H79*H80/1000</f>
        <v>0</v>
      </c>
      <c r="I78" s="1280">
        <f>I79*I80/1000</f>
        <v>0</v>
      </c>
      <c r="J78" s="1276">
        <f t="shared" si="7"/>
        <v>0</v>
      </c>
      <c r="K78" s="1279">
        <f>K79*K80/1000</f>
        <v>0</v>
      </c>
      <c r="L78" s="1280">
        <f>L79*L80/1000</f>
        <v>0</v>
      </c>
      <c r="M78" s="1370">
        <f t="shared" si="8"/>
        <v>0</v>
      </c>
      <c r="N78" s="1279">
        <f>N79*N80/1000</f>
        <v>0</v>
      </c>
      <c r="O78" s="1280">
        <f>O79*O80/1000</f>
        <v>0</v>
      </c>
      <c r="P78" s="1281">
        <f t="shared" si="9"/>
        <v>0</v>
      </c>
      <c r="Q78" s="1279">
        <f>Q79*Q80/1000</f>
        <v>0</v>
      </c>
      <c r="R78" s="2867">
        <f>R79*R80/1000</f>
        <v>0</v>
      </c>
      <c r="S78" s="1370">
        <f t="shared" si="10"/>
        <v>0</v>
      </c>
      <c r="T78" s="1279">
        <f>T79*T80/1000</f>
        <v>0</v>
      </c>
      <c r="U78" s="1280">
        <f>U79*U80/1000</f>
        <v>0</v>
      </c>
      <c r="V78" s="1281">
        <f t="shared" si="11"/>
        <v>0</v>
      </c>
      <c r="W78" s="2093"/>
      <c r="X78" s="2093"/>
      <c r="Y78" s="2092"/>
      <c r="Z78" s="1376"/>
    </row>
    <row r="79" spans="1:26" s="1263" customFormat="1" hidden="1" outlineLevel="2">
      <c r="A79" s="1267">
        <v>312</v>
      </c>
      <c r="B79" s="1294" t="s">
        <v>1421</v>
      </c>
      <c r="C79" s="1295" t="s">
        <v>1330</v>
      </c>
      <c r="D79" s="1457" t="s">
        <v>1331</v>
      </c>
      <c r="E79" s="1296"/>
      <c r="F79" s="1297"/>
      <c r="G79" s="1281">
        <f t="shared" si="6"/>
        <v>0</v>
      </c>
      <c r="H79" s="1296"/>
      <c r="I79" s="1297"/>
      <c r="J79" s="1276">
        <f t="shared" si="7"/>
        <v>0</v>
      </c>
      <c r="K79" s="1296"/>
      <c r="L79" s="1297"/>
      <c r="M79" s="1370">
        <f t="shared" si="8"/>
        <v>0</v>
      </c>
      <c r="N79" s="1296"/>
      <c r="O79" s="1297"/>
      <c r="P79" s="1281">
        <f t="shared" si="9"/>
        <v>0</v>
      </c>
      <c r="Q79" s="1296"/>
      <c r="R79" s="2870"/>
      <c r="S79" s="1370">
        <f t="shared" si="10"/>
        <v>0</v>
      </c>
      <c r="T79" s="1296"/>
      <c r="U79" s="1297"/>
      <c r="V79" s="1281">
        <f t="shared" si="11"/>
        <v>0</v>
      </c>
      <c r="W79" s="2094"/>
      <c r="X79" s="2094"/>
      <c r="Y79" s="2092"/>
      <c r="Z79" s="1376"/>
    </row>
    <row r="80" spans="1:26" s="1263" customFormat="1" hidden="1" outlineLevel="2">
      <c r="A80" s="1267">
        <v>466</v>
      </c>
      <c r="B80" s="1294" t="s">
        <v>1422</v>
      </c>
      <c r="C80" s="1295" t="s">
        <v>1327</v>
      </c>
      <c r="D80" s="1457" t="s">
        <v>1328</v>
      </c>
      <c r="E80" s="1296"/>
      <c r="F80" s="1297"/>
      <c r="G80" s="1281">
        <f t="shared" si="6"/>
        <v>0</v>
      </c>
      <c r="H80" s="1296"/>
      <c r="I80" s="1297"/>
      <c r="J80" s="1276">
        <f t="shared" si="7"/>
        <v>0</v>
      </c>
      <c r="K80" s="1296"/>
      <c r="L80" s="1297"/>
      <c r="M80" s="1370">
        <f t="shared" si="8"/>
        <v>0</v>
      </c>
      <c r="N80" s="1296"/>
      <c r="O80" s="1297"/>
      <c r="P80" s="1281">
        <f t="shared" si="9"/>
        <v>0</v>
      </c>
      <c r="Q80" s="1296"/>
      <c r="R80" s="2870"/>
      <c r="S80" s="1370">
        <f t="shared" si="10"/>
        <v>0</v>
      </c>
      <c r="T80" s="1296"/>
      <c r="U80" s="1297"/>
      <c r="V80" s="1281">
        <f t="shared" si="11"/>
        <v>0</v>
      </c>
      <c r="W80" s="2094"/>
      <c r="X80" s="2094"/>
      <c r="Y80" s="2092"/>
      <c r="Z80" s="1376"/>
    </row>
    <row r="81" spans="1:26" s="1263" customFormat="1" hidden="1" outlineLevel="2">
      <c r="A81" s="1267">
        <v>356</v>
      </c>
      <c r="B81" s="1292" t="s">
        <v>1423</v>
      </c>
      <c r="C81" s="1293" t="s">
        <v>1424</v>
      </c>
      <c r="D81" s="1454"/>
      <c r="E81" s="1279">
        <f>E82*E83/1000</f>
        <v>0</v>
      </c>
      <c r="F81" s="1280">
        <f>F82*F83/1000</f>
        <v>0</v>
      </c>
      <c r="G81" s="1281">
        <f t="shared" si="6"/>
        <v>0</v>
      </c>
      <c r="H81" s="1279">
        <f>H82*H83/1000</f>
        <v>0</v>
      </c>
      <c r="I81" s="1280">
        <f>I82*I83/1000</f>
        <v>0</v>
      </c>
      <c r="J81" s="1276">
        <f t="shared" si="7"/>
        <v>0</v>
      </c>
      <c r="K81" s="1279">
        <f>K82*K83/1000</f>
        <v>0</v>
      </c>
      <c r="L81" s="1280">
        <f>L82*L83/1000</f>
        <v>0</v>
      </c>
      <c r="M81" s="1370">
        <f t="shared" si="8"/>
        <v>0</v>
      </c>
      <c r="N81" s="1279">
        <f>N82*N83/1000</f>
        <v>0</v>
      </c>
      <c r="O81" s="1280">
        <f>O82*O83/1000</f>
        <v>0</v>
      </c>
      <c r="P81" s="1281">
        <f t="shared" si="9"/>
        <v>0</v>
      </c>
      <c r="Q81" s="1279">
        <f>Q82*Q83/1000</f>
        <v>0</v>
      </c>
      <c r="R81" s="2867">
        <f>R82*R83/1000</f>
        <v>0</v>
      </c>
      <c r="S81" s="1370">
        <f t="shared" si="10"/>
        <v>0</v>
      </c>
      <c r="T81" s="1279">
        <f>T82*T83/1000</f>
        <v>0</v>
      </c>
      <c r="U81" s="1280">
        <f>U82*U83/1000</f>
        <v>0</v>
      </c>
      <c r="V81" s="1281">
        <f t="shared" si="11"/>
        <v>0</v>
      </c>
      <c r="W81" s="2093"/>
      <c r="X81" s="2093"/>
      <c r="Y81" s="2092"/>
      <c r="Z81" s="1376"/>
    </row>
    <row r="82" spans="1:26" s="1263" customFormat="1" hidden="1" outlineLevel="2">
      <c r="A82" s="1267">
        <v>467</v>
      </c>
      <c r="B82" s="1294" t="s">
        <v>1425</v>
      </c>
      <c r="C82" s="1295" t="s">
        <v>1327</v>
      </c>
      <c r="D82" s="1457" t="s">
        <v>1328</v>
      </c>
      <c r="E82" s="1296"/>
      <c r="F82" s="1297"/>
      <c r="G82" s="1281">
        <f t="shared" si="6"/>
        <v>0</v>
      </c>
      <c r="H82" s="1296"/>
      <c r="I82" s="1297"/>
      <c r="J82" s="1276">
        <f t="shared" si="7"/>
        <v>0</v>
      </c>
      <c r="K82" s="1296"/>
      <c r="L82" s="1297"/>
      <c r="M82" s="1370">
        <f t="shared" si="8"/>
        <v>0</v>
      </c>
      <c r="N82" s="1296"/>
      <c r="O82" s="1297"/>
      <c r="P82" s="1281">
        <f t="shared" si="9"/>
        <v>0</v>
      </c>
      <c r="Q82" s="1296"/>
      <c r="R82" s="2870"/>
      <c r="S82" s="1370">
        <f t="shared" si="10"/>
        <v>0</v>
      </c>
      <c r="T82" s="1296"/>
      <c r="U82" s="1297"/>
      <c r="V82" s="1281">
        <f t="shared" si="11"/>
        <v>0</v>
      </c>
      <c r="W82" s="2094"/>
      <c r="X82" s="2094"/>
      <c r="Y82" s="2092"/>
      <c r="Z82" s="1376"/>
    </row>
    <row r="83" spans="1:26" s="1263" customFormat="1" hidden="1" outlineLevel="2">
      <c r="A83" s="1267">
        <v>468</v>
      </c>
      <c r="B83" s="1294" t="s">
        <v>1426</v>
      </c>
      <c r="C83" s="1295" t="s">
        <v>1330</v>
      </c>
      <c r="D83" s="1457" t="s">
        <v>1331</v>
      </c>
      <c r="E83" s="1296"/>
      <c r="F83" s="1297"/>
      <c r="G83" s="1281">
        <f t="shared" si="6"/>
        <v>0</v>
      </c>
      <c r="H83" s="1296"/>
      <c r="I83" s="1297"/>
      <c r="J83" s="1276">
        <f t="shared" si="7"/>
        <v>0</v>
      </c>
      <c r="K83" s="1296"/>
      <c r="L83" s="1297"/>
      <c r="M83" s="1370">
        <f t="shared" si="8"/>
        <v>0</v>
      </c>
      <c r="N83" s="1296"/>
      <c r="O83" s="1297"/>
      <c r="P83" s="1281">
        <f t="shared" si="9"/>
        <v>0</v>
      </c>
      <c r="Q83" s="1296"/>
      <c r="R83" s="2870"/>
      <c r="S83" s="1370">
        <f t="shared" si="10"/>
        <v>0</v>
      </c>
      <c r="T83" s="1296"/>
      <c r="U83" s="1297"/>
      <c r="V83" s="1281">
        <f t="shared" si="11"/>
        <v>0</v>
      </c>
      <c r="W83" s="2094"/>
      <c r="X83" s="2094"/>
      <c r="Y83" s="2092"/>
      <c r="Z83" s="1376"/>
    </row>
    <row r="84" spans="1:26" s="1263" customFormat="1" hidden="1" outlineLevel="2">
      <c r="A84" s="1267">
        <v>357</v>
      </c>
      <c r="B84" s="1292" t="s">
        <v>1427</v>
      </c>
      <c r="C84" s="1293" t="s">
        <v>1428</v>
      </c>
      <c r="D84" s="1454"/>
      <c r="E84" s="1279">
        <f>E85*E86/1000</f>
        <v>0</v>
      </c>
      <c r="F84" s="1280">
        <f>F85*F86/1000</f>
        <v>0</v>
      </c>
      <c r="G84" s="1281">
        <f t="shared" si="6"/>
        <v>0</v>
      </c>
      <c r="H84" s="1279">
        <f>H85*H86/1000</f>
        <v>0</v>
      </c>
      <c r="I84" s="1280">
        <f>I85*I86/1000</f>
        <v>0</v>
      </c>
      <c r="J84" s="1276">
        <f t="shared" si="7"/>
        <v>0</v>
      </c>
      <c r="K84" s="1279">
        <f>K85*K86/1000</f>
        <v>0</v>
      </c>
      <c r="L84" s="1280">
        <f>L85*L86/1000</f>
        <v>0</v>
      </c>
      <c r="M84" s="1370">
        <f t="shared" si="8"/>
        <v>0</v>
      </c>
      <c r="N84" s="1279">
        <f>N85*N86/1000</f>
        <v>0</v>
      </c>
      <c r="O84" s="1280">
        <f>O85*O86/1000</f>
        <v>0</v>
      </c>
      <c r="P84" s="1281">
        <f t="shared" si="9"/>
        <v>0</v>
      </c>
      <c r="Q84" s="1279">
        <f>Q85*Q86/1000</f>
        <v>0</v>
      </c>
      <c r="R84" s="2867">
        <f>R85*R86/1000</f>
        <v>0</v>
      </c>
      <c r="S84" s="1370">
        <f t="shared" si="10"/>
        <v>0</v>
      </c>
      <c r="T84" s="1279">
        <f>T85*T86/1000</f>
        <v>0</v>
      </c>
      <c r="U84" s="1280">
        <f>U85*U86/1000</f>
        <v>0</v>
      </c>
      <c r="V84" s="1281">
        <f t="shared" si="11"/>
        <v>0</v>
      </c>
      <c r="W84" s="2093"/>
      <c r="X84" s="2093"/>
      <c r="Y84" s="2092"/>
      <c r="Z84" s="1376"/>
    </row>
    <row r="85" spans="1:26" s="1263" customFormat="1" hidden="1" outlineLevel="2">
      <c r="A85" s="1267">
        <v>469</v>
      </c>
      <c r="B85" s="1294" t="s">
        <v>1429</v>
      </c>
      <c r="C85" s="1295" t="s">
        <v>1327</v>
      </c>
      <c r="D85" s="1457" t="s">
        <v>1328</v>
      </c>
      <c r="E85" s="1296"/>
      <c r="F85" s="1297"/>
      <c r="G85" s="1281">
        <f t="shared" si="6"/>
        <v>0</v>
      </c>
      <c r="H85" s="1296"/>
      <c r="I85" s="1297"/>
      <c r="J85" s="1276">
        <f t="shared" si="7"/>
        <v>0</v>
      </c>
      <c r="K85" s="1296"/>
      <c r="L85" s="1297"/>
      <c r="M85" s="1370">
        <f t="shared" si="8"/>
        <v>0</v>
      </c>
      <c r="N85" s="1296"/>
      <c r="O85" s="1297"/>
      <c r="P85" s="1281">
        <f t="shared" si="9"/>
        <v>0</v>
      </c>
      <c r="Q85" s="1296"/>
      <c r="R85" s="2870"/>
      <c r="S85" s="1370">
        <f t="shared" si="10"/>
        <v>0</v>
      </c>
      <c r="T85" s="1296"/>
      <c r="U85" s="1297"/>
      <c r="V85" s="1281">
        <f t="shared" si="11"/>
        <v>0</v>
      </c>
      <c r="W85" s="2094"/>
      <c r="X85" s="2094"/>
      <c r="Y85" s="2092"/>
      <c r="Z85" s="1376"/>
    </row>
    <row r="86" spans="1:26" s="1263" customFormat="1" hidden="1" outlineLevel="2">
      <c r="A86" s="1267">
        <v>470</v>
      </c>
      <c r="B86" s="1294" t="s">
        <v>1430</v>
      </c>
      <c r="C86" s="1295" t="s">
        <v>1330</v>
      </c>
      <c r="D86" s="1457" t="s">
        <v>1331</v>
      </c>
      <c r="E86" s="1296"/>
      <c r="F86" s="1297"/>
      <c r="G86" s="1281">
        <f t="shared" si="6"/>
        <v>0</v>
      </c>
      <c r="H86" s="1296"/>
      <c r="I86" s="1297"/>
      <c r="J86" s="1276">
        <f t="shared" si="7"/>
        <v>0</v>
      </c>
      <c r="K86" s="1296"/>
      <c r="L86" s="1297"/>
      <c r="M86" s="1370">
        <f t="shared" si="8"/>
        <v>0</v>
      </c>
      <c r="N86" s="1296"/>
      <c r="O86" s="1297"/>
      <c r="P86" s="1281">
        <f t="shared" si="9"/>
        <v>0</v>
      </c>
      <c r="Q86" s="1296"/>
      <c r="R86" s="2870"/>
      <c r="S86" s="1370">
        <f t="shared" si="10"/>
        <v>0</v>
      </c>
      <c r="T86" s="1296"/>
      <c r="U86" s="1297"/>
      <c r="V86" s="1281">
        <f t="shared" si="11"/>
        <v>0</v>
      </c>
      <c r="W86" s="2094"/>
      <c r="X86" s="2094"/>
      <c r="Y86" s="2092"/>
      <c r="Z86" s="1376"/>
    </row>
    <row r="87" spans="1:26" s="1263" customFormat="1" hidden="1" outlineLevel="2">
      <c r="A87" s="1267">
        <v>358</v>
      </c>
      <c r="B87" s="1292" t="s">
        <v>1431</v>
      </c>
      <c r="C87" s="1293" t="s">
        <v>1432</v>
      </c>
      <c r="D87" s="1454"/>
      <c r="E87" s="1279">
        <f>E88*E89/1000</f>
        <v>0</v>
      </c>
      <c r="F87" s="1280">
        <f>F88*F89/1000</f>
        <v>0</v>
      </c>
      <c r="G87" s="1281">
        <f t="shared" si="6"/>
        <v>0</v>
      </c>
      <c r="H87" s="1279">
        <f>H88*H89/1000</f>
        <v>0</v>
      </c>
      <c r="I87" s="1280">
        <f>I88*I89/1000</f>
        <v>0</v>
      </c>
      <c r="J87" s="1276">
        <f t="shared" si="7"/>
        <v>0</v>
      </c>
      <c r="K87" s="1279">
        <f>K88*K89/1000</f>
        <v>0</v>
      </c>
      <c r="L87" s="1280">
        <f>L88*L89/1000</f>
        <v>0</v>
      </c>
      <c r="M87" s="1370">
        <f t="shared" si="8"/>
        <v>0</v>
      </c>
      <c r="N87" s="1279">
        <f>N88*N89/1000</f>
        <v>0</v>
      </c>
      <c r="O87" s="1280">
        <f>O88*O89/1000</f>
        <v>0</v>
      </c>
      <c r="P87" s="1281">
        <f t="shared" si="9"/>
        <v>0</v>
      </c>
      <c r="Q87" s="1279">
        <f>Q88*Q89/1000</f>
        <v>0</v>
      </c>
      <c r="R87" s="2867">
        <f>R88*R89/1000</f>
        <v>0</v>
      </c>
      <c r="S87" s="1370">
        <f t="shared" si="10"/>
        <v>0</v>
      </c>
      <c r="T87" s="1279">
        <f>T88*T89/1000</f>
        <v>0</v>
      </c>
      <c r="U87" s="1280">
        <f>U88*U89/1000</f>
        <v>0</v>
      </c>
      <c r="V87" s="1281">
        <f t="shared" si="11"/>
        <v>0</v>
      </c>
      <c r="W87" s="2093"/>
      <c r="X87" s="2093"/>
      <c r="Y87" s="2092"/>
      <c r="Z87" s="1376"/>
    </row>
    <row r="88" spans="1:26" s="1263" customFormat="1" hidden="1" outlineLevel="2">
      <c r="A88" s="1267">
        <v>471</v>
      </c>
      <c r="B88" s="1294" t="s">
        <v>1433</v>
      </c>
      <c r="C88" s="1295" t="s">
        <v>1327</v>
      </c>
      <c r="D88" s="1457" t="s">
        <v>1328</v>
      </c>
      <c r="E88" s="1296"/>
      <c r="F88" s="1297"/>
      <c r="G88" s="1281">
        <f t="shared" si="6"/>
        <v>0</v>
      </c>
      <c r="H88" s="1296"/>
      <c r="I88" s="1297"/>
      <c r="J88" s="1276">
        <f t="shared" si="7"/>
        <v>0</v>
      </c>
      <c r="K88" s="1296"/>
      <c r="L88" s="1297"/>
      <c r="M88" s="1370">
        <f t="shared" si="8"/>
        <v>0</v>
      </c>
      <c r="N88" s="1296"/>
      <c r="O88" s="1297"/>
      <c r="P88" s="1281">
        <f t="shared" si="9"/>
        <v>0</v>
      </c>
      <c r="Q88" s="1296"/>
      <c r="R88" s="2870"/>
      <c r="S88" s="1370">
        <f t="shared" si="10"/>
        <v>0</v>
      </c>
      <c r="T88" s="1296"/>
      <c r="U88" s="1297"/>
      <c r="V88" s="1281">
        <f t="shared" si="11"/>
        <v>0</v>
      </c>
      <c r="W88" s="2094"/>
      <c r="X88" s="2094"/>
      <c r="Y88" s="2092"/>
      <c r="Z88" s="1376"/>
    </row>
    <row r="89" spans="1:26" s="1263" customFormat="1" hidden="1" outlineLevel="2">
      <c r="A89" s="1267">
        <v>472</v>
      </c>
      <c r="B89" s="1294" t="s">
        <v>1434</v>
      </c>
      <c r="C89" s="1295" t="s">
        <v>1330</v>
      </c>
      <c r="D89" s="1457" t="s">
        <v>1331</v>
      </c>
      <c r="E89" s="1296"/>
      <c r="F89" s="1297"/>
      <c r="G89" s="1281">
        <f t="shared" si="6"/>
        <v>0</v>
      </c>
      <c r="H89" s="1296"/>
      <c r="I89" s="1297"/>
      <c r="J89" s="1276">
        <f t="shared" si="7"/>
        <v>0</v>
      </c>
      <c r="K89" s="1296"/>
      <c r="L89" s="1297"/>
      <c r="M89" s="1370">
        <f t="shared" si="8"/>
        <v>0</v>
      </c>
      <c r="N89" s="1296"/>
      <c r="O89" s="1297"/>
      <c r="P89" s="1281">
        <f t="shared" si="9"/>
        <v>0</v>
      </c>
      <c r="Q89" s="1296"/>
      <c r="R89" s="2870"/>
      <c r="S89" s="1370">
        <f t="shared" si="10"/>
        <v>0</v>
      </c>
      <c r="T89" s="1296"/>
      <c r="U89" s="1297"/>
      <c r="V89" s="1281">
        <f t="shared" si="11"/>
        <v>0</v>
      </c>
      <c r="W89" s="2094"/>
      <c r="X89" s="2094"/>
      <c r="Y89" s="2092"/>
      <c r="Z89" s="1376"/>
    </row>
    <row r="90" spans="1:26" s="1263" customFormat="1" hidden="1" outlineLevel="2">
      <c r="A90" s="1267">
        <v>359</v>
      </c>
      <c r="B90" s="1292" t="s">
        <v>1435</v>
      </c>
      <c r="C90" s="1293" t="s">
        <v>1436</v>
      </c>
      <c r="D90" s="1454"/>
      <c r="E90" s="1279">
        <f>E91*E92/1000</f>
        <v>0</v>
      </c>
      <c r="F90" s="1280">
        <f>F91*F92/1000</f>
        <v>0</v>
      </c>
      <c r="G90" s="1281">
        <f t="shared" si="6"/>
        <v>0</v>
      </c>
      <c r="H90" s="1279">
        <f>H91*H92/1000</f>
        <v>0</v>
      </c>
      <c r="I90" s="1280">
        <f>I91*I92/1000</f>
        <v>0</v>
      </c>
      <c r="J90" s="1276">
        <f t="shared" si="7"/>
        <v>0</v>
      </c>
      <c r="K90" s="1279">
        <f>K91*K92/1000</f>
        <v>0</v>
      </c>
      <c r="L90" s="1280">
        <f>L91*L92/1000</f>
        <v>0</v>
      </c>
      <c r="M90" s="1370">
        <f t="shared" si="8"/>
        <v>0</v>
      </c>
      <c r="N90" s="1279">
        <f>N91*N92/1000</f>
        <v>0</v>
      </c>
      <c r="O90" s="1280">
        <f>O91*O92/1000</f>
        <v>0</v>
      </c>
      <c r="P90" s="1281">
        <f t="shared" si="9"/>
        <v>0</v>
      </c>
      <c r="Q90" s="1279">
        <f>Q91*Q92/1000</f>
        <v>0</v>
      </c>
      <c r="R90" s="2867">
        <f>R91*R92/1000</f>
        <v>0</v>
      </c>
      <c r="S90" s="1370">
        <f t="shared" si="10"/>
        <v>0</v>
      </c>
      <c r="T90" s="1279">
        <f>T91*T92/1000</f>
        <v>0</v>
      </c>
      <c r="U90" s="1280">
        <f>U91*U92/1000</f>
        <v>0</v>
      </c>
      <c r="V90" s="1281">
        <f t="shared" si="11"/>
        <v>0</v>
      </c>
      <c r="W90" s="2093"/>
      <c r="X90" s="2093"/>
      <c r="Y90" s="2092"/>
      <c r="Z90" s="1376"/>
    </row>
    <row r="91" spans="1:26" s="1263" customFormat="1" hidden="1" outlineLevel="2">
      <c r="A91" s="1267">
        <v>473</v>
      </c>
      <c r="B91" s="1294" t="s">
        <v>1437</v>
      </c>
      <c r="C91" s="1295" t="s">
        <v>1327</v>
      </c>
      <c r="D91" s="1457" t="s">
        <v>1328</v>
      </c>
      <c r="E91" s="1296"/>
      <c r="F91" s="1297"/>
      <c r="G91" s="1281">
        <f t="shared" si="6"/>
        <v>0</v>
      </c>
      <c r="H91" s="1296"/>
      <c r="I91" s="1297"/>
      <c r="J91" s="1276">
        <f t="shared" si="7"/>
        <v>0</v>
      </c>
      <c r="K91" s="1296"/>
      <c r="L91" s="1297"/>
      <c r="M91" s="1370">
        <f t="shared" si="8"/>
        <v>0</v>
      </c>
      <c r="N91" s="1296"/>
      <c r="O91" s="1297"/>
      <c r="P91" s="1281">
        <f t="shared" si="9"/>
        <v>0</v>
      </c>
      <c r="Q91" s="1296"/>
      <c r="R91" s="2870"/>
      <c r="S91" s="1370">
        <f t="shared" si="10"/>
        <v>0</v>
      </c>
      <c r="T91" s="1296"/>
      <c r="U91" s="1297"/>
      <c r="V91" s="1281">
        <f t="shared" si="11"/>
        <v>0</v>
      </c>
      <c r="W91" s="2094"/>
      <c r="X91" s="2094"/>
      <c r="Y91" s="2092"/>
      <c r="Z91" s="1376"/>
    </row>
    <row r="92" spans="1:26" s="1263" customFormat="1" hidden="1" outlineLevel="2">
      <c r="A92" s="1267">
        <v>474</v>
      </c>
      <c r="B92" s="1294" t="s">
        <v>1438</v>
      </c>
      <c r="C92" s="1295" t="s">
        <v>1330</v>
      </c>
      <c r="D92" s="1457" t="s">
        <v>1331</v>
      </c>
      <c r="E92" s="1296"/>
      <c r="F92" s="1297"/>
      <c r="G92" s="1281">
        <f t="shared" si="6"/>
        <v>0</v>
      </c>
      <c r="H92" s="1296"/>
      <c r="I92" s="1297"/>
      <c r="J92" s="1276">
        <f t="shared" si="7"/>
        <v>0</v>
      </c>
      <c r="K92" s="1296"/>
      <c r="L92" s="1297"/>
      <c r="M92" s="1370">
        <f t="shared" si="8"/>
        <v>0</v>
      </c>
      <c r="N92" s="1296"/>
      <c r="O92" s="1297"/>
      <c r="P92" s="1281">
        <f t="shared" si="9"/>
        <v>0</v>
      </c>
      <c r="Q92" s="1296"/>
      <c r="R92" s="2870"/>
      <c r="S92" s="1370">
        <f t="shared" si="10"/>
        <v>0</v>
      </c>
      <c r="T92" s="1296"/>
      <c r="U92" s="1297"/>
      <c r="V92" s="1281">
        <f t="shared" si="11"/>
        <v>0</v>
      </c>
      <c r="W92" s="2094"/>
      <c r="X92" s="2094"/>
      <c r="Y92" s="2092"/>
      <c r="Z92" s="1376"/>
    </row>
    <row r="93" spans="1:26" s="1263" customFormat="1" hidden="1" outlineLevel="2">
      <c r="A93" s="1267">
        <v>360</v>
      </c>
      <c r="B93" s="1292" t="s">
        <v>1439</v>
      </c>
      <c r="C93" s="1293" t="s">
        <v>1440</v>
      </c>
      <c r="D93" s="1454"/>
      <c r="E93" s="1279">
        <f>E94*E95/1000</f>
        <v>0</v>
      </c>
      <c r="F93" s="1280">
        <f>F94*F95/1000</f>
        <v>0</v>
      </c>
      <c r="G93" s="1281">
        <f t="shared" si="6"/>
        <v>0</v>
      </c>
      <c r="H93" s="1279">
        <f>H94*H95/1000</f>
        <v>0</v>
      </c>
      <c r="I93" s="1280">
        <f>I94*I95/1000</f>
        <v>0</v>
      </c>
      <c r="J93" s="1276">
        <f t="shared" si="7"/>
        <v>0</v>
      </c>
      <c r="K93" s="1279">
        <f>K94*K95/1000</f>
        <v>0</v>
      </c>
      <c r="L93" s="1280">
        <f>L94*L95/1000</f>
        <v>0</v>
      </c>
      <c r="M93" s="1370">
        <f t="shared" si="8"/>
        <v>0</v>
      </c>
      <c r="N93" s="1279">
        <f>N94*N95/1000</f>
        <v>0</v>
      </c>
      <c r="O93" s="1280">
        <f>O94*O95/1000</f>
        <v>0</v>
      </c>
      <c r="P93" s="1281">
        <f t="shared" si="9"/>
        <v>0</v>
      </c>
      <c r="Q93" s="1279">
        <f>Q94*Q95/1000</f>
        <v>0</v>
      </c>
      <c r="R93" s="2867">
        <f>R94*R95/1000</f>
        <v>0</v>
      </c>
      <c r="S93" s="1370">
        <f t="shared" si="10"/>
        <v>0</v>
      </c>
      <c r="T93" s="1279">
        <f>T94*T95/1000</f>
        <v>0</v>
      </c>
      <c r="U93" s="1280">
        <f>U94*U95/1000</f>
        <v>0</v>
      </c>
      <c r="V93" s="1281">
        <f t="shared" si="11"/>
        <v>0</v>
      </c>
      <c r="W93" s="2093"/>
      <c r="X93" s="2093"/>
      <c r="Y93" s="2092"/>
      <c r="Z93" s="1376"/>
    </row>
    <row r="94" spans="1:26" s="1263" customFormat="1" hidden="1" outlineLevel="2">
      <c r="A94" s="1267">
        <v>475</v>
      </c>
      <c r="B94" s="1294" t="s">
        <v>1441</v>
      </c>
      <c r="C94" s="1295" t="s">
        <v>1327</v>
      </c>
      <c r="D94" s="1457" t="s">
        <v>1328</v>
      </c>
      <c r="E94" s="1296"/>
      <c r="F94" s="1297"/>
      <c r="G94" s="1281">
        <f t="shared" si="6"/>
        <v>0</v>
      </c>
      <c r="H94" s="1296"/>
      <c r="I94" s="1297"/>
      <c r="J94" s="1276">
        <f t="shared" si="7"/>
        <v>0</v>
      </c>
      <c r="K94" s="1296"/>
      <c r="L94" s="1297"/>
      <c r="M94" s="1370">
        <f t="shared" si="8"/>
        <v>0</v>
      </c>
      <c r="N94" s="1296"/>
      <c r="O94" s="1297"/>
      <c r="P94" s="1281">
        <f t="shared" si="9"/>
        <v>0</v>
      </c>
      <c r="Q94" s="1296"/>
      <c r="R94" s="2870"/>
      <c r="S94" s="1370">
        <f t="shared" si="10"/>
        <v>0</v>
      </c>
      <c r="T94" s="1296"/>
      <c r="U94" s="1297"/>
      <c r="V94" s="1281">
        <f t="shared" si="11"/>
        <v>0</v>
      </c>
      <c r="W94" s="2094"/>
      <c r="X94" s="2094"/>
      <c r="Y94" s="2092"/>
      <c r="Z94" s="1376"/>
    </row>
    <row r="95" spans="1:26" s="1263" customFormat="1" hidden="1" outlineLevel="2">
      <c r="A95" s="1267">
        <v>476</v>
      </c>
      <c r="B95" s="1294" t="s">
        <v>1442</v>
      </c>
      <c r="C95" s="1295" t="s">
        <v>1330</v>
      </c>
      <c r="D95" s="1457" t="s">
        <v>1331</v>
      </c>
      <c r="E95" s="1296"/>
      <c r="F95" s="1297"/>
      <c r="G95" s="1281">
        <f t="shared" si="6"/>
        <v>0</v>
      </c>
      <c r="H95" s="1296"/>
      <c r="I95" s="1297"/>
      <c r="J95" s="1276">
        <f t="shared" si="7"/>
        <v>0</v>
      </c>
      <c r="K95" s="1296"/>
      <c r="L95" s="1297"/>
      <c r="M95" s="1370">
        <f t="shared" si="8"/>
        <v>0</v>
      </c>
      <c r="N95" s="1296"/>
      <c r="O95" s="1297"/>
      <c r="P95" s="1281">
        <f t="shared" si="9"/>
        <v>0</v>
      </c>
      <c r="Q95" s="1296"/>
      <c r="R95" s="2870"/>
      <c r="S95" s="1370">
        <f t="shared" si="10"/>
        <v>0</v>
      </c>
      <c r="T95" s="1296"/>
      <c r="U95" s="1297"/>
      <c r="V95" s="1281">
        <f t="shared" si="11"/>
        <v>0</v>
      </c>
      <c r="W95" s="2094"/>
      <c r="X95" s="2094"/>
      <c r="Y95" s="2092"/>
      <c r="Z95" s="1376"/>
    </row>
    <row r="96" spans="1:26" s="1263" customFormat="1" hidden="1" outlineLevel="2">
      <c r="A96" s="1267">
        <v>361</v>
      </c>
      <c r="B96" s="1292" t="s">
        <v>1443</v>
      </c>
      <c r="C96" s="1293" t="s">
        <v>1444</v>
      </c>
      <c r="D96" s="1454"/>
      <c r="E96" s="1279">
        <f>E97*E98/1000</f>
        <v>0</v>
      </c>
      <c r="F96" s="1280">
        <f>F97*F98/1000</f>
        <v>0</v>
      </c>
      <c r="G96" s="1281">
        <f t="shared" si="6"/>
        <v>0</v>
      </c>
      <c r="H96" s="1279">
        <f>H97*H98/1000</f>
        <v>0</v>
      </c>
      <c r="I96" s="1280">
        <f>I97*I98/1000</f>
        <v>0</v>
      </c>
      <c r="J96" s="1276">
        <f t="shared" si="7"/>
        <v>0</v>
      </c>
      <c r="K96" s="1279">
        <f>K97*K98/1000</f>
        <v>0</v>
      </c>
      <c r="L96" s="1280">
        <f>L97*L98/1000</f>
        <v>0</v>
      </c>
      <c r="M96" s="1370">
        <f t="shared" si="8"/>
        <v>0</v>
      </c>
      <c r="N96" s="1279">
        <f>N97*N98/1000</f>
        <v>0</v>
      </c>
      <c r="O96" s="1280">
        <f>O97*O98/1000</f>
        <v>0</v>
      </c>
      <c r="P96" s="1281">
        <f t="shared" si="9"/>
        <v>0</v>
      </c>
      <c r="Q96" s="1279">
        <f>Q97*Q98/1000</f>
        <v>0</v>
      </c>
      <c r="R96" s="2867">
        <f>R97*R98/1000</f>
        <v>0</v>
      </c>
      <c r="S96" s="1370">
        <f t="shared" si="10"/>
        <v>0</v>
      </c>
      <c r="T96" s="1279">
        <f>T97*T98/1000</f>
        <v>0</v>
      </c>
      <c r="U96" s="1280">
        <f>U97*U98/1000</f>
        <v>0</v>
      </c>
      <c r="V96" s="1281">
        <f t="shared" si="11"/>
        <v>0</v>
      </c>
      <c r="W96" s="2093"/>
      <c r="X96" s="2093"/>
      <c r="Y96" s="2092"/>
      <c r="Z96" s="1376"/>
    </row>
    <row r="97" spans="1:26" s="1263" customFormat="1" hidden="1" outlineLevel="2">
      <c r="A97" s="1267">
        <v>477</v>
      </c>
      <c r="B97" s="1294" t="s">
        <v>1445</v>
      </c>
      <c r="C97" s="1295" t="s">
        <v>1327</v>
      </c>
      <c r="D97" s="1457" t="s">
        <v>1328</v>
      </c>
      <c r="E97" s="1296"/>
      <c r="F97" s="1297"/>
      <c r="G97" s="1281">
        <f t="shared" si="6"/>
        <v>0</v>
      </c>
      <c r="H97" s="1296"/>
      <c r="I97" s="1297"/>
      <c r="J97" s="1276">
        <f t="shared" si="7"/>
        <v>0</v>
      </c>
      <c r="K97" s="1296"/>
      <c r="L97" s="1297"/>
      <c r="M97" s="1370">
        <f t="shared" si="8"/>
        <v>0</v>
      </c>
      <c r="N97" s="1296"/>
      <c r="O97" s="1297"/>
      <c r="P97" s="1281">
        <f t="shared" si="9"/>
        <v>0</v>
      </c>
      <c r="Q97" s="1296"/>
      <c r="R97" s="2870"/>
      <c r="S97" s="1370">
        <f t="shared" si="10"/>
        <v>0</v>
      </c>
      <c r="T97" s="1296"/>
      <c r="U97" s="1297"/>
      <c r="V97" s="1281">
        <f t="shared" si="11"/>
        <v>0</v>
      </c>
      <c r="W97" s="2094"/>
      <c r="X97" s="2094"/>
      <c r="Y97" s="2092"/>
      <c r="Z97" s="1376"/>
    </row>
    <row r="98" spans="1:26" s="1263" customFormat="1" hidden="1" outlineLevel="2">
      <c r="A98" s="1267">
        <v>478</v>
      </c>
      <c r="B98" s="1294" t="s">
        <v>1446</v>
      </c>
      <c r="C98" s="1295" t="s">
        <v>1330</v>
      </c>
      <c r="D98" s="1457" t="s">
        <v>1331</v>
      </c>
      <c r="E98" s="1296"/>
      <c r="F98" s="1297"/>
      <c r="G98" s="1281">
        <f t="shared" si="6"/>
        <v>0</v>
      </c>
      <c r="H98" s="1296"/>
      <c r="I98" s="1297"/>
      <c r="J98" s="1276">
        <f t="shared" si="7"/>
        <v>0</v>
      </c>
      <c r="K98" s="1296"/>
      <c r="L98" s="1297"/>
      <c r="M98" s="1370">
        <f t="shared" si="8"/>
        <v>0</v>
      </c>
      <c r="N98" s="1296"/>
      <c r="O98" s="1297"/>
      <c r="P98" s="1281">
        <f t="shared" si="9"/>
        <v>0</v>
      </c>
      <c r="Q98" s="1296"/>
      <c r="R98" s="2870"/>
      <c r="S98" s="1370">
        <f t="shared" si="10"/>
        <v>0</v>
      </c>
      <c r="T98" s="1296"/>
      <c r="U98" s="1297"/>
      <c r="V98" s="1281">
        <f t="shared" si="11"/>
        <v>0</v>
      </c>
      <c r="W98" s="2094"/>
      <c r="X98" s="2094"/>
      <c r="Y98" s="2092"/>
      <c r="Z98" s="1376"/>
    </row>
    <row r="99" spans="1:26" s="1263" customFormat="1" hidden="1" outlineLevel="2">
      <c r="A99" s="1267">
        <v>362</v>
      </c>
      <c r="B99" s="1292" t="s">
        <v>1447</v>
      </c>
      <c r="C99" s="1293" t="s">
        <v>1448</v>
      </c>
      <c r="D99" s="1454"/>
      <c r="E99" s="1279">
        <f>E100*E101/1000</f>
        <v>0</v>
      </c>
      <c r="F99" s="1280">
        <f>F100*F101/1000</f>
        <v>0</v>
      </c>
      <c r="G99" s="1281">
        <f t="shared" si="6"/>
        <v>0</v>
      </c>
      <c r="H99" s="1279">
        <f>H100*H101/1000</f>
        <v>0</v>
      </c>
      <c r="I99" s="1280">
        <f>I100*I101/1000</f>
        <v>0</v>
      </c>
      <c r="J99" s="1276">
        <f t="shared" si="7"/>
        <v>0</v>
      </c>
      <c r="K99" s="1279">
        <f>K100*K101/1000</f>
        <v>0</v>
      </c>
      <c r="L99" s="1280">
        <f>L100*L101/1000</f>
        <v>0</v>
      </c>
      <c r="M99" s="1370">
        <f t="shared" si="8"/>
        <v>0</v>
      </c>
      <c r="N99" s="1279">
        <f>N100*N101/1000</f>
        <v>0</v>
      </c>
      <c r="O99" s="1280">
        <f>O100*O101/1000</f>
        <v>0</v>
      </c>
      <c r="P99" s="1281">
        <f t="shared" si="9"/>
        <v>0</v>
      </c>
      <c r="Q99" s="1279">
        <f>Q100*Q101/1000</f>
        <v>0</v>
      </c>
      <c r="R99" s="2867">
        <f>R100*R101/1000</f>
        <v>0</v>
      </c>
      <c r="S99" s="1370">
        <f t="shared" si="10"/>
        <v>0</v>
      </c>
      <c r="T99" s="1279">
        <f>T100*T101/1000</f>
        <v>0</v>
      </c>
      <c r="U99" s="1280">
        <f>U100*U101/1000</f>
        <v>0</v>
      </c>
      <c r="V99" s="1281">
        <f t="shared" si="11"/>
        <v>0</v>
      </c>
      <c r="W99" s="2093"/>
      <c r="X99" s="2093"/>
      <c r="Y99" s="2092"/>
      <c r="Z99" s="1376"/>
    </row>
    <row r="100" spans="1:26" s="1263" customFormat="1" hidden="1" outlineLevel="2">
      <c r="A100" s="1267">
        <v>479</v>
      </c>
      <c r="B100" s="1294" t="s">
        <v>1449</v>
      </c>
      <c r="C100" s="1295" t="s">
        <v>1327</v>
      </c>
      <c r="D100" s="1457" t="s">
        <v>1328</v>
      </c>
      <c r="E100" s="1296"/>
      <c r="F100" s="1297"/>
      <c r="G100" s="1281">
        <f t="shared" si="6"/>
        <v>0</v>
      </c>
      <c r="H100" s="1296"/>
      <c r="I100" s="1297"/>
      <c r="J100" s="1276">
        <f t="shared" si="7"/>
        <v>0</v>
      </c>
      <c r="K100" s="1296"/>
      <c r="L100" s="1297"/>
      <c r="M100" s="1370">
        <f t="shared" si="8"/>
        <v>0</v>
      </c>
      <c r="N100" s="1296"/>
      <c r="O100" s="1297"/>
      <c r="P100" s="1281">
        <f t="shared" si="9"/>
        <v>0</v>
      </c>
      <c r="Q100" s="1296"/>
      <c r="R100" s="2870"/>
      <c r="S100" s="1370">
        <f t="shared" si="10"/>
        <v>0</v>
      </c>
      <c r="T100" s="1296"/>
      <c r="U100" s="1297"/>
      <c r="V100" s="1281">
        <f t="shared" si="11"/>
        <v>0</v>
      </c>
      <c r="W100" s="2094"/>
      <c r="X100" s="2094"/>
      <c r="Y100" s="2092"/>
      <c r="Z100" s="1376"/>
    </row>
    <row r="101" spans="1:26" s="1263" customFormat="1" hidden="1" outlineLevel="2">
      <c r="A101" s="1267">
        <v>480</v>
      </c>
      <c r="B101" s="1294" t="s">
        <v>1450</v>
      </c>
      <c r="C101" s="1295" t="s">
        <v>1330</v>
      </c>
      <c r="D101" s="1457" t="s">
        <v>1331</v>
      </c>
      <c r="E101" s="1296"/>
      <c r="F101" s="1297"/>
      <c r="G101" s="1281">
        <f t="shared" si="6"/>
        <v>0</v>
      </c>
      <c r="H101" s="1296"/>
      <c r="I101" s="1297"/>
      <c r="J101" s="1276">
        <f t="shared" si="7"/>
        <v>0</v>
      </c>
      <c r="K101" s="1296"/>
      <c r="L101" s="1297"/>
      <c r="M101" s="1370">
        <f t="shared" si="8"/>
        <v>0</v>
      </c>
      <c r="N101" s="1296"/>
      <c r="O101" s="1297"/>
      <c r="P101" s="1281">
        <f t="shared" si="9"/>
        <v>0</v>
      </c>
      <c r="Q101" s="1296"/>
      <c r="R101" s="2870"/>
      <c r="S101" s="1370">
        <f t="shared" si="10"/>
        <v>0</v>
      </c>
      <c r="T101" s="1296"/>
      <c r="U101" s="1297"/>
      <c r="V101" s="1281">
        <f t="shared" si="11"/>
        <v>0</v>
      </c>
      <c r="W101" s="2094"/>
      <c r="X101" s="2094"/>
      <c r="Y101" s="2092"/>
      <c r="Z101" s="1376"/>
    </row>
    <row r="102" spans="1:26" s="1263" customFormat="1" hidden="1" outlineLevel="2">
      <c r="A102" s="1267">
        <v>363</v>
      </c>
      <c r="B102" s="1292" t="s">
        <v>1451</v>
      </c>
      <c r="C102" s="1293" t="s">
        <v>1452</v>
      </c>
      <c r="D102" s="1454"/>
      <c r="E102" s="1279">
        <f>E103*E104/1000</f>
        <v>1671.7735977999998</v>
      </c>
      <c r="F102" s="1280">
        <f>F103*F104/1000</f>
        <v>1671.7735977999998</v>
      </c>
      <c r="G102" s="1281">
        <f t="shared" si="6"/>
        <v>1671.7735977999998</v>
      </c>
      <c r="H102" s="1279">
        <f>H103*H104/1000</f>
        <v>0</v>
      </c>
      <c r="I102" s="1280">
        <f>I103*I104/1000</f>
        <v>0</v>
      </c>
      <c r="J102" s="1276">
        <f t="shared" si="7"/>
        <v>0</v>
      </c>
      <c r="K102" s="1279">
        <f>K103*K104/1000</f>
        <v>0</v>
      </c>
      <c r="L102" s="1280">
        <f>L103*L104/1000</f>
        <v>0</v>
      </c>
      <c r="M102" s="1370">
        <f t="shared" si="8"/>
        <v>0</v>
      </c>
      <c r="N102" s="1279">
        <f>N103*N104/1000</f>
        <v>0</v>
      </c>
      <c r="O102" s="1280">
        <f>O103*O104/1000</f>
        <v>0</v>
      </c>
      <c r="P102" s="1281">
        <f t="shared" si="9"/>
        <v>0</v>
      </c>
      <c r="Q102" s="1279">
        <f>Q103*Q104/1000</f>
        <v>0</v>
      </c>
      <c r="R102" s="2867">
        <f>R103*R104/1000</f>
        <v>0</v>
      </c>
      <c r="S102" s="1370">
        <f t="shared" si="10"/>
        <v>0</v>
      </c>
      <c r="T102" s="1279">
        <f>T103*T104/1000</f>
        <v>0</v>
      </c>
      <c r="U102" s="1280">
        <f>U103*U104/1000</f>
        <v>0</v>
      </c>
      <c r="V102" s="1281">
        <f t="shared" si="11"/>
        <v>0</v>
      </c>
      <c r="W102" s="2093"/>
      <c r="X102" s="2093"/>
      <c r="Y102" s="2092"/>
      <c r="Z102" s="1376"/>
    </row>
    <row r="103" spans="1:26" s="1263" customFormat="1" hidden="1" outlineLevel="2">
      <c r="A103" s="1267">
        <v>481</v>
      </c>
      <c r="B103" s="1294" t="s">
        <v>1453</v>
      </c>
      <c r="C103" s="1295" t="s">
        <v>1327</v>
      </c>
      <c r="D103" s="1457" t="s">
        <v>1328</v>
      </c>
      <c r="E103" s="1296" t="s">
        <v>1454</v>
      </c>
      <c r="F103" s="1297" t="s">
        <v>1454</v>
      </c>
      <c r="G103" s="1281">
        <f t="shared" si="6"/>
        <v>160.31</v>
      </c>
      <c r="H103" s="1296"/>
      <c r="I103" s="1297"/>
      <c r="J103" s="1276">
        <f t="shared" si="7"/>
        <v>0</v>
      </c>
      <c r="K103" s="1296"/>
      <c r="L103" s="1297"/>
      <c r="M103" s="1370">
        <f t="shared" si="8"/>
        <v>0</v>
      </c>
      <c r="N103" s="1296"/>
      <c r="O103" s="1297"/>
      <c r="P103" s="1281">
        <f t="shared" si="9"/>
        <v>0</v>
      </c>
      <c r="Q103" s="1296"/>
      <c r="R103" s="2870"/>
      <c r="S103" s="1370">
        <f t="shared" si="10"/>
        <v>0</v>
      </c>
      <c r="T103" s="1296"/>
      <c r="U103" s="1297"/>
      <c r="V103" s="1281">
        <f t="shared" si="11"/>
        <v>0</v>
      </c>
      <c r="W103" s="2094"/>
      <c r="X103" s="2094"/>
      <c r="Y103" s="2092"/>
      <c r="Z103" s="1376"/>
    </row>
    <row r="104" spans="1:26" s="1263" customFormat="1" hidden="1" outlineLevel="2">
      <c r="A104" s="1267">
        <v>482</v>
      </c>
      <c r="B104" s="1294" t="s">
        <v>1455</v>
      </c>
      <c r="C104" s="1295" t="s">
        <v>1330</v>
      </c>
      <c r="D104" s="1457" t="s">
        <v>1331</v>
      </c>
      <c r="E104" s="1296" t="s">
        <v>1456</v>
      </c>
      <c r="F104" s="1297" t="s">
        <v>1456</v>
      </c>
      <c r="G104" s="1281">
        <f t="shared" si="6"/>
        <v>10428.379999999999</v>
      </c>
      <c r="H104" s="1296"/>
      <c r="I104" s="1297"/>
      <c r="J104" s="1276">
        <f t="shared" si="7"/>
        <v>0</v>
      </c>
      <c r="K104" s="1296"/>
      <c r="L104" s="1297"/>
      <c r="M104" s="1370">
        <f t="shared" si="8"/>
        <v>0</v>
      </c>
      <c r="N104" s="1296"/>
      <c r="O104" s="1297"/>
      <c r="P104" s="1281">
        <f t="shared" si="9"/>
        <v>0</v>
      </c>
      <c r="Q104" s="1296"/>
      <c r="R104" s="2870"/>
      <c r="S104" s="1370">
        <f t="shared" si="10"/>
        <v>0</v>
      </c>
      <c r="T104" s="1296"/>
      <c r="U104" s="1297"/>
      <c r="V104" s="1281">
        <f t="shared" si="11"/>
        <v>0</v>
      </c>
      <c r="W104" s="2094"/>
      <c r="X104" s="2094"/>
      <c r="Y104" s="2092"/>
      <c r="Z104" s="1376"/>
    </row>
    <row r="105" spans="1:26" s="1263" customFormat="1" hidden="1" outlineLevel="2">
      <c r="A105" s="1267">
        <v>364</v>
      </c>
      <c r="B105" s="1292" t="s">
        <v>1457</v>
      </c>
      <c r="C105" s="1293" t="s">
        <v>1458</v>
      </c>
      <c r="D105" s="1454"/>
      <c r="E105" s="1279">
        <f>E106*E107/1000</f>
        <v>0</v>
      </c>
      <c r="F105" s="1280">
        <f>F106*F107/1000</f>
        <v>0</v>
      </c>
      <c r="G105" s="1281">
        <f t="shared" si="6"/>
        <v>0</v>
      </c>
      <c r="H105" s="1279">
        <f>H106*H107/1000</f>
        <v>0</v>
      </c>
      <c r="I105" s="1280">
        <f>I106*I107/1000</f>
        <v>0</v>
      </c>
      <c r="J105" s="1276">
        <f t="shared" si="7"/>
        <v>0</v>
      </c>
      <c r="K105" s="1279">
        <f>K106*K107/1000</f>
        <v>0</v>
      </c>
      <c r="L105" s="1280">
        <f>L106*L107/1000</f>
        <v>0</v>
      </c>
      <c r="M105" s="1370">
        <f t="shared" si="8"/>
        <v>0</v>
      </c>
      <c r="N105" s="1279">
        <f>N106*N107/1000</f>
        <v>0</v>
      </c>
      <c r="O105" s="1280">
        <f>O106*O107/1000</f>
        <v>0</v>
      </c>
      <c r="P105" s="1281">
        <f t="shared" si="9"/>
        <v>0</v>
      </c>
      <c r="Q105" s="1279">
        <f>Q106*Q107/1000</f>
        <v>0</v>
      </c>
      <c r="R105" s="2867">
        <f>R106*R107/1000</f>
        <v>0</v>
      </c>
      <c r="S105" s="1370">
        <f t="shared" si="10"/>
        <v>0</v>
      </c>
      <c r="T105" s="1279">
        <f>T106*T107/1000</f>
        <v>0</v>
      </c>
      <c r="U105" s="1280">
        <f>U106*U107/1000</f>
        <v>0</v>
      </c>
      <c r="V105" s="1281">
        <f t="shared" si="11"/>
        <v>0</v>
      </c>
      <c r="W105" s="2093"/>
      <c r="X105" s="2093"/>
      <c r="Y105" s="2092"/>
      <c r="Z105" s="1376"/>
    </row>
    <row r="106" spans="1:26" s="1263" customFormat="1" hidden="1" outlineLevel="2">
      <c r="A106" s="1267">
        <v>483</v>
      </c>
      <c r="B106" s="1294" t="s">
        <v>1459</v>
      </c>
      <c r="C106" s="1295" t="s">
        <v>1327</v>
      </c>
      <c r="D106" s="1457" t="s">
        <v>1328</v>
      </c>
      <c r="E106" s="1296"/>
      <c r="F106" s="1297"/>
      <c r="G106" s="1281">
        <f t="shared" si="6"/>
        <v>0</v>
      </c>
      <c r="H106" s="1296"/>
      <c r="I106" s="1297"/>
      <c r="J106" s="1276">
        <f t="shared" si="7"/>
        <v>0</v>
      </c>
      <c r="K106" s="1296"/>
      <c r="L106" s="1297"/>
      <c r="M106" s="1370">
        <f t="shared" si="8"/>
        <v>0</v>
      </c>
      <c r="N106" s="1296"/>
      <c r="O106" s="1297"/>
      <c r="P106" s="1281">
        <f t="shared" si="9"/>
        <v>0</v>
      </c>
      <c r="Q106" s="1296"/>
      <c r="R106" s="2870"/>
      <c r="S106" s="1370">
        <f t="shared" si="10"/>
        <v>0</v>
      </c>
      <c r="T106" s="1296"/>
      <c r="U106" s="1297"/>
      <c r="V106" s="1281">
        <f t="shared" si="11"/>
        <v>0</v>
      </c>
      <c r="W106" s="2094"/>
      <c r="X106" s="2094"/>
      <c r="Y106" s="2092"/>
      <c r="Z106" s="1376"/>
    </row>
    <row r="107" spans="1:26" s="1263" customFormat="1" hidden="1" outlineLevel="2">
      <c r="A107" s="1267">
        <v>484</v>
      </c>
      <c r="B107" s="1294" t="s">
        <v>1460</v>
      </c>
      <c r="C107" s="1295" t="s">
        <v>1330</v>
      </c>
      <c r="D107" s="1457" t="s">
        <v>1331</v>
      </c>
      <c r="E107" s="1296"/>
      <c r="F107" s="1297"/>
      <c r="G107" s="1281">
        <f t="shared" si="6"/>
        <v>0</v>
      </c>
      <c r="H107" s="1296"/>
      <c r="I107" s="1297"/>
      <c r="J107" s="1276">
        <f t="shared" si="7"/>
        <v>0</v>
      </c>
      <c r="K107" s="1296"/>
      <c r="L107" s="1297"/>
      <c r="M107" s="1370">
        <f t="shared" si="8"/>
        <v>0</v>
      </c>
      <c r="N107" s="1296"/>
      <c r="O107" s="1297"/>
      <c r="P107" s="1281">
        <f t="shared" si="9"/>
        <v>0</v>
      </c>
      <c r="Q107" s="1296"/>
      <c r="R107" s="2870"/>
      <c r="S107" s="1370">
        <f t="shared" si="10"/>
        <v>0</v>
      </c>
      <c r="T107" s="1296"/>
      <c r="U107" s="1297"/>
      <c r="V107" s="1281">
        <f t="shared" si="11"/>
        <v>0</v>
      </c>
      <c r="W107" s="2094"/>
      <c r="X107" s="2094"/>
      <c r="Y107" s="2092"/>
      <c r="Z107" s="1376"/>
    </row>
    <row r="108" spans="1:26" s="1263" customFormat="1" hidden="1" outlineLevel="2">
      <c r="A108" s="1267">
        <v>365</v>
      </c>
      <c r="B108" s="1292" t="s">
        <v>1461</v>
      </c>
      <c r="C108" s="1293" t="s">
        <v>1462</v>
      </c>
      <c r="D108" s="1454"/>
      <c r="E108" s="1279">
        <f>E109*E110/1000</f>
        <v>0</v>
      </c>
      <c r="F108" s="1280">
        <f>F109*F110/1000</f>
        <v>0</v>
      </c>
      <c r="G108" s="1281">
        <f t="shared" si="6"/>
        <v>0</v>
      </c>
      <c r="H108" s="1279">
        <f>H109*H110/1000</f>
        <v>0</v>
      </c>
      <c r="I108" s="1280">
        <f>I109*I110/1000</f>
        <v>0</v>
      </c>
      <c r="J108" s="1276">
        <f t="shared" si="7"/>
        <v>0</v>
      </c>
      <c r="K108" s="1279">
        <f>K109*K110/1000</f>
        <v>0</v>
      </c>
      <c r="L108" s="1280">
        <f>L109*L110/1000</f>
        <v>0</v>
      </c>
      <c r="M108" s="1370">
        <f t="shared" si="8"/>
        <v>0</v>
      </c>
      <c r="N108" s="1279">
        <f>N109*N110/1000</f>
        <v>0</v>
      </c>
      <c r="O108" s="1280">
        <f>O109*O110/1000</f>
        <v>0</v>
      </c>
      <c r="P108" s="1281">
        <f t="shared" si="9"/>
        <v>0</v>
      </c>
      <c r="Q108" s="1279">
        <f>Q109*Q110/1000</f>
        <v>0</v>
      </c>
      <c r="R108" s="2867">
        <f>R109*R110/1000</f>
        <v>0</v>
      </c>
      <c r="S108" s="1370">
        <f t="shared" si="10"/>
        <v>0</v>
      </c>
      <c r="T108" s="1279">
        <f>T109*T110/1000</f>
        <v>0</v>
      </c>
      <c r="U108" s="1280">
        <f>U109*U110/1000</f>
        <v>0</v>
      </c>
      <c r="V108" s="1281">
        <f t="shared" si="11"/>
        <v>0</v>
      </c>
      <c r="W108" s="2093"/>
      <c r="X108" s="2093"/>
      <c r="Y108" s="2092"/>
      <c r="Z108" s="1376"/>
    </row>
    <row r="109" spans="1:26" s="1263" customFormat="1" hidden="1" outlineLevel="2">
      <c r="A109" s="1267">
        <v>485</v>
      </c>
      <c r="B109" s="1294" t="s">
        <v>1463</v>
      </c>
      <c r="C109" s="1295" t="s">
        <v>1327</v>
      </c>
      <c r="D109" s="1457" t="s">
        <v>1328</v>
      </c>
      <c r="E109" s="1296"/>
      <c r="F109" s="1297"/>
      <c r="G109" s="1281">
        <f t="shared" si="6"/>
        <v>0</v>
      </c>
      <c r="H109" s="1296"/>
      <c r="I109" s="1297"/>
      <c r="J109" s="1276">
        <f t="shared" si="7"/>
        <v>0</v>
      </c>
      <c r="K109" s="1296"/>
      <c r="L109" s="1297"/>
      <c r="M109" s="1370">
        <f t="shared" si="8"/>
        <v>0</v>
      </c>
      <c r="N109" s="1296"/>
      <c r="O109" s="1297"/>
      <c r="P109" s="1281">
        <f t="shared" si="9"/>
        <v>0</v>
      </c>
      <c r="Q109" s="1296"/>
      <c r="R109" s="2870"/>
      <c r="S109" s="1370">
        <f t="shared" si="10"/>
        <v>0</v>
      </c>
      <c r="T109" s="1296"/>
      <c r="U109" s="1297"/>
      <c r="V109" s="1281">
        <f t="shared" si="11"/>
        <v>0</v>
      </c>
      <c r="W109" s="2094"/>
      <c r="X109" s="2094"/>
      <c r="Y109" s="2092"/>
      <c r="Z109" s="1376"/>
    </row>
    <row r="110" spans="1:26" s="1263" customFormat="1" hidden="1" outlineLevel="2">
      <c r="A110" s="1267">
        <v>486</v>
      </c>
      <c r="B110" s="1294" t="s">
        <v>1464</v>
      </c>
      <c r="C110" s="1295" t="s">
        <v>1330</v>
      </c>
      <c r="D110" s="1457" t="s">
        <v>1331</v>
      </c>
      <c r="E110" s="1296"/>
      <c r="F110" s="1297"/>
      <c r="G110" s="1281">
        <f t="shared" si="6"/>
        <v>0</v>
      </c>
      <c r="H110" s="1296"/>
      <c r="I110" s="1297"/>
      <c r="J110" s="1276">
        <f t="shared" si="7"/>
        <v>0</v>
      </c>
      <c r="K110" s="1296"/>
      <c r="L110" s="1297"/>
      <c r="M110" s="1370">
        <f t="shared" si="8"/>
        <v>0</v>
      </c>
      <c r="N110" s="1296"/>
      <c r="O110" s="1297"/>
      <c r="P110" s="1281">
        <f t="shared" si="9"/>
        <v>0</v>
      </c>
      <c r="Q110" s="1296"/>
      <c r="R110" s="2870"/>
      <c r="S110" s="1370">
        <f t="shared" si="10"/>
        <v>0</v>
      </c>
      <c r="T110" s="1296"/>
      <c r="U110" s="1297"/>
      <c r="V110" s="1281">
        <f t="shared" si="11"/>
        <v>0</v>
      </c>
      <c r="W110" s="2094"/>
      <c r="X110" s="2094"/>
      <c r="Y110" s="2092"/>
      <c r="Z110" s="1376"/>
    </row>
    <row r="111" spans="1:26" s="1263" customFormat="1" hidden="1" outlineLevel="2">
      <c r="A111" s="1267">
        <v>366</v>
      </c>
      <c r="B111" s="1292" t="s">
        <v>1465</v>
      </c>
      <c r="C111" s="1293" t="s">
        <v>1466</v>
      </c>
      <c r="D111" s="1454"/>
      <c r="E111" s="1279">
        <f>E112*E113/1000</f>
        <v>0</v>
      </c>
      <c r="F111" s="1280">
        <f>F112*F113/1000</f>
        <v>0</v>
      </c>
      <c r="G111" s="1281">
        <f t="shared" si="6"/>
        <v>0</v>
      </c>
      <c r="H111" s="1279">
        <f>H112*H113/1000</f>
        <v>0</v>
      </c>
      <c r="I111" s="1280">
        <f>I112*I113/1000</f>
        <v>0</v>
      </c>
      <c r="J111" s="1276">
        <f t="shared" si="7"/>
        <v>0</v>
      </c>
      <c r="K111" s="1279">
        <f>K112*K113/1000</f>
        <v>0</v>
      </c>
      <c r="L111" s="1280">
        <f>L112*L113/1000</f>
        <v>0</v>
      </c>
      <c r="M111" s="1370">
        <f t="shared" si="8"/>
        <v>0</v>
      </c>
      <c r="N111" s="1279">
        <f>N112*N113/1000</f>
        <v>0</v>
      </c>
      <c r="O111" s="1280">
        <f>O112*O113/1000</f>
        <v>0</v>
      </c>
      <c r="P111" s="1281">
        <f t="shared" si="9"/>
        <v>0</v>
      </c>
      <c r="Q111" s="1279">
        <f>Q112*Q113/1000</f>
        <v>0</v>
      </c>
      <c r="R111" s="2867">
        <f>R112*R113/1000</f>
        <v>0</v>
      </c>
      <c r="S111" s="1370">
        <f t="shared" si="10"/>
        <v>0</v>
      </c>
      <c r="T111" s="1279">
        <f>T112*T113/1000</f>
        <v>0</v>
      </c>
      <c r="U111" s="1280">
        <f>U112*U113/1000</f>
        <v>0</v>
      </c>
      <c r="V111" s="1281">
        <f t="shared" si="11"/>
        <v>0</v>
      </c>
      <c r="W111" s="2093"/>
      <c r="X111" s="2093"/>
      <c r="Y111" s="2092"/>
      <c r="Z111" s="1376"/>
    </row>
    <row r="112" spans="1:26" s="1263" customFormat="1" hidden="1" outlineLevel="2">
      <c r="A112" s="1267">
        <v>487</v>
      </c>
      <c r="B112" s="1294" t="s">
        <v>1467</v>
      </c>
      <c r="C112" s="1295" t="s">
        <v>1327</v>
      </c>
      <c r="D112" s="1457" t="s">
        <v>1328</v>
      </c>
      <c r="E112" s="1296"/>
      <c r="F112" s="1297"/>
      <c r="G112" s="1281">
        <f t="shared" si="6"/>
        <v>0</v>
      </c>
      <c r="H112" s="1296"/>
      <c r="I112" s="1297"/>
      <c r="J112" s="1276">
        <f t="shared" si="7"/>
        <v>0</v>
      </c>
      <c r="K112" s="1296"/>
      <c r="L112" s="1297"/>
      <c r="M112" s="1370">
        <f t="shared" si="8"/>
        <v>0</v>
      </c>
      <c r="N112" s="1296"/>
      <c r="O112" s="1297"/>
      <c r="P112" s="1281">
        <f t="shared" si="9"/>
        <v>0</v>
      </c>
      <c r="Q112" s="1296"/>
      <c r="R112" s="2870"/>
      <c r="S112" s="1370">
        <f t="shared" si="10"/>
        <v>0</v>
      </c>
      <c r="T112" s="1296"/>
      <c r="U112" s="1297"/>
      <c r="V112" s="1281">
        <f t="shared" si="11"/>
        <v>0</v>
      </c>
      <c r="W112" s="2094"/>
      <c r="X112" s="2094"/>
      <c r="Y112" s="2092"/>
      <c r="Z112" s="1376"/>
    </row>
    <row r="113" spans="1:26" s="1263" customFormat="1" hidden="1" outlineLevel="2">
      <c r="A113" s="1267">
        <v>488</v>
      </c>
      <c r="B113" s="1294" t="s">
        <v>1468</v>
      </c>
      <c r="C113" s="1295" t="s">
        <v>1330</v>
      </c>
      <c r="D113" s="1457" t="s">
        <v>1331</v>
      </c>
      <c r="E113" s="1296"/>
      <c r="F113" s="1297"/>
      <c r="G113" s="1281">
        <f t="shared" si="6"/>
        <v>0</v>
      </c>
      <c r="H113" s="1296"/>
      <c r="I113" s="1297"/>
      <c r="J113" s="1276">
        <f t="shared" si="7"/>
        <v>0</v>
      </c>
      <c r="K113" s="1296"/>
      <c r="L113" s="1297"/>
      <c r="M113" s="1370">
        <f t="shared" si="8"/>
        <v>0</v>
      </c>
      <c r="N113" s="1296"/>
      <c r="O113" s="1297"/>
      <c r="P113" s="1281">
        <f t="shared" si="9"/>
        <v>0</v>
      </c>
      <c r="Q113" s="1296"/>
      <c r="R113" s="2870"/>
      <c r="S113" s="1370">
        <f t="shared" si="10"/>
        <v>0</v>
      </c>
      <c r="T113" s="1296"/>
      <c r="U113" s="1297"/>
      <c r="V113" s="1281">
        <f t="shared" si="11"/>
        <v>0</v>
      </c>
      <c r="W113" s="2094"/>
      <c r="X113" s="2094"/>
      <c r="Y113" s="2092"/>
      <c r="Z113" s="1376"/>
    </row>
    <row r="114" spans="1:26" s="1263" customFormat="1" hidden="1" outlineLevel="2">
      <c r="A114" s="1267">
        <v>367</v>
      </c>
      <c r="B114" s="1292" t="s">
        <v>1469</v>
      </c>
      <c r="C114" s="1293" t="s">
        <v>1470</v>
      </c>
      <c r="D114" s="1454"/>
      <c r="E114" s="1279">
        <f>E115*E116/1000</f>
        <v>0</v>
      </c>
      <c r="F114" s="1280">
        <f>F115*F116/1000</f>
        <v>0</v>
      </c>
      <c r="G114" s="1281">
        <f t="shared" si="6"/>
        <v>0</v>
      </c>
      <c r="H114" s="1279">
        <f>H115*H116/1000</f>
        <v>0</v>
      </c>
      <c r="I114" s="1280">
        <f>I115*I116/1000</f>
        <v>0</v>
      </c>
      <c r="J114" s="1276">
        <f t="shared" si="7"/>
        <v>0</v>
      </c>
      <c r="K114" s="1279">
        <f>K115*K116/1000</f>
        <v>0</v>
      </c>
      <c r="L114" s="1280">
        <f>L115*L116/1000</f>
        <v>0</v>
      </c>
      <c r="M114" s="1370">
        <f t="shared" si="8"/>
        <v>0</v>
      </c>
      <c r="N114" s="1279">
        <f>N115*N116/1000</f>
        <v>0</v>
      </c>
      <c r="O114" s="1280">
        <f>O115*O116/1000</f>
        <v>0</v>
      </c>
      <c r="P114" s="1281">
        <f t="shared" si="9"/>
        <v>0</v>
      </c>
      <c r="Q114" s="1279">
        <f>Q115*Q116/1000</f>
        <v>0</v>
      </c>
      <c r="R114" s="2867">
        <f>R115*R116/1000</f>
        <v>0</v>
      </c>
      <c r="S114" s="1370">
        <f t="shared" si="10"/>
        <v>0</v>
      </c>
      <c r="T114" s="1279">
        <f>T115*T116/1000</f>
        <v>0</v>
      </c>
      <c r="U114" s="1280">
        <f>U115*U116/1000</f>
        <v>0</v>
      </c>
      <c r="V114" s="1281">
        <f t="shared" si="11"/>
        <v>0</v>
      </c>
      <c r="W114" s="2093"/>
      <c r="X114" s="2093"/>
      <c r="Y114" s="2092"/>
      <c r="Z114" s="1376"/>
    </row>
    <row r="115" spans="1:26" s="1263" customFormat="1" hidden="1" outlineLevel="2">
      <c r="A115" s="1267">
        <v>489</v>
      </c>
      <c r="B115" s="1294" t="s">
        <v>1471</v>
      </c>
      <c r="C115" s="1295" t="s">
        <v>1327</v>
      </c>
      <c r="D115" s="1457" t="s">
        <v>1328</v>
      </c>
      <c r="E115" s="1296"/>
      <c r="F115" s="1297"/>
      <c r="G115" s="1281">
        <f t="shared" si="6"/>
        <v>0</v>
      </c>
      <c r="H115" s="1296"/>
      <c r="I115" s="1297"/>
      <c r="J115" s="1276">
        <f t="shared" si="7"/>
        <v>0</v>
      </c>
      <c r="K115" s="1296"/>
      <c r="L115" s="1297"/>
      <c r="M115" s="1370">
        <f t="shared" si="8"/>
        <v>0</v>
      </c>
      <c r="N115" s="1296"/>
      <c r="O115" s="1297"/>
      <c r="P115" s="1281">
        <f t="shared" si="9"/>
        <v>0</v>
      </c>
      <c r="Q115" s="1296"/>
      <c r="R115" s="2870"/>
      <c r="S115" s="1370">
        <f t="shared" si="10"/>
        <v>0</v>
      </c>
      <c r="T115" s="1296"/>
      <c r="U115" s="1297"/>
      <c r="V115" s="1281">
        <f t="shared" si="11"/>
        <v>0</v>
      </c>
      <c r="W115" s="2094"/>
      <c r="X115" s="2094"/>
      <c r="Y115" s="2092"/>
      <c r="Z115" s="1376"/>
    </row>
    <row r="116" spans="1:26" s="1263" customFormat="1" hidden="1" outlineLevel="2">
      <c r="A116" s="1267">
        <v>490</v>
      </c>
      <c r="B116" s="1294" t="s">
        <v>1472</v>
      </c>
      <c r="C116" s="1295" t="s">
        <v>1330</v>
      </c>
      <c r="D116" s="1457" t="s">
        <v>1331</v>
      </c>
      <c r="E116" s="1296"/>
      <c r="F116" s="1297"/>
      <c r="G116" s="1281">
        <f t="shared" si="6"/>
        <v>0</v>
      </c>
      <c r="H116" s="1296"/>
      <c r="I116" s="1297"/>
      <c r="J116" s="1276">
        <f t="shared" si="7"/>
        <v>0</v>
      </c>
      <c r="K116" s="1296"/>
      <c r="L116" s="1297"/>
      <c r="M116" s="1370">
        <f t="shared" si="8"/>
        <v>0</v>
      </c>
      <c r="N116" s="1296"/>
      <c r="O116" s="1297"/>
      <c r="P116" s="1281">
        <f t="shared" si="9"/>
        <v>0</v>
      </c>
      <c r="Q116" s="1296"/>
      <c r="R116" s="2870"/>
      <c r="S116" s="1370">
        <f t="shared" si="10"/>
        <v>0</v>
      </c>
      <c r="T116" s="1296"/>
      <c r="U116" s="1297"/>
      <c r="V116" s="1281">
        <f t="shared" si="11"/>
        <v>0</v>
      </c>
      <c r="W116" s="2094"/>
      <c r="X116" s="2094"/>
      <c r="Y116" s="2092"/>
      <c r="Z116" s="1376"/>
    </row>
    <row r="117" spans="1:26" s="1263" customFormat="1" hidden="1" outlineLevel="2">
      <c r="A117" s="1267">
        <v>368</v>
      </c>
      <c r="B117" s="1292" t="s">
        <v>1473</v>
      </c>
      <c r="C117" s="1293" t="s">
        <v>1474</v>
      </c>
      <c r="D117" s="1454"/>
      <c r="E117" s="1279">
        <f>E118*E119/1000</f>
        <v>0</v>
      </c>
      <c r="F117" s="1280">
        <f>F118*F119/1000</f>
        <v>0</v>
      </c>
      <c r="G117" s="1281">
        <f t="shared" si="6"/>
        <v>0</v>
      </c>
      <c r="H117" s="1279">
        <f>H118*H119/1000</f>
        <v>0</v>
      </c>
      <c r="I117" s="1280">
        <f>I118*I119/1000</f>
        <v>0</v>
      </c>
      <c r="J117" s="1276">
        <f t="shared" si="7"/>
        <v>0</v>
      </c>
      <c r="K117" s="1279">
        <f>K118*K119/1000</f>
        <v>0</v>
      </c>
      <c r="L117" s="1280">
        <f>L118*L119/1000</f>
        <v>0</v>
      </c>
      <c r="M117" s="1370">
        <f t="shared" si="8"/>
        <v>0</v>
      </c>
      <c r="N117" s="1279">
        <f>N118*N119/1000</f>
        <v>0</v>
      </c>
      <c r="O117" s="1280">
        <f>O118*O119/1000</f>
        <v>0</v>
      </c>
      <c r="P117" s="1281">
        <f t="shared" si="9"/>
        <v>0</v>
      </c>
      <c r="Q117" s="1279">
        <f>Q118*Q119/1000</f>
        <v>0</v>
      </c>
      <c r="R117" s="2867">
        <f>R118*R119/1000</f>
        <v>0</v>
      </c>
      <c r="S117" s="1370">
        <f t="shared" si="10"/>
        <v>0</v>
      </c>
      <c r="T117" s="1279">
        <f>T118*T119/1000</f>
        <v>0</v>
      </c>
      <c r="U117" s="1280">
        <f>U118*U119/1000</f>
        <v>0</v>
      </c>
      <c r="V117" s="1281">
        <f t="shared" si="11"/>
        <v>0</v>
      </c>
      <c r="W117" s="2093"/>
      <c r="X117" s="2093"/>
      <c r="Y117" s="2092"/>
      <c r="Z117" s="1376"/>
    </row>
    <row r="118" spans="1:26" s="1263" customFormat="1" hidden="1" outlineLevel="2">
      <c r="A118" s="1267">
        <v>491</v>
      </c>
      <c r="B118" s="1294" t="s">
        <v>1475</v>
      </c>
      <c r="C118" s="1295" t="s">
        <v>1327</v>
      </c>
      <c r="D118" s="1457" t="s">
        <v>1328</v>
      </c>
      <c r="E118" s="1296"/>
      <c r="F118" s="1297"/>
      <c r="G118" s="1281">
        <f t="shared" si="6"/>
        <v>0</v>
      </c>
      <c r="H118" s="1296"/>
      <c r="I118" s="1297"/>
      <c r="J118" s="1276">
        <f t="shared" si="7"/>
        <v>0</v>
      </c>
      <c r="K118" s="1296"/>
      <c r="L118" s="1297"/>
      <c r="M118" s="1370">
        <f t="shared" si="8"/>
        <v>0</v>
      </c>
      <c r="N118" s="1296"/>
      <c r="O118" s="1297"/>
      <c r="P118" s="1281">
        <f t="shared" si="9"/>
        <v>0</v>
      </c>
      <c r="Q118" s="1296"/>
      <c r="R118" s="2870"/>
      <c r="S118" s="1370">
        <f t="shared" si="10"/>
        <v>0</v>
      </c>
      <c r="T118" s="1296"/>
      <c r="U118" s="1297"/>
      <c r="V118" s="1281">
        <f t="shared" si="11"/>
        <v>0</v>
      </c>
      <c r="W118" s="2094"/>
      <c r="X118" s="2094"/>
      <c r="Y118" s="2092"/>
      <c r="Z118" s="1376"/>
    </row>
    <row r="119" spans="1:26" s="1263" customFormat="1" hidden="1" outlineLevel="2">
      <c r="A119" s="1267">
        <v>492</v>
      </c>
      <c r="B119" s="1294" t="s">
        <v>1476</v>
      </c>
      <c r="C119" s="1295" t="s">
        <v>1330</v>
      </c>
      <c r="D119" s="1457" t="s">
        <v>1331</v>
      </c>
      <c r="E119" s="1296"/>
      <c r="F119" s="1297"/>
      <c r="G119" s="1281">
        <f t="shared" si="6"/>
        <v>0</v>
      </c>
      <c r="H119" s="1296"/>
      <c r="I119" s="1297"/>
      <c r="J119" s="1276">
        <f t="shared" si="7"/>
        <v>0</v>
      </c>
      <c r="K119" s="1296"/>
      <c r="L119" s="1297"/>
      <c r="M119" s="1370">
        <f t="shared" si="8"/>
        <v>0</v>
      </c>
      <c r="N119" s="1296"/>
      <c r="O119" s="1297"/>
      <c r="P119" s="1281">
        <f t="shared" si="9"/>
        <v>0</v>
      </c>
      <c r="Q119" s="1296"/>
      <c r="R119" s="2870"/>
      <c r="S119" s="1370">
        <f t="shared" si="10"/>
        <v>0</v>
      </c>
      <c r="T119" s="1296"/>
      <c r="U119" s="1297"/>
      <c r="V119" s="1281">
        <f t="shared" si="11"/>
        <v>0</v>
      </c>
      <c r="W119" s="2094"/>
      <c r="X119" s="2094"/>
      <c r="Y119" s="2092"/>
      <c r="Z119" s="1376"/>
    </row>
    <row r="120" spans="1:26" s="1263" customFormat="1" hidden="1" outlineLevel="2">
      <c r="A120" s="1267">
        <v>369</v>
      </c>
      <c r="B120" s="1292" t="s">
        <v>1477</v>
      </c>
      <c r="C120" s="1293" t="s">
        <v>1478</v>
      </c>
      <c r="D120" s="1454"/>
      <c r="E120" s="1279">
        <f>E121*E122/1000</f>
        <v>0</v>
      </c>
      <c r="F120" s="1280">
        <f>F121*F122/1000</f>
        <v>0</v>
      </c>
      <c r="G120" s="1281">
        <f t="shared" si="6"/>
        <v>0</v>
      </c>
      <c r="H120" s="1279">
        <f>H121*H122/1000</f>
        <v>0</v>
      </c>
      <c r="I120" s="1280">
        <f>I121*I122/1000</f>
        <v>0</v>
      </c>
      <c r="J120" s="1276">
        <f t="shared" si="7"/>
        <v>0</v>
      </c>
      <c r="K120" s="1279">
        <f>K121*K122/1000</f>
        <v>0</v>
      </c>
      <c r="L120" s="1280">
        <f>L121*L122/1000</f>
        <v>0</v>
      </c>
      <c r="M120" s="1370">
        <f t="shared" si="8"/>
        <v>0</v>
      </c>
      <c r="N120" s="1279">
        <f>N121*N122/1000</f>
        <v>0</v>
      </c>
      <c r="O120" s="1280">
        <f>O121*O122/1000</f>
        <v>0</v>
      </c>
      <c r="P120" s="1281">
        <f t="shared" si="9"/>
        <v>0</v>
      </c>
      <c r="Q120" s="1279">
        <f>Q121*Q122/1000</f>
        <v>0</v>
      </c>
      <c r="R120" s="2867">
        <f>R121*R122/1000</f>
        <v>0</v>
      </c>
      <c r="S120" s="1370">
        <f t="shared" si="10"/>
        <v>0</v>
      </c>
      <c r="T120" s="1279">
        <f>T121*T122/1000</f>
        <v>0</v>
      </c>
      <c r="U120" s="1280">
        <f>U121*U122/1000</f>
        <v>0</v>
      </c>
      <c r="V120" s="1281">
        <f t="shared" si="11"/>
        <v>0</v>
      </c>
      <c r="W120" s="2093"/>
      <c r="X120" s="2093"/>
      <c r="Y120" s="2092"/>
      <c r="Z120" s="1376"/>
    </row>
    <row r="121" spans="1:26" s="1263" customFormat="1" hidden="1" outlineLevel="2">
      <c r="A121" s="1267">
        <v>493</v>
      </c>
      <c r="B121" s="1294" t="s">
        <v>1479</v>
      </c>
      <c r="C121" s="1295" t="s">
        <v>1327</v>
      </c>
      <c r="D121" s="1457" t="s">
        <v>1328</v>
      </c>
      <c r="E121" s="1296"/>
      <c r="F121" s="1297"/>
      <c r="G121" s="1281">
        <f t="shared" si="6"/>
        <v>0</v>
      </c>
      <c r="H121" s="1296"/>
      <c r="I121" s="1297"/>
      <c r="J121" s="1276">
        <f t="shared" si="7"/>
        <v>0</v>
      </c>
      <c r="K121" s="1296"/>
      <c r="L121" s="1297"/>
      <c r="M121" s="1370">
        <f t="shared" si="8"/>
        <v>0</v>
      </c>
      <c r="N121" s="1296"/>
      <c r="O121" s="1297"/>
      <c r="P121" s="1281">
        <f t="shared" si="9"/>
        <v>0</v>
      </c>
      <c r="Q121" s="1296"/>
      <c r="R121" s="2870"/>
      <c r="S121" s="1370">
        <f t="shared" si="10"/>
        <v>0</v>
      </c>
      <c r="T121" s="1296"/>
      <c r="U121" s="1297"/>
      <c r="V121" s="1281">
        <f t="shared" si="11"/>
        <v>0</v>
      </c>
      <c r="W121" s="2094"/>
      <c r="X121" s="2094"/>
      <c r="Y121" s="2092"/>
      <c r="Z121" s="1376"/>
    </row>
    <row r="122" spans="1:26" s="1263" customFormat="1" hidden="1" outlineLevel="2">
      <c r="A122" s="1267">
        <v>494</v>
      </c>
      <c r="B122" s="1294" t="s">
        <v>1480</v>
      </c>
      <c r="C122" s="1295" t="s">
        <v>1330</v>
      </c>
      <c r="D122" s="1457" t="s">
        <v>1331</v>
      </c>
      <c r="E122" s="1296"/>
      <c r="F122" s="1297"/>
      <c r="G122" s="1281">
        <f t="shared" si="6"/>
        <v>0</v>
      </c>
      <c r="H122" s="1296"/>
      <c r="I122" s="1297"/>
      <c r="J122" s="1276">
        <f t="shared" si="7"/>
        <v>0</v>
      </c>
      <c r="K122" s="1296"/>
      <c r="L122" s="1297"/>
      <c r="M122" s="1370">
        <f t="shared" si="8"/>
        <v>0</v>
      </c>
      <c r="N122" s="1296"/>
      <c r="O122" s="1297"/>
      <c r="P122" s="1281">
        <f t="shared" si="9"/>
        <v>0</v>
      </c>
      <c r="Q122" s="1296"/>
      <c r="R122" s="2870"/>
      <c r="S122" s="1370">
        <f t="shared" si="10"/>
        <v>0</v>
      </c>
      <c r="T122" s="1296"/>
      <c r="U122" s="1297"/>
      <c r="V122" s="1281">
        <f t="shared" si="11"/>
        <v>0</v>
      </c>
      <c r="W122" s="2094"/>
      <c r="X122" s="2094"/>
      <c r="Y122" s="2092"/>
      <c r="Z122" s="1376"/>
    </row>
    <row r="123" spans="1:26" s="1263" customFormat="1" hidden="1" outlineLevel="2">
      <c r="A123" s="1267">
        <v>370</v>
      </c>
      <c r="B123" s="1292" t="s">
        <v>1481</v>
      </c>
      <c r="C123" s="1293" t="s">
        <v>1482</v>
      </c>
      <c r="D123" s="1454"/>
      <c r="E123" s="1279">
        <f>E124*E125/1000</f>
        <v>0</v>
      </c>
      <c r="F123" s="1280">
        <f>F124*F125/1000</f>
        <v>0</v>
      </c>
      <c r="G123" s="1281">
        <f t="shared" si="6"/>
        <v>0</v>
      </c>
      <c r="H123" s="1279">
        <f>H124*H125/1000</f>
        <v>0</v>
      </c>
      <c r="I123" s="1280">
        <f>I124*I125/1000</f>
        <v>0</v>
      </c>
      <c r="J123" s="1276">
        <f t="shared" si="7"/>
        <v>0</v>
      </c>
      <c r="K123" s="1279">
        <f>K124*K125/1000</f>
        <v>0</v>
      </c>
      <c r="L123" s="1280">
        <f>L124*L125/1000</f>
        <v>0</v>
      </c>
      <c r="M123" s="1370">
        <f t="shared" si="8"/>
        <v>0</v>
      </c>
      <c r="N123" s="1279">
        <f>N124*N125/1000</f>
        <v>0</v>
      </c>
      <c r="O123" s="1280">
        <f>O124*O125/1000</f>
        <v>0</v>
      </c>
      <c r="P123" s="1281">
        <f t="shared" si="9"/>
        <v>0</v>
      </c>
      <c r="Q123" s="1279">
        <f>Q124*Q125/1000</f>
        <v>0</v>
      </c>
      <c r="R123" s="2867">
        <f>R124*R125/1000</f>
        <v>0</v>
      </c>
      <c r="S123" s="1370">
        <f t="shared" si="10"/>
        <v>0</v>
      </c>
      <c r="T123" s="1279">
        <f>T124*T125/1000</f>
        <v>0</v>
      </c>
      <c r="U123" s="1280">
        <f>U124*U125/1000</f>
        <v>0</v>
      </c>
      <c r="V123" s="1281">
        <f t="shared" si="11"/>
        <v>0</v>
      </c>
      <c r="W123" s="2093"/>
      <c r="X123" s="2093"/>
      <c r="Y123" s="2092"/>
      <c r="Z123" s="1376"/>
    </row>
    <row r="124" spans="1:26" s="1263" customFormat="1" hidden="1" outlineLevel="2">
      <c r="A124" s="1267">
        <v>495</v>
      </c>
      <c r="B124" s="1294" t="s">
        <v>1483</v>
      </c>
      <c r="C124" s="1295" t="s">
        <v>1327</v>
      </c>
      <c r="D124" s="1457" t="s">
        <v>1328</v>
      </c>
      <c r="E124" s="1296"/>
      <c r="F124" s="1297"/>
      <c r="G124" s="1281">
        <f t="shared" si="6"/>
        <v>0</v>
      </c>
      <c r="H124" s="1296"/>
      <c r="I124" s="1297"/>
      <c r="J124" s="1276">
        <f t="shared" si="7"/>
        <v>0</v>
      </c>
      <c r="K124" s="1296"/>
      <c r="L124" s="1297"/>
      <c r="M124" s="1370">
        <f t="shared" si="8"/>
        <v>0</v>
      </c>
      <c r="N124" s="1296"/>
      <c r="O124" s="1297"/>
      <c r="P124" s="1281">
        <f t="shared" si="9"/>
        <v>0</v>
      </c>
      <c r="Q124" s="1296"/>
      <c r="R124" s="2870"/>
      <c r="S124" s="1370">
        <f t="shared" si="10"/>
        <v>0</v>
      </c>
      <c r="T124" s="1296"/>
      <c r="U124" s="1297"/>
      <c r="V124" s="1281">
        <f t="shared" si="11"/>
        <v>0</v>
      </c>
      <c r="W124" s="2094"/>
      <c r="X124" s="2094"/>
      <c r="Y124" s="2092"/>
      <c r="Z124" s="1376"/>
    </row>
    <row r="125" spans="1:26" s="1263" customFormat="1" hidden="1" outlineLevel="2">
      <c r="A125" s="1267">
        <v>496</v>
      </c>
      <c r="B125" s="1294" t="s">
        <v>1484</v>
      </c>
      <c r="C125" s="1295" t="s">
        <v>1330</v>
      </c>
      <c r="D125" s="1457" t="s">
        <v>1331</v>
      </c>
      <c r="E125" s="1296"/>
      <c r="F125" s="1297"/>
      <c r="G125" s="1281">
        <f t="shared" si="6"/>
        <v>0</v>
      </c>
      <c r="H125" s="1296"/>
      <c r="I125" s="1297"/>
      <c r="J125" s="1276">
        <f t="shared" si="7"/>
        <v>0</v>
      </c>
      <c r="K125" s="1296"/>
      <c r="L125" s="1297"/>
      <c r="M125" s="1370">
        <f t="shared" si="8"/>
        <v>0</v>
      </c>
      <c r="N125" s="1296"/>
      <c r="O125" s="1297"/>
      <c r="P125" s="1281">
        <f t="shared" si="9"/>
        <v>0</v>
      </c>
      <c r="Q125" s="1296"/>
      <c r="R125" s="2870"/>
      <c r="S125" s="1370">
        <f t="shared" si="10"/>
        <v>0</v>
      </c>
      <c r="T125" s="1296"/>
      <c r="U125" s="1297"/>
      <c r="V125" s="1281">
        <f t="shared" si="11"/>
        <v>0</v>
      </c>
      <c r="W125" s="2094"/>
      <c r="X125" s="2094"/>
      <c r="Y125" s="2092"/>
      <c r="Z125" s="1376"/>
    </row>
    <row r="126" spans="1:26" s="1263" customFormat="1" hidden="1" outlineLevel="2">
      <c r="A126" s="1267">
        <v>371</v>
      </c>
      <c r="B126" s="1292" t="s">
        <v>1485</v>
      </c>
      <c r="C126" s="1293" t="s">
        <v>1486</v>
      </c>
      <c r="D126" s="1454"/>
      <c r="E126" s="1279">
        <f>E127*E128/1000</f>
        <v>0</v>
      </c>
      <c r="F126" s="1280">
        <f>F127*F128/1000</f>
        <v>0</v>
      </c>
      <c r="G126" s="1281">
        <f t="shared" si="6"/>
        <v>0</v>
      </c>
      <c r="H126" s="1279">
        <f>H127*H128/1000</f>
        <v>0</v>
      </c>
      <c r="I126" s="1280">
        <f>I127*I128/1000</f>
        <v>0</v>
      </c>
      <c r="J126" s="1276">
        <f t="shared" si="7"/>
        <v>0</v>
      </c>
      <c r="K126" s="1279">
        <f>K127*K128/1000</f>
        <v>0</v>
      </c>
      <c r="L126" s="1280">
        <f>L127*L128/1000</f>
        <v>0</v>
      </c>
      <c r="M126" s="1370">
        <f t="shared" si="8"/>
        <v>0</v>
      </c>
      <c r="N126" s="1279">
        <f>N127*N128/1000</f>
        <v>0</v>
      </c>
      <c r="O126" s="1280">
        <f>O127*O128/1000</f>
        <v>0</v>
      </c>
      <c r="P126" s="1281">
        <f t="shared" si="9"/>
        <v>0</v>
      </c>
      <c r="Q126" s="1279">
        <f>Q127*Q128/1000</f>
        <v>0</v>
      </c>
      <c r="R126" s="2867">
        <f>R127*R128/1000</f>
        <v>0</v>
      </c>
      <c r="S126" s="1370">
        <f t="shared" si="10"/>
        <v>0</v>
      </c>
      <c r="T126" s="1279">
        <f>T127*T128/1000</f>
        <v>0</v>
      </c>
      <c r="U126" s="1280">
        <f>U127*U128/1000</f>
        <v>0</v>
      </c>
      <c r="V126" s="1281">
        <f t="shared" si="11"/>
        <v>0</v>
      </c>
      <c r="W126" s="2093"/>
      <c r="X126" s="2093"/>
      <c r="Y126" s="2092"/>
      <c r="Z126" s="1376"/>
    </row>
    <row r="127" spans="1:26" s="1263" customFormat="1" hidden="1" outlineLevel="2">
      <c r="A127" s="1267">
        <v>497</v>
      </c>
      <c r="B127" s="1294" t="s">
        <v>1487</v>
      </c>
      <c r="C127" s="1295" t="s">
        <v>1327</v>
      </c>
      <c r="D127" s="1457" t="s">
        <v>1328</v>
      </c>
      <c r="E127" s="1296"/>
      <c r="F127" s="1297"/>
      <c r="G127" s="1281">
        <f t="shared" si="6"/>
        <v>0</v>
      </c>
      <c r="H127" s="1296"/>
      <c r="I127" s="1297"/>
      <c r="J127" s="1276">
        <f t="shared" si="7"/>
        <v>0</v>
      </c>
      <c r="K127" s="1296"/>
      <c r="L127" s="1297"/>
      <c r="M127" s="1370">
        <f t="shared" si="8"/>
        <v>0</v>
      </c>
      <c r="N127" s="1296"/>
      <c r="O127" s="1297"/>
      <c r="P127" s="1281">
        <f t="shared" si="9"/>
        <v>0</v>
      </c>
      <c r="Q127" s="1296"/>
      <c r="R127" s="2870"/>
      <c r="S127" s="1370">
        <f t="shared" si="10"/>
        <v>0</v>
      </c>
      <c r="T127" s="1296"/>
      <c r="U127" s="1297"/>
      <c r="V127" s="1281">
        <f t="shared" si="11"/>
        <v>0</v>
      </c>
      <c r="W127" s="2094"/>
      <c r="X127" s="2094"/>
      <c r="Y127" s="2092"/>
      <c r="Z127" s="1376"/>
    </row>
    <row r="128" spans="1:26" s="1263" customFormat="1" hidden="1" outlineLevel="2">
      <c r="A128" s="1267">
        <v>498</v>
      </c>
      <c r="B128" s="1294" t="s">
        <v>1488</v>
      </c>
      <c r="C128" s="1295" t="s">
        <v>1330</v>
      </c>
      <c r="D128" s="1457" t="s">
        <v>1331</v>
      </c>
      <c r="E128" s="1296"/>
      <c r="F128" s="1297"/>
      <c r="G128" s="1281">
        <f t="shared" si="6"/>
        <v>0</v>
      </c>
      <c r="H128" s="1296"/>
      <c r="I128" s="1297"/>
      <c r="J128" s="1276">
        <f t="shared" si="7"/>
        <v>0</v>
      </c>
      <c r="K128" s="1296"/>
      <c r="L128" s="1297"/>
      <c r="M128" s="1370">
        <f t="shared" si="8"/>
        <v>0</v>
      </c>
      <c r="N128" s="1296"/>
      <c r="O128" s="1297"/>
      <c r="P128" s="1281">
        <f t="shared" si="9"/>
        <v>0</v>
      </c>
      <c r="Q128" s="1296"/>
      <c r="R128" s="2870"/>
      <c r="S128" s="1370">
        <f t="shared" si="10"/>
        <v>0</v>
      </c>
      <c r="T128" s="1296"/>
      <c r="U128" s="1297"/>
      <c r="V128" s="1281">
        <f t="shared" si="11"/>
        <v>0</v>
      </c>
      <c r="W128" s="2094"/>
      <c r="X128" s="2094"/>
      <c r="Y128" s="2092"/>
      <c r="Z128" s="1376"/>
    </row>
    <row r="129" spans="1:26" s="1263" customFormat="1" hidden="1" outlineLevel="2">
      <c r="A129" s="1267">
        <v>372</v>
      </c>
      <c r="B129" s="1292" t="s">
        <v>1489</v>
      </c>
      <c r="C129" s="1293" t="s">
        <v>1490</v>
      </c>
      <c r="D129" s="1454"/>
      <c r="E129" s="1279">
        <f>E130*E131/1000</f>
        <v>0</v>
      </c>
      <c r="F129" s="1280">
        <f>F130*F131/1000</f>
        <v>0</v>
      </c>
      <c r="G129" s="1281">
        <f t="shared" si="6"/>
        <v>0</v>
      </c>
      <c r="H129" s="1279">
        <f>H130*H131/1000</f>
        <v>0</v>
      </c>
      <c r="I129" s="1280">
        <f>I130*I131/1000</f>
        <v>0</v>
      </c>
      <c r="J129" s="1276">
        <f t="shared" si="7"/>
        <v>0</v>
      </c>
      <c r="K129" s="1279">
        <f>K130*K131/1000</f>
        <v>0</v>
      </c>
      <c r="L129" s="1280">
        <f>L130*L131/1000</f>
        <v>0</v>
      </c>
      <c r="M129" s="1370">
        <f t="shared" si="8"/>
        <v>0</v>
      </c>
      <c r="N129" s="1279">
        <f>N130*N131/1000</f>
        <v>0</v>
      </c>
      <c r="O129" s="1280">
        <f>O130*O131/1000</f>
        <v>0</v>
      </c>
      <c r="P129" s="1281">
        <f t="shared" si="9"/>
        <v>0</v>
      </c>
      <c r="Q129" s="1279">
        <f>Q130*Q131/1000</f>
        <v>0</v>
      </c>
      <c r="R129" s="2867">
        <f>R130*R131/1000</f>
        <v>0</v>
      </c>
      <c r="S129" s="1370">
        <f t="shared" si="10"/>
        <v>0</v>
      </c>
      <c r="T129" s="1279">
        <f>T130*T131/1000</f>
        <v>0</v>
      </c>
      <c r="U129" s="1280">
        <f>U130*U131/1000</f>
        <v>0</v>
      </c>
      <c r="V129" s="1281">
        <f t="shared" si="11"/>
        <v>0</v>
      </c>
      <c r="W129" s="2093"/>
      <c r="X129" s="2093"/>
      <c r="Y129" s="2092"/>
      <c r="Z129" s="1376"/>
    </row>
    <row r="130" spans="1:26" s="1263" customFormat="1" hidden="1" outlineLevel="2">
      <c r="A130" s="1267">
        <v>499</v>
      </c>
      <c r="B130" s="1294" t="s">
        <v>1491</v>
      </c>
      <c r="C130" s="1295" t="s">
        <v>1327</v>
      </c>
      <c r="D130" s="1457" t="s">
        <v>1328</v>
      </c>
      <c r="E130" s="1296"/>
      <c r="F130" s="1297"/>
      <c r="G130" s="1281">
        <f t="shared" si="6"/>
        <v>0</v>
      </c>
      <c r="H130" s="1296"/>
      <c r="I130" s="1297"/>
      <c r="J130" s="1276">
        <f t="shared" si="7"/>
        <v>0</v>
      </c>
      <c r="K130" s="1296"/>
      <c r="L130" s="1297"/>
      <c r="M130" s="1370">
        <f t="shared" si="8"/>
        <v>0</v>
      </c>
      <c r="N130" s="1296"/>
      <c r="O130" s="1297"/>
      <c r="P130" s="1281">
        <f t="shared" si="9"/>
        <v>0</v>
      </c>
      <c r="Q130" s="1296"/>
      <c r="R130" s="2870"/>
      <c r="S130" s="1370">
        <f t="shared" si="10"/>
        <v>0</v>
      </c>
      <c r="T130" s="1296"/>
      <c r="U130" s="1297"/>
      <c r="V130" s="1281">
        <f t="shared" si="11"/>
        <v>0</v>
      </c>
      <c r="W130" s="2094"/>
      <c r="X130" s="2094"/>
      <c r="Y130" s="2092"/>
      <c r="Z130" s="1376"/>
    </row>
    <row r="131" spans="1:26" s="1263" customFormat="1" hidden="1" outlineLevel="2">
      <c r="A131" s="1267">
        <v>500</v>
      </c>
      <c r="B131" s="1294" t="s">
        <v>1492</v>
      </c>
      <c r="C131" s="1295" t="s">
        <v>1330</v>
      </c>
      <c r="D131" s="1457" t="s">
        <v>1331</v>
      </c>
      <c r="E131" s="1296"/>
      <c r="F131" s="1297"/>
      <c r="G131" s="1281">
        <f t="shared" si="6"/>
        <v>0</v>
      </c>
      <c r="H131" s="1296"/>
      <c r="I131" s="1297"/>
      <c r="J131" s="1276">
        <f t="shared" si="7"/>
        <v>0</v>
      </c>
      <c r="K131" s="1296"/>
      <c r="L131" s="1297"/>
      <c r="M131" s="1370">
        <f t="shared" si="8"/>
        <v>0</v>
      </c>
      <c r="N131" s="1296"/>
      <c r="O131" s="1297"/>
      <c r="P131" s="1281">
        <f t="shared" si="9"/>
        <v>0</v>
      </c>
      <c r="Q131" s="1296"/>
      <c r="R131" s="2870"/>
      <c r="S131" s="1370">
        <f t="shared" si="10"/>
        <v>0</v>
      </c>
      <c r="T131" s="1296"/>
      <c r="U131" s="1297"/>
      <c r="V131" s="1281">
        <f t="shared" si="11"/>
        <v>0</v>
      </c>
      <c r="W131" s="2094"/>
      <c r="X131" s="2094"/>
      <c r="Y131" s="2092"/>
      <c r="Z131" s="1376"/>
    </row>
    <row r="132" spans="1:26" s="1263" customFormat="1" hidden="1" outlineLevel="2">
      <c r="A132" s="1267">
        <v>373</v>
      </c>
      <c r="B132" s="1292" t="s">
        <v>1493</v>
      </c>
      <c r="C132" s="1293" t="s">
        <v>1494</v>
      </c>
      <c r="D132" s="1454"/>
      <c r="E132" s="1279">
        <f>E133*E134/1000</f>
        <v>0</v>
      </c>
      <c r="F132" s="1280">
        <f>F133*F134/1000</f>
        <v>0</v>
      </c>
      <c r="G132" s="1281">
        <f t="shared" si="6"/>
        <v>0</v>
      </c>
      <c r="H132" s="1279">
        <f>H133*H134/1000</f>
        <v>0</v>
      </c>
      <c r="I132" s="1280">
        <f>I133*I134/1000</f>
        <v>0</v>
      </c>
      <c r="J132" s="1276">
        <f t="shared" si="7"/>
        <v>0</v>
      </c>
      <c r="K132" s="1279">
        <f>K133*K134/1000</f>
        <v>0</v>
      </c>
      <c r="L132" s="1280">
        <f>L133*L134/1000</f>
        <v>0</v>
      </c>
      <c r="M132" s="1370">
        <f t="shared" si="8"/>
        <v>0</v>
      </c>
      <c r="N132" s="1279">
        <f>N133*N134/1000</f>
        <v>0</v>
      </c>
      <c r="O132" s="1280">
        <f>O133*O134/1000</f>
        <v>0</v>
      </c>
      <c r="P132" s="1281">
        <f t="shared" si="9"/>
        <v>0</v>
      </c>
      <c r="Q132" s="1279">
        <f>Q133*Q134/1000</f>
        <v>0</v>
      </c>
      <c r="R132" s="2867">
        <f>R133*R134/1000</f>
        <v>0</v>
      </c>
      <c r="S132" s="1370">
        <f t="shared" si="10"/>
        <v>0</v>
      </c>
      <c r="T132" s="1279">
        <f>T133*T134/1000</f>
        <v>0</v>
      </c>
      <c r="U132" s="1280">
        <f>U133*U134/1000</f>
        <v>0</v>
      </c>
      <c r="V132" s="1281">
        <f t="shared" si="11"/>
        <v>0</v>
      </c>
      <c r="W132" s="2093"/>
      <c r="X132" s="2093"/>
      <c r="Y132" s="2092"/>
      <c r="Z132" s="1376"/>
    </row>
    <row r="133" spans="1:26" s="1263" customFormat="1" hidden="1" outlineLevel="2">
      <c r="A133" s="1267">
        <v>501</v>
      </c>
      <c r="B133" s="1294" t="s">
        <v>1495</v>
      </c>
      <c r="C133" s="1295" t="s">
        <v>1327</v>
      </c>
      <c r="D133" s="1457" t="s">
        <v>1328</v>
      </c>
      <c r="E133" s="1296"/>
      <c r="F133" s="1297"/>
      <c r="G133" s="1281">
        <f t="shared" ref="G133:G196" si="12">E133/2+F133/2</f>
        <v>0</v>
      </c>
      <c r="H133" s="1296"/>
      <c r="I133" s="1297"/>
      <c r="J133" s="1276">
        <f t="shared" ref="J133:J196" si="13">H133/2+I133/2</f>
        <v>0</v>
      </c>
      <c r="K133" s="1296"/>
      <c r="L133" s="1297"/>
      <c r="M133" s="1370">
        <f t="shared" ref="M133:M196" si="14">K133/2+L133/2</f>
        <v>0</v>
      </c>
      <c r="N133" s="1296"/>
      <c r="O133" s="1297"/>
      <c r="P133" s="1281">
        <f t="shared" ref="P133:P196" si="15">N133/2+O133/2</f>
        <v>0</v>
      </c>
      <c r="Q133" s="1296"/>
      <c r="R133" s="2870"/>
      <c r="S133" s="1370">
        <f t="shared" ref="S133:S196" si="16">Q133/2+R133/2</f>
        <v>0</v>
      </c>
      <c r="T133" s="1296"/>
      <c r="U133" s="1297"/>
      <c r="V133" s="1281">
        <f t="shared" ref="V133:V196" si="17">T133/2+U133/2</f>
        <v>0</v>
      </c>
      <c r="W133" s="2094"/>
      <c r="X133" s="2094"/>
      <c r="Y133" s="2092"/>
      <c r="Z133" s="1376"/>
    </row>
    <row r="134" spans="1:26" s="1263" customFormat="1" hidden="1" outlineLevel="2">
      <c r="A134" s="1267">
        <v>502</v>
      </c>
      <c r="B134" s="1294" t="s">
        <v>1496</v>
      </c>
      <c r="C134" s="1295" t="s">
        <v>1330</v>
      </c>
      <c r="D134" s="1457" t="s">
        <v>1331</v>
      </c>
      <c r="E134" s="1296"/>
      <c r="F134" s="1297"/>
      <c r="G134" s="1281">
        <f t="shared" si="12"/>
        <v>0</v>
      </c>
      <c r="H134" s="1296"/>
      <c r="I134" s="1297"/>
      <c r="J134" s="1276">
        <f t="shared" si="13"/>
        <v>0</v>
      </c>
      <c r="K134" s="1296"/>
      <c r="L134" s="1297"/>
      <c r="M134" s="1370">
        <f t="shared" si="14"/>
        <v>0</v>
      </c>
      <c r="N134" s="1296"/>
      <c r="O134" s="1297"/>
      <c r="P134" s="1281">
        <f t="shared" si="15"/>
        <v>0</v>
      </c>
      <c r="Q134" s="1296"/>
      <c r="R134" s="2870"/>
      <c r="S134" s="1370">
        <f t="shared" si="16"/>
        <v>0</v>
      </c>
      <c r="T134" s="1296"/>
      <c r="U134" s="1297"/>
      <c r="V134" s="1281">
        <f t="shared" si="17"/>
        <v>0</v>
      </c>
      <c r="W134" s="2094"/>
      <c r="X134" s="2094"/>
      <c r="Y134" s="2092"/>
      <c r="Z134" s="1376"/>
    </row>
    <row r="135" spans="1:26" s="1263" customFormat="1" hidden="1" outlineLevel="2">
      <c r="A135" s="1267">
        <v>374</v>
      </c>
      <c r="B135" s="1292" t="s">
        <v>1497</v>
      </c>
      <c r="C135" s="1293" t="s">
        <v>1498</v>
      </c>
      <c r="D135" s="1454"/>
      <c r="E135" s="1279">
        <f>E136*E137/1000</f>
        <v>0</v>
      </c>
      <c r="F135" s="1280">
        <f>F136*F137/1000</f>
        <v>0</v>
      </c>
      <c r="G135" s="1281">
        <f t="shared" si="12"/>
        <v>0</v>
      </c>
      <c r="H135" s="1279">
        <f>H136*H137/1000</f>
        <v>0</v>
      </c>
      <c r="I135" s="1280">
        <f>I136*I137/1000</f>
        <v>0</v>
      </c>
      <c r="J135" s="1276">
        <f t="shared" si="13"/>
        <v>0</v>
      </c>
      <c r="K135" s="1279">
        <f>K136*K137/1000</f>
        <v>0</v>
      </c>
      <c r="L135" s="1280">
        <f>L136*L137/1000</f>
        <v>0</v>
      </c>
      <c r="M135" s="1370">
        <f t="shared" si="14"/>
        <v>0</v>
      </c>
      <c r="N135" s="1279">
        <f>N136*N137/1000</f>
        <v>0</v>
      </c>
      <c r="O135" s="1280">
        <f>O136*O137/1000</f>
        <v>0</v>
      </c>
      <c r="P135" s="1281">
        <f t="shared" si="15"/>
        <v>0</v>
      </c>
      <c r="Q135" s="1279">
        <f>Q136*Q137/1000</f>
        <v>0</v>
      </c>
      <c r="R135" s="2867">
        <f>R136*R137/1000</f>
        <v>0</v>
      </c>
      <c r="S135" s="1370">
        <f t="shared" si="16"/>
        <v>0</v>
      </c>
      <c r="T135" s="1279">
        <f>T136*T137/1000</f>
        <v>0</v>
      </c>
      <c r="U135" s="1280">
        <f>U136*U137/1000</f>
        <v>0</v>
      </c>
      <c r="V135" s="1281">
        <f t="shared" si="17"/>
        <v>0</v>
      </c>
      <c r="W135" s="2093"/>
      <c r="X135" s="2093"/>
      <c r="Y135" s="2092"/>
      <c r="Z135" s="1376"/>
    </row>
    <row r="136" spans="1:26" s="1263" customFormat="1" hidden="1" outlineLevel="2">
      <c r="A136" s="1267">
        <v>503</v>
      </c>
      <c r="B136" s="1294" t="s">
        <v>1499</v>
      </c>
      <c r="C136" s="1295" t="s">
        <v>1500</v>
      </c>
      <c r="D136" s="1457" t="s">
        <v>1328</v>
      </c>
      <c r="E136" s="1296"/>
      <c r="F136" s="1297"/>
      <c r="G136" s="1281">
        <f t="shared" si="12"/>
        <v>0</v>
      </c>
      <c r="H136" s="1296"/>
      <c r="I136" s="1297"/>
      <c r="J136" s="1276">
        <f t="shared" si="13"/>
        <v>0</v>
      </c>
      <c r="K136" s="1296"/>
      <c r="L136" s="1297"/>
      <c r="M136" s="1370">
        <f t="shared" si="14"/>
        <v>0</v>
      </c>
      <c r="N136" s="1296"/>
      <c r="O136" s="1297"/>
      <c r="P136" s="1281">
        <f t="shared" si="15"/>
        <v>0</v>
      </c>
      <c r="Q136" s="1296"/>
      <c r="R136" s="2870"/>
      <c r="S136" s="1370">
        <f t="shared" si="16"/>
        <v>0</v>
      </c>
      <c r="T136" s="1296"/>
      <c r="U136" s="1297"/>
      <c r="V136" s="1281">
        <f t="shared" si="17"/>
        <v>0</v>
      </c>
      <c r="W136" s="2094"/>
      <c r="X136" s="2094"/>
      <c r="Y136" s="2092"/>
      <c r="Z136" s="1376"/>
    </row>
    <row r="137" spans="1:26" s="1263" customFormat="1" hidden="1" outlineLevel="2">
      <c r="A137" s="1267">
        <v>504</v>
      </c>
      <c r="B137" s="1294" t="s">
        <v>1501</v>
      </c>
      <c r="C137" s="1295" t="s">
        <v>1330</v>
      </c>
      <c r="D137" s="1457" t="s">
        <v>1331</v>
      </c>
      <c r="E137" s="1296"/>
      <c r="F137" s="1297"/>
      <c r="G137" s="1281">
        <f t="shared" si="12"/>
        <v>0</v>
      </c>
      <c r="H137" s="1296"/>
      <c r="I137" s="1297"/>
      <c r="J137" s="1276">
        <f t="shared" si="13"/>
        <v>0</v>
      </c>
      <c r="K137" s="1296"/>
      <c r="L137" s="1297"/>
      <c r="M137" s="1370">
        <f t="shared" si="14"/>
        <v>0</v>
      </c>
      <c r="N137" s="1296"/>
      <c r="O137" s="1297"/>
      <c r="P137" s="1281">
        <f t="shared" si="15"/>
        <v>0</v>
      </c>
      <c r="Q137" s="1296"/>
      <c r="R137" s="2870"/>
      <c r="S137" s="1370">
        <f t="shared" si="16"/>
        <v>0</v>
      </c>
      <c r="T137" s="1296"/>
      <c r="U137" s="1297"/>
      <c r="V137" s="1281">
        <f t="shared" si="17"/>
        <v>0</v>
      </c>
      <c r="W137" s="2094"/>
      <c r="X137" s="2094"/>
      <c r="Y137" s="2092"/>
      <c r="Z137" s="1376"/>
    </row>
    <row r="138" spans="1:26" s="1263" customFormat="1" hidden="1" outlineLevel="2">
      <c r="A138" s="1267">
        <v>375</v>
      </c>
      <c r="B138" s="1292" t="s">
        <v>1502</v>
      </c>
      <c r="C138" s="1293" t="s">
        <v>1503</v>
      </c>
      <c r="D138" s="1454"/>
      <c r="E138" s="1279">
        <f>E139*E140/1000</f>
        <v>0</v>
      </c>
      <c r="F138" s="1280">
        <f>F139*F140/1000</f>
        <v>0</v>
      </c>
      <c r="G138" s="1281">
        <f t="shared" si="12"/>
        <v>0</v>
      </c>
      <c r="H138" s="1279">
        <f>H139*H140/1000</f>
        <v>0</v>
      </c>
      <c r="I138" s="1280">
        <f>I139*I140/1000</f>
        <v>0</v>
      </c>
      <c r="J138" s="1276">
        <f t="shared" si="13"/>
        <v>0</v>
      </c>
      <c r="K138" s="1279">
        <f>K139*K140/1000</f>
        <v>0</v>
      </c>
      <c r="L138" s="1280">
        <f>L139*L140/1000</f>
        <v>0</v>
      </c>
      <c r="M138" s="1370">
        <f t="shared" si="14"/>
        <v>0</v>
      </c>
      <c r="N138" s="1279">
        <f>N139*N140/1000</f>
        <v>0</v>
      </c>
      <c r="O138" s="1280">
        <f>O139*O140/1000</f>
        <v>0</v>
      </c>
      <c r="P138" s="1281">
        <f t="shared" si="15"/>
        <v>0</v>
      </c>
      <c r="Q138" s="1279">
        <f>Q139*Q140/1000</f>
        <v>0</v>
      </c>
      <c r="R138" s="2867">
        <f>R139*R140/1000</f>
        <v>0</v>
      </c>
      <c r="S138" s="1370">
        <f t="shared" si="16"/>
        <v>0</v>
      </c>
      <c r="T138" s="1279">
        <f>T139*T140/1000</f>
        <v>0</v>
      </c>
      <c r="U138" s="1280">
        <f>U139*U140/1000</f>
        <v>0</v>
      </c>
      <c r="V138" s="1281">
        <f t="shared" si="17"/>
        <v>0</v>
      </c>
      <c r="W138" s="2093"/>
      <c r="X138" s="2093"/>
      <c r="Y138" s="2092"/>
      <c r="Z138" s="1376"/>
    </row>
    <row r="139" spans="1:26" s="1263" customFormat="1" hidden="1" outlineLevel="2">
      <c r="A139" s="1267">
        <v>505</v>
      </c>
      <c r="B139" s="1294" t="s">
        <v>1504</v>
      </c>
      <c r="C139" s="1295" t="s">
        <v>1505</v>
      </c>
      <c r="D139" s="1457" t="s">
        <v>1328</v>
      </c>
      <c r="E139" s="1296"/>
      <c r="F139" s="1297"/>
      <c r="G139" s="1281">
        <f t="shared" si="12"/>
        <v>0</v>
      </c>
      <c r="H139" s="1296"/>
      <c r="I139" s="1297"/>
      <c r="J139" s="1276">
        <f t="shared" si="13"/>
        <v>0</v>
      </c>
      <c r="K139" s="1296"/>
      <c r="L139" s="1297"/>
      <c r="M139" s="1370">
        <f t="shared" si="14"/>
        <v>0</v>
      </c>
      <c r="N139" s="1296"/>
      <c r="O139" s="1297"/>
      <c r="P139" s="1281">
        <f t="shared" si="15"/>
        <v>0</v>
      </c>
      <c r="Q139" s="1296"/>
      <c r="R139" s="2870"/>
      <c r="S139" s="1370">
        <f t="shared" si="16"/>
        <v>0</v>
      </c>
      <c r="T139" s="1296"/>
      <c r="U139" s="1297"/>
      <c r="V139" s="1281">
        <f t="shared" si="17"/>
        <v>0</v>
      </c>
      <c r="W139" s="2094"/>
      <c r="X139" s="2094"/>
      <c r="Y139" s="2092"/>
      <c r="Z139" s="1376"/>
    </row>
    <row r="140" spans="1:26" s="1263" customFormat="1" hidden="1" outlineLevel="2">
      <c r="A140" s="1267">
        <v>506</v>
      </c>
      <c r="B140" s="1294" t="s">
        <v>1506</v>
      </c>
      <c r="C140" s="1295" t="s">
        <v>1330</v>
      </c>
      <c r="D140" s="1457" t="s">
        <v>1331</v>
      </c>
      <c r="E140" s="1296"/>
      <c r="F140" s="1297"/>
      <c r="G140" s="1281">
        <f t="shared" si="12"/>
        <v>0</v>
      </c>
      <c r="H140" s="1296"/>
      <c r="I140" s="1297"/>
      <c r="J140" s="1276">
        <f t="shared" si="13"/>
        <v>0</v>
      </c>
      <c r="K140" s="1296"/>
      <c r="L140" s="1297"/>
      <c r="M140" s="1370">
        <f t="shared" si="14"/>
        <v>0</v>
      </c>
      <c r="N140" s="1296"/>
      <c r="O140" s="1297"/>
      <c r="P140" s="1281">
        <f t="shared" si="15"/>
        <v>0</v>
      </c>
      <c r="Q140" s="1296"/>
      <c r="R140" s="2870"/>
      <c r="S140" s="1370">
        <f t="shared" si="16"/>
        <v>0</v>
      </c>
      <c r="T140" s="1296"/>
      <c r="U140" s="1297"/>
      <c r="V140" s="1281">
        <f t="shared" si="17"/>
        <v>0</v>
      </c>
      <c r="W140" s="2094"/>
      <c r="X140" s="2094"/>
      <c r="Y140" s="2092"/>
      <c r="Z140" s="1376"/>
    </row>
    <row r="141" spans="1:26" s="1263" customFormat="1" hidden="1" outlineLevel="2">
      <c r="A141" s="1267">
        <v>376</v>
      </c>
      <c r="B141" s="1292" t="s">
        <v>1507</v>
      </c>
      <c r="C141" s="1293" t="s">
        <v>1508</v>
      </c>
      <c r="D141" s="1454"/>
      <c r="E141" s="1279">
        <f>E142*E143/1000</f>
        <v>0</v>
      </c>
      <c r="F141" s="1280">
        <f>F142*F143/1000</f>
        <v>0</v>
      </c>
      <c r="G141" s="1281">
        <f t="shared" si="12"/>
        <v>0</v>
      </c>
      <c r="H141" s="1279">
        <f>H142*H143/1000</f>
        <v>0</v>
      </c>
      <c r="I141" s="1280">
        <f>I142*I143/1000</f>
        <v>0</v>
      </c>
      <c r="J141" s="1276">
        <f t="shared" si="13"/>
        <v>0</v>
      </c>
      <c r="K141" s="1279">
        <f>K142*K143/1000</f>
        <v>0</v>
      </c>
      <c r="L141" s="1280">
        <f>L142*L143/1000</f>
        <v>0</v>
      </c>
      <c r="M141" s="1370">
        <f t="shared" si="14"/>
        <v>0</v>
      </c>
      <c r="N141" s="1279">
        <f>N142*N143/1000</f>
        <v>0</v>
      </c>
      <c r="O141" s="1280">
        <f>O142*O143/1000</f>
        <v>0</v>
      </c>
      <c r="P141" s="1281">
        <f t="shared" si="15"/>
        <v>0</v>
      </c>
      <c r="Q141" s="1279">
        <f>Q142*Q143/1000</f>
        <v>0</v>
      </c>
      <c r="R141" s="2867">
        <f>R142*R143/1000</f>
        <v>0</v>
      </c>
      <c r="S141" s="1370">
        <f t="shared" si="16"/>
        <v>0</v>
      </c>
      <c r="T141" s="1279">
        <f>T142*T143/1000</f>
        <v>0</v>
      </c>
      <c r="U141" s="1280">
        <f>U142*U143/1000</f>
        <v>0</v>
      </c>
      <c r="V141" s="1281">
        <f t="shared" si="17"/>
        <v>0</v>
      </c>
      <c r="W141" s="2093"/>
      <c r="X141" s="2093"/>
      <c r="Y141" s="2092"/>
      <c r="Z141" s="1376"/>
    </row>
    <row r="142" spans="1:26" s="1263" customFormat="1" hidden="1" outlineLevel="2">
      <c r="A142" s="1267">
        <v>507</v>
      </c>
      <c r="B142" s="1294" t="s">
        <v>1509</v>
      </c>
      <c r="C142" s="1295" t="s">
        <v>1327</v>
      </c>
      <c r="D142" s="1457" t="s">
        <v>1328</v>
      </c>
      <c r="E142" s="1296"/>
      <c r="F142" s="1297"/>
      <c r="G142" s="1281">
        <f t="shared" si="12"/>
        <v>0</v>
      </c>
      <c r="H142" s="1296"/>
      <c r="I142" s="1297"/>
      <c r="J142" s="1276">
        <f t="shared" si="13"/>
        <v>0</v>
      </c>
      <c r="K142" s="1296"/>
      <c r="L142" s="1297"/>
      <c r="M142" s="1370">
        <f t="shared" si="14"/>
        <v>0</v>
      </c>
      <c r="N142" s="1296"/>
      <c r="O142" s="1297"/>
      <c r="P142" s="1281">
        <f t="shared" si="15"/>
        <v>0</v>
      </c>
      <c r="Q142" s="1296"/>
      <c r="R142" s="2870"/>
      <c r="S142" s="1370">
        <f t="shared" si="16"/>
        <v>0</v>
      </c>
      <c r="T142" s="1296"/>
      <c r="U142" s="1297"/>
      <c r="V142" s="1281">
        <f t="shared" si="17"/>
        <v>0</v>
      </c>
      <c r="W142" s="2094"/>
      <c r="X142" s="2094"/>
      <c r="Y142" s="2092"/>
      <c r="Z142" s="1376"/>
    </row>
    <row r="143" spans="1:26" s="1263" customFormat="1" hidden="1" outlineLevel="2">
      <c r="A143" s="1267">
        <v>508</v>
      </c>
      <c r="B143" s="1294" t="s">
        <v>1510</v>
      </c>
      <c r="C143" s="1295" t="s">
        <v>1330</v>
      </c>
      <c r="D143" s="1457" t="s">
        <v>1331</v>
      </c>
      <c r="E143" s="1296"/>
      <c r="F143" s="1297"/>
      <c r="G143" s="1281">
        <f t="shared" si="12"/>
        <v>0</v>
      </c>
      <c r="H143" s="1296"/>
      <c r="I143" s="1297"/>
      <c r="J143" s="1276">
        <f t="shared" si="13"/>
        <v>0</v>
      </c>
      <c r="K143" s="1296"/>
      <c r="L143" s="1297"/>
      <c r="M143" s="1370">
        <f t="shared" si="14"/>
        <v>0</v>
      </c>
      <c r="N143" s="1296"/>
      <c r="O143" s="1297"/>
      <c r="P143" s="1281">
        <f t="shared" si="15"/>
        <v>0</v>
      </c>
      <c r="Q143" s="1296"/>
      <c r="R143" s="2870"/>
      <c r="S143" s="1370">
        <f t="shared" si="16"/>
        <v>0</v>
      </c>
      <c r="T143" s="1296"/>
      <c r="U143" s="1297"/>
      <c r="V143" s="1281">
        <f t="shared" si="17"/>
        <v>0</v>
      </c>
      <c r="W143" s="2094"/>
      <c r="X143" s="2094"/>
      <c r="Y143" s="2092"/>
      <c r="Z143" s="1376"/>
    </row>
    <row r="144" spans="1:26" s="1263" customFormat="1" hidden="1" outlineLevel="2">
      <c r="A144" s="1267">
        <v>377</v>
      </c>
      <c r="B144" s="1292" t="s">
        <v>1511</v>
      </c>
      <c r="C144" s="1293" t="s">
        <v>1512</v>
      </c>
      <c r="D144" s="1454"/>
      <c r="E144" s="1279">
        <f>E145*E146/1000</f>
        <v>0</v>
      </c>
      <c r="F144" s="1280">
        <f>F145*F146/1000</f>
        <v>0</v>
      </c>
      <c r="G144" s="1281">
        <f t="shared" si="12"/>
        <v>0</v>
      </c>
      <c r="H144" s="1279">
        <f>H145*H146/1000</f>
        <v>0</v>
      </c>
      <c r="I144" s="1280">
        <f>I145*I146/1000</f>
        <v>0</v>
      </c>
      <c r="J144" s="1276">
        <f t="shared" si="13"/>
        <v>0</v>
      </c>
      <c r="K144" s="1279">
        <f>K145*K146/1000</f>
        <v>0</v>
      </c>
      <c r="L144" s="1280">
        <f>L145*L146/1000</f>
        <v>0</v>
      </c>
      <c r="M144" s="1370">
        <f t="shared" si="14"/>
        <v>0</v>
      </c>
      <c r="N144" s="1279">
        <f>N145*N146/1000</f>
        <v>0</v>
      </c>
      <c r="O144" s="1280">
        <f>O145*O146/1000</f>
        <v>0</v>
      </c>
      <c r="P144" s="1281">
        <f t="shared" si="15"/>
        <v>0</v>
      </c>
      <c r="Q144" s="1279">
        <f>Q145*Q146/1000</f>
        <v>0</v>
      </c>
      <c r="R144" s="2867">
        <f>R145*R146/1000</f>
        <v>0</v>
      </c>
      <c r="S144" s="1370">
        <f t="shared" si="16"/>
        <v>0</v>
      </c>
      <c r="T144" s="1279">
        <f>T145*T146/1000</f>
        <v>0</v>
      </c>
      <c r="U144" s="1280">
        <f>U145*U146/1000</f>
        <v>0</v>
      </c>
      <c r="V144" s="1281">
        <f t="shared" si="17"/>
        <v>0</v>
      </c>
      <c r="W144" s="2093"/>
      <c r="X144" s="2093"/>
      <c r="Y144" s="2092"/>
      <c r="Z144" s="1376"/>
    </row>
    <row r="145" spans="1:26" s="1263" customFormat="1" hidden="1" outlineLevel="2">
      <c r="A145" s="1267">
        <v>509</v>
      </c>
      <c r="B145" s="1294" t="s">
        <v>1513</v>
      </c>
      <c r="C145" s="1295" t="s">
        <v>1327</v>
      </c>
      <c r="D145" s="1457" t="s">
        <v>1328</v>
      </c>
      <c r="E145" s="1296"/>
      <c r="F145" s="1297"/>
      <c r="G145" s="1281">
        <f t="shared" si="12"/>
        <v>0</v>
      </c>
      <c r="H145" s="1296"/>
      <c r="I145" s="1297"/>
      <c r="J145" s="1276">
        <f t="shared" si="13"/>
        <v>0</v>
      </c>
      <c r="K145" s="1296"/>
      <c r="L145" s="1297"/>
      <c r="M145" s="1370">
        <f t="shared" si="14"/>
        <v>0</v>
      </c>
      <c r="N145" s="1296"/>
      <c r="O145" s="1297"/>
      <c r="P145" s="1281">
        <f t="shared" si="15"/>
        <v>0</v>
      </c>
      <c r="Q145" s="1296"/>
      <c r="R145" s="2870"/>
      <c r="S145" s="1370">
        <f t="shared" si="16"/>
        <v>0</v>
      </c>
      <c r="T145" s="1296"/>
      <c r="U145" s="1297"/>
      <c r="V145" s="1281">
        <f t="shared" si="17"/>
        <v>0</v>
      </c>
      <c r="W145" s="2094"/>
      <c r="X145" s="2094"/>
      <c r="Y145" s="2092"/>
      <c r="Z145" s="1376"/>
    </row>
    <row r="146" spans="1:26" s="1263" customFormat="1" hidden="1" outlineLevel="2">
      <c r="A146" s="1267">
        <v>510</v>
      </c>
      <c r="B146" s="1294" t="s">
        <v>1514</v>
      </c>
      <c r="C146" s="1295" t="s">
        <v>1515</v>
      </c>
      <c r="D146" s="1457" t="s">
        <v>1331</v>
      </c>
      <c r="E146" s="1296"/>
      <c r="F146" s="1297"/>
      <c r="G146" s="1281">
        <f t="shared" si="12"/>
        <v>0</v>
      </c>
      <c r="H146" s="1296"/>
      <c r="I146" s="1297"/>
      <c r="J146" s="1276">
        <f t="shared" si="13"/>
        <v>0</v>
      </c>
      <c r="K146" s="1296"/>
      <c r="L146" s="1297"/>
      <c r="M146" s="1370">
        <f t="shared" si="14"/>
        <v>0</v>
      </c>
      <c r="N146" s="1296"/>
      <c r="O146" s="1297"/>
      <c r="P146" s="1281">
        <f t="shared" si="15"/>
        <v>0</v>
      </c>
      <c r="Q146" s="1296"/>
      <c r="R146" s="2870"/>
      <c r="S146" s="1370">
        <f t="shared" si="16"/>
        <v>0</v>
      </c>
      <c r="T146" s="1296"/>
      <c r="U146" s="1297"/>
      <c r="V146" s="1281">
        <f t="shared" si="17"/>
        <v>0</v>
      </c>
      <c r="W146" s="2094"/>
      <c r="X146" s="2094"/>
      <c r="Y146" s="2092"/>
      <c r="Z146" s="1376"/>
    </row>
    <row r="147" spans="1:26" s="1263" customFormat="1" hidden="1" outlineLevel="2">
      <c r="A147" s="1267">
        <v>378</v>
      </c>
      <c r="B147" s="1292" t="s">
        <v>1516</v>
      </c>
      <c r="C147" s="1293" t="s">
        <v>1517</v>
      </c>
      <c r="D147" s="1454"/>
      <c r="E147" s="1279">
        <f>E148*E149/1000</f>
        <v>0</v>
      </c>
      <c r="F147" s="1280">
        <f>F148*F149/1000</f>
        <v>0</v>
      </c>
      <c r="G147" s="1281">
        <f t="shared" si="12"/>
        <v>0</v>
      </c>
      <c r="H147" s="1279">
        <f>H148*H149/1000</f>
        <v>0</v>
      </c>
      <c r="I147" s="1280">
        <f>I148*I149/1000</f>
        <v>0</v>
      </c>
      <c r="J147" s="1276">
        <f t="shared" si="13"/>
        <v>0</v>
      </c>
      <c r="K147" s="1279">
        <f>K148*K149/1000</f>
        <v>0</v>
      </c>
      <c r="L147" s="1280">
        <f>L148*L149/1000</f>
        <v>0</v>
      </c>
      <c r="M147" s="1370">
        <f t="shared" si="14"/>
        <v>0</v>
      </c>
      <c r="N147" s="1279">
        <f>N148*N149/1000</f>
        <v>0</v>
      </c>
      <c r="O147" s="1280">
        <f>O148*O149/1000</f>
        <v>0</v>
      </c>
      <c r="P147" s="1281">
        <f t="shared" si="15"/>
        <v>0</v>
      </c>
      <c r="Q147" s="1279">
        <f>Q148*Q149/1000</f>
        <v>0</v>
      </c>
      <c r="R147" s="2867">
        <f>R148*R149/1000</f>
        <v>0</v>
      </c>
      <c r="S147" s="1370">
        <f t="shared" si="16"/>
        <v>0</v>
      </c>
      <c r="T147" s="1279">
        <f>T148*T149/1000</f>
        <v>0</v>
      </c>
      <c r="U147" s="1280">
        <f>U148*U149/1000</f>
        <v>0</v>
      </c>
      <c r="V147" s="1281">
        <f t="shared" si="17"/>
        <v>0</v>
      </c>
      <c r="W147" s="2093"/>
      <c r="X147" s="2093"/>
      <c r="Y147" s="2092"/>
      <c r="Z147" s="1376"/>
    </row>
    <row r="148" spans="1:26" s="1263" customFormat="1" hidden="1" outlineLevel="2">
      <c r="A148" s="1267">
        <v>511</v>
      </c>
      <c r="B148" s="1294" t="s">
        <v>1518</v>
      </c>
      <c r="C148" s="1295" t="s">
        <v>1327</v>
      </c>
      <c r="D148" s="1457" t="s">
        <v>1328</v>
      </c>
      <c r="E148" s="1296"/>
      <c r="F148" s="1297"/>
      <c r="G148" s="1281">
        <f t="shared" si="12"/>
        <v>0</v>
      </c>
      <c r="H148" s="1296"/>
      <c r="I148" s="1297"/>
      <c r="J148" s="1276">
        <f t="shared" si="13"/>
        <v>0</v>
      </c>
      <c r="K148" s="1296"/>
      <c r="L148" s="1297"/>
      <c r="M148" s="1370">
        <f t="shared" si="14"/>
        <v>0</v>
      </c>
      <c r="N148" s="1296"/>
      <c r="O148" s="1297"/>
      <c r="P148" s="1281">
        <f t="shared" si="15"/>
        <v>0</v>
      </c>
      <c r="Q148" s="1296"/>
      <c r="R148" s="2870"/>
      <c r="S148" s="1370">
        <f t="shared" si="16"/>
        <v>0</v>
      </c>
      <c r="T148" s="1296"/>
      <c r="U148" s="1297"/>
      <c r="V148" s="1281">
        <f t="shared" si="17"/>
        <v>0</v>
      </c>
      <c r="W148" s="2094"/>
      <c r="X148" s="2094"/>
      <c r="Y148" s="2092"/>
      <c r="Z148" s="1376"/>
    </row>
    <row r="149" spans="1:26" s="1263" customFormat="1" hidden="1" outlineLevel="2">
      <c r="A149" s="1267">
        <v>512</v>
      </c>
      <c r="B149" s="1294" t="s">
        <v>1519</v>
      </c>
      <c r="C149" s="1295" t="s">
        <v>1330</v>
      </c>
      <c r="D149" s="1457" t="s">
        <v>1331</v>
      </c>
      <c r="E149" s="1296"/>
      <c r="F149" s="1297"/>
      <c r="G149" s="1281">
        <f t="shared" si="12"/>
        <v>0</v>
      </c>
      <c r="H149" s="1296"/>
      <c r="I149" s="1297"/>
      <c r="J149" s="1276">
        <f t="shared" si="13"/>
        <v>0</v>
      </c>
      <c r="K149" s="1296"/>
      <c r="L149" s="1297"/>
      <c r="M149" s="1370">
        <f t="shared" si="14"/>
        <v>0</v>
      </c>
      <c r="N149" s="1296"/>
      <c r="O149" s="1297"/>
      <c r="P149" s="1281">
        <f t="shared" si="15"/>
        <v>0</v>
      </c>
      <c r="Q149" s="1296"/>
      <c r="R149" s="2870"/>
      <c r="S149" s="1370">
        <f t="shared" si="16"/>
        <v>0</v>
      </c>
      <c r="T149" s="1296"/>
      <c r="U149" s="1297"/>
      <c r="V149" s="1281">
        <f t="shared" si="17"/>
        <v>0</v>
      </c>
      <c r="W149" s="2094"/>
      <c r="X149" s="2094"/>
      <c r="Y149" s="2092"/>
      <c r="Z149" s="1376"/>
    </row>
    <row r="150" spans="1:26" s="1263" customFormat="1" hidden="1" outlineLevel="2">
      <c r="A150" s="1267">
        <v>379</v>
      </c>
      <c r="B150" s="1292" t="s">
        <v>1520</v>
      </c>
      <c r="C150" s="1293" t="s">
        <v>1521</v>
      </c>
      <c r="D150" s="1454"/>
      <c r="E150" s="1279">
        <f>E151*E152/1000</f>
        <v>0</v>
      </c>
      <c r="F150" s="1280">
        <f>F151*F152/1000</f>
        <v>0</v>
      </c>
      <c r="G150" s="1281">
        <f t="shared" si="12"/>
        <v>0</v>
      </c>
      <c r="H150" s="1279">
        <f>H151*H152/1000</f>
        <v>0</v>
      </c>
      <c r="I150" s="1280">
        <f>I151*I152/1000</f>
        <v>0</v>
      </c>
      <c r="J150" s="1276">
        <f t="shared" si="13"/>
        <v>0</v>
      </c>
      <c r="K150" s="1279">
        <f>K151*K152/1000</f>
        <v>0</v>
      </c>
      <c r="L150" s="1280">
        <f>L151*L152/1000</f>
        <v>0</v>
      </c>
      <c r="M150" s="1370">
        <f t="shared" si="14"/>
        <v>0</v>
      </c>
      <c r="N150" s="1279">
        <f>N151*N152/1000</f>
        <v>0</v>
      </c>
      <c r="O150" s="1280">
        <f>O151*O152/1000</f>
        <v>0</v>
      </c>
      <c r="P150" s="1281">
        <f t="shared" si="15"/>
        <v>0</v>
      </c>
      <c r="Q150" s="1279">
        <f>Q151*Q152/1000</f>
        <v>0</v>
      </c>
      <c r="R150" s="2867">
        <f>R151*R152/1000</f>
        <v>0</v>
      </c>
      <c r="S150" s="1370">
        <f t="shared" si="16"/>
        <v>0</v>
      </c>
      <c r="T150" s="1279">
        <f>T151*T152/1000</f>
        <v>0</v>
      </c>
      <c r="U150" s="1280">
        <f>U151*U152/1000</f>
        <v>0</v>
      </c>
      <c r="V150" s="1281">
        <f t="shared" si="17"/>
        <v>0</v>
      </c>
      <c r="W150" s="2093"/>
      <c r="X150" s="2093"/>
      <c r="Y150" s="2092"/>
      <c r="Z150" s="1376"/>
    </row>
    <row r="151" spans="1:26" s="1263" customFormat="1" hidden="1" outlineLevel="2">
      <c r="A151" s="1267">
        <v>513</v>
      </c>
      <c r="B151" s="1294" t="s">
        <v>1522</v>
      </c>
      <c r="C151" s="1295" t="s">
        <v>1327</v>
      </c>
      <c r="D151" s="1457" t="s">
        <v>1328</v>
      </c>
      <c r="E151" s="1296"/>
      <c r="F151" s="1297"/>
      <c r="G151" s="1281">
        <f t="shared" si="12"/>
        <v>0</v>
      </c>
      <c r="H151" s="1296"/>
      <c r="I151" s="1297"/>
      <c r="J151" s="1276">
        <f t="shared" si="13"/>
        <v>0</v>
      </c>
      <c r="K151" s="1296"/>
      <c r="L151" s="1297"/>
      <c r="M151" s="1370">
        <f t="shared" si="14"/>
        <v>0</v>
      </c>
      <c r="N151" s="1296"/>
      <c r="O151" s="1297"/>
      <c r="P151" s="1281">
        <f t="shared" si="15"/>
        <v>0</v>
      </c>
      <c r="Q151" s="1296"/>
      <c r="R151" s="2870"/>
      <c r="S151" s="1370">
        <f t="shared" si="16"/>
        <v>0</v>
      </c>
      <c r="T151" s="1296"/>
      <c r="U151" s="1297"/>
      <c r="V151" s="1281">
        <f t="shared" si="17"/>
        <v>0</v>
      </c>
      <c r="W151" s="2094"/>
      <c r="X151" s="2094"/>
      <c r="Y151" s="2092"/>
      <c r="Z151" s="1376"/>
    </row>
    <row r="152" spans="1:26" s="1263" customFormat="1" hidden="1" outlineLevel="2">
      <c r="A152" s="1267">
        <v>514</v>
      </c>
      <c r="B152" s="1294" t="s">
        <v>1523</v>
      </c>
      <c r="C152" s="1295" t="s">
        <v>1330</v>
      </c>
      <c r="D152" s="1457" t="s">
        <v>1331</v>
      </c>
      <c r="E152" s="1296"/>
      <c r="F152" s="1297"/>
      <c r="G152" s="1281">
        <f t="shared" si="12"/>
        <v>0</v>
      </c>
      <c r="H152" s="1296"/>
      <c r="I152" s="1297"/>
      <c r="J152" s="1276">
        <f t="shared" si="13"/>
        <v>0</v>
      </c>
      <c r="K152" s="1296"/>
      <c r="L152" s="1297"/>
      <c r="M152" s="1370">
        <f t="shared" si="14"/>
        <v>0</v>
      </c>
      <c r="N152" s="1296"/>
      <c r="O152" s="1297"/>
      <c r="P152" s="1281">
        <f t="shared" si="15"/>
        <v>0</v>
      </c>
      <c r="Q152" s="1296"/>
      <c r="R152" s="2870"/>
      <c r="S152" s="1370">
        <f t="shared" si="16"/>
        <v>0</v>
      </c>
      <c r="T152" s="1296"/>
      <c r="U152" s="1297"/>
      <c r="V152" s="1281">
        <f t="shared" si="17"/>
        <v>0</v>
      </c>
      <c r="W152" s="2094"/>
      <c r="X152" s="2094"/>
      <c r="Y152" s="2092"/>
      <c r="Z152" s="1376"/>
    </row>
    <row r="153" spans="1:26" s="1263" customFormat="1" hidden="1" outlineLevel="2">
      <c r="A153" s="1267">
        <v>380</v>
      </c>
      <c r="B153" s="1292" t="s">
        <v>1524</v>
      </c>
      <c r="C153" s="1293" t="s">
        <v>1525</v>
      </c>
      <c r="D153" s="1454"/>
      <c r="E153" s="1279">
        <f>E154*E155/1000</f>
        <v>0</v>
      </c>
      <c r="F153" s="1280">
        <f>F154*F155/1000</f>
        <v>0</v>
      </c>
      <c r="G153" s="1281">
        <f t="shared" si="12"/>
        <v>0</v>
      </c>
      <c r="H153" s="1279">
        <f>H154*H155/1000</f>
        <v>0</v>
      </c>
      <c r="I153" s="1280">
        <f>I154*I155/1000</f>
        <v>0</v>
      </c>
      <c r="J153" s="1276">
        <f t="shared" si="13"/>
        <v>0</v>
      </c>
      <c r="K153" s="1279">
        <f>K154*K155/1000</f>
        <v>0</v>
      </c>
      <c r="L153" s="1280">
        <f>L154*L155/1000</f>
        <v>0</v>
      </c>
      <c r="M153" s="1370">
        <f t="shared" si="14"/>
        <v>0</v>
      </c>
      <c r="N153" s="1279">
        <f>N154*N155/1000</f>
        <v>0</v>
      </c>
      <c r="O153" s="1280">
        <f>O154*O155/1000</f>
        <v>0</v>
      </c>
      <c r="P153" s="1281">
        <f t="shared" si="15"/>
        <v>0</v>
      </c>
      <c r="Q153" s="1279">
        <f>Q154*Q155/1000</f>
        <v>0</v>
      </c>
      <c r="R153" s="2867">
        <f>R154*R155/1000</f>
        <v>0</v>
      </c>
      <c r="S153" s="1370">
        <f t="shared" si="16"/>
        <v>0</v>
      </c>
      <c r="T153" s="1279">
        <f>T154*T155/1000</f>
        <v>0</v>
      </c>
      <c r="U153" s="1280">
        <f>U154*U155/1000</f>
        <v>0</v>
      </c>
      <c r="V153" s="1281">
        <f t="shared" si="17"/>
        <v>0</v>
      </c>
      <c r="W153" s="2093"/>
      <c r="X153" s="2093"/>
      <c r="Y153" s="2092"/>
      <c r="Z153" s="1376"/>
    </row>
    <row r="154" spans="1:26" s="1263" customFormat="1" hidden="1" outlineLevel="2">
      <c r="A154" s="1267">
        <v>515</v>
      </c>
      <c r="B154" s="1294" t="s">
        <v>1526</v>
      </c>
      <c r="C154" s="1295" t="s">
        <v>1327</v>
      </c>
      <c r="D154" s="1457" t="s">
        <v>1328</v>
      </c>
      <c r="E154" s="1296"/>
      <c r="F154" s="1297"/>
      <c r="G154" s="1281">
        <f t="shared" si="12"/>
        <v>0</v>
      </c>
      <c r="H154" s="1296"/>
      <c r="I154" s="1297"/>
      <c r="J154" s="1276">
        <f t="shared" si="13"/>
        <v>0</v>
      </c>
      <c r="K154" s="1296"/>
      <c r="L154" s="1297"/>
      <c r="M154" s="1370">
        <f t="shared" si="14"/>
        <v>0</v>
      </c>
      <c r="N154" s="1296"/>
      <c r="O154" s="1297"/>
      <c r="P154" s="1281">
        <f t="shared" si="15"/>
        <v>0</v>
      </c>
      <c r="Q154" s="1296"/>
      <c r="R154" s="2870"/>
      <c r="S154" s="1370">
        <f t="shared" si="16"/>
        <v>0</v>
      </c>
      <c r="T154" s="1296"/>
      <c r="U154" s="1297"/>
      <c r="V154" s="1281">
        <f t="shared" si="17"/>
        <v>0</v>
      </c>
      <c r="W154" s="2094"/>
      <c r="X154" s="2094"/>
      <c r="Y154" s="2092"/>
      <c r="Z154" s="1376"/>
    </row>
    <row r="155" spans="1:26" s="1263" customFormat="1" hidden="1" outlineLevel="2">
      <c r="A155" s="1267">
        <v>516</v>
      </c>
      <c r="B155" s="1294" t="s">
        <v>1527</v>
      </c>
      <c r="C155" s="1295" t="s">
        <v>1330</v>
      </c>
      <c r="D155" s="1457" t="s">
        <v>1331</v>
      </c>
      <c r="E155" s="1296"/>
      <c r="F155" s="1297"/>
      <c r="G155" s="1281">
        <f t="shared" si="12"/>
        <v>0</v>
      </c>
      <c r="H155" s="1296"/>
      <c r="I155" s="1297"/>
      <c r="J155" s="1276">
        <f t="shared" si="13"/>
        <v>0</v>
      </c>
      <c r="K155" s="1296"/>
      <c r="L155" s="1297"/>
      <c r="M155" s="1370">
        <f t="shared" si="14"/>
        <v>0</v>
      </c>
      <c r="N155" s="1296"/>
      <c r="O155" s="1297"/>
      <c r="P155" s="1281">
        <f t="shared" si="15"/>
        <v>0</v>
      </c>
      <c r="Q155" s="1296"/>
      <c r="R155" s="2870"/>
      <c r="S155" s="1370">
        <f t="shared" si="16"/>
        <v>0</v>
      </c>
      <c r="T155" s="1296"/>
      <c r="U155" s="1297"/>
      <c r="V155" s="1281">
        <f t="shared" si="17"/>
        <v>0</v>
      </c>
      <c r="W155" s="2094"/>
      <c r="X155" s="2094"/>
      <c r="Y155" s="2092"/>
      <c r="Z155" s="1376"/>
    </row>
    <row r="156" spans="1:26" s="1263" customFormat="1" hidden="1" outlineLevel="2">
      <c r="A156" s="1267">
        <v>381</v>
      </c>
      <c r="B156" s="1292" t="s">
        <v>1528</v>
      </c>
      <c r="C156" s="1293" t="s">
        <v>1529</v>
      </c>
      <c r="D156" s="1454"/>
      <c r="E156" s="1279">
        <f>E157*E158/1000</f>
        <v>0</v>
      </c>
      <c r="F156" s="1280">
        <f>F157*F158/1000</f>
        <v>0</v>
      </c>
      <c r="G156" s="1281">
        <f t="shared" si="12"/>
        <v>0</v>
      </c>
      <c r="H156" s="1279">
        <f>H157*H158/1000</f>
        <v>0</v>
      </c>
      <c r="I156" s="1280">
        <f>I157*I158/1000</f>
        <v>0</v>
      </c>
      <c r="J156" s="1276">
        <f t="shared" si="13"/>
        <v>0</v>
      </c>
      <c r="K156" s="1279">
        <f>K157*K158/1000</f>
        <v>0</v>
      </c>
      <c r="L156" s="1280">
        <f>L157*L158/1000</f>
        <v>0</v>
      </c>
      <c r="M156" s="1370">
        <f t="shared" si="14"/>
        <v>0</v>
      </c>
      <c r="N156" s="1279">
        <f>N157*N158/1000</f>
        <v>0</v>
      </c>
      <c r="O156" s="1280">
        <f>O157*O158/1000</f>
        <v>0</v>
      </c>
      <c r="P156" s="1281">
        <f t="shared" si="15"/>
        <v>0</v>
      </c>
      <c r="Q156" s="1279">
        <f>Q157*Q158/1000</f>
        <v>0</v>
      </c>
      <c r="R156" s="2867">
        <f>R157*R158/1000</f>
        <v>0</v>
      </c>
      <c r="S156" s="1370">
        <f t="shared" si="16"/>
        <v>0</v>
      </c>
      <c r="T156" s="1279">
        <f>T157*T158/1000</f>
        <v>0</v>
      </c>
      <c r="U156" s="1280">
        <f>U157*U158/1000</f>
        <v>0</v>
      </c>
      <c r="V156" s="1281">
        <f t="shared" si="17"/>
        <v>0</v>
      </c>
      <c r="W156" s="2093"/>
      <c r="X156" s="2093"/>
      <c r="Y156" s="2092"/>
      <c r="Z156" s="1376"/>
    </row>
    <row r="157" spans="1:26" s="1263" customFormat="1" hidden="1" outlineLevel="2">
      <c r="A157" s="1267">
        <v>517</v>
      </c>
      <c r="B157" s="1294" t="s">
        <v>1530</v>
      </c>
      <c r="C157" s="1295" t="s">
        <v>1327</v>
      </c>
      <c r="D157" s="1457" t="s">
        <v>1328</v>
      </c>
      <c r="E157" s="1296"/>
      <c r="F157" s="1297"/>
      <c r="G157" s="1281">
        <f t="shared" si="12"/>
        <v>0</v>
      </c>
      <c r="H157" s="1296"/>
      <c r="I157" s="1297"/>
      <c r="J157" s="1276">
        <f t="shared" si="13"/>
        <v>0</v>
      </c>
      <c r="K157" s="1296"/>
      <c r="L157" s="1297"/>
      <c r="M157" s="1370">
        <f t="shared" si="14"/>
        <v>0</v>
      </c>
      <c r="N157" s="1296"/>
      <c r="O157" s="1297"/>
      <c r="P157" s="1281">
        <f t="shared" si="15"/>
        <v>0</v>
      </c>
      <c r="Q157" s="1296"/>
      <c r="R157" s="2870"/>
      <c r="S157" s="1370">
        <f t="shared" si="16"/>
        <v>0</v>
      </c>
      <c r="T157" s="1296"/>
      <c r="U157" s="1297"/>
      <c r="V157" s="1281">
        <f t="shared" si="17"/>
        <v>0</v>
      </c>
      <c r="W157" s="2094"/>
      <c r="X157" s="2094"/>
      <c r="Y157" s="2092"/>
      <c r="Z157" s="1376"/>
    </row>
    <row r="158" spans="1:26" s="1263" customFormat="1" hidden="1" outlineLevel="2">
      <c r="A158" s="1267">
        <v>518</v>
      </c>
      <c r="B158" s="1294" t="s">
        <v>1531</v>
      </c>
      <c r="C158" s="1295" t="s">
        <v>1330</v>
      </c>
      <c r="D158" s="1457" t="s">
        <v>1331</v>
      </c>
      <c r="E158" s="1296"/>
      <c r="F158" s="1297"/>
      <c r="G158" s="1281">
        <f t="shared" si="12"/>
        <v>0</v>
      </c>
      <c r="H158" s="1296"/>
      <c r="I158" s="1297"/>
      <c r="J158" s="1276">
        <f t="shared" si="13"/>
        <v>0</v>
      </c>
      <c r="K158" s="1296"/>
      <c r="L158" s="1297"/>
      <c r="M158" s="1370">
        <f t="shared" si="14"/>
        <v>0</v>
      </c>
      <c r="N158" s="1296"/>
      <c r="O158" s="1297"/>
      <c r="P158" s="1281">
        <f t="shared" si="15"/>
        <v>0</v>
      </c>
      <c r="Q158" s="1296"/>
      <c r="R158" s="2870"/>
      <c r="S158" s="1370">
        <f t="shared" si="16"/>
        <v>0</v>
      </c>
      <c r="T158" s="1296"/>
      <c r="U158" s="1297"/>
      <c r="V158" s="1281">
        <f t="shared" si="17"/>
        <v>0</v>
      </c>
      <c r="W158" s="2094"/>
      <c r="X158" s="2094"/>
      <c r="Y158" s="2092"/>
      <c r="Z158" s="1376"/>
    </row>
    <row r="159" spans="1:26" s="1263" customFormat="1" hidden="1" outlineLevel="2">
      <c r="A159" s="1267">
        <v>382</v>
      </c>
      <c r="B159" s="1292" t="s">
        <v>1532</v>
      </c>
      <c r="C159" s="1293" t="s">
        <v>1533</v>
      </c>
      <c r="D159" s="1454"/>
      <c r="E159" s="1279">
        <f>E160*E161/1000</f>
        <v>0</v>
      </c>
      <c r="F159" s="1280">
        <f>F160*F161/1000</f>
        <v>0</v>
      </c>
      <c r="G159" s="1281">
        <f t="shared" si="12"/>
        <v>0</v>
      </c>
      <c r="H159" s="1279">
        <f>H160*H161/1000</f>
        <v>0</v>
      </c>
      <c r="I159" s="1280">
        <f>I160*I161/1000</f>
        <v>0</v>
      </c>
      <c r="J159" s="1276">
        <f t="shared" si="13"/>
        <v>0</v>
      </c>
      <c r="K159" s="1279">
        <f>K160*K161/1000</f>
        <v>0</v>
      </c>
      <c r="L159" s="1280">
        <f>L160*L161/1000</f>
        <v>0</v>
      </c>
      <c r="M159" s="1370">
        <f t="shared" si="14"/>
        <v>0</v>
      </c>
      <c r="N159" s="1279">
        <f>N160*N161/1000</f>
        <v>0</v>
      </c>
      <c r="O159" s="1280">
        <f>O160*O161/1000</f>
        <v>0</v>
      </c>
      <c r="P159" s="1281">
        <f t="shared" si="15"/>
        <v>0</v>
      </c>
      <c r="Q159" s="1279">
        <f>Q160*Q161/1000</f>
        <v>0</v>
      </c>
      <c r="R159" s="2867">
        <f>R160*R161/1000</f>
        <v>0</v>
      </c>
      <c r="S159" s="1370">
        <f t="shared" si="16"/>
        <v>0</v>
      </c>
      <c r="T159" s="1279">
        <f>T160*T161/1000</f>
        <v>0</v>
      </c>
      <c r="U159" s="1280">
        <f>U160*U161/1000</f>
        <v>0</v>
      </c>
      <c r="V159" s="1281">
        <f t="shared" si="17"/>
        <v>0</v>
      </c>
      <c r="W159" s="2093"/>
      <c r="X159" s="2093"/>
      <c r="Y159" s="2092"/>
      <c r="Z159" s="1376"/>
    </row>
    <row r="160" spans="1:26" s="1263" customFormat="1" hidden="1" outlineLevel="2">
      <c r="A160" s="1267">
        <v>519</v>
      </c>
      <c r="B160" s="1294" t="s">
        <v>1534</v>
      </c>
      <c r="C160" s="1295" t="s">
        <v>1327</v>
      </c>
      <c r="D160" s="1457" t="s">
        <v>1328</v>
      </c>
      <c r="E160" s="1296"/>
      <c r="F160" s="1297"/>
      <c r="G160" s="1281">
        <f t="shared" si="12"/>
        <v>0</v>
      </c>
      <c r="H160" s="1296"/>
      <c r="I160" s="1297"/>
      <c r="J160" s="1276">
        <f t="shared" si="13"/>
        <v>0</v>
      </c>
      <c r="K160" s="1296"/>
      <c r="L160" s="1297"/>
      <c r="M160" s="1370">
        <f t="shared" si="14"/>
        <v>0</v>
      </c>
      <c r="N160" s="1296"/>
      <c r="O160" s="1297"/>
      <c r="P160" s="1281">
        <f t="shared" si="15"/>
        <v>0</v>
      </c>
      <c r="Q160" s="1296"/>
      <c r="R160" s="2870"/>
      <c r="S160" s="1370">
        <f t="shared" si="16"/>
        <v>0</v>
      </c>
      <c r="T160" s="1296"/>
      <c r="U160" s="1297"/>
      <c r="V160" s="1281">
        <f t="shared" si="17"/>
        <v>0</v>
      </c>
      <c r="W160" s="2094"/>
      <c r="X160" s="2094"/>
      <c r="Y160" s="2092"/>
      <c r="Z160" s="1376"/>
    </row>
    <row r="161" spans="1:26" s="1263" customFormat="1" hidden="1" outlineLevel="2">
      <c r="A161" s="1267">
        <v>520</v>
      </c>
      <c r="B161" s="1294" t="s">
        <v>1535</v>
      </c>
      <c r="C161" s="1295" t="s">
        <v>1330</v>
      </c>
      <c r="D161" s="1457" t="s">
        <v>1331</v>
      </c>
      <c r="E161" s="1296"/>
      <c r="F161" s="1297"/>
      <c r="G161" s="1281">
        <f t="shared" si="12"/>
        <v>0</v>
      </c>
      <c r="H161" s="1296"/>
      <c r="I161" s="1297"/>
      <c r="J161" s="1276">
        <f t="shared" si="13"/>
        <v>0</v>
      </c>
      <c r="K161" s="1296"/>
      <c r="L161" s="1297"/>
      <c r="M161" s="1370">
        <f t="shared" si="14"/>
        <v>0</v>
      </c>
      <c r="N161" s="1296"/>
      <c r="O161" s="1297"/>
      <c r="P161" s="1281">
        <f t="shared" si="15"/>
        <v>0</v>
      </c>
      <c r="Q161" s="1296"/>
      <c r="R161" s="2870"/>
      <c r="S161" s="1370">
        <f t="shared" si="16"/>
        <v>0</v>
      </c>
      <c r="T161" s="1296"/>
      <c r="U161" s="1297"/>
      <c r="V161" s="1281">
        <f t="shared" si="17"/>
        <v>0</v>
      </c>
      <c r="W161" s="2094"/>
      <c r="X161" s="2094"/>
      <c r="Y161" s="2092"/>
      <c r="Z161" s="1376"/>
    </row>
    <row r="162" spans="1:26" s="1263" customFormat="1" hidden="1" outlineLevel="2">
      <c r="A162" s="1267">
        <v>383</v>
      </c>
      <c r="B162" s="1292" t="s">
        <v>1536</v>
      </c>
      <c r="C162" s="1293" t="s">
        <v>1537</v>
      </c>
      <c r="D162" s="1454"/>
      <c r="E162" s="1279">
        <f>E163*E164/1000</f>
        <v>0</v>
      </c>
      <c r="F162" s="1280">
        <f>F163*F164/1000</f>
        <v>0</v>
      </c>
      <c r="G162" s="1281">
        <f t="shared" si="12"/>
        <v>0</v>
      </c>
      <c r="H162" s="1279">
        <f>H163*H164/1000</f>
        <v>0</v>
      </c>
      <c r="I162" s="1280">
        <f>I163*I164/1000</f>
        <v>0</v>
      </c>
      <c r="J162" s="1276">
        <f t="shared" si="13"/>
        <v>0</v>
      </c>
      <c r="K162" s="1279">
        <f>K163*K164/1000</f>
        <v>0</v>
      </c>
      <c r="L162" s="1280">
        <f>L163*L164/1000</f>
        <v>0</v>
      </c>
      <c r="M162" s="1370">
        <f t="shared" si="14"/>
        <v>0</v>
      </c>
      <c r="N162" s="1279">
        <f>N163*N164/1000</f>
        <v>0</v>
      </c>
      <c r="O162" s="1280">
        <f>O163*O164/1000</f>
        <v>0</v>
      </c>
      <c r="P162" s="1281">
        <f t="shared" si="15"/>
        <v>0</v>
      </c>
      <c r="Q162" s="1279">
        <f>Q163*Q164/1000</f>
        <v>0</v>
      </c>
      <c r="R162" s="2867">
        <f>R163*R164/1000</f>
        <v>0</v>
      </c>
      <c r="S162" s="1370">
        <f t="shared" si="16"/>
        <v>0</v>
      </c>
      <c r="T162" s="1279">
        <f>T163*T164/1000</f>
        <v>0</v>
      </c>
      <c r="U162" s="1280">
        <f>U163*U164/1000</f>
        <v>0</v>
      </c>
      <c r="V162" s="1281">
        <f t="shared" si="17"/>
        <v>0</v>
      </c>
      <c r="W162" s="2093"/>
      <c r="X162" s="2093"/>
      <c r="Y162" s="2092"/>
      <c r="Z162" s="1376"/>
    </row>
    <row r="163" spans="1:26" s="1263" customFormat="1" hidden="1" outlineLevel="2">
      <c r="A163" s="1267">
        <v>521</v>
      </c>
      <c r="B163" s="1294" t="s">
        <v>1538</v>
      </c>
      <c r="C163" s="1295" t="s">
        <v>1327</v>
      </c>
      <c r="D163" s="1457" t="s">
        <v>1328</v>
      </c>
      <c r="E163" s="1296"/>
      <c r="F163" s="1297"/>
      <c r="G163" s="1281">
        <f t="shared" si="12"/>
        <v>0</v>
      </c>
      <c r="H163" s="1296"/>
      <c r="I163" s="1297"/>
      <c r="J163" s="1276">
        <f t="shared" si="13"/>
        <v>0</v>
      </c>
      <c r="K163" s="1296"/>
      <c r="L163" s="1297"/>
      <c r="M163" s="1370">
        <f t="shared" si="14"/>
        <v>0</v>
      </c>
      <c r="N163" s="1296"/>
      <c r="O163" s="1297"/>
      <c r="P163" s="1281">
        <f t="shared" si="15"/>
        <v>0</v>
      </c>
      <c r="Q163" s="1296"/>
      <c r="R163" s="2870"/>
      <c r="S163" s="1370">
        <f t="shared" si="16"/>
        <v>0</v>
      </c>
      <c r="T163" s="1296"/>
      <c r="U163" s="1297"/>
      <c r="V163" s="1281">
        <f t="shared" si="17"/>
        <v>0</v>
      </c>
      <c r="W163" s="2094"/>
      <c r="X163" s="2094"/>
      <c r="Y163" s="2092"/>
      <c r="Z163" s="1376"/>
    </row>
    <row r="164" spans="1:26" s="1263" customFormat="1" hidden="1" outlineLevel="2">
      <c r="A164" s="1267">
        <v>522</v>
      </c>
      <c r="B164" s="1294" t="s">
        <v>1539</v>
      </c>
      <c r="C164" s="1295" t="s">
        <v>1330</v>
      </c>
      <c r="D164" s="1457" t="s">
        <v>1331</v>
      </c>
      <c r="E164" s="1296"/>
      <c r="F164" s="1297"/>
      <c r="G164" s="1281">
        <f t="shared" si="12"/>
        <v>0</v>
      </c>
      <c r="H164" s="1296"/>
      <c r="I164" s="1297"/>
      <c r="J164" s="1276">
        <f t="shared" si="13"/>
        <v>0</v>
      </c>
      <c r="K164" s="1296"/>
      <c r="L164" s="1297"/>
      <c r="M164" s="1370">
        <f t="shared" si="14"/>
        <v>0</v>
      </c>
      <c r="N164" s="1296"/>
      <c r="O164" s="1297"/>
      <c r="P164" s="1281">
        <f t="shared" si="15"/>
        <v>0</v>
      </c>
      <c r="Q164" s="1296"/>
      <c r="R164" s="2870"/>
      <c r="S164" s="1370">
        <f t="shared" si="16"/>
        <v>0</v>
      </c>
      <c r="T164" s="1296"/>
      <c r="U164" s="1297"/>
      <c r="V164" s="1281">
        <f t="shared" si="17"/>
        <v>0</v>
      </c>
      <c r="W164" s="2094"/>
      <c r="X164" s="2094"/>
      <c r="Y164" s="2092"/>
      <c r="Z164" s="1376"/>
    </row>
    <row r="165" spans="1:26" s="1263" customFormat="1" hidden="1" outlineLevel="2">
      <c r="A165" s="1267">
        <v>384</v>
      </c>
      <c r="B165" s="1292" t="s">
        <v>1540</v>
      </c>
      <c r="C165" s="1293" t="s">
        <v>1541</v>
      </c>
      <c r="D165" s="1454"/>
      <c r="E165" s="1279">
        <f>E166*E167/1000</f>
        <v>0</v>
      </c>
      <c r="F165" s="1280">
        <f>F166*F167/1000</f>
        <v>0</v>
      </c>
      <c r="G165" s="1281">
        <f t="shared" si="12"/>
        <v>0</v>
      </c>
      <c r="H165" s="1279">
        <f>H166*H167/1000</f>
        <v>0</v>
      </c>
      <c r="I165" s="1280">
        <f>I166*I167/1000</f>
        <v>0</v>
      </c>
      <c r="J165" s="1276">
        <f t="shared" si="13"/>
        <v>0</v>
      </c>
      <c r="K165" s="1279">
        <f>K166*K167/1000</f>
        <v>0</v>
      </c>
      <c r="L165" s="1280">
        <f>L166*L167/1000</f>
        <v>0</v>
      </c>
      <c r="M165" s="1370">
        <f t="shared" si="14"/>
        <v>0</v>
      </c>
      <c r="N165" s="1279">
        <f>N166*N167/1000</f>
        <v>0</v>
      </c>
      <c r="O165" s="1280">
        <f>O166*O167/1000</f>
        <v>0</v>
      </c>
      <c r="P165" s="1281">
        <f t="shared" si="15"/>
        <v>0</v>
      </c>
      <c r="Q165" s="1279">
        <f>Q166*Q167/1000</f>
        <v>0</v>
      </c>
      <c r="R165" s="2867">
        <f>R166*R167/1000</f>
        <v>0</v>
      </c>
      <c r="S165" s="1370">
        <f t="shared" si="16"/>
        <v>0</v>
      </c>
      <c r="T165" s="1279">
        <f>T166*T167/1000</f>
        <v>0</v>
      </c>
      <c r="U165" s="1280">
        <f>U166*U167/1000</f>
        <v>0</v>
      </c>
      <c r="V165" s="1281">
        <f t="shared" si="17"/>
        <v>0</v>
      </c>
      <c r="W165" s="2093"/>
      <c r="X165" s="2093"/>
      <c r="Y165" s="2092"/>
      <c r="Z165" s="1376"/>
    </row>
    <row r="166" spans="1:26" s="1263" customFormat="1" hidden="1" outlineLevel="2">
      <c r="A166" s="1267">
        <v>523</v>
      </c>
      <c r="B166" s="1294" t="s">
        <v>1542</v>
      </c>
      <c r="C166" s="1295" t="s">
        <v>1327</v>
      </c>
      <c r="D166" s="1457" t="s">
        <v>1328</v>
      </c>
      <c r="E166" s="1296"/>
      <c r="F166" s="1297"/>
      <c r="G166" s="1281">
        <f t="shared" si="12"/>
        <v>0</v>
      </c>
      <c r="H166" s="1296"/>
      <c r="I166" s="1297"/>
      <c r="J166" s="1276">
        <f t="shared" si="13"/>
        <v>0</v>
      </c>
      <c r="K166" s="1296"/>
      <c r="L166" s="1297"/>
      <c r="M166" s="1370">
        <f t="shared" si="14"/>
        <v>0</v>
      </c>
      <c r="N166" s="1296"/>
      <c r="O166" s="1297"/>
      <c r="P166" s="1281">
        <f t="shared" si="15"/>
        <v>0</v>
      </c>
      <c r="Q166" s="1296"/>
      <c r="R166" s="2870"/>
      <c r="S166" s="1370">
        <f t="shared" si="16"/>
        <v>0</v>
      </c>
      <c r="T166" s="1296"/>
      <c r="U166" s="1297"/>
      <c r="V166" s="1281">
        <f t="shared" si="17"/>
        <v>0</v>
      </c>
      <c r="W166" s="2094"/>
      <c r="X166" s="2094"/>
      <c r="Y166" s="2092"/>
      <c r="Z166" s="1376"/>
    </row>
    <row r="167" spans="1:26" s="1263" customFormat="1" hidden="1" outlineLevel="2">
      <c r="A167" s="1267">
        <v>524</v>
      </c>
      <c r="B167" s="1294" t="s">
        <v>1543</v>
      </c>
      <c r="C167" s="1295" t="s">
        <v>1330</v>
      </c>
      <c r="D167" s="1457" t="s">
        <v>1331</v>
      </c>
      <c r="E167" s="1296"/>
      <c r="F167" s="1297"/>
      <c r="G167" s="1281">
        <f t="shared" si="12"/>
        <v>0</v>
      </c>
      <c r="H167" s="1296"/>
      <c r="I167" s="1297"/>
      <c r="J167" s="1276">
        <f t="shared" si="13"/>
        <v>0</v>
      </c>
      <c r="K167" s="1296"/>
      <c r="L167" s="1297"/>
      <c r="M167" s="1370">
        <f t="shared" si="14"/>
        <v>0</v>
      </c>
      <c r="N167" s="1296"/>
      <c r="O167" s="1297"/>
      <c r="P167" s="1281">
        <f t="shared" si="15"/>
        <v>0</v>
      </c>
      <c r="Q167" s="1296"/>
      <c r="R167" s="2870"/>
      <c r="S167" s="1370">
        <f t="shared" si="16"/>
        <v>0</v>
      </c>
      <c r="T167" s="1296"/>
      <c r="U167" s="1297"/>
      <c r="V167" s="1281">
        <f t="shared" si="17"/>
        <v>0</v>
      </c>
      <c r="W167" s="2094"/>
      <c r="X167" s="2094"/>
      <c r="Y167" s="2092"/>
      <c r="Z167" s="1376"/>
    </row>
    <row r="168" spans="1:26" s="1263" customFormat="1" hidden="1" outlineLevel="2">
      <c r="A168" s="1267">
        <v>385</v>
      </c>
      <c r="B168" s="1292" t="s">
        <v>1544</v>
      </c>
      <c r="C168" s="1293" t="s">
        <v>1545</v>
      </c>
      <c r="D168" s="1454"/>
      <c r="E168" s="1279">
        <f>E169*E170/1000</f>
        <v>0</v>
      </c>
      <c r="F168" s="1280">
        <f>F169*F170/1000</f>
        <v>0</v>
      </c>
      <c r="G168" s="1281">
        <f t="shared" si="12"/>
        <v>0</v>
      </c>
      <c r="H168" s="1279">
        <f>H169*H170/1000</f>
        <v>0</v>
      </c>
      <c r="I168" s="1280">
        <f>I169*I170/1000</f>
        <v>0</v>
      </c>
      <c r="J168" s="1276">
        <f t="shared" si="13"/>
        <v>0</v>
      </c>
      <c r="K168" s="1279">
        <f>K169*K170/1000</f>
        <v>0</v>
      </c>
      <c r="L168" s="1280">
        <f>L169*L170/1000</f>
        <v>0</v>
      </c>
      <c r="M168" s="1370">
        <f t="shared" si="14"/>
        <v>0</v>
      </c>
      <c r="N168" s="1279">
        <f>N169*N170/1000</f>
        <v>0</v>
      </c>
      <c r="O168" s="1280">
        <f>O169*O170/1000</f>
        <v>0</v>
      </c>
      <c r="P168" s="1281">
        <f t="shared" si="15"/>
        <v>0</v>
      </c>
      <c r="Q168" s="1279">
        <f>Q169*Q170/1000</f>
        <v>0</v>
      </c>
      <c r="R168" s="2867">
        <f>R169*R170/1000</f>
        <v>0</v>
      </c>
      <c r="S168" s="1370">
        <f t="shared" si="16"/>
        <v>0</v>
      </c>
      <c r="T168" s="1279">
        <f>T169*T170/1000</f>
        <v>0</v>
      </c>
      <c r="U168" s="1280">
        <f>U169*U170/1000</f>
        <v>0</v>
      </c>
      <c r="V168" s="1281">
        <f t="shared" si="17"/>
        <v>0</v>
      </c>
      <c r="W168" s="2093"/>
      <c r="X168" s="2093"/>
      <c r="Y168" s="2092"/>
      <c r="Z168" s="1376"/>
    </row>
    <row r="169" spans="1:26" s="1263" customFormat="1" hidden="1" outlineLevel="2">
      <c r="A169" s="1267">
        <v>525</v>
      </c>
      <c r="B169" s="1294" t="s">
        <v>1546</v>
      </c>
      <c r="C169" s="1295" t="s">
        <v>1327</v>
      </c>
      <c r="D169" s="1457" t="s">
        <v>1328</v>
      </c>
      <c r="E169" s="1296"/>
      <c r="F169" s="1297"/>
      <c r="G169" s="1281">
        <f t="shared" si="12"/>
        <v>0</v>
      </c>
      <c r="H169" s="1296"/>
      <c r="I169" s="1297"/>
      <c r="J169" s="1276">
        <f t="shared" si="13"/>
        <v>0</v>
      </c>
      <c r="K169" s="1296"/>
      <c r="L169" s="1297"/>
      <c r="M169" s="1370">
        <f t="shared" si="14"/>
        <v>0</v>
      </c>
      <c r="N169" s="1296"/>
      <c r="O169" s="1297"/>
      <c r="P169" s="1281">
        <f t="shared" si="15"/>
        <v>0</v>
      </c>
      <c r="Q169" s="1296"/>
      <c r="R169" s="2870"/>
      <c r="S169" s="1370">
        <f t="shared" si="16"/>
        <v>0</v>
      </c>
      <c r="T169" s="1296"/>
      <c r="U169" s="1297"/>
      <c r="V169" s="1281">
        <f t="shared" si="17"/>
        <v>0</v>
      </c>
      <c r="W169" s="2094"/>
      <c r="X169" s="2094"/>
      <c r="Y169" s="2092"/>
      <c r="Z169" s="1376"/>
    </row>
    <row r="170" spans="1:26" s="1263" customFormat="1" hidden="1" outlineLevel="2">
      <c r="A170" s="1267">
        <v>526</v>
      </c>
      <c r="B170" s="1294" t="s">
        <v>1547</v>
      </c>
      <c r="C170" s="1295" t="s">
        <v>1330</v>
      </c>
      <c r="D170" s="1457" t="s">
        <v>1331</v>
      </c>
      <c r="E170" s="1296"/>
      <c r="F170" s="1297"/>
      <c r="G170" s="1281">
        <f t="shared" si="12"/>
        <v>0</v>
      </c>
      <c r="H170" s="1296"/>
      <c r="I170" s="1297"/>
      <c r="J170" s="1276">
        <f t="shared" si="13"/>
        <v>0</v>
      </c>
      <c r="K170" s="1296"/>
      <c r="L170" s="1297"/>
      <c r="M170" s="1370">
        <f t="shared" si="14"/>
        <v>0</v>
      </c>
      <c r="N170" s="1296"/>
      <c r="O170" s="1297"/>
      <c r="P170" s="1281">
        <f t="shared" si="15"/>
        <v>0</v>
      </c>
      <c r="Q170" s="1296"/>
      <c r="R170" s="2870"/>
      <c r="S170" s="1370">
        <f t="shared" si="16"/>
        <v>0</v>
      </c>
      <c r="T170" s="1296"/>
      <c r="U170" s="1297"/>
      <c r="V170" s="1281">
        <f t="shared" si="17"/>
        <v>0</v>
      </c>
      <c r="W170" s="2094"/>
      <c r="X170" s="2094"/>
      <c r="Y170" s="2092"/>
      <c r="Z170" s="1376"/>
    </row>
    <row r="171" spans="1:26" s="1263" customFormat="1" hidden="1" outlineLevel="2">
      <c r="A171" s="1267">
        <v>386</v>
      </c>
      <c r="B171" s="1292" t="s">
        <v>1548</v>
      </c>
      <c r="C171" s="1293" t="s">
        <v>1549</v>
      </c>
      <c r="D171" s="1454"/>
      <c r="E171" s="1279">
        <f>E172*E173/1000</f>
        <v>0</v>
      </c>
      <c r="F171" s="1280">
        <f>F172*F173/1000</f>
        <v>0</v>
      </c>
      <c r="G171" s="1281">
        <f t="shared" si="12"/>
        <v>0</v>
      </c>
      <c r="H171" s="1279">
        <f>H172*H173/1000</f>
        <v>0</v>
      </c>
      <c r="I171" s="1280">
        <f>I172*I173/1000</f>
        <v>0</v>
      </c>
      <c r="J171" s="1276">
        <f t="shared" si="13"/>
        <v>0</v>
      </c>
      <c r="K171" s="1279">
        <f>K172*K173/1000</f>
        <v>0</v>
      </c>
      <c r="L171" s="1280">
        <f>L172*L173/1000</f>
        <v>0</v>
      </c>
      <c r="M171" s="1370">
        <f t="shared" si="14"/>
        <v>0</v>
      </c>
      <c r="N171" s="1279">
        <f>N172*N173/1000</f>
        <v>0</v>
      </c>
      <c r="O171" s="1280">
        <f>O172*O173/1000</f>
        <v>0</v>
      </c>
      <c r="P171" s="1281">
        <f t="shared" si="15"/>
        <v>0</v>
      </c>
      <c r="Q171" s="1279">
        <f>Q172*Q173/1000</f>
        <v>0</v>
      </c>
      <c r="R171" s="2867">
        <f>R172*R173/1000</f>
        <v>0</v>
      </c>
      <c r="S171" s="1370">
        <f t="shared" si="16"/>
        <v>0</v>
      </c>
      <c r="T171" s="1279">
        <f>T172*T173/1000</f>
        <v>0</v>
      </c>
      <c r="U171" s="1280">
        <f>U172*U173/1000</f>
        <v>0</v>
      </c>
      <c r="V171" s="1281">
        <f t="shared" si="17"/>
        <v>0</v>
      </c>
      <c r="W171" s="2093"/>
      <c r="X171" s="2093"/>
      <c r="Y171" s="2092"/>
      <c r="Z171" s="1376"/>
    </row>
    <row r="172" spans="1:26" s="1263" customFormat="1" hidden="1" outlineLevel="2">
      <c r="A172" s="1267">
        <v>527</v>
      </c>
      <c r="B172" s="1294" t="s">
        <v>1550</v>
      </c>
      <c r="C172" s="1295" t="s">
        <v>1327</v>
      </c>
      <c r="D172" s="1457" t="s">
        <v>1328</v>
      </c>
      <c r="E172" s="1296"/>
      <c r="F172" s="1297"/>
      <c r="G172" s="1281">
        <f t="shared" si="12"/>
        <v>0</v>
      </c>
      <c r="H172" s="1296"/>
      <c r="I172" s="1297"/>
      <c r="J172" s="1276">
        <f t="shared" si="13"/>
        <v>0</v>
      </c>
      <c r="K172" s="1296"/>
      <c r="L172" s="1297"/>
      <c r="M172" s="1370">
        <f t="shared" si="14"/>
        <v>0</v>
      </c>
      <c r="N172" s="1296"/>
      <c r="O172" s="1297"/>
      <c r="P172" s="1281">
        <f t="shared" si="15"/>
        <v>0</v>
      </c>
      <c r="Q172" s="1296"/>
      <c r="R172" s="2870"/>
      <c r="S172" s="1370">
        <f t="shared" si="16"/>
        <v>0</v>
      </c>
      <c r="T172" s="1296"/>
      <c r="U172" s="1297"/>
      <c r="V172" s="1281">
        <f t="shared" si="17"/>
        <v>0</v>
      </c>
      <c r="W172" s="2094"/>
      <c r="X172" s="2094"/>
      <c r="Y172" s="2092"/>
      <c r="Z172" s="1376"/>
    </row>
    <row r="173" spans="1:26" s="1263" customFormat="1" hidden="1" outlineLevel="2">
      <c r="A173" s="1267">
        <v>528</v>
      </c>
      <c r="B173" s="1294" t="s">
        <v>1551</v>
      </c>
      <c r="C173" s="1295" t="s">
        <v>1330</v>
      </c>
      <c r="D173" s="1457" t="s">
        <v>1552</v>
      </c>
      <c r="E173" s="1296"/>
      <c r="F173" s="1297"/>
      <c r="G173" s="1281">
        <f t="shared" si="12"/>
        <v>0</v>
      </c>
      <c r="H173" s="1296"/>
      <c r="I173" s="1297"/>
      <c r="J173" s="1276">
        <f t="shared" si="13"/>
        <v>0</v>
      </c>
      <c r="K173" s="1296"/>
      <c r="L173" s="1297"/>
      <c r="M173" s="1370">
        <f t="shared" si="14"/>
        <v>0</v>
      </c>
      <c r="N173" s="1296"/>
      <c r="O173" s="1297"/>
      <c r="P173" s="1281">
        <f t="shared" si="15"/>
        <v>0</v>
      </c>
      <c r="Q173" s="1296"/>
      <c r="R173" s="2870"/>
      <c r="S173" s="1370">
        <f t="shared" si="16"/>
        <v>0</v>
      </c>
      <c r="T173" s="1296"/>
      <c r="U173" s="1297"/>
      <c r="V173" s="1281">
        <f t="shared" si="17"/>
        <v>0</v>
      </c>
      <c r="W173" s="2094"/>
      <c r="X173" s="2094"/>
      <c r="Y173" s="2092"/>
      <c r="Z173" s="1376"/>
    </row>
    <row r="174" spans="1:26" s="1263" customFormat="1" hidden="1" outlineLevel="2">
      <c r="A174" s="1267">
        <v>387</v>
      </c>
      <c r="B174" s="1292" t="s">
        <v>1553</v>
      </c>
      <c r="C174" s="1293" t="s">
        <v>1554</v>
      </c>
      <c r="D174" s="1454"/>
      <c r="E174" s="1279">
        <f>E175*E176/1000</f>
        <v>0</v>
      </c>
      <c r="F174" s="1280">
        <f>F175*F176/1000</f>
        <v>0</v>
      </c>
      <c r="G174" s="1281">
        <f t="shared" si="12"/>
        <v>0</v>
      </c>
      <c r="H174" s="1279">
        <f>H175*H176/1000</f>
        <v>0</v>
      </c>
      <c r="I174" s="1280">
        <f>I175*I176/1000</f>
        <v>0</v>
      </c>
      <c r="J174" s="1276">
        <f t="shared" si="13"/>
        <v>0</v>
      </c>
      <c r="K174" s="1279">
        <f>K175*K176/1000</f>
        <v>0</v>
      </c>
      <c r="L174" s="1280">
        <f>L175*L176/1000</f>
        <v>0</v>
      </c>
      <c r="M174" s="1370">
        <f t="shared" si="14"/>
        <v>0</v>
      </c>
      <c r="N174" s="1279">
        <f>N175*N176/1000</f>
        <v>0</v>
      </c>
      <c r="O174" s="1280">
        <f>O175*O176/1000</f>
        <v>0</v>
      </c>
      <c r="P174" s="1281">
        <f t="shared" si="15"/>
        <v>0</v>
      </c>
      <c r="Q174" s="1279">
        <f>Q175*Q176/1000</f>
        <v>0</v>
      </c>
      <c r="R174" s="2867">
        <f>R175*R176/1000</f>
        <v>0</v>
      </c>
      <c r="S174" s="1370">
        <f t="shared" si="16"/>
        <v>0</v>
      </c>
      <c r="T174" s="1279">
        <f>T175*T176/1000</f>
        <v>0</v>
      </c>
      <c r="U174" s="1280">
        <f>U175*U176/1000</f>
        <v>0</v>
      </c>
      <c r="V174" s="1281">
        <f t="shared" si="17"/>
        <v>0</v>
      </c>
      <c r="W174" s="2093"/>
      <c r="X174" s="2093"/>
      <c r="Y174" s="2092"/>
      <c r="Z174" s="1376"/>
    </row>
    <row r="175" spans="1:26" s="1263" customFormat="1" hidden="1" outlineLevel="2">
      <c r="A175" s="1267">
        <v>529</v>
      </c>
      <c r="B175" s="1294" t="s">
        <v>1555</v>
      </c>
      <c r="C175" s="1295" t="s">
        <v>1327</v>
      </c>
      <c r="D175" s="1457" t="s">
        <v>1328</v>
      </c>
      <c r="E175" s="1296"/>
      <c r="F175" s="1297"/>
      <c r="G175" s="1281">
        <f t="shared" si="12"/>
        <v>0</v>
      </c>
      <c r="H175" s="1296"/>
      <c r="I175" s="1297"/>
      <c r="J175" s="1276">
        <f t="shared" si="13"/>
        <v>0</v>
      </c>
      <c r="K175" s="1296"/>
      <c r="L175" s="1297"/>
      <c r="M175" s="1370">
        <f t="shared" si="14"/>
        <v>0</v>
      </c>
      <c r="N175" s="1296"/>
      <c r="O175" s="1297"/>
      <c r="P175" s="1281">
        <f t="shared" si="15"/>
        <v>0</v>
      </c>
      <c r="Q175" s="1296"/>
      <c r="R175" s="2870"/>
      <c r="S175" s="1370">
        <f t="shared" si="16"/>
        <v>0</v>
      </c>
      <c r="T175" s="1296"/>
      <c r="U175" s="1297"/>
      <c r="V175" s="1281">
        <f t="shared" si="17"/>
        <v>0</v>
      </c>
      <c r="W175" s="2094"/>
      <c r="X175" s="2094"/>
      <c r="Y175" s="2092"/>
      <c r="Z175" s="1376"/>
    </row>
    <row r="176" spans="1:26" s="1263" customFormat="1" hidden="1" outlineLevel="2">
      <c r="A176" s="1267">
        <v>530</v>
      </c>
      <c r="B176" s="1294" t="s">
        <v>1556</v>
      </c>
      <c r="C176" s="1295" t="s">
        <v>1330</v>
      </c>
      <c r="D176" s="1457" t="s">
        <v>1331</v>
      </c>
      <c r="E176" s="1296"/>
      <c r="F176" s="1297"/>
      <c r="G176" s="1281">
        <f t="shared" si="12"/>
        <v>0</v>
      </c>
      <c r="H176" s="1296"/>
      <c r="I176" s="1297"/>
      <c r="J176" s="1276">
        <f t="shared" si="13"/>
        <v>0</v>
      </c>
      <c r="K176" s="1296"/>
      <c r="L176" s="1297"/>
      <c r="M176" s="1370">
        <f t="shared" si="14"/>
        <v>0</v>
      </c>
      <c r="N176" s="1296"/>
      <c r="O176" s="1297"/>
      <c r="P176" s="1281">
        <f t="shared" si="15"/>
        <v>0</v>
      </c>
      <c r="Q176" s="1296"/>
      <c r="R176" s="2870"/>
      <c r="S176" s="1370">
        <f t="shared" si="16"/>
        <v>0</v>
      </c>
      <c r="T176" s="1296"/>
      <c r="U176" s="1297"/>
      <c r="V176" s="1281">
        <f t="shared" si="17"/>
        <v>0</v>
      </c>
      <c r="W176" s="2094"/>
      <c r="X176" s="2094"/>
      <c r="Y176" s="2092"/>
      <c r="Z176" s="1376"/>
    </row>
    <row r="177" spans="1:26" s="1263" customFormat="1" hidden="1" outlineLevel="2">
      <c r="A177" s="1267">
        <v>388</v>
      </c>
      <c r="B177" s="1292" t="s">
        <v>1557</v>
      </c>
      <c r="C177" s="1293" t="s">
        <v>1558</v>
      </c>
      <c r="D177" s="1454"/>
      <c r="E177" s="1279">
        <f>E178*E179/1000</f>
        <v>0</v>
      </c>
      <c r="F177" s="1280">
        <f>F178*F179/1000</f>
        <v>0</v>
      </c>
      <c r="G177" s="1281">
        <f t="shared" si="12"/>
        <v>0</v>
      </c>
      <c r="H177" s="1279">
        <f>H178*H179/1000</f>
        <v>0</v>
      </c>
      <c r="I177" s="1280">
        <f>I178*I179/1000</f>
        <v>0</v>
      </c>
      <c r="J177" s="1276">
        <f t="shared" si="13"/>
        <v>0</v>
      </c>
      <c r="K177" s="1279">
        <f>K178*K179/1000</f>
        <v>0</v>
      </c>
      <c r="L177" s="1280">
        <f>L178*L179/1000</f>
        <v>0</v>
      </c>
      <c r="M177" s="1370">
        <f t="shared" si="14"/>
        <v>0</v>
      </c>
      <c r="N177" s="1279">
        <f>N178*N179/1000</f>
        <v>0</v>
      </c>
      <c r="O177" s="1280">
        <f>O178*O179/1000</f>
        <v>0</v>
      </c>
      <c r="P177" s="1281">
        <f t="shared" si="15"/>
        <v>0</v>
      </c>
      <c r="Q177" s="1279">
        <f>Q178*Q179/1000</f>
        <v>0</v>
      </c>
      <c r="R177" s="2867">
        <f>R178*R179/1000</f>
        <v>0</v>
      </c>
      <c r="S177" s="1370">
        <f t="shared" si="16"/>
        <v>0</v>
      </c>
      <c r="T177" s="1279">
        <f>T178*T179/1000</f>
        <v>0</v>
      </c>
      <c r="U177" s="1280">
        <f>U178*U179/1000</f>
        <v>0</v>
      </c>
      <c r="V177" s="1281">
        <f t="shared" si="17"/>
        <v>0</v>
      </c>
      <c r="W177" s="2093"/>
      <c r="X177" s="2093"/>
      <c r="Y177" s="2092"/>
      <c r="Z177" s="1376"/>
    </row>
    <row r="178" spans="1:26" s="1263" customFormat="1" hidden="1" outlineLevel="2">
      <c r="A178" s="1267">
        <v>531</v>
      </c>
      <c r="B178" s="1294" t="s">
        <v>1559</v>
      </c>
      <c r="C178" s="1295" t="s">
        <v>1327</v>
      </c>
      <c r="D178" s="1457" t="s">
        <v>1328</v>
      </c>
      <c r="E178" s="1296"/>
      <c r="F178" s="1297"/>
      <c r="G178" s="1281">
        <f t="shared" si="12"/>
        <v>0</v>
      </c>
      <c r="H178" s="1296"/>
      <c r="I178" s="1297"/>
      <c r="J178" s="1276">
        <f t="shared" si="13"/>
        <v>0</v>
      </c>
      <c r="K178" s="1296"/>
      <c r="L178" s="1297"/>
      <c r="M178" s="1370">
        <f t="shared" si="14"/>
        <v>0</v>
      </c>
      <c r="N178" s="1296"/>
      <c r="O178" s="1297"/>
      <c r="P178" s="1281">
        <f t="shared" si="15"/>
        <v>0</v>
      </c>
      <c r="Q178" s="1296"/>
      <c r="R178" s="2870"/>
      <c r="S178" s="1370">
        <f t="shared" si="16"/>
        <v>0</v>
      </c>
      <c r="T178" s="1296"/>
      <c r="U178" s="1297"/>
      <c r="V178" s="1281">
        <f t="shared" si="17"/>
        <v>0</v>
      </c>
      <c r="W178" s="2094"/>
      <c r="X178" s="2094"/>
      <c r="Y178" s="2092"/>
      <c r="Z178" s="1376"/>
    </row>
    <row r="179" spans="1:26" s="1263" customFormat="1" hidden="1" outlineLevel="2">
      <c r="A179" s="1267">
        <v>532</v>
      </c>
      <c r="B179" s="1294" t="s">
        <v>1560</v>
      </c>
      <c r="C179" s="1295" t="s">
        <v>1330</v>
      </c>
      <c r="D179" s="1457" t="s">
        <v>1331</v>
      </c>
      <c r="E179" s="1296"/>
      <c r="F179" s="1297"/>
      <c r="G179" s="1281">
        <f t="shared" si="12"/>
        <v>0</v>
      </c>
      <c r="H179" s="1296"/>
      <c r="I179" s="1297"/>
      <c r="J179" s="1276">
        <f t="shared" si="13"/>
        <v>0</v>
      </c>
      <c r="K179" s="1296"/>
      <c r="L179" s="1297"/>
      <c r="M179" s="1370">
        <f t="shared" si="14"/>
        <v>0</v>
      </c>
      <c r="N179" s="1296"/>
      <c r="O179" s="1297"/>
      <c r="P179" s="1281">
        <f t="shared" si="15"/>
        <v>0</v>
      </c>
      <c r="Q179" s="1296"/>
      <c r="R179" s="2870"/>
      <c r="S179" s="1370">
        <f t="shared" si="16"/>
        <v>0</v>
      </c>
      <c r="T179" s="1296"/>
      <c r="U179" s="1297"/>
      <c r="V179" s="1281">
        <f t="shared" si="17"/>
        <v>0</v>
      </c>
      <c r="W179" s="2094"/>
      <c r="X179" s="2094"/>
      <c r="Y179" s="2092"/>
      <c r="Z179" s="1376"/>
    </row>
    <row r="180" spans="1:26" s="1263" customFormat="1" hidden="1" outlineLevel="2">
      <c r="A180" s="1267">
        <v>389</v>
      </c>
      <c r="B180" s="1292" t="s">
        <v>1561</v>
      </c>
      <c r="C180" s="1293" t="s">
        <v>1562</v>
      </c>
      <c r="D180" s="1454"/>
      <c r="E180" s="1279">
        <f>E181*E182/1000</f>
        <v>0</v>
      </c>
      <c r="F180" s="1280">
        <f>F181*F182/1000</f>
        <v>0</v>
      </c>
      <c r="G180" s="1281">
        <f t="shared" si="12"/>
        <v>0</v>
      </c>
      <c r="H180" s="1279">
        <f>H181*H182/1000</f>
        <v>0</v>
      </c>
      <c r="I180" s="1280">
        <f>I181*I182/1000</f>
        <v>0</v>
      </c>
      <c r="J180" s="1276">
        <f t="shared" si="13"/>
        <v>0</v>
      </c>
      <c r="K180" s="1279">
        <f>K181*K182/1000</f>
        <v>0</v>
      </c>
      <c r="L180" s="1280">
        <f>L181*L182/1000</f>
        <v>0</v>
      </c>
      <c r="M180" s="1370">
        <f t="shared" si="14"/>
        <v>0</v>
      </c>
      <c r="N180" s="1279">
        <f>N181*N182/1000</f>
        <v>0</v>
      </c>
      <c r="O180" s="1280">
        <f>O181*O182/1000</f>
        <v>0</v>
      </c>
      <c r="P180" s="1281">
        <f t="shared" si="15"/>
        <v>0</v>
      </c>
      <c r="Q180" s="1279">
        <f>Q181*Q182/1000</f>
        <v>0</v>
      </c>
      <c r="R180" s="2867">
        <f>R181*R182/1000</f>
        <v>0</v>
      </c>
      <c r="S180" s="1370">
        <f t="shared" si="16"/>
        <v>0</v>
      </c>
      <c r="T180" s="1279">
        <f>T181*T182/1000</f>
        <v>0</v>
      </c>
      <c r="U180" s="1280">
        <f>U181*U182/1000</f>
        <v>0</v>
      </c>
      <c r="V180" s="1281">
        <f t="shared" si="17"/>
        <v>0</v>
      </c>
      <c r="W180" s="2093"/>
      <c r="X180" s="2093"/>
      <c r="Y180" s="2092"/>
      <c r="Z180" s="1376"/>
    </row>
    <row r="181" spans="1:26" s="1263" customFormat="1" hidden="1" outlineLevel="2">
      <c r="A181" s="1267">
        <v>533</v>
      </c>
      <c r="B181" s="1294" t="s">
        <v>1563</v>
      </c>
      <c r="C181" s="1295" t="s">
        <v>1327</v>
      </c>
      <c r="D181" s="1457" t="s">
        <v>1328</v>
      </c>
      <c r="E181" s="1296"/>
      <c r="F181" s="1297"/>
      <c r="G181" s="1281">
        <f t="shared" si="12"/>
        <v>0</v>
      </c>
      <c r="H181" s="1296"/>
      <c r="I181" s="1297"/>
      <c r="J181" s="1276">
        <f t="shared" si="13"/>
        <v>0</v>
      </c>
      <c r="K181" s="1296"/>
      <c r="L181" s="1297"/>
      <c r="M181" s="1370">
        <f t="shared" si="14"/>
        <v>0</v>
      </c>
      <c r="N181" s="1296"/>
      <c r="O181" s="1297"/>
      <c r="P181" s="1281">
        <f t="shared" si="15"/>
        <v>0</v>
      </c>
      <c r="Q181" s="1296"/>
      <c r="R181" s="2870"/>
      <c r="S181" s="1370">
        <f t="shared" si="16"/>
        <v>0</v>
      </c>
      <c r="T181" s="1296"/>
      <c r="U181" s="1297"/>
      <c r="V181" s="1281">
        <f t="shared" si="17"/>
        <v>0</v>
      </c>
      <c r="W181" s="2094"/>
      <c r="X181" s="2094"/>
      <c r="Y181" s="2092"/>
      <c r="Z181" s="1376"/>
    </row>
    <row r="182" spans="1:26" s="1263" customFormat="1" hidden="1" outlineLevel="2">
      <c r="A182" s="1267">
        <v>534</v>
      </c>
      <c r="B182" s="1294" t="s">
        <v>1564</v>
      </c>
      <c r="C182" s="1295" t="s">
        <v>1330</v>
      </c>
      <c r="D182" s="1457" t="s">
        <v>1331</v>
      </c>
      <c r="E182" s="1296"/>
      <c r="F182" s="1297"/>
      <c r="G182" s="1281">
        <f t="shared" si="12"/>
        <v>0</v>
      </c>
      <c r="H182" s="1296"/>
      <c r="I182" s="1297"/>
      <c r="J182" s="1276">
        <f t="shared" si="13"/>
        <v>0</v>
      </c>
      <c r="K182" s="1296"/>
      <c r="L182" s="1297"/>
      <c r="M182" s="1370">
        <f t="shared" si="14"/>
        <v>0</v>
      </c>
      <c r="N182" s="1296"/>
      <c r="O182" s="1297"/>
      <c r="P182" s="1281">
        <f t="shared" si="15"/>
        <v>0</v>
      </c>
      <c r="Q182" s="1296"/>
      <c r="R182" s="2870"/>
      <c r="S182" s="1370">
        <f t="shared" si="16"/>
        <v>0</v>
      </c>
      <c r="T182" s="1296"/>
      <c r="U182" s="1297"/>
      <c r="V182" s="1281">
        <f t="shared" si="17"/>
        <v>0</v>
      </c>
      <c r="W182" s="2094"/>
      <c r="X182" s="2094"/>
      <c r="Y182" s="2092"/>
      <c r="Z182" s="1376"/>
    </row>
    <row r="183" spans="1:26" s="1263" customFormat="1" hidden="1" outlineLevel="2">
      <c r="A183" s="1267">
        <v>390</v>
      </c>
      <c r="B183" s="1292" t="s">
        <v>1565</v>
      </c>
      <c r="C183" s="1293" t="s">
        <v>1566</v>
      </c>
      <c r="D183" s="1454"/>
      <c r="E183" s="1279">
        <f>E184*E185/1000</f>
        <v>0</v>
      </c>
      <c r="F183" s="1280">
        <f>F184*F185/1000</f>
        <v>0</v>
      </c>
      <c r="G183" s="1281">
        <f t="shared" si="12"/>
        <v>0</v>
      </c>
      <c r="H183" s="1279">
        <f>H184*H185/1000</f>
        <v>0</v>
      </c>
      <c r="I183" s="1280">
        <f>I184*I185/1000</f>
        <v>0</v>
      </c>
      <c r="J183" s="1276">
        <f t="shared" si="13"/>
        <v>0</v>
      </c>
      <c r="K183" s="1279">
        <f>K184*K185/1000</f>
        <v>0</v>
      </c>
      <c r="L183" s="1280">
        <f>L184*L185/1000</f>
        <v>0</v>
      </c>
      <c r="M183" s="1370">
        <f t="shared" si="14"/>
        <v>0</v>
      </c>
      <c r="N183" s="1279">
        <f>N184*N185/1000</f>
        <v>0</v>
      </c>
      <c r="O183" s="1280">
        <f>O184*O185/1000</f>
        <v>0</v>
      </c>
      <c r="P183" s="1281">
        <f t="shared" si="15"/>
        <v>0</v>
      </c>
      <c r="Q183" s="1279">
        <f>Q184*Q185/1000</f>
        <v>0</v>
      </c>
      <c r="R183" s="2867">
        <f>R184*R185/1000</f>
        <v>0</v>
      </c>
      <c r="S183" s="1370">
        <f t="shared" si="16"/>
        <v>0</v>
      </c>
      <c r="T183" s="1279">
        <f>T184*T185/1000</f>
        <v>0</v>
      </c>
      <c r="U183" s="1280">
        <f>U184*U185/1000</f>
        <v>0</v>
      </c>
      <c r="V183" s="1281">
        <f t="shared" si="17"/>
        <v>0</v>
      </c>
      <c r="W183" s="2093"/>
      <c r="X183" s="2093"/>
      <c r="Y183" s="2092"/>
      <c r="Z183" s="1376"/>
    </row>
    <row r="184" spans="1:26" s="1263" customFormat="1" hidden="1" outlineLevel="2">
      <c r="A184" s="1267">
        <v>535</v>
      </c>
      <c r="B184" s="1294" t="s">
        <v>1567</v>
      </c>
      <c r="C184" s="1295" t="s">
        <v>1327</v>
      </c>
      <c r="D184" s="1457" t="s">
        <v>1328</v>
      </c>
      <c r="E184" s="1296"/>
      <c r="F184" s="1297"/>
      <c r="G184" s="1281">
        <f t="shared" si="12"/>
        <v>0</v>
      </c>
      <c r="H184" s="1296"/>
      <c r="I184" s="1297"/>
      <c r="J184" s="1276">
        <f t="shared" si="13"/>
        <v>0</v>
      </c>
      <c r="K184" s="1296"/>
      <c r="L184" s="1297"/>
      <c r="M184" s="1370">
        <f t="shared" si="14"/>
        <v>0</v>
      </c>
      <c r="N184" s="1296"/>
      <c r="O184" s="1297"/>
      <c r="P184" s="1281">
        <f t="shared" si="15"/>
        <v>0</v>
      </c>
      <c r="Q184" s="1296"/>
      <c r="R184" s="2870"/>
      <c r="S184" s="1370">
        <f t="shared" si="16"/>
        <v>0</v>
      </c>
      <c r="T184" s="1296"/>
      <c r="U184" s="1297"/>
      <c r="V184" s="1281">
        <f t="shared" si="17"/>
        <v>0</v>
      </c>
      <c r="W184" s="2094"/>
      <c r="X184" s="2094"/>
      <c r="Y184" s="2092"/>
      <c r="Z184" s="1376"/>
    </row>
    <row r="185" spans="1:26" s="1263" customFormat="1" hidden="1" outlineLevel="2">
      <c r="A185" s="1267">
        <v>536</v>
      </c>
      <c r="B185" s="1294" t="s">
        <v>1568</v>
      </c>
      <c r="C185" s="1295" t="s">
        <v>1330</v>
      </c>
      <c r="D185" s="1457" t="s">
        <v>1331</v>
      </c>
      <c r="E185" s="1296"/>
      <c r="F185" s="1297"/>
      <c r="G185" s="1281">
        <f t="shared" si="12"/>
        <v>0</v>
      </c>
      <c r="H185" s="1296"/>
      <c r="I185" s="1297"/>
      <c r="J185" s="1276">
        <f t="shared" si="13"/>
        <v>0</v>
      </c>
      <c r="K185" s="1296"/>
      <c r="L185" s="1297"/>
      <c r="M185" s="1370">
        <f t="shared" si="14"/>
        <v>0</v>
      </c>
      <c r="N185" s="1296"/>
      <c r="O185" s="1297"/>
      <c r="P185" s="1281">
        <f t="shared" si="15"/>
        <v>0</v>
      </c>
      <c r="Q185" s="1296"/>
      <c r="R185" s="2870"/>
      <c r="S185" s="1370">
        <f t="shared" si="16"/>
        <v>0</v>
      </c>
      <c r="T185" s="1296"/>
      <c r="U185" s="1297"/>
      <c r="V185" s="1281">
        <f t="shared" si="17"/>
        <v>0</v>
      </c>
      <c r="W185" s="2094"/>
      <c r="X185" s="2094"/>
      <c r="Y185" s="2092"/>
      <c r="Z185" s="1376"/>
    </row>
    <row r="186" spans="1:26" s="1263" customFormat="1" hidden="1" outlineLevel="2">
      <c r="A186" s="1267">
        <v>391</v>
      </c>
      <c r="B186" s="1292" t="s">
        <v>1569</v>
      </c>
      <c r="C186" s="1293" t="s">
        <v>1570</v>
      </c>
      <c r="D186" s="1454"/>
      <c r="E186" s="1279">
        <f>E187*E188/1000</f>
        <v>0</v>
      </c>
      <c r="F186" s="1280">
        <f>F187*F188/1000</f>
        <v>0</v>
      </c>
      <c r="G186" s="1281">
        <f t="shared" si="12"/>
        <v>0</v>
      </c>
      <c r="H186" s="1279">
        <f>H187*H188/1000</f>
        <v>0</v>
      </c>
      <c r="I186" s="1280">
        <f>I187*I188/1000</f>
        <v>0</v>
      </c>
      <c r="J186" s="1276">
        <f t="shared" si="13"/>
        <v>0</v>
      </c>
      <c r="K186" s="1279">
        <f>K187*K188/1000</f>
        <v>0</v>
      </c>
      <c r="L186" s="1280">
        <f>L187*L188/1000</f>
        <v>0</v>
      </c>
      <c r="M186" s="1370">
        <f t="shared" si="14"/>
        <v>0</v>
      </c>
      <c r="N186" s="1279">
        <f>N187*N188/1000</f>
        <v>0</v>
      </c>
      <c r="O186" s="1280">
        <f>O187*O188/1000</f>
        <v>0</v>
      </c>
      <c r="P186" s="1281">
        <f t="shared" si="15"/>
        <v>0</v>
      </c>
      <c r="Q186" s="1279">
        <f>Q187*Q188/1000</f>
        <v>0</v>
      </c>
      <c r="R186" s="2867">
        <f>R187*R188/1000</f>
        <v>0</v>
      </c>
      <c r="S186" s="1370">
        <f t="shared" si="16"/>
        <v>0</v>
      </c>
      <c r="T186" s="1279">
        <f>T187*T188/1000</f>
        <v>0</v>
      </c>
      <c r="U186" s="1280">
        <f>U187*U188/1000</f>
        <v>0</v>
      </c>
      <c r="V186" s="1281">
        <f t="shared" si="17"/>
        <v>0</v>
      </c>
      <c r="W186" s="2093"/>
      <c r="X186" s="2093"/>
      <c r="Y186" s="2092"/>
      <c r="Z186" s="1376"/>
    </row>
    <row r="187" spans="1:26" s="1263" customFormat="1" hidden="1" outlineLevel="2">
      <c r="A187" s="1267">
        <v>537</v>
      </c>
      <c r="B187" s="1294" t="s">
        <v>1571</v>
      </c>
      <c r="C187" s="1295" t="s">
        <v>1327</v>
      </c>
      <c r="D187" s="1457" t="s">
        <v>1328</v>
      </c>
      <c r="E187" s="1296"/>
      <c r="F187" s="1297"/>
      <c r="G187" s="1281">
        <f t="shared" si="12"/>
        <v>0</v>
      </c>
      <c r="H187" s="1296"/>
      <c r="I187" s="1297"/>
      <c r="J187" s="1276">
        <f t="shared" si="13"/>
        <v>0</v>
      </c>
      <c r="K187" s="1296"/>
      <c r="L187" s="1297"/>
      <c r="M187" s="1370">
        <f t="shared" si="14"/>
        <v>0</v>
      </c>
      <c r="N187" s="1296"/>
      <c r="O187" s="1297"/>
      <c r="P187" s="1281">
        <f t="shared" si="15"/>
        <v>0</v>
      </c>
      <c r="Q187" s="1296"/>
      <c r="R187" s="2870"/>
      <c r="S187" s="1370">
        <f t="shared" si="16"/>
        <v>0</v>
      </c>
      <c r="T187" s="1296"/>
      <c r="U187" s="1297"/>
      <c r="V187" s="1281">
        <f t="shared" si="17"/>
        <v>0</v>
      </c>
      <c r="W187" s="2094"/>
      <c r="X187" s="2094"/>
      <c r="Y187" s="2092"/>
      <c r="Z187" s="1376"/>
    </row>
    <row r="188" spans="1:26" s="1263" customFormat="1" hidden="1" outlineLevel="2">
      <c r="A188" s="1267">
        <v>538</v>
      </c>
      <c r="B188" s="1294" t="s">
        <v>1572</v>
      </c>
      <c r="C188" s="1295" t="s">
        <v>1330</v>
      </c>
      <c r="D188" s="1457" t="s">
        <v>1331</v>
      </c>
      <c r="E188" s="1296"/>
      <c r="F188" s="1297"/>
      <c r="G188" s="1281">
        <f t="shared" si="12"/>
        <v>0</v>
      </c>
      <c r="H188" s="1296"/>
      <c r="I188" s="1297"/>
      <c r="J188" s="1276">
        <f t="shared" si="13"/>
        <v>0</v>
      </c>
      <c r="K188" s="1296"/>
      <c r="L188" s="1297"/>
      <c r="M188" s="1370">
        <f t="shared" si="14"/>
        <v>0</v>
      </c>
      <c r="N188" s="1296"/>
      <c r="O188" s="1297"/>
      <c r="P188" s="1281">
        <f t="shared" si="15"/>
        <v>0</v>
      </c>
      <c r="Q188" s="1296"/>
      <c r="R188" s="2870"/>
      <c r="S188" s="1370">
        <f t="shared" si="16"/>
        <v>0</v>
      </c>
      <c r="T188" s="1296"/>
      <c r="U188" s="1297"/>
      <c r="V188" s="1281">
        <f t="shared" si="17"/>
        <v>0</v>
      </c>
      <c r="W188" s="2094"/>
      <c r="X188" s="2094"/>
      <c r="Y188" s="2092"/>
      <c r="Z188" s="1376"/>
    </row>
    <row r="189" spans="1:26" s="1263" customFormat="1" hidden="1" outlineLevel="2">
      <c r="A189" s="1267">
        <v>392</v>
      </c>
      <c r="B189" s="1292" t="s">
        <v>1573</v>
      </c>
      <c r="C189" s="1293" t="s">
        <v>1574</v>
      </c>
      <c r="D189" s="1454"/>
      <c r="E189" s="1279">
        <f>E190*E191/1000</f>
        <v>0</v>
      </c>
      <c r="F189" s="1280">
        <f>F190*F191/1000</f>
        <v>0</v>
      </c>
      <c r="G189" s="1281">
        <f t="shared" si="12"/>
        <v>0</v>
      </c>
      <c r="H189" s="1279">
        <f>H190*H191/1000</f>
        <v>0</v>
      </c>
      <c r="I189" s="1280">
        <f>I190*I191/1000</f>
        <v>0</v>
      </c>
      <c r="J189" s="1276">
        <f t="shared" si="13"/>
        <v>0</v>
      </c>
      <c r="K189" s="1279">
        <f>K190*K191/1000</f>
        <v>0</v>
      </c>
      <c r="L189" s="1280">
        <f>L190*L191/1000</f>
        <v>0</v>
      </c>
      <c r="M189" s="1370">
        <f t="shared" si="14"/>
        <v>0</v>
      </c>
      <c r="N189" s="1279">
        <f>N190*N191/1000</f>
        <v>0</v>
      </c>
      <c r="O189" s="1280">
        <f>O190*O191/1000</f>
        <v>0</v>
      </c>
      <c r="P189" s="1281">
        <f t="shared" si="15"/>
        <v>0</v>
      </c>
      <c r="Q189" s="1279">
        <f>Q190*Q191/1000</f>
        <v>0</v>
      </c>
      <c r="R189" s="2867">
        <f>R190*R191/1000</f>
        <v>0</v>
      </c>
      <c r="S189" s="1370">
        <f t="shared" si="16"/>
        <v>0</v>
      </c>
      <c r="T189" s="1279">
        <f>T190*T191/1000</f>
        <v>0</v>
      </c>
      <c r="U189" s="1280">
        <f>U190*U191/1000</f>
        <v>0</v>
      </c>
      <c r="V189" s="1281">
        <f t="shared" si="17"/>
        <v>0</v>
      </c>
      <c r="W189" s="2093"/>
      <c r="X189" s="2093"/>
      <c r="Y189" s="2092"/>
      <c r="Z189" s="1376"/>
    </row>
    <row r="190" spans="1:26" s="1263" customFormat="1" hidden="1" outlineLevel="2">
      <c r="A190" s="1267">
        <v>539</v>
      </c>
      <c r="B190" s="1294" t="s">
        <v>1575</v>
      </c>
      <c r="C190" s="1295" t="s">
        <v>1327</v>
      </c>
      <c r="D190" s="1457" t="s">
        <v>1328</v>
      </c>
      <c r="E190" s="1296"/>
      <c r="F190" s="1297"/>
      <c r="G190" s="1281">
        <f t="shared" si="12"/>
        <v>0</v>
      </c>
      <c r="H190" s="1296"/>
      <c r="I190" s="1297"/>
      <c r="J190" s="1276">
        <f t="shared" si="13"/>
        <v>0</v>
      </c>
      <c r="K190" s="1296"/>
      <c r="L190" s="1297"/>
      <c r="M190" s="1370">
        <f t="shared" si="14"/>
        <v>0</v>
      </c>
      <c r="N190" s="1296"/>
      <c r="O190" s="1297"/>
      <c r="P190" s="1281">
        <f t="shared" si="15"/>
        <v>0</v>
      </c>
      <c r="Q190" s="1296"/>
      <c r="R190" s="2870"/>
      <c r="S190" s="1370">
        <f t="shared" si="16"/>
        <v>0</v>
      </c>
      <c r="T190" s="1296"/>
      <c r="U190" s="1297"/>
      <c r="V190" s="1281">
        <f t="shared" si="17"/>
        <v>0</v>
      </c>
      <c r="W190" s="2094"/>
      <c r="X190" s="2094"/>
      <c r="Y190" s="2092"/>
      <c r="Z190" s="1376"/>
    </row>
    <row r="191" spans="1:26" s="1263" customFormat="1" hidden="1" outlineLevel="2">
      <c r="A191" s="1267">
        <v>540</v>
      </c>
      <c r="B191" s="1294" t="s">
        <v>1576</v>
      </c>
      <c r="C191" s="1295" t="s">
        <v>1330</v>
      </c>
      <c r="D191" s="1457" t="s">
        <v>1331</v>
      </c>
      <c r="E191" s="1296"/>
      <c r="F191" s="1297"/>
      <c r="G191" s="1281">
        <f t="shared" si="12"/>
        <v>0</v>
      </c>
      <c r="H191" s="1296"/>
      <c r="I191" s="1297"/>
      <c r="J191" s="1276">
        <f t="shared" si="13"/>
        <v>0</v>
      </c>
      <c r="K191" s="1296"/>
      <c r="L191" s="1297"/>
      <c r="M191" s="1370">
        <f t="shared" si="14"/>
        <v>0</v>
      </c>
      <c r="N191" s="1296"/>
      <c r="O191" s="1297"/>
      <c r="P191" s="1281">
        <f t="shared" si="15"/>
        <v>0</v>
      </c>
      <c r="Q191" s="1296"/>
      <c r="R191" s="2870"/>
      <c r="S191" s="1370">
        <f t="shared" si="16"/>
        <v>0</v>
      </c>
      <c r="T191" s="1296"/>
      <c r="U191" s="1297"/>
      <c r="V191" s="1281">
        <f t="shared" si="17"/>
        <v>0</v>
      </c>
      <c r="W191" s="2094"/>
      <c r="X191" s="2094"/>
      <c r="Y191" s="2092"/>
      <c r="Z191" s="1376"/>
    </row>
    <row r="192" spans="1:26" s="1263" customFormat="1" hidden="1" outlineLevel="2">
      <c r="A192" s="1267">
        <v>393</v>
      </c>
      <c r="B192" s="1292" t="s">
        <v>1577</v>
      </c>
      <c r="C192" s="1293" t="s">
        <v>1578</v>
      </c>
      <c r="D192" s="1454"/>
      <c r="E192" s="1279">
        <f>E193*E194/1000</f>
        <v>0</v>
      </c>
      <c r="F192" s="1280">
        <f>F193*F194/1000</f>
        <v>0</v>
      </c>
      <c r="G192" s="1281">
        <f t="shared" si="12"/>
        <v>0</v>
      </c>
      <c r="H192" s="1279">
        <f>H193*H194/1000</f>
        <v>0</v>
      </c>
      <c r="I192" s="1280">
        <f>I193*I194/1000</f>
        <v>0</v>
      </c>
      <c r="J192" s="1276">
        <f t="shared" si="13"/>
        <v>0</v>
      </c>
      <c r="K192" s="1279">
        <f>K193*K194/1000</f>
        <v>0</v>
      </c>
      <c r="L192" s="1280">
        <f>L193*L194/1000</f>
        <v>0</v>
      </c>
      <c r="M192" s="1370">
        <f t="shared" si="14"/>
        <v>0</v>
      </c>
      <c r="N192" s="1279">
        <f>N193*N194/1000</f>
        <v>0</v>
      </c>
      <c r="O192" s="1280">
        <f>O193*O194/1000</f>
        <v>0</v>
      </c>
      <c r="P192" s="1281">
        <f t="shared" si="15"/>
        <v>0</v>
      </c>
      <c r="Q192" s="1279">
        <f>Q193*Q194/1000</f>
        <v>0</v>
      </c>
      <c r="R192" s="2867">
        <f>R193*R194/1000</f>
        <v>0</v>
      </c>
      <c r="S192" s="1370">
        <f t="shared" si="16"/>
        <v>0</v>
      </c>
      <c r="T192" s="1279">
        <f>T193*T194/1000</f>
        <v>0</v>
      </c>
      <c r="U192" s="1280">
        <f>U193*U194/1000</f>
        <v>0</v>
      </c>
      <c r="V192" s="1281">
        <f t="shared" si="17"/>
        <v>0</v>
      </c>
      <c r="W192" s="2093"/>
      <c r="X192" s="2093"/>
      <c r="Y192" s="2092"/>
      <c r="Z192" s="1376"/>
    </row>
    <row r="193" spans="1:26" s="1263" customFormat="1" hidden="1" outlineLevel="2">
      <c r="A193" s="1267">
        <v>541</v>
      </c>
      <c r="B193" s="1294" t="s">
        <v>1579</v>
      </c>
      <c r="C193" s="1295" t="s">
        <v>1327</v>
      </c>
      <c r="D193" s="1457" t="s">
        <v>1328</v>
      </c>
      <c r="E193" s="1296"/>
      <c r="F193" s="1297"/>
      <c r="G193" s="1281">
        <f t="shared" si="12"/>
        <v>0</v>
      </c>
      <c r="H193" s="1296"/>
      <c r="I193" s="1297"/>
      <c r="J193" s="1276">
        <f t="shared" si="13"/>
        <v>0</v>
      </c>
      <c r="K193" s="1296"/>
      <c r="L193" s="1297"/>
      <c r="M193" s="1370">
        <f t="shared" si="14"/>
        <v>0</v>
      </c>
      <c r="N193" s="1296"/>
      <c r="O193" s="1297"/>
      <c r="P193" s="1281">
        <f t="shared" si="15"/>
        <v>0</v>
      </c>
      <c r="Q193" s="1296"/>
      <c r="R193" s="2870"/>
      <c r="S193" s="1370">
        <f t="shared" si="16"/>
        <v>0</v>
      </c>
      <c r="T193" s="1296"/>
      <c r="U193" s="1297"/>
      <c r="V193" s="1281">
        <f t="shared" si="17"/>
        <v>0</v>
      </c>
      <c r="W193" s="2094"/>
      <c r="X193" s="2094"/>
      <c r="Y193" s="2092"/>
      <c r="Z193" s="1376"/>
    </row>
    <row r="194" spans="1:26" s="1263" customFormat="1" hidden="1" outlineLevel="2">
      <c r="A194" s="1267">
        <v>542</v>
      </c>
      <c r="B194" s="1294" t="s">
        <v>1580</v>
      </c>
      <c r="C194" s="1295" t="s">
        <v>1330</v>
      </c>
      <c r="D194" s="1457" t="s">
        <v>1331</v>
      </c>
      <c r="E194" s="1296"/>
      <c r="F194" s="1297"/>
      <c r="G194" s="1281">
        <f t="shared" si="12"/>
        <v>0</v>
      </c>
      <c r="H194" s="1296"/>
      <c r="I194" s="1297"/>
      <c r="J194" s="1276">
        <f t="shared" si="13"/>
        <v>0</v>
      </c>
      <c r="K194" s="1296"/>
      <c r="L194" s="1297"/>
      <c r="M194" s="1370">
        <f t="shared" si="14"/>
        <v>0</v>
      </c>
      <c r="N194" s="1296"/>
      <c r="O194" s="1297"/>
      <c r="P194" s="1281">
        <f t="shared" si="15"/>
        <v>0</v>
      </c>
      <c r="Q194" s="1296"/>
      <c r="R194" s="2870"/>
      <c r="S194" s="1370">
        <f t="shared" si="16"/>
        <v>0</v>
      </c>
      <c r="T194" s="1296"/>
      <c r="U194" s="1297"/>
      <c r="V194" s="1281">
        <f t="shared" si="17"/>
        <v>0</v>
      </c>
      <c r="W194" s="2094"/>
      <c r="X194" s="2094"/>
      <c r="Y194" s="2092"/>
      <c r="Z194" s="1376"/>
    </row>
    <row r="195" spans="1:26" s="1263" customFormat="1" hidden="1" outlineLevel="2">
      <c r="A195" s="1267">
        <v>394</v>
      </c>
      <c r="B195" s="1292" t="s">
        <v>1581</v>
      </c>
      <c r="C195" s="1293" t="s">
        <v>1582</v>
      </c>
      <c r="D195" s="1454"/>
      <c r="E195" s="1279">
        <f>E196*E197/1000</f>
        <v>0</v>
      </c>
      <c r="F195" s="1280">
        <f>F196*F197/1000</f>
        <v>0</v>
      </c>
      <c r="G195" s="1281">
        <f t="shared" si="12"/>
        <v>0</v>
      </c>
      <c r="H195" s="1279">
        <f>H196*H197/1000</f>
        <v>0</v>
      </c>
      <c r="I195" s="1280">
        <f>I196*I197/1000</f>
        <v>0</v>
      </c>
      <c r="J195" s="1276">
        <f t="shared" si="13"/>
        <v>0</v>
      </c>
      <c r="K195" s="1279">
        <f>K196*K197/1000</f>
        <v>0</v>
      </c>
      <c r="L195" s="1280">
        <f>L196*L197/1000</f>
        <v>0</v>
      </c>
      <c r="M195" s="1370">
        <f t="shared" si="14"/>
        <v>0</v>
      </c>
      <c r="N195" s="1279">
        <f>N196*N197/1000</f>
        <v>0</v>
      </c>
      <c r="O195" s="1280">
        <f>O196*O197/1000</f>
        <v>0</v>
      </c>
      <c r="P195" s="1281">
        <f t="shared" si="15"/>
        <v>0</v>
      </c>
      <c r="Q195" s="1279">
        <f>Q196*Q197/1000</f>
        <v>0</v>
      </c>
      <c r="R195" s="2867">
        <f>R196*R197/1000</f>
        <v>0</v>
      </c>
      <c r="S195" s="1370">
        <f t="shared" si="16"/>
        <v>0</v>
      </c>
      <c r="T195" s="1279">
        <f>T196*T197/1000</f>
        <v>0</v>
      </c>
      <c r="U195" s="1280">
        <f>U196*U197/1000</f>
        <v>0</v>
      </c>
      <c r="V195" s="1281">
        <f t="shared" si="17"/>
        <v>0</v>
      </c>
      <c r="W195" s="2093"/>
      <c r="X195" s="2093"/>
      <c r="Y195" s="2092"/>
      <c r="Z195" s="1376"/>
    </row>
    <row r="196" spans="1:26" s="1263" customFormat="1" hidden="1" outlineLevel="2">
      <c r="A196" s="1267">
        <v>543</v>
      </c>
      <c r="B196" s="1294" t="s">
        <v>1583</v>
      </c>
      <c r="C196" s="1295" t="s">
        <v>1327</v>
      </c>
      <c r="D196" s="1457" t="s">
        <v>1328</v>
      </c>
      <c r="E196" s="1296"/>
      <c r="F196" s="1297"/>
      <c r="G196" s="1281">
        <f t="shared" si="12"/>
        <v>0</v>
      </c>
      <c r="H196" s="1296"/>
      <c r="I196" s="1297"/>
      <c r="J196" s="1276">
        <f t="shared" si="13"/>
        <v>0</v>
      </c>
      <c r="K196" s="1296"/>
      <c r="L196" s="1297"/>
      <c r="M196" s="1370">
        <f t="shared" si="14"/>
        <v>0</v>
      </c>
      <c r="N196" s="1296"/>
      <c r="O196" s="1297"/>
      <c r="P196" s="1281">
        <f t="shared" si="15"/>
        <v>0</v>
      </c>
      <c r="Q196" s="1296"/>
      <c r="R196" s="2870"/>
      <c r="S196" s="1370">
        <f t="shared" si="16"/>
        <v>0</v>
      </c>
      <c r="T196" s="1296"/>
      <c r="U196" s="1297"/>
      <c r="V196" s="1281">
        <f t="shared" si="17"/>
        <v>0</v>
      </c>
      <c r="W196" s="2094"/>
      <c r="X196" s="2094"/>
      <c r="Y196" s="2092"/>
      <c r="Z196" s="1376"/>
    </row>
    <row r="197" spans="1:26" s="1263" customFormat="1" hidden="1" outlineLevel="2">
      <c r="A197" s="1267">
        <v>544</v>
      </c>
      <c r="B197" s="1294" t="s">
        <v>1584</v>
      </c>
      <c r="C197" s="1295" t="s">
        <v>1330</v>
      </c>
      <c r="D197" s="1457" t="s">
        <v>1331</v>
      </c>
      <c r="E197" s="1296"/>
      <c r="F197" s="1297"/>
      <c r="G197" s="1281">
        <f t="shared" ref="G197:G260" si="18">E197/2+F197/2</f>
        <v>0</v>
      </c>
      <c r="H197" s="1296"/>
      <c r="I197" s="1297"/>
      <c r="J197" s="1276">
        <f t="shared" ref="J197:J260" si="19">H197/2+I197/2</f>
        <v>0</v>
      </c>
      <c r="K197" s="1296"/>
      <c r="L197" s="1297"/>
      <c r="M197" s="1370">
        <f t="shared" ref="M197:M260" si="20">K197/2+L197/2</f>
        <v>0</v>
      </c>
      <c r="N197" s="1296"/>
      <c r="O197" s="1297"/>
      <c r="P197" s="1281">
        <f t="shared" ref="P197:P260" si="21">N197/2+O197/2</f>
        <v>0</v>
      </c>
      <c r="Q197" s="1296"/>
      <c r="R197" s="2870"/>
      <c r="S197" s="1370">
        <f t="shared" ref="S197:S260" si="22">Q197/2+R197/2</f>
        <v>0</v>
      </c>
      <c r="T197" s="1296"/>
      <c r="U197" s="1297"/>
      <c r="V197" s="1281">
        <f t="shared" ref="V197:V260" si="23">T197/2+U197/2</f>
        <v>0</v>
      </c>
      <c r="W197" s="2094"/>
      <c r="X197" s="2094"/>
      <c r="Y197" s="2092"/>
      <c r="Z197" s="1376"/>
    </row>
    <row r="198" spans="1:26" s="1263" customFormat="1" hidden="1" outlineLevel="2">
      <c r="A198" s="1267">
        <v>395</v>
      </c>
      <c r="B198" s="1292" t="s">
        <v>1585</v>
      </c>
      <c r="C198" s="1293" t="s">
        <v>1586</v>
      </c>
      <c r="D198" s="1454"/>
      <c r="E198" s="1279">
        <f>E199*E200/1000</f>
        <v>0</v>
      </c>
      <c r="F198" s="1280">
        <f>F199*F200/1000</f>
        <v>0</v>
      </c>
      <c r="G198" s="1281">
        <f t="shared" si="18"/>
        <v>0</v>
      </c>
      <c r="H198" s="1279">
        <f>H199*H200/1000</f>
        <v>0</v>
      </c>
      <c r="I198" s="1280">
        <f>I199*I200/1000</f>
        <v>0</v>
      </c>
      <c r="J198" s="1276">
        <f t="shared" si="19"/>
        <v>0</v>
      </c>
      <c r="K198" s="1279">
        <f>K199*K200/1000</f>
        <v>0</v>
      </c>
      <c r="L198" s="1280">
        <f>L199*L200/1000</f>
        <v>0</v>
      </c>
      <c r="M198" s="1370">
        <f t="shared" si="20"/>
        <v>0</v>
      </c>
      <c r="N198" s="1279">
        <f>N199*N200/1000</f>
        <v>0</v>
      </c>
      <c r="O198" s="1280">
        <f>O199*O200/1000</f>
        <v>0</v>
      </c>
      <c r="P198" s="1281">
        <f t="shared" si="21"/>
        <v>0</v>
      </c>
      <c r="Q198" s="1279">
        <f>Q199*Q200/1000</f>
        <v>0</v>
      </c>
      <c r="R198" s="2867">
        <f>R199*R200/1000</f>
        <v>0</v>
      </c>
      <c r="S198" s="1370">
        <f t="shared" si="22"/>
        <v>0</v>
      </c>
      <c r="T198" s="1279">
        <f>T199*T200/1000</f>
        <v>0</v>
      </c>
      <c r="U198" s="1280">
        <f>U199*U200/1000</f>
        <v>0</v>
      </c>
      <c r="V198" s="1281">
        <f t="shared" si="23"/>
        <v>0</v>
      </c>
      <c r="W198" s="2093"/>
      <c r="X198" s="2093"/>
      <c r="Y198" s="2092"/>
      <c r="Z198" s="1376"/>
    </row>
    <row r="199" spans="1:26" s="1263" customFormat="1" hidden="1" outlineLevel="2">
      <c r="A199" s="1267">
        <v>545</v>
      </c>
      <c r="B199" s="1294" t="s">
        <v>1587</v>
      </c>
      <c r="C199" s="1295" t="s">
        <v>1327</v>
      </c>
      <c r="D199" s="1457" t="s">
        <v>1328</v>
      </c>
      <c r="E199" s="1296"/>
      <c r="F199" s="1297"/>
      <c r="G199" s="1281">
        <f t="shared" si="18"/>
        <v>0</v>
      </c>
      <c r="H199" s="1296"/>
      <c r="I199" s="1297"/>
      <c r="J199" s="1276">
        <f t="shared" si="19"/>
        <v>0</v>
      </c>
      <c r="K199" s="1296"/>
      <c r="L199" s="1297"/>
      <c r="M199" s="1370">
        <f t="shared" si="20"/>
        <v>0</v>
      </c>
      <c r="N199" s="1296"/>
      <c r="O199" s="1297"/>
      <c r="P199" s="1281">
        <f t="shared" si="21"/>
        <v>0</v>
      </c>
      <c r="Q199" s="1296"/>
      <c r="R199" s="2870"/>
      <c r="S199" s="1370">
        <f t="shared" si="22"/>
        <v>0</v>
      </c>
      <c r="T199" s="1296"/>
      <c r="U199" s="1297"/>
      <c r="V199" s="1281">
        <f t="shared" si="23"/>
        <v>0</v>
      </c>
      <c r="W199" s="2094"/>
      <c r="X199" s="2094"/>
      <c r="Y199" s="2092"/>
      <c r="Z199" s="1376"/>
    </row>
    <row r="200" spans="1:26" s="1263" customFormat="1" hidden="1" outlineLevel="2">
      <c r="A200" s="1267">
        <v>546</v>
      </c>
      <c r="B200" s="1294" t="s">
        <v>1588</v>
      </c>
      <c r="C200" s="1295" t="s">
        <v>1330</v>
      </c>
      <c r="D200" s="1457" t="s">
        <v>1331</v>
      </c>
      <c r="E200" s="1296"/>
      <c r="F200" s="1297"/>
      <c r="G200" s="1281">
        <f t="shared" si="18"/>
        <v>0</v>
      </c>
      <c r="H200" s="1296"/>
      <c r="I200" s="1297"/>
      <c r="J200" s="1276">
        <f t="shared" si="19"/>
        <v>0</v>
      </c>
      <c r="K200" s="1296"/>
      <c r="L200" s="1297"/>
      <c r="M200" s="1370">
        <f t="shared" si="20"/>
        <v>0</v>
      </c>
      <c r="N200" s="1296"/>
      <c r="O200" s="1297"/>
      <c r="P200" s="1281">
        <f t="shared" si="21"/>
        <v>0</v>
      </c>
      <c r="Q200" s="1296"/>
      <c r="R200" s="2870"/>
      <c r="S200" s="1370">
        <f t="shared" si="22"/>
        <v>0</v>
      </c>
      <c r="T200" s="1296"/>
      <c r="U200" s="1297"/>
      <c r="V200" s="1281">
        <f t="shared" si="23"/>
        <v>0</v>
      </c>
      <c r="W200" s="2094"/>
      <c r="X200" s="2094"/>
      <c r="Y200" s="2092"/>
      <c r="Z200" s="1376"/>
    </row>
    <row r="201" spans="1:26" s="1263" customFormat="1" hidden="1" outlineLevel="2">
      <c r="A201" s="1267">
        <v>396</v>
      </c>
      <c r="B201" s="1292" t="s">
        <v>1589</v>
      </c>
      <c r="C201" s="1293" t="s">
        <v>1590</v>
      </c>
      <c r="D201" s="1454"/>
      <c r="E201" s="1279">
        <f>E202*E203/1000</f>
        <v>0</v>
      </c>
      <c r="F201" s="1280">
        <f>F202*F203/1000</f>
        <v>0</v>
      </c>
      <c r="G201" s="1281">
        <f t="shared" si="18"/>
        <v>0</v>
      </c>
      <c r="H201" s="1279">
        <f>H202*H203/1000</f>
        <v>0</v>
      </c>
      <c r="I201" s="1280">
        <f>I202*I203/1000</f>
        <v>0</v>
      </c>
      <c r="J201" s="1276">
        <f t="shared" si="19"/>
        <v>0</v>
      </c>
      <c r="K201" s="1279">
        <f>K202*K203/1000</f>
        <v>0</v>
      </c>
      <c r="L201" s="1280">
        <f>L202*L203/1000</f>
        <v>0</v>
      </c>
      <c r="M201" s="1370">
        <f t="shared" si="20"/>
        <v>0</v>
      </c>
      <c r="N201" s="1279">
        <f>N202*N203/1000</f>
        <v>0</v>
      </c>
      <c r="O201" s="1280">
        <f>O202*O203/1000</f>
        <v>0</v>
      </c>
      <c r="P201" s="1281">
        <f t="shared" si="21"/>
        <v>0</v>
      </c>
      <c r="Q201" s="1279">
        <f>Q202*Q203/1000</f>
        <v>0</v>
      </c>
      <c r="R201" s="2867">
        <f>R202*R203/1000</f>
        <v>0</v>
      </c>
      <c r="S201" s="1370">
        <f t="shared" si="22"/>
        <v>0</v>
      </c>
      <c r="T201" s="1279">
        <f>T202*T203/1000</f>
        <v>0</v>
      </c>
      <c r="U201" s="1280">
        <f>U202*U203/1000</f>
        <v>0</v>
      </c>
      <c r="V201" s="1281">
        <f t="shared" si="23"/>
        <v>0</v>
      </c>
      <c r="W201" s="2093"/>
      <c r="X201" s="2093"/>
      <c r="Y201" s="2092"/>
      <c r="Z201" s="1376"/>
    </row>
    <row r="202" spans="1:26" s="1263" customFormat="1" hidden="1" outlineLevel="2">
      <c r="A202" s="1267">
        <v>547</v>
      </c>
      <c r="B202" s="1294" t="s">
        <v>1591</v>
      </c>
      <c r="C202" s="1295" t="s">
        <v>1327</v>
      </c>
      <c r="D202" s="1457" t="s">
        <v>1328</v>
      </c>
      <c r="E202" s="1296"/>
      <c r="F202" s="1297"/>
      <c r="G202" s="1281">
        <f t="shared" si="18"/>
        <v>0</v>
      </c>
      <c r="H202" s="1296"/>
      <c r="I202" s="1297"/>
      <c r="J202" s="1276">
        <f t="shared" si="19"/>
        <v>0</v>
      </c>
      <c r="K202" s="1296"/>
      <c r="L202" s="1297"/>
      <c r="M202" s="1370">
        <f t="shared" si="20"/>
        <v>0</v>
      </c>
      <c r="N202" s="1296"/>
      <c r="O202" s="1297"/>
      <c r="P202" s="1281">
        <f t="shared" si="21"/>
        <v>0</v>
      </c>
      <c r="Q202" s="1296"/>
      <c r="R202" s="2870"/>
      <c r="S202" s="1370">
        <f t="shared" si="22"/>
        <v>0</v>
      </c>
      <c r="T202" s="1296"/>
      <c r="U202" s="1297"/>
      <c r="V202" s="1281">
        <f t="shared" si="23"/>
        <v>0</v>
      </c>
      <c r="W202" s="2094"/>
      <c r="X202" s="2094"/>
      <c r="Y202" s="2092"/>
      <c r="Z202" s="1376"/>
    </row>
    <row r="203" spans="1:26" s="1263" customFormat="1" hidden="1" outlineLevel="2">
      <c r="A203" s="1267">
        <v>548</v>
      </c>
      <c r="B203" s="1294" t="s">
        <v>1592</v>
      </c>
      <c r="C203" s="1295" t="s">
        <v>1330</v>
      </c>
      <c r="D203" s="1457" t="s">
        <v>1331</v>
      </c>
      <c r="E203" s="1296"/>
      <c r="F203" s="1297"/>
      <c r="G203" s="1281">
        <f t="shared" si="18"/>
        <v>0</v>
      </c>
      <c r="H203" s="1296"/>
      <c r="I203" s="1297"/>
      <c r="J203" s="1276">
        <f t="shared" si="19"/>
        <v>0</v>
      </c>
      <c r="K203" s="1296"/>
      <c r="L203" s="1297"/>
      <c r="M203" s="1370">
        <f t="shared" si="20"/>
        <v>0</v>
      </c>
      <c r="N203" s="1296"/>
      <c r="O203" s="1297"/>
      <c r="P203" s="1281">
        <f t="shared" si="21"/>
        <v>0</v>
      </c>
      <c r="Q203" s="1296"/>
      <c r="R203" s="2870"/>
      <c r="S203" s="1370">
        <f t="shared" si="22"/>
        <v>0</v>
      </c>
      <c r="T203" s="1296"/>
      <c r="U203" s="1297"/>
      <c r="V203" s="1281">
        <f t="shared" si="23"/>
        <v>0</v>
      </c>
      <c r="W203" s="2094"/>
      <c r="X203" s="2094"/>
      <c r="Y203" s="2092"/>
      <c r="Z203" s="1376"/>
    </row>
    <row r="204" spans="1:26" s="1263" customFormat="1" hidden="1" outlineLevel="2">
      <c r="A204" s="1267">
        <v>397</v>
      </c>
      <c r="B204" s="1292" t="s">
        <v>1593</v>
      </c>
      <c r="C204" s="1293" t="s">
        <v>1594</v>
      </c>
      <c r="D204" s="1454"/>
      <c r="E204" s="1279">
        <f>E205*E206/1000</f>
        <v>0</v>
      </c>
      <c r="F204" s="1280">
        <f>F205*F206/1000</f>
        <v>0</v>
      </c>
      <c r="G204" s="1281">
        <f t="shared" si="18"/>
        <v>0</v>
      </c>
      <c r="H204" s="1279">
        <f>H205*H206/1000</f>
        <v>0</v>
      </c>
      <c r="I204" s="1280">
        <f>I205*I206/1000</f>
        <v>0</v>
      </c>
      <c r="J204" s="1276">
        <f t="shared" si="19"/>
        <v>0</v>
      </c>
      <c r="K204" s="1279">
        <f>K205*K206/1000</f>
        <v>0</v>
      </c>
      <c r="L204" s="1280">
        <f>L205*L206/1000</f>
        <v>0</v>
      </c>
      <c r="M204" s="1370">
        <f t="shared" si="20"/>
        <v>0</v>
      </c>
      <c r="N204" s="1279">
        <f>N205*N206/1000</f>
        <v>0</v>
      </c>
      <c r="O204" s="1280">
        <f>O205*O206/1000</f>
        <v>0</v>
      </c>
      <c r="P204" s="1281">
        <f t="shared" si="21"/>
        <v>0</v>
      </c>
      <c r="Q204" s="1279">
        <f>Q205*Q206/1000</f>
        <v>0</v>
      </c>
      <c r="R204" s="2867">
        <f>R205*R206/1000</f>
        <v>0</v>
      </c>
      <c r="S204" s="1370">
        <f t="shared" si="22"/>
        <v>0</v>
      </c>
      <c r="T204" s="1279">
        <f>T205*T206/1000</f>
        <v>0</v>
      </c>
      <c r="U204" s="1280">
        <f>U205*U206/1000</f>
        <v>0</v>
      </c>
      <c r="V204" s="1281">
        <f t="shared" si="23"/>
        <v>0</v>
      </c>
      <c r="W204" s="2093"/>
      <c r="X204" s="2093"/>
      <c r="Y204" s="2092"/>
      <c r="Z204" s="1376"/>
    </row>
    <row r="205" spans="1:26" s="1263" customFormat="1" hidden="1" outlineLevel="2">
      <c r="A205" s="1267">
        <v>549</v>
      </c>
      <c r="B205" s="1294" t="s">
        <v>1595</v>
      </c>
      <c r="C205" s="1295" t="s">
        <v>1327</v>
      </c>
      <c r="D205" s="1457" t="s">
        <v>1328</v>
      </c>
      <c r="E205" s="1296"/>
      <c r="F205" s="1297"/>
      <c r="G205" s="1281">
        <f t="shared" si="18"/>
        <v>0</v>
      </c>
      <c r="H205" s="1296"/>
      <c r="I205" s="1297"/>
      <c r="J205" s="1276">
        <f t="shared" si="19"/>
        <v>0</v>
      </c>
      <c r="K205" s="1296"/>
      <c r="L205" s="1297"/>
      <c r="M205" s="1370">
        <f t="shared" si="20"/>
        <v>0</v>
      </c>
      <c r="N205" s="1296"/>
      <c r="O205" s="1297"/>
      <c r="P205" s="1281">
        <f t="shared" si="21"/>
        <v>0</v>
      </c>
      <c r="Q205" s="1296"/>
      <c r="R205" s="2870"/>
      <c r="S205" s="1370">
        <f t="shared" si="22"/>
        <v>0</v>
      </c>
      <c r="T205" s="1296"/>
      <c r="U205" s="1297"/>
      <c r="V205" s="1281">
        <f t="shared" si="23"/>
        <v>0</v>
      </c>
      <c r="W205" s="2094"/>
      <c r="X205" s="2094"/>
      <c r="Y205" s="2092"/>
      <c r="Z205" s="1376"/>
    </row>
    <row r="206" spans="1:26" s="1263" customFormat="1" hidden="1" outlineLevel="2">
      <c r="A206" s="1267">
        <v>550</v>
      </c>
      <c r="B206" s="1294" t="s">
        <v>1596</v>
      </c>
      <c r="C206" s="1295" t="s">
        <v>1330</v>
      </c>
      <c r="D206" s="1457" t="s">
        <v>1331</v>
      </c>
      <c r="E206" s="1296"/>
      <c r="F206" s="1297"/>
      <c r="G206" s="1281">
        <f t="shared" si="18"/>
        <v>0</v>
      </c>
      <c r="H206" s="1296"/>
      <c r="I206" s="1297"/>
      <c r="J206" s="1276">
        <f t="shared" si="19"/>
        <v>0</v>
      </c>
      <c r="K206" s="1296"/>
      <c r="L206" s="1297"/>
      <c r="M206" s="1370">
        <f t="shared" si="20"/>
        <v>0</v>
      </c>
      <c r="N206" s="1296"/>
      <c r="O206" s="1297"/>
      <c r="P206" s="1281">
        <f t="shared" si="21"/>
        <v>0</v>
      </c>
      <c r="Q206" s="1296"/>
      <c r="R206" s="2870"/>
      <c r="S206" s="1370">
        <f t="shared" si="22"/>
        <v>0</v>
      </c>
      <c r="T206" s="1296"/>
      <c r="U206" s="1297"/>
      <c r="V206" s="1281">
        <f t="shared" si="23"/>
        <v>0</v>
      </c>
      <c r="W206" s="2094"/>
      <c r="X206" s="2094"/>
      <c r="Y206" s="2092"/>
      <c r="Z206" s="1376"/>
    </row>
    <row r="207" spans="1:26" s="1263" customFormat="1" hidden="1" outlineLevel="2">
      <c r="A207" s="1267">
        <v>398</v>
      </c>
      <c r="B207" s="1292" t="s">
        <v>1597</v>
      </c>
      <c r="C207" s="1293" t="s">
        <v>1598</v>
      </c>
      <c r="D207" s="1454"/>
      <c r="E207" s="1279">
        <f>E208*E209/1000</f>
        <v>0</v>
      </c>
      <c r="F207" s="1280">
        <f>F208*F209/1000</f>
        <v>0</v>
      </c>
      <c r="G207" s="1281">
        <f t="shared" si="18"/>
        <v>0</v>
      </c>
      <c r="H207" s="1279">
        <f>H208*H209/1000</f>
        <v>0</v>
      </c>
      <c r="I207" s="1280">
        <f>I208*I209/1000</f>
        <v>0</v>
      </c>
      <c r="J207" s="1276">
        <f t="shared" si="19"/>
        <v>0</v>
      </c>
      <c r="K207" s="1279">
        <f>K208*K209/1000</f>
        <v>0</v>
      </c>
      <c r="L207" s="1280">
        <f>L208*L209/1000</f>
        <v>0</v>
      </c>
      <c r="M207" s="1370">
        <f t="shared" si="20"/>
        <v>0</v>
      </c>
      <c r="N207" s="1279">
        <f>N208*N209/1000</f>
        <v>0</v>
      </c>
      <c r="O207" s="1280">
        <f>O208*O209/1000</f>
        <v>0</v>
      </c>
      <c r="P207" s="1281">
        <f t="shared" si="21"/>
        <v>0</v>
      </c>
      <c r="Q207" s="1279">
        <f>Q208*Q209/1000</f>
        <v>0</v>
      </c>
      <c r="R207" s="2867">
        <f>R208*R209/1000</f>
        <v>0</v>
      </c>
      <c r="S207" s="1370">
        <f t="shared" si="22"/>
        <v>0</v>
      </c>
      <c r="T207" s="1279">
        <f>T208*T209/1000</f>
        <v>0</v>
      </c>
      <c r="U207" s="1280">
        <f>U208*U209/1000</f>
        <v>0</v>
      </c>
      <c r="V207" s="1281">
        <f t="shared" si="23"/>
        <v>0</v>
      </c>
      <c r="W207" s="2093"/>
      <c r="X207" s="2093"/>
      <c r="Y207" s="2092"/>
      <c r="Z207" s="1376"/>
    </row>
    <row r="208" spans="1:26" s="1263" customFormat="1" hidden="1" outlineLevel="2">
      <c r="A208" s="1267">
        <v>551</v>
      </c>
      <c r="B208" s="1294" t="s">
        <v>1599</v>
      </c>
      <c r="C208" s="1295" t="s">
        <v>1327</v>
      </c>
      <c r="D208" s="1457" t="s">
        <v>1328</v>
      </c>
      <c r="E208" s="1296"/>
      <c r="F208" s="1297"/>
      <c r="G208" s="1281">
        <f t="shared" si="18"/>
        <v>0</v>
      </c>
      <c r="H208" s="1296"/>
      <c r="I208" s="1297"/>
      <c r="J208" s="1276">
        <f t="shared" si="19"/>
        <v>0</v>
      </c>
      <c r="K208" s="1296"/>
      <c r="L208" s="1297"/>
      <c r="M208" s="1370">
        <f t="shared" si="20"/>
        <v>0</v>
      </c>
      <c r="N208" s="1296"/>
      <c r="O208" s="1297"/>
      <c r="P208" s="1281">
        <f t="shared" si="21"/>
        <v>0</v>
      </c>
      <c r="Q208" s="1296"/>
      <c r="R208" s="2870"/>
      <c r="S208" s="1370">
        <f t="shared" si="22"/>
        <v>0</v>
      </c>
      <c r="T208" s="1296"/>
      <c r="U208" s="1297"/>
      <c r="V208" s="1281">
        <f t="shared" si="23"/>
        <v>0</v>
      </c>
      <c r="W208" s="2094"/>
      <c r="X208" s="2094"/>
      <c r="Y208" s="2092"/>
      <c r="Z208" s="1376"/>
    </row>
    <row r="209" spans="1:26" s="1263" customFormat="1" hidden="1" outlineLevel="2">
      <c r="A209" s="1267">
        <v>552</v>
      </c>
      <c r="B209" s="1294" t="s">
        <v>1600</v>
      </c>
      <c r="C209" s="1295" t="s">
        <v>1330</v>
      </c>
      <c r="D209" s="1457" t="s">
        <v>1331</v>
      </c>
      <c r="E209" s="1296"/>
      <c r="F209" s="1297"/>
      <c r="G209" s="1281">
        <f t="shared" si="18"/>
        <v>0</v>
      </c>
      <c r="H209" s="1296"/>
      <c r="I209" s="1297"/>
      <c r="J209" s="1276">
        <f t="shared" si="19"/>
        <v>0</v>
      </c>
      <c r="K209" s="1296"/>
      <c r="L209" s="1297"/>
      <c r="M209" s="1370">
        <f t="shared" si="20"/>
        <v>0</v>
      </c>
      <c r="N209" s="1296"/>
      <c r="O209" s="1297"/>
      <c r="P209" s="1281">
        <f t="shared" si="21"/>
        <v>0</v>
      </c>
      <c r="Q209" s="1296"/>
      <c r="R209" s="2870"/>
      <c r="S209" s="1370">
        <f t="shared" si="22"/>
        <v>0</v>
      </c>
      <c r="T209" s="1296"/>
      <c r="U209" s="1297"/>
      <c r="V209" s="1281">
        <f t="shared" si="23"/>
        <v>0</v>
      </c>
      <c r="W209" s="2094"/>
      <c r="X209" s="2094"/>
      <c r="Y209" s="2092"/>
      <c r="Z209" s="1376"/>
    </row>
    <row r="210" spans="1:26" s="1263" customFormat="1" hidden="1" outlineLevel="2">
      <c r="A210" s="1267">
        <v>399</v>
      </c>
      <c r="B210" s="1292" t="s">
        <v>1601</v>
      </c>
      <c r="C210" s="1293" t="s">
        <v>1602</v>
      </c>
      <c r="D210" s="1454"/>
      <c r="E210" s="1279">
        <f>E211*E212/1000</f>
        <v>0</v>
      </c>
      <c r="F210" s="1280">
        <f>F211*F212/1000</f>
        <v>0</v>
      </c>
      <c r="G210" s="1281">
        <f t="shared" si="18"/>
        <v>0</v>
      </c>
      <c r="H210" s="1279">
        <f>H211*H212/1000</f>
        <v>0</v>
      </c>
      <c r="I210" s="1280">
        <f>I211*I212/1000</f>
        <v>0</v>
      </c>
      <c r="J210" s="1276">
        <f t="shared" si="19"/>
        <v>0</v>
      </c>
      <c r="K210" s="1279">
        <f>K211*K212/1000</f>
        <v>0</v>
      </c>
      <c r="L210" s="1280">
        <f>L211*L212/1000</f>
        <v>0</v>
      </c>
      <c r="M210" s="1370">
        <f t="shared" si="20"/>
        <v>0</v>
      </c>
      <c r="N210" s="1279">
        <f>N211*N212/1000</f>
        <v>0</v>
      </c>
      <c r="O210" s="1280">
        <f>O211*O212/1000</f>
        <v>0</v>
      </c>
      <c r="P210" s="1281">
        <f t="shared" si="21"/>
        <v>0</v>
      </c>
      <c r="Q210" s="1279">
        <f>Q211*Q212/1000</f>
        <v>0</v>
      </c>
      <c r="R210" s="2867">
        <f>R211*R212/1000</f>
        <v>0</v>
      </c>
      <c r="S210" s="1370">
        <f t="shared" si="22"/>
        <v>0</v>
      </c>
      <c r="T210" s="1279">
        <f>T211*T212/1000</f>
        <v>0</v>
      </c>
      <c r="U210" s="1280">
        <f>U211*U212/1000</f>
        <v>0</v>
      </c>
      <c r="V210" s="1281">
        <f t="shared" si="23"/>
        <v>0</v>
      </c>
      <c r="W210" s="2093"/>
      <c r="X210" s="2093"/>
      <c r="Y210" s="2092"/>
      <c r="Z210" s="1376"/>
    </row>
    <row r="211" spans="1:26" s="1263" customFormat="1" hidden="1" outlineLevel="2">
      <c r="A211" s="1267">
        <v>553</v>
      </c>
      <c r="B211" s="1294" t="s">
        <v>1603</v>
      </c>
      <c r="C211" s="1295" t="s">
        <v>1327</v>
      </c>
      <c r="D211" s="1457" t="s">
        <v>1328</v>
      </c>
      <c r="E211" s="1296"/>
      <c r="F211" s="1297"/>
      <c r="G211" s="1281">
        <f t="shared" si="18"/>
        <v>0</v>
      </c>
      <c r="H211" s="1296"/>
      <c r="I211" s="1297"/>
      <c r="J211" s="1276">
        <f t="shared" si="19"/>
        <v>0</v>
      </c>
      <c r="K211" s="1296"/>
      <c r="L211" s="1297"/>
      <c r="M211" s="1370">
        <f t="shared" si="20"/>
        <v>0</v>
      </c>
      <c r="N211" s="1296"/>
      <c r="O211" s="1297"/>
      <c r="P211" s="1281">
        <f t="shared" si="21"/>
        <v>0</v>
      </c>
      <c r="Q211" s="1296"/>
      <c r="R211" s="2870"/>
      <c r="S211" s="1370">
        <f t="shared" si="22"/>
        <v>0</v>
      </c>
      <c r="T211" s="1296"/>
      <c r="U211" s="1297"/>
      <c r="V211" s="1281">
        <f t="shared" si="23"/>
        <v>0</v>
      </c>
      <c r="W211" s="2094"/>
      <c r="X211" s="2094"/>
      <c r="Y211" s="2092"/>
      <c r="Z211" s="1376"/>
    </row>
    <row r="212" spans="1:26" s="1263" customFormat="1" hidden="1" outlineLevel="2">
      <c r="A212" s="1267">
        <v>554</v>
      </c>
      <c r="B212" s="1294" t="s">
        <v>1604</v>
      </c>
      <c r="C212" s="1295" t="s">
        <v>1330</v>
      </c>
      <c r="D212" s="1457" t="s">
        <v>1331</v>
      </c>
      <c r="E212" s="1296"/>
      <c r="F212" s="1297"/>
      <c r="G212" s="1281">
        <f t="shared" si="18"/>
        <v>0</v>
      </c>
      <c r="H212" s="1296"/>
      <c r="I212" s="1297"/>
      <c r="J212" s="1276">
        <f t="shared" si="19"/>
        <v>0</v>
      </c>
      <c r="K212" s="1296"/>
      <c r="L212" s="1297"/>
      <c r="M212" s="1370">
        <f t="shared" si="20"/>
        <v>0</v>
      </c>
      <c r="N212" s="1296"/>
      <c r="O212" s="1297"/>
      <c r="P212" s="1281">
        <f t="shared" si="21"/>
        <v>0</v>
      </c>
      <c r="Q212" s="1296"/>
      <c r="R212" s="2870"/>
      <c r="S212" s="1370">
        <f t="shared" si="22"/>
        <v>0</v>
      </c>
      <c r="T212" s="1296"/>
      <c r="U212" s="1297"/>
      <c r="V212" s="1281">
        <f t="shared" si="23"/>
        <v>0</v>
      </c>
      <c r="W212" s="2094"/>
      <c r="X212" s="2094"/>
      <c r="Y212" s="2092"/>
      <c r="Z212" s="1376"/>
    </row>
    <row r="213" spans="1:26" s="1263" customFormat="1" hidden="1" outlineLevel="2">
      <c r="A213" s="1267">
        <v>400</v>
      </c>
      <c r="B213" s="1292" t="s">
        <v>1605</v>
      </c>
      <c r="C213" s="1293" t="s">
        <v>1606</v>
      </c>
      <c r="D213" s="1454"/>
      <c r="E213" s="1279">
        <f>E214*E215/1000</f>
        <v>0</v>
      </c>
      <c r="F213" s="1280">
        <f>F214*F215/1000</f>
        <v>0</v>
      </c>
      <c r="G213" s="1281">
        <f t="shared" si="18"/>
        <v>0</v>
      </c>
      <c r="H213" s="1279">
        <f>H214*H215/1000</f>
        <v>0</v>
      </c>
      <c r="I213" s="1280">
        <f>I214*I215/1000</f>
        <v>0</v>
      </c>
      <c r="J213" s="1276">
        <f t="shared" si="19"/>
        <v>0</v>
      </c>
      <c r="K213" s="1279">
        <f>K214*K215/1000</f>
        <v>0</v>
      </c>
      <c r="L213" s="1280">
        <f>L214*L215/1000</f>
        <v>0</v>
      </c>
      <c r="M213" s="1370">
        <f t="shared" si="20"/>
        <v>0</v>
      </c>
      <c r="N213" s="1279">
        <f>N214*N215/1000</f>
        <v>0</v>
      </c>
      <c r="O213" s="1280">
        <f>O214*O215/1000</f>
        <v>0</v>
      </c>
      <c r="P213" s="1281">
        <f t="shared" si="21"/>
        <v>0</v>
      </c>
      <c r="Q213" s="1279">
        <f>Q214*Q215/1000</f>
        <v>0</v>
      </c>
      <c r="R213" s="2867">
        <f>R214*R215/1000</f>
        <v>0</v>
      </c>
      <c r="S213" s="1370">
        <f t="shared" si="22"/>
        <v>0</v>
      </c>
      <c r="T213" s="1279">
        <f>T214*T215/1000</f>
        <v>0</v>
      </c>
      <c r="U213" s="1280">
        <f>U214*U215/1000</f>
        <v>0</v>
      </c>
      <c r="V213" s="1281">
        <f t="shared" si="23"/>
        <v>0</v>
      </c>
      <c r="W213" s="2093"/>
      <c r="X213" s="2093"/>
      <c r="Y213" s="2092"/>
      <c r="Z213" s="1376"/>
    </row>
    <row r="214" spans="1:26" s="1263" customFormat="1" hidden="1" outlineLevel="2">
      <c r="A214" s="1267">
        <v>555</v>
      </c>
      <c r="B214" s="1294" t="s">
        <v>1607</v>
      </c>
      <c r="C214" s="1295" t="s">
        <v>1327</v>
      </c>
      <c r="D214" s="1457" t="s">
        <v>1328</v>
      </c>
      <c r="E214" s="1296"/>
      <c r="F214" s="1297"/>
      <c r="G214" s="1281">
        <f t="shared" si="18"/>
        <v>0</v>
      </c>
      <c r="H214" s="1296"/>
      <c r="I214" s="1297"/>
      <c r="J214" s="1276">
        <f t="shared" si="19"/>
        <v>0</v>
      </c>
      <c r="K214" s="1296"/>
      <c r="L214" s="1297"/>
      <c r="M214" s="1370">
        <f t="shared" si="20"/>
        <v>0</v>
      </c>
      <c r="N214" s="1296"/>
      <c r="O214" s="1297"/>
      <c r="P214" s="1281">
        <f t="shared" si="21"/>
        <v>0</v>
      </c>
      <c r="Q214" s="1296"/>
      <c r="R214" s="2870"/>
      <c r="S214" s="1370">
        <f t="shared" si="22"/>
        <v>0</v>
      </c>
      <c r="T214" s="1296"/>
      <c r="U214" s="1297"/>
      <c r="V214" s="1281">
        <f t="shared" si="23"/>
        <v>0</v>
      </c>
      <c r="W214" s="2094"/>
      <c r="X214" s="2094"/>
      <c r="Y214" s="2092"/>
      <c r="Z214" s="1376"/>
    </row>
    <row r="215" spans="1:26" s="1263" customFormat="1" hidden="1" outlineLevel="2">
      <c r="A215" s="1267">
        <v>556</v>
      </c>
      <c r="B215" s="1294" t="s">
        <v>1608</v>
      </c>
      <c r="C215" s="1295" t="s">
        <v>1330</v>
      </c>
      <c r="D215" s="1457" t="s">
        <v>1331</v>
      </c>
      <c r="E215" s="1296"/>
      <c r="F215" s="1297"/>
      <c r="G215" s="1281">
        <f t="shared" si="18"/>
        <v>0</v>
      </c>
      <c r="H215" s="1296"/>
      <c r="I215" s="1297"/>
      <c r="J215" s="1276">
        <f t="shared" si="19"/>
        <v>0</v>
      </c>
      <c r="K215" s="1296"/>
      <c r="L215" s="1297"/>
      <c r="M215" s="1370">
        <f t="shared" si="20"/>
        <v>0</v>
      </c>
      <c r="N215" s="1296"/>
      <c r="O215" s="1297"/>
      <c r="P215" s="1281">
        <f t="shared" si="21"/>
        <v>0</v>
      </c>
      <c r="Q215" s="1296"/>
      <c r="R215" s="2870"/>
      <c r="S215" s="1370">
        <f t="shared" si="22"/>
        <v>0</v>
      </c>
      <c r="T215" s="1296"/>
      <c r="U215" s="1297"/>
      <c r="V215" s="1281">
        <f t="shared" si="23"/>
        <v>0</v>
      </c>
      <c r="W215" s="2094"/>
      <c r="X215" s="2094"/>
      <c r="Y215" s="2092"/>
      <c r="Z215" s="1376"/>
    </row>
    <row r="216" spans="1:26" s="1263" customFormat="1" hidden="1" outlineLevel="2">
      <c r="A216" s="1267">
        <v>401</v>
      </c>
      <c r="B216" s="1292" t="s">
        <v>1609</v>
      </c>
      <c r="C216" s="1293" t="s">
        <v>1610</v>
      </c>
      <c r="D216" s="1454"/>
      <c r="E216" s="1279">
        <f>E217*E218/1000</f>
        <v>0</v>
      </c>
      <c r="F216" s="1280">
        <f>F217*F218/1000</f>
        <v>0</v>
      </c>
      <c r="G216" s="1281">
        <f t="shared" si="18"/>
        <v>0</v>
      </c>
      <c r="H216" s="1279">
        <f>H217*H218/1000</f>
        <v>0</v>
      </c>
      <c r="I216" s="1280">
        <f>I217*I218/1000</f>
        <v>0</v>
      </c>
      <c r="J216" s="1276">
        <f t="shared" si="19"/>
        <v>0</v>
      </c>
      <c r="K216" s="1279">
        <f>K217*K218/1000</f>
        <v>0</v>
      </c>
      <c r="L216" s="1280">
        <f>L217*L218/1000</f>
        <v>0</v>
      </c>
      <c r="M216" s="1370">
        <f t="shared" si="20"/>
        <v>0</v>
      </c>
      <c r="N216" s="1279">
        <f>N217*N218/1000</f>
        <v>0</v>
      </c>
      <c r="O216" s="1280">
        <f>O217*O218/1000</f>
        <v>0</v>
      </c>
      <c r="P216" s="1281">
        <f t="shared" si="21"/>
        <v>0</v>
      </c>
      <c r="Q216" s="1279">
        <f>Q217*Q218/1000</f>
        <v>0</v>
      </c>
      <c r="R216" s="2867">
        <f>R217*R218/1000</f>
        <v>0</v>
      </c>
      <c r="S216" s="1370">
        <f t="shared" si="22"/>
        <v>0</v>
      </c>
      <c r="T216" s="1279">
        <f>T217*T218/1000</f>
        <v>0</v>
      </c>
      <c r="U216" s="1280">
        <f>U217*U218/1000</f>
        <v>0</v>
      </c>
      <c r="V216" s="1281">
        <f t="shared" si="23"/>
        <v>0</v>
      </c>
      <c r="W216" s="2093"/>
      <c r="X216" s="2093"/>
      <c r="Y216" s="2092"/>
      <c r="Z216" s="1376"/>
    </row>
    <row r="217" spans="1:26" s="1263" customFormat="1" hidden="1" outlineLevel="2">
      <c r="A217" s="1267">
        <v>557</v>
      </c>
      <c r="B217" s="1294" t="s">
        <v>1611</v>
      </c>
      <c r="C217" s="1295" t="s">
        <v>1327</v>
      </c>
      <c r="D217" s="1457" t="s">
        <v>1328</v>
      </c>
      <c r="E217" s="1296"/>
      <c r="F217" s="1297"/>
      <c r="G217" s="1281">
        <f t="shared" si="18"/>
        <v>0</v>
      </c>
      <c r="H217" s="1296"/>
      <c r="I217" s="1297"/>
      <c r="J217" s="1276">
        <f t="shared" si="19"/>
        <v>0</v>
      </c>
      <c r="K217" s="1296"/>
      <c r="L217" s="1297"/>
      <c r="M217" s="1370">
        <f t="shared" si="20"/>
        <v>0</v>
      </c>
      <c r="N217" s="1296"/>
      <c r="O217" s="1297"/>
      <c r="P217" s="1281">
        <f t="shared" si="21"/>
        <v>0</v>
      </c>
      <c r="Q217" s="1296"/>
      <c r="R217" s="2870"/>
      <c r="S217" s="1370">
        <f t="shared" si="22"/>
        <v>0</v>
      </c>
      <c r="T217" s="1296"/>
      <c r="U217" s="1297"/>
      <c r="V217" s="1281">
        <f t="shared" si="23"/>
        <v>0</v>
      </c>
      <c r="W217" s="2094"/>
      <c r="X217" s="2094"/>
      <c r="Y217" s="2092"/>
      <c r="Z217" s="1376"/>
    </row>
    <row r="218" spans="1:26" s="1263" customFormat="1" hidden="1" outlineLevel="2">
      <c r="A218" s="1267">
        <v>558</v>
      </c>
      <c r="B218" s="1294" t="s">
        <v>1612</v>
      </c>
      <c r="C218" s="1295" t="s">
        <v>1330</v>
      </c>
      <c r="D218" s="1457" t="s">
        <v>1331</v>
      </c>
      <c r="E218" s="1296"/>
      <c r="F218" s="1297"/>
      <c r="G218" s="1281">
        <f t="shared" si="18"/>
        <v>0</v>
      </c>
      <c r="H218" s="1296"/>
      <c r="I218" s="1297"/>
      <c r="J218" s="1276">
        <f t="shared" si="19"/>
        <v>0</v>
      </c>
      <c r="K218" s="1296"/>
      <c r="L218" s="1297"/>
      <c r="M218" s="1370">
        <f t="shared" si="20"/>
        <v>0</v>
      </c>
      <c r="N218" s="1296"/>
      <c r="O218" s="1297"/>
      <c r="P218" s="1281">
        <f t="shared" si="21"/>
        <v>0</v>
      </c>
      <c r="Q218" s="1296"/>
      <c r="R218" s="2870"/>
      <c r="S218" s="1370">
        <f t="shared" si="22"/>
        <v>0</v>
      </c>
      <c r="T218" s="1296"/>
      <c r="U218" s="1297"/>
      <c r="V218" s="1281">
        <f t="shared" si="23"/>
        <v>0</v>
      </c>
      <c r="W218" s="2094"/>
      <c r="X218" s="2094"/>
      <c r="Y218" s="2092"/>
      <c r="Z218" s="1376"/>
    </row>
    <row r="219" spans="1:26" s="1263" customFormat="1" hidden="1" outlineLevel="2">
      <c r="A219" s="1267">
        <v>402</v>
      </c>
      <c r="B219" s="1292" t="s">
        <v>1613</v>
      </c>
      <c r="C219" s="1293" t="s">
        <v>1614</v>
      </c>
      <c r="D219" s="1454"/>
      <c r="E219" s="1279">
        <f>E220*E221/1000</f>
        <v>0</v>
      </c>
      <c r="F219" s="1280">
        <f>F220*F221/1000</f>
        <v>0</v>
      </c>
      <c r="G219" s="1281">
        <f t="shared" si="18"/>
        <v>0</v>
      </c>
      <c r="H219" s="1279">
        <f>H220*H221/1000</f>
        <v>0</v>
      </c>
      <c r="I219" s="1280">
        <f>I220*I221/1000</f>
        <v>0</v>
      </c>
      <c r="J219" s="1276">
        <f t="shared" si="19"/>
        <v>0</v>
      </c>
      <c r="K219" s="1279">
        <f>K220*K221/1000</f>
        <v>0</v>
      </c>
      <c r="L219" s="1280">
        <f>L220*L221/1000</f>
        <v>0</v>
      </c>
      <c r="M219" s="1370">
        <f t="shared" si="20"/>
        <v>0</v>
      </c>
      <c r="N219" s="1279">
        <f>N220*N221/1000</f>
        <v>0</v>
      </c>
      <c r="O219" s="1280">
        <f>O220*O221/1000</f>
        <v>0</v>
      </c>
      <c r="P219" s="1281">
        <f t="shared" si="21"/>
        <v>0</v>
      </c>
      <c r="Q219" s="1279">
        <f>Q220*Q221/1000</f>
        <v>0</v>
      </c>
      <c r="R219" s="2867">
        <f>R220*R221/1000</f>
        <v>0</v>
      </c>
      <c r="S219" s="1370">
        <f t="shared" si="22"/>
        <v>0</v>
      </c>
      <c r="T219" s="1279">
        <f>T220*T221/1000</f>
        <v>0</v>
      </c>
      <c r="U219" s="1280">
        <f>U220*U221/1000</f>
        <v>0</v>
      </c>
      <c r="V219" s="1281">
        <f t="shared" si="23"/>
        <v>0</v>
      </c>
      <c r="W219" s="2093"/>
      <c r="X219" s="2093"/>
      <c r="Y219" s="2092"/>
      <c r="Z219" s="1376"/>
    </row>
    <row r="220" spans="1:26" s="1263" customFormat="1" hidden="1" outlineLevel="2">
      <c r="A220" s="1267">
        <v>559</v>
      </c>
      <c r="B220" s="1294" t="s">
        <v>1615</v>
      </c>
      <c r="C220" s="1295" t="s">
        <v>1327</v>
      </c>
      <c r="D220" s="1457" t="s">
        <v>1328</v>
      </c>
      <c r="E220" s="1296"/>
      <c r="F220" s="1297"/>
      <c r="G220" s="1281">
        <f t="shared" si="18"/>
        <v>0</v>
      </c>
      <c r="H220" s="1296"/>
      <c r="I220" s="1297"/>
      <c r="J220" s="1276">
        <f t="shared" si="19"/>
        <v>0</v>
      </c>
      <c r="K220" s="1296"/>
      <c r="L220" s="1297"/>
      <c r="M220" s="1370">
        <f t="shared" si="20"/>
        <v>0</v>
      </c>
      <c r="N220" s="1296"/>
      <c r="O220" s="1297"/>
      <c r="P220" s="1281">
        <f t="shared" si="21"/>
        <v>0</v>
      </c>
      <c r="Q220" s="1296"/>
      <c r="R220" s="2870"/>
      <c r="S220" s="1370">
        <f t="shared" si="22"/>
        <v>0</v>
      </c>
      <c r="T220" s="1296"/>
      <c r="U220" s="1297"/>
      <c r="V220" s="1281">
        <f t="shared" si="23"/>
        <v>0</v>
      </c>
      <c r="W220" s="2094"/>
      <c r="X220" s="2094"/>
      <c r="Y220" s="2092"/>
      <c r="Z220" s="1376"/>
    </row>
    <row r="221" spans="1:26" s="1263" customFormat="1" hidden="1" outlineLevel="2">
      <c r="A221" s="1267">
        <v>560</v>
      </c>
      <c r="B221" s="1294" t="s">
        <v>1616</v>
      </c>
      <c r="C221" s="1295" t="s">
        <v>1330</v>
      </c>
      <c r="D221" s="1457" t="s">
        <v>1331</v>
      </c>
      <c r="E221" s="1296"/>
      <c r="F221" s="1297"/>
      <c r="G221" s="1281">
        <f t="shared" si="18"/>
        <v>0</v>
      </c>
      <c r="H221" s="1296"/>
      <c r="I221" s="1297"/>
      <c r="J221" s="1276">
        <f t="shared" si="19"/>
        <v>0</v>
      </c>
      <c r="K221" s="1296"/>
      <c r="L221" s="1297"/>
      <c r="M221" s="1370">
        <f t="shared" si="20"/>
        <v>0</v>
      </c>
      <c r="N221" s="1296"/>
      <c r="O221" s="1297"/>
      <c r="P221" s="1281">
        <f t="shared" si="21"/>
        <v>0</v>
      </c>
      <c r="Q221" s="1296"/>
      <c r="R221" s="2870"/>
      <c r="S221" s="1370">
        <f t="shared" si="22"/>
        <v>0</v>
      </c>
      <c r="T221" s="1296"/>
      <c r="U221" s="1297"/>
      <c r="V221" s="1281">
        <f t="shared" si="23"/>
        <v>0</v>
      </c>
      <c r="W221" s="2094"/>
      <c r="X221" s="2094"/>
      <c r="Y221" s="2092"/>
      <c r="Z221" s="1376"/>
    </row>
    <row r="222" spans="1:26" s="1263" customFormat="1" hidden="1" outlineLevel="2">
      <c r="A222" s="1267">
        <v>403</v>
      </c>
      <c r="B222" s="1292" t="s">
        <v>1617</v>
      </c>
      <c r="C222" s="1293" t="s">
        <v>1618</v>
      </c>
      <c r="D222" s="1454"/>
      <c r="E222" s="1279">
        <f>E223*E224/1000</f>
        <v>0</v>
      </c>
      <c r="F222" s="1280">
        <f>F223*F224/1000</f>
        <v>0</v>
      </c>
      <c r="G222" s="1281">
        <f t="shared" si="18"/>
        <v>0</v>
      </c>
      <c r="H222" s="1279">
        <f>H223*H224/1000</f>
        <v>0</v>
      </c>
      <c r="I222" s="1280">
        <f>I223*I224/1000</f>
        <v>0</v>
      </c>
      <c r="J222" s="1276">
        <f t="shared" si="19"/>
        <v>0</v>
      </c>
      <c r="K222" s="1279">
        <f>K223*K224/1000</f>
        <v>0</v>
      </c>
      <c r="L222" s="1280">
        <f>L223*L224/1000</f>
        <v>0</v>
      </c>
      <c r="M222" s="1370">
        <f t="shared" si="20"/>
        <v>0</v>
      </c>
      <c r="N222" s="1279">
        <f>N223*N224/1000</f>
        <v>0</v>
      </c>
      <c r="O222" s="1280">
        <f>O223*O224/1000</f>
        <v>0</v>
      </c>
      <c r="P222" s="1281">
        <f t="shared" si="21"/>
        <v>0</v>
      </c>
      <c r="Q222" s="1279">
        <f>Q223*Q224/1000</f>
        <v>0</v>
      </c>
      <c r="R222" s="2867">
        <f>R223*R224/1000</f>
        <v>0</v>
      </c>
      <c r="S222" s="1370">
        <f t="shared" si="22"/>
        <v>0</v>
      </c>
      <c r="T222" s="1279">
        <f>T223*T224/1000</f>
        <v>0</v>
      </c>
      <c r="U222" s="1280">
        <f>U223*U224/1000</f>
        <v>0</v>
      </c>
      <c r="V222" s="1281">
        <f t="shared" si="23"/>
        <v>0</v>
      </c>
      <c r="W222" s="2093"/>
      <c r="X222" s="2093"/>
      <c r="Y222" s="2092"/>
      <c r="Z222" s="1376"/>
    </row>
    <row r="223" spans="1:26" s="1263" customFormat="1" hidden="1" outlineLevel="2">
      <c r="A223" s="1267">
        <v>561</v>
      </c>
      <c r="B223" s="1294" t="s">
        <v>1619</v>
      </c>
      <c r="C223" s="1295" t="s">
        <v>1327</v>
      </c>
      <c r="D223" s="1457" t="s">
        <v>1328</v>
      </c>
      <c r="E223" s="1296"/>
      <c r="F223" s="1297"/>
      <c r="G223" s="1281">
        <f t="shared" si="18"/>
        <v>0</v>
      </c>
      <c r="H223" s="1296"/>
      <c r="I223" s="1297"/>
      <c r="J223" s="1276">
        <f t="shared" si="19"/>
        <v>0</v>
      </c>
      <c r="K223" s="1296"/>
      <c r="L223" s="1297"/>
      <c r="M223" s="1370">
        <f t="shared" si="20"/>
        <v>0</v>
      </c>
      <c r="N223" s="1296"/>
      <c r="O223" s="1297"/>
      <c r="P223" s="1281">
        <f t="shared" si="21"/>
        <v>0</v>
      </c>
      <c r="Q223" s="1296"/>
      <c r="R223" s="2870"/>
      <c r="S223" s="1370">
        <f t="shared" si="22"/>
        <v>0</v>
      </c>
      <c r="T223" s="1296"/>
      <c r="U223" s="1297"/>
      <c r="V223" s="1281">
        <f t="shared" si="23"/>
        <v>0</v>
      </c>
      <c r="W223" s="2094"/>
      <c r="X223" s="2094"/>
      <c r="Y223" s="2092"/>
      <c r="Z223" s="1376"/>
    </row>
    <row r="224" spans="1:26" s="1263" customFormat="1" hidden="1" outlineLevel="2">
      <c r="A224" s="1267">
        <v>562</v>
      </c>
      <c r="B224" s="1294" t="s">
        <v>1620</v>
      </c>
      <c r="C224" s="1295" t="s">
        <v>1330</v>
      </c>
      <c r="D224" s="1457" t="s">
        <v>1331</v>
      </c>
      <c r="E224" s="1296"/>
      <c r="F224" s="1297"/>
      <c r="G224" s="1281">
        <f t="shared" si="18"/>
        <v>0</v>
      </c>
      <c r="H224" s="1296"/>
      <c r="I224" s="1297"/>
      <c r="J224" s="1276">
        <f t="shared" si="19"/>
        <v>0</v>
      </c>
      <c r="K224" s="1296"/>
      <c r="L224" s="1297"/>
      <c r="M224" s="1370">
        <f t="shared" si="20"/>
        <v>0</v>
      </c>
      <c r="N224" s="1296"/>
      <c r="O224" s="1297"/>
      <c r="P224" s="1281">
        <f t="shared" si="21"/>
        <v>0</v>
      </c>
      <c r="Q224" s="1296"/>
      <c r="R224" s="2870"/>
      <c r="S224" s="1370">
        <f t="shared" si="22"/>
        <v>0</v>
      </c>
      <c r="T224" s="1296"/>
      <c r="U224" s="1297"/>
      <c r="V224" s="1281">
        <f t="shared" si="23"/>
        <v>0</v>
      </c>
      <c r="W224" s="2094"/>
      <c r="X224" s="2094"/>
      <c r="Y224" s="2092"/>
      <c r="Z224" s="1376"/>
    </row>
    <row r="225" spans="1:26" s="1263" customFormat="1" hidden="1" outlineLevel="2">
      <c r="A225" s="1267">
        <v>404</v>
      </c>
      <c r="B225" s="1292" t="s">
        <v>1621</v>
      </c>
      <c r="C225" s="1293" t="s">
        <v>1622</v>
      </c>
      <c r="D225" s="1454"/>
      <c r="E225" s="1279">
        <f>E226*E227/1000</f>
        <v>0</v>
      </c>
      <c r="F225" s="1280">
        <f>F226*F227/1000</f>
        <v>0</v>
      </c>
      <c r="G225" s="1281">
        <f t="shared" si="18"/>
        <v>0</v>
      </c>
      <c r="H225" s="1279">
        <f>H226*H227/1000</f>
        <v>0</v>
      </c>
      <c r="I225" s="1280">
        <f>I226*I227/1000</f>
        <v>0</v>
      </c>
      <c r="J225" s="1276">
        <f t="shared" si="19"/>
        <v>0</v>
      </c>
      <c r="K225" s="1279">
        <f>K226*K227/1000</f>
        <v>0</v>
      </c>
      <c r="L225" s="1280">
        <f>L226*L227/1000</f>
        <v>0</v>
      </c>
      <c r="M225" s="1370">
        <f t="shared" si="20"/>
        <v>0</v>
      </c>
      <c r="N225" s="1279">
        <f>N226*N227/1000</f>
        <v>0</v>
      </c>
      <c r="O225" s="1280">
        <f>O226*O227/1000</f>
        <v>0</v>
      </c>
      <c r="P225" s="1281">
        <f t="shared" si="21"/>
        <v>0</v>
      </c>
      <c r="Q225" s="1279">
        <f>Q226*Q227/1000</f>
        <v>0</v>
      </c>
      <c r="R225" s="2867">
        <f>R226*R227/1000</f>
        <v>0</v>
      </c>
      <c r="S225" s="1370">
        <f t="shared" si="22"/>
        <v>0</v>
      </c>
      <c r="T225" s="1279">
        <f>T226*T227/1000</f>
        <v>0</v>
      </c>
      <c r="U225" s="1280">
        <f>U226*U227/1000</f>
        <v>0</v>
      </c>
      <c r="V225" s="1281">
        <f t="shared" si="23"/>
        <v>0</v>
      </c>
      <c r="W225" s="2093"/>
      <c r="X225" s="2093"/>
      <c r="Y225" s="2092"/>
      <c r="Z225" s="1376"/>
    </row>
    <row r="226" spans="1:26" s="1263" customFormat="1" hidden="1" outlineLevel="2">
      <c r="A226" s="1267">
        <v>563</v>
      </c>
      <c r="B226" s="1294" t="s">
        <v>1623</v>
      </c>
      <c r="C226" s="1295" t="s">
        <v>1327</v>
      </c>
      <c r="D226" s="1457" t="s">
        <v>1328</v>
      </c>
      <c r="E226" s="1296"/>
      <c r="F226" s="1297"/>
      <c r="G226" s="1281">
        <f t="shared" si="18"/>
        <v>0</v>
      </c>
      <c r="H226" s="1296"/>
      <c r="I226" s="1297"/>
      <c r="J226" s="1276">
        <f t="shared" si="19"/>
        <v>0</v>
      </c>
      <c r="K226" s="1296"/>
      <c r="L226" s="1297"/>
      <c r="M226" s="1370">
        <f t="shared" si="20"/>
        <v>0</v>
      </c>
      <c r="N226" s="1296"/>
      <c r="O226" s="1297"/>
      <c r="P226" s="1281">
        <f t="shared" si="21"/>
        <v>0</v>
      </c>
      <c r="Q226" s="1296"/>
      <c r="R226" s="2870"/>
      <c r="S226" s="1370">
        <f t="shared" si="22"/>
        <v>0</v>
      </c>
      <c r="T226" s="1296"/>
      <c r="U226" s="1297"/>
      <c r="V226" s="1281">
        <f t="shared" si="23"/>
        <v>0</v>
      </c>
      <c r="W226" s="2094"/>
      <c r="X226" s="2094"/>
      <c r="Y226" s="2092"/>
      <c r="Z226" s="1376"/>
    </row>
    <row r="227" spans="1:26" s="1263" customFormat="1" hidden="1" outlineLevel="2">
      <c r="A227" s="1267">
        <v>564</v>
      </c>
      <c r="B227" s="1294" t="s">
        <v>1624</v>
      </c>
      <c r="C227" s="1295" t="s">
        <v>1330</v>
      </c>
      <c r="D227" s="1457" t="s">
        <v>1331</v>
      </c>
      <c r="E227" s="1296"/>
      <c r="F227" s="1297"/>
      <c r="G227" s="1281">
        <f t="shared" si="18"/>
        <v>0</v>
      </c>
      <c r="H227" s="1296"/>
      <c r="I227" s="1297"/>
      <c r="J227" s="1276">
        <f t="shared" si="19"/>
        <v>0</v>
      </c>
      <c r="K227" s="1296"/>
      <c r="L227" s="1297"/>
      <c r="M227" s="1370">
        <f t="shared" si="20"/>
        <v>0</v>
      </c>
      <c r="N227" s="1296"/>
      <c r="O227" s="1297"/>
      <c r="P227" s="1281">
        <f t="shared" si="21"/>
        <v>0</v>
      </c>
      <c r="Q227" s="1296"/>
      <c r="R227" s="2870"/>
      <c r="S227" s="1370">
        <f t="shared" si="22"/>
        <v>0</v>
      </c>
      <c r="T227" s="1296"/>
      <c r="U227" s="1297"/>
      <c r="V227" s="1281">
        <f t="shared" si="23"/>
        <v>0</v>
      </c>
      <c r="W227" s="2094"/>
      <c r="X227" s="2094"/>
      <c r="Y227" s="2092"/>
      <c r="Z227" s="1376"/>
    </row>
    <row r="228" spans="1:26" s="1263" customFormat="1" hidden="1" outlineLevel="2">
      <c r="A228" s="1267">
        <v>405</v>
      </c>
      <c r="B228" s="1292" t="s">
        <v>1625</v>
      </c>
      <c r="C228" s="1293" t="s">
        <v>1626</v>
      </c>
      <c r="D228" s="1454"/>
      <c r="E228" s="1279">
        <f>E229*E230/1000</f>
        <v>0</v>
      </c>
      <c r="F228" s="1280">
        <f>F229*F230/1000</f>
        <v>0</v>
      </c>
      <c r="G228" s="1281">
        <f t="shared" si="18"/>
        <v>0</v>
      </c>
      <c r="H228" s="1279">
        <f>H229*H230/1000</f>
        <v>0</v>
      </c>
      <c r="I228" s="1280">
        <f>I229*I230/1000</f>
        <v>0</v>
      </c>
      <c r="J228" s="1276">
        <f t="shared" si="19"/>
        <v>0</v>
      </c>
      <c r="K228" s="1279">
        <f>K229*K230/1000</f>
        <v>0</v>
      </c>
      <c r="L228" s="1280">
        <f>L229*L230/1000</f>
        <v>0</v>
      </c>
      <c r="M228" s="1370">
        <f t="shared" si="20"/>
        <v>0</v>
      </c>
      <c r="N228" s="1279">
        <f>N229*N230/1000</f>
        <v>0</v>
      </c>
      <c r="O228" s="1280">
        <f>O229*O230/1000</f>
        <v>0</v>
      </c>
      <c r="P228" s="1281">
        <f t="shared" si="21"/>
        <v>0</v>
      </c>
      <c r="Q228" s="1279">
        <f>Q229*Q230/1000</f>
        <v>0</v>
      </c>
      <c r="R228" s="2867">
        <f>R229*R230/1000</f>
        <v>0</v>
      </c>
      <c r="S228" s="1370">
        <f t="shared" si="22"/>
        <v>0</v>
      </c>
      <c r="T228" s="1279">
        <f>T229*T230/1000</f>
        <v>0</v>
      </c>
      <c r="U228" s="1280">
        <f>U229*U230/1000</f>
        <v>0</v>
      </c>
      <c r="V228" s="1281">
        <f t="shared" si="23"/>
        <v>0</v>
      </c>
      <c r="W228" s="2093"/>
      <c r="X228" s="2093"/>
      <c r="Y228" s="2092"/>
      <c r="Z228" s="1376"/>
    </row>
    <row r="229" spans="1:26" s="1263" customFormat="1" hidden="1" outlineLevel="2">
      <c r="A229" s="1267">
        <v>565</v>
      </c>
      <c r="B229" s="1294" t="s">
        <v>1627</v>
      </c>
      <c r="C229" s="1295" t="s">
        <v>1327</v>
      </c>
      <c r="D229" s="1457" t="s">
        <v>1328</v>
      </c>
      <c r="E229" s="1296"/>
      <c r="F229" s="1297"/>
      <c r="G229" s="1281">
        <f t="shared" si="18"/>
        <v>0</v>
      </c>
      <c r="H229" s="1296"/>
      <c r="I229" s="1297"/>
      <c r="J229" s="1276">
        <f t="shared" si="19"/>
        <v>0</v>
      </c>
      <c r="K229" s="1296"/>
      <c r="L229" s="1297"/>
      <c r="M229" s="1370">
        <f t="shared" si="20"/>
        <v>0</v>
      </c>
      <c r="N229" s="1296"/>
      <c r="O229" s="1297"/>
      <c r="P229" s="1281">
        <f t="shared" si="21"/>
        <v>0</v>
      </c>
      <c r="Q229" s="1296"/>
      <c r="R229" s="2870"/>
      <c r="S229" s="1370">
        <f t="shared" si="22"/>
        <v>0</v>
      </c>
      <c r="T229" s="1296"/>
      <c r="U229" s="1297"/>
      <c r="V229" s="1281">
        <f t="shared" si="23"/>
        <v>0</v>
      </c>
      <c r="W229" s="2094"/>
      <c r="X229" s="2094"/>
      <c r="Y229" s="2092"/>
      <c r="Z229" s="1376"/>
    </row>
    <row r="230" spans="1:26" s="1263" customFormat="1" hidden="1" outlineLevel="2">
      <c r="A230" s="1267">
        <v>566</v>
      </c>
      <c r="B230" s="1294" t="s">
        <v>1628</v>
      </c>
      <c r="C230" s="1295" t="s">
        <v>1330</v>
      </c>
      <c r="D230" s="1457" t="s">
        <v>1331</v>
      </c>
      <c r="E230" s="1296"/>
      <c r="F230" s="1297"/>
      <c r="G230" s="1281">
        <f t="shared" si="18"/>
        <v>0</v>
      </c>
      <c r="H230" s="1296"/>
      <c r="I230" s="1297"/>
      <c r="J230" s="1276">
        <f t="shared" si="19"/>
        <v>0</v>
      </c>
      <c r="K230" s="1296"/>
      <c r="L230" s="1297"/>
      <c r="M230" s="1370">
        <f t="shared" si="20"/>
        <v>0</v>
      </c>
      <c r="N230" s="1296"/>
      <c r="O230" s="1297"/>
      <c r="P230" s="1281">
        <f t="shared" si="21"/>
        <v>0</v>
      </c>
      <c r="Q230" s="1296"/>
      <c r="R230" s="2870"/>
      <c r="S230" s="1370">
        <f t="shared" si="22"/>
        <v>0</v>
      </c>
      <c r="T230" s="1296"/>
      <c r="U230" s="1297"/>
      <c r="V230" s="1281">
        <f t="shared" si="23"/>
        <v>0</v>
      </c>
      <c r="W230" s="2094"/>
      <c r="X230" s="2094"/>
      <c r="Y230" s="2092"/>
      <c r="Z230" s="1376"/>
    </row>
    <row r="231" spans="1:26" s="1263" customFormat="1" hidden="1" outlineLevel="2">
      <c r="A231" s="1267">
        <v>406</v>
      </c>
      <c r="B231" s="1292" t="s">
        <v>1629</v>
      </c>
      <c r="C231" s="1293" t="s">
        <v>1630</v>
      </c>
      <c r="D231" s="1454"/>
      <c r="E231" s="1279">
        <f>E232*E233/1000</f>
        <v>0</v>
      </c>
      <c r="F231" s="1280">
        <f>F232*F233/1000</f>
        <v>0</v>
      </c>
      <c r="G231" s="1281">
        <f t="shared" si="18"/>
        <v>0</v>
      </c>
      <c r="H231" s="1279">
        <f>H232*H233/1000</f>
        <v>0</v>
      </c>
      <c r="I231" s="1280">
        <f>I232*I233/1000</f>
        <v>0</v>
      </c>
      <c r="J231" s="1276">
        <f t="shared" si="19"/>
        <v>0</v>
      </c>
      <c r="K231" s="1279">
        <f>K232*K233/1000</f>
        <v>0</v>
      </c>
      <c r="L231" s="1280">
        <f>L232*L233/1000</f>
        <v>0</v>
      </c>
      <c r="M231" s="1370">
        <f t="shared" si="20"/>
        <v>0</v>
      </c>
      <c r="N231" s="1279">
        <f>N232*N233/1000</f>
        <v>0</v>
      </c>
      <c r="O231" s="1280">
        <f>O232*O233/1000</f>
        <v>0</v>
      </c>
      <c r="P231" s="1281">
        <f t="shared" si="21"/>
        <v>0</v>
      </c>
      <c r="Q231" s="1279">
        <f>Q232*Q233/1000</f>
        <v>0</v>
      </c>
      <c r="R231" s="2867">
        <f>R232*R233/1000</f>
        <v>0</v>
      </c>
      <c r="S231" s="1370">
        <f t="shared" si="22"/>
        <v>0</v>
      </c>
      <c r="T231" s="1279">
        <f>T232*T233/1000</f>
        <v>0</v>
      </c>
      <c r="U231" s="1280">
        <f>U232*U233/1000</f>
        <v>0</v>
      </c>
      <c r="V231" s="1281">
        <f t="shared" si="23"/>
        <v>0</v>
      </c>
      <c r="W231" s="2093"/>
      <c r="X231" s="2093"/>
      <c r="Y231" s="2092"/>
      <c r="Z231" s="1376"/>
    </row>
    <row r="232" spans="1:26" s="1263" customFormat="1" hidden="1" outlineLevel="2">
      <c r="A232" s="1267">
        <v>567</v>
      </c>
      <c r="B232" s="1294" t="s">
        <v>1631</v>
      </c>
      <c r="C232" s="1295" t="s">
        <v>1327</v>
      </c>
      <c r="D232" s="1457" t="s">
        <v>1328</v>
      </c>
      <c r="E232" s="1296"/>
      <c r="F232" s="1297"/>
      <c r="G232" s="1281">
        <f t="shared" si="18"/>
        <v>0</v>
      </c>
      <c r="H232" s="1296"/>
      <c r="I232" s="1297"/>
      <c r="J232" s="1276">
        <f t="shared" si="19"/>
        <v>0</v>
      </c>
      <c r="K232" s="1296"/>
      <c r="L232" s="1297"/>
      <c r="M232" s="1370">
        <f t="shared" si="20"/>
        <v>0</v>
      </c>
      <c r="N232" s="1296"/>
      <c r="O232" s="1297"/>
      <c r="P232" s="1281">
        <f t="shared" si="21"/>
        <v>0</v>
      </c>
      <c r="Q232" s="1296"/>
      <c r="R232" s="2870"/>
      <c r="S232" s="1370">
        <f t="shared" si="22"/>
        <v>0</v>
      </c>
      <c r="T232" s="1296"/>
      <c r="U232" s="1297"/>
      <c r="V232" s="1281">
        <f t="shared" si="23"/>
        <v>0</v>
      </c>
      <c r="W232" s="2094"/>
      <c r="X232" s="2094"/>
      <c r="Y232" s="2092"/>
      <c r="Z232" s="1376"/>
    </row>
    <row r="233" spans="1:26" s="1263" customFormat="1" hidden="1" outlineLevel="2">
      <c r="A233" s="1267">
        <v>568</v>
      </c>
      <c r="B233" s="1294" t="s">
        <v>1632</v>
      </c>
      <c r="C233" s="1295" t="s">
        <v>1330</v>
      </c>
      <c r="D233" s="1457" t="s">
        <v>1331</v>
      </c>
      <c r="E233" s="1296"/>
      <c r="F233" s="1297"/>
      <c r="G233" s="1281">
        <f t="shared" si="18"/>
        <v>0</v>
      </c>
      <c r="H233" s="1296"/>
      <c r="I233" s="1297"/>
      <c r="J233" s="1276">
        <f t="shared" si="19"/>
        <v>0</v>
      </c>
      <c r="K233" s="1296"/>
      <c r="L233" s="1297"/>
      <c r="M233" s="1370">
        <f t="shared" si="20"/>
        <v>0</v>
      </c>
      <c r="N233" s="1296"/>
      <c r="O233" s="1297"/>
      <c r="P233" s="1281">
        <f t="shared" si="21"/>
        <v>0</v>
      </c>
      <c r="Q233" s="1296"/>
      <c r="R233" s="2870"/>
      <c r="S233" s="1370">
        <f t="shared" si="22"/>
        <v>0</v>
      </c>
      <c r="T233" s="1296"/>
      <c r="U233" s="1297"/>
      <c r="V233" s="1281">
        <f t="shared" si="23"/>
        <v>0</v>
      </c>
      <c r="W233" s="2094"/>
      <c r="X233" s="2094"/>
      <c r="Y233" s="2092"/>
      <c r="Z233" s="1376"/>
    </row>
    <row r="234" spans="1:26" s="1263" customFormat="1" hidden="1" outlineLevel="2">
      <c r="A234" s="1267">
        <v>407</v>
      </c>
      <c r="B234" s="1292" t="s">
        <v>1633</v>
      </c>
      <c r="C234" s="1293" t="s">
        <v>1634</v>
      </c>
      <c r="D234" s="1454"/>
      <c r="E234" s="1279">
        <f>E235*E236/1000</f>
        <v>0</v>
      </c>
      <c r="F234" s="1280">
        <f>F235*F236/1000</f>
        <v>0</v>
      </c>
      <c r="G234" s="1281">
        <f t="shared" si="18"/>
        <v>0</v>
      </c>
      <c r="H234" s="1279">
        <f>H235*H236/1000</f>
        <v>0</v>
      </c>
      <c r="I234" s="1280">
        <f>I235*I236/1000</f>
        <v>0</v>
      </c>
      <c r="J234" s="1276">
        <f t="shared" si="19"/>
        <v>0</v>
      </c>
      <c r="K234" s="1279">
        <f>K235*K236/1000</f>
        <v>0</v>
      </c>
      <c r="L234" s="1280">
        <f>L235*L236/1000</f>
        <v>0</v>
      </c>
      <c r="M234" s="1370">
        <f t="shared" si="20"/>
        <v>0</v>
      </c>
      <c r="N234" s="1279">
        <f>N235*N236/1000</f>
        <v>0</v>
      </c>
      <c r="O234" s="1280">
        <f>O235*O236/1000</f>
        <v>0</v>
      </c>
      <c r="P234" s="1281">
        <f t="shared" si="21"/>
        <v>0</v>
      </c>
      <c r="Q234" s="1279">
        <f>Q235*Q236/1000</f>
        <v>0</v>
      </c>
      <c r="R234" s="2867">
        <f>R235*R236/1000</f>
        <v>0</v>
      </c>
      <c r="S234" s="1370">
        <f t="shared" si="22"/>
        <v>0</v>
      </c>
      <c r="T234" s="1279">
        <f>T235*T236/1000</f>
        <v>0</v>
      </c>
      <c r="U234" s="1280">
        <f>U235*U236/1000</f>
        <v>0</v>
      </c>
      <c r="V234" s="1281">
        <f t="shared" si="23"/>
        <v>0</v>
      </c>
      <c r="W234" s="2093"/>
      <c r="X234" s="2093"/>
      <c r="Y234" s="2092"/>
      <c r="Z234" s="1376"/>
    </row>
    <row r="235" spans="1:26" s="1263" customFormat="1" hidden="1" outlineLevel="2">
      <c r="A235" s="1267">
        <v>569</v>
      </c>
      <c r="B235" s="1294" t="s">
        <v>1635</v>
      </c>
      <c r="C235" s="1295" t="s">
        <v>1327</v>
      </c>
      <c r="D235" s="1457" t="s">
        <v>1328</v>
      </c>
      <c r="E235" s="1296"/>
      <c r="F235" s="1297"/>
      <c r="G235" s="1281">
        <f t="shared" si="18"/>
        <v>0</v>
      </c>
      <c r="H235" s="1296"/>
      <c r="I235" s="1297"/>
      <c r="J235" s="1276">
        <f t="shared" si="19"/>
        <v>0</v>
      </c>
      <c r="K235" s="1296"/>
      <c r="L235" s="1297"/>
      <c r="M235" s="1370">
        <f t="shared" si="20"/>
        <v>0</v>
      </c>
      <c r="N235" s="1296"/>
      <c r="O235" s="1297"/>
      <c r="P235" s="1281">
        <f t="shared" si="21"/>
        <v>0</v>
      </c>
      <c r="Q235" s="1296"/>
      <c r="R235" s="2870"/>
      <c r="S235" s="1370">
        <f t="shared" si="22"/>
        <v>0</v>
      </c>
      <c r="T235" s="1296"/>
      <c r="U235" s="1297"/>
      <c r="V235" s="1281">
        <f t="shared" si="23"/>
        <v>0</v>
      </c>
      <c r="W235" s="2094"/>
      <c r="X235" s="2094"/>
      <c r="Y235" s="2092"/>
      <c r="Z235" s="1376"/>
    </row>
    <row r="236" spans="1:26" s="1263" customFormat="1" hidden="1" outlineLevel="2">
      <c r="A236" s="1267">
        <v>570</v>
      </c>
      <c r="B236" s="1294" t="s">
        <v>1636</v>
      </c>
      <c r="C236" s="1295" t="s">
        <v>1330</v>
      </c>
      <c r="D236" s="1457" t="s">
        <v>1331</v>
      </c>
      <c r="E236" s="1296"/>
      <c r="F236" s="1297"/>
      <c r="G236" s="1281">
        <f t="shared" si="18"/>
        <v>0</v>
      </c>
      <c r="H236" s="1296"/>
      <c r="I236" s="1297"/>
      <c r="J236" s="1276">
        <f t="shared" si="19"/>
        <v>0</v>
      </c>
      <c r="K236" s="1296"/>
      <c r="L236" s="1297"/>
      <c r="M236" s="1370">
        <f t="shared" si="20"/>
        <v>0</v>
      </c>
      <c r="N236" s="1296"/>
      <c r="O236" s="1297"/>
      <c r="P236" s="1281">
        <f t="shared" si="21"/>
        <v>0</v>
      </c>
      <c r="Q236" s="1296"/>
      <c r="R236" s="2870"/>
      <c r="S236" s="1370">
        <f t="shared" si="22"/>
        <v>0</v>
      </c>
      <c r="T236" s="1296"/>
      <c r="U236" s="1297"/>
      <c r="V236" s="1281">
        <f t="shared" si="23"/>
        <v>0</v>
      </c>
      <c r="W236" s="2094"/>
      <c r="X236" s="2094"/>
      <c r="Y236" s="2092"/>
      <c r="Z236" s="1376"/>
    </row>
    <row r="237" spans="1:26" s="1263" customFormat="1" hidden="1" outlineLevel="2">
      <c r="A237" s="1267">
        <v>408</v>
      </c>
      <c r="B237" s="1292" t="s">
        <v>1637</v>
      </c>
      <c r="C237" s="1293" t="s">
        <v>1638</v>
      </c>
      <c r="D237" s="1454"/>
      <c r="E237" s="1279">
        <f>E238*E239/1000</f>
        <v>0</v>
      </c>
      <c r="F237" s="1280">
        <f>F238*F239/1000</f>
        <v>0</v>
      </c>
      <c r="G237" s="1281">
        <f t="shared" si="18"/>
        <v>0</v>
      </c>
      <c r="H237" s="1279">
        <f>H238*H239/1000</f>
        <v>0</v>
      </c>
      <c r="I237" s="1280">
        <f>I238*I239/1000</f>
        <v>0</v>
      </c>
      <c r="J237" s="1276">
        <f t="shared" si="19"/>
        <v>0</v>
      </c>
      <c r="K237" s="1279">
        <f>K238*K239/1000</f>
        <v>0</v>
      </c>
      <c r="L237" s="1280">
        <f>L238*L239/1000</f>
        <v>0</v>
      </c>
      <c r="M237" s="1370">
        <f t="shared" si="20"/>
        <v>0</v>
      </c>
      <c r="N237" s="1279">
        <f>N238*N239/1000</f>
        <v>0</v>
      </c>
      <c r="O237" s="1280">
        <f>O238*O239/1000</f>
        <v>0</v>
      </c>
      <c r="P237" s="1281">
        <f t="shared" si="21"/>
        <v>0</v>
      </c>
      <c r="Q237" s="1279">
        <f>Q238*Q239/1000</f>
        <v>0</v>
      </c>
      <c r="R237" s="2867">
        <f>R238*R239/1000</f>
        <v>0</v>
      </c>
      <c r="S237" s="1370">
        <f t="shared" si="22"/>
        <v>0</v>
      </c>
      <c r="T237" s="1279">
        <f>T238*T239/1000</f>
        <v>0</v>
      </c>
      <c r="U237" s="1280">
        <f>U238*U239/1000</f>
        <v>0</v>
      </c>
      <c r="V237" s="1281">
        <f t="shared" si="23"/>
        <v>0</v>
      </c>
      <c r="W237" s="2093"/>
      <c r="X237" s="2093"/>
      <c r="Y237" s="2092"/>
      <c r="Z237" s="1376"/>
    </row>
    <row r="238" spans="1:26" s="1263" customFormat="1" hidden="1" outlineLevel="2">
      <c r="A238" s="1267">
        <v>571</v>
      </c>
      <c r="B238" s="1294" t="s">
        <v>1639</v>
      </c>
      <c r="C238" s="1295" t="s">
        <v>1327</v>
      </c>
      <c r="D238" s="1457" t="s">
        <v>1328</v>
      </c>
      <c r="E238" s="1296"/>
      <c r="F238" s="1297"/>
      <c r="G238" s="1281">
        <f t="shared" si="18"/>
        <v>0</v>
      </c>
      <c r="H238" s="1296"/>
      <c r="I238" s="1297"/>
      <c r="J238" s="1276">
        <f t="shared" si="19"/>
        <v>0</v>
      </c>
      <c r="K238" s="1296"/>
      <c r="L238" s="1297"/>
      <c r="M238" s="1370">
        <f t="shared" si="20"/>
        <v>0</v>
      </c>
      <c r="N238" s="1296"/>
      <c r="O238" s="1297"/>
      <c r="P238" s="1281">
        <f t="shared" si="21"/>
        <v>0</v>
      </c>
      <c r="Q238" s="1296"/>
      <c r="R238" s="2870"/>
      <c r="S238" s="1370">
        <f t="shared" si="22"/>
        <v>0</v>
      </c>
      <c r="T238" s="1296"/>
      <c r="U238" s="1297"/>
      <c r="V238" s="1281">
        <f t="shared" si="23"/>
        <v>0</v>
      </c>
      <c r="W238" s="2094"/>
      <c r="X238" s="2094"/>
      <c r="Y238" s="2092"/>
      <c r="Z238" s="1376"/>
    </row>
    <row r="239" spans="1:26" s="1263" customFormat="1" hidden="1" outlineLevel="2">
      <c r="A239" s="1267">
        <v>572</v>
      </c>
      <c r="B239" s="1294" t="s">
        <v>1640</v>
      </c>
      <c r="C239" s="1295" t="s">
        <v>1330</v>
      </c>
      <c r="D239" s="1457" t="s">
        <v>1331</v>
      </c>
      <c r="E239" s="1296"/>
      <c r="F239" s="1297"/>
      <c r="G239" s="1281">
        <f t="shared" si="18"/>
        <v>0</v>
      </c>
      <c r="H239" s="1296"/>
      <c r="I239" s="1297"/>
      <c r="J239" s="1276">
        <f t="shared" si="19"/>
        <v>0</v>
      </c>
      <c r="K239" s="1296"/>
      <c r="L239" s="1297"/>
      <c r="M239" s="1370">
        <f t="shared" si="20"/>
        <v>0</v>
      </c>
      <c r="N239" s="1296"/>
      <c r="O239" s="1297"/>
      <c r="P239" s="1281">
        <f t="shared" si="21"/>
        <v>0</v>
      </c>
      <c r="Q239" s="1296"/>
      <c r="R239" s="2870"/>
      <c r="S239" s="1370">
        <f t="shared" si="22"/>
        <v>0</v>
      </c>
      <c r="T239" s="1296"/>
      <c r="U239" s="1297"/>
      <c r="V239" s="1281">
        <f t="shared" si="23"/>
        <v>0</v>
      </c>
      <c r="W239" s="2094"/>
      <c r="X239" s="2094"/>
      <c r="Y239" s="2092"/>
      <c r="Z239" s="1376"/>
    </row>
    <row r="240" spans="1:26" s="1263" customFormat="1" hidden="1" outlineLevel="2">
      <c r="A240" s="1267">
        <v>409</v>
      </c>
      <c r="B240" s="1292" t="s">
        <v>1641</v>
      </c>
      <c r="C240" s="1293" t="s">
        <v>1642</v>
      </c>
      <c r="D240" s="1454"/>
      <c r="E240" s="1279">
        <f>E241*E242/1000</f>
        <v>0</v>
      </c>
      <c r="F240" s="1280">
        <f>F241*F242/1000</f>
        <v>0</v>
      </c>
      <c r="G240" s="1281">
        <f t="shared" si="18"/>
        <v>0</v>
      </c>
      <c r="H240" s="1279">
        <f>H241*H242/1000</f>
        <v>0</v>
      </c>
      <c r="I240" s="1280">
        <f>I241*I242/1000</f>
        <v>0</v>
      </c>
      <c r="J240" s="1276">
        <f t="shared" si="19"/>
        <v>0</v>
      </c>
      <c r="K240" s="1279">
        <f>K241*K242/1000</f>
        <v>0</v>
      </c>
      <c r="L240" s="1280">
        <f>L241*L242/1000</f>
        <v>0</v>
      </c>
      <c r="M240" s="1370">
        <f t="shared" si="20"/>
        <v>0</v>
      </c>
      <c r="N240" s="1279">
        <f>N241*N242/1000</f>
        <v>0</v>
      </c>
      <c r="O240" s="1280">
        <f>O241*O242/1000</f>
        <v>0</v>
      </c>
      <c r="P240" s="1281">
        <f t="shared" si="21"/>
        <v>0</v>
      </c>
      <c r="Q240" s="1279">
        <f>Q241*Q242/1000</f>
        <v>0</v>
      </c>
      <c r="R240" s="2867">
        <f>R241*R242/1000</f>
        <v>0</v>
      </c>
      <c r="S240" s="1370">
        <f t="shared" si="22"/>
        <v>0</v>
      </c>
      <c r="T240" s="1279">
        <f>T241*T242/1000</f>
        <v>0</v>
      </c>
      <c r="U240" s="1280">
        <f>U241*U242/1000</f>
        <v>0</v>
      </c>
      <c r="V240" s="1281">
        <f t="shared" si="23"/>
        <v>0</v>
      </c>
      <c r="W240" s="2093"/>
      <c r="X240" s="2093"/>
      <c r="Y240" s="2092"/>
      <c r="Z240" s="1376"/>
    </row>
    <row r="241" spans="1:26" s="1263" customFormat="1" hidden="1" outlineLevel="2">
      <c r="A241" s="1267">
        <v>573</v>
      </c>
      <c r="B241" s="1294" t="s">
        <v>1643</v>
      </c>
      <c r="C241" s="1295" t="s">
        <v>1327</v>
      </c>
      <c r="D241" s="1457" t="s">
        <v>1328</v>
      </c>
      <c r="E241" s="1296"/>
      <c r="F241" s="1297"/>
      <c r="G241" s="1281">
        <f t="shared" si="18"/>
        <v>0</v>
      </c>
      <c r="H241" s="1296"/>
      <c r="I241" s="1297"/>
      <c r="J241" s="1276">
        <f t="shared" si="19"/>
        <v>0</v>
      </c>
      <c r="K241" s="1296"/>
      <c r="L241" s="1297"/>
      <c r="M241" s="1370">
        <f t="shared" si="20"/>
        <v>0</v>
      </c>
      <c r="N241" s="1296"/>
      <c r="O241" s="1297"/>
      <c r="P241" s="1281">
        <f t="shared" si="21"/>
        <v>0</v>
      </c>
      <c r="Q241" s="1296"/>
      <c r="R241" s="2870"/>
      <c r="S241" s="1370">
        <f t="shared" si="22"/>
        <v>0</v>
      </c>
      <c r="T241" s="1296"/>
      <c r="U241" s="1297"/>
      <c r="V241" s="1281">
        <f t="shared" si="23"/>
        <v>0</v>
      </c>
      <c r="W241" s="2094"/>
      <c r="X241" s="2094"/>
      <c r="Y241" s="2092"/>
      <c r="Z241" s="1376"/>
    </row>
    <row r="242" spans="1:26" s="1263" customFormat="1" hidden="1" outlineLevel="2">
      <c r="A242" s="1267">
        <v>574</v>
      </c>
      <c r="B242" s="1294" t="s">
        <v>1644</v>
      </c>
      <c r="C242" s="1295" t="s">
        <v>1330</v>
      </c>
      <c r="D242" s="1457" t="s">
        <v>1331</v>
      </c>
      <c r="E242" s="1296"/>
      <c r="F242" s="1297"/>
      <c r="G242" s="1281">
        <f t="shared" si="18"/>
        <v>0</v>
      </c>
      <c r="H242" s="1296"/>
      <c r="I242" s="1297"/>
      <c r="J242" s="1276">
        <f t="shared" si="19"/>
        <v>0</v>
      </c>
      <c r="K242" s="1296"/>
      <c r="L242" s="1297"/>
      <c r="M242" s="1370">
        <f t="shared" si="20"/>
        <v>0</v>
      </c>
      <c r="N242" s="1296"/>
      <c r="O242" s="1297"/>
      <c r="P242" s="1281">
        <f t="shared" si="21"/>
        <v>0</v>
      </c>
      <c r="Q242" s="1296"/>
      <c r="R242" s="2870"/>
      <c r="S242" s="1370">
        <f t="shared" si="22"/>
        <v>0</v>
      </c>
      <c r="T242" s="1296"/>
      <c r="U242" s="1297"/>
      <c r="V242" s="1281">
        <f t="shared" si="23"/>
        <v>0</v>
      </c>
      <c r="W242" s="2094"/>
      <c r="X242" s="2094"/>
      <c r="Y242" s="2092"/>
      <c r="Z242" s="1376"/>
    </row>
    <row r="243" spans="1:26" s="1263" customFormat="1" hidden="1" outlineLevel="2">
      <c r="A243" s="1267">
        <v>410</v>
      </c>
      <c r="B243" s="1292" t="s">
        <v>1645</v>
      </c>
      <c r="C243" s="1293" t="s">
        <v>1646</v>
      </c>
      <c r="D243" s="1454"/>
      <c r="E243" s="1279">
        <f>E244*E245/1000</f>
        <v>0</v>
      </c>
      <c r="F243" s="1280">
        <f>F244*F245/1000</f>
        <v>0</v>
      </c>
      <c r="G243" s="1281">
        <f t="shared" si="18"/>
        <v>0</v>
      </c>
      <c r="H243" s="1279">
        <f>H244*H245/1000</f>
        <v>0</v>
      </c>
      <c r="I243" s="1280">
        <f>I244*I245/1000</f>
        <v>0</v>
      </c>
      <c r="J243" s="1276">
        <f t="shared" si="19"/>
        <v>0</v>
      </c>
      <c r="K243" s="1279">
        <f>K244*K245/1000</f>
        <v>0</v>
      </c>
      <c r="L243" s="1280">
        <f>L244*L245/1000</f>
        <v>0</v>
      </c>
      <c r="M243" s="1370">
        <f t="shared" si="20"/>
        <v>0</v>
      </c>
      <c r="N243" s="1279">
        <f>N244*N245/1000</f>
        <v>0</v>
      </c>
      <c r="O243" s="1280">
        <f>O244*O245/1000</f>
        <v>0</v>
      </c>
      <c r="P243" s="1281">
        <f t="shared" si="21"/>
        <v>0</v>
      </c>
      <c r="Q243" s="1279">
        <f>Q244*Q245/1000</f>
        <v>0</v>
      </c>
      <c r="R243" s="2867">
        <f>R244*R245/1000</f>
        <v>0</v>
      </c>
      <c r="S243" s="1370">
        <f t="shared" si="22"/>
        <v>0</v>
      </c>
      <c r="T243" s="1279">
        <f>T244*T245/1000</f>
        <v>0</v>
      </c>
      <c r="U243" s="1280">
        <f>U244*U245/1000</f>
        <v>0</v>
      </c>
      <c r="V243" s="1281">
        <f t="shared" si="23"/>
        <v>0</v>
      </c>
      <c r="W243" s="2093"/>
      <c r="X243" s="2093"/>
      <c r="Y243" s="2092"/>
      <c r="Z243" s="1376"/>
    </row>
    <row r="244" spans="1:26" s="1263" customFormat="1" hidden="1" outlineLevel="2">
      <c r="A244" s="1267">
        <v>575</v>
      </c>
      <c r="B244" s="1294" t="s">
        <v>1647</v>
      </c>
      <c r="C244" s="1295" t="s">
        <v>1327</v>
      </c>
      <c r="D244" s="1457" t="s">
        <v>1328</v>
      </c>
      <c r="E244" s="1296"/>
      <c r="F244" s="1297"/>
      <c r="G244" s="1281">
        <f t="shared" si="18"/>
        <v>0</v>
      </c>
      <c r="H244" s="1296"/>
      <c r="I244" s="1297"/>
      <c r="J244" s="1276">
        <f t="shared" si="19"/>
        <v>0</v>
      </c>
      <c r="K244" s="1296"/>
      <c r="L244" s="1297"/>
      <c r="M244" s="1370">
        <f t="shared" si="20"/>
        <v>0</v>
      </c>
      <c r="N244" s="1296"/>
      <c r="O244" s="1297"/>
      <c r="P244" s="1281">
        <f t="shared" si="21"/>
        <v>0</v>
      </c>
      <c r="Q244" s="1296"/>
      <c r="R244" s="2870"/>
      <c r="S244" s="1370">
        <f t="shared" si="22"/>
        <v>0</v>
      </c>
      <c r="T244" s="1296"/>
      <c r="U244" s="1297"/>
      <c r="V244" s="1281">
        <f t="shared" si="23"/>
        <v>0</v>
      </c>
      <c r="W244" s="2094"/>
      <c r="X244" s="2094"/>
      <c r="Y244" s="2092"/>
      <c r="Z244" s="1376"/>
    </row>
    <row r="245" spans="1:26" s="1263" customFormat="1" hidden="1" outlineLevel="2">
      <c r="A245" s="1267">
        <v>576</v>
      </c>
      <c r="B245" s="1294" t="s">
        <v>1648</v>
      </c>
      <c r="C245" s="1295" t="s">
        <v>1330</v>
      </c>
      <c r="D245" s="1457" t="s">
        <v>1331</v>
      </c>
      <c r="E245" s="1296"/>
      <c r="F245" s="1297"/>
      <c r="G245" s="1281">
        <f t="shared" si="18"/>
        <v>0</v>
      </c>
      <c r="H245" s="1296"/>
      <c r="I245" s="1297"/>
      <c r="J245" s="1276">
        <f t="shared" si="19"/>
        <v>0</v>
      </c>
      <c r="K245" s="1296"/>
      <c r="L245" s="1297"/>
      <c r="M245" s="1370">
        <f t="shared" si="20"/>
        <v>0</v>
      </c>
      <c r="N245" s="1296"/>
      <c r="O245" s="1297"/>
      <c r="P245" s="1281">
        <f t="shared" si="21"/>
        <v>0</v>
      </c>
      <c r="Q245" s="1296"/>
      <c r="R245" s="2870"/>
      <c r="S245" s="1370">
        <f t="shared" si="22"/>
        <v>0</v>
      </c>
      <c r="T245" s="1296"/>
      <c r="U245" s="1297"/>
      <c r="V245" s="1281">
        <f t="shared" si="23"/>
        <v>0</v>
      </c>
      <c r="W245" s="2094"/>
      <c r="X245" s="2094"/>
      <c r="Y245" s="2092"/>
      <c r="Z245" s="1376"/>
    </row>
    <row r="246" spans="1:26" s="1263" customFormat="1" hidden="1" outlineLevel="2">
      <c r="A246" s="1267">
        <v>411</v>
      </c>
      <c r="B246" s="1292" t="s">
        <v>1649</v>
      </c>
      <c r="C246" s="1293" t="s">
        <v>1650</v>
      </c>
      <c r="D246" s="1454"/>
      <c r="E246" s="1279">
        <f>E247*E248/1000</f>
        <v>0</v>
      </c>
      <c r="F246" s="1280">
        <f>F247*F248/1000</f>
        <v>0</v>
      </c>
      <c r="G246" s="1281">
        <f t="shared" si="18"/>
        <v>0</v>
      </c>
      <c r="H246" s="1279">
        <f>H247*H248/1000</f>
        <v>0</v>
      </c>
      <c r="I246" s="1280">
        <f>I247*I248/1000</f>
        <v>0</v>
      </c>
      <c r="J246" s="1276">
        <f t="shared" si="19"/>
        <v>0</v>
      </c>
      <c r="K246" s="1279">
        <f>K247*K248/1000</f>
        <v>0</v>
      </c>
      <c r="L246" s="1280">
        <f>L247*L248/1000</f>
        <v>0</v>
      </c>
      <c r="M246" s="1370">
        <f t="shared" si="20"/>
        <v>0</v>
      </c>
      <c r="N246" s="1279">
        <f>N247*N248/1000</f>
        <v>0</v>
      </c>
      <c r="O246" s="1280">
        <f>O247*O248/1000</f>
        <v>0</v>
      </c>
      <c r="P246" s="1281">
        <f t="shared" si="21"/>
        <v>0</v>
      </c>
      <c r="Q246" s="1279">
        <f>Q247*Q248/1000</f>
        <v>0</v>
      </c>
      <c r="R246" s="2867">
        <f>R247*R248/1000</f>
        <v>0</v>
      </c>
      <c r="S246" s="1370">
        <f t="shared" si="22"/>
        <v>0</v>
      </c>
      <c r="T246" s="1279">
        <f>T247*T248/1000</f>
        <v>0</v>
      </c>
      <c r="U246" s="1280">
        <f>U247*U248/1000</f>
        <v>0</v>
      </c>
      <c r="V246" s="1281">
        <f t="shared" si="23"/>
        <v>0</v>
      </c>
      <c r="W246" s="2093"/>
      <c r="X246" s="2093"/>
      <c r="Y246" s="2092"/>
      <c r="Z246" s="1376"/>
    </row>
    <row r="247" spans="1:26" s="1263" customFormat="1" hidden="1" outlineLevel="2">
      <c r="A247" s="1267">
        <v>577</v>
      </c>
      <c r="B247" s="1294" t="s">
        <v>1651</v>
      </c>
      <c r="C247" s="1295" t="s">
        <v>1327</v>
      </c>
      <c r="D247" s="1457" t="s">
        <v>1328</v>
      </c>
      <c r="E247" s="1296"/>
      <c r="F247" s="1297"/>
      <c r="G247" s="1281">
        <f t="shared" si="18"/>
        <v>0</v>
      </c>
      <c r="H247" s="1296"/>
      <c r="I247" s="1297"/>
      <c r="J247" s="1276">
        <f t="shared" si="19"/>
        <v>0</v>
      </c>
      <c r="K247" s="1296"/>
      <c r="L247" s="1297"/>
      <c r="M247" s="1370">
        <f t="shared" si="20"/>
        <v>0</v>
      </c>
      <c r="N247" s="1296"/>
      <c r="O247" s="1297"/>
      <c r="P247" s="1281">
        <f t="shared" si="21"/>
        <v>0</v>
      </c>
      <c r="Q247" s="1296"/>
      <c r="R247" s="2870"/>
      <c r="S247" s="1370">
        <f t="shared" si="22"/>
        <v>0</v>
      </c>
      <c r="T247" s="1296"/>
      <c r="U247" s="1297"/>
      <c r="V247" s="1281">
        <f t="shared" si="23"/>
        <v>0</v>
      </c>
      <c r="W247" s="2094"/>
      <c r="X247" s="2094"/>
      <c r="Y247" s="2092"/>
      <c r="Z247" s="1376"/>
    </row>
    <row r="248" spans="1:26" s="1263" customFormat="1" hidden="1" outlineLevel="2">
      <c r="A248" s="1267">
        <v>578</v>
      </c>
      <c r="B248" s="1294" t="s">
        <v>1652</v>
      </c>
      <c r="C248" s="1295" t="s">
        <v>1330</v>
      </c>
      <c r="D248" s="1457" t="s">
        <v>1331</v>
      </c>
      <c r="E248" s="1296"/>
      <c r="F248" s="1297"/>
      <c r="G248" s="1281">
        <f t="shared" si="18"/>
        <v>0</v>
      </c>
      <c r="H248" s="1296"/>
      <c r="I248" s="1297"/>
      <c r="J248" s="1276">
        <f t="shared" si="19"/>
        <v>0</v>
      </c>
      <c r="K248" s="1296"/>
      <c r="L248" s="1297"/>
      <c r="M248" s="1370">
        <f t="shared" si="20"/>
        <v>0</v>
      </c>
      <c r="N248" s="1296"/>
      <c r="O248" s="1297"/>
      <c r="P248" s="1281">
        <f t="shared" si="21"/>
        <v>0</v>
      </c>
      <c r="Q248" s="1296"/>
      <c r="R248" s="2870"/>
      <c r="S248" s="1370">
        <f t="shared" si="22"/>
        <v>0</v>
      </c>
      <c r="T248" s="1296"/>
      <c r="U248" s="1297"/>
      <c r="V248" s="1281">
        <f t="shared" si="23"/>
        <v>0</v>
      </c>
      <c r="W248" s="2094"/>
      <c r="X248" s="2094"/>
      <c r="Y248" s="2092"/>
      <c r="Z248" s="1376"/>
    </row>
    <row r="249" spans="1:26" s="1263" customFormat="1" hidden="1" outlineLevel="2">
      <c r="A249" s="1267">
        <v>412</v>
      </c>
      <c r="B249" s="1292" t="s">
        <v>1653</v>
      </c>
      <c r="C249" s="1293" t="s">
        <v>1654</v>
      </c>
      <c r="D249" s="1454"/>
      <c r="E249" s="1279">
        <f>E250*E251/1000</f>
        <v>0</v>
      </c>
      <c r="F249" s="1280">
        <f>F250*F251/1000</f>
        <v>0</v>
      </c>
      <c r="G249" s="1281">
        <f t="shared" si="18"/>
        <v>0</v>
      </c>
      <c r="H249" s="1279">
        <f>H250*H251/1000</f>
        <v>0</v>
      </c>
      <c r="I249" s="1280">
        <f>I250*I251/1000</f>
        <v>0</v>
      </c>
      <c r="J249" s="1276">
        <f t="shared" si="19"/>
        <v>0</v>
      </c>
      <c r="K249" s="1279">
        <f>K250*K251/1000</f>
        <v>0</v>
      </c>
      <c r="L249" s="1280">
        <f>L250*L251/1000</f>
        <v>0</v>
      </c>
      <c r="M249" s="1370">
        <f t="shared" si="20"/>
        <v>0</v>
      </c>
      <c r="N249" s="1279">
        <f>N250*N251/1000</f>
        <v>0</v>
      </c>
      <c r="O249" s="1280">
        <f>O250*O251/1000</f>
        <v>0</v>
      </c>
      <c r="P249" s="1281">
        <f t="shared" si="21"/>
        <v>0</v>
      </c>
      <c r="Q249" s="1279">
        <f>Q250*Q251/1000</f>
        <v>0</v>
      </c>
      <c r="R249" s="2867">
        <f>R250*R251/1000</f>
        <v>0</v>
      </c>
      <c r="S249" s="1370">
        <f t="shared" si="22"/>
        <v>0</v>
      </c>
      <c r="T249" s="1279">
        <f>T250*T251/1000</f>
        <v>0</v>
      </c>
      <c r="U249" s="1280">
        <f>U250*U251/1000</f>
        <v>0</v>
      </c>
      <c r="V249" s="1281">
        <f t="shared" si="23"/>
        <v>0</v>
      </c>
      <c r="W249" s="2093"/>
      <c r="X249" s="2093"/>
      <c r="Y249" s="2092"/>
      <c r="Z249" s="1376"/>
    </row>
    <row r="250" spans="1:26" s="1263" customFormat="1" hidden="1" outlineLevel="2">
      <c r="A250" s="1267">
        <v>579</v>
      </c>
      <c r="B250" s="1294" t="s">
        <v>1655</v>
      </c>
      <c r="C250" s="1295" t="s">
        <v>1327</v>
      </c>
      <c r="D250" s="1457" t="s">
        <v>1328</v>
      </c>
      <c r="E250" s="1296"/>
      <c r="F250" s="1297"/>
      <c r="G250" s="1281">
        <f t="shared" si="18"/>
        <v>0</v>
      </c>
      <c r="H250" s="1296"/>
      <c r="I250" s="1297"/>
      <c r="J250" s="1276">
        <f t="shared" si="19"/>
        <v>0</v>
      </c>
      <c r="K250" s="1296"/>
      <c r="L250" s="1297"/>
      <c r="M250" s="1370">
        <f t="shared" si="20"/>
        <v>0</v>
      </c>
      <c r="N250" s="1296"/>
      <c r="O250" s="1297"/>
      <c r="P250" s="1281">
        <f t="shared" si="21"/>
        <v>0</v>
      </c>
      <c r="Q250" s="1296"/>
      <c r="R250" s="2870"/>
      <c r="S250" s="1370">
        <f t="shared" si="22"/>
        <v>0</v>
      </c>
      <c r="T250" s="1296"/>
      <c r="U250" s="1297"/>
      <c r="V250" s="1281">
        <f t="shared" si="23"/>
        <v>0</v>
      </c>
      <c r="W250" s="2094"/>
      <c r="X250" s="2094"/>
      <c r="Y250" s="2092"/>
      <c r="Z250" s="1376"/>
    </row>
    <row r="251" spans="1:26" s="1263" customFormat="1" hidden="1" outlineLevel="2">
      <c r="A251" s="1267">
        <v>580</v>
      </c>
      <c r="B251" s="1294" t="s">
        <v>1656</v>
      </c>
      <c r="C251" s="1295" t="s">
        <v>1330</v>
      </c>
      <c r="D251" s="1457" t="s">
        <v>1331</v>
      </c>
      <c r="E251" s="1296"/>
      <c r="F251" s="1297"/>
      <c r="G251" s="1281">
        <f t="shared" si="18"/>
        <v>0</v>
      </c>
      <c r="H251" s="1296"/>
      <c r="I251" s="1297"/>
      <c r="J251" s="1276">
        <f t="shared" si="19"/>
        <v>0</v>
      </c>
      <c r="K251" s="1296"/>
      <c r="L251" s="1297"/>
      <c r="M251" s="1370">
        <f t="shared" si="20"/>
        <v>0</v>
      </c>
      <c r="N251" s="1296"/>
      <c r="O251" s="1297"/>
      <c r="P251" s="1281">
        <f t="shared" si="21"/>
        <v>0</v>
      </c>
      <c r="Q251" s="1296"/>
      <c r="R251" s="2870"/>
      <c r="S251" s="1370">
        <f t="shared" si="22"/>
        <v>0</v>
      </c>
      <c r="T251" s="1296"/>
      <c r="U251" s="1297"/>
      <c r="V251" s="1281">
        <f t="shared" si="23"/>
        <v>0</v>
      </c>
      <c r="W251" s="2094"/>
      <c r="X251" s="2094"/>
      <c r="Y251" s="2092"/>
      <c r="Z251" s="1376"/>
    </row>
    <row r="252" spans="1:26" s="1263" customFormat="1" hidden="1" outlineLevel="2">
      <c r="A252" s="1267">
        <v>413</v>
      </c>
      <c r="B252" s="1292" t="s">
        <v>1657</v>
      </c>
      <c r="C252" s="1293" t="s">
        <v>1658</v>
      </c>
      <c r="D252" s="1454"/>
      <c r="E252" s="1279">
        <f>E253*E254/1000</f>
        <v>0</v>
      </c>
      <c r="F252" s="1280">
        <f>F253*F254/1000</f>
        <v>0</v>
      </c>
      <c r="G252" s="1281">
        <f t="shared" si="18"/>
        <v>0</v>
      </c>
      <c r="H252" s="1279">
        <f>H253*H254/1000</f>
        <v>0</v>
      </c>
      <c r="I252" s="1280">
        <f>I253*I254/1000</f>
        <v>0</v>
      </c>
      <c r="J252" s="1276">
        <f t="shared" si="19"/>
        <v>0</v>
      </c>
      <c r="K252" s="1279">
        <f>K253*K254/1000</f>
        <v>0</v>
      </c>
      <c r="L252" s="1280">
        <f>L253*L254/1000</f>
        <v>0</v>
      </c>
      <c r="M252" s="1370">
        <f t="shared" si="20"/>
        <v>0</v>
      </c>
      <c r="N252" s="1279">
        <f>N253*N254/1000</f>
        <v>0</v>
      </c>
      <c r="O252" s="1280">
        <f>O253*O254/1000</f>
        <v>0</v>
      </c>
      <c r="P252" s="1281">
        <f t="shared" si="21"/>
        <v>0</v>
      </c>
      <c r="Q252" s="1279">
        <f>Q253*Q254/1000</f>
        <v>0</v>
      </c>
      <c r="R252" s="2867">
        <f>R253*R254/1000</f>
        <v>0</v>
      </c>
      <c r="S252" s="1370">
        <f t="shared" si="22"/>
        <v>0</v>
      </c>
      <c r="T252" s="1279">
        <f>T253*T254/1000</f>
        <v>0</v>
      </c>
      <c r="U252" s="1280">
        <f>U253*U254/1000</f>
        <v>0</v>
      </c>
      <c r="V252" s="1281">
        <f t="shared" si="23"/>
        <v>0</v>
      </c>
      <c r="W252" s="2093"/>
      <c r="X252" s="2093"/>
      <c r="Y252" s="2092"/>
      <c r="Z252" s="1376"/>
    </row>
    <row r="253" spans="1:26" s="1263" customFormat="1" hidden="1" outlineLevel="2">
      <c r="A253" s="1267">
        <v>581</v>
      </c>
      <c r="B253" s="1294" t="s">
        <v>1659</v>
      </c>
      <c r="C253" s="1295" t="s">
        <v>1327</v>
      </c>
      <c r="D253" s="1457" t="s">
        <v>1328</v>
      </c>
      <c r="E253" s="1296"/>
      <c r="F253" s="1297"/>
      <c r="G253" s="1281">
        <f t="shared" si="18"/>
        <v>0</v>
      </c>
      <c r="H253" s="1296"/>
      <c r="I253" s="1297"/>
      <c r="J253" s="1276">
        <f t="shared" si="19"/>
        <v>0</v>
      </c>
      <c r="K253" s="1296"/>
      <c r="L253" s="1297"/>
      <c r="M253" s="1370">
        <f t="shared" si="20"/>
        <v>0</v>
      </c>
      <c r="N253" s="1296"/>
      <c r="O253" s="1297"/>
      <c r="P253" s="1281">
        <f t="shared" si="21"/>
        <v>0</v>
      </c>
      <c r="Q253" s="1296"/>
      <c r="R253" s="2870"/>
      <c r="S253" s="1370">
        <f t="shared" si="22"/>
        <v>0</v>
      </c>
      <c r="T253" s="1296"/>
      <c r="U253" s="1297"/>
      <c r="V253" s="1281">
        <f t="shared" si="23"/>
        <v>0</v>
      </c>
      <c r="W253" s="2094"/>
      <c r="X253" s="2094"/>
      <c r="Y253" s="2092"/>
      <c r="Z253" s="1376"/>
    </row>
    <row r="254" spans="1:26" s="1263" customFormat="1" hidden="1" outlineLevel="2">
      <c r="A254" s="1267">
        <v>582</v>
      </c>
      <c r="B254" s="1294" t="s">
        <v>1660</v>
      </c>
      <c r="C254" s="1295" t="s">
        <v>1330</v>
      </c>
      <c r="D254" s="1457" t="s">
        <v>1331</v>
      </c>
      <c r="E254" s="1296"/>
      <c r="F254" s="1297"/>
      <c r="G254" s="1281">
        <f t="shared" si="18"/>
        <v>0</v>
      </c>
      <c r="H254" s="1296"/>
      <c r="I254" s="1297"/>
      <c r="J254" s="1276">
        <f t="shared" si="19"/>
        <v>0</v>
      </c>
      <c r="K254" s="1296"/>
      <c r="L254" s="1297"/>
      <c r="M254" s="1370">
        <f t="shared" si="20"/>
        <v>0</v>
      </c>
      <c r="N254" s="1296"/>
      <c r="O254" s="1297"/>
      <c r="P254" s="1281">
        <f t="shared" si="21"/>
        <v>0</v>
      </c>
      <c r="Q254" s="1296"/>
      <c r="R254" s="2870"/>
      <c r="S254" s="1370">
        <f t="shared" si="22"/>
        <v>0</v>
      </c>
      <c r="T254" s="1296"/>
      <c r="U254" s="1297"/>
      <c r="V254" s="1281">
        <f t="shared" si="23"/>
        <v>0</v>
      </c>
      <c r="W254" s="2094"/>
      <c r="X254" s="2094"/>
      <c r="Y254" s="2092"/>
      <c r="Z254" s="1376"/>
    </row>
    <row r="255" spans="1:26" s="1263" customFormat="1" hidden="1" outlineLevel="2">
      <c r="A255" s="1267">
        <v>414</v>
      </c>
      <c r="B255" s="1292" t="s">
        <v>1661</v>
      </c>
      <c r="C255" s="1293" t="s">
        <v>1662</v>
      </c>
      <c r="D255" s="1454"/>
      <c r="E255" s="1279">
        <f>E256*E257/1000</f>
        <v>0</v>
      </c>
      <c r="F255" s="1280">
        <f>F256*F257/1000</f>
        <v>0</v>
      </c>
      <c r="G255" s="1281">
        <f t="shared" si="18"/>
        <v>0</v>
      </c>
      <c r="H255" s="1279">
        <f>H256*H257/1000</f>
        <v>0</v>
      </c>
      <c r="I255" s="1280">
        <f>I256*I257/1000</f>
        <v>0</v>
      </c>
      <c r="J255" s="1276">
        <f t="shared" si="19"/>
        <v>0</v>
      </c>
      <c r="K255" s="1279">
        <f>K256*K257/1000</f>
        <v>0</v>
      </c>
      <c r="L255" s="1280">
        <f>L256*L257/1000</f>
        <v>0</v>
      </c>
      <c r="M255" s="1370">
        <f t="shared" si="20"/>
        <v>0</v>
      </c>
      <c r="N255" s="1279">
        <f>N256*N257/1000</f>
        <v>0</v>
      </c>
      <c r="O255" s="1280">
        <f>O256*O257/1000</f>
        <v>0</v>
      </c>
      <c r="P255" s="1281">
        <f t="shared" si="21"/>
        <v>0</v>
      </c>
      <c r="Q255" s="1279">
        <f>Q256*Q257/1000</f>
        <v>0</v>
      </c>
      <c r="R255" s="2867">
        <f>R256*R257/1000</f>
        <v>0</v>
      </c>
      <c r="S255" s="1370">
        <f t="shared" si="22"/>
        <v>0</v>
      </c>
      <c r="T255" s="1279">
        <f>T256*T257/1000</f>
        <v>0</v>
      </c>
      <c r="U255" s="1280">
        <f>U256*U257/1000</f>
        <v>0</v>
      </c>
      <c r="V255" s="1281">
        <f t="shared" si="23"/>
        <v>0</v>
      </c>
      <c r="W255" s="2093"/>
      <c r="X255" s="2093"/>
      <c r="Y255" s="2092"/>
      <c r="Z255" s="1376"/>
    </row>
    <row r="256" spans="1:26" s="1263" customFormat="1" hidden="1" outlineLevel="2">
      <c r="A256" s="1267">
        <v>583</v>
      </c>
      <c r="B256" s="1294" t="s">
        <v>1663</v>
      </c>
      <c r="C256" s="1295" t="s">
        <v>1327</v>
      </c>
      <c r="D256" s="1457" t="s">
        <v>1328</v>
      </c>
      <c r="E256" s="1296"/>
      <c r="F256" s="1297"/>
      <c r="G256" s="1281">
        <f t="shared" si="18"/>
        <v>0</v>
      </c>
      <c r="H256" s="1296"/>
      <c r="I256" s="1297"/>
      <c r="J256" s="1276">
        <f t="shared" si="19"/>
        <v>0</v>
      </c>
      <c r="K256" s="1296"/>
      <c r="L256" s="1297"/>
      <c r="M256" s="1370">
        <f t="shared" si="20"/>
        <v>0</v>
      </c>
      <c r="N256" s="1296"/>
      <c r="O256" s="1297"/>
      <c r="P256" s="1281">
        <f t="shared" si="21"/>
        <v>0</v>
      </c>
      <c r="Q256" s="1296"/>
      <c r="R256" s="2870"/>
      <c r="S256" s="1370">
        <f t="shared" si="22"/>
        <v>0</v>
      </c>
      <c r="T256" s="1296"/>
      <c r="U256" s="1297"/>
      <c r="V256" s="1281">
        <f t="shared" si="23"/>
        <v>0</v>
      </c>
      <c r="W256" s="2094"/>
      <c r="X256" s="2094"/>
      <c r="Y256" s="2092"/>
      <c r="Z256" s="1376"/>
    </row>
    <row r="257" spans="1:26" s="1263" customFormat="1" hidden="1" outlineLevel="2">
      <c r="A257" s="1267">
        <v>584</v>
      </c>
      <c r="B257" s="1294" t="s">
        <v>1664</v>
      </c>
      <c r="C257" s="1295" t="s">
        <v>1330</v>
      </c>
      <c r="D257" s="1457" t="s">
        <v>1331</v>
      </c>
      <c r="E257" s="1296"/>
      <c r="F257" s="1297"/>
      <c r="G257" s="1281">
        <f t="shared" si="18"/>
        <v>0</v>
      </c>
      <c r="H257" s="1296"/>
      <c r="I257" s="1297"/>
      <c r="J257" s="1276">
        <f t="shared" si="19"/>
        <v>0</v>
      </c>
      <c r="K257" s="1296"/>
      <c r="L257" s="1297"/>
      <c r="M257" s="1370">
        <f t="shared" si="20"/>
        <v>0</v>
      </c>
      <c r="N257" s="1296"/>
      <c r="O257" s="1297"/>
      <c r="P257" s="1281">
        <f t="shared" si="21"/>
        <v>0</v>
      </c>
      <c r="Q257" s="1296"/>
      <c r="R257" s="2870"/>
      <c r="S257" s="1370">
        <f t="shared" si="22"/>
        <v>0</v>
      </c>
      <c r="T257" s="1296"/>
      <c r="U257" s="1297"/>
      <c r="V257" s="1281">
        <f t="shared" si="23"/>
        <v>0</v>
      </c>
      <c r="W257" s="2094"/>
      <c r="X257" s="2094"/>
      <c r="Y257" s="2092"/>
      <c r="Z257" s="1376"/>
    </row>
    <row r="258" spans="1:26" s="1263" customFormat="1" hidden="1" outlineLevel="2">
      <c r="A258" s="1267">
        <v>415</v>
      </c>
      <c r="B258" s="1292" t="s">
        <v>1665</v>
      </c>
      <c r="C258" s="1293" t="s">
        <v>1666</v>
      </c>
      <c r="D258" s="1454"/>
      <c r="E258" s="1279">
        <f>E259*E260/1000</f>
        <v>0</v>
      </c>
      <c r="F258" s="1280">
        <f>F259*F260/1000</f>
        <v>0</v>
      </c>
      <c r="G258" s="1281">
        <f t="shared" si="18"/>
        <v>0</v>
      </c>
      <c r="H258" s="1279">
        <f>H259*H260/1000</f>
        <v>0</v>
      </c>
      <c r="I258" s="1280">
        <f>I259*I260/1000</f>
        <v>0</v>
      </c>
      <c r="J258" s="1276">
        <f t="shared" si="19"/>
        <v>0</v>
      </c>
      <c r="K258" s="1279">
        <f>K259*K260/1000</f>
        <v>0</v>
      </c>
      <c r="L258" s="1280">
        <f>L259*L260/1000</f>
        <v>0</v>
      </c>
      <c r="M258" s="1370">
        <f t="shared" si="20"/>
        <v>0</v>
      </c>
      <c r="N258" s="1279">
        <f>N259*N260/1000</f>
        <v>0</v>
      </c>
      <c r="O258" s="1280">
        <f>O259*O260/1000</f>
        <v>0</v>
      </c>
      <c r="P258" s="1281">
        <f t="shared" si="21"/>
        <v>0</v>
      </c>
      <c r="Q258" s="1279">
        <f>Q259*Q260/1000</f>
        <v>0</v>
      </c>
      <c r="R258" s="2867">
        <f>R259*R260/1000</f>
        <v>0</v>
      </c>
      <c r="S258" s="1370">
        <f t="shared" si="22"/>
        <v>0</v>
      </c>
      <c r="T258" s="1279">
        <f>T259*T260/1000</f>
        <v>0</v>
      </c>
      <c r="U258" s="1280">
        <f>U259*U260/1000</f>
        <v>0</v>
      </c>
      <c r="V258" s="1281">
        <f t="shared" si="23"/>
        <v>0</v>
      </c>
      <c r="W258" s="2093"/>
      <c r="X258" s="2093"/>
      <c r="Y258" s="2092"/>
      <c r="Z258" s="1376"/>
    </row>
    <row r="259" spans="1:26" s="1263" customFormat="1" hidden="1" outlineLevel="2">
      <c r="A259" s="1267">
        <v>585</v>
      </c>
      <c r="B259" s="1294" t="s">
        <v>1667</v>
      </c>
      <c r="C259" s="1295" t="s">
        <v>1327</v>
      </c>
      <c r="D259" s="1457" t="s">
        <v>1328</v>
      </c>
      <c r="E259" s="1296"/>
      <c r="F259" s="1297"/>
      <c r="G259" s="1281">
        <f t="shared" si="18"/>
        <v>0</v>
      </c>
      <c r="H259" s="1296"/>
      <c r="I259" s="1297"/>
      <c r="J259" s="1276">
        <f t="shared" si="19"/>
        <v>0</v>
      </c>
      <c r="K259" s="1296"/>
      <c r="L259" s="1297"/>
      <c r="M259" s="1370">
        <f t="shared" si="20"/>
        <v>0</v>
      </c>
      <c r="N259" s="1296"/>
      <c r="O259" s="1297"/>
      <c r="P259" s="1281">
        <f t="shared" si="21"/>
        <v>0</v>
      </c>
      <c r="Q259" s="1296"/>
      <c r="R259" s="2870"/>
      <c r="S259" s="1370">
        <f t="shared" si="22"/>
        <v>0</v>
      </c>
      <c r="T259" s="1296"/>
      <c r="U259" s="1297"/>
      <c r="V259" s="1281">
        <f t="shared" si="23"/>
        <v>0</v>
      </c>
      <c r="W259" s="2094"/>
      <c r="X259" s="2094"/>
      <c r="Y259" s="2092"/>
      <c r="Z259" s="1376"/>
    </row>
    <row r="260" spans="1:26" s="1263" customFormat="1" hidden="1" outlineLevel="2">
      <c r="A260" s="1267">
        <v>586</v>
      </c>
      <c r="B260" s="1294" t="s">
        <v>1668</v>
      </c>
      <c r="C260" s="1295" t="s">
        <v>1330</v>
      </c>
      <c r="D260" s="1457" t="s">
        <v>1331</v>
      </c>
      <c r="E260" s="1296"/>
      <c r="F260" s="1297"/>
      <c r="G260" s="1281">
        <f t="shared" si="18"/>
        <v>0</v>
      </c>
      <c r="H260" s="1296"/>
      <c r="I260" s="1297"/>
      <c r="J260" s="1276">
        <f t="shared" si="19"/>
        <v>0</v>
      </c>
      <c r="K260" s="1296"/>
      <c r="L260" s="1297"/>
      <c r="M260" s="1370">
        <f t="shared" si="20"/>
        <v>0</v>
      </c>
      <c r="N260" s="1296"/>
      <c r="O260" s="1297"/>
      <c r="P260" s="1281">
        <f t="shared" si="21"/>
        <v>0</v>
      </c>
      <c r="Q260" s="1296"/>
      <c r="R260" s="2870"/>
      <c r="S260" s="1370">
        <f t="shared" si="22"/>
        <v>0</v>
      </c>
      <c r="T260" s="1296"/>
      <c r="U260" s="1297"/>
      <c r="V260" s="1281">
        <f t="shared" si="23"/>
        <v>0</v>
      </c>
      <c r="W260" s="2094"/>
      <c r="X260" s="2094"/>
      <c r="Y260" s="2092"/>
      <c r="Z260" s="1376"/>
    </row>
    <row r="261" spans="1:26" s="1263" customFormat="1" hidden="1" outlineLevel="2">
      <c r="A261" s="1267">
        <v>416</v>
      </c>
      <c r="B261" s="1292" t="s">
        <v>1669</v>
      </c>
      <c r="C261" s="1293" t="s">
        <v>1670</v>
      </c>
      <c r="D261" s="1454"/>
      <c r="E261" s="1279">
        <f>E262*E263/1000</f>
        <v>0</v>
      </c>
      <c r="F261" s="1280">
        <f>F262*F263/1000</f>
        <v>0</v>
      </c>
      <c r="G261" s="1281">
        <f t="shared" ref="G261:G324" si="24">E261/2+F261/2</f>
        <v>0</v>
      </c>
      <c r="H261" s="1279">
        <f>H262*H263/1000</f>
        <v>0</v>
      </c>
      <c r="I261" s="1280">
        <f>I262*I263/1000</f>
        <v>0</v>
      </c>
      <c r="J261" s="1276">
        <f t="shared" ref="J261:J327" si="25">H261/2+I261/2</f>
        <v>0</v>
      </c>
      <c r="K261" s="1279">
        <f>K262*K263/1000</f>
        <v>0</v>
      </c>
      <c r="L261" s="1280">
        <f>L262*L263/1000</f>
        <v>0</v>
      </c>
      <c r="M261" s="1370">
        <f t="shared" ref="M261:M324" si="26">K261/2+L261/2</f>
        <v>0</v>
      </c>
      <c r="N261" s="1279">
        <f>N262*N263/1000</f>
        <v>0</v>
      </c>
      <c r="O261" s="1280">
        <f>O262*O263/1000</f>
        <v>0</v>
      </c>
      <c r="P261" s="1281">
        <f t="shared" ref="P261:P324" si="27">N261/2+O261/2</f>
        <v>0</v>
      </c>
      <c r="Q261" s="1279">
        <f>Q262*Q263/1000</f>
        <v>0</v>
      </c>
      <c r="R261" s="2867">
        <f>R262*R263/1000</f>
        <v>0</v>
      </c>
      <c r="S261" s="1370">
        <f t="shared" ref="S261:S324" si="28">Q261/2+R261/2</f>
        <v>0</v>
      </c>
      <c r="T261" s="1279">
        <f>T262*T263/1000</f>
        <v>0</v>
      </c>
      <c r="U261" s="1280">
        <f>U262*U263/1000</f>
        <v>0</v>
      </c>
      <c r="V261" s="1281">
        <f t="shared" ref="V261:V324" si="29">T261/2+U261/2</f>
        <v>0</v>
      </c>
      <c r="W261" s="2093"/>
      <c r="X261" s="2093"/>
      <c r="Y261" s="2092"/>
      <c r="Z261" s="1376"/>
    </row>
    <row r="262" spans="1:26" s="1263" customFormat="1" hidden="1" outlineLevel="2">
      <c r="A262" s="1267">
        <v>587</v>
      </c>
      <c r="B262" s="1294" t="s">
        <v>1671</v>
      </c>
      <c r="C262" s="1295" t="s">
        <v>1327</v>
      </c>
      <c r="D262" s="1457" t="s">
        <v>1328</v>
      </c>
      <c r="E262" s="1296"/>
      <c r="F262" s="1297"/>
      <c r="G262" s="1281">
        <f t="shared" si="24"/>
        <v>0</v>
      </c>
      <c r="H262" s="1296"/>
      <c r="I262" s="1297"/>
      <c r="J262" s="1276">
        <f t="shared" si="25"/>
        <v>0</v>
      </c>
      <c r="K262" s="1296"/>
      <c r="L262" s="1297"/>
      <c r="M262" s="1370">
        <f t="shared" si="26"/>
        <v>0</v>
      </c>
      <c r="N262" s="1296"/>
      <c r="O262" s="1297"/>
      <c r="P262" s="1281">
        <f t="shared" si="27"/>
        <v>0</v>
      </c>
      <c r="Q262" s="1296"/>
      <c r="R262" s="2870"/>
      <c r="S262" s="1370">
        <f t="shared" si="28"/>
        <v>0</v>
      </c>
      <c r="T262" s="1296"/>
      <c r="U262" s="1297"/>
      <c r="V262" s="1281">
        <f t="shared" si="29"/>
        <v>0</v>
      </c>
      <c r="W262" s="2094"/>
      <c r="X262" s="2094"/>
      <c r="Y262" s="2092"/>
      <c r="Z262" s="1376"/>
    </row>
    <row r="263" spans="1:26" s="1263" customFormat="1" hidden="1" outlineLevel="2">
      <c r="A263" s="1267">
        <v>588</v>
      </c>
      <c r="B263" s="1294" t="s">
        <v>1672</v>
      </c>
      <c r="C263" s="1295" t="s">
        <v>1330</v>
      </c>
      <c r="D263" s="1457" t="s">
        <v>1331</v>
      </c>
      <c r="E263" s="1296"/>
      <c r="F263" s="1297"/>
      <c r="G263" s="1281">
        <f t="shared" si="24"/>
        <v>0</v>
      </c>
      <c r="H263" s="1296"/>
      <c r="I263" s="1297"/>
      <c r="J263" s="1276">
        <f t="shared" si="25"/>
        <v>0</v>
      </c>
      <c r="K263" s="1296"/>
      <c r="L263" s="1297"/>
      <c r="M263" s="1370">
        <f t="shared" si="26"/>
        <v>0</v>
      </c>
      <c r="N263" s="1296"/>
      <c r="O263" s="1297"/>
      <c r="P263" s="1281">
        <f t="shared" si="27"/>
        <v>0</v>
      </c>
      <c r="Q263" s="1296"/>
      <c r="R263" s="2870"/>
      <c r="S263" s="1370">
        <f t="shared" si="28"/>
        <v>0</v>
      </c>
      <c r="T263" s="1296"/>
      <c r="U263" s="1297"/>
      <c r="V263" s="1281">
        <f t="shared" si="29"/>
        <v>0</v>
      </c>
      <c r="W263" s="2094"/>
      <c r="X263" s="2094"/>
      <c r="Y263" s="2092"/>
      <c r="Z263" s="1376"/>
    </row>
    <row r="264" spans="1:26" s="1263" customFormat="1" hidden="1" outlineLevel="2">
      <c r="A264" s="1267">
        <v>417</v>
      </c>
      <c r="B264" s="1292" t="s">
        <v>1673</v>
      </c>
      <c r="C264" s="1293" t="s">
        <v>1674</v>
      </c>
      <c r="D264" s="1454"/>
      <c r="E264" s="1279">
        <f>E265*E266/1000</f>
        <v>308.10978540000002</v>
      </c>
      <c r="F264" s="1280">
        <f>F265*F266/1000</f>
        <v>308.10978540000002</v>
      </c>
      <c r="G264" s="1281">
        <f t="shared" si="24"/>
        <v>308.10978540000002</v>
      </c>
      <c r="H264" s="1279">
        <f>H265*H266/1000</f>
        <v>0</v>
      </c>
      <c r="I264" s="1280">
        <f>I265*I266/1000</f>
        <v>0</v>
      </c>
      <c r="J264" s="1276">
        <f t="shared" si="25"/>
        <v>0</v>
      </c>
      <c r="K264" s="1279">
        <f>K265*K266/1000</f>
        <v>0</v>
      </c>
      <c r="L264" s="1280">
        <f>L265*L266/1000</f>
        <v>0</v>
      </c>
      <c r="M264" s="1370">
        <f t="shared" si="26"/>
        <v>0</v>
      </c>
      <c r="N264" s="1279">
        <f>N265*N266/1000</f>
        <v>0</v>
      </c>
      <c r="O264" s="1280">
        <f>O265*O266/1000</f>
        <v>0</v>
      </c>
      <c r="P264" s="1281">
        <f t="shared" si="27"/>
        <v>0</v>
      </c>
      <c r="Q264" s="1279">
        <f>Q265*Q266/1000</f>
        <v>0</v>
      </c>
      <c r="R264" s="2867">
        <f>R265*R266/1000</f>
        <v>0</v>
      </c>
      <c r="S264" s="1370">
        <f t="shared" si="28"/>
        <v>0</v>
      </c>
      <c r="T264" s="1279">
        <f>T265*T266/1000</f>
        <v>0</v>
      </c>
      <c r="U264" s="1280">
        <f>U265*U266/1000</f>
        <v>0</v>
      </c>
      <c r="V264" s="1281">
        <f t="shared" si="29"/>
        <v>0</v>
      </c>
      <c r="W264" s="2093"/>
      <c r="X264" s="2093"/>
      <c r="Y264" s="2092"/>
      <c r="Z264" s="1376"/>
    </row>
    <row r="265" spans="1:26" s="1263" customFormat="1" hidden="1" outlineLevel="2">
      <c r="A265" s="1267">
        <v>589</v>
      </c>
      <c r="B265" s="1294" t="s">
        <v>1675</v>
      </c>
      <c r="C265" s="1295" t="s">
        <v>1327</v>
      </c>
      <c r="D265" s="1457" t="s">
        <v>1328</v>
      </c>
      <c r="E265" s="1296" t="s">
        <v>1676</v>
      </c>
      <c r="F265" s="1297" t="s">
        <v>1676</v>
      </c>
      <c r="G265" s="1281">
        <f t="shared" si="24"/>
        <v>11.01</v>
      </c>
      <c r="H265" s="1296"/>
      <c r="I265" s="1297"/>
      <c r="J265" s="1276">
        <f t="shared" si="25"/>
        <v>0</v>
      </c>
      <c r="K265" s="1296"/>
      <c r="L265" s="1297"/>
      <c r="M265" s="1370">
        <f t="shared" si="26"/>
        <v>0</v>
      </c>
      <c r="N265" s="1296"/>
      <c r="O265" s="1297"/>
      <c r="P265" s="1281">
        <f t="shared" si="27"/>
        <v>0</v>
      </c>
      <c r="Q265" s="1296"/>
      <c r="R265" s="2870"/>
      <c r="S265" s="1370">
        <f t="shared" si="28"/>
        <v>0</v>
      </c>
      <c r="T265" s="1296"/>
      <c r="U265" s="1297"/>
      <c r="V265" s="1281">
        <f t="shared" si="29"/>
        <v>0</v>
      </c>
      <c r="W265" s="2094"/>
      <c r="X265" s="2094"/>
      <c r="Y265" s="2092"/>
      <c r="Z265" s="1376"/>
    </row>
    <row r="266" spans="1:26" s="1263" customFormat="1" hidden="1" outlineLevel="2">
      <c r="A266" s="1267">
        <v>590</v>
      </c>
      <c r="B266" s="1294" t="s">
        <v>1677</v>
      </c>
      <c r="C266" s="1295" t="s">
        <v>1330</v>
      </c>
      <c r="D266" s="1457" t="s">
        <v>1331</v>
      </c>
      <c r="E266" s="1296" t="s">
        <v>1678</v>
      </c>
      <c r="F266" s="1297" t="s">
        <v>1678</v>
      </c>
      <c r="G266" s="1281">
        <f t="shared" si="24"/>
        <v>27984.54</v>
      </c>
      <c r="H266" s="1296"/>
      <c r="I266" s="1297"/>
      <c r="J266" s="1276">
        <f t="shared" si="25"/>
        <v>0</v>
      </c>
      <c r="K266" s="1296"/>
      <c r="L266" s="1297"/>
      <c r="M266" s="1370">
        <f t="shared" si="26"/>
        <v>0</v>
      </c>
      <c r="N266" s="1296"/>
      <c r="O266" s="1297"/>
      <c r="P266" s="1281">
        <f t="shared" si="27"/>
        <v>0</v>
      </c>
      <c r="Q266" s="1296"/>
      <c r="R266" s="2870"/>
      <c r="S266" s="1370">
        <f t="shared" si="28"/>
        <v>0</v>
      </c>
      <c r="T266" s="1296"/>
      <c r="U266" s="1297"/>
      <c r="V266" s="1281">
        <f t="shared" si="29"/>
        <v>0</v>
      </c>
      <c r="W266" s="2094"/>
      <c r="X266" s="2094"/>
      <c r="Y266" s="2092"/>
      <c r="Z266" s="1376"/>
    </row>
    <row r="267" spans="1:26" s="1263" customFormat="1" hidden="1" outlineLevel="2">
      <c r="A267" s="1267">
        <v>418</v>
      </c>
      <c r="B267" s="1292" t="s">
        <v>1679</v>
      </c>
      <c r="C267" s="1293" t="s">
        <v>1680</v>
      </c>
      <c r="D267" s="1454"/>
      <c r="E267" s="1279">
        <f>E268*E269/1000</f>
        <v>0</v>
      </c>
      <c r="F267" s="1280">
        <f>F268*F269/1000</f>
        <v>0</v>
      </c>
      <c r="G267" s="1281">
        <f t="shared" si="24"/>
        <v>0</v>
      </c>
      <c r="H267" s="1279">
        <f>H268*H269/1000</f>
        <v>0</v>
      </c>
      <c r="I267" s="1280">
        <f>I268*I269/1000</f>
        <v>0</v>
      </c>
      <c r="J267" s="1276">
        <f t="shared" si="25"/>
        <v>0</v>
      </c>
      <c r="K267" s="1279">
        <f>K268*K269/1000</f>
        <v>0</v>
      </c>
      <c r="L267" s="1280">
        <f>L268*L269/1000</f>
        <v>0</v>
      </c>
      <c r="M267" s="1370">
        <f t="shared" si="26"/>
        <v>0</v>
      </c>
      <c r="N267" s="1279">
        <f>N268*N269/1000</f>
        <v>0</v>
      </c>
      <c r="O267" s="1280">
        <f>O268*O269/1000</f>
        <v>0</v>
      </c>
      <c r="P267" s="1281">
        <f t="shared" si="27"/>
        <v>0</v>
      </c>
      <c r="Q267" s="1279">
        <f>Q268*Q269/1000</f>
        <v>0</v>
      </c>
      <c r="R267" s="2867">
        <f>R268*R269/1000</f>
        <v>0</v>
      </c>
      <c r="S267" s="1370">
        <f t="shared" si="28"/>
        <v>0</v>
      </c>
      <c r="T267" s="1279">
        <f>T268*T269/1000</f>
        <v>0</v>
      </c>
      <c r="U267" s="1280">
        <f>U268*U269/1000</f>
        <v>0</v>
      </c>
      <c r="V267" s="1281">
        <f t="shared" si="29"/>
        <v>0</v>
      </c>
      <c r="W267" s="2093"/>
      <c r="X267" s="2093"/>
      <c r="Y267" s="2092"/>
      <c r="Z267" s="1376"/>
    </row>
    <row r="268" spans="1:26" s="1263" customFormat="1" hidden="1" outlineLevel="2">
      <c r="A268" s="1267">
        <v>591</v>
      </c>
      <c r="B268" s="1294" t="s">
        <v>1681</v>
      </c>
      <c r="C268" s="1295" t="s">
        <v>1327</v>
      </c>
      <c r="D268" s="1457" t="s">
        <v>1328</v>
      </c>
      <c r="E268" s="1296"/>
      <c r="F268" s="1297"/>
      <c r="G268" s="1281">
        <f t="shared" si="24"/>
        <v>0</v>
      </c>
      <c r="H268" s="1296"/>
      <c r="I268" s="1297"/>
      <c r="J268" s="1276">
        <f t="shared" si="25"/>
        <v>0</v>
      </c>
      <c r="K268" s="1296"/>
      <c r="L268" s="1297"/>
      <c r="M268" s="1370">
        <f t="shared" si="26"/>
        <v>0</v>
      </c>
      <c r="N268" s="1296"/>
      <c r="O268" s="1297"/>
      <c r="P268" s="1281">
        <f t="shared" si="27"/>
        <v>0</v>
      </c>
      <c r="Q268" s="1296"/>
      <c r="R268" s="2870"/>
      <c r="S268" s="1370">
        <f t="shared" si="28"/>
        <v>0</v>
      </c>
      <c r="T268" s="1296"/>
      <c r="U268" s="1297"/>
      <c r="V268" s="1281">
        <f t="shared" si="29"/>
        <v>0</v>
      </c>
      <c r="W268" s="2094"/>
      <c r="X268" s="2094"/>
      <c r="Y268" s="2092"/>
      <c r="Z268" s="1376"/>
    </row>
    <row r="269" spans="1:26" s="1263" customFormat="1" hidden="1" outlineLevel="2">
      <c r="A269" s="1267">
        <v>592</v>
      </c>
      <c r="B269" s="1294" t="s">
        <v>1682</v>
      </c>
      <c r="C269" s="1295" t="s">
        <v>1330</v>
      </c>
      <c r="D269" s="1457" t="s">
        <v>1331</v>
      </c>
      <c r="E269" s="1296"/>
      <c r="F269" s="1297"/>
      <c r="G269" s="1281">
        <f t="shared" si="24"/>
        <v>0</v>
      </c>
      <c r="H269" s="1296"/>
      <c r="I269" s="1297"/>
      <c r="J269" s="1276">
        <f t="shared" si="25"/>
        <v>0</v>
      </c>
      <c r="K269" s="1296"/>
      <c r="L269" s="1297"/>
      <c r="M269" s="1370">
        <f t="shared" si="26"/>
        <v>0</v>
      </c>
      <c r="N269" s="1296"/>
      <c r="O269" s="1297"/>
      <c r="P269" s="1281">
        <f t="shared" si="27"/>
        <v>0</v>
      </c>
      <c r="Q269" s="1296"/>
      <c r="R269" s="2870"/>
      <c r="S269" s="1370">
        <f t="shared" si="28"/>
        <v>0</v>
      </c>
      <c r="T269" s="1296"/>
      <c r="U269" s="1297"/>
      <c r="V269" s="1281">
        <f t="shared" si="29"/>
        <v>0</v>
      </c>
      <c r="W269" s="2094"/>
      <c r="X269" s="2094"/>
      <c r="Y269" s="2092"/>
      <c r="Z269" s="1376"/>
    </row>
    <row r="270" spans="1:26" s="1263" customFormat="1" hidden="1" outlineLevel="2">
      <c r="A270" s="1267">
        <v>419</v>
      </c>
      <c r="B270" s="1292" t="s">
        <v>1683</v>
      </c>
      <c r="C270" s="1293" t="s">
        <v>1684</v>
      </c>
      <c r="D270" s="1454"/>
      <c r="E270" s="1279">
        <f>E271*E272/1000</f>
        <v>0</v>
      </c>
      <c r="F270" s="1280">
        <f>F271*F272/1000</f>
        <v>0</v>
      </c>
      <c r="G270" s="1281">
        <f t="shared" si="24"/>
        <v>0</v>
      </c>
      <c r="H270" s="1279">
        <f>H271*H272/1000</f>
        <v>0</v>
      </c>
      <c r="I270" s="1280">
        <f>I271*I272/1000</f>
        <v>0</v>
      </c>
      <c r="J270" s="1276">
        <f t="shared" si="25"/>
        <v>0</v>
      </c>
      <c r="K270" s="1279">
        <f>K271*K272/1000</f>
        <v>0</v>
      </c>
      <c r="L270" s="1280">
        <f>L271*L272/1000</f>
        <v>0</v>
      </c>
      <c r="M270" s="1370">
        <f t="shared" si="26"/>
        <v>0</v>
      </c>
      <c r="N270" s="1279">
        <f>N271*N272/1000</f>
        <v>0</v>
      </c>
      <c r="O270" s="1280">
        <f>O271*O272/1000</f>
        <v>0</v>
      </c>
      <c r="P270" s="1281">
        <f t="shared" si="27"/>
        <v>0</v>
      </c>
      <c r="Q270" s="1279">
        <f>Q271*Q272/1000</f>
        <v>0</v>
      </c>
      <c r="R270" s="2867">
        <f>R271*R272/1000</f>
        <v>0</v>
      </c>
      <c r="S270" s="1370">
        <f t="shared" si="28"/>
        <v>0</v>
      </c>
      <c r="T270" s="1279">
        <f>T271*T272/1000</f>
        <v>0</v>
      </c>
      <c r="U270" s="1280">
        <f>U271*U272/1000</f>
        <v>0</v>
      </c>
      <c r="V270" s="1281">
        <f t="shared" si="29"/>
        <v>0</v>
      </c>
      <c r="W270" s="2093"/>
      <c r="X270" s="2093"/>
      <c r="Y270" s="2092"/>
      <c r="Z270" s="1376"/>
    </row>
    <row r="271" spans="1:26" s="1263" customFormat="1" hidden="1" outlineLevel="2">
      <c r="A271" s="1267">
        <v>593</v>
      </c>
      <c r="B271" s="1294" t="s">
        <v>1685</v>
      </c>
      <c r="C271" s="1295" t="s">
        <v>1327</v>
      </c>
      <c r="D271" s="1457" t="s">
        <v>1328</v>
      </c>
      <c r="E271" s="1296"/>
      <c r="F271" s="1297"/>
      <c r="G271" s="1281">
        <f t="shared" si="24"/>
        <v>0</v>
      </c>
      <c r="H271" s="1296"/>
      <c r="I271" s="1297"/>
      <c r="J271" s="1276">
        <f t="shared" si="25"/>
        <v>0</v>
      </c>
      <c r="K271" s="1296"/>
      <c r="L271" s="1297"/>
      <c r="M271" s="1370">
        <f t="shared" si="26"/>
        <v>0</v>
      </c>
      <c r="N271" s="1296"/>
      <c r="O271" s="1297"/>
      <c r="P271" s="1281">
        <f t="shared" si="27"/>
        <v>0</v>
      </c>
      <c r="Q271" s="1296"/>
      <c r="R271" s="2870"/>
      <c r="S271" s="1370">
        <f t="shared" si="28"/>
        <v>0</v>
      </c>
      <c r="T271" s="1296"/>
      <c r="U271" s="1297"/>
      <c r="V271" s="1281">
        <f t="shared" si="29"/>
        <v>0</v>
      </c>
      <c r="W271" s="2094"/>
      <c r="X271" s="2094"/>
      <c r="Y271" s="2092"/>
      <c r="Z271" s="1376"/>
    </row>
    <row r="272" spans="1:26" s="1263" customFormat="1" hidden="1" outlineLevel="2">
      <c r="A272" s="1267">
        <v>594</v>
      </c>
      <c r="B272" s="1294" t="s">
        <v>1686</v>
      </c>
      <c r="C272" s="1295" t="s">
        <v>1330</v>
      </c>
      <c r="D272" s="1457" t="s">
        <v>1331</v>
      </c>
      <c r="E272" s="1296"/>
      <c r="F272" s="1297"/>
      <c r="G272" s="1281">
        <f t="shared" si="24"/>
        <v>0</v>
      </c>
      <c r="H272" s="1296"/>
      <c r="I272" s="1297"/>
      <c r="J272" s="1276">
        <f t="shared" si="25"/>
        <v>0</v>
      </c>
      <c r="K272" s="1296"/>
      <c r="L272" s="1297"/>
      <c r="M272" s="1370">
        <f t="shared" si="26"/>
        <v>0</v>
      </c>
      <c r="N272" s="1296"/>
      <c r="O272" s="1297"/>
      <c r="P272" s="1281">
        <f t="shared" si="27"/>
        <v>0</v>
      </c>
      <c r="Q272" s="1296"/>
      <c r="R272" s="2870"/>
      <c r="S272" s="1370">
        <f t="shared" si="28"/>
        <v>0</v>
      </c>
      <c r="T272" s="1296"/>
      <c r="U272" s="1297"/>
      <c r="V272" s="1281">
        <f t="shared" si="29"/>
        <v>0</v>
      </c>
      <c r="W272" s="2094"/>
      <c r="X272" s="2094"/>
      <c r="Y272" s="2092"/>
      <c r="Z272" s="1376"/>
    </row>
    <row r="273" spans="1:26" s="1263" customFormat="1" hidden="1" outlineLevel="2">
      <c r="A273" s="1267">
        <v>420</v>
      </c>
      <c r="B273" s="1292" t="s">
        <v>1687</v>
      </c>
      <c r="C273" s="1293" t="s">
        <v>1688</v>
      </c>
      <c r="D273" s="1454"/>
      <c r="E273" s="1279">
        <f>E274*E275/1000</f>
        <v>0</v>
      </c>
      <c r="F273" s="1280">
        <f>F274*F275/1000</f>
        <v>0</v>
      </c>
      <c r="G273" s="1281">
        <f t="shared" si="24"/>
        <v>0</v>
      </c>
      <c r="H273" s="1279">
        <f>H274*H275/1000</f>
        <v>0</v>
      </c>
      <c r="I273" s="1280">
        <f>I274*I275/1000</f>
        <v>0</v>
      </c>
      <c r="J273" s="1276">
        <f t="shared" si="25"/>
        <v>0</v>
      </c>
      <c r="K273" s="1279">
        <f>K274*K275/1000</f>
        <v>0</v>
      </c>
      <c r="L273" s="1280">
        <f>L274*L275/1000</f>
        <v>0</v>
      </c>
      <c r="M273" s="1370">
        <f t="shared" si="26"/>
        <v>0</v>
      </c>
      <c r="N273" s="1279">
        <f>N274*N275/1000</f>
        <v>0</v>
      </c>
      <c r="O273" s="1280">
        <f>O274*O275/1000</f>
        <v>0</v>
      </c>
      <c r="P273" s="1281">
        <f t="shared" si="27"/>
        <v>0</v>
      </c>
      <c r="Q273" s="1279">
        <f>Q274*Q275/1000</f>
        <v>0</v>
      </c>
      <c r="R273" s="2867">
        <f>R274*R275/1000</f>
        <v>0</v>
      </c>
      <c r="S273" s="1370">
        <f t="shared" si="28"/>
        <v>0</v>
      </c>
      <c r="T273" s="1279">
        <f>T274*T275/1000</f>
        <v>0</v>
      </c>
      <c r="U273" s="1280">
        <f>U274*U275/1000</f>
        <v>0</v>
      </c>
      <c r="V273" s="1281">
        <f t="shared" si="29"/>
        <v>0</v>
      </c>
      <c r="W273" s="2093"/>
      <c r="X273" s="2093"/>
      <c r="Y273" s="2092"/>
      <c r="Z273" s="1376"/>
    </row>
    <row r="274" spans="1:26" s="1263" customFormat="1" hidden="1" outlineLevel="2">
      <c r="A274" s="1267">
        <v>595</v>
      </c>
      <c r="B274" s="1294" t="s">
        <v>1689</v>
      </c>
      <c r="C274" s="1295" t="s">
        <v>1327</v>
      </c>
      <c r="D274" s="1457" t="s">
        <v>1328</v>
      </c>
      <c r="E274" s="1296"/>
      <c r="F274" s="1297"/>
      <c r="G274" s="1281">
        <f t="shared" si="24"/>
        <v>0</v>
      </c>
      <c r="H274" s="1296"/>
      <c r="I274" s="1297"/>
      <c r="J274" s="1276">
        <f t="shared" si="25"/>
        <v>0</v>
      </c>
      <c r="K274" s="1296"/>
      <c r="L274" s="1297"/>
      <c r="M274" s="1370">
        <f t="shared" si="26"/>
        <v>0</v>
      </c>
      <c r="N274" s="1296"/>
      <c r="O274" s="1297"/>
      <c r="P274" s="1281">
        <f t="shared" si="27"/>
        <v>0</v>
      </c>
      <c r="Q274" s="1296"/>
      <c r="R274" s="2870"/>
      <c r="S274" s="1370">
        <f t="shared" si="28"/>
        <v>0</v>
      </c>
      <c r="T274" s="1296"/>
      <c r="U274" s="1297"/>
      <c r="V274" s="1281">
        <f t="shared" si="29"/>
        <v>0</v>
      </c>
      <c r="W274" s="2094"/>
      <c r="X274" s="2094"/>
      <c r="Y274" s="2092"/>
      <c r="Z274" s="1376"/>
    </row>
    <row r="275" spans="1:26" s="1263" customFormat="1" hidden="1" outlineLevel="2">
      <c r="A275" s="1267">
        <v>596</v>
      </c>
      <c r="B275" s="1294" t="s">
        <v>1690</v>
      </c>
      <c r="C275" s="1295" t="s">
        <v>1330</v>
      </c>
      <c r="D275" s="1457" t="s">
        <v>1331</v>
      </c>
      <c r="E275" s="1296"/>
      <c r="F275" s="1297"/>
      <c r="G275" s="1281">
        <f t="shared" si="24"/>
        <v>0</v>
      </c>
      <c r="H275" s="1296"/>
      <c r="I275" s="1297"/>
      <c r="J275" s="1276">
        <f t="shared" si="25"/>
        <v>0</v>
      </c>
      <c r="K275" s="1296"/>
      <c r="L275" s="1297"/>
      <c r="M275" s="1370">
        <f t="shared" si="26"/>
        <v>0</v>
      </c>
      <c r="N275" s="1296"/>
      <c r="O275" s="1297"/>
      <c r="P275" s="1281">
        <f t="shared" si="27"/>
        <v>0</v>
      </c>
      <c r="Q275" s="1296"/>
      <c r="R275" s="2870"/>
      <c r="S275" s="1370">
        <f t="shared" si="28"/>
        <v>0</v>
      </c>
      <c r="T275" s="1296"/>
      <c r="U275" s="1297"/>
      <c r="V275" s="1281">
        <f t="shared" si="29"/>
        <v>0</v>
      </c>
      <c r="W275" s="2094"/>
      <c r="X275" s="2094"/>
      <c r="Y275" s="2092"/>
      <c r="Z275" s="1376"/>
    </row>
    <row r="276" spans="1:26" s="1263" customFormat="1" hidden="1" outlineLevel="2">
      <c r="A276" s="1267">
        <v>421</v>
      </c>
      <c r="B276" s="1292" t="s">
        <v>1691</v>
      </c>
      <c r="C276" s="1293" t="s">
        <v>1692</v>
      </c>
      <c r="D276" s="1454"/>
      <c r="E276" s="1279">
        <f>E277*E278/1000</f>
        <v>0</v>
      </c>
      <c r="F276" s="1280">
        <f>F277*F278/1000</f>
        <v>0</v>
      </c>
      <c r="G276" s="1281">
        <f t="shared" si="24"/>
        <v>0</v>
      </c>
      <c r="H276" s="1279">
        <f>H277*H278/1000</f>
        <v>0</v>
      </c>
      <c r="I276" s="1280">
        <f>I277*I278/1000</f>
        <v>0</v>
      </c>
      <c r="J276" s="1276">
        <f t="shared" si="25"/>
        <v>0</v>
      </c>
      <c r="K276" s="1279">
        <f>K277*K278/1000</f>
        <v>0</v>
      </c>
      <c r="L276" s="1280">
        <f>L277*L278/1000</f>
        <v>0</v>
      </c>
      <c r="M276" s="1370">
        <f t="shared" si="26"/>
        <v>0</v>
      </c>
      <c r="N276" s="1279">
        <f>N277*N278/1000</f>
        <v>0</v>
      </c>
      <c r="O276" s="1280">
        <f>O277*O278/1000</f>
        <v>0</v>
      </c>
      <c r="P276" s="1281">
        <f t="shared" si="27"/>
        <v>0</v>
      </c>
      <c r="Q276" s="1279">
        <f>Q277*Q278/1000</f>
        <v>0</v>
      </c>
      <c r="R276" s="2867">
        <f>R277*R278/1000</f>
        <v>0</v>
      </c>
      <c r="S276" s="1370">
        <f t="shared" si="28"/>
        <v>0</v>
      </c>
      <c r="T276" s="1279">
        <f>T277*T278/1000</f>
        <v>0</v>
      </c>
      <c r="U276" s="1280">
        <f>U277*U278/1000</f>
        <v>0</v>
      </c>
      <c r="V276" s="1281">
        <f t="shared" si="29"/>
        <v>0</v>
      </c>
      <c r="W276" s="2093"/>
      <c r="X276" s="2093"/>
      <c r="Y276" s="2092"/>
      <c r="Z276" s="1376"/>
    </row>
    <row r="277" spans="1:26" s="1263" customFormat="1" hidden="1" outlineLevel="2">
      <c r="A277" s="1267">
        <v>597</v>
      </c>
      <c r="B277" s="1294" t="s">
        <v>1693</v>
      </c>
      <c r="C277" s="1295" t="s">
        <v>1327</v>
      </c>
      <c r="D277" s="1457" t="s">
        <v>1328</v>
      </c>
      <c r="E277" s="1296"/>
      <c r="F277" s="1297"/>
      <c r="G277" s="1281">
        <f t="shared" si="24"/>
        <v>0</v>
      </c>
      <c r="H277" s="1296"/>
      <c r="I277" s="1297"/>
      <c r="J277" s="1276">
        <f t="shared" si="25"/>
        <v>0</v>
      </c>
      <c r="K277" s="1296"/>
      <c r="L277" s="1297"/>
      <c r="M277" s="1370">
        <f t="shared" si="26"/>
        <v>0</v>
      </c>
      <c r="N277" s="1296"/>
      <c r="O277" s="1297"/>
      <c r="P277" s="1281">
        <f t="shared" si="27"/>
        <v>0</v>
      </c>
      <c r="Q277" s="1296"/>
      <c r="R277" s="2870"/>
      <c r="S277" s="1370">
        <f t="shared" si="28"/>
        <v>0</v>
      </c>
      <c r="T277" s="1296"/>
      <c r="U277" s="1297"/>
      <c r="V277" s="1281">
        <f t="shared" si="29"/>
        <v>0</v>
      </c>
      <c r="W277" s="2094"/>
      <c r="X277" s="2094"/>
      <c r="Y277" s="2092"/>
      <c r="Z277" s="1376"/>
    </row>
    <row r="278" spans="1:26" s="1263" customFormat="1" hidden="1" outlineLevel="2">
      <c r="A278" s="1267">
        <v>598</v>
      </c>
      <c r="B278" s="1294" t="s">
        <v>1694</v>
      </c>
      <c r="C278" s="1295" t="s">
        <v>1330</v>
      </c>
      <c r="D278" s="1457" t="s">
        <v>1331</v>
      </c>
      <c r="E278" s="1296"/>
      <c r="F278" s="1297"/>
      <c r="G278" s="1281">
        <f t="shared" si="24"/>
        <v>0</v>
      </c>
      <c r="H278" s="1296"/>
      <c r="I278" s="1297"/>
      <c r="J278" s="1276">
        <f t="shared" si="25"/>
        <v>0</v>
      </c>
      <c r="K278" s="1296"/>
      <c r="L278" s="1297"/>
      <c r="M278" s="1370">
        <f t="shared" si="26"/>
        <v>0</v>
      </c>
      <c r="N278" s="1296"/>
      <c r="O278" s="1297"/>
      <c r="P278" s="1281">
        <f t="shared" si="27"/>
        <v>0</v>
      </c>
      <c r="Q278" s="1296"/>
      <c r="R278" s="2870"/>
      <c r="S278" s="1370">
        <f t="shared" si="28"/>
        <v>0</v>
      </c>
      <c r="T278" s="1296"/>
      <c r="U278" s="1297"/>
      <c r="V278" s="1281">
        <f t="shared" si="29"/>
        <v>0</v>
      </c>
      <c r="W278" s="2094"/>
      <c r="X278" s="2094"/>
      <c r="Y278" s="2092"/>
      <c r="Z278" s="1376"/>
    </row>
    <row r="279" spans="1:26" s="1263" customFormat="1" hidden="1" outlineLevel="2">
      <c r="A279" s="1267">
        <v>422</v>
      </c>
      <c r="B279" s="1292" t="s">
        <v>1695</v>
      </c>
      <c r="C279" s="1293" t="s">
        <v>1696</v>
      </c>
      <c r="D279" s="1454"/>
      <c r="E279" s="1279">
        <f>E280*E281/1000</f>
        <v>0</v>
      </c>
      <c r="F279" s="1280">
        <f>F280*F281/1000</f>
        <v>0</v>
      </c>
      <c r="G279" s="1281">
        <f t="shared" si="24"/>
        <v>0</v>
      </c>
      <c r="H279" s="1279">
        <f>H280*H281/1000</f>
        <v>0</v>
      </c>
      <c r="I279" s="1280">
        <f>I280*I281/1000</f>
        <v>0</v>
      </c>
      <c r="J279" s="1276">
        <f t="shared" si="25"/>
        <v>0</v>
      </c>
      <c r="K279" s="1279">
        <f>K280*K281/1000</f>
        <v>0</v>
      </c>
      <c r="L279" s="1280">
        <f>L280*L281/1000</f>
        <v>0</v>
      </c>
      <c r="M279" s="1370">
        <f t="shared" si="26"/>
        <v>0</v>
      </c>
      <c r="N279" s="1279">
        <f>N280*N281/1000</f>
        <v>0</v>
      </c>
      <c r="O279" s="1280">
        <f>O280*O281/1000</f>
        <v>0</v>
      </c>
      <c r="P279" s="1281">
        <f t="shared" si="27"/>
        <v>0</v>
      </c>
      <c r="Q279" s="1279">
        <f>Q280*Q281/1000</f>
        <v>0</v>
      </c>
      <c r="R279" s="2867">
        <f>R280*R281/1000</f>
        <v>0</v>
      </c>
      <c r="S279" s="1370">
        <f t="shared" si="28"/>
        <v>0</v>
      </c>
      <c r="T279" s="1279">
        <f>T280*T281/1000</f>
        <v>0</v>
      </c>
      <c r="U279" s="1280">
        <f>U280*U281/1000</f>
        <v>0</v>
      </c>
      <c r="V279" s="1281">
        <f t="shared" si="29"/>
        <v>0</v>
      </c>
      <c r="W279" s="2093"/>
      <c r="X279" s="2093"/>
      <c r="Y279" s="2092"/>
      <c r="Z279" s="1376"/>
    </row>
    <row r="280" spans="1:26" s="1263" customFormat="1" hidden="1" outlineLevel="2">
      <c r="A280" s="1267">
        <v>599</v>
      </c>
      <c r="B280" s="1294" t="s">
        <v>1697</v>
      </c>
      <c r="C280" s="1295" t="s">
        <v>1327</v>
      </c>
      <c r="D280" s="1457" t="s">
        <v>1328</v>
      </c>
      <c r="E280" s="1296"/>
      <c r="F280" s="1297"/>
      <c r="G280" s="1281">
        <f t="shared" si="24"/>
        <v>0</v>
      </c>
      <c r="H280" s="1296"/>
      <c r="I280" s="1297"/>
      <c r="J280" s="1276">
        <f t="shared" si="25"/>
        <v>0</v>
      </c>
      <c r="K280" s="1296"/>
      <c r="L280" s="1297"/>
      <c r="M280" s="1370">
        <f t="shared" si="26"/>
        <v>0</v>
      </c>
      <c r="N280" s="1296"/>
      <c r="O280" s="1297"/>
      <c r="P280" s="1281">
        <f t="shared" si="27"/>
        <v>0</v>
      </c>
      <c r="Q280" s="1296"/>
      <c r="R280" s="2870"/>
      <c r="S280" s="1370">
        <f t="shared" si="28"/>
        <v>0</v>
      </c>
      <c r="T280" s="1296"/>
      <c r="U280" s="1297"/>
      <c r="V280" s="1281">
        <f t="shared" si="29"/>
        <v>0</v>
      </c>
      <c r="W280" s="2094"/>
      <c r="X280" s="2094"/>
      <c r="Y280" s="2092"/>
      <c r="Z280" s="1376"/>
    </row>
    <row r="281" spans="1:26" s="1263" customFormat="1" hidden="1" outlineLevel="2">
      <c r="A281" s="1267">
        <v>600</v>
      </c>
      <c r="B281" s="1294" t="s">
        <v>1698</v>
      </c>
      <c r="C281" s="1295" t="s">
        <v>1330</v>
      </c>
      <c r="D281" s="1457" t="s">
        <v>1331</v>
      </c>
      <c r="E281" s="1296"/>
      <c r="F281" s="1297"/>
      <c r="G281" s="1281">
        <f t="shared" si="24"/>
        <v>0</v>
      </c>
      <c r="H281" s="1296"/>
      <c r="I281" s="1297"/>
      <c r="J281" s="1276">
        <f t="shared" si="25"/>
        <v>0</v>
      </c>
      <c r="K281" s="1296"/>
      <c r="L281" s="1297"/>
      <c r="M281" s="1370">
        <f t="shared" si="26"/>
        <v>0</v>
      </c>
      <c r="N281" s="1296"/>
      <c r="O281" s="1297"/>
      <c r="P281" s="1281">
        <f t="shared" si="27"/>
        <v>0</v>
      </c>
      <c r="Q281" s="1296"/>
      <c r="R281" s="2870"/>
      <c r="S281" s="1370">
        <f t="shared" si="28"/>
        <v>0</v>
      </c>
      <c r="T281" s="1296"/>
      <c r="U281" s="1297"/>
      <c r="V281" s="1281">
        <f t="shared" si="29"/>
        <v>0</v>
      </c>
      <c r="W281" s="2094"/>
      <c r="X281" s="2094"/>
      <c r="Y281" s="2092"/>
      <c r="Z281" s="1376"/>
    </row>
    <row r="282" spans="1:26" s="1263" customFormat="1" hidden="1" outlineLevel="2">
      <c r="A282" s="1267">
        <v>423</v>
      </c>
      <c r="B282" s="1292" t="s">
        <v>1699</v>
      </c>
      <c r="C282" s="1293" t="s">
        <v>1700</v>
      </c>
      <c r="D282" s="1454"/>
      <c r="E282" s="1279">
        <f>E283*E284/1000</f>
        <v>0</v>
      </c>
      <c r="F282" s="1280">
        <f>F283*F284/1000</f>
        <v>0</v>
      </c>
      <c r="G282" s="1281">
        <f t="shared" si="24"/>
        <v>0</v>
      </c>
      <c r="H282" s="1279">
        <f>H283*H284/1000</f>
        <v>0</v>
      </c>
      <c r="I282" s="1280">
        <f>I283*I284/1000</f>
        <v>0</v>
      </c>
      <c r="J282" s="1276">
        <f t="shared" si="25"/>
        <v>0</v>
      </c>
      <c r="K282" s="1279">
        <f>K283*K284/1000</f>
        <v>0</v>
      </c>
      <c r="L282" s="1280">
        <f>L283*L284/1000</f>
        <v>0</v>
      </c>
      <c r="M282" s="1370">
        <f t="shared" si="26"/>
        <v>0</v>
      </c>
      <c r="N282" s="1279">
        <f>N283*N284/1000</f>
        <v>0</v>
      </c>
      <c r="O282" s="1280">
        <f>O283*O284/1000</f>
        <v>0</v>
      </c>
      <c r="P282" s="1281">
        <f t="shared" si="27"/>
        <v>0</v>
      </c>
      <c r="Q282" s="1279">
        <f>Q283*Q284/1000</f>
        <v>0</v>
      </c>
      <c r="R282" s="2867">
        <f>R283*R284/1000</f>
        <v>0</v>
      </c>
      <c r="S282" s="1370">
        <f t="shared" si="28"/>
        <v>0</v>
      </c>
      <c r="T282" s="1279">
        <f>T283*T284/1000</f>
        <v>0</v>
      </c>
      <c r="U282" s="1280">
        <f>U283*U284/1000</f>
        <v>0</v>
      </c>
      <c r="V282" s="1281">
        <f t="shared" si="29"/>
        <v>0</v>
      </c>
      <c r="W282" s="2093"/>
      <c r="X282" s="2093"/>
      <c r="Y282" s="2092"/>
      <c r="Z282" s="1376"/>
    </row>
    <row r="283" spans="1:26" s="1263" customFormat="1" hidden="1" outlineLevel="2">
      <c r="A283" s="1267">
        <v>601</v>
      </c>
      <c r="B283" s="1294" t="s">
        <v>1701</v>
      </c>
      <c r="C283" s="1295" t="s">
        <v>1327</v>
      </c>
      <c r="D283" s="1457" t="s">
        <v>1328</v>
      </c>
      <c r="E283" s="1296"/>
      <c r="F283" s="1297"/>
      <c r="G283" s="1281">
        <f t="shared" si="24"/>
        <v>0</v>
      </c>
      <c r="H283" s="1296"/>
      <c r="I283" s="1297"/>
      <c r="J283" s="1276">
        <f t="shared" si="25"/>
        <v>0</v>
      </c>
      <c r="K283" s="1296"/>
      <c r="L283" s="1297"/>
      <c r="M283" s="1370">
        <f t="shared" si="26"/>
        <v>0</v>
      </c>
      <c r="N283" s="1296"/>
      <c r="O283" s="1297"/>
      <c r="P283" s="1281">
        <f t="shared" si="27"/>
        <v>0</v>
      </c>
      <c r="Q283" s="1296"/>
      <c r="R283" s="2870"/>
      <c r="S283" s="1370">
        <f t="shared" si="28"/>
        <v>0</v>
      </c>
      <c r="T283" s="1296"/>
      <c r="U283" s="1297"/>
      <c r="V283" s="1281">
        <f t="shared" si="29"/>
        <v>0</v>
      </c>
      <c r="W283" s="2094"/>
      <c r="X283" s="2094"/>
      <c r="Y283" s="2092"/>
      <c r="Z283" s="1376"/>
    </row>
    <row r="284" spans="1:26" s="1263" customFormat="1" hidden="1" outlineLevel="2">
      <c r="A284" s="1267">
        <v>602</v>
      </c>
      <c r="B284" s="1294" t="s">
        <v>1702</v>
      </c>
      <c r="C284" s="1295" t="s">
        <v>1330</v>
      </c>
      <c r="D284" s="1457" t="s">
        <v>1331</v>
      </c>
      <c r="E284" s="1296"/>
      <c r="F284" s="1297"/>
      <c r="G284" s="1281">
        <f t="shared" si="24"/>
        <v>0</v>
      </c>
      <c r="H284" s="1296"/>
      <c r="I284" s="1297"/>
      <c r="J284" s="1276">
        <f t="shared" si="25"/>
        <v>0</v>
      </c>
      <c r="K284" s="1296"/>
      <c r="L284" s="1297"/>
      <c r="M284" s="1370">
        <f t="shared" si="26"/>
        <v>0</v>
      </c>
      <c r="N284" s="1296"/>
      <c r="O284" s="1297"/>
      <c r="P284" s="1281">
        <f t="shared" si="27"/>
        <v>0</v>
      </c>
      <c r="Q284" s="1296"/>
      <c r="R284" s="2870"/>
      <c r="S284" s="1370">
        <f t="shared" si="28"/>
        <v>0</v>
      </c>
      <c r="T284" s="1296"/>
      <c r="U284" s="1297"/>
      <c r="V284" s="1281">
        <f t="shared" si="29"/>
        <v>0</v>
      </c>
      <c r="W284" s="2094"/>
      <c r="X284" s="2094"/>
      <c r="Y284" s="2092"/>
      <c r="Z284" s="1376"/>
    </row>
    <row r="285" spans="1:26" s="1263" customFormat="1" hidden="1" outlineLevel="2">
      <c r="A285" s="1267">
        <v>424</v>
      </c>
      <c r="B285" s="1292" t="s">
        <v>1703</v>
      </c>
      <c r="C285" s="1293" t="s">
        <v>1704</v>
      </c>
      <c r="D285" s="1454"/>
      <c r="E285" s="1279">
        <f>E286*E287/1000</f>
        <v>0</v>
      </c>
      <c r="F285" s="1280">
        <f>F286*F287/1000</f>
        <v>0</v>
      </c>
      <c r="G285" s="1281">
        <f t="shared" si="24"/>
        <v>0</v>
      </c>
      <c r="H285" s="1279">
        <f>H286*H287/1000</f>
        <v>0</v>
      </c>
      <c r="I285" s="1280">
        <f>I286*I287/1000</f>
        <v>0</v>
      </c>
      <c r="J285" s="1276">
        <f t="shared" si="25"/>
        <v>0</v>
      </c>
      <c r="K285" s="1279">
        <f>K286*K287/1000</f>
        <v>0</v>
      </c>
      <c r="L285" s="1280">
        <f>L286*L287/1000</f>
        <v>0</v>
      </c>
      <c r="M285" s="1370">
        <f t="shared" si="26"/>
        <v>0</v>
      </c>
      <c r="N285" s="1279">
        <f>N286*N287/1000</f>
        <v>0</v>
      </c>
      <c r="O285" s="1280">
        <f>O286*O287/1000</f>
        <v>0</v>
      </c>
      <c r="P285" s="1281">
        <f t="shared" si="27"/>
        <v>0</v>
      </c>
      <c r="Q285" s="1279">
        <f>Q286*Q287/1000</f>
        <v>0</v>
      </c>
      <c r="R285" s="2867">
        <f>R286*R287/1000</f>
        <v>0</v>
      </c>
      <c r="S285" s="1370">
        <f t="shared" si="28"/>
        <v>0</v>
      </c>
      <c r="T285" s="1279">
        <f>T286*T287/1000</f>
        <v>0</v>
      </c>
      <c r="U285" s="1280">
        <f>U286*U287/1000</f>
        <v>0</v>
      </c>
      <c r="V285" s="1281">
        <f t="shared" si="29"/>
        <v>0</v>
      </c>
      <c r="W285" s="2093"/>
      <c r="X285" s="2093"/>
      <c r="Y285" s="2092"/>
      <c r="Z285" s="1376"/>
    </row>
    <row r="286" spans="1:26" s="1263" customFormat="1" hidden="1" outlineLevel="2">
      <c r="A286" s="1267">
        <v>603</v>
      </c>
      <c r="B286" s="1294" t="s">
        <v>1705</v>
      </c>
      <c r="C286" s="1295" t="s">
        <v>1327</v>
      </c>
      <c r="D286" s="1457" t="s">
        <v>1328</v>
      </c>
      <c r="E286" s="1296"/>
      <c r="F286" s="1297"/>
      <c r="G286" s="1281">
        <f t="shared" si="24"/>
        <v>0</v>
      </c>
      <c r="H286" s="1296"/>
      <c r="I286" s="1297"/>
      <c r="J286" s="1276">
        <f t="shared" si="25"/>
        <v>0</v>
      </c>
      <c r="K286" s="1296"/>
      <c r="L286" s="1297"/>
      <c r="M286" s="1370">
        <f t="shared" si="26"/>
        <v>0</v>
      </c>
      <c r="N286" s="1296"/>
      <c r="O286" s="1297"/>
      <c r="P286" s="1281">
        <f t="shared" si="27"/>
        <v>0</v>
      </c>
      <c r="Q286" s="1296"/>
      <c r="R286" s="2870"/>
      <c r="S286" s="1370">
        <f t="shared" si="28"/>
        <v>0</v>
      </c>
      <c r="T286" s="1296"/>
      <c r="U286" s="1297"/>
      <c r="V286" s="1281">
        <f t="shared" si="29"/>
        <v>0</v>
      </c>
      <c r="W286" s="2094"/>
      <c r="X286" s="2094"/>
      <c r="Y286" s="2092"/>
      <c r="Z286" s="1376"/>
    </row>
    <row r="287" spans="1:26" s="1263" customFormat="1" hidden="1" outlineLevel="2">
      <c r="A287" s="1267">
        <v>604</v>
      </c>
      <c r="B287" s="1294" t="s">
        <v>1706</v>
      </c>
      <c r="C287" s="1295" t="s">
        <v>1330</v>
      </c>
      <c r="D287" s="1457" t="s">
        <v>1331</v>
      </c>
      <c r="E287" s="1296"/>
      <c r="F287" s="1297"/>
      <c r="G287" s="1281">
        <f t="shared" si="24"/>
        <v>0</v>
      </c>
      <c r="H287" s="1296"/>
      <c r="I287" s="1297"/>
      <c r="J287" s="1276">
        <f t="shared" si="25"/>
        <v>0</v>
      </c>
      <c r="K287" s="1296"/>
      <c r="L287" s="1297"/>
      <c r="M287" s="1370">
        <f t="shared" si="26"/>
        <v>0</v>
      </c>
      <c r="N287" s="1296"/>
      <c r="O287" s="1297"/>
      <c r="P287" s="1281">
        <f t="shared" si="27"/>
        <v>0</v>
      </c>
      <c r="Q287" s="1296"/>
      <c r="R287" s="2870"/>
      <c r="S287" s="1370">
        <f t="shared" si="28"/>
        <v>0</v>
      </c>
      <c r="T287" s="1296"/>
      <c r="U287" s="1297"/>
      <c r="V287" s="1281">
        <f t="shared" si="29"/>
        <v>0</v>
      </c>
      <c r="W287" s="2094"/>
      <c r="X287" s="2094"/>
      <c r="Y287" s="2092"/>
      <c r="Z287" s="1376"/>
    </row>
    <row r="288" spans="1:26" s="1263" customFormat="1" hidden="1" outlineLevel="2">
      <c r="A288" s="1267">
        <v>425</v>
      </c>
      <c r="B288" s="1292" t="s">
        <v>1707</v>
      </c>
      <c r="C288" s="1293" t="s">
        <v>1708</v>
      </c>
      <c r="D288" s="1454"/>
      <c r="E288" s="1279">
        <f>E289*E290/1000</f>
        <v>0</v>
      </c>
      <c r="F288" s="1280">
        <f>F289*F290/1000</f>
        <v>0</v>
      </c>
      <c r="G288" s="1281">
        <f t="shared" si="24"/>
        <v>0</v>
      </c>
      <c r="H288" s="1279">
        <f>H289*H290/1000</f>
        <v>0</v>
      </c>
      <c r="I288" s="1280">
        <f>I289*I290/1000</f>
        <v>0</v>
      </c>
      <c r="J288" s="1276">
        <f t="shared" si="25"/>
        <v>0</v>
      </c>
      <c r="K288" s="1279">
        <f>K289*K290/1000</f>
        <v>0</v>
      </c>
      <c r="L288" s="1280">
        <f>L289*L290/1000</f>
        <v>0</v>
      </c>
      <c r="M288" s="1370">
        <f t="shared" si="26"/>
        <v>0</v>
      </c>
      <c r="N288" s="1279">
        <f>N289*N290/1000</f>
        <v>0</v>
      </c>
      <c r="O288" s="1280">
        <f>O289*O290/1000</f>
        <v>0</v>
      </c>
      <c r="P288" s="1281">
        <f t="shared" si="27"/>
        <v>0</v>
      </c>
      <c r="Q288" s="1279">
        <f>Q289*Q290/1000</f>
        <v>0</v>
      </c>
      <c r="R288" s="2867">
        <f>R289*R290/1000</f>
        <v>0</v>
      </c>
      <c r="S288" s="1370">
        <f t="shared" si="28"/>
        <v>0</v>
      </c>
      <c r="T288" s="1279">
        <f>T289*T290/1000</f>
        <v>0</v>
      </c>
      <c r="U288" s="1280">
        <f>U289*U290/1000</f>
        <v>0</v>
      </c>
      <c r="V288" s="1281">
        <f t="shared" si="29"/>
        <v>0</v>
      </c>
      <c r="W288" s="2093"/>
      <c r="X288" s="2093"/>
      <c r="Y288" s="2092"/>
      <c r="Z288" s="1376"/>
    </row>
    <row r="289" spans="1:26" s="1263" customFormat="1" hidden="1" outlineLevel="2">
      <c r="A289" s="1267">
        <v>605</v>
      </c>
      <c r="B289" s="1294" t="s">
        <v>1709</v>
      </c>
      <c r="C289" s="1295" t="s">
        <v>1327</v>
      </c>
      <c r="D289" s="1457" t="s">
        <v>1328</v>
      </c>
      <c r="E289" s="1296"/>
      <c r="F289" s="1297"/>
      <c r="G289" s="1281">
        <f t="shared" si="24"/>
        <v>0</v>
      </c>
      <c r="H289" s="1296"/>
      <c r="I289" s="1297"/>
      <c r="J289" s="1276">
        <f t="shared" si="25"/>
        <v>0</v>
      </c>
      <c r="K289" s="1296"/>
      <c r="L289" s="1297"/>
      <c r="M289" s="1370">
        <f t="shared" si="26"/>
        <v>0</v>
      </c>
      <c r="N289" s="1296"/>
      <c r="O289" s="1297"/>
      <c r="P289" s="1281">
        <f t="shared" si="27"/>
        <v>0</v>
      </c>
      <c r="Q289" s="1296"/>
      <c r="R289" s="2870"/>
      <c r="S289" s="1370">
        <f t="shared" si="28"/>
        <v>0</v>
      </c>
      <c r="T289" s="1296"/>
      <c r="U289" s="1297"/>
      <c r="V289" s="1281">
        <f t="shared" si="29"/>
        <v>0</v>
      </c>
      <c r="W289" s="2094"/>
      <c r="X289" s="2094"/>
      <c r="Y289" s="2092"/>
      <c r="Z289" s="1376"/>
    </row>
    <row r="290" spans="1:26" s="1263" customFormat="1" hidden="1" outlineLevel="2">
      <c r="A290" s="1267">
        <v>606</v>
      </c>
      <c r="B290" s="1294" t="s">
        <v>1710</v>
      </c>
      <c r="C290" s="1295" t="s">
        <v>1330</v>
      </c>
      <c r="D290" s="1457" t="s">
        <v>1331</v>
      </c>
      <c r="E290" s="1296"/>
      <c r="F290" s="1297"/>
      <c r="G290" s="1281">
        <f t="shared" si="24"/>
        <v>0</v>
      </c>
      <c r="H290" s="1296"/>
      <c r="I290" s="1297"/>
      <c r="J290" s="1276">
        <f t="shared" si="25"/>
        <v>0</v>
      </c>
      <c r="K290" s="1296"/>
      <c r="L290" s="1297"/>
      <c r="M290" s="1370">
        <f t="shared" si="26"/>
        <v>0</v>
      </c>
      <c r="N290" s="1296"/>
      <c r="O290" s="1297"/>
      <c r="P290" s="1281">
        <f t="shared" si="27"/>
        <v>0</v>
      </c>
      <c r="Q290" s="1296"/>
      <c r="R290" s="2870"/>
      <c r="S290" s="1370">
        <f t="shared" si="28"/>
        <v>0</v>
      </c>
      <c r="T290" s="1296"/>
      <c r="U290" s="1297"/>
      <c r="V290" s="1281">
        <f t="shared" si="29"/>
        <v>0</v>
      </c>
      <c r="W290" s="2094"/>
      <c r="X290" s="2094"/>
      <c r="Y290" s="2092"/>
      <c r="Z290" s="1376"/>
    </row>
    <row r="291" spans="1:26" s="1263" customFormat="1" hidden="1" outlineLevel="2">
      <c r="A291" s="1267">
        <v>426</v>
      </c>
      <c r="B291" s="1292" t="s">
        <v>1711</v>
      </c>
      <c r="C291" s="1293" t="s">
        <v>1712</v>
      </c>
      <c r="D291" s="1454"/>
      <c r="E291" s="1279">
        <f>E292*E293/1000</f>
        <v>0</v>
      </c>
      <c r="F291" s="1280">
        <f>F292*F293/1000</f>
        <v>0</v>
      </c>
      <c r="G291" s="1281">
        <f t="shared" si="24"/>
        <v>0</v>
      </c>
      <c r="H291" s="1279">
        <f>H292*H293/1000</f>
        <v>0</v>
      </c>
      <c r="I291" s="1280">
        <f>I292*I293/1000</f>
        <v>0</v>
      </c>
      <c r="J291" s="1276">
        <f t="shared" si="25"/>
        <v>0</v>
      </c>
      <c r="K291" s="1279">
        <f>K292*K293/1000</f>
        <v>0</v>
      </c>
      <c r="L291" s="1280">
        <f>L292*L293/1000</f>
        <v>0</v>
      </c>
      <c r="M291" s="1370">
        <f t="shared" si="26"/>
        <v>0</v>
      </c>
      <c r="N291" s="1279">
        <f>N292*N293/1000</f>
        <v>0</v>
      </c>
      <c r="O291" s="1280">
        <f>O292*O293/1000</f>
        <v>0</v>
      </c>
      <c r="P291" s="1281">
        <f t="shared" si="27"/>
        <v>0</v>
      </c>
      <c r="Q291" s="1279">
        <f>Q292*Q293/1000</f>
        <v>0</v>
      </c>
      <c r="R291" s="2867">
        <f>R292*R293/1000</f>
        <v>0</v>
      </c>
      <c r="S291" s="1370">
        <f t="shared" si="28"/>
        <v>0</v>
      </c>
      <c r="T291" s="1279">
        <f>T292*T293/1000</f>
        <v>0</v>
      </c>
      <c r="U291" s="1280">
        <f>U292*U293/1000</f>
        <v>0</v>
      </c>
      <c r="V291" s="1281">
        <f t="shared" si="29"/>
        <v>0</v>
      </c>
      <c r="W291" s="2093"/>
      <c r="X291" s="2093"/>
      <c r="Y291" s="2092"/>
      <c r="Z291" s="1376"/>
    </row>
    <row r="292" spans="1:26" s="1263" customFormat="1" hidden="1" outlineLevel="2">
      <c r="A292" s="1267">
        <v>607</v>
      </c>
      <c r="B292" s="1294" t="s">
        <v>1713</v>
      </c>
      <c r="C292" s="1295" t="s">
        <v>1327</v>
      </c>
      <c r="D292" s="1457" t="s">
        <v>1328</v>
      </c>
      <c r="E292" s="1296"/>
      <c r="F292" s="1297"/>
      <c r="G292" s="1281">
        <f t="shared" si="24"/>
        <v>0</v>
      </c>
      <c r="H292" s="1296"/>
      <c r="I292" s="1297"/>
      <c r="J292" s="1276">
        <f t="shared" si="25"/>
        <v>0</v>
      </c>
      <c r="K292" s="1296"/>
      <c r="L292" s="1297"/>
      <c r="M292" s="1370">
        <f t="shared" si="26"/>
        <v>0</v>
      </c>
      <c r="N292" s="1296"/>
      <c r="O292" s="1297"/>
      <c r="P292" s="1281">
        <f t="shared" si="27"/>
        <v>0</v>
      </c>
      <c r="Q292" s="1296"/>
      <c r="R292" s="2870"/>
      <c r="S292" s="1370">
        <f t="shared" si="28"/>
        <v>0</v>
      </c>
      <c r="T292" s="1296"/>
      <c r="U292" s="1297"/>
      <c r="V292" s="1281">
        <f t="shared" si="29"/>
        <v>0</v>
      </c>
      <c r="W292" s="2094"/>
      <c r="X292" s="2094"/>
      <c r="Y292" s="2092"/>
      <c r="Z292" s="1376"/>
    </row>
    <row r="293" spans="1:26" s="1263" customFormat="1" hidden="1" outlineLevel="2">
      <c r="A293" s="1267">
        <v>608</v>
      </c>
      <c r="B293" s="1294" t="s">
        <v>1714</v>
      </c>
      <c r="C293" s="1295" t="s">
        <v>1330</v>
      </c>
      <c r="D293" s="1457" t="s">
        <v>1331</v>
      </c>
      <c r="E293" s="1296"/>
      <c r="F293" s="1297"/>
      <c r="G293" s="1281">
        <f t="shared" si="24"/>
        <v>0</v>
      </c>
      <c r="H293" s="1296"/>
      <c r="I293" s="1297"/>
      <c r="J293" s="1276">
        <f t="shared" si="25"/>
        <v>0</v>
      </c>
      <c r="K293" s="1296"/>
      <c r="L293" s="1297"/>
      <c r="M293" s="1370">
        <f t="shared" si="26"/>
        <v>0</v>
      </c>
      <c r="N293" s="1296"/>
      <c r="O293" s="1297"/>
      <c r="P293" s="1281">
        <f t="shared" si="27"/>
        <v>0</v>
      </c>
      <c r="Q293" s="1296"/>
      <c r="R293" s="2870"/>
      <c r="S293" s="1370">
        <f t="shared" si="28"/>
        <v>0</v>
      </c>
      <c r="T293" s="1296"/>
      <c r="U293" s="1297"/>
      <c r="V293" s="1281">
        <f t="shared" si="29"/>
        <v>0</v>
      </c>
      <c r="W293" s="2094"/>
      <c r="X293" s="2094"/>
      <c r="Y293" s="2092"/>
      <c r="Z293" s="1376"/>
    </row>
    <row r="294" spans="1:26" s="1263" customFormat="1" hidden="1" outlineLevel="2">
      <c r="A294" s="1267">
        <v>623</v>
      </c>
      <c r="B294" s="1292" t="s">
        <v>1715</v>
      </c>
      <c r="C294" s="1293" t="s">
        <v>1716</v>
      </c>
      <c r="D294" s="1454"/>
      <c r="E294" s="1279">
        <f>E295*E296/1000</f>
        <v>0</v>
      </c>
      <c r="F294" s="1280">
        <f>F295*F296/1000</f>
        <v>0</v>
      </c>
      <c r="G294" s="1281">
        <f t="shared" si="24"/>
        <v>0</v>
      </c>
      <c r="H294" s="1279">
        <f>H295*H296/1000</f>
        <v>0</v>
      </c>
      <c r="I294" s="1280">
        <f>I295*I296/1000</f>
        <v>0</v>
      </c>
      <c r="J294" s="1276">
        <f t="shared" si="25"/>
        <v>0</v>
      </c>
      <c r="K294" s="1279">
        <f>K295*K296/1000</f>
        <v>0</v>
      </c>
      <c r="L294" s="1280">
        <f>L295*L296/1000</f>
        <v>0</v>
      </c>
      <c r="M294" s="1370">
        <f t="shared" si="26"/>
        <v>0</v>
      </c>
      <c r="N294" s="1279">
        <f>N295*N296/1000</f>
        <v>0</v>
      </c>
      <c r="O294" s="1280">
        <f>O295*O296/1000</f>
        <v>0</v>
      </c>
      <c r="P294" s="1281">
        <f t="shared" si="27"/>
        <v>0</v>
      </c>
      <c r="Q294" s="1279">
        <f>Q295*Q296/1000</f>
        <v>0</v>
      </c>
      <c r="R294" s="2867">
        <f>R295*R296/1000</f>
        <v>0</v>
      </c>
      <c r="S294" s="1370">
        <f t="shared" si="28"/>
        <v>0</v>
      </c>
      <c r="T294" s="1279">
        <f>T295*T296/1000</f>
        <v>0</v>
      </c>
      <c r="U294" s="1280">
        <f>U295*U296/1000</f>
        <v>0</v>
      </c>
      <c r="V294" s="1281">
        <f t="shared" si="29"/>
        <v>0</v>
      </c>
      <c r="W294" s="2093"/>
      <c r="X294" s="2093"/>
      <c r="Y294" s="2092"/>
      <c r="Z294" s="1376"/>
    </row>
    <row r="295" spans="1:26" s="1263" customFormat="1" hidden="1" outlineLevel="2">
      <c r="A295" s="1267">
        <v>624</v>
      </c>
      <c r="B295" s="1294" t="s">
        <v>1717</v>
      </c>
      <c r="C295" s="1295" t="s">
        <v>1327</v>
      </c>
      <c r="D295" s="1457" t="s">
        <v>1328</v>
      </c>
      <c r="E295" s="1296"/>
      <c r="F295" s="1297"/>
      <c r="G295" s="1281">
        <f t="shared" si="24"/>
        <v>0</v>
      </c>
      <c r="H295" s="1296"/>
      <c r="I295" s="1297"/>
      <c r="J295" s="1276">
        <f t="shared" si="25"/>
        <v>0</v>
      </c>
      <c r="K295" s="1296"/>
      <c r="L295" s="1297"/>
      <c r="M295" s="1370">
        <f t="shared" si="26"/>
        <v>0</v>
      </c>
      <c r="N295" s="1296"/>
      <c r="O295" s="1297"/>
      <c r="P295" s="1281">
        <f t="shared" si="27"/>
        <v>0</v>
      </c>
      <c r="Q295" s="1296"/>
      <c r="R295" s="2870"/>
      <c r="S295" s="1370">
        <f t="shared" si="28"/>
        <v>0</v>
      </c>
      <c r="T295" s="1296"/>
      <c r="U295" s="1297"/>
      <c r="V295" s="1281">
        <f t="shared" si="29"/>
        <v>0</v>
      </c>
      <c r="W295" s="2094"/>
      <c r="X295" s="2094"/>
      <c r="Y295" s="2092"/>
      <c r="Z295" s="1376"/>
    </row>
    <row r="296" spans="1:26" s="1263" customFormat="1" hidden="1" outlineLevel="2">
      <c r="A296" s="1267">
        <v>625</v>
      </c>
      <c r="B296" s="1294" t="s">
        <v>1718</v>
      </c>
      <c r="C296" s="1295" t="s">
        <v>1330</v>
      </c>
      <c r="D296" s="1457" t="s">
        <v>1331</v>
      </c>
      <c r="E296" s="1296"/>
      <c r="F296" s="1297"/>
      <c r="G296" s="1281">
        <f t="shared" si="24"/>
        <v>0</v>
      </c>
      <c r="H296" s="1296"/>
      <c r="I296" s="1297"/>
      <c r="J296" s="1276">
        <f t="shared" si="25"/>
        <v>0</v>
      </c>
      <c r="K296" s="1296"/>
      <c r="L296" s="1297"/>
      <c r="M296" s="1370">
        <f t="shared" si="26"/>
        <v>0</v>
      </c>
      <c r="N296" s="1296"/>
      <c r="O296" s="1297"/>
      <c r="P296" s="1281">
        <f t="shared" si="27"/>
        <v>0</v>
      </c>
      <c r="Q296" s="1296"/>
      <c r="R296" s="2870"/>
      <c r="S296" s="1370">
        <f t="shared" si="28"/>
        <v>0</v>
      </c>
      <c r="T296" s="1296"/>
      <c r="U296" s="1297"/>
      <c r="V296" s="1281">
        <f t="shared" si="29"/>
        <v>0</v>
      </c>
      <c r="W296" s="2094"/>
      <c r="X296" s="2094"/>
      <c r="Y296" s="2092"/>
      <c r="Z296" s="1376"/>
    </row>
    <row r="297" spans="1:26" s="1263" customFormat="1" hidden="1" outlineLevel="2">
      <c r="A297" s="1267">
        <v>626</v>
      </c>
      <c r="B297" s="1292" t="s">
        <v>1719</v>
      </c>
      <c r="C297" s="1293" t="s">
        <v>1720</v>
      </c>
      <c r="D297" s="1454"/>
      <c r="E297" s="1279">
        <f>E298*E299/1000</f>
        <v>0</v>
      </c>
      <c r="F297" s="1280">
        <f>F298*F299/1000</f>
        <v>0</v>
      </c>
      <c r="G297" s="1281">
        <f t="shared" si="24"/>
        <v>0</v>
      </c>
      <c r="H297" s="1279">
        <f>H298*H299/1000</f>
        <v>0</v>
      </c>
      <c r="I297" s="1280">
        <f>I298*I299/1000</f>
        <v>0</v>
      </c>
      <c r="J297" s="1276">
        <f t="shared" si="25"/>
        <v>0</v>
      </c>
      <c r="K297" s="1279">
        <f>K298*K299/1000</f>
        <v>0</v>
      </c>
      <c r="L297" s="1280">
        <f>L298*L299/1000</f>
        <v>0</v>
      </c>
      <c r="M297" s="1370">
        <f t="shared" si="26"/>
        <v>0</v>
      </c>
      <c r="N297" s="1279">
        <f>N298*N299/1000</f>
        <v>0</v>
      </c>
      <c r="O297" s="1280">
        <f>O298*O299/1000</f>
        <v>0</v>
      </c>
      <c r="P297" s="1281">
        <f t="shared" si="27"/>
        <v>0</v>
      </c>
      <c r="Q297" s="1279">
        <f>Q298*Q299/1000</f>
        <v>0</v>
      </c>
      <c r="R297" s="2867">
        <f>R298*R299/1000</f>
        <v>0</v>
      </c>
      <c r="S297" s="1370">
        <f t="shared" si="28"/>
        <v>0</v>
      </c>
      <c r="T297" s="1279">
        <f>T298*T299/1000</f>
        <v>0</v>
      </c>
      <c r="U297" s="1280">
        <f>U298*U299/1000</f>
        <v>0</v>
      </c>
      <c r="V297" s="1281">
        <f t="shared" si="29"/>
        <v>0</v>
      </c>
      <c r="W297" s="2093"/>
      <c r="X297" s="2093"/>
      <c r="Y297" s="2092"/>
      <c r="Z297" s="1376"/>
    </row>
    <row r="298" spans="1:26" s="1263" customFormat="1" hidden="1" outlineLevel="2">
      <c r="A298" s="1267">
        <v>627</v>
      </c>
      <c r="B298" s="1294" t="s">
        <v>1717</v>
      </c>
      <c r="C298" s="1295" t="s">
        <v>1327</v>
      </c>
      <c r="D298" s="1457" t="s">
        <v>1328</v>
      </c>
      <c r="E298" s="1296"/>
      <c r="F298" s="1297"/>
      <c r="G298" s="1281">
        <f t="shared" si="24"/>
        <v>0</v>
      </c>
      <c r="H298" s="1296"/>
      <c r="I298" s="1297"/>
      <c r="J298" s="1276">
        <f t="shared" si="25"/>
        <v>0</v>
      </c>
      <c r="K298" s="1296"/>
      <c r="L298" s="1297"/>
      <c r="M298" s="1370">
        <f t="shared" si="26"/>
        <v>0</v>
      </c>
      <c r="N298" s="1296"/>
      <c r="O298" s="1297"/>
      <c r="P298" s="1281">
        <f t="shared" si="27"/>
        <v>0</v>
      </c>
      <c r="Q298" s="1296"/>
      <c r="R298" s="2870"/>
      <c r="S298" s="1370">
        <f t="shared" si="28"/>
        <v>0</v>
      </c>
      <c r="T298" s="1296"/>
      <c r="U298" s="1297"/>
      <c r="V298" s="1281">
        <f t="shared" si="29"/>
        <v>0</v>
      </c>
      <c r="W298" s="2094"/>
      <c r="X298" s="2094"/>
      <c r="Y298" s="2092"/>
      <c r="Z298" s="1376"/>
    </row>
    <row r="299" spans="1:26" s="1263" customFormat="1" hidden="1" outlineLevel="2">
      <c r="A299" s="1267">
        <v>628</v>
      </c>
      <c r="B299" s="1294" t="s">
        <v>1718</v>
      </c>
      <c r="C299" s="1295" t="s">
        <v>1330</v>
      </c>
      <c r="D299" s="1457" t="s">
        <v>1331</v>
      </c>
      <c r="E299" s="1296"/>
      <c r="F299" s="1297"/>
      <c r="G299" s="1281">
        <f t="shared" si="24"/>
        <v>0</v>
      </c>
      <c r="H299" s="1296"/>
      <c r="I299" s="1297"/>
      <c r="J299" s="1276">
        <f t="shared" si="25"/>
        <v>0</v>
      </c>
      <c r="K299" s="1296"/>
      <c r="L299" s="1297"/>
      <c r="M299" s="1370">
        <f t="shared" si="26"/>
        <v>0</v>
      </c>
      <c r="N299" s="1296"/>
      <c r="O299" s="1297"/>
      <c r="P299" s="1281">
        <f t="shared" si="27"/>
        <v>0</v>
      </c>
      <c r="Q299" s="1296"/>
      <c r="R299" s="2870"/>
      <c r="S299" s="1370">
        <f t="shared" si="28"/>
        <v>0</v>
      </c>
      <c r="T299" s="1296"/>
      <c r="U299" s="1297"/>
      <c r="V299" s="1281">
        <f t="shared" si="29"/>
        <v>0</v>
      </c>
      <c r="W299" s="2094"/>
      <c r="X299" s="2094"/>
      <c r="Y299" s="2092"/>
      <c r="Z299" s="1376"/>
    </row>
    <row r="300" spans="1:26" s="1263" customFormat="1" hidden="1" outlineLevel="2">
      <c r="A300" s="1267">
        <v>632</v>
      </c>
      <c r="B300" s="1292" t="s">
        <v>1721</v>
      </c>
      <c r="C300" s="1293" t="s">
        <v>1722</v>
      </c>
      <c r="D300" s="1454"/>
      <c r="E300" s="1279">
        <f>E301*E302/1000</f>
        <v>52.167762499999995</v>
      </c>
      <c r="F300" s="1280">
        <f>F301*F302/1000</f>
        <v>52.167762499999995</v>
      </c>
      <c r="G300" s="1281">
        <f t="shared" si="24"/>
        <v>52.167762499999995</v>
      </c>
      <c r="H300" s="1279">
        <f>H301*H302/1000</f>
        <v>0</v>
      </c>
      <c r="I300" s="1280">
        <f>I301*I302/1000</f>
        <v>0</v>
      </c>
      <c r="J300" s="1276">
        <f t="shared" si="25"/>
        <v>0</v>
      </c>
      <c r="K300" s="1279">
        <f>K301*K302/1000</f>
        <v>0</v>
      </c>
      <c r="L300" s="1280">
        <f>L301*L302/1000</f>
        <v>0</v>
      </c>
      <c r="M300" s="1370">
        <f t="shared" si="26"/>
        <v>0</v>
      </c>
      <c r="N300" s="1279">
        <f>N301*N302/1000</f>
        <v>0</v>
      </c>
      <c r="O300" s="1280">
        <f>O301*O302/1000</f>
        <v>0</v>
      </c>
      <c r="P300" s="1281">
        <f t="shared" si="27"/>
        <v>0</v>
      </c>
      <c r="Q300" s="1279">
        <f>Q301*Q302/1000</f>
        <v>0</v>
      </c>
      <c r="R300" s="2867">
        <f>R301*R302/1000</f>
        <v>0</v>
      </c>
      <c r="S300" s="1370">
        <f t="shared" si="28"/>
        <v>0</v>
      </c>
      <c r="T300" s="1279">
        <f>T301*T302/1000</f>
        <v>0</v>
      </c>
      <c r="U300" s="1280">
        <f>U301*U302/1000</f>
        <v>0</v>
      </c>
      <c r="V300" s="1281">
        <f t="shared" si="29"/>
        <v>0</v>
      </c>
      <c r="W300" s="2093"/>
      <c r="X300" s="2093"/>
      <c r="Y300" s="2092"/>
      <c r="Z300" s="1376"/>
    </row>
    <row r="301" spans="1:26" s="1263" customFormat="1" hidden="1" outlineLevel="2">
      <c r="A301" s="1267">
        <v>633</v>
      </c>
      <c r="B301" s="1294" t="s">
        <v>1723</v>
      </c>
      <c r="C301" s="1295" t="s">
        <v>1327</v>
      </c>
      <c r="D301" s="1457" t="s">
        <v>1328</v>
      </c>
      <c r="E301" s="1296" t="s">
        <v>1724</v>
      </c>
      <c r="F301" s="1297" t="s">
        <v>1724</v>
      </c>
      <c r="G301" s="1281">
        <f t="shared" si="24"/>
        <v>0.35</v>
      </c>
      <c r="H301" s="1296"/>
      <c r="I301" s="1297"/>
      <c r="J301" s="1276">
        <f t="shared" si="25"/>
        <v>0</v>
      </c>
      <c r="K301" s="1296"/>
      <c r="L301" s="1297"/>
      <c r="M301" s="1370">
        <f t="shared" si="26"/>
        <v>0</v>
      </c>
      <c r="N301" s="1296"/>
      <c r="O301" s="1297"/>
      <c r="P301" s="1281">
        <f t="shared" si="27"/>
        <v>0</v>
      </c>
      <c r="Q301" s="1296"/>
      <c r="R301" s="2870"/>
      <c r="S301" s="1370">
        <f t="shared" si="28"/>
        <v>0</v>
      </c>
      <c r="T301" s="1296"/>
      <c r="U301" s="1297"/>
      <c r="V301" s="1281">
        <f t="shared" si="29"/>
        <v>0</v>
      </c>
      <c r="W301" s="2094"/>
      <c r="X301" s="2094"/>
      <c r="Y301" s="2092"/>
      <c r="Z301" s="1376"/>
    </row>
    <row r="302" spans="1:26" s="1263" customFormat="1" hidden="1" outlineLevel="2">
      <c r="A302" s="1267">
        <v>634</v>
      </c>
      <c r="B302" s="1294" t="s">
        <v>1725</v>
      </c>
      <c r="C302" s="1295" t="s">
        <v>1330</v>
      </c>
      <c r="D302" s="1457" t="s">
        <v>1331</v>
      </c>
      <c r="E302" s="1296" t="s">
        <v>1726</v>
      </c>
      <c r="F302" s="1297" t="s">
        <v>1726</v>
      </c>
      <c r="G302" s="1281">
        <f t="shared" si="24"/>
        <v>149050.75</v>
      </c>
      <c r="H302" s="1296"/>
      <c r="I302" s="1297"/>
      <c r="J302" s="1276">
        <f t="shared" si="25"/>
        <v>0</v>
      </c>
      <c r="K302" s="1296"/>
      <c r="L302" s="1297"/>
      <c r="M302" s="1370">
        <f t="shared" si="26"/>
        <v>0</v>
      </c>
      <c r="N302" s="1296"/>
      <c r="O302" s="1297"/>
      <c r="P302" s="1281">
        <f t="shared" si="27"/>
        <v>0</v>
      </c>
      <c r="Q302" s="1296"/>
      <c r="R302" s="2870"/>
      <c r="S302" s="1370">
        <f t="shared" si="28"/>
        <v>0</v>
      </c>
      <c r="T302" s="1296"/>
      <c r="U302" s="1297"/>
      <c r="V302" s="1281">
        <f t="shared" si="29"/>
        <v>0</v>
      </c>
      <c r="W302" s="2094"/>
      <c r="X302" s="2094"/>
      <c r="Y302" s="2092"/>
      <c r="Z302" s="1376"/>
    </row>
    <row r="303" spans="1:26" s="1263" customFormat="1" hidden="1" outlineLevel="2">
      <c r="A303" s="1267">
        <v>638</v>
      </c>
      <c r="B303" s="1292" t="s">
        <v>1727</v>
      </c>
      <c r="C303" s="1293" t="s">
        <v>1728</v>
      </c>
      <c r="D303" s="1454"/>
      <c r="E303" s="1279">
        <f>E304*E305/1000</f>
        <v>0</v>
      </c>
      <c r="F303" s="1280">
        <f>F304*F305/1000</f>
        <v>0</v>
      </c>
      <c r="G303" s="1281">
        <f t="shared" si="24"/>
        <v>0</v>
      </c>
      <c r="H303" s="1279">
        <f>H304*H305/1000</f>
        <v>0</v>
      </c>
      <c r="I303" s="1280">
        <f>I304*I305/1000</f>
        <v>0</v>
      </c>
      <c r="J303" s="1276">
        <f t="shared" si="25"/>
        <v>0</v>
      </c>
      <c r="K303" s="1279">
        <f>K304*K305/1000</f>
        <v>0</v>
      </c>
      <c r="L303" s="1280">
        <f>L304*L305/1000</f>
        <v>0</v>
      </c>
      <c r="M303" s="1370">
        <f t="shared" si="26"/>
        <v>0</v>
      </c>
      <c r="N303" s="1279">
        <f>N304*N305/1000</f>
        <v>0</v>
      </c>
      <c r="O303" s="1280">
        <f>O304*O305/1000</f>
        <v>0</v>
      </c>
      <c r="P303" s="1281">
        <f t="shared" si="27"/>
        <v>0</v>
      </c>
      <c r="Q303" s="1279">
        <f>Q304*Q305/1000</f>
        <v>0</v>
      </c>
      <c r="R303" s="2867">
        <f>R304*R305/1000</f>
        <v>0</v>
      </c>
      <c r="S303" s="1370">
        <f t="shared" si="28"/>
        <v>0</v>
      </c>
      <c r="T303" s="1279">
        <f>T304*T305/1000</f>
        <v>0</v>
      </c>
      <c r="U303" s="1280">
        <f>U304*U305/1000</f>
        <v>0</v>
      </c>
      <c r="V303" s="1281">
        <f t="shared" si="29"/>
        <v>0</v>
      </c>
      <c r="W303" s="2093"/>
      <c r="X303" s="2093"/>
      <c r="Y303" s="2092"/>
      <c r="Z303" s="1376"/>
    </row>
    <row r="304" spans="1:26" s="1263" customFormat="1" hidden="1" outlineLevel="2">
      <c r="A304" s="1267">
        <v>639</v>
      </c>
      <c r="B304" s="1294" t="s">
        <v>1729</v>
      </c>
      <c r="C304" s="1295" t="s">
        <v>1327</v>
      </c>
      <c r="D304" s="1457" t="s">
        <v>1328</v>
      </c>
      <c r="E304" s="1296"/>
      <c r="F304" s="1297"/>
      <c r="G304" s="1281">
        <f t="shared" si="24"/>
        <v>0</v>
      </c>
      <c r="H304" s="1296"/>
      <c r="I304" s="1297"/>
      <c r="J304" s="1276">
        <f t="shared" si="25"/>
        <v>0</v>
      </c>
      <c r="K304" s="1296"/>
      <c r="L304" s="1297"/>
      <c r="M304" s="1370">
        <f t="shared" si="26"/>
        <v>0</v>
      </c>
      <c r="N304" s="1296"/>
      <c r="O304" s="1297"/>
      <c r="P304" s="1281">
        <f t="shared" si="27"/>
        <v>0</v>
      </c>
      <c r="Q304" s="1296"/>
      <c r="R304" s="2870"/>
      <c r="S304" s="1370">
        <f t="shared" si="28"/>
        <v>0</v>
      </c>
      <c r="T304" s="1296"/>
      <c r="U304" s="1297"/>
      <c r="V304" s="1281">
        <f t="shared" si="29"/>
        <v>0</v>
      </c>
      <c r="W304" s="2094"/>
      <c r="X304" s="2094"/>
      <c r="Y304" s="2092"/>
      <c r="Z304" s="1376"/>
    </row>
    <row r="305" spans="1:26" s="1263" customFormat="1" hidden="1" outlineLevel="2">
      <c r="A305" s="1267">
        <v>640</v>
      </c>
      <c r="B305" s="1294" t="s">
        <v>1730</v>
      </c>
      <c r="C305" s="1295" t="s">
        <v>1330</v>
      </c>
      <c r="D305" s="1457" t="s">
        <v>1331</v>
      </c>
      <c r="E305" s="1296"/>
      <c r="F305" s="1297"/>
      <c r="G305" s="1281">
        <f t="shared" si="24"/>
        <v>0</v>
      </c>
      <c r="H305" s="1296"/>
      <c r="I305" s="1297"/>
      <c r="J305" s="1276">
        <f t="shared" si="25"/>
        <v>0</v>
      </c>
      <c r="K305" s="1296"/>
      <c r="L305" s="1297"/>
      <c r="M305" s="1370">
        <f t="shared" si="26"/>
        <v>0</v>
      </c>
      <c r="N305" s="1296"/>
      <c r="O305" s="1297"/>
      <c r="P305" s="1281">
        <f t="shared" si="27"/>
        <v>0</v>
      </c>
      <c r="Q305" s="1296"/>
      <c r="R305" s="2870"/>
      <c r="S305" s="1370">
        <f t="shared" si="28"/>
        <v>0</v>
      </c>
      <c r="T305" s="1296"/>
      <c r="U305" s="1297"/>
      <c r="V305" s="1281">
        <f t="shared" si="29"/>
        <v>0</v>
      </c>
      <c r="W305" s="2094"/>
      <c r="X305" s="2094"/>
      <c r="Y305" s="2092"/>
      <c r="Z305" s="1376"/>
    </row>
    <row r="306" spans="1:26" s="1263" customFormat="1" hidden="1" outlineLevel="2">
      <c r="A306" s="1267">
        <v>653</v>
      </c>
      <c r="B306" s="1292" t="s">
        <v>1731</v>
      </c>
      <c r="C306" s="1293" t="s">
        <v>1732</v>
      </c>
      <c r="D306" s="1454"/>
      <c r="E306" s="1279">
        <f>E307*E308/1000</f>
        <v>0</v>
      </c>
      <c r="F306" s="1280">
        <f>F307*F308/1000</f>
        <v>0</v>
      </c>
      <c r="G306" s="1281">
        <f t="shared" si="24"/>
        <v>0</v>
      </c>
      <c r="H306" s="1279">
        <f>H307*H308/1000</f>
        <v>0</v>
      </c>
      <c r="I306" s="1280">
        <f>I307*I308/1000</f>
        <v>0</v>
      </c>
      <c r="J306" s="1276">
        <f t="shared" si="25"/>
        <v>0</v>
      </c>
      <c r="K306" s="1279">
        <f>K307*K308/1000</f>
        <v>0</v>
      </c>
      <c r="L306" s="1280">
        <f>L307*L308/1000</f>
        <v>0</v>
      </c>
      <c r="M306" s="1370">
        <f t="shared" si="26"/>
        <v>0</v>
      </c>
      <c r="N306" s="1279">
        <f>N307*N308/1000</f>
        <v>0</v>
      </c>
      <c r="O306" s="1280">
        <f>O307*O308/1000</f>
        <v>0</v>
      </c>
      <c r="P306" s="1281">
        <f t="shared" si="27"/>
        <v>0</v>
      </c>
      <c r="Q306" s="1279">
        <f>Q307*Q308/1000</f>
        <v>0</v>
      </c>
      <c r="R306" s="2867">
        <f>R307*R308/1000</f>
        <v>0</v>
      </c>
      <c r="S306" s="1370">
        <f t="shared" si="28"/>
        <v>0</v>
      </c>
      <c r="T306" s="1279">
        <f>T307*T308/1000</f>
        <v>0</v>
      </c>
      <c r="U306" s="1280">
        <f>U307*U308/1000</f>
        <v>0</v>
      </c>
      <c r="V306" s="1281">
        <f t="shared" si="29"/>
        <v>0</v>
      </c>
      <c r="W306" s="2093"/>
      <c r="X306" s="2093"/>
      <c r="Y306" s="2092"/>
      <c r="Z306" s="1376"/>
    </row>
    <row r="307" spans="1:26" s="1263" customFormat="1" hidden="1" outlineLevel="2">
      <c r="A307" s="1267">
        <v>655</v>
      </c>
      <c r="B307" s="1294" t="s">
        <v>1733</v>
      </c>
      <c r="C307" s="1295" t="s">
        <v>1327</v>
      </c>
      <c r="D307" s="1457" t="s">
        <v>1328</v>
      </c>
      <c r="E307" s="1296"/>
      <c r="F307" s="1297"/>
      <c r="G307" s="1281">
        <f t="shared" si="24"/>
        <v>0</v>
      </c>
      <c r="H307" s="1296"/>
      <c r="I307" s="1297"/>
      <c r="J307" s="1276">
        <f t="shared" si="25"/>
        <v>0</v>
      </c>
      <c r="K307" s="1296"/>
      <c r="L307" s="1297"/>
      <c r="M307" s="1370">
        <f t="shared" si="26"/>
        <v>0</v>
      </c>
      <c r="N307" s="1296"/>
      <c r="O307" s="1297"/>
      <c r="P307" s="1281">
        <f t="shared" si="27"/>
        <v>0</v>
      </c>
      <c r="Q307" s="1296"/>
      <c r="R307" s="2870"/>
      <c r="S307" s="1370">
        <f t="shared" si="28"/>
        <v>0</v>
      </c>
      <c r="T307" s="1296"/>
      <c r="U307" s="1297"/>
      <c r="V307" s="1281">
        <f t="shared" si="29"/>
        <v>0</v>
      </c>
      <c r="W307" s="2094"/>
      <c r="X307" s="2094"/>
      <c r="Y307" s="2092"/>
      <c r="Z307" s="1376"/>
    </row>
    <row r="308" spans="1:26" s="1263" customFormat="1" hidden="1" outlineLevel="2">
      <c r="A308" s="1267">
        <v>656</v>
      </c>
      <c r="B308" s="1294" t="s">
        <v>1734</v>
      </c>
      <c r="C308" s="1295" t="s">
        <v>1330</v>
      </c>
      <c r="D308" s="1457" t="s">
        <v>1331</v>
      </c>
      <c r="E308" s="1296"/>
      <c r="F308" s="1297"/>
      <c r="G308" s="1281">
        <f t="shared" si="24"/>
        <v>0</v>
      </c>
      <c r="H308" s="1296"/>
      <c r="I308" s="1297"/>
      <c r="J308" s="1276">
        <f t="shared" si="25"/>
        <v>0</v>
      </c>
      <c r="K308" s="1296"/>
      <c r="L308" s="1297"/>
      <c r="M308" s="1370">
        <f t="shared" si="26"/>
        <v>0</v>
      </c>
      <c r="N308" s="1296"/>
      <c r="O308" s="1297"/>
      <c r="P308" s="1281">
        <f t="shared" si="27"/>
        <v>0</v>
      </c>
      <c r="Q308" s="1296"/>
      <c r="R308" s="2870"/>
      <c r="S308" s="1370">
        <f t="shared" si="28"/>
        <v>0</v>
      </c>
      <c r="T308" s="1296"/>
      <c r="U308" s="1297"/>
      <c r="V308" s="1281">
        <f t="shared" si="29"/>
        <v>0</v>
      </c>
      <c r="W308" s="2094"/>
      <c r="X308" s="2094"/>
      <c r="Y308" s="2092"/>
      <c r="Z308" s="1376"/>
    </row>
    <row r="309" spans="1:26" s="1263" customFormat="1" hidden="1" outlineLevel="2">
      <c r="A309" s="1267">
        <v>285</v>
      </c>
      <c r="B309" s="1294" t="s">
        <v>1735</v>
      </c>
      <c r="C309" s="1295" t="s">
        <v>1736</v>
      </c>
      <c r="D309" s="1457" t="s">
        <v>1317</v>
      </c>
      <c r="E309" s="1296"/>
      <c r="F309" s="1297"/>
      <c r="G309" s="1281">
        <f t="shared" si="24"/>
        <v>0</v>
      </c>
      <c r="H309" s="1296"/>
      <c r="I309" s="1297"/>
      <c r="J309" s="1276">
        <f t="shared" si="25"/>
        <v>0</v>
      </c>
      <c r="K309" s="1296"/>
      <c r="L309" s="1297"/>
      <c r="M309" s="1370">
        <f t="shared" si="26"/>
        <v>0</v>
      </c>
      <c r="N309" s="1296"/>
      <c r="O309" s="1297"/>
      <c r="P309" s="1281">
        <f t="shared" si="27"/>
        <v>0</v>
      </c>
      <c r="Q309" s="1296"/>
      <c r="R309" s="2870"/>
      <c r="S309" s="1370">
        <f t="shared" si="28"/>
        <v>0</v>
      </c>
      <c r="T309" s="1296"/>
      <c r="U309" s="1297"/>
      <c r="V309" s="1281">
        <f t="shared" si="29"/>
        <v>0</v>
      </c>
      <c r="W309" s="2094"/>
      <c r="X309" s="2094"/>
      <c r="Y309" s="2092"/>
      <c r="Z309" s="1376"/>
    </row>
    <row r="310" spans="1:26" s="1263" customFormat="1" outlineLevel="1" collapsed="1">
      <c r="A310" s="1267">
        <v>317</v>
      </c>
      <c r="B310" s="1292" t="s">
        <v>1737</v>
      </c>
      <c r="C310" s="1293" t="s">
        <v>1738</v>
      </c>
      <c r="D310" s="1454"/>
      <c r="E310" s="1279">
        <f>E311+E314+E317+E320+E323+E326</f>
        <v>28187.608102061458</v>
      </c>
      <c r="F310" s="1280">
        <f>F311+F314+F317+F320+F323+F326</f>
        <v>28187.608102061458</v>
      </c>
      <c r="G310" s="1281">
        <f t="shared" si="24"/>
        <v>28187.608102061458</v>
      </c>
      <c r="H310" s="2260">
        <f>H311+H314+H317+H320+H323+H326</f>
        <v>18069.861442526359</v>
      </c>
      <c r="I310" s="2260">
        <f>I311+I314+I317+I320+I323+I326</f>
        <v>19682.636489794848</v>
      </c>
      <c r="J310" s="1276">
        <f t="shared" si="25"/>
        <v>18876.248966160601</v>
      </c>
      <c r="K310" s="2260">
        <f>K311+K314+K317+K320+K323+K326</f>
        <v>19682.636489794848</v>
      </c>
      <c r="L310" s="2256">
        <f>L311+L314+L317+L320+L323+L326</f>
        <v>20469.941949386644</v>
      </c>
      <c r="M310" s="2258">
        <f t="shared" si="26"/>
        <v>20076.289219590748</v>
      </c>
      <c r="N310" s="2255">
        <f>N311+N314+N317+N320+N323+N326</f>
        <v>20469.941949386644</v>
      </c>
      <c r="O310" s="2256">
        <f>O311+O314+O317+O320+O323+O326</f>
        <v>21288.739627362113</v>
      </c>
      <c r="P310" s="2259">
        <f t="shared" si="27"/>
        <v>20879.340788374378</v>
      </c>
      <c r="Q310" s="2255">
        <f>Q311+Q314+Q317+Q320+Q323+Q326</f>
        <v>21288.739627362113</v>
      </c>
      <c r="R310" s="2260">
        <f>R311+R314+R317+R320+R323+R326</f>
        <v>22140.289212456595</v>
      </c>
      <c r="S310" s="2258">
        <f t="shared" si="28"/>
        <v>21714.514419909356</v>
      </c>
      <c r="T310" s="2255">
        <f>T311+T314+T317+T320+T323+T326</f>
        <v>22140.289212456595</v>
      </c>
      <c r="U310" s="2256">
        <f>U311+U314+U317+U320+U323+U326</f>
        <v>23025.900780954864</v>
      </c>
      <c r="V310" s="2259">
        <f t="shared" si="29"/>
        <v>22583.094996705731</v>
      </c>
      <c r="W310" s="2093"/>
      <c r="X310" s="2093"/>
      <c r="Y310" s="2092"/>
      <c r="Z310" s="1376"/>
    </row>
    <row r="311" spans="1:26" s="1263" customFormat="1" hidden="1" outlineLevel="2">
      <c r="A311" s="1267">
        <v>318</v>
      </c>
      <c r="B311" s="1292" t="s">
        <v>1739</v>
      </c>
      <c r="C311" s="1293" t="s">
        <v>1740</v>
      </c>
      <c r="D311" s="1454" t="s">
        <v>1317</v>
      </c>
      <c r="E311" s="1279">
        <f>E312*E313</f>
        <v>0</v>
      </c>
      <c r="F311" s="1280">
        <f>F312*F313</f>
        <v>0</v>
      </c>
      <c r="G311" s="1281">
        <f t="shared" si="24"/>
        <v>0</v>
      </c>
      <c r="H311" s="1279">
        <v>0</v>
      </c>
      <c r="I311" s="1280">
        <v>0</v>
      </c>
      <c r="J311" s="1276">
        <f t="shared" si="25"/>
        <v>0</v>
      </c>
      <c r="K311" s="2260">
        <f>K312*K313</f>
        <v>0</v>
      </c>
      <c r="L311" s="2256">
        <f>L312*L313</f>
        <v>0</v>
      </c>
      <c r="M311" s="2258">
        <f t="shared" si="26"/>
        <v>0</v>
      </c>
      <c r="N311" s="2255">
        <f>N312*N313</f>
        <v>0</v>
      </c>
      <c r="O311" s="2256">
        <f>O312*O313</f>
        <v>0</v>
      </c>
      <c r="P311" s="2259">
        <f t="shared" si="27"/>
        <v>0</v>
      </c>
      <c r="Q311" s="2255">
        <f>Q312*Q313</f>
        <v>0</v>
      </c>
      <c r="R311" s="2260">
        <f>R312*R313</f>
        <v>0</v>
      </c>
      <c r="S311" s="2258">
        <f t="shared" si="28"/>
        <v>0</v>
      </c>
      <c r="T311" s="2255">
        <f>T312*T313</f>
        <v>0</v>
      </c>
      <c r="U311" s="2256">
        <f>U312*U313</f>
        <v>0</v>
      </c>
      <c r="V311" s="2259">
        <f t="shared" si="29"/>
        <v>0</v>
      </c>
      <c r="W311" s="2093"/>
      <c r="X311" s="2093"/>
      <c r="Y311" s="2092"/>
      <c r="Z311" s="1376"/>
    </row>
    <row r="312" spans="1:26" s="1263" customFormat="1" hidden="1" outlineLevel="2">
      <c r="A312" s="1267">
        <v>319</v>
      </c>
      <c r="B312" s="1294" t="s">
        <v>1741</v>
      </c>
      <c r="C312" s="1295" t="s">
        <v>1327</v>
      </c>
      <c r="D312" s="1457" t="s">
        <v>1742</v>
      </c>
      <c r="E312" s="1296"/>
      <c r="F312" s="1297"/>
      <c r="G312" s="1281">
        <f t="shared" si="24"/>
        <v>0</v>
      </c>
      <c r="H312" s="1296"/>
      <c r="I312" s="1297"/>
      <c r="J312" s="1276">
        <f t="shared" si="25"/>
        <v>0</v>
      </c>
      <c r="K312" s="2286"/>
      <c r="L312" s="2285"/>
      <c r="M312" s="2258">
        <f t="shared" si="26"/>
        <v>0</v>
      </c>
      <c r="N312" s="2284"/>
      <c r="O312" s="2285"/>
      <c r="P312" s="2259">
        <f t="shared" si="27"/>
        <v>0</v>
      </c>
      <c r="Q312" s="2284"/>
      <c r="R312" s="2286"/>
      <c r="S312" s="2258">
        <f t="shared" si="28"/>
        <v>0</v>
      </c>
      <c r="T312" s="2284"/>
      <c r="U312" s="2285"/>
      <c r="V312" s="2259">
        <f t="shared" si="29"/>
        <v>0</v>
      </c>
      <c r="W312" s="2094"/>
      <c r="X312" s="2094"/>
      <c r="Y312" s="2092"/>
      <c r="Z312" s="1376"/>
    </row>
    <row r="313" spans="1:26" s="1263" customFormat="1" hidden="1" outlineLevel="2">
      <c r="A313" s="1267">
        <v>320</v>
      </c>
      <c r="B313" s="1294" t="s">
        <v>1743</v>
      </c>
      <c r="C313" s="1295" t="s">
        <v>1330</v>
      </c>
      <c r="D313" s="1457" t="s">
        <v>1744</v>
      </c>
      <c r="E313" s="1296"/>
      <c r="F313" s="1297"/>
      <c r="G313" s="1281">
        <f t="shared" si="24"/>
        <v>0</v>
      </c>
      <c r="H313" s="1296"/>
      <c r="I313" s="1297"/>
      <c r="J313" s="1276">
        <f t="shared" si="25"/>
        <v>0</v>
      </c>
      <c r="K313" s="2286"/>
      <c r="L313" s="2285"/>
      <c r="M313" s="2258">
        <f t="shared" si="26"/>
        <v>0</v>
      </c>
      <c r="N313" s="2284"/>
      <c r="O313" s="2285"/>
      <c r="P313" s="2259">
        <f t="shared" si="27"/>
        <v>0</v>
      </c>
      <c r="Q313" s="2284"/>
      <c r="R313" s="2286"/>
      <c r="S313" s="2258">
        <f t="shared" si="28"/>
        <v>0</v>
      </c>
      <c r="T313" s="2284"/>
      <c r="U313" s="2285"/>
      <c r="V313" s="2259">
        <f t="shared" si="29"/>
        <v>0</v>
      </c>
      <c r="W313" s="2094"/>
      <c r="X313" s="2094"/>
      <c r="Y313" s="2092"/>
      <c r="Z313" s="1376"/>
    </row>
    <row r="314" spans="1:26" s="1263" customFormat="1" outlineLevel="1" collapsed="1">
      <c r="A314" s="1267">
        <v>322</v>
      </c>
      <c r="B314" s="1292" t="s">
        <v>1745</v>
      </c>
      <c r="C314" s="1293" t="s">
        <v>1746</v>
      </c>
      <c r="D314" s="1454" t="s">
        <v>1317</v>
      </c>
      <c r="E314" s="1279">
        <f>E315*E316</f>
        <v>7187.6309320411201</v>
      </c>
      <c r="F314" s="1280">
        <f>F315*F316</f>
        <v>7187.6309320411201</v>
      </c>
      <c r="G314" s="1281">
        <f t="shared" si="24"/>
        <v>7187.6309320411201</v>
      </c>
      <c r="H314" s="2255">
        <v>3833.0758083907867</v>
      </c>
      <c r="I314" s="2256">
        <v>4091.1801901131948</v>
      </c>
      <c r="J314" s="1276">
        <f t="shared" si="25"/>
        <v>3962.1279992519908</v>
      </c>
      <c r="K314" s="2260">
        <f>K315*K316</f>
        <v>4091.1801901131948</v>
      </c>
      <c r="L314" s="2256">
        <f>L315*L316</f>
        <v>4254.8273977177232</v>
      </c>
      <c r="M314" s="2258">
        <f t="shared" si="26"/>
        <v>4173.003793915459</v>
      </c>
      <c r="N314" s="2255">
        <f>N315*N316</f>
        <v>4254.8273977177232</v>
      </c>
      <c r="O314" s="2256">
        <f>O315*O316</f>
        <v>4425.0204936264317</v>
      </c>
      <c r="P314" s="2259">
        <f t="shared" si="27"/>
        <v>4339.923945672077</v>
      </c>
      <c r="Q314" s="2255">
        <f>Q315*Q316</f>
        <v>4425.0204936264317</v>
      </c>
      <c r="R314" s="2260">
        <f>R315*R316</f>
        <v>4602.0213133714897</v>
      </c>
      <c r="S314" s="2258">
        <f t="shared" si="28"/>
        <v>4513.5209034989603</v>
      </c>
      <c r="T314" s="2255">
        <f>T315*T316</f>
        <v>4602.0213133714897</v>
      </c>
      <c r="U314" s="2256">
        <f>U315*U316</f>
        <v>4786.102165906349</v>
      </c>
      <c r="V314" s="2259">
        <f t="shared" si="29"/>
        <v>4694.0617396389189</v>
      </c>
      <c r="W314" s="2093"/>
      <c r="X314" s="2093"/>
      <c r="Y314" s="2092"/>
      <c r="Z314" s="1376"/>
    </row>
    <row r="315" spans="1:26" s="1263" customFormat="1" outlineLevel="1">
      <c r="A315" s="1267">
        <v>321</v>
      </c>
      <c r="B315" s="1294" t="s">
        <v>1747</v>
      </c>
      <c r="C315" s="1295" t="s">
        <v>1327</v>
      </c>
      <c r="D315" s="1457" t="s">
        <v>1748</v>
      </c>
      <c r="E315" s="1296" t="s">
        <v>1749</v>
      </c>
      <c r="F315" s="1297" t="s">
        <v>1749</v>
      </c>
      <c r="G315" s="1281">
        <f t="shared" si="24"/>
        <v>152.72</v>
      </c>
      <c r="H315" s="2284">
        <v>93.249433779391211</v>
      </c>
      <c r="I315" s="2285">
        <v>95.049678113107916</v>
      </c>
      <c r="J315" s="1276">
        <f t="shared" si="25"/>
        <v>94.149555946249563</v>
      </c>
      <c r="K315" s="2286">
        <f>I315</f>
        <v>95.049678113107916</v>
      </c>
      <c r="L315" s="2285">
        <f>I315</f>
        <v>95.049678113107916</v>
      </c>
      <c r="M315" s="2258">
        <f t="shared" si="26"/>
        <v>95.049678113107916</v>
      </c>
      <c r="N315" s="2284">
        <f>L315</f>
        <v>95.049678113107916</v>
      </c>
      <c r="O315" s="2285">
        <f>N315</f>
        <v>95.049678113107916</v>
      </c>
      <c r="P315" s="2259">
        <f t="shared" si="27"/>
        <v>95.049678113107916</v>
      </c>
      <c r="Q315" s="2284">
        <f>O315</f>
        <v>95.049678113107916</v>
      </c>
      <c r="R315" s="2286">
        <f>Q315</f>
        <v>95.049678113107916</v>
      </c>
      <c r="S315" s="2258">
        <f t="shared" si="28"/>
        <v>95.049678113107916</v>
      </c>
      <c r="T315" s="2284">
        <f>R315</f>
        <v>95.049678113107916</v>
      </c>
      <c r="U315" s="2285">
        <f>T315</f>
        <v>95.049678113107916</v>
      </c>
      <c r="V315" s="2259">
        <f t="shared" si="29"/>
        <v>95.049678113107916</v>
      </c>
      <c r="W315" s="2094"/>
      <c r="X315" s="2094"/>
      <c r="Y315" s="2092"/>
      <c r="Z315" s="1376"/>
    </row>
    <row r="316" spans="1:26" s="1263" customFormat="1" outlineLevel="1">
      <c r="A316" s="1267">
        <v>323</v>
      </c>
      <c r="B316" s="1294" t="s">
        <v>1750</v>
      </c>
      <c r="C316" s="1295" t="s">
        <v>1330</v>
      </c>
      <c r="D316" s="1457" t="s">
        <v>1744</v>
      </c>
      <c r="E316" s="1296">
        <f>44.84859*1.06*0.99</f>
        <v>47.064110346</v>
      </c>
      <c r="F316" s="1297">
        <f>E316</f>
        <v>47.064110346</v>
      </c>
      <c r="G316" s="1281">
        <f t="shared" si="24"/>
        <v>47.064110346</v>
      </c>
      <c r="H316" s="2284">
        <v>41.105620195604061</v>
      </c>
      <c r="I316" s="2285">
        <v>43.042546501259501</v>
      </c>
      <c r="J316" s="1276">
        <f t="shared" si="25"/>
        <v>42.074083348431785</v>
      </c>
      <c r="K316" s="2286">
        <f>I316</f>
        <v>43.042546501259501</v>
      </c>
      <c r="L316" s="2285">
        <f>K316*1.04</f>
        <v>44.764248361309882</v>
      </c>
      <c r="M316" s="2258">
        <f t="shared" si="26"/>
        <v>43.903397431284688</v>
      </c>
      <c r="N316" s="2284">
        <f>L316</f>
        <v>44.764248361309882</v>
      </c>
      <c r="O316" s="2285">
        <f>N316*1.04</f>
        <v>46.554818295762281</v>
      </c>
      <c r="P316" s="2259">
        <f t="shared" si="27"/>
        <v>45.659533328536085</v>
      </c>
      <c r="Q316" s="2284">
        <f>O316</f>
        <v>46.554818295762281</v>
      </c>
      <c r="R316" s="2286">
        <f>Q316*1.04</f>
        <v>48.417011027592771</v>
      </c>
      <c r="S316" s="2258">
        <f t="shared" si="28"/>
        <v>47.485914661677526</v>
      </c>
      <c r="T316" s="2284">
        <f>R316</f>
        <v>48.417011027592771</v>
      </c>
      <c r="U316" s="2285">
        <f>T316*1.04</f>
        <v>50.353691468696482</v>
      </c>
      <c r="V316" s="2259">
        <f t="shared" si="29"/>
        <v>49.38535124814463</v>
      </c>
      <c r="W316" s="2094"/>
      <c r="X316" s="2094"/>
      <c r="Y316" s="2092"/>
      <c r="Z316" s="1376"/>
    </row>
    <row r="317" spans="1:26" s="1263" customFormat="1" outlineLevel="1">
      <c r="A317" s="1267">
        <v>324</v>
      </c>
      <c r="B317" s="1292" t="s">
        <v>1751</v>
      </c>
      <c r="C317" s="1293" t="s">
        <v>1752</v>
      </c>
      <c r="D317" s="1454" t="s">
        <v>1317</v>
      </c>
      <c r="E317" s="1279">
        <f>E318*E319</f>
        <v>850.7705681831402</v>
      </c>
      <c r="F317" s="1280">
        <f>F318*F319</f>
        <v>850.7705681831402</v>
      </c>
      <c r="G317" s="1281">
        <f t="shared" si="24"/>
        <v>850.7705681831402</v>
      </c>
      <c r="H317" s="2255">
        <v>916.26147826463023</v>
      </c>
      <c r="I317" s="2256">
        <v>959.32576774306779</v>
      </c>
      <c r="J317" s="1276">
        <f t="shared" si="25"/>
        <v>937.79362300384901</v>
      </c>
      <c r="K317" s="2260">
        <f>K318*K319</f>
        <v>959.32576774306779</v>
      </c>
      <c r="L317" s="2256">
        <f>L318*L319</f>
        <v>997.69879845279058</v>
      </c>
      <c r="M317" s="2258">
        <f t="shared" si="26"/>
        <v>978.51228309792918</v>
      </c>
      <c r="N317" s="2255">
        <f>N318*N319</f>
        <v>997.69879845279058</v>
      </c>
      <c r="O317" s="2256">
        <f>O318*O319</f>
        <v>1037.6067503909021</v>
      </c>
      <c r="P317" s="2259">
        <f t="shared" si="27"/>
        <v>1017.6527744218463</v>
      </c>
      <c r="Q317" s="2255">
        <f>Q318*Q319</f>
        <v>1037.6067503909021</v>
      </c>
      <c r="R317" s="2260">
        <f>R318*R319</f>
        <v>1079.1110204065383</v>
      </c>
      <c r="S317" s="2258">
        <f t="shared" si="28"/>
        <v>1058.3588853987203</v>
      </c>
      <c r="T317" s="2255">
        <f>T318*T319</f>
        <v>1079.1110204065383</v>
      </c>
      <c r="U317" s="2256">
        <f>U318*U319</f>
        <v>1122.2754612228</v>
      </c>
      <c r="V317" s="2259">
        <f t="shared" si="29"/>
        <v>1100.693240814669</v>
      </c>
      <c r="W317" s="2093"/>
      <c r="X317" s="2093"/>
      <c r="Y317" s="2092"/>
      <c r="Z317" s="1376"/>
    </row>
    <row r="318" spans="1:26" s="1263" customFormat="1" outlineLevel="1">
      <c r="A318" s="1267">
        <v>327</v>
      </c>
      <c r="B318" s="1294" t="s">
        <v>1753</v>
      </c>
      <c r="C318" s="1295" t="s">
        <v>1327</v>
      </c>
      <c r="D318" s="1457" t="s">
        <v>1748</v>
      </c>
      <c r="E318" s="1296" t="s">
        <v>1754</v>
      </c>
      <c r="F318" s="1297" t="s">
        <v>1754</v>
      </c>
      <c r="G318" s="1281">
        <f t="shared" si="24"/>
        <v>17.37</v>
      </c>
      <c r="H318" s="2284">
        <v>20.918081705718841</v>
      </c>
      <c r="I318" s="2285">
        <v>20.918081705718841</v>
      </c>
      <c r="J318" s="1276">
        <f t="shared" si="25"/>
        <v>20.918081705718841</v>
      </c>
      <c r="K318" s="2286">
        <f>I318</f>
        <v>20.918081705718841</v>
      </c>
      <c r="L318" s="2285">
        <f>I318</f>
        <v>20.918081705718841</v>
      </c>
      <c r="M318" s="2258">
        <f>K318/2+L318/2</f>
        <v>20.918081705718841</v>
      </c>
      <c r="N318" s="2284">
        <f>L318</f>
        <v>20.918081705718841</v>
      </c>
      <c r="O318" s="2285">
        <f>N318</f>
        <v>20.918081705718841</v>
      </c>
      <c r="P318" s="2259">
        <f>N318/2+O318/2</f>
        <v>20.918081705718841</v>
      </c>
      <c r="Q318" s="2284">
        <f>O318</f>
        <v>20.918081705718841</v>
      </c>
      <c r="R318" s="2286">
        <f>Q318</f>
        <v>20.918081705718841</v>
      </c>
      <c r="S318" s="2258">
        <f>Q318/2+R318/2</f>
        <v>20.918081705718841</v>
      </c>
      <c r="T318" s="2284">
        <f>R318</f>
        <v>20.918081705718841</v>
      </c>
      <c r="U318" s="2285">
        <f>T318</f>
        <v>20.918081705718841</v>
      </c>
      <c r="V318" s="2259">
        <f t="shared" si="29"/>
        <v>20.918081705718841</v>
      </c>
      <c r="W318" s="2094"/>
      <c r="X318" s="2094"/>
      <c r="Y318" s="2092"/>
      <c r="Z318" s="1376"/>
    </row>
    <row r="319" spans="1:26" s="1263" customFormat="1" outlineLevel="1">
      <c r="A319" s="1267">
        <v>328</v>
      </c>
      <c r="B319" s="1294" t="s">
        <v>1755</v>
      </c>
      <c r="C319" s="1295" t="s">
        <v>1330</v>
      </c>
      <c r="D319" s="1457" t="s">
        <v>1744</v>
      </c>
      <c r="E319" s="1296">
        <f>46.67363*1.06*0.99</f>
        <v>48.979307322000011</v>
      </c>
      <c r="F319" s="1297">
        <f>E319</f>
        <v>48.979307322000011</v>
      </c>
      <c r="G319" s="1281">
        <f t="shared" si="24"/>
        <v>48.979307322000011</v>
      </c>
      <c r="H319" s="2284">
        <v>43.802366352462016</v>
      </c>
      <c r="I319" s="2285">
        <v>45.861077571027728</v>
      </c>
      <c r="J319" s="1276">
        <f t="shared" si="25"/>
        <v>44.831721961744876</v>
      </c>
      <c r="K319" s="2286">
        <f>I319</f>
        <v>45.861077571027728</v>
      </c>
      <c r="L319" s="2285">
        <f>K319*1.04</f>
        <v>47.695520673868842</v>
      </c>
      <c r="M319" s="2258">
        <f>K319/2+L319/2</f>
        <v>46.778299122448288</v>
      </c>
      <c r="N319" s="2284">
        <f>L319</f>
        <v>47.695520673868842</v>
      </c>
      <c r="O319" s="2285">
        <f>N319*1.04</f>
        <v>49.603341500823596</v>
      </c>
      <c r="P319" s="2259">
        <f>N319/2+O319/2</f>
        <v>48.649431087346215</v>
      </c>
      <c r="Q319" s="2284">
        <f>O319</f>
        <v>49.603341500823596</v>
      </c>
      <c r="R319" s="2286">
        <f>Q319*1.04</f>
        <v>51.587475160856542</v>
      </c>
      <c r="S319" s="2258">
        <f>Q319/2+R319/2</f>
        <v>50.595408330840073</v>
      </c>
      <c r="T319" s="2284">
        <f>R319</f>
        <v>51.587475160856542</v>
      </c>
      <c r="U319" s="2285">
        <f>T319*1.04</f>
        <v>53.650974167290805</v>
      </c>
      <c r="V319" s="2259">
        <f t="shared" si="29"/>
        <v>52.61922466407367</v>
      </c>
      <c r="W319" s="2094"/>
      <c r="X319" s="2094"/>
      <c r="Y319" s="2092"/>
      <c r="Z319" s="1376"/>
    </row>
    <row r="320" spans="1:26" s="1263" customFormat="1" outlineLevel="1">
      <c r="A320" s="1267">
        <v>325</v>
      </c>
      <c r="B320" s="1292" t="s">
        <v>1756</v>
      </c>
      <c r="C320" s="1293" t="s">
        <v>1757</v>
      </c>
      <c r="D320" s="1454" t="s">
        <v>1317</v>
      </c>
      <c r="E320" s="1279">
        <f>E321*E322</f>
        <v>19402.895401837199</v>
      </c>
      <c r="F320" s="1280">
        <f>F321*F322</f>
        <v>19402.895401837199</v>
      </c>
      <c r="G320" s="1281">
        <f t="shared" si="24"/>
        <v>19402.895401837199</v>
      </c>
      <c r="H320" s="2255">
        <v>12638.746711140317</v>
      </c>
      <c r="I320" s="2256">
        <v>13232.767806563908</v>
      </c>
      <c r="J320" s="1276">
        <f t="shared" si="25"/>
        <v>12935.757258852112</v>
      </c>
      <c r="K320" s="2260">
        <f>K321*K322</f>
        <v>13232.767806563908</v>
      </c>
      <c r="L320" s="2256">
        <f>L321*L322</f>
        <v>13762.078518826467</v>
      </c>
      <c r="M320" s="2258">
        <f t="shared" si="26"/>
        <v>13497.423162695188</v>
      </c>
      <c r="N320" s="2255">
        <f>N321*N322</f>
        <v>13762.078518826467</v>
      </c>
      <c r="O320" s="2256">
        <f>O321*O322</f>
        <v>14312.561659579527</v>
      </c>
      <c r="P320" s="2259">
        <f t="shared" si="27"/>
        <v>14037.320089202996</v>
      </c>
      <c r="Q320" s="2255">
        <f>Q321*Q322</f>
        <v>14312.561659579527</v>
      </c>
      <c r="R320" s="2260">
        <f>R321*R322</f>
        <v>14885.064125962708</v>
      </c>
      <c r="S320" s="2258">
        <f t="shared" si="28"/>
        <v>14598.812892771119</v>
      </c>
      <c r="T320" s="2255">
        <f>T321*T322</f>
        <v>14885.064125962708</v>
      </c>
      <c r="U320" s="2256">
        <f>U321*U322</f>
        <v>15480.466691001217</v>
      </c>
      <c r="V320" s="2259">
        <f t="shared" si="29"/>
        <v>15182.765408481962</v>
      </c>
      <c r="W320" s="2093"/>
      <c r="X320" s="2093"/>
      <c r="Y320" s="2092"/>
      <c r="Z320" s="1376"/>
    </row>
    <row r="321" spans="1:26" s="1263" customFormat="1" outlineLevel="1">
      <c r="A321" s="1267">
        <v>329</v>
      </c>
      <c r="B321" s="1294" t="s">
        <v>1758</v>
      </c>
      <c r="C321" s="1295" t="s">
        <v>1327</v>
      </c>
      <c r="D321" s="1457" t="s">
        <v>1748</v>
      </c>
      <c r="E321" s="1296" t="s">
        <v>1759</v>
      </c>
      <c r="F321" s="1297" t="s">
        <v>1759</v>
      </c>
      <c r="G321" s="1281">
        <f t="shared" si="24"/>
        <v>360.45</v>
      </c>
      <c r="H321" s="2284">
        <v>272.98115805096853</v>
      </c>
      <c r="I321" s="2285">
        <v>272.98115805096853</v>
      </c>
      <c r="J321" s="1276">
        <f t="shared" si="25"/>
        <v>272.98115805096853</v>
      </c>
      <c r="K321" s="2286">
        <f>I321</f>
        <v>272.98115805096853</v>
      </c>
      <c r="L321" s="2285">
        <f>I321</f>
        <v>272.98115805096853</v>
      </c>
      <c r="M321" s="2258">
        <f t="shared" si="26"/>
        <v>272.98115805096853</v>
      </c>
      <c r="N321" s="2284">
        <f>L321</f>
        <v>272.98115805096853</v>
      </c>
      <c r="O321" s="2285">
        <f>N321</f>
        <v>272.98115805096853</v>
      </c>
      <c r="P321" s="2259">
        <f t="shared" si="27"/>
        <v>272.98115805096853</v>
      </c>
      <c r="Q321" s="2284">
        <f>O321</f>
        <v>272.98115805096853</v>
      </c>
      <c r="R321" s="2286">
        <f>Q321</f>
        <v>272.98115805096853</v>
      </c>
      <c r="S321" s="2258">
        <f t="shared" si="28"/>
        <v>272.98115805096853</v>
      </c>
      <c r="T321" s="2284">
        <f>R321</f>
        <v>272.98115805096853</v>
      </c>
      <c r="U321" s="2285">
        <f>T321</f>
        <v>272.98115805096853</v>
      </c>
      <c r="V321" s="2259">
        <f t="shared" si="29"/>
        <v>272.98115805096853</v>
      </c>
      <c r="W321" s="2094"/>
      <c r="X321" s="2094"/>
      <c r="Y321" s="2092"/>
      <c r="Z321" s="1376"/>
    </row>
    <row r="322" spans="1:26" s="1263" customFormat="1" outlineLevel="1">
      <c r="A322" s="1267">
        <v>330</v>
      </c>
      <c r="B322" s="1294" t="s">
        <v>1760</v>
      </c>
      <c r="C322" s="1295" t="s">
        <v>1330</v>
      </c>
      <c r="D322" s="1457" t="s">
        <v>1744</v>
      </c>
      <c r="E322" s="1296">
        <f>51.29564*1.06*0.99</f>
        <v>53.829644616000003</v>
      </c>
      <c r="F322" s="1297">
        <f>E322</f>
        <v>53.829644616000003</v>
      </c>
      <c r="G322" s="1281">
        <f t="shared" si="24"/>
        <v>53.829644616000003</v>
      </c>
      <c r="H322" s="2284">
        <v>46.298970967001779</v>
      </c>
      <c r="I322" s="2285">
        <v>48.475022602450856</v>
      </c>
      <c r="J322" s="1276">
        <f t="shared" si="25"/>
        <v>47.386996784726321</v>
      </c>
      <c r="K322" s="2286">
        <f>I322</f>
        <v>48.475022602450856</v>
      </c>
      <c r="L322" s="2285">
        <f>K322*1.04</f>
        <v>50.414023506548894</v>
      </c>
      <c r="M322" s="2258">
        <f t="shared" si="26"/>
        <v>49.444523054499875</v>
      </c>
      <c r="N322" s="2284">
        <f>L322</f>
        <v>50.414023506548894</v>
      </c>
      <c r="O322" s="2285">
        <f>N322*1.04</f>
        <v>52.430584446810855</v>
      </c>
      <c r="P322" s="2259">
        <f t="shared" si="27"/>
        <v>51.422303976679871</v>
      </c>
      <c r="Q322" s="2284">
        <f>O322</f>
        <v>52.430584446810855</v>
      </c>
      <c r="R322" s="2286">
        <f>Q322*1.04</f>
        <v>54.527807824683293</v>
      </c>
      <c r="S322" s="2258">
        <f t="shared" si="28"/>
        <v>53.479196135747074</v>
      </c>
      <c r="T322" s="2284">
        <f>R322</f>
        <v>54.527807824683293</v>
      </c>
      <c r="U322" s="2285">
        <f>T322*1.04</f>
        <v>56.708920137670624</v>
      </c>
      <c r="V322" s="2259">
        <f t="shared" si="29"/>
        <v>55.618363981176955</v>
      </c>
      <c r="W322" s="2094"/>
      <c r="X322" s="2094"/>
      <c r="Y322" s="2092"/>
      <c r="Z322" s="1376"/>
    </row>
    <row r="323" spans="1:26" s="1263" customFormat="1" outlineLevel="1">
      <c r="A323" s="1267">
        <v>326</v>
      </c>
      <c r="B323" s="1292" t="s">
        <v>1761</v>
      </c>
      <c r="C323" s="1293" t="s">
        <v>1762</v>
      </c>
      <c r="D323" s="1454" t="s">
        <v>1317</v>
      </c>
      <c r="E323" s="1279">
        <f>E324*E325</f>
        <v>684.32119999999998</v>
      </c>
      <c r="F323" s="1280">
        <f>F324*F325</f>
        <v>684.32119999999998</v>
      </c>
      <c r="G323" s="1281">
        <f t="shared" si="24"/>
        <v>684.32119999999998</v>
      </c>
      <c r="H323" s="2255">
        <v>675.63174402747541</v>
      </c>
      <c r="I323" s="2256">
        <v>1246.359866304264</v>
      </c>
      <c r="J323" s="1276">
        <f t="shared" si="25"/>
        <v>960.99580516586968</v>
      </c>
      <c r="K323" s="2260">
        <f>K324*K325</f>
        <v>1246.359866304264</v>
      </c>
      <c r="L323" s="2256">
        <f>L324*L325</f>
        <v>1296.2142609564344</v>
      </c>
      <c r="M323" s="2258">
        <f t="shared" si="26"/>
        <v>1271.2870636303492</v>
      </c>
      <c r="N323" s="2255">
        <f>N324*N325</f>
        <v>1296.2142609564344</v>
      </c>
      <c r="O323" s="2256">
        <f>O324*O325</f>
        <v>1348.0628313946918</v>
      </c>
      <c r="P323" s="2259">
        <f t="shared" si="27"/>
        <v>1322.1385461755631</v>
      </c>
      <c r="Q323" s="2255">
        <f>Q324*Q325</f>
        <v>1348.0628313946918</v>
      </c>
      <c r="R323" s="2260">
        <f>R324*R325</f>
        <v>1401.9853446504794</v>
      </c>
      <c r="S323" s="2258">
        <f t="shared" si="28"/>
        <v>1375.0240880225856</v>
      </c>
      <c r="T323" s="2255">
        <f>T324*T325</f>
        <v>1401.9853446504794</v>
      </c>
      <c r="U323" s="2256">
        <f>U324*U325</f>
        <v>1458.0647584364988</v>
      </c>
      <c r="V323" s="2259">
        <f t="shared" si="29"/>
        <v>1430.0250515434891</v>
      </c>
      <c r="W323" s="2093"/>
      <c r="X323" s="2093"/>
      <c r="Y323" s="2092"/>
      <c r="Z323" s="1376"/>
    </row>
    <row r="324" spans="1:26" s="1263" customFormat="1" outlineLevel="1">
      <c r="A324" s="1267">
        <v>331</v>
      </c>
      <c r="B324" s="1294" t="s">
        <v>1763</v>
      </c>
      <c r="C324" s="1295" t="s">
        <v>1327</v>
      </c>
      <c r="D324" s="1457" t="s">
        <v>1748</v>
      </c>
      <c r="E324" s="1296" t="s">
        <v>1764</v>
      </c>
      <c r="F324" s="1297" t="s">
        <v>1764</v>
      </c>
      <c r="G324" s="1281">
        <f t="shared" si="24"/>
        <v>7.96</v>
      </c>
      <c r="H324" s="2284">
        <v>3.4986917691863235</v>
      </c>
      <c r="I324" s="2285">
        <v>5.4612557660929033</v>
      </c>
      <c r="J324" s="1276">
        <f t="shared" si="25"/>
        <v>4.4799737676396134</v>
      </c>
      <c r="K324" s="2286">
        <f t="shared" ref="K324:K326" si="30">I324</f>
        <v>5.4612557660929033</v>
      </c>
      <c r="L324" s="2285">
        <f>I324</f>
        <v>5.4612557660929033</v>
      </c>
      <c r="M324" s="2258">
        <f t="shared" si="26"/>
        <v>5.4612557660929033</v>
      </c>
      <c r="N324" s="2284">
        <f t="shared" ref="N324:N330" si="31">L324</f>
        <v>5.4612557660929033</v>
      </c>
      <c r="O324" s="2285">
        <f>N324</f>
        <v>5.4612557660929033</v>
      </c>
      <c r="P324" s="2259">
        <f t="shared" si="27"/>
        <v>5.4612557660929033</v>
      </c>
      <c r="Q324" s="2284">
        <f t="shared" ref="Q324:Q330" si="32">O324</f>
        <v>5.4612557660929033</v>
      </c>
      <c r="R324" s="2286">
        <f>Q324</f>
        <v>5.4612557660929033</v>
      </c>
      <c r="S324" s="2258">
        <f t="shared" si="28"/>
        <v>5.4612557660929033</v>
      </c>
      <c r="T324" s="2284">
        <f t="shared" ref="T324:T330" si="33">R324</f>
        <v>5.4612557660929033</v>
      </c>
      <c r="U324" s="2285">
        <f>T324</f>
        <v>5.4612557660929033</v>
      </c>
      <c r="V324" s="2259">
        <f t="shared" si="29"/>
        <v>5.4612557660929033</v>
      </c>
      <c r="W324" s="2094"/>
      <c r="X324" s="2094"/>
      <c r="Y324" s="2092"/>
      <c r="Z324" s="1376"/>
    </row>
    <row r="325" spans="1:26" s="1263" customFormat="1" outlineLevel="1">
      <c r="A325" s="1267">
        <v>332</v>
      </c>
      <c r="B325" s="1294" t="s">
        <v>1765</v>
      </c>
      <c r="C325" s="1295" t="s">
        <v>1330</v>
      </c>
      <c r="D325" s="1457" t="s">
        <v>1744</v>
      </c>
      <c r="E325" s="1296" t="s">
        <v>1766</v>
      </c>
      <c r="F325" s="1297" t="s">
        <v>1766</v>
      </c>
      <c r="G325" s="1281">
        <f t="shared" ref="G325:G388" si="34">E325/2+F325/2</f>
        <v>85.97</v>
      </c>
      <c r="H325" s="2284">
        <v>193.10982178478795</v>
      </c>
      <c r="I325" s="2285">
        <v>228.21854893566646</v>
      </c>
      <c r="J325" s="1276">
        <f t="shared" si="25"/>
        <v>210.66418536022721</v>
      </c>
      <c r="K325" s="2286">
        <f t="shared" si="30"/>
        <v>228.21854893566646</v>
      </c>
      <c r="L325" s="2285">
        <f t="shared" ref="L325:L326" si="35">K325*1.04</f>
        <v>237.34729089309312</v>
      </c>
      <c r="M325" s="2258">
        <f t="shared" ref="M325:M327" si="36">K325/2+L325/2</f>
        <v>232.78291991437979</v>
      </c>
      <c r="N325" s="2284">
        <f t="shared" si="31"/>
        <v>237.34729089309312</v>
      </c>
      <c r="O325" s="2285">
        <f t="shared" ref="O325:O330" si="37">N325*1.04</f>
        <v>246.84118252881686</v>
      </c>
      <c r="P325" s="2259">
        <f t="shared" ref="P325:P326" si="38">N325/2+O325/2</f>
        <v>242.09423671095499</v>
      </c>
      <c r="Q325" s="2284">
        <f t="shared" si="32"/>
        <v>246.84118252881686</v>
      </c>
      <c r="R325" s="2286">
        <f t="shared" ref="R325:R330" si="39">Q325*1.04</f>
        <v>256.71482982996952</v>
      </c>
      <c r="S325" s="2258">
        <f t="shared" ref="S325:S326" si="40">Q325/2+R325/2</f>
        <v>251.77800617939317</v>
      </c>
      <c r="T325" s="2284">
        <f t="shared" si="33"/>
        <v>256.71482982996952</v>
      </c>
      <c r="U325" s="2285">
        <f t="shared" ref="U325:U330" si="41">T325*1.04</f>
        <v>266.98342302316831</v>
      </c>
      <c r="V325" s="2259">
        <f t="shared" ref="V325:V340" si="42">T325/2+U325/2</f>
        <v>261.84912642656889</v>
      </c>
      <c r="W325" s="2094"/>
      <c r="X325" s="2094"/>
      <c r="Y325" s="2092"/>
      <c r="Z325" s="1376"/>
    </row>
    <row r="326" spans="1:26" s="1263" customFormat="1" outlineLevel="1">
      <c r="A326" s="1267">
        <v>6</v>
      </c>
      <c r="B326" s="1294" t="s">
        <v>1767</v>
      </c>
      <c r="C326" s="1295" t="s">
        <v>1768</v>
      </c>
      <c r="D326" s="1457" t="s">
        <v>1317</v>
      </c>
      <c r="E326" s="1296" t="s">
        <v>1769</v>
      </c>
      <c r="F326" s="1297" t="s">
        <v>1769</v>
      </c>
      <c r="G326" s="1281">
        <f t="shared" si="34"/>
        <v>61.99</v>
      </c>
      <c r="H326" s="2284">
        <v>6.1457007031478783</v>
      </c>
      <c r="I326" s="2285">
        <v>153.00285907041365</v>
      </c>
      <c r="J326" s="1276">
        <f t="shared" si="25"/>
        <v>79.574279886780758</v>
      </c>
      <c r="K326" s="2286">
        <f t="shared" si="30"/>
        <v>153.00285907041365</v>
      </c>
      <c r="L326" s="2285">
        <f t="shared" si="35"/>
        <v>159.12297343323021</v>
      </c>
      <c r="M326" s="2258">
        <f t="shared" si="36"/>
        <v>156.06291625182195</v>
      </c>
      <c r="N326" s="2284">
        <f t="shared" si="31"/>
        <v>159.12297343323021</v>
      </c>
      <c r="O326" s="2285">
        <f t="shared" si="37"/>
        <v>165.48789237055942</v>
      </c>
      <c r="P326" s="2259">
        <f t="shared" si="38"/>
        <v>162.30543290189482</v>
      </c>
      <c r="Q326" s="2284">
        <f t="shared" si="32"/>
        <v>165.48789237055942</v>
      </c>
      <c r="R326" s="2286">
        <f t="shared" si="39"/>
        <v>172.1074080653818</v>
      </c>
      <c r="S326" s="2258">
        <f t="shared" si="40"/>
        <v>168.79765021797061</v>
      </c>
      <c r="T326" s="2284">
        <f t="shared" si="33"/>
        <v>172.1074080653818</v>
      </c>
      <c r="U326" s="2285">
        <f t="shared" si="41"/>
        <v>178.99170438799709</v>
      </c>
      <c r="V326" s="2259">
        <f t="shared" si="42"/>
        <v>175.54955622668945</v>
      </c>
      <c r="W326" s="2094"/>
      <c r="X326" s="2094"/>
      <c r="Y326" s="2092"/>
      <c r="Z326" s="1376"/>
    </row>
    <row r="327" spans="1:26" s="1263" customFormat="1" outlineLevel="1">
      <c r="A327" s="1267">
        <v>7</v>
      </c>
      <c r="B327" s="1298" t="s">
        <v>1770</v>
      </c>
      <c r="C327" s="1299" t="s">
        <v>1771</v>
      </c>
      <c r="D327" s="1458" t="s">
        <v>1317</v>
      </c>
      <c r="E327" s="1300" t="s">
        <v>1772</v>
      </c>
      <c r="F327" s="1301" t="s">
        <v>1772</v>
      </c>
      <c r="G327" s="1281">
        <f t="shared" si="34"/>
        <v>28124.22</v>
      </c>
      <c r="H327" s="2290">
        <v>17122.869688357787</v>
      </c>
      <c r="I327" s="2291">
        <v>38633.721502794484</v>
      </c>
      <c r="J327" s="1276">
        <f t="shared" si="25"/>
        <v>27878.295595576135</v>
      </c>
      <c r="K327" s="2292">
        <f>I327</f>
        <v>38633.721502794484</v>
      </c>
      <c r="L327" s="2291">
        <f>K327*1.04</f>
        <v>40179.070362906263</v>
      </c>
      <c r="M327" s="2258">
        <f t="shared" si="36"/>
        <v>39406.39593285037</v>
      </c>
      <c r="N327" s="2290">
        <f t="shared" si="31"/>
        <v>40179.070362906263</v>
      </c>
      <c r="O327" s="2291">
        <f t="shared" si="37"/>
        <v>41786.233177422517</v>
      </c>
      <c r="P327" s="2259">
        <f>N327/2+O327/2</f>
        <v>40982.65177016439</v>
      </c>
      <c r="Q327" s="2290">
        <f t="shared" si="32"/>
        <v>41786.233177422517</v>
      </c>
      <c r="R327" s="2292">
        <f t="shared" si="39"/>
        <v>43457.68250451942</v>
      </c>
      <c r="S327" s="2258">
        <f>Q327/2+R327/2</f>
        <v>42621.957840970965</v>
      </c>
      <c r="T327" s="2290">
        <f t="shared" si="33"/>
        <v>43457.68250451942</v>
      </c>
      <c r="U327" s="2291">
        <f t="shared" si="41"/>
        <v>45195.989804700199</v>
      </c>
      <c r="V327" s="2259">
        <f t="shared" si="42"/>
        <v>44326.836154609809</v>
      </c>
      <c r="W327" s="2094"/>
      <c r="X327" s="2094"/>
      <c r="Y327" s="2092"/>
      <c r="Z327" s="1376"/>
    </row>
    <row r="328" spans="1:26" s="1263" customFormat="1" ht="69" outlineLevel="1">
      <c r="A328" s="1267">
        <v>75</v>
      </c>
      <c r="B328" s="1294" t="s">
        <v>1773</v>
      </c>
      <c r="C328" s="1302" t="s">
        <v>1774</v>
      </c>
      <c r="D328" s="1457" t="s">
        <v>1317</v>
      </c>
      <c r="E328" s="1296" t="s">
        <v>1775</v>
      </c>
      <c r="F328" s="1297" t="s">
        <v>1775</v>
      </c>
      <c r="G328" s="1281">
        <f t="shared" si="34"/>
        <v>28.95</v>
      </c>
      <c r="H328" s="2294">
        <v>37.057294904766074</v>
      </c>
      <c r="I328" s="2296">
        <v>186.84924090057169</v>
      </c>
      <c r="J328" s="2259">
        <f t="shared" ref="J328:J340" si="43">H328/2+I328/2</f>
        <v>111.95326790266888</v>
      </c>
      <c r="K328" s="2286">
        <f>I328</f>
        <v>186.84924090057169</v>
      </c>
      <c r="L328" s="2285">
        <f t="shared" ref="L328:L330" si="44">K328*1.04</f>
        <v>194.32321053659456</v>
      </c>
      <c r="M328" s="2258">
        <f>K328/2+L328/2</f>
        <v>190.58622571858314</v>
      </c>
      <c r="N328" s="2284">
        <f t="shared" si="31"/>
        <v>194.32321053659456</v>
      </c>
      <c r="O328" s="2285">
        <f t="shared" si="37"/>
        <v>202.09613895805836</v>
      </c>
      <c r="P328" s="2259">
        <f>N328/2+O328/2</f>
        <v>198.20967474732646</v>
      </c>
      <c r="Q328" s="2284">
        <f t="shared" si="32"/>
        <v>202.09613895805836</v>
      </c>
      <c r="R328" s="2286">
        <f t="shared" si="39"/>
        <v>210.1799845163807</v>
      </c>
      <c r="S328" s="2258">
        <f>Q328/2+R328/2</f>
        <v>206.13806173721952</v>
      </c>
      <c r="T328" s="2284">
        <f t="shared" si="33"/>
        <v>210.1799845163807</v>
      </c>
      <c r="U328" s="2285">
        <f t="shared" si="41"/>
        <v>218.58718389703594</v>
      </c>
      <c r="V328" s="2259">
        <f t="shared" si="42"/>
        <v>214.38358420670832</v>
      </c>
      <c r="W328" s="2094"/>
      <c r="X328" s="2094"/>
      <c r="Y328" s="2092"/>
      <c r="Z328" s="1376"/>
    </row>
    <row r="329" spans="1:26" s="1263" customFormat="1" ht="51.75" outlineLevel="1">
      <c r="A329" s="1267">
        <v>76</v>
      </c>
      <c r="B329" s="1292" t="s">
        <v>1776</v>
      </c>
      <c r="C329" s="1278" t="s">
        <v>1777</v>
      </c>
      <c r="D329" s="1454" t="s">
        <v>1317</v>
      </c>
      <c r="E329" s="1279">
        <f>E330+E340</f>
        <v>111649.15999999997</v>
      </c>
      <c r="F329" s="1280">
        <f>F330+F340</f>
        <v>111649.15999999997</v>
      </c>
      <c r="G329" s="1281">
        <f t="shared" si="34"/>
        <v>111649.15999999997</v>
      </c>
      <c r="H329" s="2255">
        <v>96344.879483415411</v>
      </c>
      <c r="I329" s="2256">
        <v>106561.27960342956</v>
      </c>
      <c r="J329" s="2259">
        <f t="shared" si="43"/>
        <v>101453.07954342249</v>
      </c>
      <c r="K329" s="2260">
        <f t="shared" ref="K329:K330" si="45">I329</f>
        <v>106561.27960342956</v>
      </c>
      <c r="L329" s="2256">
        <f t="shared" si="44"/>
        <v>110823.73078756675</v>
      </c>
      <c r="M329" s="2258">
        <f t="shared" ref="M329:M340" si="46">K329/2+L329/2</f>
        <v>108692.50519549815</v>
      </c>
      <c r="N329" s="2255">
        <f t="shared" si="31"/>
        <v>110823.73078756675</v>
      </c>
      <c r="O329" s="2256">
        <f t="shared" si="37"/>
        <v>115256.68001906942</v>
      </c>
      <c r="P329" s="2259">
        <f t="shared" ref="P329:P340" si="47">N329/2+O329/2</f>
        <v>113040.20540331808</v>
      </c>
      <c r="Q329" s="2255">
        <f t="shared" si="32"/>
        <v>115256.68001906942</v>
      </c>
      <c r="R329" s="2260">
        <f t="shared" si="39"/>
        <v>119866.9472198322</v>
      </c>
      <c r="S329" s="2258">
        <f t="shared" ref="S329:S340" si="48">Q329/2+R329/2</f>
        <v>117561.81361945081</v>
      </c>
      <c r="T329" s="2255">
        <f t="shared" si="33"/>
        <v>119866.9472198322</v>
      </c>
      <c r="U329" s="2256">
        <f t="shared" si="41"/>
        <v>124661.62510862549</v>
      </c>
      <c r="V329" s="2259">
        <f t="shared" si="42"/>
        <v>122264.28616422885</v>
      </c>
      <c r="W329" s="2093"/>
      <c r="X329" s="2093"/>
      <c r="Y329" s="2092"/>
      <c r="Z329" s="1376"/>
    </row>
    <row r="330" spans="1:26" s="1263" customFormat="1" outlineLevel="1">
      <c r="A330" s="1267">
        <v>77</v>
      </c>
      <c r="B330" s="1292" t="s">
        <v>1778</v>
      </c>
      <c r="C330" s="1293" t="s">
        <v>1779</v>
      </c>
      <c r="D330" s="1454" t="s">
        <v>1317</v>
      </c>
      <c r="E330" s="1279">
        <f>E331*E339*12/1000</f>
        <v>85752.039999999979</v>
      </c>
      <c r="F330" s="1280">
        <f>F331*F339*12/1000</f>
        <v>85752.039999999979</v>
      </c>
      <c r="G330" s="1281">
        <f t="shared" si="34"/>
        <v>85752.039999999979</v>
      </c>
      <c r="H330" s="2255">
        <v>73997.603289873587</v>
      </c>
      <c r="I330" s="2256">
        <v>81844.300770683229</v>
      </c>
      <c r="J330" s="2259">
        <f t="shared" si="43"/>
        <v>77920.952030278408</v>
      </c>
      <c r="K330" s="2260">
        <f t="shared" si="45"/>
        <v>81844.300770683229</v>
      </c>
      <c r="L330" s="2256">
        <f t="shared" si="44"/>
        <v>85118.072801510556</v>
      </c>
      <c r="M330" s="2258">
        <f t="shared" si="46"/>
        <v>83481.186786096892</v>
      </c>
      <c r="N330" s="2255">
        <f t="shared" si="31"/>
        <v>85118.072801510556</v>
      </c>
      <c r="O330" s="2256">
        <f t="shared" si="37"/>
        <v>88522.795713570988</v>
      </c>
      <c r="P330" s="2259">
        <f t="shared" si="47"/>
        <v>86820.434257540765</v>
      </c>
      <c r="Q330" s="2255">
        <f t="shared" si="32"/>
        <v>88522.795713570988</v>
      </c>
      <c r="R330" s="2260">
        <f t="shared" si="39"/>
        <v>92063.707542113829</v>
      </c>
      <c r="S330" s="2258">
        <f t="shared" si="48"/>
        <v>90293.251627842401</v>
      </c>
      <c r="T330" s="2255">
        <f t="shared" si="33"/>
        <v>92063.707542113829</v>
      </c>
      <c r="U330" s="2256">
        <f t="shared" si="41"/>
        <v>95746.255843798383</v>
      </c>
      <c r="V330" s="2259">
        <f t="shared" si="42"/>
        <v>93904.981692956106</v>
      </c>
      <c r="W330" s="2093"/>
      <c r="X330" s="2093"/>
      <c r="Y330" s="2092"/>
      <c r="Z330" s="1376"/>
    </row>
    <row r="331" spans="1:26" s="1263" customFormat="1" ht="34.5" outlineLevel="1">
      <c r="A331" s="1267">
        <v>441</v>
      </c>
      <c r="B331" s="1292" t="s">
        <v>1780</v>
      </c>
      <c r="C331" s="1293" t="s">
        <v>1781</v>
      </c>
      <c r="D331" s="1454"/>
      <c r="E331" s="1279">
        <f>E332+E333+E336+E337+E338</f>
        <v>18370.188517566407</v>
      </c>
      <c r="F331" s="1280">
        <f>F332+F333+F336+F337+F338</f>
        <v>18370.188517566407</v>
      </c>
      <c r="G331" s="1281">
        <f t="shared" si="34"/>
        <v>18370.188517566407</v>
      </c>
      <c r="H331" s="2255">
        <v>26284.478128681269</v>
      </c>
      <c r="I331" s="2256">
        <v>27957.544034361781</v>
      </c>
      <c r="J331" s="2259">
        <f t="shared" si="43"/>
        <v>27121.011081521523</v>
      </c>
      <c r="K331" s="2260">
        <f>K332+K333+K336+K337+K338</f>
        <v>27957.544034361781</v>
      </c>
      <c r="L331" s="2256">
        <f>L332+L333+L336+L337+L338</f>
        <v>29075.845795736252</v>
      </c>
      <c r="M331" s="2258">
        <f t="shared" si="46"/>
        <v>28516.694915049018</v>
      </c>
      <c r="N331" s="2255">
        <f>N332+N333+N336+N337+N338</f>
        <v>29075.845795736252</v>
      </c>
      <c r="O331" s="2256">
        <f>O332+O333+O336+O337+O338</f>
        <v>30238.879627565704</v>
      </c>
      <c r="P331" s="2259">
        <f t="shared" si="47"/>
        <v>29657.362711650978</v>
      </c>
      <c r="Q331" s="2255">
        <f>Q332+Q333+Q336+Q337+Q338</f>
        <v>30238.879627565704</v>
      </c>
      <c r="R331" s="2260">
        <f>R332+R333+R336+R337+R338</f>
        <v>31448.434812668333</v>
      </c>
      <c r="S331" s="2258">
        <f t="shared" si="48"/>
        <v>30843.65722011702</v>
      </c>
      <c r="T331" s="2255">
        <f>T332+T333+T336+T337+T338</f>
        <v>31448.434812668333</v>
      </c>
      <c r="U331" s="2256">
        <f>U332+U333+U336+U337+U338</f>
        <v>32706.372205175066</v>
      </c>
      <c r="V331" s="2259">
        <f t="shared" si="42"/>
        <v>32077.4035089217</v>
      </c>
      <c r="W331" s="2093"/>
      <c r="X331" s="2093"/>
      <c r="Y331" s="2092"/>
      <c r="Z331" s="1376"/>
    </row>
    <row r="332" spans="1:26" s="1263" customFormat="1" hidden="1" outlineLevel="2">
      <c r="A332" s="1267">
        <v>304</v>
      </c>
      <c r="B332" s="1294" t="s">
        <v>1782</v>
      </c>
      <c r="C332" s="1295" t="s">
        <v>1783</v>
      </c>
      <c r="D332" s="1457" t="s">
        <v>1784</v>
      </c>
      <c r="E332" s="1296"/>
      <c r="F332" s="1297"/>
      <c r="G332" s="1281">
        <f t="shared" si="34"/>
        <v>0</v>
      </c>
      <c r="H332" s="2284"/>
      <c r="I332" s="2285"/>
      <c r="J332" s="2259">
        <f t="shared" si="43"/>
        <v>0</v>
      </c>
      <c r="K332" s="2286"/>
      <c r="L332" s="2285"/>
      <c r="M332" s="2258">
        <f t="shared" si="46"/>
        <v>0</v>
      </c>
      <c r="N332" s="2284"/>
      <c r="O332" s="2285"/>
      <c r="P332" s="2259">
        <f t="shared" si="47"/>
        <v>0</v>
      </c>
      <c r="Q332" s="2284"/>
      <c r="R332" s="2286"/>
      <c r="S332" s="2258">
        <f t="shared" si="48"/>
        <v>0</v>
      </c>
      <c r="T332" s="2284"/>
      <c r="U332" s="2285"/>
      <c r="V332" s="2259">
        <f t="shared" si="42"/>
        <v>0</v>
      </c>
      <c r="W332" s="2094"/>
      <c r="X332" s="2094"/>
      <c r="Y332" s="2092"/>
      <c r="Z332" s="1376"/>
    </row>
    <row r="333" spans="1:26" s="1263" customFormat="1" outlineLevel="1" collapsed="1">
      <c r="A333" s="1267">
        <v>442</v>
      </c>
      <c r="B333" s="1292" t="s">
        <v>1785</v>
      </c>
      <c r="C333" s="1293" t="s">
        <v>1786</v>
      </c>
      <c r="D333" s="1454"/>
      <c r="E333" s="1279">
        <f>E334*E335</f>
        <v>18370.188517566407</v>
      </c>
      <c r="F333" s="1280">
        <f>F334*F335</f>
        <v>18370.188517566407</v>
      </c>
      <c r="G333" s="1281">
        <f t="shared" si="34"/>
        <v>18370.188517566407</v>
      </c>
      <c r="H333" s="2255">
        <v>10765.883915161992</v>
      </c>
      <c r="I333" s="2256">
        <v>11541.027557053656</v>
      </c>
      <c r="J333" s="2259">
        <f t="shared" si="43"/>
        <v>11153.455736107824</v>
      </c>
      <c r="K333" s="2260">
        <f>K334*K335</f>
        <v>11541.027557053656</v>
      </c>
      <c r="L333" s="2256">
        <f>L334*L335</f>
        <v>12002.668659335803</v>
      </c>
      <c r="M333" s="2258">
        <f t="shared" si="46"/>
        <v>11771.848108194728</v>
      </c>
      <c r="N333" s="2255">
        <f>N334*N335</f>
        <v>12002.668659335803</v>
      </c>
      <c r="O333" s="2256">
        <f>O334*O335</f>
        <v>12482.775405709235</v>
      </c>
      <c r="P333" s="2259">
        <f t="shared" si="47"/>
        <v>12242.722032522519</v>
      </c>
      <c r="Q333" s="2255">
        <f>Q334*Q335</f>
        <v>12482.775405709235</v>
      </c>
      <c r="R333" s="2260">
        <f>R334*R335</f>
        <v>12982.086421937605</v>
      </c>
      <c r="S333" s="2258">
        <f t="shared" si="48"/>
        <v>12732.43091382342</v>
      </c>
      <c r="T333" s="2255">
        <f>T334*T335</f>
        <v>12982.086421937605</v>
      </c>
      <c r="U333" s="2256">
        <f>U334*U335</f>
        <v>13501.369878815109</v>
      </c>
      <c r="V333" s="2259">
        <f t="shared" si="42"/>
        <v>13241.728150376357</v>
      </c>
      <c r="W333" s="2093"/>
      <c r="X333" s="2093"/>
      <c r="Y333" s="2092"/>
      <c r="Z333" s="1376"/>
    </row>
    <row r="334" spans="1:26" s="1263" customFormat="1" outlineLevel="1">
      <c r="A334" s="1267">
        <v>82</v>
      </c>
      <c r="B334" s="1294" t="s">
        <v>1787</v>
      </c>
      <c r="C334" s="1295" t="s">
        <v>1788</v>
      </c>
      <c r="D334" s="1457" t="s">
        <v>1784</v>
      </c>
      <c r="E334" s="1296">
        <f>85752.04/E339/12*1000</f>
        <v>18370.188517566407</v>
      </c>
      <c r="F334" s="1297">
        <f>E334</f>
        <v>18370.188517566407</v>
      </c>
      <c r="G334" s="1281">
        <f t="shared" si="34"/>
        <v>18370.188517566407</v>
      </c>
      <c r="H334" s="2284">
        <v>6402.4000000000005</v>
      </c>
      <c r="I334" s="2285">
        <v>6863.372800000001</v>
      </c>
      <c r="J334" s="2259">
        <f t="shared" si="43"/>
        <v>6632.8864000000012</v>
      </c>
      <c r="K334" s="2286">
        <f>I334</f>
        <v>6863.372800000001</v>
      </c>
      <c r="L334" s="2285">
        <f>K334*1.04</f>
        <v>7137.9077120000011</v>
      </c>
      <c r="M334" s="2258">
        <f t="shared" si="46"/>
        <v>7000.6402560000006</v>
      </c>
      <c r="N334" s="2284">
        <f>L334</f>
        <v>7137.9077120000011</v>
      </c>
      <c r="O334" s="2285">
        <f>N334*1.04</f>
        <v>7423.4240204800017</v>
      </c>
      <c r="P334" s="2259">
        <f t="shared" si="47"/>
        <v>7280.6658662400014</v>
      </c>
      <c r="Q334" s="2284">
        <f>O334</f>
        <v>7423.4240204800017</v>
      </c>
      <c r="R334" s="2286">
        <f>Q334*1.04</f>
        <v>7720.3609812992017</v>
      </c>
      <c r="S334" s="2258">
        <f t="shared" si="48"/>
        <v>7571.8925008896022</v>
      </c>
      <c r="T334" s="2284">
        <f>R334</f>
        <v>7720.3609812992017</v>
      </c>
      <c r="U334" s="2285">
        <f>T334*1.04</f>
        <v>8029.1754205511697</v>
      </c>
      <c r="V334" s="2259">
        <f t="shared" si="42"/>
        <v>7874.7682009251857</v>
      </c>
      <c r="W334" s="2094"/>
      <c r="X334" s="2094"/>
      <c r="Y334" s="2092"/>
      <c r="Z334" s="1376"/>
    </row>
    <row r="335" spans="1:26" s="1263" customFormat="1" outlineLevel="1">
      <c r="A335" s="1267">
        <v>85</v>
      </c>
      <c r="B335" s="1294" t="s">
        <v>1789</v>
      </c>
      <c r="C335" s="1295" t="s">
        <v>1790</v>
      </c>
      <c r="D335" s="1457"/>
      <c r="E335" s="1296">
        <v>1</v>
      </c>
      <c r="F335" s="1297">
        <f>E335</f>
        <v>1</v>
      </c>
      <c r="G335" s="1281">
        <f t="shared" si="34"/>
        <v>1</v>
      </c>
      <c r="H335" s="2284">
        <v>1.6815387846997987</v>
      </c>
      <c r="I335" s="2285">
        <v>1.6815387846997987</v>
      </c>
      <c r="J335" s="2259">
        <f t="shared" si="43"/>
        <v>1.6815387846997987</v>
      </c>
      <c r="K335" s="2286">
        <f>I335</f>
        <v>1.6815387846997987</v>
      </c>
      <c r="L335" s="2285">
        <f>K335</f>
        <v>1.6815387846997987</v>
      </c>
      <c r="M335" s="2258">
        <f t="shared" si="46"/>
        <v>1.6815387846997987</v>
      </c>
      <c r="N335" s="2284">
        <f>L335</f>
        <v>1.6815387846997987</v>
      </c>
      <c r="O335" s="2285">
        <f>N335</f>
        <v>1.6815387846997987</v>
      </c>
      <c r="P335" s="2259">
        <f t="shared" si="47"/>
        <v>1.6815387846997987</v>
      </c>
      <c r="Q335" s="2284">
        <f>O335</f>
        <v>1.6815387846997987</v>
      </c>
      <c r="R335" s="2286">
        <f>Q335</f>
        <v>1.6815387846997987</v>
      </c>
      <c r="S335" s="2258">
        <f t="shared" si="48"/>
        <v>1.6815387846997987</v>
      </c>
      <c r="T335" s="2284">
        <f>R335</f>
        <v>1.6815387846997987</v>
      </c>
      <c r="U335" s="2285">
        <f>T335</f>
        <v>1.6815387846997987</v>
      </c>
      <c r="V335" s="2259">
        <f t="shared" si="42"/>
        <v>1.6815387846997987</v>
      </c>
      <c r="W335" s="2094"/>
      <c r="X335" s="2094"/>
      <c r="Y335" s="2092"/>
      <c r="Z335" s="1376"/>
    </row>
    <row r="336" spans="1:26" s="1263" customFormat="1" outlineLevel="1">
      <c r="A336" s="1267">
        <v>457</v>
      </c>
      <c r="B336" s="1294" t="s">
        <v>1791</v>
      </c>
      <c r="C336" s="1295" t="s">
        <v>1792</v>
      </c>
      <c r="D336" s="1457" t="s">
        <v>1793</v>
      </c>
      <c r="E336" s="1296"/>
      <c r="F336" s="1297"/>
      <c r="G336" s="1281">
        <f t="shared" si="34"/>
        <v>0</v>
      </c>
      <c r="H336" s="2284">
        <v>7167.7793406133997</v>
      </c>
      <c r="I336" s="2285">
        <v>7683.8594531375647</v>
      </c>
      <c r="J336" s="2259">
        <f t="shared" si="43"/>
        <v>7425.8193968754822</v>
      </c>
      <c r="K336" s="2286">
        <f>I336</f>
        <v>7683.8594531375647</v>
      </c>
      <c r="L336" s="2285">
        <f>K336*1.04</f>
        <v>7991.2138312630677</v>
      </c>
      <c r="M336" s="2258">
        <f>K336/2+L336/2</f>
        <v>7837.5366422003162</v>
      </c>
      <c r="N336" s="2284">
        <f>L336</f>
        <v>7991.2138312630677</v>
      </c>
      <c r="O336" s="2285">
        <f>N336*1.04</f>
        <v>8310.8623845135899</v>
      </c>
      <c r="P336" s="2259">
        <f>N336/2+O336/2</f>
        <v>8151.0381078883293</v>
      </c>
      <c r="Q336" s="2284">
        <f>O336</f>
        <v>8310.8623845135899</v>
      </c>
      <c r="R336" s="2286">
        <f>Q336*1.04</f>
        <v>8643.2968798941329</v>
      </c>
      <c r="S336" s="2258">
        <f>Q336/2+R336/2</f>
        <v>8477.0796322038623</v>
      </c>
      <c r="T336" s="2284">
        <f>R336</f>
        <v>8643.2968798941329</v>
      </c>
      <c r="U336" s="2285">
        <f>T336*1.04</f>
        <v>8989.0287550898993</v>
      </c>
      <c r="V336" s="2259">
        <f t="shared" si="42"/>
        <v>8816.1628174920152</v>
      </c>
      <c r="W336" s="2094"/>
      <c r="X336" s="2094"/>
      <c r="Y336" s="2092"/>
      <c r="Z336" s="1376"/>
    </row>
    <row r="337" spans="1:26" s="1263" customFormat="1" outlineLevel="1">
      <c r="A337" s="1267">
        <v>458</v>
      </c>
      <c r="B337" s="1294" t="s">
        <v>1794</v>
      </c>
      <c r="C337" s="1295" t="s">
        <v>1795</v>
      </c>
      <c r="D337" s="1457" t="s">
        <v>1784</v>
      </c>
      <c r="E337" s="1296"/>
      <c r="F337" s="1297"/>
      <c r="G337" s="1281">
        <f t="shared" si="34"/>
        <v>0</v>
      </c>
      <c r="H337" s="2284">
        <v>8350.8148729058776</v>
      </c>
      <c r="I337" s="2285">
        <v>8732.6570241705595</v>
      </c>
      <c r="J337" s="2259">
        <f t="shared" si="43"/>
        <v>8541.7359485382185</v>
      </c>
      <c r="K337" s="2286">
        <f>I337</f>
        <v>8732.6570241705595</v>
      </c>
      <c r="L337" s="2285">
        <f>K337*1.04</f>
        <v>9081.9633051373821</v>
      </c>
      <c r="M337" s="2258">
        <f>K337/2+L337/2</f>
        <v>8907.3101646539708</v>
      </c>
      <c r="N337" s="2284">
        <f>L337</f>
        <v>9081.9633051373821</v>
      </c>
      <c r="O337" s="2285">
        <f>N337*1.04</f>
        <v>9445.2418373428773</v>
      </c>
      <c r="P337" s="2259">
        <f>N337/2+O337/2</f>
        <v>9263.6025712401297</v>
      </c>
      <c r="Q337" s="2284">
        <f>O337</f>
        <v>9445.2418373428773</v>
      </c>
      <c r="R337" s="2286">
        <f>Q337*1.04</f>
        <v>9823.0515108365926</v>
      </c>
      <c r="S337" s="2258">
        <f>Q337/2+R337/2</f>
        <v>9634.146674089734</v>
      </c>
      <c r="T337" s="2284">
        <f>R337</f>
        <v>9823.0515108365926</v>
      </c>
      <c r="U337" s="2285">
        <f>T337*1.04</f>
        <v>10215.973571270057</v>
      </c>
      <c r="V337" s="2259">
        <f t="shared" si="42"/>
        <v>10019.512541053326</v>
      </c>
      <c r="W337" s="2094"/>
      <c r="X337" s="2094"/>
      <c r="Y337" s="2092"/>
      <c r="Z337" s="1376"/>
    </row>
    <row r="338" spans="1:26" s="1263" customFormat="1" ht="34.5" hidden="1" outlineLevel="2">
      <c r="A338" s="1267">
        <v>459</v>
      </c>
      <c r="B338" s="1294" t="s">
        <v>1796</v>
      </c>
      <c r="C338" s="1295" t="s">
        <v>1797</v>
      </c>
      <c r="D338" s="1457" t="s">
        <v>1784</v>
      </c>
      <c r="E338" s="1296"/>
      <c r="F338" s="1297"/>
      <c r="G338" s="1281">
        <f t="shared" si="34"/>
        <v>0</v>
      </c>
      <c r="H338" s="2284"/>
      <c r="I338" s="2285"/>
      <c r="J338" s="2259">
        <f t="shared" si="43"/>
        <v>0</v>
      </c>
      <c r="K338" s="2286"/>
      <c r="L338" s="2285"/>
      <c r="M338" s="2258">
        <f t="shared" si="46"/>
        <v>0</v>
      </c>
      <c r="N338" s="2284"/>
      <c r="O338" s="2285"/>
      <c r="P338" s="2259">
        <f t="shared" si="47"/>
        <v>0</v>
      </c>
      <c r="Q338" s="2284"/>
      <c r="R338" s="2286"/>
      <c r="S338" s="2258">
        <f t="shared" si="48"/>
        <v>0</v>
      </c>
      <c r="T338" s="2284"/>
      <c r="U338" s="2285"/>
      <c r="V338" s="2259">
        <f t="shared" si="42"/>
        <v>0</v>
      </c>
      <c r="W338" s="2094"/>
      <c r="X338" s="2094"/>
      <c r="Y338" s="2092"/>
      <c r="Z338" s="1376"/>
    </row>
    <row r="339" spans="1:26" s="1263" customFormat="1" outlineLevel="1" collapsed="1">
      <c r="A339" s="1267">
        <v>78</v>
      </c>
      <c r="B339" s="1294" t="s">
        <v>1798</v>
      </c>
      <c r="C339" s="1295" t="s">
        <v>1799</v>
      </c>
      <c r="D339" s="1457" t="s">
        <v>1800</v>
      </c>
      <c r="E339" s="1296" t="s">
        <v>1801</v>
      </c>
      <c r="F339" s="1297" t="s">
        <v>1801</v>
      </c>
      <c r="G339" s="1281">
        <f t="shared" si="34"/>
        <v>389</v>
      </c>
      <c r="H339" s="2294">
        <v>234.60488394076324</v>
      </c>
      <c r="I339" s="2296">
        <v>243.95413235061841</v>
      </c>
      <c r="J339" s="2259">
        <f t="shared" si="43"/>
        <v>239.27950814569084</v>
      </c>
      <c r="K339" s="2506">
        <f>H339</f>
        <v>234.60488394076324</v>
      </c>
      <c r="L339" s="2506">
        <f>I339</f>
        <v>243.95413235061841</v>
      </c>
      <c r="M339" s="2258">
        <f t="shared" si="46"/>
        <v>239.27950814569084</v>
      </c>
      <c r="N339" s="2284">
        <f>L339</f>
        <v>243.95413235061841</v>
      </c>
      <c r="O339" s="2285">
        <f>N339</f>
        <v>243.95413235061841</v>
      </c>
      <c r="P339" s="2259">
        <f t="shared" si="47"/>
        <v>243.95413235061841</v>
      </c>
      <c r="Q339" s="2284">
        <f>O339</f>
        <v>243.95413235061841</v>
      </c>
      <c r="R339" s="2286">
        <f>Q339</f>
        <v>243.95413235061841</v>
      </c>
      <c r="S339" s="2258">
        <f t="shared" si="48"/>
        <v>243.95413235061841</v>
      </c>
      <c r="T339" s="2284">
        <f>R339</f>
        <v>243.95413235061841</v>
      </c>
      <c r="U339" s="2285">
        <f>T339</f>
        <v>243.95413235061841</v>
      </c>
      <c r="V339" s="2259">
        <f t="shared" si="42"/>
        <v>243.95413235061841</v>
      </c>
      <c r="W339" s="2094"/>
      <c r="X339" s="2094"/>
      <c r="Y339" s="2092"/>
      <c r="Z339" s="1376"/>
    </row>
    <row r="340" spans="1:26" s="1263" customFormat="1" ht="34.5" outlineLevel="1">
      <c r="A340" s="1267">
        <v>88</v>
      </c>
      <c r="B340" s="1298" t="s">
        <v>1802</v>
      </c>
      <c r="C340" s="1299" t="s">
        <v>1803</v>
      </c>
      <c r="D340" s="1458" t="s">
        <v>1317</v>
      </c>
      <c r="E340" s="1300" t="s">
        <v>1804</v>
      </c>
      <c r="F340" s="1301" t="s">
        <v>1804</v>
      </c>
      <c r="G340" s="1281">
        <f t="shared" si="34"/>
        <v>25897.119999999999</v>
      </c>
      <c r="H340" s="2467">
        <v>22347.276193541824</v>
      </c>
      <c r="I340" s="2291">
        <v>24716.978832746336</v>
      </c>
      <c r="J340" s="2259">
        <f t="shared" si="43"/>
        <v>23532.127513144078</v>
      </c>
      <c r="K340" s="2260">
        <f>I340</f>
        <v>24716.978832746336</v>
      </c>
      <c r="L340" s="2256">
        <f>K340*1.04</f>
        <v>25705.657986056191</v>
      </c>
      <c r="M340" s="2258">
        <f t="shared" si="46"/>
        <v>25211.318409401261</v>
      </c>
      <c r="N340" s="2255">
        <f>L340</f>
        <v>25705.657986056191</v>
      </c>
      <c r="O340" s="2256">
        <f>N340*1.04</f>
        <v>26733.884305498439</v>
      </c>
      <c r="P340" s="2259">
        <f t="shared" si="47"/>
        <v>26219.771145777315</v>
      </c>
      <c r="Q340" s="2255">
        <f>O340</f>
        <v>26733.884305498439</v>
      </c>
      <c r="R340" s="2260">
        <f>Q340*1.04</f>
        <v>27803.239677718379</v>
      </c>
      <c r="S340" s="2258">
        <f t="shared" si="48"/>
        <v>27268.561991608411</v>
      </c>
      <c r="T340" s="2255">
        <f>R340</f>
        <v>27803.239677718379</v>
      </c>
      <c r="U340" s="2256">
        <f>T340*1.04</f>
        <v>28915.369264827114</v>
      </c>
      <c r="V340" s="2259">
        <f t="shared" si="42"/>
        <v>28359.304471272746</v>
      </c>
      <c r="W340" s="2094"/>
      <c r="X340" s="2094"/>
      <c r="Y340" s="2092"/>
      <c r="Z340" s="1376"/>
    </row>
    <row r="341" spans="1:26" s="1263" customFormat="1" hidden="1" outlineLevel="2">
      <c r="A341" s="1267">
        <v>287</v>
      </c>
      <c r="B341" s="1294" t="s">
        <v>1805</v>
      </c>
      <c r="C341" s="1295" t="s">
        <v>1806</v>
      </c>
      <c r="D341" s="1457" t="s">
        <v>1313</v>
      </c>
      <c r="E341" s="1296"/>
      <c r="F341" s="1297"/>
      <c r="G341" s="1281">
        <f t="shared" si="34"/>
        <v>0</v>
      </c>
      <c r="H341" s="1296"/>
      <c r="I341" s="1297"/>
      <c r="J341" s="1276">
        <f t="shared" ref="J341:J351" si="49">H341/2+I341/2</f>
        <v>0</v>
      </c>
      <c r="K341" s="1296"/>
      <c r="L341" s="1297"/>
      <c r="M341" s="1370">
        <v>0</v>
      </c>
      <c r="N341" s="1296"/>
      <c r="O341" s="1297"/>
      <c r="P341" s="1281">
        <v>0</v>
      </c>
      <c r="Q341" s="1296"/>
      <c r="R341" s="2870"/>
      <c r="S341" s="1370">
        <v>0</v>
      </c>
      <c r="T341" s="1296"/>
      <c r="U341" s="1297"/>
      <c r="V341" s="1281">
        <v>0</v>
      </c>
      <c r="W341" s="2094"/>
      <c r="X341" s="2094"/>
      <c r="Y341" s="2092"/>
      <c r="Z341" s="1376"/>
    </row>
    <row r="342" spans="1:26" s="1263" customFormat="1" outlineLevel="1" collapsed="1">
      <c r="A342" s="1267">
        <v>8</v>
      </c>
      <c r="B342" s="1292" t="s">
        <v>1807</v>
      </c>
      <c r="C342" s="1278" t="s">
        <v>1808</v>
      </c>
      <c r="D342" s="1454" t="s">
        <v>1313</v>
      </c>
      <c r="E342" s="1279">
        <f>E343+E344</f>
        <v>15620.240000000002</v>
      </c>
      <c r="F342" s="1280">
        <f>F343+F344</f>
        <v>15620.240000000002</v>
      </c>
      <c r="G342" s="1281">
        <f t="shared" si="34"/>
        <v>15620.240000000002</v>
      </c>
      <c r="H342" s="2255">
        <v>10618.707600704771</v>
      </c>
      <c r="I342" s="2256">
        <v>20774.734228552945</v>
      </c>
      <c r="J342" s="2259">
        <f t="shared" si="49"/>
        <v>15696.720914628859</v>
      </c>
      <c r="K342" s="2260">
        <f>K343+K344</f>
        <v>20774.734228552945</v>
      </c>
      <c r="L342" s="2256">
        <f>L343+L344</f>
        <v>21605.723597695061</v>
      </c>
      <c r="M342" s="2258">
        <f t="shared" ref="M342:M351" si="50">K342/2+L342/2</f>
        <v>21190.228913124003</v>
      </c>
      <c r="N342" s="2255">
        <f>N343+N344</f>
        <v>21605.723597695061</v>
      </c>
      <c r="O342" s="2256">
        <f>O343+O344</f>
        <v>22469.952541602863</v>
      </c>
      <c r="P342" s="2259">
        <f t="shared" ref="P342:P351" si="51">N342/2+O342/2</f>
        <v>22037.838069648962</v>
      </c>
      <c r="Q342" s="2255">
        <f>Q343+Q344</f>
        <v>22469.952541602863</v>
      </c>
      <c r="R342" s="2260">
        <f>R343+R344</f>
        <v>23368.75064326698</v>
      </c>
      <c r="S342" s="2258">
        <f t="shared" ref="S342:S351" si="52">Q342/2+R342/2</f>
        <v>22919.351592434919</v>
      </c>
      <c r="T342" s="2255">
        <f>T343+T344</f>
        <v>23368.75064326698</v>
      </c>
      <c r="U342" s="2256">
        <f>U343+U344</f>
        <v>24303.500668997658</v>
      </c>
      <c r="V342" s="2259">
        <f t="shared" ref="V342:V351" si="53">T342/2+U342/2</f>
        <v>23836.125656132317</v>
      </c>
      <c r="W342" s="2093"/>
      <c r="X342" s="2093"/>
      <c r="Y342" s="2092"/>
      <c r="Z342" s="1376"/>
    </row>
    <row r="343" spans="1:26" s="1263" customFormat="1" outlineLevel="1">
      <c r="A343" s="1267">
        <v>99</v>
      </c>
      <c r="B343" s="1294" t="s">
        <v>1809</v>
      </c>
      <c r="C343" s="1295" t="s">
        <v>1810</v>
      </c>
      <c r="D343" s="1457" t="s">
        <v>1317</v>
      </c>
      <c r="E343" s="1296" t="s">
        <v>1811</v>
      </c>
      <c r="F343" s="1297" t="s">
        <v>1811</v>
      </c>
      <c r="G343" s="1281">
        <f t="shared" si="34"/>
        <v>6026.14</v>
      </c>
      <c r="H343" s="2294">
        <v>3509.9458195781667</v>
      </c>
      <c r="I343" s="2285">
        <v>6284.6565521704006</v>
      </c>
      <c r="J343" s="2259">
        <f t="shared" si="49"/>
        <v>4897.3011858742839</v>
      </c>
      <c r="K343" s="2286">
        <f>I343</f>
        <v>6284.6565521704006</v>
      </c>
      <c r="L343" s="2285">
        <f>K343*1.04</f>
        <v>6536.0428142572164</v>
      </c>
      <c r="M343" s="2258">
        <f t="shared" si="50"/>
        <v>6410.349683213808</v>
      </c>
      <c r="N343" s="2284">
        <f>L343</f>
        <v>6536.0428142572164</v>
      </c>
      <c r="O343" s="2285">
        <f>N343*1.04</f>
        <v>6797.4845268275049</v>
      </c>
      <c r="P343" s="2259">
        <f t="shared" si="51"/>
        <v>6666.7636705423611</v>
      </c>
      <c r="Q343" s="2284">
        <f>O343</f>
        <v>6797.4845268275049</v>
      </c>
      <c r="R343" s="2286">
        <f>Q343*1.04</f>
        <v>7069.3839079006057</v>
      </c>
      <c r="S343" s="2258">
        <f t="shared" si="52"/>
        <v>6933.4342173640553</v>
      </c>
      <c r="T343" s="2284">
        <f>R343</f>
        <v>7069.3839079006057</v>
      </c>
      <c r="U343" s="2285">
        <f>T343*1.04</f>
        <v>7352.1592642166297</v>
      </c>
      <c r="V343" s="2259">
        <f t="shared" si="53"/>
        <v>7210.7715860586177</v>
      </c>
      <c r="W343" s="2094"/>
      <c r="X343" s="2094"/>
      <c r="Y343" s="2092"/>
      <c r="Z343" s="1376"/>
    </row>
    <row r="344" spans="1:26" s="1263" customFormat="1" outlineLevel="1">
      <c r="A344" s="1267">
        <v>9</v>
      </c>
      <c r="B344" s="1294" t="s">
        <v>1812</v>
      </c>
      <c r="C344" s="1295" t="s">
        <v>1813</v>
      </c>
      <c r="D344" s="1457" t="s">
        <v>1313</v>
      </c>
      <c r="E344" s="1296" t="s">
        <v>1814</v>
      </c>
      <c r="F344" s="1297" t="s">
        <v>1814</v>
      </c>
      <c r="G344" s="1281">
        <f t="shared" si="34"/>
        <v>9594.1</v>
      </c>
      <c r="H344" s="2294">
        <v>7108.7617811266036</v>
      </c>
      <c r="I344" s="2285">
        <v>14490.077676382543</v>
      </c>
      <c r="J344" s="2259">
        <f t="shared" si="49"/>
        <v>10799.419728754574</v>
      </c>
      <c r="K344" s="2286">
        <f>I344</f>
        <v>14490.077676382543</v>
      </c>
      <c r="L344" s="2285">
        <f>K344*1.04</f>
        <v>15069.680783437845</v>
      </c>
      <c r="M344" s="2258">
        <f>K344/2+L344/2</f>
        <v>14779.879229910195</v>
      </c>
      <c r="N344" s="2284">
        <f>L344</f>
        <v>15069.680783437845</v>
      </c>
      <c r="O344" s="2285">
        <f>N344*1.04</f>
        <v>15672.468014775359</v>
      </c>
      <c r="P344" s="2259">
        <f>N344/2+O344/2</f>
        <v>15371.074399106601</v>
      </c>
      <c r="Q344" s="2284">
        <f>O344</f>
        <v>15672.468014775359</v>
      </c>
      <c r="R344" s="2286">
        <f>Q344*1.04</f>
        <v>16299.366735366373</v>
      </c>
      <c r="S344" s="2258">
        <f>Q344/2+R344/2</f>
        <v>15985.917375070865</v>
      </c>
      <c r="T344" s="2284">
        <f>R344</f>
        <v>16299.366735366373</v>
      </c>
      <c r="U344" s="2285">
        <f>T344*1.04</f>
        <v>16951.341404781029</v>
      </c>
      <c r="V344" s="2259">
        <f t="shared" si="53"/>
        <v>16625.354070073699</v>
      </c>
      <c r="W344" s="2094"/>
      <c r="X344" s="2094"/>
      <c r="Y344" s="2092"/>
      <c r="Z344" s="1376"/>
    </row>
    <row r="345" spans="1:26" s="1263" customFormat="1" outlineLevel="1">
      <c r="A345" s="1267">
        <v>91</v>
      </c>
      <c r="B345" s="1292" t="s">
        <v>1815</v>
      </c>
      <c r="C345" s="1278" t="s">
        <v>1816</v>
      </c>
      <c r="D345" s="1454" t="s">
        <v>1317</v>
      </c>
      <c r="E345" s="1279">
        <f>E346+E347+E348+E349+E350+E351</f>
        <v>17711.13</v>
      </c>
      <c r="F345" s="1280">
        <f>F346+F347+F348+F349+F350+F351</f>
        <v>17711.13</v>
      </c>
      <c r="G345" s="1281">
        <f t="shared" si="34"/>
        <v>17711.13</v>
      </c>
      <c r="H345" s="2255">
        <v>14913.233920420698</v>
      </c>
      <c r="I345" s="2256">
        <v>23989.13874468709</v>
      </c>
      <c r="J345" s="2259">
        <f t="shared" si="49"/>
        <v>19451.186332553894</v>
      </c>
      <c r="K345" s="2260">
        <f>K346+K347+K348+K349+K350+K351</f>
        <v>23989.13874468709</v>
      </c>
      <c r="L345" s="2256">
        <f>L346+L347+L348+L349+L350+L351</f>
        <v>24948.704294474577</v>
      </c>
      <c r="M345" s="2258">
        <f t="shared" si="50"/>
        <v>24468.921519580836</v>
      </c>
      <c r="N345" s="2255">
        <f>N346+N347+N348+N349+N350+N351</f>
        <v>24948.704294474577</v>
      </c>
      <c r="O345" s="2256">
        <f>O346+O347+O348+O349+O350+O351</f>
        <v>25946.652466253556</v>
      </c>
      <c r="P345" s="2259">
        <f t="shared" si="51"/>
        <v>25447.678380364065</v>
      </c>
      <c r="Q345" s="2255">
        <f>Q346+Q347+Q348+Q349+Q350+Q351</f>
        <v>25946.652466253556</v>
      </c>
      <c r="R345" s="2260">
        <f>R346+R347+R348+R349+R350+R351</f>
        <v>26984.518564903701</v>
      </c>
      <c r="S345" s="2258">
        <f t="shared" si="52"/>
        <v>26465.585515578627</v>
      </c>
      <c r="T345" s="2255">
        <f>T346+T347+T348+T349+T350+T351</f>
        <v>26984.518564903701</v>
      </c>
      <c r="U345" s="2256">
        <f>U346+U347+U348+U349+U350+U351</f>
        <v>28063.899307499851</v>
      </c>
      <c r="V345" s="2259">
        <f t="shared" si="53"/>
        <v>27524.208936201776</v>
      </c>
      <c r="W345" s="2093"/>
      <c r="X345" s="2093"/>
      <c r="Y345" s="2092"/>
      <c r="Z345" s="1376"/>
    </row>
    <row r="346" spans="1:26" s="1263" customFormat="1" outlineLevel="1">
      <c r="A346" s="1267">
        <v>92</v>
      </c>
      <c r="B346" s="1294" t="s">
        <v>1817</v>
      </c>
      <c r="C346" s="1295" t="s">
        <v>1818</v>
      </c>
      <c r="D346" s="1457" t="s">
        <v>1317</v>
      </c>
      <c r="E346" s="1296" t="s">
        <v>1819</v>
      </c>
      <c r="F346" s="1297" t="s">
        <v>1819</v>
      </c>
      <c r="G346" s="1281">
        <f t="shared" si="34"/>
        <v>10509.02</v>
      </c>
      <c r="H346" s="2284">
        <v>7334.5221629661964</v>
      </c>
      <c r="I346" s="2285">
        <v>10363.305965208543</v>
      </c>
      <c r="J346" s="2259">
        <f t="shared" si="49"/>
        <v>8848.9140640873702</v>
      </c>
      <c r="K346" s="2286">
        <f>I346</f>
        <v>10363.305965208543</v>
      </c>
      <c r="L346" s="2285">
        <f>K346*1.04</f>
        <v>10777.838203816886</v>
      </c>
      <c r="M346" s="2258">
        <f t="shared" si="50"/>
        <v>10570.572084512714</v>
      </c>
      <c r="N346" s="2284">
        <f>L346</f>
        <v>10777.838203816886</v>
      </c>
      <c r="O346" s="2285">
        <f>N346*1.04</f>
        <v>11208.951731969561</v>
      </c>
      <c r="P346" s="2259">
        <f t="shared" si="51"/>
        <v>10993.394967893222</v>
      </c>
      <c r="Q346" s="2284">
        <f>O346</f>
        <v>11208.951731969561</v>
      </c>
      <c r="R346" s="2286">
        <f>Q346*1.04</f>
        <v>11657.309801248344</v>
      </c>
      <c r="S346" s="2258">
        <f t="shared" si="52"/>
        <v>11433.130766608952</v>
      </c>
      <c r="T346" s="2284">
        <f>R346</f>
        <v>11657.309801248344</v>
      </c>
      <c r="U346" s="2285">
        <f>T346*1.04</f>
        <v>12123.602193298279</v>
      </c>
      <c r="V346" s="2259">
        <f t="shared" si="53"/>
        <v>11890.455997273311</v>
      </c>
      <c r="W346" s="2094"/>
      <c r="X346" s="2094"/>
      <c r="Y346" s="2092"/>
      <c r="Z346" s="1376"/>
    </row>
    <row r="347" spans="1:26" s="1263" customFormat="1" hidden="1" outlineLevel="2">
      <c r="A347" s="1267">
        <v>95</v>
      </c>
      <c r="B347" s="1294" t="s">
        <v>1820</v>
      </c>
      <c r="C347" s="1295" t="s">
        <v>1821</v>
      </c>
      <c r="D347" s="1457" t="s">
        <v>1317</v>
      </c>
      <c r="E347" s="1296"/>
      <c r="F347" s="1297"/>
      <c r="G347" s="1281">
        <f t="shared" si="34"/>
        <v>0</v>
      </c>
      <c r="H347" s="2284">
        <v>0</v>
      </c>
      <c r="I347" s="2285">
        <v>0</v>
      </c>
      <c r="J347" s="2259">
        <f t="shared" si="49"/>
        <v>0</v>
      </c>
      <c r="K347" s="2286"/>
      <c r="L347" s="2285"/>
      <c r="M347" s="2258">
        <f t="shared" si="50"/>
        <v>0</v>
      </c>
      <c r="N347" s="2284"/>
      <c r="O347" s="2285"/>
      <c r="P347" s="2259">
        <f t="shared" si="51"/>
        <v>0</v>
      </c>
      <c r="Q347" s="2284"/>
      <c r="R347" s="2286"/>
      <c r="S347" s="2258">
        <f t="shared" si="52"/>
        <v>0</v>
      </c>
      <c r="T347" s="2284"/>
      <c r="U347" s="2285"/>
      <c r="V347" s="2259">
        <f t="shared" si="53"/>
        <v>0</v>
      </c>
      <c r="W347" s="2094"/>
      <c r="X347" s="2094"/>
      <c r="Y347" s="2092"/>
      <c r="Z347" s="1376"/>
    </row>
    <row r="348" spans="1:26" s="1263" customFormat="1" ht="34.5" outlineLevel="1" collapsed="1">
      <c r="A348" s="1267">
        <v>266</v>
      </c>
      <c r="B348" s="1294" t="s">
        <v>1822</v>
      </c>
      <c r="C348" s="1295" t="s">
        <v>1823</v>
      </c>
      <c r="D348" s="1457" t="s">
        <v>1313</v>
      </c>
      <c r="E348" s="1296" t="s">
        <v>1824</v>
      </c>
      <c r="F348" s="1297" t="s">
        <v>1824</v>
      </c>
      <c r="G348" s="1281">
        <f t="shared" si="34"/>
        <v>3898.51</v>
      </c>
      <c r="H348" s="2284">
        <v>4006.492248038227</v>
      </c>
      <c r="I348" s="2285">
        <v>7433.3068572434668</v>
      </c>
      <c r="J348" s="2259">
        <f t="shared" si="49"/>
        <v>5719.8995526408471</v>
      </c>
      <c r="K348" s="2286">
        <f>I348</f>
        <v>7433.3068572434668</v>
      </c>
      <c r="L348" s="2285">
        <f>K348*1.04</f>
        <v>7730.6391315332057</v>
      </c>
      <c r="M348" s="2258">
        <f>K348/2+L348/2</f>
        <v>7581.9729943883358</v>
      </c>
      <c r="N348" s="2284">
        <f>L348</f>
        <v>7730.6391315332057</v>
      </c>
      <c r="O348" s="2285">
        <f>N348*1.04</f>
        <v>8039.8646967945342</v>
      </c>
      <c r="P348" s="2259">
        <f>N348/2+O348/2</f>
        <v>7885.2519141638695</v>
      </c>
      <c r="Q348" s="2284">
        <f>O348</f>
        <v>8039.8646967945342</v>
      </c>
      <c r="R348" s="2286">
        <f>Q348*1.04</f>
        <v>8361.4592846663163</v>
      </c>
      <c r="S348" s="2258">
        <f>Q348/2+R348/2</f>
        <v>8200.6619907304248</v>
      </c>
      <c r="T348" s="2284">
        <f>R348</f>
        <v>8361.4592846663163</v>
      </c>
      <c r="U348" s="2285">
        <f>T348*1.04</f>
        <v>8695.9176560529686</v>
      </c>
      <c r="V348" s="2259">
        <f t="shared" si="53"/>
        <v>8528.6884703596425</v>
      </c>
      <c r="W348" s="2094"/>
      <c r="X348" s="2094"/>
      <c r="Y348" s="2092"/>
      <c r="Z348" s="1376"/>
    </row>
    <row r="349" spans="1:26" s="1263" customFormat="1" ht="34.5" outlineLevel="1">
      <c r="A349" s="1267">
        <v>267</v>
      </c>
      <c r="B349" s="1294" t="s">
        <v>1825</v>
      </c>
      <c r="C349" s="1295" t="s">
        <v>1826</v>
      </c>
      <c r="D349" s="1457" t="s">
        <v>1128</v>
      </c>
      <c r="E349" s="1296" t="s">
        <v>1827</v>
      </c>
      <c r="F349" s="1297" t="s">
        <v>1827</v>
      </c>
      <c r="G349" s="1281">
        <f t="shared" si="34"/>
        <v>3303.6</v>
      </c>
      <c r="H349" s="2284">
        <v>3382.9012788961713</v>
      </c>
      <c r="I349" s="2285">
        <v>4297.0279133038348</v>
      </c>
      <c r="J349" s="2259">
        <f t="shared" si="49"/>
        <v>3839.9645961000033</v>
      </c>
      <c r="K349" s="2286">
        <f>I349</f>
        <v>4297.0279133038348</v>
      </c>
      <c r="L349" s="2285">
        <f>K349*1.04</f>
        <v>4468.9090298359879</v>
      </c>
      <c r="M349" s="2258">
        <f>K349/2+L349/2</f>
        <v>4382.9684715699113</v>
      </c>
      <c r="N349" s="2284">
        <f>L349</f>
        <v>4468.9090298359879</v>
      </c>
      <c r="O349" s="2285">
        <f>N349*1.04</f>
        <v>4647.6653910294272</v>
      </c>
      <c r="P349" s="2259">
        <f>N349/2+O349/2</f>
        <v>4558.2872104327071</v>
      </c>
      <c r="Q349" s="2284">
        <f>O349</f>
        <v>4647.6653910294272</v>
      </c>
      <c r="R349" s="2286">
        <f>Q349*1.04</f>
        <v>4833.5720066706044</v>
      </c>
      <c r="S349" s="2258">
        <f>Q349/2+R349/2</f>
        <v>4740.6186988500158</v>
      </c>
      <c r="T349" s="2284">
        <f>R349</f>
        <v>4833.5720066706044</v>
      </c>
      <c r="U349" s="2285">
        <f>T349*1.04</f>
        <v>5026.9148869374285</v>
      </c>
      <c r="V349" s="2259">
        <f t="shared" si="53"/>
        <v>4930.2434468040165</v>
      </c>
      <c r="W349" s="2094"/>
      <c r="X349" s="2094"/>
      <c r="Y349" s="2092"/>
      <c r="Z349" s="1376"/>
    </row>
    <row r="350" spans="1:26" s="1263" customFormat="1" ht="35.25" outlineLevel="1" thickBot="1">
      <c r="A350" s="1267">
        <v>93</v>
      </c>
      <c r="B350" s="1294" t="s">
        <v>1828</v>
      </c>
      <c r="C350" s="1295" t="s">
        <v>1829</v>
      </c>
      <c r="D350" s="1457" t="s">
        <v>1317</v>
      </c>
      <c r="E350" s="1296"/>
      <c r="F350" s="1297"/>
      <c r="G350" s="1281">
        <f t="shared" si="34"/>
        <v>0</v>
      </c>
      <c r="H350" s="2284">
        <v>189.31823052010193</v>
      </c>
      <c r="I350" s="2285">
        <v>1895.4980089312446</v>
      </c>
      <c r="J350" s="2259">
        <f t="shared" si="49"/>
        <v>1042.4081197256733</v>
      </c>
      <c r="K350" s="2286">
        <f>I350</f>
        <v>1895.4980089312446</v>
      </c>
      <c r="L350" s="2285">
        <f>K350*1.04</f>
        <v>1971.3179292884945</v>
      </c>
      <c r="M350" s="2258">
        <f>K350/2+L350/2</f>
        <v>1933.4079691098696</v>
      </c>
      <c r="N350" s="2284">
        <f>L350</f>
        <v>1971.3179292884945</v>
      </c>
      <c r="O350" s="2285">
        <f>N350*1.04</f>
        <v>2050.1706464600343</v>
      </c>
      <c r="P350" s="2259">
        <f>N350/2+O350/2</f>
        <v>2010.7442878742645</v>
      </c>
      <c r="Q350" s="2284">
        <f>O350</f>
        <v>2050.1706464600343</v>
      </c>
      <c r="R350" s="2286">
        <f>Q350*1.04</f>
        <v>2132.1774723184358</v>
      </c>
      <c r="S350" s="2258">
        <f>Q350/2+R350/2</f>
        <v>2091.174059389235</v>
      </c>
      <c r="T350" s="2284">
        <f>R350</f>
        <v>2132.1774723184358</v>
      </c>
      <c r="U350" s="2285">
        <f>T350*1.04</f>
        <v>2217.4645712111733</v>
      </c>
      <c r="V350" s="2259">
        <f t="shared" si="53"/>
        <v>2174.8210217648048</v>
      </c>
      <c r="W350" s="2094"/>
      <c r="X350" s="2094"/>
      <c r="Y350" s="2092"/>
      <c r="Z350" s="1376"/>
    </row>
    <row r="351" spans="1:26" s="1263" customFormat="1" ht="18" hidden="1" outlineLevel="2" thickBot="1">
      <c r="A351" s="1267">
        <v>94</v>
      </c>
      <c r="B351" s="1303" t="s">
        <v>1830</v>
      </c>
      <c r="C351" s="1304" t="s">
        <v>1831</v>
      </c>
      <c r="D351" s="1459" t="s">
        <v>1317</v>
      </c>
      <c r="E351" s="1305"/>
      <c r="F351" s="1306"/>
      <c r="G351" s="1286">
        <f t="shared" si="34"/>
        <v>0</v>
      </c>
      <c r="H351" s="2300"/>
      <c r="I351" s="2301"/>
      <c r="J351" s="2268">
        <f t="shared" si="49"/>
        <v>0</v>
      </c>
      <c r="K351" s="2302"/>
      <c r="L351" s="2301"/>
      <c r="M351" s="2267">
        <f t="shared" si="50"/>
        <v>0</v>
      </c>
      <c r="N351" s="2300"/>
      <c r="O351" s="2301"/>
      <c r="P351" s="2268">
        <f t="shared" si="51"/>
        <v>0</v>
      </c>
      <c r="Q351" s="2300"/>
      <c r="R351" s="2302"/>
      <c r="S351" s="2267">
        <f t="shared" si="52"/>
        <v>0</v>
      </c>
      <c r="T351" s="2300"/>
      <c r="U351" s="2301"/>
      <c r="V351" s="2268">
        <f t="shared" si="53"/>
        <v>0</v>
      </c>
      <c r="W351" s="2094"/>
      <c r="X351" s="2094"/>
      <c r="Y351" s="2092"/>
      <c r="Z351" s="1376"/>
    </row>
    <row r="352" spans="1:26" s="1263" customFormat="1" ht="18" outlineLevel="1" collapsed="1" thickBot="1">
      <c r="A352" s="1267">
        <v>101</v>
      </c>
      <c r="B352" s="1287" t="s">
        <v>119</v>
      </c>
      <c r="C352" s="1288" t="s">
        <v>1832</v>
      </c>
      <c r="D352" s="1456" t="s">
        <v>1317</v>
      </c>
      <c r="E352" s="1289">
        <f>E353+E354+E355</f>
        <v>216993.44</v>
      </c>
      <c r="F352" s="1290">
        <f>F353+F354+F355</f>
        <v>216993.44</v>
      </c>
      <c r="G352" s="1307">
        <f t="shared" si="34"/>
        <v>216993.44</v>
      </c>
      <c r="H352" s="1289">
        <f>H353+H354+H355</f>
        <v>117070.67370413701</v>
      </c>
      <c r="I352" s="1290">
        <f>I353+I354+I355</f>
        <v>201954.85115088851</v>
      </c>
      <c r="J352" s="1307">
        <f>H352/2+I352/2</f>
        <v>159512.76242751276</v>
      </c>
      <c r="K352" s="1289">
        <f>K353+K354+K355</f>
        <v>201954.85115088851</v>
      </c>
      <c r="L352" s="1290">
        <f>L353+L354+L355</f>
        <v>210033.04519692407</v>
      </c>
      <c r="M352" s="2860">
        <f>K352/2+L352/2</f>
        <v>205993.9481739063</v>
      </c>
      <c r="N352" s="1289">
        <f>N353+N354+N355</f>
        <v>210033.04519692407</v>
      </c>
      <c r="O352" s="1290">
        <f>O353+O354+O355</f>
        <v>218434.36700480105</v>
      </c>
      <c r="P352" s="1307">
        <f>N352/2+O352/2</f>
        <v>214233.70610086256</v>
      </c>
      <c r="Q352" s="1289">
        <f>Q353+Q354+Q355</f>
        <v>218434.36700480105</v>
      </c>
      <c r="R352" s="2869">
        <f>R353+R354+R355</f>
        <v>227171.74168499309</v>
      </c>
      <c r="S352" s="2860">
        <f>Q352/2+R352/2</f>
        <v>222803.05434489707</v>
      </c>
      <c r="T352" s="1289">
        <f>T353+T354+T355</f>
        <v>227171.74168499309</v>
      </c>
      <c r="U352" s="1290">
        <f>U353+U354+U355</f>
        <v>236258.61135239282</v>
      </c>
      <c r="V352" s="1307">
        <f>T352/2+U352/2</f>
        <v>231715.17651869296</v>
      </c>
      <c r="W352" s="2093"/>
      <c r="X352" s="2093"/>
      <c r="Y352" s="2092"/>
      <c r="Z352" s="1376"/>
    </row>
    <row r="353" spans="1:26" s="1263" customFormat="1" ht="51.75" outlineLevel="1">
      <c r="A353" s="1267">
        <v>102</v>
      </c>
      <c r="B353" s="1308" t="s">
        <v>1833</v>
      </c>
      <c r="C353" s="1309" t="s">
        <v>1834</v>
      </c>
      <c r="D353" s="1460" t="s">
        <v>1317</v>
      </c>
      <c r="E353" s="1310" t="s">
        <v>1835</v>
      </c>
      <c r="F353" s="1311" t="s">
        <v>1835</v>
      </c>
      <c r="G353" s="1276">
        <f t="shared" si="34"/>
        <v>2194.3000000000002</v>
      </c>
      <c r="H353" s="2308">
        <v>414.0493087496867</v>
      </c>
      <c r="I353" s="2309">
        <v>820.31991497251897</v>
      </c>
      <c r="J353" s="2250">
        <f t="shared" ref="J353:J362" si="54">H353/2+I353/2</f>
        <v>617.18461186110289</v>
      </c>
      <c r="K353" s="2286">
        <f>I353</f>
        <v>820.31991497251897</v>
      </c>
      <c r="L353" s="2309">
        <f>K353*1.04</f>
        <v>853.1327115714198</v>
      </c>
      <c r="M353" s="2249">
        <f t="shared" ref="M353:M364" si="55">K353/2+L353/2</f>
        <v>836.72631327196939</v>
      </c>
      <c r="N353" s="2308">
        <f>L353</f>
        <v>853.1327115714198</v>
      </c>
      <c r="O353" s="2309">
        <f>N353*1.04</f>
        <v>887.25802003427668</v>
      </c>
      <c r="P353" s="2250">
        <f t="shared" ref="P353:P364" si="56">N353/2+O353/2</f>
        <v>870.1953658028483</v>
      </c>
      <c r="Q353" s="2308">
        <f>O353</f>
        <v>887.25802003427668</v>
      </c>
      <c r="R353" s="2310">
        <f>Q353*1.04</f>
        <v>922.74834083564781</v>
      </c>
      <c r="S353" s="2249">
        <f t="shared" ref="S353:S364" si="57">Q353/2+R353/2</f>
        <v>905.00318043496225</v>
      </c>
      <c r="T353" s="2308">
        <f>R353</f>
        <v>922.74834083564781</v>
      </c>
      <c r="U353" s="2309">
        <f>T353*1.04</f>
        <v>959.65827446907372</v>
      </c>
      <c r="V353" s="2250">
        <f t="shared" ref="V353:V366" si="58">T353/2+U353/2</f>
        <v>941.20330765236076</v>
      </c>
      <c r="W353" s="2094"/>
      <c r="X353" s="2094"/>
      <c r="Y353" s="2092"/>
      <c r="Z353" s="1376"/>
    </row>
    <row r="354" spans="1:26" s="1263" customFormat="1" ht="51.75" outlineLevel="1">
      <c r="A354" s="1267">
        <v>103</v>
      </c>
      <c r="B354" s="1294" t="s">
        <v>1836</v>
      </c>
      <c r="C354" s="1302" t="s">
        <v>1837</v>
      </c>
      <c r="D354" s="1457" t="s">
        <v>1317</v>
      </c>
      <c r="E354" s="1296" t="s">
        <v>1838</v>
      </c>
      <c r="F354" s="1297" t="s">
        <v>1838</v>
      </c>
      <c r="G354" s="1281">
        <f t="shared" si="34"/>
        <v>31554.080000000002</v>
      </c>
      <c r="H354" s="2294">
        <v>11480.659571334449</v>
      </c>
      <c r="I354" s="2296">
        <v>18234.453979204678</v>
      </c>
      <c r="J354" s="2259">
        <f t="shared" si="54"/>
        <v>14857.556775269564</v>
      </c>
      <c r="K354" s="2286">
        <f>I354</f>
        <v>18234.453979204678</v>
      </c>
      <c r="L354" s="2285">
        <f>K354*1.04</f>
        <v>18963.832138372865</v>
      </c>
      <c r="M354" s="2258">
        <f t="shared" si="55"/>
        <v>18599.143058788773</v>
      </c>
      <c r="N354" s="2284">
        <f>L354</f>
        <v>18963.832138372865</v>
      </c>
      <c r="O354" s="2285">
        <f>N354*1.04</f>
        <v>19722.385423907781</v>
      </c>
      <c r="P354" s="2259">
        <f t="shared" si="56"/>
        <v>19343.108781140323</v>
      </c>
      <c r="Q354" s="2284">
        <f>O354</f>
        <v>19722.385423907781</v>
      </c>
      <c r="R354" s="2286">
        <f>Q354*1.04</f>
        <v>20511.280840864092</v>
      </c>
      <c r="S354" s="2258">
        <f t="shared" si="57"/>
        <v>20116.833132385938</v>
      </c>
      <c r="T354" s="2284">
        <f>R354</f>
        <v>20511.280840864092</v>
      </c>
      <c r="U354" s="2285">
        <f>T354*1.04</f>
        <v>21331.732074498657</v>
      </c>
      <c r="V354" s="2259">
        <f t="shared" si="58"/>
        <v>20921.506457681375</v>
      </c>
      <c r="W354" s="2094"/>
      <c r="X354" s="2094"/>
      <c r="Y354" s="2092"/>
      <c r="Z354" s="1376"/>
    </row>
    <row r="355" spans="1:26" s="1263" customFormat="1" ht="34.5" outlineLevel="1">
      <c r="A355" s="1267">
        <v>104</v>
      </c>
      <c r="B355" s="1292" t="s">
        <v>1839</v>
      </c>
      <c r="C355" s="1293" t="s">
        <v>1840</v>
      </c>
      <c r="D355" s="1454" t="s">
        <v>1317</v>
      </c>
      <c r="E355" s="1279">
        <f>E356+E366</f>
        <v>183245.06</v>
      </c>
      <c r="F355" s="1280">
        <f>F356+F366</f>
        <v>183245.06</v>
      </c>
      <c r="G355" s="1281">
        <f t="shared" si="34"/>
        <v>183245.06</v>
      </c>
      <c r="H355" s="2255">
        <v>105175.96482405288</v>
      </c>
      <c r="I355" s="2256">
        <v>182900.07725671132</v>
      </c>
      <c r="J355" s="2259">
        <f t="shared" si="54"/>
        <v>144038.0210403821</v>
      </c>
      <c r="K355" s="2260">
        <f>I355</f>
        <v>182900.07725671132</v>
      </c>
      <c r="L355" s="2256">
        <f>K355*1.04</f>
        <v>190216.08034697978</v>
      </c>
      <c r="M355" s="2258">
        <f t="shared" si="55"/>
        <v>186558.07880184555</v>
      </c>
      <c r="N355" s="2255">
        <f>L355</f>
        <v>190216.08034697978</v>
      </c>
      <c r="O355" s="2256">
        <f>N355*1.04</f>
        <v>197824.72356085898</v>
      </c>
      <c r="P355" s="2259">
        <f t="shared" si="56"/>
        <v>194020.40195391938</v>
      </c>
      <c r="Q355" s="2255">
        <f>O355</f>
        <v>197824.72356085898</v>
      </c>
      <c r="R355" s="2260">
        <f>Q355*1.04</f>
        <v>205737.71250329335</v>
      </c>
      <c r="S355" s="2258">
        <f t="shared" si="57"/>
        <v>201781.21803207617</v>
      </c>
      <c r="T355" s="2255">
        <f>R355</f>
        <v>205737.71250329335</v>
      </c>
      <c r="U355" s="2256">
        <f>T355*1.04</f>
        <v>213967.2210034251</v>
      </c>
      <c r="V355" s="2259">
        <f t="shared" si="58"/>
        <v>209852.46675335924</v>
      </c>
      <c r="W355" s="2093"/>
      <c r="X355" s="2093"/>
      <c r="Y355" s="2092"/>
      <c r="Z355" s="1376"/>
    </row>
    <row r="356" spans="1:26" s="1263" customFormat="1" outlineLevel="1">
      <c r="A356" s="1267">
        <v>105</v>
      </c>
      <c r="B356" s="1292" t="s">
        <v>1841</v>
      </c>
      <c r="C356" s="1293" t="s">
        <v>1842</v>
      </c>
      <c r="D356" s="1454" t="s">
        <v>1317</v>
      </c>
      <c r="E356" s="1279">
        <f>E357*E365*12/1000</f>
        <v>140741.21</v>
      </c>
      <c r="F356" s="1280">
        <f>F357*F365*12/1000</f>
        <v>140741.21</v>
      </c>
      <c r="G356" s="1281">
        <f t="shared" si="34"/>
        <v>140741.21</v>
      </c>
      <c r="H356" s="2255">
        <v>80780.310924771795</v>
      </c>
      <c r="I356" s="2256">
        <v>140476.24981314232</v>
      </c>
      <c r="J356" s="2259">
        <f t="shared" si="54"/>
        <v>110628.28036895706</v>
      </c>
      <c r="K356" s="2260">
        <f>I356</f>
        <v>140476.24981314232</v>
      </c>
      <c r="L356" s="2256">
        <f>K356*1.04</f>
        <v>146095.29980566801</v>
      </c>
      <c r="M356" s="2258">
        <f t="shared" si="55"/>
        <v>143285.77480940515</v>
      </c>
      <c r="N356" s="2255">
        <f>L356</f>
        <v>146095.29980566801</v>
      </c>
      <c r="O356" s="2256">
        <f>N356*1.04</f>
        <v>151939.11179789473</v>
      </c>
      <c r="P356" s="2259">
        <f t="shared" si="56"/>
        <v>149017.20580178138</v>
      </c>
      <c r="Q356" s="2255">
        <f>O356</f>
        <v>151939.11179789473</v>
      </c>
      <c r="R356" s="2260">
        <f>Q356*1.04</f>
        <v>158016.67626981053</v>
      </c>
      <c r="S356" s="2258">
        <f t="shared" si="57"/>
        <v>154977.89403385262</v>
      </c>
      <c r="T356" s="2255">
        <f>R356</f>
        <v>158016.67626981053</v>
      </c>
      <c r="U356" s="2256">
        <f>T356*1.04</f>
        <v>164337.34332060296</v>
      </c>
      <c r="V356" s="2259">
        <f t="shared" si="58"/>
        <v>161177.00979520674</v>
      </c>
      <c r="W356" s="2093"/>
      <c r="X356" s="2093"/>
      <c r="Y356" s="2092"/>
      <c r="Z356" s="1376"/>
    </row>
    <row r="357" spans="1:26" s="1263" customFormat="1" outlineLevel="1">
      <c r="A357" s="1267">
        <v>610</v>
      </c>
      <c r="B357" s="1292" t="s">
        <v>1843</v>
      </c>
      <c r="C357" s="1293" t="s">
        <v>1844</v>
      </c>
      <c r="D357" s="1454"/>
      <c r="E357" s="1279">
        <f>E358+E359+E362+E363+E364</f>
        <v>26777.24695585997</v>
      </c>
      <c r="F357" s="1280">
        <f>F358+F359+F362+F363+F364</f>
        <v>26777.24695585997</v>
      </c>
      <c r="G357" s="1281">
        <f t="shared" si="34"/>
        <v>26777.24695585997</v>
      </c>
      <c r="H357" s="2255">
        <v>37035.691249493379</v>
      </c>
      <c r="I357" s="2256">
        <v>39950.510054471735</v>
      </c>
      <c r="J357" s="2259">
        <f t="shared" si="54"/>
        <v>38493.100651982561</v>
      </c>
      <c r="K357" s="2260">
        <f>K358+K359+K362+K363+K364</f>
        <v>70424.15949391172</v>
      </c>
      <c r="L357" s="2256">
        <f>L358+L359+L362+L363+L364</f>
        <v>73241.125873668192</v>
      </c>
      <c r="M357" s="2258">
        <f t="shared" si="55"/>
        <v>71832.642683789949</v>
      </c>
      <c r="N357" s="2255">
        <f>N358+N359+N362+N363+N364</f>
        <v>73241.125873668192</v>
      </c>
      <c r="O357" s="2256">
        <f>O358+O359+O362+O363+O364</f>
        <v>76170.770908614926</v>
      </c>
      <c r="P357" s="2259">
        <f t="shared" si="56"/>
        <v>74705.948391141559</v>
      </c>
      <c r="Q357" s="2255">
        <f>Q358+Q359+Q362+Q363+Q364</f>
        <v>76170.770908614926</v>
      </c>
      <c r="R357" s="2260">
        <f>R358+R359+R362+R363+R364</f>
        <v>79217.601744959524</v>
      </c>
      <c r="S357" s="2258">
        <f t="shared" si="57"/>
        <v>77694.186326787225</v>
      </c>
      <c r="T357" s="2255">
        <f>T358+T359+T362+T363+T364</f>
        <v>79217.601744959524</v>
      </c>
      <c r="U357" s="2256">
        <f>U358+U359+U362+U363+U364</f>
        <v>82386.305814757899</v>
      </c>
      <c r="V357" s="2259">
        <f t="shared" si="58"/>
        <v>80801.953779858712</v>
      </c>
      <c r="W357" s="2093"/>
      <c r="X357" s="2093"/>
      <c r="Y357" s="2092"/>
      <c r="Z357" s="1376"/>
    </row>
    <row r="358" spans="1:26" s="1263" customFormat="1" hidden="1" outlineLevel="2">
      <c r="A358" s="1267">
        <v>311</v>
      </c>
      <c r="B358" s="1294" t="s">
        <v>1845</v>
      </c>
      <c r="C358" s="1295" t="s">
        <v>1846</v>
      </c>
      <c r="D358" s="1457" t="s">
        <v>1847</v>
      </c>
      <c r="E358" s="1296"/>
      <c r="F358" s="1297"/>
      <c r="G358" s="1281">
        <f t="shared" si="34"/>
        <v>0</v>
      </c>
      <c r="H358" s="2284"/>
      <c r="I358" s="2285"/>
      <c r="J358" s="2259">
        <f t="shared" si="54"/>
        <v>0</v>
      </c>
      <c r="K358" s="2286"/>
      <c r="L358" s="2285"/>
      <c r="M358" s="2258">
        <f t="shared" si="55"/>
        <v>0</v>
      </c>
      <c r="N358" s="2284"/>
      <c r="O358" s="2285"/>
      <c r="P358" s="2259">
        <f t="shared" si="56"/>
        <v>0</v>
      </c>
      <c r="Q358" s="2284"/>
      <c r="R358" s="2286"/>
      <c r="S358" s="2258">
        <f t="shared" si="57"/>
        <v>0</v>
      </c>
      <c r="T358" s="2284"/>
      <c r="U358" s="2285"/>
      <c r="V358" s="2259">
        <f t="shared" si="58"/>
        <v>0</v>
      </c>
      <c r="W358" s="2094"/>
      <c r="X358" s="2094"/>
      <c r="Y358" s="2092"/>
      <c r="Z358" s="1376"/>
    </row>
    <row r="359" spans="1:26" s="1263" customFormat="1" outlineLevel="1" collapsed="1">
      <c r="A359" s="1267">
        <v>611</v>
      </c>
      <c r="B359" s="1292" t="s">
        <v>1848</v>
      </c>
      <c r="C359" s="1293" t="s">
        <v>1786</v>
      </c>
      <c r="D359" s="1454" t="s">
        <v>1849</v>
      </c>
      <c r="E359" s="1279">
        <f>E360*E361</f>
        <v>26777.24695585997</v>
      </c>
      <c r="F359" s="1280">
        <f>F360*F361</f>
        <v>26777.24695585997</v>
      </c>
      <c r="G359" s="1281">
        <f t="shared" si="34"/>
        <v>26777.24695585997</v>
      </c>
      <c r="H359" s="2255">
        <v>18687.495423839999</v>
      </c>
      <c r="I359" s="2256">
        <v>19565.80770876048</v>
      </c>
      <c r="J359" s="2259">
        <f t="shared" si="54"/>
        <v>19126.651566300239</v>
      </c>
      <c r="K359" s="2260">
        <f>K360*K361</f>
        <v>70424.15949391172</v>
      </c>
      <c r="L359" s="2256">
        <f>L360*L361</f>
        <v>73241.125873668192</v>
      </c>
      <c r="M359" s="2258">
        <f t="shared" si="55"/>
        <v>71832.642683789949</v>
      </c>
      <c r="N359" s="2255">
        <f>N360*N361</f>
        <v>73241.125873668192</v>
      </c>
      <c r="O359" s="2256">
        <f>O360*O361</f>
        <v>76170.770908614926</v>
      </c>
      <c r="P359" s="2259">
        <f t="shared" si="56"/>
        <v>74705.948391141559</v>
      </c>
      <c r="Q359" s="2255">
        <f>Q360*Q361</f>
        <v>76170.770908614926</v>
      </c>
      <c r="R359" s="2260">
        <f>R360*R361</f>
        <v>79217.601744959524</v>
      </c>
      <c r="S359" s="2258">
        <f t="shared" si="57"/>
        <v>77694.186326787225</v>
      </c>
      <c r="T359" s="2255">
        <f>T360*T361</f>
        <v>79217.601744959524</v>
      </c>
      <c r="U359" s="2256">
        <f>U360*U361</f>
        <v>82386.305814757899</v>
      </c>
      <c r="V359" s="2259">
        <f t="shared" si="58"/>
        <v>80801.953779858712</v>
      </c>
      <c r="W359" s="2093"/>
      <c r="X359" s="2093"/>
      <c r="Y359" s="2092"/>
      <c r="Z359" s="1376"/>
    </row>
    <row r="360" spans="1:26" s="1263" customFormat="1" outlineLevel="1">
      <c r="A360" s="1267">
        <v>110</v>
      </c>
      <c r="B360" s="1294" t="s">
        <v>1850</v>
      </c>
      <c r="C360" s="1295" t="s">
        <v>1788</v>
      </c>
      <c r="D360" s="1457" t="s">
        <v>1784</v>
      </c>
      <c r="E360" s="1296">
        <f>140741.21/E365/12*1000</f>
        <v>26777.24695585997</v>
      </c>
      <c r="F360" s="1297">
        <f>E360</f>
        <v>26777.24695585997</v>
      </c>
      <c r="G360" s="1281">
        <f t="shared" si="34"/>
        <v>26777.24695585997</v>
      </c>
      <c r="H360" s="2284">
        <v>7105.5115679999999</v>
      </c>
      <c r="I360" s="2285">
        <v>7439.4706116959997</v>
      </c>
      <c r="J360" s="2259">
        <f t="shared" si="54"/>
        <v>7272.4910898479993</v>
      </c>
      <c r="K360" s="2286">
        <f>F360</f>
        <v>26777.24695585997</v>
      </c>
      <c r="L360" s="2285">
        <f>K360*1.04</f>
        <v>27848.336834094371</v>
      </c>
      <c r="M360" s="2258">
        <f>K360/2+L360/2</f>
        <v>27312.79189497717</v>
      </c>
      <c r="N360" s="2284">
        <f>L360</f>
        <v>27848.336834094371</v>
      </c>
      <c r="O360" s="2285">
        <f>N360*1.04</f>
        <v>28962.270307458148</v>
      </c>
      <c r="P360" s="2259">
        <f>N360/2+O360/2</f>
        <v>28405.303570776261</v>
      </c>
      <c r="Q360" s="2284">
        <f>O360</f>
        <v>28962.270307458148</v>
      </c>
      <c r="R360" s="2286">
        <f>Q360*1.04</f>
        <v>30120.761119756473</v>
      </c>
      <c r="S360" s="2258">
        <f>Q360/2+R360/2</f>
        <v>29541.51571360731</v>
      </c>
      <c r="T360" s="2284">
        <f>R360</f>
        <v>30120.761119756473</v>
      </c>
      <c r="U360" s="2285">
        <f>T360*1.04</f>
        <v>31325.591564546732</v>
      </c>
      <c r="V360" s="2259">
        <f t="shared" si="58"/>
        <v>30723.176342151601</v>
      </c>
      <c r="W360" s="2094"/>
      <c r="X360" s="2094"/>
      <c r="Y360" s="2092"/>
      <c r="Z360" s="1376"/>
    </row>
    <row r="361" spans="1:26" s="1263" customFormat="1" outlineLevel="1">
      <c r="A361" s="1267">
        <v>113</v>
      </c>
      <c r="B361" s="1294" t="s">
        <v>1851</v>
      </c>
      <c r="C361" s="1295" t="s">
        <v>1790</v>
      </c>
      <c r="D361" s="1457"/>
      <c r="E361" s="1296">
        <v>1</v>
      </c>
      <c r="F361" s="1297">
        <f>E361</f>
        <v>1</v>
      </c>
      <c r="G361" s="1281">
        <f t="shared" si="34"/>
        <v>1</v>
      </c>
      <c r="H361" s="2284">
        <v>2.63</v>
      </c>
      <c r="I361" s="2285">
        <v>2.63</v>
      </c>
      <c r="J361" s="2259">
        <f t="shared" si="54"/>
        <v>2.63</v>
      </c>
      <c r="K361" s="2286">
        <f>I361</f>
        <v>2.63</v>
      </c>
      <c r="L361" s="2285">
        <f>K361</f>
        <v>2.63</v>
      </c>
      <c r="M361" s="2258">
        <f t="shared" si="55"/>
        <v>2.63</v>
      </c>
      <c r="N361" s="2284">
        <f>L361</f>
        <v>2.63</v>
      </c>
      <c r="O361" s="2285">
        <f>N361</f>
        <v>2.63</v>
      </c>
      <c r="P361" s="2259">
        <f t="shared" si="56"/>
        <v>2.63</v>
      </c>
      <c r="Q361" s="2284">
        <f>O361</f>
        <v>2.63</v>
      </c>
      <c r="R361" s="2286">
        <f>Q361</f>
        <v>2.63</v>
      </c>
      <c r="S361" s="2258">
        <f t="shared" si="57"/>
        <v>2.63</v>
      </c>
      <c r="T361" s="2284">
        <f>R361</f>
        <v>2.63</v>
      </c>
      <c r="U361" s="2285">
        <f>T361</f>
        <v>2.63</v>
      </c>
      <c r="V361" s="2259">
        <f t="shared" si="58"/>
        <v>2.63</v>
      </c>
      <c r="W361" s="2094"/>
      <c r="X361" s="2094"/>
      <c r="Y361" s="2092"/>
      <c r="Z361" s="1376"/>
    </row>
    <row r="362" spans="1:26" s="1263" customFormat="1" ht="34.5" outlineLevel="1">
      <c r="A362" s="1267">
        <v>612</v>
      </c>
      <c r="B362" s="1294" t="s">
        <v>1852</v>
      </c>
      <c r="C362" s="1295" t="s">
        <v>1853</v>
      </c>
      <c r="D362" s="1457" t="s">
        <v>1847</v>
      </c>
      <c r="E362" s="1296"/>
      <c r="F362" s="1297"/>
      <c r="G362" s="1281">
        <f t="shared" si="34"/>
        <v>0</v>
      </c>
      <c r="H362" s="2284">
        <v>6893.4726314470745</v>
      </c>
      <c r="I362" s="2285">
        <v>7217.4658451250862</v>
      </c>
      <c r="J362" s="2259">
        <f t="shared" si="54"/>
        <v>7055.4692382860803</v>
      </c>
      <c r="K362" s="2286">
        <f>F362</f>
        <v>0</v>
      </c>
      <c r="L362" s="2285">
        <f>K362*1.04</f>
        <v>0</v>
      </c>
      <c r="M362" s="2258">
        <f>K362/2+L362/2</f>
        <v>0</v>
      </c>
      <c r="N362" s="2284">
        <f>L362</f>
        <v>0</v>
      </c>
      <c r="O362" s="2285">
        <f>N362*1.04</f>
        <v>0</v>
      </c>
      <c r="P362" s="2259">
        <f>N362/2+O362/2</f>
        <v>0</v>
      </c>
      <c r="Q362" s="2284">
        <f>O362</f>
        <v>0</v>
      </c>
      <c r="R362" s="2286">
        <f>Q362*1.04</f>
        <v>0</v>
      </c>
      <c r="S362" s="2258">
        <f>Q362/2+R362/2</f>
        <v>0</v>
      </c>
      <c r="T362" s="2284">
        <f>R362</f>
        <v>0</v>
      </c>
      <c r="U362" s="2285">
        <f>T362*1.04</f>
        <v>0</v>
      </c>
      <c r="V362" s="2259">
        <f t="shared" si="58"/>
        <v>0</v>
      </c>
      <c r="W362" s="2094"/>
      <c r="X362" s="2094"/>
      <c r="Y362" s="2092"/>
      <c r="Z362" s="1376"/>
    </row>
    <row r="363" spans="1:26" s="1263" customFormat="1" outlineLevel="1">
      <c r="A363" s="1267">
        <v>613</v>
      </c>
      <c r="B363" s="1294" t="s">
        <v>1854</v>
      </c>
      <c r="C363" s="1295" t="s">
        <v>1795</v>
      </c>
      <c r="D363" s="1457" t="s">
        <v>1847</v>
      </c>
      <c r="E363" s="1296"/>
      <c r="F363" s="1297"/>
      <c r="G363" s="1281">
        <f t="shared" si="34"/>
        <v>0</v>
      </c>
      <c r="H363" s="2284">
        <v>11454.723194206301</v>
      </c>
      <c r="I363" s="2285">
        <v>13167.23650058617</v>
      </c>
      <c r="J363" s="2259">
        <v>5198.2215576279377</v>
      </c>
      <c r="K363" s="2286">
        <f>F363</f>
        <v>0</v>
      </c>
      <c r="L363" s="2285">
        <f>K363*1.04</f>
        <v>0</v>
      </c>
      <c r="M363" s="2258">
        <v>5423.9264584789253</v>
      </c>
      <c r="N363" s="2284">
        <f>L363</f>
        <v>0</v>
      </c>
      <c r="O363" s="2285">
        <f>N363*1.04</f>
        <v>0</v>
      </c>
      <c r="P363" s="2259">
        <v>5640.8835168180822</v>
      </c>
      <c r="Q363" s="2284">
        <f>O363</f>
        <v>0</v>
      </c>
      <c r="R363" s="2286">
        <f>Q363*1.04</f>
        <v>0</v>
      </c>
      <c r="S363" s="2258">
        <v>5866.5188574908061</v>
      </c>
      <c r="T363" s="2284">
        <f>R363</f>
        <v>0</v>
      </c>
      <c r="U363" s="2285">
        <f>T363*1.04</f>
        <v>0</v>
      </c>
      <c r="V363" s="2259">
        <f t="shared" si="58"/>
        <v>0</v>
      </c>
      <c r="W363" s="2094"/>
      <c r="X363" s="2094"/>
      <c r="Y363" s="2092"/>
      <c r="Z363" s="1376"/>
    </row>
    <row r="364" spans="1:26" s="1263" customFormat="1" hidden="1" outlineLevel="2">
      <c r="A364" s="1267">
        <v>614</v>
      </c>
      <c r="B364" s="1294" t="s">
        <v>1855</v>
      </c>
      <c r="C364" s="1295" t="s">
        <v>1856</v>
      </c>
      <c r="D364" s="1457" t="s">
        <v>1847</v>
      </c>
      <c r="E364" s="1296"/>
      <c r="F364" s="1297"/>
      <c r="G364" s="1281">
        <f t="shared" si="34"/>
        <v>0</v>
      </c>
      <c r="H364" s="2284"/>
      <c r="I364" s="2285"/>
      <c r="J364" s="2259">
        <f t="shared" ref="J364:J366" si="59">H364/2+I364/2</f>
        <v>0</v>
      </c>
      <c r="K364" s="2286"/>
      <c r="L364" s="2285"/>
      <c r="M364" s="2258">
        <f t="shared" si="55"/>
        <v>0</v>
      </c>
      <c r="N364" s="2284"/>
      <c r="O364" s="2285"/>
      <c r="P364" s="2259">
        <f t="shared" si="56"/>
        <v>0</v>
      </c>
      <c r="Q364" s="2284"/>
      <c r="R364" s="2286"/>
      <c r="S364" s="2258">
        <f t="shared" si="57"/>
        <v>0</v>
      </c>
      <c r="T364" s="2284"/>
      <c r="U364" s="2285"/>
      <c r="V364" s="2259">
        <f t="shared" si="58"/>
        <v>0</v>
      </c>
      <c r="W364" s="2094"/>
      <c r="X364" s="2094"/>
      <c r="Y364" s="2092"/>
      <c r="Z364" s="1376"/>
    </row>
    <row r="365" spans="1:26" s="1263" customFormat="1" outlineLevel="1" collapsed="1">
      <c r="A365" s="1267">
        <v>106</v>
      </c>
      <c r="B365" s="1294" t="s">
        <v>1857</v>
      </c>
      <c r="C365" s="1295" t="s">
        <v>1799</v>
      </c>
      <c r="D365" s="1457" t="s">
        <v>1800</v>
      </c>
      <c r="E365" s="1296" t="s">
        <v>1858</v>
      </c>
      <c r="F365" s="1297" t="s">
        <v>1858</v>
      </c>
      <c r="G365" s="1281">
        <f t="shared" si="34"/>
        <v>438</v>
      </c>
      <c r="H365" s="2284">
        <v>181.76230414374677</v>
      </c>
      <c r="I365" s="2285">
        <v>293.02139409819324</v>
      </c>
      <c r="J365" s="2259">
        <f t="shared" si="59"/>
        <v>237.39184912096999</v>
      </c>
      <c r="K365" s="2286" t="str">
        <f>F365</f>
        <v>438,00</v>
      </c>
      <c r="L365" s="2285" t="str">
        <f>K365</f>
        <v>438,00</v>
      </c>
      <c r="M365" s="2258">
        <f>K365/2+L365/2</f>
        <v>438</v>
      </c>
      <c r="N365" s="2284" t="str">
        <f>L365</f>
        <v>438,00</v>
      </c>
      <c r="O365" s="2285" t="str">
        <f>N365</f>
        <v>438,00</v>
      </c>
      <c r="P365" s="2259">
        <f>N365/2+O365/2</f>
        <v>438</v>
      </c>
      <c r="Q365" s="2284" t="str">
        <f>O365</f>
        <v>438,00</v>
      </c>
      <c r="R365" s="2286" t="str">
        <f>Q365</f>
        <v>438,00</v>
      </c>
      <c r="S365" s="2258">
        <f>Q365/2+R365/2</f>
        <v>438</v>
      </c>
      <c r="T365" s="2284" t="str">
        <f>R365</f>
        <v>438,00</v>
      </c>
      <c r="U365" s="2285" t="str">
        <f>T365</f>
        <v>438,00</v>
      </c>
      <c r="V365" s="2259">
        <f t="shared" si="58"/>
        <v>438</v>
      </c>
      <c r="W365" s="2094"/>
      <c r="X365" s="2094"/>
      <c r="Y365" s="2092"/>
      <c r="Z365" s="1376"/>
    </row>
    <row r="366" spans="1:26" s="1263" customFormat="1" ht="35.25" outlineLevel="1" thickBot="1">
      <c r="A366" s="1267">
        <v>116</v>
      </c>
      <c r="B366" s="1312" t="s">
        <v>1859</v>
      </c>
      <c r="C366" s="1313" t="s">
        <v>1860</v>
      </c>
      <c r="D366" s="1461" t="s">
        <v>1317</v>
      </c>
      <c r="E366" s="1314" t="s">
        <v>1861</v>
      </c>
      <c r="F366" s="1315" t="s">
        <v>1861</v>
      </c>
      <c r="G366" s="1286">
        <f t="shared" si="34"/>
        <v>42503.85</v>
      </c>
      <c r="H366" s="2314">
        <v>24395.653899281082</v>
      </c>
      <c r="I366" s="2315">
        <v>42423.827443568982</v>
      </c>
      <c r="J366" s="2268">
        <f t="shared" si="59"/>
        <v>33409.740671425032</v>
      </c>
      <c r="K366" s="2260">
        <f>I366</f>
        <v>42423.827443568982</v>
      </c>
      <c r="L366" s="2256">
        <f>K366*1.04</f>
        <v>44120.780541311746</v>
      </c>
      <c r="M366" s="2267">
        <f>K366/2+L366/2</f>
        <v>43272.303992440364</v>
      </c>
      <c r="N366" s="2255">
        <f>L366</f>
        <v>44120.780541311746</v>
      </c>
      <c r="O366" s="2256">
        <f>N366*1.04</f>
        <v>45885.611762964218</v>
      </c>
      <c r="P366" s="2268">
        <f>N366/2+O366/2</f>
        <v>45003.196152137985</v>
      </c>
      <c r="Q366" s="2255">
        <f>O366</f>
        <v>45885.611762964218</v>
      </c>
      <c r="R366" s="2260">
        <f>Q366*1.04</f>
        <v>47721.036233482788</v>
      </c>
      <c r="S366" s="2267">
        <f>Q366/2+R366/2</f>
        <v>46803.323998223503</v>
      </c>
      <c r="T366" s="2255">
        <f>R366</f>
        <v>47721.036233482788</v>
      </c>
      <c r="U366" s="2256">
        <f>T366*1.04</f>
        <v>49629.877682822102</v>
      </c>
      <c r="V366" s="2268">
        <f t="shared" si="58"/>
        <v>48675.456958152441</v>
      </c>
      <c r="W366" s="2094"/>
      <c r="X366" s="2094"/>
      <c r="Y366" s="2092"/>
      <c r="Z366" s="1376"/>
    </row>
    <row r="367" spans="1:26" s="1263" customFormat="1" ht="18" outlineLevel="1" thickBot="1">
      <c r="A367" s="1267">
        <v>117</v>
      </c>
      <c r="B367" s="1316" t="s">
        <v>120</v>
      </c>
      <c r="C367" s="1317" t="s">
        <v>1862</v>
      </c>
      <c r="D367" s="1462" t="s">
        <v>1317</v>
      </c>
      <c r="E367" s="1318">
        <f>E368+E375+E388+E389+E390+E391+E387</f>
        <v>75649.370000000024</v>
      </c>
      <c r="F367" s="1319">
        <f>F368+F375+F388+F389+F390+F391+F387</f>
        <v>75649.370000000024</v>
      </c>
      <c r="G367" s="1307">
        <f t="shared" si="34"/>
        <v>75649.370000000024</v>
      </c>
      <c r="H367" s="1318">
        <f>H368+H375+H388+H389+H390+H391+H387</f>
        <v>73120.143356060624</v>
      </c>
      <c r="I367" s="1319">
        <f>I368+I375+I388+I389+I390+I391+I387</f>
        <v>80823.696638927271</v>
      </c>
      <c r="J367" s="1307">
        <f>H367/2+I367/2</f>
        <v>76971.91999749394</v>
      </c>
      <c r="K367" s="1318">
        <f>K368+K375+K388+K389+K390+K391+K387</f>
        <v>80823.696638927271</v>
      </c>
      <c r="L367" s="1319">
        <f>L368+L375+L388+L389+L390+L391+L387</f>
        <v>84056.644504484357</v>
      </c>
      <c r="M367" s="2860">
        <f>K367/2+L367/2</f>
        <v>82440.170571705821</v>
      </c>
      <c r="N367" s="1318">
        <f>N368+N375+N388+N389+N390+N391+N387</f>
        <v>84056.644504484357</v>
      </c>
      <c r="O367" s="1319">
        <f>O368+O375+O388+O389+O390+O391+O387</f>
        <v>87418.910284663769</v>
      </c>
      <c r="P367" s="1307">
        <f>N367/2+O367/2</f>
        <v>85737.777394574063</v>
      </c>
      <c r="Q367" s="1318">
        <f>Q368+Q375+Q388+Q389+Q390+Q391+Q387</f>
        <v>87418.910284663769</v>
      </c>
      <c r="R367" s="2871">
        <f>R368+R375+R388+R389+R390+R391+R387</f>
        <v>90915.666696050277</v>
      </c>
      <c r="S367" s="2860">
        <f>Q367/2+R367/2</f>
        <v>89167.288490357023</v>
      </c>
      <c r="T367" s="1318">
        <f>T368+T375+T388+T389+T390+T391+T387</f>
        <v>90915.666696050277</v>
      </c>
      <c r="U367" s="1319">
        <f>U368+U375+U388+U389+U390+U391+U387</f>
        <v>94552.293363892299</v>
      </c>
      <c r="V367" s="1307">
        <f>T367/2+U367/2</f>
        <v>92733.980029971281</v>
      </c>
      <c r="W367" s="2093"/>
      <c r="X367" s="2093"/>
      <c r="Y367" s="2092"/>
      <c r="Z367" s="1376"/>
    </row>
    <row r="368" spans="1:26" s="1263" customFormat="1" ht="34.5" outlineLevel="1">
      <c r="A368" s="1267">
        <v>118</v>
      </c>
      <c r="B368" s="1272" t="s">
        <v>1863</v>
      </c>
      <c r="C368" s="1273" t="s">
        <v>1864</v>
      </c>
      <c r="D368" s="1453" t="s">
        <v>1317</v>
      </c>
      <c r="E368" s="1274">
        <f>E369+E370+E371+E372+E373+E374</f>
        <v>6997.5</v>
      </c>
      <c r="F368" s="1275">
        <f>F369+F370+F371+F372+F373+F374</f>
        <v>6997.5</v>
      </c>
      <c r="G368" s="1276">
        <f t="shared" si="34"/>
        <v>6997.5</v>
      </c>
      <c r="H368" s="2246">
        <v>5762.2445681407225</v>
      </c>
      <c r="I368" s="2247">
        <v>7104.3313481488076</v>
      </c>
      <c r="J368" s="2250">
        <f t="shared" ref="J368:J393" si="60">H368/2+I368/2</f>
        <v>6433.2879581447651</v>
      </c>
      <c r="K368" s="2251">
        <f>K369+K370+K371+K372+K373+K374</f>
        <v>7104.3313481488076</v>
      </c>
      <c r="L368" s="2247">
        <f>L369+L370+L371+L372+L373+L374</f>
        <v>7388.5046020747614</v>
      </c>
      <c r="M368" s="2249">
        <f t="shared" ref="M368:M389" si="61">K368/2+L368/2</f>
        <v>7246.4179751117845</v>
      </c>
      <c r="N368" s="2246">
        <f>N369+N370+N371+N372+N373+N374</f>
        <v>7388.5046020747614</v>
      </c>
      <c r="O368" s="2247">
        <f>O369+O370+O371+O372+O373+O374</f>
        <v>7684.0447861577522</v>
      </c>
      <c r="P368" s="2250">
        <f t="shared" ref="P368:P389" si="62">N368/2+O368/2</f>
        <v>7536.2746941162568</v>
      </c>
      <c r="Q368" s="2246">
        <f>Q369+Q370+Q371+Q372+Q373+Q374</f>
        <v>7684.0447861577522</v>
      </c>
      <c r="R368" s="2251">
        <f>R369+R370+R371+R372+R373+R374</f>
        <v>7991.4065776040616</v>
      </c>
      <c r="S368" s="2249">
        <f t="shared" ref="S368:S389" si="63">Q368/2+R368/2</f>
        <v>7837.7256818809074</v>
      </c>
      <c r="T368" s="2246">
        <f>T369+T370+T371+T372+T373+T374</f>
        <v>7991.4065776040616</v>
      </c>
      <c r="U368" s="2247">
        <f>U369+U370+U371+U372+U373+U374</f>
        <v>8311.0628407082258</v>
      </c>
      <c r="V368" s="2250">
        <f t="shared" ref="V368:V393" si="64">T368/2+U368/2</f>
        <v>8151.2347091561442</v>
      </c>
      <c r="W368" s="2093"/>
      <c r="X368" s="2093"/>
      <c r="Y368" s="2092"/>
      <c r="Z368" s="1376"/>
    </row>
    <row r="369" spans="1:26" s="1263" customFormat="1" outlineLevel="1">
      <c r="A369" s="1267">
        <v>119</v>
      </c>
      <c r="B369" s="1294" t="s">
        <v>1865</v>
      </c>
      <c r="C369" s="1295" t="s">
        <v>1866</v>
      </c>
      <c r="D369" s="1457" t="s">
        <v>1317</v>
      </c>
      <c r="E369" s="1296" t="s">
        <v>1867</v>
      </c>
      <c r="F369" s="1297" t="s">
        <v>1867</v>
      </c>
      <c r="G369" s="1281">
        <f t="shared" si="34"/>
        <v>2576.06</v>
      </c>
      <c r="H369" s="2284">
        <v>2942.7929866870568</v>
      </c>
      <c r="I369" s="2285">
        <v>3164.0474260965721</v>
      </c>
      <c r="J369" s="2259">
        <f t="shared" si="60"/>
        <v>3053.4202063918146</v>
      </c>
      <c r="K369" s="2286">
        <f>I369</f>
        <v>3164.0474260965721</v>
      </c>
      <c r="L369" s="2285">
        <f>K369*1.04</f>
        <v>3290.6093231404352</v>
      </c>
      <c r="M369" s="2258">
        <f t="shared" si="61"/>
        <v>3227.3283746185034</v>
      </c>
      <c r="N369" s="2284">
        <f>L369</f>
        <v>3290.6093231404352</v>
      </c>
      <c r="O369" s="2285">
        <f>N369*1.04</f>
        <v>3422.2336960660527</v>
      </c>
      <c r="P369" s="2259">
        <f t="shared" si="62"/>
        <v>3356.421509603244</v>
      </c>
      <c r="Q369" s="2284">
        <f>O369</f>
        <v>3422.2336960660527</v>
      </c>
      <c r="R369" s="2286">
        <f>Q369*1.04</f>
        <v>3559.1230439086949</v>
      </c>
      <c r="S369" s="2258">
        <f t="shared" si="63"/>
        <v>3490.678369987374</v>
      </c>
      <c r="T369" s="2284">
        <f>R369</f>
        <v>3559.1230439086949</v>
      </c>
      <c r="U369" s="2285">
        <f>T369*1.04</f>
        <v>3701.4879656650428</v>
      </c>
      <c r="V369" s="2259">
        <f t="shared" si="64"/>
        <v>3630.3055047868688</v>
      </c>
      <c r="W369" s="2094"/>
      <c r="X369" s="2094"/>
      <c r="Y369" s="2092"/>
      <c r="Z369" s="1376"/>
    </row>
    <row r="370" spans="1:26" s="1263" customFormat="1" hidden="1" outlineLevel="2">
      <c r="A370" s="1267">
        <v>120</v>
      </c>
      <c r="B370" s="1294" t="s">
        <v>1868</v>
      </c>
      <c r="C370" s="1295" t="s">
        <v>1869</v>
      </c>
      <c r="D370" s="1457" t="s">
        <v>1317</v>
      </c>
      <c r="E370" s="1296"/>
      <c r="F370" s="1297"/>
      <c r="G370" s="1281">
        <f t="shared" si="34"/>
        <v>0</v>
      </c>
      <c r="H370" s="2284">
        <v>0</v>
      </c>
      <c r="I370" s="2285">
        <v>0</v>
      </c>
      <c r="J370" s="2259">
        <f t="shared" si="60"/>
        <v>0</v>
      </c>
      <c r="K370" s="2286"/>
      <c r="L370" s="2285"/>
      <c r="M370" s="2258">
        <f t="shared" si="61"/>
        <v>0</v>
      </c>
      <c r="N370" s="2284"/>
      <c r="O370" s="2285"/>
      <c r="P370" s="2259">
        <f t="shared" si="62"/>
        <v>0</v>
      </c>
      <c r="Q370" s="2284"/>
      <c r="R370" s="2286"/>
      <c r="S370" s="2258">
        <f t="shared" si="63"/>
        <v>0</v>
      </c>
      <c r="T370" s="2284"/>
      <c r="U370" s="2285"/>
      <c r="V370" s="2259">
        <f t="shared" si="64"/>
        <v>0</v>
      </c>
      <c r="W370" s="2094"/>
      <c r="X370" s="2094"/>
      <c r="Y370" s="2092"/>
      <c r="Z370" s="1376"/>
    </row>
    <row r="371" spans="1:26" s="1263" customFormat="1" outlineLevel="1" collapsed="1">
      <c r="A371" s="1267">
        <v>121</v>
      </c>
      <c r="B371" s="1294" t="s">
        <v>1870</v>
      </c>
      <c r="C371" s="1295" t="s">
        <v>1871</v>
      </c>
      <c r="D371" s="1457" t="s">
        <v>1317</v>
      </c>
      <c r="E371" s="1296" t="s">
        <v>1872</v>
      </c>
      <c r="F371" s="1297" t="s">
        <v>1872</v>
      </c>
      <c r="G371" s="1281">
        <f t="shared" si="34"/>
        <v>53.86</v>
      </c>
      <c r="H371" s="2284">
        <v>22.961344512896726</v>
      </c>
      <c r="I371" s="2285">
        <v>24.614561317825292</v>
      </c>
      <c r="J371" s="2259">
        <f t="shared" si="60"/>
        <v>23.787952915361011</v>
      </c>
      <c r="K371" s="2286">
        <f>I371</f>
        <v>24.614561317825292</v>
      </c>
      <c r="L371" s="2285">
        <f>K371*1.04</f>
        <v>25.599143770538305</v>
      </c>
      <c r="M371" s="2258">
        <f t="shared" si="61"/>
        <v>25.106852544181798</v>
      </c>
      <c r="N371" s="2284">
        <f>L371</f>
        <v>25.599143770538305</v>
      </c>
      <c r="O371" s="2285">
        <f>N371*1.04</f>
        <v>26.623109521359837</v>
      </c>
      <c r="P371" s="2259">
        <f t="shared" si="62"/>
        <v>26.111126645949071</v>
      </c>
      <c r="Q371" s="2284">
        <f>O371</f>
        <v>26.623109521359837</v>
      </c>
      <c r="R371" s="2286">
        <f>Q371*1.04</f>
        <v>27.688033902214229</v>
      </c>
      <c r="S371" s="2258">
        <f t="shared" si="63"/>
        <v>27.155571711787033</v>
      </c>
      <c r="T371" s="2284">
        <f>R371</f>
        <v>27.688033902214229</v>
      </c>
      <c r="U371" s="2285">
        <f>T371*1.04</f>
        <v>28.795555258302798</v>
      </c>
      <c r="V371" s="2259">
        <f t="shared" si="64"/>
        <v>28.241794580258514</v>
      </c>
      <c r="W371" s="2094"/>
      <c r="X371" s="2094"/>
      <c r="Y371" s="2092"/>
      <c r="Z371" s="1376"/>
    </row>
    <row r="372" spans="1:26" s="1263" customFormat="1" outlineLevel="1">
      <c r="A372" s="1267">
        <v>122</v>
      </c>
      <c r="B372" s="1294" t="s">
        <v>1873</v>
      </c>
      <c r="C372" s="1295" t="s">
        <v>1874</v>
      </c>
      <c r="D372" s="1457" t="s">
        <v>1317</v>
      </c>
      <c r="E372" s="1296" t="s">
        <v>1875</v>
      </c>
      <c r="F372" s="1297" t="s">
        <v>1875</v>
      </c>
      <c r="G372" s="1281">
        <f t="shared" si="34"/>
        <v>29.48</v>
      </c>
      <c r="H372" s="2284">
        <v>25.257478964186394</v>
      </c>
      <c r="I372" s="2285">
        <v>27.076017449607814</v>
      </c>
      <c r="J372" s="2259">
        <f t="shared" si="60"/>
        <v>26.166748206897104</v>
      </c>
      <c r="K372" s="2286">
        <f>I372</f>
        <v>27.076017449607814</v>
      </c>
      <c r="L372" s="2285">
        <f>K372*1.04</f>
        <v>28.159058147592127</v>
      </c>
      <c r="M372" s="2258">
        <f t="shared" si="61"/>
        <v>27.617537798599969</v>
      </c>
      <c r="N372" s="2284">
        <f>L372</f>
        <v>28.159058147592127</v>
      </c>
      <c r="O372" s="2285">
        <f>N372*1.04</f>
        <v>29.285420473495812</v>
      </c>
      <c r="P372" s="2259">
        <f t="shared" si="62"/>
        <v>28.722239310543969</v>
      </c>
      <c r="Q372" s="2284">
        <f>O372</f>
        <v>29.285420473495812</v>
      </c>
      <c r="R372" s="2286">
        <f>Q372*1.04</f>
        <v>30.456837292435644</v>
      </c>
      <c r="S372" s="2258">
        <f t="shared" si="63"/>
        <v>29.871128882965728</v>
      </c>
      <c r="T372" s="2284">
        <f>R372</f>
        <v>30.456837292435644</v>
      </c>
      <c r="U372" s="2285">
        <f>T372*1.04</f>
        <v>31.675110784133071</v>
      </c>
      <c r="V372" s="2259">
        <f t="shared" si="64"/>
        <v>31.065974038284359</v>
      </c>
      <c r="W372" s="2094"/>
      <c r="X372" s="2094"/>
      <c r="Y372" s="2092"/>
      <c r="Z372" s="1376"/>
    </row>
    <row r="373" spans="1:26" s="1263" customFormat="1" outlineLevel="1">
      <c r="A373" s="1267">
        <v>123</v>
      </c>
      <c r="B373" s="1294" t="s">
        <v>1876</v>
      </c>
      <c r="C373" s="1295" t="s">
        <v>1877</v>
      </c>
      <c r="D373" s="1457" t="s">
        <v>1317</v>
      </c>
      <c r="E373" s="1296" t="s">
        <v>1878</v>
      </c>
      <c r="F373" s="1297" t="s">
        <v>1878</v>
      </c>
      <c r="G373" s="1281">
        <f t="shared" si="34"/>
        <v>3979.44</v>
      </c>
      <c r="H373" s="2284">
        <v>2771.2327579765824</v>
      </c>
      <c r="I373" s="2285">
        <v>3888.5933432848028</v>
      </c>
      <c r="J373" s="2259">
        <f t="shared" si="60"/>
        <v>3329.9130506306929</v>
      </c>
      <c r="K373" s="2286">
        <f>I373</f>
        <v>3888.5933432848028</v>
      </c>
      <c r="L373" s="2285">
        <f>K373*1.04</f>
        <v>4044.1370770161952</v>
      </c>
      <c r="M373" s="2258">
        <f t="shared" si="61"/>
        <v>3966.365210150499</v>
      </c>
      <c r="N373" s="2284">
        <f>L373</f>
        <v>4044.1370770161952</v>
      </c>
      <c r="O373" s="2285">
        <f>N373*1.04</f>
        <v>4205.9025600968434</v>
      </c>
      <c r="P373" s="2259">
        <f t="shared" si="62"/>
        <v>4125.0198185565196</v>
      </c>
      <c r="Q373" s="2284">
        <f>O373</f>
        <v>4205.9025600968434</v>
      </c>
      <c r="R373" s="2286">
        <f>Q373*1.04</f>
        <v>4374.1386625007171</v>
      </c>
      <c r="S373" s="2258">
        <f t="shared" si="63"/>
        <v>4290.0206112987798</v>
      </c>
      <c r="T373" s="2284">
        <f>R373</f>
        <v>4374.1386625007171</v>
      </c>
      <c r="U373" s="2285">
        <f>T373*1.04</f>
        <v>4549.1042090007459</v>
      </c>
      <c r="V373" s="2259">
        <f t="shared" si="64"/>
        <v>4461.6214357507315</v>
      </c>
      <c r="W373" s="2094"/>
      <c r="X373" s="2094"/>
      <c r="Y373" s="2092"/>
      <c r="Z373" s="1376"/>
    </row>
    <row r="374" spans="1:26" s="1263" customFormat="1" hidden="1" outlineLevel="1">
      <c r="A374" s="1267">
        <v>124</v>
      </c>
      <c r="B374" s="1294" t="s">
        <v>1879</v>
      </c>
      <c r="C374" s="1295" t="s">
        <v>1880</v>
      </c>
      <c r="D374" s="1457" t="s">
        <v>1317</v>
      </c>
      <c r="E374" s="1296" t="s">
        <v>1881</v>
      </c>
      <c r="F374" s="1297" t="s">
        <v>1881</v>
      </c>
      <c r="G374" s="1281">
        <f t="shared" si="34"/>
        <v>358.66</v>
      </c>
      <c r="H374" s="2284"/>
      <c r="I374" s="2285"/>
      <c r="J374" s="2259">
        <f t="shared" si="60"/>
        <v>0</v>
      </c>
      <c r="K374" s="2286"/>
      <c r="L374" s="2285"/>
      <c r="M374" s="2258">
        <f t="shared" si="61"/>
        <v>0</v>
      </c>
      <c r="N374" s="2284"/>
      <c r="O374" s="2285"/>
      <c r="P374" s="2259">
        <f t="shared" si="62"/>
        <v>0</v>
      </c>
      <c r="Q374" s="2284"/>
      <c r="R374" s="2286"/>
      <c r="S374" s="2258">
        <f t="shared" si="63"/>
        <v>0</v>
      </c>
      <c r="T374" s="2284"/>
      <c r="U374" s="2285"/>
      <c r="V374" s="2259">
        <f t="shared" si="64"/>
        <v>0</v>
      </c>
      <c r="W374" s="2094"/>
      <c r="X374" s="2094"/>
      <c r="Y374" s="2092"/>
      <c r="Z374" s="1376"/>
    </row>
    <row r="375" spans="1:26" s="1263" customFormat="1" ht="51.75" outlineLevel="1">
      <c r="A375" s="1267">
        <v>125</v>
      </c>
      <c r="B375" s="1292" t="s">
        <v>1882</v>
      </c>
      <c r="C375" s="1278" t="s">
        <v>1883</v>
      </c>
      <c r="D375" s="1454" t="s">
        <v>1317</v>
      </c>
      <c r="E375" s="1279">
        <f>E376+E386</f>
        <v>66309.590000000011</v>
      </c>
      <c r="F375" s="1280">
        <f>F376+F386</f>
        <v>66309.590000000011</v>
      </c>
      <c r="G375" s="1281">
        <f t="shared" si="34"/>
        <v>66309.590000000011</v>
      </c>
      <c r="H375" s="2255">
        <v>65604.587629486094</v>
      </c>
      <c r="I375" s="2256">
        <v>70328.117938809097</v>
      </c>
      <c r="J375" s="2259">
        <f t="shared" si="60"/>
        <v>67966.352784147603</v>
      </c>
      <c r="K375" s="2260">
        <f>I375</f>
        <v>70328.117938809097</v>
      </c>
      <c r="L375" s="2256">
        <f>K375*1.04</f>
        <v>73141.242656361457</v>
      </c>
      <c r="M375" s="2258">
        <f t="shared" si="61"/>
        <v>71734.680297585277</v>
      </c>
      <c r="N375" s="2255">
        <f>L375</f>
        <v>73141.242656361457</v>
      </c>
      <c r="O375" s="2256">
        <f>N375*1.04</f>
        <v>76066.892362615923</v>
      </c>
      <c r="P375" s="2259">
        <f t="shared" si="62"/>
        <v>74604.067509488697</v>
      </c>
      <c r="Q375" s="2255">
        <f>O375</f>
        <v>76066.892362615923</v>
      </c>
      <c r="R375" s="2260">
        <f>Q375*1.04</f>
        <v>79109.568057120559</v>
      </c>
      <c r="S375" s="2258">
        <f t="shared" si="63"/>
        <v>77588.230209868241</v>
      </c>
      <c r="T375" s="2255">
        <f>R375</f>
        <v>79109.568057120559</v>
      </c>
      <c r="U375" s="2256">
        <f>T375*1.04</f>
        <v>82273.950779405379</v>
      </c>
      <c r="V375" s="2259">
        <f t="shared" si="64"/>
        <v>80691.759418262969</v>
      </c>
      <c r="W375" s="2093"/>
      <c r="X375" s="2093"/>
      <c r="Y375" s="2092"/>
      <c r="Z375" s="1376"/>
    </row>
    <row r="376" spans="1:26" s="1263" customFormat="1" ht="34.5" outlineLevel="1">
      <c r="A376" s="1267">
        <v>126</v>
      </c>
      <c r="B376" s="1292" t="s">
        <v>1884</v>
      </c>
      <c r="C376" s="1293" t="s">
        <v>1885</v>
      </c>
      <c r="D376" s="1454" t="s">
        <v>1317</v>
      </c>
      <c r="E376" s="1279">
        <f>E377*E385*12/1000</f>
        <v>51402.780000000013</v>
      </c>
      <c r="F376" s="1280">
        <f>F377*F385*12/1000</f>
        <v>51402.780000000013</v>
      </c>
      <c r="G376" s="1281">
        <f t="shared" si="34"/>
        <v>51402.780000000013</v>
      </c>
      <c r="H376" s="2255">
        <v>50629.759598929806</v>
      </c>
      <c r="I376" s="2256">
        <v>54275.102290052753</v>
      </c>
      <c r="J376" s="2259">
        <f t="shared" si="60"/>
        <v>52452.43094449128</v>
      </c>
      <c r="K376" s="2260">
        <f>I376</f>
        <v>54275.102290052753</v>
      </c>
      <c r="L376" s="2256">
        <f>K376*1.04</f>
        <v>56446.106381654863</v>
      </c>
      <c r="M376" s="2258">
        <f t="shared" si="61"/>
        <v>55360.604335853808</v>
      </c>
      <c r="N376" s="2255">
        <f>L376</f>
        <v>56446.106381654863</v>
      </c>
      <c r="O376" s="2256">
        <f>N376*1.04</f>
        <v>58703.950636921058</v>
      </c>
      <c r="P376" s="2259">
        <f t="shared" si="62"/>
        <v>57575.028509287964</v>
      </c>
      <c r="Q376" s="2255">
        <f>O376</f>
        <v>58703.950636921058</v>
      </c>
      <c r="R376" s="2260">
        <f>Q376*1.04</f>
        <v>61052.108662397899</v>
      </c>
      <c r="S376" s="2258">
        <f t="shared" si="63"/>
        <v>59878.029649659482</v>
      </c>
      <c r="T376" s="2255">
        <f>R376</f>
        <v>61052.108662397899</v>
      </c>
      <c r="U376" s="2256">
        <f>T376*1.04</f>
        <v>63494.193008893817</v>
      </c>
      <c r="V376" s="2259">
        <f t="shared" si="64"/>
        <v>62273.150835645858</v>
      </c>
      <c r="W376" s="2093"/>
      <c r="X376" s="2093"/>
      <c r="Y376" s="2092"/>
      <c r="Z376" s="1376"/>
    </row>
    <row r="377" spans="1:26" s="1263" customFormat="1" ht="34.5" outlineLevel="1">
      <c r="A377" s="1267">
        <v>617</v>
      </c>
      <c r="B377" s="1292" t="s">
        <v>1886</v>
      </c>
      <c r="C377" s="1293" t="s">
        <v>1887</v>
      </c>
      <c r="D377" s="1454" t="s">
        <v>1888</v>
      </c>
      <c r="E377" s="1279">
        <f>E378+E379+E380+E383+E384</f>
        <v>34268.520000000004</v>
      </c>
      <c r="F377" s="1280">
        <f>F378+F379+F380+F383+F384</f>
        <v>34268.520000000004</v>
      </c>
      <c r="G377" s="1281">
        <f t="shared" si="34"/>
        <v>34268.520000000004</v>
      </c>
      <c r="H377" s="2255">
        <v>48840.615969386658</v>
      </c>
      <c r="I377" s="2256">
        <v>52357.140319182501</v>
      </c>
      <c r="J377" s="2259">
        <f t="shared" si="60"/>
        <v>50598.878144284579</v>
      </c>
      <c r="K377" s="2260">
        <f>K378+K379+K380+K383+K384</f>
        <v>95253.561050431061</v>
      </c>
      <c r="L377" s="2256">
        <f>L378+L379+L380+L383+L384</f>
        <v>99063.703492448301</v>
      </c>
      <c r="M377" s="2258">
        <f t="shared" si="61"/>
        <v>97158.632271439681</v>
      </c>
      <c r="N377" s="2255">
        <f>N378+N379+N380+N383+N384</f>
        <v>99063.703492448301</v>
      </c>
      <c r="O377" s="2256">
        <f>O378+O379+O380+O383+O384</f>
        <v>103026.25163214625</v>
      </c>
      <c r="P377" s="2259">
        <f t="shared" si="62"/>
        <v>101044.97756229728</v>
      </c>
      <c r="Q377" s="2255">
        <f>Q378+Q379+Q380+Q383+Q384</f>
        <v>103026.25163214625</v>
      </c>
      <c r="R377" s="2260">
        <f>R378+R379+R380+R383+R384</f>
        <v>107147.30169743209</v>
      </c>
      <c r="S377" s="2258">
        <f t="shared" si="63"/>
        <v>105086.77666478917</v>
      </c>
      <c r="T377" s="2255">
        <f>T378+T379+T380+T383+T384</f>
        <v>107147.30169743209</v>
      </c>
      <c r="U377" s="2256">
        <f>U378+U379+U380+U383+U384</f>
        <v>111433.19376532937</v>
      </c>
      <c r="V377" s="2259">
        <f t="shared" si="64"/>
        <v>109290.24773138073</v>
      </c>
      <c r="W377" s="2093"/>
      <c r="X377" s="2093"/>
      <c r="Y377" s="2092"/>
      <c r="Z377" s="1376"/>
    </row>
    <row r="378" spans="1:26" s="1263" customFormat="1" ht="34.5" outlineLevel="1">
      <c r="A378" s="1267">
        <v>288</v>
      </c>
      <c r="B378" s="1294" t="s">
        <v>1889</v>
      </c>
      <c r="C378" s="1295" t="s">
        <v>1890</v>
      </c>
      <c r="D378" s="1457" t="s">
        <v>1793</v>
      </c>
      <c r="E378" s="1296"/>
      <c r="F378" s="1297"/>
      <c r="G378" s="1281">
        <f t="shared" si="34"/>
        <v>0</v>
      </c>
      <c r="H378" s="2284">
        <v>16781.556301185399</v>
      </c>
      <c r="I378" s="2285">
        <v>17989.828354870748</v>
      </c>
      <c r="J378" s="2259">
        <f t="shared" si="60"/>
        <v>17385.692328028075</v>
      </c>
      <c r="K378" s="2286">
        <f>F378</f>
        <v>0</v>
      </c>
      <c r="L378" s="2285">
        <f>K378*1.04</f>
        <v>0</v>
      </c>
      <c r="M378" s="2258">
        <f>K378/2+L378/2</f>
        <v>0</v>
      </c>
      <c r="N378" s="2284">
        <f>L378</f>
        <v>0</v>
      </c>
      <c r="O378" s="2285">
        <f>N378*1.04</f>
        <v>0</v>
      </c>
      <c r="P378" s="2259">
        <f>N378/2+O378/2</f>
        <v>0</v>
      </c>
      <c r="Q378" s="2284">
        <f>O378</f>
        <v>0</v>
      </c>
      <c r="R378" s="2286">
        <f>Q378*1.04</f>
        <v>0</v>
      </c>
      <c r="S378" s="2258">
        <f>Q378/2+R378/2</f>
        <v>0</v>
      </c>
      <c r="T378" s="2284">
        <f>R378</f>
        <v>0</v>
      </c>
      <c r="U378" s="2285">
        <f>T378*1.04</f>
        <v>0</v>
      </c>
      <c r="V378" s="2259">
        <f t="shared" si="64"/>
        <v>0</v>
      </c>
      <c r="W378" s="2094"/>
      <c r="X378" s="2094"/>
      <c r="Y378" s="2092"/>
      <c r="Z378" s="1376"/>
    </row>
    <row r="379" spans="1:26" s="1263" customFormat="1" hidden="1" outlineLevel="2">
      <c r="A379" s="1267">
        <v>297</v>
      </c>
      <c r="B379" s="1294" t="s">
        <v>1891</v>
      </c>
      <c r="C379" s="1295" t="s">
        <v>1846</v>
      </c>
      <c r="D379" s="1457" t="s">
        <v>1784</v>
      </c>
      <c r="E379" s="1296"/>
      <c r="F379" s="1297"/>
      <c r="G379" s="1281">
        <f t="shared" si="34"/>
        <v>0</v>
      </c>
      <c r="H379" s="2284"/>
      <c r="I379" s="2285"/>
      <c r="J379" s="2259">
        <f t="shared" si="60"/>
        <v>0</v>
      </c>
      <c r="K379" s="2286"/>
      <c r="L379" s="2285"/>
      <c r="M379" s="2258">
        <f t="shared" si="61"/>
        <v>0</v>
      </c>
      <c r="N379" s="2284"/>
      <c r="O379" s="2285"/>
      <c r="P379" s="2259">
        <f t="shared" si="62"/>
        <v>0</v>
      </c>
      <c r="Q379" s="2284"/>
      <c r="R379" s="2286"/>
      <c r="S379" s="2258">
        <f t="shared" si="63"/>
        <v>0</v>
      </c>
      <c r="T379" s="2284"/>
      <c r="U379" s="2285"/>
      <c r="V379" s="2259">
        <f t="shared" si="64"/>
        <v>0</v>
      </c>
      <c r="W379" s="2094"/>
      <c r="X379" s="2094"/>
      <c r="Y379" s="2092"/>
      <c r="Z379" s="1376"/>
    </row>
    <row r="380" spans="1:26" s="1263" customFormat="1" outlineLevel="1" collapsed="1">
      <c r="A380" s="1267">
        <v>615</v>
      </c>
      <c r="B380" s="1292" t="s">
        <v>1892</v>
      </c>
      <c r="C380" s="1293" t="s">
        <v>1786</v>
      </c>
      <c r="D380" s="1454" t="s">
        <v>1893</v>
      </c>
      <c r="E380" s="1279">
        <f>E381*E382</f>
        <v>34268.520000000004</v>
      </c>
      <c r="F380" s="1280">
        <f>F381*F382</f>
        <v>34268.520000000004</v>
      </c>
      <c r="G380" s="1281">
        <f t="shared" si="34"/>
        <v>34268.520000000004</v>
      </c>
      <c r="H380" s="2255">
        <v>17796.257301724145</v>
      </c>
      <c r="I380" s="2256">
        <v>19077.587827448282</v>
      </c>
      <c r="J380" s="2259">
        <f t="shared" si="60"/>
        <v>18436.922564586213</v>
      </c>
      <c r="K380" s="2260">
        <f>K381*K382</f>
        <v>95253.561050431061</v>
      </c>
      <c r="L380" s="2256">
        <f>L381*L382</f>
        <v>99063.703492448301</v>
      </c>
      <c r="M380" s="2258">
        <f t="shared" si="61"/>
        <v>97158.632271439681</v>
      </c>
      <c r="N380" s="2255">
        <f>N381*N382</f>
        <v>99063.703492448301</v>
      </c>
      <c r="O380" s="2256">
        <f>O381*O382</f>
        <v>103026.25163214625</v>
      </c>
      <c r="P380" s="2259">
        <f t="shared" si="62"/>
        <v>101044.97756229728</v>
      </c>
      <c r="Q380" s="2255">
        <f>Q381*Q382</f>
        <v>103026.25163214625</v>
      </c>
      <c r="R380" s="2260">
        <f>R381*R382</f>
        <v>107147.30169743209</v>
      </c>
      <c r="S380" s="2258">
        <f t="shared" si="63"/>
        <v>105086.77666478917</v>
      </c>
      <c r="T380" s="2255">
        <f>T381*T382</f>
        <v>107147.30169743209</v>
      </c>
      <c r="U380" s="2256">
        <f>U381*U382</f>
        <v>111433.19376532937</v>
      </c>
      <c r="V380" s="2259">
        <f t="shared" si="64"/>
        <v>109290.24773138073</v>
      </c>
      <c r="W380" s="2093"/>
      <c r="X380" s="2093"/>
      <c r="Y380" s="2092"/>
      <c r="Z380" s="1376"/>
    </row>
    <row r="381" spans="1:26" s="1263" customFormat="1" outlineLevel="1">
      <c r="A381" s="1267">
        <v>131</v>
      </c>
      <c r="B381" s="1294" t="s">
        <v>1894</v>
      </c>
      <c r="C381" s="1295" t="s">
        <v>1788</v>
      </c>
      <c r="D381" s="1457" t="s">
        <v>1784</v>
      </c>
      <c r="E381" s="1296">
        <f>51402.78/E385/12*1000</f>
        <v>34268.520000000004</v>
      </c>
      <c r="F381" s="1297">
        <f>E381</f>
        <v>34268.520000000004</v>
      </c>
      <c r="G381" s="1281">
        <f t="shared" si="34"/>
        <v>34268.520000000004</v>
      </c>
      <c r="H381" s="2284">
        <v>6402.4000000000005</v>
      </c>
      <c r="I381" s="2285">
        <v>6863.372800000001</v>
      </c>
      <c r="J381" s="2259">
        <f t="shared" si="60"/>
        <v>6632.8864000000012</v>
      </c>
      <c r="K381" s="2286">
        <f>F381</f>
        <v>34268.520000000004</v>
      </c>
      <c r="L381" s="2285">
        <f>K381*1.04</f>
        <v>35639.260800000004</v>
      </c>
      <c r="M381" s="2258">
        <f>K381/2+L381/2</f>
        <v>34953.890400000004</v>
      </c>
      <c r="N381" s="2284">
        <f>L381</f>
        <v>35639.260800000004</v>
      </c>
      <c r="O381" s="2285">
        <f>N381*1.04</f>
        <v>37064.831232000004</v>
      </c>
      <c r="P381" s="2259">
        <f>N381/2+O381/2</f>
        <v>36352.046016000008</v>
      </c>
      <c r="Q381" s="2284">
        <f>O381</f>
        <v>37064.831232000004</v>
      </c>
      <c r="R381" s="2286">
        <f>Q381*1.04</f>
        <v>38547.424481280003</v>
      </c>
      <c r="S381" s="2258">
        <f>Q381/2+R381/2</f>
        <v>37806.12785664</v>
      </c>
      <c r="T381" s="2284">
        <f>R381</f>
        <v>38547.424481280003</v>
      </c>
      <c r="U381" s="2285">
        <f>T381*1.04</f>
        <v>40089.321460531202</v>
      </c>
      <c r="V381" s="2259">
        <f t="shared" si="64"/>
        <v>39318.372970905606</v>
      </c>
      <c r="W381" s="2094"/>
      <c r="X381" s="2094"/>
      <c r="Y381" s="2092"/>
      <c r="Z381" s="1376"/>
    </row>
    <row r="382" spans="1:26" s="1263" customFormat="1" outlineLevel="1">
      <c r="A382" s="1267">
        <v>134</v>
      </c>
      <c r="B382" s="1294" t="s">
        <v>1895</v>
      </c>
      <c r="C382" s="1295" t="s">
        <v>1790</v>
      </c>
      <c r="D382" s="1457"/>
      <c r="E382" s="1296">
        <v>1</v>
      </c>
      <c r="F382" s="1297">
        <f>E382</f>
        <v>1</v>
      </c>
      <c r="G382" s="1281">
        <f t="shared" si="34"/>
        <v>1</v>
      </c>
      <c r="H382" s="2284">
        <v>2.7796228448275868</v>
      </c>
      <c r="I382" s="2285">
        <v>2.7796228448275868</v>
      </c>
      <c r="J382" s="2259">
        <f t="shared" si="60"/>
        <v>2.7796228448275868</v>
      </c>
      <c r="K382" s="2286">
        <f>I382</f>
        <v>2.7796228448275868</v>
      </c>
      <c r="L382" s="2285">
        <f>K382</f>
        <v>2.7796228448275868</v>
      </c>
      <c r="M382" s="2258">
        <f>K382/2+L382/2</f>
        <v>2.7796228448275868</v>
      </c>
      <c r="N382" s="2284">
        <f>L382</f>
        <v>2.7796228448275868</v>
      </c>
      <c r="O382" s="2285">
        <f>N382</f>
        <v>2.7796228448275868</v>
      </c>
      <c r="P382" s="2259">
        <f>N382/2+O382/2</f>
        <v>2.7796228448275868</v>
      </c>
      <c r="Q382" s="2284">
        <f>O382</f>
        <v>2.7796228448275868</v>
      </c>
      <c r="R382" s="2286">
        <f>Q382</f>
        <v>2.7796228448275868</v>
      </c>
      <c r="S382" s="2258">
        <f>Q382/2+R382/2</f>
        <v>2.7796228448275868</v>
      </c>
      <c r="T382" s="2284">
        <f>R382</f>
        <v>2.7796228448275868</v>
      </c>
      <c r="U382" s="2285">
        <f>T382</f>
        <v>2.7796228448275868</v>
      </c>
      <c r="V382" s="2259">
        <f t="shared" si="64"/>
        <v>2.7796228448275868</v>
      </c>
      <c r="W382" s="2094"/>
      <c r="X382" s="2094"/>
      <c r="Y382" s="2092"/>
      <c r="Z382" s="1376"/>
    </row>
    <row r="383" spans="1:26" s="1263" customFormat="1" outlineLevel="1">
      <c r="A383" s="1267">
        <v>618</v>
      </c>
      <c r="B383" s="1294" t="s">
        <v>1896</v>
      </c>
      <c r="C383" s="1295" t="s">
        <v>1795</v>
      </c>
      <c r="D383" s="1457" t="s">
        <v>1784</v>
      </c>
      <c r="E383" s="1296"/>
      <c r="F383" s="1297"/>
      <c r="G383" s="1281">
        <f t="shared" si="34"/>
        <v>0</v>
      </c>
      <c r="H383" s="2284">
        <v>14262.80236647711</v>
      </c>
      <c r="I383" s="2285">
        <v>15289.724136863471</v>
      </c>
      <c r="J383" s="2259">
        <f t="shared" si="60"/>
        <v>14776.263251670291</v>
      </c>
      <c r="K383" s="2286">
        <f>F383</f>
        <v>0</v>
      </c>
      <c r="L383" s="2285">
        <f>K383*1.04</f>
        <v>0</v>
      </c>
      <c r="M383" s="2258">
        <f>K383/2+L383/2</f>
        <v>0</v>
      </c>
      <c r="N383" s="2284">
        <f>L383</f>
        <v>0</v>
      </c>
      <c r="O383" s="2285">
        <f>N383*1.04</f>
        <v>0</v>
      </c>
      <c r="P383" s="2259">
        <f>N383/2+O383/2</f>
        <v>0</v>
      </c>
      <c r="Q383" s="2284">
        <f>O383</f>
        <v>0</v>
      </c>
      <c r="R383" s="2286">
        <f>Q383*1.04</f>
        <v>0</v>
      </c>
      <c r="S383" s="2258">
        <f>Q383/2+R383/2</f>
        <v>0</v>
      </c>
      <c r="T383" s="2284">
        <f>R383</f>
        <v>0</v>
      </c>
      <c r="U383" s="2285">
        <f>T383*1.04</f>
        <v>0</v>
      </c>
      <c r="V383" s="2259">
        <f t="shared" si="64"/>
        <v>0</v>
      </c>
      <c r="W383" s="2094"/>
      <c r="X383" s="2094"/>
      <c r="Y383" s="2092"/>
      <c r="Z383" s="1376"/>
    </row>
    <row r="384" spans="1:26" s="1263" customFormat="1" hidden="1" outlineLevel="2">
      <c r="A384" s="1267">
        <v>619</v>
      </c>
      <c r="B384" s="1294" t="s">
        <v>1897</v>
      </c>
      <c r="C384" s="1295" t="s">
        <v>1898</v>
      </c>
      <c r="D384" s="1457" t="s">
        <v>1784</v>
      </c>
      <c r="E384" s="1296"/>
      <c r="F384" s="1297"/>
      <c r="G384" s="1281">
        <f t="shared" si="34"/>
        <v>0</v>
      </c>
      <c r="H384" s="2284"/>
      <c r="I384" s="2285"/>
      <c r="J384" s="2259">
        <f t="shared" si="60"/>
        <v>0</v>
      </c>
      <c r="K384" s="2286"/>
      <c r="L384" s="2285"/>
      <c r="M384" s="2258">
        <f t="shared" si="61"/>
        <v>0</v>
      </c>
      <c r="N384" s="2284"/>
      <c r="O384" s="2285"/>
      <c r="P384" s="2259">
        <f t="shared" si="62"/>
        <v>0</v>
      </c>
      <c r="Q384" s="2284"/>
      <c r="R384" s="2286"/>
      <c r="S384" s="2258">
        <f t="shared" si="63"/>
        <v>0</v>
      </c>
      <c r="T384" s="2284"/>
      <c r="U384" s="2285"/>
      <c r="V384" s="2259">
        <f t="shared" si="64"/>
        <v>0</v>
      </c>
      <c r="W384" s="2094"/>
      <c r="X384" s="2094"/>
      <c r="Y384" s="2092"/>
      <c r="Z384" s="1376"/>
    </row>
    <row r="385" spans="1:26" s="1263" customFormat="1" outlineLevel="1" collapsed="1">
      <c r="A385" s="1267">
        <v>127</v>
      </c>
      <c r="B385" s="1294" t="s">
        <v>1899</v>
      </c>
      <c r="C385" s="1295" t="s">
        <v>1799</v>
      </c>
      <c r="D385" s="1457" t="s">
        <v>1800</v>
      </c>
      <c r="E385" s="1296" t="s">
        <v>1900</v>
      </c>
      <c r="F385" s="1297" t="s">
        <v>1900</v>
      </c>
      <c r="G385" s="1281">
        <f t="shared" si="34"/>
        <v>125</v>
      </c>
      <c r="H385" s="2284">
        <v>86.386024203476779</v>
      </c>
      <c r="I385" s="2285">
        <v>86.386024203476779</v>
      </c>
      <c r="J385" s="2259">
        <f t="shared" si="60"/>
        <v>86.386024203476779</v>
      </c>
      <c r="K385" s="2286" t="str">
        <f>F385</f>
        <v>125,00</v>
      </c>
      <c r="L385" s="2285" t="str">
        <f>K385</f>
        <v>125,00</v>
      </c>
      <c r="M385" s="2258">
        <f t="shared" si="61"/>
        <v>125</v>
      </c>
      <c r="N385" s="2284" t="str">
        <f t="shared" ref="N385:N390" si="65">L385</f>
        <v>125,00</v>
      </c>
      <c r="O385" s="2285" t="str">
        <f>N385</f>
        <v>125,00</v>
      </c>
      <c r="P385" s="2259">
        <f t="shared" si="62"/>
        <v>125</v>
      </c>
      <c r="Q385" s="2284" t="str">
        <f t="shared" ref="Q385:Q390" si="66">O385</f>
        <v>125,00</v>
      </c>
      <c r="R385" s="2286" t="str">
        <f>Q385</f>
        <v>125,00</v>
      </c>
      <c r="S385" s="2258">
        <f t="shared" si="63"/>
        <v>125</v>
      </c>
      <c r="T385" s="2284" t="str">
        <f t="shared" ref="T385:T390" si="67">R385</f>
        <v>125,00</v>
      </c>
      <c r="U385" s="2285" t="str">
        <f>T385</f>
        <v>125,00</v>
      </c>
      <c r="V385" s="2259">
        <f t="shared" si="64"/>
        <v>125</v>
      </c>
      <c r="W385" s="2094"/>
      <c r="X385" s="2094"/>
      <c r="Y385" s="2092"/>
      <c r="Z385" s="1376"/>
    </row>
    <row r="386" spans="1:26" s="1263" customFormat="1" ht="34.5" outlineLevel="1">
      <c r="A386" s="1267">
        <v>137</v>
      </c>
      <c r="B386" s="1298" t="s">
        <v>1901</v>
      </c>
      <c r="C386" s="1299" t="s">
        <v>1902</v>
      </c>
      <c r="D386" s="1458" t="s">
        <v>1317</v>
      </c>
      <c r="E386" s="1300" t="s">
        <v>1903</v>
      </c>
      <c r="F386" s="1301" t="s">
        <v>1903</v>
      </c>
      <c r="G386" s="1281">
        <f t="shared" si="34"/>
        <v>14906.81</v>
      </c>
      <c r="H386" s="2290">
        <v>14974.828030556293</v>
      </c>
      <c r="I386" s="2291">
        <v>16053.015648756347</v>
      </c>
      <c r="J386" s="2259">
        <f t="shared" si="60"/>
        <v>15513.921839656319</v>
      </c>
      <c r="K386" s="2260">
        <f>I386</f>
        <v>16053.015648756347</v>
      </c>
      <c r="L386" s="2256">
        <f>K386*1.04</f>
        <v>16695.136274706601</v>
      </c>
      <c r="M386" s="2258">
        <f t="shared" si="61"/>
        <v>16374.075961731474</v>
      </c>
      <c r="N386" s="2255">
        <f t="shared" si="65"/>
        <v>16695.136274706601</v>
      </c>
      <c r="O386" s="2256">
        <f>N386*1.04</f>
        <v>17362.941725694865</v>
      </c>
      <c r="P386" s="2259">
        <f t="shared" si="62"/>
        <v>17029.039000200733</v>
      </c>
      <c r="Q386" s="2255">
        <f t="shared" si="66"/>
        <v>17362.941725694865</v>
      </c>
      <c r="R386" s="2260">
        <f>Q386*1.04</f>
        <v>18057.45939472266</v>
      </c>
      <c r="S386" s="2258">
        <f t="shared" si="63"/>
        <v>17710.200560208763</v>
      </c>
      <c r="T386" s="2255">
        <f t="shared" si="67"/>
        <v>18057.45939472266</v>
      </c>
      <c r="U386" s="2256">
        <f>T386*1.04</f>
        <v>18779.757770511569</v>
      </c>
      <c r="V386" s="2259">
        <f t="shared" si="64"/>
        <v>18418.608582617115</v>
      </c>
      <c r="W386" s="2094"/>
      <c r="X386" s="2094"/>
      <c r="Y386" s="2092"/>
      <c r="Z386" s="1376"/>
    </row>
    <row r="387" spans="1:26" s="1263" customFormat="1" ht="51.75" outlineLevel="1">
      <c r="A387" s="1267">
        <v>138</v>
      </c>
      <c r="B387" s="1294" t="s">
        <v>1904</v>
      </c>
      <c r="C387" s="1302" t="s">
        <v>1905</v>
      </c>
      <c r="D387" s="1457" t="s">
        <v>1317</v>
      </c>
      <c r="E387" s="1296" t="s">
        <v>1906</v>
      </c>
      <c r="F387" s="1297" t="s">
        <v>1906</v>
      </c>
      <c r="G387" s="1281">
        <f t="shared" si="34"/>
        <v>716.35</v>
      </c>
      <c r="H387" s="2284">
        <v>39.679654426846469</v>
      </c>
      <c r="I387" s="2285">
        <v>996.53646638369662</v>
      </c>
      <c r="J387" s="2259">
        <f t="shared" si="60"/>
        <v>518.10806040527154</v>
      </c>
      <c r="K387" s="2286">
        <f>I387</f>
        <v>996.53646638369662</v>
      </c>
      <c r="L387" s="2285">
        <f>K387*1.04</f>
        <v>1036.3979250390446</v>
      </c>
      <c r="M387" s="2258">
        <f t="shared" si="61"/>
        <v>1016.4671957113706</v>
      </c>
      <c r="N387" s="2284">
        <f t="shared" si="65"/>
        <v>1036.3979250390446</v>
      </c>
      <c r="O387" s="2285">
        <f>N387*1.04</f>
        <v>1077.8538420406064</v>
      </c>
      <c r="P387" s="2259">
        <f t="shared" si="62"/>
        <v>1057.1258835398255</v>
      </c>
      <c r="Q387" s="2284">
        <f t="shared" si="66"/>
        <v>1077.8538420406064</v>
      </c>
      <c r="R387" s="2286">
        <f>Q387*1.04</f>
        <v>1120.9679957222306</v>
      </c>
      <c r="S387" s="2258">
        <f t="shared" si="63"/>
        <v>1099.4109188814186</v>
      </c>
      <c r="T387" s="2284">
        <f t="shared" si="67"/>
        <v>1120.9679957222306</v>
      </c>
      <c r="U387" s="2285">
        <f>T387*1.04</f>
        <v>1165.8067155511199</v>
      </c>
      <c r="V387" s="2259">
        <f t="shared" si="64"/>
        <v>1143.3873556366752</v>
      </c>
      <c r="W387" s="2094"/>
      <c r="X387" s="2094"/>
      <c r="Y387" s="2092"/>
      <c r="Z387" s="1376"/>
    </row>
    <row r="388" spans="1:26" s="1263" customFormat="1" outlineLevel="1">
      <c r="A388" s="1267">
        <v>139</v>
      </c>
      <c r="B388" s="1294" t="s">
        <v>1907</v>
      </c>
      <c r="C388" s="1302" t="s">
        <v>1908</v>
      </c>
      <c r="D388" s="1457" t="s">
        <v>1317</v>
      </c>
      <c r="E388" s="1296"/>
      <c r="F388" s="1297"/>
      <c r="G388" s="1281">
        <f t="shared" si="34"/>
        <v>0</v>
      </c>
      <c r="H388" s="2284">
        <v>682.51940186841045</v>
      </c>
      <c r="I388" s="2285">
        <v>1195.1201020808717</v>
      </c>
      <c r="J388" s="2259">
        <f t="shared" si="60"/>
        <v>938.81975197464112</v>
      </c>
      <c r="K388" s="2286">
        <f>I388</f>
        <v>1195.1201020808717</v>
      </c>
      <c r="L388" s="2285">
        <f>K388*1.04</f>
        <v>1242.9249061641067</v>
      </c>
      <c r="M388" s="2258">
        <f t="shared" si="61"/>
        <v>1219.0225041224892</v>
      </c>
      <c r="N388" s="2284">
        <f t="shared" si="65"/>
        <v>1242.9249061641067</v>
      </c>
      <c r="O388" s="2285">
        <f>N388*1.04</f>
        <v>1292.641902410671</v>
      </c>
      <c r="P388" s="2259">
        <f t="shared" si="62"/>
        <v>1267.7834042873887</v>
      </c>
      <c r="Q388" s="2284">
        <f t="shared" si="66"/>
        <v>1292.641902410671</v>
      </c>
      <c r="R388" s="2286">
        <f>Q388*1.04</f>
        <v>1344.347578507098</v>
      </c>
      <c r="S388" s="2258">
        <f t="shared" si="63"/>
        <v>1318.4947404588845</v>
      </c>
      <c r="T388" s="2284">
        <f t="shared" si="67"/>
        <v>1344.347578507098</v>
      </c>
      <c r="U388" s="2285">
        <f>T388*1.04</f>
        <v>1398.1214816473819</v>
      </c>
      <c r="V388" s="2259">
        <f t="shared" si="64"/>
        <v>1371.2345300772399</v>
      </c>
      <c r="W388" s="2094"/>
      <c r="X388" s="2094"/>
      <c r="Y388" s="2092"/>
      <c r="Z388" s="1376"/>
    </row>
    <row r="389" spans="1:26" s="1263" customFormat="1" outlineLevel="1">
      <c r="A389" s="1267">
        <v>140</v>
      </c>
      <c r="B389" s="1294" t="s">
        <v>1909</v>
      </c>
      <c r="C389" s="1302" t="s">
        <v>1910</v>
      </c>
      <c r="D389" s="1457" t="s">
        <v>1317</v>
      </c>
      <c r="E389" s="1296" t="s">
        <v>1911</v>
      </c>
      <c r="F389" s="1297" t="s">
        <v>1911</v>
      </c>
      <c r="G389" s="1281">
        <f t="shared" ref="G389:G452" si="68">E389/2+F389/2</f>
        <v>491.27</v>
      </c>
      <c r="H389" s="2284">
        <v>573.13380249835882</v>
      </c>
      <c r="I389" s="2285">
        <v>614.39943627824061</v>
      </c>
      <c r="J389" s="2259">
        <f t="shared" si="60"/>
        <v>593.76661938829966</v>
      </c>
      <c r="K389" s="2286">
        <f>I389</f>
        <v>614.39943627824061</v>
      </c>
      <c r="L389" s="2285">
        <f>K389*1.04</f>
        <v>638.9754137293703</v>
      </c>
      <c r="M389" s="2258">
        <f t="shared" si="61"/>
        <v>626.6874250038054</v>
      </c>
      <c r="N389" s="2284">
        <f t="shared" si="65"/>
        <v>638.9754137293703</v>
      </c>
      <c r="O389" s="2285">
        <f>N389*1.04</f>
        <v>664.53443027854519</v>
      </c>
      <c r="P389" s="2259">
        <f t="shared" si="62"/>
        <v>651.75492200395774</v>
      </c>
      <c r="Q389" s="2284">
        <f t="shared" si="66"/>
        <v>664.53443027854519</v>
      </c>
      <c r="R389" s="2286">
        <f>Q389*1.04</f>
        <v>691.11580748968697</v>
      </c>
      <c r="S389" s="2258">
        <f t="shared" si="63"/>
        <v>677.82511888411614</v>
      </c>
      <c r="T389" s="2284">
        <f t="shared" si="67"/>
        <v>691.11580748968697</v>
      </c>
      <c r="U389" s="2285">
        <f>T389*1.04</f>
        <v>718.76043978927453</v>
      </c>
      <c r="V389" s="2259">
        <f t="shared" si="64"/>
        <v>704.93812363948075</v>
      </c>
      <c r="W389" s="2094"/>
      <c r="X389" s="2094"/>
      <c r="Y389" s="2092"/>
      <c r="Z389" s="1376"/>
    </row>
    <row r="390" spans="1:26" s="1263" customFormat="1" ht="18" outlineLevel="1" thickBot="1">
      <c r="A390" s="1267">
        <v>141</v>
      </c>
      <c r="B390" s="1294" t="s">
        <v>1912</v>
      </c>
      <c r="C390" s="1302" t="s">
        <v>1913</v>
      </c>
      <c r="D390" s="1457" t="s">
        <v>1317</v>
      </c>
      <c r="E390" s="1296" t="s">
        <v>1914</v>
      </c>
      <c r="F390" s="1297" t="s">
        <v>1914</v>
      </c>
      <c r="G390" s="1281">
        <f t="shared" si="68"/>
        <v>1134.6600000000001</v>
      </c>
      <c r="H390" s="2284">
        <v>457.9782996401932</v>
      </c>
      <c r="I390" s="2285">
        <v>585.19134722656133</v>
      </c>
      <c r="J390" s="2259">
        <f t="shared" si="60"/>
        <v>521.58482343337732</v>
      </c>
      <c r="K390" s="2286">
        <f>I390</f>
        <v>585.19134722656133</v>
      </c>
      <c r="L390" s="2285">
        <f>K390*1.04</f>
        <v>608.59900111562376</v>
      </c>
      <c r="M390" s="2258">
        <f>K390/2+L390/2</f>
        <v>596.89517417109255</v>
      </c>
      <c r="N390" s="2284">
        <f t="shared" si="65"/>
        <v>608.59900111562376</v>
      </c>
      <c r="O390" s="2285">
        <f>N390*1.04</f>
        <v>632.94296116024873</v>
      </c>
      <c r="P390" s="2259">
        <f>N390/2+O390/2</f>
        <v>620.77098113793625</v>
      </c>
      <c r="Q390" s="2284">
        <f t="shared" si="66"/>
        <v>632.94296116024873</v>
      </c>
      <c r="R390" s="2286">
        <f>Q390*1.04</f>
        <v>658.26067960665875</v>
      </c>
      <c r="S390" s="2258">
        <f>Q390/2+R390/2</f>
        <v>645.60182038345374</v>
      </c>
      <c r="T390" s="2284">
        <f t="shared" si="67"/>
        <v>658.26067960665875</v>
      </c>
      <c r="U390" s="2285">
        <f>T390*1.04</f>
        <v>684.5911067909251</v>
      </c>
      <c r="V390" s="2259">
        <f t="shared" si="64"/>
        <v>671.42589319879198</v>
      </c>
      <c r="W390" s="2094"/>
      <c r="X390" s="2094"/>
      <c r="Y390" s="2092"/>
      <c r="Z390" s="1376"/>
    </row>
    <row r="391" spans="1:26" s="1263" customFormat="1" ht="18" hidden="1" outlineLevel="2" thickBot="1">
      <c r="A391" s="1267">
        <v>142</v>
      </c>
      <c r="B391" s="1292" t="s">
        <v>1915</v>
      </c>
      <c r="C391" s="1278" t="s">
        <v>1916</v>
      </c>
      <c r="D391" s="1454" t="s">
        <v>1317</v>
      </c>
      <c r="E391" s="1279">
        <f>E392+E393</f>
        <v>0</v>
      </c>
      <c r="F391" s="1280">
        <f>F392+F393</f>
        <v>0</v>
      </c>
      <c r="G391" s="1281">
        <f t="shared" si="68"/>
        <v>0</v>
      </c>
      <c r="H391" s="2255">
        <v>0</v>
      </c>
      <c r="I391" s="2256">
        <v>0</v>
      </c>
      <c r="J391" s="2259">
        <f t="shared" si="60"/>
        <v>0</v>
      </c>
      <c r="K391" s="2260">
        <f>K392+K393</f>
        <v>0</v>
      </c>
      <c r="L391" s="2256">
        <f>L392+L393</f>
        <v>0</v>
      </c>
      <c r="M391" s="2258">
        <f t="shared" ref="M391:M393" si="69">K391/2+L391/2</f>
        <v>0</v>
      </c>
      <c r="N391" s="2255">
        <f>N392+N393</f>
        <v>0</v>
      </c>
      <c r="O391" s="2256">
        <f>O392+O393</f>
        <v>0</v>
      </c>
      <c r="P391" s="2259">
        <f t="shared" ref="P391:P393" si="70">N391/2+O391/2</f>
        <v>0</v>
      </c>
      <c r="Q391" s="2255">
        <f>Q392+Q393</f>
        <v>0</v>
      </c>
      <c r="R391" s="2260">
        <f>R392+R393</f>
        <v>0</v>
      </c>
      <c r="S391" s="2258">
        <f t="shared" ref="S391:S393" si="71">Q391/2+R391/2</f>
        <v>0</v>
      </c>
      <c r="T391" s="2255">
        <f>T392+T393</f>
        <v>0</v>
      </c>
      <c r="U391" s="2256">
        <f>U392+U393</f>
        <v>0</v>
      </c>
      <c r="V391" s="2259">
        <f t="shared" si="64"/>
        <v>0</v>
      </c>
      <c r="W391" s="2093"/>
      <c r="X391" s="2093"/>
      <c r="Y391" s="2092"/>
      <c r="Z391" s="1376"/>
    </row>
    <row r="392" spans="1:26" s="1263" customFormat="1" ht="18" hidden="1" outlineLevel="2" thickBot="1">
      <c r="A392" s="1267">
        <v>143</v>
      </c>
      <c r="B392" s="1294" t="s">
        <v>1917</v>
      </c>
      <c r="C392" s="1295" t="s">
        <v>1918</v>
      </c>
      <c r="D392" s="1457" t="s">
        <v>1317</v>
      </c>
      <c r="E392" s="1296"/>
      <c r="F392" s="1297"/>
      <c r="G392" s="1281">
        <f t="shared" si="68"/>
        <v>0</v>
      </c>
      <c r="H392" s="2284"/>
      <c r="I392" s="2285"/>
      <c r="J392" s="2259">
        <f t="shared" si="60"/>
        <v>0</v>
      </c>
      <c r="K392" s="2286"/>
      <c r="L392" s="2285"/>
      <c r="M392" s="2258">
        <f t="shared" si="69"/>
        <v>0</v>
      </c>
      <c r="N392" s="2284"/>
      <c r="O392" s="2285"/>
      <c r="P392" s="2259">
        <f t="shared" si="70"/>
        <v>0</v>
      </c>
      <c r="Q392" s="2284"/>
      <c r="R392" s="2286"/>
      <c r="S392" s="2258">
        <f t="shared" si="71"/>
        <v>0</v>
      </c>
      <c r="T392" s="2284"/>
      <c r="U392" s="2285"/>
      <c r="V392" s="2259">
        <f t="shared" si="64"/>
        <v>0</v>
      </c>
      <c r="W392" s="2094"/>
      <c r="X392" s="2094"/>
      <c r="Y392" s="2092"/>
      <c r="Z392" s="1376"/>
    </row>
    <row r="393" spans="1:26" s="1263" customFormat="1" ht="18" hidden="1" outlineLevel="2" thickBot="1">
      <c r="A393" s="1267">
        <v>144</v>
      </c>
      <c r="B393" s="1303" t="s">
        <v>1919</v>
      </c>
      <c r="C393" s="1304" t="s">
        <v>1920</v>
      </c>
      <c r="D393" s="1459" t="s">
        <v>1317</v>
      </c>
      <c r="E393" s="1305"/>
      <c r="F393" s="1306"/>
      <c r="G393" s="1286">
        <f t="shared" si="68"/>
        <v>0</v>
      </c>
      <c r="H393" s="2300"/>
      <c r="I393" s="2301"/>
      <c r="J393" s="2268">
        <f t="shared" si="60"/>
        <v>0</v>
      </c>
      <c r="K393" s="2302"/>
      <c r="L393" s="2301"/>
      <c r="M393" s="2267">
        <f t="shared" si="69"/>
        <v>0</v>
      </c>
      <c r="N393" s="2300"/>
      <c r="O393" s="2301"/>
      <c r="P393" s="2268">
        <f t="shared" si="70"/>
        <v>0</v>
      </c>
      <c r="Q393" s="2300"/>
      <c r="R393" s="2302"/>
      <c r="S393" s="2267">
        <f t="shared" si="71"/>
        <v>0</v>
      </c>
      <c r="T393" s="2300"/>
      <c r="U393" s="2301"/>
      <c r="V393" s="2268">
        <f t="shared" si="64"/>
        <v>0</v>
      </c>
      <c r="W393" s="2094"/>
      <c r="X393" s="2094"/>
      <c r="Y393" s="2092"/>
      <c r="Z393" s="1376"/>
    </row>
    <row r="394" spans="1:26" s="1263" customFormat="1" ht="18" outlineLevel="1" collapsed="1" thickBot="1">
      <c r="A394" s="1267">
        <v>5</v>
      </c>
      <c r="B394" s="1316"/>
      <c r="C394" s="1317" t="s">
        <v>1921</v>
      </c>
      <c r="D394" s="1462" t="s">
        <v>1313</v>
      </c>
      <c r="E394" s="1318">
        <f>E395</f>
        <v>0</v>
      </c>
      <c r="F394" s="1319">
        <f>F395</f>
        <v>0</v>
      </c>
      <c r="G394" s="1320">
        <f t="shared" si="68"/>
        <v>0</v>
      </c>
      <c r="H394" s="1318">
        <v>16766.875237616532</v>
      </c>
      <c r="I394" s="1319">
        <v>34879.408654662213</v>
      </c>
      <c r="J394" s="1320">
        <v>25823.141946139374</v>
      </c>
      <c r="K394" s="1318">
        <v>34879.408654662213</v>
      </c>
      <c r="L394" s="1319">
        <v>36275.999169327421</v>
      </c>
      <c r="M394" s="2861">
        <v>35577.703911994817</v>
      </c>
      <c r="N394" s="1318">
        <v>36275.999169327421</v>
      </c>
      <c r="O394" s="1319">
        <v>37728.528255508601</v>
      </c>
      <c r="P394" s="1320">
        <v>37002.263712418011</v>
      </c>
      <c r="Q394" s="1318">
        <v>37728.528255508601</v>
      </c>
      <c r="R394" s="2871">
        <v>39239.237428465654</v>
      </c>
      <c r="S394" s="2861">
        <v>38483.882841987128</v>
      </c>
      <c r="T394" s="1318">
        <v>39239.237428465654</v>
      </c>
      <c r="U394" s="1319">
        <v>40810.458074606038</v>
      </c>
      <c r="V394" s="1320">
        <v>40024.847751535846</v>
      </c>
      <c r="W394" s="2093"/>
      <c r="X394" s="2093"/>
      <c r="Y394" s="2092"/>
      <c r="Z394" s="1376"/>
    </row>
    <row r="395" spans="1:26" s="1263" customFormat="1" ht="18" hidden="1" outlineLevel="2" thickBot="1">
      <c r="A395" s="1267">
        <v>286</v>
      </c>
      <c r="B395" s="1321" t="s">
        <v>1922</v>
      </c>
      <c r="C395" s="1322" t="s">
        <v>1923</v>
      </c>
      <c r="D395" s="1463" t="s">
        <v>1313</v>
      </c>
      <c r="E395" s="1323"/>
      <c r="F395" s="1324"/>
      <c r="G395" s="1325">
        <f t="shared" si="68"/>
        <v>0</v>
      </c>
      <c r="H395" s="1323"/>
      <c r="I395" s="1324"/>
      <c r="J395" s="1325">
        <f>H395/2+I395/2</f>
        <v>0</v>
      </c>
      <c r="K395" s="1323"/>
      <c r="L395" s="1324"/>
      <c r="M395" s="2862">
        <f>K395/2+L395/2</f>
        <v>0</v>
      </c>
      <c r="N395" s="1323"/>
      <c r="O395" s="1324"/>
      <c r="P395" s="1325">
        <f>N395/2+O395/2</f>
        <v>0</v>
      </c>
      <c r="Q395" s="1323"/>
      <c r="R395" s="2872"/>
      <c r="S395" s="2862">
        <f>Q395/2+R395/2</f>
        <v>0</v>
      </c>
      <c r="T395" s="1323"/>
      <c r="U395" s="1324"/>
      <c r="V395" s="1325">
        <f>T395/2+U395/2</f>
        <v>0</v>
      </c>
      <c r="W395" s="2094"/>
      <c r="X395" s="2094"/>
      <c r="Y395" s="2092"/>
      <c r="Z395" s="1376"/>
    </row>
    <row r="396" spans="1:26" s="1263" customFormat="1" ht="18" outlineLevel="1" collapsed="1" thickBot="1">
      <c r="A396" s="1267">
        <v>9</v>
      </c>
      <c r="B396" s="1326" t="s">
        <v>1175</v>
      </c>
      <c r="C396" s="1317" t="s">
        <v>1924</v>
      </c>
      <c r="D396" s="1464" t="s">
        <v>1317</v>
      </c>
      <c r="E396" s="1327">
        <f>E397+E413</f>
        <v>329151.98600183998</v>
      </c>
      <c r="F396" s="1328">
        <f>F397+F413</f>
        <v>329151.98600183998</v>
      </c>
      <c r="G396" s="1320">
        <f t="shared" si="68"/>
        <v>329151.98600183998</v>
      </c>
      <c r="H396" s="2372">
        <v>240344.82512030506</v>
      </c>
      <c r="I396" s="2373">
        <v>255087.4506958666</v>
      </c>
      <c r="J396" s="2374">
        <f t="shared" ref="J396:J459" si="72">H396/2+I396/2</f>
        <v>247716.13790808583</v>
      </c>
      <c r="K396" s="2376">
        <f>K397+K413</f>
        <v>255087.4506958666</v>
      </c>
      <c r="L396" s="2373">
        <f>L397+L413</f>
        <v>268607.08558274753</v>
      </c>
      <c r="M396" s="2375">
        <f t="shared" ref="M396:M459" si="73">K396/2+L396/2</f>
        <v>261847.26813930707</v>
      </c>
      <c r="N396" s="2372">
        <f>N397+N413</f>
        <v>268607.08558274753</v>
      </c>
      <c r="O396" s="2373">
        <f>O397+O413</f>
        <v>282843.26111863309</v>
      </c>
      <c r="P396" s="2374">
        <f t="shared" ref="P396:P459" si="74">N396/2+O396/2</f>
        <v>275725.17335069028</v>
      </c>
      <c r="Q396" s="2372">
        <f>Q397+Q413</f>
        <v>282843.26111863309</v>
      </c>
      <c r="R396" s="2376">
        <f>R397+R413</f>
        <v>297833.95395792066</v>
      </c>
      <c r="S396" s="2375">
        <f t="shared" ref="S396:S459" si="75">Q396/2+R396/2</f>
        <v>290338.60753827688</v>
      </c>
      <c r="T396" s="2372">
        <f>T397+T413</f>
        <v>297833.95395792066</v>
      </c>
      <c r="U396" s="2373">
        <f>U397+U413</f>
        <v>313619.15351769043</v>
      </c>
      <c r="V396" s="2374">
        <f t="shared" ref="V396:V459" si="76">T396/2+U396/2</f>
        <v>305726.55373780557</v>
      </c>
      <c r="W396" s="2091"/>
      <c r="X396" s="2091"/>
      <c r="Y396" s="2092"/>
      <c r="Z396" s="1376"/>
    </row>
    <row r="397" spans="1:26" s="1263" customFormat="1" outlineLevel="1">
      <c r="A397" s="1267">
        <v>198</v>
      </c>
      <c r="B397" s="1272"/>
      <c r="C397" s="1273" t="s">
        <v>1925</v>
      </c>
      <c r="D397" s="1453" t="s">
        <v>1926</v>
      </c>
      <c r="E397" s="1274">
        <f>E398+E401+E404+E407+E410</f>
        <v>329151.98600183998</v>
      </c>
      <c r="F397" s="1275">
        <f>F398+F401+F404+F407+F410</f>
        <v>329151.98600183998</v>
      </c>
      <c r="G397" s="1276">
        <f t="shared" si="68"/>
        <v>329151.98600183998</v>
      </c>
      <c r="H397" s="2246">
        <v>176152.41084259946</v>
      </c>
      <c r="I397" s="2247">
        <v>186850.91431866557</v>
      </c>
      <c r="J397" s="2250">
        <f t="shared" si="72"/>
        <v>181501.66258063252</v>
      </c>
      <c r="K397" s="2251">
        <f>K398+K401+K404+K407+K410</f>
        <v>186850.91431866557</v>
      </c>
      <c r="L397" s="2247">
        <f>L398+L401+L404+L407+L410</f>
        <v>196754.01277755483</v>
      </c>
      <c r="M397" s="2249">
        <f t="shared" si="73"/>
        <v>191802.46354811022</v>
      </c>
      <c r="N397" s="2246">
        <f>N398+N401+N404+N407+N410</f>
        <v>196754.01277755483</v>
      </c>
      <c r="O397" s="2247">
        <f>O398+O401+O404+O407+O410</f>
        <v>207181.9754547652</v>
      </c>
      <c r="P397" s="2250">
        <f t="shared" si="74"/>
        <v>201967.99411616003</v>
      </c>
      <c r="Q397" s="2246">
        <f>Q398+Q401+Q404+Q407+Q410</f>
        <v>207181.9754547652</v>
      </c>
      <c r="R397" s="2251">
        <f>R398+R401+R404+R407+R410</f>
        <v>218162.62015386779</v>
      </c>
      <c r="S397" s="2249">
        <f t="shared" si="75"/>
        <v>212672.29780431651</v>
      </c>
      <c r="T397" s="2246">
        <f>T398+T401+T404+T407+T410</f>
        <v>218162.62015386779</v>
      </c>
      <c r="U397" s="2247">
        <f>U398+U401+U404+U407+U410</f>
        <v>229725.23902202272</v>
      </c>
      <c r="V397" s="2250">
        <f t="shared" si="76"/>
        <v>223943.92958794525</v>
      </c>
      <c r="W397" s="2093"/>
      <c r="X397" s="2093"/>
      <c r="Y397" s="2092"/>
      <c r="Z397" s="1376"/>
    </row>
    <row r="398" spans="1:26" s="1263" customFormat="1" outlineLevel="1">
      <c r="A398" s="1267">
        <v>201</v>
      </c>
      <c r="B398" s="1292"/>
      <c r="C398" s="1293" t="s">
        <v>1927</v>
      </c>
      <c r="D398" s="1454" t="s">
        <v>1317</v>
      </c>
      <c r="E398" s="1279">
        <f>E399*E400</f>
        <v>329151.98600183998</v>
      </c>
      <c r="F398" s="1280">
        <f>F399*F400</f>
        <v>329151.98600183998</v>
      </c>
      <c r="G398" s="1281">
        <f t="shared" si="68"/>
        <v>329151.98600183998</v>
      </c>
      <c r="H398" s="2255">
        <v>107943.71920240867</v>
      </c>
      <c r="I398" s="2256">
        <v>114454.94911959498</v>
      </c>
      <c r="J398" s="2259">
        <f t="shared" si="72"/>
        <v>111199.33416100183</v>
      </c>
      <c r="K398" s="2260">
        <f>K399*K400</f>
        <v>114454.94911959498</v>
      </c>
      <c r="L398" s="2256">
        <f>L399*L400</f>
        <v>120521.06142293349</v>
      </c>
      <c r="M398" s="2258">
        <f t="shared" si="73"/>
        <v>117488.00527126424</v>
      </c>
      <c r="N398" s="2255">
        <f>N399*N400</f>
        <v>120521.06142293349</v>
      </c>
      <c r="O398" s="2256">
        <f>O399*O400</f>
        <v>126908.67767834895</v>
      </c>
      <c r="P398" s="2259">
        <f t="shared" si="74"/>
        <v>123714.86955064122</v>
      </c>
      <c r="Q398" s="2255">
        <f>Q399*Q400</f>
        <v>126908.67767834895</v>
      </c>
      <c r="R398" s="2260">
        <f>R399*R400</f>
        <v>133634.83759530145</v>
      </c>
      <c r="S398" s="2258">
        <f t="shared" si="75"/>
        <v>130271.7576368252</v>
      </c>
      <c r="T398" s="2255">
        <f>T399*T400</f>
        <v>133634.83759530145</v>
      </c>
      <c r="U398" s="2256">
        <f>U399*U400</f>
        <v>140717.48398785241</v>
      </c>
      <c r="V398" s="2259">
        <f t="shared" si="76"/>
        <v>137176.16079157693</v>
      </c>
      <c r="W398" s="2093"/>
      <c r="X398" s="2093"/>
      <c r="Y398" s="2092"/>
      <c r="Z398" s="1376"/>
    </row>
    <row r="399" spans="1:26" s="1263" customFormat="1" outlineLevel="1">
      <c r="A399" s="1267">
        <v>206</v>
      </c>
      <c r="B399" s="1294" t="s">
        <v>1928</v>
      </c>
      <c r="C399" s="1295" t="s">
        <v>1929</v>
      </c>
      <c r="D399" s="1457" t="s">
        <v>1930</v>
      </c>
      <c r="E399" s="1296" t="s">
        <v>1931</v>
      </c>
      <c r="F399" s="1297" t="s">
        <v>1931</v>
      </c>
      <c r="G399" s="1281">
        <f t="shared" si="68"/>
        <v>46925.04</v>
      </c>
      <c r="H399" s="2284">
        <v>15040.982389397077</v>
      </c>
      <c r="I399" s="2285">
        <v>15040.982389397077</v>
      </c>
      <c r="J399" s="2259">
        <f t="shared" si="72"/>
        <v>15040.982389397077</v>
      </c>
      <c r="K399" s="2286">
        <f>H399</f>
        <v>15040.982389397077</v>
      </c>
      <c r="L399" s="2285">
        <f>K399</f>
        <v>15040.982389397077</v>
      </c>
      <c r="M399" s="2258">
        <f t="shared" si="73"/>
        <v>15040.982389397077</v>
      </c>
      <c r="N399" s="2284">
        <f>L399</f>
        <v>15040.982389397077</v>
      </c>
      <c r="O399" s="2285">
        <f>N399</f>
        <v>15040.982389397077</v>
      </c>
      <c r="P399" s="2259">
        <f t="shared" si="74"/>
        <v>15040.982389397077</v>
      </c>
      <c r="Q399" s="2284">
        <f>O399</f>
        <v>15040.982389397077</v>
      </c>
      <c r="R399" s="2286">
        <f>Q399</f>
        <v>15040.982389397077</v>
      </c>
      <c r="S399" s="2258">
        <f t="shared" si="75"/>
        <v>15040.982389397077</v>
      </c>
      <c r="T399" s="2284">
        <f>R399</f>
        <v>15040.982389397077</v>
      </c>
      <c r="U399" s="2285">
        <f>T399</f>
        <v>15040.982389397077</v>
      </c>
      <c r="V399" s="2259">
        <f t="shared" si="76"/>
        <v>15040.982389397077</v>
      </c>
      <c r="W399" s="2094"/>
      <c r="X399" s="2094"/>
      <c r="Y399" s="2092"/>
      <c r="Z399" s="1376"/>
    </row>
    <row r="400" spans="1:26" s="1263" customFormat="1" outlineLevel="1">
      <c r="A400" s="1267">
        <v>207</v>
      </c>
      <c r="B400" s="1294" t="s">
        <v>1932</v>
      </c>
      <c r="C400" s="1295" t="s">
        <v>1933</v>
      </c>
      <c r="D400" s="1457" t="s">
        <v>1934</v>
      </c>
      <c r="E400" s="1296" t="s">
        <v>1935</v>
      </c>
      <c r="F400" s="1297" t="s">
        <v>1935</v>
      </c>
      <c r="G400" s="1281">
        <f t="shared" si="68"/>
        <v>7.0144209999999996</v>
      </c>
      <c r="H400" s="2284">
        <v>7.1766402225496941</v>
      </c>
      <c r="I400" s="2285">
        <v>7.6095394673341508</v>
      </c>
      <c r="J400" s="2259">
        <f t="shared" si="72"/>
        <v>7.3930898449419225</v>
      </c>
      <c r="K400" s="2286">
        <f>I400</f>
        <v>7.6095394673341508</v>
      </c>
      <c r="L400" s="2285">
        <f>K400*1.053</f>
        <v>8.0128450591028599</v>
      </c>
      <c r="M400" s="2258">
        <f t="shared" si="73"/>
        <v>7.8111922632185049</v>
      </c>
      <c r="N400" s="2284">
        <f>L400</f>
        <v>8.0128450591028599</v>
      </c>
      <c r="O400" s="2285">
        <f>N400*1.053</f>
        <v>8.4375258472353103</v>
      </c>
      <c r="P400" s="2259">
        <f t="shared" si="74"/>
        <v>8.225185453169086</v>
      </c>
      <c r="Q400" s="2284">
        <f>O400</f>
        <v>8.4375258472353103</v>
      </c>
      <c r="R400" s="2286">
        <f>Q400*1.053</f>
        <v>8.884714717138781</v>
      </c>
      <c r="S400" s="2258">
        <f t="shared" si="75"/>
        <v>8.6611202821870457</v>
      </c>
      <c r="T400" s="2284">
        <f>R400</f>
        <v>8.884714717138781</v>
      </c>
      <c r="U400" s="2285">
        <f>T400*1.053</f>
        <v>9.3556045971471367</v>
      </c>
      <c r="V400" s="2259">
        <f t="shared" si="76"/>
        <v>9.1201596571429597</v>
      </c>
      <c r="W400" s="2094"/>
      <c r="X400" s="2094"/>
      <c r="Y400" s="2092"/>
      <c r="Z400" s="1376"/>
    </row>
    <row r="401" spans="1:26" s="1263" customFormat="1" outlineLevel="1">
      <c r="A401" s="1267">
        <v>202</v>
      </c>
      <c r="B401" s="1292"/>
      <c r="C401" s="1293" t="s">
        <v>1936</v>
      </c>
      <c r="D401" s="1454" t="s">
        <v>1317</v>
      </c>
      <c r="E401" s="1279">
        <f>E402*E403</f>
        <v>0</v>
      </c>
      <c r="F401" s="1280">
        <f>F402*F403</f>
        <v>0</v>
      </c>
      <c r="G401" s="1281">
        <f t="shared" si="68"/>
        <v>0</v>
      </c>
      <c r="H401" s="2255">
        <v>4903.7512023545269</v>
      </c>
      <c r="I401" s="2256">
        <v>5212.6875281028615</v>
      </c>
      <c r="J401" s="2259">
        <f t="shared" si="72"/>
        <v>5058.2193652286942</v>
      </c>
      <c r="K401" s="2260">
        <f>K402*K403</f>
        <v>5212.6875281028615</v>
      </c>
      <c r="L401" s="2256">
        <f>L402*L403</f>
        <v>5488.9599670923135</v>
      </c>
      <c r="M401" s="2258">
        <f t="shared" si="73"/>
        <v>5350.8237475975875</v>
      </c>
      <c r="N401" s="2255">
        <f>N402*N403</f>
        <v>5488.9599670923135</v>
      </c>
      <c r="O401" s="2256">
        <f>O402*O403</f>
        <v>5779.8748453482058</v>
      </c>
      <c r="P401" s="2259">
        <f t="shared" si="74"/>
        <v>5634.4174062202601</v>
      </c>
      <c r="Q401" s="2255">
        <f>Q402*Q403</f>
        <v>5779.8748453482058</v>
      </c>
      <c r="R401" s="2260">
        <f>R402*R403</f>
        <v>6086.2082121516605</v>
      </c>
      <c r="S401" s="2258">
        <f t="shared" si="75"/>
        <v>5933.0415287499327</v>
      </c>
      <c r="T401" s="2255">
        <f>T402*T403</f>
        <v>6086.2082121516605</v>
      </c>
      <c r="U401" s="2256">
        <f>U402*U403</f>
        <v>6408.7772473956975</v>
      </c>
      <c r="V401" s="2259">
        <f t="shared" si="76"/>
        <v>6247.4927297736795</v>
      </c>
      <c r="W401" s="2093"/>
      <c r="X401" s="2093"/>
      <c r="Y401" s="2092"/>
      <c r="Z401" s="1376"/>
    </row>
    <row r="402" spans="1:26" s="1263" customFormat="1" outlineLevel="1">
      <c r="A402" s="1267">
        <v>208</v>
      </c>
      <c r="B402" s="1294" t="s">
        <v>1937</v>
      </c>
      <c r="C402" s="1295" t="s">
        <v>1929</v>
      </c>
      <c r="D402" s="1457" t="s">
        <v>1930</v>
      </c>
      <c r="E402" s="1296"/>
      <c r="F402" s="1297"/>
      <c r="G402" s="1281">
        <f t="shared" si="68"/>
        <v>0</v>
      </c>
      <c r="H402" s="2284">
        <v>693.29967584742326</v>
      </c>
      <c r="I402" s="2285">
        <v>693.29967584742326</v>
      </c>
      <c r="J402" s="2259">
        <f t="shared" si="72"/>
        <v>693.29967584742326</v>
      </c>
      <c r="K402" s="2286">
        <f>H402</f>
        <v>693.29967584742326</v>
      </c>
      <c r="L402" s="2285">
        <f>K402</f>
        <v>693.29967584742326</v>
      </c>
      <c r="M402" s="2258">
        <f t="shared" si="73"/>
        <v>693.29967584742326</v>
      </c>
      <c r="N402" s="2284">
        <f>L402</f>
        <v>693.29967584742326</v>
      </c>
      <c r="O402" s="2285">
        <f>N402</f>
        <v>693.29967584742326</v>
      </c>
      <c r="P402" s="2259">
        <f t="shared" si="74"/>
        <v>693.29967584742326</v>
      </c>
      <c r="Q402" s="2284">
        <f>O402</f>
        <v>693.29967584742326</v>
      </c>
      <c r="R402" s="2286">
        <f>Q402</f>
        <v>693.29967584742326</v>
      </c>
      <c r="S402" s="2258">
        <f t="shared" si="75"/>
        <v>693.29967584742326</v>
      </c>
      <c r="T402" s="2284">
        <f>R402</f>
        <v>693.29967584742326</v>
      </c>
      <c r="U402" s="2285">
        <f>T402</f>
        <v>693.29967584742326</v>
      </c>
      <c r="V402" s="2259">
        <f t="shared" si="76"/>
        <v>693.29967584742326</v>
      </c>
      <c r="W402" s="2094"/>
      <c r="X402" s="2094"/>
      <c r="Y402" s="2092"/>
      <c r="Z402" s="1376"/>
    </row>
    <row r="403" spans="1:26" s="1263" customFormat="1" outlineLevel="1">
      <c r="A403" s="1267">
        <v>209</v>
      </c>
      <c r="B403" s="1294" t="s">
        <v>1938</v>
      </c>
      <c r="C403" s="1295" t="s">
        <v>1933</v>
      </c>
      <c r="D403" s="1457" t="s">
        <v>1934</v>
      </c>
      <c r="E403" s="1296"/>
      <c r="F403" s="1297"/>
      <c r="G403" s="1281">
        <f t="shared" si="68"/>
        <v>0</v>
      </c>
      <c r="H403" s="2284">
        <v>7.0730614382022461</v>
      </c>
      <c r="I403" s="2285">
        <v>7.5186643088089875</v>
      </c>
      <c r="J403" s="2259">
        <f t="shared" si="72"/>
        <v>7.2958628735056168</v>
      </c>
      <c r="K403" s="2286">
        <f>I403</f>
        <v>7.5186643088089875</v>
      </c>
      <c r="L403" s="2285">
        <f>K403*1.053</f>
        <v>7.9171535171758638</v>
      </c>
      <c r="M403" s="2258">
        <f>K403/2+L403/2</f>
        <v>7.7179089129924261</v>
      </c>
      <c r="N403" s="2284">
        <f>L403</f>
        <v>7.9171535171758638</v>
      </c>
      <c r="O403" s="2285">
        <f>N403*1.053</f>
        <v>8.3367626535861845</v>
      </c>
      <c r="P403" s="2259">
        <f>N403/2+O403/2</f>
        <v>8.1269580853810233</v>
      </c>
      <c r="Q403" s="2284">
        <f>O403</f>
        <v>8.3367626535861845</v>
      </c>
      <c r="R403" s="2286">
        <f>Q403*1.053</f>
        <v>8.7786110742262515</v>
      </c>
      <c r="S403" s="2258">
        <f>Q403/2+R403/2</f>
        <v>8.557686863906218</v>
      </c>
      <c r="T403" s="2284">
        <f>R403</f>
        <v>8.7786110742262515</v>
      </c>
      <c r="U403" s="2285">
        <f>T403*1.053</f>
        <v>9.2438774611602419</v>
      </c>
      <c r="V403" s="2259">
        <f t="shared" si="76"/>
        <v>9.0112442676932467</v>
      </c>
      <c r="W403" s="2094"/>
      <c r="X403" s="2094"/>
      <c r="Y403" s="2092"/>
      <c r="Z403" s="1376"/>
    </row>
    <row r="404" spans="1:26" s="1263" customFormat="1" outlineLevel="1">
      <c r="A404" s="1267">
        <v>203</v>
      </c>
      <c r="B404" s="1292"/>
      <c r="C404" s="1293" t="s">
        <v>1939</v>
      </c>
      <c r="D404" s="1454" t="s">
        <v>1317</v>
      </c>
      <c r="E404" s="1279">
        <f>E405*E406</f>
        <v>0</v>
      </c>
      <c r="F404" s="1280">
        <f>F405*F406</f>
        <v>0</v>
      </c>
      <c r="G404" s="1281">
        <f t="shared" si="68"/>
        <v>0</v>
      </c>
      <c r="H404" s="2255">
        <v>54731.939464536488</v>
      </c>
      <c r="I404" s="2256">
        <v>58070.177636350061</v>
      </c>
      <c r="J404" s="2259">
        <f t="shared" si="72"/>
        <v>56401.058550443275</v>
      </c>
      <c r="K404" s="2260">
        <f>K405*K406</f>
        <v>58070.177636350061</v>
      </c>
      <c r="L404" s="2256">
        <f>L405*L406</f>
        <v>61147.897051076608</v>
      </c>
      <c r="M404" s="2258">
        <f t="shared" si="73"/>
        <v>59609.037343713338</v>
      </c>
      <c r="N404" s="2255">
        <f>N405*N406</f>
        <v>61147.897051076608</v>
      </c>
      <c r="O404" s="2256">
        <f>O405*O406</f>
        <v>64388.735594783662</v>
      </c>
      <c r="P404" s="2259">
        <f t="shared" si="74"/>
        <v>62768.316322930135</v>
      </c>
      <c r="Q404" s="2255">
        <f>Q405*Q406</f>
        <v>64388.735594783662</v>
      </c>
      <c r="R404" s="2260">
        <f>R405*R406</f>
        <v>67801.338581307195</v>
      </c>
      <c r="S404" s="2258">
        <f t="shared" si="75"/>
        <v>66095.037088045428</v>
      </c>
      <c r="T404" s="2255">
        <f>T405*T406</f>
        <v>67801.338581307195</v>
      </c>
      <c r="U404" s="2256">
        <f>U405*U406</f>
        <v>71394.809526116471</v>
      </c>
      <c r="V404" s="2259">
        <f t="shared" si="76"/>
        <v>69598.07405371184</v>
      </c>
      <c r="W404" s="2093"/>
      <c r="X404" s="2093"/>
      <c r="Y404" s="2092"/>
      <c r="Z404" s="1376"/>
    </row>
    <row r="405" spans="1:26" s="1263" customFormat="1" outlineLevel="1">
      <c r="A405" s="1267">
        <v>210</v>
      </c>
      <c r="B405" s="1294" t="s">
        <v>1940</v>
      </c>
      <c r="C405" s="1295" t="s">
        <v>1929</v>
      </c>
      <c r="D405" s="1457" t="s">
        <v>1930</v>
      </c>
      <c r="E405" s="1296"/>
      <c r="F405" s="1297"/>
      <c r="G405" s="1281">
        <f t="shared" si="68"/>
        <v>0</v>
      </c>
      <c r="H405" s="2284">
        <v>7631.3413781351392</v>
      </c>
      <c r="I405" s="2285">
        <v>7631.3413781351392</v>
      </c>
      <c r="J405" s="2259">
        <f t="shared" si="72"/>
        <v>7631.3413781351392</v>
      </c>
      <c r="K405" s="2286">
        <f>H405</f>
        <v>7631.3413781351392</v>
      </c>
      <c r="L405" s="2285">
        <f>K405</f>
        <v>7631.3413781351392</v>
      </c>
      <c r="M405" s="2258">
        <f t="shared" si="73"/>
        <v>7631.3413781351392</v>
      </c>
      <c r="N405" s="2284">
        <f>L405</f>
        <v>7631.3413781351392</v>
      </c>
      <c r="O405" s="2285">
        <f>N405</f>
        <v>7631.3413781351392</v>
      </c>
      <c r="P405" s="2259">
        <f t="shared" si="74"/>
        <v>7631.3413781351392</v>
      </c>
      <c r="Q405" s="2284">
        <f>O405</f>
        <v>7631.3413781351392</v>
      </c>
      <c r="R405" s="2286">
        <f>Q405</f>
        <v>7631.3413781351392</v>
      </c>
      <c r="S405" s="2258">
        <f t="shared" si="75"/>
        <v>7631.3413781351392</v>
      </c>
      <c r="T405" s="2284">
        <f>R405</f>
        <v>7631.3413781351392</v>
      </c>
      <c r="U405" s="2285">
        <f>T405</f>
        <v>7631.3413781351392</v>
      </c>
      <c r="V405" s="2259">
        <f t="shared" si="76"/>
        <v>7631.3413781351392</v>
      </c>
      <c r="W405" s="2094"/>
      <c r="X405" s="2094"/>
      <c r="Y405" s="2092"/>
      <c r="Z405" s="1376"/>
    </row>
    <row r="406" spans="1:26" s="1263" customFormat="1" outlineLevel="1">
      <c r="A406" s="1267">
        <v>211</v>
      </c>
      <c r="B406" s="1294" t="s">
        <v>1941</v>
      </c>
      <c r="C406" s="1295" t="s">
        <v>1933</v>
      </c>
      <c r="D406" s="1457" t="s">
        <v>1934</v>
      </c>
      <c r="E406" s="1296"/>
      <c r="F406" s="1297"/>
      <c r="G406" s="1281">
        <f t="shared" si="68"/>
        <v>0</v>
      </c>
      <c r="H406" s="2284">
        <v>7.1719946405950532</v>
      </c>
      <c r="I406" s="2285">
        <v>7.6094325701021903</v>
      </c>
      <c r="J406" s="2259">
        <f t="shared" si="72"/>
        <v>7.3907136053486218</v>
      </c>
      <c r="K406" s="2286">
        <f>I406</f>
        <v>7.6094325701021903</v>
      </c>
      <c r="L406" s="2285">
        <f>K406*1.053</f>
        <v>8.0127324963176054</v>
      </c>
      <c r="M406" s="2258">
        <f>K406/2+L406/2</f>
        <v>7.8110825332098983</v>
      </c>
      <c r="N406" s="2284">
        <f>L406</f>
        <v>8.0127324963176054</v>
      </c>
      <c r="O406" s="2285">
        <f>N406*1.053</f>
        <v>8.4374073186224372</v>
      </c>
      <c r="P406" s="2259">
        <f>N406/2+O406/2</f>
        <v>8.2250699074700222</v>
      </c>
      <c r="Q406" s="2284">
        <f>O406</f>
        <v>8.4374073186224372</v>
      </c>
      <c r="R406" s="2286">
        <f>Q406*1.053</f>
        <v>8.8845899065094258</v>
      </c>
      <c r="S406" s="2258">
        <f>Q406/2+R406/2</f>
        <v>8.6609986125659315</v>
      </c>
      <c r="T406" s="2284">
        <f>R406</f>
        <v>8.8845899065094258</v>
      </c>
      <c r="U406" s="2285">
        <f>T406*1.053</f>
        <v>9.3554731715544257</v>
      </c>
      <c r="V406" s="2259">
        <f t="shared" si="76"/>
        <v>9.1200315390319258</v>
      </c>
      <c r="W406" s="2094"/>
      <c r="X406" s="2094"/>
      <c r="Y406" s="2092"/>
      <c r="Z406" s="1376"/>
    </row>
    <row r="407" spans="1:26" s="1263" customFormat="1" outlineLevel="1">
      <c r="A407" s="1267">
        <v>204</v>
      </c>
      <c r="B407" s="1292"/>
      <c r="C407" s="1293" t="s">
        <v>1942</v>
      </c>
      <c r="D407" s="1454" t="s">
        <v>1317</v>
      </c>
      <c r="E407" s="1279">
        <f>E408*E409</f>
        <v>0</v>
      </c>
      <c r="F407" s="1280">
        <f>F408*F409</f>
        <v>0</v>
      </c>
      <c r="G407" s="1281">
        <f t="shared" si="68"/>
        <v>0</v>
      </c>
      <c r="H407" s="2255">
        <v>8573.0009732997878</v>
      </c>
      <c r="I407" s="2256">
        <v>9113.1000346176734</v>
      </c>
      <c r="J407" s="2259">
        <f t="shared" si="72"/>
        <v>8843.0505039587297</v>
      </c>
      <c r="K407" s="2260">
        <f>K408*K409</f>
        <v>9113.1000346176734</v>
      </c>
      <c r="L407" s="2256">
        <f>L408*L409</f>
        <v>9596.0943364524101</v>
      </c>
      <c r="M407" s="2258">
        <f t="shared" si="73"/>
        <v>9354.5971855350417</v>
      </c>
      <c r="N407" s="2255">
        <f>N408*N409</f>
        <v>9596.0943364524101</v>
      </c>
      <c r="O407" s="2256">
        <f>O408*O409</f>
        <v>10104.687336284387</v>
      </c>
      <c r="P407" s="2259">
        <f t="shared" si="74"/>
        <v>9850.3908363683986</v>
      </c>
      <c r="Q407" s="2255">
        <f>Q408*Q409</f>
        <v>10104.687336284387</v>
      </c>
      <c r="R407" s="2260">
        <f>R408*R409</f>
        <v>10640.23576510746</v>
      </c>
      <c r="S407" s="2258">
        <f t="shared" si="75"/>
        <v>10372.461550695924</v>
      </c>
      <c r="T407" s="2255">
        <f>T408*T409</f>
        <v>10640.23576510746</v>
      </c>
      <c r="U407" s="2256">
        <f>U408*U409</f>
        <v>11204.168260658153</v>
      </c>
      <c r="V407" s="2259">
        <f t="shared" si="76"/>
        <v>10922.202012882806</v>
      </c>
      <c r="W407" s="2093"/>
      <c r="X407" s="2093"/>
      <c r="Y407" s="2092"/>
      <c r="Z407" s="1376"/>
    </row>
    <row r="408" spans="1:26" s="1263" customFormat="1" outlineLevel="1">
      <c r="A408" s="1267">
        <v>212</v>
      </c>
      <c r="B408" s="1294" t="s">
        <v>1943</v>
      </c>
      <c r="C408" s="1295" t="s">
        <v>1929</v>
      </c>
      <c r="D408" s="1457" t="s">
        <v>1930</v>
      </c>
      <c r="E408" s="1296"/>
      <c r="F408" s="1297"/>
      <c r="G408" s="1281">
        <f t="shared" si="68"/>
        <v>0</v>
      </c>
      <c r="H408" s="2284">
        <v>1411.0638737492709</v>
      </c>
      <c r="I408" s="2285">
        <v>1411.0638737492709</v>
      </c>
      <c r="J408" s="2259">
        <f t="shared" si="72"/>
        <v>1411.0638737492709</v>
      </c>
      <c r="K408" s="2286">
        <f>H408</f>
        <v>1411.0638737492709</v>
      </c>
      <c r="L408" s="2285">
        <f>K408</f>
        <v>1411.0638737492709</v>
      </c>
      <c r="M408" s="2258">
        <f t="shared" si="73"/>
        <v>1411.0638737492709</v>
      </c>
      <c r="N408" s="2284">
        <f>L408</f>
        <v>1411.0638737492709</v>
      </c>
      <c r="O408" s="2285">
        <f>N408</f>
        <v>1411.0638737492709</v>
      </c>
      <c r="P408" s="2259">
        <f t="shared" si="74"/>
        <v>1411.0638737492709</v>
      </c>
      <c r="Q408" s="2284">
        <f>O408</f>
        <v>1411.0638737492709</v>
      </c>
      <c r="R408" s="2286">
        <f>Q408</f>
        <v>1411.0638737492709</v>
      </c>
      <c r="S408" s="2258">
        <f t="shared" si="75"/>
        <v>1411.0638737492709</v>
      </c>
      <c r="T408" s="2284">
        <f>R408</f>
        <v>1411.0638737492709</v>
      </c>
      <c r="U408" s="2285">
        <f>T408</f>
        <v>1411.0638737492709</v>
      </c>
      <c r="V408" s="2259">
        <f t="shared" si="76"/>
        <v>1411.0638737492709</v>
      </c>
      <c r="W408" s="2094"/>
      <c r="X408" s="2094"/>
      <c r="Y408" s="2092"/>
      <c r="Z408" s="1376"/>
    </row>
    <row r="409" spans="1:26" s="1263" customFormat="1" hidden="1" outlineLevel="1">
      <c r="A409" s="1267">
        <v>213</v>
      </c>
      <c r="B409" s="1294" t="s">
        <v>1944</v>
      </c>
      <c r="C409" s="1295" t="s">
        <v>1933</v>
      </c>
      <c r="D409" s="1457" t="s">
        <v>1934</v>
      </c>
      <c r="E409" s="1296"/>
      <c r="F409" s="1297"/>
      <c r="G409" s="1281">
        <f t="shared" si="68"/>
        <v>0</v>
      </c>
      <c r="H409" s="2284">
        <v>6.0755584015632635</v>
      </c>
      <c r="I409" s="2285">
        <v>6.4583185808617491</v>
      </c>
      <c r="J409" s="2259">
        <f t="shared" si="72"/>
        <v>6.2669384912125068</v>
      </c>
      <c r="K409" s="2286">
        <f>I409</f>
        <v>6.4583185808617491</v>
      </c>
      <c r="L409" s="2285">
        <f>K409*1.053</f>
        <v>6.8006094656474216</v>
      </c>
      <c r="M409" s="2258">
        <f>K409/2+L409/2</f>
        <v>6.6294640232545854</v>
      </c>
      <c r="N409" s="2284">
        <f>L409</f>
        <v>6.8006094656474216</v>
      </c>
      <c r="O409" s="2285">
        <f>N409*1.053</f>
        <v>7.1610417673267346</v>
      </c>
      <c r="P409" s="2259">
        <f>N409/2+O409/2</f>
        <v>6.9808256164870777</v>
      </c>
      <c r="Q409" s="2284">
        <f>O409</f>
        <v>7.1610417673267346</v>
      </c>
      <c r="R409" s="2286">
        <f>Q409*1.053</f>
        <v>7.5405769809950511</v>
      </c>
      <c r="S409" s="2258">
        <f>Q409/2+R409/2</f>
        <v>7.3508093741608924</v>
      </c>
      <c r="T409" s="2284">
        <f>R409</f>
        <v>7.5405769809950511</v>
      </c>
      <c r="U409" s="2285">
        <f>T409*1.053</f>
        <v>7.9402275609877879</v>
      </c>
      <c r="V409" s="2259">
        <f t="shared" si="76"/>
        <v>7.7404022709914191</v>
      </c>
      <c r="W409" s="2094"/>
      <c r="X409" s="2094"/>
      <c r="Y409" s="2092"/>
      <c r="Z409" s="1376"/>
    </row>
    <row r="410" spans="1:26" s="1263" customFormat="1" hidden="1" outlineLevel="1">
      <c r="A410" s="1267">
        <v>205</v>
      </c>
      <c r="B410" s="1292"/>
      <c r="C410" s="1293" t="s">
        <v>1945</v>
      </c>
      <c r="D410" s="1454" t="s">
        <v>1317</v>
      </c>
      <c r="E410" s="1279">
        <f>E411*E412</f>
        <v>0</v>
      </c>
      <c r="F410" s="1280">
        <f>F411*F412</f>
        <v>0</v>
      </c>
      <c r="G410" s="1281">
        <f t="shared" si="68"/>
        <v>0</v>
      </c>
      <c r="H410" s="2255">
        <v>0</v>
      </c>
      <c r="I410" s="2256">
        <v>0</v>
      </c>
      <c r="J410" s="2259">
        <f t="shared" si="72"/>
        <v>0</v>
      </c>
      <c r="K410" s="2260">
        <f>K411*K412</f>
        <v>0</v>
      </c>
      <c r="L410" s="2256">
        <f>L411*L412</f>
        <v>0</v>
      </c>
      <c r="M410" s="2258">
        <f t="shared" si="73"/>
        <v>0</v>
      </c>
      <c r="N410" s="2255">
        <f>N411*N412</f>
        <v>0</v>
      </c>
      <c r="O410" s="2256">
        <f>O411*O412</f>
        <v>0</v>
      </c>
      <c r="P410" s="2259">
        <f t="shared" si="74"/>
        <v>0</v>
      </c>
      <c r="Q410" s="2255">
        <f>Q411*Q412</f>
        <v>0</v>
      </c>
      <c r="R410" s="2260">
        <f>R411*R412</f>
        <v>0</v>
      </c>
      <c r="S410" s="2258">
        <f t="shared" si="75"/>
        <v>0</v>
      </c>
      <c r="T410" s="2255">
        <f>T411*T412</f>
        <v>0</v>
      </c>
      <c r="U410" s="2256">
        <f>U411*U412</f>
        <v>0</v>
      </c>
      <c r="V410" s="2259">
        <f t="shared" si="76"/>
        <v>0</v>
      </c>
      <c r="W410" s="2093"/>
      <c r="X410" s="2093"/>
      <c r="Y410" s="2092"/>
      <c r="Z410" s="1376"/>
    </row>
    <row r="411" spans="1:26" s="1263" customFormat="1" hidden="1" outlineLevel="1">
      <c r="A411" s="1267">
        <v>214</v>
      </c>
      <c r="B411" s="1294" t="s">
        <v>1946</v>
      </c>
      <c r="C411" s="1295" t="s">
        <v>1929</v>
      </c>
      <c r="D411" s="1457" t="s">
        <v>1930</v>
      </c>
      <c r="E411" s="1296"/>
      <c r="F411" s="1297"/>
      <c r="G411" s="1281">
        <f t="shared" si="68"/>
        <v>0</v>
      </c>
      <c r="H411" s="2284"/>
      <c r="I411" s="2285"/>
      <c r="J411" s="2259">
        <f t="shared" si="72"/>
        <v>0</v>
      </c>
      <c r="K411" s="2286"/>
      <c r="L411" s="2285"/>
      <c r="M411" s="2258">
        <f t="shared" si="73"/>
        <v>0</v>
      </c>
      <c r="N411" s="2284"/>
      <c r="O411" s="2285"/>
      <c r="P411" s="2259">
        <f t="shared" si="74"/>
        <v>0</v>
      </c>
      <c r="Q411" s="2284"/>
      <c r="R411" s="2286"/>
      <c r="S411" s="2258">
        <f t="shared" si="75"/>
        <v>0</v>
      </c>
      <c r="T411" s="2284"/>
      <c r="U411" s="2285"/>
      <c r="V411" s="2259">
        <f t="shared" si="76"/>
        <v>0</v>
      </c>
      <c r="W411" s="2094"/>
      <c r="X411" s="2094"/>
      <c r="Y411" s="2092"/>
      <c r="Z411" s="1376"/>
    </row>
    <row r="412" spans="1:26" s="1263" customFormat="1" hidden="1" outlineLevel="1">
      <c r="A412" s="1267">
        <v>215</v>
      </c>
      <c r="B412" s="1294" t="s">
        <v>1947</v>
      </c>
      <c r="C412" s="1295" t="s">
        <v>1933</v>
      </c>
      <c r="D412" s="1457" t="s">
        <v>1317</v>
      </c>
      <c r="E412" s="1296"/>
      <c r="F412" s="1297"/>
      <c r="G412" s="1281">
        <f t="shared" si="68"/>
        <v>0</v>
      </c>
      <c r="H412" s="2284"/>
      <c r="I412" s="2285"/>
      <c r="J412" s="2259">
        <f t="shared" si="72"/>
        <v>0</v>
      </c>
      <c r="K412" s="2286"/>
      <c r="L412" s="2285"/>
      <c r="M412" s="2258">
        <f t="shared" si="73"/>
        <v>0</v>
      </c>
      <c r="N412" s="2284"/>
      <c r="O412" s="2285"/>
      <c r="P412" s="2259">
        <f t="shared" si="74"/>
        <v>0</v>
      </c>
      <c r="Q412" s="2284"/>
      <c r="R412" s="2286"/>
      <c r="S412" s="2258">
        <f t="shared" si="75"/>
        <v>0</v>
      </c>
      <c r="T412" s="2284"/>
      <c r="U412" s="2285"/>
      <c r="V412" s="2259">
        <f t="shared" si="76"/>
        <v>0</v>
      </c>
      <c r="W412" s="2094"/>
      <c r="X412" s="2094"/>
      <c r="Y412" s="2092"/>
      <c r="Z412" s="1376"/>
    </row>
    <row r="413" spans="1:26" s="1263" customFormat="1" outlineLevel="1">
      <c r="A413" s="1267">
        <v>200</v>
      </c>
      <c r="B413" s="1292"/>
      <c r="C413" s="1278" t="s">
        <v>1948</v>
      </c>
      <c r="D413" s="1454" t="s">
        <v>1317</v>
      </c>
      <c r="E413" s="1279">
        <f>E414+E430</f>
        <v>0</v>
      </c>
      <c r="F413" s="1280">
        <f>F414+F430</f>
        <v>0</v>
      </c>
      <c r="G413" s="1281">
        <f t="shared" si="68"/>
        <v>0</v>
      </c>
      <c r="H413" s="2255">
        <v>64192.414277705597</v>
      </c>
      <c r="I413" s="2256">
        <v>68236.536377201046</v>
      </c>
      <c r="J413" s="2259">
        <f t="shared" si="72"/>
        <v>66214.475327453314</v>
      </c>
      <c r="K413" s="2260">
        <f>K414+K430</f>
        <v>68236.536377201046</v>
      </c>
      <c r="L413" s="2256">
        <f>L414+L430</f>
        <v>71853.0728051927</v>
      </c>
      <c r="M413" s="2258">
        <f t="shared" si="73"/>
        <v>70044.80459119688</v>
      </c>
      <c r="N413" s="2255">
        <f>N414+N430</f>
        <v>71853.0728051927</v>
      </c>
      <c r="O413" s="2256">
        <f>O414+O430</f>
        <v>75661.285663867908</v>
      </c>
      <c r="P413" s="2259">
        <f t="shared" si="74"/>
        <v>73757.179234530311</v>
      </c>
      <c r="Q413" s="2255">
        <f>Q414+Q430</f>
        <v>75661.285663867908</v>
      </c>
      <c r="R413" s="2260">
        <f>R414+R430</f>
        <v>79671.333804052905</v>
      </c>
      <c r="S413" s="2258">
        <f t="shared" si="75"/>
        <v>77666.309733960399</v>
      </c>
      <c r="T413" s="2255">
        <f>T414+T430</f>
        <v>79671.333804052905</v>
      </c>
      <c r="U413" s="2256">
        <f>U414+U430</f>
        <v>83893.914495667705</v>
      </c>
      <c r="V413" s="2259">
        <f t="shared" si="76"/>
        <v>81782.624149860305</v>
      </c>
      <c r="W413" s="2093"/>
      <c r="X413" s="2093"/>
      <c r="Y413" s="2092"/>
      <c r="Z413" s="1376"/>
    </row>
    <row r="414" spans="1:26" s="1263" customFormat="1" outlineLevel="1">
      <c r="A414" s="1267">
        <v>216</v>
      </c>
      <c r="B414" s="1292"/>
      <c r="C414" s="1293" t="s">
        <v>1949</v>
      </c>
      <c r="D414" s="1454" t="s">
        <v>1317</v>
      </c>
      <c r="E414" s="1279">
        <f>E415+E418+E421+E424+E427</f>
        <v>0</v>
      </c>
      <c r="F414" s="1280">
        <f>F415+F418+F421+F424+F427</f>
        <v>0</v>
      </c>
      <c r="G414" s="1281">
        <f t="shared" si="68"/>
        <v>0</v>
      </c>
      <c r="H414" s="2255">
        <v>38801.417326826122</v>
      </c>
      <c r="I414" s="2256">
        <v>41245.906618416164</v>
      </c>
      <c r="J414" s="2259">
        <f t="shared" si="72"/>
        <v>40023.661972621143</v>
      </c>
      <c r="K414" s="2260">
        <f>K415+K418+K421+K424+K427</f>
        <v>41245.906618416164</v>
      </c>
      <c r="L414" s="2256">
        <f>L415+L418+L421+L424+L427</f>
        <v>43431.939669192216</v>
      </c>
      <c r="M414" s="2258">
        <f t="shared" si="73"/>
        <v>42338.92314380419</v>
      </c>
      <c r="N414" s="2255">
        <f>N415+N418+N421+N424+N427</f>
        <v>43431.939669192216</v>
      </c>
      <c r="O414" s="2256">
        <f>O415+O418+O421+O424+O427</f>
        <v>45733.832471659407</v>
      </c>
      <c r="P414" s="2259">
        <f t="shared" si="74"/>
        <v>44582.886070425811</v>
      </c>
      <c r="Q414" s="2255">
        <f>Q415+Q418+Q421+Q424+Q427</f>
        <v>45733.832471659407</v>
      </c>
      <c r="R414" s="2260">
        <f>R415+R418+R421+R424+R427</f>
        <v>48157.725592657349</v>
      </c>
      <c r="S414" s="2258">
        <f t="shared" si="75"/>
        <v>46945.779032158374</v>
      </c>
      <c r="T414" s="2255">
        <f>T415+T418+T421+T424+T427</f>
        <v>48157.725592657349</v>
      </c>
      <c r="U414" s="2256">
        <f>U415+U418+U421+U424+U427</f>
        <v>50710.085049068184</v>
      </c>
      <c r="V414" s="2259">
        <f t="shared" si="76"/>
        <v>49433.905320862767</v>
      </c>
      <c r="W414" s="2093"/>
      <c r="X414" s="2093"/>
      <c r="Y414" s="2092"/>
      <c r="Z414" s="1376"/>
    </row>
    <row r="415" spans="1:26" s="1263" customFormat="1" hidden="1" outlineLevel="2">
      <c r="A415" s="1267">
        <v>218</v>
      </c>
      <c r="B415" s="1292"/>
      <c r="C415" s="1293" t="s">
        <v>1927</v>
      </c>
      <c r="D415" s="1454" t="s">
        <v>1317</v>
      </c>
      <c r="E415" s="1279">
        <f>E416*E417</f>
        <v>0</v>
      </c>
      <c r="F415" s="1280">
        <f>F416*F417</f>
        <v>0</v>
      </c>
      <c r="G415" s="1281">
        <f t="shared" si="68"/>
        <v>0</v>
      </c>
      <c r="H415" s="2255">
        <v>0</v>
      </c>
      <c r="I415" s="2256">
        <v>0</v>
      </c>
      <c r="J415" s="2259">
        <f t="shared" si="72"/>
        <v>0</v>
      </c>
      <c r="K415" s="2260">
        <f>K416*K417</f>
        <v>0</v>
      </c>
      <c r="L415" s="2256">
        <f>L416*L417</f>
        <v>0</v>
      </c>
      <c r="M415" s="2258">
        <f t="shared" si="73"/>
        <v>0</v>
      </c>
      <c r="N415" s="2255">
        <f>N416*N417</f>
        <v>0</v>
      </c>
      <c r="O415" s="2256">
        <f>O416*O417</f>
        <v>0</v>
      </c>
      <c r="P415" s="2259">
        <f t="shared" si="74"/>
        <v>0</v>
      </c>
      <c r="Q415" s="2255">
        <f>Q416*Q417</f>
        <v>0</v>
      </c>
      <c r="R415" s="2260">
        <f>R416*R417</f>
        <v>0</v>
      </c>
      <c r="S415" s="2258">
        <f t="shared" si="75"/>
        <v>0</v>
      </c>
      <c r="T415" s="2255">
        <f>T416*T417</f>
        <v>0</v>
      </c>
      <c r="U415" s="2256">
        <f>U416*U417</f>
        <v>0</v>
      </c>
      <c r="V415" s="2259">
        <f t="shared" si="76"/>
        <v>0</v>
      </c>
      <c r="W415" s="2093"/>
      <c r="X415" s="2093"/>
      <c r="Y415" s="2092"/>
      <c r="Z415" s="1376"/>
    </row>
    <row r="416" spans="1:26" s="1263" customFormat="1" hidden="1" outlineLevel="2">
      <c r="A416" s="1267">
        <v>223</v>
      </c>
      <c r="B416" s="1294" t="s">
        <v>1950</v>
      </c>
      <c r="C416" s="1295" t="s">
        <v>1929</v>
      </c>
      <c r="D416" s="1457" t="s">
        <v>1951</v>
      </c>
      <c r="E416" s="1296"/>
      <c r="F416" s="1297"/>
      <c r="G416" s="1281">
        <f t="shared" si="68"/>
        <v>0</v>
      </c>
      <c r="H416" s="2284"/>
      <c r="I416" s="2285"/>
      <c r="J416" s="2259">
        <f t="shared" si="72"/>
        <v>0</v>
      </c>
      <c r="K416" s="2286"/>
      <c r="L416" s="2285"/>
      <c r="M416" s="2258">
        <f t="shared" si="73"/>
        <v>0</v>
      </c>
      <c r="N416" s="2284"/>
      <c r="O416" s="2285"/>
      <c r="P416" s="2259">
        <f t="shared" si="74"/>
        <v>0</v>
      </c>
      <c r="Q416" s="2284"/>
      <c r="R416" s="2286"/>
      <c r="S416" s="2258">
        <f t="shared" si="75"/>
        <v>0</v>
      </c>
      <c r="T416" s="2284"/>
      <c r="U416" s="2285"/>
      <c r="V416" s="2259">
        <f t="shared" si="76"/>
        <v>0</v>
      </c>
      <c r="W416" s="2094"/>
      <c r="X416" s="2094"/>
      <c r="Y416" s="2092"/>
      <c r="Z416" s="1376"/>
    </row>
    <row r="417" spans="1:26" s="1263" customFormat="1" hidden="1" outlineLevel="2">
      <c r="A417" s="1267">
        <v>224</v>
      </c>
      <c r="B417" s="1294" t="s">
        <v>1952</v>
      </c>
      <c r="C417" s="1295" t="s">
        <v>1953</v>
      </c>
      <c r="D417" s="1457" t="s">
        <v>1954</v>
      </c>
      <c r="E417" s="1296"/>
      <c r="F417" s="1297"/>
      <c r="G417" s="1281">
        <f t="shared" si="68"/>
        <v>0</v>
      </c>
      <c r="H417" s="2284"/>
      <c r="I417" s="2285"/>
      <c r="J417" s="2259">
        <f t="shared" si="72"/>
        <v>0</v>
      </c>
      <c r="K417" s="2286"/>
      <c r="L417" s="2285"/>
      <c r="M417" s="2258">
        <f t="shared" si="73"/>
        <v>0</v>
      </c>
      <c r="N417" s="2284"/>
      <c r="O417" s="2285"/>
      <c r="P417" s="2259">
        <f t="shared" si="74"/>
        <v>0</v>
      </c>
      <c r="Q417" s="2284"/>
      <c r="R417" s="2286"/>
      <c r="S417" s="2258">
        <f t="shared" si="75"/>
        <v>0</v>
      </c>
      <c r="T417" s="2284"/>
      <c r="U417" s="2285"/>
      <c r="V417" s="2259">
        <f t="shared" si="76"/>
        <v>0</v>
      </c>
      <c r="W417" s="2094"/>
      <c r="X417" s="2094"/>
      <c r="Y417" s="2092"/>
      <c r="Z417" s="1376"/>
    </row>
    <row r="418" spans="1:26" s="1263" customFormat="1" hidden="1" outlineLevel="2">
      <c r="A418" s="1267">
        <v>219</v>
      </c>
      <c r="B418" s="1292"/>
      <c r="C418" s="1293" t="s">
        <v>1936</v>
      </c>
      <c r="D418" s="1454" t="s">
        <v>1317</v>
      </c>
      <c r="E418" s="1279">
        <f>E419*E420</f>
        <v>0</v>
      </c>
      <c r="F418" s="1280">
        <f>F419*F420</f>
        <v>0</v>
      </c>
      <c r="G418" s="1281">
        <f t="shared" si="68"/>
        <v>0</v>
      </c>
      <c r="H418" s="2255">
        <v>0</v>
      </c>
      <c r="I418" s="2256">
        <v>0</v>
      </c>
      <c r="J418" s="2259">
        <f t="shared" si="72"/>
        <v>0</v>
      </c>
      <c r="K418" s="2260">
        <f>K419*K420</f>
        <v>0</v>
      </c>
      <c r="L418" s="2256">
        <f>L419*L420</f>
        <v>0</v>
      </c>
      <c r="M418" s="2258">
        <f t="shared" si="73"/>
        <v>0</v>
      </c>
      <c r="N418" s="2255">
        <f>N419*N420</f>
        <v>0</v>
      </c>
      <c r="O418" s="2256">
        <f>O419*O420</f>
        <v>0</v>
      </c>
      <c r="P418" s="2259">
        <f t="shared" si="74"/>
        <v>0</v>
      </c>
      <c r="Q418" s="2255">
        <f>Q419*Q420</f>
        <v>0</v>
      </c>
      <c r="R418" s="2260">
        <f>R419*R420</f>
        <v>0</v>
      </c>
      <c r="S418" s="2258">
        <f t="shared" si="75"/>
        <v>0</v>
      </c>
      <c r="T418" s="2255">
        <f>T419*T420</f>
        <v>0</v>
      </c>
      <c r="U418" s="2256">
        <f>U419*U420</f>
        <v>0</v>
      </c>
      <c r="V418" s="2259">
        <f t="shared" si="76"/>
        <v>0</v>
      </c>
      <c r="W418" s="2093"/>
      <c r="X418" s="2093"/>
      <c r="Y418" s="2092"/>
      <c r="Z418" s="1376"/>
    </row>
    <row r="419" spans="1:26" s="1263" customFormat="1" hidden="1" outlineLevel="2">
      <c r="A419" s="1267">
        <v>225</v>
      </c>
      <c r="B419" s="1294" t="s">
        <v>1955</v>
      </c>
      <c r="C419" s="1295" t="s">
        <v>1929</v>
      </c>
      <c r="D419" s="1457" t="s">
        <v>1951</v>
      </c>
      <c r="E419" s="1296"/>
      <c r="F419" s="1297"/>
      <c r="G419" s="1281">
        <f t="shared" si="68"/>
        <v>0</v>
      </c>
      <c r="H419" s="2284"/>
      <c r="I419" s="2285"/>
      <c r="J419" s="2259">
        <f t="shared" si="72"/>
        <v>0</v>
      </c>
      <c r="K419" s="2286"/>
      <c r="L419" s="2285"/>
      <c r="M419" s="2258">
        <f t="shared" si="73"/>
        <v>0</v>
      </c>
      <c r="N419" s="2284"/>
      <c r="O419" s="2285"/>
      <c r="P419" s="2259">
        <f t="shared" si="74"/>
        <v>0</v>
      </c>
      <c r="Q419" s="2284"/>
      <c r="R419" s="2286"/>
      <c r="S419" s="2258">
        <f t="shared" si="75"/>
        <v>0</v>
      </c>
      <c r="T419" s="2284"/>
      <c r="U419" s="2285"/>
      <c r="V419" s="2259">
        <f t="shared" si="76"/>
        <v>0</v>
      </c>
      <c r="W419" s="2094"/>
      <c r="X419" s="2094"/>
      <c r="Y419" s="2092"/>
      <c r="Z419" s="1376"/>
    </row>
    <row r="420" spans="1:26" s="1263" customFormat="1" hidden="1" outlineLevel="2">
      <c r="A420" s="1267">
        <v>226</v>
      </c>
      <c r="B420" s="1294" t="s">
        <v>1956</v>
      </c>
      <c r="C420" s="1295" t="s">
        <v>1953</v>
      </c>
      <c r="D420" s="1457" t="s">
        <v>1954</v>
      </c>
      <c r="E420" s="1296"/>
      <c r="F420" s="1297"/>
      <c r="G420" s="1281">
        <f t="shared" si="68"/>
        <v>0</v>
      </c>
      <c r="H420" s="2284"/>
      <c r="I420" s="2285"/>
      <c r="J420" s="2259">
        <f t="shared" si="72"/>
        <v>0</v>
      </c>
      <c r="K420" s="2286"/>
      <c r="L420" s="2285"/>
      <c r="M420" s="2258">
        <f t="shared" si="73"/>
        <v>0</v>
      </c>
      <c r="N420" s="2284"/>
      <c r="O420" s="2285"/>
      <c r="P420" s="2259">
        <f t="shared" si="74"/>
        <v>0</v>
      </c>
      <c r="Q420" s="2284"/>
      <c r="R420" s="2286"/>
      <c r="S420" s="2258">
        <f t="shared" si="75"/>
        <v>0</v>
      </c>
      <c r="T420" s="2284"/>
      <c r="U420" s="2285"/>
      <c r="V420" s="2259">
        <f t="shared" si="76"/>
        <v>0</v>
      </c>
      <c r="W420" s="2094"/>
      <c r="X420" s="2094"/>
      <c r="Y420" s="2092"/>
      <c r="Z420" s="1376"/>
    </row>
    <row r="421" spans="1:26" s="1263" customFormat="1" outlineLevel="1" collapsed="1">
      <c r="A421" s="1267">
        <v>220</v>
      </c>
      <c r="B421" s="1292"/>
      <c r="C421" s="1293" t="s">
        <v>1939</v>
      </c>
      <c r="D421" s="1454" t="s">
        <v>1317</v>
      </c>
      <c r="E421" s="1279">
        <f>E422*E423</f>
        <v>0</v>
      </c>
      <c r="F421" s="1280">
        <f>F422*F423</f>
        <v>0</v>
      </c>
      <c r="G421" s="1281">
        <f t="shared" si="68"/>
        <v>0</v>
      </c>
      <c r="H421" s="2255">
        <v>20098.580771113098</v>
      </c>
      <c r="I421" s="2256">
        <v>21364.791359693223</v>
      </c>
      <c r="J421" s="2259">
        <f t="shared" si="72"/>
        <v>20731.686065403163</v>
      </c>
      <c r="K421" s="2260">
        <f>K422*K423</f>
        <v>21364.791359693223</v>
      </c>
      <c r="L421" s="2256">
        <f>L422*L423</f>
        <v>22497.125301756962</v>
      </c>
      <c r="M421" s="2258">
        <f t="shared" si="73"/>
        <v>21930.958330725094</v>
      </c>
      <c r="N421" s="2255">
        <f>N422*N423</f>
        <v>22497.125301756962</v>
      </c>
      <c r="O421" s="2256">
        <f>O422*O423</f>
        <v>23689.472942750079</v>
      </c>
      <c r="P421" s="2259">
        <f t="shared" si="74"/>
        <v>23093.29912225352</v>
      </c>
      <c r="Q421" s="2255">
        <f>Q422*Q423</f>
        <v>23689.472942750079</v>
      </c>
      <c r="R421" s="2260">
        <f>R422*R423</f>
        <v>24945.015008715833</v>
      </c>
      <c r="S421" s="2258">
        <f t="shared" si="75"/>
        <v>24317.243975732956</v>
      </c>
      <c r="T421" s="2255">
        <f>T422*T423</f>
        <v>24945.015008715833</v>
      </c>
      <c r="U421" s="2256">
        <f>U422*U423</f>
        <v>26267.100804177771</v>
      </c>
      <c r="V421" s="2259">
        <f t="shared" si="76"/>
        <v>25606.057906446804</v>
      </c>
      <c r="W421" s="2093"/>
      <c r="X421" s="2093"/>
      <c r="Y421" s="2092"/>
      <c r="Z421" s="1376"/>
    </row>
    <row r="422" spans="1:26" s="1263" customFormat="1" outlineLevel="1">
      <c r="A422" s="1267">
        <v>227</v>
      </c>
      <c r="B422" s="1294" t="s">
        <v>1957</v>
      </c>
      <c r="C422" s="1295" t="s">
        <v>1929</v>
      </c>
      <c r="D422" s="1457" t="s">
        <v>1951</v>
      </c>
      <c r="E422" s="1296"/>
      <c r="F422" s="1297"/>
      <c r="G422" s="1281">
        <f t="shared" si="68"/>
        <v>0</v>
      </c>
      <c r="H422" s="2284">
        <v>7.0027966660306404</v>
      </c>
      <c r="I422" s="2285">
        <v>7.0027966660306404</v>
      </c>
      <c r="J422" s="2259">
        <f t="shared" si="72"/>
        <v>7.0027966660306404</v>
      </c>
      <c r="K422" s="2286">
        <f>H422</f>
        <v>7.0027966660306404</v>
      </c>
      <c r="L422" s="2285">
        <f>K422</f>
        <v>7.0027966660306404</v>
      </c>
      <c r="M422" s="2258">
        <f t="shared" si="73"/>
        <v>7.0027966660306404</v>
      </c>
      <c r="N422" s="2284">
        <f>L422</f>
        <v>7.0027966660306404</v>
      </c>
      <c r="O422" s="2285">
        <f>N422</f>
        <v>7.0027966660306404</v>
      </c>
      <c r="P422" s="2259">
        <f t="shared" si="74"/>
        <v>7.0027966660306404</v>
      </c>
      <c r="Q422" s="2284">
        <f>O422</f>
        <v>7.0027966660306404</v>
      </c>
      <c r="R422" s="2286">
        <f>Q422</f>
        <v>7.0027966660306404</v>
      </c>
      <c r="S422" s="2258">
        <f t="shared" si="75"/>
        <v>7.0027966660306404</v>
      </c>
      <c r="T422" s="2284">
        <f>R422</f>
        <v>7.0027966660306404</v>
      </c>
      <c r="U422" s="2285">
        <f>T422</f>
        <v>7.0027966660306404</v>
      </c>
      <c r="V422" s="2259">
        <f t="shared" si="76"/>
        <v>7.0027966660306404</v>
      </c>
      <c r="W422" s="2094"/>
      <c r="X422" s="2094"/>
      <c r="Y422" s="2092"/>
      <c r="Z422" s="1376"/>
    </row>
    <row r="423" spans="1:26" s="1263" customFormat="1" outlineLevel="1">
      <c r="A423" s="1267">
        <v>228</v>
      </c>
      <c r="B423" s="1294" t="s">
        <v>1958</v>
      </c>
      <c r="C423" s="1295" t="s">
        <v>1953</v>
      </c>
      <c r="D423" s="1457" t="s">
        <v>1954</v>
      </c>
      <c r="E423" s="1296"/>
      <c r="F423" s="1297"/>
      <c r="G423" s="1281">
        <f t="shared" si="68"/>
        <v>0</v>
      </c>
      <c r="H423" s="2284">
        <v>2870.0791597459697</v>
      </c>
      <c r="I423" s="2285">
        <v>3050.8941468099656</v>
      </c>
      <c r="J423" s="2259">
        <f t="shared" si="72"/>
        <v>2960.4866532779679</v>
      </c>
      <c r="K423" s="2286">
        <f>I423</f>
        <v>3050.8941468099656</v>
      </c>
      <c r="L423" s="2285">
        <f>K423*1.053</f>
        <v>3212.5915365908936</v>
      </c>
      <c r="M423" s="2258">
        <f>K423/2+L423/2</f>
        <v>3131.7428417004294</v>
      </c>
      <c r="N423" s="2284">
        <f>L423</f>
        <v>3212.5915365908936</v>
      </c>
      <c r="O423" s="2285">
        <f>N423*1.053</f>
        <v>3382.8588880302109</v>
      </c>
      <c r="P423" s="2259">
        <f>N423/2+O423/2</f>
        <v>3297.7252123105523</v>
      </c>
      <c r="Q423" s="2284">
        <f>O423</f>
        <v>3382.8588880302109</v>
      </c>
      <c r="R423" s="2286">
        <f>Q423*1.053</f>
        <v>3562.1504090958119</v>
      </c>
      <c r="S423" s="2258">
        <f>Q423/2+R423/2</f>
        <v>3472.5046485630114</v>
      </c>
      <c r="T423" s="2284">
        <f>R423</f>
        <v>3562.1504090958119</v>
      </c>
      <c r="U423" s="2285">
        <f>T423*1.053</f>
        <v>3750.9443807778898</v>
      </c>
      <c r="V423" s="2259">
        <f t="shared" si="76"/>
        <v>3656.5473949368507</v>
      </c>
      <c r="W423" s="2094"/>
      <c r="X423" s="2094"/>
      <c r="Y423" s="2092"/>
      <c r="Z423" s="1376"/>
    </row>
    <row r="424" spans="1:26" s="1263" customFormat="1" outlineLevel="1">
      <c r="A424" s="1267">
        <v>221</v>
      </c>
      <c r="B424" s="1292"/>
      <c r="C424" s="1293" t="s">
        <v>1942</v>
      </c>
      <c r="D424" s="1454" t="s">
        <v>1317</v>
      </c>
      <c r="E424" s="1279">
        <f>E425*E426</f>
        <v>0</v>
      </c>
      <c r="F424" s="1280">
        <f>F425*F426</f>
        <v>0</v>
      </c>
      <c r="G424" s="1281">
        <f t="shared" si="68"/>
        <v>0</v>
      </c>
      <c r="H424" s="2255">
        <v>18702.836555713024</v>
      </c>
      <c r="I424" s="2256">
        <v>19881.115258722941</v>
      </c>
      <c r="J424" s="2259">
        <f t="shared" si="72"/>
        <v>19291.97590721798</v>
      </c>
      <c r="K424" s="2260">
        <f>K425*K426</f>
        <v>19881.115258722941</v>
      </c>
      <c r="L424" s="2256">
        <f>L425*L426</f>
        <v>20934.814367435254</v>
      </c>
      <c r="M424" s="2258">
        <f t="shared" si="73"/>
        <v>20407.964813079096</v>
      </c>
      <c r="N424" s="2255">
        <f>N425*N426</f>
        <v>20934.814367435254</v>
      </c>
      <c r="O424" s="2256">
        <f>O425*O426</f>
        <v>22044.359528909325</v>
      </c>
      <c r="P424" s="2259">
        <f t="shared" si="74"/>
        <v>21489.586948172291</v>
      </c>
      <c r="Q424" s="2255">
        <f>Q425*Q426</f>
        <v>22044.359528909325</v>
      </c>
      <c r="R424" s="2260">
        <f>R425*R426</f>
        <v>23212.710583941516</v>
      </c>
      <c r="S424" s="2258">
        <f t="shared" si="75"/>
        <v>22628.535056425419</v>
      </c>
      <c r="T424" s="2255">
        <f>T425*T426</f>
        <v>23212.710583941516</v>
      </c>
      <c r="U424" s="2256">
        <f>U425*U426</f>
        <v>24442.984244890413</v>
      </c>
      <c r="V424" s="2259">
        <f t="shared" si="76"/>
        <v>23827.847414415963</v>
      </c>
      <c r="W424" s="2093"/>
      <c r="X424" s="2093"/>
      <c r="Y424" s="2092"/>
      <c r="Z424" s="1376"/>
    </row>
    <row r="425" spans="1:26" s="1263" customFormat="1" outlineLevel="1">
      <c r="A425" s="1267">
        <v>229</v>
      </c>
      <c r="B425" s="1294" t="s">
        <v>1959</v>
      </c>
      <c r="C425" s="1295" t="s">
        <v>1929</v>
      </c>
      <c r="D425" s="1457" t="s">
        <v>1951</v>
      </c>
      <c r="E425" s="1296"/>
      <c r="F425" s="1297"/>
      <c r="G425" s="1281">
        <f t="shared" si="68"/>
        <v>0</v>
      </c>
      <c r="H425" s="2284">
        <v>8.1741911542297849</v>
      </c>
      <c r="I425" s="2285">
        <v>8.1741911542297849</v>
      </c>
      <c r="J425" s="2259">
        <f t="shared" si="72"/>
        <v>8.1741911542297849</v>
      </c>
      <c r="K425" s="2286">
        <f>H425</f>
        <v>8.1741911542297849</v>
      </c>
      <c r="L425" s="2285">
        <f>K425</f>
        <v>8.1741911542297849</v>
      </c>
      <c r="M425" s="2258">
        <f t="shared" si="73"/>
        <v>8.1741911542297849</v>
      </c>
      <c r="N425" s="2284">
        <f>L425</f>
        <v>8.1741911542297849</v>
      </c>
      <c r="O425" s="2285">
        <f>N425</f>
        <v>8.1741911542297849</v>
      </c>
      <c r="P425" s="2259">
        <f t="shared" si="74"/>
        <v>8.1741911542297849</v>
      </c>
      <c r="Q425" s="2284">
        <f>O425</f>
        <v>8.1741911542297849</v>
      </c>
      <c r="R425" s="2286">
        <f>Q425</f>
        <v>8.1741911542297849</v>
      </c>
      <c r="S425" s="2258">
        <f t="shared" si="75"/>
        <v>8.1741911542297849</v>
      </c>
      <c r="T425" s="2284">
        <f>R425</f>
        <v>8.1741911542297849</v>
      </c>
      <c r="U425" s="2285">
        <f>T425</f>
        <v>8.1741911542297849</v>
      </c>
      <c r="V425" s="2259">
        <f t="shared" si="76"/>
        <v>8.1741911542297849</v>
      </c>
      <c r="W425" s="2094"/>
      <c r="X425" s="2094"/>
      <c r="Y425" s="2092"/>
      <c r="Z425" s="1376"/>
    </row>
    <row r="426" spans="1:26" s="1263" customFormat="1" outlineLevel="1">
      <c r="A426" s="1267">
        <v>230</v>
      </c>
      <c r="B426" s="1294" t="s">
        <v>1960</v>
      </c>
      <c r="C426" s="1295" t="s">
        <v>1953</v>
      </c>
      <c r="D426" s="1457" t="s">
        <v>1954</v>
      </c>
      <c r="E426" s="1296"/>
      <c r="F426" s="1297"/>
      <c r="G426" s="1281">
        <f t="shared" si="68"/>
        <v>0</v>
      </c>
      <c r="H426" s="2284">
        <v>2288.0351343429406</v>
      </c>
      <c r="I426" s="2285">
        <v>2432.1813478065455</v>
      </c>
      <c r="J426" s="2259">
        <f t="shared" si="72"/>
        <v>2360.1082410747431</v>
      </c>
      <c r="K426" s="2286">
        <f>I426</f>
        <v>2432.1813478065455</v>
      </c>
      <c r="L426" s="2285">
        <f>K426*1.053</f>
        <v>2561.0869592402923</v>
      </c>
      <c r="M426" s="2258">
        <f>K426/2+L426/2</f>
        <v>2496.6341535234187</v>
      </c>
      <c r="N426" s="2284">
        <f>L426</f>
        <v>2561.0869592402923</v>
      </c>
      <c r="O426" s="2285">
        <f>N426*1.053</f>
        <v>2696.8245680800278</v>
      </c>
      <c r="P426" s="2259">
        <f>N426/2+O426/2</f>
        <v>2628.9557636601603</v>
      </c>
      <c r="Q426" s="2284">
        <f>O426</f>
        <v>2696.8245680800278</v>
      </c>
      <c r="R426" s="2286">
        <f>Q426*1.053</f>
        <v>2839.7562701882689</v>
      </c>
      <c r="S426" s="2258">
        <f>Q426/2+R426/2</f>
        <v>2768.2904191341486</v>
      </c>
      <c r="T426" s="2284">
        <f>R426</f>
        <v>2839.7562701882689</v>
      </c>
      <c r="U426" s="2285">
        <f>T426*1.053</f>
        <v>2990.263352508247</v>
      </c>
      <c r="V426" s="2259">
        <f t="shared" si="76"/>
        <v>2915.0098113482582</v>
      </c>
      <c r="W426" s="2094"/>
      <c r="X426" s="2094"/>
      <c r="Y426" s="2092"/>
      <c r="Z426" s="1376"/>
    </row>
    <row r="427" spans="1:26" s="1263" customFormat="1" hidden="1" outlineLevel="2">
      <c r="A427" s="1267">
        <v>222</v>
      </c>
      <c r="B427" s="1292"/>
      <c r="C427" s="1293" t="s">
        <v>1961</v>
      </c>
      <c r="D427" s="1454" t="s">
        <v>1317</v>
      </c>
      <c r="E427" s="1279">
        <f>E428*E429</f>
        <v>0</v>
      </c>
      <c r="F427" s="1280">
        <f>F428*F429</f>
        <v>0</v>
      </c>
      <c r="G427" s="1281">
        <f t="shared" si="68"/>
        <v>0</v>
      </c>
      <c r="H427" s="2255">
        <v>0</v>
      </c>
      <c r="I427" s="2256">
        <v>0</v>
      </c>
      <c r="J427" s="2259">
        <f t="shared" si="72"/>
        <v>0</v>
      </c>
      <c r="K427" s="2260">
        <f>K428*K429</f>
        <v>0</v>
      </c>
      <c r="L427" s="2256">
        <f>L428*L429</f>
        <v>0</v>
      </c>
      <c r="M427" s="2258">
        <f t="shared" si="73"/>
        <v>0</v>
      </c>
      <c r="N427" s="2255">
        <f>N428*N429</f>
        <v>0</v>
      </c>
      <c r="O427" s="2256">
        <f>O428*O429</f>
        <v>0</v>
      </c>
      <c r="P427" s="2259">
        <f t="shared" si="74"/>
        <v>0</v>
      </c>
      <c r="Q427" s="2255">
        <f>Q428*Q429</f>
        <v>0</v>
      </c>
      <c r="R427" s="2260">
        <f>R428*R429</f>
        <v>0</v>
      </c>
      <c r="S427" s="2258">
        <f t="shared" si="75"/>
        <v>0</v>
      </c>
      <c r="T427" s="2255">
        <f>T428*T429</f>
        <v>0</v>
      </c>
      <c r="U427" s="2256">
        <f>U428*U429</f>
        <v>0</v>
      </c>
      <c r="V427" s="2259">
        <f t="shared" si="76"/>
        <v>0</v>
      </c>
      <c r="W427" s="2093"/>
      <c r="X427" s="2093"/>
      <c r="Y427" s="2092"/>
      <c r="Z427" s="1376"/>
    </row>
    <row r="428" spans="1:26" s="1263" customFormat="1" hidden="1" outlineLevel="2">
      <c r="A428" s="1267">
        <v>231</v>
      </c>
      <c r="B428" s="1294" t="s">
        <v>1962</v>
      </c>
      <c r="C428" s="1295" t="s">
        <v>1929</v>
      </c>
      <c r="D428" s="1457" t="s">
        <v>1951</v>
      </c>
      <c r="E428" s="1296"/>
      <c r="F428" s="1297"/>
      <c r="G428" s="1281">
        <f t="shared" si="68"/>
        <v>0</v>
      </c>
      <c r="H428" s="2284"/>
      <c r="I428" s="2285"/>
      <c r="J428" s="2259">
        <f t="shared" si="72"/>
        <v>0</v>
      </c>
      <c r="K428" s="2286"/>
      <c r="L428" s="2285"/>
      <c r="M428" s="2258">
        <f t="shared" si="73"/>
        <v>0</v>
      </c>
      <c r="N428" s="2284"/>
      <c r="O428" s="2285"/>
      <c r="P428" s="2259">
        <f t="shared" si="74"/>
        <v>0</v>
      </c>
      <c r="Q428" s="2284"/>
      <c r="R428" s="2286"/>
      <c r="S428" s="2258">
        <f t="shared" si="75"/>
        <v>0</v>
      </c>
      <c r="T428" s="2284"/>
      <c r="U428" s="2285"/>
      <c r="V428" s="2259">
        <f t="shared" si="76"/>
        <v>0</v>
      </c>
      <c r="W428" s="2094"/>
      <c r="X428" s="2094"/>
      <c r="Y428" s="2092"/>
      <c r="Z428" s="1376"/>
    </row>
    <row r="429" spans="1:26" s="1263" customFormat="1" hidden="1" outlineLevel="2">
      <c r="A429" s="1267">
        <v>232</v>
      </c>
      <c r="B429" s="1294" t="s">
        <v>1963</v>
      </c>
      <c r="C429" s="1295" t="s">
        <v>1953</v>
      </c>
      <c r="D429" s="1457" t="s">
        <v>1954</v>
      </c>
      <c r="E429" s="1296"/>
      <c r="F429" s="1297"/>
      <c r="G429" s="1281">
        <f t="shared" si="68"/>
        <v>0</v>
      </c>
      <c r="H429" s="2284"/>
      <c r="I429" s="2285"/>
      <c r="J429" s="2259">
        <f t="shared" si="72"/>
        <v>0</v>
      </c>
      <c r="K429" s="2286"/>
      <c r="L429" s="2285"/>
      <c r="M429" s="2258">
        <f t="shared" si="73"/>
        <v>0</v>
      </c>
      <c r="N429" s="2284"/>
      <c r="O429" s="2285"/>
      <c r="P429" s="2259">
        <f t="shared" si="74"/>
        <v>0</v>
      </c>
      <c r="Q429" s="2284"/>
      <c r="R429" s="2286"/>
      <c r="S429" s="2258">
        <f t="shared" si="75"/>
        <v>0</v>
      </c>
      <c r="T429" s="2284"/>
      <c r="U429" s="2285"/>
      <c r="V429" s="2259">
        <f t="shared" si="76"/>
        <v>0</v>
      </c>
      <c r="W429" s="2094"/>
      <c r="X429" s="2094"/>
      <c r="Y429" s="2092"/>
      <c r="Z429" s="1376"/>
    </row>
    <row r="430" spans="1:26" s="1263" customFormat="1" outlineLevel="1" collapsed="1">
      <c r="A430" s="1267">
        <v>217</v>
      </c>
      <c r="B430" s="1292"/>
      <c r="C430" s="1293" t="s">
        <v>1964</v>
      </c>
      <c r="D430" s="1454" t="s">
        <v>1317</v>
      </c>
      <c r="E430" s="1279">
        <f>E431+E434+E437+E440+E443</f>
        <v>0</v>
      </c>
      <c r="F430" s="1280"/>
      <c r="G430" s="1281">
        <f t="shared" si="68"/>
        <v>0</v>
      </c>
      <c r="H430" s="2377">
        <v>25390.996950879478</v>
      </c>
      <c r="I430" s="2256">
        <v>26990.629758784886</v>
      </c>
      <c r="J430" s="2259">
        <f t="shared" si="72"/>
        <v>26190.813354832182</v>
      </c>
      <c r="K430" s="2598">
        <f>K431+K434+K437+K440+K443</f>
        <v>26990.629758784886</v>
      </c>
      <c r="L430" s="2256">
        <f>L431+L434+L437+L440+L443</f>
        <v>28421.133136000484</v>
      </c>
      <c r="M430" s="2258">
        <f t="shared" si="73"/>
        <v>27705.881447392683</v>
      </c>
      <c r="N430" s="2377">
        <f>N431+N434+N437+N440+N443</f>
        <v>28421.133136000484</v>
      </c>
      <c r="O430" s="2256">
        <f>O431+O434+O437+O440+O443</f>
        <v>29927.453192208504</v>
      </c>
      <c r="P430" s="2259">
        <f t="shared" si="74"/>
        <v>29174.293164104492</v>
      </c>
      <c r="Q430" s="2255">
        <f>Q431+Q434+Q437+Q440+Q443</f>
        <v>29927.453192208504</v>
      </c>
      <c r="R430" s="2260">
        <f>R431+R434+R437+R440+R443</f>
        <v>31513.608211395553</v>
      </c>
      <c r="S430" s="2258">
        <f t="shared" si="75"/>
        <v>30720.530701802028</v>
      </c>
      <c r="T430" s="2377">
        <f>T431+T434+T437+T440+T443</f>
        <v>31513.608211395553</v>
      </c>
      <c r="U430" s="2256">
        <f>U431+U434+U437+U440+U443</f>
        <v>33183.829446599513</v>
      </c>
      <c r="V430" s="2259">
        <f t="shared" si="76"/>
        <v>32348.718828997531</v>
      </c>
      <c r="W430" s="2093"/>
      <c r="X430" s="2093"/>
      <c r="Y430" s="2092"/>
      <c r="Z430" s="1376"/>
    </row>
    <row r="431" spans="1:26" s="1263" customFormat="1" hidden="1" outlineLevel="2">
      <c r="A431" s="1267">
        <v>233</v>
      </c>
      <c r="B431" s="1292"/>
      <c r="C431" s="1293" t="s">
        <v>1927</v>
      </c>
      <c r="D431" s="1454" t="s">
        <v>1317</v>
      </c>
      <c r="E431" s="1279">
        <f>E432*E433</f>
        <v>0</v>
      </c>
      <c r="F431" s="1280">
        <f>F432*F433</f>
        <v>0</v>
      </c>
      <c r="G431" s="1281">
        <f t="shared" si="68"/>
        <v>0</v>
      </c>
      <c r="H431" s="2255">
        <v>0</v>
      </c>
      <c r="I431" s="2256">
        <v>0</v>
      </c>
      <c r="J431" s="2259">
        <f t="shared" si="72"/>
        <v>0</v>
      </c>
      <c r="K431" s="2260">
        <f>K432*K433</f>
        <v>0</v>
      </c>
      <c r="L431" s="2256">
        <f>L432*L433</f>
        <v>0</v>
      </c>
      <c r="M431" s="2258">
        <f t="shared" si="73"/>
        <v>0</v>
      </c>
      <c r="N431" s="2255">
        <f>N432*N433</f>
        <v>0</v>
      </c>
      <c r="O431" s="2256">
        <f>O432*O433</f>
        <v>0</v>
      </c>
      <c r="P431" s="2259">
        <f t="shared" si="74"/>
        <v>0</v>
      </c>
      <c r="Q431" s="2255">
        <f>Q432*Q433</f>
        <v>0</v>
      </c>
      <c r="R431" s="2260">
        <f>R432*R433</f>
        <v>0</v>
      </c>
      <c r="S431" s="2258">
        <f t="shared" si="75"/>
        <v>0</v>
      </c>
      <c r="T431" s="2255">
        <f>T432*T433</f>
        <v>0</v>
      </c>
      <c r="U431" s="2256">
        <f>U432*U433</f>
        <v>0</v>
      </c>
      <c r="V431" s="2259">
        <f t="shared" si="76"/>
        <v>0</v>
      </c>
      <c r="W431" s="2093"/>
      <c r="X431" s="2093"/>
      <c r="Y431" s="2092"/>
      <c r="Z431" s="1376"/>
    </row>
    <row r="432" spans="1:26" s="1263" customFormat="1" hidden="1" outlineLevel="2">
      <c r="A432" s="1267">
        <v>242</v>
      </c>
      <c r="B432" s="1294" t="s">
        <v>1965</v>
      </c>
      <c r="C432" s="1295" t="s">
        <v>1929</v>
      </c>
      <c r="D432" s="1457" t="s">
        <v>1951</v>
      </c>
      <c r="E432" s="1296"/>
      <c r="F432" s="1297"/>
      <c r="G432" s="1281">
        <f t="shared" si="68"/>
        <v>0</v>
      </c>
      <c r="H432" s="2284"/>
      <c r="I432" s="2285"/>
      <c r="J432" s="2259">
        <f t="shared" si="72"/>
        <v>0</v>
      </c>
      <c r="K432" s="2286"/>
      <c r="L432" s="2285"/>
      <c r="M432" s="2258">
        <f t="shared" si="73"/>
        <v>0</v>
      </c>
      <c r="N432" s="2284"/>
      <c r="O432" s="2285"/>
      <c r="P432" s="2259">
        <f t="shared" si="74"/>
        <v>0</v>
      </c>
      <c r="Q432" s="2284"/>
      <c r="R432" s="2286"/>
      <c r="S432" s="2258">
        <f t="shared" si="75"/>
        <v>0</v>
      </c>
      <c r="T432" s="2284"/>
      <c r="U432" s="2285"/>
      <c r="V432" s="2259">
        <f t="shared" si="76"/>
        <v>0</v>
      </c>
      <c r="W432" s="2094"/>
      <c r="X432" s="2094"/>
      <c r="Y432" s="2092"/>
      <c r="Z432" s="1376"/>
    </row>
    <row r="433" spans="1:26" s="1263" customFormat="1" hidden="1" outlineLevel="2">
      <c r="A433" s="1267">
        <v>243</v>
      </c>
      <c r="B433" s="1294" t="s">
        <v>1966</v>
      </c>
      <c r="C433" s="1295" t="s">
        <v>1967</v>
      </c>
      <c r="D433" s="1457" t="s">
        <v>1954</v>
      </c>
      <c r="E433" s="1296"/>
      <c r="F433" s="1297"/>
      <c r="G433" s="1281">
        <f t="shared" si="68"/>
        <v>0</v>
      </c>
      <c r="H433" s="2284"/>
      <c r="I433" s="2285"/>
      <c r="J433" s="2259">
        <f t="shared" si="72"/>
        <v>0</v>
      </c>
      <c r="K433" s="2286"/>
      <c r="L433" s="2285"/>
      <c r="M433" s="2258">
        <f t="shared" si="73"/>
        <v>0</v>
      </c>
      <c r="N433" s="2284"/>
      <c r="O433" s="2285"/>
      <c r="P433" s="2259">
        <f t="shared" si="74"/>
        <v>0</v>
      </c>
      <c r="Q433" s="2284"/>
      <c r="R433" s="2286"/>
      <c r="S433" s="2258">
        <f t="shared" si="75"/>
        <v>0</v>
      </c>
      <c r="T433" s="2284"/>
      <c r="U433" s="2285"/>
      <c r="V433" s="2259">
        <f t="shared" si="76"/>
        <v>0</v>
      </c>
      <c r="W433" s="2094"/>
      <c r="X433" s="2094"/>
      <c r="Y433" s="2092"/>
      <c r="Z433" s="1376"/>
    </row>
    <row r="434" spans="1:26" s="1263" customFormat="1" hidden="1" outlineLevel="2">
      <c r="A434" s="1267">
        <v>234</v>
      </c>
      <c r="B434" s="1292"/>
      <c r="C434" s="1293" t="s">
        <v>1936</v>
      </c>
      <c r="D434" s="1454" t="s">
        <v>1317</v>
      </c>
      <c r="E434" s="1279">
        <f>E435*E436</f>
        <v>0</v>
      </c>
      <c r="F434" s="1280">
        <f>F435*F436</f>
        <v>0</v>
      </c>
      <c r="G434" s="1281">
        <f t="shared" si="68"/>
        <v>0</v>
      </c>
      <c r="H434" s="2255">
        <v>0</v>
      </c>
      <c r="I434" s="2256">
        <v>0</v>
      </c>
      <c r="J434" s="2259">
        <f t="shared" si="72"/>
        <v>0</v>
      </c>
      <c r="K434" s="2260">
        <f>K435*K436</f>
        <v>0</v>
      </c>
      <c r="L434" s="2256">
        <f>L435*L436</f>
        <v>0</v>
      </c>
      <c r="M434" s="2258">
        <f t="shared" si="73"/>
        <v>0</v>
      </c>
      <c r="N434" s="2255">
        <f>N435*N436</f>
        <v>0</v>
      </c>
      <c r="O434" s="2256">
        <f>O435*O436</f>
        <v>0</v>
      </c>
      <c r="P434" s="2259">
        <f t="shared" si="74"/>
        <v>0</v>
      </c>
      <c r="Q434" s="2255">
        <f>Q435*Q436</f>
        <v>0</v>
      </c>
      <c r="R434" s="2260">
        <f>R435*R436</f>
        <v>0</v>
      </c>
      <c r="S434" s="2258">
        <f t="shared" si="75"/>
        <v>0</v>
      </c>
      <c r="T434" s="2255">
        <f>T435*T436</f>
        <v>0</v>
      </c>
      <c r="U434" s="2256">
        <f>U435*U436</f>
        <v>0</v>
      </c>
      <c r="V434" s="2259">
        <f t="shared" si="76"/>
        <v>0</v>
      </c>
      <c r="W434" s="2093"/>
      <c r="X434" s="2093"/>
      <c r="Y434" s="2092"/>
      <c r="Z434" s="1376"/>
    </row>
    <row r="435" spans="1:26" s="1263" customFormat="1" hidden="1" outlineLevel="2">
      <c r="A435" s="1267">
        <v>244</v>
      </c>
      <c r="B435" s="1294" t="s">
        <v>1968</v>
      </c>
      <c r="C435" s="1295" t="s">
        <v>1929</v>
      </c>
      <c r="D435" s="1457" t="s">
        <v>1951</v>
      </c>
      <c r="E435" s="1296"/>
      <c r="F435" s="1297"/>
      <c r="G435" s="1281">
        <f t="shared" si="68"/>
        <v>0</v>
      </c>
      <c r="H435" s="2284"/>
      <c r="I435" s="2285"/>
      <c r="J435" s="2259">
        <f t="shared" si="72"/>
        <v>0</v>
      </c>
      <c r="K435" s="2286"/>
      <c r="L435" s="2285"/>
      <c r="M435" s="2258">
        <f t="shared" si="73"/>
        <v>0</v>
      </c>
      <c r="N435" s="2284"/>
      <c r="O435" s="2285"/>
      <c r="P435" s="2259">
        <f t="shared" si="74"/>
        <v>0</v>
      </c>
      <c r="Q435" s="2284"/>
      <c r="R435" s="2286"/>
      <c r="S435" s="2258">
        <f t="shared" si="75"/>
        <v>0</v>
      </c>
      <c r="T435" s="2284"/>
      <c r="U435" s="2285"/>
      <c r="V435" s="2259">
        <f t="shared" si="76"/>
        <v>0</v>
      </c>
      <c r="W435" s="2094"/>
      <c r="X435" s="2094"/>
      <c r="Y435" s="2092"/>
      <c r="Z435" s="1376"/>
    </row>
    <row r="436" spans="1:26" s="1263" customFormat="1" hidden="1" outlineLevel="2">
      <c r="A436" s="1267">
        <v>245</v>
      </c>
      <c r="B436" s="1294" t="s">
        <v>1969</v>
      </c>
      <c r="C436" s="1295" t="s">
        <v>1967</v>
      </c>
      <c r="D436" s="1457" t="s">
        <v>1954</v>
      </c>
      <c r="E436" s="1296"/>
      <c r="F436" s="1297"/>
      <c r="G436" s="1281">
        <f t="shared" si="68"/>
        <v>0</v>
      </c>
      <c r="H436" s="2284"/>
      <c r="I436" s="2285"/>
      <c r="J436" s="2259">
        <f t="shared" si="72"/>
        <v>0</v>
      </c>
      <c r="K436" s="2286"/>
      <c r="L436" s="2285"/>
      <c r="M436" s="2258">
        <f t="shared" si="73"/>
        <v>0</v>
      </c>
      <c r="N436" s="2284"/>
      <c r="O436" s="2285"/>
      <c r="P436" s="2259">
        <f t="shared" si="74"/>
        <v>0</v>
      </c>
      <c r="Q436" s="2284"/>
      <c r="R436" s="2286"/>
      <c r="S436" s="2258">
        <f t="shared" si="75"/>
        <v>0</v>
      </c>
      <c r="T436" s="2284"/>
      <c r="U436" s="2285"/>
      <c r="V436" s="2259">
        <f t="shared" si="76"/>
        <v>0</v>
      </c>
      <c r="W436" s="2094"/>
      <c r="X436" s="2094"/>
      <c r="Y436" s="2092"/>
      <c r="Z436" s="1376"/>
    </row>
    <row r="437" spans="1:26" s="1263" customFormat="1" outlineLevel="1" collapsed="1">
      <c r="A437" s="1267">
        <v>235</v>
      </c>
      <c r="B437" s="1292"/>
      <c r="C437" s="1293" t="s">
        <v>1939</v>
      </c>
      <c r="D437" s="1454" t="s">
        <v>1317</v>
      </c>
      <c r="E437" s="1279">
        <f>E438*E439</f>
        <v>0</v>
      </c>
      <c r="F437" s="1280">
        <f>F438*F439</f>
        <v>0</v>
      </c>
      <c r="G437" s="1281">
        <f t="shared" si="68"/>
        <v>0</v>
      </c>
      <c r="H437" s="2255">
        <v>12794.836831094311</v>
      </c>
      <c r="I437" s="2256">
        <v>13600.911551453253</v>
      </c>
      <c r="J437" s="2259">
        <f t="shared" si="72"/>
        <v>13197.874191273782</v>
      </c>
      <c r="K437" s="2260">
        <f>K438*K439</f>
        <v>13600.911551453253</v>
      </c>
      <c r="L437" s="2256">
        <f>L438*L439</f>
        <v>14321.759863680274</v>
      </c>
      <c r="M437" s="2258">
        <f t="shared" si="73"/>
        <v>13961.335707566763</v>
      </c>
      <c r="N437" s="2255">
        <f>N438*N439</f>
        <v>14321.759863680274</v>
      </c>
      <c r="O437" s="2256">
        <f>O438*O439</f>
        <v>15080.813136455326</v>
      </c>
      <c r="P437" s="2259">
        <f t="shared" si="74"/>
        <v>14701.286500067799</v>
      </c>
      <c r="Q437" s="2255">
        <f>Q438*Q439</f>
        <v>15080.813136455326</v>
      </c>
      <c r="R437" s="2260">
        <f>R438*R439</f>
        <v>15880.096232687458</v>
      </c>
      <c r="S437" s="2258">
        <f t="shared" si="75"/>
        <v>15480.454684571392</v>
      </c>
      <c r="T437" s="2255">
        <f>T438*T439</f>
        <v>15880.096232687458</v>
      </c>
      <c r="U437" s="2256">
        <f>U438*U439</f>
        <v>16721.741333019891</v>
      </c>
      <c r="V437" s="2259">
        <f t="shared" si="76"/>
        <v>16300.918782853674</v>
      </c>
      <c r="W437" s="2093"/>
      <c r="X437" s="2093"/>
      <c r="Y437" s="2092"/>
      <c r="Z437" s="1376"/>
    </row>
    <row r="438" spans="1:26" s="1263" customFormat="1" outlineLevel="1">
      <c r="A438" s="1267">
        <v>246</v>
      </c>
      <c r="B438" s="1294" t="s">
        <v>1970</v>
      </c>
      <c r="C438" s="1295" t="s">
        <v>1929</v>
      </c>
      <c r="D438" s="1457" t="s">
        <v>1951</v>
      </c>
      <c r="E438" s="1296"/>
      <c r="F438" s="1297"/>
      <c r="G438" s="1281">
        <f t="shared" si="68"/>
        <v>0</v>
      </c>
      <c r="H438" s="2294">
        <v>4561.3202955822999</v>
      </c>
      <c r="I438" s="2285">
        <v>4561.3202955822999</v>
      </c>
      <c r="J438" s="2259">
        <f t="shared" si="72"/>
        <v>4561.3202955822999</v>
      </c>
      <c r="K438" s="2286">
        <f>H438</f>
        <v>4561.3202955822999</v>
      </c>
      <c r="L438" s="2285">
        <f>K438</f>
        <v>4561.3202955822999</v>
      </c>
      <c r="M438" s="2258">
        <f t="shared" si="73"/>
        <v>4561.3202955822999</v>
      </c>
      <c r="N438" s="2284">
        <f>L438</f>
        <v>4561.3202955822999</v>
      </c>
      <c r="O438" s="2285">
        <f>N438</f>
        <v>4561.3202955822999</v>
      </c>
      <c r="P438" s="2259">
        <f t="shared" si="74"/>
        <v>4561.3202955822999</v>
      </c>
      <c r="Q438" s="2284">
        <f>O438</f>
        <v>4561.3202955822999</v>
      </c>
      <c r="R438" s="2286">
        <f>Q438</f>
        <v>4561.3202955822999</v>
      </c>
      <c r="S438" s="2258">
        <f t="shared" si="75"/>
        <v>4561.3202955822999</v>
      </c>
      <c r="T438" s="2284">
        <f>R438</f>
        <v>4561.3202955822999</v>
      </c>
      <c r="U438" s="2285">
        <f>T438</f>
        <v>4561.3202955822999</v>
      </c>
      <c r="V438" s="2259">
        <f t="shared" si="76"/>
        <v>4561.3202955822999</v>
      </c>
      <c r="W438" s="2094"/>
      <c r="X438" s="2094"/>
      <c r="Y438" s="2092"/>
      <c r="Z438" s="1376"/>
    </row>
    <row r="439" spans="1:26" s="1263" customFormat="1" outlineLevel="1">
      <c r="A439" s="1267">
        <v>247</v>
      </c>
      <c r="B439" s="1294" t="s">
        <v>1971</v>
      </c>
      <c r="C439" s="1295" t="s">
        <v>1967</v>
      </c>
      <c r="D439" s="1457" t="s">
        <v>1954</v>
      </c>
      <c r="E439" s="1296"/>
      <c r="F439" s="1297"/>
      <c r="G439" s="1281">
        <f t="shared" si="68"/>
        <v>0</v>
      </c>
      <c r="H439" s="2284">
        <v>2.8050730933072785</v>
      </c>
      <c r="I439" s="2285">
        <v>2.9817926981856369</v>
      </c>
      <c r="J439" s="2259">
        <f t="shared" si="72"/>
        <v>2.8934328957464577</v>
      </c>
      <c r="K439" s="2286">
        <f>I439</f>
        <v>2.9817926981856369</v>
      </c>
      <c r="L439" s="2285">
        <f>K439*1.053</f>
        <v>3.1398277111894752</v>
      </c>
      <c r="M439" s="2258">
        <f>K439/2+L439/2</f>
        <v>3.0608102046875558</v>
      </c>
      <c r="N439" s="2284">
        <f>L439</f>
        <v>3.1398277111894752</v>
      </c>
      <c r="O439" s="2285">
        <f>N439*1.053</f>
        <v>3.3062385798825171</v>
      </c>
      <c r="P439" s="2259">
        <f>N439/2+O439/2</f>
        <v>3.2230331455359962</v>
      </c>
      <c r="Q439" s="2284">
        <f>O439</f>
        <v>3.3062385798825171</v>
      </c>
      <c r="R439" s="2286">
        <f>Q439*1.053</f>
        <v>3.4814692246162902</v>
      </c>
      <c r="S439" s="2258">
        <f>Q439/2+R439/2</f>
        <v>3.3938539022494036</v>
      </c>
      <c r="T439" s="2284">
        <f>R439</f>
        <v>3.4814692246162902</v>
      </c>
      <c r="U439" s="2285">
        <f>T439*1.053</f>
        <v>3.6659870935209535</v>
      </c>
      <c r="V439" s="2259">
        <f t="shared" si="76"/>
        <v>3.5737281590686218</v>
      </c>
      <c r="W439" s="2094"/>
      <c r="X439" s="2094"/>
      <c r="Y439" s="2092"/>
      <c r="Z439" s="1376"/>
    </row>
    <row r="440" spans="1:26" s="1263" customFormat="1" outlineLevel="1">
      <c r="A440" s="1267">
        <v>236</v>
      </c>
      <c r="B440" s="1292"/>
      <c r="C440" s="1293" t="s">
        <v>1942</v>
      </c>
      <c r="D440" s="1454" t="s">
        <v>1317</v>
      </c>
      <c r="E440" s="1279">
        <f>E441*E442</f>
        <v>0</v>
      </c>
      <c r="F440" s="1280">
        <f>F441*F442</f>
        <v>0</v>
      </c>
      <c r="G440" s="1281">
        <f t="shared" si="68"/>
        <v>0</v>
      </c>
      <c r="H440" s="2255">
        <v>12596.160119785167</v>
      </c>
      <c r="I440" s="2256">
        <v>13389.718207331633</v>
      </c>
      <c r="J440" s="2259">
        <f t="shared" si="72"/>
        <v>12992.9391635584</v>
      </c>
      <c r="K440" s="2260">
        <f>K441*K442</f>
        <v>13389.718207331633</v>
      </c>
      <c r="L440" s="2256">
        <f>L441*L442</f>
        <v>14099.373272320208</v>
      </c>
      <c r="M440" s="2258">
        <f t="shared" si="73"/>
        <v>13744.54573982592</v>
      </c>
      <c r="N440" s="2255">
        <f>N441*N442</f>
        <v>14099.373272320208</v>
      </c>
      <c r="O440" s="2256">
        <f>O441*O442</f>
        <v>14846.640055753178</v>
      </c>
      <c r="P440" s="2259">
        <f t="shared" si="74"/>
        <v>14473.006664036693</v>
      </c>
      <c r="Q440" s="2255">
        <f>Q441*Q442</f>
        <v>14846.640055753178</v>
      </c>
      <c r="R440" s="2260">
        <f>R441*R442</f>
        <v>15633.511978708095</v>
      </c>
      <c r="S440" s="2258">
        <f t="shared" si="75"/>
        <v>15240.076017230636</v>
      </c>
      <c r="T440" s="2255">
        <f>T441*T442</f>
        <v>15633.511978708095</v>
      </c>
      <c r="U440" s="2256">
        <f>U441*U442</f>
        <v>16462.088113579623</v>
      </c>
      <c r="V440" s="2259">
        <f t="shared" si="76"/>
        <v>16047.800046143859</v>
      </c>
      <c r="W440" s="2093"/>
      <c r="X440" s="2093"/>
      <c r="Y440" s="2092"/>
      <c r="Z440" s="1376"/>
    </row>
    <row r="441" spans="1:26" s="1263" customFormat="1" outlineLevel="1">
      <c r="A441" s="1267">
        <v>238</v>
      </c>
      <c r="B441" s="1294" t="s">
        <v>1972</v>
      </c>
      <c r="C441" s="1295" t="s">
        <v>1929</v>
      </c>
      <c r="D441" s="1457" t="s">
        <v>1951</v>
      </c>
      <c r="E441" s="1296"/>
      <c r="F441" s="1297"/>
      <c r="G441" s="1281">
        <f t="shared" si="68"/>
        <v>0</v>
      </c>
      <c r="H441" s="2284">
        <v>5550.7512623992407</v>
      </c>
      <c r="I441" s="2285">
        <v>5550.7512623992407</v>
      </c>
      <c r="J441" s="2259">
        <f t="shared" si="72"/>
        <v>5550.7512623992407</v>
      </c>
      <c r="K441" s="2286">
        <f>H441</f>
        <v>5550.7512623992407</v>
      </c>
      <c r="L441" s="2285">
        <f>K441</f>
        <v>5550.7512623992407</v>
      </c>
      <c r="M441" s="2258">
        <f t="shared" si="73"/>
        <v>5550.7512623992407</v>
      </c>
      <c r="N441" s="2284">
        <f>L441</f>
        <v>5550.7512623992407</v>
      </c>
      <c r="O441" s="2285">
        <f>N441</f>
        <v>5550.7512623992407</v>
      </c>
      <c r="P441" s="2259">
        <f t="shared" si="74"/>
        <v>5550.7512623992407</v>
      </c>
      <c r="Q441" s="2284">
        <f>O441</f>
        <v>5550.7512623992407</v>
      </c>
      <c r="R441" s="2286">
        <f>Q441</f>
        <v>5550.7512623992407</v>
      </c>
      <c r="S441" s="2258">
        <f t="shared" si="75"/>
        <v>5550.7512623992407</v>
      </c>
      <c r="T441" s="2284">
        <f>R441</f>
        <v>5550.7512623992407</v>
      </c>
      <c r="U441" s="2285">
        <f>T441</f>
        <v>5550.7512623992407</v>
      </c>
      <c r="V441" s="2259">
        <f t="shared" si="76"/>
        <v>5550.7512623992407</v>
      </c>
      <c r="W441" s="2094"/>
      <c r="X441" s="2094"/>
      <c r="Y441" s="2092"/>
      <c r="Z441" s="1376"/>
    </row>
    <row r="442" spans="1:26" s="1263" customFormat="1" ht="18" outlineLevel="1" thickBot="1">
      <c r="A442" s="1267">
        <v>239</v>
      </c>
      <c r="B442" s="1294" t="s">
        <v>1973</v>
      </c>
      <c r="C442" s="1295" t="s">
        <v>1967</v>
      </c>
      <c r="D442" s="1457" t="s">
        <v>1954</v>
      </c>
      <c r="E442" s="1296"/>
      <c r="F442" s="1297"/>
      <c r="G442" s="1281">
        <f t="shared" si="68"/>
        <v>0</v>
      </c>
      <c r="H442" s="2284">
        <v>2.2692712255206766</v>
      </c>
      <c r="I442" s="2285">
        <v>2.412235312728479</v>
      </c>
      <c r="J442" s="2259">
        <f t="shared" si="72"/>
        <v>2.340753269124578</v>
      </c>
      <c r="K442" s="2286">
        <f>I442</f>
        <v>2.412235312728479</v>
      </c>
      <c r="L442" s="2285">
        <f>K442*1.053</f>
        <v>2.5400837843030883</v>
      </c>
      <c r="M442" s="2258">
        <f>K442/2+L442/2</f>
        <v>2.4761595485157839</v>
      </c>
      <c r="N442" s="2284">
        <f>L442</f>
        <v>2.5400837843030883</v>
      </c>
      <c r="O442" s="2285">
        <f>N442*1.053</f>
        <v>2.6747082248711518</v>
      </c>
      <c r="P442" s="2259">
        <f>N442/2+O442/2</f>
        <v>2.6073960045871201</v>
      </c>
      <c r="Q442" s="2284">
        <f>O442</f>
        <v>2.6747082248711518</v>
      </c>
      <c r="R442" s="2286">
        <f>Q442*1.053</f>
        <v>2.8164677607893225</v>
      </c>
      <c r="S442" s="2258">
        <f>Q442/2+R442/2</f>
        <v>2.7455879928302371</v>
      </c>
      <c r="T442" s="2284">
        <f>R442</f>
        <v>2.8164677607893225</v>
      </c>
      <c r="U442" s="2285">
        <f>T442*1.053</f>
        <v>2.9657405521111566</v>
      </c>
      <c r="V442" s="2259">
        <f t="shared" si="76"/>
        <v>2.8911041564502398</v>
      </c>
      <c r="W442" s="2094"/>
      <c r="X442" s="2094"/>
      <c r="Y442" s="2092"/>
      <c r="Z442" s="1376"/>
    </row>
    <row r="443" spans="1:26" s="1263" customFormat="1" ht="18" hidden="1" outlineLevel="2" thickBot="1">
      <c r="A443" s="1267">
        <v>237</v>
      </c>
      <c r="B443" s="1292"/>
      <c r="C443" s="1293" t="s">
        <v>1961</v>
      </c>
      <c r="D443" s="1454" t="s">
        <v>1317</v>
      </c>
      <c r="E443" s="1279">
        <f>E444*E445</f>
        <v>0</v>
      </c>
      <c r="F443" s="1280">
        <f>F444*F445</f>
        <v>0</v>
      </c>
      <c r="G443" s="1281">
        <f t="shared" si="68"/>
        <v>0</v>
      </c>
      <c r="H443" s="2255">
        <v>0</v>
      </c>
      <c r="I443" s="2256">
        <v>0</v>
      </c>
      <c r="J443" s="2259">
        <f t="shared" si="72"/>
        <v>0</v>
      </c>
      <c r="K443" s="2260">
        <f>K444*K445</f>
        <v>0</v>
      </c>
      <c r="L443" s="2256">
        <f>L444*L445</f>
        <v>0</v>
      </c>
      <c r="M443" s="2258">
        <f t="shared" si="73"/>
        <v>0</v>
      </c>
      <c r="N443" s="2255">
        <f>N444*N445</f>
        <v>0</v>
      </c>
      <c r="O443" s="2256">
        <f>O444*O445</f>
        <v>0</v>
      </c>
      <c r="P443" s="2259">
        <f t="shared" si="74"/>
        <v>0</v>
      </c>
      <c r="Q443" s="2255">
        <f>Q444*Q445</f>
        <v>0</v>
      </c>
      <c r="R443" s="2260">
        <f>R444*R445</f>
        <v>0</v>
      </c>
      <c r="S443" s="2258">
        <f t="shared" si="75"/>
        <v>0</v>
      </c>
      <c r="T443" s="2255">
        <f>T444*T445</f>
        <v>0</v>
      </c>
      <c r="U443" s="2256">
        <f>U444*U445</f>
        <v>0</v>
      </c>
      <c r="V443" s="2259">
        <f t="shared" si="76"/>
        <v>0</v>
      </c>
      <c r="W443" s="2093"/>
      <c r="X443" s="2093"/>
      <c r="Y443" s="2092"/>
      <c r="Z443" s="1376"/>
    </row>
    <row r="444" spans="1:26" s="1263" customFormat="1" ht="18" hidden="1" outlineLevel="2" thickBot="1">
      <c r="A444" s="1267">
        <v>248</v>
      </c>
      <c r="B444" s="1294" t="s">
        <v>1974</v>
      </c>
      <c r="C444" s="1295" t="s">
        <v>1929</v>
      </c>
      <c r="D444" s="1457" t="s">
        <v>1951</v>
      </c>
      <c r="E444" s="1296"/>
      <c r="F444" s="1297"/>
      <c r="G444" s="1281">
        <f t="shared" si="68"/>
        <v>0</v>
      </c>
      <c r="H444" s="2284"/>
      <c r="I444" s="2285"/>
      <c r="J444" s="2259">
        <f t="shared" si="72"/>
        <v>0</v>
      </c>
      <c r="K444" s="2286"/>
      <c r="L444" s="2285"/>
      <c r="M444" s="2258">
        <f t="shared" si="73"/>
        <v>0</v>
      </c>
      <c r="N444" s="2284"/>
      <c r="O444" s="2285"/>
      <c r="P444" s="2259">
        <f t="shared" si="74"/>
        <v>0</v>
      </c>
      <c r="Q444" s="2284"/>
      <c r="R444" s="2286"/>
      <c r="S444" s="2258">
        <f t="shared" si="75"/>
        <v>0</v>
      </c>
      <c r="T444" s="2284"/>
      <c r="U444" s="2285"/>
      <c r="V444" s="2259">
        <f t="shared" si="76"/>
        <v>0</v>
      </c>
      <c r="W444" s="2094"/>
      <c r="X444" s="2094"/>
      <c r="Y444" s="2092"/>
      <c r="Z444" s="1376"/>
    </row>
    <row r="445" spans="1:26" s="1263" customFormat="1" ht="18" hidden="1" outlineLevel="2" thickBot="1">
      <c r="A445" s="1267">
        <v>249</v>
      </c>
      <c r="B445" s="1303" t="s">
        <v>1975</v>
      </c>
      <c r="C445" s="1304" t="s">
        <v>1967</v>
      </c>
      <c r="D445" s="1459" t="s">
        <v>1954</v>
      </c>
      <c r="E445" s="1305"/>
      <c r="F445" s="1306"/>
      <c r="G445" s="1286">
        <f t="shared" si="68"/>
        <v>0</v>
      </c>
      <c r="H445" s="2300"/>
      <c r="I445" s="2301"/>
      <c r="J445" s="2268">
        <f t="shared" si="72"/>
        <v>0</v>
      </c>
      <c r="K445" s="2302"/>
      <c r="L445" s="2301"/>
      <c r="M445" s="2267">
        <f t="shared" si="73"/>
        <v>0</v>
      </c>
      <c r="N445" s="2300"/>
      <c r="O445" s="2301"/>
      <c r="P445" s="2268">
        <f t="shared" si="74"/>
        <v>0</v>
      </c>
      <c r="Q445" s="2300"/>
      <c r="R445" s="2302"/>
      <c r="S445" s="2267">
        <f t="shared" si="75"/>
        <v>0</v>
      </c>
      <c r="T445" s="2300"/>
      <c r="U445" s="2301"/>
      <c r="V445" s="2268">
        <f t="shared" si="76"/>
        <v>0</v>
      </c>
      <c r="W445" s="2094"/>
      <c r="X445" s="2094"/>
      <c r="Y445" s="2092"/>
      <c r="Z445" s="1376"/>
    </row>
    <row r="446" spans="1:26" s="1263" customFormat="1" ht="19.5" outlineLevel="1" collapsed="1" thickBot="1">
      <c r="A446" s="1267">
        <v>255</v>
      </c>
      <c r="B446" s="1329" t="s">
        <v>1181</v>
      </c>
      <c r="C446" s="1317" t="s">
        <v>1976</v>
      </c>
      <c r="D446" s="1462" t="s">
        <v>1313</v>
      </c>
      <c r="E446" s="1318">
        <f>E447+E479+E489+E495+E497+E498+E499+E503</f>
        <v>263947.80117143638</v>
      </c>
      <c r="F446" s="1319">
        <f>F447+F479+F489+F495+F497+F498+F499+F503</f>
        <v>263947.80117143638</v>
      </c>
      <c r="G446" s="1320">
        <f t="shared" si="68"/>
        <v>263947.80117143638</v>
      </c>
      <c r="H446" s="2079">
        <f>H447+H470+H479+H489+H478</f>
        <v>223263.29559981456</v>
      </c>
      <c r="I446" s="2079">
        <f>I447+I470+I479+I489+I478</f>
        <v>248332.2423589465</v>
      </c>
      <c r="J446" s="2071">
        <f t="shared" si="72"/>
        <v>235797.76897938055</v>
      </c>
      <c r="K446" s="2079">
        <f>K447+K470+K479+K489+K478</f>
        <v>248332.2423589465</v>
      </c>
      <c r="L446" s="2079">
        <f>L447+L470+L479+L489+L478</f>
        <v>261161.22352527166</v>
      </c>
      <c r="M446" s="2080">
        <f t="shared" si="73"/>
        <v>254746.73294210908</v>
      </c>
      <c r="N446" s="2473">
        <f>N447+N470+N479+N489+N478</f>
        <v>261161.22352527166</v>
      </c>
      <c r="O446" s="2079">
        <f>O447+O470+O479+O489+O478</f>
        <v>274657.8921665512</v>
      </c>
      <c r="P446" s="2071">
        <f t="shared" si="74"/>
        <v>267909.55784591142</v>
      </c>
      <c r="Q446" s="2070">
        <f>Q447+Q470+Q479+Q489+Q478</f>
        <v>274657.8921665512</v>
      </c>
      <c r="R446" s="2079">
        <f>R447+R470+R479+R489+R478</f>
        <v>288857.21973850339</v>
      </c>
      <c r="S446" s="2080">
        <f t="shared" si="75"/>
        <v>281757.55595252733</v>
      </c>
      <c r="T446" s="2473">
        <f>T447+T470+T479+T489+T478</f>
        <v>288857.21973850339</v>
      </c>
      <c r="U446" s="2079">
        <f>U447+U470+U479+U489+U478</f>
        <v>303796.01972202468</v>
      </c>
      <c r="V446" s="2071">
        <f t="shared" si="76"/>
        <v>296326.61973026406</v>
      </c>
      <c r="W446" s="2095"/>
      <c r="X446" s="2095"/>
      <c r="Y446" s="2092"/>
      <c r="Z446" s="1376"/>
    </row>
    <row r="447" spans="1:26" s="1263" customFormat="1" ht="69" outlineLevel="1">
      <c r="A447" s="1267">
        <v>256</v>
      </c>
      <c r="B447" s="1272" t="s">
        <v>1977</v>
      </c>
      <c r="C447" s="1273" t="s">
        <v>1774</v>
      </c>
      <c r="D447" s="1453" t="s">
        <v>1313</v>
      </c>
      <c r="E447" s="1274">
        <f>E448+E459+E463+E466+E469+E470+E471+E472+E475+E462</f>
        <v>245352.64117143641</v>
      </c>
      <c r="F447" s="1274">
        <f>F448+F459+F463+F466+F469+F470+F471+F472+F475+F462</f>
        <v>245352.64117143641</v>
      </c>
      <c r="G447" s="1276">
        <f t="shared" si="68"/>
        <v>245352.64117143641</v>
      </c>
      <c r="H447" s="2465">
        <v>206982.84503511296</v>
      </c>
      <c r="I447" s="2466">
        <v>220036.31762033608</v>
      </c>
      <c r="J447" s="2250">
        <f t="shared" si="72"/>
        <v>213509.5813277245</v>
      </c>
      <c r="K447" s="2503">
        <f>K448+K459+K463+K466+K469+K470+K471+K472+K475+K462</f>
        <v>220036.31762033608</v>
      </c>
      <c r="L447" s="2247">
        <f>L448+L459+L463+L466+L469+L470+L471+L472+L475+L462</f>
        <v>231733.46179711682</v>
      </c>
      <c r="M447" s="2249">
        <f t="shared" si="73"/>
        <v>225884.88970872643</v>
      </c>
      <c r="N447" s="2465">
        <f>N448+N459+N463+N466+N469+N470+N471+N472+N475+N462</f>
        <v>231733.46179711682</v>
      </c>
      <c r="O447" s="2247">
        <f>O448+O459+O463+O466+O469+O470+O471+O472+O475+O462</f>
        <v>244053.01996927016</v>
      </c>
      <c r="P447" s="2250">
        <f t="shared" si="74"/>
        <v>237893.2408831935</v>
      </c>
      <c r="Q447" s="2246">
        <f>Q448+Q459+Q463+Q466+Q469+Q470+Q471+Q472+Q475+Q462</f>
        <v>244053.01996927016</v>
      </c>
      <c r="R447" s="2251">
        <f>R448+R459+R463+R466+R469+R470+R471+R472+R475+R462</f>
        <v>257028.15265333108</v>
      </c>
      <c r="S447" s="2249">
        <f t="shared" si="75"/>
        <v>250540.58631130063</v>
      </c>
      <c r="T447" s="2484">
        <f>T448+T459+T463+T466+T469+T470+T471+T472+T475+T462</f>
        <v>257028.15265333108</v>
      </c>
      <c r="U447" s="2251">
        <f>U448+U459+U463+U466+U469+U470+U471+U472+U475+U462</f>
        <v>270693.78995344549</v>
      </c>
      <c r="V447" s="2250">
        <f t="shared" si="76"/>
        <v>263860.9713033883</v>
      </c>
      <c r="W447" s="2093"/>
      <c r="X447" s="2093"/>
      <c r="Y447" s="2092"/>
      <c r="Z447" s="1376"/>
    </row>
    <row r="448" spans="1:26" s="1263" customFormat="1" outlineLevel="1">
      <c r="A448" s="1267">
        <v>333</v>
      </c>
      <c r="B448" s="1292" t="s">
        <v>1978</v>
      </c>
      <c r="C448" s="1293" t="s">
        <v>1979</v>
      </c>
      <c r="D448" s="1454"/>
      <c r="E448" s="1279">
        <f>E449+E452+E455+E458</f>
        <v>541.69499999999994</v>
      </c>
      <c r="F448" s="1280">
        <f>F449+F452+F455+F458</f>
        <v>541.69499999999994</v>
      </c>
      <c r="G448" s="1281">
        <f t="shared" si="68"/>
        <v>541.69499999999994</v>
      </c>
      <c r="H448" s="2255">
        <v>1936.1925730049334</v>
      </c>
      <c r="I448" s="2256">
        <v>2071.7260531152792</v>
      </c>
      <c r="J448" s="2259">
        <f t="shared" si="72"/>
        <v>2003.9593130601063</v>
      </c>
      <c r="K448" s="2260">
        <f>K449+K452+K455+K458</f>
        <v>2071.7260531152792</v>
      </c>
      <c r="L448" s="2256">
        <f>L449+L452+L455+L458</f>
        <v>2216.7468768333488</v>
      </c>
      <c r="M448" s="2258">
        <f t="shared" si="73"/>
        <v>2144.236464974314</v>
      </c>
      <c r="N448" s="2255">
        <f>N449+N452+N455+N458</f>
        <v>2216.7468768333488</v>
      </c>
      <c r="O448" s="2256">
        <f>O449+O452+O455+O458</f>
        <v>2371.9191582116832</v>
      </c>
      <c r="P448" s="2259">
        <f t="shared" si="74"/>
        <v>2294.333017522516</v>
      </c>
      <c r="Q448" s="2255">
        <f>Q449+Q452+Q455+Q458</f>
        <v>2371.9191582116832</v>
      </c>
      <c r="R448" s="2260">
        <f>R449+R452+R455+R458</f>
        <v>2537.953499286501</v>
      </c>
      <c r="S448" s="2258">
        <f t="shared" si="75"/>
        <v>2454.9363287490924</v>
      </c>
      <c r="T448" s="2255">
        <f>T449+T452+T455+T458</f>
        <v>2537.953499286501</v>
      </c>
      <c r="U448" s="2256">
        <f>U449+U452+U455+U458</f>
        <v>2715.6102442365559</v>
      </c>
      <c r="V448" s="2259">
        <f t="shared" si="76"/>
        <v>2626.7818717615282</v>
      </c>
      <c r="W448" s="2093"/>
      <c r="X448" s="2093"/>
      <c r="Y448" s="2092"/>
      <c r="Z448" s="1376"/>
    </row>
    <row r="449" spans="1:26" s="1263" customFormat="1" outlineLevel="1">
      <c r="A449" s="1267">
        <v>334</v>
      </c>
      <c r="B449" s="1292" t="s">
        <v>1980</v>
      </c>
      <c r="C449" s="1293" t="s">
        <v>1981</v>
      </c>
      <c r="D449" s="1454"/>
      <c r="E449" s="1279">
        <f>E450*E451</f>
        <v>541.69499999999994</v>
      </c>
      <c r="F449" s="1280">
        <f>F450*F451</f>
        <v>541.69499999999994</v>
      </c>
      <c r="G449" s="1281">
        <f t="shared" si="68"/>
        <v>541.69499999999994</v>
      </c>
      <c r="H449" s="2255">
        <v>1936.1925730049334</v>
      </c>
      <c r="I449" s="2256">
        <v>2071.7260531152792</v>
      </c>
      <c r="J449" s="2259">
        <f t="shared" si="72"/>
        <v>2003.9593130601063</v>
      </c>
      <c r="K449" s="2260">
        <f>K450*K451</f>
        <v>2071.7260531152792</v>
      </c>
      <c r="L449" s="2256">
        <f>L450*L451</f>
        <v>2216.7468768333488</v>
      </c>
      <c r="M449" s="2258">
        <f t="shared" si="73"/>
        <v>2144.236464974314</v>
      </c>
      <c r="N449" s="2255">
        <f>N450*N451</f>
        <v>2216.7468768333488</v>
      </c>
      <c r="O449" s="2256">
        <f>O450*O451</f>
        <v>2371.9191582116832</v>
      </c>
      <c r="P449" s="2259">
        <f t="shared" si="74"/>
        <v>2294.333017522516</v>
      </c>
      <c r="Q449" s="2255">
        <f>Q450*Q451</f>
        <v>2371.9191582116832</v>
      </c>
      <c r="R449" s="2260">
        <f>R450*R451</f>
        <v>2537.953499286501</v>
      </c>
      <c r="S449" s="2258">
        <f t="shared" si="75"/>
        <v>2454.9363287490924</v>
      </c>
      <c r="T449" s="2255">
        <f>T450*T451</f>
        <v>2537.953499286501</v>
      </c>
      <c r="U449" s="2256">
        <f>U450*U451</f>
        <v>2715.6102442365559</v>
      </c>
      <c r="V449" s="2259">
        <f t="shared" si="76"/>
        <v>2626.7818717615282</v>
      </c>
      <c r="W449" s="2093"/>
      <c r="X449" s="2093"/>
      <c r="Y449" s="2092"/>
      <c r="Z449" s="1376"/>
    </row>
    <row r="450" spans="1:26" s="1263" customFormat="1" outlineLevel="1">
      <c r="A450" s="1267">
        <v>337</v>
      </c>
      <c r="B450" s="1294" t="s">
        <v>1982</v>
      </c>
      <c r="C450" s="1295" t="s">
        <v>1327</v>
      </c>
      <c r="D450" s="1457" t="s">
        <v>1983</v>
      </c>
      <c r="E450" s="1296" t="s">
        <v>1984</v>
      </c>
      <c r="F450" s="1297" t="s">
        <v>1984</v>
      </c>
      <c r="G450" s="1281">
        <f t="shared" si="68"/>
        <v>70.349999999999994</v>
      </c>
      <c r="H450" s="2294">
        <v>246.33524714479711</v>
      </c>
      <c r="I450" s="2285">
        <v>246.33524714479711</v>
      </c>
      <c r="J450" s="2259">
        <f t="shared" si="72"/>
        <v>246.33524714479711</v>
      </c>
      <c r="K450" s="2286">
        <f>H450</f>
        <v>246.33524714479711</v>
      </c>
      <c r="L450" s="2285">
        <f>K450</f>
        <v>246.33524714479711</v>
      </c>
      <c r="M450" s="2258">
        <f t="shared" si="73"/>
        <v>246.33524714479711</v>
      </c>
      <c r="N450" s="2284">
        <f>L450</f>
        <v>246.33524714479711</v>
      </c>
      <c r="O450" s="2285">
        <f>N450</f>
        <v>246.33524714479711</v>
      </c>
      <c r="P450" s="2259">
        <f t="shared" si="74"/>
        <v>246.33524714479711</v>
      </c>
      <c r="Q450" s="2284">
        <f>O450</f>
        <v>246.33524714479711</v>
      </c>
      <c r="R450" s="2286">
        <f>Q450</f>
        <v>246.33524714479711</v>
      </c>
      <c r="S450" s="2258">
        <f t="shared" si="75"/>
        <v>246.33524714479711</v>
      </c>
      <c r="T450" s="2284">
        <f>R450</f>
        <v>246.33524714479711</v>
      </c>
      <c r="U450" s="2285">
        <f>T450</f>
        <v>246.33524714479711</v>
      </c>
      <c r="V450" s="2259">
        <f t="shared" si="76"/>
        <v>246.33524714479711</v>
      </c>
      <c r="W450" s="2094"/>
      <c r="X450" s="2094"/>
      <c r="Y450" s="2092"/>
      <c r="Z450" s="1376"/>
    </row>
    <row r="451" spans="1:26" s="1263" customFormat="1" outlineLevel="1">
      <c r="A451" s="1267">
        <v>338</v>
      </c>
      <c r="B451" s="1294" t="s">
        <v>1985</v>
      </c>
      <c r="C451" s="1295" t="s">
        <v>1330</v>
      </c>
      <c r="D451" s="1457" t="s">
        <v>1986</v>
      </c>
      <c r="E451" s="1296" t="s">
        <v>1987</v>
      </c>
      <c r="F451" s="1297" t="s">
        <v>1987</v>
      </c>
      <c r="G451" s="1281">
        <f t="shared" si="68"/>
        <v>7.7</v>
      </c>
      <c r="H451" s="2284">
        <v>7.8599899748282045</v>
      </c>
      <c r="I451" s="2285">
        <v>8.4101892730661802</v>
      </c>
      <c r="J451" s="2259">
        <f t="shared" si="72"/>
        <v>8.1350896239471915</v>
      </c>
      <c r="K451" s="2286">
        <f>I451</f>
        <v>8.4101892730661802</v>
      </c>
      <c r="L451" s="2285">
        <f>K451*1.07</f>
        <v>8.9989025221808134</v>
      </c>
      <c r="M451" s="2258">
        <f t="shared" si="73"/>
        <v>8.7045458976234968</v>
      </c>
      <c r="N451" s="2284">
        <f>L451</f>
        <v>8.9989025221808134</v>
      </c>
      <c r="O451" s="2285">
        <f>N451*1.07</f>
        <v>9.6288256987334702</v>
      </c>
      <c r="P451" s="2259">
        <f t="shared" si="74"/>
        <v>9.3138641104571427</v>
      </c>
      <c r="Q451" s="2284">
        <f>O451</f>
        <v>9.6288256987334702</v>
      </c>
      <c r="R451" s="2286">
        <f>Q451*1.07</f>
        <v>10.302843497644814</v>
      </c>
      <c r="S451" s="2258">
        <f t="shared" si="75"/>
        <v>9.9658345981891419</v>
      </c>
      <c r="T451" s="2284">
        <f>R451</f>
        <v>10.302843497644814</v>
      </c>
      <c r="U451" s="2285">
        <f>T451*1.07</f>
        <v>11.02404254247995</v>
      </c>
      <c r="V451" s="2259">
        <f t="shared" si="76"/>
        <v>10.663443020062381</v>
      </c>
      <c r="W451" s="2094"/>
      <c r="X451" s="2094"/>
      <c r="Y451" s="2092"/>
      <c r="Z451" s="1376"/>
    </row>
    <row r="452" spans="1:26" s="1263" customFormat="1" hidden="1" outlineLevel="2">
      <c r="A452" s="1267">
        <v>335</v>
      </c>
      <c r="B452" s="1292" t="s">
        <v>1988</v>
      </c>
      <c r="C452" s="1293" t="s">
        <v>1989</v>
      </c>
      <c r="D452" s="1454"/>
      <c r="E452" s="1279">
        <f>E453*E454</f>
        <v>0</v>
      </c>
      <c r="F452" s="1280">
        <f>F453*F454</f>
        <v>0</v>
      </c>
      <c r="G452" s="1281">
        <f t="shared" si="68"/>
        <v>0</v>
      </c>
      <c r="H452" s="2255">
        <v>0</v>
      </c>
      <c r="I452" s="2256">
        <v>0</v>
      </c>
      <c r="J452" s="2259">
        <f t="shared" si="72"/>
        <v>0</v>
      </c>
      <c r="K452" s="2260">
        <f>K453*K454</f>
        <v>0</v>
      </c>
      <c r="L452" s="2256">
        <f>L453*L454</f>
        <v>0</v>
      </c>
      <c r="M452" s="2258">
        <f t="shared" si="73"/>
        <v>0</v>
      </c>
      <c r="N452" s="2255">
        <f>N453*N454</f>
        <v>0</v>
      </c>
      <c r="O452" s="2256">
        <f>O453*O454</f>
        <v>0</v>
      </c>
      <c r="P452" s="2259">
        <f t="shared" si="74"/>
        <v>0</v>
      </c>
      <c r="Q452" s="2255">
        <f>Q453*Q454</f>
        <v>0</v>
      </c>
      <c r="R452" s="2260">
        <f>R453*R454</f>
        <v>0</v>
      </c>
      <c r="S452" s="2258">
        <f t="shared" si="75"/>
        <v>0</v>
      </c>
      <c r="T452" s="2255">
        <f>T453*T454</f>
        <v>0</v>
      </c>
      <c r="U452" s="2256">
        <f>U453*U454</f>
        <v>0</v>
      </c>
      <c r="V452" s="2259">
        <f t="shared" si="76"/>
        <v>0</v>
      </c>
      <c r="W452" s="2093"/>
      <c r="X452" s="2093"/>
      <c r="Y452" s="2092"/>
      <c r="Z452" s="1376"/>
    </row>
    <row r="453" spans="1:26" s="1263" customFormat="1" hidden="1" outlineLevel="2">
      <c r="A453" s="1267">
        <v>339</v>
      </c>
      <c r="B453" s="1294" t="s">
        <v>1990</v>
      </c>
      <c r="C453" s="1295" t="s">
        <v>1327</v>
      </c>
      <c r="D453" s="1457" t="s">
        <v>1991</v>
      </c>
      <c r="E453" s="1296"/>
      <c r="F453" s="1297"/>
      <c r="G453" s="1281">
        <f t="shared" ref="G453:G518" si="77">E453/2+F453/2</f>
        <v>0</v>
      </c>
      <c r="H453" s="2284"/>
      <c r="I453" s="2285"/>
      <c r="J453" s="2259">
        <f t="shared" si="72"/>
        <v>0</v>
      </c>
      <c r="K453" s="2286"/>
      <c r="L453" s="2285"/>
      <c r="M453" s="2258">
        <f t="shared" si="73"/>
        <v>0</v>
      </c>
      <c r="N453" s="2284"/>
      <c r="O453" s="2285"/>
      <c r="P453" s="2259">
        <f t="shared" si="74"/>
        <v>0</v>
      </c>
      <c r="Q453" s="2284"/>
      <c r="R453" s="2286"/>
      <c r="S453" s="2258">
        <f t="shared" si="75"/>
        <v>0</v>
      </c>
      <c r="T453" s="2284"/>
      <c r="U453" s="2285"/>
      <c r="V453" s="2259">
        <f t="shared" si="76"/>
        <v>0</v>
      </c>
      <c r="W453" s="2094"/>
      <c r="X453" s="2094"/>
      <c r="Y453" s="2092"/>
      <c r="Z453" s="1376"/>
    </row>
    <row r="454" spans="1:26" s="1263" customFormat="1" hidden="1" outlineLevel="2">
      <c r="A454" s="1267">
        <v>340</v>
      </c>
      <c r="B454" s="1294" t="s">
        <v>1992</v>
      </c>
      <c r="C454" s="1295" t="s">
        <v>1330</v>
      </c>
      <c r="D454" s="1457" t="s">
        <v>1993</v>
      </c>
      <c r="E454" s="1296"/>
      <c r="F454" s="1297"/>
      <c r="G454" s="1281">
        <f t="shared" si="77"/>
        <v>0</v>
      </c>
      <c r="H454" s="2284"/>
      <c r="I454" s="2285"/>
      <c r="J454" s="2259">
        <f t="shared" si="72"/>
        <v>0</v>
      </c>
      <c r="K454" s="2286"/>
      <c r="L454" s="2285"/>
      <c r="M454" s="2258">
        <f t="shared" si="73"/>
        <v>0</v>
      </c>
      <c r="N454" s="2284"/>
      <c r="O454" s="2285"/>
      <c r="P454" s="2259">
        <f t="shared" si="74"/>
        <v>0</v>
      </c>
      <c r="Q454" s="2284"/>
      <c r="R454" s="2286"/>
      <c r="S454" s="2258">
        <f t="shared" si="75"/>
        <v>0</v>
      </c>
      <c r="T454" s="2284"/>
      <c r="U454" s="2285"/>
      <c r="V454" s="2259">
        <f t="shared" si="76"/>
        <v>0</v>
      </c>
      <c r="W454" s="2094"/>
      <c r="X454" s="2094"/>
      <c r="Y454" s="2092"/>
      <c r="Z454" s="1376"/>
    </row>
    <row r="455" spans="1:26" s="1263" customFormat="1" hidden="1" outlineLevel="2">
      <c r="A455" s="1267">
        <v>336</v>
      </c>
      <c r="B455" s="1292" t="s">
        <v>1994</v>
      </c>
      <c r="C455" s="1293" t="s">
        <v>1995</v>
      </c>
      <c r="D455" s="1454"/>
      <c r="E455" s="1279">
        <f>E456*E457</f>
        <v>0</v>
      </c>
      <c r="F455" s="1280">
        <f>F456*F457</f>
        <v>0</v>
      </c>
      <c r="G455" s="1281">
        <f t="shared" si="77"/>
        <v>0</v>
      </c>
      <c r="H455" s="2255">
        <v>0</v>
      </c>
      <c r="I455" s="2256">
        <v>0</v>
      </c>
      <c r="J455" s="2259">
        <f t="shared" si="72"/>
        <v>0</v>
      </c>
      <c r="K455" s="2260">
        <f>K456*K457</f>
        <v>0</v>
      </c>
      <c r="L455" s="2256">
        <f>L456*L457</f>
        <v>0</v>
      </c>
      <c r="M455" s="2258">
        <f t="shared" si="73"/>
        <v>0</v>
      </c>
      <c r="N455" s="2255">
        <f>N456*N457</f>
        <v>0</v>
      </c>
      <c r="O455" s="2256">
        <f>O456*O457</f>
        <v>0</v>
      </c>
      <c r="P455" s="2259">
        <f t="shared" si="74"/>
        <v>0</v>
      </c>
      <c r="Q455" s="2255">
        <f>Q456*Q457</f>
        <v>0</v>
      </c>
      <c r="R455" s="2260">
        <f>R456*R457</f>
        <v>0</v>
      </c>
      <c r="S455" s="2258">
        <f t="shared" si="75"/>
        <v>0</v>
      </c>
      <c r="T455" s="2255">
        <f>T456*T457</f>
        <v>0</v>
      </c>
      <c r="U455" s="2256">
        <f>U456*U457</f>
        <v>0</v>
      </c>
      <c r="V455" s="2259">
        <f t="shared" si="76"/>
        <v>0</v>
      </c>
      <c r="W455" s="2093"/>
      <c r="X455" s="2093"/>
      <c r="Y455" s="2092"/>
      <c r="Z455" s="1376"/>
    </row>
    <row r="456" spans="1:26" s="1263" customFormat="1" hidden="1" outlineLevel="2">
      <c r="A456" s="1267">
        <v>341</v>
      </c>
      <c r="B456" s="1294" t="s">
        <v>1996</v>
      </c>
      <c r="C456" s="1295" t="s">
        <v>1327</v>
      </c>
      <c r="D456" s="1457" t="s">
        <v>1991</v>
      </c>
      <c r="E456" s="1296"/>
      <c r="F456" s="1297"/>
      <c r="G456" s="1281">
        <f t="shared" si="77"/>
        <v>0</v>
      </c>
      <c r="H456" s="2284"/>
      <c r="I456" s="2285"/>
      <c r="J456" s="2259">
        <f t="shared" si="72"/>
        <v>0</v>
      </c>
      <c r="K456" s="2286"/>
      <c r="L456" s="2285"/>
      <c r="M456" s="2258">
        <f t="shared" si="73"/>
        <v>0</v>
      </c>
      <c r="N456" s="2284"/>
      <c r="O456" s="2285"/>
      <c r="P456" s="2259">
        <f t="shared" si="74"/>
        <v>0</v>
      </c>
      <c r="Q456" s="2284"/>
      <c r="R456" s="2286"/>
      <c r="S456" s="2258">
        <f t="shared" si="75"/>
        <v>0</v>
      </c>
      <c r="T456" s="2284"/>
      <c r="U456" s="2285"/>
      <c r="V456" s="2259">
        <f t="shared" si="76"/>
        <v>0</v>
      </c>
      <c r="W456" s="2094"/>
      <c r="X456" s="2094"/>
      <c r="Y456" s="2092"/>
      <c r="Z456" s="1376"/>
    </row>
    <row r="457" spans="1:26" s="1263" customFormat="1" hidden="1" outlineLevel="2">
      <c r="A457" s="1267">
        <v>342</v>
      </c>
      <c r="B457" s="1294" t="s">
        <v>1997</v>
      </c>
      <c r="C457" s="1295" t="s">
        <v>1330</v>
      </c>
      <c r="D457" s="1457" t="s">
        <v>1993</v>
      </c>
      <c r="E457" s="1296"/>
      <c r="F457" s="1297"/>
      <c r="G457" s="1281">
        <f t="shared" si="77"/>
        <v>0</v>
      </c>
      <c r="H457" s="2284"/>
      <c r="I457" s="2285"/>
      <c r="J457" s="2259">
        <f t="shared" si="72"/>
        <v>0</v>
      </c>
      <c r="K457" s="2286"/>
      <c r="L457" s="2285"/>
      <c r="M457" s="2258">
        <f t="shared" si="73"/>
        <v>0</v>
      </c>
      <c r="N457" s="2284"/>
      <c r="O457" s="2285"/>
      <c r="P457" s="2259">
        <f t="shared" si="74"/>
        <v>0</v>
      </c>
      <c r="Q457" s="2284"/>
      <c r="R457" s="2286"/>
      <c r="S457" s="2258">
        <f t="shared" si="75"/>
        <v>0</v>
      </c>
      <c r="T457" s="2284"/>
      <c r="U457" s="2285"/>
      <c r="V457" s="2259">
        <f t="shared" si="76"/>
        <v>0</v>
      </c>
      <c r="W457" s="2094"/>
      <c r="X457" s="2094"/>
      <c r="Y457" s="2092"/>
      <c r="Z457" s="1376"/>
    </row>
    <row r="458" spans="1:26" s="1263" customFormat="1" hidden="1" outlineLevel="2">
      <c r="A458" s="1267">
        <v>71</v>
      </c>
      <c r="B458" s="1294" t="s">
        <v>1998</v>
      </c>
      <c r="C458" s="1295" t="s">
        <v>1999</v>
      </c>
      <c r="D458" s="1457" t="s">
        <v>1317</v>
      </c>
      <c r="E458" s="1296"/>
      <c r="F458" s="1297"/>
      <c r="G458" s="1281">
        <f t="shared" si="77"/>
        <v>0</v>
      </c>
      <c r="H458" s="2284"/>
      <c r="I458" s="2285"/>
      <c r="J458" s="2259">
        <f t="shared" si="72"/>
        <v>0</v>
      </c>
      <c r="K458" s="2286"/>
      <c r="L458" s="2285"/>
      <c r="M458" s="2258">
        <f t="shared" si="73"/>
        <v>0</v>
      </c>
      <c r="N458" s="2284"/>
      <c r="O458" s="2285"/>
      <c r="P458" s="2259">
        <f t="shared" si="74"/>
        <v>0</v>
      </c>
      <c r="Q458" s="2284"/>
      <c r="R458" s="2286"/>
      <c r="S458" s="2258">
        <f t="shared" si="75"/>
        <v>0</v>
      </c>
      <c r="T458" s="2284"/>
      <c r="U458" s="2285"/>
      <c r="V458" s="2259">
        <f t="shared" si="76"/>
        <v>0</v>
      </c>
      <c r="W458" s="2094"/>
      <c r="X458" s="2094"/>
      <c r="Y458" s="2092"/>
      <c r="Z458" s="1376"/>
    </row>
    <row r="459" spans="1:26" s="1263" customFormat="1" outlineLevel="1" collapsed="1">
      <c r="A459" s="1267">
        <v>270</v>
      </c>
      <c r="B459" s="1292" t="s">
        <v>2000</v>
      </c>
      <c r="C459" s="1293" t="s">
        <v>2001</v>
      </c>
      <c r="D459" s="1454" t="s">
        <v>1313</v>
      </c>
      <c r="E459" s="1279">
        <f>E460*E461+E462</f>
        <v>5829.5961717000009</v>
      </c>
      <c r="F459" s="1280">
        <f>F460*F461+F462</f>
        <v>5829.5961717000009</v>
      </c>
      <c r="G459" s="1281">
        <f t="shared" si="77"/>
        <v>5829.5961717000009</v>
      </c>
      <c r="H459" s="2255">
        <v>1995.8753396082909</v>
      </c>
      <c r="I459" s="2256">
        <v>2121.6154860036131</v>
      </c>
      <c r="J459" s="2259">
        <f t="shared" si="72"/>
        <v>2058.7454128059521</v>
      </c>
      <c r="K459" s="2260">
        <f>K460*K461+K462</f>
        <v>2121.6154860036131</v>
      </c>
      <c r="L459" s="2256">
        <f>L460*L461+L462</f>
        <v>2234.0611067618042</v>
      </c>
      <c r="M459" s="2258">
        <f t="shared" si="73"/>
        <v>2177.8382963827089</v>
      </c>
      <c r="N459" s="2255">
        <f>N460*N461+N462</f>
        <v>2234.0611067618042</v>
      </c>
      <c r="O459" s="2256">
        <f>O460*O461+O462</f>
        <v>2352.4663454201796</v>
      </c>
      <c r="P459" s="2259">
        <f t="shared" si="74"/>
        <v>2293.2637260909919</v>
      </c>
      <c r="Q459" s="2255">
        <f>Q460*Q461+Q462</f>
        <v>2352.4663454201796</v>
      </c>
      <c r="R459" s="2260">
        <f>R460*R461+R462</f>
        <v>2477.147061727449</v>
      </c>
      <c r="S459" s="2258">
        <f t="shared" si="75"/>
        <v>2414.806703573814</v>
      </c>
      <c r="T459" s="2255">
        <f>T460*T461+T462</f>
        <v>2477.147061727449</v>
      </c>
      <c r="U459" s="2256">
        <f>U460*U461+U462</f>
        <v>2608.4358559990037</v>
      </c>
      <c r="V459" s="2259">
        <f t="shared" si="76"/>
        <v>2542.7914588632266</v>
      </c>
      <c r="W459" s="2093"/>
      <c r="X459" s="2093"/>
      <c r="Y459" s="2092"/>
      <c r="Z459" s="1376"/>
    </row>
    <row r="460" spans="1:26" s="1263" customFormat="1" outlineLevel="1">
      <c r="A460" s="1267">
        <v>271</v>
      </c>
      <c r="B460" s="1294" t="s">
        <v>2002</v>
      </c>
      <c r="C460" s="1295" t="s">
        <v>1505</v>
      </c>
      <c r="D460" s="1457"/>
      <c r="E460" s="1296" t="s">
        <v>2003</v>
      </c>
      <c r="F460" s="1297" t="s">
        <v>2003</v>
      </c>
      <c r="G460" s="1281">
        <f t="shared" si="77"/>
        <v>2.5943100000000001</v>
      </c>
      <c r="H460" s="2381">
        <v>0.84488674764417748</v>
      </c>
      <c r="I460" s="2382">
        <v>0.84488674764417748</v>
      </c>
      <c r="J460" s="2259">
        <f t="shared" ref="J460:J504" si="78">H460/2+I460/2</f>
        <v>0.84488674764417748</v>
      </c>
      <c r="K460" s="2286">
        <f>H460</f>
        <v>0.84488674764417748</v>
      </c>
      <c r="L460" s="2285">
        <f>K460</f>
        <v>0.84488674764417748</v>
      </c>
      <c r="M460" s="2258">
        <f t="shared" ref="M460:M504" si="79">K460/2+L460/2</f>
        <v>0.84488674764417748</v>
      </c>
      <c r="N460" s="2284">
        <f>L460</f>
        <v>0.84488674764417748</v>
      </c>
      <c r="O460" s="2285">
        <f>N460</f>
        <v>0.84488674764417748</v>
      </c>
      <c r="P460" s="2259">
        <f t="shared" ref="P460:P504" si="80">N460/2+O460/2</f>
        <v>0.84488674764417748</v>
      </c>
      <c r="Q460" s="2284">
        <f>O460</f>
        <v>0.84488674764417748</v>
      </c>
      <c r="R460" s="2286">
        <f>Q460</f>
        <v>0.84488674764417748</v>
      </c>
      <c r="S460" s="2258">
        <f t="shared" ref="S460:S504" si="81">Q460/2+R460/2</f>
        <v>0.84488674764417748</v>
      </c>
      <c r="T460" s="2284">
        <f>R460</f>
        <v>0.84488674764417748</v>
      </c>
      <c r="U460" s="2285">
        <f>T460</f>
        <v>0.84488674764417748</v>
      </c>
      <c r="V460" s="2259">
        <f t="shared" ref="V460:V504" si="82">T460/2+U460/2</f>
        <v>0.84488674764417748</v>
      </c>
      <c r="W460" s="2094"/>
      <c r="X460" s="2094"/>
      <c r="Y460" s="2092"/>
      <c r="Z460" s="1376"/>
    </row>
    <row r="461" spans="1:26" s="1263" customFormat="1" outlineLevel="1">
      <c r="A461" s="1267">
        <v>272</v>
      </c>
      <c r="B461" s="1294" t="s">
        <v>2004</v>
      </c>
      <c r="C461" s="1295" t="s">
        <v>2005</v>
      </c>
      <c r="D461" s="1457" t="s">
        <v>1934</v>
      </c>
      <c r="E461" s="1296" t="s">
        <v>2006</v>
      </c>
      <c r="F461" s="1297" t="s">
        <v>2006</v>
      </c>
      <c r="G461" s="1281">
        <f t="shared" si="77"/>
        <v>2247.0700000000002</v>
      </c>
      <c r="H461" s="2284">
        <v>2362.2992610233841</v>
      </c>
      <c r="I461" s="2285">
        <v>2511.124114467857</v>
      </c>
      <c r="J461" s="2259">
        <f t="shared" si="78"/>
        <v>2436.7116877456206</v>
      </c>
      <c r="K461" s="2286">
        <f>I461</f>
        <v>2511.124114467857</v>
      </c>
      <c r="L461" s="2285">
        <f>K461*1.053</f>
        <v>2644.2136925346531</v>
      </c>
      <c r="M461" s="2258">
        <f t="shared" si="79"/>
        <v>2577.668903501255</v>
      </c>
      <c r="N461" s="2284">
        <f>L461</f>
        <v>2644.2136925346531</v>
      </c>
      <c r="O461" s="2285">
        <f>N461*1.053</f>
        <v>2784.3570182389894</v>
      </c>
      <c r="P461" s="2259">
        <f t="shared" si="80"/>
        <v>2714.2853553868213</v>
      </c>
      <c r="Q461" s="2284">
        <f>O461</f>
        <v>2784.3570182389894</v>
      </c>
      <c r="R461" s="2286">
        <f>Q461*1.053</f>
        <v>2931.9279402056559</v>
      </c>
      <c r="S461" s="2258">
        <f t="shared" si="81"/>
        <v>2858.1424792223224</v>
      </c>
      <c r="T461" s="2284">
        <f>R461</f>
        <v>2931.9279402056559</v>
      </c>
      <c r="U461" s="2285">
        <f>T461*1.053</f>
        <v>3087.3201210365555</v>
      </c>
      <c r="V461" s="2259">
        <f t="shared" si="82"/>
        <v>3009.6240306211057</v>
      </c>
      <c r="W461" s="2094"/>
      <c r="X461" s="2094"/>
      <c r="Y461" s="2092"/>
      <c r="Z461" s="1376"/>
    </row>
    <row r="462" spans="1:26" s="1263" customFormat="1" hidden="1" outlineLevel="1">
      <c r="A462" s="1267">
        <v>70</v>
      </c>
      <c r="B462" s="1294" t="s">
        <v>2007</v>
      </c>
      <c r="C462" s="1295" t="s">
        <v>2008</v>
      </c>
      <c r="D462" s="1457" t="s">
        <v>1317</v>
      </c>
      <c r="E462" s="1296"/>
      <c r="F462" s="1297"/>
      <c r="G462" s="1281">
        <f t="shared" si="77"/>
        <v>0</v>
      </c>
      <c r="H462" s="2284"/>
      <c r="I462" s="2285"/>
      <c r="J462" s="2259">
        <f t="shared" si="78"/>
        <v>0</v>
      </c>
      <c r="K462" s="2286"/>
      <c r="L462" s="2285"/>
      <c r="M462" s="2258">
        <f t="shared" si="79"/>
        <v>0</v>
      </c>
      <c r="N462" s="2284"/>
      <c r="O462" s="2285"/>
      <c r="P462" s="2259">
        <f t="shared" si="80"/>
        <v>0</v>
      </c>
      <c r="Q462" s="2284"/>
      <c r="R462" s="2286"/>
      <c r="S462" s="2258">
        <f t="shared" si="81"/>
        <v>0</v>
      </c>
      <c r="T462" s="2284"/>
      <c r="U462" s="2285"/>
      <c r="V462" s="2259">
        <f t="shared" si="82"/>
        <v>0</v>
      </c>
      <c r="W462" s="2094"/>
      <c r="X462" s="2094"/>
      <c r="Y462" s="2092"/>
      <c r="Z462" s="1376"/>
    </row>
    <row r="463" spans="1:26" s="1263" customFormat="1" outlineLevel="1">
      <c r="A463" s="1267">
        <v>273</v>
      </c>
      <c r="B463" s="1292" t="s">
        <v>2009</v>
      </c>
      <c r="C463" s="1293" t="s">
        <v>2010</v>
      </c>
      <c r="D463" s="1454" t="s">
        <v>1313</v>
      </c>
      <c r="E463" s="1279">
        <f>E464*E465</f>
        <v>20084.959999946601</v>
      </c>
      <c r="F463" s="1280">
        <f>F464*F465</f>
        <v>20084.959999946601</v>
      </c>
      <c r="G463" s="1281">
        <f t="shared" si="77"/>
        <v>20084.959999946601</v>
      </c>
      <c r="H463" s="2255">
        <v>9650.6375448224389</v>
      </c>
      <c r="I463" s="2256">
        <v>10258.627710146251</v>
      </c>
      <c r="J463" s="2259">
        <f t="shared" si="78"/>
        <v>9954.632627484345</v>
      </c>
      <c r="K463" s="2260">
        <f>K464*K465</f>
        <v>10258.627710146251</v>
      </c>
      <c r="L463" s="2256">
        <f>L464*L465</f>
        <v>10802.334978784002</v>
      </c>
      <c r="M463" s="2258">
        <f t="shared" si="79"/>
        <v>10530.481344465126</v>
      </c>
      <c r="N463" s="2255">
        <f>N464*N465</f>
        <v>10802.334978784002</v>
      </c>
      <c r="O463" s="2256">
        <f>O464*O465</f>
        <v>11374.858732659553</v>
      </c>
      <c r="P463" s="2259">
        <f t="shared" si="80"/>
        <v>11088.596855721778</v>
      </c>
      <c r="Q463" s="2255">
        <f>Q464*Q465</f>
        <v>11374.858732659553</v>
      </c>
      <c r="R463" s="2256">
        <f>R464*R465</f>
        <v>11977.726245490509</v>
      </c>
      <c r="S463" s="2883">
        <f t="shared" si="81"/>
        <v>11676.292489075031</v>
      </c>
      <c r="T463" s="2255">
        <f>T464*T465</f>
        <v>11977.726245490509</v>
      </c>
      <c r="U463" s="2256">
        <f>U464*U465</f>
        <v>12612.545736501505</v>
      </c>
      <c r="V463" s="2259">
        <f t="shared" si="82"/>
        <v>12295.135990996007</v>
      </c>
      <c r="W463" s="2093"/>
      <c r="X463" s="2093"/>
      <c r="Y463" s="2092"/>
      <c r="Z463" s="1376"/>
    </row>
    <row r="464" spans="1:26" s="1263" customFormat="1" outlineLevel="1">
      <c r="A464" s="1267">
        <v>274</v>
      </c>
      <c r="B464" s="1294" t="s">
        <v>2011</v>
      </c>
      <c r="C464" s="1295" t="s">
        <v>1505</v>
      </c>
      <c r="D464" s="1457" t="s">
        <v>2012</v>
      </c>
      <c r="E464" s="1296" t="s">
        <v>2013</v>
      </c>
      <c r="F464" s="1297" t="s">
        <v>2013</v>
      </c>
      <c r="G464" s="1281">
        <f t="shared" si="77"/>
        <v>1346.21</v>
      </c>
      <c r="H464" s="2294">
        <v>648.07878049972248</v>
      </c>
      <c r="I464" s="2296">
        <v>648.07878049972248</v>
      </c>
      <c r="J464" s="2259">
        <f t="shared" si="78"/>
        <v>648.07878049972248</v>
      </c>
      <c r="K464" s="2286">
        <f>H464</f>
        <v>648.07878049972248</v>
      </c>
      <c r="L464" s="2296">
        <f>K464</f>
        <v>648.07878049972248</v>
      </c>
      <c r="M464" s="2258">
        <f t="shared" si="79"/>
        <v>648.07878049972248</v>
      </c>
      <c r="N464" s="2294">
        <f>L464</f>
        <v>648.07878049972248</v>
      </c>
      <c r="O464" s="2296">
        <f>N464</f>
        <v>648.07878049972248</v>
      </c>
      <c r="P464" s="2259">
        <f t="shared" si="80"/>
        <v>648.07878049972248</v>
      </c>
      <c r="Q464" s="2294">
        <f>O464</f>
        <v>648.07878049972248</v>
      </c>
      <c r="R464" s="2296">
        <f>Q464</f>
        <v>648.07878049972248</v>
      </c>
      <c r="S464" s="2883">
        <f t="shared" si="81"/>
        <v>648.07878049972248</v>
      </c>
      <c r="T464" s="2294">
        <f>R464</f>
        <v>648.07878049972248</v>
      </c>
      <c r="U464" s="2296">
        <f>T464</f>
        <v>648.07878049972248</v>
      </c>
      <c r="V464" s="2259">
        <f t="shared" si="82"/>
        <v>648.07878049972248</v>
      </c>
      <c r="W464" s="2094"/>
      <c r="X464" s="2094"/>
      <c r="Y464" s="2092"/>
      <c r="Z464" s="1376"/>
    </row>
    <row r="465" spans="1:26" s="1263" customFormat="1" outlineLevel="1">
      <c r="A465" s="1267">
        <v>275</v>
      </c>
      <c r="B465" s="1294" t="s">
        <v>2014</v>
      </c>
      <c r="C465" s="1295" t="s">
        <v>2005</v>
      </c>
      <c r="D465" s="1457" t="s">
        <v>1934</v>
      </c>
      <c r="E465" s="1296">
        <v>14.919633638100001</v>
      </c>
      <c r="F465" s="1297">
        <f>E465</f>
        <v>14.919633638100001</v>
      </c>
      <c r="G465" s="1281">
        <f t="shared" si="77"/>
        <v>14.919633638100001</v>
      </c>
      <c r="H465" s="2284">
        <v>14.89114878499956</v>
      </c>
      <c r="I465" s="2474">
        <v>15.829291158454531</v>
      </c>
      <c r="J465" s="2259">
        <f t="shared" si="78"/>
        <v>15.360219971727044</v>
      </c>
      <c r="K465" s="2286">
        <f>I465</f>
        <v>15.829291158454531</v>
      </c>
      <c r="L465" s="2285">
        <f>K465*1.053</f>
        <v>16.668243589852619</v>
      </c>
      <c r="M465" s="2258">
        <f t="shared" si="79"/>
        <v>16.248767374153573</v>
      </c>
      <c r="N465" s="2284">
        <f>L465</f>
        <v>16.668243589852619</v>
      </c>
      <c r="O465" s="2285">
        <f>N465*1.053</f>
        <v>17.551660500114806</v>
      </c>
      <c r="P465" s="2259">
        <f t="shared" si="80"/>
        <v>17.109952044983714</v>
      </c>
      <c r="Q465" s="2284">
        <f>O465</f>
        <v>17.551660500114806</v>
      </c>
      <c r="R465" s="2285">
        <f>Q465*1.053</f>
        <v>18.48189850662089</v>
      </c>
      <c r="S465" s="2883">
        <f t="shared" si="81"/>
        <v>18.01677950336785</v>
      </c>
      <c r="T465" s="2284">
        <f>R465</f>
        <v>18.48189850662089</v>
      </c>
      <c r="U465" s="2285">
        <f>T465*1.053</f>
        <v>19.461439127471795</v>
      </c>
      <c r="V465" s="2259">
        <f t="shared" si="82"/>
        <v>18.971668817046343</v>
      </c>
      <c r="W465" s="2094"/>
      <c r="X465" s="2094"/>
      <c r="Y465" s="2092"/>
      <c r="Z465" s="1376"/>
    </row>
    <row r="466" spans="1:26" s="1263" customFormat="1" outlineLevel="1">
      <c r="A466" s="1267">
        <v>72</v>
      </c>
      <c r="B466" s="1292" t="s">
        <v>2015</v>
      </c>
      <c r="C466" s="1293" t="s">
        <v>2016</v>
      </c>
      <c r="D466" s="1454" t="s">
        <v>1317</v>
      </c>
      <c r="E466" s="1279">
        <f>E467*E468</f>
        <v>218896.3899997898</v>
      </c>
      <c r="F466" s="1280">
        <f>F467*F468</f>
        <v>218896.3899997898</v>
      </c>
      <c r="G466" s="1281">
        <f t="shared" si="77"/>
        <v>218896.3899997898</v>
      </c>
      <c r="H466" s="2255">
        <v>193400.1395776773</v>
      </c>
      <c r="I466" s="2256">
        <v>205584.34837107093</v>
      </c>
      <c r="J466" s="2259">
        <f t="shared" si="78"/>
        <v>199492.24397437411</v>
      </c>
      <c r="K466" s="2260">
        <f>K467*K468</f>
        <v>205584.34837107093</v>
      </c>
      <c r="L466" s="2256">
        <f>L467*L468</f>
        <v>216480.31883473767</v>
      </c>
      <c r="M466" s="2258">
        <f t="shared" si="79"/>
        <v>211032.33360290428</v>
      </c>
      <c r="N466" s="2255">
        <f>N467*N468</f>
        <v>216480.31883473767</v>
      </c>
      <c r="O466" s="2256">
        <f>O467*O468</f>
        <v>227953.77573297874</v>
      </c>
      <c r="P466" s="2882">
        <f t="shared" si="80"/>
        <v>222217.04728385821</v>
      </c>
      <c r="Q466" s="2255">
        <f>Q467*Q468</f>
        <v>227953.77573297874</v>
      </c>
      <c r="R466" s="2256">
        <f>R467*R468</f>
        <v>240035.32584682663</v>
      </c>
      <c r="S466" s="2883">
        <f t="shared" si="81"/>
        <v>233994.55078990269</v>
      </c>
      <c r="T466" s="2255">
        <f>T467*T468</f>
        <v>240035.32584682663</v>
      </c>
      <c r="U466" s="2256">
        <f>U467*U468</f>
        <v>252757.1981167084</v>
      </c>
      <c r="V466" s="2882">
        <f t="shared" si="82"/>
        <v>246396.26198176751</v>
      </c>
      <c r="W466" s="2093"/>
      <c r="X466" s="2093"/>
      <c r="Y466" s="2092"/>
      <c r="Z466" s="1376"/>
    </row>
    <row r="467" spans="1:26" s="1263" customFormat="1" outlineLevel="1">
      <c r="A467" s="1267">
        <v>74</v>
      </c>
      <c r="B467" s="1294" t="s">
        <v>2017</v>
      </c>
      <c r="C467" s="1295" t="s">
        <v>2018</v>
      </c>
      <c r="D467" s="1457" t="s">
        <v>1983</v>
      </c>
      <c r="E467" s="1296" t="s">
        <v>2019</v>
      </c>
      <c r="F467" s="1297" t="s">
        <v>2019</v>
      </c>
      <c r="G467" s="1281">
        <f t="shared" si="77"/>
        <v>29964.45</v>
      </c>
      <c r="H467" s="2294">
        <v>23358.33657491162</v>
      </c>
      <c r="I467" s="2296">
        <v>23358.33657491162</v>
      </c>
      <c r="J467" s="2259">
        <f t="shared" si="78"/>
        <v>23358.33657491162</v>
      </c>
      <c r="K467" s="2286">
        <f>H467</f>
        <v>23358.33657491162</v>
      </c>
      <c r="L467" s="2296">
        <f>K467</f>
        <v>23358.33657491162</v>
      </c>
      <c r="M467" s="2258">
        <f>K467/2+L467/2</f>
        <v>23358.33657491162</v>
      </c>
      <c r="N467" s="2294">
        <f>L467</f>
        <v>23358.33657491162</v>
      </c>
      <c r="O467" s="2296">
        <f>N467</f>
        <v>23358.33657491162</v>
      </c>
      <c r="P467" s="2882">
        <f>N467/2+O467/2</f>
        <v>23358.33657491162</v>
      </c>
      <c r="Q467" s="2294">
        <f>O467</f>
        <v>23358.33657491162</v>
      </c>
      <c r="R467" s="2296">
        <f>Q467</f>
        <v>23358.33657491162</v>
      </c>
      <c r="S467" s="2883">
        <f>Q467/2+R467/2</f>
        <v>23358.33657491162</v>
      </c>
      <c r="T467" s="2294">
        <f>R467</f>
        <v>23358.33657491162</v>
      </c>
      <c r="U467" s="2296">
        <f>T467</f>
        <v>23358.33657491162</v>
      </c>
      <c r="V467" s="2882">
        <f t="shared" si="82"/>
        <v>23358.33657491162</v>
      </c>
      <c r="W467" s="2094"/>
      <c r="X467" s="2094"/>
      <c r="Y467" s="2092"/>
      <c r="Z467" s="1376"/>
    </row>
    <row r="468" spans="1:26" s="1263" customFormat="1" outlineLevel="1">
      <c r="A468" s="1267">
        <v>73</v>
      </c>
      <c r="B468" s="1294" t="s">
        <v>2020</v>
      </c>
      <c r="C468" s="1295" t="s">
        <v>2005</v>
      </c>
      <c r="D468" s="1457" t="s">
        <v>1986</v>
      </c>
      <c r="E468" s="1296">
        <v>7.3052029988799996</v>
      </c>
      <c r="F468" s="1297">
        <f>E468</f>
        <v>7.3052029988799996</v>
      </c>
      <c r="G468" s="1281">
        <f t="shared" si="77"/>
        <v>7.3052029988799996</v>
      </c>
      <c r="H468" s="2284">
        <v>8.2797051475575394</v>
      </c>
      <c r="I468" s="2474">
        <v>8.8013265718536626</v>
      </c>
      <c r="J468" s="2259">
        <f t="shared" si="78"/>
        <v>8.5405158597056001</v>
      </c>
      <c r="K468" s="2286">
        <f>I468</f>
        <v>8.8013265718536626</v>
      </c>
      <c r="L468" s="2285">
        <f>K468*1.053</f>
        <v>9.2677968801619066</v>
      </c>
      <c r="M468" s="2258">
        <f t="shared" si="79"/>
        <v>9.0345617260077837</v>
      </c>
      <c r="N468" s="2284">
        <f>L468</f>
        <v>9.2677968801619066</v>
      </c>
      <c r="O468" s="2285">
        <f>N468*1.053</f>
        <v>9.7589901148104872</v>
      </c>
      <c r="P468" s="2882">
        <f t="shared" si="80"/>
        <v>9.5133934974861969</v>
      </c>
      <c r="Q468" s="2284">
        <f>O468</f>
        <v>9.7589901148104872</v>
      </c>
      <c r="R468" s="2285">
        <f>Q468*1.053</f>
        <v>10.276216590895443</v>
      </c>
      <c r="S468" s="2883">
        <f t="shared" si="81"/>
        <v>10.017603352852966</v>
      </c>
      <c r="T468" s="2284">
        <f>R468</f>
        <v>10.276216590895443</v>
      </c>
      <c r="U468" s="2285">
        <f>T468*1.053</f>
        <v>10.8208560702129</v>
      </c>
      <c r="V468" s="2882">
        <f t="shared" si="82"/>
        <v>10.548536330554171</v>
      </c>
      <c r="W468" s="2094"/>
      <c r="X468" s="2094"/>
      <c r="Y468" s="2092"/>
      <c r="Z468" s="1376"/>
    </row>
    <row r="469" spans="1:26" s="1263" customFormat="1" hidden="1" outlineLevel="2">
      <c r="A469" s="1267">
        <v>260</v>
      </c>
      <c r="B469" s="1294" t="s">
        <v>2021</v>
      </c>
      <c r="C469" s="1295" t="s">
        <v>2022</v>
      </c>
      <c r="D469" s="1457" t="s">
        <v>1313</v>
      </c>
      <c r="E469" s="1296"/>
      <c r="F469" s="1297"/>
      <c r="G469" s="1281">
        <f t="shared" si="77"/>
        <v>0</v>
      </c>
      <c r="H469" s="2284"/>
      <c r="I469" s="2285"/>
      <c r="J469" s="2259">
        <f t="shared" si="78"/>
        <v>0</v>
      </c>
      <c r="K469" s="2286"/>
      <c r="L469" s="2285"/>
      <c r="M469" s="2258">
        <f t="shared" si="79"/>
        <v>0</v>
      </c>
      <c r="N469" s="2284"/>
      <c r="O469" s="2285"/>
      <c r="P469" s="2882">
        <f t="shared" si="80"/>
        <v>0</v>
      </c>
      <c r="Q469" s="2284"/>
      <c r="R469" s="2285"/>
      <c r="S469" s="2883">
        <f t="shared" si="81"/>
        <v>0</v>
      </c>
      <c r="T469" s="2284"/>
      <c r="U469" s="2285"/>
      <c r="V469" s="2882">
        <f t="shared" si="82"/>
        <v>0</v>
      </c>
      <c r="W469" s="2094"/>
      <c r="X469" s="2094"/>
      <c r="Y469" s="2092"/>
      <c r="Z469" s="1376"/>
    </row>
    <row r="470" spans="1:26" s="1263" customFormat="1" hidden="1" outlineLevel="2">
      <c r="A470" s="1267">
        <v>261</v>
      </c>
      <c r="B470" s="1294" t="s">
        <v>2023</v>
      </c>
      <c r="C470" s="1295" t="s">
        <v>2024</v>
      </c>
      <c r="D470" s="1457" t="s">
        <v>1313</v>
      </c>
      <c r="E470" s="1296"/>
      <c r="F470" s="1297"/>
      <c r="G470" s="1281">
        <f t="shared" si="77"/>
        <v>0</v>
      </c>
      <c r="H470" s="2284"/>
      <c r="I470" s="2285"/>
      <c r="J470" s="2259">
        <f t="shared" si="78"/>
        <v>0</v>
      </c>
      <c r="K470" s="2286"/>
      <c r="L470" s="2285"/>
      <c r="M470" s="2258">
        <f t="shared" si="79"/>
        <v>0</v>
      </c>
      <c r="N470" s="2284"/>
      <c r="O470" s="2285"/>
      <c r="P470" s="2882">
        <f t="shared" si="80"/>
        <v>0</v>
      </c>
      <c r="Q470" s="2284"/>
      <c r="R470" s="2285"/>
      <c r="S470" s="2883">
        <f t="shared" si="81"/>
        <v>0</v>
      </c>
      <c r="T470" s="2284"/>
      <c r="U470" s="2285"/>
      <c r="V470" s="2882">
        <f t="shared" si="82"/>
        <v>0</v>
      </c>
      <c r="W470" s="2094"/>
      <c r="X470" s="2094"/>
      <c r="Y470" s="2092"/>
      <c r="Z470" s="1376"/>
    </row>
    <row r="471" spans="1:26" s="1263" customFormat="1" hidden="1" outlineLevel="2">
      <c r="A471" s="1267">
        <v>262</v>
      </c>
      <c r="B471" s="1294" t="s">
        <v>2025</v>
      </c>
      <c r="C471" s="1295" t="s">
        <v>2026</v>
      </c>
      <c r="D471" s="1457" t="s">
        <v>1313</v>
      </c>
      <c r="E471" s="1296"/>
      <c r="F471" s="1297"/>
      <c r="G471" s="1281">
        <f t="shared" si="77"/>
        <v>0</v>
      </c>
      <c r="H471" s="2284"/>
      <c r="I471" s="2285"/>
      <c r="J471" s="2259">
        <f t="shared" si="78"/>
        <v>0</v>
      </c>
      <c r="K471" s="2286"/>
      <c r="L471" s="2285"/>
      <c r="M471" s="2258">
        <f t="shared" si="79"/>
        <v>0</v>
      </c>
      <c r="N471" s="2284"/>
      <c r="O471" s="2285"/>
      <c r="P471" s="2882">
        <f t="shared" si="80"/>
        <v>0</v>
      </c>
      <c r="Q471" s="2284"/>
      <c r="R471" s="2285"/>
      <c r="S471" s="2883">
        <f t="shared" si="81"/>
        <v>0</v>
      </c>
      <c r="T471" s="2284"/>
      <c r="U471" s="2285"/>
      <c r="V471" s="2882">
        <f t="shared" si="82"/>
        <v>0</v>
      </c>
      <c r="W471" s="2094"/>
      <c r="X471" s="2094"/>
      <c r="Y471" s="2092"/>
      <c r="Z471" s="1376"/>
    </row>
    <row r="472" spans="1:26" s="1263" customFormat="1" hidden="1" outlineLevel="2">
      <c r="A472" s="1267">
        <v>279</v>
      </c>
      <c r="B472" s="1292" t="s">
        <v>2027</v>
      </c>
      <c r="C472" s="1293" t="s">
        <v>2028</v>
      </c>
      <c r="D472" s="1454" t="s">
        <v>1313</v>
      </c>
      <c r="E472" s="1279">
        <f>E473*E474</f>
        <v>0</v>
      </c>
      <c r="F472" s="1280">
        <f>F473*F474</f>
        <v>0</v>
      </c>
      <c r="G472" s="1281">
        <f t="shared" si="77"/>
        <v>0</v>
      </c>
      <c r="H472" s="2255">
        <v>0</v>
      </c>
      <c r="I472" s="2256">
        <v>0</v>
      </c>
      <c r="J472" s="2259">
        <f t="shared" si="78"/>
        <v>0</v>
      </c>
      <c r="K472" s="2260">
        <f>K473*K474</f>
        <v>0</v>
      </c>
      <c r="L472" s="2256">
        <f>L473*L474</f>
        <v>0</v>
      </c>
      <c r="M472" s="2258">
        <f t="shared" si="79"/>
        <v>0</v>
      </c>
      <c r="N472" s="2255">
        <f>N473*N474</f>
        <v>0</v>
      </c>
      <c r="O472" s="2256">
        <f>O473*O474</f>
        <v>0</v>
      </c>
      <c r="P472" s="2882">
        <f t="shared" si="80"/>
        <v>0</v>
      </c>
      <c r="Q472" s="2255">
        <f>Q473*Q474</f>
        <v>0</v>
      </c>
      <c r="R472" s="2256">
        <f>R473*R474</f>
        <v>0</v>
      </c>
      <c r="S472" s="2883">
        <f t="shared" si="81"/>
        <v>0</v>
      </c>
      <c r="T472" s="2255">
        <f>T473*T474</f>
        <v>0</v>
      </c>
      <c r="U472" s="2256">
        <f>U473*U474</f>
        <v>0</v>
      </c>
      <c r="V472" s="2882">
        <f t="shared" si="82"/>
        <v>0</v>
      </c>
      <c r="W472" s="2093"/>
      <c r="X472" s="2093"/>
      <c r="Y472" s="2092"/>
      <c r="Z472" s="1376"/>
    </row>
    <row r="473" spans="1:26" s="1263" customFormat="1" hidden="1" outlineLevel="2">
      <c r="A473" s="1267">
        <v>280</v>
      </c>
      <c r="B473" s="1294" t="s">
        <v>2029</v>
      </c>
      <c r="C473" s="1295" t="s">
        <v>1505</v>
      </c>
      <c r="D473" s="1457" t="s">
        <v>2012</v>
      </c>
      <c r="E473" s="1296"/>
      <c r="F473" s="1297"/>
      <c r="G473" s="1281">
        <f t="shared" si="77"/>
        <v>0</v>
      </c>
      <c r="H473" s="2284"/>
      <c r="I473" s="2285"/>
      <c r="J473" s="2259">
        <f t="shared" si="78"/>
        <v>0</v>
      </c>
      <c r="K473" s="2286"/>
      <c r="L473" s="2285"/>
      <c r="M473" s="2258">
        <f t="shared" si="79"/>
        <v>0</v>
      </c>
      <c r="N473" s="2284"/>
      <c r="O473" s="2285"/>
      <c r="P473" s="2882">
        <f t="shared" si="80"/>
        <v>0</v>
      </c>
      <c r="Q473" s="2284"/>
      <c r="R473" s="2285"/>
      <c r="S473" s="2883">
        <f t="shared" si="81"/>
        <v>0</v>
      </c>
      <c r="T473" s="2284"/>
      <c r="U473" s="2285"/>
      <c r="V473" s="2882">
        <f t="shared" si="82"/>
        <v>0</v>
      </c>
      <c r="W473" s="2094"/>
      <c r="X473" s="2094"/>
      <c r="Y473" s="2092"/>
      <c r="Z473" s="1376"/>
    </row>
    <row r="474" spans="1:26" s="1263" customFormat="1" hidden="1" outlineLevel="2">
      <c r="A474" s="1267">
        <v>281</v>
      </c>
      <c r="B474" s="1294" t="s">
        <v>2030</v>
      </c>
      <c r="C474" s="1295" t="s">
        <v>2005</v>
      </c>
      <c r="D474" s="1457" t="s">
        <v>1934</v>
      </c>
      <c r="E474" s="1296"/>
      <c r="F474" s="1297"/>
      <c r="G474" s="1281">
        <f t="shared" si="77"/>
        <v>0</v>
      </c>
      <c r="H474" s="2284"/>
      <c r="I474" s="2285"/>
      <c r="J474" s="2259">
        <f t="shared" si="78"/>
        <v>0</v>
      </c>
      <c r="K474" s="2286"/>
      <c r="L474" s="2285"/>
      <c r="M474" s="2258">
        <f t="shared" si="79"/>
        <v>0</v>
      </c>
      <c r="N474" s="2284"/>
      <c r="O474" s="2285"/>
      <c r="P474" s="2882">
        <f t="shared" si="80"/>
        <v>0</v>
      </c>
      <c r="Q474" s="2284"/>
      <c r="R474" s="2285"/>
      <c r="S474" s="2883">
        <f t="shared" si="81"/>
        <v>0</v>
      </c>
      <c r="T474" s="2284"/>
      <c r="U474" s="2285"/>
      <c r="V474" s="2882">
        <f t="shared" si="82"/>
        <v>0</v>
      </c>
      <c r="W474" s="2094"/>
      <c r="X474" s="2094"/>
      <c r="Y474" s="2092"/>
      <c r="Z474" s="1376"/>
    </row>
    <row r="475" spans="1:26" s="1263" customFormat="1" hidden="1" outlineLevel="1" collapsed="1">
      <c r="A475" s="1267">
        <v>276</v>
      </c>
      <c r="B475" s="1292" t="s">
        <v>2031</v>
      </c>
      <c r="C475" s="1293" t="s">
        <v>2032</v>
      </c>
      <c r="D475" s="1454" t="s">
        <v>1313</v>
      </c>
      <c r="E475" s="1279">
        <f>E476*E477</f>
        <v>0</v>
      </c>
      <c r="F475" s="1280">
        <f>F476*F477</f>
        <v>0</v>
      </c>
      <c r="G475" s="1281">
        <f t="shared" si="77"/>
        <v>0</v>
      </c>
      <c r="H475" s="2255">
        <v>0</v>
      </c>
      <c r="I475" s="2256">
        <v>0</v>
      </c>
      <c r="J475" s="2259">
        <f t="shared" si="78"/>
        <v>0</v>
      </c>
      <c r="K475" s="2260">
        <f>K476*K477</f>
        <v>0</v>
      </c>
      <c r="L475" s="2256">
        <f>L476*L477</f>
        <v>0</v>
      </c>
      <c r="M475" s="2258">
        <f t="shared" si="79"/>
        <v>0</v>
      </c>
      <c r="N475" s="2255">
        <f>N476*N477</f>
        <v>0</v>
      </c>
      <c r="O475" s="2256">
        <f>O476*O477</f>
        <v>0</v>
      </c>
      <c r="P475" s="2882">
        <f t="shared" si="80"/>
        <v>0</v>
      </c>
      <c r="Q475" s="2255">
        <f>Q476*Q477</f>
        <v>0</v>
      </c>
      <c r="R475" s="2256">
        <f>R476*R477</f>
        <v>0</v>
      </c>
      <c r="S475" s="2883">
        <f t="shared" si="81"/>
        <v>0</v>
      </c>
      <c r="T475" s="2255">
        <f>T476*T477</f>
        <v>0</v>
      </c>
      <c r="U475" s="2256">
        <f>U476*U477</f>
        <v>0</v>
      </c>
      <c r="V475" s="2882">
        <f t="shared" si="82"/>
        <v>0</v>
      </c>
      <c r="W475" s="2093"/>
      <c r="X475" s="2093"/>
      <c r="Y475" s="2092"/>
      <c r="Z475" s="1376"/>
    </row>
    <row r="476" spans="1:26" s="1263" customFormat="1" hidden="1" outlineLevel="1">
      <c r="A476" s="1267">
        <v>277</v>
      </c>
      <c r="B476" s="1294" t="s">
        <v>2033</v>
      </c>
      <c r="C476" s="1295" t="s">
        <v>1505</v>
      </c>
      <c r="D476" s="1457" t="s">
        <v>2012</v>
      </c>
      <c r="E476" s="1296"/>
      <c r="F476" s="1297"/>
      <c r="G476" s="1281">
        <f t="shared" si="77"/>
        <v>0</v>
      </c>
      <c r="H476" s="2284"/>
      <c r="I476" s="2285"/>
      <c r="J476" s="2259">
        <f t="shared" si="78"/>
        <v>0</v>
      </c>
      <c r="K476" s="2286"/>
      <c r="L476" s="2285"/>
      <c r="M476" s="2258">
        <f t="shared" si="79"/>
        <v>0</v>
      </c>
      <c r="N476" s="2284"/>
      <c r="O476" s="2285"/>
      <c r="P476" s="2882">
        <f t="shared" si="80"/>
        <v>0</v>
      </c>
      <c r="Q476" s="2284"/>
      <c r="R476" s="2285"/>
      <c r="S476" s="2883">
        <f t="shared" si="81"/>
        <v>0</v>
      </c>
      <c r="T476" s="2284"/>
      <c r="U476" s="2285"/>
      <c r="V476" s="2882">
        <f t="shared" si="82"/>
        <v>0</v>
      </c>
      <c r="W476" s="2094"/>
      <c r="X476" s="2094"/>
      <c r="Y476" s="2092"/>
      <c r="Z476" s="1376"/>
    </row>
    <row r="477" spans="1:26" s="1263" customFormat="1" hidden="1" outlineLevel="1">
      <c r="A477" s="1267">
        <v>278</v>
      </c>
      <c r="B477" s="1294" t="s">
        <v>2034</v>
      </c>
      <c r="C477" s="1295" t="s">
        <v>2005</v>
      </c>
      <c r="D477" s="1457" t="s">
        <v>1934</v>
      </c>
      <c r="E477" s="1296"/>
      <c r="F477" s="1297"/>
      <c r="G477" s="1281">
        <f t="shared" si="77"/>
        <v>0</v>
      </c>
      <c r="H477" s="2284"/>
      <c r="I477" s="2285"/>
      <c r="J477" s="2259">
        <f t="shared" si="78"/>
        <v>0</v>
      </c>
      <c r="K477" s="2286"/>
      <c r="L477" s="2285"/>
      <c r="M477" s="2258">
        <f t="shared" si="79"/>
        <v>0</v>
      </c>
      <c r="N477" s="2284"/>
      <c r="O477" s="2285"/>
      <c r="P477" s="2882">
        <f t="shared" si="80"/>
        <v>0</v>
      </c>
      <c r="Q477" s="2284"/>
      <c r="R477" s="2285"/>
      <c r="S477" s="2883">
        <f t="shared" si="81"/>
        <v>0</v>
      </c>
      <c r="T477" s="2284"/>
      <c r="U477" s="2285"/>
      <c r="V477" s="2882">
        <f t="shared" si="82"/>
        <v>0</v>
      </c>
      <c r="W477" s="2094"/>
      <c r="X477" s="2094"/>
      <c r="Y477" s="2092"/>
      <c r="Z477" s="1376"/>
    </row>
    <row r="478" spans="1:26" s="1263" customFormat="1" outlineLevel="1">
      <c r="A478" s="1267"/>
      <c r="B478" s="1330" t="s">
        <v>141</v>
      </c>
      <c r="C478" s="1295" t="s">
        <v>2035</v>
      </c>
      <c r="D478" s="1465" t="s">
        <v>1313</v>
      </c>
      <c r="E478" s="1296"/>
      <c r="F478" s="1297"/>
      <c r="G478" s="1281">
        <f t="shared" si="77"/>
        <v>0</v>
      </c>
      <c r="H478" s="2385">
        <v>8223.117827441698</v>
      </c>
      <c r="I478" s="2481">
        <v>8815.182311017501</v>
      </c>
      <c r="J478" s="2259">
        <f t="shared" si="78"/>
        <v>8519.1500692295995</v>
      </c>
      <c r="K478" s="2599">
        <f>I478</f>
        <v>8815.182311017501</v>
      </c>
      <c r="L478" s="2481">
        <f>K478*1.04</f>
        <v>9167.7896034582009</v>
      </c>
      <c r="M478" s="2258">
        <f t="shared" si="79"/>
        <v>8991.4859572378518</v>
      </c>
      <c r="N478" s="2385">
        <f>L478</f>
        <v>9167.7896034582009</v>
      </c>
      <c r="O478" s="2285">
        <f>N478*1.04</f>
        <v>9534.5011875965283</v>
      </c>
      <c r="P478" s="2882">
        <f t="shared" si="80"/>
        <v>9351.1453955273646</v>
      </c>
      <c r="Q478" s="2284">
        <f>O478</f>
        <v>9534.5011875965283</v>
      </c>
      <c r="R478" s="2285">
        <f>Q478*1.04</f>
        <v>9915.8812351003889</v>
      </c>
      <c r="S478" s="2883">
        <f t="shared" si="81"/>
        <v>9725.1912113484577</v>
      </c>
      <c r="T478" s="2385">
        <f>R478</f>
        <v>9915.8812351003889</v>
      </c>
      <c r="U478" s="2285">
        <f>T478*1.04</f>
        <v>10312.516484504406</v>
      </c>
      <c r="V478" s="2882">
        <f t="shared" si="82"/>
        <v>10114.198859802396</v>
      </c>
      <c r="W478" s="2094"/>
      <c r="X478" s="2094"/>
      <c r="Y478" s="2092"/>
      <c r="Z478" s="1376"/>
    </row>
    <row r="479" spans="1:26" s="1263" customFormat="1" outlineLevel="1">
      <c r="A479" s="1267">
        <v>155</v>
      </c>
      <c r="B479" s="1292" t="s">
        <v>134</v>
      </c>
      <c r="C479" s="1278" t="s">
        <v>2036</v>
      </c>
      <c r="D479" s="1454" t="s">
        <v>1313</v>
      </c>
      <c r="E479" s="1279">
        <f>E480+E481+E482+E483+E486+E487+E488</f>
        <v>15649.210000000001</v>
      </c>
      <c r="F479" s="1280">
        <f>F480+F481+F482+F483+F486+F487+F488</f>
        <v>15649.210000000001</v>
      </c>
      <c r="G479" s="1281">
        <f t="shared" si="77"/>
        <v>15649.210000000001</v>
      </c>
      <c r="H479" s="2255">
        <v>6286.3771838219845</v>
      </c>
      <c r="I479" s="2256">
        <v>12779.16498033141</v>
      </c>
      <c r="J479" s="2259">
        <f t="shared" si="78"/>
        <v>9532.771082076697</v>
      </c>
      <c r="K479" s="2260">
        <f>K480+K481+K482+K483+K486+K487+K488</f>
        <v>12779.16498033141</v>
      </c>
      <c r="L479" s="2256">
        <f>L480+L481+L482+L483+L486+L487+L488</f>
        <v>13290.331579544671</v>
      </c>
      <c r="M479" s="2258">
        <f t="shared" si="79"/>
        <v>13034.748279938041</v>
      </c>
      <c r="N479" s="2255">
        <f>N480+N481+N482+N483+N486+N487+N488</f>
        <v>13290.331579544671</v>
      </c>
      <c r="O479" s="2256">
        <f>O480+O481+O482+O483+O486+O487+O488</f>
        <v>13821.944842726456</v>
      </c>
      <c r="P479" s="2882">
        <f t="shared" si="80"/>
        <v>13556.138211135563</v>
      </c>
      <c r="Q479" s="2255">
        <f>Q480+Q481+Q482+Q483+Q486+Q487+Q488</f>
        <v>13821.944842726456</v>
      </c>
      <c r="R479" s="2256">
        <f>R480+R481+R482+R483+R486+R487+R488</f>
        <v>14374.822636435516</v>
      </c>
      <c r="S479" s="2883">
        <f t="shared" si="81"/>
        <v>14098.383739580986</v>
      </c>
      <c r="T479" s="2255">
        <f>T480+T481+T482+T483+T486+T487+T488</f>
        <v>14374.822636435516</v>
      </c>
      <c r="U479" s="2256">
        <f>U480+U481+U482+U483+U486+U487+U488</f>
        <v>14949.815541892938</v>
      </c>
      <c r="V479" s="2882">
        <f t="shared" si="82"/>
        <v>14662.319089164226</v>
      </c>
      <c r="W479" s="2093"/>
      <c r="X479" s="2093"/>
      <c r="Y479" s="2092"/>
      <c r="Z479" s="1376"/>
    </row>
    <row r="480" spans="1:26" s="1263" customFormat="1" hidden="1" outlineLevel="1">
      <c r="A480" s="1267">
        <v>156</v>
      </c>
      <c r="B480" s="1294" t="s">
        <v>2037</v>
      </c>
      <c r="C480" s="1295" t="s">
        <v>1182</v>
      </c>
      <c r="D480" s="1457" t="s">
        <v>1317</v>
      </c>
      <c r="E480" s="1296"/>
      <c r="F480" s="1297"/>
      <c r="G480" s="1281">
        <f t="shared" si="77"/>
        <v>0</v>
      </c>
      <c r="H480" s="2284"/>
      <c r="I480" s="2285"/>
      <c r="J480" s="2259">
        <f t="shared" si="78"/>
        <v>0</v>
      </c>
      <c r="K480" s="2286"/>
      <c r="L480" s="2285"/>
      <c r="M480" s="2258">
        <f t="shared" si="79"/>
        <v>0</v>
      </c>
      <c r="N480" s="2284"/>
      <c r="O480" s="2285"/>
      <c r="P480" s="2882">
        <f t="shared" si="80"/>
        <v>0</v>
      </c>
      <c r="Q480" s="2284"/>
      <c r="R480" s="2285"/>
      <c r="S480" s="2883">
        <f t="shared" si="81"/>
        <v>0</v>
      </c>
      <c r="T480" s="2284"/>
      <c r="U480" s="2285"/>
      <c r="V480" s="2882">
        <f t="shared" si="82"/>
        <v>0</v>
      </c>
      <c r="W480" s="2094"/>
      <c r="X480" s="2094"/>
      <c r="Y480" s="2092"/>
      <c r="Z480" s="1376"/>
    </row>
    <row r="481" spans="1:26" s="1263" customFormat="1" hidden="1" outlineLevel="1">
      <c r="A481" s="1267">
        <v>157</v>
      </c>
      <c r="B481" s="1294" t="s">
        <v>2038</v>
      </c>
      <c r="C481" s="1295" t="s">
        <v>2039</v>
      </c>
      <c r="D481" s="1457" t="s">
        <v>1317</v>
      </c>
      <c r="E481" s="1296"/>
      <c r="F481" s="1297"/>
      <c r="G481" s="1281">
        <f t="shared" si="77"/>
        <v>0</v>
      </c>
      <c r="H481" s="2284"/>
      <c r="I481" s="2285"/>
      <c r="J481" s="2259">
        <f t="shared" si="78"/>
        <v>0</v>
      </c>
      <c r="K481" s="2286"/>
      <c r="L481" s="2285"/>
      <c r="M481" s="2258">
        <f t="shared" si="79"/>
        <v>0</v>
      </c>
      <c r="N481" s="2284"/>
      <c r="O481" s="2285"/>
      <c r="P481" s="2882">
        <f t="shared" si="80"/>
        <v>0</v>
      </c>
      <c r="Q481" s="2284"/>
      <c r="R481" s="2285"/>
      <c r="S481" s="2883">
        <f t="shared" si="81"/>
        <v>0</v>
      </c>
      <c r="T481" s="2284"/>
      <c r="U481" s="2285"/>
      <c r="V481" s="2882">
        <f t="shared" si="82"/>
        <v>0</v>
      </c>
      <c r="W481" s="2094"/>
      <c r="X481" s="2094"/>
      <c r="Y481" s="2092"/>
      <c r="Z481" s="1376"/>
    </row>
    <row r="482" spans="1:26" s="1263" customFormat="1" outlineLevel="1">
      <c r="A482" s="1267">
        <v>160</v>
      </c>
      <c r="B482" s="1294" t="s">
        <v>2040</v>
      </c>
      <c r="C482" s="1295" t="s">
        <v>2041</v>
      </c>
      <c r="D482" s="1457" t="s">
        <v>1317</v>
      </c>
      <c r="E482" s="1296" t="s">
        <v>2042</v>
      </c>
      <c r="F482" s="1297" t="s">
        <v>2042</v>
      </c>
      <c r="G482" s="1281">
        <f t="shared" si="77"/>
        <v>295.99</v>
      </c>
      <c r="H482" s="2284">
        <v>175.27783082816057</v>
      </c>
      <c r="I482" s="2285">
        <v>223.80905086884638</v>
      </c>
      <c r="J482" s="2259">
        <f t="shared" si="78"/>
        <v>199.54344084850348</v>
      </c>
      <c r="K482" s="2286">
        <f>I482</f>
        <v>223.80905086884638</v>
      </c>
      <c r="L482" s="2285">
        <f>K482*1.04</f>
        <v>232.76141290360025</v>
      </c>
      <c r="M482" s="2258">
        <f t="shared" si="79"/>
        <v>228.2852318862233</v>
      </c>
      <c r="N482" s="2284">
        <f>L482</f>
        <v>232.76141290360025</v>
      </c>
      <c r="O482" s="2285">
        <f>N482*1.04</f>
        <v>242.07186941974427</v>
      </c>
      <c r="P482" s="2882">
        <f t="shared" si="80"/>
        <v>237.41664116167226</v>
      </c>
      <c r="Q482" s="2284">
        <f>O482</f>
        <v>242.07186941974427</v>
      </c>
      <c r="R482" s="2285">
        <f>Q482*1.04</f>
        <v>251.75474419653406</v>
      </c>
      <c r="S482" s="2883">
        <f t="shared" si="81"/>
        <v>246.91330680813917</v>
      </c>
      <c r="T482" s="2284">
        <f>R482</f>
        <v>251.75474419653406</v>
      </c>
      <c r="U482" s="2285">
        <f>T482*1.04</f>
        <v>261.82493396439543</v>
      </c>
      <c r="V482" s="2882">
        <f t="shared" si="82"/>
        <v>256.78983908046473</v>
      </c>
      <c r="W482" s="2094"/>
      <c r="X482" s="2094"/>
      <c r="Y482" s="2092"/>
      <c r="Z482" s="1376"/>
    </row>
    <row r="483" spans="1:26" s="1263" customFormat="1" outlineLevel="1">
      <c r="A483" s="1267">
        <v>10</v>
      </c>
      <c r="B483" s="1292" t="s">
        <v>2043</v>
      </c>
      <c r="C483" s="1293" t="s">
        <v>2044</v>
      </c>
      <c r="D483" s="1454" t="s">
        <v>1313</v>
      </c>
      <c r="E483" s="1279">
        <f>E484+E485</f>
        <v>14838.36</v>
      </c>
      <c r="F483" s="1280">
        <f>F484+F485</f>
        <v>14838.36</v>
      </c>
      <c r="G483" s="1281">
        <f t="shared" si="77"/>
        <v>14838.36</v>
      </c>
      <c r="H483" s="2255">
        <v>5761.3622249375594</v>
      </c>
      <c r="I483" s="2256">
        <v>12111.081476812451</v>
      </c>
      <c r="J483" s="2259">
        <f t="shared" si="78"/>
        <v>8936.2218508750047</v>
      </c>
      <c r="K483" s="2260">
        <f>K484+K485</f>
        <v>12111.081476812451</v>
      </c>
      <c r="L483" s="2256">
        <f>L484+L485</f>
        <v>12595.52473588495</v>
      </c>
      <c r="M483" s="2258">
        <f t="shared" si="79"/>
        <v>12353.3031063487</v>
      </c>
      <c r="N483" s="2255">
        <f>N484+N485</f>
        <v>12595.52473588495</v>
      </c>
      <c r="O483" s="2256">
        <f>O484+O485</f>
        <v>13099.345725320349</v>
      </c>
      <c r="P483" s="2882">
        <f t="shared" si="80"/>
        <v>12847.435230602649</v>
      </c>
      <c r="Q483" s="2255">
        <f>Q484+Q485</f>
        <v>13099.345725320349</v>
      </c>
      <c r="R483" s="2256">
        <f>R484+R485</f>
        <v>13623.319554333164</v>
      </c>
      <c r="S483" s="2883">
        <f t="shared" si="81"/>
        <v>13361.332639826756</v>
      </c>
      <c r="T483" s="2255">
        <f>T484+T485</f>
        <v>13623.319554333164</v>
      </c>
      <c r="U483" s="2256">
        <f>U484+U485</f>
        <v>14168.252336506492</v>
      </c>
      <c r="V483" s="2882">
        <f t="shared" si="82"/>
        <v>13895.785945419828</v>
      </c>
      <c r="W483" s="2093"/>
      <c r="X483" s="2093"/>
      <c r="Y483" s="2092"/>
      <c r="Z483" s="1376"/>
    </row>
    <row r="484" spans="1:26" s="1263" customFormat="1" outlineLevel="1">
      <c r="A484" s="1267">
        <v>11</v>
      </c>
      <c r="B484" s="1294" t="s">
        <v>2045</v>
      </c>
      <c r="C484" s="1295" t="s">
        <v>2046</v>
      </c>
      <c r="D484" s="1457" t="s">
        <v>1317</v>
      </c>
      <c r="E484" s="1296" t="s">
        <v>2047</v>
      </c>
      <c r="F484" s="1297" t="s">
        <v>2047</v>
      </c>
      <c r="G484" s="1281">
        <f t="shared" si="77"/>
        <v>13300</v>
      </c>
      <c r="H484" s="2294">
        <v>5761.3622249375594</v>
      </c>
      <c r="I484" s="2285">
        <v>12111.081476812451</v>
      </c>
      <c r="J484" s="2259">
        <f t="shared" si="78"/>
        <v>8936.2218508750047</v>
      </c>
      <c r="K484" s="2286">
        <f>I484</f>
        <v>12111.081476812451</v>
      </c>
      <c r="L484" s="2296">
        <f>K484*1.04</f>
        <v>12595.52473588495</v>
      </c>
      <c r="M484" s="2258">
        <f t="shared" si="79"/>
        <v>12353.3031063487</v>
      </c>
      <c r="N484" s="2284">
        <f>L484</f>
        <v>12595.52473588495</v>
      </c>
      <c r="O484" s="2285">
        <f>N484*1.04</f>
        <v>13099.345725320349</v>
      </c>
      <c r="P484" s="2882">
        <f t="shared" si="80"/>
        <v>12847.435230602649</v>
      </c>
      <c r="Q484" s="2284">
        <f>O484</f>
        <v>13099.345725320349</v>
      </c>
      <c r="R484" s="2286">
        <f>Q484*1.04</f>
        <v>13623.319554333164</v>
      </c>
      <c r="S484" s="2258">
        <f t="shared" si="81"/>
        <v>13361.332639826756</v>
      </c>
      <c r="T484" s="2284">
        <f>R484</f>
        <v>13623.319554333164</v>
      </c>
      <c r="U484" s="2285">
        <f>T484*1.04</f>
        <v>14168.252336506492</v>
      </c>
      <c r="V484" s="2882">
        <f t="shared" si="82"/>
        <v>13895.785945419828</v>
      </c>
      <c r="W484" s="2094"/>
      <c r="X484" s="2094"/>
      <c r="Y484" s="2092"/>
      <c r="Z484" s="1376"/>
    </row>
    <row r="485" spans="1:26" s="1263" customFormat="1" hidden="1" outlineLevel="1">
      <c r="A485" s="1267">
        <v>159</v>
      </c>
      <c r="B485" s="1294" t="s">
        <v>2048</v>
      </c>
      <c r="C485" s="1295" t="s">
        <v>2049</v>
      </c>
      <c r="D485" s="1457" t="s">
        <v>1317</v>
      </c>
      <c r="E485" s="1296" t="s">
        <v>2050</v>
      </c>
      <c r="F485" s="1297" t="s">
        <v>2050</v>
      </c>
      <c r="G485" s="1281">
        <f t="shared" si="77"/>
        <v>1538.36</v>
      </c>
      <c r="H485" s="2284">
        <v>0</v>
      </c>
      <c r="I485" s="2285">
        <v>0</v>
      </c>
      <c r="J485" s="2259">
        <f t="shared" si="78"/>
        <v>0</v>
      </c>
      <c r="K485" s="2286"/>
      <c r="L485" s="2285"/>
      <c r="M485" s="2258">
        <f t="shared" si="79"/>
        <v>0</v>
      </c>
      <c r="N485" s="2284"/>
      <c r="O485" s="2285"/>
      <c r="P485" s="2882">
        <f t="shared" si="80"/>
        <v>0</v>
      </c>
      <c r="Q485" s="2284"/>
      <c r="R485" s="2286"/>
      <c r="S485" s="2258">
        <f t="shared" si="81"/>
        <v>0</v>
      </c>
      <c r="T485" s="2284"/>
      <c r="U485" s="2285"/>
      <c r="V485" s="2882">
        <f t="shared" si="82"/>
        <v>0</v>
      </c>
      <c r="W485" s="2094"/>
      <c r="X485" s="2094"/>
      <c r="Y485" s="2092"/>
      <c r="Z485" s="1376"/>
    </row>
    <row r="486" spans="1:26" s="1263" customFormat="1" outlineLevel="1">
      <c r="A486" s="1267">
        <v>161</v>
      </c>
      <c r="B486" s="1294" t="s">
        <v>2051</v>
      </c>
      <c r="C486" s="1295" t="s">
        <v>2052</v>
      </c>
      <c r="D486" s="1457" t="s">
        <v>1317</v>
      </c>
      <c r="E486" s="1296" t="s">
        <v>2053</v>
      </c>
      <c r="F486" s="1297" t="s">
        <v>2053</v>
      </c>
      <c r="G486" s="1281">
        <f t="shared" si="77"/>
        <v>514.86</v>
      </c>
      <c r="H486" s="2284">
        <v>349.73712805626445</v>
      </c>
      <c r="I486" s="2285">
        <v>444.27445265011443</v>
      </c>
      <c r="J486" s="2259">
        <f t="shared" si="78"/>
        <v>397.00579035318947</v>
      </c>
      <c r="K486" s="2286">
        <f>I486</f>
        <v>444.27445265011443</v>
      </c>
      <c r="L486" s="2285">
        <f>K486*1.04</f>
        <v>462.045430756119</v>
      </c>
      <c r="M486" s="2258">
        <f t="shared" si="79"/>
        <v>453.15994170311671</v>
      </c>
      <c r="N486" s="2284">
        <f>L486</f>
        <v>462.045430756119</v>
      </c>
      <c r="O486" s="2285">
        <f>N486*1.04</f>
        <v>480.52724798636376</v>
      </c>
      <c r="P486" s="2882">
        <f t="shared" si="80"/>
        <v>471.28633937124141</v>
      </c>
      <c r="Q486" s="2284">
        <f>O486</f>
        <v>480.52724798636376</v>
      </c>
      <c r="R486" s="2286">
        <f>Q486*1.04</f>
        <v>499.74833790581835</v>
      </c>
      <c r="S486" s="2258">
        <f t="shared" si="81"/>
        <v>490.13779294609105</v>
      </c>
      <c r="T486" s="2284">
        <f>R486</f>
        <v>499.74833790581835</v>
      </c>
      <c r="U486" s="2285">
        <f>T486*1.04</f>
        <v>519.73827142205107</v>
      </c>
      <c r="V486" s="2882">
        <f t="shared" si="82"/>
        <v>509.74330466393474</v>
      </c>
      <c r="W486" s="2094"/>
      <c r="X486" s="2094"/>
      <c r="Y486" s="2092"/>
      <c r="Z486" s="1376"/>
    </row>
    <row r="487" spans="1:26" s="1263" customFormat="1" hidden="1" outlineLevel="2">
      <c r="A487" s="1267">
        <v>158</v>
      </c>
      <c r="B487" s="1294" t="s">
        <v>2054</v>
      </c>
      <c r="C487" s="1295" t="s">
        <v>2055</v>
      </c>
      <c r="D487" s="1457" t="s">
        <v>1317</v>
      </c>
      <c r="E487" s="1296"/>
      <c r="F487" s="1297"/>
      <c r="G487" s="1281">
        <f t="shared" si="77"/>
        <v>0</v>
      </c>
      <c r="H487" s="2284"/>
      <c r="I487" s="2285"/>
      <c r="J487" s="2259">
        <f t="shared" si="78"/>
        <v>0</v>
      </c>
      <c r="K487" s="2286"/>
      <c r="L487" s="2285"/>
      <c r="M487" s="2258">
        <f t="shared" si="79"/>
        <v>0</v>
      </c>
      <c r="N487" s="2284"/>
      <c r="O487" s="2285"/>
      <c r="P487" s="2882">
        <f t="shared" si="80"/>
        <v>0</v>
      </c>
      <c r="Q487" s="2284"/>
      <c r="R487" s="2286"/>
      <c r="S487" s="2258">
        <f t="shared" si="81"/>
        <v>0</v>
      </c>
      <c r="T487" s="2284"/>
      <c r="U487" s="2285"/>
      <c r="V487" s="2259">
        <f t="shared" si="82"/>
        <v>0</v>
      </c>
      <c r="W487" s="2094"/>
      <c r="X487" s="2094"/>
      <c r="Y487" s="2092"/>
      <c r="Z487" s="1376"/>
    </row>
    <row r="488" spans="1:26" s="1263" customFormat="1" ht="51.75" hidden="1" outlineLevel="2">
      <c r="A488" s="1267">
        <v>162</v>
      </c>
      <c r="B488" s="1294" t="s">
        <v>2056</v>
      </c>
      <c r="C488" s="1295" t="s">
        <v>2057</v>
      </c>
      <c r="D488" s="1457" t="s">
        <v>1317</v>
      </c>
      <c r="E488" s="1296"/>
      <c r="F488" s="1297"/>
      <c r="G488" s="1281">
        <f t="shared" si="77"/>
        <v>0</v>
      </c>
      <c r="H488" s="2284"/>
      <c r="I488" s="2285">
        <v>0</v>
      </c>
      <c r="J488" s="2259">
        <f t="shared" si="78"/>
        <v>0</v>
      </c>
      <c r="K488" s="2286"/>
      <c r="L488" s="2285"/>
      <c r="M488" s="2258">
        <f t="shared" si="79"/>
        <v>0</v>
      </c>
      <c r="N488" s="2284"/>
      <c r="O488" s="2285"/>
      <c r="P488" s="2882">
        <f t="shared" si="80"/>
        <v>0</v>
      </c>
      <c r="Q488" s="2284"/>
      <c r="R488" s="2286"/>
      <c r="S488" s="2258">
        <f t="shared" si="81"/>
        <v>0</v>
      </c>
      <c r="T488" s="2284"/>
      <c r="U488" s="2285"/>
      <c r="V488" s="2259">
        <f t="shared" si="82"/>
        <v>0</v>
      </c>
      <c r="W488" s="2094"/>
      <c r="X488" s="2094"/>
      <c r="Y488" s="2092"/>
      <c r="Z488" s="1376"/>
    </row>
    <row r="489" spans="1:26" s="1263" customFormat="1" ht="34.5" outlineLevel="1" collapsed="1">
      <c r="A489" s="1267">
        <v>149</v>
      </c>
      <c r="B489" s="1331">
        <v>2</v>
      </c>
      <c r="C489" s="1278" t="s">
        <v>2058</v>
      </c>
      <c r="D489" s="1454" t="s">
        <v>1313</v>
      </c>
      <c r="E489" s="1279">
        <f>E490+E491+E492+E493+E494</f>
        <v>2945.95</v>
      </c>
      <c r="F489" s="1280">
        <f>F490+F491+F492+F493+F494</f>
        <v>2945.95</v>
      </c>
      <c r="G489" s="1281">
        <f t="shared" si="77"/>
        <v>2945.95</v>
      </c>
      <c r="H489" s="2255">
        <v>1770.9555534379253</v>
      </c>
      <c r="I489" s="2256">
        <v>6701.5774472615249</v>
      </c>
      <c r="J489" s="2259">
        <f t="shared" si="78"/>
        <v>4236.266500349725</v>
      </c>
      <c r="K489" s="2260">
        <f>K490+K491+K492+K493+K494</f>
        <v>6701.5774472615249</v>
      </c>
      <c r="L489" s="2256">
        <f>L490+L491+L492+L493+L494</f>
        <v>6969.6405451519859</v>
      </c>
      <c r="M489" s="2258">
        <f t="shared" si="79"/>
        <v>6835.6089962067554</v>
      </c>
      <c r="N489" s="2255">
        <f>N490+N491+N492+N493+N494</f>
        <v>6969.6405451519859</v>
      </c>
      <c r="O489" s="2256">
        <f>O490+O491+O492+O493+O494</f>
        <v>7248.4261669580656</v>
      </c>
      <c r="P489" s="2882">
        <f t="shared" si="80"/>
        <v>7109.0333560550262</v>
      </c>
      <c r="Q489" s="2255">
        <f>Q490+Q491+Q492+Q493+Q494</f>
        <v>7248.4261669580656</v>
      </c>
      <c r="R489" s="2260">
        <f>R490+R491+R492+R493+R494</f>
        <v>7538.3632136363885</v>
      </c>
      <c r="S489" s="2258">
        <f t="shared" si="81"/>
        <v>7393.3946902972275</v>
      </c>
      <c r="T489" s="2255">
        <f>T490+T491+T492+T493+T494</f>
        <v>7538.3632136363885</v>
      </c>
      <c r="U489" s="2256">
        <f>U490+U491+U492+U493+U494</f>
        <v>7839.8977421818445</v>
      </c>
      <c r="V489" s="2259">
        <f t="shared" si="82"/>
        <v>7689.130477909117</v>
      </c>
      <c r="W489" s="2093"/>
      <c r="X489" s="2093"/>
      <c r="Y489" s="2092"/>
      <c r="Z489" s="1376"/>
    </row>
    <row r="490" spans="1:26" s="1263" customFormat="1" hidden="1" outlineLevel="2">
      <c r="A490" s="1267">
        <v>150</v>
      </c>
      <c r="B490" s="1294" t="s">
        <v>135</v>
      </c>
      <c r="C490" s="1295" t="s">
        <v>2059</v>
      </c>
      <c r="D490" s="1457" t="s">
        <v>1317</v>
      </c>
      <c r="E490" s="1296"/>
      <c r="F490" s="1297"/>
      <c r="G490" s="1281">
        <f t="shared" si="77"/>
        <v>0</v>
      </c>
      <c r="H490" s="2284"/>
      <c r="I490" s="2285"/>
      <c r="J490" s="2259">
        <f t="shared" si="78"/>
        <v>0</v>
      </c>
      <c r="K490" s="2286"/>
      <c r="L490" s="2285"/>
      <c r="M490" s="2258">
        <f t="shared" si="79"/>
        <v>0</v>
      </c>
      <c r="N490" s="2284"/>
      <c r="O490" s="2285"/>
      <c r="P490" s="2259">
        <f t="shared" si="80"/>
        <v>0</v>
      </c>
      <c r="Q490" s="2284"/>
      <c r="R490" s="2286"/>
      <c r="S490" s="2258">
        <f t="shared" si="81"/>
        <v>0</v>
      </c>
      <c r="T490" s="2284"/>
      <c r="U490" s="2285"/>
      <c r="V490" s="2259">
        <f t="shared" si="82"/>
        <v>0</v>
      </c>
      <c r="W490" s="2094"/>
      <c r="X490" s="2094"/>
      <c r="Y490" s="2092"/>
      <c r="Z490" s="1376"/>
    </row>
    <row r="491" spans="1:26" s="1263" customFormat="1" hidden="1" outlineLevel="2">
      <c r="A491" s="1267">
        <v>151</v>
      </c>
      <c r="B491" s="1294" t="s">
        <v>2060</v>
      </c>
      <c r="C491" s="1295" t="s">
        <v>2061</v>
      </c>
      <c r="D491" s="1457" t="s">
        <v>1317</v>
      </c>
      <c r="E491" s="1296"/>
      <c r="F491" s="1297"/>
      <c r="G491" s="1281">
        <f t="shared" si="77"/>
        <v>0</v>
      </c>
      <c r="H491" s="2284"/>
      <c r="I491" s="2285"/>
      <c r="J491" s="2259">
        <f t="shared" si="78"/>
        <v>0</v>
      </c>
      <c r="K491" s="2286"/>
      <c r="L491" s="2285"/>
      <c r="M491" s="2258">
        <f t="shared" si="79"/>
        <v>0</v>
      </c>
      <c r="N491" s="2284"/>
      <c r="O491" s="2285"/>
      <c r="P491" s="2259">
        <f t="shared" si="80"/>
        <v>0</v>
      </c>
      <c r="Q491" s="2284"/>
      <c r="R491" s="2286"/>
      <c r="S491" s="2258">
        <f t="shared" si="81"/>
        <v>0</v>
      </c>
      <c r="T491" s="2284"/>
      <c r="U491" s="2285"/>
      <c r="V491" s="2259">
        <f t="shared" si="82"/>
        <v>0</v>
      </c>
      <c r="W491" s="2094"/>
      <c r="X491" s="2094"/>
      <c r="Y491" s="2092"/>
      <c r="Z491" s="1376"/>
    </row>
    <row r="492" spans="1:26" s="1263" customFormat="1" hidden="1" outlineLevel="2">
      <c r="A492" s="1267">
        <v>152</v>
      </c>
      <c r="B492" s="1294" t="s">
        <v>2062</v>
      </c>
      <c r="C492" s="1295" t="s">
        <v>2063</v>
      </c>
      <c r="D492" s="1457" t="s">
        <v>1317</v>
      </c>
      <c r="E492" s="1296"/>
      <c r="F492" s="1297"/>
      <c r="G492" s="1281">
        <f t="shared" si="77"/>
        <v>0</v>
      </c>
      <c r="H492" s="2284"/>
      <c r="I492" s="2285"/>
      <c r="J492" s="2259">
        <f t="shared" si="78"/>
        <v>0</v>
      </c>
      <c r="K492" s="2286"/>
      <c r="L492" s="2285"/>
      <c r="M492" s="2258">
        <f t="shared" si="79"/>
        <v>0</v>
      </c>
      <c r="N492" s="2284"/>
      <c r="O492" s="2285"/>
      <c r="P492" s="2259">
        <f t="shared" si="80"/>
        <v>0</v>
      </c>
      <c r="Q492" s="2284"/>
      <c r="R492" s="2286"/>
      <c r="S492" s="2258">
        <f t="shared" si="81"/>
        <v>0</v>
      </c>
      <c r="T492" s="2284"/>
      <c r="U492" s="2285"/>
      <c r="V492" s="2259">
        <f t="shared" si="82"/>
        <v>0</v>
      </c>
      <c r="W492" s="2094"/>
      <c r="X492" s="2094"/>
      <c r="Y492" s="2092"/>
      <c r="Z492" s="1376"/>
    </row>
    <row r="493" spans="1:26" s="1263" customFormat="1" ht="18" outlineLevel="1" collapsed="1" thickBot="1">
      <c r="A493" s="1267">
        <v>153</v>
      </c>
      <c r="B493" s="1294" t="s">
        <v>2064</v>
      </c>
      <c r="C493" s="1295" t="s">
        <v>2065</v>
      </c>
      <c r="D493" s="1457" t="s">
        <v>1317</v>
      </c>
      <c r="E493" s="1296" t="s">
        <v>2066</v>
      </c>
      <c r="F493" s="1297" t="s">
        <v>2066</v>
      </c>
      <c r="G493" s="1281">
        <f t="shared" si="77"/>
        <v>2945.95</v>
      </c>
      <c r="H493" s="2284">
        <v>1770.9555534379253</v>
      </c>
      <c r="I493" s="2285">
        <v>6701.5774472615249</v>
      </c>
      <c r="J493" s="2259">
        <f t="shared" si="78"/>
        <v>4236.266500349725</v>
      </c>
      <c r="K493" s="2286">
        <f>I493</f>
        <v>6701.5774472615249</v>
      </c>
      <c r="L493" s="2285">
        <f>K493*1.04</f>
        <v>6969.6405451519859</v>
      </c>
      <c r="M493" s="2258">
        <f>K493/2+L493/2</f>
        <v>6835.6089962067554</v>
      </c>
      <c r="N493" s="2284">
        <f>L493</f>
        <v>6969.6405451519859</v>
      </c>
      <c r="O493" s="2285">
        <f>N493*1.04</f>
        <v>7248.4261669580656</v>
      </c>
      <c r="P493" s="2259">
        <f>N493/2+O493/2</f>
        <v>7109.0333560550262</v>
      </c>
      <c r="Q493" s="2284">
        <f>O493</f>
        <v>7248.4261669580656</v>
      </c>
      <c r="R493" s="2286">
        <f>Q493*1.04</f>
        <v>7538.3632136363885</v>
      </c>
      <c r="S493" s="2258">
        <f>Q493/2+R493/2</f>
        <v>7393.3946902972275</v>
      </c>
      <c r="T493" s="2284">
        <f>R493</f>
        <v>7538.3632136363885</v>
      </c>
      <c r="U493" s="2285">
        <f>T493*1.04</f>
        <v>7839.8977421818445</v>
      </c>
      <c r="V493" s="2259">
        <f t="shared" si="82"/>
        <v>7689.130477909117</v>
      </c>
      <c r="W493" s="2094"/>
      <c r="X493" s="2094"/>
      <c r="Y493" s="2092"/>
      <c r="Z493" s="1376"/>
    </row>
    <row r="494" spans="1:26" s="1263" customFormat="1" ht="18" hidden="1" outlineLevel="2" thickBot="1">
      <c r="A494" s="1267">
        <v>154</v>
      </c>
      <c r="B494" s="1294" t="s">
        <v>2067</v>
      </c>
      <c r="C494" s="1295" t="s">
        <v>2068</v>
      </c>
      <c r="D494" s="1457" t="s">
        <v>1317</v>
      </c>
      <c r="E494" s="1296"/>
      <c r="F494" s="1297"/>
      <c r="G494" s="1281">
        <f t="shared" si="77"/>
        <v>0</v>
      </c>
      <c r="H494" s="2284"/>
      <c r="I494" s="2285"/>
      <c r="J494" s="2259">
        <f t="shared" si="78"/>
        <v>0</v>
      </c>
      <c r="K494" s="2286"/>
      <c r="L494" s="2285"/>
      <c r="M494" s="2258">
        <f t="shared" si="79"/>
        <v>0</v>
      </c>
      <c r="N494" s="2284"/>
      <c r="O494" s="2285"/>
      <c r="P494" s="2259">
        <f t="shared" si="80"/>
        <v>0</v>
      </c>
      <c r="Q494" s="2284"/>
      <c r="R494" s="2286"/>
      <c r="S494" s="2258">
        <f t="shared" si="81"/>
        <v>0</v>
      </c>
      <c r="T494" s="2284"/>
      <c r="U494" s="2285"/>
      <c r="V494" s="2259">
        <f t="shared" si="82"/>
        <v>0</v>
      </c>
      <c r="W494" s="2094"/>
      <c r="X494" s="2094"/>
      <c r="Y494" s="2092"/>
      <c r="Z494" s="1376"/>
    </row>
    <row r="495" spans="1:26" s="1263" customFormat="1" ht="18" hidden="1" outlineLevel="2" thickBot="1">
      <c r="A495" s="1267">
        <v>146</v>
      </c>
      <c r="B495" s="1298" t="s">
        <v>2069</v>
      </c>
      <c r="C495" s="1332" t="s">
        <v>2070</v>
      </c>
      <c r="D495" s="1458" t="s">
        <v>1313</v>
      </c>
      <c r="E495" s="1333">
        <f>E496</f>
        <v>0</v>
      </c>
      <c r="F495" s="1334">
        <f>F496</f>
        <v>0</v>
      </c>
      <c r="G495" s="1281">
        <f t="shared" si="77"/>
        <v>0</v>
      </c>
      <c r="H495" s="2290"/>
      <c r="I495" s="2291"/>
      <c r="J495" s="2259">
        <f t="shared" si="78"/>
        <v>0</v>
      </c>
      <c r="K495" s="2292"/>
      <c r="L495" s="2291"/>
      <c r="M495" s="2258">
        <f t="shared" si="79"/>
        <v>0</v>
      </c>
      <c r="N495" s="2290"/>
      <c r="O495" s="2291"/>
      <c r="P495" s="2259">
        <f t="shared" si="80"/>
        <v>0</v>
      </c>
      <c r="Q495" s="2290"/>
      <c r="R495" s="2292"/>
      <c r="S495" s="2258">
        <f t="shared" si="81"/>
        <v>0</v>
      </c>
      <c r="T495" s="2290"/>
      <c r="U495" s="2291"/>
      <c r="V495" s="2259">
        <f t="shared" si="82"/>
        <v>0</v>
      </c>
      <c r="W495" s="2093"/>
      <c r="X495" s="2093"/>
      <c r="Y495" s="2092"/>
      <c r="Z495" s="1376"/>
    </row>
    <row r="496" spans="1:26" s="1263" customFormat="1" ht="18" hidden="1" outlineLevel="2" thickBot="1">
      <c r="A496" s="1267">
        <v>265</v>
      </c>
      <c r="B496" s="1294" t="s">
        <v>137</v>
      </c>
      <c r="C496" s="1295" t="s">
        <v>1921</v>
      </c>
      <c r="D496" s="1457" t="s">
        <v>1313</v>
      </c>
      <c r="E496" s="1296"/>
      <c r="F496" s="1297"/>
      <c r="G496" s="1281">
        <f t="shared" si="77"/>
        <v>0</v>
      </c>
      <c r="H496" s="2290"/>
      <c r="I496" s="2291"/>
      <c r="J496" s="2259">
        <f t="shared" si="78"/>
        <v>0</v>
      </c>
      <c r="K496" s="2292"/>
      <c r="L496" s="2291"/>
      <c r="M496" s="2258">
        <f t="shared" si="79"/>
        <v>0</v>
      </c>
      <c r="N496" s="2290"/>
      <c r="O496" s="2291"/>
      <c r="P496" s="2259">
        <f t="shared" si="80"/>
        <v>0</v>
      </c>
      <c r="Q496" s="2290"/>
      <c r="R496" s="2292"/>
      <c r="S496" s="2258">
        <f t="shared" si="81"/>
        <v>0</v>
      </c>
      <c r="T496" s="2290"/>
      <c r="U496" s="2291"/>
      <c r="V496" s="2259">
        <f t="shared" si="82"/>
        <v>0</v>
      </c>
      <c r="W496" s="2094"/>
      <c r="X496" s="2094"/>
      <c r="Y496" s="2092"/>
      <c r="Z496" s="1376"/>
    </row>
    <row r="497" spans="1:26" s="1263" customFormat="1" ht="35.25" hidden="1" outlineLevel="2" thickBot="1">
      <c r="A497" s="1267">
        <v>169</v>
      </c>
      <c r="B497" s="1335">
        <v>13</v>
      </c>
      <c r="C497" s="1332" t="s">
        <v>2071</v>
      </c>
      <c r="D497" s="1458" t="s">
        <v>1317</v>
      </c>
      <c r="E497" s="1300"/>
      <c r="F497" s="1301"/>
      <c r="G497" s="1281">
        <f t="shared" si="77"/>
        <v>0</v>
      </c>
      <c r="H497" s="2255">
        <v>0</v>
      </c>
      <c r="I497" s="2256">
        <v>0</v>
      </c>
      <c r="J497" s="2259">
        <f t="shared" si="78"/>
        <v>0</v>
      </c>
      <c r="K497" s="2260">
        <f>K498+K499+K500</f>
        <v>0</v>
      </c>
      <c r="L497" s="2256">
        <f>L498+L499+L500</f>
        <v>0</v>
      </c>
      <c r="M497" s="2258">
        <f t="shared" si="79"/>
        <v>0</v>
      </c>
      <c r="N497" s="2255">
        <f>N498+N499+N500</f>
        <v>0</v>
      </c>
      <c r="O497" s="2256">
        <f>O498+O499+O500</f>
        <v>0</v>
      </c>
      <c r="P497" s="2259">
        <f t="shared" si="80"/>
        <v>0</v>
      </c>
      <c r="Q497" s="2255">
        <f>Q498+Q499+Q500</f>
        <v>0</v>
      </c>
      <c r="R497" s="2260">
        <f>R498+R499+R500</f>
        <v>0</v>
      </c>
      <c r="S497" s="2258">
        <f t="shared" si="81"/>
        <v>0</v>
      </c>
      <c r="T497" s="2255">
        <f>T498+T499+T500</f>
        <v>0</v>
      </c>
      <c r="U497" s="2256">
        <f>U498+U499+U500</f>
        <v>0</v>
      </c>
      <c r="V497" s="2259">
        <f t="shared" si="82"/>
        <v>0</v>
      </c>
      <c r="W497" s="2094"/>
      <c r="X497" s="2094"/>
      <c r="Y497" s="2092"/>
      <c r="Z497" s="1376"/>
    </row>
    <row r="498" spans="1:26" s="1263" customFormat="1" ht="18" hidden="1" outlineLevel="2" thickBot="1">
      <c r="A498" s="1267">
        <v>164</v>
      </c>
      <c r="B498" s="1298" t="s">
        <v>140</v>
      </c>
      <c r="C498" s="1332" t="s">
        <v>2072</v>
      </c>
      <c r="D498" s="1458" t="s">
        <v>1317</v>
      </c>
      <c r="E498" s="1300"/>
      <c r="F498" s="1301"/>
      <c r="G498" s="1281">
        <f t="shared" si="77"/>
        <v>0</v>
      </c>
      <c r="H498" s="2284"/>
      <c r="I498" s="2285"/>
      <c r="J498" s="2259">
        <f t="shared" si="78"/>
        <v>0</v>
      </c>
      <c r="K498" s="2286"/>
      <c r="L498" s="2285"/>
      <c r="M498" s="2258">
        <f t="shared" si="79"/>
        <v>0</v>
      </c>
      <c r="N498" s="2284"/>
      <c r="O498" s="2285"/>
      <c r="P498" s="2259">
        <f t="shared" si="80"/>
        <v>0</v>
      </c>
      <c r="Q498" s="2284"/>
      <c r="R498" s="2286"/>
      <c r="S498" s="2258">
        <f t="shared" si="81"/>
        <v>0</v>
      </c>
      <c r="T498" s="2284"/>
      <c r="U498" s="2285"/>
      <c r="V498" s="2259">
        <f t="shared" si="82"/>
        <v>0</v>
      </c>
      <c r="W498" s="2094"/>
      <c r="X498" s="2094"/>
      <c r="Y498" s="2092"/>
      <c r="Z498" s="1376"/>
    </row>
    <row r="499" spans="1:26" s="1263" customFormat="1" ht="18" hidden="1" outlineLevel="2" thickBot="1">
      <c r="A499" s="1267">
        <v>12</v>
      </c>
      <c r="B499" s="1331">
        <v>12</v>
      </c>
      <c r="C499" s="1278" t="s">
        <v>2073</v>
      </c>
      <c r="D499" s="1454" t="s">
        <v>1313</v>
      </c>
      <c r="E499" s="1279">
        <f>E500+E501+E502</f>
        <v>0</v>
      </c>
      <c r="F499" s="1280">
        <f>F500+F501+F502</f>
        <v>0</v>
      </c>
      <c r="G499" s="1281">
        <f t="shared" si="77"/>
        <v>0</v>
      </c>
      <c r="H499" s="2284"/>
      <c r="I499" s="2285"/>
      <c r="J499" s="2259">
        <f t="shared" si="78"/>
        <v>0</v>
      </c>
      <c r="K499" s="2286"/>
      <c r="L499" s="2285"/>
      <c r="M499" s="2258">
        <f t="shared" si="79"/>
        <v>0</v>
      </c>
      <c r="N499" s="2284"/>
      <c r="O499" s="2285"/>
      <c r="P499" s="2259">
        <f t="shared" si="80"/>
        <v>0</v>
      </c>
      <c r="Q499" s="2284"/>
      <c r="R499" s="2286"/>
      <c r="S499" s="2258">
        <f t="shared" si="81"/>
        <v>0</v>
      </c>
      <c r="T499" s="2284"/>
      <c r="U499" s="2285"/>
      <c r="V499" s="2259">
        <f t="shared" si="82"/>
        <v>0</v>
      </c>
      <c r="W499" s="2093"/>
      <c r="X499" s="2093"/>
      <c r="Y499" s="2092"/>
      <c r="Z499" s="1376"/>
    </row>
    <row r="500" spans="1:26" s="1263" customFormat="1" ht="52.5" hidden="1" outlineLevel="2" thickBot="1">
      <c r="A500" s="1267">
        <v>166</v>
      </c>
      <c r="B500" s="1294" t="s">
        <v>2074</v>
      </c>
      <c r="C500" s="1295" t="s">
        <v>2075</v>
      </c>
      <c r="D500" s="1457" t="s">
        <v>1317</v>
      </c>
      <c r="E500" s="1296"/>
      <c r="F500" s="1297"/>
      <c r="G500" s="1281">
        <f t="shared" si="77"/>
        <v>0</v>
      </c>
      <c r="H500" s="2284"/>
      <c r="I500" s="2285"/>
      <c r="J500" s="2259">
        <f t="shared" si="78"/>
        <v>0</v>
      </c>
      <c r="K500" s="2286"/>
      <c r="L500" s="2285"/>
      <c r="M500" s="2258">
        <f t="shared" si="79"/>
        <v>0</v>
      </c>
      <c r="N500" s="2284"/>
      <c r="O500" s="2285"/>
      <c r="P500" s="2259">
        <f t="shared" si="80"/>
        <v>0</v>
      </c>
      <c r="Q500" s="2284"/>
      <c r="R500" s="2286"/>
      <c r="S500" s="2258">
        <f t="shared" si="81"/>
        <v>0</v>
      </c>
      <c r="T500" s="2284"/>
      <c r="U500" s="2285"/>
      <c r="V500" s="2259">
        <f t="shared" si="82"/>
        <v>0</v>
      </c>
      <c r="W500" s="2094"/>
      <c r="X500" s="2094"/>
      <c r="Y500" s="2092"/>
      <c r="Z500" s="1376"/>
    </row>
    <row r="501" spans="1:26" s="1263" customFormat="1" ht="18" hidden="1" outlineLevel="2" thickBot="1">
      <c r="A501" s="1267">
        <v>167</v>
      </c>
      <c r="B501" s="1294" t="s">
        <v>2076</v>
      </c>
      <c r="C501" s="1295" t="s">
        <v>2077</v>
      </c>
      <c r="D501" s="1457" t="s">
        <v>1317</v>
      </c>
      <c r="E501" s="1296"/>
      <c r="F501" s="1297"/>
      <c r="G501" s="1281">
        <f t="shared" si="77"/>
        <v>0</v>
      </c>
      <c r="H501" s="2255">
        <v>0</v>
      </c>
      <c r="I501" s="2256">
        <v>0</v>
      </c>
      <c r="J501" s="2259">
        <f t="shared" si="78"/>
        <v>0</v>
      </c>
      <c r="K501" s="2260">
        <f>K502+K503</f>
        <v>0</v>
      </c>
      <c r="L501" s="2256">
        <f>L502+L503</f>
        <v>0</v>
      </c>
      <c r="M501" s="2258">
        <f t="shared" si="79"/>
        <v>0</v>
      </c>
      <c r="N501" s="2255">
        <f>N502+N503</f>
        <v>0</v>
      </c>
      <c r="O501" s="2256">
        <f>O502+O503</f>
        <v>0</v>
      </c>
      <c r="P501" s="2259">
        <f t="shared" si="80"/>
        <v>0</v>
      </c>
      <c r="Q501" s="2255">
        <f>Q502+Q503</f>
        <v>0</v>
      </c>
      <c r="R501" s="2260">
        <f>R502+R503</f>
        <v>0</v>
      </c>
      <c r="S501" s="2258">
        <f t="shared" si="81"/>
        <v>0</v>
      </c>
      <c r="T501" s="2255">
        <f>T502+T503</f>
        <v>0</v>
      </c>
      <c r="U501" s="2256">
        <f>U502+U503</f>
        <v>0</v>
      </c>
      <c r="V501" s="2259">
        <f t="shared" si="82"/>
        <v>0</v>
      </c>
      <c r="W501" s="2094"/>
      <c r="X501" s="2094"/>
      <c r="Y501" s="2092"/>
      <c r="Z501" s="1376"/>
    </row>
    <row r="502" spans="1:26" s="1263" customFormat="1" ht="52.5" hidden="1" outlineLevel="2" thickBot="1">
      <c r="A502" s="1267">
        <v>168</v>
      </c>
      <c r="B502" s="1294" t="s">
        <v>2078</v>
      </c>
      <c r="C502" s="1295" t="s">
        <v>2079</v>
      </c>
      <c r="D502" s="1457" t="s">
        <v>1317</v>
      </c>
      <c r="E502" s="1296"/>
      <c r="F502" s="1297"/>
      <c r="G502" s="1281">
        <f t="shared" si="77"/>
        <v>0</v>
      </c>
      <c r="H502" s="2284"/>
      <c r="I502" s="2285"/>
      <c r="J502" s="2259">
        <f t="shared" si="78"/>
        <v>0</v>
      </c>
      <c r="K502" s="2286"/>
      <c r="L502" s="2285"/>
      <c r="M502" s="2258">
        <f t="shared" si="79"/>
        <v>0</v>
      </c>
      <c r="N502" s="2284"/>
      <c r="O502" s="2285"/>
      <c r="P502" s="2259">
        <f t="shared" si="80"/>
        <v>0</v>
      </c>
      <c r="Q502" s="2284"/>
      <c r="R502" s="2286"/>
      <c r="S502" s="2258">
        <f t="shared" si="81"/>
        <v>0</v>
      </c>
      <c r="T502" s="2284"/>
      <c r="U502" s="2285"/>
      <c r="V502" s="2259">
        <f t="shared" si="82"/>
        <v>0</v>
      </c>
      <c r="W502" s="2094"/>
      <c r="X502" s="2094"/>
      <c r="Y502" s="2092"/>
      <c r="Z502" s="1376"/>
    </row>
    <row r="503" spans="1:26" s="1263" customFormat="1" ht="18" hidden="1" outlineLevel="2" thickBot="1">
      <c r="A503" s="1267">
        <v>13</v>
      </c>
      <c r="B503" s="1292" t="s">
        <v>142</v>
      </c>
      <c r="C503" s="1278" t="s">
        <v>2080</v>
      </c>
      <c r="D503" s="1454" t="s">
        <v>1313</v>
      </c>
      <c r="E503" s="1279">
        <f>E504+E505</f>
        <v>0</v>
      </c>
      <c r="F503" s="1280">
        <f>F504+F505</f>
        <v>0</v>
      </c>
      <c r="G503" s="1281">
        <f t="shared" si="77"/>
        <v>0</v>
      </c>
      <c r="H503" s="2300"/>
      <c r="I503" s="2301"/>
      <c r="J503" s="2268">
        <f t="shared" si="78"/>
        <v>0</v>
      </c>
      <c r="K503" s="2302"/>
      <c r="L503" s="2301"/>
      <c r="M503" s="2267">
        <f t="shared" si="79"/>
        <v>0</v>
      </c>
      <c r="N503" s="2300"/>
      <c r="O503" s="2301"/>
      <c r="P503" s="2268">
        <f t="shared" si="80"/>
        <v>0</v>
      </c>
      <c r="Q503" s="2300"/>
      <c r="R503" s="2302"/>
      <c r="S503" s="2267">
        <f t="shared" si="81"/>
        <v>0</v>
      </c>
      <c r="T503" s="2300"/>
      <c r="U503" s="2301"/>
      <c r="V503" s="2268">
        <f t="shared" si="82"/>
        <v>0</v>
      </c>
      <c r="W503" s="2093"/>
      <c r="X503" s="2093"/>
      <c r="Y503" s="2092"/>
      <c r="Z503" s="1376"/>
    </row>
    <row r="504" spans="1:26" s="1263" customFormat="1" ht="18" hidden="1" outlineLevel="2" thickBot="1">
      <c r="A504" s="1267">
        <v>14</v>
      </c>
      <c r="B504" s="1294" t="s">
        <v>2081</v>
      </c>
      <c r="C504" s="1295" t="s">
        <v>2082</v>
      </c>
      <c r="D504" s="1457" t="s">
        <v>1313</v>
      </c>
      <c r="E504" s="1296"/>
      <c r="F504" s="1297"/>
      <c r="G504" s="1281">
        <f t="shared" si="77"/>
        <v>0</v>
      </c>
      <c r="H504" s="2300"/>
      <c r="I504" s="2301"/>
      <c r="J504" s="2268">
        <f t="shared" si="78"/>
        <v>0</v>
      </c>
      <c r="K504" s="2302"/>
      <c r="L504" s="2301"/>
      <c r="M504" s="2267">
        <f t="shared" si="79"/>
        <v>0</v>
      </c>
      <c r="N504" s="2300"/>
      <c r="O504" s="2301"/>
      <c r="P504" s="2268">
        <f t="shared" si="80"/>
        <v>0</v>
      </c>
      <c r="Q504" s="2300"/>
      <c r="R504" s="2302"/>
      <c r="S504" s="2267">
        <f t="shared" si="81"/>
        <v>0</v>
      </c>
      <c r="T504" s="2300"/>
      <c r="U504" s="2301"/>
      <c r="V504" s="2268">
        <f t="shared" si="82"/>
        <v>0</v>
      </c>
      <c r="W504" s="2094"/>
      <c r="X504" s="2094"/>
      <c r="Y504" s="2092"/>
      <c r="Z504" s="1376"/>
    </row>
    <row r="505" spans="1:26" s="1263" customFormat="1" ht="18" hidden="1" outlineLevel="2" thickBot="1">
      <c r="A505" s="1267">
        <v>89</v>
      </c>
      <c r="B505" s="1303" t="s">
        <v>2083</v>
      </c>
      <c r="C505" s="1304" t="s">
        <v>1806</v>
      </c>
      <c r="D505" s="1459" t="s">
        <v>1313</v>
      </c>
      <c r="E505" s="1305"/>
      <c r="F505" s="1306"/>
      <c r="G505" s="1286">
        <f t="shared" si="77"/>
        <v>0</v>
      </c>
      <c r="H505" s="2284"/>
      <c r="I505" s="2285"/>
      <c r="J505" s="2259"/>
      <c r="K505" s="2286"/>
      <c r="L505" s="2285"/>
      <c r="M505" s="2258"/>
      <c r="N505" s="2284"/>
      <c r="O505" s="2285"/>
      <c r="P505" s="2259"/>
      <c r="Q505" s="2284"/>
      <c r="R505" s="2286"/>
      <c r="S505" s="2258"/>
      <c r="T505" s="2284"/>
      <c r="U505" s="2285"/>
      <c r="V505" s="2259"/>
      <c r="W505" s="2094"/>
      <c r="X505" s="2094"/>
      <c r="Y505" s="2092"/>
      <c r="Z505" s="1376"/>
    </row>
    <row r="506" spans="1:26" s="1263" customFormat="1" ht="19.5" outlineLevel="1" collapsed="1" thickBot="1">
      <c r="A506" s="1267">
        <v>147</v>
      </c>
      <c r="B506" s="1336">
        <v>2</v>
      </c>
      <c r="C506" s="1317" t="s">
        <v>2084</v>
      </c>
      <c r="D506" s="1462" t="s">
        <v>1317</v>
      </c>
      <c r="E506" s="1318" t="str">
        <f>E507</f>
        <v>43 635,92</v>
      </c>
      <c r="F506" s="1319" t="str">
        <f>F507</f>
        <v>43 635,92</v>
      </c>
      <c r="G506" s="1320">
        <f t="shared" si="77"/>
        <v>43635.92</v>
      </c>
      <c r="H506" s="2397">
        <f>H507</f>
        <v>2652.8342185534098</v>
      </c>
      <c r="I506" s="2398">
        <v>176605.18818449083</v>
      </c>
      <c r="J506" s="2399">
        <f t="shared" ref="J506:J507" si="83">H506/2+I506/2</f>
        <v>89629.011201522124</v>
      </c>
      <c r="K506" s="2401">
        <f>K507</f>
        <v>176605.18818449083</v>
      </c>
      <c r="L506" s="2398">
        <f>L507</f>
        <v>176605.18818449083</v>
      </c>
      <c r="M506" s="2400">
        <f t="shared" ref="M506:M507" si="84">K506/2+L506/2</f>
        <v>176605.18818449083</v>
      </c>
      <c r="N506" s="2397">
        <f>N507</f>
        <v>176605.18818449083</v>
      </c>
      <c r="O506" s="2398">
        <f>O507</f>
        <v>176605.18818449083</v>
      </c>
      <c r="P506" s="2399">
        <f t="shared" ref="P506:P507" si="85">N506/2+O506/2</f>
        <v>176605.18818449083</v>
      </c>
      <c r="Q506" s="2397">
        <f>Q507</f>
        <v>176605.18818449083</v>
      </c>
      <c r="R506" s="2401">
        <f>R507</f>
        <v>176605.18818449083</v>
      </c>
      <c r="S506" s="2400">
        <f t="shared" ref="S506:S507" si="86">Q506/2+R506/2</f>
        <v>176605.18818449083</v>
      </c>
      <c r="T506" s="2397">
        <f>T507</f>
        <v>176605.18818449083</v>
      </c>
      <c r="U506" s="2398">
        <f>U507</f>
        <v>176605.18818449083</v>
      </c>
      <c r="V506" s="2399">
        <f t="shared" ref="V506:V507" si="87">T506/2+U506/2</f>
        <v>176605.18818449083</v>
      </c>
      <c r="W506" s="2093"/>
      <c r="X506" s="2093"/>
      <c r="Y506" s="2092"/>
      <c r="Z506" s="1376"/>
    </row>
    <row r="507" spans="1:26" s="1263" customFormat="1" ht="52.5" outlineLevel="1" thickBot="1">
      <c r="A507" s="1267">
        <v>148</v>
      </c>
      <c r="B507" s="1337" t="s">
        <v>1224</v>
      </c>
      <c r="C507" s="1338" t="s">
        <v>2085</v>
      </c>
      <c r="D507" s="1466" t="s">
        <v>1317</v>
      </c>
      <c r="E507" s="1339" t="s">
        <v>2086</v>
      </c>
      <c r="F507" s="1340" t="s">
        <v>2086</v>
      </c>
      <c r="G507" s="1341">
        <f t="shared" si="77"/>
        <v>43635.92</v>
      </c>
      <c r="H507" s="2405">
        <f>3692.48421855341-1039.65</f>
        <v>2652.8342185534098</v>
      </c>
      <c r="I507" s="2408">
        <v>176605.18818449083</v>
      </c>
      <c r="J507" s="2835">
        <f t="shared" si="83"/>
        <v>89629.011201522124</v>
      </c>
      <c r="K507" s="2411">
        <f>I507</f>
        <v>176605.18818449083</v>
      </c>
      <c r="L507" s="2406">
        <f>K507</f>
        <v>176605.18818449083</v>
      </c>
      <c r="M507" s="2409">
        <f t="shared" si="84"/>
        <v>176605.18818449083</v>
      </c>
      <c r="N507" s="2405">
        <f>L507</f>
        <v>176605.18818449083</v>
      </c>
      <c r="O507" s="2406">
        <f>N507</f>
        <v>176605.18818449083</v>
      </c>
      <c r="P507" s="2410">
        <f t="shared" si="85"/>
        <v>176605.18818449083</v>
      </c>
      <c r="Q507" s="2405">
        <f>O507</f>
        <v>176605.18818449083</v>
      </c>
      <c r="R507" s="2411">
        <f>Q507</f>
        <v>176605.18818449083</v>
      </c>
      <c r="S507" s="2409">
        <f t="shared" si="86"/>
        <v>176605.18818449083</v>
      </c>
      <c r="T507" s="2405">
        <f>R507</f>
        <v>176605.18818449083</v>
      </c>
      <c r="U507" s="2406">
        <f>T507</f>
        <v>176605.18818449083</v>
      </c>
      <c r="V507" s="2410">
        <f t="shared" si="87"/>
        <v>176605.18818449083</v>
      </c>
      <c r="W507" s="2094"/>
      <c r="X507" s="2094"/>
      <c r="Y507" s="2092"/>
      <c r="Z507" s="1376"/>
    </row>
    <row r="508" spans="1:26" s="1263" customFormat="1" ht="18" hidden="1" outlineLevel="1" thickBot="1">
      <c r="A508" s="1267"/>
      <c r="B508" s="1321"/>
      <c r="C508" s="1322" t="s">
        <v>2087</v>
      </c>
      <c r="D508" s="1463"/>
      <c r="E508" s="1296">
        <v>17282</v>
      </c>
      <c r="F508" s="1297">
        <f>E508</f>
        <v>17282</v>
      </c>
      <c r="G508" s="1276">
        <f t="shared" si="77"/>
        <v>17282</v>
      </c>
      <c r="H508" s="1296"/>
      <c r="I508" s="1297"/>
      <c r="J508" s="1276">
        <f t="shared" ref="J508:J518" si="88">H508/2+I508/2</f>
        <v>0</v>
      </c>
      <c r="K508" s="1296"/>
      <c r="L508" s="1297"/>
      <c r="M508" s="2857">
        <f t="shared" ref="M508:M518" si="89">K508/2+L508/2</f>
        <v>0</v>
      </c>
      <c r="N508" s="1296"/>
      <c r="O508" s="1297"/>
      <c r="P508" s="1276">
        <f t="shared" ref="P508:P518" si="90">N508/2+O508/2</f>
        <v>0</v>
      </c>
      <c r="Q508" s="1296"/>
      <c r="R508" s="2870"/>
      <c r="S508" s="2857">
        <f t="shared" ref="S508:S518" si="91">Q508/2+R508/2</f>
        <v>0</v>
      </c>
      <c r="T508" s="1296"/>
      <c r="U508" s="1297"/>
      <c r="V508" s="1276">
        <f t="shared" ref="V508:V518" si="92">T508/2+U508/2</f>
        <v>0</v>
      </c>
      <c r="W508" s="2094"/>
      <c r="X508" s="2094"/>
      <c r="Y508" s="2092"/>
      <c r="Z508" s="1376"/>
    </row>
    <row r="509" spans="1:26" s="1263" customFormat="1" ht="18" collapsed="1" thickBot="1">
      <c r="A509" s="1267">
        <v>171</v>
      </c>
      <c r="B509" s="1342">
        <v>15</v>
      </c>
      <c r="C509" s="1317" t="s">
        <v>2088</v>
      </c>
      <c r="D509" s="1462" t="s">
        <v>1128</v>
      </c>
      <c r="E509" s="1318">
        <f>E510+E541</f>
        <v>11295</v>
      </c>
      <c r="F509" s="1319">
        <f>F510+F541</f>
        <v>11295</v>
      </c>
      <c r="G509" s="1320">
        <f t="shared" si="77"/>
        <v>11295</v>
      </c>
      <c r="H509" s="1318">
        <f>H510+H541</f>
        <v>0</v>
      </c>
      <c r="I509" s="1319">
        <f>I510+I541</f>
        <v>28854.012131360621</v>
      </c>
      <c r="J509" s="1320">
        <f t="shared" si="88"/>
        <v>14427.006065680311</v>
      </c>
      <c r="K509" s="1318">
        <f>K510+K541</f>
        <v>28854.012131360621</v>
      </c>
      <c r="L509" s="1319">
        <f>L510+L541</f>
        <v>137842.28325066745</v>
      </c>
      <c r="M509" s="2861">
        <f t="shared" si="89"/>
        <v>83348.147691014034</v>
      </c>
      <c r="N509" s="1318">
        <f>N510+N541</f>
        <v>137842.28325066745</v>
      </c>
      <c r="O509" s="1319">
        <f>O510+O541</f>
        <v>259901.09859291097</v>
      </c>
      <c r="P509" s="1320">
        <f t="shared" si="90"/>
        <v>198871.69092178921</v>
      </c>
      <c r="Q509" s="1318">
        <f>Q510+Q541</f>
        <v>259901.09859291097</v>
      </c>
      <c r="R509" s="2871">
        <f>R510+R541</f>
        <v>392170.18481484737</v>
      </c>
      <c r="S509" s="2861">
        <f t="shared" si="91"/>
        <v>326035.64170387917</v>
      </c>
      <c r="T509" s="1318">
        <f>T510+T541</f>
        <v>392170.18481484737</v>
      </c>
      <c r="U509" s="1319">
        <f>U510+U541</f>
        <v>473500.1690847096</v>
      </c>
      <c r="V509" s="1320">
        <f t="shared" si="92"/>
        <v>432835.17694977846</v>
      </c>
      <c r="W509" s="2093"/>
      <c r="X509" s="2093"/>
      <c r="Y509" s="2092"/>
      <c r="Z509" s="1376"/>
    </row>
    <row r="510" spans="1:26" s="1263" customFormat="1">
      <c r="A510" s="1267">
        <v>172</v>
      </c>
      <c r="B510" s="2085" t="s">
        <v>2089</v>
      </c>
      <c r="C510" s="2086" t="s">
        <v>105</v>
      </c>
      <c r="D510" s="2087" t="s">
        <v>1128</v>
      </c>
      <c r="E510" s="1525">
        <f>E511+E512+E513</f>
        <v>11295</v>
      </c>
      <c r="F510" s="1526">
        <f>F511+F512+F513</f>
        <v>11295</v>
      </c>
      <c r="G510" s="1341">
        <f t="shared" si="77"/>
        <v>11295</v>
      </c>
      <c r="H510" s="1525">
        <f>H511+H512+H513</f>
        <v>0</v>
      </c>
      <c r="I510" s="1526">
        <f>I511+I512+I513</f>
        <v>28854.012131360621</v>
      </c>
      <c r="J510" s="1341">
        <f t="shared" si="88"/>
        <v>14427.006065680311</v>
      </c>
      <c r="K510" s="1525">
        <f>K511+K512+K513</f>
        <v>28854.012131360621</v>
      </c>
      <c r="L510" s="1526">
        <f>L511+L512+L513</f>
        <v>137842.28325066745</v>
      </c>
      <c r="M510" s="2863">
        <f t="shared" si="89"/>
        <v>83348.147691014034</v>
      </c>
      <c r="N510" s="1525">
        <f>N511+N512+N513</f>
        <v>137842.28325066745</v>
      </c>
      <c r="O510" s="1526">
        <f>O511+O512+O513</f>
        <v>259901.09859291097</v>
      </c>
      <c r="P510" s="1341">
        <f t="shared" si="90"/>
        <v>198871.69092178921</v>
      </c>
      <c r="Q510" s="1525">
        <f>Q511+Q512+Q513</f>
        <v>259901.09859291097</v>
      </c>
      <c r="R510" s="2873">
        <f>R511+R512+R513</f>
        <v>392170.18481484737</v>
      </c>
      <c r="S510" s="2863">
        <f t="shared" si="91"/>
        <v>326035.64170387917</v>
      </c>
      <c r="T510" s="1525">
        <f>T511+T512+T513</f>
        <v>392170.18481484737</v>
      </c>
      <c r="U510" s="1526">
        <f>U511+U512+U513</f>
        <v>473500.1690847096</v>
      </c>
      <c r="V510" s="1341">
        <f t="shared" si="92"/>
        <v>432835.17694977846</v>
      </c>
      <c r="W510" s="2093"/>
      <c r="X510" s="2093"/>
      <c r="Y510" s="2092"/>
      <c r="Z510" s="1376"/>
    </row>
    <row r="511" spans="1:26" s="1263" customFormat="1" ht="35.25" customHeight="1" outlineLevel="1">
      <c r="A511" s="1267">
        <v>196</v>
      </c>
      <c r="B511" s="1294" t="s">
        <v>2090</v>
      </c>
      <c r="C511" s="1295" t="s">
        <v>2091</v>
      </c>
      <c r="D511" s="1457" t="s">
        <v>1128</v>
      </c>
      <c r="E511" s="1296" t="s">
        <v>2092</v>
      </c>
      <c r="F511" s="1297" t="s">
        <v>2092</v>
      </c>
      <c r="G511" s="1281">
        <f t="shared" si="77"/>
        <v>11295</v>
      </c>
      <c r="H511" s="2294">
        <v>0</v>
      </c>
      <c r="I511" s="2285">
        <v>8118.2171287606197</v>
      </c>
      <c r="J511" s="2259">
        <f t="shared" si="88"/>
        <v>4059.1085643803099</v>
      </c>
      <c r="K511" s="2286">
        <f>I511</f>
        <v>8118.2171287606197</v>
      </c>
      <c r="L511" s="2285">
        <f>K511*1.04</f>
        <v>8442.9458139110448</v>
      </c>
      <c r="M511" s="2258">
        <f t="shared" si="89"/>
        <v>8280.5814713358322</v>
      </c>
      <c r="N511" s="2284">
        <f>L511</f>
        <v>8442.9458139110448</v>
      </c>
      <c r="O511" s="2285">
        <f>N511*1.04</f>
        <v>8780.6636464674866</v>
      </c>
      <c r="P511" s="2259">
        <f t="shared" si="90"/>
        <v>8611.8047301892657</v>
      </c>
      <c r="Q511" s="2284">
        <f>O511</f>
        <v>8780.6636464674866</v>
      </c>
      <c r="R511" s="2286">
        <f>Q511*1.04</f>
        <v>9131.8901923261856</v>
      </c>
      <c r="S511" s="2258">
        <f t="shared" si="91"/>
        <v>8956.2769193968361</v>
      </c>
      <c r="T511" s="2284">
        <f>R511</f>
        <v>9131.8901923261856</v>
      </c>
      <c r="U511" s="2285">
        <f>T511*1.04</f>
        <v>9497.1658000192328</v>
      </c>
      <c r="V511" s="2259">
        <f t="shared" si="92"/>
        <v>9314.5279961727101</v>
      </c>
      <c r="W511" s="2094"/>
      <c r="X511" s="2094"/>
      <c r="Y511" s="2092"/>
      <c r="Z511" s="1376"/>
    </row>
    <row r="512" spans="1:26" s="1263" customFormat="1" hidden="1" outlineLevel="1">
      <c r="A512" s="1267">
        <v>15</v>
      </c>
      <c r="B512" s="1294" t="s">
        <v>2093</v>
      </c>
      <c r="C512" s="1295" t="s">
        <v>2094</v>
      </c>
      <c r="D512" s="1457" t="s">
        <v>1128</v>
      </c>
      <c r="E512" s="1296"/>
      <c r="F512" s="1297"/>
      <c r="G512" s="1281">
        <f t="shared" si="77"/>
        <v>0</v>
      </c>
      <c r="H512" s="1296"/>
      <c r="I512" s="1297"/>
      <c r="J512" s="1281">
        <f t="shared" si="88"/>
        <v>0</v>
      </c>
      <c r="K512" s="1296"/>
      <c r="L512" s="1297"/>
      <c r="M512" s="1370">
        <f t="shared" si="89"/>
        <v>0</v>
      </c>
      <c r="N512" s="1296"/>
      <c r="O512" s="1297"/>
      <c r="P512" s="1281">
        <f t="shared" si="90"/>
        <v>0</v>
      </c>
      <c r="Q512" s="1296"/>
      <c r="R512" s="2870"/>
      <c r="S512" s="1370">
        <f t="shared" si="91"/>
        <v>0</v>
      </c>
      <c r="T512" s="1296"/>
      <c r="U512" s="1297"/>
      <c r="V512" s="1281">
        <f t="shared" si="92"/>
        <v>0</v>
      </c>
      <c r="W512" s="2094"/>
      <c r="X512" s="2094"/>
      <c r="Y512" s="2092"/>
      <c r="Z512" s="1376"/>
    </row>
    <row r="513" spans="1:26" s="1263" customFormat="1" ht="21" customHeight="1" collapsed="1" thickBot="1">
      <c r="A513" s="1267">
        <v>16</v>
      </c>
      <c r="B513" s="1343" t="s">
        <v>2095</v>
      </c>
      <c r="C513" s="1344" t="s">
        <v>2096</v>
      </c>
      <c r="D513" s="1467" t="s">
        <v>1128</v>
      </c>
      <c r="E513" s="1523">
        <f>E514</f>
        <v>0</v>
      </c>
      <c r="F513" s="1524">
        <f>F514</f>
        <v>0</v>
      </c>
      <c r="G513" s="1286">
        <f t="shared" si="77"/>
        <v>0</v>
      </c>
      <c r="H513" s="1523">
        <f>H514/1.2</f>
        <v>0</v>
      </c>
      <c r="I513" s="1524">
        <f>I555</f>
        <v>20735.795002600003</v>
      </c>
      <c r="J513" s="1286">
        <f t="shared" si="88"/>
        <v>10367.897501300002</v>
      </c>
      <c r="K513" s="1523">
        <f>K555</f>
        <v>20735.795002600003</v>
      </c>
      <c r="L513" s="1524">
        <f>L555</f>
        <v>129399.33743675641</v>
      </c>
      <c r="M513" s="2858">
        <f t="shared" si="89"/>
        <v>75067.566219678207</v>
      </c>
      <c r="N513" s="1523">
        <f>N555</f>
        <v>129399.33743675641</v>
      </c>
      <c r="O513" s="1524">
        <f>O555</f>
        <v>251120.43494644348</v>
      </c>
      <c r="P513" s="1286">
        <f t="shared" si="90"/>
        <v>190259.88619159994</v>
      </c>
      <c r="Q513" s="1523">
        <f>Q555</f>
        <v>251120.43494644348</v>
      </c>
      <c r="R513" s="2874">
        <f>R555</f>
        <v>383038.29462252121</v>
      </c>
      <c r="S513" s="2858">
        <f t="shared" si="91"/>
        <v>317079.36478448234</v>
      </c>
      <c r="T513" s="1523">
        <f>T555</f>
        <v>383038.29462252121</v>
      </c>
      <c r="U513" s="1524">
        <f>U555</f>
        <v>464003.00328469038</v>
      </c>
      <c r="V513" s="1286">
        <f t="shared" si="92"/>
        <v>423520.64895360579</v>
      </c>
      <c r="W513" s="2093"/>
      <c r="X513" s="2093"/>
      <c r="Y513" s="2092"/>
      <c r="Z513" s="1954"/>
    </row>
    <row r="514" spans="1:26" s="1263" customFormat="1">
      <c r="A514" s="1267">
        <v>17</v>
      </c>
      <c r="B514" s="1345" t="s">
        <v>2097</v>
      </c>
      <c r="C514" s="1346" t="s">
        <v>2098</v>
      </c>
      <c r="D514" s="1468" t="s">
        <v>1313</v>
      </c>
      <c r="E514" s="1525">
        <f>E515+E516+E517+E518+E519+E520+E521+E522</f>
        <v>0</v>
      </c>
      <c r="F514" s="1526">
        <f>F515+F516+F517+F518+F519+F520+F521+F522</f>
        <v>0</v>
      </c>
      <c r="G514" s="1341">
        <f t="shared" si="77"/>
        <v>0</v>
      </c>
      <c r="H514" s="1525">
        <f>H515+H516+H517+H518+H519+H520+H521+H522</f>
        <v>0</v>
      </c>
      <c r="I514" s="1526">
        <f>I515+I516+I517+I518+I519+I520+I521+I522</f>
        <v>20735.795002600003</v>
      </c>
      <c r="J514" s="1341">
        <f t="shared" si="88"/>
        <v>10367.897501300002</v>
      </c>
      <c r="K514" s="1525">
        <f>K515+K516+K517+K518+K519+K520+K521+K522</f>
        <v>20735.795002600003</v>
      </c>
      <c r="L514" s="1526">
        <f>L515+L516+L517+L518+L519+L520+L521+L522</f>
        <v>129399.33743675641</v>
      </c>
      <c r="M514" s="2863">
        <f t="shared" si="89"/>
        <v>75067.566219678207</v>
      </c>
      <c r="N514" s="1525">
        <f>N515+N516+N517+N518+N519+N520+N521+N522</f>
        <v>129399.33743675641</v>
      </c>
      <c r="O514" s="1526">
        <f>O515+O516+O517+O518+O519+O520+O521+O522</f>
        <v>251120.43494644348</v>
      </c>
      <c r="P514" s="1341">
        <f t="shared" si="90"/>
        <v>190259.88619159994</v>
      </c>
      <c r="Q514" s="1525">
        <f>Q515+Q516+Q517+Q518+Q519+Q520+Q521+Q522</f>
        <v>251120.43494644348</v>
      </c>
      <c r="R514" s="2873">
        <f>R515+R516+R517+R518+R519+R520+R521+R522</f>
        <v>383038.29462252121</v>
      </c>
      <c r="S514" s="2863">
        <f t="shared" si="91"/>
        <v>317079.36478448234</v>
      </c>
      <c r="T514" s="1525">
        <f>T515+T516+T517+T518+T519+T520+T521+T522</f>
        <v>383038.29462252121</v>
      </c>
      <c r="U514" s="1526">
        <f>U515+U516+U517+U518+U519+U520+U521+U522</f>
        <v>464003.00328469038</v>
      </c>
      <c r="V514" s="1341">
        <f t="shared" si="92"/>
        <v>423520.64895360579</v>
      </c>
      <c r="W514" s="2093"/>
      <c r="X514" s="2093"/>
      <c r="Y514" s="2092"/>
      <c r="Z514" s="1954"/>
    </row>
    <row r="515" spans="1:26" s="1263" customFormat="1" ht="26.25" hidden="1" customHeight="1" outlineLevel="1">
      <c r="A515" s="1267">
        <v>18</v>
      </c>
      <c r="B515" s="1347" t="s">
        <v>2099</v>
      </c>
      <c r="C515" s="1348" t="s">
        <v>2100</v>
      </c>
      <c r="D515" s="1469" t="s">
        <v>1128</v>
      </c>
      <c r="E515" s="1296"/>
      <c r="F515" s="1297"/>
      <c r="G515" s="1281">
        <f t="shared" si="77"/>
        <v>0</v>
      </c>
      <c r="H515" s="1296"/>
      <c r="I515" s="1297"/>
      <c r="J515" s="1281">
        <f t="shared" si="88"/>
        <v>0</v>
      </c>
      <c r="K515" s="1296"/>
      <c r="L515" s="1297"/>
      <c r="M515" s="1370">
        <f t="shared" si="89"/>
        <v>0</v>
      </c>
      <c r="N515" s="1296"/>
      <c r="O515" s="1297"/>
      <c r="P515" s="1281">
        <f t="shared" si="90"/>
        <v>0</v>
      </c>
      <c r="Q515" s="1296"/>
      <c r="R515" s="2870"/>
      <c r="S515" s="1370">
        <f t="shared" si="91"/>
        <v>0</v>
      </c>
      <c r="T515" s="1296"/>
      <c r="U515" s="1297"/>
      <c r="V515" s="1281">
        <f t="shared" si="92"/>
        <v>0</v>
      </c>
      <c r="W515" s="2094"/>
      <c r="X515" s="2094"/>
      <c r="Y515" s="2092"/>
      <c r="Z515" s="1954"/>
    </row>
    <row r="516" spans="1:26" s="1263" customFormat="1" ht="24" hidden="1" customHeight="1" outlineLevel="1">
      <c r="A516" s="1267">
        <v>19</v>
      </c>
      <c r="B516" s="1347" t="s">
        <v>2101</v>
      </c>
      <c r="C516" s="1348" t="s">
        <v>2102</v>
      </c>
      <c r="D516" s="1469" t="s">
        <v>1313</v>
      </c>
      <c r="E516" s="1296"/>
      <c r="F516" s="1297"/>
      <c r="G516" s="1281">
        <f t="shared" si="77"/>
        <v>0</v>
      </c>
      <c r="H516" s="1296"/>
      <c r="I516" s="1297"/>
      <c r="J516" s="1281">
        <f t="shared" si="88"/>
        <v>0</v>
      </c>
      <c r="K516" s="1296"/>
      <c r="L516" s="1297"/>
      <c r="M516" s="1370">
        <f t="shared" si="89"/>
        <v>0</v>
      </c>
      <c r="N516" s="1296"/>
      <c r="O516" s="1297"/>
      <c r="P516" s="1281">
        <f t="shared" si="90"/>
        <v>0</v>
      </c>
      <c r="Q516" s="1296"/>
      <c r="R516" s="2870"/>
      <c r="S516" s="1370">
        <f t="shared" si="91"/>
        <v>0</v>
      </c>
      <c r="T516" s="1296"/>
      <c r="U516" s="1297"/>
      <c r="V516" s="1281">
        <f t="shared" si="92"/>
        <v>0</v>
      </c>
      <c r="W516" s="2094"/>
      <c r="X516" s="2094"/>
      <c r="Y516" s="2092"/>
      <c r="Z516" s="1954"/>
    </row>
    <row r="517" spans="1:26" s="1263" customFormat="1" ht="16.5" customHeight="1" collapsed="1">
      <c r="A517" s="1267">
        <v>20</v>
      </c>
      <c r="B517" s="1347" t="s">
        <v>2103</v>
      </c>
      <c r="C517" s="1348" t="s">
        <v>2104</v>
      </c>
      <c r="D517" s="1469" t="s">
        <v>1128</v>
      </c>
      <c r="E517" s="1296"/>
      <c r="F517" s="1297"/>
      <c r="G517" s="1281">
        <f t="shared" si="77"/>
        <v>0</v>
      </c>
      <c r="H517" s="1296"/>
      <c r="I517" s="1297">
        <f>SUM($J$559:$J$579,$J$584:$J$585,J581)/1.2*2</f>
        <v>12662.357502600002</v>
      </c>
      <c r="J517" s="1281">
        <f t="shared" si="88"/>
        <v>6331.1787513000008</v>
      </c>
      <c r="K517" s="1297">
        <f>I517</f>
        <v>12662.357502600002</v>
      </c>
      <c r="L517" s="1297">
        <f>SUM($M$559:$M$579,$M$584:$M$585,$M$581)/1.2*2-K517</f>
        <v>129399.33743675641</v>
      </c>
      <c r="M517" s="1370">
        <f t="shared" si="89"/>
        <v>71030.847469678207</v>
      </c>
      <c r="N517" s="1296">
        <f>L517</f>
        <v>129399.33743675641</v>
      </c>
      <c r="O517" s="1297">
        <f>SUM($P$559:$P$579,$P$584:$P$585,$P$581)/1.2*2-N517</f>
        <v>251120.43494644348</v>
      </c>
      <c r="P517" s="1281">
        <f t="shared" si="90"/>
        <v>190259.88619159994</v>
      </c>
      <c r="Q517" s="1296">
        <f>O517</f>
        <v>251120.43494644348</v>
      </c>
      <c r="R517" s="2870">
        <f>SUM($S$559:$S$579,$S$584:$S$585,$S$581)/1.2*2-Q517</f>
        <v>383038.29462252121</v>
      </c>
      <c r="S517" s="1370">
        <f t="shared" si="91"/>
        <v>317079.36478448234</v>
      </c>
      <c r="T517" s="1296">
        <f>R517</f>
        <v>383038.29462252121</v>
      </c>
      <c r="U517" s="1297">
        <f>SUM($V$559:$V$579,$V$584:$V$585,$V$581)/1.2*2-T517</f>
        <v>464003.00328469038</v>
      </c>
      <c r="V517" s="1281">
        <f t="shared" si="92"/>
        <v>423520.64895360579</v>
      </c>
      <c r="W517" s="2094"/>
      <c r="X517" s="2094"/>
      <c r="Y517" s="2092"/>
      <c r="Z517" s="1954"/>
    </row>
    <row r="518" spans="1:26" s="1263" customFormat="1" ht="18" customHeight="1">
      <c r="A518" s="1267">
        <v>21</v>
      </c>
      <c r="B518" s="1347" t="s">
        <v>2105</v>
      </c>
      <c r="C518" s="1348" t="s">
        <v>2106</v>
      </c>
      <c r="D518" s="1469" t="s">
        <v>1128</v>
      </c>
      <c r="E518" s="1296"/>
      <c r="F518" s="1297"/>
      <c r="G518" s="1281">
        <f t="shared" si="77"/>
        <v>0</v>
      </c>
      <c r="H518" s="1296"/>
      <c r="I518" s="1297">
        <f>J582/1.2*2</f>
        <v>8073.4375</v>
      </c>
      <c r="J518" s="1281">
        <f t="shared" si="88"/>
        <v>4036.71875</v>
      </c>
      <c r="K518" s="1296">
        <f>I518</f>
        <v>8073.4375</v>
      </c>
      <c r="L518" s="1297">
        <f>M582/1.2*2-K518</f>
        <v>0</v>
      </c>
      <c r="M518" s="1370">
        <f t="shared" si="89"/>
        <v>4036.71875</v>
      </c>
      <c r="N518" s="1296">
        <f>L518</f>
        <v>0</v>
      </c>
      <c r="O518" s="1297">
        <f>P582/1.2*2-N518</f>
        <v>0</v>
      </c>
      <c r="P518" s="1281">
        <f t="shared" si="90"/>
        <v>0</v>
      </c>
      <c r="Q518" s="1296">
        <f>O518</f>
        <v>0</v>
      </c>
      <c r="R518" s="2870">
        <f>S582/1.2*2-Q518</f>
        <v>0</v>
      </c>
      <c r="S518" s="1370">
        <f t="shared" si="91"/>
        <v>0</v>
      </c>
      <c r="T518" s="1296">
        <f>R518</f>
        <v>0</v>
      </c>
      <c r="U518" s="1297">
        <f>V582/1.2*2-T518</f>
        <v>0</v>
      </c>
      <c r="V518" s="1281">
        <f t="shared" si="92"/>
        <v>0</v>
      </c>
      <c r="W518" s="2094"/>
      <c r="X518" s="2094"/>
      <c r="Y518" s="2092"/>
      <c r="Z518" s="1954"/>
    </row>
    <row r="519" spans="1:26" s="1263" customFormat="1" ht="18" hidden="1" customHeight="1" outlineLevel="1">
      <c r="A519" s="1267">
        <v>40</v>
      </c>
      <c r="B519" s="1347" t="s">
        <v>2107</v>
      </c>
      <c r="C519" s="1348" t="s">
        <v>2108</v>
      </c>
      <c r="D519" s="1469" t="s">
        <v>1128</v>
      </c>
      <c r="E519" s="1296"/>
      <c r="F519" s="1297"/>
      <c r="G519" s="1281">
        <f t="shared" ref="G519:G540" si="93">E519/2+F519/2</f>
        <v>0</v>
      </c>
      <c r="H519" s="1296"/>
      <c r="I519" s="1297"/>
      <c r="J519" s="1281">
        <f t="shared" ref="J519:J540" si="94">H519/2+I519/2</f>
        <v>0</v>
      </c>
      <c r="K519" s="1296"/>
      <c r="L519" s="1297"/>
      <c r="M519" s="1370">
        <f t="shared" ref="M519:M540" si="95">K519/2+L519/2</f>
        <v>0</v>
      </c>
      <c r="N519" s="1296"/>
      <c r="O519" s="1297"/>
      <c r="P519" s="1281">
        <f t="shared" ref="P519:P540" si="96">N519/2+O519/2</f>
        <v>0</v>
      </c>
      <c r="Q519" s="1296"/>
      <c r="R519" s="2870"/>
      <c r="S519" s="1370">
        <f t="shared" ref="S519:S540" si="97">Q519/2+R519/2</f>
        <v>0</v>
      </c>
      <c r="T519" s="1296"/>
      <c r="U519" s="1297"/>
      <c r="V519" s="1281">
        <f t="shared" ref="V519:V540" si="98">T519/2+U519/2</f>
        <v>0</v>
      </c>
      <c r="W519" s="2094"/>
      <c r="X519" s="2094"/>
      <c r="Y519" s="2092"/>
      <c r="Z519" s="1954"/>
    </row>
    <row r="520" spans="1:26" s="1263" customFormat="1" ht="22.7" hidden="1" customHeight="1" outlineLevel="1">
      <c r="A520" s="1267">
        <v>41</v>
      </c>
      <c r="B520" s="1347" t="s">
        <v>2109</v>
      </c>
      <c r="C520" s="1348" t="s">
        <v>2110</v>
      </c>
      <c r="D520" s="1469" t="s">
        <v>1128</v>
      </c>
      <c r="E520" s="1296"/>
      <c r="F520" s="1297"/>
      <c r="G520" s="1281">
        <f t="shared" si="93"/>
        <v>0</v>
      </c>
      <c r="H520" s="1296"/>
      <c r="I520" s="1297"/>
      <c r="J520" s="1281">
        <f t="shared" si="94"/>
        <v>0</v>
      </c>
      <c r="K520" s="1296"/>
      <c r="L520" s="1297"/>
      <c r="M520" s="1370">
        <f t="shared" si="95"/>
        <v>0</v>
      </c>
      <c r="N520" s="1296"/>
      <c r="O520" s="1297"/>
      <c r="P520" s="1281">
        <f t="shared" si="96"/>
        <v>0</v>
      </c>
      <c r="Q520" s="1296"/>
      <c r="R520" s="2870"/>
      <c r="S520" s="1370">
        <f t="shared" si="97"/>
        <v>0</v>
      </c>
      <c r="T520" s="1296"/>
      <c r="U520" s="1297"/>
      <c r="V520" s="1281">
        <f t="shared" si="98"/>
        <v>0</v>
      </c>
      <c r="W520" s="2094"/>
      <c r="X520" s="2094"/>
      <c r="Y520" s="2092"/>
      <c r="Z520" s="1954"/>
    </row>
    <row r="521" spans="1:26" s="1263" customFormat="1" ht="18.95" hidden="1" customHeight="1" outlineLevel="1">
      <c r="A521" s="1267">
        <v>42</v>
      </c>
      <c r="B521" s="1347" t="s">
        <v>2111</v>
      </c>
      <c r="C521" s="1348" t="s">
        <v>2112</v>
      </c>
      <c r="D521" s="1469" t="s">
        <v>1128</v>
      </c>
      <c r="E521" s="1296"/>
      <c r="F521" s="1297"/>
      <c r="G521" s="1281">
        <f t="shared" si="93"/>
        <v>0</v>
      </c>
      <c r="H521" s="1296"/>
      <c r="I521" s="1297"/>
      <c r="J521" s="1281">
        <f t="shared" si="94"/>
        <v>0</v>
      </c>
      <c r="K521" s="1296"/>
      <c r="L521" s="1297"/>
      <c r="M521" s="1370">
        <f t="shared" si="95"/>
        <v>0</v>
      </c>
      <c r="N521" s="1296"/>
      <c r="O521" s="1297"/>
      <c r="P521" s="1281">
        <f t="shared" si="96"/>
        <v>0</v>
      </c>
      <c r="Q521" s="1296"/>
      <c r="R521" s="2870"/>
      <c r="S521" s="1370">
        <f t="shared" si="97"/>
        <v>0</v>
      </c>
      <c r="T521" s="1296"/>
      <c r="U521" s="1297"/>
      <c r="V521" s="1281">
        <f t="shared" si="98"/>
        <v>0</v>
      </c>
      <c r="W521" s="2094"/>
      <c r="X521" s="2094"/>
      <c r="Y521" s="2092"/>
      <c r="Z521" s="1954"/>
    </row>
    <row r="522" spans="1:26" s="1263" customFormat="1" ht="18.95" hidden="1" customHeight="1" outlineLevel="1">
      <c r="A522" s="1267">
        <v>43</v>
      </c>
      <c r="B522" s="1347" t="s">
        <v>2113</v>
      </c>
      <c r="C522" s="1348" t="s">
        <v>2106</v>
      </c>
      <c r="D522" s="1469" t="s">
        <v>1128</v>
      </c>
      <c r="E522" s="1296"/>
      <c r="F522" s="1297"/>
      <c r="G522" s="1281">
        <f t="shared" si="93"/>
        <v>0</v>
      </c>
      <c r="H522" s="1296"/>
      <c r="I522" s="1297"/>
      <c r="J522" s="1281">
        <f t="shared" si="94"/>
        <v>0</v>
      </c>
      <c r="K522" s="1296"/>
      <c r="L522" s="1297"/>
      <c r="M522" s="1370">
        <f t="shared" si="95"/>
        <v>0</v>
      </c>
      <c r="N522" s="1296"/>
      <c r="O522" s="1297"/>
      <c r="P522" s="1281">
        <f t="shared" si="96"/>
        <v>0</v>
      </c>
      <c r="Q522" s="1296"/>
      <c r="R522" s="2870"/>
      <c r="S522" s="1370">
        <f t="shared" si="97"/>
        <v>0</v>
      </c>
      <c r="T522" s="1296"/>
      <c r="U522" s="1297"/>
      <c r="V522" s="1281">
        <f t="shared" si="98"/>
        <v>0</v>
      </c>
      <c r="W522" s="2094"/>
      <c r="X522" s="2094"/>
      <c r="Y522" s="2092"/>
      <c r="Z522" s="1954"/>
    </row>
    <row r="523" spans="1:26" s="1263" customFormat="1" collapsed="1">
      <c r="A523" s="1267">
        <v>22</v>
      </c>
      <c r="B523" s="1347" t="s">
        <v>2114</v>
      </c>
      <c r="C523" s="1349" t="s">
        <v>2115</v>
      </c>
      <c r="D523" s="1469" t="s">
        <v>1128</v>
      </c>
      <c r="E523" s="1279">
        <f>E524+E527+E531</f>
        <v>0</v>
      </c>
      <c r="F523" s="1280">
        <f>F524+F527+F531</f>
        <v>0</v>
      </c>
      <c r="G523" s="1281">
        <f t="shared" si="93"/>
        <v>0</v>
      </c>
      <c r="H523" s="1279">
        <f>H524+H527+H531</f>
        <v>0</v>
      </c>
      <c r="I523" s="1280">
        <f>I524+I527+I531</f>
        <v>20735.795002600003</v>
      </c>
      <c r="J523" s="1281">
        <f t="shared" si="94"/>
        <v>10367.897501300002</v>
      </c>
      <c r="K523" s="1279">
        <f>K524+K527+K531</f>
        <v>20735.795002600003</v>
      </c>
      <c r="L523" s="1280">
        <f>L524+L527+L531</f>
        <v>129399.33743675641</v>
      </c>
      <c r="M523" s="1370">
        <f t="shared" si="95"/>
        <v>75067.566219678207</v>
      </c>
      <c r="N523" s="1279">
        <f>N524+N527+N531</f>
        <v>129399.33743675641</v>
      </c>
      <c r="O523" s="1280">
        <f>O524+O527+O531</f>
        <v>251120.43494644348</v>
      </c>
      <c r="P523" s="1281">
        <f t="shared" si="96"/>
        <v>190259.88619159994</v>
      </c>
      <c r="Q523" s="1279">
        <f>Q524+Q527+Q531</f>
        <v>251120.43494644348</v>
      </c>
      <c r="R523" s="2867">
        <f>R524+R527+R531</f>
        <v>383038.29462252121</v>
      </c>
      <c r="S523" s="1370">
        <f t="shared" si="97"/>
        <v>317079.36478448234</v>
      </c>
      <c r="T523" s="1279">
        <f>T524+T527+T531</f>
        <v>383038.29462252121</v>
      </c>
      <c r="U523" s="1280">
        <f>U524+U527+U531</f>
        <v>464003.00328469038</v>
      </c>
      <c r="V523" s="1281">
        <f t="shared" si="98"/>
        <v>423520.64895360579</v>
      </c>
      <c r="W523" s="2093"/>
      <c r="X523" s="2093"/>
      <c r="Y523" s="2092"/>
      <c r="Z523" s="1954"/>
    </row>
    <row r="524" spans="1:26" s="1263" customFormat="1" hidden="1">
      <c r="A524" s="1267">
        <v>23</v>
      </c>
      <c r="B524" s="1347" t="s">
        <v>2116</v>
      </c>
      <c r="C524" s="1349" t="s">
        <v>2084</v>
      </c>
      <c r="D524" s="1469" t="s">
        <v>1128</v>
      </c>
      <c r="E524" s="1279">
        <f>E525+E526</f>
        <v>0</v>
      </c>
      <c r="F524" s="1280">
        <f>F525+F526</f>
        <v>0</v>
      </c>
      <c r="G524" s="1281">
        <f t="shared" si="93"/>
        <v>0</v>
      </c>
      <c r="H524" s="1279">
        <f>H525+H526</f>
        <v>0</v>
      </c>
      <c r="I524" s="1280">
        <f>I525+I526</f>
        <v>0</v>
      </c>
      <c r="J524" s="1281">
        <f t="shared" si="94"/>
        <v>0</v>
      </c>
      <c r="K524" s="1279">
        <f>K525+K526</f>
        <v>0</v>
      </c>
      <c r="L524" s="1280">
        <f>L525+L526</f>
        <v>0</v>
      </c>
      <c r="M524" s="1370">
        <f t="shared" si="95"/>
        <v>0</v>
      </c>
      <c r="N524" s="1279">
        <f>N525+N526</f>
        <v>0</v>
      </c>
      <c r="O524" s="1280">
        <f>O525+O526</f>
        <v>0</v>
      </c>
      <c r="P524" s="1281">
        <f t="shared" si="96"/>
        <v>0</v>
      </c>
      <c r="Q524" s="1279">
        <f>Q525+Q526</f>
        <v>0</v>
      </c>
      <c r="R524" s="2867">
        <f>R525+R526</f>
        <v>0</v>
      </c>
      <c r="S524" s="1370">
        <f t="shared" si="97"/>
        <v>0</v>
      </c>
      <c r="T524" s="1279">
        <f>T525+T526</f>
        <v>0</v>
      </c>
      <c r="U524" s="1280">
        <f>U525+U526</f>
        <v>0</v>
      </c>
      <c r="V524" s="1281">
        <f t="shared" si="98"/>
        <v>0</v>
      </c>
      <c r="W524" s="2093"/>
      <c r="X524" s="2093"/>
      <c r="Y524" s="2092"/>
      <c r="Z524" s="1954"/>
    </row>
    <row r="525" spans="1:26" s="1263" customFormat="1" ht="25.5" hidden="1" customHeight="1" outlineLevel="1">
      <c r="A525" s="1267">
        <v>24</v>
      </c>
      <c r="B525" s="1347" t="s">
        <v>2117</v>
      </c>
      <c r="C525" s="1348" t="s">
        <v>2118</v>
      </c>
      <c r="D525" s="1469" t="s">
        <v>1128</v>
      </c>
      <c r="E525" s="1296"/>
      <c r="F525" s="1297"/>
      <c r="G525" s="1281">
        <f t="shared" si="93"/>
        <v>0</v>
      </c>
      <c r="H525" s="1296"/>
      <c r="I525" s="1297"/>
      <c r="J525" s="1281">
        <f t="shared" si="94"/>
        <v>0</v>
      </c>
      <c r="K525" s="1296"/>
      <c r="L525" s="1297"/>
      <c r="M525" s="1370">
        <f t="shared" si="95"/>
        <v>0</v>
      </c>
      <c r="N525" s="1296"/>
      <c r="O525" s="1297"/>
      <c r="P525" s="1281">
        <f t="shared" si="96"/>
        <v>0</v>
      </c>
      <c r="Q525" s="1296"/>
      <c r="R525" s="2870"/>
      <c r="S525" s="1370">
        <f t="shared" si="97"/>
        <v>0</v>
      </c>
      <c r="T525" s="1296"/>
      <c r="U525" s="1297"/>
      <c r="V525" s="1281">
        <f t="shared" si="98"/>
        <v>0</v>
      </c>
      <c r="W525" s="2094"/>
      <c r="X525" s="2094"/>
      <c r="Y525" s="2092"/>
      <c r="Z525" s="1954"/>
    </row>
    <row r="526" spans="1:26" s="1263" customFormat="1" hidden="1" outlineLevel="1">
      <c r="A526" s="1267">
        <v>38</v>
      </c>
      <c r="B526" s="1347"/>
      <c r="C526" s="1348" t="s">
        <v>2119</v>
      </c>
      <c r="D526" s="1469" t="s">
        <v>1128</v>
      </c>
      <c r="E526" s="1296"/>
      <c r="F526" s="1297"/>
      <c r="G526" s="1281">
        <f t="shared" si="93"/>
        <v>0</v>
      </c>
      <c r="H526" s="1296"/>
      <c r="I526" s="1297"/>
      <c r="J526" s="1281">
        <f t="shared" si="94"/>
        <v>0</v>
      </c>
      <c r="K526" s="1296"/>
      <c r="L526" s="1297"/>
      <c r="M526" s="1370">
        <f t="shared" si="95"/>
        <v>0</v>
      </c>
      <c r="N526" s="1296"/>
      <c r="O526" s="1297"/>
      <c r="P526" s="1281">
        <f t="shared" si="96"/>
        <v>0</v>
      </c>
      <c r="Q526" s="1296"/>
      <c r="R526" s="2870"/>
      <c r="S526" s="1370">
        <f t="shared" si="97"/>
        <v>0</v>
      </c>
      <c r="T526" s="1296"/>
      <c r="U526" s="1297"/>
      <c r="V526" s="1281">
        <f t="shared" si="98"/>
        <v>0</v>
      </c>
      <c r="W526" s="2094"/>
      <c r="X526" s="2094"/>
      <c r="Y526" s="2092"/>
      <c r="Z526" s="1954"/>
    </row>
    <row r="527" spans="1:26" s="1263" customFormat="1" collapsed="1">
      <c r="A527" s="1267">
        <v>25</v>
      </c>
      <c r="B527" s="1347" t="s">
        <v>2120</v>
      </c>
      <c r="C527" s="1349" t="s">
        <v>2088</v>
      </c>
      <c r="D527" s="1469" t="s">
        <v>1128</v>
      </c>
      <c r="E527" s="1279">
        <f>E528+E529+E530</f>
        <v>0</v>
      </c>
      <c r="F527" s="1280">
        <f>F528+F529+F530</f>
        <v>0</v>
      </c>
      <c r="G527" s="1281">
        <f t="shared" si="93"/>
        <v>0</v>
      </c>
      <c r="H527" s="1279">
        <f>H528+H529+H530</f>
        <v>0</v>
      </c>
      <c r="I527" s="1280">
        <f>I528+I529+I530</f>
        <v>20735.795002600003</v>
      </c>
      <c r="J527" s="1281">
        <f t="shared" si="94"/>
        <v>10367.897501300002</v>
      </c>
      <c r="K527" s="1279">
        <f>K528+K529+K530</f>
        <v>20735.795002600003</v>
      </c>
      <c r="L527" s="1280">
        <f>L528+L529+L530</f>
        <v>129399.33743675641</v>
      </c>
      <c r="M527" s="1370">
        <f t="shared" si="95"/>
        <v>75067.566219678207</v>
      </c>
      <c r="N527" s="1279">
        <f>N528+N529+N530</f>
        <v>129399.33743675641</v>
      </c>
      <c r="O527" s="1280">
        <f>O528+O529+O530</f>
        <v>251120.43494644348</v>
      </c>
      <c r="P527" s="1281">
        <f t="shared" si="96"/>
        <v>190259.88619159994</v>
      </c>
      <c r="Q527" s="1279">
        <f>Q528+Q529+Q530</f>
        <v>251120.43494644348</v>
      </c>
      <c r="R527" s="2867">
        <f>R528+R529+R530</f>
        <v>383038.29462252121</v>
      </c>
      <c r="S527" s="1370">
        <f t="shared" si="97"/>
        <v>317079.36478448234</v>
      </c>
      <c r="T527" s="1279">
        <f>T528+T529+T530</f>
        <v>383038.29462252121</v>
      </c>
      <c r="U527" s="1280">
        <f>U528+U529+U530</f>
        <v>464003.00328469038</v>
      </c>
      <c r="V527" s="1281">
        <f t="shared" si="98"/>
        <v>423520.64895360579</v>
      </c>
      <c r="W527" s="2093"/>
      <c r="X527" s="2093"/>
      <c r="Y527" s="2092"/>
      <c r="Z527" s="1954"/>
    </row>
    <row r="528" spans="1:26" s="1263" customFormat="1" ht="18" hidden="1" customHeight="1" outlineLevel="1">
      <c r="A528" s="1267">
        <v>26</v>
      </c>
      <c r="B528" s="1347" t="s">
        <v>2121</v>
      </c>
      <c r="C528" s="1348" t="s">
        <v>2122</v>
      </c>
      <c r="D528" s="1469" t="s">
        <v>1128</v>
      </c>
      <c r="E528" s="1296"/>
      <c r="F528" s="1297"/>
      <c r="G528" s="1281">
        <f t="shared" si="93"/>
        <v>0</v>
      </c>
      <c r="H528" s="1296"/>
      <c r="I528" s="1297"/>
      <c r="J528" s="1281">
        <f t="shared" si="94"/>
        <v>0</v>
      </c>
      <c r="K528" s="1296"/>
      <c r="L528" s="1297"/>
      <c r="M528" s="1370">
        <f t="shared" si="95"/>
        <v>0</v>
      </c>
      <c r="N528" s="1296"/>
      <c r="O528" s="1297"/>
      <c r="P528" s="1281">
        <f t="shared" si="96"/>
        <v>0</v>
      </c>
      <c r="Q528" s="1296"/>
      <c r="R528" s="2870"/>
      <c r="S528" s="1370">
        <f t="shared" si="97"/>
        <v>0</v>
      </c>
      <c r="T528" s="1296"/>
      <c r="U528" s="1297"/>
      <c r="V528" s="1281">
        <f t="shared" si="98"/>
        <v>0</v>
      </c>
      <c r="W528" s="2094"/>
      <c r="X528" s="2094"/>
      <c r="Y528" s="2092"/>
      <c r="Z528" s="1954"/>
    </row>
    <row r="529" spans="1:26" s="1263" customFormat="1" ht="18" collapsed="1" thickBot="1">
      <c r="A529" s="1267">
        <v>39</v>
      </c>
      <c r="B529" s="1350"/>
      <c r="C529" s="1351" t="s">
        <v>2123</v>
      </c>
      <c r="D529" s="1470" t="s">
        <v>1128</v>
      </c>
      <c r="E529" s="1952"/>
      <c r="F529" s="1953"/>
      <c r="G529" s="1530">
        <f t="shared" si="93"/>
        <v>0</v>
      </c>
      <c r="H529" s="1952"/>
      <c r="I529" s="1953">
        <f>I514</f>
        <v>20735.795002600003</v>
      </c>
      <c r="J529" s="1530">
        <f t="shared" si="94"/>
        <v>10367.897501300002</v>
      </c>
      <c r="K529" s="1952">
        <f>K514</f>
        <v>20735.795002600003</v>
      </c>
      <c r="L529" s="1953">
        <f>L514</f>
        <v>129399.33743675641</v>
      </c>
      <c r="M529" s="2089">
        <f t="shared" si="95"/>
        <v>75067.566219678207</v>
      </c>
      <c r="N529" s="1952">
        <f>N514</f>
        <v>129399.33743675641</v>
      </c>
      <c r="O529" s="1953">
        <f>O514</f>
        <v>251120.43494644348</v>
      </c>
      <c r="P529" s="1530">
        <f t="shared" si="96"/>
        <v>190259.88619159994</v>
      </c>
      <c r="Q529" s="1952">
        <f>Q514</f>
        <v>251120.43494644348</v>
      </c>
      <c r="R529" s="2875">
        <f>R514</f>
        <v>383038.29462252121</v>
      </c>
      <c r="S529" s="2089">
        <f t="shared" si="97"/>
        <v>317079.36478448234</v>
      </c>
      <c r="T529" s="1952">
        <f>T514</f>
        <v>383038.29462252121</v>
      </c>
      <c r="U529" s="1953">
        <f>U514</f>
        <v>464003.00328469038</v>
      </c>
      <c r="V529" s="1530">
        <f t="shared" si="98"/>
        <v>423520.64895360579</v>
      </c>
      <c r="W529" s="2094"/>
      <c r="X529" s="2094"/>
      <c r="Y529" s="2092"/>
      <c r="Z529" s="1954"/>
    </row>
    <row r="530" spans="1:26" s="1263" customFormat="1" ht="20.25" hidden="1" customHeight="1" outlineLevel="1">
      <c r="A530" s="1267">
        <v>27</v>
      </c>
      <c r="B530" s="2082" t="s">
        <v>2124</v>
      </c>
      <c r="C530" s="2083" t="s">
        <v>2125</v>
      </c>
      <c r="D530" s="2084" t="s">
        <v>1128</v>
      </c>
      <c r="E530" s="1310"/>
      <c r="F530" s="1311"/>
      <c r="G530" s="1276">
        <f t="shared" si="93"/>
        <v>0</v>
      </c>
      <c r="H530" s="1310"/>
      <c r="I530" s="1311"/>
      <c r="J530" s="1276">
        <f t="shared" si="94"/>
        <v>0</v>
      </c>
      <c r="K530" s="1310"/>
      <c r="L530" s="1311"/>
      <c r="M530" s="2857">
        <f t="shared" si="95"/>
        <v>0</v>
      </c>
      <c r="N530" s="1310"/>
      <c r="O530" s="1311"/>
      <c r="P530" s="1276">
        <f t="shared" si="96"/>
        <v>0</v>
      </c>
      <c r="Q530" s="1310"/>
      <c r="R530" s="2876"/>
      <c r="S530" s="2857">
        <f t="shared" si="97"/>
        <v>0</v>
      </c>
      <c r="T530" s="1310"/>
      <c r="U530" s="1311"/>
      <c r="V530" s="1276">
        <f t="shared" si="98"/>
        <v>0</v>
      </c>
      <c r="W530" s="2876"/>
      <c r="X530" s="1311"/>
      <c r="Y530" s="1276">
        <f t="shared" ref="Y530:Y540" si="99">W530/2+X530/2</f>
        <v>0</v>
      </c>
      <c r="Z530" s="1376"/>
    </row>
    <row r="531" spans="1:26" s="1263" customFormat="1" ht="18" hidden="1" outlineLevel="1" collapsed="1" thickBot="1">
      <c r="A531" s="1267">
        <v>28</v>
      </c>
      <c r="B531" s="1350" t="s">
        <v>2126</v>
      </c>
      <c r="C531" s="1527" t="s">
        <v>2127</v>
      </c>
      <c r="D531" s="1470" t="s">
        <v>1128</v>
      </c>
      <c r="E531" s="1528">
        <f>E532+E533+E534+E535+E536</f>
        <v>0</v>
      </c>
      <c r="F531" s="1529">
        <f>F532+F533+F534+F535+F536</f>
        <v>0</v>
      </c>
      <c r="G531" s="1530">
        <f t="shared" si="93"/>
        <v>0</v>
      </c>
      <c r="H531" s="1528">
        <f>H532+H533+H534+H535+H536</f>
        <v>0</v>
      </c>
      <c r="I531" s="1529">
        <f>I532+I533+I534+I535+I536</f>
        <v>0</v>
      </c>
      <c r="J531" s="1530">
        <f t="shared" si="94"/>
        <v>0</v>
      </c>
      <c r="K531" s="1528">
        <f>K532+K533+K534+K535+K536</f>
        <v>0</v>
      </c>
      <c r="L531" s="1529">
        <f>L532+L533+L534+L535+L536</f>
        <v>0</v>
      </c>
      <c r="M531" s="2089">
        <f t="shared" si="95"/>
        <v>0</v>
      </c>
      <c r="N531" s="1528">
        <f>N532+N533+N534+N535+N536</f>
        <v>0</v>
      </c>
      <c r="O531" s="1529">
        <f>O532+O533+O534+O535+O536</f>
        <v>0</v>
      </c>
      <c r="P531" s="1530">
        <f t="shared" si="96"/>
        <v>0</v>
      </c>
      <c r="Q531" s="1528">
        <f>Q532+Q533+Q534+Q535+Q536</f>
        <v>0</v>
      </c>
      <c r="R531" s="2877">
        <f>R532+R533+R534+R535+R536</f>
        <v>0</v>
      </c>
      <c r="S531" s="2089">
        <f t="shared" si="97"/>
        <v>0</v>
      </c>
      <c r="T531" s="1528">
        <f>T532+T533+T534+T535+T536</f>
        <v>0</v>
      </c>
      <c r="U531" s="1529">
        <f>U532+U533+U534+U535+U536</f>
        <v>0</v>
      </c>
      <c r="V531" s="1530">
        <f t="shared" si="98"/>
        <v>0</v>
      </c>
      <c r="W531" s="2877">
        <f>W532+W533+W534+W535+W536</f>
        <v>0</v>
      </c>
      <c r="X531" s="1529">
        <f>X532+X533+X534+X535+X536</f>
        <v>0</v>
      </c>
      <c r="Y531" s="1530">
        <f t="shared" si="99"/>
        <v>0</v>
      </c>
      <c r="Z531" s="1376"/>
    </row>
    <row r="532" spans="1:26" s="1263" customFormat="1" ht="24" hidden="1" customHeight="1" outlineLevel="1">
      <c r="A532" s="1267">
        <v>29</v>
      </c>
      <c r="B532" s="1345" t="s">
        <v>2128</v>
      </c>
      <c r="C532" s="1951" t="s">
        <v>2129</v>
      </c>
      <c r="D532" s="1468" t="s">
        <v>1128</v>
      </c>
      <c r="E532" s="1339"/>
      <c r="F532" s="1340"/>
      <c r="G532" s="1341">
        <f t="shared" si="93"/>
        <v>0</v>
      </c>
      <c r="H532" s="1339"/>
      <c r="I532" s="1340"/>
      <c r="J532" s="1341">
        <f t="shared" si="94"/>
        <v>0</v>
      </c>
      <c r="K532" s="1339"/>
      <c r="L532" s="1340"/>
      <c r="M532" s="2863">
        <f t="shared" si="95"/>
        <v>0</v>
      </c>
      <c r="N532" s="1339"/>
      <c r="O532" s="1340"/>
      <c r="P532" s="1341">
        <f t="shared" si="96"/>
        <v>0</v>
      </c>
      <c r="Q532" s="1339"/>
      <c r="R532" s="2878"/>
      <c r="S532" s="2863">
        <f t="shared" si="97"/>
        <v>0</v>
      </c>
      <c r="T532" s="1339"/>
      <c r="U532" s="1340"/>
      <c r="V532" s="1341">
        <f t="shared" si="98"/>
        <v>0</v>
      </c>
      <c r="W532" s="2878"/>
      <c r="X532" s="1340"/>
      <c r="Y532" s="1341">
        <f t="shared" si="99"/>
        <v>0</v>
      </c>
      <c r="Z532" s="1376"/>
    </row>
    <row r="533" spans="1:26" s="1263" customFormat="1" ht="22.7" hidden="1" customHeight="1" outlineLevel="1">
      <c r="A533" s="1267">
        <v>30</v>
      </c>
      <c r="B533" s="1347" t="s">
        <v>2130</v>
      </c>
      <c r="C533" s="1348" t="s">
        <v>2131</v>
      </c>
      <c r="D533" s="1469" t="s">
        <v>1128</v>
      </c>
      <c r="E533" s="1296"/>
      <c r="F533" s="1297"/>
      <c r="G533" s="1281">
        <f t="shared" si="93"/>
        <v>0</v>
      </c>
      <c r="H533" s="1296"/>
      <c r="I533" s="1297"/>
      <c r="J533" s="1281">
        <f t="shared" si="94"/>
        <v>0</v>
      </c>
      <c r="K533" s="1296"/>
      <c r="L533" s="1297"/>
      <c r="M533" s="1370">
        <f t="shared" si="95"/>
        <v>0</v>
      </c>
      <c r="N533" s="1296"/>
      <c r="O533" s="1297"/>
      <c r="P533" s="1281">
        <f t="shared" si="96"/>
        <v>0</v>
      </c>
      <c r="Q533" s="1296"/>
      <c r="R533" s="2870"/>
      <c r="S533" s="1370">
        <f t="shared" si="97"/>
        <v>0</v>
      </c>
      <c r="T533" s="1296"/>
      <c r="U533" s="1297"/>
      <c r="V533" s="1281">
        <f t="shared" si="98"/>
        <v>0</v>
      </c>
      <c r="W533" s="2870"/>
      <c r="X533" s="1297"/>
      <c r="Y533" s="1281">
        <f t="shared" si="99"/>
        <v>0</v>
      </c>
      <c r="Z533" s="1376"/>
    </row>
    <row r="534" spans="1:26" s="1263" customFormat="1" ht="24" hidden="1" customHeight="1" outlineLevel="1">
      <c r="A534" s="1267">
        <v>31</v>
      </c>
      <c r="B534" s="1347" t="s">
        <v>2132</v>
      </c>
      <c r="C534" s="1348" t="s">
        <v>2133</v>
      </c>
      <c r="D534" s="1469" t="s">
        <v>1128</v>
      </c>
      <c r="E534" s="1296"/>
      <c r="F534" s="1297"/>
      <c r="G534" s="1281">
        <f t="shared" si="93"/>
        <v>0</v>
      </c>
      <c r="H534" s="1296"/>
      <c r="I534" s="1297"/>
      <c r="J534" s="1281">
        <f t="shared" si="94"/>
        <v>0</v>
      </c>
      <c r="K534" s="1296"/>
      <c r="L534" s="1297"/>
      <c r="M534" s="1370">
        <f t="shared" si="95"/>
        <v>0</v>
      </c>
      <c r="N534" s="1296"/>
      <c r="O534" s="1297"/>
      <c r="P534" s="1281">
        <f t="shared" si="96"/>
        <v>0</v>
      </c>
      <c r="Q534" s="1296"/>
      <c r="R534" s="2870"/>
      <c r="S534" s="1370">
        <f t="shared" si="97"/>
        <v>0</v>
      </c>
      <c r="T534" s="1296"/>
      <c r="U534" s="1297"/>
      <c r="V534" s="1281">
        <f t="shared" si="98"/>
        <v>0</v>
      </c>
      <c r="W534" s="2870"/>
      <c r="X534" s="1297"/>
      <c r="Y534" s="1281">
        <f t="shared" si="99"/>
        <v>0</v>
      </c>
      <c r="Z534" s="1376"/>
    </row>
    <row r="535" spans="1:26" s="1263" customFormat="1" ht="24" hidden="1" customHeight="1" outlineLevel="1">
      <c r="A535" s="1267">
        <v>32</v>
      </c>
      <c r="B535" s="1347" t="s">
        <v>2134</v>
      </c>
      <c r="C535" s="1348" t="s">
        <v>2135</v>
      </c>
      <c r="D535" s="1469" t="s">
        <v>1128</v>
      </c>
      <c r="E535" s="1296"/>
      <c r="F535" s="1297"/>
      <c r="G535" s="1281">
        <f t="shared" si="93"/>
        <v>0</v>
      </c>
      <c r="H535" s="1296"/>
      <c r="I535" s="1297"/>
      <c r="J535" s="1281">
        <f t="shared" si="94"/>
        <v>0</v>
      </c>
      <c r="K535" s="1296"/>
      <c r="L535" s="1297"/>
      <c r="M535" s="1370">
        <f t="shared" si="95"/>
        <v>0</v>
      </c>
      <c r="N535" s="1296"/>
      <c r="O535" s="1297"/>
      <c r="P535" s="1281">
        <f t="shared" si="96"/>
        <v>0</v>
      </c>
      <c r="Q535" s="1296"/>
      <c r="R535" s="2870"/>
      <c r="S535" s="1370">
        <f t="shared" si="97"/>
        <v>0</v>
      </c>
      <c r="T535" s="1296"/>
      <c r="U535" s="1297"/>
      <c r="V535" s="1281">
        <f t="shared" si="98"/>
        <v>0</v>
      </c>
      <c r="W535" s="2870"/>
      <c r="X535" s="1297"/>
      <c r="Y535" s="1281">
        <f t="shared" si="99"/>
        <v>0</v>
      </c>
      <c r="Z535" s="1376"/>
    </row>
    <row r="536" spans="1:26" s="1263" customFormat="1" ht="23.25" hidden="1" customHeight="1" outlineLevel="1">
      <c r="A536" s="1267">
        <v>33</v>
      </c>
      <c r="B536" s="1347" t="s">
        <v>2136</v>
      </c>
      <c r="C536" s="1348" t="s">
        <v>2137</v>
      </c>
      <c r="D536" s="1469" t="s">
        <v>1128</v>
      </c>
      <c r="E536" s="1296"/>
      <c r="F536" s="1297"/>
      <c r="G536" s="1281">
        <f t="shared" si="93"/>
        <v>0</v>
      </c>
      <c r="H536" s="1296"/>
      <c r="I536" s="1297"/>
      <c r="J536" s="1281">
        <f t="shared" si="94"/>
        <v>0</v>
      </c>
      <c r="K536" s="1296"/>
      <c r="L536" s="1297"/>
      <c r="M536" s="1370">
        <f t="shared" si="95"/>
        <v>0</v>
      </c>
      <c r="N536" s="1296"/>
      <c r="O536" s="1297"/>
      <c r="P536" s="1281">
        <f t="shared" si="96"/>
        <v>0</v>
      </c>
      <c r="Q536" s="1296"/>
      <c r="R536" s="2870"/>
      <c r="S536" s="1370">
        <f t="shared" si="97"/>
        <v>0</v>
      </c>
      <c r="T536" s="1296"/>
      <c r="U536" s="1297"/>
      <c r="V536" s="1281">
        <f t="shared" si="98"/>
        <v>0</v>
      </c>
      <c r="W536" s="2870"/>
      <c r="X536" s="1297"/>
      <c r="Y536" s="1281">
        <f t="shared" si="99"/>
        <v>0</v>
      </c>
      <c r="Z536" s="1376"/>
    </row>
    <row r="537" spans="1:26" s="1263" customFormat="1" ht="22.7" hidden="1" customHeight="1" outlineLevel="1">
      <c r="A537" s="1267">
        <v>34</v>
      </c>
      <c r="B537" s="1347" t="s">
        <v>2138</v>
      </c>
      <c r="C537" s="1348" t="s">
        <v>2139</v>
      </c>
      <c r="D537" s="1469" t="s">
        <v>1313</v>
      </c>
      <c r="E537" s="1279">
        <f>E538+E539</f>
        <v>0</v>
      </c>
      <c r="F537" s="1280">
        <f>F538+F539</f>
        <v>0</v>
      </c>
      <c r="G537" s="1281">
        <f t="shared" si="93"/>
        <v>0</v>
      </c>
      <c r="H537" s="1279">
        <f>H538+H539</f>
        <v>0</v>
      </c>
      <c r="I537" s="1280">
        <f>I538+I539</f>
        <v>0</v>
      </c>
      <c r="J537" s="1281">
        <f t="shared" si="94"/>
        <v>0</v>
      </c>
      <c r="K537" s="1279">
        <f>K538+K539</f>
        <v>0</v>
      </c>
      <c r="L537" s="1280">
        <f>L538+L539</f>
        <v>0</v>
      </c>
      <c r="M537" s="1370">
        <f t="shared" si="95"/>
        <v>0</v>
      </c>
      <c r="N537" s="1279">
        <f>N538+N539</f>
        <v>0</v>
      </c>
      <c r="O537" s="1280">
        <f>O538+O539</f>
        <v>0</v>
      </c>
      <c r="P537" s="1281">
        <f t="shared" si="96"/>
        <v>0</v>
      </c>
      <c r="Q537" s="1279">
        <f>Q538+Q539</f>
        <v>0</v>
      </c>
      <c r="R537" s="2867">
        <f>R538+R539</f>
        <v>0</v>
      </c>
      <c r="S537" s="1370">
        <f t="shared" si="97"/>
        <v>0</v>
      </c>
      <c r="T537" s="1279">
        <f>T538+T539</f>
        <v>0</v>
      </c>
      <c r="U537" s="1280">
        <f>U538+U539</f>
        <v>0</v>
      </c>
      <c r="V537" s="1281">
        <f t="shared" si="98"/>
        <v>0</v>
      </c>
      <c r="W537" s="2867">
        <f>W538+W539</f>
        <v>0</v>
      </c>
      <c r="X537" s="1280">
        <f>X538+X539</f>
        <v>0</v>
      </c>
      <c r="Y537" s="1281">
        <f t="shared" si="99"/>
        <v>0</v>
      </c>
      <c r="Z537" s="1376"/>
    </row>
    <row r="538" spans="1:26" s="1263" customFormat="1" ht="25.5" hidden="1" customHeight="1" outlineLevel="1">
      <c r="A538" s="1267">
        <v>35</v>
      </c>
      <c r="B538" s="1347" t="s">
        <v>2140</v>
      </c>
      <c r="C538" s="1348" t="s">
        <v>2084</v>
      </c>
      <c r="D538" s="1469" t="s">
        <v>1128</v>
      </c>
      <c r="E538" s="1296"/>
      <c r="F538" s="1297"/>
      <c r="G538" s="1281">
        <f t="shared" si="93"/>
        <v>0</v>
      </c>
      <c r="H538" s="1296"/>
      <c r="I538" s="1297"/>
      <c r="J538" s="1281">
        <f t="shared" si="94"/>
        <v>0</v>
      </c>
      <c r="K538" s="1296"/>
      <c r="L538" s="1297"/>
      <c r="M538" s="1370">
        <f t="shared" si="95"/>
        <v>0</v>
      </c>
      <c r="N538" s="1296"/>
      <c r="O538" s="1297"/>
      <c r="P538" s="1281">
        <f t="shared" si="96"/>
        <v>0</v>
      </c>
      <c r="Q538" s="1296"/>
      <c r="R538" s="2870"/>
      <c r="S538" s="1370">
        <f t="shared" si="97"/>
        <v>0</v>
      </c>
      <c r="T538" s="1296"/>
      <c r="U538" s="1297"/>
      <c r="V538" s="1281">
        <f t="shared" si="98"/>
        <v>0</v>
      </c>
      <c r="W538" s="2870"/>
      <c r="X538" s="1297"/>
      <c r="Y538" s="1281">
        <f t="shared" si="99"/>
        <v>0</v>
      </c>
      <c r="Z538" s="1376"/>
    </row>
    <row r="539" spans="1:26" s="1263" customFormat="1" ht="23.25" hidden="1" customHeight="1" outlineLevel="1">
      <c r="A539" s="1267">
        <v>36</v>
      </c>
      <c r="B539" s="1347" t="s">
        <v>2141</v>
      </c>
      <c r="C539" s="1348" t="s">
        <v>2088</v>
      </c>
      <c r="D539" s="1469" t="s">
        <v>1128</v>
      </c>
      <c r="E539" s="1296"/>
      <c r="F539" s="1297"/>
      <c r="G539" s="1281">
        <f t="shared" si="93"/>
        <v>0</v>
      </c>
      <c r="H539" s="1296"/>
      <c r="I539" s="1297"/>
      <c r="J539" s="1281">
        <f t="shared" si="94"/>
        <v>0</v>
      </c>
      <c r="K539" s="1296"/>
      <c r="L539" s="1297"/>
      <c r="M539" s="1370">
        <f t="shared" si="95"/>
        <v>0</v>
      </c>
      <c r="N539" s="1296"/>
      <c r="O539" s="1297"/>
      <c r="P539" s="1281">
        <f t="shared" si="96"/>
        <v>0</v>
      </c>
      <c r="Q539" s="1296"/>
      <c r="R539" s="2870"/>
      <c r="S539" s="1370">
        <f t="shared" si="97"/>
        <v>0</v>
      </c>
      <c r="T539" s="1296"/>
      <c r="U539" s="1297"/>
      <c r="V539" s="1281">
        <f t="shared" si="98"/>
        <v>0</v>
      </c>
      <c r="W539" s="2870"/>
      <c r="X539" s="1297"/>
      <c r="Y539" s="1281">
        <f t="shared" si="99"/>
        <v>0</v>
      </c>
      <c r="Z539" s="1376"/>
    </row>
    <row r="540" spans="1:26" s="1263" customFormat="1" ht="20.25" hidden="1" customHeight="1" outlineLevel="1" thickBot="1">
      <c r="A540" s="1267">
        <v>37</v>
      </c>
      <c r="B540" s="1350" t="s">
        <v>2142</v>
      </c>
      <c r="C540" s="1351" t="s">
        <v>2143</v>
      </c>
      <c r="D540" s="1470" t="s">
        <v>1128</v>
      </c>
      <c r="E540" s="1952"/>
      <c r="F540" s="1953"/>
      <c r="G540" s="1530">
        <f t="shared" si="93"/>
        <v>0</v>
      </c>
      <c r="H540" s="1952"/>
      <c r="I540" s="1953"/>
      <c r="J540" s="1530">
        <f t="shared" si="94"/>
        <v>0</v>
      </c>
      <c r="K540" s="1952"/>
      <c r="L540" s="1953"/>
      <c r="M540" s="2089">
        <f t="shared" si="95"/>
        <v>0</v>
      </c>
      <c r="N540" s="1952"/>
      <c r="O540" s="1953"/>
      <c r="P540" s="1530">
        <f t="shared" si="96"/>
        <v>0</v>
      </c>
      <c r="Q540" s="1952"/>
      <c r="R540" s="2875"/>
      <c r="S540" s="2089">
        <f t="shared" si="97"/>
        <v>0</v>
      </c>
      <c r="T540" s="1952"/>
      <c r="U540" s="1953"/>
      <c r="V540" s="1530">
        <f t="shared" si="98"/>
        <v>0</v>
      </c>
      <c r="W540" s="2875"/>
      <c r="X540" s="1953"/>
      <c r="Y540" s="1530">
        <f t="shared" si="99"/>
        <v>0</v>
      </c>
      <c r="Z540" s="1376"/>
    </row>
    <row r="541" spans="1:26" s="1263" customFormat="1" ht="50.25" hidden="1" customHeight="1" outlineLevel="1" collapsed="1" thickBot="1">
      <c r="A541" s="1267">
        <v>197</v>
      </c>
      <c r="B541" s="1316" t="s">
        <v>2144</v>
      </c>
      <c r="C541" s="1317" t="s">
        <v>2145</v>
      </c>
      <c r="D541" s="1462" t="s">
        <v>1317</v>
      </c>
      <c r="E541" s="1352"/>
      <c r="F541" s="1353"/>
      <c r="G541" s="1320">
        <f>E541/2+F541/2</f>
        <v>0</v>
      </c>
      <c r="H541" s="1352"/>
      <c r="I541" s="1353"/>
      <c r="J541" s="1320">
        <f>H541/2+I541/2</f>
        <v>0</v>
      </c>
      <c r="K541" s="1352"/>
      <c r="L541" s="1353"/>
      <c r="M541" s="2861">
        <f>K541/2+L541/2</f>
        <v>0</v>
      </c>
      <c r="N541" s="1352"/>
      <c r="O541" s="1353"/>
      <c r="P541" s="1320">
        <f>N541/2+O541/2</f>
        <v>0</v>
      </c>
      <c r="Q541" s="1352"/>
      <c r="R541" s="2879"/>
      <c r="S541" s="2861">
        <f>Q541/2+R541/2</f>
        <v>0</v>
      </c>
      <c r="T541" s="1352"/>
      <c r="U541" s="1353"/>
      <c r="V541" s="1320">
        <f>T541/2+U541/2</f>
        <v>0</v>
      </c>
      <c r="W541" s="2879"/>
      <c r="X541" s="1353"/>
      <c r="Y541" s="1320">
        <f>W541/2+X541/2</f>
        <v>0</v>
      </c>
      <c r="Z541" s="1376"/>
    </row>
    <row r="542" spans="1:26" ht="87" hidden="1" outlineLevel="1" thickBot="1">
      <c r="B542" s="2843"/>
      <c r="C542" s="2844" t="s">
        <v>2146</v>
      </c>
      <c r="D542" s="1463" t="s">
        <v>1317</v>
      </c>
      <c r="E542" s="2845"/>
      <c r="F542" s="2839"/>
      <c r="G542" s="2840">
        <f>E542/2+F542/2</f>
        <v>0</v>
      </c>
      <c r="H542" s="2845"/>
      <c r="I542" s="2839"/>
      <c r="J542" s="2840">
        <f>H542/2+I542/2</f>
        <v>0</v>
      </c>
      <c r="K542" s="2845"/>
      <c r="L542" s="2839"/>
      <c r="M542" s="2864">
        <f>K542/2+L542/2</f>
        <v>0</v>
      </c>
      <c r="N542" s="2845"/>
      <c r="O542" s="2839"/>
      <c r="P542" s="2840">
        <f>N542/2+O542/2</f>
        <v>0</v>
      </c>
      <c r="Q542" s="2845"/>
      <c r="R542" s="2880"/>
      <c r="S542" s="2864">
        <f>Q542/2+R542/2</f>
        <v>0</v>
      </c>
      <c r="T542" s="2845"/>
      <c r="U542" s="2839"/>
      <c r="V542" s="2840">
        <f>T542/2+U542/2</f>
        <v>0</v>
      </c>
      <c r="W542" s="2880"/>
      <c r="X542" s="2839"/>
      <c r="Y542" s="2840">
        <f>W542/2+X542/2</f>
        <v>0</v>
      </c>
    </row>
    <row r="543" spans="1:26" s="2838" customFormat="1" ht="18" collapsed="1" thickBot="1">
      <c r="A543" s="2836"/>
      <c r="B543" s="2850" t="s">
        <v>15036</v>
      </c>
      <c r="C543" s="2851" t="s">
        <v>15037</v>
      </c>
      <c r="D543" s="2852"/>
      <c r="E543" s="2853"/>
      <c r="F543" s="2854"/>
      <c r="G543" s="2855"/>
      <c r="H543" s="2853"/>
      <c r="I543" s="2854">
        <v>-132300</v>
      </c>
      <c r="J543" s="2855">
        <f>H543/2+I543/2</f>
        <v>-66150</v>
      </c>
      <c r="K543" s="2853">
        <f>I543</f>
        <v>-132300</v>
      </c>
      <c r="L543" s="2854">
        <v>-66300</v>
      </c>
      <c r="M543" s="2865">
        <f>K543/2+L543/2</f>
        <v>-99300</v>
      </c>
      <c r="N543" s="2853">
        <f>L543</f>
        <v>-66300</v>
      </c>
      <c r="O543" s="2854">
        <v>9200</v>
      </c>
      <c r="P543" s="2855">
        <f>N543/2+O543/2</f>
        <v>-28550</v>
      </c>
      <c r="Q543" s="2853">
        <f>O543</f>
        <v>9200</v>
      </c>
      <c r="R543" s="2881">
        <v>94200</v>
      </c>
      <c r="S543" s="2865">
        <f>Q543/2+R543/2</f>
        <v>51700</v>
      </c>
      <c r="T543" s="2853">
        <f>R543</f>
        <v>94200</v>
      </c>
      <c r="U543" s="2854">
        <v>190400</v>
      </c>
      <c r="V543" s="2855">
        <f>T543/2+U543/2</f>
        <v>142300</v>
      </c>
      <c r="W543" s="2094">
        <f>J543+M543+P543+S543+V543</f>
        <v>0</v>
      </c>
      <c r="X543" s="2094"/>
      <c r="Y543" s="2092"/>
      <c r="Z543" s="2837"/>
    </row>
    <row r="544" spans="1:26" ht="45.75" hidden="1" customHeight="1" outlineLevel="1">
      <c r="B544" s="2846"/>
      <c r="C544" s="2847" t="s">
        <v>2147</v>
      </c>
      <c r="D544" s="2848" t="s">
        <v>1983</v>
      </c>
      <c r="E544" s="2849">
        <f>[10]Баланс!G18</f>
        <v>41342.54</v>
      </c>
      <c r="F544" s="2841">
        <f>E544</f>
        <v>41342.54</v>
      </c>
      <c r="G544" s="2842">
        <f>E544/2+F544/2</f>
        <v>41342.54</v>
      </c>
      <c r="H544" s="2849"/>
      <c r="I544" s="2841">
        <f>H544</f>
        <v>0</v>
      </c>
      <c r="J544" s="2842">
        <f>H544/2+I544/2</f>
        <v>0</v>
      </c>
      <c r="K544" s="2849"/>
      <c r="L544" s="2841">
        <f>K544</f>
        <v>0</v>
      </c>
      <c r="M544" s="2842">
        <f>K544/2+L544/2</f>
        <v>0</v>
      </c>
      <c r="N544" s="2849"/>
      <c r="O544" s="2841">
        <f>N544</f>
        <v>0</v>
      </c>
      <c r="P544" s="2842">
        <f>N544/2+O544/2</f>
        <v>0</v>
      </c>
      <c r="Q544" s="2849"/>
      <c r="R544" s="2841">
        <f>Q544</f>
        <v>0</v>
      </c>
      <c r="S544" s="2842">
        <f>Q544/2+R544/2</f>
        <v>0</v>
      </c>
      <c r="T544" s="2849"/>
      <c r="U544" s="2841">
        <f>T544</f>
        <v>0</v>
      </c>
      <c r="V544" s="2842">
        <f>T544/2+U544/2</f>
        <v>0</v>
      </c>
      <c r="W544" s="2841"/>
      <c r="X544" s="2841">
        <f>W544</f>
        <v>0</v>
      </c>
      <c r="Y544" s="2842">
        <f>W544/2+X544/2</f>
        <v>0</v>
      </c>
    </row>
    <row r="545" spans="1:35" s="1362" customFormat="1" ht="18" hidden="1" outlineLevel="1" thickBot="1">
      <c r="A545" s="1355"/>
      <c r="B545" s="1356"/>
      <c r="C545" s="1357" t="s">
        <v>2148</v>
      </c>
      <c r="D545" s="1358" t="s">
        <v>1986</v>
      </c>
      <c r="E545" s="1359">
        <f>E5/E544</f>
        <v>28.161334091435545</v>
      </c>
      <c r="F545" s="1360">
        <f>F5/F544</f>
        <v>28.161334091435545</v>
      </c>
      <c r="G545" s="1361"/>
      <c r="H545" s="1359" t="e">
        <f>H5/H544</f>
        <v>#DIV/0!</v>
      </c>
      <c r="I545" s="1360" t="e">
        <f>I5/I544</f>
        <v>#DIV/0!</v>
      </c>
      <c r="J545" s="1361"/>
      <c r="K545" s="1359" t="e">
        <f>K5/K544</f>
        <v>#DIV/0!</v>
      </c>
      <c r="L545" s="1360" t="e">
        <f>L5/L544</f>
        <v>#DIV/0!</v>
      </c>
      <c r="M545" s="1361"/>
      <c r="N545" s="1359" t="e">
        <f>N5/N544</f>
        <v>#DIV/0!</v>
      </c>
      <c r="O545" s="1360" t="e">
        <f>O5/O544</f>
        <v>#DIV/0!</v>
      </c>
      <c r="P545" s="1361"/>
      <c r="Q545" s="1359" t="e">
        <f>Q5/Q544</f>
        <v>#DIV/0!</v>
      </c>
      <c r="R545" s="1360" t="e">
        <f>R5/R544</f>
        <v>#DIV/0!</v>
      </c>
      <c r="S545" s="1361"/>
      <c r="T545" s="1359" t="e">
        <f>T5/T544</f>
        <v>#DIV/0!</v>
      </c>
      <c r="U545" s="1360" t="e">
        <f>U5/U544</f>
        <v>#DIV/0!</v>
      </c>
      <c r="V545" s="1361"/>
      <c r="W545" s="1360" t="e">
        <f>W5/W544</f>
        <v>#DIV/0!</v>
      </c>
      <c r="X545" s="1360" t="e">
        <f>X5/X544</f>
        <v>#DIV/0!</v>
      </c>
      <c r="Y545" s="1361"/>
      <c r="Z545" s="2122"/>
    </row>
    <row r="546" spans="1:35" ht="14.25" customHeight="1" collapsed="1">
      <c r="B546" s="3448"/>
      <c r="C546" s="3449"/>
      <c r="D546" s="3449"/>
      <c r="E546" s="1409"/>
      <c r="F546" s="1409"/>
      <c r="G546" s="1410"/>
      <c r="H546" s="1409"/>
      <c r="I546" s="1409"/>
      <c r="J546" s="1410"/>
      <c r="K546" s="1409"/>
      <c r="L546" s="1413"/>
      <c r="M546" s="1410"/>
      <c r="N546" s="1409"/>
      <c r="O546" s="1409"/>
      <c r="P546" s="1410"/>
      <c r="Q546" s="1409"/>
      <c r="R546" s="1409"/>
      <c r="S546" s="1410"/>
      <c r="T546" s="1409"/>
      <c r="U546" s="1409"/>
      <c r="V546" s="1410"/>
      <c r="W546" s="1409"/>
      <c r="X546" s="1409"/>
      <c r="Y546" s="1411"/>
    </row>
    <row r="547" spans="1:35" ht="18" thickBot="1">
      <c r="B547" s="1264"/>
      <c r="C547" s="1412"/>
      <c r="D547" s="1471"/>
      <c r="E547" s="1409"/>
      <c r="F547" s="1409"/>
      <c r="G547" s="1410"/>
      <c r="H547" s="1409"/>
      <c r="I547" s="1413"/>
      <c r="J547" s="1417"/>
      <c r="K547" s="1409"/>
      <c r="L547" s="1413"/>
      <c r="M547" s="1410"/>
      <c r="N547" s="1409"/>
      <c r="O547" s="1409"/>
      <c r="P547" s="1410"/>
      <c r="Q547" s="1409"/>
      <c r="R547" s="1409"/>
      <c r="S547" s="1410"/>
      <c r="T547" s="1409"/>
      <c r="U547" s="1409"/>
      <c r="V547" s="1410"/>
      <c r="W547" s="1409"/>
      <c r="X547" s="1409"/>
      <c r="Y547" s="1411"/>
    </row>
    <row r="548" spans="1:35" s="1381" customFormat="1" ht="18" thickBot="1">
      <c r="A548" s="1376"/>
      <c r="B548" s="1377"/>
      <c r="C548" s="1378" t="s">
        <v>2149</v>
      </c>
      <c r="D548" s="1472" t="s">
        <v>1983</v>
      </c>
      <c r="E548" s="1379">
        <f>14661.915+14486.937</f>
        <v>29148.851999999999</v>
      </c>
      <c r="F548" s="1380">
        <f>14661.915+14486.937</f>
        <v>29148.851999999999</v>
      </c>
      <c r="G548" s="1341">
        <f>E548/2+F548/2</f>
        <v>29148.851999999999</v>
      </c>
      <c r="H548" s="1379">
        <v>29485.982</v>
      </c>
      <c r="I548" s="1380">
        <f>H548</f>
        <v>29485.982</v>
      </c>
      <c r="J548" s="1341">
        <f>H548/2+I548/2</f>
        <v>29485.982</v>
      </c>
      <c r="K548" s="1379">
        <f>H548</f>
        <v>29485.982</v>
      </c>
      <c r="L548" s="1380">
        <f>I548</f>
        <v>29485.982</v>
      </c>
      <c r="M548" s="1341">
        <f>K548/2+L548/2</f>
        <v>29485.982</v>
      </c>
      <c r="N548" s="1379">
        <f>K548</f>
        <v>29485.982</v>
      </c>
      <c r="O548" s="1380">
        <f>L548</f>
        <v>29485.982</v>
      </c>
      <c r="P548" s="1341">
        <f>N548/2+O548/2</f>
        <v>29485.982</v>
      </c>
      <c r="Q548" s="1379">
        <f>N548</f>
        <v>29485.982</v>
      </c>
      <c r="R548" s="1380">
        <f>O548</f>
        <v>29485.982</v>
      </c>
      <c r="S548" s="1341">
        <f>Q548/2+R548/2</f>
        <v>29485.982</v>
      </c>
      <c r="T548" s="1379">
        <f>Q548</f>
        <v>29485.982</v>
      </c>
      <c r="U548" s="1380">
        <f>R548</f>
        <v>29485.982</v>
      </c>
      <c r="V548" s="1341">
        <f>T548/2+U548/2</f>
        <v>29485.982</v>
      </c>
      <c r="W548" s="2098"/>
      <c r="X548" s="2098"/>
      <c r="Y548" s="2092"/>
      <c r="Z548" s="2122"/>
    </row>
    <row r="549" spans="1:35" s="1381" customFormat="1" hidden="1" outlineLevel="1">
      <c r="A549" s="1376"/>
      <c r="B549" s="1382"/>
      <c r="C549" s="1383" t="s">
        <v>2163</v>
      </c>
      <c r="D549" s="1473" t="s">
        <v>14927</v>
      </c>
      <c r="E549" s="1384">
        <f>E548*E550</f>
        <v>820831.67232000001</v>
      </c>
      <c r="F549" s="1385">
        <f>F548*F550</f>
        <v>820831.67232000001</v>
      </c>
      <c r="G549" s="1281">
        <f>E549/2+F549/2</f>
        <v>820831.67232000001</v>
      </c>
      <c r="H549" s="1384">
        <f>H5-H513</f>
        <v>830325.25666681689</v>
      </c>
      <c r="I549" s="2076">
        <f>I5-I513</f>
        <v>1083329.4146227022</v>
      </c>
      <c r="J549" s="1281">
        <f>H549/2+I549/2</f>
        <v>956827.33564475947</v>
      </c>
      <c r="K549" s="1384">
        <f>K5-K513</f>
        <v>1083329.4146227022</v>
      </c>
      <c r="L549" s="2076">
        <f>L5-L513</f>
        <v>1197103.6261797228</v>
      </c>
      <c r="M549" s="1281">
        <f>K549/2+L549/2</f>
        <v>1140216.5204012124</v>
      </c>
      <c r="N549" s="1384">
        <f>N5-N513</f>
        <v>1197103.6261797228</v>
      </c>
      <c r="O549" s="2076">
        <f>O5-O513</f>
        <v>1322619.1646317847</v>
      </c>
      <c r="P549" s="1281">
        <f>N549/2+O549/2</f>
        <v>1259861.3954057537</v>
      </c>
      <c r="Q549" s="1384">
        <f>Q5-Q513</f>
        <v>1322619.1646317847</v>
      </c>
      <c r="R549" s="2076">
        <f>R5-R513</f>
        <v>1459983.2660122453</v>
      </c>
      <c r="S549" s="1281">
        <f>Q549/2+R549/2</f>
        <v>1391301.2153220149</v>
      </c>
      <c r="T549" s="1384">
        <f>T5-T513</f>
        <v>1459983.2660122453</v>
      </c>
      <c r="U549" s="2076">
        <f>U5-U513</f>
        <v>1611008.3928697915</v>
      </c>
      <c r="V549" s="1281">
        <f>T549/2+U549/2</f>
        <v>1535495.8294410184</v>
      </c>
      <c r="W549" s="2098"/>
      <c r="X549" s="2098"/>
      <c r="Y549" s="2092"/>
      <c r="Z549" s="2122"/>
    </row>
    <row r="550" spans="1:35" s="1381" customFormat="1" hidden="1" outlineLevel="1">
      <c r="A550" s="1376"/>
      <c r="B550" s="1382"/>
      <c r="C550" s="1383" t="s">
        <v>2150</v>
      </c>
      <c r="D550" s="1474" t="s">
        <v>14907</v>
      </c>
      <c r="E550" s="1384">
        <f>28.16</f>
        <v>28.16</v>
      </c>
      <c r="F550" s="1385">
        <f>28.16</f>
        <v>28.16</v>
      </c>
      <c r="G550" s="1281"/>
      <c r="H550" s="1384">
        <f>F550</f>
        <v>28.16</v>
      </c>
      <c r="I550" s="1385">
        <f>I549/I548</f>
        <v>36.740489586634837</v>
      </c>
      <c r="J550" s="1281"/>
      <c r="K550" s="1384">
        <f>I550</f>
        <v>36.740489586634837</v>
      </c>
      <c r="L550" s="1385">
        <f>L549/L548</f>
        <v>40.599076068747614</v>
      </c>
      <c r="M550" s="1281"/>
      <c r="N550" s="1384">
        <f>L550</f>
        <v>40.599076068747614</v>
      </c>
      <c r="O550" s="1385">
        <f>O549/O548</f>
        <v>44.855862851431731</v>
      </c>
      <c r="P550" s="1281"/>
      <c r="Q550" s="1384">
        <f>O550</f>
        <v>44.855862851431731</v>
      </c>
      <c r="R550" s="1385">
        <f>R549/R548</f>
        <v>49.514486782642862</v>
      </c>
      <c r="S550" s="1281"/>
      <c r="T550" s="1384">
        <f>R550</f>
        <v>49.514486782642862</v>
      </c>
      <c r="U550" s="1385">
        <f>U549/U548</f>
        <v>54.636416479864614</v>
      </c>
      <c r="V550" s="1281"/>
      <c r="W550" s="2098"/>
      <c r="X550" s="2098"/>
      <c r="Y550" s="2092"/>
      <c r="Z550" s="2122"/>
    </row>
    <row r="551" spans="1:35" s="1381" customFormat="1" ht="21.75" hidden="1" outlineLevel="1" thickBot="1">
      <c r="A551" s="1376"/>
      <c r="B551" s="1387"/>
      <c r="C551" s="1386" t="s">
        <v>2152</v>
      </c>
      <c r="D551" s="1475" t="s">
        <v>1165</v>
      </c>
      <c r="E551" s="1388"/>
      <c r="F551" s="1398">
        <f>F550/E550</f>
        <v>1</v>
      </c>
      <c r="G551" s="1375"/>
      <c r="H551" s="1388">
        <f>H550/F550</f>
        <v>1</v>
      </c>
      <c r="I551" s="1481">
        <f>I550/H550</f>
        <v>1.3047048858890211</v>
      </c>
      <c r="J551" s="1375"/>
      <c r="K551" s="1388">
        <f>K550/I550</f>
        <v>1</v>
      </c>
      <c r="L551" s="1481">
        <f>L550/K550</f>
        <v>1.1050227290252665</v>
      </c>
      <c r="M551" s="1375"/>
      <c r="N551" s="1388">
        <f>N550/L550</f>
        <v>1</v>
      </c>
      <c r="O551" s="1481">
        <f>O550/N550</f>
        <v>1.1048493511398134</v>
      </c>
      <c r="P551" s="1375"/>
      <c r="Q551" s="1388">
        <f>Q550/O550</f>
        <v>1</v>
      </c>
      <c r="R551" s="1481">
        <f>R550/Q550</f>
        <v>1.1038576372199345</v>
      </c>
      <c r="S551" s="1375"/>
      <c r="T551" s="1388">
        <f>T550/R550</f>
        <v>1</v>
      </c>
      <c r="U551" s="1481">
        <f>U550/T550</f>
        <v>1.103443053337215</v>
      </c>
      <c r="V551" s="1375"/>
      <c r="W551" s="2099"/>
      <c r="X551" s="2099"/>
      <c r="Y551" s="2100"/>
      <c r="Z551" s="2122"/>
    </row>
    <row r="552" spans="1:35" s="1381" customFormat="1" collapsed="1">
      <c r="A552" s="1376"/>
      <c r="B552" s="1377"/>
      <c r="C552" s="1378" t="s">
        <v>2154</v>
      </c>
      <c r="D552" s="1472" t="s">
        <v>14927</v>
      </c>
      <c r="E552" s="1379">
        <f>E549</f>
        <v>820831.67232000001</v>
      </c>
      <c r="F552" s="1380">
        <f>F549+G557/2</f>
        <v>820831.67232000001</v>
      </c>
      <c r="G552" s="1281">
        <f>E552/2+F552/2</f>
        <v>820831.67232000001</v>
      </c>
      <c r="H552" s="1379">
        <f>H549</f>
        <v>830325.25666681689</v>
      </c>
      <c r="I552" s="1380">
        <f>I549+I555</f>
        <v>1104065.2096253021</v>
      </c>
      <c r="J552" s="1281">
        <f>H552/2+I552/2</f>
        <v>967195.23314605956</v>
      </c>
      <c r="K552" s="1379">
        <f>K553*K548</f>
        <v>1104065.2096253021</v>
      </c>
      <c r="L552" s="1380">
        <f>L549+L555</f>
        <v>1326502.9636164792</v>
      </c>
      <c r="M552" s="1281">
        <f>K552/2+L552/2</f>
        <v>1215284.0866208905</v>
      </c>
      <c r="N552" s="1379">
        <f>N553*N548</f>
        <v>1326502.9636164792</v>
      </c>
      <c r="O552" s="1380">
        <f>O549+O555</f>
        <v>1573739.5995782281</v>
      </c>
      <c r="P552" s="1281">
        <f>N552/2+O552/2</f>
        <v>1450121.2815973535</v>
      </c>
      <c r="Q552" s="1379">
        <f>Q553*Q548</f>
        <v>1573739.5995782281</v>
      </c>
      <c r="R552" s="1380">
        <f>R549+R555</f>
        <v>1843021.5606347665</v>
      </c>
      <c r="S552" s="1281">
        <f>Q552/2+R552/2</f>
        <v>1708380.5801064973</v>
      </c>
      <c r="T552" s="1379">
        <f>T553*T548</f>
        <v>1843021.5606347665</v>
      </c>
      <c r="U552" s="1380">
        <f>U549+U555</f>
        <v>2075011.3961544819</v>
      </c>
      <c r="V552" s="1281">
        <f>T552/2+U552/2</f>
        <v>1959016.4783946243</v>
      </c>
      <c r="W552" s="2098"/>
      <c r="X552" s="2098"/>
      <c r="Y552" s="2092"/>
      <c r="Z552" s="2122"/>
    </row>
    <row r="553" spans="1:35" s="1381" customFormat="1" ht="34.5">
      <c r="A553" s="1376"/>
      <c r="B553" s="1382"/>
      <c r="C553" s="1383" t="s">
        <v>2151</v>
      </c>
      <c r="D553" s="1474" t="s">
        <v>14907</v>
      </c>
      <c r="E553" s="1384">
        <f>E552/E548</f>
        <v>28.16</v>
      </c>
      <c r="F553" s="1385">
        <f>F552/F548</f>
        <v>28.16</v>
      </c>
      <c r="G553" s="1281"/>
      <c r="H553" s="1384">
        <f>H552/H548</f>
        <v>28.160000120288242</v>
      </c>
      <c r="I553" s="1385">
        <f>I552/I548</f>
        <v>37.443732063097038</v>
      </c>
      <c r="J553" s="1281"/>
      <c r="K553" s="1384">
        <f>I553</f>
        <v>37.443732063097038</v>
      </c>
      <c r="L553" s="1385">
        <f>L552/L548</f>
        <v>44.987579644336726</v>
      </c>
      <c r="M553" s="1281"/>
      <c r="N553" s="1384">
        <f>L553</f>
        <v>44.987579644336726</v>
      </c>
      <c r="O553" s="1385">
        <f>O552/O548</f>
        <v>53.372466943045275</v>
      </c>
      <c r="P553" s="1281"/>
      <c r="Q553" s="1384">
        <f>O553</f>
        <v>53.372466943045275</v>
      </c>
      <c r="R553" s="1385">
        <f>R552/R548</f>
        <v>62.505008672757327</v>
      </c>
      <c r="S553" s="1281"/>
      <c r="T553" s="1384">
        <f>R553</f>
        <v>62.505008672757327</v>
      </c>
      <c r="U553" s="1385">
        <f>U552/U548</f>
        <v>70.37280956606709</v>
      </c>
      <c r="V553" s="1281"/>
      <c r="W553" s="2098"/>
      <c r="X553" s="2098"/>
      <c r="Y553" s="2092"/>
      <c r="Z553" s="2122"/>
      <c r="AF553" s="1381">
        <f>AF557/12</f>
        <v>26.532346491228072</v>
      </c>
    </row>
    <row r="554" spans="1:35" s="1381" customFormat="1" ht="21.75" thickBot="1">
      <c r="A554" s="1376"/>
      <c r="B554" s="1387"/>
      <c r="C554" s="1386" t="s">
        <v>2153</v>
      </c>
      <c r="D554" s="1475" t="s">
        <v>1165</v>
      </c>
      <c r="E554" s="1388"/>
      <c r="F554" s="1398">
        <f>F553/E553</f>
        <v>1</v>
      </c>
      <c r="G554" s="1375"/>
      <c r="H554" s="1388">
        <f>H553/F553</f>
        <v>1.0000000042715995</v>
      </c>
      <c r="I554" s="1481">
        <f>I553/H553</f>
        <v>1.3296779795153555</v>
      </c>
      <c r="J554" s="1375"/>
      <c r="K554" s="1388">
        <f>K553/I553</f>
        <v>1</v>
      </c>
      <c r="L554" s="1481">
        <f>L553/K553</f>
        <v>1.2014715725592584</v>
      </c>
      <c r="M554" s="1375"/>
      <c r="N554" s="1388">
        <f>N553/L553</f>
        <v>1</v>
      </c>
      <c r="O554" s="1481">
        <f>O553/N553</f>
        <v>1.1863822718403141</v>
      </c>
      <c r="P554" s="1375"/>
      <c r="Q554" s="1388">
        <f>Q553/O553</f>
        <v>1</v>
      </c>
      <c r="R554" s="1481">
        <f>R553/Q553</f>
        <v>1.1711096048728187</v>
      </c>
      <c r="S554" s="1375"/>
      <c r="T554" s="1388">
        <f>T553/R553</f>
        <v>1</v>
      </c>
      <c r="U554" s="1481">
        <f>U553/T553</f>
        <v>1.125874726847913</v>
      </c>
      <c r="V554" s="1375"/>
      <c r="W554" s="2099"/>
      <c r="X554" s="2099"/>
      <c r="Y554" s="2100"/>
      <c r="Z554" s="2122"/>
    </row>
    <row r="555" spans="1:35" s="1392" customFormat="1" ht="42" customHeight="1" thickBot="1">
      <c r="A555" s="1389"/>
      <c r="B555" s="1390"/>
      <c r="C555" s="1391" t="s">
        <v>2096</v>
      </c>
      <c r="D555" s="1476" t="s">
        <v>14929</v>
      </c>
      <c r="E555" s="1393"/>
      <c r="F555" s="1394"/>
      <c r="G555" s="1307"/>
      <c r="H555" s="1393"/>
      <c r="I555" s="1394">
        <f>J557/1.2*2</f>
        <v>20735.795002600003</v>
      </c>
      <c r="J555" s="1307">
        <f>H555/2+I555/2</f>
        <v>10367.897501300002</v>
      </c>
      <c r="K555" s="1393">
        <f>I555</f>
        <v>20735.795002600003</v>
      </c>
      <c r="L555" s="1394">
        <f>M557/1.2*2-K555</f>
        <v>129399.33743675641</v>
      </c>
      <c r="M555" s="1307">
        <f>K555/2+L555/2</f>
        <v>75067.566219678207</v>
      </c>
      <c r="N555" s="1393">
        <f>L555</f>
        <v>129399.33743675641</v>
      </c>
      <c r="O555" s="1394">
        <f>P557/1.2*2-N555</f>
        <v>251120.43494644348</v>
      </c>
      <c r="P555" s="1307">
        <f>N555/2+O555/2</f>
        <v>190259.88619159994</v>
      </c>
      <c r="Q555" s="1393">
        <f>O555</f>
        <v>251120.43494644348</v>
      </c>
      <c r="R555" s="1394">
        <f>S557/1.2*2-Q555</f>
        <v>383038.29462252121</v>
      </c>
      <c r="S555" s="1307">
        <f>Q555/2+R555/2</f>
        <v>317079.36478448234</v>
      </c>
      <c r="T555" s="1393">
        <f>R555</f>
        <v>383038.29462252121</v>
      </c>
      <c r="U555" s="1394">
        <f>V557/1.2*2-T555</f>
        <v>464003.00328469038</v>
      </c>
      <c r="V555" s="1307">
        <f>T555/2+U555/2</f>
        <v>423520.64895360579</v>
      </c>
      <c r="W555" s="2098"/>
      <c r="X555" s="2098"/>
      <c r="Y555" s="2092"/>
      <c r="Z555" s="2123"/>
    </row>
    <row r="556" spans="1:35" s="1262" customFormat="1" ht="18" thickBot="1">
      <c r="A556" s="1261"/>
      <c r="B556" s="1415"/>
      <c r="C556" s="1416"/>
      <c r="D556" s="1401"/>
      <c r="E556" s="1426"/>
      <c r="F556" s="1427"/>
      <c r="G556" s="1428"/>
      <c r="H556" s="1426"/>
      <c r="I556" s="1427"/>
      <c r="J556" s="1427"/>
      <c r="K556" s="1427"/>
      <c r="L556" s="1427"/>
      <c r="M556" s="1427"/>
      <c r="N556" s="1427"/>
      <c r="O556" s="1427"/>
      <c r="P556" s="1427"/>
      <c r="Q556" s="1427"/>
      <c r="R556" s="1427"/>
      <c r="S556" s="1427"/>
      <c r="T556" s="1427"/>
      <c r="U556" s="1427"/>
      <c r="V556" s="2097"/>
      <c r="W556" s="2094"/>
      <c r="X556" s="2094"/>
      <c r="Y556" s="2094"/>
      <c r="Z556" s="2124"/>
    </row>
    <row r="557" spans="1:35" s="1374" customFormat="1" ht="86.25">
      <c r="A557" s="1373"/>
      <c r="B557" s="1421">
        <v>1</v>
      </c>
      <c r="C557" s="1422" t="s">
        <v>2155</v>
      </c>
      <c r="D557" s="1477" t="s">
        <v>2165</v>
      </c>
      <c r="E557" s="1424">
        <f>SUM(E558,E580)</f>
        <v>0</v>
      </c>
      <c r="F557" s="1423">
        <f>SUM(F558,F580)</f>
        <v>0</v>
      </c>
      <c r="G557" s="1433">
        <f>SUM(G558,G580)</f>
        <v>0</v>
      </c>
      <c r="H557" s="1424">
        <f t="shared" ref="H557:X557" si="100">SUM(H558,H580,H583)</f>
        <v>0</v>
      </c>
      <c r="I557" s="1423">
        <f>SUM(I558,I580,I583)</f>
        <v>0</v>
      </c>
      <c r="J557" s="1433">
        <f t="shared" si="100"/>
        <v>12441.477001560001</v>
      </c>
      <c r="K557" s="1424">
        <f t="shared" si="100"/>
        <v>0</v>
      </c>
      <c r="L557" s="1423">
        <f t="shared" si="100"/>
        <v>0</v>
      </c>
      <c r="M557" s="1433">
        <f>SUM(M558,M580,M583)</f>
        <v>90081.079463613845</v>
      </c>
      <c r="N557" s="1424">
        <f t="shared" si="100"/>
        <v>0</v>
      </c>
      <c r="O557" s="1423">
        <f t="shared" si="100"/>
        <v>0</v>
      </c>
      <c r="P557" s="1433">
        <f t="shared" si="100"/>
        <v>228311.86342991993</v>
      </c>
      <c r="Q557" s="1424">
        <f t="shared" si="100"/>
        <v>0</v>
      </c>
      <c r="R557" s="1423">
        <f t="shared" si="100"/>
        <v>0</v>
      </c>
      <c r="S557" s="1433">
        <f t="shared" si="100"/>
        <v>380495.23774137878</v>
      </c>
      <c r="T557" s="1424">
        <f t="shared" si="100"/>
        <v>0</v>
      </c>
      <c r="U557" s="1423">
        <f t="shared" si="100"/>
        <v>0</v>
      </c>
      <c r="V557" s="1433">
        <f t="shared" si="100"/>
        <v>508224.77874432696</v>
      </c>
      <c r="W557" s="1434">
        <f t="shared" si="100"/>
        <v>0</v>
      </c>
      <c r="X557" s="1423">
        <f t="shared" si="100"/>
        <v>0</v>
      </c>
      <c r="Y557" s="1435">
        <f>SUM(Y558,Y580,Y583)</f>
        <v>1219554.4363807994</v>
      </c>
      <c r="Z557" s="2125">
        <f>Z555-Y557</f>
        <v>-1219554.4363807994</v>
      </c>
      <c r="AA557" s="1374" t="s">
        <v>1085</v>
      </c>
      <c r="AB557" s="1374" t="s">
        <v>14938</v>
      </c>
      <c r="AC557" s="1374" t="s">
        <v>14939</v>
      </c>
      <c r="AD557" s="1374" t="s">
        <v>14939</v>
      </c>
      <c r="AE557" s="2146">
        <v>45291</v>
      </c>
      <c r="AF557" s="1374">
        <f>(AE557-AA559)/30.4</f>
        <v>318.38815789473688</v>
      </c>
    </row>
    <row r="558" spans="1:35" s="1368" customFormat="1" ht="86.25">
      <c r="A558" s="1365"/>
      <c r="B558" s="1418" t="s">
        <v>25</v>
      </c>
      <c r="C558" s="1366" t="str">
        <f>Мероприятия_и_источники!B184</f>
        <v>Осуществление мероприятий, направленных на повышение экологической эффективности, достижение плановых значений показателей надежности, качества и энергоэффективности объектов централизованных систем водоснабжения, не включенных в прочую группу мероприятий</v>
      </c>
      <c r="D558" s="1478" t="s">
        <v>2165</v>
      </c>
      <c r="E558" s="1395">
        <f t="shared" ref="E558:X558" si="101">SUM(E559:E579)</f>
        <v>0</v>
      </c>
      <c r="F558" s="1396">
        <f t="shared" si="101"/>
        <v>0</v>
      </c>
      <c r="G558" s="1367">
        <f t="shared" si="101"/>
        <v>0</v>
      </c>
      <c r="H558" s="1395">
        <f t="shared" si="101"/>
        <v>0</v>
      </c>
      <c r="I558" s="1396">
        <f>SUM(I559:I579)</f>
        <v>0</v>
      </c>
      <c r="J558" s="1364">
        <f t="shared" si="101"/>
        <v>7597.4145015600006</v>
      </c>
      <c r="K558" s="1395">
        <f t="shared" si="101"/>
        <v>0</v>
      </c>
      <c r="L558" s="1396">
        <f t="shared" si="101"/>
        <v>0</v>
      </c>
      <c r="M558" s="1364">
        <f t="shared" si="101"/>
        <v>59997.341774476081</v>
      </c>
      <c r="N558" s="1395">
        <f t="shared" si="101"/>
        <v>0</v>
      </c>
      <c r="O558" s="1396">
        <f t="shared" si="101"/>
        <v>0</v>
      </c>
      <c r="P558" s="1364">
        <f t="shared" si="101"/>
        <v>68002.902719394508</v>
      </c>
      <c r="Q558" s="1395">
        <f t="shared" si="101"/>
        <v>0</v>
      </c>
      <c r="R558" s="1396">
        <f t="shared" si="101"/>
        <v>0</v>
      </c>
      <c r="S558" s="1364">
        <f t="shared" si="101"/>
        <v>133101.2671800642</v>
      </c>
      <c r="T558" s="1395">
        <f t="shared" si="101"/>
        <v>0</v>
      </c>
      <c r="U558" s="1396">
        <f t="shared" si="101"/>
        <v>0</v>
      </c>
      <c r="V558" s="1364">
        <f t="shared" si="101"/>
        <v>76659.74120958928</v>
      </c>
      <c r="W558" s="1397">
        <f t="shared" si="101"/>
        <v>0</v>
      </c>
      <c r="X558" s="1396">
        <f t="shared" si="101"/>
        <v>0</v>
      </c>
      <c r="Y558" s="2136">
        <f t="shared" ref="Y558:Y582" si="102">SUM(J558,M558,P558,S558,V558)</f>
        <v>345358.66738508409</v>
      </c>
      <c r="Z558" s="2137" t="s">
        <v>14931</v>
      </c>
      <c r="AA558" s="2138" t="s">
        <v>14932</v>
      </c>
      <c r="AB558" s="2138" t="s">
        <v>14933</v>
      </c>
      <c r="AC558" s="2138" t="s">
        <v>14933</v>
      </c>
      <c r="AD558" s="2138" t="s">
        <v>14934</v>
      </c>
      <c r="AE558" s="2138" t="s">
        <v>14935</v>
      </c>
      <c r="AF558" s="2139" t="s">
        <v>14937</v>
      </c>
    </row>
    <row r="559" spans="1:35" ht="34.5" outlineLevel="1">
      <c r="B559" s="1414" t="s">
        <v>82</v>
      </c>
      <c r="C559" s="1879" t="str">
        <f>Мероприятия_и_источники!B204</f>
        <v>Реконструкция водовода по пер.Хуторской д.22 до детской колонии, Д-400 мм протяженностью 800 п.м.</v>
      </c>
      <c r="D559" s="1479" t="s">
        <v>2165</v>
      </c>
      <c r="E559" s="1384"/>
      <c r="F559" s="1385"/>
      <c r="G559" s="1281"/>
      <c r="H559" s="1384"/>
      <c r="I559" s="1385"/>
      <c r="J559" s="1281">
        <f>Мероприятия_и_источники!$I$204</f>
        <v>0</v>
      </c>
      <c r="K559" s="1384"/>
      <c r="L559" s="1385"/>
      <c r="M559" s="1281">
        <f>Мероприятия_и_источники!$J$204</f>
        <v>12199.584346279198</v>
      </c>
      <c r="N559" s="1384"/>
      <c r="O559" s="1385"/>
      <c r="P559" s="1281">
        <f>Мероприятия_и_источники!$K$204</f>
        <v>0</v>
      </c>
      <c r="Q559" s="1384"/>
      <c r="R559" s="1385"/>
      <c r="S559" s="1281">
        <f>Мероприятия_и_источники!$L$204</f>
        <v>0</v>
      </c>
      <c r="T559" s="1384"/>
      <c r="U559" s="1385"/>
      <c r="V559" s="1281">
        <f>Мероприятия_и_источники!$M$204</f>
        <v>0</v>
      </c>
      <c r="W559" s="1370">
        <f t="shared" ref="W559:W579" si="103">SUM(H559,K559,N559,Q559,T559)</f>
        <v>0</v>
      </c>
      <c r="X559" s="1371">
        <f t="shared" ref="X559:X579" si="104">SUM(I559,L559,O559,R559,U559)</f>
        <v>0</v>
      </c>
      <c r="Y559" s="2135">
        <f t="shared" si="102"/>
        <v>12199.584346279198</v>
      </c>
      <c r="Z559" s="2140">
        <f>Амортизация!$AE$39</f>
        <v>24734</v>
      </c>
      <c r="AA559" s="2141">
        <v>35612</v>
      </c>
      <c r="AB559" s="2142">
        <v>706</v>
      </c>
      <c r="AC559" s="2142">
        <v>706</v>
      </c>
      <c r="AD559" s="2142">
        <v>360</v>
      </c>
      <c r="AE559" s="2140">
        <f>($AE$557-AA559)/30.4</f>
        <v>318.38815789473688</v>
      </c>
      <c r="AF559" s="2142"/>
      <c r="AI559" s="2149"/>
    </row>
    <row r="560" spans="1:35" ht="34.5" outlineLevel="1">
      <c r="B560" s="1414" t="s">
        <v>83</v>
      </c>
      <c r="C560" s="1879" t="str">
        <f>Мероприятия_и_источники!B208</f>
        <v xml:space="preserve">Реконструкция водовода  по ул.Суворова от ул.Вооруженного восстания д.1 до д.65  Д-225 мм протяженностью 170 п.м  </v>
      </c>
      <c r="D560" s="1479" t="s">
        <v>2165</v>
      </c>
      <c r="E560" s="1384"/>
      <c r="F560" s="1385"/>
      <c r="G560" s="1281"/>
      <c r="H560" s="1384"/>
      <c r="I560" s="1385"/>
      <c r="J560" s="1281">
        <f>Мероприятия_и_источники!$I$208</f>
        <v>0</v>
      </c>
      <c r="K560" s="1384"/>
      <c r="L560" s="1385"/>
      <c r="M560" s="1281">
        <f>Мероприятия_и_источники!$J$208</f>
        <v>4390.9798803249596</v>
      </c>
      <c r="N560" s="1384"/>
      <c r="O560" s="1385"/>
      <c r="P560" s="1281">
        <f>Мероприятия_и_источники!$K$208</f>
        <v>0</v>
      </c>
      <c r="Q560" s="1384"/>
      <c r="R560" s="1385"/>
      <c r="S560" s="1281">
        <f>Мероприятия_и_источники!$L$208</f>
        <v>0</v>
      </c>
      <c r="T560" s="1384"/>
      <c r="U560" s="1385"/>
      <c r="V560" s="1281">
        <f>Мероприятия_и_источники!$M$208</f>
        <v>0</v>
      </c>
      <c r="W560" s="1370">
        <f t="shared" si="103"/>
        <v>0</v>
      </c>
      <c r="X560" s="1371">
        <f t="shared" si="104"/>
        <v>0</v>
      </c>
      <c r="Y560" s="2135">
        <f t="shared" si="102"/>
        <v>4390.9798803249596</v>
      </c>
      <c r="Z560" s="2140">
        <f>Амортизация!$AE$40</f>
        <v>44542</v>
      </c>
      <c r="AA560" s="2141">
        <v>44561</v>
      </c>
      <c r="AB560" s="2142">
        <v>108</v>
      </c>
      <c r="AC560" s="2142">
        <v>108</v>
      </c>
      <c r="AD560" s="2142">
        <v>360</v>
      </c>
      <c r="AE560" s="2140">
        <f t="shared" ref="AE560:AE579" si="105">($AE$557-AA560)/30.4</f>
        <v>24.013157894736842</v>
      </c>
      <c r="AF560" s="2142" t="s">
        <v>14936</v>
      </c>
      <c r="AI560" s="2149"/>
    </row>
    <row r="561" spans="2:35" ht="51.75" outlineLevel="1">
      <c r="B561" s="1414" t="s">
        <v>84</v>
      </c>
      <c r="C561" s="1879" t="str">
        <f>Мероприятия_и_источники!B212</f>
        <v>Реконструкция водовода от ул.Плеханова д.26 через территорию лицея №36 до ул.Герцена д.14а, Д-300 мм протяженностью 370 п.м.</v>
      </c>
      <c r="D561" s="1479" t="s">
        <v>2165</v>
      </c>
      <c r="E561" s="1384"/>
      <c r="F561" s="1385"/>
      <c r="G561" s="1281"/>
      <c r="H561" s="1384"/>
      <c r="I561" s="1385"/>
      <c r="J561" s="1281">
        <f>Мероприятия_и_источники!$I$212</f>
        <v>0</v>
      </c>
      <c r="K561" s="1384"/>
      <c r="L561" s="1385"/>
      <c r="M561" s="1281">
        <f>Мероприятия_и_источники!$J$212</f>
        <v>5710.0569927523193</v>
      </c>
      <c r="N561" s="1384"/>
      <c r="O561" s="1385"/>
      <c r="P561" s="1281">
        <f>Мероприятия_и_источники!$K$212</f>
        <v>0</v>
      </c>
      <c r="Q561" s="1384"/>
      <c r="R561" s="1385"/>
      <c r="S561" s="1281">
        <f>Мероприятия_и_источники!$L$212</f>
        <v>0</v>
      </c>
      <c r="T561" s="1384"/>
      <c r="U561" s="1385"/>
      <c r="V561" s="1281">
        <f>Мероприятия_и_источники!$M$212</f>
        <v>0</v>
      </c>
      <c r="W561" s="1370">
        <f t="shared" si="103"/>
        <v>0</v>
      </c>
      <c r="X561" s="1371">
        <f t="shared" si="104"/>
        <v>0</v>
      </c>
      <c r="Y561" s="2135">
        <f t="shared" si="102"/>
        <v>5710.0569927523193</v>
      </c>
      <c r="Z561" s="2140">
        <f>Амортизация!$AE$41</f>
        <v>27858</v>
      </c>
      <c r="AA561" s="2141">
        <v>37256</v>
      </c>
      <c r="AB561" s="2142">
        <v>706</v>
      </c>
      <c r="AC561" s="2142">
        <v>706</v>
      </c>
      <c r="AD561" s="2142">
        <v>360</v>
      </c>
      <c r="AE561" s="2140">
        <f t="shared" si="105"/>
        <v>264.30921052631578</v>
      </c>
      <c r="AF561" s="2142"/>
      <c r="AI561" s="2149"/>
    </row>
    <row r="562" spans="2:35" ht="34.5" outlineLevel="1">
      <c r="B562" s="1414" t="s">
        <v>85</v>
      </c>
      <c r="C562" s="1369" t="str">
        <f>Мероприятия_и_источники!B216</f>
        <v>Реконструкция водовода по ул.Родниковая - от ул.Советская до дома №28, Д-200 мм протяженностью 600 п.м.</v>
      </c>
      <c r="D562" s="1479" t="s">
        <v>2165</v>
      </c>
      <c r="E562" s="1384"/>
      <c r="F562" s="1385"/>
      <c r="G562" s="1281"/>
      <c r="H562" s="1384"/>
      <c r="I562" s="1385"/>
      <c r="J562" s="1281">
        <f>Мероприятия_и_источники!$I$216</f>
        <v>0</v>
      </c>
      <c r="K562" s="1384"/>
      <c r="L562" s="1385"/>
      <c r="M562" s="1281">
        <f>Мероприятия_и_источники!$J$216</f>
        <v>4837.1610493907992</v>
      </c>
      <c r="N562" s="1384"/>
      <c r="O562" s="1385"/>
      <c r="P562" s="1281">
        <f>Мероприятия_и_источники!$K$216</f>
        <v>0</v>
      </c>
      <c r="Q562" s="1384"/>
      <c r="R562" s="1385"/>
      <c r="S562" s="1281">
        <f>Мероприятия_и_источники!$L$216</f>
        <v>0</v>
      </c>
      <c r="T562" s="1384"/>
      <c r="U562" s="1385"/>
      <c r="V562" s="1281">
        <f>Мероприятия_и_источники!$M$216</f>
        <v>0</v>
      </c>
      <c r="W562" s="1370">
        <f t="shared" si="103"/>
        <v>0</v>
      </c>
      <c r="X562" s="1371">
        <f t="shared" si="104"/>
        <v>0</v>
      </c>
      <c r="Y562" s="2135">
        <f t="shared" si="102"/>
        <v>4837.1610493907992</v>
      </c>
      <c r="Z562" s="2140">
        <f>Амортизация!$AE$42</f>
        <v>39010</v>
      </c>
      <c r="AA562" s="2141">
        <v>39814</v>
      </c>
      <c r="AB562" s="2142">
        <v>301</v>
      </c>
      <c r="AC562" s="2142">
        <v>301</v>
      </c>
      <c r="AD562" s="2142">
        <v>360</v>
      </c>
      <c r="AE562" s="2140">
        <f t="shared" si="105"/>
        <v>180.16447368421055</v>
      </c>
      <c r="AF562" s="2142"/>
      <c r="AI562" s="2149"/>
    </row>
    <row r="563" spans="2:35" ht="51.75" outlineLevel="1">
      <c r="B563" s="1414" t="s">
        <v>86</v>
      </c>
      <c r="C563" s="1879" t="str">
        <f>Мероприятия_и_источники!B220</f>
        <v>Реконструкция водовода  по ул.Грабцевское Шоссе от поворота на д.Кукареки до поворота на Аэропорт, Д-500 мм протяженностью 725 п.м.</v>
      </c>
      <c r="D563" s="1479" t="s">
        <v>2165</v>
      </c>
      <c r="E563" s="1384"/>
      <c r="F563" s="1385"/>
      <c r="G563" s="1281"/>
      <c r="H563" s="1384"/>
      <c r="I563" s="1385"/>
      <c r="J563" s="1281">
        <f>Мероприятия_и_источники!$I$220</f>
        <v>0</v>
      </c>
      <c r="K563" s="1384"/>
      <c r="L563" s="1385"/>
      <c r="M563" s="1281">
        <f>Мероприятия_и_источники!$J$220</f>
        <v>0</v>
      </c>
      <c r="N563" s="1384"/>
      <c r="O563" s="1385"/>
      <c r="P563" s="1281">
        <f>Мероприятия_и_источники!$K$220</f>
        <v>30247.367248013157</v>
      </c>
      <c r="Q563" s="1384"/>
      <c r="R563" s="1385"/>
      <c r="S563" s="1281">
        <f>Мероприятия_и_источники!$L$220</f>
        <v>0</v>
      </c>
      <c r="T563" s="1384"/>
      <c r="U563" s="1385"/>
      <c r="V563" s="1281">
        <f>Мероприятия_и_источники!$M$220</f>
        <v>0</v>
      </c>
      <c r="W563" s="1370">
        <f t="shared" si="103"/>
        <v>0</v>
      </c>
      <c r="X563" s="1371">
        <f t="shared" si="104"/>
        <v>0</v>
      </c>
      <c r="Y563" s="2135">
        <f t="shared" si="102"/>
        <v>30247.367248013157</v>
      </c>
      <c r="Z563" s="2140">
        <f>Амортизация!$AE$43</f>
        <v>10503</v>
      </c>
      <c r="AA563" s="2141">
        <v>34172</v>
      </c>
      <c r="AB563" s="2142">
        <v>706</v>
      </c>
      <c r="AC563" s="2142">
        <v>706</v>
      </c>
      <c r="AD563" s="2142">
        <v>360</v>
      </c>
      <c r="AE563" s="2140">
        <f t="shared" si="105"/>
        <v>365.75657894736844</v>
      </c>
      <c r="AF563" s="2142"/>
      <c r="AI563" s="2149"/>
    </row>
    <row r="564" spans="2:35" ht="34.5" outlineLevel="1">
      <c r="B564" s="1414" t="s">
        <v>87</v>
      </c>
      <c r="C564" s="1879" t="str">
        <f>Мероприятия_и_источники!B224</f>
        <v>Реконструкция Болдинского водовода  (вокруг ОСК), Д-500 мм протяженностью 1301 п.м.</v>
      </c>
      <c r="D564" s="1479" t="s">
        <v>2165</v>
      </c>
      <c r="E564" s="1384"/>
      <c r="F564" s="1385"/>
      <c r="G564" s="1281"/>
      <c r="H564" s="1384"/>
      <c r="I564" s="1385"/>
      <c r="J564" s="1281">
        <f>Мероприятия_и_источники!$I$224</f>
        <v>0</v>
      </c>
      <c r="K564" s="1384"/>
      <c r="L564" s="1385"/>
      <c r="M564" s="1281">
        <f>Мероприятия_и_источники!$J$224</f>
        <v>0</v>
      </c>
      <c r="N564" s="1384"/>
      <c r="O564" s="1385"/>
      <c r="P564" s="1281">
        <f>Мероприятия_и_источники!$K$224</f>
        <v>35466.805366006512</v>
      </c>
      <c r="Q564" s="1384"/>
      <c r="R564" s="1385"/>
      <c r="S564" s="1281">
        <f>Мероприятия_и_источники!$L$224</f>
        <v>0</v>
      </c>
      <c r="T564" s="1384"/>
      <c r="U564" s="1385"/>
      <c r="V564" s="1281">
        <f>Мероприятия_и_источники!$M$224</f>
        <v>0</v>
      </c>
      <c r="W564" s="1370">
        <f t="shared" si="103"/>
        <v>0</v>
      </c>
      <c r="X564" s="1371">
        <f t="shared" si="104"/>
        <v>0</v>
      </c>
      <c r="Y564" s="2135">
        <f t="shared" si="102"/>
        <v>35466.805366006512</v>
      </c>
      <c r="Z564" s="2140">
        <f>Амортизация!$AE$44</f>
        <v>0</v>
      </c>
      <c r="AA564" s="2141"/>
      <c r="AB564" s="2142"/>
      <c r="AC564" s="2142"/>
      <c r="AD564" s="2142"/>
      <c r="AE564" s="2140">
        <f t="shared" si="105"/>
        <v>1489.8355263157896</v>
      </c>
      <c r="AF564" s="2142"/>
      <c r="AI564" s="2149"/>
    </row>
    <row r="565" spans="2:35" ht="34.5" outlineLevel="1">
      <c r="B565" s="1414" t="s">
        <v>88</v>
      </c>
      <c r="C565" s="1369" t="str">
        <f>Мероприятия_и_источники!B228</f>
        <v>Реконструкция водовода по ул.Мелиораторов, Д-300 мм протяженностью 150 п.м.</v>
      </c>
      <c r="D565" s="1479" t="s">
        <v>2165</v>
      </c>
      <c r="E565" s="1384"/>
      <c r="F565" s="1385"/>
      <c r="G565" s="1281"/>
      <c r="H565" s="1384"/>
      <c r="I565" s="1385"/>
      <c r="J565" s="1281">
        <f>Мероприятия_и_источники!$I$228</f>
        <v>1778.0655157200001</v>
      </c>
      <c r="K565" s="1384"/>
      <c r="L565" s="1385"/>
      <c r="M565" s="1281">
        <f>Мероприятия_и_источники!$J$228</f>
        <v>0</v>
      </c>
      <c r="N565" s="1384"/>
      <c r="O565" s="1385"/>
      <c r="P565" s="1281">
        <f>Мероприятия_и_источники!$K$228</f>
        <v>0</v>
      </c>
      <c r="Q565" s="1384"/>
      <c r="R565" s="1385"/>
      <c r="S565" s="1281">
        <f>Мероприятия_и_источники!$L$228</f>
        <v>0</v>
      </c>
      <c r="T565" s="1384"/>
      <c r="U565" s="1385"/>
      <c r="V565" s="1281">
        <f>Мероприятия_и_источники!$M$228</f>
        <v>0</v>
      </c>
      <c r="W565" s="1370">
        <f t="shared" si="103"/>
        <v>0</v>
      </c>
      <c r="X565" s="1371">
        <f t="shared" si="104"/>
        <v>0</v>
      </c>
      <c r="Y565" s="2135">
        <f t="shared" si="102"/>
        <v>1778.0655157200001</v>
      </c>
      <c r="Z565" s="2140">
        <f>Амортизация!$AE$45</f>
        <v>43745</v>
      </c>
      <c r="AA565" s="2141">
        <v>44561</v>
      </c>
      <c r="AB565" s="2142">
        <v>108</v>
      </c>
      <c r="AC565" s="2142">
        <v>108</v>
      </c>
      <c r="AD565" s="2142">
        <v>360</v>
      </c>
      <c r="AE565" s="2140">
        <f t="shared" si="105"/>
        <v>24.013157894736842</v>
      </c>
      <c r="AF565" s="2142" t="s">
        <v>14936</v>
      </c>
      <c r="AI565" s="2149"/>
    </row>
    <row r="566" spans="2:35" ht="34.5" outlineLevel="1">
      <c r="B566" s="1414" t="s">
        <v>89</v>
      </c>
      <c r="C566" s="1879" t="str">
        <f>Мероприятия_и_источники!B232</f>
        <v>Реконструкция водовода пер.Малинники  (на ПРМЗ), Д-500 мм протяженностью 220 п.м.</v>
      </c>
      <c r="D566" s="1479" t="s">
        <v>2165</v>
      </c>
      <c r="E566" s="1384"/>
      <c r="F566" s="1385"/>
      <c r="G566" s="1281"/>
      <c r="H566" s="1384"/>
      <c r="I566" s="1385"/>
      <c r="J566" s="1281">
        <f>Мероприятия_и_источники!$I$232</f>
        <v>0</v>
      </c>
      <c r="K566" s="1384"/>
      <c r="L566" s="1385"/>
      <c r="M566" s="1281">
        <f>Мероприятия_и_источники!$J$232</f>
        <v>5220.7313474347193</v>
      </c>
      <c r="N566" s="1384"/>
      <c r="O566" s="1385"/>
      <c r="P566" s="1281">
        <f>Мероприятия_и_источники!$K$232</f>
        <v>0</v>
      </c>
      <c r="Q566" s="1384"/>
      <c r="R566" s="1385"/>
      <c r="S566" s="1281">
        <f>Мероприятия_и_источники!$L$232</f>
        <v>0</v>
      </c>
      <c r="T566" s="1384"/>
      <c r="U566" s="1385"/>
      <c r="V566" s="1281">
        <f>Мероприятия_и_источники!$M$232</f>
        <v>0</v>
      </c>
      <c r="W566" s="1370">
        <f t="shared" si="103"/>
        <v>0</v>
      </c>
      <c r="X566" s="1371">
        <f t="shared" si="104"/>
        <v>0</v>
      </c>
      <c r="Y566" s="2135">
        <f t="shared" si="102"/>
        <v>5220.7313474347193</v>
      </c>
      <c r="Z566" s="2140">
        <f>Амортизация!$AE$46</f>
        <v>27871</v>
      </c>
      <c r="AA566" s="2141">
        <v>37256</v>
      </c>
      <c r="AB566" s="2142">
        <v>348</v>
      </c>
      <c r="AC566" s="2142">
        <v>348</v>
      </c>
      <c r="AD566" s="2142">
        <v>240</v>
      </c>
      <c r="AE566" s="2140">
        <f t="shared" si="105"/>
        <v>264.30921052631578</v>
      </c>
      <c r="AF566" s="2142"/>
      <c r="AI566" s="2149"/>
    </row>
    <row r="567" spans="2:35" ht="34.5" outlineLevel="1">
      <c r="B567" s="1414" t="s">
        <v>774</v>
      </c>
      <c r="C567" s="1879" t="str">
        <f>Мероприятия_и_источники!B236</f>
        <v>Реконструкция водовода ул.Азаровская в сторону п.Силикатный с проколом под ж/д, Д-200 мм протяженностью 100 п.м.</v>
      </c>
      <c r="D567" s="1479" t="s">
        <v>2165</v>
      </c>
      <c r="E567" s="1384"/>
      <c r="F567" s="1385"/>
      <c r="G567" s="1281"/>
      <c r="H567" s="1384"/>
      <c r="I567" s="1385"/>
      <c r="J567" s="1281">
        <f>Мероприятия_и_источники!$I$236</f>
        <v>0</v>
      </c>
      <c r="K567" s="1384"/>
      <c r="L567" s="1385"/>
      <c r="M567" s="1281">
        <f>Мероприятия_и_источники!$J$236</f>
        <v>6005.4586166203198</v>
      </c>
      <c r="N567" s="1384"/>
      <c r="O567" s="1385"/>
      <c r="P567" s="1281">
        <f>Мероприятия_и_источники!$K$236</f>
        <v>0</v>
      </c>
      <c r="Q567" s="1384"/>
      <c r="R567" s="1385"/>
      <c r="S567" s="1281">
        <f>Мероприятия_и_источники!$L$236</f>
        <v>0</v>
      </c>
      <c r="T567" s="1384"/>
      <c r="U567" s="1385"/>
      <c r="V567" s="1281">
        <f>Мероприятия_и_источники!$M$236</f>
        <v>0</v>
      </c>
      <c r="W567" s="1370">
        <f t="shared" si="103"/>
        <v>0</v>
      </c>
      <c r="X567" s="1371">
        <f t="shared" si="104"/>
        <v>0</v>
      </c>
      <c r="Y567" s="2135">
        <f t="shared" si="102"/>
        <v>6005.4586166203198</v>
      </c>
      <c r="Z567" s="2140">
        <f>Амортизация!$AE$47</f>
        <v>25768</v>
      </c>
      <c r="AA567" s="2141">
        <v>35765</v>
      </c>
      <c r="AB567" s="2142">
        <v>706</v>
      </c>
      <c r="AC567" s="2142">
        <v>706</v>
      </c>
      <c r="AD567" s="2142">
        <v>360</v>
      </c>
      <c r="AE567" s="2140">
        <f t="shared" si="105"/>
        <v>313.35526315789474</v>
      </c>
      <c r="AF567" s="2142"/>
      <c r="AI567" s="2149"/>
    </row>
    <row r="568" spans="2:35" ht="34.5" outlineLevel="1">
      <c r="B568" s="1414" t="s">
        <v>90</v>
      </c>
      <c r="C568" s="1369" t="str">
        <f>Мероприятия_и_источники!B240</f>
        <v>Реконструкция водовода по ул.Московская в районе д.334, Д-400 мм протяженностью 120 п.м.</v>
      </c>
      <c r="D568" s="1479" t="s">
        <v>2165</v>
      </c>
      <c r="E568" s="1384"/>
      <c r="F568" s="1385"/>
      <c r="G568" s="1281"/>
      <c r="H568" s="1384"/>
      <c r="I568" s="1385"/>
      <c r="J568" s="1281">
        <f>Мероприятия_и_источники!$I$240</f>
        <v>0</v>
      </c>
      <c r="K568" s="1384"/>
      <c r="L568" s="1385"/>
      <c r="M568" s="1281">
        <f>Мероприятия_и_источники!$J$240</f>
        <v>0</v>
      </c>
      <c r="N568" s="1384"/>
      <c r="O568" s="1385"/>
      <c r="P568" s="1281">
        <f>Мероприятия_и_источники!$K$240</f>
        <v>2288.7301053748433</v>
      </c>
      <c r="Q568" s="1384"/>
      <c r="R568" s="1385"/>
      <c r="S568" s="1281">
        <f>Мероприятия_и_источники!$L$240</f>
        <v>0</v>
      </c>
      <c r="T568" s="1384"/>
      <c r="U568" s="1385"/>
      <c r="V568" s="1281">
        <f>Мероприятия_и_источники!$M$240</f>
        <v>0</v>
      </c>
      <c r="W568" s="1370">
        <f t="shared" si="103"/>
        <v>0</v>
      </c>
      <c r="X568" s="1371">
        <f t="shared" si="104"/>
        <v>0</v>
      </c>
      <c r="Y568" s="2135">
        <f t="shared" si="102"/>
        <v>2288.7301053748433</v>
      </c>
      <c r="Z568" s="2140">
        <f>Амортизация!$AE$48</f>
        <v>27864</v>
      </c>
      <c r="AA568" s="2141">
        <v>37256</v>
      </c>
      <c r="AB568" s="2147">
        <v>589</v>
      </c>
      <c r="AC568" s="2142">
        <v>361</v>
      </c>
      <c r="AD568" s="2142">
        <v>360</v>
      </c>
      <c r="AE568" s="2140">
        <f t="shared" si="105"/>
        <v>264.30921052631578</v>
      </c>
      <c r="AF568" s="2142"/>
      <c r="AI568" s="2149"/>
    </row>
    <row r="569" spans="2:35" ht="34.5" outlineLevel="1">
      <c r="B569" s="1414" t="s">
        <v>91</v>
      </c>
      <c r="C569" s="1879" t="str">
        <f>Мероприятия_и_источники!B244</f>
        <v>Реконструкция водовода микрорайона Калуга-2 с проколом под ж/д, Д-100 мм протяженностью 310 п.м.</v>
      </c>
      <c r="D569" s="1479" t="s">
        <v>2165</v>
      </c>
      <c r="E569" s="1384"/>
      <c r="F569" s="1385"/>
      <c r="G569" s="1281"/>
      <c r="H569" s="1384"/>
      <c r="I569" s="1385"/>
      <c r="J569" s="1281">
        <f>Мероприятия_и_источники!$I$244</f>
        <v>0</v>
      </c>
      <c r="K569" s="1384"/>
      <c r="L569" s="1385"/>
      <c r="M569" s="1281">
        <f>Мероприятия_и_источники!$J$244</f>
        <v>10741.28286477168</v>
      </c>
      <c r="N569" s="1384"/>
      <c r="O569" s="1385"/>
      <c r="P569" s="1281">
        <f>Мероприятия_и_источники!$K$244</f>
        <v>0</v>
      </c>
      <c r="Q569" s="1384"/>
      <c r="R569" s="1385"/>
      <c r="S569" s="1281">
        <f>Мероприятия_и_источники!$L$244</f>
        <v>0</v>
      </c>
      <c r="T569" s="1384"/>
      <c r="U569" s="1385"/>
      <c r="V569" s="1281">
        <f>Мероприятия_и_источники!$M$244</f>
        <v>0</v>
      </c>
      <c r="W569" s="1370">
        <f t="shared" si="103"/>
        <v>0</v>
      </c>
      <c r="X569" s="1371">
        <f t="shared" si="104"/>
        <v>0</v>
      </c>
      <c r="Y569" s="2135">
        <f t="shared" si="102"/>
        <v>10741.28286477168</v>
      </c>
      <c r="Z569" s="2140">
        <f>Амортизация!$AE$49</f>
        <v>26034</v>
      </c>
      <c r="AA569" s="2141">
        <v>35855</v>
      </c>
      <c r="AB569" s="2142">
        <v>706</v>
      </c>
      <c r="AC569" s="2142">
        <v>706</v>
      </c>
      <c r="AD569" s="2142">
        <v>360</v>
      </c>
      <c r="AE569" s="2140">
        <f t="shared" si="105"/>
        <v>310.39473684210526</v>
      </c>
      <c r="AF569" s="2142"/>
      <c r="AI569" s="2149"/>
    </row>
    <row r="570" spans="2:35" ht="34.5" outlineLevel="1">
      <c r="B570" s="1414" t="s">
        <v>144</v>
      </c>
      <c r="C570" s="1369" t="str">
        <f>Мероприятия_и_источники!B248</f>
        <v>Реконструкция водовода по ул.Звездная, Д-300 мм протяженностью 670 п.м.</v>
      </c>
      <c r="D570" s="1479" t="s">
        <v>2165</v>
      </c>
      <c r="E570" s="1384"/>
      <c r="F570" s="1385"/>
      <c r="G570" s="1281"/>
      <c r="H570" s="1384"/>
      <c r="I570" s="1385"/>
      <c r="J570" s="1281">
        <f>Мероприятия_и_источники!$I$248</f>
        <v>0</v>
      </c>
      <c r="K570" s="1384"/>
      <c r="L570" s="1385"/>
      <c r="M570" s="1281">
        <f>Мероприятия_и_источники!$J$248</f>
        <v>7068.8687077195191</v>
      </c>
      <c r="N570" s="1384"/>
      <c r="O570" s="1385"/>
      <c r="P570" s="1281">
        <f>Мероприятия_и_источники!$K$248</f>
        <v>0</v>
      </c>
      <c r="Q570" s="1384"/>
      <c r="R570" s="1385"/>
      <c r="S570" s="1281">
        <f>Мероприятия_и_источники!$L$248</f>
        <v>0</v>
      </c>
      <c r="T570" s="1384"/>
      <c r="U570" s="1385"/>
      <c r="V570" s="1281">
        <f>Мероприятия_и_источники!$M$248</f>
        <v>0</v>
      </c>
      <c r="W570" s="1370">
        <f t="shared" si="103"/>
        <v>0</v>
      </c>
      <c r="X570" s="1371">
        <f t="shared" si="104"/>
        <v>0</v>
      </c>
      <c r="Y570" s="2135">
        <f t="shared" si="102"/>
        <v>7068.8687077195191</v>
      </c>
      <c r="Z570" s="2140">
        <f>Амортизация!$AE$50</f>
        <v>11407</v>
      </c>
      <c r="AA570" s="2141">
        <v>34700</v>
      </c>
      <c r="AB570" s="2142">
        <v>419</v>
      </c>
      <c r="AC570" s="2142">
        <v>419</v>
      </c>
      <c r="AD570" s="2142">
        <v>240</v>
      </c>
      <c r="AE570" s="2140">
        <f t="shared" si="105"/>
        <v>348.38815789473688</v>
      </c>
      <c r="AF570" s="2142"/>
      <c r="AI570" s="2149"/>
    </row>
    <row r="571" spans="2:35" ht="34.5" outlineLevel="1">
      <c r="B571" s="1414" t="s">
        <v>145</v>
      </c>
      <c r="C571" s="1879" t="str">
        <f>Мероприятия_и_источники!B252</f>
        <v>Реконструкция водопровода по ул.Азаровская (от ул.Московская до СТО) Д-600 мм - 600 п.м.</v>
      </c>
      <c r="D571" s="1479" t="s">
        <v>2165</v>
      </c>
      <c r="E571" s="1384"/>
      <c r="F571" s="1385"/>
      <c r="G571" s="1281"/>
      <c r="H571" s="1384"/>
      <c r="I571" s="1385"/>
      <c r="J571" s="1281">
        <f>Мероприятия_и_источники!$I$252</f>
        <v>0</v>
      </c>
      <c r="K571" s="1384"/>
      <c r="L571" s="1385"/>
      <c r="M571" s="1281">
        <f>Мероприятия_и_источники!$J$252</f>
        <v>0</v>
      </c>
      <c r="N571" s="1384"/>
      <c r="O571" s="1385"/>
      <c r="P571" s="1281">
        <f>Мероприятия_и_источники!$K$252</f>
        <v>0</v>
      </c>
      <c r="Q571" s="1384"/>
      <c r="R571" s="1385"/>
      <c r="S571" s="1281">
        <f>Мероприятия_и_источники!$L$252</f>
        <v>83864.413090195783</v>
      </c>
      <c r="T571" s="1384"/>
      <c r="U571" s="1385"/>
      <c r="V571" s="1281">
        <f>Мероприятия_и_источники!$M$252</f>
        <v>0</v>
      </c>
      <c r="W571" s="1370">
        <f t="shared" si="103"/>
        <v>0</v>
      </c>
      <c r="X571" s="1371">
        <f t="shared" si="104"/>
        <v>0</v>
      </c>
      <c r="Y571" s="2135">
        <f t="shared" si="102"/>
        <v>83864.413090195783</v>
      </c>
      <c r="Z571" s="2140">
        <f>Амортизация!$AE$51</f>
        <v>11315</v>
      </c>
      <c r="AA571" s="2141">
        <v>34366</v>
      </c>
      <c r="AB571" s="2142">
        <v>430</v>
      </c>
      <c r="AC571" s="2142">
        <v>430</v>
      </c>
      <c r="AD571" s="2142">
        <v>240</v>
      </c>
      <c r="AE571" s="2140">
        <f t="shared" si="105"/>
        <v>359.375</v>
      </c>
      <c r="AF571" s="2142"/>
      <c r="AI571" s="2149"/>
    </row>
    <row r="572" spans="2:35" ht="34.5" outlineLevel="1">
      <c r="B572" s="1414" t="s">
        <v>146</v>
      </c>
      <c r="C572" s="1369" t="str">
        <f>Мероприятия_и_источники!B256</f>
        <v>Реконструкция водопровода по ул.Родниковая по дамбе до микрорайона Турынино-3, Д-300 мм протяженностью 350 п.м.</v>
      </c>
      <c r="D572" s="1479" t="s">
        <v>2165</v>
      </c>
      <c r="E572" s="1384"/>
      <c r="F572" s="1385"/>
      <c r="G572" s="1281"/>
      <c r="H572" s="1384"/>
      <c r="I572" s="1385"/>
      <c r="J572" s="1281">
        <f>Мероприятия_и_источники!$I$256</f>
        <v>0</v>
      </c>
      <c r="K572" s="1384"/>
      <c r="L572" s="1385"/>
      <c r="M572" s="1281">
        <f>Мероприятия_и_источники!$J$256</f>
        <v>3823.21796918256</v>
      </c>
      <c r="N572" s="1384"/>
      <c r="O572" s="1385"/>
      <c r="P572" s="1281">
        <f>Мероприятия_и_источники!$K$256</f>
        <v>0</v>
      </c>
      <c r="Q572" s="1384"/>
      <c r="R572" s="1385"/>
      <c r="S572" s="1281">
        <f>Мероприятия_и_источники!$L$256</f>
        <v>0</v>
      </c>
      <c r="T572" s="1384"/>
      <c r="U572" s="1385"/>
      <c r="V572" s="1281">
        <f>Мероприятия_и_источники!$M$256</f>
        <v>0</v>
      </c>
      <c r="W572" s="1370">
        <f t="shared" si="103"/>
        <v>0</v>
      </c>
      <c r="X572" s="1371">
        <f t="shared" si="104"/>
        <v>0</v>
      </c>
      <c r="Y572" s="2135">
        <f t="shared" si="102"/>
        <v>3823.21796918256</v>
      </c>
      <c r="Z572" s="2140">
        <f>Амортизация!$AE$52</f>
        <v>24573</v>
      </c>
      <c r="AA572" s="2141">
        <v>35551</v>
      </c>
      <c r="AB572" s="2142">
        <v>379</v>
      </c>
      <c r="AC572" s="2142">
        <v>379</v>
      </c>
      <c r="AD572" s="2142">
        <v>379</v>
      </c>
      <c r="AE572" s="2140">
        <f t="shared" si="105"/>
        <v>320.39473684210526</v>
      </c>
      <c r="AF572" s="2142"/>
      <c r="AI572" s="2149"/>
    </row>
    <row r="573" spans="2:35" ht="51.75" outlineLevel="1">
      <c r="B573" s="1414" t="s">
        <v>147</v>
      </c>
      <c r="C573" s="1369" t="str">
        <f>Мероприятия_и_источники!B260</f>
        <v>Реконструкция водовода питьевой воды по ул.Салтыкова-Щедрина (от ул.Степана Разина до дома 80) Д-225 мм протяженностью 1217 п.м  в г.Калуга</v>
      </c>
      <c r="D573" s="1479" t="s">
        <v>2165</v>
      </c>
      <c r="E573" s="1384"/>
      <c r="F573" s="1385"/>
      <c r="G573" s="1281"/>
      <c r="H573" s="1384"/>
      <c r="I573" s="1385"/>
      <c r="J573" s="1281">
        <f>Мероприятия_и_источники!$I$260</f>
        <v>0</v>
      </c>
      <c r="K573" s="1384"/>
      <c r="L573" s="1385"/>
      <c r="M573" s="1281">
        <f>Мероприятия_и_источники!$J$260</f>
        <v>0</v>
      </c>
      <c r="N573" s="1384"/>
      <c r="O573" s="1385"/>
      <c r="P573" s="1281">
        <f>Мероприятия_и_источники!$K$260</f>
        <v>0</v>
      </c>
      <c r="Q573" s="1384"/>
      <c r="R573" s="1385"/>
      <c r="S573" s="1281">
        <f>Мероприятия_и_источники!$L$260</f>
        <v>33734.116034155901</v>
      </c>
      <c r="T573" s="1384"/>
      <c r="U573" s="1385"/>
      <c r="V573" s="1281">
        <f>Мероприятия_и_источники!$M$260</f>
        <v>0</v>
      </c>
      <c r="W573" s="1370">
        <f t="shared" si="103"/>
        <v>0</v>
      </c>
      <c r="X573" s="1371">
        <f t="shared" si="104"/>
        <v>0</v>
      </c>
      <c r="Y573" s="2135">
        <f t="shared" si="102"/>
        <v>33734.116034155901</v>
      </c>
      <c r="Z573" s="2140">
        <f>Амортизация!$AE$53</f>
        <v>11233</v>
      </c>
      <c r="AA573" s="2141">
        <v>34172</v>
      </c>
      <c r="AB573" s="2147">
        <v>706</v>
      </c>
      <c r="AC573" s="2142">
        <v>375</v>
      </c>
      <c r="AD573" s="2142">
        <v>360</v>
      </c>
      <c r="AE573" s="2140">
        <f t="shared" si="105"/>
        <v>365.75657894736844</v>
      </c>
      <c r="AF573" s="2142"/>
      <c r="AI573" s="2149"/>
    </row>
    <row r="574" spans="2:35" ht="34.5" outlineLevel="1">
      <c r="B574" s="1414" t="s">
        <v>148</v>
      </c>
      <c r="C574" s="1879" t="str">
        <f>Мероприятия_и_источники!B264</f>
        <v>Реконструкция водопровода в с.Росва, ул.Мира д.8 - ул.Московская д.5, Д-100 мм протяженностью 460 п.м.</v>
      </c>
      <c r="D574" s="1479" t="s">
        <v>2165</v>
      </c>
      <c r="E574" s="1384"/>
      <c r="F574" s="1385"/>
      <c r="G574" s="1281"/>
      <c r="H574" s="1384"/>
      <c r="I574" s="1385"/>
      <c r="J574" s="1281">
        <f>Мероприятия_и_источники!$I$264</f>
        <v>2404.5999786899997</v>
      </c>
      <c r="K574" s="1384"/>
      <c r="L574" s="1385"/>
      <c r="M574" s="1281">
        <f>Мероприятия_и_источники!$J$264</f>
        <v>0</v>
      </c>
      <c r="N574" s="1384"/>
      <c r="O574" s="1385"/>
      <c r="P574" s="1281">
        <f>Мероприятия_и_источники!$K$264</f>
        <v>0</v>
      </c>
      <c r="Q574" s="1384"/>
      <c r="R574" s="1385"/>
      <c r="S574" s="1281">
        <f>Мероприятия_и_источники!$L$264</f>
        <v>0</v>
      </c>
      <c r="T574" s="1384"/>
      <c r="U574" s="1385"/>
      <c r="V574" s="1281">
        <f>Мероприятия_и_источники!$M$264</f>
        <v>0</v>
      </c>
      <c r="W574" s="1370">
        <f t="shared" si="103"/>
        <v>0</v>
      </c>
      <c r="X574" s="1371">
        <f t="shared" si="104"/>
        <v>0</v>
      </c>
      <c r="Y574" s="2135">
        <f t="shared" si="102"/>
        <v>2404.5999786899997</v>
      </c>
      <c r="Z574" s="2140">
        <f>Амортизация!$AE$54</f>
        <v>40855</v>
      </c>
      <c r="AA574" s="2141">
        <v>42129</v>
      </c>
      <c r="AB574" s="2142">
        <v>341</v>
      </c>
      <c r="AC574" s="2142">
        <v>341</v>
      </c>
      <c r="AD574" s="2142"/>
      <c r="AE574" s="2140">
        <f t="shared" si="105"/>
        <v>104.01315789473685</v>
      </c>
      <c r="AF574" s="2142"/>
      <c r="AI574" s="2149"/>
    </row>
    <row r="575" spans="2:35" ht="34.5" outlineLevel="1">
      <c r="B575" s="1414" t="s">
        <v>14890</v>
      </c>
      <c r="C575" s="1879" t="str">
        <f>Мероприятия_и_источники!B268</f>
        <v>Реконструкция водопровода в с.Спас  г.Калуга, Д-40 мм протяженностью 326 п.м.</v>
      </c>
      <c r="D575" s="1479" t="s">
        <v>2165</v>
      </c>
      <c r="E575" s="1384"/>
      <c r="F575" s="1385"/>
      <c r="G575" s="1281"/>
      <c r="H575" s="1384"/>
      <c r="I575" s="1385"/>
      <c r="J575" s="1281">
        <f>Мероприятия_и_источники!$I$268</f>
        <v>1216.9044412199999</v>
      </c>
      <c r="K575" s="1384"/>
      <c r="L575" s="1385"/>
      <c r="M575" s="1281">
        <f>Мероприятия_и_источники!$J$268</f>
        <v>0</v>
      </c>
      <c r="N575" s="1384"/>
      <c r="O575" s="1385"/>
      <c r="P575" s="1281">
        <f>Мероприятия_и_источники!$K$268</f>
        <v>0</v>
      </c>
      <c r="Q575" s="1384"/>
      <c r="R575" s="1385"/>
      <c r="S575" s="1281">
        <f>Мероприятия_и_источники!$L$268</f>
        <v>0</v>
      </c>
      <c r="T575" s="1384"/>
      <c r="U575" s="1385"/>
      <c r="V575" s="1281">
        <f>Мероприятия_и_источники!$M$268</f>
        <v>0</v>
      </c>
      <c r="W575" s="1370">
        <f t="shared" si="103"/>
        <v>0</v>
      </c>
      <c r="X575" s="1371">
        <f t="shared" si="104"/>
        <v>0</v>
      </c>
      <c r="Y575" s="2135">
        <f t="shared" si="102"/>
        <v>1216.9044412199999</v>
      </c>
      <c r="Z575" s="2140">
        <f>Амортизация!$AE$55</f>
        <v>39063</v>
      </c>
      <c r="AA575" s="2141">
        <v>39814</v>
      </c>
      <c r="AB575" s="2142">
        <v>301</v>
      </c>
      <c r="AC575" s="2142">
        <v>301</v>
      </c>
      <c r="AD575" s="2142">
        <v>360</v>
      </c>
      <c r="AE575" s="2140">
        <f t="shared" si="105"/>
        <v>180.16447368421055</v>
      </c>
      <c r="AF575" s="2142"/>
      <c r="AI575" s="2149"/>
    </row>
    <row r="576" spans="2:35" ht="34.5" outlineLevel="1">
      <c r="B576" s="1414" t="s">
        <v>14891</v>
      </c>
      <c r="C576" s="1879" t="str">
        <f>Мероприятия_и_источники!B272</f>
        <v>Реконструкция водопровода  от ул.Глаголева по товарному двору до ул.Ленина, Д-250-300 мм,  протяженностью 960 п.м.</v>
      </c>
      <c r="D576" s="1479" t="s">
        <v>2165</v>
      </c>
      <c r="E576" s="1384"/>
      <c r="F576" s="1385"/>
      <c r="G576" s="1281"/>
      <c r="H576" s="1384"/>
      <c r="I576" s="1385"/>
      <c r="J576" s="1281">
        <f>Мероприятия_и_источники!$I$272</f>
        <v>0</v>
      </c>
      <c r="K576" s="1384"/>
      <c r="L576" s="1385"/>
      <c r="M576" s="1281">
        <f>Мероприятия_и_источники!$J$272</f>
        <v>0</v>
      </c>
      <c r="N576" s="1384"/>
      <c r="O576" s="1385"/>
      <c r="P576" s="1281">
        <f>Мероприятия_и_источники!$K$272</f>
        <v>0</v>
      </c>
      <c r="Q576" s="1384"/>
      <c r="R576" s="1385"/>
      <c r="S576" s="1281">
        <f>Мероприятия_и_источники!$L$272</f>
        <v>15502.73805571252</v>
      </c>
      <c r="T576" s="1384"/>
      <c r="U576" s="1385"/>
      <c r="V576" s="1281">
        <f>Мероприятия_и_источники!$M$272</f>
        <v>0</v>
      </c>
      <c r="W576" s="1370">
        <f t="shared" si="103"/>
        <v>0</v>
      </c>
      <c r="X576" s="1371">
        <f t="shared" si="104"/>
        <v>0</v>
      </c>
      <c r="Y576" s="2135">
        <f t="shared" si="102"/>
        <v>15502.73805571252</v>
      </c>
      <c r="Z576" s="2140">
        <f>Амортизация!$AE$56</f>
        <v>37739</v>
      </c>
      <c r="AA576" s="2141">
        <v>38473</v>
      </c>
      <c r="AB576" s="2142">
        <v>332</v>
      </c>
      <c r="AC576" s="2142">
        <v>332</v>
      </c>
      <c r="AD576" s="2142">
        <v>240</v>
      </c>
      <c r="AE576" s="2140">
        <f t="shared" si="105"/>
        <v>224.2763157894737</v>
      </c>
      <c r="AF576" s="2142"/>
      <c r="AI576" s="2149"/>
    </row>
    <row r="577" spans="1:35" ht="34.5" outlineLevel="1">
      <c r="B577" s="1414" t="s">
        <v>14892</v>
      </c>
      <c r="C577" s="1879" t="str">
        <f>Мероприятия_и_источники!B276</f>
        <v>Реконструкция водовода от ГНС до С.-Щедрина Д=500 мм протяженностью 1100 п.м</v>
      </c>
      <c r="D577" s="1479" t="s">
        <v>2165</v>
      </c>
      <c r="E577" s="1384"/>
      <c r="F577" s="1385"/>
      <c r="G577" s="1281"/>
      <c r="H577" s="1384"/>
      <c r="I577" s="1385"/>
      <c r="J577" s="1281">
        <f>Мероприятия_и_источники!$I$276</f>
        <v>0</v>
      </c>
      <c r="K577" s="1384"/>
      <c r="L577" s="1385"/>
      <c r="M577" s="1281">
        <f>Мероприятия_и_источники!$J$276</f>
        <v>0</v>
      </c>
      <c r="N577" s="1384"/>
      <c r="O577" s="1385"/>
      <c r="P577" s="1281">
        <f>Мероприятия_и_источники!$K$276</f>
        <v>0</v>
      </c>
      <c r="Q577" s="1384"/>
      <c r="R577" s="1385"/>
      <c r="S577" s="1281">
        <f>Мероприятия_и_источники!$L$276</f>
        <v>0</v>
      </c>
      <c r="T577" s="1384"/>
      <c r="U577" s="1385"/>
      <c r="V577" s="1281">
        <f>Мероприятия_и_источники!$M$276</f>
        <v>44597.797513998506</v>
      </c>
      <c r="W577" s="1370">
        <f>SUM(H577,K577,N577,Q577,T577)</f>
        <v>0</v>
      </c>
      <c r="X577" s="1371">
        <f>SUM(I577,L577,O577,R577,U577)</f>
        <v>0</v>
      </c>
      <c r="Y577" s="2135">
        <f t="shared" si="102"/>
        <v>44597.797513998506</v>
      </c>
      <c r="Z577" s="2140">
        <f>Амортизация!$AE$57</f>
        <v>31008</v>
      </c>
      <c r="AA577" s="2141">
        <v>37926</v>
      </c>
      <c r="AB577" s="2142">
        <v>350</v>
      </c>
      <c r="AC577" s="2142">
        <v>350</v>
      </c>
      <c r="AD577" s="2142">
        <v>240</v>
      </c>
      <c r="AE577" s="2140">
        <f t="shared" si="105"/>
        <v>242.26973684210529</v>
      </c>
      <c r="AF577" s="2142"/>
      <c r="AI577" s="2149"/>
    </row>
    <row r="578" spans="1:35" ht="34.5" outlineLevel="1">
      <c r="B578" s="1414" t="s">
        <v>14893</v>
      </c>
      <c r="C578" s="1879" t="str">
        <f>Мероприятия_и_источники!B280</f>
        <v>Реконструкция  водовода от Южного водозабора до ул.Комарова  Д=500 мм протяженностью 350 п.м.</v>
      </c>
      <c r="D578" s="1479" t="s">
        <v>2165</v>
      </c>
      <c r="E578" s="1384"/>
      <c r="F578" s="1385"/>
      <c r="G578" s="1281"/>
      <c r="H578" s="1384"/>
      <c r="I578" s="1385"/>
      <c r="J578" s="1281">
        <f>Мероприятия_и_источники!$I$280</f>
        <v>0</v>
      </c>
      <c r="K578" s="1384"/>
      <c r="L578" s="1385"/>
      <c r="M578" s="1281">
        <f>Мероприятия_и_источники!$J$280</f>
        <v>0</v>
      </c>
      <c r="N578" s="1384"/>
      <c r="O578" s="1385"/>
      <c r="P578" s="1281">
        <f>Мероприятия_и_источники!$K$280</f>
        <v>0</v>
      </c>
      <c r="Q578" s="1384"/>
      <c r="R578" s="1385"/>
      <c r="S578" s="1281">
        <f>Мероприятия_и_источники!$L$280</f>
        <v>0</v>
      </c>
      <c r="T578" s="1384"/>
      <c r="U578" s="1385"/>
      <c r="V578" s="1281">
        <f>Мероприятия_и_источники!$M$280</f>
        <v>32061.943695590769</v>
      </c>
      <c r="W578" s="1370">
        <f t="shared" si="103"/>
        <v>0</v>
      </c>
      <c r="X578" s="1371">
        <f t="shared" si="104"/>
        <v>0</v>
      </c>
      <c r="Y578" s="2135">
        <f t="shared" si="102"/>
        <v>32061.943695590769</v>
      </c>
      <c r="Z578" s="2140">
        <f>Амортизация!$AE$58</f>
        <v>10563</v>
      </c>
      <c r="AA578" s="2141">
        <v>34172</v>
      </c>
      <c r="AB578" s="2142">
        <v>413</v>
      </c>
      <c r="AC578" s="2142">
        <v>413</v>
      </c>
      <c r="AD578" s="2142">
        <v>413</v>
      </c>
      <c r="AE578" s="2140">
        <f t="shared" si="105"/>
        <v>365.75657894736844</v>
      </c>
      <c r="AF578" s="2142"/>
      <c r="AI578" s="2149"/>
    </row>
    <row r="579" spans="1:35" ht="34.5" outlineLevel="1">
      <c r="B579" s="1414" t="s">
        <v>14894</v>
      </c>
      <c r="C579" s="1879" t="str">
        <f>Мероприятия_и_источники!B284</f>
        <v>Реконструкция водопровода по проезду 2-ой Загородный, Д-100 мм протяженностью 385 п.м.</v>
      </c>
      <c r="D579" s="1479" t="s">
        <v>2165</v>
      </c>
      <c r="E579" s="1384"/>
      <c r="F579" s="1385"/>
      <c r="G579" s="1281"/>
      <c r="H579" s="1384"/>
      <c r="I579" s="1385"/>
      <c r="J579" s="1281">
        <f>Мероприятия_и_источники!$I$284</f>
        <v>2197.84456593</v>
      </c>
      <c r="K579" s="1384"/>
      <c r="L579" s="1385"/>
      <c r="M579" s="1281">
        <f>Мероприятия_и_источники!$J$284</f>
        <v>0</v>
      </c>
      <c r="N579" s="1384"/>
      <c r="O579" s="1385"/>
      <c r="P579" s="1281">
        <f>Мероприятия_и_источники!$K$284</f>
        <v>0</v>
      </c>
      <c r="Q579" s="1384"/>
      <c r="R579" s="1385"/>
      <c r="S579" s="1281">
        <f>Мероприятия_и_источники!$L$284</f>
        <v>0</v>
      </c>
      <c r="T579" s="1384"/>
      <c r="U579" s="1385"/>
      <c r="V579" s="1281">
        <f>Мероприятия_и_источники!$M$284</f>
        <v>0</v>
      </c>
      <c r="W579" s="1370">
        <f t="shared" si="103"/>
        <v>0</v>
      </c>
      <c r="X579" s="1371">
        <f t="shared" si="104"/>
        <v>0</v>
      </c>
      <c r="Y579" s="2135">
        <f t="shared" si="102"/>
        <v>2197.84456593</v>
      </c>
      <c r="Z579" s="2140">
        <f>Амортизация!$AE$59</f>
        <v>44683</v>
      </c>
      <c r="AA579" s="2141">
        <v>44561</v>
      </c>
      <c r="AB579" s="2142">
        <v>108</v>
      </c>
      <c r="AC579" s="2142">
        <v>108</v>
      </c>
      <c r="AD579" s="2142">
        <v>360</v>
      </c>
      <c r="AE579" s="2140">
        <f t="shared" si="105"/>
        <v>24.013157894736842</v>
      </c>
      <c r="AF579" s="2142" t="s">
        <v>14936</v>
      </c>
      <c r="AI579" s="2149"/>
    </row>
    <row r="580" spans="1:35" s="1368" customFormat="1" ht="138">
      <c r="A580" s="1365"/>
      <c r="B580" s="1418" t="s">
        <v>3</v>
      </c>
      <c r="C580" s="1366" t="str">
        <f>Мероприятия_и_источники!B300</f>
        <v xml:space="preserve">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холодного водоснабжения с использованием централизованных систем водоснабжения </v>
      </c>
      <c r="D580" s="1478" t="s">
        <v>2165</v>
      </c>
      <c r="E580" s="1395">
        <f t="shared" ref="E580:X580" si="106">SUM(E581:E582)</f>
        <v>0</v>
      </c>
      <c r="F580" s="1396">
        <f t="shared" si="106"/>
        <v>0</v>
      </c>
      <c r="G580" s="1367">
        <f t="shared" si="106"/>
        <v>0</v>
      </c>
      <c r="H580" s="1395">
        <f t="shared" si="106"/>
        <v>0</v>
      </c>
      <c r="I580" s="1396">
        <f>SUM(I581:I582)</f>
        <v>0</v>
      </c>
      <c r="J580" s="1364">
        <f t="shared" si="106"/>
        <v>4844.0625</v>
      </c>
      <c r="K580" s="1395">
        <f t="shared" si="106"/>
        <v>0</v>
      </c>
      <c r="L580" s="1396">
        <f t="shared" si="106"/>
        <v>0</v>
      </c>
      <c r="M580" s="1364">
        <f t="shared" si="106"/>
        <v>19465.462768862402</v>
      </c>
      <c r="N580" s="1395">
        <f t="shared" si="106"/>
        <v>0</v>
      </c>
      <c r="O580" s="1396">
        <f t="shared" si="106"/>
        <v>0</v>
      </c>
      <c r="P580" s="1364">
        <f>SUM(P581:P582)</f>
        <v>14621.4002688624</v>
      </c>
      <c r="Q580" s="1395">
        <f t="shared" si="106"/>
        <v>0</v>
      </c>
      <c r="R580" s="1396">
        <f t="shared" si="106"/>
        <v>0</v>
      </c>
      <c r="S580" s="1364">
        <f t="shared" si="106"/>
        <v>0</v>
      </c>
      <c r="T580" s="1395">
        <f t="shared" si="106"/>
        <v>0</v>
      </c>
      <c r="U580" s="1396">
        <f t="shared" si="106"/>
        <v>0</v>
      </c>
      <c r="V580" s="1364">
        <f>SUM(V581:V582)</f>
        <v>0</v>
      </c>
      <c r="W580" s="1397">
        <f t="shared" si="106"/>
        <v>0</v>
      </c>
      <c r="X580" s="1396">
        <f t="shared" si="106"/>
        <v>0</v>
      </c>
      <c r="Y580" s="1425">
        <f t="shared" si="102"/>
        <v>38930.925537724805</v>
      </c>
      <c r="Z580" s="2126"/>
      <c r="AI580" s="2149"/>
    </row>
    <row r="581" spans="1:35" ht="69" outlineLevel="1">
      <c r="B581" s="1414" t="s">
        <v>92</v>
      </c>
      <c r="C581" s="1879" t="str">
        <f>Мероприятия_и_источники!B304</f>
        <v>Корректировка Проектной документации на объект капитального строительства: «Строительство сетей водоснабжения  микрорайонов «Кошелев-проект, Ташир, кварталов № 5-19, 22, 23 в районе д. Верховая, д. Квань, г. Калуга»</v>
      </c>
      <c r="D581" s="1479" t="s">
        <v>2165</v>
      </c>
      <c r="E581" s="1384"/>
      <c r="F581" s="1385"/>
      <c r="G581" s="1281"/>
      <c r="H581" s="1384"/>
      <c r="I581" s="1385"/>
      <c r="J581" s="1281">
        <f>Мероприятия_и_источники!$I$304</f>
        <v>0</v>
      </c>
      <c r="K581" s="1384"/>
      <c r="L581" s="1385"/>
      <c r="M581" s="1281">
        <f>Мероприятия_и_источники!$J$304</f>
        <v>14621.4002688624</v>
      </c>
      <c r="N581" s="1384"/>
      <c r="O581" s="1385"/>
      <c r="P581" s="1281">
        <f>Мероприятия_и_источники!$K$304</f>
        <v>14621.4002688624</v>
      </c>
      <c r="Q581" s="1384"/>
      <c r="R581" s="1385"/>
      <c r="S581" s="1281">
        <f>Мероприятия_и_источники!$L$304</f>
        <v>0</v>
      </c>
      <c r="T581" s="1384"/>
      <c r="U581" s="1385"/>
      <c r="V581" s="1281">
        <f>Мероприятия_и_источники!$M$304</f>
        <v>0</v>
      </c>
      <c r="W581" s="1370">
        <f t="shared" ref="W581:X585" si="107">SUM(H581,K581,N581,Q581,T581)</f>
        <v>0</v>
      </c>
      <c r="X581" s="1371">
        <f t="shared" si="107"/>
        <v>0</v>
      </c>
      <c r="Y581" s="1372">
        <f t="shared" si="102"/>
        <v>29242.800537724801</v>
      </c>
      <c r="AI581" s="2149"/>
    </row>
    <row r="582" spans="1:35" ht="51.75" outlineLevel="1">
      <c r="B582" s="1414" t="s">
        <v>14895</v>
      </c>
      <c r="C582" s="1369" t="str">
        <f>Мероприятия_и_источники!B308</f>
        <v>Внедрение модуля программного обеспечения "Расчеты с абонентами","Промышленный документооборот","Разработка личного кабинета"</v>
      </c>
      <c r="D582" s="1479" t="s">
        <v>2165</v>
      </c>
      <c r="E582" s="1384"/>
      <c r="F582" s="1385"/>
      <c r="G582" s="1281"/>
      <c r="H582" s="1384"/>
      <c r="I582" s="1385"/>
      <c r="J582" s="1281">
        <f>Мероприятия_и_источники!$I$308</f>
        <v>4844.0625</v>
      </c>
      <c r="K582" s="1384"/>
      <c r="L582" s="1385"/>
      <c r="M582" s="1281">
        <f>Мероприятия_и_источники!$J$308</f>
        <v>4844.0625</v>
      </c>
      <c r="N582" s="1384"/>
      <c r="O582" s="1385"/>
      <c r="P582" s="1281">
        <f>Мероприятия_и_источники!$K$308</f>
        <v>0</v>
      </c>
      <c r="Q582" s="1384"/>
      <c r="R582" s="1385"/>
      <c r="S582" s="1281">
        <f>Мероприятия_и_источники!$L$308</f>
        <v>0</v>
      </c>
      <c r="T582" s="1384"/>
      <c r="U582" s="1385"/>
      <c r="V582" s="1281">
        <f>Мероприятия_и_источники!$M$308</f>
        <v>0</v>
      </c>
      <c r="W582" s="1370">
        <f t="shared" si="107"/>
        <v>0</v>
      </c>
      <c r="X582" s="1371">
        <f t="shared" si="107"/>
        <v>0</v>
      </c>
      <c r="Y582" s="1372">
        <f t="shared" si="102"/>
        <v>9688.125</v>
      </c>
      <c r="AI582" s="2149"/>
    </row>
    <row r="583" spans="1:35" s="1368" customFormat="1" ht="34.5">
      <c r="A583" s="1365"/>
      <c r="B583" s="1418" t="s">
        <v>2</v>
      </c>
      <c r="C583" s="1366" t="str">
        <f>Мероприятия_и_источники!B148</f>
        <v>Строительство новых сетей водоснабжения, не связанных с подключением новых объектов капитального строительства</v>
      </c>
      <c r="D583" s="1478" t="s">
        <v>2165</v>
      </c>
      <c r="E583" s="1395"/>
      <c r="F583" s="1396"/>
      <c r="G583" s="1367"/>
      <c r="H583" s="1395"/>
      <c r="I583" s="1396">
        <f>I584+I585</f>
        <v>0</v>
      </c>
      <c r="J583" s="1364">
        <f>SUM(J584:J585)</f>
        <v>0</v>
      </c>
      <c r="K583" s="1395">
        <f t="shared" ref="K583:V583" si="108">SUM(K584:K585)</f>
        <v>0</v>
      </c>
      <c r="L583" s="1396">
        <f t="shared" si="108"/>
        <v>0</v>
      </c>
      <c r="M583" s="1364">
        <f t="shared" si="108"/>
        <v>10618.274920275358</v>
      </c>
      <c r="N583" s="1395">
        <f t="shared" si="108"/>
        <v>0</v>
      </c>
      <c r="O583" s="1396">
        <f t="shared" si="108"/>
        <v>0</v>
      </c>
      <c r="P583" s="1364">
        <f t="shared" si="108"/>
        <v>145687.56044166302</v>
      </c>
      <c r="Q583" s="1395">
        <f t="shared" si="108"/>
        <v>0</v>
      </c>
      <c r="R583" s="1396">
        <f t="shared" si="108"/>
        <v>0</v>
      </c>
      <c r="S583" s="1364">
        <f>SUM(S584:S585)</f>
        <v>247393.97056131458</v>
      </c>
      <c r="T583" s="1395">
        <f t="shared" si="108"/>
        <v>0</v>
      </c>
      <c r="U583" s="1396">
        <f t="shared" si="108"/>
        <v>0</v>
      </c>
      <c r="V583" s="1364">
        <f t="shared" si="108"/>
        <v>431565.03753473767</v>
      </c>
      <c r="W583" s="1397">
        <f t="shared" si="107"/>
        <v>0</v>
      </c>
      <c r="X583" s="1396">
        <f t="shared" si="107"/>
        <v>0</v>
      </c>
      <c r="Y583" s="1425">
        <f>SUM(J583,M583,P583,S583,V583)</f>
        <v>835264.84345799056</v>
      </c>
      <c r="Z583" s="2126"/>
      <c r="AI583" s="2149"/>
    </row>
    <row r="584" spans="1:35" ht="51.75" outlineLevel="1">
      <c r="B584" s="1429" t="s">
        <v>93</v>
      </c>
      <c r="C584" s="1430" t="str">
        <f>Мероприятия_и_источники!B156</f>
        <v>Строительство водовода "Турынино" Д-800 L = 10 км - прокладка дублирующей нитки Ду 800 мм от насосной ст. I подъема до водоочистной станции протяженностью 10 000 п.м.</v>
      </c>
      <c r="D584" s="1480" t="s">
        <v>2165</v>
      </c>
      <c r="E584" s="1431"/>
      <c r="F584" s="1432"/>
      <c r="G584" s="2117"/>
      <c r="H584" s="1431"/>
      <c r="I584" s="1432"/>
      <c r="J584" s="2117">
        <f>Мероприятия_и_источники!$I$156</f>
        <v>0</v>
      </c>
      <c r="K584" s="1431"/>
      <c r="L584" s="1432"/>
      <c r="M584" s="2117">
        <f>Мероприятия_и_источники!$J$156</f>
        <v>0</v>
      </c>
      <c r="N584" s="1431"/>
      <c r="O584" s="1432"/>
      <c r="P584" s="2117">
        <f>Мероприятия_и_источники!$K$156</f>
        <v>145687.56044166302</v>
      </c>
      <c r="Q584" s="1431"/>
      <c r="R584" s="1432"/>
      <c r="S584" s="2117">
        <f>Мероприятия_и_источники!$L$156</f>
        <v>247393.97056131458</v>
      </c>
      <c r="T584" s="1431"/>
      <c r="U584" s="1432"/>
      <c r="V584" s="2117">
        <f>Мероприятия_и_источники!$M$156</f>
        <v>431565.03753473767</v>
      </c>
      <c r="W584" s="2118">
        <f t="shared" si="107"/>
        <v>0</v>
      </c>
      <c r="X584" s="2119">
        <f t="shared" si="107"/>
        <v>0</v>
      </c>
      <c r="Y584" s="2120">
        <f>SUM(J584,M584,P584,S584,V584)</f>
        <v>824646.56853771536</v>
      </c>
      <c r="AI584" s="2149"/>
    </row>
    <row r="585" spans="1:35" ht="52.5" outlineLevel="1" thickBot="1">
      <c r="B585" s="2101" t="s">
        <v>94</v>
      </c>
      <c r="C585" s="2102" t="str">
        <f>Мероприятия_и_источники!B160</f>
        <v>Строительство водопровода Д=150 мм от ул. Чапаева, по пл.Маяковского, до ул.Грабцевское Шоссе с устройством закольцовки протяженностью 300 п.м.</v>
      </c>
      <c r="D585" s="2103" t="s">
        <v>2165</v>
      </c>
      <c r="E585" s="2104"/>
      <c r="F585" s="2105"/>
      <c r="G585" s="1530"/>
      <c r="H585" s="2104"/>
      <c r="I585" s="2105"/>
      <c r="J585" s="1530">
        <f>Мероприятия_и_источники!$I$160</f>
        <v>0</v>
      </c>
      <c r="K585" s="2104"/>
      <c r="L585" s="2105"/>
      <c r="M585" s="1530">
        <f>Мероприятия_и_источники!$J$160</f>
        <v>10618.274920275358</v>
      </c>
      <c r="N585" s="2104"/>
      <c r="O585" s="2105"/>
      <c r="P585" s="1530">
        <f>Мероприятия_и_источники!$K$160</f>
        <v>0</v>
      </c>
      <c r="Q585" s="2104"/>
      <c r="R585" s="2105"/>
      <c r="S585" s="1530">
        <f>Мероприятия_и_источники!$L$160</f>
        <v>0</v>
      </c>
      <c r="T585" s="2104"/>
      <c r="U585" s="2105"/>
      <c r="V585" s="1530">
        <f>Мероприятия_и_источники!$M$160</f>
        <v>0</v>
      </c>
      <c r="W585" s="2089">
        <f t="shared" si="107"/>
        <v>0</v>
      </c>
      <c r="X585" s="2106">
        <f t="shared" si="107"/>
        <v>0</v>
      </c>
      <c r="Y585" s="2107">
        <f>SUM(J585,M585,P585,S585,V585)</f>
        <v>10618.274920275358</v>
      </c>
      <c r="AI585" s="2149"/>
    </row>
    <row r="587" spans="1:35">
      <c r="J587" s="1693"/>
    </row>
    <row r="590" spans="1:35">
      <c r="J590" s="1693"/>
    </row>
    <row r="592" spans="1:35">
      <c r="J592" s="1693"/>
    </row>
    <row r="596" spans="22:22">
      <c r="V596" s="1693"/>
    </row>
  </sheetData>
  <mergeCells count="12">
    <mergeCell ref="B546:D546"/>
    <mergeCell ref="H2:J2"/>
    <mergeCell ref="B2:B3"/>
    <mergeCell ref="C2:C3"/>
    <mergeCell ref="D2:D3"/>
    <mergeCell ref="E2:G2"/>
    <mergeCell ref="E1:G1"/>
    <mergeCell ref="W2:Y2"/>
    <mergeCell ref="N2:P2"/>
    <mergeCell ref="Q2:S2"/>
    <mergeCell ref="T2:V2"/>
    <mergeCell ref="K2:M2"/>
  </mergeCells>
  <printOptions horizontalCentered="1"/>
  <pageMargins left="0" right="0" top="0.39370078740157483" bottom="0.39370078740157483" header="0.31496062992125984" footer="0.31496062992125984"/>
  <pageSetup paperSize="9" scale="34" orientation="landscape" r:id="rId1"/>
  <rowBreaks count="1" manualBreakCount="1">
    <brk id="585" max="24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/>
  </sheetPr>
  <dimension ref="A1:AT308"/>
  <sheetViews>
    <sheetView view="pageBreakPreview" zoomScale="60" zoomScaleNormal="80" workbookViewId="0">
      <pane ySplit="4" topLeftCell="A239" activePane="bottomLeft" state="frozen"/>
      <selection pane="bottomLeft" activeCell="AC277" sqref="AC277"/>
    </sheetView>
  </sheetViews>
  <sheetFormatPr defaultColWidth="8.28515625" defaultRowHeight="15.75" outlineLevelRow="2" outlineLevelCol="1"/>
  <cols>
    <col min="1" max="1" width="0.7109375" style="2218" customWidth="1"/>
    <col min="2" max="2" width="10.5703125" style="2218" customWidth="1"/>
    <col min="3" max="3" width="48.5703125" style="2219" customWidth="1"/>
    <col min="4" max="4" width="22" style="2584" customWidth="1"/>
    <col min="5" max="5" width="14.5703125" style="2219" hidden="1" customWidth="1" outlineLevel="1"/>
    <col min="6" max="6" width="14.140625" style="2219" hidden="1" customWidth="1" outlineLevel="1"/>
    <col min="7" max="7" width="14.42578125" style="2219" hidden="1" customWidth="1" outlineLevel="1"/>
    <col min="8" max="8" width="14.5703125" style="2219" hidden="1" customWidth="1" outlineLevel="1"/>
    <col min="9" max="9" width="14.140625" style="2219" hidden="1" customWidth="1" outlineLevel="1"/>
    <col min="10" max="10" width="14.42578125" style="2219" hidden="1" customWidth="1" outlineLevel="1"/>
    <col min="11" max="11" width="14.5703125" style="2219" hidden="1" customWidth="1" outlineLevel="1"/>
    <col min="12" max="12" width="14.140625" style="2219" hidden="1" customWidth="1" outlineLevel="1"/>
    <col min="13" max="13" width="14.42578125" style="2219" hidden="1" customWidth="1" outlineLevel="1"/>
    <col min="14" max="14" width="16.85546875" style="2219" bestFit="1" customWidth="1" collapsed="1"/>
    <col min="15" max="15" width="16.85546875" style="2219" bestFit="1" customWidth="1"/>
    <col min="16" max="16" width="15.85546875" style="2219" bestFit="1" customWidth="1"/>
    <col min="17" max="27" width="16.85546875" style="2219" bestFit="1" customWidth="1"/>
    <col min="28" max="28" width="16.85546875" style="2464" bestFit="1" customWidth="1"/>
    <col min="29" max="29" width="13.7109375" style="1547" bestFit="1" customWidth="1"/>
    <col min="30" max="30" width="14.85546875" style="1547" bestFit="1" customWidth="1"/>
    <col min="31" max="31" width="14.42578125" style="1547" customWidth="1"/>
    <col min="32" max="32" width="14.7109375" bestFit="1" customWidth="1"/>
    <col min="33" max="33" width="14" bestFit="1" customWidth="1"/>
    <col min="34" max="34" width="13.42578125" bestFit="1" customWidth="1"/>
    <col min="35" max="35" width="16.5703125" bestFit="1" customWidth="1"/>
    <col min="36" max="36" width="12" bestFit="1" customWidth="1"/>
    <col min="37" max="37" width="13" bestFit="1" customWidth="1"/>
    <col min="257" max="257" width="0.7109375" customWidth="1"/>
    <col min="258" max="258" width="10.5703125" customWidth="1"/>
    <col min="259" max="259" width="46.42578125" customWidth="1"/>
    <col min="260" max="260" width="22" customWidth="1"/>
    <col min="261" max="269" width="0" hidden="1" customWidth="1"/>
    <col min="270" max="270" width="14.5703125" customWidth="1"/>
    <col min="271" max="271" width="16.85546875" bestFit="1" customWidth="1"/>
    <col min="272" max="272" width="14.42578125" customWidth="1"/>
    <col min="273" max="273" width="14.5703125" customWidth="1"/>
    <col min="274" max="274" width="16.85546875" bestFit="1" customWidth="1"/>
    <col min="275" max="275" width="14.42578125" bestFit="1" customWidth="1"/>
    <col min="276" max="276" width="14.5703125" customWidth="1"/>
    <col min="277" max="277" width="16.85546875" bestFit="1" customWidth="1"/>
    <col min="278" max="278" width="15.28515625" customWidth="1"/>
    <col min="279" max="279" width="14.5703125" customWidth="1"/>
    <col min="280" max="280" width="16.85546875" bestFit="1" customWidth="1"/>
    <col min="281" max="281" width="14.85546875" customWidth="1"/>
    <col min="282" max="282" width="14.5703125" customWidth="1"/>
    <col min="283" max="283" width="16.85546875" bestFit="1" customWidth="1"/>
    <col min="284" max="284" width="16" customWidth="1"/>
    <col min="285" max="285" width="13.7109375" bestFit="1" customWidth="1"/>
    <col min="286" max="286" width="13.85546875" bestFit="1" customWidth="1"/>
    <col min="287" max="287" width="14.42578125" customWidth="1"/>
    <col min="288" max="288" width="10.140625" customWidth="1"/>
    <col min="289" max="289" width="14" bestFit="1" customWidth="1"/>
    <col min="513" max="513" width="0.7109375" customWidth="1"/>
    <col min="514" max="514" width="10.5703125" customWidth="1"/>
    <col min="515" max="515" width="46.42578125" customWidth="1"/>
    <col min="516" max="516" width="22" customWidth="1"/>
    <col min="517" max="525" width="0" hidden="1" customWidth="1"/>
    <col min="526" max="526" width="14.5703125" customWidth="1"/>
    <col min="527" max="527" width="16.85546875" bestFit="1" customWidth="1"/>
    <col min="528" max="528" width="14.42578125" customWidth="1"/>
    <col min="529" max="529" width="14.5703125" customWidth="1"/>
    <col min="530" max="530" width="16.85546875" bestFit="1" customWidth="1"/>
    <col min="531" max="531" width="14.42578125" bestFit="1" customWidth="1"/>
    <col min="532" max="532" width="14.5703125" customWidth="1"/>
    <col min="533" max="533" width="16.85546875" bestFit="1" customWidth="1"/>
    <col min="534" max="534" width="15.28515625" customWidth="1"/>
    <col min="535" max="535" width="14.5703125" customWidth="1"/>
    <col min="536" max="536" width="16.85546875" bestFit="1" customWidth="1"/>
    <col min="537" max="537" width="14.85546875" customWidth="1"/>
    <col min="538" max="538" width="14.5703125" customWidth="1"/>
    <col min="539" max="539" width="16.85546875" bestFit="1" customWidth="1"/>
    <col min="540" max="540" width="16" customWidth="1"/>
    <col min="541" max="541" width="13.7109375" bestFit="1" customWidth="1"/>
    <col min="542" max="542" width="13.85546875" bestFit="1" customWidth="1"/>
    <col min="543" max="543" width="14.42578125" customWidth="1"/>
    <col min="544" max="544" width="10.140625" customWidth="1"/>
    <col min="545" max="545" width="14" bestFit="1" customWidth="1"/>
    <col min="769" max="769" width="0.7109375" customWidth="1"/>
    <col min="770" max="770" width="10.5703125" customWidth="1"/>
    <col min="771" max="771" width="46.42578125" customWidth="1"/>
    <col min="772" max="772" width="22" customWidth="1"/>
    <col min="773" max="781" width="0" hidden="1" customWidth="1"/>
    <col min="782" max="782" width="14.5703125" customWidth="1"/>
    <col min="783" max="783" width="16.85546875" bestFit="1" customWidth="1"/>
    <col min="784" max="784" width="14.42578125" customWidth="1"/>
    <col min="785" max="785" width="14.5703125" customWidth="1"/>
    <col min="786" max="786" width="16.85546875" bestFit="1" customWidth="1"/>
    <col min="787" max="787" width="14.42578125" bestFit="1" customWidth="1"/>
    <col min="788" max="788" width="14.5703125" customWidth="1"/>
    <col min="789" max="789" width="16.85546875" bestFit="1" customWidth="1"/>
    <col min="790" max="790" width="15.28515625" customWidth="1"/>
    <col min="791" max="791" width="14.5703125" customWidth="1"/>
    <col min="792" max="792" width="16.85546875" bestFit="1" customWidth="1"/>
    <col min="793" max="793" width="14.85546875" customWidth="1"/>
    <col min="794" max="794" width="14.5703125" customWidth="1"/>
    <col min="795" max="795" width="16.85546875" bestFit="1" customWidth="1"/>
    <col min="796" max="796" width="16" customWidth="1"/>
    <col min="797" max="797" width="13.7109375" bestFit="1" customWidth="1"/>
    <col min="798" max="798" width="13.85546875" bestFit="1" customWidth="1"/>
    <col min="799" max="799" width="14.42578125" customWidth="1"/>
    <col min="800" max="800" width="10.140625" customWidth="1"/>
    <col min="801" max="801" width="14" bestFit="1" customWidth="1"/>
    <col min="1025" max="1025" width="0.7109375" customWidth="1"/>
    <col min="1026" max="1026" width="10.5703125" customWidth="1"/>
    <col min="1027" max="1027" width="46.42578125" customWidth="1"/>
    <col min="1028" max="1028" width="22" customWidth="1"/>
    <col min="1029" max="1037" width="0" hidden="1" customWidth="1"/>
    <col min="1038" max="1038" width="14.5703125" customWidth="1"/>
    <col min="1039" max="1039" width="16.85546875" bestFit="1" customWidth="1"/>
    <col min="1040" max="1040" width="14.42578125" customWidth="1"/>
    <col min="1041" max="1041" width="14.5703125" customWidth="1"/>
    <col min="1042" max="1042" width="16.85546875" bestFit="1" customWidth="1"/>
    <col min="1043" max="1043" width="14.42578125" bestFit="1" customWidth="1"/>
    <col min="1044" max="1044" width="14.5703125" customWidth="1"/>
    <col min="1045" max="1045" width="16.85546875" bestFit="1" customWidth="1"/>
    <col min="1046" max="1046" width="15.28515625" customWidth="1"/>
    <col min="1047" max="1047" width="14.5703125" customWidth="1"/>
    <col min="1048" max="1048" width="16.85546875" bestFit="1" customWidth="1"/>
    <col min="1049" max="1049" width="14.85546875" customWidth="1"/>
    <col min="1050" max="1050" width="14.5703125" customWidth="1"/>
    <col min="1051" max="1051" width="16.85546875" bestFit="1" customWidth="1"/>
    <col min="1052" max="1052" width="16" customWidth="1"/>
    <col min="1053" max="1053" width="13.7109375" bestFit="1" customWidth="1"/>
    <col min="1054" max="1054" width="13.85546875" bestFit="1" customWidth="1"/>
    <col min="1055" max="1055" width="14.42578125" customWidth="1"/>
    <col min="1056" max="1056" width="10.140625" customWidth="1"/>
    <col min="1057" max="1057" width="14" bestFit="1" customWidth="1"/>
    <col min="1281" max="1281" width="0.7109375" customWidth="1"/>
    <col min="1282" max="1282" width="10.5703125" customWidth="1"/>
    <col min="1283" max="1283" width="46.42578125" customWidth="1"/>
    <col min="1284" max="1284" width="22" customWidth="1"/>
    <col min="1285" max="1293" width="0" hidden="1" customWidth="1"/>
    <col min="1294" max="1294" width="14.5703125" customWidth="1"/>
    <col min="1295" max="1295" width="16.85546875" bestFit="1" customWidth="1"/>
    <col min="1296" max="1296" width="14.42578125" customWidth="1"/>
    <col min="1297" max="1297" width="14.5703125" customWidth="1"/>
    <col min="1298" max="1298" width="16.85546875" bestFit="1" customWidth="1"/>
    <col min="1299" max="1299" width="14.42578125" bestFit="1" customWidth="1"/>
    <col min="1300" max="1300" width="14.5703125" customWidth="1"/>
    <col min="1301" max="1301" width="16.85546875" bestFit="1" customWidth="1"/>
    <col min="1302" max="1302" width="15.28515625" customWidth="1"/>
    <col min="1303" max="1303" width="14.5703125" customWidth="1"/>
    <col min="1304" max="1304" width="16.85546875" bestFit="1" customWidth="1"/>
    <col min="1305" max="1305" width="14.85546875" customWidth="1"/>
    <col min="1306" max="1306" width="14.5703125" customWidth="1"/>
    <col min="1307" max="1307" width="16.85546875" bestFit="1" customWidth="1"/>
    <col min="1308" max="1308" width="16" customWidth="1"/>
    <col min="1309" max="1309" width="13.7109375" bestFit="1" customWidth="1"/>
    <col min="1310" max="1310" width="13.85546875" bestFit="1" customWidth="1"/>
    <col min="1311" max="1311" width="14.42578125" customWidth="1"/>
    <col min="1312" max="1312" width="10.140625" customWidth="1"/>
    <col min="1313" max="1313" width="14" bestFit="1" customWidth="1"/>
    <col min="1537" max="1537" width="0.7109375" customWidth="1"/>
    <col min="1538" max="1538" width="10.5703125" customWidth="1"/>
    <col min="1539" max="1539" width="46.42578125" customWidth="1"/>
    <col min="1540" max="1540" width="22" customWidth="1"/>
    <col min="1541" max="1549" width="0" hidden="1" customWidth="1"/>
    <col min="1550" max="1550" width="14.5703125" customWidth="1"/>
    <col min="1551" max="1551" width="16.85546875" bestFit="1" customWidth="1"/>
    <col min="1552" max="1552" width="14.42578125" customWidth="1"/>
    <col min="1553" max="1553" width="14.5703125" customWidth="1"/>
    <col min="1554" max="1554" width="16.85546875" bestFit="1" customWidth="1"/>
    <col min="1555" max="1555" width="14.42578125" bestFit="1" customWidth="1"/>
    <col min="1556" max="1556" width="14.5703125" customWidth="1"/>
    <col min="1557" max="1557" width="16.85546875" bestFit="1" customWidth="1"/>
    <col min="1558" max="1558" width="15.28515625" customWidth="1"/>
    <col min="1559" max="1559" width="14.5703125" customWidth="1"/>
    <col min="1560" max="1560" width="16.85546875" bestFit="1" customWidth="1"/>
    <col min="1561" max="1561" width="14.85546875" customWidth="1"/>
    <col min="1562" max="1562" width="14.5703125" customWidth="1"/>
    <col min="1563" max="1563" width="16.85546875" bestFit="1" customWidth="1"/>
    <col min="1564" max="1564" width="16" customWidth="1"/>
    <col min="1565" max="1565" width="13.7109375" bestFit="1" customWidth="1"/>
    <col min="1566" max="1566" width="13.85546875" bestFit="1" customWidth="1"/>
    <col min="1567" max="1567" width="14.42578125" customWidth="1"/>
    <col min="1568" max="1568" width="10.140625" customWidth="1"/>
    <col min="1569" max="1569" width="14" bestFit="1" customWidth="1"/>
    <col min="1793" max="1793" width="0.7109375" customWidth="1"/>
    <col min="1794" max="1794" width="10.5703125" customWidth="1"/>
    <col min="1795" max="1795" width="46.42578125" customWidth="1"/>
    <col min="1796" max="1796" width="22" customWidth="1"/>
    <col min="1797" max="1805" width="0" hidden="1" customWidth="1"/>
    <col min="1806" max="1806" width="14.5703125" customWidth="1"/>
    <col min="1807" max="1807" width="16.85546875" bestFit="1" customWidth="1"/>
    <col min="1808" max="1808" width="14.42578125" customWidth="1"/>
    <col min="1809" max="1809" width="14.5703125" customWidth="1"/>
    <col min="1810" max="1810" width="16.85546875" bestFit="1" customWidth="1"/>
    <col min="1811" max="1811" width="14.42578125" bestFit="1" customWidth="1"/>
    <col min="1812" max="1812" width="14.5703125" customWidth="1"/>
    <col min="1813" max="1813" width="16.85546875" bestFit="1" customWidth="1"/>
    <col min="1814" max="1814" width="15.28515625" customWidth="1"/>
    <col min="1815" max="1815" width="14.5703125" customWidth="1"/>
    <col min="1816" max="1816" width="16.85546875" bestFit="1" customWidth="1"/>
    <col min="1817" max="1817" width="14.85546875" customWidth="1"/>
    <col min="1818" max="1818" width="14.5703125" customWidth="1"/>
    <col min="1819" max="1819" width="16.85546875" bestFit="1" customWidth="1"/>
    <col min="1820" max="1820" width="16" customWidth="1"/>
    <col min="1821" max="1821" width="13.7109375" bestFit="1" customWidth="1"/>
    <col min="1822" max="1822" width="13.85546875" bestFit="1" customWidth="1"/>
    <col min="1823" max="1823" width="14.42578125" customWidth="1"/>
    <col min="1824" max="1824" width="10.140625" customWidth="1"/>
    <col min="1825" max="1825" width="14" bestFit="1" customWidth="1"/>
    <col min="2049" max="2049" width="0.7109375" customWidth="1"/>
    <col min="2050" max="2050" width="10.5703125" customWidth="1"/>
    <col min="2051" max="2051" width="46.42578125" customWidth="1"/>
    <col min="2052" max="2052" width="22" customWidth="1"/>
    <col min="2053" max="2061" width="0" hidden="1" customWidth="1"/>
    <col min="2062" max="2062" width="14.5703125" customWidth="1"/>
    <col min="2063" max="2063" width="16.85546875" bestFit="1" customWidth="1"/>
    <col min="2064" max="2064" width="14.42578125" customWidth="1"/>
    <col min="2065" max="2065" width="14.5703125" customWidth="1"/>
    <col min="2066" max="2066" width="16.85546875" bestFit="1" customWidth="1"/>
    <col min="2067" max="2067" width="14.42578125" bestFit="1" customWidth="1"/>
    <col min="2068" max="2068" width="14.5703125" customWidth="1"/>
    <col min="2069" max="2069" width="16.85546875" bestFit="1" customWidth="1"/>
    <col min="2070" max="2070" width="15.28515625" customWidth="1"/>
    <col min="2071" max="2071" width="14.5703125" customWidth="1"/>
    <col min="2072" max="2072" width="16.85546875" bestFit="1" customWidth="1"/>
    <col min="2073" max="2073" width="14.85546875" customWidth="1"/>
    <col min="2074" max="2074" width="14.5703125" customWidth="1"/>
    <col min="2075" max="2075" width="16.85546875" bestFit="1" customWidth="1"/>
    <col min="2076" max="2076" width="16" customWidth="1"/>
    <col min="2077" max="2077" width="13.7109375" bestFit="1" customWidth="1"/>
    <col min="2078" max="2078" width="13.85546875" bestFit="1" customWidth="1"/>
    <col min="2079" max="2079" width="14.42578125" customWidth="1"/>
    <col min="2080" max="2080" width="10.140625" customWidth="1"/>
    <col min="2081" max="2081" width="14" bestFit="1" customWidth="1"/>
    <col min="2305" max="2305" width="0.7109375" customWidth="1"/>
    <col min="2306" max="2306" width="10.5703125" customWidth="1"/>
    <col min="2307" max="2307" width="46.42578125" customWidth="1"/>
    <col min="2308" max="2308" width="22" customWidth="1"/>
    <col min="2309" max="2317" width="0" hidden="1" customWidth="1"/>
    <col min="2318" max="2318" width="14.5703125" customWidth="1"/>
    <col min="2319" max="2319" width="16.85546875" bestFit="1" customWidth="1"/>
    <col min="2320" max="2320" width="14.42578125" customWidth="1"/>
    <col min="2321" max="2321" width="14.5703125" customWidth="1"/>
    <col min="2322" max="2322" width="16.85546875" bestFit="1" customWidth="1"/>
    <col min="2323" max="2323" width="14.42578125" bestFit="1" customWidth="1"/>
    <col min="2324" max="2324" width="14.5703125" customWidth="1"/>
    <col min="2325" max="2325" width="16.85546875" bestFit="1" customWidth="1"/>
    <col min="2326" max="2326" width="15.28515625" customWidth="1"/>
    <col min="2327" max="2327" width="14.5703125" customWidth="1"/>
    <col min="2328" max="2328" width="16.85546875" bestFit="1" customWidth="1"/>
    <col min="2329" max="2329" width="14.85546875" customWidth="1"/>
    <col min="2330" max="2330" width="14.5703125" customWidth="1"/>
    <col min="2331" max="2331" width="16.85546875" bestFit="1" customWidth="1"/>
    <col min="2332" max="2332" width="16" customWidth="1"/>
    <col min="2333" max="2333" width="13.7109375" bestFit="1" customWidth="1"/>
    <col min="2334" max="2334" width="13.85546875" bestFit="1" customWidth="1"/>
    <col min="2335" max="2335" width="14.42578125" customWidth="1"/>
    <col min="2336" max="2336" width="10.140625" customWidth="1"/>
    <col min="2337" max="2337" width="14" bestFit="1" customWidth="1"/>
    <col min="2561" max="2561" width="0.7109375" customWidth="1"/>
    <col min="2562" max="2562" width="10.5703125" customWidth="1"/>
    <col min="2563" max="2563" width="46.42578125" customWidth="1"/>
    <col min="2564" max="2564" width="22" customWidth="1"/>
    <col min="2565" max="2573" width="0" hidden="1" customWidth="1"/>
    <col min="2574" max="2574" width="14.5703125" customWidth="1"/>
    <col min="2575" max="2575" width="16.85546875" bestFit="1" customWidth="1"/>
    <col min="2576" max="2576" width="14.42578125" customWidth="1"/>
    <col min="2577" max="2577" width="14.5703125" customWidth="1"/>
    <col min="2578" max="2578" width="16.85546875" bestFit="1" customWidth="1"/>
    <col min="2579" max="2579" width="14.42578125" bestFit="1" customWidth="1"/>
    <col min="2580" max="2580" width="14.5703125" customWidth="1"/>
    <col min="2581" max="2581" width="16.85546875" bestFit="1" customWidth="1"/>
    <col min="2582" max="2582" width="15.28515625" customWidth="1"/>
    <col min="2583" max="2583" width="14.5703125" customWidth="1"/>
    <col min="2584" max="2584" width="16.85546875" bestFit="1" customWidth="1"/>
    <col min="2585" max="2585" width="14.85546875" customWidth="1"/>
    <col min="2586" max="2586" width="14.5703125" customWidth="1"/>
    <col min="2587" max="2587" width="16.85546875" bestFit="1" customWidth="1"/>
    <col min="2588" max="2588" width="16" customWidth="1"/>
    <col min="2589" max="2589" width="13.7109375" bestFit="1" customWidth="1"/>
    <col min="2590" max="2590" width="13.85546875" bestFit="1" customWidth="1"/>
    <col min="2591" max="2591" width="14.42578125" customWidth="1"/>
    <col min="2592" max="2592" width="10.140625" customWidth="1"/>
    <col min="2593" max="2593" width="14" bestFit="1" customWidth="1"/>
    <col min="2817" max="2817" width="0.7109375" customWidth="1"/>
    <col min="2818" max="2818" width="10.5703125" customWidth="1"/>
    <col min="2819" max="2819" width="46.42578125" customWidth="1"/>
    <col min="2820" max="2820" width="22" customWidth="1"/>
    <col min="2821" max="2829" width="0" hidden="1" customWidth="1"/>
    <col min="2830" max="2830" width="14.5703125" customWidth="1"/>
    <col min="2831" max="2831" width="16.85546875" bestFit="1" customWidth="1"/>
    <col min="2832" max="2832" width="14.42578125" customWidth="1"/>
    <col min="2833" max="2833" width="14.5703125" customWidth="1"/>
    <col min="2834" max="2834" width="16.85546875" bestFit="1" customWidth="1"/>
    <col min="2835" max="2835" width="14.42578125" bestFit="1" customWidth="1"/>
    <col min="2836" max="2836" width="14.5703125" customWidth="1"/>
    <col min="2837" max="2837" width="16.85546875" bestFit="1" customWidth="1"/>
    <col min="2838" max="2838" width="15.28515625" customWidth="1"/>
    <col min="2839" max="2839" width="14.5703125" customWidth="1"/>
    <col min="2840" max="2840" width="16.85546875" bestFit="1" customWidth="1"/>
    <col min="2841" max="2841" width="14.85546875" customWidth="1"/>
    <col min="2842" max="2842" width="14.5703125" customWidth="1"/>
    <col min="2843" max="2843" width="16.85546875" bestFit="1" customWidth="1"/>
    <col min="2844" max="2844" width="16" customWidth="1"/>
    <col min="2845" max="2845" width="13.7109375" bestFit="1" customWidth="1"/>
    <col min="2846" max="2846" width="13.85546875" bestFit="1" customWidth="1"/>
    <col min="2847" max="2847" width="14.42578125" customWidth="1"/>
    <col min="2848" max="2848" width="10.140625" customWidth="1"/>
    <col min="2849" max="2849" width="14" bestFit="1" customWidth="1"/>
    <col min="3073" max="3073" width="0.7109375" customWidth="1"/>
    <col min="3074" max="3074" width="10.5703125" customWidth="1"/>
    <col min="3075" max="3075" width="46.42578125" customWidth="1"/>
    <col min="3076" max="3076" width="22" customWidth="1"/>
    <col min="3077" max="3085" width="0" hidden="1" customWidth="1"/>
    <col min="3086" max="3086" width="14.5703125" customWidth="1"/>
    <col min="3087" max="3087" width="16.85546875" bestFit="1" customWidth="1"/>
    <col min="3088" max="3088" width="14.42578125" customWidth="1"/>
    <col min="3089" max="3089" width="14.5703125" customWidth="1"/>
    <col min="3090" max="3090" width="16.85546875" bestFit="1" customWidth="1"/>
    <col min="3091" max="3091" width="14.42578125" bestFit="1" customWidth="1"/>
    <col min="3092" max="3092" width="14.5703125" customWidth="1"/>
    <col min="3093" max="3093" width="16.85546875" bestFit="1" customWidth="1"/>
    <col min="3094" max="3094" width="15.28515625" customWidth="1"/>
    <col min="3095" max="3095" width="14.5703125" customWidth="1"/>
    <col min="3096" max="3096" width="16.85546875" bestFit="1" customWidth="1"/>
    <col min="3097" max="3097" width="14.85546875" customWidth="1"/>
    <col min="3098" max="3098" width="14.5703125" customWidth="1"/>
    <col min="3099" max="3099" width="16.85546875" bestFit="1" customWidth="1"/>
    <col min="3100" max="3100" width="16" customWidth="1"/>
    <col min="3101" max="3101" width="13.7109375" bestFit="1" customWidth="1"/>
    <col min="3102" max="3102" width="13.85546875" bestFit="1" customWidth="1"/>
    <col min="3103" max="3103" width="14.42578125" customWidth="1"/>
    <col min="3104" max="3104" width="10.140625" customWidth="1"/>
    <col min="3105" max="3105" width="14" bestFit="1" customWidth="1"/>
    <col min="3329" max="3329" width="0.7109375" customWidth="1"/>
    <col min="3330" max="3330" width="10.5703125" customWidth="1"/>
    <col min="3331" max="3331" width="46.42578125" customWidth="1"/>
    <col min="3332" max="3332" width="22" customWidth="1"/>
    <col min="3333" max="3341" width="0" hidden="1" customWidth="1"/>
    <col min="3342" max="3342" width="14.5703125" customWidth="1"/>
    <col min="3343" max="3343" width="16.85546875" bestFit="1" customWidth="1"/>
    <col min="3344" max="3344" width="14.42578125" customWidth="1"/>
    <col min="3345" max="3345" width="14.5703125" customWidth="1"/>
    <col min="3346" max="3346" width="16.85546875" bestFit="1" customWidth="1"/>
    <col min="3347" max="3347" width="14.42578125" bestFit="1" customWidth="1"/>
    <col min="3348" max="3348" width="14.5703125" customWidth="1"/>
    <col min="3349" max="3349" width="16.85546875" bestFit="1" customWidth="1"/>
    <col min="3350" max="3350" width="15.28515625" customWidth="1"/>
    <col min="3351" max="3351" width="14.5703125" customWidth="1"/>
    <col min="3352" max="3352" width="16.85546875" bestFit="1" customWidth="1"/>
    <col min="3353" max="3353" width="14.85546875" customWidth="1"/>
    <col min="3354" max="3354" width="14.5703125" customWidth="1"/>
    <col min="3355" max="3355" width="16.85546875" bestFit="1" customWidth="1"/>
    <col min="3356" max="3356" width="16" customWidth="1"/>
    <col min="3357" max="3357" width="13.7109375" bestFit="1" customWidth="1"/>
    <col min="3358" max="3358" width="13.85546875" bestFit="1" customWidth="1"/>
    <col min="3359" max="3359" width="14.42578125" customWidth="1"/>
    <col min="3360" max="3360" width="10.140625" customWidth="1"/>
    <col min="3361" max="3361" width="14" bestFit="1" customWidth="1"/>
    <col min="3585" max="3585" width="0.7109375" customWidth="1"/>
    <col min="3586" max="3586" width="10.5703125" customWidth="1"/>
    <col min="3587" max="3587" width="46.42578125" customWidth="1"/>
    <col min="3588" max="3588" width="22" customWidth="1"/>
    <col min="3589" max="3597" width="0" hidden="1" customWidth="1"/>
    <col min="3598" max="3598" width="14.5703125" customWidth="1"/>
    <col min="3599" max="3599" width="16.85546875" bestFit="1" customWidth="1"/>
    <col min="3600" max="3600" width="14.42578125" customWidth="1"/>
    <col min="3601" max="3601" width="14.5703125" customWidth="1"/>
    <col min="3602" max="3602" width="16.85546875" bestFit="1" customWidth="1"/>
    <col min="3603" max="3603" width="14.42578125" bestFit="1" customWidth="1"/>
    <col min="3604" max="3604" width="14.5703125" customWidth="1"/>
    <col min="3605" max="3605" width="16.85546875" bestFit="1" customWidth="1"/>
    <col min="3606" max="3606" width="15.28515625" customWidth="1"/>
    <col min="3607" max="3607" width="14.5703125" customWidth="1"/>
    <col min="3608" max="3608" width="16.85546875" bestFit="1" customWidth="1"/>
    <col min="3609" max="3609" width="14.85546875" customWidth="1"/>
    <col min="3610" max="3610" width="14.5703125" customWidth="1"/>
    <col min="3611" max="3611" width="16.85546875" bestFit="1" customWidth="1"/>
    <col min="3612" max="3612" width="16" customWidth="1"/>
    <col min="3613" max="3613" width="13.7109375" bestFit="1" customWidth="1"/>
    <col min="3614" max="3614" width="13.85546875" bestFit="1" customWidth="1"/>
    <col min="3615" max="3615" width="14.42578125" customWidth="1"/>
    <col min="3616" max="3616" width="10.140625" customWidth="1"/>
    <col min="3617" max="3617" width="14" bestFit="1" customWidth="1"/>
    <col min="3841" max="3841" width="0.7109375" customWidth="1"/>
    <col min="3842" max="3842" width="10.5703125" customWidth="1"/>
    <col min="3843" max="3843" width="46.42578125" customWidth="1"/>
    <col min="3844" max="3844" width="22" customWidth="1"/>
    <col min="3845" max="3853" width="0" hidden="1" customWidth="1"/>
    <col min="3854" max="3854" width="14.5703125" customWidth="1"/>
    <col min="3855" max="3855" width="16.85546875" bestFit="1" customWidth="1"/>
    <col min="3856" max="3856" width="14.42578125" customWidth="1"/>
    <col min="3857" max="3857" width="14.5703125" customWidth="1"/>
    <col min="3858" max="3858" width="16.85546875" bestFit="1" customWidth="1"/>
    <col min="3859" max="3859" width="14.42578125" bestFit="1" customWidth="1"/>
    <col min="3860" max="3860" width="14.5703125" customWidth="1"/>
    <col min="3861" max="3861" width="16.85546875" bestFit="1" customWidth="1"/>
    <col min="3862" max="3862" width="15.28515625" customWidth="1"/>
    <col min="3863" max="3863" width="14.5703125" customWidth="1"/>
    <col min="3864" max="3864" width="16.85546875" bestFit="1" customWidth="1"/>
    <col min="3865" max="3865" width="14.85546875" customWidth="1"/>
    <col min="3866" max="3866" width="14.5703125" customWidth="1"/>
    <col min="3867" max="3867" width="16.85546875" bestFit="1" customWidth="1"/>
    <col min="3868" max="3868" width="16" customWidth="1"/>
    <col min="3869" max="3869" width="13.7109375" bestFit="1" customWidth="1"/>
    <col min="3870" max="3870" width="13.85546875" bestFit="1" customWidth="1"/>
    <col min="3871" max="3871" width="14.42578125" customWidth="1"/>
    <col min="3872" max="3872" width="10.140625" customWidth="1"/>
    <col min="3873" max="3873" width="14" bestFit="1" customWidth="1"/>
    <col min="4097" max="4097" width="0.7109375" customWidth="1"/>
    <col min="4098" max="4098" width="10.5703125" customWidth="1"/>
    <col min="4099" max="4099" width="46.42578125" customWidth="1"/>
    <col min="4100" max="4100" width="22" customWidth="1"/>
    <col min="4101" max="4109" width="0" hidden="1" customWidth="1"/>
    <col min="4110" max="4110" width="14.5703125" customWidth="1"/>
    <col min="4111" max="4111" width="16.85546875" bestFit="1" customWidth="1"/>
    <col min="4112" max="4112" width="14.42578125" customWidth="1"/>
    <col min="4113" max="4113" width="14.5703125" customWidth="1"/>
    <col min="4114" max="4114" width="16.85546875" bestFit="1" customWidth="1"/>
    <col min="4115" max="4115" width="14.42578125" bestFit="1" customWidth="1"/>
    <col min="4116" max="4116" width="14.5703125" customWidth="1"/>
    <col min="4117" max="4117" width="16.85546875" bestFit="1" customWidth="1"/>
    <col min="4118" max="4118" width="15.28515625" customWidth="1"/>
    <col min="4119" max="4119" width="14.5703125" customWidth="1"/>
    <col min="4120" max="4120" width="16.85546875" bestFit="1" customWidth="1"/>
    <col min="4121" max="4121" width="14.85546875" customWidth="1"/>
    <col min="4122" max="4122" width="14.5703125" customWidth="1"/>
    <col min="4123" max="4123" width="16.85546875" bestFit="1" customWidth="1"/>
    <col min="4124" max="4124" width="16" customWidth="1"/>
    <col min="4125" max="4125" width="13.7109375" bestFit="1" customWidth="1"/>
    <col min="4126" max="4126" width="13.85546875" bestFit="1" customWidth="1"/>
    <col min="4127" max="4127" width="14.42578125" customWidth="1"/>
    <col min="4128" max="4128" width="10.140625" customWidth="1"/>
    <col min="4129" max="4129" width="14" bestFit="1" customWidth="1"/>
    <col min="4353" max="4353" width="0.7109375" customWidth="1"/>
    <col min="4354" max="4354" width="10.5703125" customWidth="1"/>
    <col min="4355" max="4355" width="46.42578125" customWidth="1"/>
    <col min="4356" max="4356" width="22" customWidth="1"/>
    <col min="4357" max="4365" width="0" hidden="1" customWidth="1"/>
    <col min="4366" max="4366" width="14.5703125" customWidth="1"/>
    <col min="4367" max="4367" width="16.85546875" bestFit="1" customWidth="1"/>
    <col min="4368" max="4368" width="14.42578125" customWidth="1"/>
    <col min="4369" max="4369" width="14.5703125" customWidth="1"/>
    <col min="4370" max="4370" width="16.85546875" bestFit="1" customWidth="1"/>
    <col min="4371" max="4371" width="14.42578125" bestFit="1" customWidth="1"/>
    <col min="4372" max="4372" width="14.5703125" customWidth="1"/>
    <col min="4373" max="4373" width="16.85546875" bestFit="1" customWidth="1"/>
    <col min="4374" max="4374" width="15.28515625" customWidth="1"/>
    <col min="4375" max="4375" width="14.5703125" customWidth="1"/>
    <col min="4376" max="4376" width="16.85546875" bestFit="1" customWidth="1"/>
    <col min="4377" max="4377" width="14.85546875" customWidth="1"/>
    <col min="4378" max="4378" width="14.5703125" customWidth="1"/>
    <col min="4379" max="4379" width="16.85546875" bestFit="1" customWidth="1"/>
    <col min="4380" max="4380" width="16" customWidth="1"/>
    <col min="4381" max="4381" width="13.7109375" bestFit="1" customWidth="1"/>
    <col min="4382" max="4382" width="13.85546875" bestFit="1" customWidth="1"/>
    <col min="4383" max="4383" width="14.42578125" customWidth="1"/>
    <col min="4384" max="4384" width="10.140625" customWidth="1"/>
    <col min="4385" max="4385" width="14" bestFit="1" customWidth="1"/>
    <col min="4609" max="4609" width="0.7109375" customWidth="1"/>
    <col min="4610" max="4610" width="10.5703125" customWidth="1"/>
    <col min="4611" max="4611" width="46.42578125" customWidth="1"/>
    <col min="4612" max="4612" width="22" customWidth="1"/>
    <col min="4613" max="4621" width="0" hidden="1" customWidth="1"/>
    <col min="4622" max="4622" width="14.5703125" customWidth="1"/>
    <col min="4623" max="4623" width="16.85546875" bestFit="1" customWidth="1"/>
    <col min="4624" max="4624" width="14.42578125" customWidth="1"/>
    <col min="4625" max="4625" width="14.5703125" customWidth="1"/>
    <col min="4626" max="4626" width="16.85546875" bestFit="1" customWidth="1"/>
    <col min="4627" max="4627" width="14.42578125" bestFit="1" customWidth="1"/>
    <col min="4628" max="4628" width="14.5703125" customWidth="1"/>
    <col min="4629" max="4629" width="16.85546875" bestFit="1" customWidth="1"/>
    <col min="4630" max="4630" width="15.28515625" customWidth="1"/>
    <col min="4631" max="4631" width="14.5703125" customWidth="1"/>
    <col min="4632" max="4632" width="16.85546875" bestFit="1" customWidth="1"/>
    <col min="4633" max="4633" width="14.85546875" customWidth="1"/>
    <col min="4634" max="4634" width="14.5703125" customWidth="1"/>
    <col min="4635" max="4635" width="16.85546875" bestFit="1" customWidth="1"/>
    <col min="4636" max="4636" width="16" customWidth="1"/>
    <col min="4637" max="4637" width="13.7109375" bestFit="1" customWidth="1"/>
    <col min="4638" max="4638" width="13.85546875" bestFit="1" customWidth="1"/>
    <col min="4639" max="4639" width="14.42578125" customWidth="1"/>
    <col min="4640" max="4640" width="10.140625" customWidth="1"/>
    <col min="4641" max="4641" width="14" bestFit="1" customWidth="1"/>
    <col min="4865" max="4865" width="0.7109375" customWidth="1"/>
    <col min="4866" max="4866" width="10.5703125" customWidth="1"/>
    <col min="4867" max="4867" width="46.42578125" customWidth="1"/>
    <col min="4868" max="4868" width="22" customWidth="1"/>
    <col min="4869" max="4877" width="0" hidden="1" customWidth="1"/>
    <col min="4878" max="4878" width="14.5703125" customWidth="1"/>
    <col min="4879" max="4879" width="16.85546875" bestFit="1" customWidth="1"/>
    <col min="4880" max="4880" width="14.42578125" customWidth="1"/>
    <col min="4881" max="4881" width="14.5703125" customWidth="1"/>
    <col min="4882" max="4882" width="16.85546875" bestFit="1" customWidth="1"/>
    <col min="4883" max="4883" width="14.42578125" bestFit="1" customWidth="1"/>
    <col min="4884" max="4884" width="14.5703125" customWidth="1"/>
    <col min="4885" max="4885" width="16.85546875" bestFit="1" customWidth="1"/>
    <col min="4886" max="4886" width="15.28515625" customWidth="1"/>
    <col min="4887" max="4887" width="14.5703125" customWidth="1"/>
    <col min="4888" max="4888" width="16.85546875" bestFit="1" customWidth="1"/>
    <col min="4889" max="4889" width="14.85546875" customWidth="1"/>
    <col min="4890" max="4890" width="14.5703125" customWidth="1"/>
    <col min="4891" max="4891" width="16.85546875" bestFit="1" customWidth="1"/>
    <col min="4892" max="4892" width="16" customWidth="1"/>
    <col min="4893" max="4893" width="13.7109375" bestFit="1" customWidth="1"/>
    <col min="4894" max="4894" width="13.85546875" bestFit="1" customWidth="1"/>
    <col min="4895" max="4895" width="14.42578125" customWidth="1"/>
    <col min="4896" max="4896" width="10.140625" customWidth="1"/>
    <col min="4897" max="4897" width="14" bestFit="1" customWidth="1"/>
    <col min="5121" max="5121" width="0.7109375" customWidth="1"/>
    <col min="5122" max="5122" width="10.5703125" customWidth="1"/>
    <col min="5123" max="5123" width="46.42578125" customWidth="1"/>
    <col min="5124" max="5124" width="22" customWidth="1"/>
    <col min="5125" max="5133" width="0" hidden="1" customWidth="1"/>
    <col min="5134" max="5134" width="14.5703125" customWidth="1"/>
    <col min="5135" max="5135" width="16.85546875" bestFit="1" customWidth="1"/>
    <col min="5136" max="5136" width="14.42578125" customWidth="1"/>
    <col min="5137" max="5137" width="14.5703125" customWidth="1"/>
    <col min="5138" max="5138" width="16.85546875" bestFit="1" customWidth="1"/>
    <col min="5139" max="5139" width="14.42578125" bestFit="1" customWidth="1"/>
    <col min="5140" max="5140" width="14.5703125" customWidth="1"/>
    <col min="5141" max="5141" width="16.85546875" bestFit="1" customWidth="1"/>
    <col min="5142" max="5142" width="15.28515625" customWidth="1"/>
    <col min="5143" max="5143" width="14.5703125" customWidth="1"/>
    <col min="5144" max="5144" width="16.85546875" bestFit="1" customWidth="1"/>
    <col min="5145" max="5145" width="14.85546875" customWidth="1"/>
    <col min="5146" max="5146" width="14.5703125" customWidth="1"/>
    <col min="5147" max="5147" width="16.85546875" bestFit="1" customWidth="1"/>
    <col min="5148" max="5148" width="16" customWidth="1"/>
    <col min="5149" max="5149" width="13.7109375" bestFit="1" customWidth="1"/>
    <col min="5150" max="5150" width="13.85546875" bestFit="1" customWidth="1"/>
    <col min="5151" max="5151" width="14.42578125" customWidth="1"/>
    <col min="5152" max="5152" width="10.140625" customWidth="1"/>
    <col min="5153" max="5153" width="14" bestFit="1" customWidth="1"/>
    <col min="5377" max="5377" width="0.7109375" customWidth="1"/>
    <col min="5378" max="5378" width="10.5703125" customWidth="1"/>
    <col min="5379" max="5379" width="46.42578125" customWidth="1"/>
    <col min="5380" max="5380" width="22" customWidth="1"/>
    <col min="5381" max="5389" width="0" hidden="1" customWidth="1"/>
    <col min="5390" max="5390" width="14.5703125" customWidth="1"/>
    <col min="5391" max="5391" width="16.85546875" bestFit="1" customWidth="1"/>
    <col min="5392" max="5392" width="14.42578125" customWidth="1"/>
    <col min="5393" max="5393" width="14.5703125" customWidth="1"/>
    <col min="5394" max="5394" width="16.85546875" bestFit="1" customWidth="1"/>
    <col min="5395" max="5395" width="14.42578125" bestFit="1" customWidth="1"/>
    <col min="5396" max="5396" width="14.5703125" customWidth="1"/>
    <col min="5397" max="5397" width="16.85546875" bestFit="1" customWidth="1"/>
    <col min="5398" max="5398" width="15.28515625" customWidth="1"/>
    <col min="5399" max="5399" width="14.5703125" customWidth="1"/>
    <col min="5400" max="5400" width="16.85546875" bestFit="1" customWidth="1"/>
    <col min="5401" max="5401" width="14.85546875" customWidth="1"/>
    <col min="5402" max="5402" width="14.5703125" customWidth="1"/>
    <col min="5403" max="5403" width="16.85546875" bestFit="1" customWidth="1"/>
    <col min="5404" max="5404" width="16" customWidth="1"/>
    <col min="5405" max="5405" width="13.7109375" bestFit="1" customWidth="1"/>
    <col min="5406" max="5406" width="13.85546875" bestFit="1" customWidth="1"/>
    <col min="5407" max="5407" width="14.42578125" customWidth="1"/>
    <col min="5408" max="5408" width="10.140625" customWidth="1"/>
    <col min="5409" max="5409" width="14" bestFit="1" customWidth="1"/>
    <col min="5633" max="5633" width="0.7109375" customWidth="1"/>
    <col min="5634" max="5634" width="10.5703125" customWidth="1"/>
    <col min="5635" max="5635" width="46.42578125" customWidth="1"/>
    <col min="5636" max="5636" width="22" customWidth="1"/>
    <col min="5637" max="5645" width="0" hidden="1" customWidth="1"/>
    <col min="5646" max="5646" width="14.5703125" customWidth="1"/>
    <col min="5647" max="5647" width="16.85546875" bestFit="1" customWidth="1"/>
    <col min="5648" max="5648" width="14.42578125" customWidth="1"/>
    <col min="5649" max="5649" width="14.5703125" customWidth="1"/>
    <col min="5650" max="5650" width="16.85546875" bestFit="1" customWidth="1"/>
    <col min="5651" max="5651" width="14.42578125" bestFit="1" customWidth="1"/>
    <col min="5652" max="5652" width="14.5703125" customWidth="1"/>
    <col min="5653" max="5653" width="16.85546875" bestFit="1" customWidth="1"/>
    <col min="5654" max="5654" width="15.28515625" customWidth="1"/>
    <col min="5655" max="5655" width="14.5703125" customWidth="1"/>
    <col min="5656" max="5656" width="16.85546875" bestFit="1" customWidth="1"/>
    <col min="5657" max="5657" width="14.85546875" customWidth="1"/>
    <col min="5658" max="5658" width="14.5703125" customWidth="1"/>
    <col min="5659" max="5659" width="16.85546875" bestFit="1" customWidth="1"/>
    <col min="5660" max="5660" width="16" customWidth="1"/>
    <col min="5661" max="5661" width="13.7109375" bestFit="1" customWidth="1"/>
    <col min="5662" max="5662" width="13.85546875" bestFit="1" customWidth="1"/>
    <col min="5663" max="5663" width="14.42578125" customWidth="1"/>
    <col min="5664" max="5664" width="10.140625" customWidth="1"/>
    <col min="5665" max="5665" width="14" bestFit="1" customWidth="1"/>
    <col min="5889" max="5889" width="0.7109375" customWidth="1"/>
    <col min="5890" max="5890" width="10.5703125" customWidth="1"/>
    <col min="5891" max="5891" width="46.42578125" customWidth="1"/>
    <col min="5892" max="5892" width="22" customWidth="1"/>
    <col min="5893" max="5901" width="0" hidden="1" customWidth="1"/>
    <col min="5902" max="5902" width="14.5703125" customWidth="1"/>
    <col min="5903" max="5903" width="16.85546875" bestFit="1" customWidth="1"/>
    <col min="5904" max="5904" width="14.42578125" customWidth="1"/>
    <col min="5905" max="5905" width="14.5703125" customWidth="1"/>
    <col min="5906" max="5906" width="16.85546875" bestFit="1" customWidth="1"/>
    <col min="5907" max="5907" width="14.42578125" bestFit="1" customWidth="1"/>
    <col min="5908" max="5908" width="14.5703125" customWidth="1"/>
    <col min="5909" max="5909" width="16.85546875" bestFit="1" customWidth="1"/>
    <col min="5910" max="5910" width="15.28515625" customWidth="1"/>
    <col min="5911" max="5911" width="14.5703125" customWidth="1"/>
    <col min="5912" max="5912" width="16.85546875" bestFit="1" customWidth="1"/>
    <col min="5913" max="5913" width="14.85546875" customWidth="1"/>
    <col min="5914" max="5914" width="14.5703125" customWidth="1"/>
    <col min="5915" max="5915" width="16.85546875" bestFit="1" customWidth="1"/>
    <col min="5916" max="5916" width="16" customWidth="1"/>
    <col min="5917" max="5917" width="13.7109375" bestFit="1" customWidth="1"/>
    <col min="5918" max="5918" width="13.85546875" bestFit="1" customWidth="1"/>
    <col min="5919" max="5919" width="14.42578125" customWidth="1"/>
    <col min="5920" max="5920" width="10.140625" customWidth="1"/>
    <col min="5921" max="5921" width="14" bestFit="1" customWidth="1"/>
    <col min="6145" max="6145" width="0.7109375" customWidth="1"/>
    <col min="6146" max="6146" width="10.5703125" customWidth="1"/>
    <col min="6147" max="6147" width="46.42578125" customWidth="1"/>
    <col min="6148" max="6148" width="22" customWidth="1"/>
    <col min="6149" max="6157" width="0" hidden="1" customWidth="1"/>
    <col min="6158" max="6158" width="14.5703125" customWidth="1"/>
    <col min="6159" max="6159" width="16.85546875" bestFit="1" customWidth="1"/>
    <col min="6160" max="6160" width="14.42578125" customWidth="1"/>
    <col min="6161" max="6161" width="14.5703125" customWidth="1"/>
    <col min="6162" max="6162" width="16.85546875" bestFit="1" customWidth="1"/>
    <col min="6163" max="6163" width="14.42578125" bestFit="1" customWidth="1"/>
    <col min="6164" max="6164" width="14.5703125" customWidth="1"/>
    <col min="6165" max="6165" width="16.85546875" bestFit="1" customWidth="1"/>
    <col min="6166" max="6166" width="15.28515625" customWidth="1"/>
    <col min="6167" max="6167" width="14.5703125" customWidth="1"/>
    <col min="6168" max="6168" width="16.85546875" bestFit="1" customWidth="1"/>
    <col min="6169" max="6169" width="14.85546875" customWidth="1"/>
    <col min="6170" max="6170" width="14.5703125" customWidth="1"/>
    <col min="6171" max="6171" width="16.85546875" bestFit="1" customWidth="1"/>
    <col min="6172" max="6172" width="16" customWidth="1"/>
    <col min="6173" max="6173" width="13.7109375" bestFit="1" customWidth="1"/>
    <col min="6174" max="6174" width="13.85546875" bestFit="1" customWidth="1"/>
    <col min="6175" max="6175" width="14.42578125" customWidth="1"/>
    <col min="6176" max="6176" width="10.140625" customWidth="1"/>
    <col min="6177" max="6177" width="14" bestFit="1" customWidth="1"/>
    <col min="6401" max="6401" width="0.7109375" customWidth="1"/>
    <col min="6402" max="6402" width="10.5703125" customWidth="1"/>
    <col min="6403" max="6403" width="46.42578125" customWidth="1"/>
    <col min="6404" max="6404" width="22" customWidth="1"/>
    <col min="6405" max="6413" width="0" hidden="1" customWidth="1"/>
    <col min="6414" max="6414" width="14.5703125" customWidth="1"/>
    <col min="6415" max="6415" width="16.85546875" bestFit="1" customWidth="1"/>
    <col min="6416" max="6416" width="14.42578125" customWidth="1"/>
    <col min="6417" max="6417" width="14.5703125" customWidth="1"/>
    <col min="6418" max="6418" width="16.85546875" bestFit="1" customWidth="1"/>
    <col min="6419" max="6419" width="14.42578125" bestFit="1" customWidth="1"/>
    <col min="6420" max="6420" width="14.5703125" customWidth="1"/>
    <col min="6421" max="6421" width="16.85546875" bestFit="1" customWidth="1"/>
    <col min="6422" max="6422" width="15.28515625" customWidth="1"/>
    <col min="6423" max="6423" width="14.5703125" customWidth="1"/>
    <col min="6424" max="6424" width="16.85546875" bestFit="1" customWidth="1"/>
    <col min="6425" max="6425" width="14.85546875" customWidth="1"/>
    <col min="6426" max="6426" width="14.5703125" customWidth="1"/>
    <col min="6427" max="6427" width="16.85546875" bestFit="1" customWidth="1"/>
    <col min="6428" max="6428" width="16" customWidth="1"/>
    <col min="6429" max="6429" width="13.7109375" bestFit="1" customWidth="1"/>
    <col min="6430" max="6430" width="13.85546875" bestFit="1" customWidth="1"/>
    <col min="6431" max="6431" width="14.42578125" customWidth="1"/>
    <col min="6432" max="6432" width="10.140625" customWidth="1"/>
    <col min="6433" max="6433" width="14" bestFit="1" customWidth="1"/>
    <col min="6657" max="6657" width="0.7109375" customWidth="1"/>
    <col min="6658" max="6658" width="10.5703125" customWidth="1"/>
    <col min="6659" max="6659" width="46.42578125" customWidth="1"/>
    <col min="6660" max="6660" width="22" customWidth="1"/>
    <col min="6661" max="6669" width="0" hidden="1" customWidth="1"/>
    <col min="6670" max="6670" width="14.5703125" customWidth="1"/>
    <col min="6671" max="6671" width="16.85546875" bestFit="1" customWidth="1"/>
    <col min="6672" max="6672" width="14.42578125" customWidth="1"/>
    <col min="6673" max="6673" width="14.5703125" customWidth="1"/>
    <col min="6674" max="6674" width="16.85546875" bestFit="1" customWidth="1"/>
    <col min="6675" max="6675" width="14.42578125" bestFit="1" customWidth="1"/>
    <col min="6676" max="6676" width="14.5703125" customWidth="1"/>
    <col min="6677" max="6677" width="16.85546875" bestFit="1" customWidth="1"/>
    <col min="6678" max="6678" width="15.28515625" customWidth="1"/>
    <col min="6679" max="6679" width="14.5703125" customWidth="1"/>
    <col min="6680" max="6680" width="16.85546875" bestFit="1" customWidth="1"/>
    <col min="6681" max="6681" width="14.85546875" customWidth="1"/>
    <col min="6682" max="6682" width="14.5703125" customWidth="1"/>
    <col min="6683" max="6683" width="16.85546875" bestFit="1" customWidth="1"/>
    <col min="6684" max="6684" width="16" customWidth="1"/>
    <col min="6685" max="6685" width="13.7109375" bestFit="1" customWidth="1"/>
    <col min="6686" max="6686" width="13.85546875" bestFit="1" customWidth="1"/>
    <col min="6687" max="6687" width="14.42578125" customWidth="1"/>
    <col min="6688" max="6688" width="10.140625" customWidth="1"/>
    <col min="6689" max="6689" width="14" bestFit="1" customWidth="1"/>
    <col min="6913" max="6913" width="0.7109375" customWidth="1"/>
    <col min="6914" max="6914" width="10.5703125" customWidth="1"/>
    <col min="6915" max="6915" width="46.42578125" customWidth="1"/>
    <col min="6916" max="6916" width="22" customWidth="1"/>
    <col min="6917" max="6925" width="0" hidden="1" customWidth="1"/>
    <col min="6926" max="6926" width="14.5703125" customWidth="1"/>
    <col min="6927" max="6927" width="16.85546875" bestFit="1" customWidth="1"/>
    <col min="6928" max="6928" width="14.42578125" customWidth="1"/>
    <col min="6929" max="6929" width="14.5703125" customWidth="1"/>
    <col min="6930" max="6930" width="16.85546875" bestFit="1" customWidth="1"/>
    <col min="6931" max="6931" width="14.42578125" bestFit="1" customWidth="1"/>
    <col min="6932" max="6932" width="14.5703125" customWidth="1"/>
    <col min="6933" max="6933" width="16.85546875" bestFit="1" customWidth="1"/>
    <col min="6934" max="6934" width="15.28515625" customWidth="1"/>
    <col min="6935" max="6935" width="14.5703125" customWidth="1"/>
    <col min="6936" max="6936" width="16.85546875" bestFit="1" customWidth="1"/>
    <col min="6937" max="6937" width="14.85546875" customWidth="1"/>
    <col min="6938" max="6938" width="14.5703125" customWidth="1"/>
    <col min="6939" max="6939" width="16.85546875" bestFit="1" customWidth="1"/>
    <col min="6940" max="6940" width="16" customWidth="1"/>
    <col min="6941" max="6941" width="13.7109375" bestFit="1" customWidth="1"/>
    <col min="6942" max="6942" width="13.85546875" bestFit="1" customWidth="1"/>
    <col min="6943" max="6943" width="14.42578125" customWidth="1"/>
    <col min="6944" max="6944" width="10.140625" customWidth="1"/>
    <col min="6945" max="6945" width="14" bestFit="1" customWidth="1"/>
    <col min="7169" max="7169" width="0.7109375" customWidth="1"/>
    <col min="7170" max="7170" width="10.5703125" customWidth="1"/>
    <col min="7171" max="7171" width="46.42578125" customWidth="1"/>
    <col min="7172" max="7172" width="22" customWidth="1"/>
    <col min="7173" max="7181" width="0" hidden="1" customWidth="1"/>
    <col min="7182" max="7182" width="14.5703125" customWidth="1"/>
    <col min="7183" max="7183" width="16.85546875" bestFit="1" customWidth="1"/>
    <col min="7184" max="7184" width="14.42578125" customWidth="1"/>
    <col min="7185" max="7185" width="14.5703125" customWidth="1"/>
    <col min="7186" max="7186" width="16.85546875" bestFit="1" customWidth="1"/>
    <col min="7187" max="7187" width="14.42578125" bestFit="1" customWidth="1"/>
    <col min="7188" max="7188" width="14.5703125" customWidth="1"/>
    <col min="7189" max="7189" width="16.85546875" bestFit="1" customWidth="1"/>
    <col min="7190" max="7190" width="15.28515625" customWidth="1"/>
    <col min="7191" max="7191" width="14.5703125" customWidth="1"/>
    <col min="7192" max="7192" width="16.85546875" bestFit="1" customWidth="1"/>
    <col min="7193" max="7193" width="14.85546875" customWidth="1"/>
    <col min="7194" max="7194" width="14.5703125" customWidth="1"/>
    <col min="7195" max="7195" width="16.85546875" bestFit="1" customWidth="1"/>
    <col min="7196" max="7196" width="16" customWidth="1"/>
    <col min="7197" max="7197" width="13.7109375" bestFit="1" customWidth="1"/>
    <col min="7198" max="7198" width="13.85546875" bestFit="1" customWidth="1"/>
    <col min="7199" max="7199" width="14.42578125" customWidth="1"/>
    <col min="7200" max="7200" width="10.140625" customWidth="1"/>
    <col min="7201" max="7201" width="14" bestFit="1" customWidth="1"/>
    <col min="7425" max="7425" width="0.7109375" customWidth="1"/>
    <col min="7426" max="7426" width="10.5703125" customWidth="1"/>
    <col min="7427" max="7427" width="46.42578125" customWidth="1"/>
    <col min="7428" max="7428" width="22" customWidth="1"/>
    <col min="7429" max="7437" width="0" hidden="1" customWidth="1"/>
    <col min="7438" max="7438" width="14.5703125" customWidth="1"/>
    <col min="7439" max="7439" width="16.85546875" bestFit="1" customWidth="1"/>
    <col min="7440" max="7440" width="14.42578125" customWidth="1"/>
    <col min="7441" max="7441" width="14.5703125" customWidth="1"/>
    <col min="7442" max="7442" width="16.85546875" bestFit="1" customWidth="1"/>
    <col min="7443" max="7443" width="14.42578125" bestFit="1" customWidth="1"/>
    <col min="7444" max="7444" width="14.5703125" customWidth="1"/>
    <col min="7445" max="7445" width="16.85546875" bestFit="1" customWidth="1"/>
    <col min="7446" max="7446" width="15.28515625" customWidth="1"/>
    <col min="7447" max="7447" width="14.5703125" customWidth="1"/>
    <col min="7448" max="7448" width="16.85546875" bestFit="1" customWidth="1"/>
    <col min="7449" max="7449" width="14.85546875" customWidth="1"/>
    <col min="7450" max="7450" width="14.5703125" customWidth="1"/>
    <col min="7451" max="7451" width="16.85546875" bestFit="1" customWidth="1"/>
    <col min="7452" max="7452" width="16" customWidth="1"/>
    <col min="7453" max="7453" width="13.7109375" bestFit="1" customWidth="1"/>
    <col min="7454" max="7454" width="13.85546875" bestFit="1" customWidth="1"/>
    <col min="7455" max="7455" width="14.42578125" customWidth="1"/>
    <col min="7456" max="7456" width="10.140625" customWidth="1"/>
    <col min="7457" max="7457" width="14" bestFit="1" customWidth="1"/>
    <col min="7681" max="7681" width="0.7109375" customWidth="1"/>
    <col min="7682" max="7682" width="10.5703125" customWidth="1"/>
    <col min="7683" max="7683" width="46.42578125" customWidth="1"/>
    <col min="7684" max="7684" width="22" customWidth="1"/>
    <col min="7685" max="7693" width="0" hidden="1" customWidth="1"/>
    <col min="7694" max="7694" width="14.5703125" customWidth="1"/>
    <col min="7695" max="7695" width="16.85546875" bestFit="1" customWidth="1"/>
    <col min="7696" max="7696" width="14.42578125" customWidth="1"/>
    <col min="7697" max="7697" width="14.5703125" customWidth="1"/>
    <col min="7698" max="7698" width="16.85546875" bestFit="1" customWidth="1"/>
    <col min="7699" max="7699" width="14.42578125" bestFit="1" customWidth="1"/>
    <col min="7700" max="7700" width="14.5703125" customWidth="1"/>
    <col min="7701" max="7701" width="16.85546875" bestFit="1" customWidth="1"/>
    <col min="7702" max="7702" width="15.28515625" customWidth="1"/>
    <col min="7703" max="7703" width="14.5703125" customWidth="1"/>
    <col min="7704" max="7704" width="16.85546875" bestFit="1" customWidth="1"/>
    <col min="7705" max="7705" width="14.85546875" customWidth="1"/>
    <col min="7706" max="7706" width="14.5703125" customWidth="1"/>
    <col min="7707" max="7707" width="16.85546875" bestFit="1" customWidth="1"/>
    <col min="7708" max="7708" width="16" customWidth="1"/>
    <col min="7709" max="7709" width="13.7109375" bestFit="1" customWidth="1"/>
    <col min="7710" max="7710" width="13.85546875" bestFit="1" customWidth="1"/>
    <col min="7711" max="7711" width="14.42578125" customWidth="1"/>
    <col min="7712" max="7712" width="10.140625" customWidth="1"/>
    <col min="7713" max="7713" width="14" bestFit="1" customWidth="1"/>
    <col min="7937" max="7937" width="0.7109375" customWidth="1"/>
    <col min="7938" max="7938" width="10.5703125" customWidth="1"/>
    <col min="7939" max="7939" width="46.42578125" customWidth="1"/>
    <col min="7940" max="7940" width="22" customWidth="1"/>
    <col min="7941" max="7949" width="0" hidden="1" customWidth="1"/>
    <col min="7950" max="7950" width="14.5703125" customWidth="1"/>
    <col min="7951" max="7951" width="16.85546875" bestFit="1" customWidth="1"/>
    <col min="7952" max="7952" width="14.42578125" customWidth="1"/>
    <col min="7953" max="7953" width="14.5703125" customWidth="1"/>
    <col min="7954" max="7954" width="16.85546875" bestFit="1" customWidth="1"/>
    <col min="7955" max="7955" width="14.42578125" bestFit="1" customWidth="1"/>
    <col min="7956" max="7956" width="14.5703125" customWidth="1"/>
    <col min="7957" max="7957" width="16.85546875" bestFit="1" customWidth="1"/>
    <col min="7958" max="7958" width="15.28515625" customWidth="1"/>
    <col min="7959" max="7959" width="14.5703125" customWidth="1"/>
    <col min="7960" max="7960" width="16.85546875" bestFit="1" customWidth="1"/>
    <col min="7961" max="7961" width="14.85546875" customWidth="1"/>
    <col min="7962" max="7962" width="14.5703125" customWidth="1"/>
    <col min="7963" max="7963" width="16.85546875" bestFit="1" customWidth="1"/>
    <col min="7964" max="7964" width="16" customWidth="1"/>
    <col min="7965" max="7965" width="13.7109375" bestFit="1" customWidth="1"/>
    <col min="7966" max="7966" width="13.85546875" bestFit="1" customWidth="1"/>
    <col min="7967" max="7967" width="14.42578125" customWidth="1"/>
    <col min="7968" max="7968" width="10.140625" customWidth="1"/>
    <col min="7969" max="7969" width="14" bestFit="1" customWidth="1"/>
    <col min="8193" max="8193" width="0.7109375" customWidth="1"/>
    <col min="8194" max="8194" width="10.5703125" customWidth="1"/>
    <col min="8195" max="8195" width="46.42578125" customWidth="1"/>
    <col min="8196" max="8196" width="22" customWidth="1"/>
    <col min="8197" max="8205" width="0" hidden="1" customWidth="1"/>
    <col min="8206" max="8206" width="14.5703125" customWidth="1"/>
    <col min="8207" max="8207" width="16.85546875" bestFit="1" customWidth="1"/>
    <col min="8208" max="8208" width="14.42578125" customWidth="1"/>
    <col min="8209" max="8209" width="14.5703125" customWidth="1"/>
    <col min="8210" max="8210" width="16.85546875" bestFit="1" customWidth="1"/>
    <col min="8211" max="8211" width="14.42578125" bestFit="1" customWidth="1"/>
    <col min="8212" max="8212" width="14.5703125" customWidth="1"/>
    <col min="8213" max="8213" width="16.85546875" bestFit="1" customWidth="1"/>
    <col min="8214" max="8214" width="15.28515625" customWidth="1"/>
    <col min="8215" max="8215" width="14.5703125" customWidth="1"/>
    <col min="8216" max="8216" width="16.85546875" bestFit="1" customWidth="1"/>
    <col min="8217" max="8217" width="14.85546875" customWidth="1"/>
    <col min="8218" max="8218" width="14.5703125" customWidth="1"/>
    <col min="8219" max="8219" width="16.85546875" bestFit="1" customWidth="1"/>
    <col min="8220" max="8220" width="16" customWidth="1"/>
    <col min="8221" max="8221" width="13.7109375" bestFit="1" customWidth="1"/>
    <col min="8222" max="8222" width="13.85546875" bestFit="1" customWidth="1"/>
    <col min="8223" max="8223" width="14.42578125" customWidth="1"/>
    <col min="8224" max="8224" width="10.140625" customWidth="1"/>
    <col min="8225" max="8225" width="14" bestFit="1" customWidth="1"/>
    <col min="8449" max="8449" width="0.7109375" customWidth="1"/>
    <col min="8450" max="8450" width="10.5703125" customWidth="1"/>
    <col min="8451" max="8451" width="46.42578125" customWidth="1"/>
    <col min="8452" max="8452" width="22" customWidth="1"/>
    <col min="8453" max="8461" width="0" hidden="1" customWidth="1"/>
    <col min="8462" max="8462" width="14.5703125" customWidth="1"/>
    <col min="8463" max="8463" width="16.85546875" bestFit="1" customWidth="1"/>
    <col min="8464" max="8464" width="14.42578125" customWidth="1"/>
    <col min="8465" max="8465" width="14.5703125" customWidth="1"/>
    <col min="8466" max="8466" width="16.85546875" bestFit="1" customWidth="1"/>
    <col min="8467" max="8467" width="14.42578125" bestFit="1" customWidth="1"/>
    <col min="8468" max="8468" width="14.5703125" customWidth="1"/>
    <col min="8469" max="8469" width="16.85546875" bestFit="1" customWidth="1"/>
    <col min="8470" max="8470" width="15.28515625" customWidth="1"/>
    <col min="8471" max="8471" width="14.5703125" customWidth="1"/>
    <col min="8472" max="8472" width="16.85546875" bestFit="1" customWidth="1"/>
    <col min="8473" max="8473" width="14.85546875" customWidth="1"/>
    <col min="8474" max="8474" width="14.5703125" customWidth="1"/>
    <col min="8475" max="8475" width="16.85546875" bestFit="1" customWidth="1"/>
    <col min="8476" max="8476" width="16" customWidth="1"/>
    <col min="8477" max="8477" width="13.7109375" bestFit="1" customWidth="1"/>
    <col min="8478" max="8478" width="13.85546875" bestFit="1" customWidth="1"/>
    <col min="8479" max="8479" width="14.42578125" customWidth="1"/>
    <col min="8480" max="8480" width="10.140625" customWidth="1"/>
    <col min="8481" max="8481" width="14" bestFit="1" customWidth="1"/>
    <col min="8705" max="8705" width="0.7109375" customWidth="1"/>
    <col min="8706" max="8706" width="10.5703125" customWidth="1"/>
    <col min="8707" max="8707" width="46.42578125" customWidth="1"/>
    <col min="8708" max="8708" width="22" customWidth="1"/>
    <col min="8709" max="8717" width="0" hidden="1" customWidth="1"/>
    <col min="8718" max="8718" width="14.5703125" customWidth="1"/>
    <col min="8719" max="8719" width="16.85546875" bestFit="1" customWidth="1"/>
    <col min="8720" max="8720" width="14.42578125" customWidth="1"/>
    <col min="8721" max="8721" width="14.5703125" customWidth="1"/>
    <col min="8722" max="8722" width="16.85546875" bestFit="1" customWidth="1"/>
    <col min="8723" max="8723" width="14.42578125" bestFit="1" customWidth="1"/>
    <col min="8724" max="8724" width="14.5703125" customWidth="1"/>
    <col min="8725" max="8725" width="16.85546875" bestFit="1" customWidth="1"/>
    <col min="8726" max="8726" width="15.28515625" customWidth="1"/>
    <col min="8727" max="8727" width="14.5703125" customWidth="1"/>
    <col min="8728" max="8728" width="16.85546875" bestFit="1" customWidth="1"/>
    <col min="8729" max="8729" width="14.85546875" customWidth="1"/>
    <col min="8730" max="8730" width="14.5703125" customWidth="1"/>
    <col min="8731" max="8731" width="16.85546875" bestFit="1" customWidth="1"/>
    <col min="8732" max="8732" width="16" customWidth="1"/>
    <col min="8733" max="8733" width="13.7109375" bestFit="1" customWidth="1"/>
    <col min="8734" max="8734" width="13.85546875" bestFit="1" customWidth="1"/>
    <col min="8735" max="8735" width="14.42578125" customWidth="1"/>
    <col min="8736" max="8736" width="10.140625" customWidth="1"/>
    <col min="8737" max="8737" width="14" bestFit="1" customWidth="1"/>
    <col min="8961" max="8961" width="0.7109375" customWidth="1"/>
    <col min="8962" max="8962" width="10.5703125" customWidth="1"/>
    <col min="8963" max="8963" width="46.42578125" customWidth="1"/>
    <col min="8964" max="8964" width="22" customWidth="1"/>
    <col min="8965" max="8973" width="0" hidden="1" customWidth="1"/>
    <col min="8974" max="8974" width="14.5703125" customWidth="1"/>
    <col min="8975" max="8975" width="16.85546875" bestFit="1" customWidth="1"/>
    <col min="8976" max="8976" width="14.42578125" customWidth="1"/>
    <col min="8977" max="8977" width="14.5703125" customWidth="1"/>
    <col min="8978" max="8978" width="16.85546875" bestFit="1" customWidth="1"/>
    <col min="8979" max="8979" width="14.42578125" bestFit="1" customWidth="1"/>
    <col min="8980" max="8980" width="14.5703125" customWidth="1"/>
    <col min="8981" max="8981" width="16.85546875" bestFit="1" customWidth="1"/>
    <col min="8982" max="8982" width="15.28515625" customWidth="1"/>
    <col min="8983" max="8983" width="14.5703125" customWidth="1"/>
    <col min="8984" max="8984" width="16.85546875" bestFit="1" customWidth="1"/>
    <col min="8985" max="8985" width="14.85546875" customWidth="1"/>
    <col min="8986" max="8986" width="14.5703125" customWidth="1"/>
    <col min="8987" max="8987" width="16.85546875" bestFit="1" customWidth="1"/>
    <col min="8988" max="8988" width="16" customWidth="1"/>
    <col min="8989" max="8989" width="13.7109375" bestFit="1" customWidth="1"/>
    <col min="8990" max="8990" width="13.85546875" bestFit="1" customWidth="1"/>
    <col min="8991" max="8991" width="14.42578125" customWidth="1"/>
    <col min="8992" max="8992" width="10.140625" customWidth="1"/>
    <col min="8993" max="8993" width="14" bestFit="1" customWidth="1"/>
    <col min="9217" max="9217" width="0.7109375" customWidth="1"/>
    <col min="9218" max="9218" width="10.5703125" customWidth="1"/>
    <col min="9219" max="9219" width="46.42578125" customWidth="1"/>
    <col min="9220" max="9220" width="22" customWidth="1"/>
    <col min="9221" max="9229" width="0" hidden="1" customWidth="1"/>
    <col min="9230" max="9230" width="14.5703125" customWidth="1"/>
    <col min="9231" max="9231" width="16.85546875" bestFit="1" customWidth="1"/>
    <col min="9232" max="9232" width="14.42578125" customWidth="1"/>
    <col min="9233" max="9233" width="14.5703125" customWidth="1"/>
    <col min="9234" max="9234" width="16.85546875" bestFit="1" customWidth="1"/>
    <col min="9235" max="9235" width="14.42578125" bestFit="1" customWidth="1"/>
    <col min="9236" max="9236" width="14.5703125" customWidth="1"/>
    <col min="9237" max="9237" width="16.85546875" bestFit="1" customWidth="1"/>
    <col min="9238" max="9238" width="15.28515625" customWidth="1"/>
    <col min="9239" max="9239" width="14.5703125" customWidth="1"/>
    <col min="9240" max="9240" width="16.85546875" bestFit="1" customWidth="1"/>
    <col min="9241" max="9241" width="14.85546875" customWidth="1"/>
    <col min="9242" max="9242" width="14.5703125" customWidth="1"/>
    <col min="9243" max="9243" width="16.85546875" bestFit="1" customWidth="1"/>
    <col min="9244" max="9244" width="16" customWidth="1"/>
    <col min="9245" max="9245" width="13.7109375" bestFit="1" customWidth="1"/>
    <col min="9246" max="9246" width="13.85546875" bestFit="1" customWidth="1"/>
    <col min="9247" max="9247" width="14.42578125" customWidth="1"/>
    <col min="9248" max="9248" width="10.140625" customWidth="1"/>
    <col min="9249" max="9249" width="14" bestFit="1" customWidth="1"/>
    <col min="9473" max="9473" width="0.7109375" customWidth="1"/>
    <col min="9474" max="9474" width="10.5703125" customWidth="1"/>
    <col min="9475" max="9475" width="46.42578125" customWidth="1"/>
    <col min="9476" max="9476" width="22" customWidth="1"/>
    <col min="9477" max="9485" width="0" hidden="1" customWidth="1"/>
    <col min="9486" max="9486" width="14.5703125" customWidth="1"/>
    <col min="9487" max="9487" width="16.85546875" bestFit="1" customWidth="1"/>
    <col min="9488" max="9488" width="14.42578125" customWidth="1"/>
    <col min="9489" max="9489" width="14.5703125" customWidth="1"/>
    <col min="9490" max="9490" width="16.85546875" bestFit="1" customWidth="1"/>
    <col min="9491" max="9491" width="14.42578125" bestFit="1" customWidth="1"/>
    <col min="9492" max="9492" width="14.5703125" customWidth="1"/>
    <col min="9493" max="9493" width="16.85546875" bestFit="1" customWidth="1"/>
    <col min="9494" max="9494" width="15.28515625" customWidth="1"/>
    <col min="9495" max="9495" width="14.5703125" customWidth="1"/>
    <col min="9496" max="9496" width="16.85546875" bestFit="1" customWidth="1"/>
    <col min="9497" max="9497" width="14.85546875" customWidth="1"/>
    <col min="9498" max="9498" width="14.5703125" customWidth="1"/>
    <col min="9499" max="9499" width="16.85546875" bestFit="1" customWidth="1"/>
    <col min="9500" max="9500" width="16" customWidth="1"/>
    <col min="9501" max="9501" width="13.7109375" bestFit="1" customWidth="1"/>
    <col min="9502" max="9502" width="13.85546875" bestFit="1" customWidth="1"/>
    <col min="9503" max="9503" width="14.42578125" customWidth="1"/>
    <col min="9504" max="9504" width="10.140625" customWidth="1"/>
    <col min="9505" max="9505" width="14" bestFit="1" customWidth="1"/>
    <col min="9729" max="9729" width="0.7109375" customWidth="1"/>
    <col min="9730" max="9730" width="10.5703125" customWidth="1"/>
    <col min="9731" max="9731" width="46.42578125" customWidth="1"/>
    <col min="9732" max="9732" width="22" customWidth="1"/>
    <col min="9733" max="9741" width="0" hidden="1" customWidth="1"/>
    <col min="9742" max="9742" width="14.5703125" customWidth="1"/>
    <col min="9743" max="9743" width="16.85546875" bestFit="1" customWidth="1"/>
    <col min="9744" max="9744" width="14.42578125" customWidth="1"/>
    <col min="9745" max="9745" width="14.5703125" customWidth="1"/>
    <col min="9746" max="9746" width="16.85546875" bestFit="1" customWidth="1"/>
    <col min="9747" max="9747" width="14.42578125" bestFit="1" customWidth="1"/>
    <col min="9748" max="9748" width="14.5703125" customWidth="1"/>
    <col min="9749" max="9749" width="16.85546875" bestFit="1" customWidth="1"/>
    <col min="9750" max="9750" width="15.28515625" customWidth="1"/>
    <col min="9751" max="9751" width="14.5703125" customWidth="1"/>
    <col min="9752" max="9752" width="16.85546875" bestFit="1" customWidth="1"/>
    <col min="9753" max="9753" width="14.85546875" customWidth="1"/>
    <col min="9754" max="9754" width="14.5703125" customWidth="1"/>
    <col min="9755" max="9755" width="16.85546875" bestFit="1" customWidth="1"/>
    <col min="9756" max="9756" width="16" customWidth="1"/>
    <col min="9757" max="9757" width="13.7109375" bestFit="1" customWidth="1"/>
    <col min="9758" max="9758" width="13.85546875" bestFit="1" customWidth="1"/>
    <col min="9759" max="9759" width="14.42578125" customWidth="1"/>
    <col min="9760" max="9760" width="10.140625" customWidth="1"/>
    <col min="9761" max="9761" width="14" bestFit="1" customWidth="1"/>
    <col min="9985" max="9985" width="0.7109375" customWidth="1"/>
    <col min="9986" max="9986" width="10.5703125" customWidth="1"/>
    <col min="9987" max="9987" width="46.42578125" customWidth="1"/>
    <col min="9988" max="9988" width="22" customWidth="1"/>
    <col min="9989" max="9997" width="0" hidden="1" customWidth="1"/>
    <col min="9998" max="9998" width="14.5703125" customWidth="1"/>
    <col min="9999" max="9999" width="16.85546875" bestFit="1" customWidth="1"/>
    <col min="10000" max="10000" width="14.42578125" customWidth="1"/>
    <col min="10001" max="10001" width="14.5703125" customWidth="1"/>
    <col min="10002" max="10002" width="16.85546875" bestFit="1" customWidth="1"/>
    <col min="10003" max="10003" width="14.42578125" bestFit="1" customWidth="1"/>
    <col min="10004" max="10004" width="14.5703125" customWidth="1"/>
    <col min="10005" max="10005" width="16.85546875" bestFit="1" customWidth="1"/>
    <col min="10006" max="10006" width="15.28515625" customWidth="1"/>
    <col min="10007" max="10007" width="14.5703125" customWidth="1"/>
    <col min="10008" max="10008" width="16.85546875" bestFit="1" customWidth="1"/>
    <col min="10009" max="10009" width="14.85546875" customWidth="1"/>
    <col min="10010" max="10010" width="14.5703125" customWidth="1"/>
    <col min="10011" max="10011" width="16.85546875" bestFit="1" customWidth="1"/>
    <col min="10012" max="10012" width="16" customWidth="1"/>
    <col min="10013" max="10013" width="13.7109375" bestFit="1" customWidth="1"/>
    <col min="10014" max="10014" width="13.85546875" bestFit="1" customWidth="1"/>
    <col min="10015" max="10015" width="14.42578125" customWidth="1"/>
    <col min="10016" max="10016" width="10.140625" customWidth="1"/>
    <col min="10017" max="10017" width="14" bestFit="1" customWidth="1"/>
    <col min="10241" max="10241" width="0.7109375" customWidth="1"/>
    <col min="10242" max="10242" width="10.5703125" customWidth="1"/>
    <col min="10243" max="10243" width="46.42578125" customWidth="1"/>
    <col min="10244" max="10244" width="22" customWidth="1"/>
    <col min="10245" max="10253" width="0" hidden="1" customWidth="1"/>
    <col min="10254" max="10254" width="14.5703125" customWidth="1"/>
    <col min="10255" max="10255" width="16.85546875" bestFit="1" customWidth="1"/>
    <col min="10256" max="10256" width="14.42578125" customWidth="1"/>
    <col min="10257" max="10257" width="14.5703125" customWidth="1"/>
    <col min="10258" max="10258" width="16.85546875" bestFit="1" customWidth="1"/>
    <col min="10259" max="10259" width="14.42578125" bestFit="1" customWidth="1"/>
    <col min="10260" max="10260" width="14.5703125" customWidth="1"/>
    <col min="10261" max="10261" width="16.85546875" bestFit="1" customWidth="1"/>
    <col min="10262" max="10262" width="15.28515625" customWidth="1"/>
    <col min="10263" max="10263" width="14.5703125" customWidth="1"/>
    <col min="10264" max="10264" width="16.85546875" bestFit="1" customWidth="1"/>
    <col min="10265" max="10265" width="14.85546875" customWidth="1"/>
    <col min="10266" max="10266" width="14.5703125" customWidth="1"/>
    <col min="10267" max="10267" width="16.85546875" bestFit="1" customWidth="1"/>
    <col min="10268" max="10268" width="16" customWidth="1"/>
    <col min="10269" max="10269" width="13.7109375" bestFit="1" customWidth="1"/>
    <col min="10270" max="10270" width="13.85546875" bestFit="1" customWidth="1"/>
    <col min="10271" max="10271" width="14.42578125" customWidth="1"/>
    <col min="10272" max="10272" width="10.140625" customWidth="1"/>
    <col min="10273" max="10273" width="14" bestFit="1" customWidth="1"/>
    <col min="10497" max="10497" width="0.7109375" customWidth="1"/>
    <col min="10498" max="10498" width="10.5703125" customWidth="1"/>
    <col min="10499" max="10499" width="46.42578125" customWidth="1"/>
    <col min="10500" max="10500" width="22" customWidth="1"/>
    <col min="10501" max="10509" width="0" hidden="1" customWidth="1"/>
    <col min="10510" max="10510" width="14.5703125" customWidth="1"/>
    <col min="10511" max="10511" width="16.85546875" bestFit="1" customWidth="1"/>
    <col min="10512" max="10512" width="14.42578125" customWidth="1"/>
    <col min="10513" max="10513" width="14.5703125" customWidth="1"/>
    <col min="10514" max="10514" width="16.85546875" bestFit="1" customWidth="1"/>
    <col min="10515" max="10515" width="14.42578125" bestFit="1" customWidth="1"/>
    <col min="10516" max="10516" width="14.5703125" customWidth="1"/>
    <col min="10517" max="10517" width="16.85546875" bestFit="1" customWidth="1"/>
    <col min="10518" max="10518" width="15.28515625" customWidth="1"/>
    <col min="10519" max="10519" width="14.5703125" customWidth="1"/>
    <col min="10520" max="10520" width="16.85546875" bestFit="1" customWidth="1"/>
    <col min="10521" max="10521" width="14.85546875" customWidth="1"/>
    <col min="10522" max="10522" width="14.5703125" customWidth="1"/>
    <col min="10523" max="10523" width="16.85546875" bestFit="1" customWidth="1"/>
    <col min="10524" max="10524" width="16" customWidth="1"/>
    <col min="10525" max="10525" width="13.7109375" bestFit="1" customWidth="1"/>
    <col min="10526" max="10526" width="13.85546875" bestFit="1" customWidth="1"/>
    <col min="10527" max="10527" width="14.42578125" customWidth="1"/>
    <col min="10528" max="10528" width="10.140625" customWidth="1"/>
    <col min="10529" max="10529" width="14" bestFit="1" customWidth="1"/>
    <col min="10753" max="10753" width="0.7109375" customWidth="1"/>
    <col min="10754" max="10754" width="10.5703125" customWidth="1"/>
    <col min="10755" max="10755" width="46.42578125" customWidth="1"/>
    <col min="10756" max="10756" width="22" customWidth="1"/>
    <col min="10757" max="10765" width="0" hidden="1" customWidth="1"/>
    <col min="10766" max="10766" width="14.5703125" customWidth="1"/>
    <col min="10767" max="10767" width="16.85546875" bestFit="1" customWidth="1"/>
    <col min="10768" max="10768" width="14.42578125" customWidth="1"/>
    <col min="10769" max="10769" width="14.5703125" customWidth="1"/>
    <col min="10770" max="10770" width="16.85546875" bestFit="1" customWidth="1"/>
    <col min="10771" max="10771" width="14.42578125" bestFit="1" customWidth="1"/>
    <col min="10772" max="10772" width="14.5703125" customWidth="1"/>
    <col min="10773" max="10773" width="16.85546875" bestFit="1" customWidth="1"/>
    <col min="10774" max="10774" width="15.28515625" customWidth="1"/>
    <col min="10775" max="10775" width="14.5703125" customWidth="1"/>
    <col min="10776" max="10776" width="16.85546875" bestFit="1" customWidth="1"/>
    <col min="10777" max="10777" width="14.85546875" customWidth="1"/>
    <col min="10778" max="10778" width="14.5703125" customWidth="1"/>
    <col min="10779" max="10779" width="16.85546875" bestFit="1" customWidth="1"/>
    <col min="10780" max="10780" width="16" customWidth="1"/>
    <col min="10781" max="10781" width="13.7109375" bestFit="1" customWidth="1"/>
    <col min="10782" max="10782" width="13.85546875" bestFit="1" customWidth="1"/>
    <col min="10783" max="10783" width="14.42578125" customWidth="1"/>
    <col min="10784" max="10784" width="10.140625" customWidth="1"/>
    <col min="10785" max="10785" width="14" bestFit="1" customWidth="1"/>
    <col min="11009" max="11009" width="0.7109375" customWidth="1"/>
    <col min="11010" max="11010" width="10.5703125" customWidth="1"/>
    <col min="11011" max="11011" width="46.42578125" customWidth="1"/>
    <col min="11012" max="11012" width="22" customWidth="1"/>
    <col min="11013" max="11021" width="0" hidden="1" customWidth="1"/>
    <col min="11022" max="11022" width="14.5703125" customWidth="1"/>
    <col min="11023" max="11023" width="16.85546875" bestFit="1" customWidth="1"/>
    <col min="11024" max="11024" width="14.42578125" customWidth="1"/>
    <col min="11025" max="11025" width="14.5703125" customWidth="1"/>
    <col min="11026" max="11026" width="16.85546875" bestFit="1" customWidth="1"/>
    <col min="11027" max="11027" width="14.42578125" bestFit="1" customWidth="1"/>
    <col min="11028" max="11028" width="14.5703125" customWidth="1"/>
    <col min="11029" max="11029" width="16.85546875" bestFit="1" customWidth="1"/>
    <col min="11030" max="11030" width="15.28515625" customWidth="1"/>
    <col min="11031" max="11031" width="14.5703125" customWidth="1"/>
    <col min="11032" max="11032" width="16.85546875" bestFit="1" customWidth="1"/>
    <col min="11033" max="11033" width="14.85546875" customWidth="1"/>
    <col min="11034" max="11034" width="14.5703125" customWidth="1"/>
    <col min="11035" max="11035" width="16.85546875" bestFit="1" customWidth="1"/>
    <col min="11036" max="11036" width="16" customWidth="1"/>
    <col min="11037" max="11037" width="13.7109375" bestFit="1" customWidth="1"/>
    <col min="11038" max="11038" width="13.85546875" bestFit="1" customWidth="1"/>
    <col min="11039" max="11039" width="14.42578125" customWidth="1"/>
    <col min="11040" max="11040" width="10.140625" customWidth="1"/>
    <col min="11041" max="11041" width="14" bestFit="1" customWidth="1"/>
    <col min="11265" max="11265" width="0.7109375" customWidth="1"/>
    <col min="11266" max="11266" width="10.5703125" customWidth="1"/>
    <col min="11267" max="11267" width="46.42578125" customWidth="1"/>
    <col min="11268" max="11268" width="22" customWidth="1"/>
    <col min="11269" max="11277" width="0" hidden="1" customWidth="1"/>
    <col min="11278" max="11278" width="14.5703125" customWidth="1"/>
    <col min="11279" max="11279" width="16.85546875" bestFit="1" customWidth="1"/>
    <col min="11280" max="11280" width="14.42578125" customWidth="1"/>
    <col min="11281" max="11281" width="14.5703125" customWidth="1"/>
    <col min="11282" max="11282" width="16.85546875" bestFit="1" customWidth="1"/>
    <col min="11283" max="11283" width="14.42578125" bestFit="1" customWidth="1"/>
    <col min="11284" max="11284" width="14.5703125" customWidth="1"/>
    <col min="11285" max="11285" width="16.85546875" bestFit="1" customWidth="1"/>
    <col min="11286" max="11286" width="15.28515625" customWidth="1"/>
    <col min="11287" max="11287" width="14.5703125" customWidth="1"/>
    <col min="11288" max="11288" width="16.85546875" bestFit="1" customWidth="1"/>
    <col min="11289" max="11289" width="14.85546875" customWidth="1"/>
    <col min="11290" max="11290" width="14.5703125" customWidth="1"/>
    <col min="11291" max="11291" width="16.85546875" bestFit="1" customWidth="1"/>
    <col min="11292" max="11292" width="16" customWidth="1"/>
    <col min="11293" max="11293" width="13.7109375" bestFit="1" customWidth="1"/>
    <col min="11294" max="11294" width="13.85546875" bestFit="1" customWidth="1"/>
    <col min="11295" max="11295" width="14.42578125" customWidth="1"/>
    <col min="11296" max="11296" width="10.140625" customWidth="1"/>
    <col min="11297" max="11297" width="14" bestFit="1" customWidth="1"/>
    <col min="11521" max="11521" width="0.7109375" customWidth="1"/>
    <col min="11522" max="11522" width="10.5703125" customWidth="1"/>
    <col min="11523" max="11523" width="46.42578125" customWidth="1"/>
    <col min="11524" max="11524" width="22" customWidth="1"/>
    <col min="11525" max="11533" width="0" hidden="1" customWidth="1"/>
    <col min="11534" max="11534" width="14.5703125" customWidth="1"/>
    <col min="11535" max="11535" width="16.85546875" bestFit="1" customWidth="1"/>
    <col min="11536" max="11536" width="14.42578125" customWidth="1"/>
    <col min="11537" max="11537" width="14.5703125" customWidth="1"/>
    <col min="11538" max="11538" width="16.85546875" bestFit="1" customWidth="1"/>
    <col min="11539" max="11539" width="14.42578125" bestFit="1" customWidth="1"/>
    <col min="11540" max="11540" width="14.5703125" customWidth="1"/>
    <col min="11541" max="11541" width="16.85546875" bestFit="1" customWidth="1"/>
    <col min="11542" max="11542" width="15.28515625" customWidth="1"/>
    <col min="11543" max="11543" width="14.5703125" customWidth="1"/>
    <col min="11544" max="11544" width="16.85546875" bestFit="1" customWidth="1"/>
    <col min="11545" max="11545" width="14.85546875" customWidth="1"/>
    <col min="11546" max="11546" width="14.5703125" customWidth="1"/>
    <col min="11547" max="11547" width="16.85546875" bestFit="1" customWidth="1"/>
    <col min="11548" max="11548" width="16" customWidth="1"/>
    <col min="11549" max="11549" width="13.7109375" bestFit="1" customWidth="1"/>
    <col min="11550" max="11550" width="13.85546875" bestFit="1" customWidth="1"/>
    <col min="11551" max="11551" width="14.42578125" customWidth="1"/>
    <col min="11552" max="11552" width="10.140625" customWidth="1"/>
    <col min="11553" max="11553" width="14" bestFit="1" customWidth="1"/>
    <col min="11777" max="11777" width="0.7109375" customWidth="1"/>
    <col min="11778" max="11778" width="10.5703125" customWidth="1"/>
    <col min="11779" max="11779" width="46.42578125" customWidth="1"/>
    <col min="11780" max="11780" width="22" customWidth="1"/>
    <col min="11781" max="11789" width="0" hidden="1" customWidth="1"/>
    <col min="11790" max="11790" width="14.5703125" customWidth="1"/>
    <col min="11791" max="11791" width="16.85546875" bestFit="1" customWidth="1"/>
    <col min="11792" max="11792" width="14.42578125" customWidth="1"/>
    <col min="11793" max="11793" width="14.5703125" customWidth="1"/>
    <col min="11794" max="11794" width="16.85546875" bestFit="1" customWidth="1"/>
    <col min="11795" max="11795" width="14.42578125" bestFit="1" customWidth="1"/>
    <col min="11796" max="11796" width="14.5703125" customWidth="1"/>
    <col min="11797" max="11797" width="16.85546875" bestFit="1" customWidth="1"/>
    <col min="11798" max="11798" width="15.28515625" customWidth="1"/>
    <col min="11799" max="11799" width="14.5703125" customWidth="1"/>
    <col min="11800" max="11800" width="16.85546875" bestFit="1" customWidth="1"/>
    <col min="11801" max="11801" width="14.85546875" customWidth="1"/>
    <col min="11802" max="11802" width="14.5703125" customWidth="1"/>
    <col min="11803" max="11803" width="16.85546875" bestFit="1" customWidth="1"/>
    <col min="11804" max="11804" width="16" customWidth="1"/>
    <col min="11805" max="11805" width="13.7109375" bestFit="1" customWidth="1"/>
    <col min="11806" max="11806" width="13.85546875" bestFit="1" customWidth="1"/>
    <col min="11807" max="11807" width="14.42578125" customWidth="1"/>
    <col min="11808" max="11808" width="10.140625" customWidth="1"/>
    <col min="11809" max="11809" width="14" bestFit="1" customWidth="1"/>
    <col min="12033" max="12033" width="0.7109375" customWidth="1"/>
    <col min="12034" max="12034" width="10.5703125" customWidth="1"/>
    <col min="12035" max="12035" width="46.42578125" customWidth="1"/>
    <col min="12036" max="12036" width="22" customWidth="1"/>
    <col min="12037" max="12045" width="0" hidden="1" customWidth="1"/>
    <col min="12046" max="12046" width="14.5703125" customWidth="1"/>
    <col min="12047" max="12047" width="16.85546875" bestFit="1" customWidth="1"/>
    <col min="12048" max="12048" width="14.42578125" customWidth="1"/>
    <col min="12049" max="12049" width="14.5703125" customWidth="1"/>
    <col min="12050" max="12050" width="16.85546875" bestFit="1" customWidth="1"/>
    <col min="12051" max="12051" width="14.42578125" bestFit="1" customWidth="1"/>
    <col min="12052" max="12052" width="14.5703125" customWidth="1"/>
    <col min="12053" max="12053" width="16.85546875" bestFit="1" customWidth="1"/>
    <col min="12054" max="12054" width="15.28515625" customWidth="1"/>
    <col min="12055" max="12055" width="14.5703125" customWidth="1"/>
    <col min="12056" max="12056" width="16.85546875" bestFit="1" customWidth="1"/>
    <col min="12057" max="12057" width="14.85546875" customWidth="1"/>
    <col min="12058" max="12058" width="14.5703125" customWidth="1"/>
    <col min="12059" max="12059" width="16.85546875" bestFit="1" customWidth="1"/>
    <col min="12060" max="12060" width="16" customWidth="1"/>
    <col min="12061" max="12061" width="13.7109375" bestFit="1" customWidth="1"/>
    <col min="12062" max="12062" width="13.85546875" bestFit="1" customWidth="1"/>
    <col min="12063" max="12063" width="14.42578125" customWidth="1"/>
    <col min="12064" max="12064" width="10.140625" customWidth="1"/>
    <col min="12065" max="12065" width="14" bestFit="1" customWidth="1"/>
    <col min="12289" max="12289" width="0.7109375" customWidth="1"/>
    <col min="12290" max="12290" width="10.5703125" customWidth="1"/>
    <col min="12291" max="12291" width="46.42578125" customWidth="1"/>
    <col min="12292" max="12292" width="22" customWidth="1"/>
    <col min="12293" max="12301" width="0" hidden="1" customWidth="1"/>
    <col min="12302" max="12302" width="14.5703125" customWidth="1"/>
    <col min="12303" max="12303" width="16.85546875" bestFit="1" customWidth="1"/>
    <col min="12304" max="12304" width="14.42578125" customWidth="1"/>
    <col min="12305" max="12305" width="14.5703125" customWidth="1"/>
    <col min="12306" max="12306" width="16.85546875" bestFit="1" customWidth="1"/>
    <col min="12307" max="12307" width="14.42578125" bestFit="1" customWidth="1"/>
    <col min="12308" max="12308" width="14.5703125" customWidth="1"/>
    <col min="12309" max="12309" width="16.85546875" bestFit="1" customWidth="1"/>
    <col min="12310" max="12310" width="15.28515625" customWidth="1"/>
    <col min="12311" max="12311" width="14.5703125" customWidth="1"/>
    <col min="12312" max="12312" width="16.85546875" bestFit="1" customWidth="1"/>
    <col min="12313" max="12313" width="14.85546875" customWidth="1"/>
    <col min="12314" max="12314" width="14.5703125" customWidth="1"/>
    <col min="12315" max="12315" width="16.85546875" bestFit="1" customWidth="1"/>
    <col min="12316" max="12316" width="16" customWidth="1"/>
    <col min="12317" max="12317" width="13.7109375" bestFit="1" customWidth="1"/>
    <col min="12318" max="12318" width="13.85546875" bestFit="1" customWidth="1"/>
    <col min="12319" max="12319" width="14.42578125" customWidth="1"/>
    <col min="12320" max="12320" width="10.140625" customWidth="1"/>
    <col min="12321" max="12321" width="14" bestFit="1" customWidth="1"/>
    <col min="12545" max="12545" width="0.7109375" customWidth="1"/>
    <col min="12546" max="12546" width="10.5703125" customWidth="1"/>
    <col min="12547" max="12547" width="46.42578125" customWidth="1"/>
    <col min="12548" max="12548" width="22" customWidth="1"/>
    <col min="12549" max="12557" width="0" hidden="1" customWidth="1"/>
    <col min="12558" max="12558" width="14.5703125" customWidth="1"/>
    <col min="12559" max="12559" width="16.85546875" bestFit="1" customWidth="1"/>
    <col min="12560" max="12560" width="14.42578125" customWidth="1"/>
    <col min="12561" max="12561" width="14.5703125" customWidth="1"/>
    <col min="12562" max="12562" width="16.85546875" bestFit="1" customWidth="1"/>
    <col min="12563" max="12563" width="14.42578125" bestFit="1" customWidth="1"/>
    <col min="12564" max="12564" width="14.5703125" customWidth="1"/>
    <col min="12565" max="12565" width="16.85546875" bestFit="1" customWidth="1"/>
    <col min="12566" max="12566" width="15.28515625" customWidth="1"/>
    <col min="12567" max="12567" width="14.5703125" customWidth="1"/>
    <col min="12568" max="12568" width="16.85546875" bestFit="1" customWidth="1"/>
    <col min="12569" max="12569" width="14.85546875" customWidth="1"/>
    <col min="12570" max="12570" width="14.5703125" customWidth="1"/>
    <col min="12571" max="12571" width="16.85546875" bestFit="1" customWidth="1"/>
    <col min="12572" max="12572" width="16" customWidth="1"/>
    <col min="12573" max="12573" width="13.7109375" bestFit="1" customWidth="1"/>
    <col min="12574" max="12574" width="13.85546875" bestFit="1" customWidth="1"/>
    <col min="12575" max="12575" width="14.42578125" customWidth="1"/>
    <col min="12576" max="12576" width="10.140625" customWidth="1"/>
    <col min="12577" max="12577" width="14" bestFit="1" customWidth="1"/>
    <col min="12801" max="12801" width="0.7109375" customWidth="1"/>
    <col min="12802" max="12802" width="10.5703125" customWidth="1"/>
    <col min="12803" max="12803" width="46.42578125" customWidth="1"/>
    <col min="12804" max="12804" width="22" customWidth="1"/>
    <col min="12805" max="12813" width="0" hidden="1" customWidth="1"/>
    <col min="12814" max="12814" width="14.5703125" customWidth="1"/>
    <col min="12815" max="12815" width="16.85546875" bestFit="1" customWidth="1"/>
    <col min="12816" max="12816" width="14.42578125" customWidth="1"/>
    <col min="12817" max="12817" width="14.5703125" customWidth="1"/>
    <col min="12818" max="12818" width="16.85546875" bestFit="1" customWidth="1"/>
    <col min="12819" max="12819" width="14.42578125" bestFit="1" customWidth="1"/>
    <col min="12820" max="12820" width="14.5703125" customWidth="1"/>
    <col min="12821" max="12821" width="16.85546875" bestFit="1" customWidth="1"/>
    <col min="12822" max="12822" width="15.28515625" customWidth="1"/>
    <col min="12823" max="12823" width="14.5703125" customWidth="1"/>
    <col min="12824" max="12824" width="16.85546875" bestFit="1" customWidth="1"/>
    <col min="12825" max="12825" width="14.85546875" customWidth="1"/>
    <col min="12826" max="12826" width="14.5703125" customWidth="1"/>
    <col min="12827" max="12827" width="16.85546875" bestFit="1" customWidth="1"/>
    <col min="12828" max="12828" width="16" customWidth="1"/>
    <col min="12829" max="12829" width="13.7109375" bestFit="1" customWidth="1"/>
    <col min="12830" max="12830" width="13.85546875" bestFit="1" customWidth="1"/>
    <col min="12831" max="12831" width="14.42578125" customWidth="1"/>
    <col min="12832" max="12832" width="10.140625" customWidth="1"/>
    <col min="12833" max="12833" width="14" bestFit="1" customWidth="1"/>
    <col min="13057" max="13057" width="0.7109375" customWidth="1"/>
    <col min="13058" max="13058" width="10.5703125" customWidth="1"/>
    <col min="13059" max="13059" width="46.42578125" customWidth="1"/>
    <col min="13060" max="13060" width="22" customWidth="1"/>
    <col min="13061" max="13069" width="0" hidden="1" customWidth="1"/>
    <col min="13070" max="13070" width="14.5703125" customWidth="1"/>
    <col min="13071" max="13071" width="16.85546875" bestFit="1" customWidth="1"/>
    <col min="13072" max="13072" width="14.42578125" customWidth="1"/>
    <col min="13073" max="13073" width="14.5703125" customWidth="1"/>
    <col min="13074" max="13074" width="16.85546875" bestFit="1" customWidth="1"/>
    <col min="13075" max="13075" width="14.42578125" bestFit="1" customWidth="1"/>
    <col min="13076" max="13076" width="14.5703125" customWidth="1"/>
    <col min="13077" max="13077" width="16.85546875" bestFit="1" customWidth="1"/>
    <col min="13078" max="13078" width="15.28515625" customWidth="1"/>
    <col min="13079" max="13079" width="14.5703125" customWidth="1"/>
    <col min="13080" max="13080" width="16.85546875" bestFit="1" customWidth="1"/>
    <col min="13081" max="13081" width="14.85546875" customWidth="1"/>
    <col min="13082" max="13082" width="14.5703125" customWidth="1"/>
    <col min="13083" max="13083" width="16.85546875" bestFit="1" customWidth="1"/>
    <col min="13084" max="13084" width="16" customWidth="1"/>
    <col min="13085" max="13085" width="13.7109375" bestFit="1" customWidth="1"/>
    <col min="13086" max="13086" width="13.85546875" bestFit="1" customWidth="1"/>
    <col min="13087" max="13087" width="14.42578125" customWidth="1"/>
    <col min="13088" max="13088" width="10.140625" customWidth="1"/>
    <col min="13089" max="13089" width="14" bestFit="1" customWidth="1"/>
    <col min="13313" max="13313" width="0.7109375" customWidth="1"/>
    <col min="13314" max="13314" width="10.5703125" customWidth="1"/>
    <col min="13315" max="13315" width="46.42578125" customWidth="1"/>
    <col min="13316" max="13316" width="22" customWidth="1"/>
    <col min="13317" max="13325" width="0" hidden="1" customWidth="1"/>
    <col min="13326" max="13326" width="14.5703125" customWidth="1"/>
    <col min="13327" max="13327" width="16.85546875" bestFit="1" customWidth="1"/>
    <col min="13328" max="13328" width="14.42578125" customWidth="1"/>
    <col min="13329" max="13329" width="14.5703125" customWidth="1"/>
    <col min="13330" max="13330" width="16.85546875" bestFit="1" customWidth="1"/>
    <col min="13331" max="13331" width="14.42578125" bestFit="1" customWidth="1"/>
    <col min="13332" max="13332" width="14.5703125" customWidth="1"/>
    <col min="13333" max="13333" width="16.85546875" bestFit="1" customWidth="1"/>
    <col min="13334" max="13334" width="15.28515625" customWidth="1"/>
    <col min="13335" max="13335" width="14.5703125" customWidth="1"/>
    <col min="13336" max="13336" width="16.85546875" bestFit="1" customWidth="1"/>
    <col min="13337" max="13337" width="14.85546875" customWidth="1"/>
    <col min="13338" max="13338" width="14.5703125" customWidth="1"/>
    <col min="13339" max="13339" width="16.85546875" bestFit="1" customWidth="1"/>
    <col min="13340" max="13340" width="16" customWidth="1"/>
    <col min="13341" max="13341" width="13.7109375" bestFit="1" customWidth="1"/>
    <col min="13342" max="13342" width="13.85546875" bestFit="1" customWidth="1"/>
    <col min="13343" max="13343" width="14.42578125" customWidth="1"/>
    <col min="13344" max="13344" width="10.140625" customWidth="1"/>
    <col min="13345" max="13345" width="14" bestFit="1" customWidth="1"/>
    <col min="13569" max="13569" width="0.7109375" customWidth="1"/>
    <col min="13570" max="13570" width="10.5703125" customWidth="1"/>
    <col min="13571" max="13571" width="46.42578125" customWidth="1"/>
    <col min="13572" max="13572" width="22" customWidth="1"/>
    <col min="13573" max="13581" width="0" hidden="1" customWidth="1"/>
    <col min="13582" max="13582" width="14.5703125" customWidth="1"/>
    <col min="13583" max="13583" width="16.85546875" bestFit="1" customWidth="1"/>
    <col min="13584" max="13584" width="14.42578125" customWidth="1"/>
    <col min="13585" max="13585" width="14.5703125" customWidth="1"/>
    <col min="13586" max="13586" width="16.85546875" bestFit="1" customWidth="1"/>
    <col min="13587" max="13587" width="14.42578125" bestFit="1" customWidth="1"/>
    <col min="13588" max="13588" width="14.5703125" customWidth="1"/>
    <col min="13589" max="13589" width="16.85546875" bestFit="1" customWidth="1"/>
    <col min="13590" max="13590" width="15.28515625" customWidth="1"/>
    <col min="13591" max="13591" width="14.5703125" customWidth="1"/>
    <col min="13592" max="13592" width="16.85546875" bestFit="1" customWidth="1"/>
    <col min="13593" max="13593" width="14.85546875" customWidth="1"/>
    <col min="13594" max="13594" width="14.5703125" customWidth="1"/>
    <col min="13595" max="13595" width="16.85546875" bestFit="1" customWidth="1"/>
    <col min="13596" max="13596" width="16" customWidth="1"/>
    <col min="13597" max="13597" width="13.7109375" bestFit="1" customWidth="1"/>
    <col min="13598" max="13598" width="13.85546875" bestFit="1" customWidth="1"/>
    <col min="13599" max="13599" width="14.42578125" customWidth="1"/>
    <col min="13600" max="13600" width="10.140625" customWidth="1"/>
    <col min="13601" max="13601" width="14" bestFit="1" customWidth="1"/>
    <col min="13825" max="13825" width="0.7109375" customWidth="1"/>
    <col min="13826" max="13826" width="10.5703125" customWidth="1"/>
    <col min="13827" max="13827" width="46.42578125" customWidth="1"/>
    <col min="13828" max="13828" width="22" customWidth="1"/>
    <col min="13829" max="13837" width="0" hidden="1" customWidth="1"/>
    <col min="13838" max="13838" width="14.5703125" customWidth="1"/>
    <col min="13839" max="13839" width="16.85546875" bestFit="1" customWidth="1"/>
    <col min="13840" max="13840" width="14.42578125" customWidth="1"/>
    <col min="13841" max="13841" width="14.5703125" customWidth="1"/>
    <col min="13842" max="13842" width="16.85546875" bestFit="1" customWidth="1"/>
    <col min="13843" max="13843" width="14.42578125" bestFit="1" customWidth="1"/>
    <col min="13844" max="13844" width="14.5703125" customWidth="1"/>
    <col min="13845" max="13845" width="16.85546875" bestFit="1" customWidth="1"/>
    <col min="13846" max="13846" width="15.28515625" customWidth="1"/>
    <col min="13847" max="13847" width="14.5703125" customWidth="1"/>
    <col min="13848" max="13848" width="16.85546875" bestFit="1" customWidth="1"/>
    <col min="13849" max="13849" width="14.85546875" customWidth="1"/>
    <col min="13850" max="13850" width="14.5703125" customWidth="1"/>
    <col min="13851" max="13851" width="16.85546875" bestFit="1" customWidth="1"/>
    <col min="13852" max="13852" width="16" customWidth="1"/>
    <col min="13853" max="13853" width="13.7109375" bestFit="1" customWidth="1"/>
    <col min="13854" max="13854" width="13.85546875" bestFit="1" customWidth="1"/>
    <col min="13855" max="13855" width="14.42578125" customWidth="1"/>
    <col min="13856" max="13856" width="10.140625" customWidth="1"/>
    <col min="13857" max="13857" width="14" bestFit="1" customWidth="1"/>
    <col min="14081" max="14081" width="0.7109375" customWidth="1"/>
    <col min="14082" max="14082" width="10.5703125" customWidth="1"/>
    <col min="14083" max="14083" width="46.42578125" customWidth="1"/>
    <col min="14084" max="14084" width="22" customWidth="1"/>
    <col min="14085" max="14093" width="0" hidden="1" customWidth="1"/>
    <col min="14094" max="14094" width="14.5703125" customWidth="1"/>
    <col min="14095" max="14095" width="16.85546875" bestFit="1" customWidth="1"/>
    <col min="14096" max="14096" width="14.42578125" customWidth="1"/>
    <col min="14097" max="14097" width="14.5703125" customWidth="1"/>
    <col min="14098" max="14098" width="16.85546875" bestFit="1" customWidth="1"/>
    <col min="14099" max="14099" width="14.42578125" bestFit="1" customWidth="1"/>
    <col min="14100" max="14100" width="14.5703125" customWidth="1"/>
    <col min="14101" max="14101" width="16.85546875" bestFit="1" customWidth="1"/>
    <col min="14102" max="14102" width="15.28515625" customWidth="1"/>
    <col min="14103" max="14103" width="14.5703125" customWidth="1"/>
    <col min="14104" max="14104" width="16.85546875" bestFit="1" customWidth="1"/>
    <col min="14105" max="14105" width="14.85546875" customWidth="1"/>
    <col min="14106" max="14106" width="14.5703125" customWidth="1"/>
    <col min="14107" max="14107" width="16.85546875" bestFit="1" customWidth="1"/>
    <col min="14108" max="14108" width="16" customWidth="1"/>
    <col min="14109" max="14109" width="13.7109375" bestFit="1" customWidth="1"/>
    <col min="14110" max="14110" width="13.85546875" bestFit="1" customWidth="1"/>
    <col min="14111" max="14111" width="14.42578125" customWidth="1"/>
    <col min="14112" max="14112" width="10.140625" customWidth="1"/>
    <col min="14113" max="14113" width="14" bestFit="1" customWidth="1"/>
    <col min="14337" max="14337" width="0.7109375" customWidth="1"/>
    <col min="14338" max="14338" width="10.5703125" customWidth="1"/>
    <col min="14339" max="14339" width="46.42578125" customWidth="1"/>
    <col min="14340" max="14340" width="22" customWidth="1"/>
    <col min="14341" max="14349" width="0" hidden="1" customWidth="1"/>
    <col min="14350" max="14350" width="14.5703125" customWidth="1"/>
    <col min="14351" max="14351" width="16.85546875" bestFit="1" customWidth="1"/>
    <col min="14352" max="14352" width="14.42578125" customWidth="1"/>
    <col min="14353" max="14353" width="14.5703125" customWidth="1"/>
    <col min="14354" max="14354" width="16.85546875" bestFit="1" customWidth="1"/>
    <col min="14355" max="14355" width="14.42578125" bestFit="1" customWidth="1"/>
    <col min="14356" max="14356" width="14.5703125" customWidth="1"/>
    <col min="14357" max="14357" width="16.85546875" bestFit="1" customWidth="1"/>
    <col min="14358" max="14358" width="15.28515625" customWidth="1"/>
    <col min="14359" max="14359" width="14.5703125" customWidth="1"/>
    <col min="14360" max="14360" width="16.85546875" bestFit="1" customWidth="1"/>
    <col min="14361" max="14361" width="14.85546875" customWidth="1"/>
    <col min="14362" max="14362" width="14.5703125" customWidth="1"/>
    <col min="14363" max="14363" width="16.85546875" bestFit="1" customWidth="1"/>
    <col min="14364" max="14364" width="16" customWidth="1"/>
    <col min="14365" max="14365" width="13.7109375" bestFit="1" customWidth="1"/>
    <col min="14366" max="14366" width="13.85546875" bestFit="1" customWidth="1"/>
    <col min="14367" max="14367" width="14.42578125" customWidth="1"/>
    <col min="14368" max="14368" width="10.140625" customWidth="1"/>
    <col min="14369" max="14369" width="14" bestFit="1" customWidth="1"/>
    <col min="14593" max="14593" width="0.7109375" customWidth="1"/>
    <col min="14594" max="14594" width="10.5703125" customWidth="1"/>
    <col min="14595" max="14595" width="46.42578125" customWidth="1"/>
    <col min="14596" max="14596" width="22" customWidth="1"/>
    <col min="14597" max="14605" width="0" hidden="1" customWidth="1"/>
    <col min="14606" max="14606" width="14.5703125" customWidth="1"/>
    <col min="14607" max="14607" width="16.85546875" bestFit="1" customWidth="1"/>
    <col min="14608" max="14608" width="14.42578125" customWidth="1"/>
    <col min="14609" max="14609" width="14.5703125" customWidth="1"/>
    <col min="14610" max="14610" width="16.85546875" bestFit="1" customWidth="1"/>
    <col min="14611" max="14611" width="14.42578125" bestFit="1" customWidth="1"/>
    <col min="14612" max="14612" width="14.5703125" customWidth="1"/>
    <col min="14613" max="14613" width="16.85546875" bestFit="1" customWidth="1"/>
    <col min="14614" max="14614" width="15.28515625" customWidth="1"/>
    <col min="14615" max="14615" width="14.5703125" customWidth="1"/>
    <col min="14616" max="14616" width="16.85546875" bestFit="1" customWidth="1"/>
    <col min="14617" max="14617" width="14.85546875" customWidth="1"/>
    <col min="14618" max="14618" width="14.5703125" customWidth="1"/>
    <col min="14619" max="14619" width="16.85546875" bestFit="1" customWidth="1"/>
    <col min="14620" max="14620" width="16" customWidth="1"/>
    <col min="14621" max="14621" width="13.7109375" bestFit="1" customWidth="1"/>
    <col min="14622" max="14622" width="13.85546875" bestFit="1" customWidth="1"/>
    <col min="14623" max="14623" width="14.42578125" customWidth="1"/>
    <col min="14624" max="14624" width="10.140625" customWidth="1"/>
    <col min="14625" max="14625" width="14" bestFit="1" customWidth="1"/>
    <col min="14849" max="14849" width="0.7109375" customWidth="1"/>
    <col min="14850" max="14850" width="10.5703125" customWidth="1"/>
    <col min="14851" max="14851" width="46.42578125" customWidth="1"/>
    <col min="14852" max="14852" width="22" customWidth="1"/>
    <col min="14853" max="14861" width="0" hidden="1" customWidth="1"/>
    <col min="14862" max="14862" width="14.5703125" customWidth="1"/>
    <col min="14863" max="14863" width="16.85546875" bestFit="1" customWidth="1"/>
    <col min="14864" max="14864" width="14.42578125" customWidth="1"/>
    <col min="14865" max="14865" width="14.5703125" customWidth="1"/>
    <col min="14866" max="14866" width="16.85546875" bestFit="1" customWidth="1"/>
    <col min="14867" max="14867" width="14.42578125" bestFit="1" customWidth="1"/>
    <col min="14868" max="14868" width="14.5703125" customWidth="1"/>
    <col min="14869" max="14869" width="16.85546875" bestFit="1" customWidth="1"/>
    <col min="14870" max="14870" width="15.28515625" customWidth="1"/>
    <col min="14871" max="14871" width="14.5703125" customWidth="1"/>
    <col min="14872" max="14872" width="16.85546875" bestFit="1" customWidth="1"/>
    <col min="14873" max="14873" width="14.85546875" customWidth="1"/>
    <col min="14874" max="14874" width="14.5703125" customWidth="1"/>
    <col min="14875" max="14875" width="16.85546875" bestFit="1" customWidth="1"/>
    <col min="14876" max="14876" width="16" customWidth="1"/>
    <col min="14877" max="14877" width="13.7109375" bestFit="1" customWidth="1"/>
    <col min="14878" max="14878" width="13.85546875" bestFit="1" customWidth="1"/>
    <col min="14879" max="14879" width="14.42578125" customWidth="1"/>
    <col min="14880" max="14880" width="10.140625" customWidth="1"/>
    <col min="14881" max="14881" width="14" bestFit="1" customWidth="1"/>
    <col min="15105" max="15105" width="0.7109375" customWidth="1"/>
    <col min="15106" max="15106" width="10.5703125" customWidth="1"/>
    <col min="15107" max="15107" width="46.42578125" customWidth="1"/>
    <col min="15108" max="15108" width="22" customWidth="1"/>
    <col min="15109" max="15117" width="0" hidden="1" customWidth="1"/>
    <col min="15118" max="15118" width="14.5703125" customWidth="1"/>
    <col min="15119" max="15119" width="16.85546875" bestFit="1" customWidth="1"/>
    <col min="15120" max="15120" width="14.42578125" customWidth="1"/>
    <col min="15121" max="15121" width="14.5703125" customWidth="1"/>
    <col min="15122" max="15122" width="16.85546875" bestFit="1" customWidth="1"/>
    <col min="15123" max="15123" width="14.42578125" bestFit="1" customWidth="1"/>
    <col min="15124" max="15124" width="14.5703125" customWidth="1"/>
    <col min="15125" max="15125" width="16.85546875" bestFit="1" customWidth="1"/>
    <col min="15126" max="15126" width="15.28515625" customWidth="1"/>
    <col min="15127" max="15127" width="14.5703125" customWidth="1"/>
    <col min="15128" max="15128" width="16.85546875" bestFit="1" customWidth="1"/>
    <col min="15129" max="15129" width="14.85546875" customWidth="1"/>
    <col min="15130" max="15130" width="14.5703125" customWidth="1"/>
    <col min="15131" max="15131" width="16.85546875" bestFit="1" customWidth="1"/>
    <col min="15132" max="15132" width="16" customWidth="1"/>
    <col min="15133" max="15133" width="13.7109375" bestFit="1" customWidth="1"/>
    <col min="15134" max="15134" width="13.85546875" bestFit="1" customWidth="1"/>
    <col min="15135" max="15135" width="14.42578125" customWidth="1"/>
    <col min="15136" max="15136" width="10.140625" customWidth="1"/>
    <col min="15137" max="15137" width="14" bestFit="1" customWidth="1"/>
    <col min="15361" max="15361" width="0.7109375" customWidth="1"/>
    <col min="15362" max="15362" width="10.5703125" customWidth="1"/>
    <col min="15363" max="15363" width="46.42578125" customWidth="1"/>
    <col min="15364" max="15364" width="22" customWidth="1"/>
    <col min="15365" max="15373" width="0" hidden="1" customWidth="1"/>
    <col min="15374" max="15374" width="14.5703125" customWidth="1"/>
    <col min="15375" max="15375" width="16.85546875" bestFit="1" customWidth="1"/>
    <col min="15376" max="15376" width="14.42578125" customWidth="1"/>
    <col min="15377" max="15377" width="14.5703125" customWidth="1"/>
    <col min="15378" max="15378" width="16.85546875" bestFit="1" customWidth="1"/>
    <col min="15379" max="15379" width="14.42578125" bestFit="1" customWidth="1"/>
    <col min="15380" max="15380" width="14.5703125" customWidth="1"/>
    <col min="15381" max="15381" width="16.85546875" bestFit="1" customWidth="1"/>
    <col min="15382" max="15382" width="15.28515625" customWidth="1"/>
    <col min="15383" max="15383" width="14.5703125" customWidth="1"/>
    <col min="15384" max="15384" width="16.85546875" bestFit="1" customWidth="1"/>
    <col min="15385" max="15385" width="14.85546875" customWidth="1"/>
    <col min="15386" max="15386" width="14.5703125" customWidth="1"/>
    <col min="15387" max="15387" width="16.85546875" bestFit="1" customWidth="1"/>
    <col min="15388" max="15388" width="16" customWidth="1"/>
    <col min="15389" max="15389" width="13.7109375" bestFit="1" customWidth="1"/>
    <col min="15390" max="15390" width="13.85546875" bestFit="1" customWidth="1"/>
    <col min="15391" max="15391" width="14.42578125" customWidth="1"/>
    <col min="15392" max="15392" width="10.140625" customWidth="1"/>
    <col min="15393" max="15393" width="14" bestFit="1" customWidth="1"/>
    <col min="15617" max="15617" width="0.7109375" customWidth="1"/>
    <col min="15618" max="15618" width="10.5703125" customWidth="1"/>
    <col min="15619" max="15619" width="46.42578125" customWidth="1"/>
    <col min="15620" max="15620" width="22" customWidth="1"/>
    <col min="15621" max="15629" width="0" hidden="1" customWidth="1"/>
    <col min="15630" max="15630" width="14.5703125" customWidth="1"/>
    <col min="15631" max="15631" width="16.85546875" bestFit="1" customWidth="1"/>
    <col min="15632" max="15632" width="14.42578125" customWidth="1"/>
    <col min="15633" max="15633" width="14.5703125" customWidth="1"/>
    <col min="15634" max="15634" width="16.85546875" bestFit="1" customWidth="1"/>
    <col min="15635" max="15635" width="14.42578125" bestFit="1" customWidth="1"/>
    <col min="15636" max="15636" width="14.5703125" customWidth="1"/>
    <col min="15637" max="15637" width="16.85546875" bestFit="1" customWidth="1"/>
    <col min="15638" max="15638" width="15.28515625" customWidth="1"/>
    <col min="15639" max="15639" width="14.5703125" customWidth="1"/>
    <col min="15640" max="15640" width="16.85546875" bestFit="1" customWidth="1"/>
    <col min="15641" max="15641" width="14.85546875" customWidth="1"/>
    <col min="15642" max="15642" width="14.5703125" customWidth="1"/>
    <col min="15643" max="15643" width="16.85546875" bestFit="1" customWidth="1"/>
    <col min="15644" max="15644" width="16" customWidth="1"/>
    <col min="15645" max="15645" width="13.7109375" bestFit="1" customWidth="1"/>
    <col min="15646" max="15646" width="13.85546875" bestFit="1" customWidth="1"/>
    <col min="15647" max="15647" width="14.42578125" customWidth="1"/>
    <col min="15648" max="15648" width="10.140625" customWidth="1"/>
    <col min="15649" max="15649" width="14" bestFit="1" customWidth="1"/>
    <col min="15873" max="15873" width="0.7109375" customWidth="1"/>
    <col min="15874" max="15874" width="10.5703125" customWidth="1"/>
    <col min="15875" max="15875" width="46.42578125" customWidth="1"/>
    <col min="15876" max="15876" width="22" customWidth="1"/>
    <col min="15877" max="15885" width="0" hidden="1" customWidth="1"/>
    <col min="15886" max="15886" width="14.5703125" customWidth="1"/>
    <col min="15887" max="15887" width="16.85546875" bestFit="1" customWidth="1"/>
    <col min="15888" max="15888" width="14.42578125" customWidth="1"/>
    <col min="15889" max="15889" width="14.5703125" customWidth="1"/>
    <col min="15890" max="15890" width="16.85546875" bestFit="1" customWidth="1"/>
    <col min="15891" max="15891" width="14.42578125" bestFit="1" customWidth="1"/>
    <col min="15892" max="15892" width="14.5703125" customWidth="1"/>
    <col min="15893" max="15893" width="16.85546875" bestFit="1" customWidth="1"/>
    <col min="15894" max="15894" width="15.28515625" customWidth="1"/>
    <col min="15895" max="15895" width="14.5703125" customWidth="1"/>
    <col min="15896" max="15896" width="16.85546875" bestFit="1" customWidth="1"/>
    <col min="15897" max="15897" width="14.85546875" customWidth="1"/>
    <col min="15898" max="15898" width="14.5703125" customWidth="1"/>
    <col min="15899" max="15899" width="16.85546875" bestFit="1" customWidth="1"/>
    <col min="15900" max="15900" width="16" customWidth="1"/>
    <col min="15901" max="15901" width="13.7109375" bestFit="1" customWidth="1"/>
    <col min="15902" max="15902" width="13.85546875" bestFit="1" customWidth="1"/>
    <col min="15903" max="15903" width="14.42578125" customWidth="1"/>
    <col min="15904" max="15904" width="10.140625" customWidth="1"/>
    <col min="15905" max="15905" width="14" bestFit="1" customWidth="1"/>
    <col min="16129" max="16129" width="0.7109375" customWidth="1"/>
    <col min="16130" max="16130" width="10.5703125" customWidth="1"/>
    <col min="16131" max="16131" width="46.42578125" customWidth="1"/>
    <col min="16132" max="16132" width="22" customWidth="1"/>
    <col min="16133" max="16141" width="0" hidden="1" customWidth="1"/>
    <col min="16142" max="16142" width="14.5703125" customWidth="1"/>
    <col min="16143" max="16143" width="16.85546875" bestFit="1" customWidth="1"/>
    <col min="16144" max="16144" width="14.42578125" customWidth="1"/>
    <col min="16145" max="16145" width="14.5703125" customWidth="1"/>
    <col min="16146" max="16146" width="16.85546875" bestFit="1" customWidth="1"/>
    <col min="16147" max="16147" width="14.42578125" bestFit="1" customWidth="1"/>
    <col min="16148" max="16148" width="14.5703125" customWidth="1"/>
    <col min="16149" max="16149" width="16.85546875" bestFit="1" customWidth="1"/>
    <col min="16150" max="16150" width="15.28515625" customWidth="1"/>
    <col min="16151" max="16151" width="14.5703125" customWidth="1"/>
    <col min="16152" max="16152" width="16.85546875" bestFit="1" customWidth="1"/>
    <col min="16153" max="16153" width="14.85546875" customWidth="1"/>
    <col min="16154" max="16154" width="14.5703125" customWidth="1"/>
    <col min="16155" max="16155" width="16.85546875" bestFit="1" customWidth="1"/>
    <col min="16156" max="16156" width="16" customWidth="1"/>
    <col min="16157" max="16157" width="13.7109375" bestFit="1" customWidth="1"/>
    <col min="16158" max="16158" width="13.85546875" bestFit="1" customWidth="1"/>
    <col min="16159" max="16159" width="14.42578125" customWidth="1"/>
    <col min="16160" max="16160" width="10.140625" customWidth="1"/>
    <col min="16161" max="16161" width="14" bestFit="1" customWidth="1"/>
  </cols>
  <sheetData>
    <row r="1" spans="1:36" ht="43.5" customHeight="1" thickBot="1">
      <c r="C1" s="3470" t="s">
        <v>15040</v>
      </c>
      <c r="D1" s="3470"/>
      <c r="E1" s="3470"/>
      <c r="F1" s="3470"/>
      <c r="G1" s="3470"/>
      <c r="H1" s="3470"/>
      <c r="I1" s="3470"/>
      <c r="J1" s="3470"/>
      <c r="K1" s="3470"/>
      <c r="L1" s="3470"/>
      <c r="M1" s="3470"/>
      <c r="N1" s="3470"/>
      <c r="O1" s="3470"/>
      <c r="P1" s="3470"/>
      <c r="Q1" s="3470"/>
      <c r="R1" s="3470"/>
      <c r="S1" s="3470"/>
      <c r="T1" s="3470"/>
      <c r="U1" s="3470"/>
      <c r="V1" s="3470"/>
      <c r="W1" s="3470"/>
      <c r="X1" s="3470"/>
      <c r="Y1" s="3470"/>
      <c r="Z1" s="3470"/>
      <c r="AA1" s="3470"/>
      <c r="AB1" s="3470"/>
    </row>
    <row r="2" spans="1:36" ht="19.5" hidden="1" outlineLevel="1" thickBot="1">
      <c r="A2" s="2220"/>
      <c r="B2" s="2221"/>
      <c r="C2" s="2222"/>
      <c r="D2" s="2496"/>
      <c r="E2" s="3335" t="s">
        <v>14964</v>
      </c>
      <c r="F2" s="3336"/>
      <c r="G2" s="3336"/>
      <c r="H2" s="3336"/>
      <c r="I2" s="3336"/>
      <c r="J2" s="3336"/>
      <c r="K2" s="3336"/>
      <c r="L2" s="3336"/>
      <c r="M2" s="3337"/>
      <c r="N2" s="3335" t="s">
        <v>14965</v>
      </c>
      <c r="O2" s="3336"/>
      <c r="P2" s="3336"/>
      <c r="Q2" s="3335" t="s">
        <v>14965</v>
      </c>
      <c r="R2" s="3336"/>
      <c r="S2" s="3337"/>
      <c r="T2" s="3336" t="s">
        <v>14965</v>
      </c>
      <c r="U2" s="3336"/>
      <c r="V2" s="3336"/>
      <c r="W2" s="3335" t="s">
        <v>14965</v>
      </c>
      <c r="X2" s="3336"/>
      <c r="Y2" s="3336"/>
      <c r="Z2" s="3335" t="s">
        <v>14965</v>
      </c>
      <c r="AA2" s="3336"/>
      <c r="AB2" s="3337"/>
      <c r="AC2" s="3457" t="s">
        <v>14965</v>
      </c>
      <c r="AD2" s="3458"/>
      <c r="AE2" s="3459"/>
    </row>
    <row r="3" spans="1:36" s="2218" customFormat="1" collapsed="1">
      <c r="B3" s="3338" t="s">
        <v>665</v>
      </c>
      <c r="C3" s="3340" t="s">
        <v>1306</v>
      </c>
      <c r="D3" s="3342" t="s">
        <v>1307</v>
      </c>
      <c r="E3" s="3460">
        <v>2020</v>
      </c>
      <c r="F3" s="3461"/>
      <c r="G3" s="3461"/>
      <c r="H3" s="3461">
        <v>2021</v>
      </c>
      <c r="I3" s="3461"/>
      <c r="J3" s="3461"/>
      <c r="K3" s="3461">
        <v>2022</v>
      </c>
      <c r="L3" s="3461"/>
      <c r="M3" s="3463"/>
      <c r="N3" s="3460">
        <v>2024</v>
      </c>
      <c r="O3" s="3461"/>
      <c r="P3" s="3462"/>
      <c r="Q3" s="3460">
        <v>2025</v>
      </c>
      <c r="R3" s="3461"/>
      <c r="S3" s="3463"/>
      <c r="T3" s="3464">
        <v>2026</v>
      </c>
      <c r="U3" s="3461"/>
      <c r="V3" s="3462"/>
      <c r="W3" s="3460">
        <v>2027</v>
      </c>
      <c r="X3" s="3461"/>
      <c r="Y3" s="3462"/>
      <c r="Z3" s="3460">
        <v>2028</v>
      </c>
      <c r="AA3" s="3461"/>
      <c r="AB3" s="3463"/>
      <c r="AC3" s="2072"/>
      <c r="AD3" s="2073"/>
      <c r="AE3" s="2074"/>
    </row>
    <row r="4" spans="1:36" s="2218" customFormat="1" ht="26.25" thickBot="1">
      <c r="B4" s="3467"/>
      <c r="C4" s="3468"/>
      <c r="D4" s="3469"/>
      <c r="E4" s="2223" t="s">
        <v>14966</v>
      </c>
      <c r="F4" s="2224" t="s">
        <v>14967</v>
      </c>
      <c r="G4" s="2225" t="s">
        <v>1310</v>
      </c>
      <c r="H4" s="2224" t="s">
        <v>14968</v>
      </c>
      <c r="I4" s="2224" t="s">
        <v>14969</v>
      </c>
      <c r="J4" s="2225" t="s">
        <v>1310</v>
      </c>
      <c r="K4" s="2224" t="s">
        <v>14970</v>
      </c>
      <c r="L4" s="2224" t="s">
        <v>14971</v>
      </c>
      <c r="M4" s="2227" t="s">
        <v>1310</v>
      </c>
      <c r="N4" s="2223" t="s">
        <v>14972</v>
      </c>
      <c r="O4" s="2228" t="s">
        <v>14973</v>
      </c>
      <c r="P4" s="2226" t="s">
        <v>1310</v>
      </c>
      <c r="Q4" s="2223" t="s">
        <v>14974</v>
      </c>
      <c r="R4" s="2228" t="s">
        <v>14975</v>
      </c>
      <c r="S4" s="2227" t="s">
        <v>1310</v>
      </c>
      <c r="T4" s="2223" t="s">
        <v>14976</v>
      </c>
      <c r="U4" s="2228" t="s">
        <v>14977</v>
      </c>
      <c r="V4" s="2226" t="s">
        <v>1310</v>
      </c>
      <c r="W4" s="2223" t="s">
        <v>14978</v>
      </c>
      <c r="X4" s="2228" t="s">
        <v>14979</v>
      </c>
      <c r="Y4" s="2226" t="s">
        <v>1310</v>
      </c>
      <c r="Z4" s="2223" t="s">
        <v>14980</v>
      </c>
      <c r="AA4" s="2228" t="s">
        <v>14981</v>
      </c>
      <c r="AB4" s="2475" t="s">
        <v>1310</v>
      </c>
      <c r="AC4" s="1437"/>
      <c r="AD4" s="1438"/>
      <c r="AE4" s="2831" t="s">
        <v>16</v>
      </c>
    </row>
    <row r="5" spans="1:36" s="2218" customFormat="1" ht="11.25" hidden="1" customHeight="1" thickBot="1">
      <c r="B5" s="2229"/>
      <c r="C5" s="2230"/>
      <c r="D5" s="2231"/>
      <c r="E5" s="2232"/>
      <c r="F5" s="2219"/>
      <c r="G5" s="2219"/>
      <c r="H5" s="2219"/>
      <c r="I5" s="2219"/>
      <c r="J5" s="2219"/>
      <c r="K5" s="2219"/>
      <c r="L5" s="2219"/>
      <c r="M5" s="2234"/>
      <c r="N5" s="3046"/>
      <c r="O5" s="2233"/>
      <c r="P5" s="2233"/>
      <c r="Q5" s="3046"/>
      <c r="R5" s="2233"/>
      <c r="S5" s="2234"/>
      <c r="T5" s="3046"/>
      <c r="U5" s="2233"/>
      <c r="V5" s="2233"/>
      <c r="W5" s="3046"/>
      <c r="X5" s="2233"/>
      <c r="Y5" s="2233"/>
      <c r="Z5" s="3046"/>
      <c r="AA5" s="2233"/>
      <c r="AB5" s="2476"/>
      <c r="AC5" s="1540"/>
      <c r="AD5" s="1540"/>
      <c r="AE5" s="1540"/>
    </row>
    <row r="6" spans="1:36" s="2218" customFormat="1" ht="19.5" thickBot="1">
      <c r="A6" s="2235">
        <v>1</v>
      </c>
      <c r="B6" s="2236"/>
      <c r="C6" s="2237" t="s">
        <v>1311</v>
      </c>
      <c r="D6" s="2497"/>
      <c r="E6" s="2239">
        <f>E7+E238+E271+E272</f>
        <v>169608.15879396093</v>
      </c>
      <c r="F6" s="2239">
        <f>F7+F238+F271+F272</f>
        <v>175079.5790548732</v>
      </c>
      <c r="G6" s="2240">
        <f t="shared" ref="G6:G69" si="0">E6/2+F6/2</f>
        <v>172343.86892441707</v>
      </c>
      <c r="H6" s="2239">
        <f>H7+H238+H271+H272</f>
        <v>175938.93761191954</v>
      </c>
      <c r="I6" s="2239">
        <f>I7+I238+I271+I272</f>
        <v>180741.14928988094</v>
      </c>
      <c r="J6" s="2240">
        <f t="shared" ref="J6:J69" si="1">H6/2+I6/2</f>
        <v>178340.04345090024</v>
      </c>
      <c r="K6" s="2239">
        <f>K7+K238+K271+K272</f>
        <v>171760.49598650672</v>
      </c>
      <c r="L6" s="2239">
        <f>L7+L238+L271+L272</f>
        <v>177425.716543616</v>
      </c>
      <c r="M6" s="2240">
        <f t="shared" ref="M6:M69" si="2">K6/2+L6/2</f>
        <v>174593.10626506136</v>
      </c>
      <c r="N6" s="2239">
        <f>N7+N238+N271+N272</f>
        <v>546593.48745818262</v>
      </c>
      <c r="O6" s="2242">
        <f>O7+O238+O271+O272</f>
        <v>698255.75173022586</v>
      </c>
      <c r="P6" s="2241">
        <f t="shared" ref="P6:P69" si="3">N6/2+O6/2</f>
        <v>622424.61959420424</v>
      </c>
      <c r="Q6" s="2239">
        <f>Q7+Q238+Q271+Q272</f>
        <v>698255.75121326023</v>
      </c>
      <c r="R6" s="2242">
        <f>R7+R238+R271+R272</f>
        <v>820874.06251086178</v>
      </c>
      <c r="S6" s="2240">
        <f t="shared" ref="S6:S69" si="4">Q6/2+R6/2</f>
        <v>759564.90686206101</v>
      </c>
      <c r="T6" s="2239">
        <f>T7+T238+T271+T272</f>
        <v>820874.06251086178</v>
      </c>
      <c r="U6" s="2242">
        <f>U7+U238+U271+U272</f>
        <v>951306.80018841033</v>
      </c>
      <c r="V6" s="2241">
        <f t="shared" ref="V6:V69" si="5">T6/2+U6/2</f>
        <v>886090.43134963606</v>
      </c>
      <c r="W6" s="2239">
        <f>W7+W238+W271+W272</f>
        <v>951306.90772931254</v>
      </c>
      <c r="X6" s="2242">
        <f>X7+X238+X271+X272</f>
        <v>1091810.5117652526</v>
      </c>
      <c r="Y6" s="2241">
        <f t="shared" ref="Y6:Y69" si="6">W6/2+X6/2</f>
        <v>1021558.7097472826</v>
      </c>
      <c r="Z6" s="2239">
        <f>Z7+Z238+Z271+Z272</f>
        <v>1091810.5211506402</v>
      </c>
      <c r="AA6" s="2242">
        <f>AA7+AA238+AA271+AA272</f>
        <v>1216114.873188948</v>
      </c>
      <c r="AB6" s="2240">
        <f t="shared" ref="AB6:AB69" si="7">Z6/2+AA6/2</f>
        <v>1153962.6971697942</v>
      </c>
      <c r="AC6" s="2606"/>
      <c r="AD6" s="2606"/>
      <c r="AE6" s="2606"/>
      <c r="AF6" s="2593"/>
      <c r="AG6" s="2593"/>
      <c r="AH6" s="2593"/>
      <c r="AI6" s="2593"/>
      <c r="AJ6" s="2593"/>
    </row>
    <row r="7" spans="1:36" s="2218" customFormat="1" ht="18.75" outlineLevel="1">
      <c r="A7" s="2235">
        <v>253</v>
      </c>
      <c r="B7" s="2243"/>
      <c r="C7" s="2244" t="s">
        <v>1312</v>
      </c>
      <c r="D7" s="2499" t="s">
        <v>1313</v>
      </c>
      <c r="E7" s="2246">
        <f>E8+E236</f>
        <v>169608.15879396093</v>
      </c>
      <c r="F7" s="2247">
        <f>F8+F236</f>
        <v>175079.5790548732</v>
      </c>
      <c r="G7" s="2248">
        <f t="shared" si="0"/>
        <v>172343.86892441707</v>
      </c>
      <c r="H7" s="2247">
        <f>H8+H236</f>
        <v>175938.93761191954</v>
      </c>
      <c r="I7" s="2247">
        <f>I8+I236</f>
        <v>180741.14928988094</v>
      </c>
      <c r="J7" s="2248">
        <f t="shared" si="1"/>
        <v>178340.04345090024</v>
      </c>
      <c r="K7" s="2247">
        <f>K8+K236</f>
        <v>168568.91373690858</v>
      </c>
      <c r="L7" s="2247">
        <f>L8+L236</f>
        <v>174234.13429401786</v>
      </c>
      <c r="M7" s="2250">
        <f t="shared" si="2"/>
        <v>171401.52401546322</v>
      </c>
      <c r="N7" s="2246">
        <f>N8+N236</f>
        <v>538217.93658032152</v>
      </c>
      <c r="O7" s="2251">
        <f>O8+O236</f>
        <v>734835.35582982656</v>
      </c>
      <c r="P7" s="2249">
        <f t="shared" si="3"/>
        <v>636526.64620507404</v>
      </c>
      <c r="Q7" s="2246">
        <f>Q8+Q236</f>
        <v>734835.35531286092</v>
      </c>
      <c r="R7" s="2251">
        <f>R8+R236</f>
        <v>767321.48483538255</v>
      </c>
      <c r="S7" s="2250">
        <f t="shared" si="4"/>
        <v>751078.42007412179</v>
      </c>
      <c r="T7" s="2246">
        <f>T8+T236</f>
        <v>767321.48483538255</v>
      </c>
      <c r="U7" s="2251">
        <f>U8+U236</f>
        <v>801336.82260603725</v>
      </c>
      <c r="V7" s="2249">
        <f t="shared" si="5"/>
        <v>784329.15372070996</v>
      </c>
      <c r="W7" s="2246">
        <f>W8+W236</f>
        <v>801336.93014693959</v>
      </c>
      <c r="X7" s="2251">
        <f>X8+X236</f>
        <v>836873.96114440705</v>
      </c>
      <c r="Y7" s="2249">
        <f t="shared" si="6"/>
        <v>819105.44564567332</v>
      </c>
      <c r="Z7" s="2246">
        <f>Z8+Z236</f>
        <v>836873.97052979481</v>
      </c>
      <c r="AA7" s="2251">
        <f>AA8+AA236</f>
        <v>874068.26961470849</v>
      </c>
      <c r="AB7" s="2250">
        <f t="shared" si="7"/>
        <v>855471.12007225165</v>
      </c>
      <c r="AC7" s="2606"/>
      <c r="AD7" s="2606"/>
      <c r="AE7" s="2606"/>
      <c r="AF7" s="2593"/>
      <c r="AG7" s="2593"/>
      <c r="AH7" s="2593"/>
      <c r="AI7" s="2593"/>
      <c r="AJ7" s="2593"/>
    </row>
    <row r="8" spans="1:36" s="2218" customFormat="1" ht="18.75" outlineLevel="1">
      <c r="A8" s="2235">
        <v>252</v>
      </c>
      <c r="B8" s="2252">
        <v>1</v>
      </c>
      <c r="C8" s="2253" t="s">
        <v>1314</v>
      </c>
      <c r="D8" s="2500" t="s">
        <v>1313</v>
      </c>
      <c r="E8" s="2255">
        <f>E9+E125+E175</f>
        <v>147508.01998747772</v>
      </c>
      <c r="F8" s="2256">
        <f>F9+F125+F175</f>
        <v>152979.44024838999</v>
      </c>
      <c r="G8" s="2257">
        <f t="shared" si="0"/>
        <v>150243.73011793385</v>
      </c>
      <c r="H8" s="2256">
        <f>H9+H125+H175</f>
        <v>149373.78481852467</v>
      </c>
      <c r="I8" s="2256">
        <f>I9+I125+I175</f>
        <v>154175.99649648607</v>
      </c>
      <c r="J8" s="2257">
        <f t="shared" si="1"/>
        <v>151774.89065750537</v>
      </c>
      <c r="K8" s="2256">
        <f>K9+K125+K175</f>
        <v>134747.1431019404</v>
      </c>
      <c r="L8" s="2256">
        <f>L9+L125+L175</f>
        <v>140412.36365904968</v>
      </c>
      <c r="M8" s="2259">
        <f t="shared" si="2"/>
        <v>137579.75338049504</v>
      </c>
      <c r="N8" s="2255">
        <f>N9+N125+N175</f>
        <v>493284.29321422288</v>
      </c>
      <c r="O8" s="2260">
        <f>O9+O125+O175</f>
        <v>734835.35582982656</v>
      </c>
      <c r="P8" s="2258">
        <f t="shared" si="3"/>
        <v>614059.82452202472</v>
      </c>
      <c r="Q8" s="2255">
        <f>Q9+Q125+Q175</f>
        <v>734835.35531286092</v>
      </c>
      <c r="R8" s="2260">
        <f>R9+R125+R175</f>
        <v>767321.48483538255</v>
      </c>
      <c r="S8" s="2259">
        <f t="shared" si="4"/>
        <v>751078.42007412179</v>
      </c>
      <c r="T8" s="2255">
        <f>T9+T125+T175</f>
        <v>767321.48483538255</v>
      </c>
      <c r="U8" s="2260">
        <f>U9+U125+U175</f>
        <v>801336.82260603725</v>
      </c>
      <c r="V8" s="2258">
        <f t="shared" si="5"/>
        <v>784329.15372070996</v>
      </c>
      <c r="W8" s="2255">
        <f>W9+W125+W175</f>
        <v>801336.93014693959</v>
      </c>
      <c r="X8" s="2260">
        <f>X9+X125+X175</f>
        <v>836873.96114440705</v>
      </c>
      <c r="Y8" s="2258">
        <f t="shared" si="6"/>
        <v>819105.44564567332</v>
      </c>
      <c r="Z8" s="2255">
        <f>Z9+Z125+Z175</f>
        <v>836873.97052979481</v>
      </c>
      <c r="AA8" s="2260">
        <f>AA9+AA125+AA175</f>
        <v>874068.26961470849</v>
      </c>
      <c r="AB8" s="2259">
        <f t="shared" si="7"/>
        <v>855471.12007225165</v>
      </c>
      <c r="AC8" s="2606"/>
      <c r="AD8" s="2606"/>
      <c r="AE8" s="2606"/>
      <c r="AF8" s="2593"/>
      <c r="AG8" s="2593"/>
      <c r="AH8" s="2593"/>
      <c r="AI8" s="2593"/>
      <c r="AJ8" s="2593"/>
    </row>
    <row r="9" spans="1:36" s="2218" customFormat="1" ht="19.5" outlineLevel="1" thickBot="1">
      <c r="A9" s="2235">
        <v>254</v>
      </c>
      <c r="B9" s="2261" t="s">
        <v>25</v>
      </c>
      <c r="C9" s="2262" t="s">
        <v>1315</v>
      </c>
      <c r="D9" s="2501" t="s">
        <v>1313</v>
      </c>
      <c r="E9" s="2264">
        <f>E10+E54+E69+E96</f>
        <v>118612.06965791123</v>
      </c>
      <c r="F9" s="2265">
        <f>F10+F54+F69+F96</f>
        <v>122955.86576862742</v>
      </c>
      <c r="G9" s="2266">
        <f t="shared" si="0"/>
        <v>120783.96771326932</v>
      </c>
      <c r="H9" s="2265">
        <f>H10+H54+H69+H96</f>
        <v>119823.81825908301</v>
      </c>
      <c r="I9" s="2265">
        <f>I10+I54+I69+I96</f>
        <v>123765.18967862078</v>
      </c>
      <c r="J9" s="2266">
        <f t="shared" si="1"/>
        <v>121794.5039688519</v>
      </c>
      <c r="K9" s="2265">
        <f>K10+K54+K69+K96</f>
        <v>106120.85512622463</v>
      </c>
      <c r="L9" s="2265">
        <f>L10+L54+L69+L96</f>
        <v>111072.40175200388</v>
      </c>
      <c r="M9" s="2268">
        <f t="shared" si="2"/>
        <v>108596.62843911425</v>
      </c>
      <c r="N9" s="2264">
        <f>N10+N54+N69+N96</f>
        <v>268228.14017535327</v>
      </c>
      <c r="O9" s="2269">
        <f>O10+O54+O69+O96</f>
        <v>468667.01062939153</v>
      </c>
      <c r="P9" s="2267">
        <f t="shared" si="3"/>
        <v>368447.5754023724</v>
      </c>
      <c r="Q9" s="2264">
        <f>Q10+Q54+Q69+Q96</f>
        <v>468667.01011242589</v>
      </c>
      <c r="R9" s="2269">
        <f>R10+R54+R69+R96</f>
        <v>487224.71521271765</v>
      </c>
      <c r="S9" s="2268">
        <f t="shared" si="4"/>
        <v>477945.86266257177</v>
      </c>
      <c r="T9" s="2264">
        <f>T10+T54+T69+T96</f>
        <v>487224.71521271765</v>
      </c>
      <c r="U9" s="2269">
        <f>U10+U54+U69+U96</f>
        <v>506576.21323080588</v>
      </c>
      <c r="V9" s="2267">
        <f t="shared" si="5"/>
        <v>496900.46422176179</v>
      </c>
      <c r="W9" s="2264">
        <f>W10+W54+W69+W96</f>
        <v>506576.21323080588</v>
      </c>
      <c r="X9" s="2269">
        <f>X10+X54+X69+X96</f>
        <v>526680.02385823498</v>
      </c>
      <c r="Y9" s="2267">
        <f t="shared" si="6"/>
        <v>516628.11854452046</v>
      </c>
      <c r="Z9" s="2264">
        <f>Z10+Z54+Z69+Z96</f>
        <v>526680.02385823498</v>
      </c>
      <c r="AA9" s="2269">
        <f>AA10+AA54+AA69+AA96</f>
        <v>547631.26085881516</v>
      </c>
      <c r="AB9" s="2268">
        <f t="shared" si="7"/>
        <v>537155.64235852507</v>
      </c>
      <c r="AC9" s="2606"/>
      <c r="AD9" s="2606"/>
      <c r="AE9" s="2606"/>
      <c r="AF9" s="2593"/>
      <c r="AG9" s="2593"/>
      <c r="AH9" s="2593"/>
      <c r="AI9" s="2593"/>
      <c r="AJ9" s="2593"/>
    </row>
    <row r="10" spans="1:36" s="2218" customFormat="1" ht="30" customHeight="1" outlineLevel="1" thickBot="1">
      <c r="A10" s="2235">
        <v>3</v>
      </c>
      <c r="B10" s="2270" t="s">
        <v>1132</v>
      </c>
      <c r="C10" s="2271" t="s">
        <v>1316</v>
      </c>
      <c r="D10" s="2502" t="s">
        <v>1317</v>
      </c>
      <c r="E10" s="2273">
        <f>E11+E30+E31+E43+E44+E47</f>
        <v>49217.80332686771</v>
      </c>
      <c r="F10" s="2273">
        <f>F11+F30+F31+F43+F44+F47</f>
        <v>51127.914239659236</v>
      </c>
      <c r="G10" s="2274">
        <f t="shared" si="0"/>
        <v>50172.858783263473</v>
      </c>
      <c r="H10" s="2275">
        <f>H11+H30+H31+H43+H44+H47</f>
        <v>49933.603492024544</v>
      </c>
      <c r="I10" s="2275">
        <f>I11+I30+I31+I43+I44+I47</f>
        <v>51597.466347686284</v>
      </c>
      <c r="J10" s="2274">
        <f t="shared" si="1"/>
        <v>50765.534919855418</v>
      </c>
      <c r="K10" s="2275">
        <f>K11+K30+K31+K43+K44+K47</f>
        <v>48160.471265631262</v>
      </c>
      <c r="L10" s="2275">
        <f>L11+L30+L31+L43+L44+L47</f>
        <v>50361.536961912156</v>
      </c>
      <c r="M10" s="2274">
        <f t="shared" si="2"/>
        <v>49261.004113771705</v>
      </c>
      <c r="N10" s="2273">
        <f>N11+N30+N31+N43+N44+N47</f>
        <v>80710.926586829824</v>
      </c>
      <c r="O10" s="2277">
        <f>O11+O30+O31+O43+O44+O47</f>
        <v>189423.95904878195</v>
      </c>
      <c r="P10" s="2276">
        <f t="shared" si="3"/>
        <v>135067.44281780589</v>
      </c>
      <c r="Q10" s="2273">
        <f>Q11+Q30+Q31+Q43+Q44+Q47</f>
        <v>189423.95903975621</v>
      </c>
      <c r="R10" s="2277">
        <f>R11+R30+R31+R43+R44+R47</f>
        <v>197000.91740134644</v>
      </c>
      <c r="S10" s="2274">
        <f t="shared" si="4"/>
        <v>193212.43822055132</v>
      </c>
      <c r="T10" s="2273">
        <f>T11+T30+T31+T43+T44+T47</f>
        <v>197000.91740134644</v>
      </c>
      <c r="U10" s="2277">
        <f>U11+U30+U31+U43+U44+U47</f>
        <v>204880.95409740033</v>
      </c>
      <c r="V10" s="2276">
        <f t="shared" si="5"/>
        <v>200940.9357493734</v>
      </c>
      <c r="W10" s="2273">
        <f>W11+W30+W31+W43+W44+W47</f>
        <v>204880.95409740033</v>
      </c>
      <c r="X10" s="2277">
        <f>X11+X30+X31+X43+X44+X47</f>
        <v>213076.19226129632</v>
      </c>
      <c r="Y10" s="2276">
        <f t="shared" si="6"/>
        <v>208978.57317934831</v>
      </c>
      <c r="Z10" s="2273">
        <f>Z11+Z30+Z31+Z43+Z44+Z47</f>
        <v>213076.19226129632</v>
      </c>
      <c r="AA10" s="2277">
        <f>AA11+AA30+AA31+AA43+AA44+AA47</f>
        <v>221599.2399517482</v>
      </c>
      <c r="AB10" s="2274">
        <f t="shared" si="7"/>
        <v>217337.71610652225</v>
      </c>
      <c r="AC10" s="2606"/>
      <c r="AD10" s="2606"/>
      <c r="AE10" s="2606"/>
      <c r="AF10" s="2593"/>
      <c r="AG10" s="2593"/>
      <c r="AH10" s="2593"/>
      <c r="AI10" s="2593"/>
      <c r="AJ10" s="2593"/>
    </row>
    <row r="11" spans="1:36" s="2218" customFormat="1" ht="31.5" outlineLevel="1">
      <c r="A11" s="2235">
        <v>4</v>
      </c>
      <c r="B11" s="2243" t="s">
        <v>1318</v>
      </c>
      <c r="C11" s="2278" t="s">
        <v>1319</v>
      </c>
      <c r="D11" s="2499" t="s">
        <v>1317</v>
      </c>
      <c r="E11" s="2465">
        <f>E12+E29</f>
        <v>10882.052656434687</v>
      </c>
      <c r="F11" s="2466">
        <f>F12+F29</f>
        <v>11208.514236127729</v>
      </c>
      <c r="G11" s="2248">
        <f t="shared" si="0"/>
        <v>11045.283446281208</v>
      </c>
      <c r="H11" s="2465">
        <f>H12+H29</f>
        <v>11957.749384530976</v>
      </c>
      <c r="I11" s="2466">
        <f>I12+I29</f>
        <v>12388.228362374093</v>
      </c>
      <c r="J11" s="2248">
        <f t="shared" si="1"/>
        <v>12172.988873452534</v>
      </c>
      <c r="K11" s="2465">
        <f>K12+K29</f>
        <v>12396.310628482945</v>
      </c>
      <c r="L11" s="2466">
        <f>L12+L29</f>
        <v>12929.35198550771</v>
      </c>
      <c r="M11" s="2250">
        <f t="shared" si="2"/>
        <v>12662.831306995327</v>
      </c>
      <c r="N11" s="2246">
        <f>N12+N29</f>
        <v>18907.040738385829</v>
      </c>
      <c r="O11" s="2551">
        <f>O12+O29</f>
        <v>35638.623835096332</v>
      </c>
      <c r="P11" s="2249">
        <f t="shared" si="3"/>
        <v>27272.832286741082</v>
      </c>
      <c r="Q11" s="2246">
        <f>Q12+Q29</f>
        <v>35638.623835096332</v>
      </c>
      <c r="R11" s="2551">
        <f>R12+R29</f>
        <v>37064.168788500188</v>
      </c>
      <c r="S11" s="2250">
        <f t="shared" si="4"/>
        <v>36351.396311798264</v>
      </c>
      <c r="T11" s="2246">
        <f>T12+T29</f>
        <v>37064.168788500188</v>
      </c>
      <c r="U11" s="2551">
        <f>U12+U29</f>
        <v>38546.735540040201</v>
      </c>
      <c r="V11" s="2249">
        <f t="shared" si="5"/>
        <v>37805.452164270195</v>
      </c>
      <c r="W11" s="2246">
        <f>W12+W29</f>
        <v>38546.735540040201</v>
      </c>
      <c r="X11" s="2551">
        <f>X12+X29</f>
        <v>40088.604961641809</v>
      </c>
      <c r="Y11" s="2249">
        <f t="shared" si="6"/>
        <v>39317.670250841009</v>
      </c>
      <c r="Z11" s="2246">
        <f>Z12+Z29</f>
        <v>40088.604961641809</v>
      </c>
      <c r="AA11" s="2551">
        <f>AA12+AA29</f>
        <v>41692.149160107481</v>
      </c>
      <c r="AB11" s="2250">
        <f t="shared" si="7"/>
        <v>40890.377060874642</v>
      </c>
      <c r="AC11" s="2606"/>
      <c r="AD11" s="2606"/>
      <c r="AE11" s="2606"/>
      <c r="AF11" s="2593"/>
      <c r="AG11" s="2593"/>
      <c r="AH11" s="2593"/>
      <c r="AI11" s="2593"/>
      <c r="AJ11" s="2593"/>
    </row>
    <row r="12" spans="1:36" s="2218" customFormat="1" ht="25.5" customHeight="1" outlineLevel="1">
      <c r="A12" s="2235">
        <v>317</v>
      </c>
      <c r="B12" s="2279" t="s">
        <v>1737</v>
      </c>
      <c r="C12" s="2280" t="s">
        <v>1738</v>
      </c>
      <c r="D12" s="2500"/>
      <c r="E12" s="2255">
        <f>E13+E16+E19+E22+E25+E28</f>
        <v>5450.9133542306972</v>
      </c>
      <c r="F12" s="2256">
        <f>F13+F16+F19+F22+F25+F28</f>
        <v>5614.4407548576182</v>
      </c>
      <c r="G12" s="2257">
        <f t="shared" si="0"/>
        <v>5532.6770545441577</v>
      </c>
      <c r="H12" s="2256">
        <f>H13+H16+H19+H22+H25+H28</f>
        <v>5229.1102442589781</v>
      </c>
      <c r="I12" s="2256">
        <f>I13+I16+I19+I22+I25+I28</f>
        <v>5417.3582130523018</v>
      </c>
      <c r="J12" s="2257">
        <f t="shared" si="1"/>
        <v>5323.2342286556395</v>
      </c>
      <c r="K12" s="2256">
        <f>K13+K16+K19+K22+K25+K28</f>
        <v>6182.9428247509386</v>
      </c>
      <c r="L12" s="2256">
        <f>L13+L16+L19+L22+L25+L28</f>
        <v>6448.8093662152287</v>
      </c>
      <c r="M12" s="2259">
        <f t="shared" si="2"/>
        <v>6315.8760954830832</v>
      </c>
      <c r="N12" s="2255">
        <f>N13+N16+N19+N22+N25+N28</f>
        <v>8107.1079292779968</v>
      </c>
      <c r="O12" s="2260">
        <f>O13+O16+O19+O22+O25+O28</f>
        <v>15312.581590567674</v>
      </c>
      <c r="P12" s="2258">
        <f t="shared" si="3"/>
        <v>11709.844759922835</v>
      </c>
      <c r="Q12" s="2255">
        <f>Q13+Q16+Q19+Q22+Q25+Q28</f>
        <v>15312.581590567674</v>
      </c>
      <c r="R12" s="2260">
        <f>R13+R16+R19+R22+R25+R28</f>
        <v>15925.084854190382</v>
      </c>
      <c r="S12" s="2259">
        <f t="shared" si="4"/>
        <v>15618.833222379028</v>
      </c>
      <c r="T12" s="2255">
        <f>T13+T16+T19+T22+T25+T28</f>
        <v>15925.084854190382</v>
      </c>
      <c r="U12" s="2260">
        <f>U13+U16+U19+U22+U25+U28</f>
        <v>16562.088248357999</v>
      </c>
      <c r="V12" s="2258">
        <f t="shared" si="5"/>
        <v>16243.586551274191</v>
      </c>
      <c r="W12" s="2255">
        <f>W13+W16+W19+W22+W25+W28</f>
        <v>16562.088248357999</v>
      </c>
      <c r="X12" s="2260">
        <f>X13+X16+X19+X22+X25+X28</f>
        <v>17224.571778292317</v>
      </c>
      <c r="Y12" s="2258">
        <f t="shared" si="6"/>
        <v>16893.330013325158</v>
      </c>
      <c r="Z12" s="2255">
        <f>Z13+Z16+Z19+Z22+Z25+Z28</f>
        <v>17224.571778292317</v>
      </c>
      <c r="AA12" s="2260">
        <f>AA13+AA16+AA19+AA22+AA25+AA28</f>
        <v>17913.554649424012</v>
      </c>
      <c r="AB12" s="2259">
        <f t="shared" si="7"/>
        <v>17569.063213858164</v>
      </c>
      <c r="AC12" s="2606"/>
      <c r="AD12" s="2606"/>
      <c r="AE12" s="2606"/>
      <c r="AF12" s="2593"/>
      <c r="AG12" s="2593"/>
      <c r="AH12" s="2593"/>
      <c r="AI12" s="2593"/>
      <c r="AJ12" s="2593"/>
    </row>
    <row r="13" spans="1:36" s="2218" customFormat="1" ht="28.5" hidden="1" customHeight="1" outlineLevel="2">
      <c r="A13" s="2235">
        <v>318</v>
      </c>
      <c r="B13" s="2279" t="s">
        <v>1739</v>
      </c>
      <c r="C13" s="2280" t="s">
        <v>1740</v>
      </c>
      <c r="D13" s="2500" t="s">
        <v>1317</v>
      </c>
      <c r="E13" s="2255">
        <f>E14*E15</f>
        <v>0</v>
      </c>
      <c r="F13" s="2256">
        <f>F14*F15</f>
        <v>0</v>
      </c>
      <c r="G13" s="2257">
        <f t="shared" si="0"/>
        <v>0</v>
      </c>
      <c r="H13" s="2256">
        <f>H14*H15</f>
        <v>0</v>
      </c>
      <c r="I13" s="2256">
        <f>I14*I15</f>
        <v>0</v>
      </c>
      <c r="J13" s="2257">
        <f t="shared" si="1"/>
        <v>0</v>
      </c>
      <c r="K13" s="2256">
        <f>K14*K15</f>
        <v>0</v>
      </c>
      <c r="L13" s="2256">
        <f>L14*L15</f>
        <v>0</v>
      </c>
      <c r="M13" s="2259">
        <f t="shared" si="2"/>
        <v>0</v>
      </c>
      <c r="N13" s="2255">
        <f>N14*N15</f>
        <v>0</v>
      </c>
      <c r="O13" s="2260">
        <f>O14*O15</f>
        <v>0</v>
      </c>
      <c r="P13" s="2258">
        <f t="shared" si="3"/>
        <v>0</v>
      </c>
      <c r="Q13" s="2255">
        <f>Q14*Q15</f>
        <v>0</v>
      </c>
      <c r="R13" s="2260">
        <f>R14*R15</f>
        <v>0</v>
      </c>
      <c r="S13" s="2259">
        <f t="shared" si="4"/>
        <v>0</v>
      </c>
      <c r="T13" s="2255">
        <f>T14*T15</f>
        <v>0</v>
      </c>
      <c r="U13" s="2260">
        <f>U14*U15</f>
        <v>0</v>
      </c>
      <c r="V13" s="2258">
        <f t="shared" si="5"/>
        <v>0</v>
      </c>
      <c r="W13" s="2255">
        <f>W14*W15</f>
        <v>0</v>
      </c>
      <c r="X13" s="2260">
        <f>X14*X15</f>
        <v>0</v>
      </c>
      <c r="Y13" s="2258">
        <f t="shared" si="6"/>
        <v>0</v>
      </c>
      <c r="Z13" s="2255">
        <f>Z14*Z15</f>
        <v>0</v>
      </c>
      <c r="AA13" s="2260">
        <f>AA14*AA15</f>
        <v>0</v>
      </c>
      <c r="AB13" s="2259">
        <f t="shared" si="7"/>
        <v>0</v>
      </c>
      <c r="AC13" s="2606"/>
      <c r="AD13" s="2606"/>
      <c r="AE13" s="2606"/>
      <c r="AF13" s="2593"/>
      <c r="AG13" s="2593"/>
      <c r="AH13" s="2593"/>
      <c r="AI13" s="2593"/>
      <c r="AJ13" s="2593"/>
    </row>
    <row r="14" spans="1:36" s="2218" customFormat="1" ht="21.75" hidden="1" customHeight="1" outlineLevel="2">
      <c r="A14" s="2235">
        <v>319</v>
      </c>
      <c r="B14" s="2281" t="s">
        <v>1741</v>
      </c>
      <c r="C14" s="2282" t="s">
        <v>1327</v>
      </c>
      <c r="D14" s="2504" t="s">
        <v>1742</v>
      </c>
      <c r="E14" s="2284"/>
      <c r="F14" s="2285"/>
      <c r="G14" s="2257">
        <f t="shared" si="0"/>
        <v>0</v>
      </c>
      <c r="H14" s="2285"/>
      <c r="I14" s="2285"/>
      <c r="J14" s="2257">
        <f t="shared" si="1"/>
        <v>0</v>
      </c>
      <c r="K14" s="2285"/>
      <c r="L14" s="2285"/>
      <c r="M14" s="2259">
        <f t="shared" si="2"/>
        <v>0</v>
      </c>
      <c r="N14" s="2284"/>
      <c r="O14" s="2286"/>
      <c r="P14" s="2258">
        <f t="shared" si="3"/>
        <v>0</v>
      </c>
      <c r="Q14" s="2284"/>
      <c r="R14" s="2286"/>
      <c r="S14" s="2259">
        <f t="shared" si="4"/>
        <v>0</v>
      </c>
      <c r="T14" s="2284"/>
      <c r="U14" s="2286"/>
      <c r="V14" s="2258">
        <f t="shared" si="5"/>
        <v>0</v>
      </c>
      <c r="W14" s="2284"/>
      <c r="X14" s="2286"/>
      <c r="Y14" s="2258">
        <f t="shared" si="6"/>
        <v>0</v>
      </c>
      <c r="Z14" s="2284"/>
      <c r="AA14" s="2286"/>
      <c r="AB14" s="2259">
        <f t="shared" si="7"/>
        <v>0</v>
      </c>
      <c r="AC14" s="2606"/>
      <c r="AD14" s="2606"/>
      <c r="AE14" s="2606"/>
      <c r="AF14" s="2593"/>
      <c r="AG14" s="2593"/>
      <c r="AH14" s="2593"/>
      <c r="AI14" s="2593"/>
      <c r="AJ14" s="2593"/>
    </row>
    <row r="15" spans="1:36" s="2218" customFormat="1" ht="21" hidden="1" customHeight="1" outlineLevel="2">
      <c r="A15" s="2235">
        <v>320</v>
      </c>
      <c r="B15" s="2281" t="s">
        <v>1743</v>
      </c>
      <c r="C15" s="2282" t="s">
        <v>1330</v>
      </c>
      <c r="D15" s="2504" t="s">
        <v>1744</v>
      </c>
      <c r="E15" s="2284"/>
      <c r="F15" s="2285"/>
      <c r="G15" s="2257">
        <f t="shared" si="0"/>
        <v>0</v>
      </c>
      <c r="H15" s="2285"/>
      <c r="I15" s="2285"/>
      <c r="J15" s="2257">
        <f t="shared" si="1"/>
        <v>0</v>
      </c>
      <c r="K15" s="2285"/>
      <c r="L15" s="2285"/>
      <c r="M15" s="2259">
        <f t="shared" si="2"/>
        <v>0</v>
      </c>
      <c r="N15" s="2284"/>
      <c r="O15" s="2286"/>
      <c r="P15" s="2258">
        <f t="shared" si="3"/>
        <v>0</v>
      </c>
      <c r="Q15" s="2284"/>
      <c r="R15" s="2286"/>
      <c r="S15" s="2259">
        <f t="shared" si="4"/>
        <v>0</v>
      </c>
      <c r="T15" s="2284"/>
      <c r="U15" s="2286"/>
      <c r="V15" s="2258">
        <f t="shared" si="5"/>
        <v>0</v>
      </c>
      <c r="W15" s="2284"/>
      <c r="X15" s="2286"/>
      <c r="Y15" s="2258">
        <f t="shared" si="6"/>
        <v>0</v>
      </c>
      <c r="Z15" s="2284"/>
      <c r="AA15" s="2286"/>
      <c r="AB15" s="2259">
        <f t="shared" si="7"/>
        <v>0</v>
      </c>
      <c r="AC15" s="2606"/>
      <c r="AD15" s="2606"/>
      <c r="AE15" s="2606"/>
      <c r="AF15" s="2593"/>
      <c r="AG15" s="2593"/>
      <c r="AH15" s="2593"/>
      <c r="AI15" s="2593"/>
      <c r="AJ15" s="2593"/>
    </row>
    <row r="16" spans="1:36" s="2218" customFormat="1" ht="23.25" customHeight="1" outlineLevel="1" collapsed="1">
      <c r="A16" s="2235">
        <v>322</v>
      </c>
      <c r="B16" s="2279" t="s">
        <v>1745</v>
      </c>
      <c r="C16" s="2280" t="s">
        <v>1746</v>
      </c>
      <c r="D16" s="2500" t="s">
        <v>1317</v>
      </c>
      <c r="E16" s="2255">
        <f>E17*E18</f>
        <v>1203.5802289127043</v>
      </c>
      <c r="F16" s="2256">
        <f>F17*F18</f>
        <v>1239.6876357800854</v>
      </c>
      <c r="G16" s="2257">
        <f t="shared" si="0"/>
        <v>1221.6339323463949</v>
      </c>
      <c r="H16" s="2256">
        <f>H17*H18</f>
        <v>1148.2732501890364</v>
      </c>
      <c r="I16" s="2256">
        <f>I17*I18</f>
        <v>1189.6110871958417</v>
      </c>
      <c r="J16" s="2257">
        <f t="shared" si="1"/>
        <v>1168.9421686924391</v>
      </c>
      <c r="K16" s="2256">
        <f>K17*K18</f>
        <v>765.88574486499385</v>
      </c>
      <c r="L16" s="2256">
        <f>L17*L18</f>
        <v>798.81883189418852</v>
      </c>
      <c r="M16" s="2259">
        <f t="shared" si="2"/>
        <v>782.35228837959119</v>
      </c>
      <c r="N16" s="2255">
        <f>'[11]НВВ 26.09.23.'!N16+'[12]НВВ 26.09.'!N16+'[13]НВВ 26.09.23.'!N16</f>
        <v>534.84908124286676</v>
      </c>
      <c r="O16" s="2260">
        <f>'[11]НВВ 26.09.23.'!O16+'[12]НВВ 26.09.'!O16+'[13]НВВ 26.09.23.'!O16</f>
        <v>2696.1251431363353</v>
      </c>
      <c r="P16" s="2258">
        <f t="shared" si="3"/>
        <v>1615.487112189601</v>
      </c>
      <c r="Q16" s="2255">
        <f>'[11]НВВ 26.09.23.'!Q16+'[12]НВВ 26.09.'!Q16+'[13]НВВ 26.09.23.'!Q16</f>
        <v>2696.1251431363357</v>
      </c>
      <c r="R16" s="2260">
        <f>'[11]НВВ 26.09.23.'!R16+'[12]НВВ 26.09.'!R16+'[13]НВВ 26.09.23.'!R16</f>
        <v>2803.9701488617893</v>
      </c>
      <c r="S16" s="2259">
        <f t="shared" si="4"/>
        <v>2750.0476459990623</v>
      </c>
      <c r="T16" s="2255">
        <f>'[11]НВВ 26.09.23.'!T16+'[12]НВВ 26.09.'!T16+'[13]НВВ 26.09.23.'!T16</f>
        <v>2803.9701488617893</v>
      </c>
      <c r="U16" s="2260">
        <f>'[11]НВВ 26.09.23.'!U16+'[12]НВВ 26.09.'!U16+'[13]НВВ 26.09.23.'!U16</f>
        <v>2916.1289548162613</v>
      </c>
      <c r="V16" s="2258">
        <f t="shared" si="5"/>
        <v>2860.0495518390253</v>
      </c>
      <c r="W16" s="2255">
        <f>'[11]НВВ 26.09.23.'!W16+'[12]НВВ 26.09.'!W16+'[13]НВВ 26.09.23.'!W16</f>
        <v>2916.1289548162613</v>
      </c>
      <c r="X16" s="2260">
        <f>'[11]НВВ 26.09.23.'!X16+'[12]НВВ 26.09.'!X16+'[13]НВВ 26.09.23.'!X16</f>
        <v>3032.7741130089116</v>
      </c>
      <c r="Y16" s="2258">
        <f t="shared" si="6"/>
        <v>2974.4515339125865</v>
      </c>
      <c r="Z16" s="2255">
        <f>'[11]НВВ 26.09.23.'!Z16+'[12]НВВ 26.09.'!Z16+'[13]НВВ 26.09.23.'!Z16</f>
        <v>3032.7741130089116</v>
      </c>
      <c r="AA16" s="2260">
        <f>'[11]НВВ 26.09.23.'!AA16+'[12]НВВ 26.09.'!AA16+'[13]НВВ 26.09.23.'!AA16</f>
        <v>3154.0850775292683</v>
      </c>
      <c r="AB16" s="2259">
        <f t="shared" si="7"/>
        <v>3093.42959526909</v>
      </c>
      <c r="AC16" s="2606"/>
      <c r="AD16" s="2606"/>
      <c r="AE16" s="2606"/>
      <c r="AF16" s="2593"/>
      <c r="AG16" s="2593"/>
      <c r="AH16" s="2593"/>
      <c r="AI16" s="2593"/>
      <c r="AJ16" s="2593"/>
    </row>
    <row r="17" spans="1:36" s="2218" customFormat="1" ht="21" customHeight="1" outlineLevel="1">
      <c r="A17" s="2235">
        <v>321</v>
      </c>
      <c r="B17" s="2281" t="s">
        <v>1747</v>
      </c>
      <c r="C17" s="2282" t="s">
        <v>1327</v>
      </c>
      <c r="D17" s="2504" t="s">
        <v>1748</v>
      </c>
      <c r="E17" s="2284">
        <v>34.827448647433023</v>
      </c>
      <c r="F17" s="2285">
        <v>34.827448647433023</v>
      </c>
      <c r="G17" s="2257">
        <f t="shared" si="0"/>
        <v>34.827448647433023</v>
      </c>
      <c r="H17" s="2285">
        <v>31.478863180526449</v>
      </c>
      <c r="I17" s="2285">
        <v>31.478863180526449</v>
      </c>
      <c r="J17" s="2257">
        <f t="shared" si="1"/>
        <v>31.478863180526449</v>
      </c>
      <c r="K17" s="2285">
        <v>20.860304432466183</v>
      </c>
      <c r="L17" s="2285">
        <v>20.860304432466183</v>
      </c>
      <c r="M17" s="2259">
        <f t="shared" si="2"/>
        <v>20.860304432466183</v>
      </c>
      <c r="N17" s="2255">
        <f>'[11]НВВ 26.09.23.'!N17+'[12]НВВ 26.09.'!N17+'[13]НВВ 26.09.23.'!N17</f>
        <v>13.176429307642108</v>
      </c>
      <c r="O17" s="2260">
        <f>'[11]НВВ 26.09.23.'!O17+'[12]НВВ 26.09.'!O17+'[13]НВВ 26.09.23.'!O17</f>
        <v>61.754110998333999</v>
      </c>
      <c r="P17" s="2258">
        <f t="shared" si="3"/>
        <v>37.465270152988055</v>
      </c>
      <c r="Q17" s="2255">
        <f>'[11]НВВ 26.09.23.'!Q17+'[12]НВВ 26.09.'!Q17+'[13]НВВ 26.09.23.'!Q17</f>
        <v>61.754110998333999</v>
      </c>
      <c r="R17" s="2260">
        <f>'[11]НВВ 26.09.23.'!R17+'[12]НВВ 26.09.'!R17+'[13]НВВ 26.09.23.'!R17</f>
        <v>61.754110998333999</v>
      </c>
      <c r="S17" s="2259">
        <f t="shared" si="4"/>
        <v>61.754110998333999</v>
      </c>
      <c r="T17" s="2255">
        <f>'[11]НВВ 26.09.23.'!T17+'[12]НВВ 26.09.'!T17+'[13]НВВ 26.09.23.'!T17</f>
        <v>61.754110998333999</v>
      </c>
      <c r="U17" s="2260">
        <f>'[11]НВВ 26.09.23.'!U17+'[12]НВВ 26.09.'!U17+'[13]НВВ 26.09.23.'!U17</f>
        <v>61.754110998333999</v>
      </c>
      <c r="V17" s="2258">
        <f t="shared" si="5"/>
        <v>61.754110998333999</v>
      </c>
      <c r="W17" s="2255">
        <f>'[11]НВВ 26.09.23.'!W17+'[12]НВВ 26.09.'!W17+'[13]НВВ 26.09.23.'!W17</f>
        <v>61.754110998333999</v>
      </c>
      <c r="X17" s="2260">
        <f>'[11]НВВ 26.09.23.'!X17+'[12]НВВ 26.09.'!X17+'[13]НВВ 26.09.23.'!X17</f>
        <v>61.754110998333999</v>
      </c>
      <c r="Y17" s="2258">
        <f t="shared" si="6"/>
        <v>61.754110998333999</v>
      </c>
      <c r="Z17" s="2255">
        <f>'[11]НВВ 26.09.23.'!Z17+'[12]НВВ 26.09.'!Z17+'[13]НВВ 26.09.23.'!Z17</f>
        <v>61.754110998333999</v>
      </c>
      <c r="AA17" s="2260">
        <f>'[11]НВВ 26.09.23.'!AA17+'[12]НВВ 26.09.'!AA17+'[13]НВВ 26.09.23.'!AA17</f>
        <v>61.754110998333999</v>
      </c>
      <c r="AB17" s="2259">
        <f t="shared" si="7"/>
        <v>61.754110998333999</v>
      </c>
      <c r="AC17" s="2606"/>
      <c r="AD17" s="2606"/>
      <c r="AE17" s="2606"/>
      <c r="AF17" s="2593"/>
      <c r="AG17" s="2593"/>
      <c r="AH17" s="2593"/>
      <c r="AI17" s="2593"/>
      <c r="AJ17" s="2593"/>
    </row>
    <row r="18" spans="1:36" s="2218" customFormat="1" ht="21" customHeight="1" outlineLevel="1">
      <c r="A18" s="2235">
        <v>323</v>
      </c>
      <c r="B18" s="2281" t="s">
        <v>1750</v>
      </c>
      <c r="C18" s="2282" t="s">
        <v>1330</v>
      </c>
      <c r="D18" s="2504" t="s">
        <v>1744</v>
      </c>
      <c r="E18" s="2284">
        <v>34.55838069267859</v>
      </c>
      <c r="F18" s="2285">
        <v>35.595132113458945</v>
      </c>
      <c r="G18" s="2257">
        <f t="shared" si="0"/>
        <v>35.076756403068771</v>
      </c>
      <c r="H18" s="2285">
        <v>36.477595890419089</v>
      </c>
      <c r="I18" s="2285">
        <v>37.790789342474177</v>
      </c>
      <c r="J18" s="2257">
        <f t="shared" si="1"/>
        <v>37.134192616446633</v>
      </c>
      <c r="K18" s="2285">
        <v>36.714984066723325</v>
      </c>
      <c r="L18" s="2285">
        <v>38.293728381592423</v>
      </c>
      <c r="M18" s="2259">
        <f t="shared" si="2"/>
        <v>37.504356224157874</v>
      </c>
      <c r="N18" s="2284">
        <f>N16/N17</f>
        <v>40.591352084487966</v>
      </c>
      <c r="O18" s="2286">
        <f>O16/O17</f>
        <v>43.659039042907949</v>
      </c>
      <c r="P18" s="2258">
        <f t="shared" si="3"/>
        <v>42.125195563697957</v>
      </c>
      <c r="Q18" s="2284">
        <f t="shared" ref="Q18:Q27" si="8">O18</f>
        <v>43.659039042907949</v>
      </c>
      <c r="R18" s="2286">
        <f>Q18*1.04</f>
        <v>45.405400604624269</v>
      </c>
      <c r="S18" s="2259">
        <f t="shared" si="4"/>
        <v>44.532219823766113</v>
      </c>
      <c r="T18" s="2284">
        <f t="shared" ref="T18:T27" si="9">R18</f>
        <v>45.405400604624269</v>
      </c>
      <c r="U18" s="2286">
        <f>T18*1.04</f>
        <v>47.221616628809244</v>
      </c>
      <c r="V18" s="2258">
        <f t="shared" si="5"/>
        <v>46.31350861671676</v>
      </c>
      <c r="W18" s="2284">
        <f t="shared" ref="W18:W27" si="10">U18</f>
        <v>47.221616628809244</v>
      </c>
      <c r="X18" s="2286">
        <f>W18*1.04</f>
        <v>49.110481293961612</v>
      </c>
      <c r="Y18" s="2258">
        <f t="shared" si="6"/>
        <v>48.166048961385428</v>
      </c>
      <c r="Z18" s="2284">
        <f t="shared" ref="Z18:Z27" si="11">X18</f>
        <v>49.110481293961612</v>
      </c>
      <c r="AA18" s="2286">
        <f>Z18*1.04</f>
        <v>51.074900545720077</v>
      </c>
      <c r="AB18" s="2259">
        <f t="shared" si="7"/>
        <v>50.092690919840848</v>
      </c>
      <c r="AC18" s="2606"/>
      <c r="AD18" s="2606"/>
      <c r="AE18" s="2606"/>
      <c r="AF18" s="2593"/>
      <c r="AG18" s="2593"/>
      <c r="AH18" s="2593"/>
      <c r="AI18" s="2593"/>
      <c r="AJ18" s="2593"/>
    </row>
    <row r="19" spans="1:36" s="2218" customFormat="1" ht="17.25" customHeight="1" outlineLevel="1">
      <c r="A19" s="2235">
        <v>324</v>
      </c>
      <c r="B19" s="2279" t="s">
        <v>1751</v>
      </c>
      <c r="C19" s="2280" t="s">
        <v>1752</v>
      </c>
      <c r="D19" s="2500" t="s">
        <v>1317</v>
      </c>
      <c r="E19" s="2255">
        <f>E20*E21</f>
        <v>259.02865431409793</v>
      </c>
      <c r="F19" s="2256">
        <f>F20*F21</f>
        <v>266.79951394352088</v>
      </c>
      <c r="G19" s="2257">
        <f t="shared" si="0"/>
        <v>262.91408412880941</v>
      </c>
      <c r="H19" s="2256">
        <f>H20*H21</f>
        <v>248.5416574606862</v>
      </c>
      <c r="I19" s="2256">
        <f>I20*I21</f>
        <v>257.48915712927089</v>
      </c>
      <c r="J19" s="2257">
        <f t="shared" si="1"/>
        <v>253.01540729497856</v>
      </c>
      <c r="K19" s="2256">
        <f>K20*K21</f>
        <v>367.45063137224179</v>
      </c>
      <c r="L19" s="2256">
        <f>L20*L21</f>
        <v>383.25100852124814</v>
      </c>
      <c r="M19" s="2259">
        <f t="shared" si="2"/>
        <v>375.35081994674499</v>
      </c>
      <c r="N19" s="2255">
        <f>'[11]НВВ 26.09.23.'!N19+'[12]НВВ 26.09.'!N19+'[13]НВВ 26.09.23.'!N19</f>
        <v>256.6056802979121</v>
      </c>
      <c r="O19" s="2260">
        <f>'[11]НВВ 26.09.23.'!O19+'[12]НВВ 26.09.'!O19+'[13]НВВ 26.09.23.'!O19</f>
        <v>800.60951793942741</v>
      </c>
      <c r="P19" s="2258">
        <f t="shared" si="3"/>
        <v>528.60759911866978</v>
      </c>
      <c r="Q19" s="2255">
        <f>'[11]НВВ 26.09.23.'!Q19+'[12]НВВ 26.09.'!Q19+'[13]НВВ 26.09.23.'!Q19</f>
        <v>800.60951793942741</v>
      </c>
      <c r="R19" s="2260">
        <f>'[11]НВВ 26.09.23.'!R19+'[12]НВВ 26.09.'!R19+'[13]НВВ 26.09.23.'!R19</f>
        <v>832.63389865700447</v>
      </c>
      <c r="S19" s="2259">
        <f t="shared" si="4"/>
        <v>816.62170829821594</v>
      </c>
      <c r="T19" s="2255">
        <f>'[11]НВВ 26.09.23.'!T19+'[12]НВВ 26.09.'!T19+'[13]НВВ 26.09.23.'!T19</f>
        <v>832.63389865700447</v>
      </c>
      <c r="U19" s="2260">
        <f>'[11]НВВ 26.09.23.'!U19+'[12]НВВ 26.09.'!U19+'[13]НВВ 26.09.23.'!U19</f>
        <v>865.93925460328478</v>
      </c>
      <c r="V19" s="2258">
        <f t="shared" si="5"/>
        <v>849.28657663014462</v>
      </c>
      <c r="W19" s="2255">
        <f>'[11]НВВ 26.09.23.'!W19+'[12]НВВ 26.09.'!W19+'[13]НВВ 26.09.23.'!W19</f>
        <v>865.93925460328478</v>
      </c>
      <c r="X19" s="2260">
        <f>'[11]НВВ 26.09.23.'!X19+'[12]НВВ 26.09.'!X19+'[13]НВВ 26.09.23.'!X19</f>
        <v>900.57682478741617</v>
      </c>
      <c r="Y19" s="2258">
        <f t="shared" si="6"/>
        <v>883.25803969535048</v>
      </c>
      <c r="Z19" s="2255">
        <f>'[11]НВВ 26.09.23.'!Z19+'[12]НВВ 26.09.'!Z19+'[13]НВВ 26.09.23.'!Z19</f>
        <v>900.57682478741617</v>
      </c>
      <c r="AA19" s="2260">
        <f>'[11]НВВ 26.09.23.'!AA19+'[12]НВВ 26.09.'!AA19+'[13]НВВ 26.09.23.'!AA19</f>
        <v>936.59989777891292</v>
      </c>
      <c r="AB19" s="2259">
        <f t="shared" si="7"/>
        <v>918.58836128316455</v>
      </c>
      <c r="AC19" s="2606"/>
      <c r="AD19" s="2606"/>
      <c r="AE19" s="2606"/>
      <c r="AF19" s="2593"/>
      <c r="AG19" s="2593"/>
      <c r="AH19" s="2593"/>
      <c r="AI19" s="2593"/>
      <c r="AJ19" s="2593"/>
    </row>
    <row r="20" spans="1:36" s="2218" customFormat="1" ht="21" customHeight="1" outlineLevel="1">
      <c r="A20" s="2235">
        <v>327</v>
      </c>
      <c r="B20" s="2281" t="s">
        <v>1753</v>
      </c>
      <c r="C20" s="2282" t="s">
        <v>1327</v>
      </c>
      <c r="D20" s="2504" t="s">
        <v>1748</v>
      </c>
      <c r="E20" s="2284">
        <v>7.0747201069799193</v>
      </c>
      <c r="F20" s="2285">
        <v>7.0747201069799184</v>
      </c>
      <c r="G20" s="2257">
        <f t="shared" si="0"/>
        <v>7.0747201069799193</v>
      </c>
      <c r="H20" s="2285">
        <v>6.4197416802389791</v>
      </c>
      <c r="I20" s="2285">
        <v>6.4197416802389791</v>
      </c>
      <c r="J20" s="2257">
        <f t="shared" si="1"/>
        <v>6.4197416802389791</v>
      </c>
      <c r="K20" s="2285">
        <v>9.2628374025695752</v>
      </c>
      <c r="L20" s="2285">
        <v>9.2628374025695752</v>
      </c>
      <c r="M20" s="2259">
        <f t="shared" si="2"/>
        <v>9.2628374025695752</v>
      </c>
      <c r="N20" s="2255">
        <f>'[11]НВВ 26.09.23.'!N20+'[12]НВВ 26.09.'!N20+'[13]НВВ 26.09.23.'!N20</f>
        <v>5.8508792437940444</v>
      </c>
      <c r="O20" s="2260">
        <f>'[11]НВВ 26.09.23.'!O20+'[12]НВВ 26.09.'!O20+'[13]НВВ 26.09.23.'!O20</f>
        <v>17.208730117216124</v>
      </c>
      <c r="P20" s="2258">
        <f>N20/2+O20/2</f>
        <v>11.529804680505084</v>
      </c>
      <c r="Q20" s="2255">
        <f>'[11]НВВ 26.09.23.'!Q20+'[12]НВВ 26.09.'!Q20+'[13]НВВ 26.09.23.'!Q20</f>
        <v>17.208730117216124</v>
      </c>
      <c r="R20" s="2260">
        <f>'[11]НВВ 26.09.23.'!R20+'[12]НВВ 26.09.'!R20+'[13]НВВ 26.09.23.'!R20</f>
        <v>17.208730117216124</v>
      </c>
      <c r="S20" s="2259">
        <f t="shared" si="4"/>
        <v>17.208730117216124</v>
      </c>
      <c r="T20" s="2255">
        <f>'[11]НВВ 26.09.23.'!T20+'[12]НВВ 26.09.'!T20+'[13]НВВ 26.09.23.'!T20</f>
        <v>17.208730117216124</v>
      </c>
      <c r="U20" s="2260">
        <f>'[11]НВВ 26.09.23.'!U20+'[12]НВВ 26.09.'!U20+'[13]НВВ 26.09.23.'!U20</f>
        <v>17.208730117216124</v>
      </c>
      <c r="V20" s="2258">
        <f t="shared" si="5"/>
        <v>17.208730117216124</v>
      </c>
      <c r="W20" s="2255">
        <f>'[11]НВВ 26.09.23.'!W20+'[12]НВВ 26.09.'!W20+'[13]НВВ 26.09.23.'!W20</f>
        <v>17.208730117216124</v>
      </c>
      <c r="X20" s="2260">
        <f>'[11]НВВ 26.09.23.'!X20+'[12]НВВ 26.09.'!X20+'[13]НВВ 26.09.23.'!X20</f>
        <v>17.208730117216124</v>
      </c>
      <c r="Y20" s="2258">
        <f>W20/2+X20/2</f>
        <v>17.208730117216124</v>
      </c>
      <c r="Z20" s="2255">
        <f>'[11]НВВ 26.09.23.'!Z20+'[12]НВВ 26.09.'!Z20+'[13]НВВ 26.09.23.'!Z20</f>
        <v>17.208730117216124</v>
      </c>
      <c r="AA20" s="2260">
        <f>'[11]НВВ 26.09.23.'!AA20+'[12]НВВ 26.09.'!AA20+'[13]НВВ 26.09.23.'!AA20</f>
        <v>17.208730117216124</v>
      </c>
      <c r="AB20" s="2259">
        <f t="shared" si="7"/>
        <v>17.208730117216124</v>
      </c>
      <c r="AC20" s="2606"/>
      <c r="AD20" s="2606"/>
      <c r="AE20" s="2606"/>
      <c r="AF20" s="2593"/>
      <c r="AG20" s="2593"/>
      <c r="AH20" s="2593"/>
      <c r="AI20" s="2593"/>
      <c r="AJ20" s="2593"/>
    </row>
    <row r="21" spans="1:36" s="2218" customFormat="1" ht="21" customHeight="1" outlineLevel="1">
      <c r="A21" s="2235">
        <v>328</v>
      </c>
      <c r="B21" s="2281" t="s">
        <v>1755</v>
      </c>
      <c r="C21" s="2282" t="s">
        <v>1330</v>
      </c>
      <c r="D21" s="2504" t="s">
        <v>1744</v>
      </c>
      <c r="E21" s="2284">
        <v>36.613272383530798</v>
      </c>
      <c r="F21" s="2285">
        <v>37.711670555036726</v>
      </c>
      <c r="G21" s="2257">
        <f t="shared" si="0"/>
        <v>37.162471469283759</v>
      </c>
      <c r="H21" s="2285">
        <v>38.71521158331624</v>
      </c>
      <c r="I21" s="2285">
        <v>40.108959200315624</v>
      </c>
      <c r="J21" s="2257">
        <f t="shared" si="1"/>
        <v>39.412085391815936</v>
      </c>
      <c r="K21" s="2285">
        <v>39.669338389801425</v>
      </c>
      <c r="L21" s="2285">
        <v>41.375119940562882</v>
      </c>
      <c r="M21" s="2259">
        <f t="shared" si="2"/>
        <v>40.522229165182154</v>
      </c>
      <c r="N21" s="2284">
        <f>N19/N20</f>
        <v>43.857627136996648</v>
      </c>
      <c r="O21" s="2286">
        <f>O19/O20</f>
        <v>46.523451323027835</v>
      </c>
      <c r="P21" s="2258">
        <f>N21/2+O21/2</f>
        <v>45.190539230012241</v>
      </c>
      <c r="Q21" s="2284">
        <f t="shared" si="8"/>
        <v>46.523451323027835</v>
      </c>
      <c r="R21" s="2286">
        <f>Q21*1.04</f>
        <v>48.384389375948949</v>
      </c>
      <c r="S21" s="2259">
        <f t="shared" si="4"/>
        <v>47.453920349488392</v>
      </c>
      <c r="T21" s="2284">
        <f t="shared" si="9"/>
        <v>48.384389375948949</v>
      </c>
      <c r="U21" s="2286">
        <f>T21*1.04</f>
        <v>50.319764950986908</v>
      </c>
      <c r="V21" s="2258">
        <f t="shared" si="5"/>
        <v>49.352077163467925</v>
      </c>
      <c r="W21" s="2284">
        <f t="shared" si="10"/>
        <v>50.319764950986908</v>
      </c>
      <c r="X21" s="2286">
        <f>W21*1.04</f>
        <v>52.332555549026388</v>
      </c>
      <c r="Y21" s="2258">
        <f>W21/2+X21/2</f>
        <v>51.326160250006652</v>
      </c>
      <c r="Z21" s="2284">
        <f t="shared" si="11"/>
        <v>52.332555549026388</v>
      </c>
      <c r="AA21" s="2286">
        <f>Z21*1.04</f>
        <v>54.425857770987449</v>
      </c>
      <c r="AB21" s="2259">
        <f t="shared" si="7"/>
        <v>53.379206660006915</v>
      </c>
      <c r="AC21" s="2606"/>
      <c r="AD21" s="2606"/>
      <c r="AE21" s="2606"/>
      <c r="AF21" s="2593"/>
      <c r="AG21" s="2593"/>
      <c r="AH21" s="2593"/>
      <c r="AI21" s="2593"/>
      <c r="AJ21" s="2593"/>
    </row>
    <row r="22" spans="1:36" s="2218" customFormat="1" ht="18.75" customHeight="1" outlineLevel="1">
      <c r="A22" s="2235">
        <v>325</v>
      </c>
      <c r="B22" s="2279" t="s">
        <v>1756</v>
      </c>
      <c r="C22" s="2280" t="s">
        <v>1757</v>
      </c>
      <c r="D22" s="2500" t="s">
        <v>1317</v>
      </c>
      <c r="E22" s="2255">
        <f>E23*E24</f>
        <v>3710.4011880962807</v>
      </c>
      <c r="F22" s="2256">
        <f>F23*F24</f>
        <v>3821.7132237391693</v>
      </c>
      <c r="G22" s="2257">
        <f t="shared" si="0"/>
        <v>3766.0572059177248</v>
      </c>
      <c r="H22" s="2256">
        <f>H23*H24</f>
        <v>3504.7088660469576</v>
      </c>
      <c r="I22" s="2256">
        <f>I23*I24</f>
        <v>3630.8783852246484</v>
      </c>
      <c r="J22" s="2257">
        <f t="shared" si="1"/>
        <v>3567.793625635803</v>
      </c>
      <c r="K22" s="2256">
        <f>K23*K24</f>
        <v>4628.1414461361392</v>
      </c>
      <c r="L22" s="2256">
        <f>L23*L24</f>
        <v>4827.1515283199933</v>
      </c>
      <c r="M22" s="2259">
        <f t="shared" si="2"/>
        <v>4727.6464872280667</v>
      </c>
      <c r="N22" s="2255">
        <f>'[11]НВВ 26.09.23.'!N22+'[12]НВВ 26.09.'!N22+'[13]НВВ 26.09.23.'!N22</f>
        <v>6973.1677384286231</v>
      </c>
      <c r="O22" s="2260">
        <f>'[11]НВВ 26.09.23.'!O22+'[12]НВВ 26.09.'!O22+'[13]НВВ 26.09.23.'!O22</f>
        <v>10684.899005301453</v>
      </c>
      <c r="P22" s="2258">
        <f t="shared" si="3"/>
        <v>8829.0333718650381</v>
      </c>
      <c r="Q22" s="2255">
        <f>'[11]НВВ 26.09.23.'!Q22+'[12]НВВ 26.09.'!Q22+'[13]НВВ 26.09.23.'!Q22</f>
        <v>10684.899005301453</v>
      </c>
      <c r="R22" s="2260">
        <f>'[11]НВВ 26.09.23.'!R22+'[12]НВВ 26.09.'!R22+'[13]НВВ 26.09.23.'!R22</f>
        <v>11112.294965513513</v>
      </c>
      <c r="S22" s="2259">
        <f t="shared" si="4"/>
        <v>10898.596985407483</v>
      </c>
      <c r="T22" s="2255">
        <f>'[11]НВВ 26.09.23.'!T22+'[12]НВВ 26.09.'!T22+'[13]НВВ 26.09.23.'!T22</f>
        <v>11112.294965513513</v>
      </c>
      <c r="U22" s="2260">
        <f>'[11]НВВ 26.09.23.'!U22+'[12]НВВ 26.09.'!U22+'[13]НВВ 26.09.23.'!U22</f>
        <v>11556.786764134053</v>
      </c>
      <c r="V22" s="2258">
        <f t="shared" si="5"/>
        <v>11334.540864823783</v>
      </c>
      <c r="W22" s="2255">
        <f>'[11]НВВ 26.09.23.'!W22+'[12]НВВ 26.09.'!W22+'[13]НВВ 26.09.23.'!W22</f>
        <v>11556.786764134053</v>
      </c>
      <c r="X22" s="2260">
        <f>'[11]НВВ 26.09.23.'!X22+'[12]НВВ 26.09.'!X22+'[13]НВВ 26.09.23.'!X22</f>
        <v>12019.058234699414</v>
      </c>
      <c r="Y22" s="2258">
        <f t="shared" si="6"/>
        <v>11787.922499416734</v>
      </c>
      <c r="Z22" s="2255">
        <f>'[11]НВВ 26.09.23.'!Z22+'[12]НВВ 26.09.'!Z22+'[13]НВВ 26.09.23.'!Z22</f>
        <v>12019.058234699414</v>
      </c>
      <c r="AA22" s="2260">
        <f>'[11]НВВ 26.09.23.'!AA22+'[12]НВВ 26.09.'!AA22+'[13]НВВ 26.09.23.'!AA22</f>
        <v>12499.820564087393</v>
      </c>
      <c r="AB22" s="2259">
        <f t="shared" si="7"/>
        <v>12259.439399393403</v>
      </c>
      <c r="AC22" s="2606"/>
      <c r="AD22" s="2606"/>
      <c r="AE22" s="2606"/>
      <c r="AF22" s="2593"/>
      <c r="AG22" s="2593"/>
      <c r="AH22" s="2593"/>
      <c r="AI22" s="2593"/>
      <c r="AJ22" s="2593"/>
    </row>
    <row r="23" spans="1:36" s="2218" customFormat="1" ht="21" customHeight="1" outlineLevel="1">
      <c r="A23" s="2235">
        <v>329</v>
      </c>
      <c r="B23" s="2281" t="s">
        <v>1758</v>
      </c>
      <c r="C23" s="2282" t="s">
        <v>1327</v>
      </c>
      <c r="D23" s="2504" t="s">
        <v>1748</v>
      </c>
      <c r="E23" s="2284">
        <v>94.710823565800638</v>
      </c>
      <c r="F23" s="2285">
        <v>94.710823565800638</v>
      </c>
      <c r="G23" s="2257">
        <f t="shared" si="0"/>
        <v>94.710823565800638</v>
      </c>
      <c r="H23" s="2285">
        <v>90.156756110119659</v>
      </c>
      <c r="I23" s="2285">
        <v>90.156756110119659</v>
      </c>
      <c r="J23" s="2257">
        <f t="shared" si="1"/>
        <v>90.156756110119659</v>
      </c>
      <c r="K23" s="2285">
        <v>111.13003068238238</v>
      </c>
      <c r="L23" s="2285">
        <v>111.13003068238238</v>
      </c>
      <c r="M23" s="2259">
        <f t="shared" si="2"/>
        <v>111.13003068238238</v>
      </c>
      <c r="N23" s="2255">
        <f>'[11]НВВ 26.09.23.'!N23+'[12]НВВ 26.09.'!N23+'[13]НВВ 26.09.23.'!N23</f>
        <v>156.32360330786531</v>
      </c>
      <c r="O23" s="2260">
        <f>'[11]НВВ 26.09.23.'!O23+'[12]НВВ 26.09.'!O23+'[13]НВВ 26.09.23.'!O23</f>
        <v>217.76729645563108</v>
      </c>
      <c r="P23" s="2258">
        <f>N23/2+O23/2</f>
        <v>187.0454498817482</v>
      </c>
      <c r="Q23" s="2255">
        <f>'[11]НВВ 26.09.23.'!Q23+'[12]НВВ 26.09.'!Q23+'[13]НВВ 26.09.23.'!Q23</f>
        <v>217.76729645563108</v>
      </c>
      <c r="R23" s="2260">
        <f>'[11]НВВ 26.09.23.'!R23+'[12]НВВ 26.09.'!R23+'[13]НВВ 26.09.23.'!R23</f>
        <v>217.76729645563108</v>
      </c>
      <c r="S23" s="2259">
        <f t="shared" si="4"/>
        <v>217.76729645563108</v>
      </c>
      <c r="T23" s="2255">
        <f>'[11]НВВ 26.09.23.'!T23+'[12]НВВ 26.09.'!T23+'[13]НВВ 26.09.23.'!T23</f>
        <v>217.76729645563108</v>
      </c>
      <c r="U23" s="2260">
        <f>'[11]НВВ 26.09.23.'!U23+'[12]НВВ 26.09.'!U23+'[13]НВВ 26.09.23.'!U23</f>
        <v>217.76729645563108</v>
      </c>
      <c r="V23" s="2258">
        <f t="shared" si="5"/>
        <v>217.76729645563108</v>
      </c>
      <c r="W23" s="2255">
        <f>'[11]НВВ 26.09.23.'!W23+'[12]НВВ 26.09.'!W23+'[13]НВВ 26.09.23.'!W23</f>
        <v>217.76729645563108</v>
      </c>
      <c r="X23" s="2260">
        <f>'[11]НВВ 26.09.23.'!X23+'[12]НВВ 26.09.'!X23+'[13]НВВ 26.09.23.'!X23</f>
        <v>217.76729645563108</v>
      </c>
      <c r="Y23" s="2258">
        <f>W23/2+X23/2</f>
        <v>217.76729645563108</v>
      </c>
      <c r="Z23" s="2255">
        <f>'[11]НВВ 26.09.23.'!Z23+'[12]НВВ 26.09.'!Z23+'[13]НВВ 26.09.23.'!Z23</f>
        <v>217.76729645563108</v>
      </c>
      <c r="AA23" s="2260">
        <f>'[11]НВВ 26.09.23.'!AA23+'[12]НВВ 26.09.'!AA23+'[13]НВВ 26.09.23.'!AA23</f>
        <v>217.76729645563108</v>
      </c>
      <c r="AB23" s="2259">
        <f t="shared" si="7"/>
        <v>217.76729645563108</v>
      </c>
      <c r="AC23" s="2606"/>
      <c r="AD23" s="2606"/>
      <c r="AE23" s="2606"/>
      <c r="AF23" s="2593"/>
      <c r="AG23" s="2593"/>
      <c r="AH23" s="2593"/>
      <c r="AI23" s="2593"/>
      <c r="AJ23" s="2593"/>
    </row>
    <row r="24" spans="1:36" s="2218" customFormat="1" ht="21" customHeight="1" outlineLevel="1">
      <c r="A24" s="2235">
        <v>330</v>
      </c>
      <c r="B24" s="2281" t="s">
        <v>1760</v>
      </c>
      <c r="C24" s="2282" t="s">
        <v>1330</v>
      </c>
      <c r="D24" s="2504" t="s">
        <v>1744</v>
      </c>
      <c r="E24" s="2284">
        <v>39.176105205319729</v>
      </c>
      <c r="F24" s="2285">
        <v>40.351388361479323</v>
      </c>
      <c r="G24" s="2257">
        <f t="shared" si="0"/>
        <v>39.763746783399526</v>
      </c>
      <c r="H24" s="2285">
        <v>38.873502300440144</v>
      </c>
      <c r="I24" s="2285">
        <v>40.272948383255994</v>
      </c>
      <c r="J24" s="2257">
        <f t="shared" si="1"/>
        <v>39.573225341848072</v>
      </c>
      <c r="K24" s="2285">
        <v>41.646181664105718</v>
      </c>
      <c r="L24" s="2285">
        <v>43.436967475662264</v>
      </c>
      <c r="M24" s="2259">
        <f t="shared" si="2"/>
        <v>42.541574569883991</v>
      </c>
      <c r="N24" s="2284">
        <f>N22/N23</f>
        <v>44.60726077747578</v>
      </c>
      <c r="O24" s="2286">
        <f>O22/O23</f>
        <v>49.065673217275048</v>
      </c>
      <c r="P24" s="2258">
        <f>N24/2+O24/2</f>
        <v>46.83646699737541</v>
      </c>
      <c r="Q24" s="2284">
        <f t="shared" si="8"/>
        <v>49.065673217275048</v>
      </c>
      <c r="R24" s="2286">
        <f>Q24*1.04</f>
        <v>51.02830014596605</v>
      </c>
      <c r="S24" s="2259">
        <f t="shared" si="4"/>
        <v>50.046986681620552</v>
      </c>
      <c r="T24" s="2284">
        <f t="shared" si="9"/>
        <v>51.02830014596605</v>
      </c>
      <c r="U24" s="2286">
        <f>T24*1.04</f>
        <v>53.069432151804691</v>
      </c>
      <c r="V24" s="2258">
        <f t="shared" si="5"/>
        <v>52.048866148885367</v>
      </c>
      <c r="W24" s="2284">
        <f t="shared" si="10"/>
        <v>53.069432151804691</v>
      </c>
      <c r="X24" s="2286">
        <f>W24*1.04</f>
        <v>55.192209437876883</v>
      </c>
      <c r="Y24" s="2258">
        <f>W24/2+X24/2</f>
        <v>54.130820794840787</v>
      </c>
      <c r="Z24" s="2284">
        <f t="shared" si="11"/>
        <v>55.192209437876883</v>
      </c>
      <c r="AA24" s="2286">
        <f>Z24*1.04</f>
        <v>57.399897815391959</v>
      </c>
      <c r="AB24" s="2259">
        <f t="shared" si="7"/>
        <v>56.296053626634418</v>
      </c>
      <c r="AC24" s="2606"/>
      <c r="AD24" s="2606"/>
      <c r="AE24" s="2606"/>
      <c r="AF24" s="2593"/>
      <c r="AG24" s="2593"/>
      <c r="AH24" s="2593"/>
      <c r="AI24" s="2593"/>
      <c r="AJ24" s="2593"/>
    </row>
    <row r="25" spans="1:36" s="2218" customFormat="1" ht="21" customHeight="1" outlineLevel="1">
      <c r="A25" s="2235">
        <v>326</v>
      </c>
      <c r="B25" s="2279" t="s">
        <v>1761</v>
      </c>
      <c r="C25" s="2280" t="s">
        <v>1762</v>
      </c>
      <c r="D25" s="2500" t="s">
        <v>1317</v>
      </c>
      <c r="E25" s="2255">
        <f>E26*E27</f>
        <v>34.225187624814339</v>
      </c>
      <c r="F25" s="2256">
        <f>F26*F27</f>
        <v>35.251943253558771</v>
      </c>
      <c r="G25" s="2257">
        <f t="shared" si="0"/>
        <v>34.738565439186559</v>
      </c>
      <c r="H25" s="2256">
        <f>H26*H27</f>
        <v>324.48823114080602</v>
      </c>
      <c r="I25" s="2256">
        <f>I26*I27</f>
        <v>336.16980746187505</v>
      </c>
      <c r="J25" s="2257">
        <f t="shared" si="1"/>
        <v>330.32901930134051</v>
      </c>
      <c r="K25" s="2256">
        <f>K26*K27</f>
        <v>417.66581866815341</v>
      </c>
      <c r="L25" s="2256">
        <f>L26*L27</f>
        <v>435.62544887088399</v>
      </c>
      <c r="M25" s="2259">
        <f t="shared" si="2"/>
        <v>426.64563376951867</v>
      </c>
      <c r="N25" s="2255">
        <f>'[11]НВВ 26.09.23.'!N25+'[12]НВВ 26.09.'!N25+'[13]НВВ 26.09.23.'!N25</f>
        <v>291.67298239842472</v>
      </c>
      <c r="O25" s="2260">
        <f>'[11]НВВ 26.09.23.'!O25+'[12]НВВ 26.09.'!O25+'[13]НВВ 26.09.23.'!O25</f>
        <v>1000.9148870373047</v>
      </c>
      <c r="P25" s="2258">
        <f t="shared" si="3"/>
        <v>646.29393471786466</v>
      </c>
      <c r="Q25" s="2255">
        <f>'[11]НВВ 26.09.23.'!Q25+'[12]НВВ 26.09.'!Q25+'[13]НВВ 26.09.23.'!Q25</f>
        <v>1000.9148870373047</v>
      </c>
      <c r="R25" s="2260">
        <f>'[11]НВВ 26.09.23.'!R25+'[12]НВВ 26.09.'!R25+'[13]НВВ 26.09.23.'!R25</f>
        <v>1040.9514825187969</v>
      </c>
      <c r="S25" s="2259">
        <f t="shared" si="4"/>
        <v>1020.9331847780508</v>
      </c>
      <c r="T25" s="2255">
        <f>'[11]НВВ 26.09.23.'!T25+'[12]НВВ 26.09.'!T25+'[13]НВВ 26.09.23.'!T25</f>
        <v>1040.9514825187969</v>
      </c>
      <c r="U25" s="2260">
        <f>'[11]НВВ 26.09.23.'!U25+'[12]НВВ 26.09.'!U25+'[13]НВВ 26.09.23.'!U25</f>
        <v>1082.5895418195489</v>
      </c>
      <c r="V25" s="2258">
        <f t="shared" si="5"/>
        <v>1061.7705121691729</v>
      </c>
      <c r="W25" s="2255">
        <f>'[11]НВВ 26.09.23.'!W25+'[12]НВВ 26.09.'!W25+'[13]НВВ 26.09.23.'!W25</f>
        <v>1082.5895418195489</v>
      </c>
      <c r="X25" s="2260">
        <f>'[11]НВВ 26.09.23.'!X25+'[12]НВВ 26.09.'!X25+'[13]НВВ 26.09.23.'!X25</f>
        <v>1125.8931234923307</v>
      </c>
      <c r="Y25" s="2258">
        <f t="shared" si="6"/>
        <v>1104.2413326559399</v>
      </c>
      <c r="Z25" s="2255">
        <f>'[11]НВВ 26.09.23.'!Z25+'[12]НВВ 26.09.'!Z25+'[13]НВВ 26.09.23.'!Z25</f>
        <v>1125.8931234923307</v>
      </c>
      <c r="AA25" s="2260">
        <f>'[11]НВВ 26.09.23.'!AA25+'[12]НВВ 26.09.'!AA25+'[13]НВВ 26.09.23.'!AA25</f>
        <v>1170.9288484320241</v>
      </c>
      <c r="AB25" s="2259">
        <f t="shared" si="7"/>
        <v>1148.4109859621774</v>
      </c>
      <c r="AC25" s="2606"/>
      <c r="AD25" s="2606"/>
      <c r="AE25" s="2606"/>
      <c r="AF25" s="2593"/>
      <c r="AG25" s="2593"/>
      <c r="AH25" s="2593"/>
      <c r="AI25" s="2593"/>
      <c r="AJ25" s="2593"/>
    </row>
    <row r="26" spans="1:36" s="2218" customFormat="1" ht="21" customHeight="1" outlineLevel="1">
      <c r="A26" s="2235">
        <v>331</v>
      </c>
      <c r="B26" s="2281" t="s">
        <v>1763</v>
      </c>
      <c r="C26" s="2282" t="s">
        <v>1327</v>
      </c>
      <c r="D26" s="2504" t="s">
        <v>1748</v>
      </c>
      <c r="E26" s="2284">
        <v>0.18104437878282661</v>
      </c>
      <c r="F26" s="2285">
        <v>0.18104437878282661</v>
      </c>
      <c r="G26" s="2257">
        <f t="shared" si="0"/>
        <v>0.18104437878282661</v>
      </c>
      <c r="H26" s="2285">
        <v>2.7033625718996146</v>
      </c>
      <c r="I26" s="2285">
        <v>2.7033625718996146</v>
      </c>
      <c r="J26" s="2257">
        <f t="shared" si="1"/>
        <v>2.7033625718996146</v>
      </c>
      <c r="K26" s="2285">
        <v>2.3911936303154517</v>
      </c>
      <c r="L26" s="2285">
        <v>2.3911936303154517</v>
      </c>
      <c r="M26" s="2259">
        <f t="shared" si="2"/>
        <v>2.3911936303154517</v>
      </c>
      <c r="N26" s="2255">
        <f>'[11]НВВ 26.09.23.'!N26+'[12]НВВ 26.09.'!N26+'[13]НВВ 26.09.23.'!N26</f>
        <v>1.5103995213846806</v>
      </c>
      <c r="O26" s="2260">
        <f>'[11]НВВ 26.09.23.'!O26+'[12]НВВ 26.09.'!O26+'[13]НВВ 26.09.23.'!O26</f>
        <v>4.5276247989100442</v>
      </c>
      <c r="P26" s="2258">
        <f>N26/2+O26/2</f>
        <v>3.0190121601473625</v>
      </c>
      <c r="Q26" s="2255">
        <f>'[11]НВВ 26.09.23.'!Q26+'[12]НВВ 26.09.'!Q26+'[13]НВВ 26.09.23.'!Q26</f>
        <v>4.5276247989100442</v>
      </c>
      <c r="R26" s="2260">
        <f>'[11]НВВ 26.09.23.'!R26+'[12]НВВ 26.09.'!R26+'[13]НВВ 26.09.23.'!R26</f>
        <v>4.5276247989100442</v>
      </c>
      <c r="S26" s="2259">
        <f t="shared" si="4"/>
        <v>4.5276247989100442</v>
      </c>
      <c r="T26" s="2255">
        <f>'[11]НВВ 26.09.23.'!T26+'[12]НВВ 26.09.'!T26+'[13]НВВ 26.09.23.'!T26</f>
        <v>4.5276247989100442</v>
      </c>
      <c r="U26" s="2260">
        <f>'[11]НВВ 26.09.23.'!U26+'[12]НВВ 26.09.'!U26+'[13]НВВ 26.09.23.'!U26</f>
        <v>4.5276247989100442</v>
      </c>
      <c r="V26" s="2258">
        <f t="shared" si="5"/>
        <v>4.5276247989100442</v>
      </c>
      <c r="W26" s="2255">
        <f>'[11]НВВ 26.09.23.'!W26+'[12]НВВ 26.09.'!W26+'[13]НВВ 26.09.23.'!W26</f>
        <v>4.5276247989100442</v>
      </c>
      <c r="X26" s="2260">
        <f>'[11]НВВ 26.09.23.'!X26+'[12]НВВ 26.09.'!X26+'[13]НВВ 26.09.23.'!X26</f>
        <v>4.5276247989100442</v>
      </c>
      <c r="Y26" s="2258">
        <f>W26/2+X26/2</f>
        <v>4.5276247989100442</v>
      </c>
      <c r="Z26" s="2255">
        <f>'[11]НВВ 26.09.23.'!Z26+'[12]НВВ 26.09.'!Z26+'[13]НВВ 26.09.23.'!Z26</f>
        <v>4.5276247989100442</v>
      </c>
      <c r="AA26" s="2260">
        <f>'[11]НВВ 26.09.23.'!AA26+'[12]НВВ 26.09.'!AA26+'[13]НВВ 26.09.23.'!AA26</f>
        <v>4.5276247989100442</v>
      </c>
      <c r="AB26" s="2259">
        <f t="shared" si="7"/>
        <v>4.5276247989100442</v>
      </c>
      <c r="AC26" s="2606"/>
      <c r="AD26" s="2606"/>
      <c r="AE26" s="2606"/>
      <c r="AF26" s="2593"/>
      <c r="AG26" s="2593"/>
      <c r="AH26" s="2593"/>
      <c r="AI26" s="2593"/>
      <c r="AJ26" s="2593"/>
    </row>
    <row r="27" spans="1:36" s="2218" customFormat="1" ht="21" customHeight="1" outlineLevel="1">
      <c r="A27" s="2235">
        <v>332</v>
      </c>
      <c r="B27" s="2281" t="s">
        <v>1765</v>
      </c>
      <c r="C27" s="2282" t="s">
        <v>1330</v>
      </c>
      <c r="D27" s="2504" t="s">
        <v>1744</v>
      </c>
      <c r="E27" s="2284">
        <v>189.04308355173771</v>
      </c>
      <c r="F27" s="2285">
        <v>194.71437605828984</v>
      </c>
      <c r="G27" s="2257">
        <f t="shared" si="0"/>
        <v>191.87872980501379</v>
      </c>
      <c r="H27" s="2285">
        <v>120.03133967812269</v>
      </c>
      <c r="I27" s="2285">
        <v>124.35246790653511</v>
      </c>
      <c r="J27" s="2257">
        <f t="shared" si="1"/>
        <v>122.1919037923289</v>
      </c>
      <c r="K27" s="2285">
        <v>174.66833859583926</v>
      </c>
      <c r="L27" s="2285">
        <v>182.17907715546033</v>
      </c>
      <c r="M27" s="2259">
        <f t="shared" si="2"/>
        <v>178.4237078756498</v>
      </c>
      <c r="N27" s="2284">
        <f>N25-N26</f>
        <v>290.16258287704005</v>
      </c>
      <c r="O27" s="2286">
        <f>O25-O26</f>
        <v>996.38726223839456</v>
      </c>
      <c r="P27" s="2258">
        <f>N27/2+O27/2</f>
        <v>643.27492255771733</v>
      </c>
      <c r="Q27" s="2284">
        <f t="shared" si="8"/>
        <v>996.38726223839456</v>
      </c>
      <c r="R27" s="2286">
        <f>Q27*1.04</f>
        <v>1036.2427527279303</v>
      </c>
      <c r="S27" s="2259">
        <f t="shared" si="4"/>
        <v>1016.3150074831624</v>
      </c>
      <c r="T27" s="2284">
        <f t="shared" si="9"/>
        <v>1036.2427527279303</v>
      </c>
      <c r="U27" s="2286">
        <f>T27*1.04</f>
        <v>1077.6924628370475</v>
      </c>
      <c r="V27" s="2258">
        <f t="shared" si="5"/>
        <v>1056.9676077824888</v>
      </c>
      <c r="W27" s="2284">
        <f t="shared" si="10"/>
        <v>1077.6924628370475</v>
      </c>
      <c r="X27" s="2286">
        <f>W27*1.04</f>
        <v>1120.8001613505294</v>
      </c>
      <c r="Y27" s="2258">
        <f>W27/2+X27/2</f>
        <v>1099.2463120937884</v>
      </c>
      <c r="Z27" s="2284">
        <f t="shared" si="11"/>
        <v>1120.8001613505294</v>
      </c>
      <c r="AA27" s="2286">
        <f>Z27*1.04</f>
        <v>1165.6321678045506</v>
      </c>
      <c r="AB27" s="2259">
        <f t="shared" si="7"/>
        <v>1143.21616457754</v>
      </c>
      <c r="AC27" s="2606"/>
      <c r="AD27" s="2606"/>
      <c r="AE27" s="2606"/>
      <c r="AF27" s="2593"/>
      <c r="AG27" s="2593"/>
      <c r="AH27" s="2593"/>
      <c r="AI27" s="2593"/>
      <c r="AJ27" s="2593"/>
    </row>
    <row r="28" spans="1:36" s="2218" customFormat="1" ht="21" customHeight="1" outlineLevel="1">
      <c r="A28" s="2235">
        <v>6</v>
      </c>
      <c r="B28" s="2281" t="s">
        <v>1767</v>
      </c>
      <c r="C28" s="2282" t="s">
        <v>1768</v>
      </c>
      <c r="D28" s="2504" t="s">
        <v>1317</v>
      </c>
      <c r="E28" s="2284">
        <v>243.67809528279901</v>
      </c>
      <c r="F28" s="2285">
        <v>250.98843814128298</v>
      </c>
      <c r="G28" s="2257">
        <f t="shared" si="0"/>
        <v>247.333266712041</v>
      </c>
      <c r="H28" s="2285">
        <v>3.098239421491281</v>
      </c>
      <c r="I28" s="2285">
        <v>3.2097760406649671</v>
      </c>
      <c r="J28" s="2257">
        <f t="shared" si="1"/>
        <v>3.1540077310781243</v>
      </c>
      <c r="K28" s="2285">
        <v>3.7991837094103746</v>
      </c>
      <c r="L28" s="2285">
        <v>3.9625486089150206</v>
      </c>
      <c r="M28" s="2259">
        <f t="shared" si="2"/>
        <v>3.8808661591626974</v>
      </c>
      <c r="N28" s="2255">
        <f>'[11]НВВ 26.09.23.'!N28+'[12]НВВ 26.09.'!N28+'[13]НВВ 26.09.23.'!N28</f>
        <v>50.812446910169172</v>
      </c>
      <c r="O28" s="2260">
        <f>'[11]НВВ 26.09.23.'!O28+'[12]НВВ 26.09.'!O28+'[13]НВВ 26.09.23.'!O28</f>
        <v>130.03303715315226</v>
      </c>
      <c r="P28" s="2258">
        <f>N28/2+O28/2</f>
        <v>90.422742031660718</v>
      </c>
      <c r="Q28" s="2255">
        <f>'[11]НВВ 26.09.23.'!Q28+'[12]НВВ 26.09.'!Q28+'[13]НВВ 26.09.23.'!Q28</f>
        <v>130.03303715315226</v>
      </c>
      <c r="R28" s="2260">
        <f>'[11]НВВ 26.09.23.'!R28+'[12]НВВ 26.09.'!R28+'[13]НВВ 26.09.23.'!R28</f>
        <v>135.23435863927835</v>
      </c>
      <c r="S28" s="2259">
        <f t="shared" si="4"/>
        <v>132.63369789621532</v>
      </c>
      <c r="T28" s="2255">
        <f>'[11]НВВ 26.09.23.'!T28+'[12]НВВ 26.09.'!T28+'[13]НВВ 26.09.23.'!T28</f>
        <v>135.23435863927835</v>
      </c>
      <c r="U28" s="2260">
        <f>'[11]НВВ 26.09.23.'!U28+'[12]НВВ 26.09.'!U28+'[13]НВВ 26.09.23.'!U28</f>
        <v>140.64373298484949</v>
      </c>
      <c r="V28" s="2258">
        <f t="shared" si="5"/>
        <v>137.93904581206391</v>
      </c>
      <c r="W28" s="2255">
        <f>'[11]НВВ 26.09.23.'!W28+'[12]НВВ 26.09.'!W28+'[13]НВВ 26.09.23.'!W28</f>
        <v>140.64373298484949</v>
      </c>
      <c r="X28" s="2260">
        <f>'[11]НВВ 26.09.23.'!X28+'[12]НВВ 26.09.'!X28+'[13]НВВ 26.09.23.'!X28</f>
        <v>146.26948230424347</v>
      </c>
      <c r="Y28" s="2258">
        <f>W28/2+X28/2</f>
        <v>143.45660764454647</v>
      </c>
      <c r="Z28" s="2255">
        <f>'[11]НВВ 26.09.23.'!Z28+'[12]НВВ 26.09.'!Z28+'[13]НВВ 26.09.23.'!Z28</f>
        <v>146.26948230424347</v>
      </c>
      <c r="AA28" s="2260">
        <f>'[11]НВВ 26.09.23.'!AA28+'[12]НВВ 26.09.'!AA28+'[13]НВВ 26.09.23.'!AA28</f>
        <v>152.1202615964132</v>
      </c>
      <c r="AB28" s="2259">
        <f t="shared" si="7"/>
        <v>149.19487195032832</v>
      </c>
      <c r="AC28" s="2606"/>
      <c r="AD28" s="2606"/>
      <c r="AE28" s="2606"/>
      <c r="AF28" s="2593"/>
      <c r="AG28" s="2593"/>
      <c r="AH28" s="2593"/>
      <c r="AI28" s="2593"/>
      <c r="AJ28" s="2593"/>
    </row>
    <row r="29" spans="1:36" s="2218" customFormat="1" outlineLevel="1">
      <c r="A29" s="2235">
        <v>7</v>
      </c>
      <c r="B29" s="2287" t="s">
        <v>1770</v>
      </c>
      <c r="C29" s="2288" t="s">
        <v>1771</v>
      </c>
      <c r="D29" s="2505" t="s">
        <v>1317</v>
      </c>
      <c r="E29" s="2290">
        <v>5431.1393022039902</v>
      </c>
      <c r="F29" s="2291">
        <v>5594.0734812701103</v>
      </c>
      <c r="G29" s="2257">
        <f t="shared" si="0"/>
        <v>5512.6063917370502</v>
      </c>
      <c r="H29" s="2291">
        <v>6728.6391402719992</v>
      </c>
      <c r="I29" s="2291">
        <v>6970.8701493217914</v>
      </c>
      <c r="J29" s="2257">
        <f t="shared" si="1"/>
        <v>6849.7546447968953</v>
      </c>
      <c r="K29" s="2291">
        <v>6213.3678037320051</v>
      </c>
      <c r="L29" s="2291">
        <v>6480.5426192924806</v>
      </c>
      <c r="M29" s="2259">
        <f t="shared" si="2"/>
        <v>6346.9552115122424</v>
      </c>
      <c r="N29" s="2255">
        <f>'[11]НВВ 26.09.23.'!N29+'[12]НВВ 26.09.'!N29+'[13]НВВ 26.09.23.'!N29</f>
        <v>10799.932809107833</v>
      </c>
      <c r="O29" s="2260">
        <f>'[11]НВВ 26.09.23.'!O29+'[12]НВВ 26.09.'!O29+'[13]НВВ 26.09.23.'!O29</f>
        <v>20326.04224452866</v>
      </c>
      <c r="P29" s="2258">
        <f t="shared" si="3"/>
        <v>15562.987526818248</v>
      </c>
      <c r="Q29" s="2255">
        <f>'[11]НВВ 26.09.23.'!Q29+'[12]НВВ 26.09.'!Q29+'[13]НВВ 26.09.23.'!Q29</f>
        <v>20326.04224452866</v>
      </c>
      <c r="R29" s="2260">
        <f>'[11]НВВ 26.09.23.'!R29+'[12]НВВ 26.09.'!R29+'[13]НВВ 26.09.23.'!R29</f>
        <v>21139.083934309805</v>
      </c>
      <c r="S29" s="2259">
        <f t="shared" si="4"/>
        <v>20732.563089419233</v>
      </c>
      <c r="T29" s="2255">
        <f>'[11]НВВ 26.09.23.'!T29+'[12]НВВ 26.09.'!T29+'[13]НВВ 26.09.23.'!T29</f>
        <v>21139.083934309805</v>
      </c>
      <c r="U29" s="2260">
        <f>'[11]НВВ 26.09.23.'!U29+'[12]НВВ 26.09.'!U29+'[13]НВВ 26.09.23.'!U29</f>
        <v>21984.647291682202</v>
      </c>
      <c r="V29" s="2258">
        <f t="shared" si="5"/>
        <v>21561.865612996004</v>
      </c>
      <c r="W29" s="2255">
        <f>'[11]НВВ 26.09.23.'!W29+'[12]НВВ 26.09.'!W29+'[13]НВВ 26.09.23.'!W29</f>
        <v>21984.647291682202</v>
      </c>
      <c r="X29" s="2260">
        <f>'[11]НВВ 26.09.23.'!X29+'[12]НВВ 26.09.'!X29+'[13]НВВ 26.09.23.'!X29</f>
        <v>22864.033183349493</v>
      </c>
      <c r="Y29" s="2258">
        <f t="shared" si="6"/>
        <v>22424.340237515848</v>
      </c>
      <c r="Z29" s="2255">
        <f>'[11]НВВ 26.09.23.'!Z29+'[12]НВВ 26.09.'!Z29+'[13]НВВ 26.09.23.'!Z29</f>
        <v>22864.033183349493</v>
      </c>
      <c r="AA29" s="2260">
        <f>'[11]НВВ 26.09.23.'!AA29+'[12]НВВ 26.09.'!AA29+'[13]НВВ 26.09.23.'!AA29</f>
        <v>23778.59451068347</v>
      </c>
      <c r="AB29" s="2259">
        <f t="shared" si="7"/>
        <v>23321.313847016481</v>
      </c>
      <c r="AC29" s="2606"/>
      <c r="AD29" s="2606"/>
      <c r="AE29" s="2606"/>
      <c r="AF29" s="2593"/>
      <c r="AG29" s="2593"/>
      <c r="AH29" s="2593"/>
      <c r="AI29" s="2593"/>
      <c r="AJ29" s="2593"/>
    </row>
    <row r="30" spans="1:36" s="2218" customFormat="1" ht="74.25" hidden="1" customHeight="1" outlineLevel="2">
      <c r="A30" s="2235">
        <v>75</v>
      </c>
      <c r="B30" s="2281" t="s">
        <v>1773</v>
      </c>
      <c r="C30" s="2293" t="s">
        <v>1774</v>
      </c>
      <c r="D30" s="2504" t="s">
        <v>1317</v>
      </c>
      <c r="E30" s="2284"/>
      <c r="F30" s="2285"/>
      <c r="G30" s="2257">
        <f t="shared" si="0"/>
        <v>0</v>
      </c>
      <c r="H30" s="2285"/>
      <c r="I30" s="2285"/>
      <c r="J30" s="2257">
        <f t="shared" si="1"/>
        <v>0</v>
      </c>
      <c r="K30" s="2285">
        <v>253.24874396917789</v>
      </c>
      <c r="L30" s="2285">
        <v>264.13843995985252</v>
      </c>
      <c r="M30" s="2259">
        <f t="shared" si="2"/>
        <v>258.69359196451524</v>
      </c>
      <c r="N30" s="3031">
        <f>'2024 Калуга+область транспортир'!Z29+'2024 Калуга+область перекачка'!Z29+'2024 Калуга+область очистка'!Z29</f>
        <v>0</v>
      </c>
      <c r="O30" s="2286">
        <f>N30*1.047</f>
        <v>0</v>
      </c>
      <c r="P30" s="2258">
        <f t="shared" si="3"/>
        <v>0</v>
      </c>
      <c r="Q30" s="3031">
        <f>'2024 Калуга+область транспортир'!AC29+'2024 Калуга+область перекачка'!AC29+'2024 Калуга+область очистка'!AC29</f>
        <v>0</v>
      </c>
      <c r="R30" s="2286">
        <f>Q30*1.047</f>
        <v>0</v>
      </c>
      <c r="S30" s="2259">
        <f t="shared" si="4"/>
        <v>0</v>
      </c>
      <c r="T30" s="3031">
        <f>'2024 Калуга+область транспортир'!AF29+'2024 Калуга+область перекачка'!AF29+'2024 Калуга+область очистка'!AF29</f>
        <v>0</v>
      </c>
      <c r="U30" s="2286">
        <f>T30*1.047</f>
        <v>0</v>
      </c>
      <c r="V30" s="2258">
        <f t="shared" si="5"/>
        <v>0</v>
      </c>
      <c r="W30" s="3031">
        <f>'2024 Калуга+область транспортир'!AI29+'2024 Калуга+область перекачка'!AI29+'2024 Калуга+область очистка'!AI29</f>
        <v>0</v>
      </c>
      <c r="X30" s="2286">
        <f>W30*1.047</f>
        <v>0</v>
      </c>
      <c r="Y30" s="2258">
        <f t="shared" si="6"/>
        <v>0</v>
      </c>
      <c r="Z30" s="3031">
        <f>'2024 Калуга+область транспортир'!AL29+'2024 Калуга+область перекачка'!AL29+'2024 Калуга+область очистка'!AL29</f>
        <v>0</v>
      </c>
      <c r="AA30" s="2286">
        <f>Z30*1.047</f>
        <v>0</v>
      </c>
      <c r="AB30" s="2259">
        <f t="shared" si="7"/>
        <v>0</v>
      </c>
      <c r="AC30" s="2606"/>
      <c r="AD30" s="2606"/>
      <c r="AE30" s="2606"/>
      <c r="AF30" s="2593"/>
      <c r="AG30" s="2593"/>
      <c r="AH30" s="2593"/>
      <c r="AI30" s="2593"/>
      <c r="AJ30" s="2593"/>
    </row>
    <row r="31" spans="1:36" s="2218" customFormat="1" ht="63" outlineLevel="1" collapsed="1">
      <c r="A31" s="2235">
        <v>76</v>
      </c>
      <c r="B31" s="2279" t="s">
        <v>1776</v>
      </c>
      <c r="C31" s="2295" t="s">
        <v>1777</v>
      </c>
      <c r="D31" s="2500" t="s">
        <v>1317</v>
      </c>
      <c r="E31" s="2255">
        <f>E32+E42</f>
        <v>19386.135876796063</v>
      </c>
      <c r="F31" s="2256">
        <f>F32+F42</f>
        <v>20401.296766085434</v>
      </c>
      <c r="G31" s="2257">
        <f t="shared" si="0"/>
        <v>19893.716321440748</v>
      </c>
      <c r="H31" s="2256">
        <f>H32+H42</f>
        <v>20131.846679141086</v>
      </c>
      <c r="I31" s="2256">
        <f>I32+I42</f>
        <v>20722.846289539011</v>
      </c>
      <c r="J31" s="2257">
        <f t="shared" si="1"/>
        <v>20427.346484340051</v>
      </c>
      <c r="K31" s="2256">
        <f>K32+K42</f>
        <v>19988.837985048514</v>
      </c>
      <c r="L31" s="2256">
        <f>L32+L42</f>
        <v>20978.523450264362</v>
      </c>
      <c r="M31" s="2259">
        <f t="shared" si="2"/>
        <v>20483.68071765644</v>
      </c>
      <c r="N31" s="2255">
        <f>'[11]НВВ 26.09.23.'!N31+'[12]НВВ 26.09.'!N31+'[13]НВВ 26.09.23.'!N31</f>
        <v>45259.174997263908</v>
      </c>
      <c r="O31" s="2260">
        <f>'[11]НВВ 26.09.23.'!O31+'[12]НВВ 26.09.'!O31+'[13]НВВ 26.09.23.'!O31</f>
        <v>116263.14378372827</v>
      </c>
      <c r="P31" s="2258">
        <f t="shared" si="3"/>
        <v>80761.15939049609</v>
      </c>
      <c r="Q31" s="2255">
        <f>'[11]НВВ 26.09.23.'!Q31+'[12]НВВ 26.09.'!Q31+'[13]НВВ 26.09.23.'!Q31</f>
        <v>116263.1437747025</v>
      </c>
      <c r="R31" s="2260">
        <f>'[11]НВВ 26.09.23.'!R31+'[12]НВВ 26.09.'!R31+'[13]НВВ 26.09.23.'!R31</f>
        <v>120913.66952569061</v>
      </c>
      <c r="S31" s="2259">
        <f t="shared" si="4"/>
        <v>118588.40665019656</v>
      </c>
      <c r="T31" s="2255">
        <f>'[11]НВВ 26.09.23.'!T31+'[12]НВВ 26.09.'!T31+'[13]НВВ 26.09.23.'!T31</f>
        <v>120913.66952569061</v>
      </c>
      <c r="U31" s="2260">
        <f>'[11]НВВ 26.09.23.'!U31+'[12]НВВ 26.09.'!U31+'[13]НВВ 26.09.23.'!U31</f>
        <v>125750.21630671823</v>
      </c>
      <c r="V31" s="2258">
        <f t="shared" si="5"/>
        <v>123331.94291620443</v>
      </c>
      <c r="W31" s="2255">
        <f>'[11]НВВ 26.09.23.'!W31+'[12]НВВ 26.09.'!W31+'[13]НВВ 26.09.23.'!W31</f>
        <v>125750.21630671823</v>
      </c>
      <c r="X31" s="2260">
        <f>'[11]НВВ 26.09.23.'!X31+'[12]НВВ 26.09.'!X31+'[13]НВВ 26.09.23.'!X31</f>
        <v>130780.22495898698</v>
      </c>
      <c r="Y31" s="2258">
        <f t="shared" si="6"/>
        <v>128265.22063285261</v>
      </c>
      <c r="Z31" s="2255">
        <f>'[11]НВВ 26.09.23.'!Z31+'[12]НВВ 26.09.'!Z31+'[13]НВВ 26.09.23.'!Z31</f>
        <v>130780.22495898698</v>
      </c>
      <c r="AA31" s="2260">
        <f>'[11]НВВ 26.09.23.'!AA31+'[12]НВВ 26.09.'!AA31+'[13]НВВ 26.09.23.'!AA31</f>
        <v>136011.43395734645</v>
      </c>
      <c r="AB31" s="2259">
        <f t="shared" si="7"/>
        <v>133395.82945816673</v>
      </c>
      <c r="AC31" s="2606"/>
      <c r="AD31" s="2606"/>
      <c r="AE31" s="2606"/>
      <c r="AF31" s="2593"/>
      <c r="AG31" s="2593"/>
      <c r="AH31" s="2593"/>
      <c r="AI31" s="2593"/>
      <c r="AJ31" s="2593"/>
    </row>
    <row r="32" spans="1:36" s="2218" customFormat="1" ht="31.5" outlineLevel="1">
      <c r="A32" s="2235">
        <v>77</v>
      </c>
      <c r="B32" s="2279" t="s">
        <v>1778</v>
      </c>
      <c r="C32" s="2280" t="s">
        <v>1779</v>
      </c>
      <c r="D32" s="2500" t="s">
        <v>1317</v>
      </c>
      <c r="E32" s="2255">
        <f>E33*E41*12/1000</f>
        <v>14814.866172362563</v>
      </c>
      <c r="F32" s="2256">
        <f>F33*F41*12/1000</f>
        <v>15692.88897051893</v>
      </c>
      <c r="G32" s="2257">
        <f t="shared" si="0"/>
        <v>15253.877571440746</v>
      </c>
      <c r="H32" s="2256">
        <f>H33*H41*12/1000</f>
        <v>15528.494390339516</v>
      </c>
      <c r="I32" s="2256">
        <f>I33*I41*12/1000</f>
        <v>15953.773318340585</v>
      </c>
      <c r="J32" s="2257">
        <f t="shared" si="1"/>
        <v>15741.133854340051</v>
      </c>
      <c r="K32" s="2256">
        <f>K33*K41*12/1000</f>
        <v>15543.209849953066</v>
      </c>
      <c r="L32" s="2256">
        <f>L33*L41*12/1000</f>
        <v>16341.73330535981</v>
      </c>
      <c r="M32" s="2259">
        <f t="shared" si="2"/>
        <v>15942.471577656437</v>
      </c>
      <c r="N32" s="2255">
        <f>'[11]НВВ 26.09.23.'!N32+'[12]НВВ 26.09.'!N32+'[13]НВВ 26.09.23.'!N32</f>
        <v>34761.27109105065</v>
      </c>
      <c r="O32" s="2260">
        <f>'[11]НВВ 26.09.23.'!O32+'[12]НВВ 26.09.'!O32+'[13]НВВ 26.09.23.'!O32</f>
        <v>89295.80797612117</v>
      </c>
      <c r="P32" s="2258">
        <f>N32/2+O32/2</f>
        <v>62028.539533585907</v>
      </c>
      <c r="Q32" s="2255">
        <f>'[11]НВВ 26.09.23.'!Q32+'[12]НВВ 26.09.'!Q32+'[13]НВВ 26.09.23.'!Q32</f>
        <v>89295.80797612117</v>
      </c>
      <c r="R32" s="2260">
        <f>'[11]НВВ 26.09.23.'!R32+'[12]НВВ 26.09.'!R32+'[13]НВВ 26.09.23.'!R32</f>
        <v>92867.640295166013</v>
      </c>
      <c r="S32" s="2259">
        <f t="shared" si="4"/>
        <v>91081.724135643599</v>
      </c>
      <c r="T32" s="2255">
        <f>'[11]НВВ 26.09.23.'!T32+'[12]НВВ 26.09.'!T32+'[13]НВВ 26.09.23.'!T32</f>
        <v>92867.640295166013</v>
      </c>
      <c r="U32" s="2260">
        <f>'[11]НВВ 26.09.23.'!U32+'[12]НВВ 26.09.'!U32+'[13]НВВ 26.09.23.'!U32</f>
        <v>96582.345906972652</v>
      </c>
      <c r="V32" s="2258">
        <f t="shared" si="5"/>
        <v>94724.993101069325</v>
      </c>
      <c r="W32" s="2255">
        <f>'[11]НВВ 26.09.23.'!W32+'[12]НВВ 26.09.'!W32+'[13]НВВ 26.09.23.'!W32</f>
        <v>96582.345906972652</v>
      </c>
      <c r="X32" s="2260">
        <f>'[11]НВВ 26.09.23.'!X32+'[12]НВВ 26.09.'!X32+'[13]НВВ 26.09.23.'!X32</f>
        <v>100445.63974325158</v>
      </c>
      <c r="Y32" s="2258">
        <f t="shared" si="6"/>
        <v>98513.992825112116</v>
      </c>
      <c r="Z32" s="2255">
        <f>'[11]НВВ 26.09.23.'!Z32+'[12]НВВ 26.09.'!Z32+'[13]НВВ 26.09.23.'!Z32</f>
        <v>100445.63974325158</v>
      </c>
      <c r="AA32" s="2260">
        <f>'[11]НВВ 26.09.23.'!AA32+'[12]НВВ 26.09.'!AA32+'[13]НВВ 26.09.23.'!AA32</f>
        <v>104463.46533298165</v>
      </c>
      <c r="AB32" s="2259">
        <f t="shared" si="7"/>
        <v>102454.55253811661</v>
      </c>
      <c r="AC32" s="2606"/>
      <c r="AD32" s="2606"/>
      <c r="AE32" s="2606"/>
      <c r="AF32" s="2593"/>
      <c r="AG32" s="2593"/>
      <c r="AH32" s="2593"/>
      <c r="AI32" s="2593"/>
      <c r="AJ32" s="2593"/>
    </row>
    <row r="33" spans="1:36" s="3038" customFormat="1" ht="38.25" hidden="1" customHeight="1" outlineLevel="2">
      <c r="A33" s="3032">
        <v>441</v>
      </c>
      <c r="B33" s="3033" t="s">
        <v>1780</v>
      </c>
      <c r="C33" s="3034" t="s">
        <v>1781</v>
      </c>
      <c r="D33" s="2543"/>
      <c r="E33" s="3031">
        <f>E34+E35+E38+E39+E40</f>
        <v>25195.350633269663</v>
      </c>
      <c r="F33" s="2885">
        <f>F34+F35+F38+F39+F40</f>
        <v>26688.586684556001</v>
      </c>
      <c r="G33" s="3035">
        <f t="shared" si="0"/>
        <v>25941.968658912832</v>
      </c>
      <c r="H33" s="2885">
        <f>H34+H35+H38+H39+H40</f>
        <v>30810.504742737132</v>
      </c>
      <c r="I33" s="2885">
        <f>I34+I35+I38+I39+I40</f>
        <v>31654.312139564652</v>
      </c>
      <c r="J33" s="3035">
        <f t="shared" si="1"/>
        <v>31232.408441150892</v>
      </c>
      <c r="K33" s="2885">
        <f>K34+K35+K38+K39+K40</f>
        <v>30122.49970921137</v>
      </c>
      <c r="L33" s="2885">
        <f>L34+L35+L38+L39+L40</f>
        <v>31670.025785581031</v>
      </c>
      <c r="M33" s="3036">
        <f t="shared" si="2"/>
        <v>30896.262747396198</v>
      </c>
      <c r="N33" s="2294"/>
      <c r="O33" s="2506"/>
      <c r="P33" s="3037">
        <f t="shared" si="3"/>
        <v>0</v>
      </c>
      <c r="Q33" s="2294">
        <f t="shared" ref="Q33:Q47" si="12">O33</f>
        <v>0</v>
      </c>
      <c r="R33" s="3039">
        <f>R34+R35+R38+R39+R40</f>
        <v>0</v>
      </c>
      <c r="S33" s="3036">
        <f t="shared" si="4"/>
        <v>0</v>
      </c>
      <c r="T33" s="2294">
        <f t="shared" ref="T33:T47" si="13">R33</f>
        <v>0</v>
      </c>
      <c r="U33" s="3039">
        <f>U34+U35+U38+U39+U40</f>
        <v>0</v>
      </c>
      <c r="V33" s="3037">
        <f t="shared" si="5"/>
        <v>0</v>
      </c>
      <c r="W33" s="2294">
        <f t="shared" ref="W33:W47" si="14">U33</f>
        <v>0</v>
      </c>
      <c r="X33" s="3039">
        <f>X34+X35+X38+X39+X40</f>
        <v>0</v>
      </c>
      <c r="Y33" s="3037">
        <f t="shared" si="6"/>
        <v>0</v>
      </c>
      <c r="Z33" s="2294">
        <f t="shared" ref="Z33:Z47" si="15">X33</f>
        <v>0</v>
      </c>
      <c r="AA33" s="3039">
        <f>AA34+AA35+AA38+AA39+AA40</f>
        <v>0</v>
      </c>
      <c r="AB33" s="3036">
        <f t="shared" si="7"/>
        <v>0</v>
      </c>
      <c r="AC33" s="2609"/>
      <c r="AD33" s="2609"/>
      <c r="AE33" s="2609"/>
      <c r="AF33" s="2593"/>
      <c r="AG33" s="2593"/>
      <c r="AH33" s="2593"/>
      <c r="AI33" s="2593"/>
      <c r="AJ33" s="2593"/>
    </row>
    <row r="34" spans="1:36" s="3038" customFormat="1" ht="21" hidden="1" customHeight="1" outlineLevel="2">
      <c r="A34" s="3032">
        <v>304</v>
      </c>
      <c r="B34" s="3033" t="s">
        <v>1782</v>
      </c>
      <c r="C34" s="3034" t="s">
        <v>1783</v>
      </c>
      <c r="D34" s="2543" t="s">
        <v>1784</v>
      </c>
      <c r="E34" s="2294"/>
      <c r="F34" s="2296"/>
      <c r="G34" s="3035">
        <f t="shared" si="0"/>
        <v>0</v>
      </c>
      <c r="H34" s="2296"/>
      <c r="I34" s="2296"/>
      <c r="J34" s="3035">
        <f t="shared" si="1"/>
        <v>0</v>
      </c>
      <c r="K34" s="2296"/>
      <c r="L34" s="2296"/>
      <c r="M34" s="3036">
        <f t="shared" si="2"/>
        <v>0</v>
      </c>
      <c r="N34" s="2294"/>
      <c r="O34" s="2506"/>
      <c r="P34" s="3037">
        <f t="shared" si="3"/>
        <v>0</v>
      </c>
      <c r="Q34" s="2294">
        <f t="shared" si="12"/>
        <v>0</v>
      </c>
      <c r="R34" s="2506"/>
      <c r="S34" s="3036">
        <f t="shared" si="4"/>
        <v>0</v>
      </c>
      <c r="T34" s="2294">
        <f t="shared" si="13"/>
        <v>0</v>
      </c>
      <c r="U34" s="2506"/>
      <c r="V34" s="3037">
        <f t="shared" si="5"/>
        <v>0</v>
      </c>
      <c r="W34" s="2294">
        <f t="shared" si="14"/>
        <v>0</v>
      </c>
      <c r="X34" s="2506"/>
      <c r="Y34" s="3037">
        <f t="shared" si="6"/>
        <v>0</v>
      </c>
      <c r="Z34" s="2294">
        <f t="shared" si="15"/>
        <v>0</v>
      </c>
      <c r="AA34" s="2506"/>
      <c r="AB34" s="3036">
        <f t="shared" si="7"/>
        <v>0</v>
      </c>
      <c r="AC34" s="2609"/>
      <c r="AD34" s="2609"/>
      <c r="AE34" s="2609"/>
      <c r="AF34" s="2593"/>
      <c r="AG34" s="2593"/>
      <c r="AH34" s="2593"/>
      <c r="AI34" s="2593"/>
      <c r="AJ34" s="2593"/>
    </row>
    <row r="35" spans="1:36" s="3038" customFormat="1" ht="38.25" hidden="1" customHeight="1" outlineLevel="2">
      <c r="A35" s="3032">
        <v>442</v>
      </c>
      <c r="B35" s="3033" t="s">
        <v>1785</v>
      </c>
      <c r="C35" s="3034" t="s">
        <v>1786</v>
      </c>
      <c r="D35" s="2543"/>
      <c r="E35" s="3031">
        <f>E36*E37</f>
        <v>9236.4903225806447</v>
      </c>
      <c r="F35" s="2885">
        <f>F36*F37</f>
        <v>9615.6</v>
      </c>
      <c r="G35" s="3035">
        <f t="shared" si="0"/>
        <v>9426.0451612903234</v>
      </c>
      <c r="H35" s="2885">
        <f>H36*H37</f>
        <v>9662.5309090909086</v>
      </c>
      <c r="I35" s="2885">
        <f>I36*I37</f>
        <v>9956.9090909090901</v>
      </c>
      <c r="J35" s="3035">
        <f t="shared" si="1"/>
        <v>9809.7199999999993</v>
      </c>
      <c r="K35" s="2885">
        <f>K36*K37</f>
        <v>9956.9090909090901</v>
      </c>
      <c r="L35" s="2885">
        <f>L36*L37</f>
        <v>10459.083636363637</v>
      </c>
      <c r="M35" s="3036">
        <f t="shared" si="2"/>
        <v>10207.996363636365</v>
      </c>
      <c r="N35" s="2294"/>
      <c r="O35" s="2506"/>
      <c r="P35" s="3037">
        <f t="shared" si="3"/>
        <v>0</v>
      </c>
      <c r="Q35" s="2294">
        <f t="shared" si="12"/>
        <v>0</v>
      </c>
      <c r="R35" s="3039">
        <f>R36*R37</f>
        <v>0</v>
      </c>
      <c r="S35" s="3036">
        <f t="shared" si="4"/>
        <v>0</v>
      </c>
      <c r="T35" s="2294">
        <f t="shared" si="13"/>
        <v>0</v>
      </c>
      <c r="U35" s="3039">
        <f>U36*U37</f>
        <v>0</v>
      </c>
      <c r="V35" s="3037">
        <f t="shared" si="5"/>
        <v>0</v>
      </c>
      <c r="W35" s="2294">
        <f t="shared" si="14"/>
        <v>0</v>
      </c>
      <c r="X35" s="3039">
        <f>X36*X37</f>
        <v>0</v>
      </c>
      <c r="Y35" s="3037">
        <f t="shared" si="6"/>
        <v>0</v>
      </c>
      <c r="Z35" s="2294">
        <f t="shared" si="15"/>
        <v>0</v>
      </c>
      <c r="AA35" s="3039">
        <f>AA36*AA37</f>
        <v>0</v>
      </c>
      <c r="AB35" s="3036">
        <f t="shared" si="7"/>
        <v>0</v>
      </c>
      <c r="AC35" s="2609"/>
      <c r="AD35" s="2609"/>
      <c r="AE35" s="2609"/>
      <c r="AF35" s="2593"/>
      <c r="AG35" s="2593"/>
      <c r="AH35" s="2593"/>
      <c r="AI35" s="2593"/>
      <c r="AJ35" s="2593"/>
    </row>
    <row r="36" spans="1:36" s="3038" customFormat="1" ht="21" hidden="1" customHeight="1" outlineLevel="2">
      <c r="A36" s="3032">
        <v>82</v>
      </c>
      <c r="B36" s="3033" t="s">
        <v>1787</v>
      </c>
      <c r="C36" s="3034" t="s">
        <v>1788</v>
      </c>
      <c r="D36" s="2543" t="s">
        <v>1784</v>
      </c>
      <c r="E36" s="2294">
        <v>5360</v>
      </c>
      <c r="F36" s="2296">
        <v>5580</v>
      </c>
      <c r="G36" s="3035">
        <f t="shared" si="0"/>
        <v>5470</v>
      </c>
      <c r="H36" s="2296">
        <v>5580</v>
      </c>
      <c r="I36" s="2296">
        <v>5750</v>
      </c>
      <c r="J36" s="3035">
        <f t="shared" si="1"/>
        <v>5665</v>
      </c>
      <c r="K36" s="2296">
        <v>5750</v>
      </c>
      <c r="L36" s="2296">
        <v>6040</v>
      </c>
      <c r="M36" s="3036">
        <f t="shared" si="2"/>
        <v>5895</v>
      </c>
      <c r="N36" s="2294"/>
      <c r="O36" s="2506"/>
      <c r="P36" s="3037">
        <f t="shared" si="3"/>
        <v>0</v>
      </c>
      <c r="Q36" s="2294">
        <f t="shared" si="12"/>
        <v>0</v>
      </c>
      <c r="R36" s="2506">
        <f>Q36*1.04</f>
        <v>0</v>
      </c>
      <c r="S36" s="3036">
        <f t="shared" si="4"/>
        <v>0</v>
      </c>
      <c r="T36" s="2294">
        <f t="shared" si="13"/>
        <v>0</v>
      </c>
      <c r="U36" s="2506">
        <f>T36*1.04</f>
        <v>0</v>
      </c>
      <c r="V36" s="3037">
        <f t="shared" si="5"/>
        <v>0</v>
      </c>
      <c r="W36" s="2294">
        <f t="shared" si="14"/>
        <v>0</v>
      </c>
      <c r="X36" s="2506">
        <f>W36*1.04</f>
        <v>0</v>
      </c>
      <c r="Y36" s="3037">
        <f t="shared" si="6"/>
        <v>0</v>
      </c>
      <c r="Z36" s="2294">
        <f t="shared" si="15"/>
        <v>0</v>
      </c>
      <c r="AA36" s="2506">
        <f>Z36*1.04</f>
        <v>0</v>
      </c>
      <c r="AB36" s="3036">
        <f t="shared" si="7"/>
        <v>0</v>
      </c>
      <c r="AC36" s="2609"/>
      <c r="AD36" s="2609"/>
      <c r="AE36" s="2609"/>
      <c r="AF36" s="2593"/>
      <c r="AG36" s="2593"/>
      <c r="AH36" s="2593"/>
      <c r="AI36" s="2593"/>
      <c r="AJ36" s="2593"/>
    </row>
    <row r="37" spans="1:36" s="3038" customFormat="1" ht="21" hidden="1" customHeight="1" outlineLevel="2">
      <c r="A37" s="3032">
        <v>85</v>
      </c>
      <c r="B37" s="3033" t="s">
        <v>1789</v>
      </c>
      <c r="C37" s="3034" t="s">
        <v>1790</v>
      </c>
      <c r="D37" s="2543"/>
      <c r="E37" s="2294">
        <v>1.7232258064516128</v>
      </c>
      <c r="F37" s="2296">
        <v>1.7232258064516128</v>
      </c>
      <c r="G37" s="3035">
        <f t="shared" si="0"/>
        <v>1.7232258064516128</v>
      </c>
      <c r="H37" s="2296">
        <v>1.7316363636363636</v>
      </c>
      <c r="I37" s="2296">
        <v>1.7316363636363636</v>
      </c>
      <c r="J37" s="3035">
        <f t="shared" si="1"/>
        <v>1.7316363636363636</v>
      </c>
      <c r="K37" s="2296">
        <v>1.7316363636363636</v>
      </c>
      <c r="L37" s="2296">
        <v>1.7316363636363636</v>
      </c>
      <c r="M37" s="3036">
        <f t="shared" si="2"/>
        <v>1.7316363636363636</v>
      </c>
      <c r="N37" s="2294"/>
      <c r="O37" s="2506"/>
      <c r="P37" s="3037">
        <f t="shared" si="3"/>
        <v>0</v>
      </c>
      <c r="Q37" s="2294">
        <f t="shared" si="12"/>
        <v>0</v>
      </c>
      <c r="R37" s="2506">
        <f>Q37</f>
        <v>0</v>
      </c>
      <c r="S37" s="3036">
        <f t="shared" si="4"/>
        <v>0</v>
      </c>
      <c r="T37" s="2294">
        <f t="shared" si="13"/>
        <v>0</v>
      </c>
      <c r="U37" s="2506">
        <f>T37</f>
        <v>0</v>
      </c>
      <c r="V37" s="3037">
        <f t="shared" si="5"/>
        <v>0</v>
      </c>
      <c r="W37" s="2294">
        <f t="shared" si="14"/>
        <v>0</v>
      </c>
      <c r="X37" s="2506">
        <f>W37</f>
        <v>0</v>
      </c>
      <c r="Y37" s="3037">
        <f t="shared" si="6"/>
        <v>0</v>
      </c>
      <c r="Z37" s="2294">
        <f t="shared" si="15"/>
        <v>0</v>
      </c>
      <c r="AA37" s="2506">
        <f>Z37</f>
        <v>0</v>
      </c>
      <c r="AB37" s="3036">
        <f t="shared" si="7"/>
        <v>0</v>
      </c>
      <c r="AC37" s="2609"/>
      <c r="AD37" s="2609"/>
      <c r="AE37" s="2609"/>
      <c r="AF37" s="2593"/>
      <c r="AG37" s="2593"/>
      <c r="AH37" s="2593"/>
      <c r="AI37" s="2593"/>
      <c r="AJ37" s="2593"/>
    </row>
    <row r="38" spans="1:36" s="2218" customFormat="1" ht="31.5" hidden="1" outlineLevel="1" collapsed="1">
      <c r="A38" s="2235">
        <v>457</v>
      </c>
      <c r="B38" s="2281" t="s">
        <v>1791</v>
      </c>
      <c r="C38" s="2282" t="s">
        <v>1792</v>
      </c>
      <c r="D38" s="2504" t="s">
        <v>1793</v>
      </c>
      <c r="E38" s="2284">
        <v>9698.3148387096717</v>
      </c>
      <c r="F38" s="2285">
        <v>10636.451808876001</v>
      </c>
      <c r="G38" s="2257">
        <f t="shared" si="0"/>
        <v>10167.383323792837</v>
      </c>
      <c r="H38" s="2285">
        <v>8524.5408250690907</v>
      </c>
      <c r="I38" s="2285">
        <v>8780.277049821163</v>
      </c>
      <c r="J38" s="2257">
        <f t="shared" si="1"/>
        <v>8652.4089374451269</v>
      </c>
      <c r="K38" s="2285">
        <v>8966.5431818181823</v>
      </c>
      <c r="L38" s="2285">
        <v>9414.8703409090922</v>
      </c>
      <c r="M38" s="2259">
        <f t="shared" si="2"/>
        <v>9190.7067613636373</v>
      </c>
      <c r="N38" s="2255"/>
      <c r="O38" s="2260"/>
      <c r="P38" s="2258">
        <f t="shared" si="3"/>
        <v>0</v>
      </c>
      <c r="Q38" s="2284">
        <f t="shared" si="12"/>
        <v>0</v>
      </c>
      <c r="R38" s="2286">
        <f>Q38*1.04</f>
        <v>0</v>
      </c>
      <c r="S38" s="2259">
        <f t="shared" si="4"/>
        <v>0</v>
      </c>
      <c r="T38" s="2284">
        <f t="shared" si="13"/>
        <v>0</v>
      </c>
      <c r="U38" s="2286">
        <f>T38*1.04</f>
        <v>0</v>
      </c>
      <c r="V38" s="2258">
        <f t="shared" si="5"/>
        <v>0</v>
      </c>
      <c r="W38" s="2284">
        <f t="shared" si="14"/>
        <v>0</v>
      </c>
      <c r="X38" s="2286">
        <f>W38*1.04</f>
        <v>0</v>
      </c>
      <c r="Y38" s="2258">
        <f t="shared" si="6"/>
        <v>0</v>
      </c>
      <c r="Z38" s="2284">
        <f t="shared" si="15"/>
        <v>0</v>
      </c>
      <c r="AA38" s="2286">
        <f>Z38*1.04</f>
        <v>0</v>
      </c>
      <c r="AB38" s="2259">
        <f t="shared" si="7"/>
        <v>0</v>
      </c>
      <c r="AC38" s="2606"/>
      <c r="AD38" s="2606"/>
      <c r="AE38" s="2606"/>
      <c r="AF38" s="2593"/>
      <c r="AG38" s="2593"/>
      <c r="AH38" s="2593"/>
      <c r="AI38" s="2593"/>
      <c r="AJ38" s="2593"/>
    </row>
    <row r="39" spans="1:36" s="2218" customFormat="1" ht="30" hidden="1" outlineLevel="1">
      <c r="A39" s="2235">
        <v>458</v>
      </c>
      <c r="B39" s="2281" t="s">
        <v>1794</v>
      </c>
      <c r="C39" s="2282" t="s">
        <v>1795</v>
      </c>
      <c r="D39" s="2504" t="s">
        <v>1784</v>
      </c>
      <c r="E39" s="2284">
        <v>6260.5454719793497</v>
      </c>
      <c r="F39" s="2285">
        <v>6436.5348756799995</v>
      </c>
      <c r="G39" s="2257">
        <f t="shared" si="0"/>
        <v>6348.540173829675</v>
      </c>
      <c r="H39" s="2285">
        <v>12623.433008577131</v>
      </c>
      <c r="I39" s="2285">
        <v>12917.125998834399</v>
      </c>
      <c r="J39" s="2257">
        <f t="shared" si="1"/>
        <v>12770.279503705766</v>
      </c>
      <c r="K39" s="2285">
        <v>11199.047436484099</v>
      </c>
      <c r="L39" s="2285">
        <v>11796.071808308301</v>
      </c>
      <c r="M39" s="2259">
        <f t="shared" si="2"/>
        <v>11497.5596223962</v>
      </c>
      <c r="N39" s="2255"/>
      <c r="O39" s="2260"/>
      <c r="P39" s="2258">
        <f t="shared" si="3"/>
        <v>0</v>
      </c>
      <c r="Q39" s="2284">
        <f t="shared" si="12"/>
        <v>0</v>
      </c>
      <c r="R39" s="2286">
        <f>Q39*1.04</f>
        <v>0</v>
      </c>
      <c r="S39" s="2259">
        <f t="shared" si="4"/>
        <v>0</v>
      </c>
      <c r="T39" s="2284">
        <f t="shared" si="13"/>
        <v>0</v>
      </c>
      <c r="U39" s="2286">
        <f>T39*1.04</f>
        <v>0</v>
      </c>
      <c r="V39" s="2258">
        <f t="shared" si="5"/>
        <v>0</v>
      </c>
      <c r="W39" s="2284">
        <f t="shared" si="14"/>
        <v>0</v>
      </c>
      <c r="X39" s="2286">
        <f>W39*1.04</f>
        <v>0</v>
      </c>
      <c r="Y39" s="2258">
        <f t="shared" si="6"/>
        <v>0</v>
      </c>
      <c r="Z39" s="2284">
        <f t="shared" si="15"/>
        <v>0</v>
      </c>
      <c r="AA39" s="2286">
        <f>Z39*1.04</f>
        <v>0</v>
      </c>
      <c r="AB39" s="2259">
        <f t="shared" si="7"/>
        <v>0</v>
      </c>
      <c r="AC39" s="2606"/>
      <c r="AD39" s="2606"/>
      <c r="AE39" s="2606"/>
      <c r="AF39" s="2593"/>
      <c r="AG39" s="2593"/>
      <c r="AH39" s="2593"/>
      <c r="AI39" s="2593"/>
      <c r="AJ39" s="2593"/>
    </row>
    <row r="40" spans="1:36" s="2218" customFormat="1" ht="30.75" hidden="1" customHeight="1" outlineLevel="2">
      <c r="A40" s="2235">
        <v>459</v>
      </c>
      <c r="B40" s="2281" t="s">
        <v>1796</v>
      </c>
      <c r="C40" s="2282" t="s">
        <v>1797</v>
      </c>
      <c r="D40" s="2504" t="s">
        <v>1784</v>
      </c>
      <c r="E40" s="2284"/>
      <c r="F40" s="2285"/>
      <c r="G40" s="2257">
        <f t="shared" si="0"/>
        <v>0</v>
      </c>
      <c r="H40" s="2285"/>
      <c r="I40" s="2285"/>
      <c r="J40" s="2257">
        <f t="shared" si="1"/>
        <v>0</v>
      </c>
      <c r="K40" s="2285">
        <v>0</v>
      </c>
      <c r="L40" s="2285">
        <v>0</v>
      </c>
      <c r="M40" s="2259">
        <f t="shared" si="2"/>
        <v>0</v>
      </c>
      <c r="N40" s="2284"/>
      <c r="O40" s="2286"/>
      <c r="P40" s="2258">
        <f t="shared" si="3"/>
        <v>0</v>
      </c>
      <c r="Q40" s="2284">
        <f t="shared" si="12"/>
        <v>0</v>
      </c>
      <c r="R40" s="2286"/>
      <c r="S40" s="2259">
        <f t="shared" si="4"/>
        <v>0</v>
      </c>
      <c r="T40" s="2284">
        <f t="shared" si="13"/>
        <v>0</v>
      </c>
      <c r="U40" s="2286"/>
      <c r="V40" s="2258">
        <f t="shared" si="5"/>
        <v>0</v>
      </c>
      <c r="W40" s="2284">
        <f t="shared" si="14"/>
        <v>0</v>
      </c>
      <c r="X40" s="2286"/>
      <c r="Y40" s="2258">
        <f t="shared" si="6"/>
        <v>0</v>
      </c>
      <c r="Z40" s="2284">
        <f t="shared" si="15"/>
        <v>0</v>
      </c>
      <c r="AA40" s="2286"/>
      <c r="AB40" s="2259">
        <f t="shared" si="7"/>
        <v>0</v>
      </c>
      <c r="AC40" s="2606"/>
      <c r="AD40" s="2606"/>
      <c r="AE40" s="2606"/>
      <c r="AF40" s="2593"/>
      <c r="AG40" s="2593"/>
      <c r="AH40" s="2593"/>
      <c r="AI40" s="2593"/>
      <c r="AJ40" s="2593"/>
    </row>
    <row r="41" spans="1:36" s="2218" customFormat="1" ht="31.5" outlineLevel="1" collapsed="1">
      <c r="A41" s="2235">
        <v>78</v>
      </c>
      <c r="B41" s="2281" t="s">
        <v>1798</v>
      </c>
      <c r="C41" s="2282" t="s">
        <v>1799</v>
      </c>
      <c r="D41" s="2504" t="s">
        <v>1800</v>
      </c>
      <c r="E41" s="2284">
        <v>49</v>
      </c>
      <c r="F41" s="2285">
        <v>49</v>
      </c>
      <c r="G41" s="2257">
        <f t="shared" si="0"/>
        <v>49</v>
      </c>
      <c r="H41" s="2285">
        <v>42</v>
      </c>
      <c r="I41" s="2285">
        <v>42</v>
      </c>
      <c r="J41" s="2257">
        <f t="shared" si="1"/>
        <v>42</v>
      </c>
      <c r="K41" s="2285">
        <v>43</v>
      </c>
      <c r="L41" s="2285">
        <v>43</v>
      </c>
      <c r="M41" s="2259">
        <f t="shared" si="2"/>
        <v>43</v>
      </c>
      <c r="N41" s="2255">
        <f>'[11]НВВ 26.09.23.'!N41+'[12]НВВ 26.09.'!N41+'[13]НВВ 26.09.23.'!N41</f>
        <v>94.16464943651529</v>
      </c>
      <c r="O41" s="2260">
        <f>'[11]НВВ 26.09.23.'!O41+'[12]НВВ 26.09.'!O41+'[13]НВВ 26.09.23.'!O41</f>
        <v>268.19222543526752</v>
      </c>
      <c r="P41" s="2258">
        <f t="shared" si="3"/>
        <v>181.1784374358914</v>
      </c>
      <c r="Q41" s="2255">
        <f>'[11]НВВ 26.09.23.'!Q41+'[12]НВВ 26.09.'!Q41+'[13]НВВ 26.09.23.'!Q41</f>
        <v>268.19222543526752</v>
      </c>
      <c r="R41" s="2260">
        <f>'[11]НВВ 26.09.23.'!R41+'[12]НВВ 26.09.'!R41+'[13]НВВ 26.09.23.'!R41</f>
        <v>268.19222543526752</v>
      </c>
      <c r="S41" s="2259">
        <f t="shared" si="4"/>
        <v>268.19222543526752</v>
      </c>
      <c r="T41" s="2255">
        <f>'[11]НВВ 26.09.23.'!T41+'[12]НВВ 26.09.'!T41+'[13]НВВ 26.09.23.'!T41</f>
        <v>268.19222543526752</v>
      </c>
      <c r="U41" s="2260">
        <f>'[11]НВВ 26.09.23.'!U41+'[12]НВВ 26.09.'!U41+'[13]НВВ 26.09.23.'!U41</f>
        <v>268.19222543526752</v>
      </c>
      <c r="V41" s="2258">
        <f t="shared" si="5"/>
        <v>268.19222543526752</v>
      </c>
      <c r="W41" s="2255">
        <f>'[11]НВВ 26.09.23.'!W41+'[12]НВВ 26.09.'!W41+'[13]НВВ 26.09.23.'!W41</f>
        <v>268.19222543526752</v>
      </c>
      <c r="X41" s="2260">
        <f>'[11]НВВ 26.09.23.'!X41+'[12]НВВ 26.09.'!X41+'[13]НВВ 26.09.23.'!X41</f>
        <v>268.19222543526752</v>
      </c>
      <c r="Y41" s="2258">
        <f t="shared" si="6"/>
        <v>268.19222543526752</v>
      </c>
      <c r="Z41" s="2255">
        <f>'[11]НВВ 26.09.23.'!Z41+'[12]НВВ 26.09.'!Z41+'[13]НВВ 26.09.23.'!Z41</f>
        <v>268.19222543526752</v>
      </c>
      <c r="AA41" s="2260">
        <f>'[11]НВВ 26.09.23.'!AA41+'[12]НВВ 26.09.'!AA41+'[13]НВВ 26.09.23.'!AA41</f>
        <v>268.19222543526752</v>
      </c>
      <c r="AB41" s="2259">
        <f t="shared" si="7"/>
        <v>268.19222543526752</v>
      </c>
      <c r="AC41" s="2606"/>
      <c r="AD41" s="2606"/>
      <c r="AE41" s="2606"/>
      <c r="AF41" s="2593"/>
      <c r="AG41" s="2593"/>
      <c r="AH41" s="2593"/>
      <c r="AI41" s="2593"/>
      <c r="AJ41" s="2593"/>
    </row>
    <row r="42" spans="1:36" s="2218" customFormat="1" ht="47.25" outlineLevel="1">
      <c r="A42" s="2235">
        <v>88</v>
      </c>
      <c r="B42" s="2287" t="s">
        <v>1802</v>
      </c>
      <c r="C42" s="2288" t="s">
        <v>1803</v>
      </c>
      <c r="D42" s="2505" t="s">
        <v>1317</v>
      </c>
      <c r="E42" s="2290">
        <v>4571.2697044334982</v>
      </c>
      <c r="F42" s="2291">
        <v>4708.4077955665034</v>
      </c>
      <c r="G42" s="2257">
        <f t="shared" si="0"/>
        <v>4639.8387500000008</v>
      </c>
      <c r="H42" s="2291">
        <v>4603.3522888015714</v>
      </c>
      <c r="I42" s="2291">
        <v>4769.0729711984277</v>
      </c>
      <c r="J42" s="2257">
        <f t="shared" si="1"/>
        <v>4686.21263</v>
      </c>
      <c r="K42" s="2291">
        <v>4445.6281350954478</v>
      </c>
      <c r="L42" s="2291">
        <v>4636.7901449045521</v>
      </c>
      <c r="M42" s="2259">
        <f t="shared" si="2"/>
        <v>4541.2091399999999</v>
      </c>
      <c r="N42" s="2255">
        <f>'[11]НВВ 26.09.23.'!N42+'[12]НВВ 26.09.'!N42+'[13]НВВ 26.09.23.'!N42</f>
        <v>10497.903906213258</v>
      </c>
      <c r="O42" s="2260">
        <f>'[11]НВВ 26.09.23.'!O42+'[12]НВВ 26.09.'!O42+'[13]НВВ 26.09.23.'!O42</f>
        <v>26967.335807607109</v>
      </c>
      <c r="P42" s="2258">
        <f t="shared" si="3"/>
        <v>18732.619856910183</v>
      </c>
      <c r="Q42" s="2255">
        <f>'[11]НВВ 26.09.23.'!Q42+'[12]НВВ 26.09.'!Q42+'[13]НВВ 26.09.23.'!Q42</f>
        <v>26967.335798581335</v>
      </c>
      <c r="R42" s="2260">
        <f>'[11]НВВ 26.09.23.'!R42+'[12]НВВ 26.09.'!R42+'[13]НВВ 26.09.23.'!R42</f>
        <v>28046.029230524589</v>
      </c>
      <c r="S42" s="2259">
        <f t="shared" si="4"/>
        <v>27506.682514552962</v>
      </c>
      <c r="T42" s="2255">
        <f>'[11]НВВ 26.09.23.'!T42+'[12]НВВ 26.09.'!T42+'[13]НВВ 26.09.23.'!T42</f>
        <v>28046.029230524589</v>
      </c>
      <c r="U42" s="2260">
        <f>'[11]НВВ 26.09.23.'!U42+'[12]НВВ 26.09.'!U42+'[13]НВВ 26.09.23.'!U42</f>
        <v>29167.870399745574</v>
      </c>
      <c r="V42" s="2258">
        <f t="shared" si="5"/>
        <v>28606.949815135082</v>
      </c>
      <c r="W42" s="2255">
        <f>'[11]НВВ 26.09.23.'!W42+'[12]НВВ 26.09.'!W42+'[13]НВВ 26.09.23.'!W42</f>
        <v>29167.870399745574</v>
      </c>
      <c r="X42" s="2260">
        <f>'[11]НВВ 26.09.23.'!X42+'[12]НВВ 26.09.'!X42+'[13]НВВ 26.09.23.'!X42</f>
        <v>30334.585215735395</v>
      </c>
      <c r="Y42" s="2258">
        <f t="shared" si="6"/>
        <v>29751.227807740484</v>
      </c>
      <c r="Z42" s="2255">
        <f>'[11]НВВ 26.09.23.'!Z42+'[12]НВВ 26.09.'!Z42+'[13]НВВ 26.09.23.'!Z42</f>
        <v>30334.585215735395</v>
      </c>
      <c r="AA42" s="2260">
        <f>'[11]НВВ 26.09.23.'!AA42+'[12]НВВ 26.09.'!AA42+'[13]НВВ 26.09.23.'!AA42</f>
        <v>31547.968624364814</v>
      </c>
      <c r="AB42" s="2259">
        <f t="shared" si="7"/>
        <v>30941.276920050106</v>
      </c>
      <c r="AC42" s="2606"/>
      <c r="AD42" s="2606"/>
      <c r="AE42" s="2606"/>
      <c r="AF42" s="2593"/>
      <c r="AG42" s="2593"/>
      <c r="AH42" s="2593"/>
      <c r="AI42" s="2593"/>
      <c r="AJ42" s="2593"/>
    </row>
    <row r="43" spans="1:36" s="2218" customFormat="1" ht="33.75" hidden="1" customHeight="1" outlineLevel="2">
      <c r="A43" s="2235">
        <v>287</v>
      </c>
      <c r="B43" s="2281" t="s">
        <v>1805</v>
      </c>
      <c r="C43" s="2282" t="s">
        <v>1806</v>
      </c>
      <c r="D43" s="2504" t="s">
        <v>1313</v>
      </c>
      <c r="E43" s="2284"/>
      <c r="F43" s="2285"/>
      <c r="G43" s="2257">
        <f t="shared" si="0"/>
        <v>0</v>
      </c>
      <c r="H43" s="2285"/>
      <c r="I43" s="2285"/>
      <c r="J43" s="2257">
        <f t="shared" si="1"/>
        <v>0</v>
      </c>
      <c r="K43" s="2285"/>
      <c r="L43" s="2285"/>
      <c r="M43" s="2259">
        <f t="shared" si="2"/>
        <v>0</v>
      </c>
      <c r="N43" s="2255">
        <f>'2024 Калуга+область транспортир'!Z42+'2024 Калуга+область перекачка'!Z42+'2024 Калуга+область очистка'!Z42</f>
        <v>0</v>
      </c>
      <c r="O43" s="2260">
        <f>'2024 Калуга+область транспортир'!AA42+'2024 Калуга+область перекачка'!AA42+'2024 Калуга+область очистка'!AA42</f>
        <v>0</v>
      </c>
      <c r="P43" s="2258">
        <f t="shared" si="3"/>
        <v>0</v>
      </c>
      <c r="Q43" s="2284">
        <f t="shared" si="12"/>
        <v>0</v>
      </c>
      <c r="R43" s="2286"/>
      <c r="S43" s="2259">
        <f t="shared" si="4"/>
        <v>0</v>
      </c>
      <c r="T43" s="2284">
        <f t="shared" si="13"/>
        <v>0</v>
      </c>
      <c r="U43" s="2286"/>
      <c r="V43" s="2258">
        <f t="shared" si="5"/>
        <v>0</v>
      </c>
      <c r="W43" s="2284">
        <f t="shared" si="14"/>
        <v>0</v>
      </c>
      <c r="X43" s="2286"/>
      <c r="Y43" s="2258">
        <f t="shared" si="6"/>
        <v>0</v>
      </c>
      <c r="Z43" s="2284">
        <f t="shared" si="15"/>
        <v>0</v>
      </c>
      <c r="AA43" s="2286"/>
      <c r="AB43" s="2259">
        <f t="shared" si="7"/>
        <v>0</v>
      </c>
      <c r="AC43" s="2606"/>
      <c r="AD43" s="2606"/>
      <c r="AE43" s="2606"/>
      <c r="AF43" s="2593"/>
      <c r="AG43" s="2593"/>
      <c r="AH43" s="2593"/>
      <c r="AI43" s="2593"/>
      <c r="AJ43" s="2593"/>
    </row>
    <row r="44" spans="1:36" s="2218" customFormat="1" ht="18" customHeight="1" outlineLevel="1" collapsed="1">
      <c r="A44" s="2235">
        <v>8</v>
      </c>
      <c r="B44" s="2279" t="s">
        <v>1807</v>
      </c>
      <c r="C44" s="2295" t="s">
        <v>1808</v>
      </c>
      <c r="D44" s="2500" t="s">
        <v>1313</v>
      </c>
      <c r="E44" s="2255">
        <f>E45+E46</f>
        <v>9687.284053877238</v>
      </c>
      <c r="F44" s="2256">
        <f>F45+F46</f>
        <v>9977.9025754935556</v>
      </c>
      <c r="G44" s="2257">
        <f t="shared" si="0"/>
        <v>9832.5933146853968</v>
      </c>
      <c r="H44" s="2256">
        <f>H45+H46</f>
        <v>7841.1335550273807</v>
      </c>
      <c r="I44" s="2256">
        <f>I45+I46</f>
        <v>8123.4143630083672</v>
      </c>
      <c r="J44" s="2257">
        <f t="shared" si="1"/>
        <v>7982.2739590178735</v>
      </c>
      <c r="K44" s="2256">
        <f>K45+K46</f>
        <v>4321.2815566189902</v>
      </c>
      <c r="L44" s="2256">
        <f>L45+L46</f>
        <v>4507.096663553606</v>
      </c>
      <c r="M44" s="2259">
        <f t="shared" si="2"/>
        <v>4414.1891100862977</v>
      </c>
      <c r="N44" s="2255">
        <f>N45+N46</f>
        <v>7665.9873420562517</v>
      </c>
      <c r="O44" s="2260">
        <f>O45+O46</f>
        <v>16878.89627324482</v>
      </c>
      <c r="P44" s="2258">
        <f t="shared" si="3"/>
        <v>12272.441807650535</v>
      </c>
      <c r="Q44" s="2255">
        <f t="shared" si="12"/>
        <v>16878.89627324482</v>
      </c>
      <c r="R44" s="2260">
        <f>R45+R46</f>
        <v>17554.05212417461</v>
      </c>
      <c r="S44" s="2259">
        <f t="shared" si="4"/>
        <v>17216.474198709715</v>
      </c>
      <c r="T44" s="2255">
        <f t="shared" si="13"/>
        <v>17554.05212417461</v>
      </c>
      <c r="U44" s="2260">
        <f>U45+U46</f>
        <v>18256.214209141603</v>
      </c>
      <c r="V44" s="2258">
        <f t="shared" si="5"/>
        <v>17905.133166658106</v>
      </c>
      <c r="W44" s="2255">
        <f t="shared" si="14"/>
        <v>18256.214209141603</v>
      </c>
      <c r="X44" s="2260">
        <f>X45+X46</f>
        <v>18986.462777507266</v>
      </c>
      <c r="Y44" s="2258">
        <f t="shared" si="6"/>
        <v>18621.338493324434</v>
      </c>
      <c r="Z44" s="2255">
        <f t="shared" si="15"/>
        <v>18986.462777507266</v>
      </c>
      <c r="AA44" s="2260">
        <f>AA45+AA46</f>
        <v>19745.921288607555</v>
      </c>
      <c r="AB44" s="2259">
        <f t="shared" si="7"/>
        <v>19366.19203305741</v>
      </c>
      <c r="AC44" s="2606"/>
      <c r="AD44" s="2606"/>
      <c r="AE44" s="2606"/>
      <c r="AF44" s="2593"/>
      <c r="AG44" s="2593"/>
      <c r="AH44" s="2593"/>
      <c r="AI44" s="2593"/>
      <c r="AJ44" s="2593"/>
    </row>
    <row r="45" spans="1:36" s="2218" customFormat="1" ht="20.25" customHeight="1" outlineLevel="1">
      <c r="A45" s="2235">
        <v>99</v>
      </c>
      <c r="B45" s="2281" t="s">
        <v>1809</v>
      </c>
      <c r="C45" s="2282" t="s">
        <v>1810</v>
      </c>
      <c r="D45" s="2504" t="s">
        <v>1317</v>
      </c>
      <c r="E45" s="2284">
        <v>1575.49397527733</v>
      </c>
      <c r="F45" s="2285">
        <v>1622.7587945356499</v>
      </c>
      <c r="G45" s="2257">
        <f t="shared" si="0"/>
        <v>1599.1263849064899</v>
      </c>
      <c r="H45" s="2285">
        <v>1981.7327622300247</v>
      </c>
      <c r="I45" s="2285">
        <v>2053.0751416703056</v>
      </c>
      <c r="J45" s="2257">
        <f t="shared" si="1"/>
        <v>2017.4039519501653</v>
      </c>
      <c r="K45" s="2285">
        <v>1705.9445936732013</v>
      </c>
      <c r="L45" s="2285">
        <v>1779.3002112011488</v>
      </c>
      <c r="M45" s="2259">
        <f t="shared" si="2"/>
        <v>1742.622402437175</v>
      </c>
      <c r="N45" s="2255">
        <f>'[11]НВВ 26.09.23.'!N45+'[12]НВВ 26.09.'!N45+'[13]НВВ 26.09.23.'!N45</f>
        <v>1876.4905779976832</v>
      </c>
      <c r="O45" s="2260">
        <f>'[11]НВВ 26.09.23.'!O45+'[12]НВВ 26.09.'!O45+'[13]НВВ 26.09.23.'!O45</f>
        <v>6199.4605816915691</v>
      </c>
      <c r="P45" s="2258">
        <f t="shared" si="3"/>
        <v>4037.9755798446263</v>
      </c>
      <c r="Q45" s="2255">
        <f>'[11]НВВ 26.09.23.'!Q45+'[12]НВВ 26.09.'!Q45+'[13]НВВ 26.09.23.'!Q45</f>
        <v>6199.4605816915691</v>
      </c>
      <c r="R45" s="2260">
        <f>'[11]НВВ 26.09.23.'!R45+'[12]НВВ 26.09.'!R45+'[13]НВВ 26.09.23.'!R45</f>
        <v>6447.4390049592312</v>
      </c>
      <c r="S45" s="2259">
        <f t="shared" si="4"/>
        <v>6323.4497933254006</v>
      </c>
      <c r="T45" s="2255">
        <f>'[11]НВВ 26.09.23.'!T45+'[12]НВВ 26.09.'!T45+'[13]НВВ 26.09.23.'!T45</f>
        <v>6447.4390049592312</v>
      </c>
      <c r="U45" s="2260">
        <f>'[11]НВВ 26.09.23.'!U45+'[12]НВВ 26.09.'!U45+'[13]НВВ 26.09.23.'!U45</f>
        <v>6705.3365651576023</v>
      </c>
      <c r="V45" s="2258">
        <f t="shared" si="5"/>
        <v>6576.3877850584167</v>
      </c>
      <c r="W45" s="2255">
        <f>'[11]НВВ 26.09.23.'!W45+'[12]НВВ 26.09.'!W45+'[13]НВВ 26.09.23.'!W45</f>
        <v>6705.3365651576023</v>
      </c>
      <c r="X45" s="2260">
        <f>'[11]НВВ 26.09.23.'!X45+'[12]НВВ 26.09.'!X45+'[13]НВВ 26.09.23.'!X45</f>
        <v>6973.5500277639057</v>
      </c>
      <c r="Y45" s="2258">
        <f t="shared" si="6"/>
        <v>6839.443296460754</v>
      </c>
      <c r="Z45" s="2255">
        <f>'[11]НВВ 26.09.23.'!Z45+'[12]НВВ 26.09.'!Z45+'[13]НВВ 26.09.23.'!Z45</f>
        <v>6973.5500277639057</v>
      </c>
      <c r="AA45" s="2260">
        <f>'[11]НВВ 26.09.23.'!AA45+'[12]НВВ 26.09.'!AA45+'[13]НВВ 26.09.23.'!AA45</f>
        <v>7252.4920288744624</v>
      </c>
      <c r="AB45" s="2259">
        <f t="shared" si="7"/>
        <v>7113.0210283191846</v>
      </c>
      <c r="AC45" s="2606"/>
      <c r="AD45" s="2606"/>
      <c r="AE45" s="2606"/>
      <c r="AF45" s="2593"/>
      <c r="AG45" s="2593"/>
      <c r="AH45" s="2593"/>
      <c r="AI45" s="2593"/>
      <c r="AJ45" s="2593"/>
    </row>
    <row r="46" spans="1:36" s="2218" customFormat="1" ht="21.75" customHeight="1" outlineLevel="1">
      <c r="A46" s="2235">
        <v>9</v>
      </c>
      <c r="B46" s="2281" t="s">
        <v>1812</v>
      </c>
      <c r="C46" s="2282" t="s">
        <v>1813</v>
      </c>
      <c r="D46" s="2504" t="s">
        <v>1313</v>
      </c>
      <c r="E46" s="2284">
        <v>8111.7900785999082</v>
      </c>
      <c r="F46" s="2285">
        <v>8355.1437809579056</v>
      </c>
      <c r="G46" s="2257">
        <f t="shared" si="0"/>
        <v>8233.4669297789078</v>
      </c>
      <c r="H46" s="2285">
        <v>5859.4007927973562</v>
      </c>
      <c r="I46" s="2285">
        <v>6070.3392213380612</v>
      </c>
      <c r="J46" s="2257">
        <f t="shared" si="1"/>
        <v>5964.8700070677087</v>
      </c>
      <c r="K46" s="2285">
        <v>2615.3369629457889</v>
      </c>
      <c r="L46" s="2285">
        <v>2727.7964523524574</v>
      </c>
      <c r="M46" s="2259">
        <f t="shared" si="2"/>
        <v>2671.5667076491231</v>
      </c>
      <c r="N46" s="2255">
        <f>'[11]НВВ 26.09.23.'!N46+'[12]НВВ 26.09.'!N46+'[13]НВВ 26.09.23.'!N46</f>
        <v>5789.4967640585683</v>
      </c>
      <c r="O46" s="2260">
        <f>'[11]НВВ 26.09.23.'!O46+'[12]НВВ 26.09.'!O46+'[13]НВВ 26.09.23.'!O46</f>
        <v>10679.435691553252</v>
      </c>
      <c r="P46" s="2258">
        <f t="shared" si="3"/>
        <v>8234.4662278059095</v>
      </c>
      <c r="Q46" s="2255">
        <f>'[11]НВВ 26.09.23.'!Q46+'[12]НВВ 26.09.'!Q46+'[13]НВВ 26.09.23.'!Q46</f>
        <v>10679.435691553252</v>
      </c>
      <c r="R46" s="2260">
        <f>'[11]НВВ 26.09.23.'!R46+'[12]НВВ 26.09.'!R46+'[13]НВВ 26.09.23.'!R46</f>
        <v>11106.613119215381</v>
      </c>
      <c r="S46" s="2259">
        <f t="shared" si="4"/>
        <v>10893.024405384316</v>
      </c>
      <c r="T46" s="2255">
        <f>'[11]НВВ 26.09.23.'!T46+'[12]НВВ 26.09.'!T46+'[13]НВВ 26.09.23.'!T46</f>
        <v>11106.613119215381</v>
      </c>
      <c r="U46" s="2260">
        <f>'[11]НВВ 26.09.23.'!U46+'[12]НВВ 26.09.'!U46+'[13]НВВ 26.09.23.'!U46</f>
        <v>11550.877643983998</v>
      </c>
      <c r="V46" s="2258">
        <f t="shared" si="5"/>
        <v>11328.745381599689</v>
      </c>
      <c r="W46" s="2255">
        <f>'[11]НВВ 26.09.23.'!W46+'[12]НВВ 26.09.'!W46+'[13]НВВ 26.09.23.'!W46</f>
        <v>11550.877643983998</v>
      </c>
      <c r="X46" s="2260">
        <f>'[11]НВВ 26.09.23.'!X46+'[12]НВВ 26.09.'!X46+'[13]НВВ 26.09.23.'!X46</f>
        <v>12012.912749743358</v>
      </c>
      <c r="Y46" s="2258">
        <f t="shared" si="6"/>
        <v>11781.895196863679</v>
      </c>
      <c r="Z46" s="2255">
        <f>'[11]НВВ 26.09.23.'!Z46+'[12]НВВ 26.09.'!Z46+'[13]НВВ 26.09.23.'!Z46</f>
        <v>12012.912749743358</v>
      </c>
      <c r="AA46" s="2260">
        <f>'[11]НВВ 26.09.23.'!AA46+'[12]НВВ 26.09.'!AA46+'[13]НВВ 26.09.23.'!AA46</f>
        <v>12493.429259733093</v>
      </c>
      <c r="AB46" s="2259">
        <f t="shared" si="7"/>
        <v>12253.171004738226</v>
      </c>
      <c r="AC46" s="2606"/>
      <c r="AD46" s="2606"/>
      <c r="AE46" s="2606"/>
      <c r="AF46" s="2593"/>
      <c r="AG46" s="2593"/>
      <c r="AH46" s="2593"/>
      <c r="AI46" s="2593"/>
      <c r="AJ46" s="2593"/>
    </row>
    <row r="47" spans="1:36" s="2218" customFormat="1" ht="21" customHeight="1" outlineLevel="1">
      <c r="A47" s="2235">
        <v>91</v>
      </c>
      <c r="B47" s="2279" t="s">
        <v>1815</v>
      </c>
      <c r="C47" s="2295" t="s">
        <v>1816</v>
      </c>
      <c r="D47" s="2500" t="s">
        <v>1317</v>
      </c>
      <c r="E47" s="2255">
        <f>E48+E49+E50+E51+E52+E53</f>
        <v>9262.3307397597273</v>
      </c>
      <c r="F47" s="2256">
        <f>F48+F49+F50+F51+F52+F53</f>
        <v>9540.2006619525182</v>
      </c>
      <c r="G47" s="2257">
        <f t="shared" si="0"/>
        <v>9401.2657008561218</v>
      </c>
      <c r="H47" s="2256">
        <f>H48+H49+H50+H51+H52+H53</f>
        <v>10002.873873325101</v>
      </c>
      <c r="I47" s="2256">
        <f>I48+I49+I50+I51+I52+I53</f>
        <v>10362.977332764805</v>
      </c>
      <c r="J47" s="2257">
        <f t="shared" si="1"/>
        <v>10182.925603044954</v>
      </c>
      <c r="K47" s="2256">
        <f>K48+K49+K50+K51+K52+K53</f>
        <v>11200.792351511636</v>
      </c>
      <c r="L47" s="2256">
        <f>L48+L49+L50+L51+L52+L53</f>
        <v>11682.426422626633</v>
      </c>
      <c r="M47" s="2259">
        <f t="shared" si="2"/>
        <v>11441.609387069135</v>
      </c>
      <c r="N47" s="2255">
        <f>N48+N49+N50+N51+N52+N53</f>
        <v>8878.7235091238399</v>
      </c>
      <c r="O47" s="2260">
        <f>O48+O49+O50+O51+O52+O53</f>
        <v>20643.295156712542</v>
      </c>
      <c r="P47" s="2258">
        <f t="shared" si="3"/>
        <v>14761.009332918191</v>
      </c>
      <c r="Q47" s="2255">
        <f t="shared" si="12"/>
        <v>20643.295156712542</v>
      </c>
      <c r="R47" s="2260">
        <f>R48+R49+R50+R51+R52+R53</f>
        <v>21469.026962981046</v>
      </c>
      <c r="S47" s="2259">
        <f t="shared" si="4"/>
        <v>21056.161059846796</v>
      </c>
      <c r="T47" s="2255">
        <f t="shared" si="13"/>
        <v>21469.026962981046</v>
      </c>
      <c r="U47" s="2260">
        <f>U48+U49+U50+U51+U52+U53</f>
        <v>22327.788041500291</v>
      </c>
      <c r="V47" s="2258">
        <f t="shared" si="5"/>
        <v>21898.407502240669</v>
      </c>
      <c r="W47" s="2255">
        <f t="shared" si="14"/>
        <v>22327.788041500291</v>
      </c>
      <c r="X47" s="2260">
        <f>X48+X49+X50+X51+X52+X53</f>
        <v>23220.899563160299</v>
      </c>
      <c r="Y47" s="2258">
        <f t="shared" si="6"/>
        <v>22774.343802330295</v>
      </c>
      <c r="Z47" s="2255">
        <f t="shared" si="15"/>
        <v>23220.899563160299</v>
      </c>
      <c r="AA47" s="2260">
        <f>AA48+AA49+AA50+AA51+AA52+AA53</f>
        <v>24149.735545686712</v>
      </c>
      <c r="AB47" s="2259">
        <f t="shared" si="7"/>
        <v>23685.317554423505</v>
      </c>
      <c r="AC47" s="2606"/>
      <c r="AD47" s="2606"/>
      <c r="AE47" s="2606"/>
      <c r="AF47" s="2593"/>
      <c r="AG47" s="2593"/>
      <c r="AH47" s="2593"/>
      <c r="AI47" s="2593"/>
      <c r="AJ47" s="2593"/>
    </row>
    <row r="48" spans="1:36" s="2218" customFormat="1" ht="20.25" customHeight="1" outlineLevel="1">
      <c r="A48" s="2235">
        <v>92</v>
      </c>
      <c r="B48" s="2281" t="s">
        <v>1817</v>
      </c>
      <c r="C48" s="2282" t="s">
        <v>1818</v>
      </c>
      <c r="D48" s="2504" t="s">
        <v>1317</v>
      </c>
      <c r="E48" s="2284">
        <v>6070.7385221674895</v>
      </c>
      <c r="F48" s="2285">
        <v>6252.8606778325147</v>
      </c>
      <c r="G48" s="2257">
        <f t="shared" si="0"/>
        <v>6161.7996000000021</v>
      </c>
      <c r="H48" s="2285">
        <v>5476.9530451866403</v>
      </c>
      <c r="I48" s="2285">
        <v>5674.1233548133596</v>
      </c>
      <c r="J48" s="2257">
        <f t="shared" si="1"/>
        <v>5575.5382</v>
      </c>
      <c r="K48" s="2285">
        <v>6486.2677728830149</v>
      </c>
      <c r="L48" s="2285">
        <v>6765.1772871169842</v>
      </c>
      <c r="M48" s="2259">
        <f t="shared" si="2"/>
        <v>6625.7225299999991</v>
      </c>
      <c r="N48" s="2255">
        <f>'[11]НВВ 26.09.23.'!N48+'[12]НВВ 26.09.'!N48+'[13]НВВ 26.09.23.'!N48</f>
        <v>5439.5366921211307</v>
      </c>
      <c r="O48" s="2260">
        <f>'[11]НВВ 26.09.23.'!O48+'[12]НВВ 26.09.'!O48+'[13]НВВ 26.09.23.'!O48</f>
        <v>10041.416083044809</v>
      </c>
      <c r="P48" s="2258">
        <f t="shared" si="3"/>
        <v>7740.4763875829703</v>
      </c>
      <c r="Q48" s="2255">
        <f>'[11]НВВ 26.09.23.'!Q48+'[12]НВВ 26.09.'!Q48+'[13]НВВ 26.09.23.'!Q48</f>
        <v>10041.416083044809</v>
      </c>
      <c r="R48" s="2260">
        <f>'[11]НВВ 26.09.23.'!R48+'[12]НВВ 26.09.'!R48+'[13]НВВ 26.09.23.'!R48</f>
        <v>10443.072726366603</v>
      </c>
      <c r="S48" s="2259">
        <f t="shared" si="4"/>
        <v>10242.244404705707</v>
      </c>
      <c r="T48" s="2255">
        <f>'[11]НВВ 26.09.23.'!T48+'[12]НВВ 26.09.'!T48+'[13]НВВ 26.09.23.'!T48</f>
        <v>10443.072726366603</v>
      </c>
      <c r="U48" s="2260">
        <f>'[11]НВВ 26.09.23.'!U48+'[12]НВВ 26.09.'!U48+'[13]НВВ 26.09.23.'!U48</f>
        <v>10860.795635421267</v>
      </c>
      <c r="V48" s="2258">
        <f t="shared" si="5"/>
        <v>10651.934180893935</v>
      </c>
      <c r="W48" s="2255">
        <f>'[11]НВВ 26.09.23.'!W48+'[12]НВВ 26.09.'!W48+'[13]НВВ 26.09.23.'!W48</f>
        <v>10860.795635421267</v>
      </c>
      <c r="X48" s="2260">
        <f>'[11]НВВ 26.09.23.'!X48+'[12]НВВ 26.09.'!X48+'[13]НВВ 26.09.23.'!X48</f>
        <v>11295.227460838119</v>
      </c>
      <c r="Y48" s="2258">
        <f t="shared" si="6"/>
        <v>11078.011548129693</v>
      </c>
      <c r="Z48" s="2255">
        <f>'[11]НВВ 26.09.23.'!Z48+'[12]НВВ 26.09.'!Z48+'[13]НВВ 26.09.23.'!Z48</f>
        <v>11295.227460838119</v>
      </c>
      <c r="AA48" s="2260">
        <f>'[11]НВВ 26.09.23.'!AA48+'[12]НВВ 26.09.'!AA48+'[13]НВВ 26.09.23.'!AA48</f>
        <v>11747.036559271644</v>
      </c>
      <c r="AB48" s="2259">
        <f t="shared" si="7"/>
        <v>11521.132010054882</v>
      </c>
      <c r="AC48" s="2606"/>
      <c r="AD48" s="2606"/>
      <c r="AE48" s="2606"/>
      <c r="AF48" s="2593"/>
      <c r="AG48" s="2593"/>
      <c r="AH48" s="2593"/>
      <c r="AI48" s="2593"/>
      <c r="AJ48" s="2593"/>
    </row>
    <row r="49" spans="1:36" s="2218" customFormat="1" ht="38.25" hidden="1" customHeight="1" outlineLevel="2">
      <c r="A49" s="2235">
        <v>95</v>
      </c>
      <c r="B49" s="2281" t="s">
        <v>1820</v>
      </c>
      <c r="C49" s="2282" t="s">
        <v>1821</v>
      </c>
      <c r="D49" s="2504" t="s">
        <v>1317</v>
      </c>
      <c r="E49" s="2284"/>
      <c r="F49" s="2285"/>
      <c r="G49" s="2257">
        <f t="shared" si="0"/>
        <v>0</v>
      </c>
      <c r="H49" s="2285"/>
      <c r="I49" s="2285"/>
      <c r="J49" s="2257">
        <f t="shared" si="1"/>
        <v>0</v>
      </c>
      <c r="K49" s="2285"/>
      <c r="L49" s="2285"/>
      <c r="M49" s="2259">
        <f t="shared" si="2"/>
        <v>0</v>
      </c>
      <c r="N49" s="2255">
        <f>'2024 Калуга+область транспортир'!Z48+'2024 Калуга+область перекачка'!Z48+'2024 Калуга+область очистка'!Z48</f>
        <v>0</v>
      </c>
      <c r="O49" s="2260">
        <f>'2024 Калуга+область транспортир'!AA48+'2024 Калуга+область перекачка'!AA48+'2024 Калуга+область очистка'!AA48</f>
        <v>0</v>
      </c>
      <c r="P49" s="2258">
        <f t="shared" si="3"/>
        <v>0</v>
      </c>
      <c r="Q49" s="2255">
        <f>'2024 Калуга+область транспортир'!AC48+'2024 Калуга+область перекачка'!AC48+'2024 Калуга+область очистка'!AC48</f>
        <v>0</v>
      </c>
      <c r="R49" s="2260">
        <f>'2024 Калуга+область транспортир'!AD48+'2024 Калуга+область перекачка'!AD48+'2024 Калуга+область очистка'!AD48</f>
        <v>0</v>
      </c>
      <c r="S49" s="2259">
        <f t="shared" si="4"/>
        <v>0</v>
      </c>
      <c r="T49" s="2255">
        <f>'2024 Калуга+область транспортир'!AF48+'2024 Калуга+область перекачка'!AF48+'2024 Калуга+область очистка'!AF48</f>
        <v>0</v>
      </c>
      <c r="U49" s="2260">
        <f>'2024 Калуга+область транспортир'!AG48+'2024 Калуга+область перекачка'!AG48+'2024 Калуга+область очистка'!AG48</f>
        <v>0</v>
      </c>
      <c r="V49" s="2258">
        <f t="shared" si="5"/>
        <v>0</v>
      </c>
      <c r="W49" s="2255">
        <f>'2024 Калуга+область транспортир'!AI48+'2024 Калуга+область перекачка'!AI48+'2024 Калуга+область очистка'!AI48</f>
        <v>0</v>
      </c>
      <c r="X49" s="2260">
        <f>'2024 Калуга+область транспортир'!AJ48+'2024 Калуга+область перекачка'!AJ48+'2024 Калуга+область очистка'!AJ48</f>
        <v>0</v>
      </c>
      <c r="Y49" s="2258">
        <f t="shared" si="6"/>
        <v>0</v>
      </c>
      <c r="Z49" s="2255">
        <f>'2024 Калуга+область транспортир'!AL48+'2024 Калуга+область перекачка'!AL48+'2024 Калуга+область очистка'!AL48</f>
        <v>0</v>
      </c>
      <c r="AA49" s="2260">
        <f>'2024 Калуга+область транспортир'!AM48+'2024 Калуга+область перекачка'!AM48+'2024 Калуга+область очистка'!AM48</f>
        <v>0</v>
      </c>
      <c r="AB49" s="2259">
        <f t="shared" si="7"/>
        <v>0</v>
      </c>
      <c r="AC49" s="2606"/>
      <c r="AD49" s="2606"/>
      <c r="AE49" s="2606"/>
      <c r="AF49" s="2593"/>
      <c r="AG49" s="2593"/>
      <c r="AH49" s="2593"/>
      <c r="AI49" s="2593"/>
      <c r="AJ49" s="2593"/>
    </row>
    <row r="50" spans="1:36" s="2218" customFormat="1" ht="47.25" outlineLevel="1" collapsed="1">
      <c r="A50" s="2235">
        <v>266</v>
      </c>
      <c r="B50" s="2281" t="s">
        <v>1822</v>
      </c>
      <c r="C50" s="2282" t="s">
        <v>1823</v>
      </c>
      <c r="D50" s="2504" t="s">
        <v>1313</v>
      </c>
      <c r="E50" s="2284">
        <v>1547.9170049261086</v>
      </c>
      <c r="F50" s="2285">
        <v>1594.3545150738919</v>
      </c>
      <c r="G50" s="2257">
        <f t="shared" si="0"/>
        <v>1571.1357600000001</v>
      </c>
      <c r="H50" s="2285">
        <v>2523.3663654223969</v>
      </c>
      <c r="I50" s="2285">
        <v>2614.2075545776033</v>
      </c>
      <c r="J50" s="2257">
        <f t="shared" si="1"/>
        <v>2568.7869600000004</v>
      </c>
      <c r="K50" s="2285">
        <v>2500.1187273617229</v>
      </c>
      <c r="L50" s="2285">
        <v>2607.6238326382768</v>
      </c>
      <c r="M50" s="2259">
        <f t="shared" si="2"/>
        <v>2553.8712799999998</v>
      </c>
      <c r="N50" s="2255">
        <f>'[11]НВВ 26.09.23.'!N50+'[12]НВВ 26.09.'!N50+'[13]НВВ 26.09.23.'!N50</f>
        <v>1775.071823874863</v>
      </c>
      <c r="O50" s="2260">
        <f>'[11]НВВ 26.09.23.'!O50+'[12]НВВ 26.09.'!O50+'[13]НВВ 26.09.23.'!O50</f>
        <v>6320.9501603537992</v>
      </c>
      <c r="P50" s="2258">
        <f t="shared" si="3"/>
        <v>4048.0109921143312</v>
      </c>
      <c r="Q50" s="2255">
        <f>'[11]НВВ 26.09.23.'!Q50+'[12]НВВ 26.09.'!Q50+'[13]НВВ 26.09.23.'!Q50</f>
        <v>6320.9501603537992</v>
      </c>
      <c r="R50" s="2260">
        <f>'[11]НВВ 26.09.23.'!R50+'[12]НВВ 26.09.'!R50+'[13]НВВ 26.09.23.'!R50</f>
        <v>6573.7881667679503</v>
      </c>
      <c r="S50" s="2259">
        <f t="shared" si="4"/>
        <v>6447.3691635608748</v>
      </c>
      <c r="T50" s="2255">
        <f>'[11]НВВ 26.09.23.'!T50+'[12]НВВ 26.09.'!T50+'[13]НВВ 26.09.23.'!T50</f>
        <v>6573.7881667679503</v>
      </c>
      <c r="U50" s="2260">
        <f>'[11]НВВ 26.09.23.'!U50+'[12]НВВ 26.09.'!U50+'[13]НВВ 26.09.23.'!U50</f>
        <v>6836.7396934386688</v>
      </c>
      <c r="V50" s="2258">
        <f t="shared" si="5"/>
        <v>6705.2639301033096</v>
      </c>
      <c r="W50" s="2255">
        <f>'[11]НВВ 26.09.23.'!W50+'[12]НВВ 26.09.'!W50+'[13]НВВ 26.09.23.'!W50</f>
        <v>6836.7396934386688</v>
      </c>
      <c r="X50" s="2260">
        <f>'[11]НВВ 26.09.23.'!X50+'[12]НВВ 26.09.'!X50+'[13]НВВ 26.09.23.'!X50</f>
        <v>7110.2092811762159</v>
      </c>
      <c r="Y50" s="2258">
        <f t="shared" si="6"/>
        <v>6973.4744873074424</v>
      </c>
      <c r="Z50" s="2255">
        <f>'[11]НВВ 26.09.23.'!Z50+'[12]НВВ 26.09.'!Z50+'[13]НВВ 26.09.23.'!Z50</f>
        <v>7110.2092811762159</v>
      </c>
      <c r="AA50" s="2260">
        <f>'[11]НВВ 26.09.23.'!AA50+'[12]НВВ 26.09.'!AA50+'[13]НВВ 26.09.23.'!AA50</f>
        <v>7394.6176524232642</v>
      </c>
      <c r="AB50" s="2259">
        <f t="shared" si="7"/>
        <v>7252.4134667997405</v>
      </c>
      <c r="AC50" s="2606"/>
      <c r="AD50" s="2606"/>
      <c r="AE50" s="2606"/>
      <c r="AF50" s="2593"/>
      <c r="AG50" s="2593"/>
      <c r="AH50" s="2593"/>
      <c r="AI50" s="2593"/>
      <c r="AJ50" s="2593"/>
    </row>
    <row r="51" spans="1:36" s="2218" customFormat="1" ht="30.75" customHeight="1" outlineLevel="1">
      <c r="A51" s="2235">
        <v>267</v>
      </c>
      <c r="B51" s="2281" t="s">
        <v>1825</v>
      </c>
      <c r="C51" s="2282" t="s">
        <v>1826</v>
      </c>
      <c r="D51" s="2504" t="s">
        <v>1128</v>
      </c>
      <c r="E51" s="2284">
        <v>1602.7529209198171</v>
      </c>
      <c r="F51" s="2285">
        <v>1650.8355085474118</v>
      </c>
      <c r="G51" s="2257">
        <f t="shared" si="0"/>
        <v>1626.7942147336144</v>
      </c>
      <c r="H51" s="2285">
        <v>1922.6996194057176</v>
      </c>
      <c r="I51" s="2285">
        <v>1991.9168057043235</v>
      </c>
      <c r="J51" s="2257">
        <f t="shared" si="1"/>
        <v>1957.3082125550204</v>
      </c>
      <c r="K51" s="2285">
        <v>2143.0709135735005</v>
      </c>
      <c r="L51" s="2285">
        <v>2235.2229628571608</v>
      </c>
      <c r="M51" s="2259">
        <f t="shared" si="2"/>
        <v>2189.1469382153309</v>
      </c>
      <c r="N51" s="2255">
        <f>'[11]НВВ 26.09.23.'!N51+'[12]НВВ 26.09.'!N51+'[13]НВВ 26.09.23.'!N51</f>
        <v>1518.6994983953587</v>
      </c>
      <c r="O51" s="2260">
        <f>'[11]НВВ 26.09.23.'!O51+'[12]НВВ 26.09.'!O51+'[13]НВВ 26.09.23.'!O51</f>
        <v>3688.8446605376794</v>
      </c>
      <c r="P51" s="2258">
        <f t="shared" si="3"/>
        <v>2603.7720794665192</v>
      </c>
      <c r="Q51" s="2255">
        <f>'[11]НВВ 26.09.23.'!Q51+'[12]НВВ 26.09.'!Q51+'[13]НВВ 26.09.23.'!Q51</f>
        <v>3688.8446605376794</v>
      </c>
      <c r="R51" s="2260">
        <f>'[11]НВВ 26.09.23.'!R51+'[12]НВВ 26.09.'!R51+'[13]НВВ 26.09.23.'!R51</f>
        <v>3836.3984469591869</v>
      </c>
      <c r="S51" s="2259">
        <f t="shared" si="4"/>
        <v>3762.6215537484331</v>
      </c>
      <c r="T51" s="2255">
        <f>'[11]НВВ 26.09.23.'!T51+'[12]НВВ 26.09.'!T51+'[13]НВВ 26.09.23.'!T51</f>
        <v>3836.3984469591869</v>
      </c>
      <c r="U51" s="2260">
        <f>'[11]НВВ 26.09.23.'!U51+'[12]НВВ 26.09.'!U51+'[13]НВВ 26.09.23.'!U51</f>
        <v>3989.8543848375548</v>
      </c>
      <c r="V51" s="2258">
        <f t="shared" si="5"/>
        <v>3913.1264158983709</v>
      </c>
      <c r="W51" s="2255">
        <f>'[11]НВВ 26.09.23.'!W51+'[12]НВВ 26.09.'!W51+'[13]НВВ 26.09.23.'!W51</f>
        <v>3989.8543848375548</v>
      </c>
      <c r="X51" s="2260">
        <f>'[11]НВВ 26.09.23.'!X51+'[12]НВВ 26.09.'!X51+'[13]НВВ 26.09.23.'!X51</f>
        <v>4149.4485602310569</v>
      </c>
      <c r="Y51" s="2258">
        <f t="shared" si="6"/>
        <v>4069.6514725343059</v>
      </c>
      <c r="Z51" s="2255">
        <f>'[11]НВВ 26.09.23.'!Z51+'[12]НВВ 26.09.'!Z51+'[13]НВВ 26.09.23.'!Z51</f>
        <v>4149.4485602310569</v>
      </c>
      <c r="AA51" s="2260">
        <f>'[11]НВВ 26.09.23.'!AA51+'[12]НВВ 26.09.'!AA51+'[13]НВВ 26.09.23.'!AA51</f>
        <v>4315.4265026402991</v>
      </c>
      <c r="AB51" s="2259">
        <f t="shared" si="7"/>
        <v>4232.4375314356785</v>
      </c>
      <c r="AC51" s="2606"/>
      <c r="AD51" s="2606"/>
      <c r="AE51" s="2606"/>
      <c r="AF51" s="2593"/>
      <c r="AG51" s="2593"/>
      <c r="AH51" s="2593"/>
      <c r="AI51" s="2593"/>
      <c r="AJ51" s="2593"/>
    </row>
    <row r="52" spans="1:36" s="2218" customFormat="1" ht="42.75" customHeight="1" outlineLevel="1" thickBot="1">
      <c r="A52" s="2235">
        <v>93</v>
      </c>
      <c r="B52" s="2281" t="s">
        <v>1828</v>
      </c>
      <c r="C52" s="2282" t="s">
        <v>1829</v>
      </c>
      <c r="D52" s="2504" t="s">
        <v>1317</v>
      </c>
      <c r="E52" s="2284">
        <v>40.922291746311323</v>
      </c>
      <c r="F52" s="2285">
        <v>42.149960498700665</v>
      </c>
      <c r="G52" s="2257">
        <f t="shared" si="0"/>
        <v>41.536126122505991</v>
      </c>
      <c r="H52" s="2285">
        <v>79.854843310346013</v>
      </c>
      <c r="I52" s="2285">
        <v>82.729617669518476</v>
      </c>
      <c r="J52" s="2257">
        <f t="shared" si="1"/>
        <v>81.292230489932251</v>
      </c>
      <c r="K52" s="2285">
        <v>71.334937693395915</v>
      </c>
      <c r="L52" s="2285">
        <v>74.40234001421193</v>
      </c>
      <c r="M52" s="2259">
        <f t="shared" si="2"/>
        <v>72.86863885380393</v>
      </c>
      <c r="N52" s="2255">
        <f>'[11]НВВ 26.09.23.'!N52+'[12]НВВ 26.09.'!N52+'[13]НВВ 26.09.23.'!N52</f>
        <v>145.41549473248864</v>
      </c>
      <c r="O52" s="2260">
        <f>'[11]НВВ 26.09.23.'!O52+'[12]НВВ 26.09.'!O52+'[13]НВВ 26.09.23.'!O52</f>
        <v>592.0842527762552</v>
      </c>
      <c r="P52" s="2258">
        <f t="shared" si="3"/>
        <v>368.74987375437195</v>
      </c>
      <c r="Q52" s="2255">
        <f>'[11]НВВ 26.09.23.'!Q52+'[12]НВВ 26.09.'!Q52+'[13]НВВ 26.09.23.'!Q52</f>
        <v>592.0842527762552</v>
      </c>
      <c r="R52" s="2260">
        <f>'[11]НВВ 26.09.23.'!R52+'[12]НВВ 26.09.'!R52+'[13]НВВ 26.09.23.'!R52</f>
        <v>615.76762288730538</v>
      </c>
      <c r="S52" s="2259">
        <f t="shared" si="4"/>
        <v>603.92593783178029</v>
      </c>
      <c r="T52" s="2255">
        <f>'[11]НВВ 26.09.23.'!T52+'[12]НВВ 26.09.'!T52+'[13]НВВ 26.09.23.'!T52</f>
        <v>615.76762288730538</v>
      </c>
      <c r="U52" s="2260">
        <f>'[11]НВВ 26.09.23.'!U52+'[12]НВВ 26.09.'!U52+'[13]НВВ 26.09.23.'!U52</f>
        <v>640.39832780279767</v>
      </c>
      <c r="V52" s="2258">
        <f t="shared" si="5"/>
        <v>628.08297534505152</v>
      </c>
      <c r="W52" s="2255">
        <f>'[11]НВВ 26.09.23.'!W52+'[12]НВВ 26.09.'!W52+'[13]НВВ 26.09.23.'!W52</f>
        <v>640.39832780279767</v>
      </c>
      <c r="X52" s="2260">
        <f>'[11]НВВ 26.09.23.'!X52+'[12]НВВ 26.09.'!X52+'[13]НВВ 26.09.23.'!X52</f>
        <v>666.01426091490953</v>
      </c>
      <c r="Y52" s="2258">
        <f t="shared" si="6"/>
        <v>653.2062943588536</v>
      </c>
      <c r="Z52" s="2255">
        <f>'[11]НВВ 26.09.23.'!Z52+'[12]НВВ 26.09.'!Z52+'[13]НВВ 26.09.23.'!Z52</f>
        <v>666.01426091490953</v>
      </c>
      <c r="AA52" s="2260">
        <f>'[11]НВВ 26.09.23.'!AA52+'[12]НВВ 26.09.'!AA52+'[13]НВВ 26.09.23.'!AA52</f>
        <v>692.65483135150612</v>
      </c>
      <c r="AB52" s="2259">
        <f t="shared" si="7"/>
        <v>679.33454613320782</v>
      </c>
      <c r="AC52" s="2606"/>
      <c r="AD52" s="2606"/>
      <c r="AE52" s="2606"/>
      <c r="AF52" s="2593"/>
      <c r="AG52" s="2593"/>
      <c r="AH52" s="2593"/>
      <c r="AI52" s="2593"/>
      <c r="AJ52" s="2593"/>
    </row>
    <row r="53" spans="1:36" s="2218" customFormat="1" ht="30.75" hidden="1" customHeight="1" outlineLevel="2" thickBot="1">
      <c r="A53" s="2235">
        <v>94</v>
      </c>
      <c r="B53" s="2297" t="s">
        <v>1830</v>
      </c>
      <c r="C53" s="2298" t="s">
        <v>1831</v>
      </c>
      <c r="D53" s="2507" t="s">
        <v>1317</v>
      </c>
      <c r="E53" s="2300"/>
      <c r="F53" s="2301"/>
      <c r="G53" s="2266">
        <f t="shared" si="0"/>
        <v>0</v>
      </c>
      <c r="H53" s="2301"/>
      <c r="I53" s="2301"/>
      <c r="J53" s="2266">
        <f t="shared" si="1"/>
        <v>0</v>
      </c>
      <c r="K53" s="2301"/>
      <c r="L53" s="2301"/>
      <c r="M53" s="2268">
        <f t="shared" si="2"/>
        <v>0</v>
      </c>
      <c r="N53" s="2255">
        <f>'2024 Калуга+область транспортир'!Z52+'2024 Калуга+область перекачка'!Z52+'2024 Калуга+область очистка'!Z52</f>
        <v>0</v>
      </c>
      <c r="O53" s="2260">
        <f>'2024 Калуга+область транспортир'!AA52+'2024 Калуга+область перекачка'!AA52+'2024 Калуга+область очистка'!AA52</f>
        <v>0</v>
      </c>
      <c r="P53" s="2267">
        <f t="shared" si="3"/>
        <v>0</v>
      </c>
      <c r="Q53" s="2284">
        <f>O53</f>
        <v>0</v>
      </c>
      <c r="R53" s="2302">
        <f>Q53*1.04</f>
        <v>0</v>
      </c>
      <c r="S53" s="2268">
        <f t="shared" si="4"/>
        <v>0</v>
      </c>
      <c r="T53" s="2284">
        <f>R53</f>
        <v>0</v>
      </c>
      <c r="U53" s="2302">
        <f>T53*1.04</f>
        <v>0</v>
      </c>
      <c r="V53" s="2267">
        <f t="shared" si="5"/>
        <v>0</v>
      </c>
      <c r="W53" s="2284">
        <f>U53</f>
        <v>0</v>
      </c>
      <c r="X53" s="2302">
        <f>W53*1.04</f>
        <v>0</v>
      </c>
      <c r="Y53" s="2267">
        <f t="shared" si="6"/>
        <v>0</v>
      </c>
      <c r="Z53" s="2284">
        <f>X53</f>
        <v>0</v>
      </c>
      <c r="AA53" s="2302">
        <f>Z53*1.04</f>
        <v>0</v>
      </c>
      <c r="AB53" s="2268">
        <f t="shared" si="7"/>
        <v>0</v>
      </c>
      <c r="AC53" s="2606"/>
      <c r="AD53" s="2606"/>
      <c r="AE53" s="2606"/>
      <c r="AF53" s="2593"/>
      <c r="AG53" s="2593"/>
      <c r="AH53" s="2593"/>
      <c r="AI53" s="2593"/>
      <c r="AJ53" s="2593"/>
    </row>
    <row r="54" spans="1:36" s="2218" customFormat="1" ht="24.75" customHeight="1" outlineLevel="1" collapsed="1" thickBot="1">
      <c r="A54" s="2235">
        <v>101</v>
      </c>
      <c r="B54" s="2270" t="s">
        <v>119</v>
      </c>
      <c r="C54" s="2271" t="s">
        <v>1832</v>
      </c>
      <c r="D54" s="2502" t="s">
        <v>1317</v>
      </c>
      <c r="E54" s="2273">
        <f>E55+E56+E57</f>
        <v>37676.241584664807</v>
      </c>
      <c r="F54" s="2275">
        <f>F55+F56+F57</f>
        <v>38918.543538821621</v>
      </c>
      <c r="G54" s="2303">
        <f t="shared" si="0"/>
        <v>38297.392561743211</v>
      </c>
      <c r="H54" s="2275">
        <f>H55+H56+H57</f>
        <v>37188.748423135432</v>
      </c>
      <c r="I54" s="2275">
        <f>I55+I56+I57</f>
        <v>38460.76768427706</v>
      </c>
      <c r="J54" s="2303">
        <f t="shared" si="1"/>
        <v>37824.758053706246</v>
      </c>
      <c r="K54" s="2275">
        <f>K55+K56+K57</f>
        <v>35576.240516676233</v>
      </c>
      <c r="L54" s="2275">
        <f>L55+L56+L57</f>
        <v>37243.607495956974</v>
      </c>
      <c r="M54" s="2303">
        <f t="shared" si="2"/>
        <v>36409.924006316607</v>
      </c>
      <c r="N54" s="2273">
        <f>N55+N56+N57</f>
        <v>86961.25221152819</v>
      </c>
      <c r="O54" s="2277">
        <f>O55+O56+O57</f>
        <v>147532.90973248144</v>
      </c>
      <c r="P54" s="2304">
        <f t="shared" si="3"/>
        <v>117247.08097200481</v>
      </c>
      <c r="Q54" s="2273">
        <f>Q55+Q56+Q57</f>
        <v>147532.9099494651</v>
      </c>
      <c r="R54" s="2277">
        <f>R55+R56+R57</f>
        <v>153434.22840792782</v>
      </c>
      <c r="S54" s="2303">
        <f t="shared" si="4"/>
        <v>150483.56917869646</v>
      </c>
      <c r="T54" s="2273">
        <f>T55+T56+T57</f>
        <v>153434.22840792782</v>
      </c>
      <c r="U54" s="2277">
        <f>U55+U56+U57</f>
        <v>159571.59754424499</v>
      </c>
      <c r="V54" s="2304">
        <f t="shared" si="5"/>
        <v>156502.9129760864</v>
      </c>
      <c r="W54" s="2273">
        <f>W55+W56+W57</f>
        <v>159571.59754424499</v>
      </c>
      <c r="X54" s="2277">
        <f>X55+X56+X57</f>
        <v>165954.46144601473</v>
      </c>
      <c r="Y54" s="2304">
        <f t="shared" si="6"/>
        <v>162763.02949512986</v>
      </c>
      <c r="Z54" s="2273">
        <f>Z55+Z56+Z57</f>
        <v>165954.46144601473</v>
      </c>
      <c r="AA54" s="2277">
        <f>AA55+AA56+AA57</f>
        <v>172592.63990385536</v>
      </c>
      <c r="AB54" s="2303">
        <f t="shared" si="7"/>
        <v>169273.55067493505</v>
      </c>
      <c r="AC54" s="2606"/>
      <c r="AD54" s="2606"/>
      <c r="AE54" s="2606"/>
      <c r="AF54" s="2593"/>
      <c r="AG54" s="2593"/>
      <c r="AH54" s="2593"/>
      <c r="AI54" s="2593"/>
      <c r="AJ54" s="2593"/>
    </row>
    <row r="55" spans="1:36" s="2218" customFormat="1" ht="68.25" customHeight="1" outlineLevel="1">
      <c r="A55" s="2235">
        <v>102</v>
      </c>
      <c r="B55" s="2305" t="s">
        <v>1833</v>
      </c>
      <c r="C55" s="2306" t="s">
        <v>1834</v>
      </c>
      <c r="D55" s="2508" t="s">
        <v>1317</v>
      </c>
      <c r="E55" s="2308">
        <v>131.80582266009853</v>
      </c>
      <c r="F55" s="2309">
        <v>135.75999733990147</v>
      </c>
      <c r="G55" s="2248">
        <f t="shared" si="0"/>
        <v>133.78291000000002</v>
      </c>
      <c r="H55" s="2309">
        <v>440.31156188605109</v>
      </c>
      <c r="I55" s="2309">
        <v>456.16277811394895</v>
      </c>
      <c r="J55" s="2248">
        <f t="shared" si="1"/>
        <v>448.23716999999999</v>
      </c>
      <c r="K55" s="2309">
        <v>41.750964268232984</v>
      </c>
      <c r="L55" s="2309">
        <v>43.546255731766998</v>
      </c>
      <c r="M55" s="2250">
        <f t="shared" si="2"/>
        <v>42.648609999999991</v>
      </c>
      <c r="N55" s="2255">
        <f>'[11]НВВ 26.09.23.'!N55+'[12]НВВ 26.09.'!N55+'[13]НВВ 26.09.23.'!N55</f>
        <v>0</v>
      </c>
      <c r="O55" s="2260">
        <f>'[11]НВВ 26.09.23.'!O55+'[12]НВВ 26.09.'!O55+'[13]НВВ 26.09.23.'!O55</f>
        <v>7274.2076914055197</v>
      </c>
      <c r="P55" s="2249">
        <f t="shared" si="3"/>
        <v>3637.1038457027598</v>
      </c>
      <c r="Q55" s="2255">
        <f>'[11]НВВ 26.09.23.'!Q55+'[12]НВВ 26.09.'!Q55+'[13]НВВ 26.09.23.'!Q55</f>
        <v>7274.2076914055197</v>
      </c>
      <c r="R55" s="2260">
        <f>'[11]НВВ 26.09.23.'!R55+'[12]НВВ 26.09.'!R55+'[13]НВВ 26.09.23.'!R55</f>
        <v>7565.1759990617402</v>
      </c>
      <c r="S55" s="2250">
        <f t="shared" si="4"/>
        <v>7419.6918452336304</v>
      </c>
      <c r="T55" s="2255">
        <f>'[11]НВВ 26.09.23.'!T55+'[12]НВВ 26.09.'!T55+'[13]НВВ 26.09.23.'!T55</f>
        <v>7565.1759990617402</v>
      </c>
      <c r="U55" s="2260">
        <f>'[11]НВВ 26.09.23.'!U55+'[12]НВВ 26.09.'!U55+'[13]НВВ 26.09.23.'!U55</f>
        <v>7867.7830390242107</v>
      </c>
      <c r="V55" s="2249">
        <f t="shared" si="5"/>
        <v>7716.4795190429759</v>
      </c>
      <c r="W55" s="2255">
        <f>'[11]НВВ 26.09.23.'!W55+'[12]НВВ 26.09.'!W55+'[13]НВВ 26.09.23.'!W55</f>
        <v>7867.7830390242107</v>
      </c>
      <c r="X55" s="2260">
        <f>'[11]НВВ 26.09.23.'!X55+'[12]НВВ 26.09.'!X55+'[13]НВВ 26.09.23.'!X55</f>
        <v>8182.4943605851786</v>
      </c>
      <c r="Y55" s="2249">
        <f t="shared" si="6"/>
        <v>8025.1386998046946</v>
      </c>
      <c r="Z55" s="2255">
        <f>'[11]НВВ 26.09.23.'!Z55+'[12]НВВ 26.09.'!Z55+'[13]НВВ 26.09.23.'!Z55</f>
        <v>8182.4943605851786</v>
      </c>
      <c r="AA55" s="2260">
        <f>'[11]НВВ 26.09.23.'!AA55+'[12]НВВ 26.09.'!AA55+'[13]НВВ 26.09.23.'!AA55</f>
        <v>8509.7941350085857</v>
      </c>
      <c r="AB55" s="2250">
        <f t="shared" si="7"/>
        <v>8346.1442477968812</v>
      </c>
      <c r="AC55" s="2606"/>
      <c r="AD55" s="2606"/>
      <c r="AE55" s="2606"/>
      <c r="AF55" s="2593"/>
      <c r="AG55" s="2593"/>
      <c r="AH55" s="2593"/>
      <c r="AI55" s="2593"/>
      <c r="AJ55" s="2593"/>
    </row>
    <row r="56" spans="1:36" s="2218" customFormat="1" ht="67.5" customHeight="1" outlineLevel="1">
      <c r="A56" s="2235">
        <v>103</v>
      </c>
      <c r="B56" s="2281" t="s">
        <v>1836</v>
      </c>
      <c r="C56" s="2293" t="s">
        <v>1837</v>
      </c>
      <c r="D56" s="2504" t="s">
        <v>1317</v>
      </c>
      <c r="E56" s="2284">
        <v>15376.376137655036</v>
      </c>
      <c r="F56" s="2285">
        <v>15837.667421784687</v>
      </c>
      <c r="G56" s="2257">
        <f t="shared" si="0"/>
        <v>15607.02177971986</v>
      </c>
      <c r="H56" s="2285">
        <v>6955.5660065324373</v>
      </c>
      <c r="I56" s="2285">
        <v>7205.966382767605</v>
      </c>
      <c r="J56" s="2257">
        <f t="shared" si="1"/>
        <v>7080.7661946500211</v>
      </c>
      <c r="K56" s="2285">
        <v>2666.8442357749332</v>
      </c>
      <c r="L56" s="2285">
        <v>2781.5185379132549</v>
      </c>
      <c r="M56" s="2259">
        <f t="shared" si="2"/>
        <v>2724.181386844094</v>
      </c>
      <c r="N56" s="2255">
        <f>'[11]НВВ 26.09.23.'!N56+'[12]НВВ 26.09.'!N56+'[13]НВВ 26.09.23.'!N56</f>
        <v>0</v>
      </c>
      <c r="O56" s="2260">
        <f>'[11]НВВ 26.09.23.'!O56+'[12]НВВ 26.09.'!O56+'[13]НВВ 26.09.23.'!O56</f>
        <v>855.42128471818705</v>
      </c>
      <c r="P56" s="2258">
        <f t="shared" si="3"/>
        <v>427.71064235909353</v>
      </c>
      <c r="Q56" s="2255">
        <f>'[11]НВВ 26.09.23.'!Q56+'[12]НВВ 26.09.'!Q56+'[13]НВВ 26.09.23.'!Q56</f>
        <v>855.42128471818705</v>
      </c>
      <c r="R56" s="2260">
        <f>'[11]НВВ 26.09.23.'!R56+'[12]НВВ 26.09.'!R56+'[13]НВВ 26.09.23.'!R56</f>
        <v>889.63813610691454</v>
      </c>
      <c r="S56" s="2259">
        <f t="shared" si="4"/>
        <v>872.5297104125508</v>
      </c>
      <c r="T56" s="2255">
        <f>'[11]НВВ 26.09.23.'!T56+'[12]НВВ 26.09.'!T56+'[13]НВВ 26.09.23.'!T56</f>
        <v>889.63813610691454</v>
      </c>
      <c r="U56" s="2260">
        <f>'[11]НВВ 26.09.23.'!U56+'[12]НВВ 26.09.'!U56+'[13]НВВ 26.09.23.'!U56</f>
        <v>925.22366155119119</v>
      </c>
      <c r="V56" s="2258">
        <f t="shared" si="5"/>
        <v>907.43089882905292</v>
      </c>
      <c r="W56" s="2255">
        <f>'[11]НВВ 26.09.23.'!W56+'[12]НВВ 26.09.'!W56+'[13]НВВ 26.09.23.'!W56</f>
        <v>925.22366155119119</v>
      </c>
      <c r="X56" s="2260">
        <f>'[11]НВВ 26.09.23.'!X56+'[12]НВВ 26.09.'!X56+'[13]НВВ 26.09.23.'!X56</f>
        <v>962.23260801323886</v>
      </c>
      <c r="Y56" s="2258">
        <f t="shared" si="6"/>
        <v>943.72813478221497</v>
      </c>
      <c r="Z56" s="2255">
        <f>'[11]НВВ 26.09.23.'!Z56+'[12]НВВ 26.09.'!Z56+'[13]НВВ 26.09.23.'!Z56</f>
        <v>962.23260801323886</v>
      </c>
      <c r="AA56" s="2260">
        <f>'[11]НВВ 26.09.23.'!AA56+'[12]НВВ 26.09.'!AA56+'[13]НВВ 26.09.23.'!AA56</f>
        <v>1000.7219123337684</v>
      </c>
      <c r="AB56" s="2259">
        <f t="shared" si="7"/>
        <v>981.47726017350362</v>
      </c>
      <c r="AC56" s="2606"/>
      <c r="AD56" s="2606"/>
      <c r="AE56" s="2606"/>
      <c r="AF56" s="2593"/>
      <c r="AG56" s="2593"/>
      <c r="AH56" s="2593"/>
      <c r="AI56" s="2593"/>
      <c r="AJ56" s="2593"/>
    </row>
    <row r="57" spans="1:36" s="2218" customFormat="1" ht="47.25" outlineLevel="1">
      <c r="A57" s="2235">
        <v>104</v>
      </c>
      <c r="B57" s="2279" t="s">
        <v>1839</v>
      </c>
      <c r="C57" s="2280" t="s">
        <v>1840</v>
      </c>
      <c r="D57" s="2500" t="s">
        <v>1317</v>
      </c>
      <c r="E57" s="2255">
        <f>E58+E68</f>
        <v>22168.059624349669</v>
      </c>
      <c r="F57" s="2256">
        <f>F58+F68</f>
        <v>22945.116119697032</v>
      </c>
      <c r="G57" s="2257">
        <f t="shared" si="0"/>
        <v>22556.587872023352</v>
      </c>
      <c r="H57" s="2256">
        <f>H58+H68</f>
        <v>29792.870854716944</v>
      </c>
      <c r="I57" s="2256">
        <f>I58+I68</f>
        <v>30798.638523395508</v>
      </c>
      <c r="J57" s="2257">
        <f t="shared" si="1"/>
        <v>30295.754689056226</v>
      </c>
      <c r="K57" s="2256">
        <f>K58+K68</f>
        <v>32867.645316633068</v>
      </c>
      <c r="L57" s="2256">
        <f>L58+L68</f>
        <v>34418.542702311956</v>
      </c>
      <c r="M57" s="2259">
        <f t="shared" si="2"/>
        <v>33643.094009472508</v>
      </c>
      <c r="N57" s="2255">
        <f>'[11]НВВ 26.09.23.'!N57+'[12]НВВ 26.09.'!N57+'[13]НВВ 26.09.23.'!N57</f>
        <v>86961.25221152819</v>
      </c>
      <c r="O57" s="2260">
        <f>'[11]НВВ 26.09.23.'!O57+'[12]НВВ 26.09.'!O57+'[13]НВВ 26.09.23.'!O57</f>
        <v>139403.28075635774</v>
      </c>
      <c r="P57" s="2258">
        <f t="shared" si="3"/>
        <v>113182.26648394296</v>
      </c>
      <c r="Q57" s="2255">
        <f>'[11]НВВ 26.09.23.'!Q57+'[12]НВВ 26.09.'!Q57+'[13]НВВ 26.09.23.'!Q57</f>
        <v>139403.2809733414</v>
      </c>
      <c r="R57" s="2260">
        <f>'[11]НВВ 26.09.23.'!R57+'[12]НВВ 26.09.'!R57+'[13]НВВ 26.09.23.'!R57</f>
        <v>144979.41427275917</v>
      </c>
      <c r="S57" s="2259">
        <f t="shared" si="4"/>
        <v>142191.34762305027</v>
      </c>
      <c r="T57" s="2255">
        <f>'[11]НВВ 26.09.23.'!T57+'[12]НВВ 26.09.'!T57+'[13]НВВ 26.09.23.'!T57</f>
        <v>144979.41427275917</v>
      </c>
      <c r="U57" s="2260">
        <f>'[11]НВВ 26.09.23.'!U57+'[12]НВВ 26.09.'!U57+'[13]НВВ 26.09.23.'!U57</f>
        <v>150778.59084366958</v>
      </c>
      <c r="V57" s="2258">
        <f t="shared" si="5"/>
        <v>147879.00255821436</v>
      </c>
      <c r="W57" s="2255">
        <f>'[11]НВВ 26.09.23.'!W57+'[12]НВВ 26.09.'!W57+'[13]НВВ 26.09.23.'!W57</f>
        <v>150778.59084366958</v>
      </c>
      <c r="X57" s="2260">
        <f>'[11]НВВ 26.09.23.'!X57+'[12]НВВ 26.09.'!X57+'[13]НВВ 26.09.23.'!X57</f>
        <v>156809.73447741632</v>
      </c>
      <c r="Y57" s="2258">
        <f t="shared" si="6"/>
        <v>153794.16266054293</v>
      </c>
      <c r="Z57" s="2255">
        <f>'[11]НВВ 26.09.23.'!Z57+'[12]НВВ 26.09.'!Z57+'[13]НВВ 26.09.23.'!Z57</f>
        <v>156809.73447741632</v>
      </c>
      <c r="AA57" s="2260">
        <f>'[11]НВВ 26.09.23.'!AA57+'[12]НВВ 26.09.'!AA57+'[13]НВВ 26.09.23.'!AA57</f>
        <v>163082.123856513</v>
      </c>
      <c r="AB57" s="2259">
        <f t="shared" si="7"/>
        <v>159945.92916696466</v>
      </c>
      <c r="AC57" s="2606"/>
      <c r="AD57" s="2606"/>
      <c r="AE57" s="2606"/>
      <c r="AF57" s="2593"/>
      <c r="AG57" s="2593"/>
      <c r="AH57" s="2593"/>
      <c r="AI57" s="2593"/>
      <c r="AJ57" s="2593"/>
    </row>
    <row r="58" spans="1:36" s="2218" customFormat="1" ht="31.5" outlineLevel="1">
      <c r="A58" s="2235">
        <v>105</v>
      </c>
      <c r="B58" s="2279" t="s">
        <v>1841</v>
      </c>
      <c r="C58" s="2280" t="s">
        <v>1842</v>
      </c>
      <c r="D58" s="2500" t="s">
        <v>1317</v>
      </c>
      <c r="E58" s="2255">
        <f>E59*E67*12/1000</f>
        <v>15478.425299226516</v>
      </c>
      <c r="F58" s="2256">
        <f>F59*F67*12/1000</f>
        <v>16054.792764820184</v>
      </c>
      <c r="G58" s="2257">
        <f t="shared" si="0"/>
        <v>15766.609032023349</v>
      </c>
      <c r="H58" s="2256">
        <f>H59*H67*12/1000</f>
        <v>22926.546051180598</v>
      </c>
      <c r="I58" s="2256">
        <f>I59*I67*12/1000</f>
        <v>23685.126026931855</v>
      </c>
      <c r="J58" s="2257">
        <f t="shared" si="1"/>
        <v>23305.836039056227</v>
      </c>
      <c r="K58" s="2256">
        <f>K59*K67*12/1000</f>
        <v>25234.789428233653</v>
      </c>
      <c r="L58" s="2256">
        <f>L59*L67*12/1000</f>
        <v>26457.474010711368</v>
      </c>
      <c r="M58" s="2259">
        <f t="shared" si="2"/>
        <v>25846.131719472512</v>
      </c>
      <c r="N58" s="2255">
        <f>'[11]НВВ 26.09.23.'!N58+'[12]НВВ 26.09.'!N58+'[13]НВВ 26.09.23.'!N58</f>
        <v>66790.516560482967</v>
      </c>
      <c r="O58" s="2260">
        <f>'[11]НВВ 26.09.23.'!O58+'[12]НВВ 26.09.'!O58+'[13]НВВ 26.09.23.'!O58</f>
        <v>107068.57217658689</v>
      </c>
      <c r="P58" s="2258">
        <f t="shared" si="3"/>
        <v>86929.544368534931</v>
      </c>
      <c r="Q58" s="2255">
        <f>'[11]НВВ 26.09.23.'!Q58+'[12]НВВ 26.09.'!Q58+'[13]НВВ 26.09.23.'!Q58</f>
        <v>107068.57415782165</v>
      </c>
      <c r="R58" s="2260">
        <f>'[11]НВВ 26.09.23.'!R58+'[12]НВВ 26.09.'!R58+'[13]НВВ 26.09.23.'!R58</f>
        <v>111351.31712413451</v>
      </c>
      <c r="S58" s="2259">
        <f t="shared" si="4"/>
        <v>109209.94564097808</v>
      </c>
      <c r="T58" s="2255">
        <f>'[11]НВВ 26.09.23.'!T58+'[12]НВВ 26.09.'!T58+'[13]НВВ 26.09.23.'!T58</f>
        <v>111351.31712413451</v>
      </c>
      <c r="U58" s="2260">
        <f>'[11]НВВ 26.09.23.'!U58+'[12]НВВ 26.09.'!U58+'[13]НВВ 26.09.23.'!U58</f>
        <v>115805.36980909991</v>
      </c>
      <c r="V58" s="2258">
        <f t="shared" si="5"/>
        <v>113578.34346661721</v>
      </c>
      <c r="W58" s="2255">
        <f>'[11]НВВ 26.09.23.'!W58+'[12]НВВ 26.09.'!W58+'[13]НВВ 26.09.23.'!W58</f>
        <v>115805.36980909991</v>
      </c>
      <c r="X58" s="2260">
        <f>'[11]НВВ 26.09.23.'!X58+'[12]НВВ 26.09.'!X58+'[13]НВВ 26.09.23.'!X58</f>
        <v>120437.58460146387</v>
      </c>
      <c r="Y58" s="2258">
        <f t="shared" si="6"/>
        <v>118121.47720528189</v>
      </c>
      <c r="Z58" s="2255">
        <f>'[11]НВВ 26.09.23.'!Z58+'[12]НВВ 26.09.'!Z58+'[13]НВВ 26.09.23.'!Z58</f>
        <v>120437.58460146387</v>
      </c>
      <c r="AA58" s="2260">
        <f>'[11]НВВ 26.09.23.'!AA58+'[12]НВВ 26.09.'!AA58+'[13]НВВ 26.09.23.'!AA58</f>
        <v>125255.08798552245</v>
      </c>
      <c r="AB58" s="2259">
        <f t="shared" si="7"/>
        <v>122846.33629349316</v>
      </c>
      <c r="AC58" s="2606"/>
      <c r="AD58" s="2606"/>
      <c r="AE58" s="2606"/>
      <c r="AF58" s="2593"/>
      <c r="AG58" s="2593"/>
      <c r="AH58" s="2593"/>
      <c r="AI58" s="2593"/>
      <c r="AJ58" s="2593"/>
    </row>
    <row r="59" spans="1:36" s="3038" customFormat="1" ht="45" hidden="1" customHeight="1" outlineLevel="1">
      <c r="A59" s="3032">
        <v>610</v>
      </c>
      <c r="B59" s="3033" t="s">
        <v>1843</v>
      </c>
      <c r="C59" s="3034" t="s">
        <v>1844</v>
      </c>
      <c r="D59" s="2543"/>
      <c r="E59" s="3031">
        <f>E60+E61+E64+E65+E66</f>
        <v>30711.161307989114</v>
      </c>
      <c r="F59" s="2885">
        <f>F60+F61+F64+F65+F66</f>
        <v>31854.747549246396</v>
      </c>
      <c r="G59" s="3035">
        <f t="shared" si="0"/>
        <v>31282.954428617755</v>
      </c>
      <c r="H59" s="2885">
        <f>H60+H61+H64+H65+H66</f>
        <v>45489.178672977374</v>
      </c>
      <c r="I59" s="2885">
        <f>I60+I61+I64+I65+I66</f>
        <v>46994.297672483845</v>
      </c>
      <c r="J59" s="3035">
        <f t="shared" si="1"/>
        <v>46241.738172730606</v>
      </c>
      <c r="K59" s="2885">
        <f>K60+K61+K64+K65+K66</f>
        <v>47793.161795897075</v>
      </c>
      <c r="L59" s="2885">
        <f>L60+L61+L64+L65+L66</f>
        <v>50108.852293013959</v>
      </c>
      <c r="M59" s="3036">
        <f t="shared" si="2"/>
        <v>48951.007044455517</v>
      </c>
      <c r="N59" s="3031"/>
      <c r="O59" s="3039"/>
      <c r="P59" s="3037">
        <f t="shared" si="3"/>
        <v>0</v>
      </c>
      <c r="Q59" s="2294"/>
      <c r="R59" s="3039">
        <f>R60+R61+R64+R65+R66</f>
        <v>0</v>
      </c>
      <c r="S59" s="3036">
        <f t="shared" si="4"/>
        <v>0</v>
      </c>
      <c r="T59" s="2294"/>
      <c r="U59" s="3039">
        <f>U60+U61+U64+U65+U66</f>
        <v>0</v>
      </c>
      <c r="V59" s="3037">
        <f t="shared" si="5"/>
        <v>0</v>
      </c>
      <c r="W59" s="2294"/>
      <c r="X59" s="3039">
        <f>X60+X61+X64+X65+X66</f>
        <v>0</v>
      </c>
      <c r="Y59" s="3037">
        <f t="shared" si="6"/>
        <v>0</v>
      </c>
      <c r="Z59" s="2294"/>
      <c r="AA59" s="3039">
        <f>AA60+AA61+AA64+AA65+AA66</f>
        <v>0</v>
      </c>
      <c r="AB59" s="3036">
        <f t="shared" si="7"/>
        <v>0</v>
      </c>
      <c r="AC59" s="2609"/>
      <c r="AD59" s="2609"/>
      <c r="AE59" s="2609"/>
      <c r="AF59" s="2593"/>
      <c r="AG59" s="2593"/>
      <c r="AH59" s="2593"/>
      <c r="AI59" s="2593"/>
      <c r="AJ59" s="2593"/>
    </row>
    <row r="60" spans="1:36" s="3038" customFormat="1" ht="21" hidden="1" customHeight="1" outlineLevel="1">
      <c r="A60" s="3032">
        <v>311</v>
      </c>
      <c r="B60" s="3033" t="s">
        <v>1845</v>
      </c>
      <c r="C60" s="3034" t="s">
        <v>1846</v>
      </c>
      <c r="D60" s="2543" t="s">
        <v>1847</v>
      </c>
      <c r="E60" s="2294"/>
      <c r="F60" s="2296"/>
      <c r="G60" s="3035">
        <f t="shared" si="0"/>
        <v>0</v>
      </c>
      <c r="H60" s="2296"/>
      <c r="I60" s="2296"/>
      <c r="J60" s="3035">
        <f t="shared" si="1"/>
        <v>0</v>
      </c>
      <c r="K60" s="2296"/>
      <c r="L60" s="2296"/>
      <c r="M60" s="3036">
        <f t="shared" si="2"/>
        <v>0</v>
      </c>
      <c r="N60" s="3031"/>
      <c r="O60" s="3039"/>
      <c r="P60" s="3037">
        <f t="shared" si="3"/>
        <v>0</v>
      </c>
      <c r="Q60" s="2294"/>
      <c r="R60" s="2506"/>
      <c r="S60" s="3036">
        <f t="shared" si="4"/>
        <v>0</v>
      </c>
      <c r="T60" s="2294"/>
      <c r="U60" s="2506"/>
      <c r="V60" s="3037">
        <f t="shared" si="5"/>
        <v>0</v>
      </c>
      <c r="W60" s="2294"/>
      <c r="X60" s="2506"/>
      <c r="Y60" s="3037">
        <f t="shared" si="6"/>
        <v>0</v>
      </c>
      <c r="Z60" s="2294"/>
      <c r="AA60" s="2506"/>
      <c r="AB60" s="3036">
        <f t="shared" si="7"/>
        <v>0</v>
      </c>
      <c r="AC60" s="2609"/>
      <c r="AD60" s="2609"/>
      <c r="AE60" s="2609"/>
      <c r="AF60" s="2593"/>
      <c r="AG60" s="2593"/>
      <c r="AH60" s="2593"/>
      <c r="AI60" s="2593"/>
      <c r="AJ60" s="2593"/>
    </row>
    <row r="61" spans="1:36" s="3038" customFormat="1" ht="21" hidden="1" customHeight="1" outlineLevel="1">
      <c r="A61" s="3032">
        <v>611</v>
      </c>
      <c r="B61" s="3033" t="s">
        <v>1848</v>
      </c>
      <c r="C61" s="3034" t="s">
        <v>1786</v>
      </c>
      <c r="D61" s="2543" t="s">
        <v>1849</v>
      </c>
      <c r="E61" s="3031">
        <f>E62*E63</f>
        <v>14361.933339431329</v>
      </c>
      <c r="F61" s="2885">
        <f>F62*F63</f>
        <v>14951.415677990079</v>
      </c>
      <c r="G61" s="3035">
        <f t="shared" si="0"/>
        <v>14656.674508710705</v>
      </c>
      <c r="H61" s="2885">
        <f>H62*H63</f>
        <v>14963.208277639798</v>
      </c>
      <c r="I61" s="2885">
        <f>I62*I63</f>
        <v>15419.076630184381</v>
      </c>
      <c r="J61" s="3035">
        <f t="shared" si="1"/>
        <v>15191.142453912089</v>
      </c>
      <c r="K61" s="2885">
        <f>K62*K63</f>
        <v>15149.886840522502</v>
      </c>
      <c r="L61" s="2885">
        <f>L62*L63</f>
        <v>15913.968089870594</v>
      </c>
      <c r="M61" s="3036">
        <f t="shared" si="2"/>
        <v>15531.927465196548</v>
      </c>
      <c r="N61" s="3031"/>
      <c r="O61" s="3039"/>
      <c r="P61" s="3037">
        <f t="shared" si="3"/>
        <v>0</v>
      </c>
      <c r="Q61" s="3031">
        <f>Q62*Q63</f>
        <v>0</v>
      </c>
      <c r="R61" s="3039">
        <f>R62*R63</f>
        <v>0</v>
      </c>
      <c r="S61" s="3036">
        <f t="shared" si="4"/>
        <v>0</v>
      </c>
      <c r="T61" s="3031">
        <f>T62*T63</f>
        <v>0</v>
      </c>
      <c r="U61" s="3039">
        <f>U62*U63</f>
        <v>0</v>
      </c>
      <c r="V61" s="3037">
        <f t="shared" si="5"/>
        <v>0</v>
      </c>
      <c r="W61" s="3031">
        <f>W62*W63</f>
        <v>0</v>
      </c>
      <c r="X61" s="3039">
        <f>X62*X63</f>
        <v>0</v>
      </c>
      <c r="Y61" s="3037">
        <f t="shared" si="6"/>
        <v>0</v>
      </c>
      <c r="Z61" s="3031">
        <f>Z62*Z63</f>
        <v>0</v>
      </c>
      <c r="AA61" s="3039">
        <f>AA62*AA63</f>
        <v>0</v>
      </c>
      <c r="AB61" s="3036">
        <f t="shared" si="7"/>
        <v>0</v>
      </c>
      <c r="AC61" s="2609"/>
      <c r="AD61" s="2609"/>
      <c r="AE61" s="2609"/>
      <c r="AF61" s="2593"/>
      <c r="AG61" s="2593"/>
      <c r="AH61" s="2593"/>
      <c r="AI61" s="2593"/>
      <c r="AJ61" s="2593"/>
    </row>
    <row r="62" spans="1:36" s="3038" customFormat="1" ht="21" hidden="1" customHeight="1" outlineLevel="1">
      <c r="A62" s="3032">
        <v>110</v>
      </c>
      <c r="B62" s="3033" t="s">
        <v>1850</v>
      </c>
      <c r="C62" s="3034" t="s">
        <v>1788</v>
      </c>
      <c r="D62" s="2543" t="s">
        <v>1784</v>
      </c>
      <c r="E62" s="2294">
        <v>5360</v>
      </c>
      <c r="F62" s="2296">
        <v>5580</v>
      </c>
      <c r="G62" s="3035">
        <f t="shared" si="0"/>
        <v>5470</v>
      </c>
      <c r="H62" s="2296">
        <v>5580</v>
      </c>
      <c r="I62" s="2296">
        <v>5750</v>
      </c>
      <c r="J62" s="3035">
        <f t="shared" si="1"/>
        <v>5665</v>
      </c>
      <c r="K62" s="2296">
        <v>5750</v>
      </c>
      <c r="L62" s="2296">
        <v>6040</v>
      </c>
      <c r="M62" s="3036">
        <f t="shared" si="2"/>
        <v>5895</v>
      </c>
      <c r="N62" s="2294"/>
      <c r="O62" s="2506"/>
      <c r="P62" s="3037">
        <f t="shared" si="3"/>
        <v>0</v>
      </c>
      <c r="Q62" s="2294">
        <f>O62</f>
        <v>0</v>
      </c>
      <c r="R62" s="2506">
        <f>Q62*1.04</f>
        <v>0</v>
      </c>
      <c r="S62" s="3036">
        <f t="shared" si="4"/>
        <v>0</v>
      </c>
      <c r="T62" s="2294">
        <f>R62</f>
        <v>0</v>
      </c>
      <c r="U62" s="2506">
        <f>T62*1.04</f>
        <v>0</v>
      </c>
      <c r="V62" s="3037">
        <f t="shared" si="5"/>
        <v>0</v>
      </c>
      <c r="W62" s="2294">
        <f>U62</f>
        <v>0</v>
      </c>
      <c r="X62" s="2506">
        <f>W62*1.04</f>
        <v>0</v>
      </c>
      <c r="Y62" s="3037">
        <f t="shared" si="6"/>
        <v>0</v>
      </c>
      <c r="Z62" s="2294">
        <f>X62</f>
        <v>0</v>
      </c>
      <c r="AA62" s="2506">
        <f>Z62*1.04</f>
        <v>0</v>
      </c>
      <c r="AB62" s="3036">
        <f t="shared" si="7"/>
        <v>0</v>
      </c>
      <c r="AC62" s="2609"/>
      <c r="AD62" s="2609"/>
      <c r="AE62" s="2609"/>
      <c r="AF62" s="2593"/>
      <c r="AG62" s="2593"/>
      <c r="AH62" s="2593"/>
      <c r="AI62" s="2593"/>
      <c r="AJ62" s="2593"/>
    </row>
    <row r="63" spans="1:36" s="3038" customFormat="1" ht="21" hidden="1" customHeight="1" outlineLevel="1">
      <c r="A63" s="3032">
        <v>113</v>
      </c>
      <c r="B63" s="3033" t="s">
        <v>1851</v>
      </c>
      <c r="C63" s="3034" t="s">
        <v>1790</v>
      </c>
      <c r="D63" s="2543"/>
      <c r="E63" s="2294">
        <v>2.6794651752670391</v>
      </c>
      <c r="F63" s="2296">
        <v>2.6794651752670391</v>
      </c>
      <c r="G63" s="3035">
        <f t="shared" si="0"/>
        <v>2.6794651752670391</v>
      </c>
      <c r="H63" s="2296">
        <v>2.6815785443798923</v>
      </c>
      <c r="I63" s="2296">
        <v>2.6815785443798923</v>
      </c>
      <c r="J63" s="3035">
        <f t="shared" si="1"/>
        <v>2.6815785443798923</v>
      </c>
      <c r="K63" s="2296">
        <v>2.6347629287865222</v>
      </c>
      <c r="L63" s="2296">
        <v>2.6347629287865222</v>
      </c>
      <c r="M63" s="3036">
        <f t="shared" si="2"/>
        <v>2.6347629287865222</v>
      </c>
      <c r="N63" s="2294"/>
      <c r="O63" s="2506"/>
      <c r="P63" s="3037">
        <f t="shared" si="3"/>
        <v>0</v>
      </c>
      <c r="Q63" s="2294">
        <f>O63</f>
        <v>0</v>
      </c>
      <c r="R63" s="2506">
        <f>Q63</f>
        <v>0</v>
      </c>
      <c r="S63" s="3036">
        <f t="shared" si="4"/>
        <v>0</v>
      </c>
      <c r="T63" s="2294">
        <f>R63</f>
        <v>0</v>
      </c>
      <c r="U63" s="2506">
        <f>T63</f>
        <v>0</v>
      </c>
      <c r="V63" s="3037">
        <f t="shared" si="5"/>
        <v>0</v>
      </c>
      <c r="W63" s="2294">
        <f>U63</f>
        <v>0</v>
      </c>
      <c r="X63" s="2506">
        <f>W63</f>
        <v>0</v>
      </c>
      <c r="Y63" s="3037">
        <f t="shared" si="6"/>
        <v>0</v>
      </c>
      <c r="Z63" s="2294">
        <f>X63</f>
        <v>0</v>
      </c>
      <c r="AA63" s="2506">
        <f>Z63</f>
        <v>0</v>
      </c>
      <c r="AB63" s="3036">
        <f t="shared" si="7"/>
        <v>0</v>
      </c>
      <c r="AC63" s="2609"/>
      <c r="AD63" s="2609"/>
      <c r="AE63" s="2609"/>
      <c r="AF63" s="2593"/>
      <c r="AG63" s="2593"/>
      <c r="AH63" s="2593"/>
      <c r="AI63" s="2593"/>
      <c r="AJ63" s="2593"/>
    </row>
    <row r="64" spans="1:36" s="3038" customFormat="1" ht="30.75" hidden="1" customHeight="1" outlineLevel="1">
      <c r="A64" s="3032">
        <v>612</v>
      </c>
      <c r="B64" s="3033" t="s">
        <v>1852</v>
      </c>
      <c r="C64" s="3034" t="s">
        <v>1853</v>
      </c>
      <c r="D64" s="2543" t="s">
        <v>1847</v>
      </c>
      <c r="E64" s="2294">
        <v>10251.54801768608</v>
      </c>
      <c r="F64" s="2296">
        <v>10622.721521858461</v>
      </c>
      <c r="G64" s="3035">
        <f t="shared" si="0"/>
        <v>10437.13476977227</v>
      </c>
      <c r="H64" s="2296">
        <v>8977.9249665838779</v>
      </c>
      <c r="I64" s="2296">
        <v>9251.4459781106289</v>
      </c>
      <c r="J64" s="3035">
        <f t="shared" si="1"/>
        <v>9114.6854723472534</v>
      </c>
      <c r="K64" s="2296">
        <v>13362.415130391877</v>
      </c>
      <c r="L64" s="2296">
        <v>14030.535886911472</v>
      </c>
      <c r="M64" s="3036">
        <f t="shared" si="2"/>
        <v>13696.475508651674</v>
      </c>
      <c r="N64" s="3031"/>
      <c r="O64" s="3039"/>
      <c r="P64" s="3037">
        <f t="shared" si="3"/>
        <v>0</v>
      </c>
      <c r="Q64" s="2294">
        <f>O64</f>
        <v>0</v>
      </c>
      <c r="R64" s="2506">
        <f>Q64*1.04</f>
        <v>0</v>
      </c>
      <c r="S64" s="3036">
        <f t="shared" si="4"/>
        <v>0</v>
      </c>
      <c r="T64" s="2294">
        <f>R64</f>
        <v>0</v>
      </c>
      <c r="U64" s="2506">
        <f>T64*1.04</f>
        <v>0</v>
      </c>
      <c r="V64" s="3037">
        <f t="shared" si="5"/>
        <v>0</v>
      </c>
      <c r="W64" s="2294">
        <f>U64</f>
        <v>0</v>
      </c>
      <c r="X64" s="2506">
        <f>W64*1.04</f>
        <v>0</v>
      </c>
      <c r="Y64" s="3037">
        <f t="shared" si="6"/>
        <v>0</v>
      </c>
      <c r="Z64" s="2294">
        <f>X64</f>
        <v>0</v>
      </c>
      <c r="AA64" s="2506">
        <f>Z64*1.04</f>
        <v>0</v>
      </c>
      <c r="AB64" s="3036">
        <f t="shared" si="7"/>
        <v>0</v>
      </c>
      <c r="AC64" s="2609"/>
      <c r="AD64" s="2609"/>
      <c r="AE64" s="2609"/>
      <c r="AF64" s="2593"/>
      <c r="AG64" s="2593"/>
      <c r="AH64" s="2593"/>
      <c r="AI64" s="2593"/>
      <c r="AJ64" s="2593"/>
    </row>
    <row r="65" spans="1:36" s="3038" customFormat="1" ht="21" hidden="1" customHeight="1" outlineLevel="1">
      <c r="A65" s="3032">
        <v>613</v>
      </c>
      <c r="B65" s="3033" t="s">
        <v>1854</v>
      </c>
      <c r="C65" s="3034" t="s">
        <v>1795</v>
      </c>
      <c r="D65" s="2543" t="s">
        <v>1847</v>
      </c>
      <c r="E65" s="2294">
        <v>6097.6799508717049</v>
      </c>
      <c r="F65" s="2296">
        <v>6280.6103493978562</v>
      </c>
      <c r="G65" s="3035">
        <f t="shared" si="0"/>
        <v>6189.1451501347801</v>
      </c>
      <c r="H65" s="2296">
        <v>21548.0454287537</v>
      </c>
      <c r="I65" s="2296">
        <v>22323.775064188834</v>
      </c>
      <c r="J65" s="3035">
        <f t="shared" si="1"/>
        <v>21935.910246471267</v>
      </c>
      <c r="K65" s="2296">
        <v>19280.859824982701</v>
      </c>
      <c r="L65" s="2296">
        <v>20164.348316231899</v>
      </c>
      <c r="M65" s="3036">
        <f t="shared" si="2"/>
        <v>19722.6040706073</v>
      </c>
      <c r="N65" s="3031"/>
      <c r="O65" s="3039"/>
      <c r="P65" s="3037">
        <f t="shared" si="3"/>
        <v>0</v>
      </c>
      <c r="Q65" s="2294">
        <f t="shared" ref="Q65:Q66" si="16">O65</f>
        <v>0</v>
      </c>
      <c r="R65" s="2506">
        <f>Q65*1.04</f>
        <v>0</v>
      </c>
      <c r="S65" s="3036">
        <f t="shared" si="4"/>
        <v>0</v>
      </c>
      <c r="T65" s="2294">
        <f t="shared" ref="T65:T66" si="17">R65</f>
        <v>0</v>
      </c>
      <c r="U65" s="2506">
        <f>T65*1.04</f>
        <v>0</v>
      </c>
      <c r="V65" s="3037">
        <f t="shared" si="5"/>
        <v>0</v>
      </c>
      <c r="W65" s="2294">
        <f t="shared" ref="W65:W66" si="18">U65</f>
        <v>0</v>
      </c>
      <c r="X65" s="2506">
        <f>W65*1.04</f>
        <v>0</v>
      </c>
      <c r="Y65" s="3037">
        <f t="shared" si="6"/>
        <v>0</v>
      </c>
      <c r="Z65" s="2294">
        <f t="shared" ref="Z65:Z66" si="19">X65</f>
        <v>0</v>
      </c>
      <c r="AA65" s="2506">
        <f>Z65*1.04</f>
        <v>0</v>
      </c>
      <c r="AB65" s="3036">
        <f t="shared" si="7"/>
        <v>0</v>
      </c>
      <c r="AC65" s="2609"/>
      <c r="AD65" s="2609"/>
      <c r="AE65" s="2609"/>
      <c r="AF65" s="2593"/>
      <c r="AG65" s="2593"/>
      <c r="AH65" s="2593"/>
      <c r="AI65" s="2593"/>
      <c r="AJ65" s="2593"/>
    </row>
    <row r="66" spans="1:36" s="2218" customFormat="1" ht="34.5" hidden="1" customHeight="1" outlineLevel="2">
      <c r="A66" s="2235">
        <v>614</v>
      </c>
      <c r="B66" s="2281" t="s">
        <v>1855</v>
      </c>
      <c r="C66" s="2282" t="s">
        <v>1856</v>
      </c>
      <c r="D66" s="2504" t="s">
        <v>1847</v>
      </c>
      <c r="E66" s="2284"/>
      <c r="F66" s="2285"/>
      <c r="G66" s="2257">
        <f t="shared" si="0"/>
        <v>0</v>
      </c>
      <c r="H66" s="2285"/>
      <c r="I66" s="2285"/>
      <c r="J66" s="2257">
        <f t="shared" si="1"/>
        <v>0</v>
      </c>
      <c r="K66" s="2285">
        <v>0</v>
      </c>
      <c r="L66" s="2285">
        <v>0</v>
      </c>
      <c r="M66" s="2259">
        <f t="shared" si="2"/>
        <v>0</v>
      </c>
      <c r="N66" s="2255">
        <f>'2024 Калуга+область транспортир'!Z65+'2024 Калуга+область перекачка'!Z65+'2024 Калуга+область очистка'!Z65</f>
        <v>0</v>
      </c>
      <c r="O66" s="2260">
        <f>'2024 Калуга+область транспортир'!AA65+'2024 Калуга+область перекачка'!AA65+'2024 Калуга+область очистка'!AA65</f>
        <v>0</v>
      </c>
      <c r="P66" s="2258">
        <f t="shared" si="3"/>
        <v>0</v>
      </c>
      <c r="Q66" s="2284">
        <f t="shared" si="16"/>
        <v>0</v>
      </c>
      <c r="R66" s="2286"/>
      <c r="S66" s="2259">
        <f t="shared" si="4"/>
        <v>0</v>
      </c>
      <c r="T66" s="2284">
        <f t="shared" si="17"/>
        <v>0</v>
      </c>
      <c r="U66" s="2286"/>
      <c r="V66" s="2258">
        <f t="shared" si="5"/>
        <v>0</v>
      </c>
      <c r="W66" s="2284">
        <f t="shared" si="18"/>
        <v>0</v>
      </c>
      <c r="X66" s="2286"/>
      <c r="Y66" s="2258">
        <f t="shared" si="6"/>
        <v>0</v>
      </c>
      <c r="Z66" s="2284">
        <f t="shared" si="19"/>
        <v>0</v>
      </c>
      <c r="AA66" s="2286"/>
      <c r="AB66" s="2259">
        <f t="shared" si="7"/>
        <v>0</v>
      </c>
      <c r="AC66" s="2606"/>
      <c r="AD66" s="2606"/>
      <c r="AE66" s="2606"/>
      <c r="AF66" s="2593"/>
      <c r="AG66" s="2593"/>
      <c r="AH66" s="2593"/>
      <c r="AI66" s="2593"/>
      <c r="AJ66" s="2593"/>
    </row>
    <row r="67" spans="1:36" s="2218" customFormat="1" ht="31.5" outlineLevel="1" collapsed="1">
      <c r="A67" s="2235">
        <v>106</v>
      </c>
      <c r="B67" s="2281" t="s">
        <v>1857</v>
      </c>
      <c r="C67" s="2282" t="s">
        <v>1799</v>
      </c>
      <c r="D67" s="2504" t="s">
        <v>1800</v>
      </c>
      <c r="E67" s="2284">
        <v>42</v>
      </c>
      <c r="F67" s="2285">
        <v>42</v>
      </c>
      <c r="G67" s="2257">
        <f t="shared" si="0"/>
        <v>42</v>
      </c>
      <c r="H67" s="2285">
        <v>42</v>
      </c>
      <c r="I67" s="2285">
        <v>42</v>
      </c>
      <c r="J67" s="2257">
        <f t="shared" si="1"/>
        <v>42</v>
      </c>
      <c r="K67" s="2285">
        <v>44</v>
      </c>
      <c r="L67" s="2285">
        <v>44</v>
      </c>
      <c r="M67" s="2259">
        <f t="shared" si="2"/>
        <v>44</v>
      </c>
      <c r="N67" s="2255">
        <f>'[11]НВВ 26.09.23.'!N67+'[12]НВВ 26.09.'!N67+'[13]НВВ 26.09.23.'!N67</f>
        <v>181.22615050973153</v>
      </c>
      <c r="O67" s="2260">
        <f>'[11]НВВ 26.09.23.'!O67+'[12]НВВ 26.09.'!O67+'[13]НВВ 26.09.23.'!O67</f>
        <v>255.64250284729059</v>
      </c>
      <c r="P67" s="2258">
        <f t="shared" si="3"/>
        <v>218.43432667851107</v>
      </c>
      <c r="Q67" s="2255">
        <f>'[11]НВВ 26.09.23.'!Q67+'[12]НВВ 26.09.'!Q67+'[13]НВВ 26.09.23.'!Q67</f>
        <v>255.64250284729059</v>
      </c>
      <c r="R67" s="2260">
        <f>'[11]НВВ 26.09.23.'!R67+'[12]НВВ 26.09.'!R67+'[13]НВВ 26.09.23.'!R67</f>
        <v>255.64250284729059</v>
      </c>
      <c r="S67" s="2259">
        <f t="shared" si="4"/>
        <v>255.64250284729059</v>
      </c>
      <c r="T67" s="2255">
        <f>'[11]НВВ 26.09.23.'!T67+'[12]НВВ 26.09.'!T67+'[13]НВВ 26.09.23.'!T67</f>
        <v>255.64250284729059</v>
      </c>
      <c r="U67" s="2260">
        <f>'[11]НВВ 26.09.23.'!U67+'[12]НВВ 26.09.'!U67+'[13]НВВ 26.09.23.'!U67</f>
        <v>255.64250284729059</v>
      </c>
      <c r="V67" s="2258">
        <f t="shared" si="5"/>
        <v>255.64250284729059</v>
      </c>
      <c r="W67" s="2255">
        <f>'[11]НВВ 26.09.23.'!W67+'[12]НВВ 26.09.'!W67+'[13]НВВ 26.09.23.'!W67</f>
        <v>255.64250284729059</v>
      </c>
      <c r="X67" s="2260">
        <f>'[11]НВВ 26.09.23.'!X67+'[12]НВВ 26.09.'!X67+'[13]НВВ 26.09.23.'!X67</f>
        <v>255.64250284729059</v>
      </c>
      <c r="Y67" s="2258">
        <f t="shared" si="6"/>
        <v>255.64250284729059</v>
      </c>
      <c r="Z67" s="2255">
        <f>'[11]НВВ 26.09.23.'!Z67+'[12]НВВ 26.09.'!Z67+'[13]НВВ 26.09.23.'!Z67</f>
        <v>255.64250284729059</v>
      </c>
      <c r="AA67" s="2260">
        <f>'[11]НВВ 26.09.23.'!AA67+'[12]НВВ 26.09.'!AA67+'[13]НВВ 26.09.23.'!AA67</f>
        <v>255.64250284729059</v>
      </c>
      <c r="AB67" s="2259">
        <f t="shared" si="7"/>
        <v>255.64250284729059</v>
      </c>
      <c r="AC67" s="2606"/>
      <c r="AD67" s="2606"/>
      <c r="AE67" s="2606"/>
      <c r="AF67" s="2593"/>
      <c r="AG67" s="2593"/>
      <c r="AH67" s="2593"/>
      <c r="AI67" s="2593"/>
      <c r="AJ67" s="2593"/>
    </row>
    <row r="68" spans="1:36" s="2218" customFormat="1" ht="54" customHeight="1" outlineLevel="1" thickBot="1">
      <c r="A68" s="2235">
        <v>116</v>
      </c>
      <c r="B68" s="2311" t="s">
        <v>1859</v>
      </c>
      <c r="C68" s="2312" t="s">
        <v>1860</v>
      </c>
      <c r="D68" s="2509" t="s">
        <v>1317</v>
      </c>
      <c r="E68" s="2314">
        <v>6689.6343251231528</v>
      </c>
      <c r="F68" s="2315">
        <v>6890.3233548768476</v>
      </c>
      <c r="G68" s="2266">
        <f t="shared" si="0"/>
        <v>6789.9788399999998</v>
      </c>
      <c r="H68" s="2315">
        <v>6866.3248035363458</v>
      </c>
      <c r="I68" s="2315">
        <v>7113.5124964636543</v>
      </c>
      <c r="J68" s="2266">
        <f t="shared" si="1"/>
        <v>6989.9186499999996</v>
      </c>
      <c r="K68" s="2315">
        <v>7632.8558883994137</v>
      </c>
      <c r="L68" s="2315">
        <v>7961.068691600588</v>
      </c>
      <c r="M68" s="2268">
        <f t="shared" si="2"/>
        <v>7796.9622900000013</v>
      </c>
      <c r="N68" s="2255">
        <f>'[11]НВВ 26.09.23.'!N68+'[12]НВВ 26.09.'!N68+'[13]НВВ 26.09.23.'!N68</f>
        <v>20170.735651045226</v>
      </c>
      <c r="O68" s="2260">
        <f>'[11]НВВ 26.09.23.'!O68+'[12]НВВ 26.09.'!O68+'[13]НВВ 26.09.23.'!O68</f>
        <v>32334.70857977085</v>
      </c>
      <c r="P68" s="2267">
        <f t="shared" si="3"/>
        <v>26252.72211540804</v>
      </c>
      <c r="Q68" s="2255">
        <f>'[11]НВВ 26.09.23.'!Q68+'[12]НВВ 26.09.'!Q68+'[13]НВВ 26.09.23.'!Q68</f>
        <v>32334.708796754494</v>
      </c>
      <c r="R68" s="2260">
        <f>'[11]НВВ 26.09.23.'!R68+'[12]НВВ 26.09.'!R68+'[13]НВВ 26.09.23.'!R68</f>
        <v>33628.097148624678</v>
      </c>
      <c r="S68" s="2268">
        <f t="shared" si="4"/>
        <v>32981.402972689582</v>
      </c>
      <c r="T68" s="2255">
        <f>'[11]НВВ 26.09.23.'!T68+'[12]НВВ 26.09.'!T68+'[13]НВВ 26.09.23.'!T68</f>
        <v>33628.097148624678</v>
      </c>
      <c r="U68" s="2260">
        <f>'[11]НВВ 26.09.23.'!U68+'[12]НВВ 26.09.'!U68+'[13]НВВ 26.09.23.'!U68</f>
        <v>34973.221034569666</v>
      </c>
      <c r="V68" s="2267">
        <f t="shared" si="5"/>
        <v>34300.659091597176</v>
      </c>
      <c r="W68" s="2255">
        <f>'[11]НВВ 26.09.23.'!W68+'[12]НВВ 26.09.'!W68+'[13]НВВ 26.09.23.'!W68</f>
        <v>34973.221034569666</v>
      </c>
      <c r="X68" s="2260">
        <f>'[11]НВВ 26.09.23.'!X68+'[12]НВВ 26.09.'!X68+'[13]НВВ 26.09.23.'!X68</f>
        <v>36372.149875952455</v>
      </c>
      <c r="Y68" s="2267">
        <f t="shared" si="6"/>
        <v>35672.68545526106</v>
      </c>
      <c r="Z68" s="2255">
        <f>'[11]НВВ 26.09.23.'!Z68+'[12]НВВ 26.09.'!Z68+'[13]НВВ 26.09.23.'!Z68</f>
        <v>36372.149875952455</v>
      </c>
      <c r="AA68" s="2260">
        <f>'[11]НВВ 26.09.23.'!AA68+'[12]НВВ 26.09.'!AA68+'[13]НВВ 26.09.23.'!AA68</f>
        <v>37827.035870990556</v>
      </c>
      <c r="AB68" s="2268">
        <f t="shared" si="7"/>
        <v>37099.592873471505</v>
      </c>
      <c r="AC68" s="2606"/>
      <c r="AD68" s="2606"/>
      <c r="AE68" s="2606"/>
      <c r="AF68" s="2593"/>
      <c r="AG68" s="2593"/>
      <c r="AH68" s="2593"/>
      <c r="AI68" s="2593"/>
      <c r="AJ68" s="2593"/>
    </row>
    <row r="69" spans="1:36" s="2218" customFormat="1" ht="24" customHeight="1" outlineLevel="1" thickBot="1">
      <c r="A69" s="2235">
        <v>117</v>
      </c>
      <c r="B69" s="2317" t="s">
        <v>120</v>
      </c>
      <c r="C69" s="2318" t="s">
        <v>1862</v>
      </c>
      <c r="D69" s="2510" t="s">
        <v>1317</v>
      </c>
      <c r="E69" s="2320">
        <f>E70+E77+E90+E91+E92+E93+E89</f>
        <v>31718.024746378709</v>
      </c>
      <c r="F69" s="2321">
        <f>F70+F77+F90+F91+F92+F93+F89</f>
        <v>32909.407990146559</v>
      </c>
      <c r="G69" s="2303">
        <f t="shared" si="0"/>
        <v>32313.716368262634</v>
      </c>
      <c r="H69" s="2321">
        <f>H70+H77+H90+H91+H92+H93+H89</f>
        <v>32701.466343923035</v>
      </c>
      <c r="I69" s="2321">
        <f>I70+I77+I90+I91+I92+I93+I89</f>
        <v>33706.955646657443</v>
      </c>
      <c r="J69" s="2303">
        <f t="shared" si="1"/>
        <v>33204.210995290239</v>
      </c>
      <c r="K69" s="2321">
        <f>K70+K77+K90+K91+K92+K93+K89</f>
        <v>18688.734886485669</v>
      </c>
      <c r="L69" s="2321">
        <f>L70+L77+L90+L91+L92+L93+L89</f>
        <v>19606.105870680782</v>
      </c>
      <c r="M69" s="2303">
        <f t="shared" si="2"/>
        <v>19147.420378583225</v>
      </c>
      <c r="N69" s="2320">
        <f>N70+N77+N90+N91+N92+N93+N89</f>
        <v>76163.885190367728</v>
      </c>
      <c r="O69" s="2322">
        <f>O70+O77+O90+O91+O92+O93+O89</f>
        <v>86230.630867333603</v>
      </c>
      <c r="P69" s="2304">
        <f t="shared" si="3"/>
        <v>81197.258028850658</v>
      </c>
      <c r="Q69" s="2320">
        <f>Q70+Q77+Q90+Q91+Q92+Q93+Q89</f>
        <v>86230.630867333617</v>
      </c>
      <c r="R69" s="2322">
        <f>R70+R77+R90+R91+R92+R93+R89</f>
        <v>89679.856102026955</v>
      </c>
      <c r="S69" s="2303">
        <f t="shared" si="4"/>
        <v>87955.243484680279</v>
      </c>
      <c r="T69" s="2320">
        <f>T70+T77+T90+T91+T92+T93+T89</f>
        <v>89679.856102026955</v>
      </c>
      <c r="U69" s="2322">
        <f>U70+U77+U90+U91+U92+U93+U89</f>
        <v>93267.050346108037</v>
      </c>
      <c r="V69" s="2304">
        <f t="shared" si="5"/>
        <v>91473.453224067489</v>
      </c>
      <c r="W69" s="2320">
        <f>W70+W77+W90+W91+W92+W93+W89</f>
        <v>93267.050346108037</v>
      </c>
      <c r="X69" s="2322">
        <f>X70+X77+X90+X91+X92+X93+X89</f>
        <v>96997.732359952352</v>
      </c>
      <c r="Y69" s="2304">
        <f t="shared" si="6"/>
        <v>95132.391353030194</v>
      </c>
      <c r="Z69" s="2320">
        <f>Z70+Z77+Z90+Z91+Z92+Z93+Z89</f>
        <v>96997.732359952366</v>
      </c>
      <c r="AA69" s="2322">
        <f>AA70+AA77+AA90+AA91+AA92+AA93+AA89</f>
        <v>100877.64165435046</v>
      </c>
      <c r="AB69" s="2303">
        <f t="shared" si="7"/>
        <v>98937.687007151413</v>
      </c>
      <c r="AC69" s="2606"/>
      <c r="AD69" s="2606"/>
      <c r="AE69" s="2606"/>
      <c r="AF69" s="2593"/>
      <c r="AG69" s="2593"/>
      <c r="AH69" s="2593"/>
      <c r="AI69" s="2593"/>
      <c r="AJ69" s="2593"/>
    </row>
    <row r="70" spans="1:36" s="2218" customFormat="1" ht="31.5" outlineLevel="1">
      <c r="A70" s="2235">
        <v>118</v>
      </c>
      <c r="B70" s="2243" t="s">
        <v>1863</v>
      </c>
      <c r="C70" s="2278" t="s">
        <v>1864</v>
      </c>
      <c r="D70" s="2499" t="s">
        <v>1317</v>
      </c>
      <c r="E70" s="2246">
        <f>E71+E72+E73+E74+E75+E76</f>
        <v>1287.196691119201</v>
      </c>
      <c r="F70" s="2247">
        <f>F71+F72+F73+F74+F75+F76</f>
        <v>1325.8125918527771</v>
      </c>
      <c r="G70" s="2248">
        <f t="shared" ref="G70:G133" si="20">E70/2+F70/2</f>
        <v>1306.5046414859889</v>
      </c>
      <c r="H70" s="2247">
        <f>H71+H72+H73+H74+H75+H76</f>
        <v>1272.9898076620266</v>
      </c>
      <c r="I70" s="2247">
        <f>I71+I72+I73+I74+I75+I76</f>
        <v>1318.8174407378597</v>
      </c>
      <c r="J70" s="2248">
        <f t="shared" ref="J70:J133" si="21">H70/2+I70/2</f>
        <v>1295.9036241999431</v>
      </c>
      <c r="K70" s="2247">
        <f>K71+K72+K73+K74+K75+K76</f>
        <v>1187.9283304731161</v>
      </c>
      <c r="L70" s="2247">
        <f>L71+L72+L73+L74+L75+L76</f>
        <v>1239.2121828854245</v>
      </c>
      <c r="M70" s="2250">
        <f t="shared" ref="M70:M133" si="22">K70/2+L70/2</f>
        <v>1213.5702566792702</v>
      </c>
      <c r="N70" s="2246">
        <f>N71+N72+N73+N74+N75+N76</f>
        <v>2341.588199726697</v>
      </c>
      <c r="O70" s="2251">
        <f>O71+O72+O73+O74+O75+O76</f>
        <v>4361.6347019413324</v>
      </c>
      <c r="P70" s="2249">
        <f t="shared" ref="P70:P133" si="23">N70/2+O70/2</f>
        <v>3351.6114508340147</v>
      </c>
      <c r="Q70" s="2246">
        <f>Q71+Q72+Q73+Q74+Q75+Q76</f>
        <v>4361.6347019413324</v>
      </c>
      <c r="R70" s="2251">
        <f>R71+R72+R73+R74+R75+R76</f>
        <v>4536.1000900189865</v>
      </c>
      <c r="S70" s="2250">
        <f t="shared" ref="S70:S133" si="24">Q70/2+R70/2</f>
        <v>4448.8673959801599</v>
      </c>
      <c r="T70" s="2246">
        <f>T71+T72+T73+T74+T75+T76</f>
        <v>4536.1000900189865</v>
      </c>
      <c r="U70" s="2251">
        <f>U71+U72+U73+U74+U75+U76</f>
        <v>4717.5440936197465</v>
      </c>
      <c r="V70" s="2249">
        <f t="shared" ref="V70:V133" si="25">T70/2+U70/2</f>
        <v>4626.8220918193665</v>
      </c>
      <c r="W70" s="2246">
        <f>W71+W72+W73+W74+W75+W76</f>
        <v>4717.5440936197465</v>
      </c>
      <c r="X70" s="2251">
        <f>X71+X72+X73+X74+X75+X76</f>
        <v>4906.2458573645363</v>
      </c>
      <c r="Y70" s="2249">
        <f t="shared" ref="Y70:Y133" si="26">W70/2+X70/2</f>
        <v>4811.8949754921414</v>
      </c>
      <c r="Z70" s="2246">
        <f>Z71+Z72+Z73+Z74+Z75+Z76</f>
        <v>4906.2458573645363</v>
      </c>
      <c r="AA70" s="2251">
        <f>AA71+AA72+AA73+AA74+AA75+AA76</f>
        <v>5102.4956916591182</v>
      </c>
      <c r="AB70" s="2250">
        <f t="shared" ref="AB70:AB133" si="27">Z70/2+AA70/2</f>
        <v>5004.3707745118272</v>
      </c>
      <c r="AC70" s="2606"/>
      <c r="AD70" s="2606"/>
      <c r="AE70" s="2606"/>
      <c r="AF70" s="2593"/>
      <c r="AG70" s="2593"/>
      <c r="AH70" s="2593"/>
      <c r="AI70" s="2593"/>
      <c r="AJ70" s="2593"/>
    </row>
    <row r="71" spans="1:36" s="2218" customFormat="1" outlineLevel="1">
      <c r="A71" s="2235">
        <v>119</v>
      </c>
      <c r="B71" s="2281" t="s">
        <v>1865</v>
      </c>
      <c r="C71" s="2282" t="s">
        <v>1866</v>
      </c>
      <c r="D71" s="2504" t="s">
        <v>1317</v>
      </c>
      <c r="E71" s="2284">
        <v>898.91091746831864</v>
      </c>
      <c r="F71" s="2285">
        <v>925.8782449923682</v>
      </c>
      <c r="G71" s="2257">
        <f t="shared" si="20"/>
        <v>912.39458123034342</v>
      </c>
      <c r="H71" s="2285">
        <v>983.90587067987042</v>
      </c>
      <c r="I71" s="2285">
        <v>1019.3264820243458</v>
      </c>
      <c r="J71" s="2257">
        <f t="shared" si="21"/>
        <v>1001.6161763521081</v>
      </c>
      <c r="K71" s="2285">
        <v>1108.8417305252267</v>
      </c>
      <c r="L71" s="2285">
        <v>1156.5219249378113</v>
      </c>
      <c r="M71" s="2259">
        <f t="shared" si="22"/>
        <v>1132.681827731519</v>
      </c>
      <c r="N71" s="2255">
        <f>'[11]НВВ 26.09.23.'!N71+'[12]НВВ 26.09.'!N71+'[13]НВВ 26.09.23.'!N71</f>
        <v>2182.4774622627911</v>
      </c>
      <c r="O71" s="2260">
        <f>'[11]НВВ 26.09.23.'!O71+'[12]НВВ 26.09.'!O71+'[13]НВВ 26.09.23.'!O71</f>
        <v>3300.4815840484953</v>
      </c>
      <c r="P71" s="2258">
        <f t="shared" si="23"/>
        <v>2741.4795231556432</v>
      </c>
      <c r="Q71" s="2255">
        <f>'[11]НВВ 26.09.23.'!Q71+'[12]НВВ 26.09.'!Q71+'[13]НВВ 26.09.23.'!Q71</f>
        <v>3300.4815840484953</v>
      </c>
      <c r="R71" s="2260">
        <f>'[11]НВВ 26.09.23.'!R71+'[12]НВВ 26.09.'!R71+'[13]НВВ 26.09.23.'!R71</f>
        <v>3432.5008474104352</v>
      </c>
      <c r="S71" s="2259">
        <f t="shared" si="24"/>
        <v>3366.4912157294652</v>
      </c>
      <c r="T71" s="2255">
        <f>'[11]НВВ 26.09.23.'!T71+'[12]НВВ 26.09.'!T71+'[13]НВВ 26.09.23.'!T71</f>
        <v>3432.5008474104352</v>
      </c>
      <c r="U71" s="2260">
        <f>'[11]НВВ 26.09.23.'!U71+'[12]НВВ 26.09.'!U71+'[13]НВВ 26.09.23.'!U71</f>
        <v>3569.8008813068527</v>
      </c>
      <c r="V71" s="2258">
        <f t="shared" si="25"/>
        <v>3501.150864358644</v>
      </c>
      <c r="W71" s="2255">
        <f>'[11]НВВ 26.09.23.'!W71+'[12]НВВ 26.09.'!W71+'[13]НВВ 26.09.23.'!W71</f>
        <v>3569.8008813068527</v>
      </c>
      <c r="X71" s="2260">
        <f>'[11]НВВ 26.09.23.'!X71+'[12]НВВ 26.09.'!X71+'[13]НВВ 26.09.23.'!X71</f>
        <v>3712.5929165591269</v>
      </c>
      <c r="Y71" s="2258">
        <f t="shared" si="26"/>
        <v>3641.1968989329898</v>
      </c>
      <c r="Z71" s="2255">
        <f>'[11]НВВ 26.09.23.'!Z71+'[12]НВВ 26.09.'!Z71+'[13]НВВ 26.09.23.'!Z71</f>
        <v>3712.5929165591269</v>
      </c>
      <c r="AA71" s="2260">
        <f>'[11]НВВ 26.09.23.'!AA71+'[12]НВВ 26.09.'!AA71+'[13]НВВ 26.09.23.'!AA71</f>
        <v>3861.0966332214921</v>
      </c>
      <c r="AB71" s="2259">
        <f t="shared" si="27"/>
        <v>3786.8447748903095</v>
      </c>
      <c r="AC71" s="2606"/>
      <c r="AD71" s="2606"/>
      <c r="AE71" s="2606"/>
      <c r="AF71" s="2593"/>
      <c r="AG71" s="2593"/>
      <c r="AH71" s="2593"/>
      <c r="AI71" s="2593"/>
      <c r="AJ71" s="2593"/>
    </row>
    <row r="72" spans="1:36" s="2218" customFormat="1" ht="21.75" hidden="1" customHeight="1" outlineLevel="2">
      <c r="A72" s="2235">
        <v>120</v>
      </c>
      <c r="B72" s="2281" t="s">
        <v>1868</v>
      </c>
      <c r="C72" s="2282" t="s">
        <v>1869</v>
      </c>
      <c r="D72" s="2504" t="s">
        <v>1317</v>
      </c>
      <c r="E72" s="2284">
        <v>63.987122092503448</v>
      </c>
      <c r="F72" s="2285">
        <v>65.906735755278547</v>
      </c>
      <c r="G72" s="2257">
        <f t="shared" si="20"/>
        <v>64.946928923890994</v>
      </c>
      <c r="H72" s="2285">
        <v>72.756100062527437</v>
      </c>
      <c r="I72" s="2285">
        <v>75.375319664778431</v>
      </c>
      <c r="J72" s="2257">
        <f t="shared" si="21"/>
        <v>74.065709863652927</v>
      </c>
      <c r="K72" s="2285"/>
      <c r="L72" s="2285"/>
      <c r="M72" s="2259">
        <f t="shared" si="22"/>
        <v>0</v>
      </c>
      <c r="N72" s="2294"/>
      <c r="O72" s="2506"/>
      <c r="P72" s="2258">
        <f t="shared" si="23"/>
        <v>0</v>
      </c>
      <c r="Q72" s="2294"/>
      <c r="R72" s="2506"/>
      <c r="S72" s="2259">
        <f t="shared" si="24"/>
        <v>0</v>
      </c>
      <c r="T72" s="2294"/>
      <c r="U72" s="2506"/>
      <c r="V72" s="2258">
        <f t="shared" si="25"/>
        <v>0</v>
      </c>
      <c r="W72" s="2294"/>
      <c r="X72" s="2506"/>
      <c r="Y72" s="2258">
        <f t="shared" si="26"/>
        <v>0</v>
      </c>
      <c r="Z72" s="2294"/>
      <c r="AA72" s="2506"/>
      <c r="AB72" s="2259">
        <f t="shared" si="27"/>
        <v>0</v>
      </c>
      <c r="AC72" s="2606"/>
      <c r="AD72" s="2606"/>
      <c r="AE72" s="2606"/>
      <c r="AF72" s="2593"/>
      <c r="AG72" s="2593"/>
      <c r="AH72" s="2593"/>
      <c r="AI72" s="2593"/>
      <c r="AJ72" s="2593"/>
    </row>
    <row r="73" spans="1:36" s="2218" customFormat="1" ht="22.5" customHeight="1" outlineLevel="1" collapsed="1">
      <c r="A73" s="2235">
        <v>121</v>
      </c>
      <c r="B73" s="2281" t="s">
        <v>1870</v>
      </c>
      <c r="C73" s="2282" t="s">
        <v>1871</v>
      </c>
      <c r="D73" s="2504" t="s">
        <v>1317</v>
      </c>
      <c r="E73" s="2284">
        <v>102.76719608796007</v>
      </c>
      <c r="F73" s="2285">
        <v>105.85021197059888</v>
      </c>
      <c r="G73" s="2257">
        <f t="shared" si="20"/>
        <v>104.30870402927948</v>
      </c>
      <c r="H73" s="2285">
        <v>10.188872934067637</v>
      </c>
      <c r="I73" s="2285">
        <v>10.555672359694073</v>
      </c>
      <c r="J73" s="2257">
        <f t="shared" si="21"/>
        <v>10.372272646880855</v>
      </c>
      <c r="K73" s="2285">
        <v>8.6518138041131092</v>
      </c>
      <c r="L73" s="2285">
        <v>9.0238417976899719</v>
      </c>
      <c r="M73" s="2259">
        <f t="shared" si="22"/>
        <v>8.8378278009015396</v>
      </c>
      <c r="N73" s="2255">
        <f>'[11]НВВ 26.09.23.'!N73+'[12]НВВ 26.09.'!N73+'[13]НВВ 26.09.23.'!N73</f>
        <v>17.028930383263003</v>
      </c>
      <c r="O73" s="2260">
        <f>'[11]НВВ 26.09.23.'!O73+'[12]НВВ 26.09.'!O73+'[13]НВВ 26.09.23.'!O73</f>
        <v>25.752234374842764</v>
      </c>
      <c r="P73" s="2258">
        <f t="shared" si="23"/>
        <v>21.390582379052884</v>
      </c>
      <c r="Q73" s="2255">
        <f>'[11]НВВ 26.09.23.'!Q73+'[12]НВВ 26.09.'!Q73+'[13]НВВ 26.09.23.'!Q73</f>
        <v>25.752234374842764</v>
      </c>
      <c r="R73" s="2260">
        <f>'[11]НВВ 26.09.23.'!R73+'[12]НВВ 26.09.'!R73+'[13]НВВ 26.09.23.'!R73</f>
        <v>26.782323749836472</v>
      </c>
      <c r="S73" s="2259">
        <f t="shared" si="24"/>
        <v>26.267279062339618</v>
      </c>
      <c r="T73" s="2255">
        <f>'[11]НВВ 26.09.23.'!T73+'[12]НВВ 26.09.'!T73+'[13]НВВ 26.09.23.'!T73</f>
        <v>26.782323749836472</v>
      </c>
      <c r="U73" s="2260">
        <f>'[11]НВВ 26.09.23.'!U73+'[12]НВВ 26.09.'!U73+'[13]НВВ 26.09.23.'!U73</f>
        <v>27.853616699829935</v>
      </c>
      <c r="V73" s="2258">
        <f t="shared" si="25"/>
        <v>27.317970224833203</v>
      </c>
      <c r="W73" s="2255">
        <f>'[11]НВВ 26.09.23.'!W73+'[12]НВВ 26.09.'!W73+'[13]НВВ 26.09.23.'!W73</f>
        <v>27.853616699829935</v>
      </c>
      <c r="X73" s="2260">
        <f>'[11]НВВ 26.09.23.'!X73+'[12]НВВ 26.09.'!X73+'[13]НВВ 26.09.23.'!X73</f>
        <v>28.96776136782313</v>
      </c>
      <c r="Y73" s="2258">
        <f t="shared" si="26"/>
        <v>28.410689033826532</v>
      </c>
      <c r="Z73" s="2255">
        <f>'[11]НВВ 26.09.23.'!Z73+'[12]НВВ 26.09.'!Z73+'[13]НВВ 26.09.23.'!Z73</f>
        <v>28.96776136782313</v>
      </c>
      <c r="AA73" s="2260">
        <f>'[11]НВВ 26.09.23.'!AA73+'[12]НВВ 26.09.'!AA73+'[13]НВВ 26.09.23.'!AA73</f>
        <v>30.126471822536057</v>
      </c>
      <c r="AB73" s="2259">
        <f t="shared" si="27"/>
        <v>29.547116595179595</v>
      </c>
      <c r="AC73" s="2606"/>
      <c r="AD73" s="2606"/>
      <c r="AE73" s="2606"/>
      <c r="AF73" s="2593"/>
      <c r="AG73" s="2593"/>
      <c r="AH73" s="2593"/>
      <c r="AI73" s="2593"/>
      <c r="AJ73" s="2593"/>
    </row>
    <row r="74" spans="1:36" s="2218" customFormat="1" ht="22.5" customHeight="1" outlineLevel="1">
      <c r="A74" s="2235">
        <v>122</v>
      </c>
      <c r="B74" s="2281" t="s">
        <v>1873</v>
      </c>
      <c r="C74" s="2282" t="s">
        <v>1874</v>
      </c>
      <c r="D74" s="2504" t="s">
        <v>1317</v>
      </c>
      <c r="E74" s="2284">
        <v>9.7919686838528008</v>
      </c>
      <c r="F74" s="2285">
        <v>10.085727744368386</v>
      </c>
      <c r="G74" s="2257">
        <f t="shared" si="20"/>
        <v>9.9388482141105925</v>
      </c>
      <c r="H74" s="2285">
        <v>3.8702622522888035</v>
      </c>
      <c r="I74" s="2285">
        <v>4.0095916933712008</v>
      </c>
      <c r="J74" s="2257">
        <f t="shared" si="21"/>
        <v>3.9399269728300021</v>
      </c>
      <c r="K74" s="2285">
        <v>9.5169951845244203</v>
      </c>
      <c r="L74" s="2285">
        <v>9.9262259774589694</v>
      </c>
      <c r="M74" s="2259">
        <f t="shared" si="22"/>
        <v>9.721610580991694</v>
      </c>
      <c r="N74" s="2255">
        <f>'[11]НВВ 26.09.23.'!N74+'[12]НВВ 26.09.'!N74+'[13]НВВ 26.09.23.'!N74</f>
        <v>18.731823421589304</v>
      </c>
      <c r="O74" s="2260">
        <f>'[11]НВВ 26.09.23.'!O74+'[12]НВВ 26.09.'!O74+'[13]НВВ 26.09.23.'!O74</f>
        <v>28.327457812327047</v>
      </c>
      <c r="P74" s="2258">
        <f t="shared" si="23"/>
        <v>23.529640616958176</v>
      </c>
      <c r="Q74" s="2255">
        <f>'[11]НВВ 26.09.23.'!Q74+'[12]НВВ 26.09.'!Q74+'[13]НВВ 26.09.23.'!Q74</f>
        <v>28.327457812327047</v>
      </c>
      <c r="R74" s="2260">
        <f>'[11]НВВ 26.09.23.'!R74+'[12]НВВ 26.09.'!R74+'[13]НВВ 26.09.23.'!R74</f>
        <v>29.46055612482013</v>
      </c>
      <c r="S74" s="2259">
        <f t="shared" si="24"/>
        <v>28.894006968573589</v>
      </c>
      <c r="T74" s="2255">
        <f>'[11]НВВ 26.09.23.'!T74+'[12]НВВ 26.09.'!T74+'[13]НВВ 26.09.23.'!T74</f>
        <v>29.46055612482013</v>
      </c>
      <c r="U74" s="2260">
        <f>'[11]НВВ 26.09.23.'!U74+'[12]НВВ 26.09.'!U74+'[13]НВВ 26.09.23.'!U74</f>
        <v>30.638978369812936</v>
      </c>
      <c r="V74" s="2258">
        <f t="shared" si="25"/>
        <v>30.049767247316531</v>
      </c>
      <c r="W74" s="2255">
        <f>'[11]НВВ 26.09.23.'!W74+'[12]НВВ 26.09.'!W74+'[13]НВВ 26.09.23.'!W74</f>
        <v>30.638978369812936</v>
      </c>
      <c r="X74" s="2260">
        <f>'[11]НВВ 26.09.23.'!X74+'[12]НВВ 26.09.'!X74+'[13]НВВ 26.09.23.'!X74</f>
        <v>31.864537504605451</v>
      </c>
      <c r="Y74" s="2258">
        <f t="shared" si="26"/>
        <v>31.251757937209192</v>
      </c>
      <c r="Z74" s="2255">
        <f>'[11]НВВ 26.09.23.'!Z74+'[12]НВВ 26.09.'!Z74+'[13]НВВ 26.09.23.'!Z74</f>
        <v>31.864537504605451</v>
      </c>
      <c r="AA74" s="2260">
        <f>'[11]НВВ 26.09.23.'!AA74+'[12]НВВ 26.09.'!AA74+'[13]НВВ 26.09.23.'!AA74</f>
        <v>33.13911900478967</v>
      </c>
      <c r="AB74" s="2259">
        <f t="shared" si="27"/>
        <v>32.501828254697557</v>
      </c>
      <c r="AC74" s="2606"/>
      <c r="AD74" s="2606"/>
      <c r="AE74" s="2606"/>
      <c r="AF74" s="2593"/>
      <c r="AG74" s="2593"/>
      <c r="AH74" s="2593"/>
      <c r="AI74" s="2593"/>
      <c r="AJ74" s="2593"/>
    </row>
    <row r="75" spans="1:36" s="2218" customFormat="1" ht="31.5" outlineLevel="1">
      <c r="A75" s="2235">
        <v>123</v>
      </c>
      <c r="B75" s="2281" t="s">
        <v>1876</v>
      </c>
      <c r="C75" s="2282" t="s">
        <v>1877</v>
      </c>
      <c r="D75" s="2504" t="s">
        <v>1317</v>
      </c>
      <c r="E75" s="2284">
        <v>76.283081374168887</v>
      </c>
      <c r="F75" s="2285">
        <v>78.571573815393961</v>
      </c>
      <c r="G75" s="2257">
        <f t="shared" si="20"/>
        <v>77.427327594781417</v>
      </c>
      <c r="H75" s="2285">
        <v>79.587836760187457</v>
      </c>
      <c r="I75" s="2285">
        <v>82.452998883554201</v>
      </c>
      <c r="J75" s="2257">
        <f t="shared" si="21"/>
        <v>81.020417821870836</v>
      </c>
      <c r="K75" s="2285">
        <f>65.6371910049335-4.71940004568142</f>
        <v>60.917790959252081</v>
      </c>
      <c r="L75" s="2285">
        <f>68.4595902181457-4.71940004568142</f>
        <v>63.740190172464288</v>
      </c>
      <c r="M75" s="2259">
        <f t="shared" si="22"/>
        <v>62.328990565858184</v>
      </c>
      <c r="N75" s="2255">
        <f>'[11]НВВ 26.09.23.'!N75+'[12]НВВ 26.09.'!N75+'[13]НВВ 26.09.23.'!N75</f>
        <v>120.28398037717626</v>
      </c>
      <c r="O75" s="2260">
        <f>'[11]НВВ 26.09.23.'!O75+'[12]НВВ 26.09.'!O75+'[13]НВВ 26.09.23.'!O75</f>
        <v>1003.7866701874959</v>
      </c>
      <c r="P75" s="2258">
        <f t="shared" si="23"/>
        <v>562.03532528233609</v>
      </c>
      <c r="Q75" s="2255">
        <f>'[11]НВВ 26.09.23.'!Q75+'[12]НВВ 26.09.'!Q75+'[13]НВВ 26.09.23.'!Q75</f>
        <v>1003.7866701874959</v>
      </c>
      <c r="R75" s="2260">
        <f>'[11]НВВ 26.09.23.'!R75+'[12]НВВ 26.09.'!R75+'[13]НВВ 26.09.23.'!R75</f>
        <v>1043.9381369949958</v>
      </c>
      <c r="S75" s="2259">
        <f t="shared" si="24"/>
        <v>1023.8624035912459</v>
      </c>
      <c r="T75" s="2255">
        <f>'[11]НВВ 26.09.23.'!T75+'[12]НВВ 26.09.'!T75+'[13]НВВ 26.09.23.'!T75</f>
        <v>1043.9381369949958</v>
      </c>
      <c r="U75" s="2260">
        <f>'[11]НВВ 26.09.23.'!U75+'[12]НВВ 26.09.'!U75+'[13]НВВ 26.09.23.'!U75</f>
        <v>1085.6956624747957</v>
      </c>
      <c r="V75" s="2258">
        <f t="shared" si="25"/>
        <v>1064.8168997348957</v>
      </c>
      <c r="W75" s="2255">
        <f>'[11]НВВ 26.09.23.'!W75+'[12]НВВ 26.09.'!W75+'[13]НВВ 26.09.23.'!W75</f>
        <v>1085.6956624747957</v>
      </c>
      <c r="X75" s="2260">
        <f>'[11]НВВ 26.09.23.'!X75+'[12]НВВ 26.09.'!X75+'[13]НВВ 26.09.23.'!X75</f>
        <v>1129.1234889737875</v>
      </c>
      <c r="Y75" s="2258">
        <f t="shared" si="26"/>
        <v>1107.4095757242917</v>
      </c>
      <c r="Z75" s="2255">
        <f>'[11]НВВ 26.09.23.'!Z75+'[12]НВВ 26.09.'!Z75+'[13]НВВ 26.09.23.'!Z75</f>
        <v>1129.1234889737875</v>
      </c>
      <c r="AA75" s="2260">
        <f>'[11]НВВ 26.09.23.'!AA75+'[12]НВВ 26.09.'!AA75+'[13]НВВ 26.09.23.'!AA75</f>
        <v>1174.2884285327389</v>
      </c>
      <c r="AB75" s="2259">
        <f t="shared" si="27"/>
        <v>1151.7059587532631</v>
      </c>
      <c r="AC75" s="2606"/>
      <c r="AD75" s="2606"/>
      <c r="AE75" s="2606"/>
      <c r="AF75" s="2593"/>
      <c r="AG75" s="2593"/>
      <c r="AH75" s="2593"/>
      <c r="AI75" s="2593"/>
      <c r="AJ75" s="2593"/>
    </row>
    <row r="76" spans="1:36" s="2218" customFormat="1" ht="18.75" customHeight="1" outlineLevel="1">
      <c r="A76" s="2235">
        <v>124</v>
      </c>
      <c r="B76" s="2281" t="s">
        <v>1879</v>
      </c>
      <c r="C76" s="2282" t="s">
        <v>1880</v>
      </c>
      <c r="D76" s="2504" t="s">
        <v>1317</v>
      </c>
      <c r="E76" s="2284">
        <v>135.45640541239723</v>
      </c>
      <c r="F76" s="2285">
        <v>139.52009757476915</v>
      </c>
      <c r="G76" s="2257">
        <f t="shared" si="20"/>
        <v>137.48825149358319</v>
      </c>
      <c r="H76" s="2285">
        <v>122.68086497308479</v>
      </c>
      <c r="I76" s="2285">
        <v>127.09737611211585</v>
      </c>
      <c r="J76" s="2257">
        <f t="shared" si="21"/>
        <v>124.88912054260032</v>
      </c>
      <c r="K76" s="2285"/>
      <c r="L76" s="2285"/>
      <c r="M76" s="2259">
        <f t="shared" si="22"/>
        <v>0</v>
      </c>
      <c r="N76" s="2255">
        <f>'[11]НВВ 26.09.23.'!N76+'[12]НВВ 26.09.'!N76+'[13]НВВ 26.09.23.'!N76</f>
        <v>3.0660032818772232</v>
      </c>
      <c r="O76" s="2260">
        <f>'[11]НВВ 26.09.23.'!O76+'[12]НВВ 26.09.'!O76+'[13]НВВ 26.09.23.'!O76</f>
        <v>3.2867555181723827</v>
      </c>
      <c r="P76" s="2258">
        <f t="shared" si="23"/>
        <v>3.1763794000248029</v>
      </c>
      <c r="Q76" s="2255">
        <f>'[11]НВВ 26.09.23.'!Q76+'[12]НВВ 26.09.'!Q76+'[13]НВВ 26.09.23.'!Q76</f>
        <v>3.2867555181723827</v>
      </c>
      <c r="R76" s="2260">
        <f>'[11]НВВ 26.09.23.'!R76+'[12]НВВ 26.09.'!R76+'[13]НВВ 26.09.23.'!R76</f>
        <v>3.4182257388992783</v>
      </c>
      <c r="S76" s="2259">
        <f t="shared" si="24"/>
        <v>3.3524906285358305</v>
      </c>
      <c r="T76" s="2255">
        <f>'[11]НВВ 26.09.23.'!T76+'[12]НВВ 26.09.'!T76+'[13]НВВ 26.09.23.'!T76</f>
        <v>3.4182257388992783</v>
      </c>
      <c r="U76" s="2260">
        <f>'[11]НВВ 26.09.23.'!U76+'[12]НВВ 26.09.'!U76+'[13]НВВ 26.09.23.'!U76</f>
        <v>3.5549547684552496</v>
      </c>
      <c r="V76" s="2258">
        <f t="shared" si="25"/>
        <v>3.4865902536772637</v>
      </c>
      <c r="W76" s="2255">
        <f>'[11]НВВ 26.09.23.'!W76+'[12]НВВ 26.09.'!W76+'[13]НВВ 26.09.23.'!W76</f>
        <v>3.5549547684552496</v>
      </c>
      <c r="X76" s="2260">
        <f>'[11]НВВ 26.09.23.'!X76+'[12]НВВ 26.09.'!X76+'[13]НВВ 26.09.23.'!X76</f>
        <v>3.6971529591934598</v>
      </c>
      <c r="Y76" s="2258">
        <f t="shared" si="26"/>
        <v>3.6260538638243549</v>
      </c>
      <c r="Z76" s="2255">
        <f>'[11]НВВ 26.09.23.'!Z76+'[12]НВВ 26.09.'!Z76+'[13]НВВ 26.09.23.'!Z76</f>
        <v>3.6971529591934598</v>
      </c>
      <c r="AA76" s="2260">
        <f>'[11]НВВ 26.09.23.'!AA76+'[12]НВВ 26.09.'!AA76+'[13]НВВ 26.09.23.'!AA76</f>
        <v>3.8450390775611982</v>
      </c>
      <c r="AB76" s="2259">
        <f t="shared" si="27"/>
        <v>3.771096018377329</v>
      </c>
      <c r="AC76" s="2606"/>
      <c r="AD76" s="2606"/>
      <c r="AE76" s="2606"/>
      <c r="AF76" s="2593"/>
      <c r="AG76" s="2593"/>
      <c r="AH76" s="2593"/>
      <c r="AI76" s="2593"/>
      <c r="AJ76" s="2593"/>
    </row>
    <row r="77" spans="1:36" s="2218" customFormat="1" ht="63" outlineLevel="1">
      <c r="A77" s="2235">
        <v>125</v>
      </c>
      <c r="B77" s="2279" t="s">
        <v>1882</v>
      </c>
      <c r="C77" s="2295" t="s">
        <v>1883</v>
      </c>
      <c r="D77" s="2500" t="s">
        <v>1317</v>
      </c>
      <c r="E77" s="2255">
        <f>E78+E88</f>
        <v>28765.077235054188</v>
      </c>
      <c r="F77" s="2256">
        <f>F78+F88</f>
        <v>29867.872053482301</v>
      </c>
      <c r="G77" s="2257">
        <f t="shared" si="20"/>
        <v>29316.474644268244</v>
      </c>
      <c r="H77" s="2256">
        <f>H78+H88</f>
        <v>29257.04878521643</v>
      </c>
      <c r="I77" s="2256">
        <f>I78+I88</f>
        <v>30138.539055837402</v>
      </c>
      <c r="J77" s="2257">
        <f t="shared" si="21"/>
        <v>29697.793920526914</v>
      </c>
      <c r="K77" s="2256">
        <f>K78+K88</f>
        <v>15897.681773456257</v>
      </c>
      <c r="L77" s="2256">
        <f>L78+L88</f>
        <v>16694.834539589141</v>
      </c>
      <c r="M77" s="2259">
        <f t="shared" si="22"/>
        <v>16296.258156522699</v>
      </c>
      <c r="N77" s="2255">
        <f>N78+N88</f>
        <v>72409.919608501135</v>
      </c>
      <c r="O77" s="2260">
        <f>O78+O88</f>
        <v>77645.268484180968</v>
      </c>
      <c r="P77" s="2258">
        <f t="shared" si="23"/>
        <v>75027.594046341052</v>
      </c>
      <c r="Q77" s="2255">
        <f>Q78+Q88</f>
        <v>77645.268484180982</v>
      </c>
      <c r="R77" s="2260">
        <f>R78+R88</f>
        <v>80751.079223548222</v>
      </c>
      <c r="S77" s="2259">
        <f t="shared" si="24"/>
        <v>79198.173853864602</v>
      </c>
      <c r="T77" s="2255">
        <f>T78+T88</f>
        <v>80751.079223548222</v>
      </c>
      <c r="U77" s="2260">
        <f>U78+U88</f>
        <v>83981.122392490142</v>
      </c>
      <c r="V77" s="2258">
        <f t="shared" si="25"/>
        <v>82366.100808019182</v>
      </c>
      <c r="W77" s="2255">
        <f>W78+W88</f>
        <v>83981.122392490142</v>
      </c>
      <c r="X77" s="2260">
        <f>W77*1.04</f>
        <v>87340.367288189751</v>
      </c>
      <c r="Y77" s="2258">
        <f t="shared" si="26"/>
        <v>85660.744840339947</v>
      </c>
      <c r="Z77" s="2255">
        <f>Z78+Z88</f>
        <v>87340.367288189766</v>
      </c>
      <c r="AA77" s="2260">
        <f>Z77*1.04</f>
        <v>90833.981979717355</v>
      </c>
      <c r="AB77" s="2259">
        <f t="shared" si="27"/>
        <v>89087.17463395356</v>
      </c>
      <c r="AC77" s="2606"/>
      <c r="AD77" s="2606"/>
      <c r="AE77" s="2606"/>
      <c r="AF77" s="2593"/>
      <c r="AG77" s="2593"/>
      <c r="AH77" s="2593"/>
      <c r="AI77" s="2593"/>
      <c r="AJ77" s="2593"/>
    </row>
    <row r="78" spans="1:36" s="2218" customFormat="1" ht="30.75" customHeight="1" outlineLevel="1">
      <c r="A78" s="2235">
        <v>126</v>
      </c>
      <c r="B78" s="2279" t="s">
        <v>1884</v>
      </c>
      <c r="C78" s="2280" t="s">
        <v>1885</v>
      </c>
      <c r="D78" s="2500" t="s">
        <v>1317</v>
      </c>
      <c r="E78" s="2255">
        <f>E79*E87*12/1000</f>
        <v>22234.649303038099</v>
      </c>
      <c r="F78" s="2256">
        <f>F79*F87*12/1000</f>
        <v>23141.531283505727</v>
      </c>
      <c r="G78" s="2257">
        <f t="shared" si="20"/>
        <v>22688.090293271911</v>
      </c>
      <c r="H78" s="2256">
        <f>H79*H87*12/1000</f>
        <v>22665.198171522759</v>
      </c>
      <c r="I78" s="2256">
        <f>I79*I87*12/1000</f>
        <v>23348.081527823175</v>
      </c>
      <c r="J78" s="2257">
        <f t="shared" si="21"/>
        <v>23006.639849672967</v>
      </c>
      <c r="K78" s="2256">
        <f>K79*K87*12/1000</f>
        <v>12271.212164579452</v>
      </c>
      <c r="L78" s="2256">
        <f>L79*L87*12/1000</f>
        <v>12886.523935200668</v>
      </c>
      <c r="M78" s="2259">
        <f t="shared" si="22"/>
        <v>12578.868049890061</v>
      </c>
      <c r="N78" s="2255">
        <f>'[11]НВВ 26.09.23.'!N78+'[12]НВВ 26.09.'!N78+'[13]НВВ 26.09.23.'!N78</f>
        <v>55630.021324957139</v>
      </c>
      <c r="O78" s="2260">
        <f>'[11]НВВ 26.09.23.'!O78+'[12]НВВ 26.09.'!O78+'[13]НВВ 26.09.23.'!O78</f>
        <v>59635.382860354053</v>
      </c>
      <c r="P78" s="2258">
        <f t="shared" si="23"/>
        <v>57632.7020926556</v>
      </c>
      <c r="Q78" s="2255">
        <f>'[11]НВВ 26.09.23.'!Q78+'[12]НВВ 26.09.'!Q78+'[13]НВВ 26.09.23.'!Q78</f>
        <v>59635.382860354061</v>
      </c>
      <c r="R78" s="2260">
        <f>'[11]НВВ 26.09.23.'!R78+'[12]НВВ 26.09.'!R78+'[13]НВВ 26.09.23.'!R78</f>
        <v>62020.798174768221</v>
      </c>
      <c r="S78" s="2259">
        <f t="shared" si="24"/>
        <v>60828.090517561141</v>
      </c>
      <c r="T78" s="2255">
        <f>'[11]НВВ 26.09.23.'!T78+'[12]НВВ 26.09.'!T78+'[13]НВВ 26.09.23.'!T78</f>
        <v>62020.798174768221</v>
      </c>
      <c r="U78" s="2260">
        <f>'[11]НВВ 26.09.23.'!U78+'[12]НВВ 26.09.'!U78+'[13]НВВ 26.09.23.'!U78</f>
        <v>64501.630101758943</v>
      </c>
      <c r="V78" s="2258">
        <f t="shared" si="25"/>
        <v>63261.214138263582</v>
      </c>
      <c r="W78" s="2255">
        <f>'[11]НВВ 26.09.23.'!W78+'[12]НВВ 26.09.'!W78+'[13]НВВ 26.09.23.'!W78</f>
        <v>64501.630101758943</v>
      </c>
      <c r="X78" s="2260">
        <f>'[11]НВВ 26.09.23.'!X78+'[12]НВВ 26.09.'!X78+'[13]НВВ 26.09.23.'!X78</f>
        <v>67081.695305829315</v>
      </c>
      <c r="Y78" s="2258">
        <f t="shared" si="26"/>
        <v>65791.662703794136</v>
      </c>
      <c r="Z78" s="2255">
        <f>'[11]НВВ 26.09.23.'!Z78+'[12]НВВ 26.09.'!Z78+'[13]НВВ 26.09.23.'!Z78</f>
        <v>67081.695305829315</v>
      </c>
      <c r="AA78" s="2260">
        <f>'[11]НВВ 26.09.23.'!AA78+'[12]НВВ 26.09.'!AA78+'[13]НВВ 26.09.23.'!AA78</f>
        <v>69764.963118062486</v>
      </c>
      <c r="AB78" s="2259">
        <f t="shared" si="27"/>
        <v>68423.329211945907</v>
      </c>
      <c r="AC78" s="2606"/>
      <c r="AD78" s="2606"/>
      <c r="AE78" s="2606"/>
      <c r="AF78" s="2593"/>
      <c r="AG78" s="2593"/>
      <c r="AH78" s="2593"/>
      <c r="AI78" s="2593"/>
      <c r="AJ78" s="2593"/>
    </row>
    <row r="79" spans="1:36" s="3038" customFormat="1" ht="30.75" hidden="1" customHeight="1" outlineLevel="1">
      <c r="A79" s="3032">
        <v>617</v>
      </c>
      <c r="B79" s="3033" t="s">
        <v>1886</v>
      </c>
      <c r="C79" s="3034" t="s">
        <v>1887</v>
      </c>
      <c r="D79" s="2543" t="s">
        <v>1888</v>
      </c>
      <c r="E79" s="3031">
        <f>E80+E81+E82+E85+E86</f>
        <v>49516.583973680805</v>
      </c>
      <c r="F79" s="2885">
        <f>F80+F81+F82+F85+F86</f>
        <v>51536.2109589334</v>
      </c>
      <c r="G79" s="3035">
        <f t="shared" si="20"/>
        <v>50526.397466307099</v>
      </c>
      <c r="H79" s="2885">
        <f>H80+H81+H82+H85+H86</f>
        <v>53964.757551244664</v>
      </c>
      <c r="I79" s="2885">
        <f>I80+I81+I82+I85+I86</f>
        <v>55590.670304340892</v>
      </c>
      <c r="J79" s="3035">
        <f t="shared" si="21"/>
        <v>54777.713927792778</v>
      </c>
      <c r="K79" s="2885">
        <f>K80+K81+K82+K85+K86</f>
        <v>48695.28636737878</v>
      </c>
      <c r="L79" s="2885">
        <f>L80+L81+L82+L85+L86</f>
        <v>51136.9997428598</v>
      </c>
      <c r="M79" s="3036">
        <f t="shared" si="22"/>
        <v>49916.14305511929</v>
      </c>
      <c r="N79" s="2294"/>
      <c r="O79" s="2506"/>
      <c r="P79" s="3037">
        <f t="shared" si="23"/>
        <v>0</v>
      </c>
      <c r="Q79" s="2294"/>
      <c r="R79" s="3039">
        <f>R80+R81+R82+R85+R86</f>
        <v>0</v>
      </c>
      <c r="S79" s="3036">
        <f t="shared" si="24"/>
        <v>0</v>
      </c>
      <c r="T79" s="2294"/>
      <c r="U79" s="3039">
        <f>U80+U81+U82+U85+U86</f>
        <v>0</v>
      </c>
      <c r="V79" s="3037">
        <f t="shared" si="25"/>
        <v>0</v>
      </c>
      <c r="W79" s="2294"/>
      <c r="X79" s="3039">
        <f>X80+X81+X82+X85+X86</f>
        <v>0</v>
      </c>
      <c r="Y79" s="3037">
        <f t="shared" si="26"/>
        <v>0</v>
      </c>
      <c r="Z79" s="2294"/>
      <c r="AA79" s="3039">
        <f>AA80+AA81+AA82+AA85+AA86</f>
        <v>0</v>
      </c>
      <c r="AB79" s="3036">
        <f t="shared" si="27"/>
        <v>0</v>
      </c>
      <c r="AC79" s="2609"/>
      <c r="AD79" s="2609"/>
      <c r="AE79" s="2609"/>
      <c r="AF79" s="2593"/>
      <c r="AG79" s="2593"/>
      <c r="AH79" s="2593"/>
      <c r="AI79" s="2593"/>
      <c r="AJ79" s="2593"/>
    </row>
    <row r="80" spans="1:36" s="2218" customFormat="1" ht="31.5" hidden="1">
      <c r="A80" s="2235">
        <v>288</v>
      </c>
      <c r="B80" s="2281" t="s">
        <v>1889</v>
      </c>
      <c r="C80" s="2282" t="s">
        <v>1890</v>
      </c>
      <c r="D80" s="2504" t="s">
        <v>1793</v>
      </c>
      <c r="E80" s="2284">
        <v>21466.614372294353</v>
      </c>
      <c r="F80" s="2285">
        <v>22334.936635101989</v>
      </c>
      <c r="G80" s="2257">
        <f t="shared" si="20"/>
        <v>21900.775503698169</v>
      </c>
      <c r="H80" s="2285">
        <v>19095.707795267954</v>
      </c>
      <c r="I80" s="2285">
        <v>19668.579029125995</v>
      </c>
      <c r="J80" s="2257">
        <f t="shared" si="21"/>
        <v>19382.143412196972</v>
      </c>
      <c r="K80" s="2285">
        <v>15982.831357758625</v>
      </c>
      <c r="L80" s="2285">
        <v>16781.972925646558</v>
      </c>
      <c r="M80" s="2259">
        <f t="shared" si="22"/>
        <v>16382.402141702591</v>
      </c>
      <c r="N80" s="2255"/>
      <c r="O80" s="2260"/>
      <c r="P80" s="2258">
        <f t="shared" si="23"/>
        <v>0</v>
      </c>
      <c r="Q80" s="2284">
        <f>O80</f>
        <v>0</v>
      </c>
      <c r="R80" s="2286">
        <f>Q80*1.04</f>
        <v>0</v>
      </c>
      <c r="S80" s="2259">
        <f t="shared" si="24"/>
        <v>0</v>
      </c>
      <c r="T80" s="2284">
        <f>R80</f>
        <v>0</v>
      </c>
      <c r="U80" s="2286">
        <f>T80*1.04</f>
        <v>0</v>
      </c>
      <c r="V80" s="2258">
        <f t="shared" si="25"/>
        <v>0</v>
      </c>
      <c r="W80" s="2284">
        <f>U80</f>
        <v>0</v>
      </c>
      <c r="X80" s="2286">
        <f>W80*1.04</f>
        <v>0</v>
      </c>
      <c r="Y80" s="2258">
        <f t="shared" si="26"/>
        <v>0</v>
      </c>
      <c r="Z80" s="2284">
        <f>X80</f>
        <v>0</v>
      </c>
      <c r="AA80" s="2286">
        <f>Z80*1.04</f>
        <v>0</v>
      </c>
      <c r="AB80" s="2259">
        <f t="shared" si="27"/>
        <v>0</v>
      </c>
      <c r="AC80" s="2606"/>
      <c r="AD80" s="2606"/>
      <c r="AE80" s="2606"/>
      <c r="AF80" s="2593"/>
      <c r="AG80" s="2593"/>
      <c r="AH80" s="2593"/>
      <c r="AI80" s="2593"/>
      <c r="AJ80" s="2593"/>
    </row>
    <row r="81" spans="1:36" s="3038" customFormat="1" ht="21" hidden="1" customHeight="1">
      <c r="A81" s="3032">
        <v>297</v>
      </c>
      <c r="B81" s="3033" t="s">
        <v>1891</v>
      </c>
      <c r="C81" s="3034" t="s">
        <v>1846</v>
      </c>
      <c r="D81" s="2543" t="s">
        <v>1784</v>
      </c>
      <c r="E81" s="2294"/>
      <c r="F81" s="2296"/>
      <c r="G81" s="3035">
        <f t="shared" si="20"/>
        <v>0</v>
      </c>
      <c r="H81" s="2296"/>
      <c r="I81" s="2296"/>
      <c r="J81" s="3035">
        <f t="shared" si="21"/>
        <v>0</v>
      </c>
      <c r="K81" s="2296"/>
      <c r="L81" s="2296"/>
      <c r="M81" s="3036">
        <f t="shared" si="22"/>
        <v>0</v>
      </c>
      <c r="N81" s="2294"/>
      <c r="O81" s="2506"/>
      <c r="P81" s="3037">
        <f t="shared" si="23"/>
        <v>0</v>
      </c>
      <c r="Q81" s="2294"/>
      <c r="R81" s="2506"/>
      <c r="S81" s="3036">
        <f t="shared" si="24"/>
        <v>0</v>
      </c>
      <c r="T81" s="2294"/>
      <c r="U81" s="2506"/>
      <c r="V81" s="3037">
        <f t="shared" si="25"/>
        <v>0</v>
      </c>
      <c r="W81" s="2294"/>
      <c r="X81" s="2506"/>
      <c r="Y81" s="3037">
        <f t="shared" si="26"/>
        <v>0</v>
      </c>
      <c r="Z81" s="2294"/>
      <c r="AA81" s="2506"/>
      <c r="AB81" s="3036">
        <f t="shared" si="27"/>
        <v>0</v>
      </c>
      <c r="AC81" s="2609"/>
      <c r="AD81" s="2609"/>
      <c r="AE81" s="2609"/>
      <c r="AF81" s="2593"/>
      <c r="AG81" s="2593"/>
      <c r="AH81" s="2593"/>
      <c r="AI81" s="2593"/>
      <c r="AJ81" s="2593"/>
    </row>
    <row r="82" spans="1:36" s="3038" customFormat="1" ht="21" hidden="1" customHeight="1">
      <c r="A82" s="3032">
        <v>615</v>
      </c>
      <c r="B82" s="3033" t="s">
        <v>1892</v>
      </c>
      <c r="C82" s="3034" t="s">
        <v>1786</v>
      </c>
      <c r="D82" s="2543" t="s">
        <v>1893</v>
      </c>
      <c r="E82" s="3031">
        <f>E83*E84</f>
        <v>15333.295980210269</v>
      </c>
      <c r="F82" s="2885">
        <f>F83*F84</f>
        <v>15962.647680890541</v>
      </c>
      <c r="G82" s="3035">
        <f t="shared" si="20"/>
        <v>15647.971830550405</v>
      </c>
      <c r="H82" s="2885">
        <f>H83*H84</f>
        <v>14958.749307159354</v>
      </c>
      <c r="I82" s="2885">
        <f>I83*I84</f>
        <v>15414.481812933025</v>
      </c>
      <c r="J82" s="3035">
        <f t="shared" si="21"/>
        <v>15186.61556004619</v>
      </c>
      <c r="K82" s="2885">
        <f>K83*K84</f>
        <v>15982.831357758625</v>
      </c>
      <c r="L82" s="2885">
        <f>L83*L84</f>
        <v>16788.921982758624</v>
      </c>
      <c r="M82" s="3036">
        <f t="shared" si="22"/>
        <v>16385.876670258625</v>
      </c>
      <c r="N82" s="3031"/>
      <c r="O82" s="3039"/>
      <c r="P82" s="3037">
        <f t="shared" si="23"/>
        <v>0</v>
      </c>
      <c r="Q82" s="3031">
        <f>Q83*Q84</f>
        <v>0</v>
      </c>
      <c r="R82" s="3039">
        <f>R83*R84</f>
        <v>0</v>
      </c>
      <c r="S82" s="3036">
        <f t="shared" si="24"/>
        <v>0</v>
      </c>
      <c r="T82" s="3031">
        <f>T83*T84</f>
        <v>0</v>
      </c>
      <c r="U82" s="3039">
        <f>U83*U84</f>
        <v>0</v>
      </c>
      <c r="V82" s="3037">
        <f t="shared" si="25"/>
        <v>0</v>
      </c>
      <c r="W82" s="3031">
        <f>W83*W84</f>
        <v>0</v>
      </c>
      <c r="X82" s="3039">
        <f>X83*X84</f>
        <v>0</v>
      </c>
      <c r="Y82" s="3037">
        <f t="shared" si="26"/>
        <v>0</v>
      </c>
      <c r="Z82" s="3031">
        <f>Z83*Z84</f>
        <v>0</v>
      </c>
      <c r="AA82" s="3039">
        <f>AA83*AA84</f>
        <v>0</v>
      </c>
      <c r="AB82" s="3036">
        <f t="shared" si="27"/>
        <v>0</v>
      </c>
      <c r="AC82" s="2609"/>
      <c r="AD82" s="2609"/>
      <c r="AE82" s="2609"/>
      <c r="AF82" s="2593"/>
      <c r="AG82" s="2593"/>
      <c r="AH82" s="2593"/>
      <c r="AI82" s="2593"/>
      <c r="AJ82" s="2593"/>
    </row>
    <row r="83" spans="1:36" s="3038" customFormat="1" ht="21" hidden="1" customHeight="1">
      <c r="A83" s="3032">
        <v>131</v>
      </c>
      <c r="B83" s="3033" t="s">
        <v>1894</v>
      </c>
      <c r="C83" s="3034" t="s">
        <v>1788</v>
      </c>
      <c r="D83" s="2543" t="s">
        <v>1784</v>
      </c>
      <c r="E83" s="2294">
        <v>5360</v>
      </c>
      <c r="F83" s="2296">
        <v>5580</v>
      </c>
      <c r="G83" s="3035">
        <f t="shared" si="20"/>
        <v>5470</v>
      </c>
      <c r="H83" s="2296">
        <v>5580</v>
      </c>
      <c r="I83" s="2296">
        <v>5750</v>
      </c>
      <c r="J83" s="3035">
        <f t="shared" si="21"/>
        <v>5665</v>
      </c>
      <c r="K83" s="2296">
        <v>5750</v>
      </c>
      <c r="L83" s="2296">
        <v>6040</v>
      </c>
      <c r="M83" s="3036">
        <f t="shared" si="22"/>
        <v>5895</v>
      </c>
      <c r="N83" s="2294"/>
      <c r="O83" s="2506"/>
      <c r="P83" s="3037">
        <f t="shared" si="23"/>
        <v>0</v>
      </c>
      <c r="Q83" s="2294">
        <f>O83</f>
        <v>0</v>
      </c>
      <c r="R83" s="2506">
        <f>Q83*1.04</f>
        <v>0</v>
      </c>
      <c r="S83" s="3036">
        <f t="shared" si="24"/>
        <v>0</v>
      </c>
      <c r="T83" s="2294">
        <f>R83</f>
        <v>0</v>
      </c>
      <c r="U83" s="2506">
        <f>T83*1.04</f>
        <v>0</v>
      </c>
      <c r="V83" s="3037">
        <f t="shared" si="25"/>
        <v>0</v>
      </c>
      <c r="W83" s="2294">
        <f>U83</f>
        <v>0</v>
      </c>
      <c r="X83" s="2506">
        <f>W83*1.04</f>
        <v>0</v>
      </c>
      <c r="Y83" s="3037">
        <f t="shared" si="26"/>
        <v>0</v>
      </c>
      <c r="Z83" s="2294">
        <f>X83</f>
        <v>0</v>
      </c>
      <c r="AA83" s="2506">
        <f>Z83*1.04</f>
        <v>0</v>
      </c>
      <c r="AB83" s="3036">
        <f t="shared" si="27"/>
        <v>0</v>
      </c>
      <c r="AC83" s="2609"/>
      <c r="AD83" s="2609"/>
      <c r="AE83" s="2609"/>
      <c r="AF83" s="2593"/>
      <c r="AG83" s="2593"/>
      <c r="AH83" s="2593"/>
      <c r="AI83" s="2593"/>
      <c r="AJ83" s="2593"/>
    </row>
    <row r="84" spans="1:36" s="3038" customFormat="1" ht="21" hidden="1" customHeight="1">
      <c r="A84" s="3032">
        <v>134</v>
      </c>
      <c r="B84" s="3033" t="s">
        <v>1895</v>
      </c>
      <c r="C84" s="3034" t="s">
        <v>1790</v>
      </c>
      <c r="D84" s="2543"/>
      <c r="E84" s="2294">
        <v>2.8606895485466919</v>
      </c>
      <c r="F84" s="2296">
        <v>2.8606895485466919</v>
      </c>
      <c r="G84" s="3035">
        <f t="shared" si="20"/>
        <v>2.8606895485466919</v>
      </c>
      <c r="H84" s="2296">
        <v>2.6807794457274827</v>
      </c>
      <c r="I84" s="2296">
        <v>2.6807794457274827</v>
      </c>
      <c r="J84" s="3035">
        <f t="shared" si="21"/>
        <v>2.6807794457274827</v>
      </c>
      <c r="K84" s="2296">
        <v>2.7796228448275868</v>
      </c>
      <c r="L84" s="2296">
        <v>2.7796228448275868</v>
      </c>
      <c r="M84" s="3036">
        <f t="shared" si="22"/>
        <v>2.7796228448275868</v>
      </c>
      <c r="N84" s="2294"/>
      <c r="O84" s="2506"/>
      <c r="P84" s="3037">
        <f t="shared" si="23"/>
        <v>0</v>
      </c>
      <c r="Q84" s="2294">
        <f>O84</f>
        <v>0</v>
      </c>
      <c r="R84" s="2506">
        <f>Q84</f>
        <v>0</v>
      </c>
      <c r="S84" s="3036">
        <f t="shared" si="24"/>
        <v>0</v>
      </c>
      <c r="T84" s="2294">
        <f>R84</f>
        <v>0</v>
      </c>
      <c r="U84" s="2506">
        <f>T84</f>
        <v>0</v>
      </c>
      <c r="V84" s="3037">
        <f t="shared" si="25"/>
        <v>0</v>
      </c>
      <c r="W84" s="2294">
        <f>U84</f>
        <v>0</v>
      </c>
      <c r="X84" s="2506">
        <f>W84</f>
        <v>0</v>
      </c>
      <c r="Y84" s="3037">
        <f t="shared" si="26"/>
        <v>0</v>
      </c>
      <c r="Z84" s="2294">
        <f>X84</f>
        <v>0</v>
      </c>
      <c r="AA84" s="2506">
        <f>Z84</f>
        <v>0</v>
      </c>
      <c r="AB84" s="3036">
        <f t="shared" si="27"/>
        <v>0</v>
      </c>
      <c r="AC84" s="2609"/>
      <c r="AD84" s="2609"/>
      <c r="AE84" s="2609"/>
      <c r="AF84" s="2593"/>
      <c r="AG84" s="2593"/>
      <c r="AH84" s="2593"/>
      <c r="AI84" s="2593"/>
      <c r="AJ84" s="2593"/>
    </row>
    <row r="85" spans="1:36" s="2218" customFormat="1" ht="21" hidden="1" customHeight="1">
      <c r="A85" s="2235">
        <v>618</v>
      </c>
      <c r="B85" s="2281" t="s">
        <v>1896</v>
      </c>
      <c r="C85" s="2282" t="s">
        <v>1795</v>
      </c>
      <c r="D85" s="2504" t="s">
        <v>1784</v>
      </c>
      <c r="E85" s="2284">
        <v>12716.67362117618</v>
      </c>
      <c r="F85" s="2285">
        <v>13238.626642940873</v>
      </c>
      <c r="G85" s="2257">
        <f t="shared" si="20"/>
        <v>12977.650132058527</v>
      </c>
      <c r="H85" s="2285">
        <v>19910.300448817354</v>
      </c>
      <c r="I85" s="2285">
        <v>20507.609462281875</v>
      </c>
      <c r="J85" s="2257">
        <f t="shared" si="21"/>
        <v>20208.954955549612</v>
      </c>
      <c r="K85" s="2285">
        <v>16729.623651861533</v>
      </c>
      <c r="L85" s="2285">
        <v>17566.104834454611</v>
      </c>
      <c r="M85" s="2259">
        <f t="shared" si="22"/>
        <v>17147.864243158074</v>
      </c>
      <c r="N85" s="2255"/>
      <c r="O85" s="2260"/>
      <c r="P85" s="2258">
        <f t="shared" si="23"/>
        <v>0</v>
      </c>
      <c r="Q85" s="2284">
        <f>O85</f>
        <v>0</v>
      </c>
      <c r="R85" s="2286">
        <f>Q85*1.04</f>
        <v>0</v>
      </c>
      <c r="S85" s="2259">
        <f t="shared" si="24"/>
        <v>0</v>
      </c>
      <c r="T85" s="2284">
        <f>R85</f>
        <v>0</v>
      </c>
      <c r="U85" s="2286">
        <f>T85*1.04</f>
        <v>0</v>
      </c>
      <c r="V85" s="2258">
        <f t="shared" si="25"/>
        <v>0</v>
      </c>
      <c r="W85" s="2284">
        <f>U85</f>
        <v>0</v>
      </c>
      <c r="X85" s="2286">
        <f>W85*1.04</f>
        <v>0</v>
      </c>
      <c r="Y85" s="2258">
        <f t="shared" si="26"/>
        <v>0</v>
      </c>
      <c r="Z85" s="2284">
        <f>X85</f>
        <v>0</v>
      </c>
      <c r="AA85" s="2286">
        <f>Z85*1.04</f>
        <v>0</v>
      </c>
      <c r="AB85" s="2259">
        <f t="shared" si="27"/>
        <v>0</v>
      </c>
      <c r="AC85" s="2606"/>
      <c r="AD85" s="2606"/>
      <c r="AE85" s="2606"/>
      <c r="AF85" s="2593"/>
      <c r="AG85" s="2593"/>
      <c r="AH85" s="2593"/>
      <c r="AI85" s="2593"/>
      <c r="AJ85" s="2593"/>
    </row>
    <row r="86" spans="1:36" s="2218" customFormat="1" ht="33" hidden="1" customHeight="1" outlineLevel="2">
      <c r="A86" s="2235">
        <v>619</v>
      </c>
      <c r="B86" s="2281" t="s">
        <v>1897</v>
      </c>
      <c r="C86" s="2282" t="s">
        <v>1898</v>
      </c>
      <c r="D86" s="2504" t="s">
        <v>1784</v>
      </c>
      <c r="E86" s="2284"/>
      <c r="F86" s="2285"/>
      <c r="G86" s="2257">
        <f t="shared" si="20"/>
        <v>0</v>
      </c>
      <c r="H86" s="2285"/>
      <c r="I86" s="2285"/>
      <c r="J86" s="2257">
        <f t="shared" si="21"/>
        <v>0</v>
      </c>
      <c r="K86" s="2285">
        <v>0</v>
      </c>
      <c r="L86" s="2285">
        <v>0</v>
      </c>
      <c r="M86" s="2259">
        <f t="shared" si="22"/>
        <v>0</v>
      </c>
      <c r="N86" s="2284"/>
      <c r="O86" s="2286"/>
      <c r="P86" s="2258">
        <f t="shared" si="23"/>
        <v>0</v>
      </c>
      <c r="Q86" s="2284"/>
      <c r="R86" s="2286"/>
      <c r="S86" s="2259">
        <f t="shared" si="24"/>
        <v>0</v>
      </c>
      <c r="T86" s="2284"/>
      <c r="U86" s="2286"/>
      <c r="V86" s="2258">
        <f t="shared" si="25"/>
        <v>0</v>
      </c>
      <c r="W86" s="2284"/>
      <c r="X86" s="2286"/>
      <c r="Y86" s="2258">
        <f t="shared" si="26"/>
        <v>0</v>
      </c>
      <c r="Z86" s="2284"/>
      <c r="AA86" s="2286"/>
      <c r="AB86" s="2259">
        <f t="shared" si="27"/>
        <v>0</v>
      </c>
      <c r="AC86" s="2606"/>
      <c r="AD86" s="2606"/>
      <c r="AE86" s="2606"/>
      <c r="AF86" s="2593"/>
      <c r="AG86" s="2593"/>
      <c r="AH86" s="2593"/>
      <c r="AI86" s="2593"/>
      <c r="AJ86" s="2593"/>
    </row>
    <row r="87" spans="1:36" s="2218" customFormat="1" ht="31.5" outlineLevel="1" collapsed="1">
      <c r="A87" s="2235">
        <v>127</v>
      </c>
      <c r="B87" s="2281" t="s">
        <v>1899</v>
      </c>
      <c r="C87" s="2282" t="s">
        <v>1799</v>
      </c>
      <c r="D87" s="2504" t="s">
        <v>1800</v>
      </c>
      <c r="E87" s="2284">
        <v>37.419532876191404</v>
      </c>
      <c r="F87" s="2285">
        <v>37.419532876191404</v>
      </c>
      <c r="G87" s="2257">
        <f t="shared" si="20"/>
        <v>37.419532876191404</v>
      </c>
      <c r="H87" s="2285">
        <v>35</v>
      </c>
      <c r="I87" s="2285">
        <v>35</v>
      </c>
      <c r="J87" s="2257">
        <f t="shared" si="21"/>
        <v>35</v>
      </c>
      <c r="K87" s="2285">
        <v>21</v>
      </c>
      <c r="L87" s="2285">
        <v>21</v>
      </c>
      <c r="M87" s="2259">
        <f t="shared" si="22"/>
        <v>21</v>
      </c>
      <c r="N87" s="2255">
        <f>'[11]НВВ 26.09.23.'!N87+'[12]НВВ 26.09.'!N87+'[13]НВВ 26.09.23.'!N87</f>
        <v>78.141915820364943</v>
      </c>
      <c r="O87" s="2260">
        <f>'[11]НВВ 26.09.23.'!O87+'[12]НВВ 26.09.'!O87+'[13]НВВ 26.09.23.'!O87</f>
        <v>78.141915820364943</v>
      </c>
      <c r="P87" s="2258">
        <f t="shared" si="23"/>
        <v>78.141915820364943</v>
      </c>
      <c r="Q87" s="2255">
        <f>'[11]НВВ 26.09.23.'!Q87+'[12]НВВ 26.09.'!Q87+'[13]НВВ 26.09.23.'!Q87</f>
        <v>78.141915820364943</v>
      </c>
      <c r="R87" s="2260">
        <f>'[11]НВВ 26.09.23.'!R87+'[12]НВВ 26.09.'!R87+'[13]НВВ 26.09.23.'!R87</f>
        <v>78.141915820364943</v>
      </c>
      <c r="S87" s="2259">
        <f t="shared" si="24"/>
        <v>78.141915820364943</v>
      </c>
      <c r="T87" s="2255">
        <f>'[11]НВВ 26.09.23.'!T87+'[12]НВВ 26.09.'!T87+'[13]НВВ 26.09.23.'!T87</f>
        <v>78.141915820364943</v>
      </c>
      <c r="U87" s="2260">
        <f>'[11]НВВ 26.09.23.'!U87+'[12]НВВ 26.09.'!U87+'[13]НВВ 26.09.23.'!U87</f>
        <v>78.141915820364943</v>
      </c>
      <c r="V87" s="2258">
        <f t="shared" si="25"/>
        <v>78.141915820364943</v>
      </c>
      <c r="W87" s="2255">
        <f>'[11]НВВ 26.09.23.'!W87+'[12]НВВ 26.09.'!W87+'[13]НВВ 26.09.23.'!W87</f>
        <v>78.141915820364943</v>
      </c>
      <c r="X87" s="2260">
        <f>'[11]НВВ 26.09.23.'!X87+'[12]НВВ 26.09.'!X87+'[13]НВВ 26.09.23.'!X87</f>
        <v>78.141915820364943</v>
      </c>
      <c r="Y87" s="2258">
        <f t="shared" si="26"/>
        <v>78.141915820364943</v>
      </c>
      <c r="Z87" s="2255">
        <f>'[11]НВВ 26.09.23.'!Z87+'[12]НВВ 26.09.'!Z87+'[13]НВВ 26.09.23.'!Z87</f>
        <v>78.141915820364943</v>
      </c>
      <c r="AA87" s="2260">
        <f>'[11]НВВ 26.09.23.'!AA87+'[12]НВВ 26.09.'!AA87+'[13]НВВ 26.09.23.'!AA87</f>
        <v>78.141915820364943</v>
      </c>
      <c r="AB87" s="2259">
        <f t="shared" si="27"/>
        <v>78.141915820364943</v>
      </c>
      <c r="AC87" s="2606"/>
      <c r="AD87" s="2606"/>
      <c r="AE87" s="2606"/>
      <c r="AF87" s="2593"/>
      <c r="AG87" s="2593"/>
      <c r="AH87" s="2593"/>
      <c r="AI87" s="2593"/>
      <c r="AJ87" s="2593"/>
    </row>
    <row r="88" spans="1:36" s="2218" customFormat="1" ht="47.25" outlineLevel="1">
      <c r="A88" s="2235">
        <v>137</v>
      </c>
      <c r="B88" s="2287" t="s">
        <v>1901</v>
      </c>
      <c r="C88" s="2288" t="s">
        <v>1902</v>
      </c>
      <c r="D88" s="2505" t="s">
        <v>1317</v>
      </c>
      <c r="E88" s="2290">
        <v>6530.4279320160895</v>
      </c>
      <c r="F88" s="2291">
        <v>6726.3407699765721</v>
      </c>
      <c r="G88" s="2257">
        <f t="shared" si="20"/>
        <v>6628.3843509963308</v>
      </c>
      <c r="H88" s="2291">
        <v>6591.8506136936685</v>
      </c>
      <c r="I88" s="2291">
        <v>6790.4575280142262</v>
      </c>
      <c r="J88" s="2257">
        <f t="shared" si="21"/>
        <v>6691.1540708539469</v>
      </c>
      <c r="K88" s="2291">
        <v>3626.4696088768055</v>
      </c>
      <c r="L88" s="2291">
        <v>3808.3106043884736</v>
      </c>
      <c r="M88" s="2259">
        <f t="shared" si="22"/>
        <v>3717.3901066326398</v>
      </c>
      <c r="N88" s="2255">
        <f>'[11]НВВ 26.09.23.'!N88+'[12]НВВ 26.09.'!N88+'[13]НВВ 26.09.23.'!N88</f>
        <v>16779.898283543993</v>
      </c>
      <c r="O88" s="2260">
        <f>'[11]НВВ 26.09.23.'!O88+'[12]НВВ 26.09.'!O88+'[13]НВВ 26.09.23.'!O88</f>
        <v>18009.885623826922</v>
      </c>
      <c r="P88" s="2258">
        <f t="shared" si="23"/>
        <v>17394.891953685459</v>
      </c>
      <c r="Q88" s="2255">
        <f>'[11]НВВ 26.09.23.'!Q88+'[12]НВВ 26.09.'!Q88+'[13]НВВ 26.09.23.'!Q88</f>
        <v>18009.885623826922</v>
      </c>
      <c r="R88" s="2260">
        <f>'[11]НВВ 26.09.23.'!R88+'[12]НВВ 26.09.'!R88+'[13]НВВ 26.09.23.'!R88</f>
        <v>18730.281048779998</v>
      </c>
      <c r="S88" s="2259">
        <f t="shared" si="24"/>
        <v>18370.083336303462</v>
      </c>
      <c r="T88" s="2255">
        <f>'[11]НВВ 26.09.23.'!T88+'[12]НВВ 26.09.'!T88+'[13]НВВ 26.09.23.'!T88</f>
        <v>18730.281048779998</v>
      </c>
      <c r="U88" s="2260">
        <f>'[11]НВВ 26.09.23.'!U88+'[12]НВВ 26.09.'!U88+'[13]НВВ 26.09.23.'!U88</f>
        <v>19479.492290731199</v>
      </c>
      <c r="V88" s="2258">
        <f t="shared" si="25"/>
        <v>19104.8866697556</v>
      </c>
      <c r="W88" s="2255">
        <f>'[11]НВВ 26.09.23.'!W88+'[12]НВВ 26.09.'!W88+'[13]НВВ 26.09.23.'!W88</f>
        <v>19479.492290731199</v>
      </c>
      <c r="X88" s="2260">
        <f>'[11]НВВ 26.09.23.'!X88+'[12]НВВ 26.09.'!X88+'[13]НВВ 26.09.23.'!X88</f>
        <v>20258.671982360451</v>
      </c>
      <c r="Y88" s="2258">
        <f t="shared" si="26"/>
        <v>19869.082136545825</v>
      </c>
      <c r="Z88" s="2255">
        <f>'[11]НВВ 26.09.23.'!Z88+'[12]НВВ 26.09.'!Z88+'[13]НВВ 26.09.23.'!Z88</f>
        <v>20258.671982360451</v>
      </c>
      <c r="AA88" s="2260">
        <f>'[11]НВВ 26.09.23.'!AA88+'[12]НВВ 26.09.'!AA88+'[13]НВВ 26.09.23.'!AA88</f>
        <v>21069.018861654869</v>
      </c>
      <c r="AB88" s="2259">
        <f t="shared" si="27"/>
        <v>20663.84542200766</v>
      </c>
      <c r="AC88" s="2606"/>
      <c r="AD88" s="2606"/>
      <c r="AE88" s="2606"/>
      <c r="AF88" s="2593"/>
      <c r="AG88" s="2593"/>
      <c r="AH88" s="2593"/>
      <c r="AI88" s="2593"/>
      <c r="AJ88" s="2593"/>
    </row>
    <row r="89" spans="1:36" s="2218" customFormat="1" ht="78.75" outlineLevel="1">
      <c r="A89" s="2235">
        <v>138</v>
      </c>
      <c r="B89" s="2281" t="s">
        <v>1904</v>
      </c>
      <c r="C89" s="2293" t="s">
        <v>1905</v>
      </c>
      <c r="D89" s="2504" t="s">
        <v>1317</v>
      </c>
      <c r="E89" s="2284"/>
      <c r="F89" s="2285"/>
      <c r="G89" s="2257">
        <f t="shared" si="20"/>
        <v>0</v>
      </c>
      <c r="H89" s="2285">
        <f>6.69452/1.018</f>
        <v>6.5761493123772103</v>
      </c>
      <c r="I89" s="2285">
        <f>H89*1.036</f>
        <v>6.8128906876227902</v>
      </c>
      <c r="J89" s="2257">
        <f t="shared" si="21"/>
        <v>6.6945200000000007</v>
      </c>
      <c r="K89" s="2285">
        <f>23.05511/1.0215</f>
        <v>22.569858051884481</v>
      </c>
      <c r="L89" s="2285">
        <f>K89*1.043</f>
        <v>23.54036194811551</v>
      </c>
      <c r="M89" s="2259">
        <f t="shared" si="22"/>
        <v>23.055109999999996</v>
      </c>
      <c r="N89" s="2255">
        <f>'[11]НВВ 26.09.23.'!N89+'[12]НВВ 26.09.'!N89+'[13]НВВ 26.09.23.'!N89</f>
        <v>15.330625907990377</v>
      </c>
      <c r="O89" s="2260">
        <f>'[11]НВВ 26.09.23.'!O89+'[12]НВВ 26.09.'!O89+'[13]НВВ 26.09.23.'!O89</f>
        <v>983.53217600394976</v>
      </c>
      <c r="P89" s="2258">
        <f t="shared" si="23"/>
        <v>499.43140095597005</v>
      </c>
      <c r="Q89" s="2255">
        <f>'[11]НВВ 26.09.23.'!Q89+'[12]НВВ 26.09.'!Q89+'[13]НВВ 26.09.23.'!Q89</f>
        <v>983.53217600394976</v>
      </c>
      <c r="R89" s="2260">
        <f>'[11]НВВ 26.09.23.'!R89+'[12]НВВ 26.09.'!R89+'[13]НВВ 26.09.23.'!R89</f>
        <v>1022.8734630441078</v>
      </c>
      <c r="S89" s="2259">
        <f t="shared" si="24"/>
        <v>1003.2028195240288</v>
      </c>
      <c r="T89" s="2255">
        <f>'[11]НВВ 26.09.23.'!T89+'[12]НВВ 26.09.'!T89+'[13]НВВ 26.09.23.'!T89</f>
        <v>1022.8734630441078</v>
      </c>
      <c r="U89" s="2260">
        <f>'[11]НВВ 26.09.23.'!U89+'[12]НВВ 26.09.'!U89+'[13]НВВ 26.09.23.'!U89</f>
        <v>1063.7884015658722</v>
      </c>
      <c r="V89" s="2258">
        <f t="shared" si="25"/>
        <v>1043.33093230499</v>
      </c>
      <c r="W89" s="2255">
        <f>'[11]НВВ 26.09.23.'!W89+'[12]НВВ 26.09.'!W89+'[13]НВВ 26.09.23.'!W89</f>
        <v>1063.7884015658722</v>
      </c>
      <c r="X89" s="2260">
        <f>'[11]НВВ 26.09.23.'!X89+'[12]НВВ 26.09.'!X89+'[13]НВВ 26.09.23.'!X89</f>
        <v>1106.3399376285072</v>
      </c>
      <c r="Y89" s="2258">
        <f t="shared" si="26"/>
        <v>1085.0641695971897</v>
      </c>
      <c r="Z89" s="2255">
        <f>'[11]НВВ 26.09.23.'!Z89+'[12]НВВ 26.09.'!Z89+'[13]НВВ 26.09.23.'!Z89</f>
        <v>1106.3399376285072</v>
      </c>
      <c r="AA89" s="2260">
        <f>'[11]НВВ 26.09.23.'!AA89+'[12]НВВ 26.09.'!AA89+'[13]НВВ 26.09.23.'!AA89</f>
        <v>1150.5935351336475</v>
      </c>
      <c r="AB89" s="2259">
        <f t="shared" si="27"/>
        <v>1128.4667363810772</v>
      </c>
      <c r="AC89" s="2606"/>
      <c r="AD89" s="2606"/>
      <c r="AE89" s="2606"/>
      <c r="AF89" s="2593"/>
      <c r="AG89" s="2593"/>
      <c r="AH89" s="2593"/>
      <c r="AI89" s="2593"/>
      <c r="AJ89" s="2593"/>
    </row>
    <row r="90" spans="1:36" s="2218" customFormat="1" ht="23.25" customHeight="1" outlineLevel="1">
      <c r="A90" s="2235">
        <v>139</v>
      </c>
      <c r="B90" s="2281" t="s">
        <v>1907</v>
      </c>
      <c r="C90" s="2293" t="s">
        <v>1908</v>
      </c>
      <c r="D90" s="2504" t="s">
        <v>1317</v>
      </c>
      <c r="E90" s="2284">
        <v>1131.7414105218998</v>
      </c>
      <c r="F90" s="2285">
        <v>1165.6936528375568</v>
      </c>
      <c r="G90" s="2257">
        <f t="shared" si="20"/>
        <v>1148.7175316797284</v>
      </c>
      <c r="H90" s="2285">
        <v>1474.6304106635287</v>
      </c>
      <c r="I90" s="2285">
        <v>1527.7171054474156</v>
      </c>
      <c r="J90" s="2257">
        <f t="shared" si="21"/>
        <v>1501.1737580554723</v>
      </c>
      <c r="K90" s="2285">
        <v>1042.1710523391096</v>
      </c>
      <c r="L90" s="2285">
        <v>1086.9844075896913</v>
      </c>
      <c r="M90" s="2259">
        <f t="shared" si="22"/>
        <v>1064.5777299644005</v>
      </c>
      <c r="N90" s="2255">
        <f>'[11]НВВ 26.09.23.'!N90+'[12]НВВ 26.09.'!N90+'[13]НВВ 26.09.23.'!N90</f>
        <v>736.62233939005932</v>
      </c>
      <c r="O90" s="2260">
        <f>'[11]НВВ 26.09.23.'!O90+'[12]НВВ 26.09.'!O90+'[13]НВВ 26.09.23.'!O90</f>
        <v>2044.6225596982372</v>
      </c>
      <c r="P90" s="2258">
        <f t="shared" si="23"/>
        <v>1390.6224495441484</v>
      </c>
      <c r="Q90" s="2255">
        <f>'[11]НВВ 26.09.23.'!Q90+'[12]НВВ 26.09.'!Q90+'[13]НВВ 26.09.23.'!Q90</f>
        <v>2044.6225596982372</v>
      </c>
      <c r="R90" s="2260">
        <f>'[11]НВВ 26.09.23.'!R90+'[12]НВВ 26.09.'!R90+'[13]НВВ 26.09.23.'!R90</f>
        <v>2126.4074620861666</v>
      </c>
      <c r="S90" s="2259">
        <f t="shared" si="24"/>
        <v>2085.5150108922016</v>
      </c>
      <c r="T90" s="2255">
        <f>'[11]НВВ 26.09.23.'!T90+'[12]НВВ 26.09.'!T90+'[13]НВВ 26.09.23.'!T90</f>
        <v>2126.4074620861666</v>
      </c>
      <c r="U90" s="2260">
        <f>'[11]НВВ 26.09.23.'!U90+'[12]НВВ 26.09.'!U90+'[13]НВВ 26.09.23.'!U90</f>
        <v>2211.4637605696134</v>
      </c>
      <c r="V90" s="2258">
        <f t="shared" si="25"/>
        <v>2168.93561132789</v>
      </c>
      <c r="W90" s="2255">
        <f>'[11]НВВ 26.09.23.'!W90+'[12]НВВ 26.09.'!W90+'[13]НВВ 26.09.23.'!W90</f>
        <v>2211.4637605696134</v>
      </c>
      <c r="X90" s="2260">
        <f>'[11]НВВ 26.09.23.'!X90+'[12]НВВ 26.09.'!X90+'[13]НВВ 26.09.23.'!X90</f>
        <v>2299.9223109923978</v>
      </c>
      <c r="Y90" s="2258">
        <f t="shared" si="26"/>
        <v>2255.6930357810056</v>
      </c>
      <c r="Z90" s="2255">
        <f>'[11]НВВ 26.09.23.'!Z90+'[12]НВВ 26.09.'!Z90+'[13]НВВ 26.09.23.'!Z90</f>
        <v>2299.9223109923978</v>
      </c>
      <c r="AA90" s="2260">
        <f>'[11]НВВ 26.09.23.'!AA90+'[12]НВВ 26.09.'!AA90+'[13]НВВ 26.09.23.'!AA90</f>
        <v>2391.919203432094</v>
      </c>
      <c r="AB90" s="2259">
        <f t="shared" si="27"/>
        <v>2345.9207572122459</v>
      </c>
      <c r="AC90" s="2606"/>
      <c r="AD90" s="2606"/>
      <c r="AE90" s="2606"/>
      <c r="AF90" s="2593"/>
      <c r="AG90" s="2593"/>
      <c r="AH90" s="2593"/>
      <c r="AI90" s="2593"/>
      <c r="AJ90" s="2593"/>
    </row>
    <row r="91" spans="1:36" s="2218" customFormat="1" ht="24" customHeight="1" outlineLevel="1">
      <c r="A91" s="2235">
        <v>140</v>
      </c>
      <c r="B91" s="2281" t="s">
        <v>1909</v>
      </c>
      <c r="C91" s="2293" t="s">
        <v>1910</v>
      </c>
      <c r="D91" s="2504" t="s">
        <v>1317</v>
      </c>
      <c r="E91" s="2284">
        <v>197.99557487625884</v>
      </c>
      <c r="F91" s="2285">
        <v>203.93544212254662</v>
      </c>
      <c r="G91" s="2257">
        <f t="shared" si="20"/>
        <v>200.96550849940274</v>
      </c>
      <c r="H91" s="2285">
        <v>368.89499753838112</v>
      </c>
      <c r="I91" s="2285">
        <v>382.17521744976284</v>
      </c>
      <c r="J91" s="2257">
        <f t="shared" si="21"/>
        <v>375.53510749407201</v>
      </c>
      <c r="K91" s="2285">
        <v>228.91367523145038</v>
      </c>
      <c r="L91" s="2285">
        <v>238.75696326640272</v>
      </c>
      <c r="M91" s="2259">
        <f t="shared" si="22"/>
        <v>233.83531924892657</v>
      </c>
      <c r="N91" s="2255">
        <f>'[11]НВВ 26.09.23.'!N91+'[12]НВВ 26.09.'!N91+'[13]НВВ 26.09.23.'!N91</f>
        <v>450.55928474096902</v>
      </c>
      <c r="O91" s="2260">
        <f>'[11]НВВ 26.09.23.'!O91+'[12]НВВ 26.09.'!O91+'[13]НВВ 26.09.23.'!O91</f>
        <v>681.36448028555878</v>
      </c>
      <c r="P91" s="2258">
        <f t="shared" si="23"/>
        <v>565.96188251326384</v>
      </c>
      <c r="Q91" s="2255">
        <f>'[11]НВВ 26.09.23.'!Q91+'[12]НВВ 26.09.'!Q91+'[13]НВВ 26.09.23.'!Q91</f>
        <v>681.36448028555878</v>
      </c>
      <c r="R91" s="2260">
        <f>'[11]НВВ 26.09.23.'!R91+'[12]НВВ 26.09.'!R91+'[13]НВВ 26.09.23.'!R91</f>
        <v>708.61905949698109</v>
      </c>
      <c r="S91" s="2259">
        <f t="shared" si="24"/>
        <v>694.99176989127</v>
      </c>
      <c r="T91" s="2255">
        <f>'[11]НВВ 26.09.23.'!T91+'[12]НВВ 26.09.'!T91+'[13]НВВ 26.09.23.'!T91</f>
        <v>708.61905949698109</v>
      </c>
      <c r="U91" s="2260">
        <f>'[11]НВВ 26.09.23.'!U91+'[12]НВВ 26.09.'!U91+'[13]НВВ 26.09.23.'!U91</f>
        <v>736.96382187686038</v>
      </c>
      <c r="V91" s="2258">
        <f t="shared" si="25"/>
        <v>722.79144068692074</v>
      </c>
      <c r="W91" s="2255">
        <f>'[11]НВВ 26.09.23.'!W91+'[12]НВВ 26.09.'!W91+'[13]НВВ 26.09.23.'!W91</f>
        <v>736.96382187686038</v>
      </c>
      <c r="X91" s="2260">
        <f>'[11]НВВ 26.09.23.'!X91+'[12]НВВ 26.09.'!X91+'[13]НВВ 26.09.23.'!X91</f>
        <v>766.44237475193495</v>
      </c>
      <c r="Y91" s="2258">
        <f t="shared" si="26"/>
        <v>751.70309831439772</v>
      </c>
      <c r="Z91" s="2255">
        <f>'[11]НВВ 26.09.23.'!Z91+'[12]НВВ 26.09.'!Z91+'[13]НВВ 26.09.23.'!Z91</f>
        <v>766.44237475193495</v>
      </c>
      <c r="AA91" s="2260">
        <f>'[11]НВВ 26.09.23.'!AA91+'[12]НВВ 26.09.'!AA91+'[13]НВВ 26.09.23.'!AA91</f>
        <v>797.10006974201224</v>
      </c>
      <c r="AB91" s="2259">
        <f t="shared" si="27"/>
        <v>781.77122224697359</v>
      </c>
      <c r="AC91" s="2606"/>
      <c r="AD91" s="2606"/>
      <c r="AE91" s="2606"/>
      <c r="AF91" s="2593"/>
      <c r="AG91" s="2593"/>
      <c r="AH91" s="2593"/>
      <c r="AI91" s="2593"/>
      <c r="AJ91" s="2593"/>
    </row>
    <row r="92" spans="1:36" s="2218" customFormat="1" ht="21" customHeight="1" outlineLevel="1">
      <c r="A92" s="2235">
        <v>141</v>
      </c>
      <c r="B92" s="2281" t="s">
        <v>1912</v>
      </c>
      <c r="C92" s="2293" t="s">
        <v>1913</v>
      </c>
      <c r="D92" s="2504" t="s">
        <v>1317</v>
      </c>
      <c r="E92" s="2284">
        <v>336.01383480716436</v>
      </c>
      <c r="F92" s="2285">
        <v>346.09424985137929</v>
      </c>
      <c r="G92" s="2257">
        <f t="shared" si="20"/>
        <v>341.05404232927185</v>
      </c>
      <c r="H92" s="2285">
        <v>321.32619353029406</v>
      </c>
      <c r="I92" s="2285">
        <v>332.89393649738469</v>
      </c>
      <c r="J92" s="2257">
        <f t="shared" si="21"/>
        <v>327.1100650138394</v>
      </c>
      <c r="K92" s="2285">
        <v>309.47019693385243</v>
      </c>
      <c r="L92" s="2285">
        <v>322.77741540200805</v>
      </c>
      <c r="M92" s="2259">
        <f t="shared" si="22"/>
        <v>316.12380616793024</v>
      </c>
      <c r="N92" s="2255">
        <f>'[11]НВВ 26.09.23.'!N92+'[12]НВВ 26.09.'!N92+'[13]НВВ 26.09.23.'!N92</f>
        <v>209.86513210088185</v>
      </c>
      <c r="O92" s="2260">
        <f>'[11]НВВ 26.09.23.'!O92+'[12]НВВ 26.09.'!O92+'[13]НВВ 26.09.23.'!O92</f>
        <v>514.20846522355237</v>
      </c>
      <c r="P92" s="2258">
        <f t="shared" si="23"/>
        <v>362.03679866221711</v>
      </c>
      <c r="Q92" s="2255">
        <f>'[11]НВВ 26.09.23.'!Q92+'[12]НВВ 26.09.'!Q92+'[13]НВВ 26.09.23.'!Q92</f>
        <v>514.20846522355237</v>
      </c>
      <c r="R92" s="2260">
        <f>'[11]НВВ 26.09.23.'!R92+'[12]НВВ 26.09.'!R92+'[13]НВВ 26.09.23.'!R92</f>
        <v>534.77680383249447</v>
      </c>
      <c r="S92" s="2259">
        <f t="shared" si="24"/>
        <v>524.49263452802347</v>
      </c>
      <c r="T92" s="2255">
        <f>'[11]НВВ 26.09.23.'!T92+'[12]НВВ 26.09.'!T92+'[13]НВВ 26.09.23.'!T92</f>
        <v>534.77680383249447</v>
      </c>
      <c r="U92" s="2260">
        <f>'[11]НВВ 26.09.23.'!U92+'[12]НВВ 26.09.'!U92+'[13]НВВ 26.09.23.'!U92</f>
        <v>556.16787598579435</v>
      </c>
      <c r="V92" s="2258">
        <f t="shared" si="25"/>
        <v>545.47233990914447</v>
      </c>
      <c r="W92" s="2255">
        <f>'[11]НВВ 26.09.23.'!W92+'[12]НВВ 26.09.'!W92+'[13]НВВ 26.09.23.'!W92</f>
        <v>556.16787598579435</v>
      </c>
      <c r="X92" s="2260">
        <f>'[11]НВВ 26.09.23.'!X92+'[12]НВВ 26.09.'!X92+'[13]НВВ 26.09.23.'!X92</f>
        <v>578.41459102522617</v>
      </c>
      <c r="Y92" s="2258">
        <f t="shared" si="26"/>
        <v>567.29123350551026</v>
      </c>
      <c r="Z92" s="2255">
        <f>'[11]НВВ 26.09.23.'!Z92+'[12]НВВ 26.09.'!Z92+'[13]НВВ 26.09.23.'!Z92</f>
        <v>578.41459102522617</v>
      </c>
      <c r="AA92" s="2260">
        <f>'[11]НВВ 26.09.23.'!AA92+'[12]НВВ 26.09.'!AA92+'[13]НВВ 26.09.23.'!AA92</f>
        <v>601.55117466623517</v>
      </c>
      <c r="AB92" s="2259">
        <f t="shared" si="27"/>
        <v>589.98288284573073</v>
      </c>
      <c r="AC92" s="2606"/>
      <c r="AD92" s="2606"/>
      <c r="AE92" s="2606"/>
      <c r="AF92" s="2593"/>
      <c r="AG92" s="2593"/>
      <c r="AH92" s="2593"/>
      <c r="AI92" s="2593"/>
      <c r="AJ92" s="2593"/>
    </row>
    <row r="93" spans="1:36" s="2218" customFormat="1" ht="21" customHeight="1" outlineLevel="1" thickBot="1">
      <c r="A93" s="2235">
        <v>142</v>
      </c>
      <c r="B93" s="2279" t="s">
        <v>1915</v>
      </c>
      <c r="C93" s="2295" t="s">
        <v>1916</v>
      </c>
      <c r="D93" s="2500" t="s">
        <v>1317</v>
      </c>
      <c r="E93" s="2255">
        <f>E94+E95</f>
        <v>0</v>
      </c>
      <c r="F93" s="2256">
        <f>F94+F95</f>
        <v>0</v>
      </c>
      <c r="G93" s="2257">
        <f t="shared" si="20"/>
        <v>0</v>
      </c>
      <c r="H93" s="2256">
        <f>H94+H95</f>
        <v>0</v>
      </c>
      <c r="I93" s="2256">
        <f>I94+I95</f>
        <v>0</v>
      </c>
      <c r="J93" s="2257">
        <f t="shared" si="21"/>
        <v>0</v>
      </c>
      <c r="K93" s="2256">
        <f>K94+K95</f>
        <v>0</v>
      </c>
      <c r="L93" s="2256">
        <f>L94+L95</f>
        <v>0</v>
      </c>
      <c r="M93" s="2259">
        <f t="shared" si="22"/>
        <v>0</v>
      </c>
      <c r="N93" s="2255">
        <f>N94+N95</f>
        <v>0</v>
      </c>
      <c r="O93" s="2260">
        <f>O94+O95</f>
        <v>0</v>
      </c>
      <c r="P93" s="2258">
        <f t="shared" si="23"/>
        <v>0</v>
      </c>
      <c r="Q93" s="2255">
        <f>Q94+Q95</f>
        <v>0</v>
      </c>
      <c r="R93" s="2260">
        <f>R94+R95</f>
        <v>0</v>
      </c>
      <c r="S93" s="2259">
        <f t="shared" si="24"/>
        <v>0</v>
      </c>
      <c r="T93" s="2255">
        <f>T94+T95</f>
        <v>0</v>
      </c>
      <c r="U93" s="2260">
        <f>U94+U95</f>
        <v>0</v>
      </c>
      <c r="V93" s="2258">
        <f t="shared" si="25"/>
        <v>0</v>
      </c>
      <c r="W93" s="2255">
        <f>W94+W95</f>
        <v>0</v>
      </c>
      <c r="X93" s="2260">
        <f>X94+X95</f>
        <v>0</v>
      </c>
      <c r="Y93" s="2258">
        <f t="shared" si="26"/>
        <v>0</v>
      </c>
      <c r="Z93" s="2255">
        <f>Z94+Z95</f>
        <v>0</v>
      </c>
      <c r="AA93" s="2260">
        <f>AA94+AA95</f>
        <v>0</v>
      </c>
      <c r="AB93" s="2259">
        <f t="shared" si="27"/>
        <v>0</v>
      </c>
      <c r="AC93" s="2606"/>
      <c r="AD93" s="2606"/>
      <c r="AE93" s="2606"/>
      <c r="AF93" s="2593"/>
      <c r="AG93" s="2593"/>
      <c r="AH93" s="2593"/>
      <c r="AI93" s="2593"/>
      <c r="AJ93" s="2593"/>
    </row>
    <row r="94" spans="1:36" s="2218" customFormat="1" ht="44.25" hidden="1" customHeight="1" outlineLevel="2">
      <c r="A94" s="2235">
        <v>143</v>
      </c>
      <c r="B94" s="2281" t="s">
        <v>1917</v>
      </c>
      <c r="C94" s="2282" t="s">
        <v>1918</v>
      </c>
      <c r="D94" s="2504" t="s">
        <v>1317</v>
      </c>
      <c r="E94" s="2284"/>
      <c r="F94" s="2285"/>
      <c r="G94" s="2257">
        <f t="shared" si="20"/>
        <v>0</v>
      </c>
      <c r="H94" s="2285"/>
      <c r="I94" s="2285"/>
      <c r="J94" s="2257">
        <f t="shared" si="21"/>
        <v>0</v>
      </c>
      <c r="K94" s="2285"/>
      <c r="L94" s="2285"/>
      <c r="M94" s="2259">
        <f t="shared" si="22"/>
        <v>0</v>
      </c>
      <c r="N94" s="2284"/>
      <c r="O94" s="2286"/>
      <c r="P94" s="2258">
        <f t="shared" si="23"/>
        <v>0</v>
      </c>
      <c r="Q94" s="2284"/>
      <c r="R94" s="2286"/>
      <c r="S94" s="2259">
        <f t="shared" si="24"/>
        <v>0</v>
      </c>
      <c r="T94" s="2284"/>
      <c r="U94" s="2286"/>
      <c r="V94" s="2258">
        <f t="shared" si="25"/>
        <v>0</v>
      </c>
      <c r="W94" s="2284"/>
      <c r="X94" s="2286"/>
      <c r="Y94" s="2258">
        <f t="shared" si="26"/>
        <v>0</v>
      </c>
      <c r="Z94" s="2284"/>
      <c r="AA94" s="2286"/>
      <c r="AB94" s="2259">
        <f t="shared" si="27"/>
        <v>0</v>
      </c>
      <c r="AC94" s="2606"/>
      <c r="AD94" s="2606"/>
      <c r="AE94" s="2606"/>
      <c r="AF94" s="2593"/>
      <c r="AG94" s="2593"/>
      <c r="AH94" s="2593"/>
      <c r="AI94" s="2593"/>
      <c r="AJ94" s="2593"/>
    </row>
    <row r="95" spans="1:36" s="2218" customFormat="1" ht="20.25" hidden="1" customHeight="1" outlineLevel="2" thickBot="1">
      <c r="A95" s="2235">
        <v>144</v>
      </c>
      <c r="B95" s="2297" t="s">
        <v>1919</v>
      </c>
      <c r="C95" s="2298" t="s">
        <v>1920</v>
      </c>
      <c r="D95" s="2507" t="s">
        <v>1317</v>
      </c>
      <c r="E95" s="2300"/>
      <c r="F95" s="2301"/>
      <c r="G95" s="2266">
        <f t="shared" si="20"/>
        <v>0</v>
      </c>
      <c r="H95" s="2301"/>
      <c r="I95" s="2301"/>
      <c r="J95" s="2266">
        <f t="shared" si="21"/>
        <v>0</v>
      </c>
      <c r="K95" s="2301"/>
      <c r="L95" s="2301"/>
      <c r="M95" s="2268">
        <f t="shared" si="22"/>
        <v>0</v>
      </c>
      <c r="N95" s="2300"/>
      <c r="O95" s="2302"/>
      <c r="P95" s="2267">
        <f t="shared" si="23"/>
        <v>0</v>
      </c>
      <c r="Q95" s="2300"/>
      <c r="R95" s="2302"/>
      <c r="S95" s="2268">
        <f t="shared" si="24"/>
        <v>0</v>
      </c>
      <c r="T95" s="2300"/>
      <c r="U95" s="2302"/>
      <c r="V95" s="2267">
        <f t="shared" si="25"/>
        <v>0</v>
      </c>
      <c r="W95" s="2300"/>
      <c r="X95" s="2302"/>
      <c r="Y95" s="2267">
        <f t="shared" si="26"/>
        <v>0</v>
      </c>
      <c r="Z95" s="2300"/>
      <c r="AA95" s="2302"/>
      <c r="AB95" s="2268">
        <f t="shared" si="27"/>
        <v>0</v>
      </c>
      <c r="AC95" s="2606"/>
      <c r="AD95" s="2606"/>
      <c r="AE95" s="2606"/>
      <c r="AF95" s="2593"/>
      <c r="AG95" s="2593"/>
      <c r="AH95" s="2593"/>
      <c r="AI95" s="2593"/>
      <c r="AJ95" s="2593"/>
    </row>
    <row r="96" spans="1:36" s="2218" customFormat="1" ht="37.5" outlineLevel="1" collapsed="1">
      <c r="A96" s="2235">
        <v>5</v>
      </c>
      <c r="B96" s="2323" t="s">
        <v>85</v>
      </c>
      <c r="C96" s="2324" t="s">
        <v>1921</v>
      </c>
      <c r="D96" s="2511" t="s">
        <v>1313</v>
      </c>
      <c r="E96" s="2325">
        <f>E97+E98+E102+E103+E104+E105</f>
        <v>0</v>
      </c>
      <c r="F96" s="2325">
        <f>F97+F98+F102+F103+F104+F105</f>
        <v>0</v>
      </c>
      <c r="G96" s="2326">
        <f t="shared" si="20"/>
        <v>0</v>
      </c>
      <c r="H96" s="2326">
        <f>H97+H98+H102+H103+H104+H105</f>
        <v>0</v>
      </c>
      <c r="I96" s="2477">
        <f>I97+I98+I102+I103+I104+I105</f>
        <v>0</v>
      </c>
      <c r="J96" s="2478">
        <f t="shared" si="21"/>
        <v>0</v>
      </c>
      <c r="K96" s="2326">
        <f>K97+K98+K102+K103+K104+K105+K113</f>
        <v>3695.4084574314697</v>
      </c>
      <c r="L96" s="2479">
        <f>L97+L98+L102+L103+L104+L105+L113</f>
        <v>3861.1514234539636</v>
      </c>
      <c r="M96" s="2512">
        <f t="shared" si="22"/>
        <v>3778.2799404427169</v>
      </c>
      <c r="N96" s="3028">
        <f>N97+N98+N102+N103+N104+N105+N113</f>
        <v>24392.076186627542</v>
      </c>
      <c r="O96" s="3027">
        <f>O97+O98+O102+O103+O104+O105+O113</f>
        <v>45479.510980794556</v>
      </c>
      <c r="P96" s="2515">
        <f t="shared" si="23"/>
        <v>34935.793583711049</v>
      </c>
      <c r="Q96" s="3028">
        <f>Q97+Q98+Q102+Q103+Q104+Q105+Q113</f>
        <v>45479.510255870977</v>
      </c>
      <c r="R96" s="3047">
        <f>R97+R98+R102+R103+R104+R105+R113</f>
        <v>47109.713301416399</v>
      </c>
      <c r="S96" s="2516">
        <f t="shared" si="24"/>
        <v>46294.611778643688</v>
      </c>
      <c r="T96" s="3028">
        <f>T97+T98+T102+T103+T104+T105+T113</f>
        <v>47109.713301416399</v>
      </c>
      <c r="U96" s="3047">
        <f>U97+U98+U102+U103+U104+U105+U113</f>
        <v>48856.611243052525</v>
      </c>
      <c r="V96" s="2517">
        <f t="shared" si="25"/>
        <v>47983.162272234462</v>
      </c>
      <c r="W96" s="3028">
        <f>W97+W98+W102+W103+W104+W105+W113</f>
        <v>48856.611243052525</v>
      </c>
      <c r="X96" s="2327">
        <f>X97+X98+X102+X103+X104+X105+X113</f>
        <v>50651.637790971668</v>
      </c>
      <c r="Y96" s="2517">
        <f t="shared" si="26"/>
        <v>49754.124517012096</v>
      </c>
      <c r="Z96" s="3028">
        <f>Z97+Z98+Z102+Z103+Z104+Z105+Z113</f>
        <v>50651.637790971668</v>
      </c>
      <c r="AA96" s="2327">
        <f>AA97+AA98+AA102+AA103+AA104+AA105+AA113</f>
        <v>52561.739348861185</v>
      </c>
      <c r="AB96" s="2665">
        <f t="shared" si="27"/>
        <v>51606.688569916427</v>
      </c>
      <c r="AC96" s="2606"/>
      <c r="AD96" s="2606"/>
      <c r="AE96" s="2606"/>
      <c r="AF96" s="2593"/>
      <c r="AG96" s="2593"/>
      <c r="AH96" s="2593"/>
      <c r="AI96" s="2593"/>
      <c r="AJ96" s="2593"/>
    </row>
    <row r="97" spans="1:36" s="2218" customFormat="1" ht="63" outlineLevel="1">
      <c r="A97" s="2235"/>
      <c r="B97" s="2328" t="s">
        <v>14982</v>
      </c>
      <c r="C97" s="2329" t="s">
        <v>14983</v>
      </c>
      <c r="D97" s="2518" t="s">
        <v>1317</v>
      </c>
      <c r="E97" s="2331"/>
      <c r="F97" s="2331"/>
      <c r="G97" s="2332">
        <f t="shared" si="20"/>
        <v>0</v>
      </c>
      <c r="H97" s="2331"/>
      <c r="I97" s="2331"/>
      <c r="J97" s="2332">
        <f t="shared" si="21"/>
        <v>0</v>
      </c>
      <c r="K97" s="2472">
        <v>29.203437578138004</v>
      </c>
      <c r="L97" s="2472">
        <v>30.459185393997938</v>
      </c>
      <c r="M97" s="2332">
        <f t="shared" si="22"/>
        <v>29.831311486067971</v>
      </c>
      <c r="N97" s="2255">
        <f>'[11]НВВ 26.09.23.'!N97+'[12]НВВ 26.09.'!N97+'[13]НВВ 26.09.23.'!N97</f>
        <v>82.502591312759506</v>
      </c>
      <c r="O97" s="2260">
        <f>'[11]НВВ 26.09.23.'!O97+'[12]НВВ 26.09.'!O97+'[13]НВВ 26.09.23.'!O97</f>
        <v>88.442777887278197</v>
      </c>
      <c r="P97" s="2332">
        <f t="shared" si="23"/>
        <v>85.472684600018852</v>
      </c>
      <c r="Q97" s="2255">
        <f>'[11]НВВ 26.09.23.'!Q97+'[12]НВВ 26.09.'!Q97+'[13]НВВ 26.09.23.'!Q97</f>
        <v>88.442777887278197</v>
      </c>
      <c r="R97" s="2260">
        <f>'[11]НВВ 26.09.23.'!R97+'[12]НВВ 26.09.'!R97+'[13]НВВ 26.09.23.'!R97</f>
        <v>91.980489002769332</v>
      </c>
      <c r="S97" s="2334">
        <f t="shared" si="24"/>
        <v>90.211633445023764</v>
      </c>
      <c r="T97" s="2255">
        <f>'[11]НВВ 26.09.23.'!T97+'[12]НВВ 26.09.'!T97+'[13]НВВ 26.09.23.'!T97</f>
        <v>91.980489002769332</v>
      </c>
      <c r="U97" s="2260">
        <f>'[11]НВВ 26.09.23.'!U97+'[12]НВВ 26.09.'!U97+'[13]НВВ 26.09.23.'!U97</f>
        <v>95.659708562880098</v>
      </c>
      <c r="V97" s="2332">
        <f t="shared" si="25"/>
        <v>93.820098782824715</v>
      </c>
      <c r="W97" s="2255">
        <f>'[11]НВВ 26.09.23.'!W97+'[12]НВВ 26.09.'!W97+'[13]НВВ 26.09.23.'!W97</f>
        <v>95.659708562880098</v>
      </c>
      <c r="X97" s="2260">
        <f>'[11]НВВ 26.09.23.'!X97+'[12]НВВ 26.09.'!X97+'[13]НВВ 26.09.23.'!X97</f>
        <v>99.486096905395314</v>
      </c>
      <c r="Y97" s="2332">
        <f t="shared" si="26"/>
        <v>97.572902734137699</v>
      </c>
      <c r="Z97" s="2255">
        <f>'[11]НВВ 26.09.23.'!Z97+'[12]НВВ 26.09.'!Z97+'[13]НВВ 26.09.23.'!Z97</f>
        <v>99.486096905395314</v>
      </c>
      <c r="AA97" s="2260">
        <f>'[11]НВВ 26.09.23.'!AA97+'[12]НВВ 26.09.'!AA97+'[13]НВВ 26.09.23.'!AA97</f>
        <v>103.46554078161112</v>
      </c>
      <c r="AB97" s="2334">
        <f t="shared" si="27"/>
        <v>101.47581884350322</v>
      </c>
      <c r="AC97" s="2606"/>
      <c r="AD97" s="2606"/>
      <c r="AE97" s="2606"/>
      <c r="AF97" s="2593"/>
      <c r="AG97" s="2593"/>
      <c r="AH97" s="2593"/>
      <c r="AI97" s="2593"/>
      <c r="AJ97" s="2593"/>
    </row>
    <row r="98" spans="1:36" s="2218" customFormat="1" ht="47.25" outlineLevel="1">
      <c r="A98" s="2235"/>
      <c r="B98" s="2328" t="s">
        <v>14984</v>
      </c>
      <c r="C98" s="2336" t="s">
        <v>14985</v>
      </c>
      <c r="D98" s="2520" t="s">
        <v>1128</v>
      </c>
      <c r="E98" s="2331">
        <f>E99+E100+E101</f>
        <v>0</v>
      </c>
      <c r="F98" s="2331">
        <f>F99+F100+F101</f>
        <v>0</v>
      </c>
      <c r="G98" s="2332">
        <f t="shared" si="20"/>
        <v>0</v>
      </c>
      <c r="H98" s="2331">
        <f>H99+H100+H101</f>
        <v>0</v>
      </c>
      <c r="I98" s="2331">
        <f>I99+I100+I101</f>
        <v>0</v>
      </c>
      <c r="J98" s="2332">
        <f t="shared" si="21"/>
        <v>0</v>
      </c>
      <c r="K98" s="2331">
        <f>K99+K100+K101</f>
        <v>17.371855811885457</v>
      </c>
      <c r="L98" s="2331">
        <f>L99+L100+L101</f>
        <v>18.11884561179653</v>
      </c>
      <c r="M98" s="2332">
        <f t="shared" si="22"/>
        <v>17.745350711840992</v>
      </c>
      <c r="N98" s="2255">
        <f>'[11]НВВ 26.09.23.'!N98+'[12]НВВ 26.09.'!N98+'[13]НВВ 26.09.23.'!N98</f>
        <v>90.145937486071446</v>
      </c>
      <c r="O98" s="2260">
        <f>'[11]НВВ 26.09.23.'!O98+'[12]НВВ 26.09.'!O98+'[13]НВВ 26.09.23.'!O98</f>
        <v>96.636444985068607</v>
      </c>
      <c r="P98" s="2332">
        <f t="shared" si="23"/>
        <v>93.391191235570034</v>
      </c>
      <c r="Q98" s="2255">
        <f>'[11]НВВ 26.09.23.'!Q98+'[12]НВВ 26.09.'!Q98+'[13]НВВ 26.09.23.'!Q98</f>
        <v>96.636444985068607</v>
      </c>
      <c r="R98" s="2260">
        <f>'[11]НВВ 26.09.23.'!R98+'[12]НВВ 26.09.'!R98+'[13]НВВ 26.09.23.'!R98</f>
        <v>100.87512784140195</v>
      </c>
      <c r="S98" s="2521">
        <f t="shared" si="24"/>
        <v>98.755786413235285</v>
      </c>
      <c r="T98" s="2255">
        <f>'[11]НВВ 26.09.23.'!T98+'[12]НВВ 26.09.'!T98+'[13]НВВ 26.09.23.'!T98</f>
        <v>100.87512784140195</v>
      </c>
      <c r="U98" s="2260">
        <f>'[11]НВВ 26.09.23.'!U98+'[12]НВВ 26.09.'!U98+'[13]НВВ 26.09.23.'!U98</f>
        <v>105.30313894000597</v>
      </c>
      <c r="V98" s="2332">
        <f t="shared" si="25"/>
        <v>103.08913339070395</v>
      </c>
      <c r="W98" s="2255">
        <f>'[11]НВВ 26.09.23.'!W98+'[12]НВВ 26.09.'!W98+'[13]НВВ 26.09.23.'!W98</f>
        <v>105.30313894000597</v>
      </c>
      <c r="X98" s="2260">
        <f>'[11]НВВ 26.09.23.'!X98+'[12]НВВ 26.09.'!X98+'[13]НВВ 26.09.23.'!X98</f>
        <v>109.92909979975639</v>
      </c>
      <c r="Y98" s="2522">
        <f t="shared" si="26"/>
        <v>107.61611936988118</v>
      </c>
      <c r="Z98" s="2255">
        <f>'[11]НВВ 26.09.23.'!Z98+'[12]НВВ 26.09.'!Z98+'[13]НВВ 26.09.23.'!Z98</f>
        <v>109.92909979975639</v>
      </c>
      <c r="AA98" s="2260">
        <f>'[11]НВВ 26.09.23.'!AA98+'[12]НВВ 26.09.'!AA98+'[13]НВВ 26.09.23.'!AA98</f>
        <v>114.76203236491077</v>
      </c>
      <c r="AB98" s="2521">
        <f t="shared" si="27"/>
        <v>112.34556608233358</v>
      </c>
      <c r="AC98" s="2606"/>
      <c r="AD98" s="2606"/>
      <c r="AE98" s="2606"/>
      <c r="AF98" s="2593"/>
      <c r="AG98" s="2593"/>
      <c r="AH98" s="2593"/>
      <c r="AI98" s="2593"/>
      <c r="AJ98" s="2593"/>
    </row>
    <row r="99" spans="1:36" s="2218" customFormat="1" ht="31.5" hidden="1" outlineLevel="2">
      <c r="A99" s="2235"/>
      <c r="B99" s="2338" t="s">
        <v>14986</v>
      </c>
      <c r="C99" s="2329" t="s">
        <v>14987</v>
      </c>
      <c r="D99" s="2518" t="s">
        <v>1317</v>
      </c>
      <c r="E99" s="2331"/>
      <c r="F99" s="2331"/>
      <c r="G99" s="2332">
        <f t="shared" si="20"/>
        <v>0</v>
      </c>
      <c r="H99" s="2331"/>
      <c r="I99" s="2331"/>
      <c r="J99" s="2332">
        <f t="shared" si="21"/>
        <v>0</v>
      </c>
      <c r="K99" s="2331"/>
      <c r="L99" s="2331"/>
      <c r="M99" s="2332">
        <f t="shared" si="22"/>
        <v>0</v>
      </c>
      <c r="N99" s="2523"/>
      <c r="O99" s="2519"/>
      <c r="P99" s="2332">
        <f t="shared" si="23"/>
        <v>0</v>
      </c>
      <c r="Q99" s="2284"/>
      <c r="R99" s="2519"/>
      <c r="S99" s="2334">
        <f t="shared" si="24"/>
        <v>0</v>
      </c>
      <c r="T99" s="2284"/>
      <c r="U99" s="2335"/>
      <c r="V99" s="2332">
        <f t="shared" si="25"/>
        <v>0</v>
      </c>
      <c r="W99" s="2284"/>
      <c r="X99" s="2335"/>
      <c r="Y99" s="2522">
        <f t="shared" si="26"/>
        <v>0</v>
      </c>
      <c r="Z99" s="2284"/>
      <c r="AA99" s="2335"/>
      <c r="AB99" s="2334">
        <f t="shared" si="27"/>
        <v>0</v>
      </c>
      <c r="AC99" s="2606"/>
      <c r="AD99" s="2606"/>
      <c r="AE99" s="2606"/>
      <c r="AF99" s="2593"/>
      <c r="AG99" s="2593"/>
      <c r="AH99" s="2593"/>
      <c r="AI99" s="2593"/>
      <c r="AJ99" s="2593"/>
    </row>
    <row r="100" spans="1:36" s="2218" customFormat="1" ht="63" outlineLevel="1" collapsed="1">
      <c r="A100" s="2235"/>
      <c r="B100" s="2338" t="s">
        <v>14988</v>
      </c>
      <c r="C100" s="2329" t="s">
        <v>14989</v>
      </c>
      <c r="D100" s="2518" t="s">
        <v>1317</v>
      </c>
      <c r="E100" s="2331"/>
      <c r="F100" s="2331"/>
      <c r="G100" s="2332">
        <f t="shared" si="20"/>
        <v>0</v>
      </c>
      <c r="H100" s="2331"/>
      <c r="I100" s="2331"/>
      <c r="J100" s="2332">
        <f t="shared" si="21"/>
        <v>0</v>
      </c>
      <c r="K100" s="2472">
        <v>12.75178724048906</v>
      </c>
      <c r="L100" s="2472">
        <v>13.300114091830089</v>
      </c>
      <c r="M100" s="2332">
        <f t="shared" si="22"/>
        <v>13.025950666159574</v>
      </c>
      <c r="N100" s="2255">
        <f>'[11]НВВ 26.09.23.'!N100+'[12]НВВ 26.09.'!N100+'[13]НВВ 26.09.23.'!N100</f>
        <v>82.007894245881729</v>
      </c>
      <c r="O100" s="2260">
        <f>'[11]НВВ 26.09.23.'!O100+'[12]НВВ 26.09.'!O100+'[13]НВВ 26.09.23.'!O100</f>
        <v>87.912462631585214</v>
      </c>
      <c r="P100" s="2332">
        <f t="shared" si="23"/>
        <v>84.960178438733465</v>
      </c>
      <c r="Q100" s="2255">
        <f>'[11]НВВ 26.09.23.'!Q100+'[12]НВВ 26.09.'!Q100+'[13]НВВ 26.09.23.'!Q100</f>
        <v>87.912462631585214</v>
      </c>
      <c r="R100" s="2260">
        <f>'[11]НВВ 26.09.23.'!R100+'[12]НВВ 26.09.'!R100+'[13]НВВ 26.09.23.'!R100</f>
        <v>91.802186193779235</v>
      </c>
      <c r="S100" s="2334">
        <f t="shared" si="24"/>
        <v>89.857324412682232</v>
      </c>
      <c r="T100" s="2255">
        <f>'[11]НВВ 26.09.23.'!T100+'[12]НВВ 26.09.'!T100+'[13]НВВ 26.09.23.'!T100</f>
        <v>91.802186193779235</v>
      </c>
      <c r="U100" s="2260">
        <f>'[11]НВВ 26.09.23.'!U100+'[12]НВВ 26.09.'!U100+'[13]НВВ 26.09.23.'!U100</f>
        <v>95.867279626478336</v>
      </c>
      <c r="V100" s="2332">
        <f t="shared" si="25"/>
        <v>93.834732910128793</v>
      </c>
      <c r="W100" s="2255">
        <f>'[11]НВВ 26.09.23.'!W100+'[12]НВВ 26.09.'!W100+'[13]НВВ 26.09.23.'!W100</f>
        <v>95.867279626478336</v>
      </c>
      <c r="X100" s="2260">
        <f>'[11]НВВ 26.09.23.'!X100+'[12]НВВ 26.09.'!X100+'[13]НВВ 26.09.23.'!X100</f>
        <v>100.11580611368763</v>
      </c>
      <c r="Y100" s="2522">
        <f t="shared" si="26"/>
        <v>97.991542870082981</v>
      </c>
      <c r="Z100" s="2255">
        <f>'[11]НВВ 26.09.23.'!Z100+'[12]НВВ 26.09.'!Z100+'[13]НВВ 26.09.23.'!Z100</f>
        <v>100.11580611368763</v>
      </c>
      <c r="AA100" s="2260">
        <f>'[11]НВВ 26.09.23.'!AA100+'[12]НВВ 26.09.'!AA100+'[13]НВВ 26.09.23.'!AA100</f>
        <v>104.55620693139927</v>
      </c>
      <c r="AB100" s="2334">
        <f t="shared" si="27"/>
        <v>102.33600652254344</v>
      </c>
      <c r="AC100" s="2606"/>
      <c r="AD100" s="2606"/>
      <c r="AE100" s="2606"/>
      <c r="AF100" s="2593"/>
      <c r="AG100" s="2593"/>
      <c r="AH100" s="2593"/>
      <c r="AI100" s="2593"/>
      <c r="AJ100" s="2593"/>
    </row>
    <row r="101" spans="1:36" s="2218" customFormat="1" ht="63" outlineLevel="1">
      <c r="A101" s="2235"/>
      <c r="B101" s="2338" t="s">
        <v>14990</v>
      </c>
      <c r="C101" s="2329" t="s">
        <v>14991</v>
      </c>
      <c r="D101" s="2518" t="s">
        <v>1317</v>
      </c>
      <c r="E101" s="2339"/>
      <c r="F101" s="2339"/>
      <c r="G101" s="2332">
        <f t="shared" si="20"/>
        <v>0</v>
      </c>
      <c r="H101" s="2339"/>
      <c r="I101" s="2339"/>
      <c r="J101" s="2332">
        <f t="shared" si="21"/>
        <v>0</v>
      </c>
      <c r="K101" s="2340">
        <f>4.71940004568142/1.0215</f>
        <v>4.6200685713963967</v>
      </c>
      <c r="L101" s="2340">
        <f>K101*1.043</f>
        <v>4.8187315199664411</v>
      </c>
      <c r="M101" s="2332">
        <f t="shared" si="22"/>
        <v>4.7194000456814189</v>
      </c>
      <c r="N101" s="2255">
        <f>'[11]НВВ 26.09.23.'!N101+'[12]НВВ 26.09.'!N101+'[13]НВВ 26.09.23.'!N101</f>
        <v>8.1380432401897256</v>
      </c>
      <c r="O101" s="2260">
        <f>'[11]НВВ 26.09.23.'!O101+'[12]НВВ 26.09.'!O101+'[13]НВВ 26.09.23.'!O101</f>
        <v>8.723982353483386</v>
      </c>
      <c r="P101" s="2332">
        <f>N101/2+O101/2</f>
        <v>8.4310127968365549</v>
      </c>
      <c r="Q101" s="2255">
        <f>'[11]НВВ 26.09.23.'!Q101+'[12]НВВ 26.09.'!Q101+'[13]НВВ 26.09.23.'!Q101</f>
        <v>8.723982353483386</v>
      </c>
      <c r="R101" s="2260">
        <f>'[11]НВВ 26.09.23.'!R101+'[12]НВВ 26.09.'!R101+'[13]НВВ 26.09.23.'!R101</f>
        <v>9.0729416476227236</v>
      </c>
      <c r="S101" s="2524">
        <f t="shared" si="24"/>
        <v>8.8984620005530548</v>
      </c>
      <c r="T101" s="2255">
        <f>'[11]НВВ 26.09.23.'!T101+'[12]НВВ 26.09.'!T101+'[13]НВВ 26.09.23.'!T101</f>
        <v>9.0729416476227236</v>
      </c>
      <c r="U101" s="2260">
        <f>'[11]НВВ 26.09.23.'!U101+'[12]НВВ 26.09.'!U101+'[13]НВВ 26.09.23.'!U101</f>
        <v>9.435859313527633</v>
      </c>
      <c r="V101" s="2332">
        <f t="shared" si="25"/>
        <v>9.2544004805751783</v>
      </c>
      <c r="W101" s="2255">
        <f>'[11]НВВ 26.09.23.'!W101+'[12]НВВ 26.09.'!W101+'[13]НВВ 26.09.23.'!W101</f>
        <v>9.435859313527633</v>
      </c>
      <c r="X101" s="2260">
        <f>'[11]НВВ 26.09.23.'!X101+'[12]НВВ 26.09.'!X101+'[13]НВВ 26.09.23.'!X101</f>
        <v>9.8132936860687394</v>
      </c>
      <c r="Y101" s="2522">
        <f>W101/2+X101/2</f>
        <v>9.6245764997981862</v>
      </c>
      <c r="Z101" s="2255">
        <f>'[11]НВВ 26.09.23.'!Z101+'[12]НВВ 26.09.'!Z101+'[13]НВВ 26.09.23.'!Z101</f>
        <v>9.8132936860687394</v>
      </c>
      <c r="AA101" s="2260">
        <f>'[11]НВВ 26.09.23.'!AA101+'[12]НВВ 26.09.'!AA101+'[13]НВВ 26.09.23.'!AA101</f>
        <v>10.205825433511489</v>
      </c>
      <c r="AB101" s="2524">
        <f t="shared" si="27"/>
        <v>10.009559559790114</v>
      </c>
      <c r="AC101" s="2606"/>
      <c r="AD101" s="2606"/>
      <c r="AE101" s="2606"/>
      <c r="AF101" s="2593"/>
      <c r="AG101" s="2593"/>
      <c r="AH101" s="2593"/>
      <c r="AI101" s="2593"/>
      <c r="AJ101" s="2593"/>
    </row>
    <row r="102" spans="1:36" s="2218" customFormat="1" ht="47.25" hidden="1" outlineLevel="2">
      <c r="A102" s="2235"/>
      <c r="B102" s="2328" t="s">
        <v>14992</v>
      </c>
      <c r="C102" s="2338" t="s">
        <v>14993</v>
      </c>
      <c r="D102" s="2525" t="s">
        <v>1317</v>
      </c>
      <c r="E102" s="2331"/>
      <c r="F102" s="2331"/>
      <c r="G102" s="2332">
        <f t="shared" si="20"/>
        <v>0</v>
      </c>
      <c r="H102" s="2331"/>
      <c r="I102" s="2331"/>
      <c r="J102" s="2332">
        <f t="shared" si="21"/>
        <v>0</v>
      </c>
      <c r="K102" s="2331"/>
      <c r="L102" s="2331"/>
      <c r="M102" s="2332">
        <f t="shared" si="22"/>
        <v>0</v>
      </c>
      <c r="N102" s="2333"/>
      <c r="O102" s="2335"/>
      <c r="P102" s="2332">
        <f t="shared" si="23"/>
        <v>0</v>
      </c>
      <c r="Q102" s="2284"/>
      <c r="R102" s="2335"/>
      <c r="S102" s="2526">
        <f t="shared" si="24"/>
        <v>0</v>
      </c>
      <c r="T102" s="2284"/>
      <c r="U102" s="2335"/>
      <c r="V102" s="2332">
        <f t="shared" si="25"/>
        <v>0</v>
      </c>
      <c r="W102" s="2284"/>
      <c r="X102" s="2335"/>
      <c r="Y102" s="2332">
        <f t="shared" si="26"/>
        <v>0</v>
      </c>
      <c r="Z102" s="2284"/>
      <c r="AA102" s="2335"/>
      <c r="AB102" s="2526">
        <f t="shared" si="27"/>
        <v>0</v>
      </c>
      <c r="AC102" s="2606"/>
      <c r="AD102" s="2606"/>
      <c r="AE102" s="2606"/>
      <c r="AF102" s="2593"/>
      <c r="AG102" s="2593"/>
      <c r="AH102" s="2593"/>
      <c r="AI102" s="2593"/>
      <c r="AJ102" s="2593"/>
    </row>
    <row r="103" spans="1:36" s="2218" customFormat="1" ht="47.25" hidden="1" outlineLevel="2">
      <c r="A103" s="2235"/>
      <c r="B103" s="2343" t="s">
        <v>14994</v>
      </c>
      <c r="C103" s="2329" t="s">
        <v>14995</v>
      </c>
      <c r="D103" s="2527" t="s">
        <v>1317</v>
      </c>
      <c r="E103" s="2331"/>
      <c r="F103" s="2331"/>
      <c r="G103" s="2332">
        <f t="shared" si="20"/>
        <v>0</v>
      </c>
      <c r="H103" s="2331"/>
      <c r="I103" s="2331"/>
      <c r="J103" s="2332">
        <f t="shared" si="21"/>
        <v>0</v>
      </c>
      <c r="K103" s="2331"/>
      <c r="L103" s="2331"/>
      <c r="M103" s="2332">
        <f t="shared" si="22"/>
        <v>0</v>
      </c>
      <c r="N103" s="2333"/>
      <c r="O103" s="2335"/>
      <c r="P103" s="2332">
        <f t="shared" si="23"/>
        <v>0</v>
      </c>
      <c r="Q103" s="2284"/>
      <c r="R103" s="2335"/>
      <c r="S103" s="2334">
        <f t="shared" si="24"/>
        <v>0</v>
      </c>
      <c r="T103" s="2284"/>
      <c r="U103" s="2335"/>
      <c r="V103" s="2332">
        <f t="shared" si="25"/>
        <v>0</v>
      </c>
      <c r="W103" s="2284"/>
      <c r="X103" s="2335"/>
      <c r="Y103" s="2332">
        <f t="shared" si="26"/>
        <v>0</v>
      </c>
      <c r="Z103" s="2284"/>
      <c r="AA103" s="2335"/>
      <c r="AB103" s="2334">
        <f t="shared" si="27"/>
        <v>0</v>
      </c>
      <c r="AC103" s="2606"/>
      <c r="AD103" s="2606"/>
      <c r="AE103" s="2606"/>
      <c r="AF103" s="2593"/>
      <c r="AG103" s="2593"/>
      <c r="AH103" s="2593"/>
      <c r="AI103" s="2593"/>
      <c r="AJ103" s="2593"/>
    </row>
    <row r="104" spans="1:36" s="2218" customFormat="1" ht="66.75" hidden="1" customHeight="1" outlineLevel="2">
      <c r="A104" s="2235"/>
      <c r="B104" s="2344" t="s">
        <v>14996</v>
      </c>
      <c r="C104" s="2345" t="s">
        <v>14997</v>
      </c>
      <c r="D104" s="2527" t="s">
        <v>1317</v>
      </c>
      <c r="E104" s="2346"/>
      <c r="F104" s="2346"/>
      <c r="G104" s="2332">
        <f t="shared" si="20"/>
        <v>0</v>
      </c>
      <c r="H104" s="2346"/>
      <c r="I104" s="2346"/>
      <c r="J104" s="2332">
        <f t="shared" si="21"/>
        <v>0</v>
      </c>
      <c r="K104" s="2346"/>
      <c r="L104" s="2346"/>
      <c r="M104" s="2332">
        <f t="shared" si="22"/>
        <v>0</v>
      </c>
      <c r="N104" s="2347"/>
      <c r="O104" s="2348"/>
      <c r="P104" s="2332">
        <f t="shared" si="23"/>
        <v>0</v>
      </c>
      <c r="Q104" s="2284"/>
      <c r="R104" s="2348"/>
      <c r="S104" s="2334">
        <f t="shared" si="24"/>
        <v>0</v>
      </c>
      <c r="T104" s="2284"/>
      <c r="U104" s="2348"/>
      <c r="V104" s="2332">
        <f t="shared" si="25"/>
        <v>0</v>
      </c>
      <c r="W104" s="2284"/>
      <c r="X104" s="2348"/>
      <c r="Y104" s="2332">
        <f t="shared" si="26"/>
        <v>0</v>
      </c>
      <c r="Z104" s="2284"/>
      <c r="AA104" s="2348"/>
      <c r="AB104" s="2334">
        <f t="shared" si="27"/>
        <v>0</v>
      </c>
      <c r="AC104" s="2606"/>
      <c r="AD104" s="2606"/>
      <c r="AE104" s="2606"/>
      <c r="AF104" s="2593"/>
      <c r="AG104" s="2593"/>
      <c r="AH104" s="2593"/>
      <c r="AI104" s="2593"/>
      <c r="AJ104" s="2593"/>
    </row>
    <row r="105" spans="1:36" s="2218" customFormat="1" ht="63" outlineLevel="1" collapsed="1">
      <c r="A105" s="2235"/>
      <c r="B105" s="2349" t="s">
        <v>14998</v>
      </c>
      <c r="C105" s="2336" t="s">
        <v>14999</v>
      </c>
      <c r="D105" s="2528" t="s">
        <v>1128</v>
      </c>
      <c r="E105" s="2346">
        <f>E106+E107+E108+E109+E110+E111+E112</f>
        <v>0</v>
      </c>
      <c r="F105" s="2346"/>
      <c r="G105" s="2332">
        <f t="shared" si="20"/>
        <v>0</v>
      </c>
      <c r="H105" s="2346">
        <f>H106+H107+H108+H109+H110+H111+H112</f>
        <v>0</v>
      </c>
      <c r="I105" s="2346"/>
      <c r="J105" s="2332">
        <f t="shared" si="21"/>
        <v>0</v>
      </c>
      <c r="K105" s="2346">
        <f>K106+K107+K108+K109+K110+K111+K112</f>
        <v>61.298289700076104</v>
      </c>
      <c r="L105" s="2346">
        <f>L106+L107+L108+L109+L110+L111+L112</f>
        <v>63.934116157179375</v>
      </c>
      <c r="M105" s="2332">
        <f t="shared" si="22"/>
        <v>62.616202928627743</v>
      </c>
      <c r="N105" s="2255">
        <f>'[11]НВВ 26.09.23.'!N105+'[12]НВВ 26.09.'!N105+'[13]НВВ 26.09.23.'!N105</f>
        <v>11868.650748772605</v>
      </c>
      <c r="O105" s="2260">
        <f>'[11]НВВ 26.09.23.'!O105+'[12]НВВ 26.09.'!O105+'[13]НВВ 26.09.23.'!O105</f>
        <v>21981.603519946882</v>
      </c>
      <c r="P105" s="2332">
        <f t="shared" si="23"/>
        <v>16925.127134359744</v>
      </c>
      <c r="Q105" s="2255">
        <f>'[11]НВВ 26.09.23.'!Q105+'[12]НВВ 26.09.'!Q105+'[13]НВВ 26.09.23.'!Q105</f>
        <v>21981.603519946882</v>
      </c>
      <c r="R105" s="2260">
        <f>'[11]НВВ 26.09.23.'!R105+'[12]НВВ 26.09.'!R105+'[13]НВВ 26.09.23.'!R105</f>
        <v>22860.867660744756</v>
      </c>
      <c r="S105" s="2334">
        <f t="shared" si="24"/>
        <v>22421.235590345819</v>
      </c>
      <c r="T105" s="2255">
        <f>'[11]НВВ 26.09.23.'!T105+'[12]НВВ 26.09.'!T105+'[13]НВВ 26.09.23.'!T105</f>
        <v>22860.867660744756</v>
      </c>
      <c r="U105" s="2260">
        <f>'[11]НВВ 26.09.23.'!U105+'[12]НВВ 26.09.'!U105+'[13]НВВ 26.09.23.'!U105</f>
        <v>23775.302367174554</v>
      </c>
      <c r="V105" s="2529">
        <f t="shared" si="25"/>
        <v>23318.085013959655</v>
      </c>
      <c r="W105" s="2255">
        <f>'[11]НВВ 26.09.23.'!W105+'[12]НВВ 26.09.'!W105+'[13]НВВ 26.09.23.'!W105</f>
        <v>23775.302367174554</v>
      </c>
      <c r="X105" s="2260">
        <f>'[11]НВВ 26.09.23.'!X105+'[12]НВВ 26.09.'!X105+'[13]НВВ 26.09.23.'!X105</f>
        <v>24726.31446186153</v>
      </c>
      <c r="Y105" s="2529">
        <f t="shared" si="26"/>
        <v>24250.80841451804</v>
      </c>
      <c r="Z105" s="2255">
        <f>'[11]НВВ 26.09.23.'!Z105+'[12]НВВ 26.09.'!Z105+'[13]НВВ 26.09.23.'!Z105</f>
        <v>24726.31446186153</v>
      </c>
      <c r="AA105" s="2260">
        <f>'[11]НВВ 26.09.23.'!AA105+'[12]НВВ 26.09.'!AA105+'[13]НВВ 26.09.23.'!AA105</f>
        <v>25715.367040335994</v>
      </c>
      <c r="AB105" s="2334">
        <f t="shared" si="27"/>
        <v>25220.84075109876</v>
      </c>
      <c r="AC105" s="2606"/>
      <c r="AD105" s="2606"/>
      <c r="AE105" s="2606"/>
      <c r="AF105" s="2593"/>
      <c r="AG105" s="2593"/>
      <c r="AH105" s="2593"/>
      <c r="AI105" s="2593"/>
      <c r="AJ105" s="2593"/>
    </row>
    <row r="106" spans="1:36" s="2218" customFormat="1" ht="31.5" outlineLevel="1">
      <c r="A106" s="2235"/>
      <c r="B106" s="2350" t="s">
        <v>15000</v>
      </c>
      <c r="C106" s="2329" t="s">
        <v>15001</v>
      </c>
      <c r="D106" s="2527" t="s">
        <v>1317</v>
      </c>
      <c r="E106" s="2346"/>
      <c r="F106" s="2346"/>
      <c r="G106" s="2332">
        <f t="shared" si="20"/>
        <v>0</v>
      </c>
      <c r="H106" s="2346"/>
      <c r="I106" s="2346"/>
      <c r="J106" s="2332">
        <f t="shared" si="21"/>
        <v>0</v>
      </c>
      <c r="K106" s="2346">
        <v>5.551580524305912</v>
      </c>
      <c r="L106" s="2346">
        <v>5.7902984868510661</v>
      </c>
      <c r="M106" s="2332">
        <f t="shared" si="22"/>
        <v>5.670939505578489</v>
      </c>
      <c r="N106" s="2255">
        <f>'[11]НВВ 26.09.23.'!N106+'[12]НВВ 26.09.'!N106+'[13]НВВ 26.09.23.'!N106</f>
        <v>1492.9167252962779</v>
      </c>
      <c r="O106" s="2260">
        <f>'[11]НВВ 26.09.23.'!O106+'[12]НВВ 26.09.'!O106+'[13]НВВ 26.09.23.'!O106</f>
        <v>1600.4067295176105</v>
      </c>
      <c r="P106" s="2332">
        <f>N106/2+O106/2</f>
        <v>1546.6617274069442</v>
      </c>
      <c r="Q106" s="2255">
        <f>'[11]НВВ 26.09.23.'!Q106+'[12]НВВ 26.09.'!Q106+'[13]НВВ 26.09.23.'!Q106</f>
        <v>1600.4067295176105</v>
      </c>
      <c r="R106" s="2260">
        <f>'[11]НВВ 26.09.23.'!R106+'[12]НВВ 26.09.'!R106+'[13]НВВ 26.09.23.'!R106</f>
        <v>1664.4229986983148</v>
      </c>
      <c r="S106" s="2524">
        <f t="shared" si="24"/>
        <v>1632.4148641079628</v>
      </c>
      <c r="T106" s="2255">
        <f>'[11]НВВ 26.09.23.'!T106+'[12]НВВ 26.09.'!T106+'[13]НВВ 26.09.23.'!T106</f>
        <v>1664.4229986983148</v>
      </c>
      <c r="U106" s="2260">
        <f>'[11]НВВ 26.09.23.'!U106+'[12]НВВ 26.09.'!U106+'[13]НВВ 26.09.23.'!U106</f>
        <v>1730.9999186462476</v>
      </c>
      <c r="V106" s="2332">
        <f t="shared" si="25"/>
        <v>1697.7114586722812</v>
      </c>
      <c r="W106" s="2255">
        <f>'[11]НВВ 26.09.23.'!W106+'[12]НВВ 26.09.'!W106+'[13]НВВ 26.09.23.'!W106</f>
        <v>1730.9999186462476</v>
      </c>
      <c r="X106" s="2260">
        <f>'[11]НВВ 26.09.23.'!X106+'[12]НВВ 26.09.'!X106+'[13]НВВ 26.09.23.'!X106</f>
        <v>1800.2399153920974</v>
      </c>
      <c r="Y106" s="2522">
        <f>W106/2+X106/2</f>
        <v>1765.6199170191726</v>
      </c>
      <c r="Z106" s="2255">
        <f>'[11]НВВ 26.09.23.'!Z106+'[12]НВВ 26.09.'!Z106+'[13]НВВ 26.09.23.'!Z106</f>
        <v>1800.2399153920974</v>
      </c>
      <c r="AA106" s="2260">
        <f>'[11]НВВ 26.09.23.'!AA106+'[12]НВВ 26.09.'!AA106+'[13]НВВ 26.09.23.'!AA106</f>
        <v>1872.2495120077813</v>
      </c>
      <c r="AB106" s="2524">
        <f>Z106/2+AA106/2</f>
        <v>1836.2447136999394</v>
      </c>
      <c r="AC106" s="2606"/>
      <c r="AD106" s="2606"/>
      <c r="AE106" s="2606"/>
      <c r="AF106" s="2593"/>
      <c r="AG106" s="2593"/>
      <c r="AH106" s="2593"/>
      <c r="AI106" s="2593"/>
      <c r="AJ106" s="2593"/>
    </row>
    <row r="107" spans="1:36" s="2218" customFormat="1" hidden="1" outlineLevel="2">
      <c r="A107" s="2235"/>
      <c r="B107" s="2350" t="s">
        <v>15002</v>
      </c>
      <c r="C107" s="2329" t="s">
        <v>15003</v>
      </c>
      <c r="D107" s="2527" t="s">
        <v>1317</v>
      </c>
      <c r="E107" s="2346"/>
      <c r="F107" s="2346"/>
      <c r="G107" s="2332">
        <f t="shared" si="20"/>
        <v>0</v>
      </c>
      <c r="H107" s="2346"/>
      <c r="I107" s="2346"/>
      <c r="J107" s="2332">
        <f t="shared" si="21"/>
        <v>0</v>
      </c>
      <c r="K107" s="2346"/>
      <c r="L107" s="2346">
        <v>0</v>
      </c>
      <c r="M107" s="2332">
        <f t="shared" si="22"/>
        <v>0</v>
      </c>
      <c r="N107" s="2347"/>
      <c r="O107" s="2348"/>
      <c r="P107" s="2332">
        <f t="shared" si="23"/>
        <v>0</v>
      </c>
      <c r="Q107" s="2284"/>
      <c r="R107" s="2348"/>
      <c r="S107" s="2334">
        <f t="shared" si="24"/>
        <v>0</v>
      </c>
      <c r="T107" s="2284"/>
      <c r="U107" s="2348"/>
      <c r="V107" s="2332">
        <f t="shared" si="25"/>
        <v>0</v>
      </c>
      <c r="W107" s="2284"/>
      <c r="X107" s="2348"/>
      <c r="Y107" s="2332">
        <f t="shared" si="26"/>
        <v>0</v>
      </c>
      <c r="Z107" s="2284"/>
      <c r="AA107" s="2348"/>
      <c r="AB107" s="2334">
        <f t="shared" si="27"/>
        <v>0</v>
      </c>
      <c r="AC107" s="2606"/>
      <c r="AD107" s="2606"/>
      <c r="AE107" s="2606"/>
      <c r="AF107" s="2593"/>
      <c r="AG107" s="2593"/>
      <c r="AH107" s="2593"/>
      <c r="AI107" s="2593"/>
      <c r="AJ107" s="2593"/>
    </row>
    <row r="108" spans="1:36" s="2218" customFormat="1" outlineLevel="1" collapsed="1">
      <c r="A108" s="2235"/>
      <c r="B108" s="2350" t="s">
        <v>15004</v>
      </c>
      <c r="C108" s="2329" t="s">
        <v>15005</v>
      </c>
      <c r="D108" s="2527" t="s">
        <v>1317</v>
      </c>
      <c r="E108" s="2346"/>
      <c r="F108" s="2346"/>
      <c r="G108" s="2332">
        <f t="shared" si="20"/>
        <v>0</v>
      </c>
      <c r="H108" s="2346"/>
      <c r="I108" s="2346"/>
      <c r="J108" s="2332">
        <f t="shared" si="21"/>
        <v>0</v>
      </c>
      <c r="K108" s="2346">
        <v>31.146529694807196</v>
      </c>
      <c r="L108" s="2346">
        <v>32.485830471683904</v>
      </c>
      <c r="M108" s="2332">
        <f t="shared" si="22"/>
        <v>31.816180083245548</v>
      </c>
      <c r="N108" s="2255">
        <f>'[11]НВВ 26.09.23.'!N108+'[12]НВВ 26.09.'!N108+'[13]НВВ 26.09.23.'!N108</f>
        <v>87.9920181775137</v>
      </c>
      <c r="O108" s="2260">
        <f>'[11]НВВ 26.09.23.'!O108+'[12]НВВ 26.09.'!O108+'[13]НВВ 26.09.23.'!O108</f>
        <v>94.327443486294683</v>
      </c>
      <c r="P108" s="2332">
        <f>N108/2+O108/2</f>
        <v>91.159730831904199</v>
      </c>
      <c r="Q108" s="2255">
        <f>'[11]НВВ 26.09.23.'!Q108+'[12]НВВ 26.09.'!Q108+'[13]НВВ 26.09.23.'!Q108</f>
        <v>94.327443486294683</v>
      </c>
      <c r="R108" s="2260">
        <f>'[11]НВВ 26.09.23.'!R108+'[12]НВВ 26.09.'!R108+'[13]НВВ 26.09.23.'!R108</f>
        <v>98.100541225746468</v>
      </c>
      <c r="S108" s="2524">
        <f t="shared" si="24"/>
        <v>96.213992356020583</v>
      </c>
      <c r="T108" s="2255">
        <f>'[11]НВВ 26.09.23.'!T108+'[12]НВВ 26.09.'!T108+'[13]НВВ 26.09.23.'!T108</f>
        <v>98.100541225746468</v>
      </c>
      <c r="U108" s="2260">
        <f>'[11]НВВ 26.09.23.'!U108+'[12]НВВ 26.09.'!U108+'[13]НВВ 26.09.23.'!U108</f>
        <v>102.02456287477634</v>
      </c>
      <c r="V108" s="2332">
        <f t="shared" si="25"/>
        <v>100.0625520502614</v>
      </c>
      <c r="W108" s="2255">
        <f>'[11]НВВ 26.09.23.'!W108+'[12]НВВ 26.09.'!W108+'[13]НВВ 26.09.23.'!W108</f>
        <v>102.02456287477634</v>
      </c>
      <c r="X108" s="2260">
        <f>'[11]НВВ 26.09.23.'!X108+'[12]НВВ 26.09.'!X108+'[13]НВВ 26.09.23.'!X108</f>
        <v>106.1055453897674</v>
      </c>
      <c r="Y108" s="2522">
        <f>W108/2+X108/2</f>
        <v>104.06505413227187</v>
      </c>
      <c r="Z108" s="2255">
        <f>'[11]НВВ 26.09.23.'!Z108+'[12]НВВ 26.09.'!Z108+'[13]НВВ 26.09.23.'!Z108</f>
        <v>106.1055453897674</v>
      </c>
      <c r="AA108" s="2260">
        <f>'[11]НВВ 26.09.23.'!AA108+'[12]НВВ 26.09.'!AA108+'[13]НВВ 26.09.23.'!AA108</f>
        <v>110.34976720535809</v>
      </c>
      <c r="AB108" s="2524">
        <f>Z108/2+AA108/2</f>
        <v>108.22765629756275</v>
      </c>
      <c r="AC108" s="2606"/>
      <c r="AD108" s="2606"/>
      <c r="AE108" s="2606"/>
      <c r="AF108" s="2593"/>
      <c r="AG108" s="2593"/>
      <c r="AH108" s="2593"/>
      <c r="AI108" s="2593"/>
      <c r="AJ108" s="2593"/>
    </row>
    <row r="109" spans="1:36" s="2218" customFormat="1" outlineLevel="1">
      <c r="A109" s="2235"/>
      <c r="B109" s="2350" t="s">
        <v>15006</v>
      </c>
      <c r="C109" s="2329" t="s">
        <v>15007</v>
      </c>
      <c r="D109" s="2527" t="s">
        <v>1317</v>
      </c>
      <c r="E109" s="2346"/>
      <c r="F109" s="2346"/>
      <c r="G109" s="2332">
        <f t="shared" si="20"/>
        <v>0</v>
      </c>
      <c r="H109" s="2346"/>
      <c r="I109" s="2346"/>
      <c r="J109" s="2332">
        <f t="shared" si="21"/>
        <v>0</v>
      </c>
      <c r="K109" s="2346">
        <v>9.1219187589733988</v>
      </c>
      <c r="L109" s="2346">
        <v>9.5141612656092551</v>
      </c>
      <c r="M109" s="2332">
        <f t="shared" si="22"/>
        <v>9.3180400122913269</v>
      </c>
      <c r="N109" s="2255">
        <f>'[11]НВВ 26.09.23.'!N109+'[12]НВВ 26.09.'!N109+'[13]НВВ 26.09.23.'!N109</f>
        <v>25.770320132557522</v>
      </c>
      <c r="O109" s="2260">
        <f>'[11]НВВ 26.09.23.'!O109+'[12]НВВ 26.09.'!O109+'[13]НВВ 26.09.23.'!O109</f>
        <v>27.625783182101664</v>
      </c>
      <c r="P109" s="2332">
        <f>N109/2+O109/2</f>
        <v>26.698051657329593</v>
      </c>
      <c r="Q109" s="2255">
        <f>'[11]НВВ 26.09.23.'!Q109+'[12]НВВ 26.09.'!Q109+'[13]НВВ 26.09.23.'!Q109</f>
        <v>27.625783182101664</v>
      </c>
      <c r="R109" s="2260">
        <f>'[11]НВВ 26.09.23.'!R109+'[12]НВВ 26.09.'!R109+'[13]НВВ 26.09.23.'!R109</f>
        <v>28.730814509385731</v>
      </c>
      <c r="S109" s="2524">
        <f t="shared" si="24"/>
        <v>28.178298845743697</v>
      </c>
      <c r="T109" s="2255">
        <f>'[11]НВВ 26.09.23.'!T109+'[12]НВВ 26.09.'!T109+'[13]НВВ 26.09.23.'!T109</f>
        <v>28.730814509385731</v>
      </c>
      <c r="U109" s="2260">
        <f>'[11]НВВ 26.09.23.'!U109+'[12]НВВ 26.09.'!U109+'[13]НВВ 26.09.23.'!U109</f>
        <v>29.880047089761163</v>
      </c>
      <c r="V109" s="2332">
        <f t="shared" si="25"/>
        <v>29.305430799573447</v>
      </c>
      <c r="W109" s="2255">
        <f>'[11]НВВ 26.09.23.'!W109+'[12]НВВ 26.09.'!W109+'[13]НВВ 26.09.23.'!W109</f>
        <v>29.880047089761163</v>
      </c>
      <c r="X109" s="2260">
        <f>'[11]НВВ 26.09.23.'!X109+'[12]НВВ 26.09.'!X109+'[13]НВВ 26.09.23.'!X109</f>
        <v>31.075248973351609</v>
      </c>
      <c r="Y109" s="2522">
        <f>W109/2+X109/2</f>
        <v>30.477648031556384</v>
      </c>
      <c r="Z109" s="2255">
        <f>'[11]НВВ 26.09.23.'!Z109+'[12]НВВ 26.09.'!Z109+'[13]НВВ 26.09.23.'!Z109</f>
        <v>31.075248973351609</v>
      </c>
      <c r="AA109" s="2260">
        <f>'[11]НВВ 26.09.23.'!AA109+'[12]НВВ 26.09.'!AA109+'[13]НВВ 26.09.23.'!AA109</f>
        <v>32.318258932285673</v>
      </c>
      <c r="AB109" s="2524">
        <f>Z109/2+AA109/2</f>
        <v>31.696753952818639</v>
      </c>
      <c r="AC109" s="2606"/>
      <c r="AD109" s="2606"/>
      <c r="AE109" s="2606"/>
      <c r="AF109" s="2593"/>
      <c r="AG109" s="2593"/>
      <c r="AH109" s="2593"/>
      <c r="AI109" s="2593"/>
      <c r="AJ109" s="2593"/>
    </row>
    <row r="110" spans="1:36" s="2218" customFormat="1" ht="47.25" hidden="1" outlineLevel="2">
      <c r="A110" s="2235"/>
      <c r="B110" s="2350" t="s">
        <v>15008</v>
      </c>
      <c r="C110" s="2329" t="s">
        <v>15009</v>
      </c>
      <c r="D110" s="2527" t="s">
        <v>1317</v>
      </c>
      <c r="E110" s="2346"/>
      <c r="F110" s="2346"/>
      <c r="G110" s="2332">
        <f t="shared" si="20"/>
        <v>0</v>
      </c>
      <c r="H110" s="2346"/>
      <c r="I110" s="2346"/>
      <c r="J110" s="2332">
        <f t="shared" si="21"/>
        <v>0</v>
      </c>
      <c r="K110" s="2346"/>
      <c r="L110" s="2346">
        <v>0</v>
      </c>
      <c r="M110" s="2332">
        <f t="shared" si="22"/>
        <v>0</v>
      </c>
      <c r="N110" s="2347"/>
      <c r="O110" s="2348"/>
      <c r="P110" s="2332">
        <f t="shared" si="23"/>
        <v>0</v>
      </c>
      <c r="Q110" s="2284"/>
      <c r="R110" s="2348"/>
      <c r="S110" s="2334">
        <f t="shared" si="24"/>
        <v>0</v>
      </c>
      <c r="T110" s="2284"/>
      <c r="U110" s="2348"/>
      <c r="V110" s="2332">
        <f t="shared" si="25"/>
        <v>0</v>
      </c>
      <c r="W110" s="2284"/>
      <c r="X110" s="2348"/>
      <c r="Y110" s="2332">
        <f t="shared" si="26"/>
        <v>0</v>
      </c>
      <c r="Z110" s="2284"/>
      <c r="AA110" s="2348"/>
      <c r="AB110" s="2334">
        <f t="shared" si="27"/>
        <v>0</v>
      </c>
      <c r="AC110" s="2606"/>
      <c r="AD110" s="2606"/>
      <c r="AE110" s="2606"/>
      <c r="AF110" s="2593"/>
      <c r="AG110" s="2593"/>
      <c r="AH110" s="2593"/>
      <c r="AI110" s="2593"/>
      <c r="AJ110" s="2593"/>
    </row>
    <row r="111" spans="1:36" s="2218" customFormat="1" ht="94.5" outlineLevel="1" collapsed="1">
      <c r="A111" s="2235"/>
      <c r="B111" s="2351" t="s">
        <v>15010</v>
      </c>
      <c r="C111" s="2345" t="s">
        <v>15011</v>
      </c>
      <c r="D111" s="2530" t="s">
        <v>1317</v>
      </c>
      <c r="E111" s="2352"/>
      <c r="F111" s="2346"/>
      <c r="G111" s="2332">
        <f t="shared" si="20"/>
        <v>0</v>
      </c>
      <c r="H111" s="2352"/>
      <c r="I111" s="2346"/>
      <c r="J111" s="2332">
        <f t="shared" si="21"/>
        <v>0</v>
      </c>
      <c r="K111" s="2352"/>
      <c r="L111" s="2346"/>
      <c r="M111" s="2332">
        <f t="shared" si="22"/>
        <v>0</v>
      </c>
      <c r="N111" s="2255">
        <f>'[11]НВВ 26.09.23.'!N111+'[12]НВВ 26.09.'!N111+'[13]НВВ 26.09.23.'!N111</f>
        <v>7433.7289737479141</v>
      </c>
      <c r="O111" s="2260">
        <f>'[11]НВВ 26.09.23.'!O111+'[12]НВВ 26.09.'!O111+'[13]НВВ 26.09.23.'!O111</f>
        <v>17227.367377120412</v>
      </c>
      <c r="P111" s="2332">
        <f>N111/2+O111/2</f>
        <v>12330.548175434164</v>
      </c>
      <c r="Q111" s="2255">
        <f>'[11]НВВ 26.09.23.'!Q111+'[12]НВВ 26.09.'!Q111+'[13]НВВ 26.09.23.'!Q111</f>
        <v>17227.367377120412</v>
      </c>
      <c r="R111" s="2260">
        <f>'[11]НВВ 26.09.23.'!R111+'[12]НВВ 26.09.'!R111+'[13]НВВ 26.09.23.'!R111</f>
        <v>17916.462072205231</v>
      </c>
      <c r="S111" s="2524">
        <f t="shared" si="24"/>
        <v>17571.91472466282</v>
      </c>
      <c r="T111" s="2255">
        <f>'[11]НВВ 26.09.23.'!T111+'[12]НВВ 26.09.'!T111+'[13]НВВ 26.09.23.'!T111</f>
        <v>17916.462072205231</v>
      </c>
      <c r="U111" s="2260">
        <f>'[11]НВВ 26.09.23.'!U111+'[12]НВВ 26.09.'!U111+'[13]НВВ 26.09.23.'!U111</f>
        <v>18633.120555093439</v>
      </c>
      <c r="V111" s="2332">
        <f t="shared" si="25"/>
        <v>18274.791313649337</v>
      </c>
      <c r="W111" s="2255">
        <f>'[11]НВВ 26.09.23.'!W111+'[12]НВВ 26.09.'!W111+'[13]НВВ 26.09.23.'!W111</f>
        <v>18633.120555093439</v>
      </c>
      <c r="X111" s="2260">
        <f>'[11]НВВ 26.09.23.'!X111+'[12]НВВ 26.09.'!X111+'[13]НВВ 26.09.23.'!X111</f>
        <v>19378.445377297179</v>
      </c>
      <c r="Y111" s="2522">
        <f>W111/2+X111/2</f>
        <v>19005.782966195307</v>
      </c>
      <c r="Z111" s="2255">
        <f>'[11]НВВ 26.09.23.'!Z111+'[12]НВВ 26.09.'!Z111+'[13]НВВ 26.09.23.'!Z111</f>
        <v>19378.445377297179</v>
      </c>
      <c r="AA111" s="2260">
        <f>'[11]НВВ 26.09.23.'!AA111+'[12]НВВ 26.09.'!AA111+'[13]НВВ 26.09.23.'!AA111</f>
        <v>20153.583192389066</v>
      </c>
      <c r="AB111" s="2524">
        <f>Z111/2+AA111/2</f>
        <v>19766.014284843121</v>
      </c>
      <c r="AC111" s="2606"/>
      <c r="AD111" s="2606"/>
      <c r="AE111" s="2606"/>
      <c r="AF111" s="2593"/>
      <c r="AG111" s="2593"/>
      <c r="AH111" s="2593"/>
      <c r="AI111" s="2593"/>
      <c r="AJ111" s="2593"/>
    </row>
    <row r="112" spans="1:36" s="2218" customFormat="1" ht="31.5" outlineLevel="1">
      <c r="A112" s="2235"/>
      <c r="B112" s="2353" t="s">
        <v>15012</v>
      </c>
      <c r="C112" s="2354" t="s">
        <v>15013</v>
      </c>
      <c r="D112" s="2531" t="s">
        <v>1317</v>
      </c>
      <c r="E112" s="2346"/>
      <c r="F112" s="2346"/>
      <c r="G112" s="2332">
        <f t="shared" si="20"/>
        <v>0</v>
      </c>
      <c r="H112" s="2346"/>
      <c r="I112" s="2346"/>
      <c r="J112" s="2332">
        <f t="shared" si="21"/>
        <v>0</v>
      </c>
      <c r="K112" s="2346">
        <v>15.478260721989598</v>
      </c>
      <c r="L112" s="2346">
        <v>16.143825933035149</v>
      </c>
      <c r="M112" s="2332">
        <f t="shared" si="22"/>
        <v>15.811043327512373</v>
      </c>
      <c r="N112" s="2255">
        <f>'[11]НВВ 26.09.23.'!N112+'[12]НВВ 26.09.'!N112+'[13]НВВ 26.09.23.'!N112</f>
        <v>2828.242711418342</v>
      </c>
      <c r="O112" s="2260">
        <f>'[11]НВВ 26.09.23.'!O112+'[12]НВВ 26.09.'!O112+'[13]НВВ 26.09.23.'!O112</f>
        <v>3031.8761866404629</v>
      </c>
      <c r="P112" s="2332">
        <f>N112/2+O112/2</f>
        <v>2930.0594490294025</v>
      </c>
      <c r="Q112" s="2255">
        <f>'[11]НВВ 26.09.23.'!Q112+'[12]НВВ 26.09.'!Q112+'[13]НВВ 26.09.23.'!Q112</f>
        <v>3031.8761866404629</v>
      </c>
      <c r="R112" s="2260">
        <f>'[11]НВВ 26.09.23.'!R112+'[12]НВВ 26.09.'!R112+'[13]НВВ 26.09.23.'!R112</f>
        <v>3153.1512341060811</v>
      </c>
      <c r="S112" s="2524">
        <f t="shared" si="24"/>
        <v>3092.5137103732723</v>
      </c>
      <c r="T112" s="2255">
        <f>'[11]НВВ 26.09.23.'!T112+'[12]НВВ 26.09.'!T112+'[13]НВВ 26.09.23.'!T112</f>
        <v>3153.1512341060811</v>
      </c>
      <c r="U112" s="2260">
        <f>'[11]НВВ 26.09.23.'!U112+'[12]НВВ 26.09.'!U112+'[13]НВВ 26.09.23.'!U112</f>
        <v>3279.2772834703251</v>
      </c>
      <c r="V112" s="2332">
        <f t="shared" si="25"/>
        <v>3216.2142587882031</v>
      </c>
      <c r="W112" s="2255">
        <f>'[11]НВВ 26.09.23.'!W112+'[12]НВВ 26.09.'!W112+'[13]НВВ 26.09.23.'!W112</f>
        <v>3279.2772834703251</v>
      </c>
      <c r="X112" s="2260">
        <f>'[11]НВВ 26.09.23.'!X112+'[12]НВВ 26.09.'!X112+'[13]НВВ 26.09.23.'!X112</f>
        <v>3410.4483748091379</v>
      </c>
      <c r="Y112" s="2522">
        <f>W112/2+X112/2</f>
        <v>3344.8628291397317</v>
      </c>
      <c r="Z112" s="2255">
        <f>'[11]НВВ 26.09.23.'!Z112+'[12]НВВ 26.09.'!Z112+'[13]НВВ 26.09.23.'!Z112</f>
        <v>3410.4483748091379</v>
      </c>
      <c r="AA112" s="2260">
        <f>'[11]НВВ 26.09.23.'!AA112+'[12]НВВ 26.09.'!AA112+'[13]НВВ 26.09.23.'!AA112</f>
        <v>3546.8663098015036</v>
      </c>
      <c r="AB112" s="2524">
        <f>Z112/2+AA112/2</f>
        <v>3478.6573423053205</v>
      </c>
      <c r="AC112" s="2606"/>
      <c r="AD112" s="2606"/>
      <c r="AE112" s="2606"/>
      <c r="AF112" s="2593"/>
      <c r="AG112" s="2593"/>
      <c r="AH112" s="2593"/>
      <c r="AI112" s="2593"/>
      <c r="AJ112" s="2593"/>
    </row>
    <row r="113" spans="1:36" s="2218" customFormat="1" ht="47.25" outlineLevel="1">
      <c r="A113" s="2235"/>
      <c r="B113" s="2349" t="s">
        <v>15014</v>
      </c>
      <c r="C113" s="2355" t="s">
        <v>15015</v>
      </c>
      <c r="D113" s="2532" t="s">
        <v>1317</v>
      </c>
      <c r="E113" s="2357">
        <f>E114+E124</f>
        <v>0</v>
      </c>
      <c r="F113" s="2357">
        <f>F114+F124</f>
        <v>0</v>
      </c>
      <c r="G113" s="2358">
        <f t="shared" si="20"/>
        <v>0</v>
      </c>
      <c r="H113" s="2357">
        <f>H114+H124</f>
        <v>0</v>
      </c>
      <c r="I113" s="2357">
        <f>I114+I124</f>
        <v>0</v>
      </c>
      <c r="J113" s="2358">
        <f t="shared" si="21"/>
        <v>0</v>
      </c>
      <c r="K113" s="2357">
        <f>K114+K124</f>
        <v>3587.5348743413701</v>
      </c>
      <c r="L113" s="2357">
        <f>L114+L124</f>
        <v>3748.63927629099</v>
      </c>
      <c r="M113" s="2358">
        <f t="shared" si="22"/>
        <v>3668.0870753161798</v>
      </c>
      <c r="N113" s="3029">
        <f>N114+N124</f>
        <v>12350.776909056105</v>
      </c>
      <c r="O113" s="2361">
        <f>O114+O124</f>
        <v>23312.828237975322</v>
      </c>
      <c r="P113" s="2358">
        <f t="shared" si="23"/>
        <v>17831.802573515713</v>
      </c>
      <c r="Q113" s="3029">
        <f>Q114+Q124</f>
        <v>23312.82751305175</v>
      </c>
      <c r="R113" s="2361">
        <f>R114+R124</f>
        <v>24055.990023827471</v>
      </c>
      <c r="S113" s="2360">
        <f t="shared" si="24"/>
        <v>23684.408768439611</v>
      </c>
      <c r="T113" s="3029">
        <f>T114+T124</f>
        <v>24055.990023827471</v>
      </c>
      <c r="U113" s="2361">
        <f>U114+U124</f>
        <v>24880.346028375086</v>
      </c>
      <c r="V113" s="2358">
        <f t="shared" si="25"/>
        <v>24468.168026101281</v>
      </c>
      <c r="W113" s="3029">
        <f>W114+W124</f>
        <v>24880.346028375086</v>
      </c>
      <c r="X113" s="2361">
        <f>X114+X124</f>
        <v>25715.908132404988</v>
      </c>
      <c r="Y113" s="2358">
        <f t="shared" si="26"/>
        <v>25298.127080390037</v>
      </c>
      <c r="Z113" s="3029">
        <f>Z114+Z124</f>
        <v>25715.908132404988</v>
      </c>
      <c r="AA113" s="2361">
        <f>AA114+AA124</f>
        <v>26628.144735378664</v>
      </c>
      <c r="AB113" s="2360">
        <f t="shared" si="27"/>
        <v>26172.026433891828</v>
      </c>
      <c r="AC113" s="2606"/>
      <c r="AD113" s="2606"/>
      <c r="AE113" s="2606"/>
      <c r="AF113" s="2593"/>
      <c r="AG113" s="2593"/>
      <c r="AH113" s="2593"/>
      <c r="AI113" s="2593"/>
      <c r="AJ113" s="2593"/>
    </row>
    <row r="114" spans="1:36" s="2218" customFormat="1" outlineLevel="1">
      <c r="A114" s="2235"/>
      <c r="B114" s="2349" t="s">
        <v>15016</v>
      </c>
      <c r="C114" s="2356" t="s">
        <v>15017</v>
      </c>
      <c r="D114" s="2532" t="s">
        <v>1317</v>
      </c>
      <c r="E114" s="2357">
        <f>E115*E123*12/1000</f>
        <v>0</v>
      </c>
      <c r="F114" s="2357">
        <f>F115*F123*12/1000</f>
        <v>0</v>
      </c>
      <c r="G114" s="2358">
        <f t="shared" si="20"/>
        <v>0</v>
      </c>
      <c r="H114" s="2357">
        <f>H115*H123*12/1000</f>
        <v>0</v>
      </c>
      <c r="I114" s="2357">
        <f>I115*I123*12/1000</f>
        <v>0</v>
      </c>
      <c r="J114" s="2358">
        <f t="shared" si="21"/>
        <v>0</v>
      </c>
      <c r="K114" s="2357">
        <f>K115*K123*12/1000</f>
        <v>2768.1351915687997</v>
      </c>
      <c r="L114" s="2357">
        <f>L115*L123*12/1000</f>
        <v>2894.005407159199</v>
      </c>
      <c r="M114" s="2358">
        <f t="shared" si="22"/>
        <v>2831.0702993639993</v>
      </c>
      <c r="N114" s="2255">
        <f>'[11]НВВ 26.09.23.'!N114+'[12]НВВ 26.09.'!N114+'[13]НВВ 26.09.23.'!N114</f>
        <v>9490.7402488757944</v>
      </c>
      <c r="O114" s="2260">
        <f>'[11]НВВ 26.09.23.'!O114+'[12]НВВ 26.09.'!O114+'[13]НВВ 26.09.23.'!O114</f>
        <v>17910.475482170659</v>
      </c>
      <c r="P114" s="2533">
        <f t="shared" si="23"/>
        <v>13700.607865523227</v>
      </c>
      <c r="Q114" s="2255">
        <f>'[11]НВВ 26.09.23.'!Q114+'[12]НВВ 26.09.'!Q114+'[13]НВВ 26.09.23.'!Q114</f>
        <v>17910.474757247088</v>
      </c>
      <c r="R114" s="2260">
        <f>'[11]НВВ 26.09.23.'!R114+'[12]НВВ 26.09.'!R114+'[13]НВВ 26.09.23.'!R114</f>
        <v>18437.54315779062</v>
      </c>
      <c r="S114" s="2534">
        <f t="shared" si="24"/>
        <v>18174.008957518854</v>
      </c>
      <c r="T114" s="2255">
        <f>'[11]НВВ 26.09.23.'!T114+'[12]НВВ 26.09.'!T114+'[13]НВВ 26.09.23.'!T114</f>
        <v>18437.54315779062</v>
      </c>
      <c r="U114" s="2260">
        <f>'[11]НВВ 26.09.23.'!U114+'[12]НВВ 26.09.'!U114+'[13]НВВ 26.09.23.'!U114</f>
        <v>19118.777416763827</v>
      </c>
      <c r="V114" s="2533">
        <f t="shared" si="25"/>
        <v>18778.160287277224</v>
      </c>
      <c r="W114" s="2255">
        <f>'[11]НВВ 26.09.23.'!W114+'[12]НВВ 26.09.'!W114+'[13]НВВ 26.09.23.'!W114</f>
        <v>19118.777416763827</v>
      </c>
      <c r="X114" s="2260">
        <f>'[11]НВВ 26.09.23.'!X114+'[12]НВВ 26.09.'!X114+'[13]НВВ 26.09.23.'!X114</f>
        <v>19760.719484891993</v>
      </c>
      <c r="Y114" s="2533">
        <f t="shared" si="26"/>
        <v>19439.748450827909</v>
      </c>
      <c r="Z114" s="2255">
        <f>'[11]НВВ 26.09.23.'!Z114+'[12]НВВ 26.09.'!Z114+'[13]НВВ 26.09.23.'!Z114</f>
        <v>19760.719484891993</v>
      </c>
      <c r="AA114" s="2260">
        <f>'[11]НВВ 26.09.23.'!AA114+'[12]НВВ 26.09.'!AA114+'[13]НВВ 26.09.23.'!AA114</f>
        <v>20461.610016347273</v>
      </c>
      <c r="AB114" s="2360">
        <f t="shared" si="27"/>
        <v>20111.164750619631</v>
      </c>
      <c r="AC114" s="2606"/>
      <c r="AD114" s="2606"/>
      <c r="AE114" s="2606"/>
      <c r="AF114" s="2593"/>
      <c r="AG114" s="2593"/>
      <c r="AH114" s="2593"/>
      <c r="AI114" s="2593"/>
      <c r="AJ114" s="2593"/>
    </row>
    <row r="115" spans="1:36" s="3038" customFormat="1" ht="31.5" hidden="1" outlineLevel="2">
      <c r="A115" s="3032"/>
      <c r="B115" s="2338" t="s">
        <v>15018</v>
      </c>
      <c r="C115" s="3040" t="s">
        <v>15019</v>
      </c>
      <c r="D115" s="3041" t="s">
        <v>1888</v>
      </c>
      <c r="E115" s="2480">
        <f>E116+E117+E118+E121+E122</f>
        <v>0</v>
      </c>
      <c r="F115" s="2480">
        <f>F116+F117+F118+F121+F122</f>
        <v>0</v>
      </c>
      <c r="G115" s="3042">
        <f t="shared" si="20"/>
        <v>0</v>
      </c>
      <c r="H115" s="2480">
        <f>H116+H117+H118+H121+H122</f>
        <v>0</v>
      </c>
      <c r="I115" s="2480">
        <f>I116+I117+I118+I121+I122</f>
        <v>0</v>
      </c>
      <c r="J115" s="3042">
        <f t="shared" si="21"/>
        <v>0</v>
      </c>
      <c r="K115" s="2480">
        <f>K116+K117+K118+K121+K122</f>
        <v>38446.322105122221</v>
      </c>
      <c r="L115" s="2480">
        <f>L116+L117+L118+L121+L122</f>
        <v>40194.519543877766</v>
      </c>
      <c r="M115" s="3042">
        <f t="shared" si="22"/>
        <v>39320.42082449999</v>
      </c>
      <c r="N115" s="3043"/>
      <c r="O115" s="3044"/>
      <c r="P115" s="3042">
        <f t="shared" si="23"/>
        <v>0</v>
      </c>
      <c r="Q115" s="3043"/>
      <c r="R115" s="3044">
        <f>R116+R117+R118+R121+R122</f>
        <v>0</v>
      </c>
      <c r="S115" s="3045">
        <f t="shared" si="24"/>
        <v>0</v>
      </c>
      <c r="T115" s="3043"/>
      <c r="U115" s="3044">
        <f>U116+U117+U118+U121+U122</f>
        <v>0</v>
      </c>
      <c r="V115" s="3042">
        <f t="shared" si="25"/>
        <v>0</v>
      </c>
      <c r="W115" s="3043"/>
      <c r="X115" s="3044">
        <f>X116+X117+X118+X121+X122</f>
        <v>0</v>
      </c>
      <c r="Y115" s="3042">
        <f t="shared" si="26"/>
        <v>0</v>
      </c>
      <c r="Z115" s="3043"/>
      <c r="AA115" s="3044">
        <f>AA116+AA117+AA118+AA121+AA122</f>
        <v>0</v>
      </c>
      <c r="AB115" s="3045">
        <f t="shared" si="27"/>
        <v>0</v>
      </c>
      <c r="AC115" s="2609"/>
      <c r="AD115" s="2609"/>
      <c r="AE115" s="2609"/>
      <c r="AF115" s="2593"/>
      <c r="AG115" s="2593"/>
      <c r="AH115" s="2593"/>
      <c r="AI115" s="2593"/>
      <c r="AJ115" s="2593"/>
    </row>
    <row r="116" spans="1:36" s="2218" customFormat="1" ht="31.5" hidden="1" outlineLevel="2">
      <c r="A116" s="2235"/>
      <c r="B116" s="2329" t="s">
        <v>15020</v>
      </c>
      <c r="C116" s="2363" t="s">
        <v>1890</v>
      </c>
      <c r="D116" s="2535" t="s">
        <v>15021</v>
      </c>
      <c r="E116" s="2364"/>
      <c r="F116" s="2364"/>
      <c r="G116" s="2358">
        <f t="shared" si="20"/>
        <v>0</v>
      </c>
      <c r="H116" s="2364"/>
      <c r="I116" s="2364"/>
      <c r="J116" s="2358">
        <f t="shared" si="21"/>
        <v>0</v>
      </c>
      <c r="K116" s="2364">
        <f>9170.5394117647/1.0215</f>
        <v>8977.5226742679388</v>
      </c>
      <c r="L116" s="2364">
        <f>K116*1.043</f>
        <v>9363.5561492614597</v>
      </c>
      <c r="M116" s="2358">
        <f t="shared" si="22"/>
        <v>9170.5394117646993</v>
      </c>
      <c r="N116" s="2255"/>
      <c r="O116" s="2260"/>
      <c r="P116" s="2358">
        <f t="shared" si="23"/>
        <v>0</v>
      </c>
      <c r="Q116" s="2284">
        <f>O116</f>
        <v>0</v>
      </c>
      <c r="R116" s="2366">
        <f>Q116*1.04</f>
        <v>0</v>
      </c>
      <c r="S116" s="2360">
        <f t="shared" si="24"/>
        <v>0</v>
      </c>
      <c r="T116" s="2284">
        <f>R116</f>
        <v>0</v>
      </c>
      <c r="U116" s="2366">
        <f>T116*1.04</f>
        <v>0</v>
      </c>
      <c r="V116" s="2358">
        <f t="shared" si="25"/>
        <v>0</v>
      </c>
      <c r="W116" s="2284">
        <f>U116</f>
        <v>0</v>
      </c>
      <c r="X116" s="2366">
        <f>W116*1.04</f>
        <v>0</v>
      </c>
      <c r="Y116" s="2358">
        <f t="shared" si="26"/>
        <v>0</v>
      </c>
      <c r="Z116" s="2284">
        <f>X116</f>
        <v>0</v>
      </c>
      <c r="AA116" s="2366">
        <f>Z116*1.04</f>
        <v>0</v>
      </c>
      <c r="AB116" s="2360">
        <f t="shared" si="27"/>
        <v>0</v>
      </c>
      <c r="AC116" s="2606"/>
      <c r="AD116" s="2606"/>
      <c r="AE116" s="2606"/>
      <c r="AF116" s="2593"/>
      <c r="AG116" s="2593"/>
      <c r="AH116" s="2593"/>
      <c r="AI116" s="2593"/>
      <c r="AJ116" s="2593"/>
    </row>
    <row r="117" spans="1:36" s="3038" customFormat="1" ht="31.5" hidden="1" outlineLevel="2">
      <c r="A117" s="3032"/>
      <c r="B117" s="2338" t="s">
        <v>15022</v>
      </c>
      <c r="C117" s="3040" t="s">
        <v>1846</v>
      </c>
      <c r="D117" s="3041" t="s">
        <v>15021</v>
      </c>
      <c r="E117" s="2480"/>
      <c r="F117" s="2480"/>
      <c r="G117" s="3042">
        <f t="shared" si="20"/>
        <v>0</v>
      </c>
      <c r="H117" s="2480"/>
      <c r="I117" s="2480"/>
      <c r="J117" s="3042">
        <f t="shared" si="21"/>
        <v>0</v>
      </c>
      <c r="K117" s="2480"/>
      <c r="L117" s="2480"/>
      <c r="M117" s="3042">
        <f t="shared" si="22"/>
        <v>0</v>
      </c>
      <c r="N117" s="3043"/>
      <c r="O117" s="3044"/>
      <c r="P117" s="3042">
        <f t="shared" si="23"/>
        <v>0</v>
      </c>
      <c r="Q117" s="3043"/>
      <c r="R117" s="3044"/>
      <c r="S117" s="3045">
        <f t="shared" si="24"/>
        <v>0</v>
      </c>
      <c r="T117" s="3043"/>
      <c r="U117" s="3044"/>
      <c r="V117" s="3042">
        <f t="shared" si="25"/>
        <v>0</v>
      </c>
      <c r="W117" s="3043"/>
      <c r="X117" s="3044"/>
      <c r="Y117" s="3042">
        <f t="shared" si="26"/>
        <v>0</v>
      </c>
      <c r="Z117" s="3043"/>
      <c r="AA117" s="3044"/>
      <c r="AB117" s="3045">
        <f t="shared" si="27"/>
        <v>0</v>
      </c>
      <c r="AC117" s="2609"/>
      <c r="AD117" s="2609"/>
      <c r="AE117" s="2609"/>
      <c r="AF117" s="2593"/>
      <c r="AG117" s="2593"/>
      <c r="AH117" s="2593"/>
      <c r="AI117" s="2593"/>
      <c r="AJ117" s="2593"/>
    </row>
    <row r="118" spans="1:36" s="3038" customFormat="1" ht="31.5" hidden="1" outlineLevel="2">
      <c r="A118" s="3032"/>
      <c r="B118" s="2338" t="s">
        <v>15023</v>
      </c>
      <c r="C118" s="3040" t="s">
        <v>1786</v>
      </c>
      <c r="D118" s="3041" t="s">
        <v>15021</v>
      </c>
      <c r="E118" s="2480">
        <f>E119*E120</f>
        <v>0</v>
      </c>
      <c r="F118" s="2480">
        <f>F119*F120</f>
        <v>0</v>
      </c>
      <c r="G118" s="3042">
        <f t="shared" si="20"/>
        <v>0</v>
      </c>
      <c r="H118" s="2480">
        <f>H119*H120</f>
        <v>0</v>
      </c>
      <c r="I118" s="2480">
        <f>I119*I120</f>
        <v>0</v>
      </c>
      <c r="J118" s="3042">
        <f t="shared" si="21"/>
        <v>0</v>
      </c>
      <c r="K118" s="2480">
        <f>K119*K120</f>
        <v>12778.529411764704</v>
      </c>
      <c r="L118" s="2480">
        <f>L119*L120</f>
        <v>13423.011764705881</v>
      </c>
      <c r="M118" s="3042">
        <f t="shared" si="22"/>
        <v>13100.770588235293</v>
      </c>
      <c r="N118" s="3043"/>
      <c r="O118" s="3044"/>
      <c r="P118" s="3042">
        <f t="shared" si="23"/>
        <v>0</v>
      </c>
      <c r="Q118" s="3043">
        <f>Q119*Q120</f>
        <v>0</v>
      </c>
      <c r="R118" s="3044">
        <f>R119*R120</f>
        <v>0</v>
      </c>
      <c r="S118" s="3045">
        <f t="shared" si="24"/>
        <v>0</v>
      </c>
      <c r="T118" s="3043">
        <f>T119*T120</f>
        <v>0</v>
      </c>
      <c r="U118" s="3044">
        <f>U119*U120</f>
        <v>0</v>
      </c>
      <c r="V118" s="3042">
        <f t="shared" si="25"/>
        <v>0</v>
      </c>
      <c r="W118" s="3043">
        <f>W119*W120</f>
        <v>0</v>
      </c>
      <c r="X118" s="3044">
        <f>X119*X120</f>
        <v>0</v>
      </c>
      <c r="Y118" s="3042">
        <f t="shared" si="26"/>
        <v>0</v>
      </c>
      <c r="Z118" s="3043">
        <f>Z119*Z120</f>
        <v>0</v>
      </c>
      <c r="AA118" s="3044">
        <f>AA119*AA120</f>
        <v>0</v>
      </c>
      <c r="AB118" s="3045">
        <f t="shared" si="27"/>
        <v>0</v>
      </c>
      <c r="AC118" s="2609"/>
      <c r="AD118" s="2609"/>
      <c r="AE118" s="2609"/>
      <c r="AF118" s="2593"/>
      <c r="AG118" s="2593"/>
      <c r="AH118" s="2593"/>
      <c r="AI118" s="2593"/>
      <c r="AJ118" s="2593"/>
    </row>
    <row r="119" spans="1:36" s="3038" customFormat="1" ht="31.5" hidden="1" outlineLevel="2">
      <c r="A119" s="3032"/>
      <c r="B119" s="2338" t="s">
        <v>15024</v>
      </c>
      <c r="C119" s="3040" t="s">
        <v>1788</v>
      </c>
      <c r="D119" s="3041" t="s">
        <v>15021</v>
      </c>
      <c r="E119" s="2480"/>
      <c r="F119" s="2480"/>
      <c r="G119" s="3042">
        <f t="shared" si="20"/>
        <v>0</v>
      </c>
      <c r="H119" s="2480"/>
      <c r="I119" s="2480"/>
      <c r="J119" s="3042">
        <f t="shared" si="21"/>
        <v>0</v>
      </c>
      <c r="K119" s="2480">
        <v>5750</v>
      </c>
      <c r="L119" s="2480">
        <v>6040</v>
      </c>
      <c r="M119" s="3042">
        <f t="shared" si="22"/>
        <v>5895</v>
      </c>
      <c r="N119" s="3043"/>
      <c r="O119" s="3044"/>
      <c r="P119" s="3042">
        <f t="shared" si="23"/>
        <v>0</v>
      </c>
      <c r="Q119" s="3043">
        <f>O119</f>
        <v>0</v>
      </c>
      <c r="R119" s="3044">
        <f>Q119*1.04</f>
        <v>0</v>
      </c>
      <c r="S119" s="3045">
        <f t="shared" si="24"/>
        <v>0</v>
      </c>
      <c r="T119" s="3043">
        <f>R119</f>
        <v>0</v>
      </c>
      <c r="U119" s="3044">
        <f>T119*1.04</f>
        <v>0</v>
      </c>
      <c r="V119" s="3042">
        <f t="shared" si="25"/>
        <v>0</v>
      </c>
      <c r="W119" s="3043">
        <f>U119</f>
        <v>0</v>
      </c>
      <c r="X119" s="3044">
        <f>W119*1.04</f>
        <v>0</v>
      </c>
      <c r="Y119" s="3042">
        <f t="shared" si="26"/>
        <v>0</v>
      </c>
      <c r="Z119" s="3043">
        <f>X119</f>
        <v>0</v>
      </c>
      <c r="AA119" s="3044">
        <f>Z119*1.04</f>
        <v>0</v>
      </c>
      <c r="AB119" s="3045">
        <f t="shared" si="27"/>
        <v>0</v>
      </c>
      <c r="AC119" s="2609"/>
      <c r="AD119" s="2609"/>
      <c r="AE119" s="2609"/>
      <c r="AF119" s="2593"/>
      <c r="AG119" s="2593"/>
      <c r="AH119" s="2593"/>
      <c r="AI119" s="2593"/>
      <c r="AJ119" s="2593"/>
    </row>
    <row r="120" spans="1:36" s="3038" customFormat="1" ht="31.5" hidden="1" outlineLevel="2">
      <c r="A120" s="3032"/>
      <c r="B120" s="2338" t="s">
        <v>15025</v>
      </c>
      <c r="C120" s="3040" t="s">
        <v>1790</v>
      </c>
      <c r="D120" s="3041"/>
      <c r="E120" s="2480"/>
      <c r="F120" s="2480"/>
      <c r="G120" s="3042">
        <f t="shared" si="20"/>
        <v>0</v>
      </c>
      <c r="H120" s="2480"/>
      <c r="I120" s="2480"/>
      <c r="J120" s="3042">
        <f t="shared" si="21"/>
        <v>0</v>
      </c>
      <c r="K120" s="2480">
        <v>2.2223529411764704</v>
      </c>
      <c r="L120" s="2480">
        <f>K120</f>
        <v>2.2223529411764704</v>
      </c>
      <c r="M120" s="3042">
        <f t="shared" si="22"/>
        <v>2.2223529411764704</v>
      </c>
      <c r="N120" s="3043"/>
      <c r="O120" s="3044"/>
      <c r="P120" s="3042">
        <f t="shared" si="23"/>
        <v>0</v>
      </c>
      <c r="Q120" s="3043">
        <f>O120</f>
        <v>0</v>
      </c>
      <c r="R120" s="3044">
        <f>Q120</f>
        <v>0</v>
      </c>
      <c r="S120" s="3045">
        <f t="shared" si="24"/>
        <v>0</v>
      </c>
      <c r="T120" s="3043">
        <f>R120</f>
        <v>0</v>
      </c>
      <c r="U120" s="3044">
        <f>T120</f>
        <v>0</v>
      </c>
      <c r="V120" s="3042">
        <f t="shared" si="25"/>
        <v>0</v>
      </c>
      <c r="W120" s="3043">
        <f>U120</f>
        <v>0</v>
      </c>
      <c r="X120" s="3044">
        <f>W120</f>
        <v>0</v>
      </c>
      <c r="Y120" s="3042">
        <f t="shared" si="26"/>
        <v>0</v>
      </c>
      <c r="Z120" s="3043">
        <f>X120</f>
        <v>0</v>
      </c>
      <c r="AA120" s="3044">
        <f>Z120</f>
        <v>0</v>
      </c>
      <c r="AB120" s="3045">
        <f t="shared" si="27"/>
        <v>0</v>
      </c>
      <c r="AC120" s="2609"/>
      <c r="AD120" s="2609"/>
      <c r="AE120" s="2609"/>
      <c r="AF120" s="2593"/>
      <c r="AG120" s="2593"/>
      <c r="AH120" s="2593"/>
      <c r="AI120" s="2593"/>
      <c r="AJ120" s="2593"/>
    </row>
    <row r="121" spans="1:36" s="2218" customFormat="1" ht="31.5" hidden="1" outlineLevel="2">
      <c r="A121" s="2235"/>
      <c r="B121" s="2336" t="s">
        <v>15026</v>
      </c>
      <c r="C121" s="2363" t="s">
        <v>1795</v>
      </c>
      <c r="D121" s="2535" t="s">
        <v>15021</v>
      </c>
      <c r="E121" s="2364"/>
      <c r="F121" s="2364"/>
      <c r="G121" s="2358">
        <f t="shared" si="20"/>
        <v>0</v>
      </c>
      <c r="H121" s="2364"/>
      <c r="I121" s="2364"/>
      <c r="J121" s="2358">
        <f t="shared" si="21"/>
        <v>0</v>
      </c>
      <c r="K121" s="2364">
        <f>17049.1108245/1.0215</f>
        <v>16690.270019089574</v>
      </c>
      <c r="L121" s="2364">
        <f>K121*1.043</f>
        <v>17407.951629910425</v>
      </c>
      <c r="M121" s="2358">
        <f t="shared" si="22"/>
        <v>17049.1108245</v>
      </c>
      <c r="N121" s="2255"/>
      <c r="O121" s="2260"/>
      <c r="P121" s="2358">
        <f t="shared" si="23"/>
        <v>0</v>
      </c>
      <c r="Q121" s="2284">
        <f>O121</f>
        <v>0</v>
      </c>
      <c r="R121" s="2366">
        <f>Q121*1.04</f>
        <v>0</v>
      </c>
      <c r="S121" s="2360">
        <f t="shared" si="24"/>
        <v>0</v>
      </c>
      <c r="T121" s="2284">
        <f>R121</f>
        <v>0</v>
      </c>
      <c r="U121" s="2366">
        <f>T121*1.04</f>
        <v>0</v>
      </c>
      <c r="V121" s="2358">
        <f t="shared" si="25"/>
        <v>0</v>
      </c>
      <c r="W121" s="2284">
        <f>U121</f>
        <v>0</v>
      </c>
      <c r="X121" s="2366">
        <f>W121*1.04</f>
        <v>0</v>
      </c>
      <c r="Y121" s="2358">
        <f t="shared" si="26"/>
        <v>0</v>
      </c>
      <c r="Z121" s="2284">
        <f>X121</f>
        <v>0</v>
      </c>
      <c r="AA121" s="2366">
        <f>Z121*1.04</f>
        <v>0</v>
      </c>
      <c r="AB121" s="2360">
        <f t="shared" si="27"/>
        <v>0</v>
      </c>
      <c r="AC121" s="2606"/>
      <c r="AD121" s="2606"/>
      <c r="AE121" s="2606"/>
      <c r="AF121" s="2593"/>
      <c r="AG121" s="2593"/>
      <c r="AH121" s="2593"/>
      <c r="AI121" s="2593"/>
      <c r="AJ121" s="2593"/>
    </row>
    <row r="122" spans="1:36" s="2218" customFormat="1" ht="31.5" hidden="1" outlineLevel="2">
      <c r="A122" s="2235"/>
      <c r="B122" s="2336" t="s">
        <v>15027</v>
      </c>
      <c r="C122" s="2363" t="s">
        <v>1898</v>
      </c>
      <c r="D122" s="2535" t="s">
        <v>15021</v>
      </c>
      <c r="E122" s="2364"/>
      <c r="F122" s="2364"/>
      <c r="G122" s="2358">
        <f>E122/2+F122/2</f>
        <v>0</v>
      </c>
      <c r="H122" s="2364"/>
      <c r="I122" s="2364"/>
      <c r="J122" s="2358">
        <f>H122/2+I122/2</f>
        <v>0</v>
      </c>
      <c r="K122" s="2364"/>
      <c r="L122" s="2364"/>
      <c r="M122" s="2358">
        <f>K122/2+L122/2</f>
        <v>0</v>
      </c>
      <c r="N122" s="3030"/>
      <c r="O122" s="2366"/>
      <c r="P122" s="2358">
        <f>N122/2+O122/2</f>
        <v>0</v>
      </c>
      <c r="Q122" s="3030"/>
      <c r="R122" s="2366"/>
      <c r="S122" s="2360">
        <f t="shared" si="24"/>
        <v>0</v>
      </c>
      <c r="T122" s="3030"/>
      <c r="U122" s="2366"/>
      <c r="V122" s="2358">
        <f t="shared" si="25"/>
        <v>0</v>
      </c>
      <c r="W122" s="3030"/>
      <c r="X122" s="2366"/>
      <c r="Y122" s="2358">
        <f>W122/2+X122/2</f>
        <v>0</v>
      </c>
      <c r="Z122" s="3030"/>
      <c r="AA122" s="2366"/>
      <c r="AB122" s="2360">
        <f>Z122/2+AA122/2</f>
        <v>0</v>
      </c>
      <c r="AC122" s="2606"/>
      <c r="AD122" s="2606"/>
      <c r="AE122" s="2606"/>
      <c r="AF122" s="2593"/>
      <c r="AG122" s="2593"/>
      <c r="AH122" s="2593"/>
      <c r="AI122" s="2593"/>
      <c r="AJ122" s="2593"/>
    </row>
    <row r="123" spans="1:36" s="2218" customFormat="1" ht="31.5" outlineLevel="1" collapsed="1">
      <c r="A123" s="2235"/>
      <c r="B123" s="2329" t="s">
        <v>15028</v>
      </c>
      <c r="C123" s="2363" t="s">
        <v>1799</v>
      </c>
      <c r="D123" s="2535" t="s">
        <v>1800</v>
      </c>
      <c r="E123" s="2364"/>
      <c r="F123" s="2364"/>
      <c r="G123" s="2358">
        <f>E123/2+F123/2</f>
        <v>0</v>
      </c>
      <c r="H123" s="2364"/>
      <c r="I123" s="2364"/>
      <c r="J123" s="2358">
        <f>H123/2+I123/2</f>
        <v>0</v>
      </c>
      <c r="K123" s="2364">
        <v>6</v>
      </c>
      <c r="L123" s="2364">
        <f>K123</f>
        <v>6</v>
      </c>
      <c r="M123" s="2358">
        <f>K123/2+L123/2</f>
        <v>6</v>
      </c>
      <c r="N123" s="2255">
        <f>'[11]НВВ 26.09.23.'!N123+'[12]НВВ 26.09.'!N123+'[13]НВВ 26.09.23.'!N123</f>
        <v>19.530603807821294</v>
      </c>
      <c r="O123" s="2260">
        <f>'[11]НВВ 26.09.23.'!O123+'[12]НВВ 26.09.'!O123+'[13]НВВ 26.09.23.'!O123</f>
        <v>43.142254298747467</v>
      </c>
      <c r="P123" s="2358">
        <f>N123/2+O123/2</f>
        <v>31.33642905328438</v>
      </c>
      <c r="Q123" s="2255">
        <f>'[11]НВВ 26.09.23.'!Q123+'[12]НВВ 26.09.'!Q123+'[13]НВВ 26.09.23.'!Q123</f>
        <v>43.142254298747467</v>
      </c>
      <c r="R123" s="2260">
        <f>'[11]НВВ 26.09.23.'!R123+'[12]НВВ 26.09.'!R123+'[13]НВВ 26.09.23.'!R123</f>
        <v>43.142254298747467</v>
      </c>
      <c r="S123" s="2360">
        <f t="shared" si="24"/>
        <v>43.142254298747467</v>
      </c>
      <c r="T123" s="2255">
        <f>'[11]НВВ 26.09.23.'!T123+'[12]НВВ 26.09.'!T123+'[13]НВВ 26.09.23.'!T123</f>
        <v>43.142254298747467</v>
      </c>
      <c r="U123" s="2260">
        <f>'[11]НВВ 26.09.23.'!U123+'[12]НВВ 26.09.'!U123+'[13]НВВ 26.09.23.'!U123</f>
        <v>43.142254298747467</v>
      </c>
      <c r="V123" s="2358">
        <f t="shared" si="25"/>
        <v>43.142254298747467</v>
      </c>
      <c r="W123" s="2255">
        <f>'[11]НВВ 26.09.23.'!W123+'[12]НВВ 26.09.'!W123+'[13]НВВ 26.09.23.'!W123</f>
        <v>43.142254298747467</v>
      </c>
      <c r="X123" s="2260">
        <f>'[11]НВВ 26.09.23.'!X123+'[12]НВВ 26.09.'!X123+'[13]НВВ 26.09.23.'!X123</f>
        <v>43.142254298747467</v>
      </c>
      <c r="Y123" s="2358">
        <f>W123/2+X123/2</f>
        <v>43.142254298747467</v>
      </c>
      <c r="Z123" s="2255">
        <f>'[11]НВВ 26.09.23.'!Z123+'[12]НВВ 26.09.'!Z123+'[13]НВВ 26.09.23.'!Z123</f>
        <v>43.142254298747467</v>
      </c>
      <c r="AA123" s="2260">
        <f>'[11]НВВ 26.09.23.'!AA123+'[12]НВВ 26.09.'!AA123+'[13]НВВ 26.09.23.'!AA123</f>
        <v>43.142254298747467</v>
      </c>
      <c r="AB123" s="2360">
        <f>Z123/2+AA123/2</f>
        <v>43.142254298747467</v>
      </c>
      <c r="AC123" s="2606"/>
      <c r="AD123" s="2606"/>
      <c r="AE123" s="2606"/>
      <c r="AF123" s="2593"/>
      <c r="AG123" s="2593"/>
      <c r="AH123" s="2593"/>
      <c r="AI123" s="2593"/>
      <c r="AJ123" s="2593"/>
    </row>
    <row r="124" spans="1:36" s="2218" customFormat="1" ht="32.25" outlineLevel="1" thickBot="1">
      <c r="A124" s="2235"/>
      <c r="B124" s="2368" t="s">
        <v>15029</v>
      </c>
      <c r="C124" s="2369" t="s">
        <v>15030</v>
      </c>
      <c r="D124" s="2537" t="s">
        <v>1317</v>
      </c>
      <c r="E124" s="2370"/>
      <c r="F124" s="2370"/>
      <c r="G124" s="2358">
        <f>E124/2+F124/2</f>
        <v>0</v>
      </c>
      <c r="H124" s="2370"/>
      <c r="I124" s="2370"/>
      <c r="J124" s="2358">
        <f>H124/2+I124/2</f>
        <v>0</v>
      </c>
      <c r="K124" s="2370">
        <f>837.016775952181/1.0215</f>
        <v>819.3996827725706</v>
      </c>
      <c r="L124" s="2370">
        <f>K124*1.043</f>
        <v>854.63386913179113</v>
      </c>
      <c r="M124" s="2358">
        <f>K124/2+L124/2</f>
        <v>837.01677595218086</v>
      </c>
      <c r="N124" s="2255">
        <f>'[11]НВВ 26.09.23.'!N124+'[12]НВВ 26.09.'!N124+'[13]НВВ 26.09.23.'!N124</f>
        <v>2860.0366601803116</v>
      </c>
      <c r="O124" s="2260">
        <f>'[11]НВВ 26.09.23.'!O124+'[12]НВВ 26.09.'!O124+'[13]НВВ 26.09.23.'!O124</f>
        <v>5402.3527558046644</v>
      </c>
      <c r="P124" s="2538">
        <f>N124/2+O124/2</f>
        <v>4131.1947079924885</v>
      </c>
      <c r="Q124" s="2255">
        <f>'[11]НВВ 26.09.23.'!Q124+'[12]НВВ 26.09.'!Q124+'[13]НВВ 26.09.23.'!Q124</f>
        <v>5402.3527558046644</v>
      </c>
      <c r="R124" s="2260">
        <f>'[11]НВВ 26.09.23.'!R124+'[12]НВВ 26.09.'!R124+'[13]НВВ 26.09.23.'!R124</f>
        <v>5618.4468660368511</v>
      </c>
      <c r="S124" s="2539">
        <f t="shared" si="24"/>
        <v>5510.3998109207578</v>
      </c>
      <c r="T124" s="2255">
        <f>'[11]НВВ 26.09.23.'!T124+'[12]НВВ 26.09.'!T124+'[13]НВВ 26.09.23.'!T124</f>
        <v>5618.4468660368511</v>
      </c>
      <c r="U124" s="2260">
        <f>'[11]НВВ 26.09.23.'!U124+'[12]НВВ 26.09.'!U124+'[13]НВВ 26.09.23.'!U124</f>
        <v>5761.5686116112593</v>
      </c>
      <c r="V124" s="2538">
        <f t="shared" si="25"/>
        <v>5690.0077388240552</v>
      </c>
      <c r="W124" s="2255">
        <f>'[11]НВВ 26.09.23.'!W124+'[12]НВВ 26.09.'!W124+'[13]НВВ 26.09.23.'!W124</f>
        <v>5761.5686116112593</v>
      </c>
      <c r="X124" s="2260">
        <f>'[11]НВВ 26.09.23.'!X124+'[12]НВВ 26.09.'!X124+'[13]НВВ 26.09.23.'!X124</f>
        <v>5955.1886475129941</v>
      </c>
      <c r="Y124" s="2538">
        <f>W124/2+X124/2</f>
        <v>5858.3786295621267</v>
      </c>
      <c r="Z124" s="2255">
        <f>'[11]НВВ 26.09.23.'!Z124+'[12]НВВ 26.09.'!Z124+'[13]НВВ 26.09.23.'!Z124</f>
        <v>5955.1886475129941</v>
      </c>
      <c r="AA124" s="2260">
        <f>'[11]НВВ 26.09.23.'!AA124+'[12]НВВ 26.09.'!AA124+'[13]НВВ 26.09.23.'!AA124</f>
        <v>6166.5347190313933</v>
      </c>
      <c r="AB124" s="2540">
        <f>Z124/2+AA124/2</f>
        <v>6060.8616832721937</v>
      </c>
      <c r="AC124" s="2606"/>
      <c r="AD124" s="2606"/>
      <c r="AE124" s="2606"/>
      <c r="AF124" s="2593"/>
      <c r="AG124" s="2593"/>
      <c r="AH124" s="2593"/>
      <c r="AI124" s="2593"/>
      <c r="AJ124" s="2593"/>
    </row>
    <row r="125" spans="1:36" s="2218" customFormat="1" ht="21" customHeight="1" outlineLevel="1" thickBot="1">
      <c r="A125" s="2235">
        <v>9</v>
      </c>
      <c r="B125" s="1260" t="s">
        <v>1175</v>
      </c>
      <c r="C125" s="2318" t="s">
        <v>1924</v>
      </c>
      <c r="D125" s="2541" t="s">
        <v>1317</v>
      </c>
      <c r="E125" s="2372">
        <f>E126+E142</f>
        <v>0</v>
      </c>
      <c r="F125" s="2373">
        <f>F126+F142</f>
        <v>0</v>
      </c>
      <c r="G125" s="2374">
        <f t="shared" si="20"/>
        <v>0</v>
      </c>
      <c r="H125" s="2373">
        <f>H126+H142</f>
        <v>0</v>
      </c>
      <c r="I125" s="2373">
        <f>I126+I142</f>
        <v>0</v>
      </c>
      <c r="J125" s="2374">
        <f t="shared" si="21"/>
        <v>0</v>
      </c>
      <c r="K125" s="2373">
        <f>K126+K142</f>
        <v>0</v>
      </c>
      <c r="L125" s="2373">
        <f>L126+L142</f>
        <v>0</v>
      </c>
      <c r="M125" s="2374">
        <f t="shared" si="22"/>
        <v>0</v>
      </c>
      <c r="N125" s="2372">
        <f>N126+N142</f>
        <v>98596.309183407808</v>
      </c>
      <c r="O125" s="2376">
        <f>O126+O142</f>
        <v>107469.97700991451</v>
      </c>
      <c r="P125" s="2375">
        <f t="shared" si="23"/>
        <v>103033.14309666117</v>
      </c>
      <c r="Q125" s="2372">
        <f>Q126+Q142</f>
        <v>107469.97700991451</v>
      </c>
      <c r="R125" s="2376">
        <f>R126+R142</f>
        <v>113000.96851169954</v>
      </c>
      <c r="S125" s="2374">
        <f t="shared" si="24"/>
        <v>110235.47276080702</v>
      </c>
      <c r="T125" s="2372">
        <f>T126+T142</f>
        <v>113000.96851169954</v>
      </c>
      <c r="U125" s="2376">
        <f>U126+U142</f>
        <v>118816.85669909217</v>
      </c>
      <c r="V125" s="2375">
        <f t="shared" si="25"/>
        <v>115908.91260539586</v>
      </c>
      <c r="W125" s="2372">
        <f>W126+W142</f>
        <v>118816.85669909217</v>
      </c>
      <c r="X125" s="2376">
        <f>X126+X142</f>
        <v>124932.32880323025</v>
      </c>
      <c r="Y125" s="2375">
        <f t="shared" si="26"/>
        <v>121874.59275116121</v>
      </c>
      <c r="Z125" s="2372">
        <f>Z126+Z142</f>
        <v>124932.32880323025</v>
      </c>
      <c r="AA125" s="2376">
        <f>AA126+AA142</f>
        <v>131362.82986384194</v>
      </c>
      <c r="AB125" s="2374">
        <f t="shared" si="27"/>
        <v>128147.57933353609</v>
      </c>
      <c r="AC125" s="2606"/>
      <c r="AD125" s="2606"/>
      <c r="AE125" s="2606"/>
      <c r="AF125" s="2593"/>
      <c r="AG125" s="2593"/>
      <c r="AH125" s="2593"/>
      <c r="AI125" s="2593"/>
      <c r="AJ125" s="2593"/>
    </row>
    <row r="126" spans="1:36" s="2218" customFormat="1" ht="31.5" outlineLevel="1">
      <c r="A126" s="2235">
        <v>198</v>
      </c>
      <c r="B126" s="2243"/>
      <c r="C126" s="2278" t="s">
        <v>1925</v>
      </c>
      <c r="D126" s="2499" t="s">
        <v>1926</v>
      </c>
      <c r="E126" s="2246">
        <f>E127+E130+E133+E136+E139</f>
        <v>0</v>
      </c>
      <c r="F126" s="2247">
        <f>F127+F130+F133+F136+F139</f>
        <v>0</v>
      </c>
      <c r="G126" s="2248">
        <f t="shared" si="20"/>
        <v>0</v>
      </c>
      <c r="H126" s="2247">
        <f>H127+H130+H133+H136+H139</f>
        <v>0</v>
      </c>
      <c r="I126" s="2247">
        <f>I127+I130+I133+I136+I139</f>
        <v>0</v>
      </c>
      <c r="J126" s="2248">
        <f t="shared" si="21"/>
        <v>0</v>
      </c>
      <c r="K126" s="2247">
        <f>K127+K130+K133+K136+K139</f>
        <v>0</v>
      </c>
      <c r="L126" s="2247">
        <f>L127+L130+L133+L136+L139</f>
        <v>0</v>
      </c>
      <c r="M126" s="2250">
        <f t="shared" si="22"/>
        <v>0</v>
      </c>
      <c r="N126" s="2246">
        <f>N127+N130+N133+N136+N139</f>
        <v>91685.651485843438</v>
      </c>
      <c r="O126" s="2251">
        <f>O127+O130+O133+O136+O139</f>
        <v>99937.360119569348</v>
      </c>
      <c r="P126" s="2249">
        <f t="shared" si="23"/>
        <v>95811.505802706393</v>
      </c>
      <c r="Q126" s="2246">
        <f>Q127+Q130+Q133+Q136+Q139</f>
        <v>99937.360119569348</v>
      </c>
      <c r="R126" s="2251">
        <f>R127+R130+R133+R136+R139</f>
        <v>105069.12292616609</v>
      </c>
      <c r="S126" s="2250">
        <f t="shared" si="24"/>
        <v>102503.24152286773</v>
      </c>
      <c r="T126" s="2246">
        <f>T127+T130+T133+T136+T139</f>
        <v>105069.12292616609</v>
      </c>
      <c r="U126" s="2251">
        <f>U127+U130+U133+U136+U139</f>
        <v>110464.62329752545</v>
      </c>
      <c r="V126" s="2249">
        <f t="shared" si="25"/>
        <v>107766.87311184578</v>
      </c>
      <c r="W126" s="2246">
        <f>W127+W130+W133+W136+W139</f>
        <v>110464.62329752545</v>
      </c>
      <c r="X126" s="2251">
        <f>X127+X130+X133+X136+X139</f>
        <v>116137.42703138049</v>
      </c>
      <c r="Y126" s="2249">
        <f t="shared" si="26"/>
        <v>113301.02516445296</v>
      </c>
      <c r="Z126" s="2246">
        <f>Z127+Z130+Z133+Z136+Z139</f>
        <v>116137.42703138049</v>
      </c>
      <c r="AA126" s="2251">
        <f>AA127+AA130+AA133+AA136+AA139</f>
        <v>122101.79829808415</v>
      </c>
      <c r="AB126" s="2250">
        <f t="shared" si="27"/>
        <v>119119.61266473233</v>
      </c>
      <c r="AC126" s="2606"/>
      <c r="AD126" s="2606"/>
      <c r="AE126" s="2606"/>
      <c r="AF126" s="2593"/>
      <c r="AG126" s="2593"/>
      <c r="AH126" s="2593"/>
      <c r="AI126" s="2593"/>
      <c r="AJ126" s="2593"/>
    </row>
    <row r="127" spans="1:36" s="2218" customFormat="1" ht="18.75" customHeight="1" outlineLevel="1">
      <c r="A127" s="2235">
        <v>201</v>
      </c>
      <c r="B127" s="2279"/>
      <c r="C127" s="2280" t="s">
        <v>1927</v>
      </c>
      <c r="D127" s="2500" t="s">
        <v>1317</v>
      </c>
      <c r="E127" s="2255">
        <f>E128*E129</f>
        <v>0</v>
      </c>
      <c r="F127" s="2256">
        <f>F128*F129</f>
        <v>0</v>
      </c>
      <c r="G127" s="2257">
        <f t="shared" si="20"/>
        <v>0</v>
      </c>
      <c r="H127" s="2256">
        <f>H128*H129</f>
        <v>0</v>
      </c>
      <c r="I127" s="2256">
        <f>I128*I129</f>
        <v>0</v>
      </c>
      <c r="J127" s="2257">
        <f t="shared" si="21"/>
        <v>0</v>
      </c>
      <c r="K127" s="2256">
        <f>K128*K129</f>
        <v>0</v>
      </c>
      <c r="L127" s="2256">
        <f>L128*L129</f>
        <v>0</v>
      </c>
      <c r="M127" s="2259">
        <f t="shared" si="22"/>
        <v>0</v>
      </c>
      <c r="N127" s="2255">
        <f>'[11]НВВ 26.09.23.'!N127+'[12]НВВ 26.09.'!N127+'[13]НВВ 26.09.23.'!N127</f>
        <v>37592.680774789289</v>
      </c>
      <c r="O127" s="2260">
        <f>'[11]НВВ 26.09.23.'!O127+'[12]НВВ 26.09.'!O127+'[13]НВВ 26.09.23.'!O127</f>
        <v>40976.02204452033</v>
      </c>
      <c r="P127" s="2258">
        <f t="shared" si="23"/>
        <v>39284.35140965481</v>
      </c>
      <c r="Q127" s="2255">
        <f>'[11]НВВ 26.09.23.'!Q127+'[12]НВВ 26.09.'!Q127+'[13]НВВ 26.09.23.'!Q127</f>
        <v>40976.02204452033</v>
      </c>
      <c r="R127" s="2260">
        <f>'[11]НВВ 26.09.23.'!R127+'[12]НВВ 26.09.'!R127+'[13]НВВ 26.09.23.'!R127</f>
        <v>43078.326028159179</v>
      </c>
      <c r="S127" s="2259">
        <f t="shared" si="24"/>
        <v>42027.174036339755</v>
      </c>
      <c r="T127" s="2255">
        <f>'[11]НВВ 26.09.23.'!T127+'[12]НВВ 26.09.'!T127+'[13]НВВ 26.09.23.'!T127</f>
        <v>43078.326028159179</v>
      </c>
      <c r="U127" s="2260">
        <f>'[11]НВВ 26.09.23.'!U127+'[12]НВВ 26.09.'!U127+'[13]НВВ 26.09.23.'!U127</f>
        <v>45288.580863694864</v>
      </c>
      <c r="V127" s="2258">
        <f t="shared" si="25"/>
        <v>44183.453445927022</v>
      </c>
      <c r="W127" s="2255">
        <f>'[11]НВВ 26.09.23.'!W127+'[12]НВВ 26.09.'!W127+'[13]НВВ 26.09.23.'!W127</f>
        <v>45288.580863694864</v>
      </c>
      <c r="X127" s="2260">
        <f>'[11]НВВ 26.09.23.'!X127+'[12]НВВ 26.09.'!X127+'[13]НВВ 26.09.23.'!X127</f>
        <v>47612.334383316091</v>
      </c>
      <c r="Y127" s="2258">
        <f t="shared" si="26"/>
        <v>46450.457623505477</v>
      </c>
      <c r="Z127" s="2255">
        <f>'[11]НВВ 26.09.23.'!Z127+'[12]НВВ 26.09.'!Z127+'[13]НВВ 26.09.23.'!Z127</f>
        <v>47612.334383316091</v>
      </c>
      <c r="AA127" s="2260">
        <f>'[11]НВВ 26.09.23.'!AA127+'[12]НВВ 26.09.'!AA127+'[13]НВВ 26.09.23.'!AA127</f>
        <v>50055.419776169518</v>
      </c>
      <c r="AB127" s="2259">
        <f t="shared" si="27"/>
        <v>48833.877079742801</v>
      </c>
      <c r="AC127" s="2606"/>
      <c r="AD127" s="2606"/>
      <c r="AE127" s="2606"/>
      <c r="AF127" s="2593"/>
      <c r="AG127" s="2593"/>
      <c r="AH127" s="2593"/>
      <c r="AI127" s="2593"/>
      <c r="AJ127" s="2593"/>
    </row>
    <row r="128" spans="1:36" s="2218" customFormat="1" ht="21" customHeight="1" outlineLevel="1">
      <c r="A128" s="2235">
        <v>206</v>
      </c>
      <c r="B128" s="2281" t="s">
        <v>1928</v>
      </c>
      <c r="C128" s="2282" t="s">
        <v>1929</v>
      </c>
      <c r="D128" s="2504" t="s">
        <v>1930</v>
      </c>
      <c r="E128" s="2284"/>
      <c r="F128" s="2285"/>
      <c r="G128" s="2257">
        <f t="shared" si="20"/>
        <v>0</v>
      </c>
      <c r="H128" s="2285"/>
      <c r="I128" s="2285"/>
      <c r="J128" s="2257">
        <f t="shared" si="21"/>
        <v>0</v>
      </c>
      <c r="K128" s="2285"/>
      <c r="L128" s="2285"/>
      <c r="M128" s="2259">
        <f t="shared" si="22"/>
        <v>0</v>
      </c>
      <c r="N128" s="2255">
        <f>'[11]НВВ 26.09.23.'!N128+'[12]НВВ 26.09.'!N128+'[13]НВВ 26.09.23.'!N128</f>
        <v>5260.3407980547126</v>
      </c>
      <c r="O128" s="2260">
        <f>'[11]НВВ 26.09.23.'!O128+'[12]НВВ 26.09.'!O128+'[13]НВВ 26.09.23.'!O128</f>
        <v>5260.3407980547126</v>
      </c>
      <c r="P128" s="2258">
        <f t="shared" si="23"/>
        <v>5260.3407980547126</v>
      </c>
      <c r="Q128" s="2255">
        <f>'[11]НВВ 26.09.23.'!Q128+'[12]НВВ 26.09.'!Q128+'[13]НВВ 26.09.23.'!Q128</f>
        <v>5260.3407980547126</v>
      </c>
      <c r="R128" s="2260">
        <f>'[11]НВВ 26.09.23.'!R128+'[12]НВВ 26.09.'!R128+'[13]НВВ 26.09.23.'!R128</f>
        <v>5260.3407980547126</v>
      </c>
      <c r="S128" s="2259">
        <f t="shared" si="24"/>
        <v>5260.3407980547126</v>
      </c>
      <c r="T128" s="2255">
        <f>'[11]НВВ 26.09.23.'!T128+'[12]НВВ 26.09.'!T128+'[13]НВВ 26.09.23.'!T128</f>
        <v>5260.3407980547126</v>
      </c>
      <c r="U128" s="2260">
        <f>'[11]НВВ 26.09.23.'!U128+'[12]НВВ 26.09.'!U128+'[13]НВВ 26.09.23.'!U128</f>
        <v>5260.3407980547126</v>
      </c>
      <c r="V128" s="2258">
        <f t="shared" si="25"/>
        <v>5260.3407980547126</v>
      </c>
      <c r="W128" s="2255">
        <f>'[11]НВВ 26.09.23.'!W128+'[12]НВВ 26.09.'!W128+'[13]НВВ 26.09.23.'!W128</f>
        <v>5260.3407980547126</v>
      </c>
      <c r="X128" s="2260">
        <f>'[11]НВВ 26.09.23.'!X128+'[12]НВВ 26.09.'!X128+'[13]НВВ 26.09.23.'!X128</f>
        <v>5260.3407980547126</v>
      </c>
      <c r="Y128" s="2258">
        <f t="shared" si="26"/>
        <v>5260.3407980547126</v>
      </c>
      <c r="Z128" s="2255">
        <f>'[11]НВВ 26.09.23.'!Z128+'[12]НВВ 26.09.'!Z128+'[13]НВВ 26.09.23.'!Z128</f>
        <v>5260.3407980547126</v>
      </c>
      <c r="AA128" s="2260">
        <f>'[11]НВВ 26.09.23.'!AA128+'[12]НВВ 26.09.'!AA128+'[13]НВВ 26.09.23.'!AA128</f>
        <v>5260.3407980547126</v>
      </c>
      <c r="AB128" s="2259">
        <f t="shared" si="27"/>
        <v>5260.3407980547126</v>
      </c>
      <c r="AC128" s="2606"/>
      <c r="AD128" s="2606"/>
      <c r="AE128" s="2606"/>
      <c r="AF128" s="2593"/>
      <c r="AG128" s="2593"/>
      <c r="AH128" s="2593"/>
      <c r="AI128" s="2593"/>
      <c r="AJ128" s="2593"/>
    </row>
    <row r="129" spans="1:36" s="2218" customFormat="1" ht="18.75" customHeight="1" outlineLevel="1">
      <c r="A129" s="2235">
        <v>207</v>
      </c>
      <c r="B129" s="2281" t="s">
        <v>1932</v>
      </c>
      <c r="C129" s="2282" t="s">
        <v>1933</v>
      </c>
      <c r="D129" s="2504" t="s">
        <v>1934</v>
      </c>
      <c r="E129" s="2284"/>
      <c r="F129" s="2285"/>
      <c r="G129" s="2257">
        <f t="shared" si="20"/>
        <v>0</v>
      </c>
      <c r="H129" s="2285"/>
      <c r="I129" s="2285"/>
      <c r="J129" s="2257">
        <f t="shared" si="21"/>
        <v>0</v>
      </c>
      <c r="K129" s="2285"/>
      <c r="L129" s="2285"/>
      <c r="M129" s="2259">
        <f t="shared" si="22"/>
        <v>0</v>
      </c>
      <c r="N129" s="2284">
        <f>N127/N128</f>
        <v>7.1464344646056315</v>
      </c>
      <c r="O129" s="2286">
        <f>O127/O128</f>
        <v>7.7896135664201394</v>
      </c>
      <c r="P129" s="2258">
        <f t="shared" si="23"/>
        <v>7.468024015512885</v>
      </c>
      <c r="Q129" s="2284">
        <f t="shared" ref="Q129:Q132" si="28">O129</f>
        <v>7.7896135664201394</v>
      </c>
      <c r="R129" s="2286">
        <f>Q129*1.05</f>
        <v>8.1790942447411474</v>
      </c>
      <c r="S129" s="2259">
        <f t="shared" si="24"/>
        <v>7.9843539055806438</v>
      </c>
      <c r="T129" s="2284">
        <f t="shared" ref="T129:T132" si="29">R129</f>
        <v>8.1790942447411474</v>
      </c>
      <c r="U129" s="2286">
        <f>T129*1.05</f>
        <v>8.5880489569782057</v>
      </c>
      <c r="V129" s="2258">
        <f t="shared" si="25"/>
        <v>8.3835716008596766</v>
      </c>
      <c r="W129" s="2284">
        <f t="shared" ref="W129:W132" si="30">U129</f>
        <v>8.5880489569782057</v>
      </c>
      <c r="X129" s="2286">
        <f>W129*1.05</f>
        <v>9.017451404827117</v>
      </c>
      <c r="Y129" s="2258">
        <f t="shared" si="26"/>
        <v>8.8027501809026614</v>
      </c>
      <c r="Z129" s="2284">
        <f t="shared" ref="Z129:Z132" si="31">X129</f>
        <v>9.017451404827117</v>
      </c>
      <c r="AA129" s="2286">
        <f>Z129*1.05</f>
        <v>9.4683239750684738</v>
      </c>
      <c r="AB129" s="2259">
        <f t="shared" si="27"/>
        <v>9.2428876899477963</v>
      </c>
      <c r="AC129" s="2606"/>
      <c r="AD129" s="2606"/>
      <c r="AE129" s="2606"/>
      <c r="AF129" s="2593"/>
      <c r="AG129" s="2593"/>
      <c r="AH129" s="2593"/>
      <c r="AI129" s="2593"/>
      <c r="AJ129" s="2593"/>
    </row>
    <row r="130" spans="1:36" s="2218" customFormat="1" ht="19.5" hidden="1" customHeight="1" outlineLevel="2">
      <c r="A130" s="2235">
        <v>202</v>
      </c>
      <c r="B130" s="2279"/>
      <c r="C130" s="2280" t="s">
        <v>1936</v>
      </c>
      <c r="D130" s="2500" t="s">
        <v>1317</v>
      </c>
      <c r="E130" s="2255">
        <f>E131*E132</f>
        <v>0</v>
      </c>
      <c r="F130" s="2256">
        <f>F131*F132</f>
        <v>0</v>
      </c>
      <c r="G130" s="2257">
        <f t="shared" si="20"/>
        <v>0</v>
      </c>
      <c r="H130" s="2256">
        <f>H131*H132</f>
        <v>0</v>
      </c>
      <c r="I130" s="2256">
        <f>I131*I132</f>
        <v>0</v>
      </c>
      <c r="J130" s="2257">
        <f t="shared" si="21"/>
        <v>0</v>
      </c>
      <c r="K130" s="2256">
        <f>K131*K132</f>
        <v>0</v>
      </c>
      <c r="L130" s="2256">
        <f>L131*L132</f>
        <v>0</v>
      </c>
      <c r="M130" s="2259">
        <f t="shared" si="22"/>
        <v>0</v>
      </c>
      <c r="N130" s="2255">
        <f>'2024 Калуга+область транспортир'!Z129+'2024 Калуга+область перекачка'!Z129+'2024 Калуга+область очистка'!Z129</f>
        <v>0</v>
      </c>
      <c r="O130" s="2260">
        <f>'2024 Калуга+область транспортир'!AA129+'2024 Калуга+область перекачка'!AA129+'2024 Калуга+область очистка'!AA129</f>
        <v>0</v>
      </c>
      <c r="P130" s="2258">
        <f t="shared" si="23"/>
        <v>0</v>
      </c>
      <c r="Q130" s="2284">
        <f t="shared" si="28"/>
        <v>0</v>
      </c>
      <c r="R130" s="2260">
        <f>R131*R132</f>
        <v>0</v>
      </c>
      <c r="S130" s="2259">
        <f t="shared" si="24"/>
        <v>0</v>
      </c>
      <c r="T130" s="2284">
        <f t="shared" si="29"/>
        <v>0</v>
      </c>
      <c r="U130" s="2260">
        <f>U131*U132</f>
        <v>0</v>
      </c>
      <c r="V130" s="2258">
        <f t="shared" si="25"/>
        <v>0</v>
      </c>
      <c r="W130" s="2284">
        <f t="shared" si="30"/>
        <v>0</v>
      </c>
      <c r="X130" s="2260">
        <f>X131*X132</f>
        <v>0</v>
      </c>
      <c r="Y130" s="2258">
        <f t="shared" si="26"/>
        <v>0</v>
      </c>
      <c r="Z130" s="2284">
        <f t="shared" si="31"/>
        <v>0</v>
      </c>
      <c r="AA130" s="2260">
        <f>AA131*AA132</f>
        <v>0</v>
      </c>
      <c r="AB130" s="2259">
        <f t="shared" si="27"/>
        <v>0</v>
      </c>
      <c r="AC130" s="2606"/>
      <c r="AD130" s="2606"/>
      <c r="AE130" s="2606"/>
      <c r="AF130" s="2593"/>
      <c r="AG130" s="2593"/>
      <c r="AH130" s="2593"/>
      <c r="AI130" s="2593"/>
      <c r="AJ130" s="2593"/>
    </row>
    <row r="131" spans="1:36" s="2218" customFormat="1" ht="21" hidden="1" customHeight="1" outlineLevel="2">
      <c r="A131" s="2235">
        <v>208</v>
      </c>
      <c r="B131" s="2281" t="s">
        <v>1937</v>
      </c>
      <c r="C131" s="2282" t="s">
        <v>1929</v>
      </c>
      <c r="D131" s="2504" t="s">
        <v>1930</v>
      </c>
      <c r="E131" s="2284"/>
      <c r="F131" s="2285"/>
      <c r="G131" s="2257">
        <f t="shared" si="20"/>
        <v>0</v>
      </c>
      <c r="H131" s="2285"/>
      <c r="I131" s="2285"/>
      <c r="J131" s="2257">
        <f t="shared" si="21"/>
        <v>0</v>
      </c>
      <c r="K131" s="2285"/>
      <c r="L131" s="2285"/>
      <c r="M131" s="2259">
        <f t="shared" si="22"/>
        <v>0</v>
      </c>
      <c r="N131" s="2255">
        <f>'2024 Калуга+область транспортир'!Z130+'2024 Калуга+область перекачка'!Z130+'2024 Калуга+область очистка'!Z130</f>
        <v>0</v>
      </c>
      <c r="O131" s="2260">
        <f>'2024 Калуга+область транспортир'!AA130+'2024 Калуга+область перекачка'!AA130+'2024 Калуга+область очистка'!AA130</f>
        <v>0</v>
      </c>
      <c r="P131" s="2258">
        <f t="shared" si="23"/>
        <v>0</v>
      </c>
      <c r="Q131" s="2284">
        <f t="shared" si="28"/>
        <v>0</v>
      </c>
      <c r="R131" s="2286"/>
      <c r="S131" s="2259">
        <f t="shared" si="24"/>
        <v>0</v>
      </c>
      <c r="T131" s="2284">
        <f t="shared" si="29"/>
        <v>0</v>
      </c>
      <c r="U131" s="2286"/>
      <c r="V131" s="2258">
        <f t="shared" si="25"/>
        <v>0</v>
      </c>
      <c r="W131" s="2284">
        <f t="shared" si="30"/>
        <v>0</v>
      </c>
      <c r="X131" s="2286"/>
      <c r="Y131" s="2258">
        <f t="shared" si="26"/>
        <v>0</v>
      </c>
      <c r="Z131" s="2284">
        <f t="shared" si="31"/>
        <v>0</v>
      </c>
      <c r="AA131" s="2286"/>
      <c r="AB131" s="2259">
        <f t="shared" si="27"/>
        <v>0</v>
      </c>
      <c r="AC131" s="2606"/>
      <c r="AD131" s="2606"/>
      <c r="AE131" s="2606"/>
      <c r="AF131" s="2593"/>
      <c r="AG131" s="2593"/>
      <c r="AH131" s="2593"/>
      <c r="AI131" s="2593"/>
      <c r="AJ131" s="2593"/>
    </row>
    <row r="132" spans="1:36" s="2218" customFormat="1" ht="18" hidden="1" customHeight="1" outlineLevel="2">
      <c r="A132" s="2235">
        <v>209</v>
      </c>
      <c r="B132" s="2281" t="s">
        <v>1938</v>
      </c>
      <c r="C132" s="2282" t="s">
        <v>1933</v>
      </c>
      <c r="D132" s="2504" t="s">
        <v>1934</v>
      </c>
      <c r="E132" s="2284"/>
      <c r="F132" s="2285"/>
      <c r="G132" s="2257">
        <f t="shared" si="20"/>
        <v>0</v>
      </c>
      <c r="H132" s="2285"/>
      <c r="I132" s="2285"/>
      <c r="J132" s="2257">
        <f t="shared" si="21"/>
        <v>0</v>
      </c>
      <c r="K132" s="2285"/>
      <c r="L132" s="2285"/>
      <c r="M132" s="2259">
        <f t="shared" si="22"/>
        <v>0</v>
      </c>
      <c r="N132" s="2284"/>
      <c r="O132" s="2286"/>
      <c r="P132" s="2258">
        <f t="shared" si="23"/>
        <v>0</v>
      </c>
      <c r="Q132" s="2284">
        <f t="shared" si="28"/>
        <v>0</v>
      </c>
      <c r="R132" s="2286"/>
      <c r="S132" s="2259">
        <f t="shared" si="24"/>
        <v>0</v>
      </c>
      <c r="T132" s="2284">
        <f t="shared" si="29"/>
        <v>0</v>
      </c>
      <c r="U132" s="2286"/>
      <c r="V132" s="2258">
        <f t="shared" si="25"/>
        <v>0</v>
      </c>
      <c r="W132" s="2284">
        <f t="shared" si="30"/>
        <v>0</v>
      </c>
      <c r="X132" s="2286"/>
      <c r="Y132" s="2258">
        <f t="shared" si="26"/>
        <v>0</v>
      </c>
      <c r="Z132" s="2284">
        <f t="shared" si="31"/>
        <v>0</v>
      </c>
      <c r="AA132" s="2286"/>
      <c r="AB132" s="2259">
        <f t="shared" si="27"/>
        <v>0</v>
      </c>
      <c r="AC132" s="2606"/>
      <c r="AD132" s="2606"/>
      <c r="AE132" s="2606"/>
      <c r="AF132" s="2593"/>
      <c r="AG132" s="2593"/>
      <c r="AH132" s="2593"/>
      <c r="AI132" s="2593"/>
      <c r="AJ132" s="2593"/>
    </row>
    <row r="133" spans="1:36" s="2218" customFormat="1" ht="17.25" customHeight="1" outlineLevel="1" collapsed="1">
      <c r="A133" s="2235">
        <v>203</v>
      </c>
      <c r="B133" s="2279"/>
      <c r="C133" s="2280" t="s">
        <v>1939</v>
      </c>
      <c r="D133" s="2500" t="s">
        <v>1317</v>
      </c>
      <c r="E133" s="2255">
        <f>E134*E135</f>
        <v>0</v>
      </c>
      <c r="F133" s="2256">
        <f>F134*F135</f>
        <v>0</v>
      </c>
      <c r="G133" s="2257">
        <f t="shared" si="20"/>
        <v>0</v>
      </c>
      <c r="H133" s="2256">
        <f>H134*H135</f>
        <v>0</v>
      </c>
      <c r="I133" s="2256">
        <f>I134*I135</f>
        <v>0</v>
      </c>
      <c r="J133" s="2257">
        <f t="shared" si="21"/>
        <v>0</v>
      </c>
      <c r="K133" s="2256">
        <f>K134*K135</f>
        <v>0</v>
      </c>
      <c r="L133" s="2256">
        <f>L134*L135</f>
        <v>0</v>
      </c>
      <c r="M133" s="2259">
        <f t="shared" si="22"/>
        <v>0</v>
      </c>
      <c r="N133" s="2255">
        <f>'[11]НВВ 26.09.23.'!N133+'[12]НВВ 26.09.'!N133+'[13]НВВ 26.09.23.'!N133</f>
        <v>54092.970711054142</v>
      </c>
      <c r="O133" s="2260">
        <f>'[11]НВВ 26.09.23.'!O133+'[12]НВВ 26.09.'!O133+'[13]НВВ 26.09.23.'!O133</f>
        <v>58961.338075049018</v>
      </c>
      <c r="P133" s="2258">
        <f t="shared" si="23"/>
        <v>56527.154393051576</v>
      </c>
      <c r="Q133" s="2255">
        <f>'[11]НВВ 26.09.23.'!Q133+'[12]НВВ 26.09.'!Q133+'[13]НВВ 26.09.23.'!Q133</f>
        <v>58961.338075049018</v>
      </c>
      <c r="R133" s="2260">
        <f>'[11]НВВ 26.09.23.'!R133+'[12]НВВ 26.09.'!R133+'[13]НВВ 26.09.23.'!R133</f>
        <v>61990.796898006913</v>
      </c>
      <c r="S133" s="2259">
        <f t="shared" si="24"/>
        <v>60476.067486527965</v>
      </c>
      <c r="T133" s="2255">
        <f>'[11]НВВ 26.09.23.'!T133+'[12]НВВ 26.09.'!T133+'[13]НВВ 26.09.23.'!T133</f>
        <v>61990.796898006913</v>
      </c>
      <c r="U133" s="2260">
        <f>'[11]НВВ 26.09.23.'!U133+'[12]НВВ 26.09.'!U133+'[13]НВВ 26.09.23.'!U133</f>
        <v>65176.042433830589</v>
      </c>
      <c r="V133" s="2258">
        <f t="shared" si="25"/>
        <v>63583.419665918751</v>
      </c>
      <c r="W133" s="2255">
        <f>'[11]НВВ 26.09.23.'!W133+'[12]НВВ 26.09.'!W133+'[13]НВВ 26.09.23.'!W133</f>
        <v>65176.042433830589</v>
      </c>
      <c r="X133" s="2260">
        <f>'[11]НВВ 26.09.23.'!X133+'[12]НВВ 26.09.'!X133+'[13]НВВ 26.09.23.'!X133</f>
        <v>68525.092648064398</v>
      </c>
      <c r="Y133" s="2258">
        <f t="shared" si="26"/>
        <v>66850.567540947493</v>
      </c>
      <c r="Z133" s="2255">
        <f>'[11]НВВ 26.09.23.'!Z133+'[12]НВВ 26.09.'!Z133+'[13]НВВ 26.09.23.'!Z133</f>
        <v>68525.092648064398</v>
      </c>
      <c r="AA133" s="2260">
        <f>'[11]НВВ 26.09.23.'!AA133+'[12]НВВ 26.09.'!AA133+'[13]НВВ 26.09.23.'!AA133</f>
        <v>72046.378521914623</v>
      </c>
      <c r="AB133" s="2259">
        <f t="shared" si="27"/>
        <v>70285.73558498951</v>
      </c>
      <c r="AC133" s="2606"/>
      <c r="AD133" s="2606"/>
      <c r="AE133" s="2606"/>
      <c r="AF133" s="2593"/>
      <c r="AG133" s="2593"/>
      <c r="AH133" s="2593"/>
      <c r="AI133" s="2593"/>
      <c r="AJ133" s="2593"/>
    </row>
    <row r="134" spans="1:36" s="2218" customFormat="1" ht="21" customHeight="1" outlineLevel="1">
      <c r="A134" s="2235">
        <v>210</v>
      </c>
      <c r="B134" s="2281" t="s">
        <v>1940</v>
      </c>
      <c r="C134" s="2282" t="s">
        <v>1929</v>
      </c>
      <c r="D134" s="2504" t="s">
        <v>1930</v>
      </c>
      <c r="E134" s="2284"/>
      <c r="F134" s="2285"/>
      <c r="G134" s="2257">
        <f t="shared" ref="G134:G224" si="32">E134/2+F134/2</f>
        <v>0</v>
      </c>
      <c r="H134" s="2285"/>
      <c r="I134" s="2285"/>
      <c r="J134" s="2257">
        <f t="shared" ref="J134:J224" si="33">H134/2+I134/2</f>
        <v>0</v>
      </c>
      <c r="K134" s="2285"/>
      <c r="L134" s="2285"/>
      <c r="M134" s="2259">
        <f t="shared" ref="M134:M224" si="34">K134/2+L134/2</f>
        <v>0</v>
      </c>
      <c r="N134" s="2255">
        <f>'[11]НВВ 26.09.23.'!N134+'[12]НВВ 26.09.'!N134+'[13]НВВ 26.09.23.'!N134</f>
        <v>8083.0867182119073</v>
      </c>
      <c r="O134" s="2260">
        <f>'[11]НВВ 26.09.23.'!O134+'[12]НВВ 26.09.'!O134+'[13]НВВ 26.09.23.'!O134</f>
        <v>8083.0867182119073</v>
      </c>
      <c r="P134" s="2258">
        <f t="shared" ref="P134:P224" si="35">N134/2+O134/2</f>
        <v>8083.0867182119073</v>
      </c>
      <c r="Q134" s="2255">
        <f>'[11]НВВ 26.09.23.'!Q134+'[12]НВВ 26.09.'!Q134+'[13]НВВ 26.09.23.'!Q134</f>
        <v>8083.0867182119073</v>
      </c>
      <c r="R134" s="2260">
        <f>'[11]НВВ 26.09.23.'!R134+'[12]НВВ 26.09.'!R134+'[13]НВВ 26.09.23.'!R134</f>
        <v>8083.0867182119073</v>
      </c>
      <c r="S134" s="2259">
        <f t="shared" ref="S134:S197" si="36">Q134/2+R134/2</f>
        <v>8083.0867182119073</v>
      </c>
      <c r="T134" s="2255">
        <f>'[11]НВВ 26.09.23.'!T134+'[12]НВВ 26.09.'!T134+'[13]НВВ 26.09.23.'!T134</f>
        <v>8083.0867182119073</v>
      </c>
      <c r="U134" s="2260">
        <f>'[11]НВВ 26.09.23.'!U134+'[12]НВВ 26.09.'!U134+'[13]НВВ 26.09.23.'!U134</f>
        <v>8083.0867182119073</v>
      </c>
      <c r="V134" s="2258">
        <f t="shared" ref="V134:V197" si="37">T134/2+U134/2</f>
        <v>8083.0867182119073</v>
      </c>
      <c r="W134" s="2255">
        <f>'[11]НВВ 26.09.23.'!W134+'[12]НВВ 26.09.'!W134+'[13]НВВ 26.09.23.'!W134</f>
        <v>8083.0867182119073</v>
      </c>
      <c r="X134" s="2260">
        <f>'[11]НВВ 26.09.23.'!X134+'[12]НВВ 26.09.'!X134+'[13]НВВ 26.09.23.'!X134</f>
        <v>8083.0867182119073</v>
      </c>
      <c r="Y134" s="2258">
        <f t="shared" ref="Y134:Y224" si="38">W134/2+X134/2</f>
        <v>8083.0867182119073</v>
      </c>
      <c r="Z134" s="2255">
        <f>'[11]НВВ 26.09.23.'!Z134+'[12]НВВ 26.09.'!Z134+'[13]НВВ 26.09.23.'!Z134</f>
        <v>8083.0867182119073</v>
      </c>
      <c r="AA134" s="2260">
        <f>'[11]НВВ 26.09.23.'!AA134+'[12]НВВ 26.09.'!AA134+'[13]НВВ 26.09.23.'!AA134</f>
        <v>8083.0867182119073</v>
      </c>
      <c r="AB134" s="2259">
        <f t="shared" ref="AB134:AB224" si="39">Z134/2+AA134/2</f>
        <v>8083.0867182119073</v>
      </c>
      <c r="AC134" s="2606"/>
      <c r="AD134" s="2606"/>
      <c r="AE134" s="2606"/>
      <c r="AF134" s="2593"/>
      <c r="AG134" s="2593"/>
      <c r="AH134" s="2593"/>
      <c r="AI134" s="2593"/>
      <c r="AJ134" s="2593"/>
    </row>
    <row r="135" spans="1:36" s="2218" customFormat="1" ht="18" customHeight="1" outlineLevel="1">
      <c r="A135" s="2235">
        <v>211</v>
      </c>
      <c r="B135" s="2281" t="s">
        <v>1941</v>
      </c>
      <c r="C135" s="2282" t="s">
        <v>1933</v>
      </c>
      <c r="D135" s="2504" t="s">
        <v>1934</v>
      </c>
      <c r="E135" s="2284"/>
      <c r="F135" s="2285"/>
      <c r="G135" s="2257">
        <f t="shared" si="32"/>
        <v>0</v>
      </c>
      <c r="H135" s="2285"/>
      <c r="I135" s="2285"/>
      <c r="J135" s="2257">
        <f t="shared" si="33"/>
        <v>0</v>
      </c>
      <c r="K135" s="2285"/>
      <c r="L135" s="2285"/>
      <c r="M135" s="2259">
        <f t="shared" si="34"/>
        <v>0</v>
      </c>
      <c r="N135" s="2284">
        <f>N133/N134</f>
        <v>6.6921180728121978</v>
      </c>
      <c r="O135" s="2286">
        <f>O133/O134</f>
        <v>7.2944086993652961</v>
      </c>
      <c r="P135" s="2258">
        <f t="shared" si="35"/>
        <v>6.9932633860887474</v>
      </c>
      <c r="Q135" s="2284">
        <f>O135</f>
        <v>7.2944086993652961</v>
      </c>
      <c r="R135" s="2286">
        <f>Q135*1.05</f>
        <v>7.6591291343335612</v>
      </c>
      <c r="S135" s="2259">
        <f t="shared" si="36"/>
        <v>7.4767689168494282</v>
      </c>
      <c r="T135" s="2284">
        <f>R135</f>
        <v>7.6591291343335612</v>
      </c>
      <c r="U135" s="2286">
        <f>T135*1.05</f>
        <v>8.04208559105024</v>
      </c>
      <c r="V135" s="2258">
        <f t="shared" si="37"/>
        <v>7.8506073626919006</v>
      </c>
      <c r="W135" s="2284">
        <f>U135</f>
        <v>8.04208559105024</v>
      </c>
      <c r="X135" s="2286">
        <f>W135*1.05</f>
        <v>8.4441898706027523</v>
      </c>
      <c r="Y135" s="2258">
        <f t="shared" si="38"/>
        <v>8.243137730826497</v>
      </c>
      <c r="Z135" s="2284">
        <f>X135</f>
        <v>8.4441898706027523</v>
      </c>
      <c r="AA135" s="2286">
        <f>Z135*1.05</f>
        <v>8.8663993641328904</v>
      </c>
      <c r="AB135" s="2259">
        <f t="shared" si="39"/>
        <v>8.6552946173678222</v>
      </c>
      <c r="AC135" s="2606"/>
      <c r="AD135" s="2606"/>
      <c r="AE135" s="2606"/>
      <c r="AF135" s="2593"/>
      <c r="AG135" s="2593"/>
      <c r="AH135" s="2593"/>
      <c r="AI135" s="2593"/>
      <c r="AJ135" s="2593"/>
    </row>
    <row r="136" spans="1:36" s="2218" customFormat="1" ht="18" hidden="1" customHeight="1" outlineLevel="2">
      <c r="A136" s="2235">
        <v>204</v>
      </c>
      <c r="B136" s="2279"/>
      <c r="C136" s="2280" t="s">
        <v>1942</v>
      </c>
      <c r="D136" s="2500" t="s">
        <v>1317</v>
      </c>
      <c r="E136" s="2255">
        <f>E137*E138</f>
        <v>0</v>
      </c>
      <c r="F136" s="2256">
        <f>F137*F138</f>
        <v>0</v>
      </c>
      <c r="G136" s="2257">
        <f t="shared" si="32"/>
        <v>0</v>
      </c>
      <c r="H136" s="2256">
        <f>H137*H138</f>
        <v>0</v>
      </c>
      <c r="I136" s="2256">
        <f>I137*I138</f>
        <v>0</v>
      </c>
      <c r="J136" s="2257">
        <f t="shared" si="33"/>
        <v>0</v>
      </c>
      <c r="K136" s="2256">
        <f>K137*K138</f>
        <v>0</v>
      </c>
      <c r="L136" s="2256">
        <f>L137*L138</f>
        <v>0</v>
      </c>
      <c r="M136" s="2259">
        <f t="shared" si="34"/>
        <v>0</v>
      </c>
      <c r="N136" s="2255">
        <f>'2024 Калуга+область транспортир'!Z135+'2024 Калуга+область перекачка'!Z135+'2024 Калуга+область очистка'!Z135</f>
        <v>0</v>
      </c>
      <c r="O136" s="2260">
        <f>'2024 Калуга+область транспортир'!AA135+'2024 Калуга+область перекачка'!AA135+'2024 Калуга+область очистка'!AA135</f>
        <v>0</v>
      </c>
      <c r="P136" s="2258">
        <f t="shared" si="35"/>
        <v>0</v>
      </c>
      <c r="Q136" s="2255">
        <f>Q137*Q138</f>
        <v>0</v>
      </c>
      <c r="R136" s="2260">
        <f>R137*R138</f>
        <v>0</v>
      </c>
      <c r="S136" s="2259">
        <f t="shared" si="36"/>
        <v>0</v>
      </c>
      <c r="T136" s="2255">
        <f>T137*T138</f>
        <v>0</v>
      </c>
      <c r="U136" s="2260">
        <f>U137*U138</f>
        <v>0</v>
      </c>
      <c r="V136" s="2258">
        <f t="shared" si="37"/>
        <v>0</v>
      </c>
      <c r="W136" s="2255">
        <f>W137*W138</f>
        <v>0</v>
      </c>
      <c r="X136" s="2260">
        <f>X137*X138</f>
        <v>0</v>
      </c>
      <c r="Y136" s="2258">
        <f t="shared" si="38"/>
        <v>0</v>
      </c>
      <c r="Z136" s="2255">
        <f>Z137*Z138</f>
        <v>0</v>
      </c>
      <c r="AA136" s="2260">
        <f>AA137*AA138</f>
        <v>0</v>
      </c>
      <c r="AB136" s="2259">
        <f t="shared" si="39"/>
        <v>0</v>
      </c>
      <c r="AC136" s="2606"/>
      <c r="AD136" s="2606"/>
      <c r="AE136" s="2606"/>
      <c r="AF136" s="2593"/>
      <c r="AG136" s="2593"/>
      <c r="AH136" s="2593"/>
      <c r="AI136" s="2593"/>
      <c r="AJ136" s="2593"/>
    </row>
    <row r="137" spans="1:36" s="2218" customFormat="1" ht="21" hidden="1" customHeight="1" outlineLevel="2">
      <c r="A137" s="2235">
        <v>212</v>
      </c>
      <c r="B137" s="2281" t="s">
        <v>1943</v>
      </c>
      <c r="C137" s="2282" t="s">
        <v>1929</v>
      </c>
      <c r="D137" s="2504" t="s">
        <v>1930</v>
      </c>
      <c r="E137" s="2284"/>
      <c r="F137" s="2285"/>
      <c r="G137" s="2257">
        <f t="shared" si="32"/>
        <v>0</v>
      </c>
      <c r="H137" s="2285"/>
      <c r="I137" s="2285"/>
      <c r="J137" s="2257">
        <f t="shared" si="33"/>
        <v>0</v>
      </c>
      <c r="K137" s="2285"/>
      <c r="L137" s="2285"/>
      <c r="M137" s="2259">
        <f t="shared" si="34"/>
        <v>0</v>
      </c>
      <c r="N137" s="2255">
        <f>'2024 Калуга+область транспортир'!Z136+'2024 Калуга+область перекачка'!Z136+'2024 Калуга+область очистка'!Z136</f>
        <v>0</v>
      </c>
      <c r="O137" s="2260">
        <f>'2024 Калуга+область транспортир'!AA136+'2024 Калуга+область перекачка'!AA136+'2024 Калуга+область очистка'!AA136</f>
        <v>0</v>
      </c>
      <c r="P137" s="2258">
        <f t="shared" si="35"/>
        <v>0</v>
      </c>
      <c r="Q137" s="2284"/>
      <c r="R137" s="2286"/>
      <c r="S137" s="2259">
        <f t="shared" si="36"/>
        <v>0</v>
      </c>
      <c r="T137" s="2284"/>
      <c r="U137" s="2286"/>
      <c r="V137" s="2258">
        <f t="shared" si="37"/>
        <v>0</v>
      </c>
      <c r="W137" s="2284"/>
      <c r="X137" s="2286"/>
      <c r="Y137" s="2258">
        <f t="shared" si="38"/>
        <v>0</v>
      </c>
      <c r="Z137" s="2284"/>
      <c r="AA137" s="2286"/>
      <c r="AB137" s="2259">
        <f t="shared" si="39"/>
        <v>0</v>
      </c>
      <c r="AC137" s="2606"/>
      <c r="AD137" s="2606"/>
      <c r="AE137" s="2606"/>
      <c r="AF137" s="2593"/>
      <c r="AG137" s="2593"/>
      <c r="AH137" s="2593"/>
      <c r="AI137" s="2593"/>
      <c r="AJ137" s="2593"/>
    </row>
    <row r="138" spans="1:36" s="2218" customFormat="1" ht="21.75" hidden="1" customHeight="1" outlineLevel="2">
      <c r="A138" s="2235">
        <v>213</v>
      </c>
      <c r="B138" s="2281" t="s">
        <v>1944</v>
      </c>
      <c r="C138" s="2282" t="s">
        <v>1933</v>
      </c>
      <c r="D138" s="2504" t="s">
        <v>1934</v>
      </c>
      <c r="E138" s="2284"/>
      <c r="F138" s="2285"/>
      <c r="G138" s="2257">
        <f t="shared" si="32"/>
        <v>0</v>
      </c>
      <c r="H138" s="2285"/>
      <c r="I138" s="2285"/>
      <c r="J138" s="2257">
        <f t="shared" si="33"/>
        <v>0</v>
      </c>
      <c r="K138" s="2285"/>
      <c r="L138" s="2285"/>
      <c r="M138" s="2259">
        <f t="shared" si="34"/>
        <v>0</v>
      </c>
      <c r="N138" s="2284"/>
      <c r="O138" s="2286"/>
      <c r="P138" s="2258">
        <f t="shared" si="35"/>
        <v>0</v>
      </c>
      <c r="Q138" s="2284"/>
      <c r="R138" s="2286"/>
      <c r="S138" s="2259">
        <f t="shared" si="36"/>
        <v>0</v>
      </c>
      <c r="T138" s="2284"/>
      <c r="U138" s="2286"/>
      <c r="V138" s="2258">
        <f t="shared" si="37"/>
        <v>0</v>
      </c>
      <c r="W138" s="2284"/>
      <c r="X138" s="2286"/>
      <c r="Y138" s="2258">
        <f t="shared" si="38"/>
        <v>0</v>
      </c>
      <c r="Z138" s="2284"/>
      <c r="AA138" s="2286"/>
      <c r="AB138" s="2259">
        <f t="shared" si="39"/>
        <v>0</v>
      </c>
      <c r="AC138" s="2606"/>
      <c r="AD138" s="2606"/>
      <c r="AE138" s="2606"/>
      <c r="AF138" s="2593"/>
      <c r="AG138" s="2593"/>
      <c r="AH138" s="2593"/>
      <c r="AI138" s="2593"/>
      <c r="AJ138" s="2593"/>
    </row>
    <row r="139" spans="1:36" s="2218" customFormat="1" ht="11.25" hidden="1" customHeight="1" outlineLevel="2">
      <c r="A139" s="2235">
        <v>205</v>
      </c>
      <c r="B139" s="2279"/>
      <c r="C139" s="2280" t="s">
        <v>1945</v>
      </c>
      <c r="D139" s="2500" t="s">
        <v>1317</v>
      </c>
      <c r="E139" s="2255">
        <f>E140*E141</f>
        <v>0</v>
      </c>
      <c r="F139" s="2256">
        <f>F140*F141</f>
        <v>0</v>
      </c>
      <c r="G139" s="2257">
        <f t="shared" si="32"/>
        <v>0</v>
      </c>
      <c r="H139" s="2256">
        <f>H140*H141</f>
        <v>0</v>
      </c>
      <c r="I139" s="2256">
        <f>I140*I141</f>
        <v>0</v>
      </c>
      <c r="J139" s="2257">
        <f t="shared" si="33"/>
        <v>0</v>
      </c>
      <c r="K139" s="2256">
        <f>K140*K141</f>
        <v>0</v>
      </c>
      <c r="L139" s="2256">
        <f>L140*L141</f>
        <v>0</v>
      </c>
      <c r="M139" s="2259">
        <f t="shared" si="34"/>
        <v>0</v>
      </c>
      <c r="N139" s="2255">
        <f>'2024 Калуга+область транспортир'!Z138+'2024 Калуга+область перекачка'!Z138+'2024 Калуга+область очистка'!Z138</f>
        <v>0</v>
      </c>
      <c r="O139" s="2260">
        <f>'2024 Калуга+область транспортир'!AA138+'2024 Калуга+область перекачка'!AA138+'2024 Калуга+область очистка'!AA138</f>
        <v>0</v>
      </c>
      <c r="P139" s="2258">
        <f t="shared" si="35"/>
        <v>0</v>
      </c>
      <c r="Q139" s="2255">
        <f>Q140*Q141</f>
        <v>0</v>
      </c>
      <c r="R139" s="2260">
        <f>R140*R141</f>
        <v>0</v>
      </c>
      <c r="S139" s="2259">
        <f t="shared" si="36"/>
        <v>0</v>
      </c>
      <c r="T139" s="2255">
        <f>T140*T141</f>
        <v>0</v>
      </c>
      <c r="U139" s="2260">
        <f>U140*U141</f>
        <v>0</v>
      </c>
      <c r="V139" s="2258">
        <f t="shared" si="37"/>
        <v>0</v>
      </c>
      <c r="W139" s="2255">
        <f>W140*W141</f>
        <v>0</v>
      </c>
      <c r="X139" s="2260">
        <f>X140*X141</f>
        <v>0</v>
      </c>
      <c r="Y139" s="2258">
        <f t="shared" si="38"/>
        <v>0</v>
      </c>
      <c r="Z139" s="2255">
        <f>Z140*Z141</f>
        <v>0</v>
      </c>
      <c r="AA139" s="2260">
        <f>AA140*AA141</f>
        <v>0</v>
      </c>
      <c r="AB139" s="2259">
        <f t="shared" si="39"/>
        <v>0</v>
      </c>
      <c r="AC139" s="2606"/>
      <c r="AD139" s="2606"/>
      <c r="AE139" s="2606"/>
      <c r="AF139" s="2593"/>
      <c r="AG139" s="2593"/>
      <c r="AH139" s="2593"/>
      <c r="AI139" s="2593"/>
      <c r="AJ139" s="2593"/>
    </row>
    <row r="140" spans="1:36" s="2218" customFormat="1" ht="21" hidden="1" customHeight="1" outlineLevel="2">
      <c r="A140" s="2235">
        <v>214</v>
      </c>
      <c r="B140" s="2281" t="s">
        <v>1946</v>
      </c>
      <c r="C140" s="2282" t="s">
        <v>1929</v>
      </c>
      <c r="D140" s="2504" t="s">
        <v>1930</v>
      </c>
      <c r="E140" s="2284"/>
      <c r="F140" s="2285"/>
      <c r="G140" s="2257">
        <f t="shared" si="32"/>
        <v>0</v>
      </c>
      <c r="H140" s="2285"/>
      <c r="I140" s="2285"/>
      <c r="J140" s="2257">
        <f t="shared" si="33"/>
        <v>0</v>
      </c>
      <c r="K140" s="2285"/>
      <c r="L140" s="2285"/>
      <c r="M140" s="2259">
        <f t="shared" si="34"/>
        <v>0</v>
      </c>
      <c r="N140" s="2255">
        <f>'2024 Калуга+область транспортир'!Z139+'2024 Калуга+область перекачка'!Z139+'2024 Калуга+область очистка'!Z139</f>
        <v>0</v>
      </c>
      <c r="O140" s="2260">
        <f>'2024 Калуга+область транспортир'!AA139+'2024 Калуга+область перекачка'!AA139+'2024 Калуга+область очистка'!AA139</f>
        <v>0</v>
      </c>
      <c r="P140" s="2258">
        <f t="shared" si="35"/>
        <v>0</v>
      </c>
      <c r="Q140" s="2284"/>
      <c r="R140" s="2286"/>
      <c r="S140" s="2259">
        <f t="shared" si="36"/>
        <v>0</v>
      </c>
      <c r="T140" s="2284"/>
      <c r="U140" s="2286"/>
      <c r="V140" s="2258">
        <f t="shared" si="37"/>
        <v>0</v>
      </c>
      <c r="W140" s="2284"/>
      <c r="X140" s="2286"/>
      <c r="Y140" s="2258">
        <f t="shared" si="38"/>
        <v>0</v>
      </c>
      <c r="Z140" s="2284"/>
      <c r="AA140" s="2286"/>
      <c r="AB140" s="2259">
        <f t="shared" si="39"/>
        <v>0</v>
      </c>
      <c r="AC140" s="2606"/>
      <c r="AD140" s="2606"/>
      <c r="AE140" s="2606"/>
      <c r="AF140" s="2593"/>
      <c r="AG140" s="2593"/>
      <c r="AH140" s="2593"/>
      <c r="AI140" s="2593"/>
      <c r="AJ140" s="2593"/>
    </row>
    <row r="141" spans="1:36" s="2218" customFormat="1" ht="18.75" hidden="1" customHeight="1" outlineLevel="2">
      <c r="A141" s="2235">
        <v>215</v>
      </c>
      <c r="B141" s="2281" t="s">
        <v>1947</v>
      </c>
      <c r="C141" s="2282" t="s">
        <v>1933</v>
      </c>
      <c r="D141" s="2504" t="s">
        <v>1317</v>
      </c>
      <c r="E141" s="2284"/>
      <c r="F141" s="2285"/>
      <c r="G141" s="2257">
        <f t="shared" si="32"/>
        <v>0</v>
      </c>
      <c r="H141" s="2285"/>
      <c r="I141" s="2285"/>
      <c r="J141" s="2257">
        <f t="shared" si="33"/>
        <v>0</v>
      </c>
      <c r="K141" s="2285"/>
      <c r="L141" s="2285"/>
      <c r="M141" s="2259">
        <f t="shared" si="34"/>
        <v>0</v>
      </c>
      <c r="N141" s="2284"/>
      <c r="O141" s="2286"/>
      <c r="P141" s="2258">
        <f t="shared" si="35"/>
        <v>0</v>
      </c>
      <c r="Q141" s="2284"/>
      <c r="R141" s="2286"/>
      <c r="S141" s="2259">
        <f t="shared" si="36"/>
        <v>0</v>
      </c>
      <c r="T141" s="2284"/>
      <c r="U141" s="2286"/>
      <c r="V141" s="2258">
        <f t="shared" si="37"/>
        <v>0</v>
      </c>
      <c r="W141" s="2284"/>
      <c r="X141" s="2286"/>
      <c r="Y141" s="2258">
        <f t="shared" si="38"/>
        <v>0</v>
      </c>
      <c r="Z141" s="2284"/>
      <c r="AA141" s="2286"/>
      <c r="AB141" s="2259">
        <f t="shared" si="39"/>
        <v>0</v>
      </c>
      <c r="AC141" s="2606"/>
      <c r="AD141" s="2606"/>
      <c r="AE141" s="2606"/>
      <c r="AF141" s="2593"/>
      <c r="AG141" s="2593"/>
      <c r="AH141" s="2593"/>
      <c r="AI141" s="2593"/>
      <c r="AJ141" s="2593"/>
    </row>
    <row r="142" spans="1:36" s="2218" customFormat="1" ht="31.5" outlineLevel="1" collapsed="1">
      <c r="A142" s="2235">
        <v>200</v>
      </c>
      <c r="B142" s="2279"/>
      <c r="C142" s="2295" t="s">
        <v>1948</v>
      </c>
      <c r="D142" s="2500" t="s">
        <v>1317</v>
      </c>
      <c r="E142" s="2255">
        <f>E143+E159</f>
        <v>0</v>
      </c>
      <c r="F142" s="2256">
        <f>F143+F159</f>
        <v>0</v>
      </c>
      <c r="G142" s="2257">
        <f t="shared" si="32"/>
        <v>0</v>
      </c>
      <c r="H142" s="2256">
        <f>H143+H159</f>
        <v>0</v>
      </c>
      <c r="I142" s="2256">
        <f>I143+I159</f>
        <v>0</v>
      </c>
      <c r="J142" s="2257">
        <f t="shared" si="33"/>
        <v>0</v>
      </c>
      <c r="K142" s="2256">
        <f>K143+K159</f>
        <v>0</v>
      </c>
      <c r="L142" s="2256">
        <f>L143+L159</f>
        <v>0</v>
      </c>
      <c r="M142" s="2259">
        <f t="shared" si="34"/>
        <v>0</v>
      </c>
      <c r="N142" s="2255">
        <f>N143+N159</f>
        <v>6910.6576975643638</v>
      </c>
      <c r="O142" s="2260">
        <f>O143+O159</f>
        <v>7532.616890345158</v>
      </c>
      <c r="P142" s="2258">
        <f t="shared" si="35"/>
        <v>7221.6372939547609</v>
      </c>
      <c r="Q142" s="2255">
        <f>Q143+Q159</f>
        <v>7532.616890345158</v>
      </c>
      <c r="R142" s="2260">
        <f>R143+R159</f>
        <v>7931.8455855334505</v>
      </c>
      <c r="S142" s="2259">
        <f t="shared" si="36"/>
        <v>7732.2312379393043</v>
      </c>
      <c r="T142" s="2255">
        <f>T143+T159</f>
        <v>7931.8455855334505</v>
      </c>
      <c r="U142" s="2260">
        <f>U143+U159</f>
        <v>8352.233401566722</v>
      </c>
      <c r="V142" s="2258">
        <f t="shared" si="37"/>
        <v>8142.0394935500863</v>
      </c>
      <c r="W142" s="2255">
        <f>W143+W159</f>
        <v>8352.233401566722</v>
      </c>
      <c r="X142" s="2260">
        <f>X143+X159</f>
        <v>8794.9017718497598</v>
      </c>
      <c r="Y142" s="2258">
        <f t="shared" si="38"/>
        <v>8573.5675867082409</v>
      </c>
      <c r="Z142" s="2255">
        <f>Z143+Z159</f>
        <v>8794.9017718497598</v>
      </c>
      <c r="AA142" s="2260">
        <f>AA143+AA159</f>
        <v>9261.0315657577958</v>
      </c>
      <c r="AB142" s="2259">
        <f t="shared" si="39"/>
        <v>9027.9666688037778</v>
      </c>
      <c r="AC142" s="2606"/>
      <c r="AD142" s="2606"/>
      <c r="AE142" s="2606"/>
      <c r="AF142" s="2593"/>
      <c r="AG142" s="2593"/>
      <c r="AH142" s="2593"/>
      <c r="AI142" s="2593"/>
      <c r="AJ142" s="2593"/>
    </row>
    <row r="143" spans="1:36" s="2218" customFormat="1" ht="22.5" customHeight="1" outlineLevel="1">
      <c r="A143" s="2235">
        <v>216</v>
      </c>
      <c r="B143" s="2279"/>
      <c r="C143" s="2280" t="s">
        <v>1949</v>
      </c>
      <c r="D143" s="2500" t="s">
        <v>1317</v>
      </c>
      <c r="E143" s="2255">
        <f>E144+E147+E150+E153+E156</f>
        <v>0</v>
      </c>
      <c r="F143" s="2256">
        <f>F144+F147+F150+F153+F156</f>
        <v>0</v>
      </c>
      <c r="G143" s="2257">
        <f t="shared" si="32"/>
        <v>0</v>
      </c>
      <c r="H143" s="2256">
        <f>H144+H147+H150+H153+H156</f>
        <v>0</v>
      </c>
      <c r="I143" s="2256">
        <f>I144+I147+I150+I153+I156</f>
        <v>0</v>
      </c>
      <c r="J143" s="2257">
        <f t="shared" si="33"/>
        <v>0</v>
      </c>
      <c r="K143" s="2256">
        <f>K144+K147+K150+K153+K156</f>
        <v>0</v>
      </c>
      <c r="L143" s="2256">
        <f>L144+L147+L150+L153+L156</f>
        <v>0</v>
      </c>
      <c r="M143" s="2259">
        <f t="shared" si="34"/>
        <v>0</v>
      </c>
      <c r="N143" s="2255">
        <f>N144+N147+N150+N153+N156</f>
        <v>4538.0687180686127</v>
      </c>
      <c r="O143" s="2260">
        <f>O144+O147+O150+O153+O156</f>
        <v>4946.4949026947879</v>
      </c>
      <c r="P143" s="2258">
        <f t="shared" si="35"/>
        <v>4742.2818103817008</v>
      </c>
      <c r="Q143" s="2255">
        <f>Q144+Q147+Q150+Q153+Q156</f>
        <v>4946.4949026947879</v>
      </c>
      <c r="R143" s="2260">
        <f>R144+R147+R150+R153+R156</f>
        <v>5208.6591325376112</v>
      </c>
      <c r="S143" s="2259">
        <f t="shared" si="36"/>
        <v>5077.5770176161996</v>
      </c>
      <c r="T143" s="2255">
        <f>T144+T147+T150+T153+T156</f>
        <v>5208.6591325376112</v>
      </c>
      <c r="U143" s="2260">
        <f>U144+U147+U150+U153+U156</f>
        <v>5484.7180665621045</v>
      </c>
      <c r="V143" s="2258">
        <f t="shared" si="37"/>
        <v>5346.6885995498578</v>
      </c>
      <c r="W143" s="2255">
        <f>W144+W147+W150+W153+W156</f>
        <v>5484.7180665621045</v>
      </c>
      <c r="X143" s="2260">
        <f>X144+X147+X150+X153+X156</f>
        <v>5775.4081240898959</v>
      </c>
      <c r="Y143" s="2258">
        <f t="shared" si="38"/>
        <v>5630.0630953260006</v>
      </c>
      <c r="Z143" s="2255">
        <f>Z144+Z147+Z150+Z153+Z156</f>
        <v>5775.4081240898959</v>
      </c>
      <c r="AA143" s="2260">
        <f>AA144+AA147+AA150+AA153+AA156</f>
        <v>6081.5047546666601</v>
      </c>
      <c r="AB143" s="2259">
        <f t="shared" si="39"/>
        <v>5928.4564393782784</v>
      </c>
      <c r="AC143" s="2606"/>
      <c r="AD143" s="2606"/>
      <c r="AE143" s="2606"/>
      <c r="AF143" s="2593"/>
      <c r="AG143" s="2593"/>
      <c r="AH143" s="2593"/>
      <c r="AI143" s="2593"/>
      <c r="AJ143" s="2593"/>
    </row>
    <row r="144" spans="1:36" s="2218" customFormat="1" ht="17.25" hidden="1" customHeight="1" outlineLevel="2">
      <c r="A144" s="2235">
        <v>218</v>
      </c>
      <c r="B144" s="2279"/>
      <c r="C144" s="2280" t="s">
        <v>1927</v>
      </c>
      <c r="D144" s="2500" t="s">
        <v>1317</v>
      </c>
      <c r="E144" s="2255">
        <f>E145*E146</f>
        <v>0</v>
      </c>
      <c r="F144" s="2256">
        <f>F145*F146</f>
        <v>0</v>
      </c>
      <c r="G144" s="2257">
        <f t="shared" si="32"/>
        <v>0</v>
      </c>
      <c r="H144" s="2256">
        <f>H145*H146</f>
        <v>0</v>
      </c>
      <c r="I144" s="2256">
        <f>I145*I146</f>
        <v>0</v>
      </c>
      <c r="J144" s="2257">
        <f t="shared" si="33"/>
        <v>0</v>
      </c>
      <c r="K144" s="2256">
        <f>K145*K146</f>
        <v>0</v>
      </c>
      <c r="L144" s="2256">
        <f>L145*L146</f>
        <v>0</v>
      </c>
      <c r="M144" s="2259">
        <f t="shared" si="34"/>
        <v>0</v>
      </c>
      <c r="N144" s="2255">
        <f>'2024 Калуга+область транспортир'!Z143+'2024 Калуга+область перекачка'!Z143+'2024 Калуга+область очистка'!Z143</f>
        <v>0</v>
      </c>
      <c r="O144" s="2260">
        <f>'2024 Калуга+область транспортир'!AA143+'2024 Калуга+область перекачка'!AA143+'2024 Калуга+область очистка'!AA143</f>
        <v>0</v>
      </c>
      <c r="P144" s="2258">
        <f t="shared" si="35"/>
        <v>0</v>
      </c>
      <c r="Q144" s="2255">
        <f>Q145*Q146</f>
        <v>0</v>
      </c>
      <c r="R144" s="2260">
        <f>R145*R146</f>
        <v>0</v>
      </c>
      <c r="S144" s="2259">
        <f t="shared" si="36"/>
        <v>0</v>
      </c>
      <c r="T144" s="2255">
        <f>T145*T146</f>
        <v>0</v>
      </c>
      <c r="U144" s="2260">
        <f>U145*U146</f>
        <v>0</v>
      </c>
      <c r="V144" s="2258">
        <f t="shared" si="37"/>
        <v>0</v>
      </c>
      <c r="W144" s="2255">
        <f>W145*W146</f>
        <v>0</v>
      </c>
      <c r="X144" s="2260">
        <f>X145*X146</f>
        <v>0</v>
      </c>
      <c r="Y144" s="2258">
        <f t="shared" si="38"/>
        <v>0</v>
      </c>
      <c r="Z144" s="2255">
        <f>Z145*Z146</f>
        <v>0</v>
      </c>
      <c r="AA144" s="2260">
        <f>AA145*AA146</f>
        <v>0</v>
      </c>
      <c r="AB144" s="2259">
        <f t="shared" si="39"/>
        <v>0</v>
      </c>
      <c r="AC144" s="2606"/>
      <c r="AD144" s="2606"/>
      <c r="AE144" s="2606"/>
      <c r="AF144" s="2593"/>
      <c r="AG144" s="2593"/>
      <c r="AH144" s="2593"/>
      <c r="AI144" s="2593"/>
      <c r="AJ144" s="2593"/>
    </row>
    <row r="145" spans="1:36" s="2218" customFormat="1" ht="24.75" hidden="1" customHeight="1" outlineLevel="2">
      <c r="A145" s="2235">
        <v>223</v>
      </c>
      <c r="B145" s="2281" t="s">
        <v>1950</v>
      </c>
      <c r="C145" s="2282" t="s">
        <v>1929</v>
      </c>
      <c r="D145" s="2504" t="s">
        <v>1951</v>
      </c>
      <c r="E145" s="2284"/>
      <c r="F145" s="2285"/>
      <c r="G145" s="2257">
        <f t="shared" si="32"/>
        <v>0</v>
      </c>
      <c r="H145" s="2285"/>
      <c r="I145" s="2285"/>
      <c r="J145" s="2257">
        <f t="shared" si="33"/>
        <v>0</v>
      </c>
      <c r="K145" s="2285"/>
      <c r="L145" s="2285"/>
      <c r="M145" s="2259">
        <f t="shared" si="34"/>
        <v>0</v>
      </c>
      <c r="N145" s="2255">
        <f>'2024 Калуга+область транспортир'!Z144+'2024 Калуга+область перекачка'!Z144+'2024 Калуга+область очистка'!Z144</f>
        <v>0</v>
      </c>
      <c r="O145" s="2260">
        <f>'2024 Калуга+область транспортир'!AA144+'2024 Калуга+область перекачка'!AA144+'2024 Калуга+область очистка'!AA144</f>
        <v>0</v>
      </c>
      <c r="P145" s="2258">
        <f t="shared" si="35"/>
        <v>0</v>
      </c>
      <c r="Q145" s="2284"/>
      <c r="R145" s="2286"/>
      <c r="S145" s="2259">
        <f t="shared" si="36"/>
        <v>0</v>
      </c>
      <c r="T145" s="2284"/>
      <c r="U145" s="2286"/>
      <c r="V145" s="2258">
        <f t="shared" si="37"/>
        <v>0</v>
      </c>
      <c r="W145" s="2284"/>
      <c r="X145" s="2286"/>
      <c r="Y145" s="2258">
        <f t="shared" si="38"/>
        <v>0</v>
      </c>
      <c r="Z145" s="2284"/>
      <c r="AA145" s="2286"/>
      <c r="AB145" s="2259">
        <f t="shared" si="39"/>
        <v>0</v>
      </c>
      <c r="AC145" s="2606"/>
      <c r="AD145" s="2606"/>
      <c r="AE145" s="2606"/>
      <c r="AF145" s="2593"/>
      <c r="AG145" s="2593"/>
      <c r="AH145" s="2593"/>
      <c r="AI145" s="2593"/>
      <c r="AJ145" s="2593"/>
    </row>
    <row r="146" spans="1:36" s="2218" customFormat="1" ht="21" hidden="1" customHeight="1" outlineLevel="2">
      <c r="A146" s="2235">
        <v>224</v>
      </c>
      <c r="B146" s="2281" t="s">
        <v>1952</v>
      </c>
      <c r="C146" s="2282" t="s">
        <v>1953</v>
      </c>
      <c r="D146" s="2504" t="s">
        <v>1954</v>
      </c>
      <c r="E146" s="2284"/>
      <c r="F146" s="2285"/>
      <c r="G146" s="2257">
        <f t="shared" si="32"/>
        <v>0</v>
      </c>
      <c r="H146" s="2285"/>
      <c r="I146" s="2285"/>
      <c r="J146" s="2257">
        <f t="shared" si="33"/>
        <v>0</v>
      </c>
      <c r="K146" s="2285"/>
      <c r="L146" s="2285"/>
      <c r="M146" s="2259">
        <f t="shared" si="34"/>
        <v>0</v>
      </c>
      <c r="N146" s="2284"/>
      <c r="O146" s="2286"/>
      <c r="P146" s="2258">
        <f t="shared" si="35"/>
        <v>0</v>
      </c>
      <c r="Q146" s="2284"/>
      <c r="R146" s="2286"/>
      <c r="S146" s="2259">
        <f t="shared" si="36"/>
        <v>0</v>
      </c>
      <c r="T146" s="2284"/>
      <c r="U146" s="2286"/>
      <c r="V146" s="2258">
        <f t="shared" si="37"/>
        <v>0</v>
      </c>
      <c r="W146" s="2284"/>
      <c r="X146" s="2286"/>
      <c r="Y146" s="2258">
        <f t="shared" si="38"/>
        <v>0</v>
      </c>
      <c r="Z146" s="2284"/>
      <c r="AA146" s="2286"/>
      <c r="AB146" s="2259">
        <f t="shared" si="39"/>
        <v>0</v>
      </c>
      <c r="AC146" s="2606"/>
      <c r="AD146" s="2606"/>
      <c r="AE146" s="2606"/>
      <c r="AF146" s="2593"/>
      <c r="AG146" s="2593"/>
      <c r="AH146" s="2593"/>
      <c r="AI146" s="2593"/>
      <c r="AJ146" s="2593"/>
    </row>
    <row r="147" spans="1:36" s="2218" customFormat="1" ht="11.25" hidden="1" customHeight="1" outlineLevel="2">
      <c r="A147" s="2235">
        <v>219</v>
      </c>
      <c r="B147" s="2279"/>
      <c r="C147" s="2280" t="s">
        <v>1936</v>
      </c>
      <c r="D147" s="2500" t="s">
        <v>1317</v>
      </c>
      <c r="E147" s="2255">
        <f>E148*E149</f>
        <v>0</v>
      </c>
      <c r="F147" s="2256">
        <f>F148*F149</f>
        <v>0</v>
      </c>
      <c r="G147" s="2257">
        <f t="shared" si="32"/>
        <v>0</v>
      </c>
      <c r="H147" s="2256">
        <f>H148*H149</f>
        <v>0</v>
      </c>
      <c r="I147" s="2256">
        <f>I148*I149</f>
        <v>0</v>
      </c>
      <c r="J147" s="2257">
        <f t="shared" si="33"/>
        <v>0</v>
      </c>
      <c r="K147" s="2256">
        <f>K148*K149</f>
        <v>0</v>
      </c>
      <c r="L147" s="2256">
        <f>L148*L149</f>
        <v>0</v>
      </c>
      <c r="M147" s="2259">
        <f t="shared" si="34"/>
        <v>0</v>
      </c>
      <c r="N147" s="2255">
        <f>'2024 Калуга+область транспортир'!Z146+'2024 Калуга+область перекачка'!Z146+'2024 Калуга+область очистка'!Z146</f>
        <v>0</v>
      </c>
      <c r="O147" s="2260">
        <f>'2024 Калуга+область транспортир'!AA146+'2024 Калуга+область перекачка'!AA146+'2024 Калуга+область очистка'!AA146</f>
        <v>0</v>
      </c>
      <c r="P147" s="2258">
        <f t="shared" si="35"/>
        <v>0</v>
      </c>
      <c r="Q147" s="2255">
        <f>Q148*Q149</f>
        <v>0</v>
      </c>
      <c r="R147" s="2260">
        <f>R148*R149</f>
        <v>0</v>
      </c>
      <c r="S147" s="2259">
        <f t="shared" si="36"/>
        <v>0</v>
      </c>
      <c r="T147" s="2255">
        <f>T148*T149</f>
        <v>0</v>
      </c>
      <c r="U147" s="2260">
        <f>U148*U149</f>
        <v>0</v>
      </c>
      <c r="V147" s="2258">
        <f t="shared" si="37"/>
        <v>0</v>
      </c>
      <c r="W147" s="2255">
        <f>W148*W149</f>
        <v>0</v>
      </c>
      <c r="X147" s="2260">
        <f>X148*X149</f>
        <v>0</v>
      </c>
      <c r="Y147" s="2258">
        <f t="shared" si="38"/>
        <v>0</v>
      </c>
      <c r="Z147" s="2255">
        <f>Z148*Z149</f>
        <v>0</v>
      </c>
      <c r="AA147" s="2260">
        <f>AA148*AA149</f>
        <v>0</v>
      </c>
      <c r="AB147" s="2259">
        <f t="shared" si="39"/>
        <v>0</v>
      </c>
      <c r="AC147" s="2606"/>
      <c r="AD147" s="2606"/>
      <c r="AE147" s="2606"/>
      <c r="AF147" s="2593"/>
      <c r="AG147" s="2593"/>
      <c r="AH147" s="2593"/>
      <c r="AI147" s="2593"/>
      <c r="AJ147" s="2593"/>
    </row>
    <row r="148" spans="1:36" s="2218" customFormat="1" ht="21" hidden="1" customHeight="1" outlineLevel="2">
      <c r="A148" s="2235">
        <v>225</v>
      </c>
      <c r="B148" s="2281" t="s">
        <v>1955</v>
      </c>
      <c r="C148" s="2282" t="s">
        <v>1929</v>
      </c>
      <c r="D148" s="2504" t="s">
        <v>1951</v>
      </c>
      <c r="E148" s="2284"/>
      <c r="F148" s="2285"/>
      <c r="G148" s="2257">
        <f t="shared" si="32"/>
        <v>0</v>
      </c>
      <c r="H148" s="2285"/>
      <c r="I148" s="2285"/>
      <c r="J148" s="2257">
        <f t="shared" si="33"/>
        <v>0</v>
      </c>
      <c r="K148" s="2285"/>
      <c r="L148" s="2285"/>
      <c r="M148" s="2259">
        <f t="shared" si="34"/>
        <v>0</v>
      </c>
      <c r="N148" s="2255">
        <f>'2024 Калуга+область транспортир'!Z147+'2024 Калуга+область перекачка'!Z147+'2024 Калуга+область очистка'!Z147</f>
        <v>0</v>
      </c>
      <c r="O148" s="2260">
        <f>'2024 Калуга+область транспортир'!AA147+'2024 Калуга+область перекачка'!AA147+'2024 Калуга+область очистка'!AA147</f>
        <v>0</v>
      </c>
      <c r="P148" s="2258">
        <f t="shared" si="35"/>
        <v>0</v>
      </c>
      <c r="Q148" s="2284"/>
      <c r="R148" s="2286"/>
      <c r="S148" s="2259">
        <f t="shared" si="36"/>
        <v>0</v>
      </c>
      <c r="T148" s="2284"/>
      <c r="U148" s="2286"/>
      <c r="V148" s="2258">
        <f t="shared" si="37"/>
        <v>0</v>
      </c>
      <c r="W148" s="2284"/>
      <c r="X148" s="2286"/>
      <c r="Y148" s="2258">
        <f t="shared" si="38"/>
        <v>0</v>
      </c>
      <c r="Z148" s="2284"/>
      <c r="AA148" s="2286"/>
      <c r="AB148" s="2259">
        <f t="shared" si="39"/>
        <v>0</v>
      </c>
      <c r="AC148" s="2606"/>
      <c r="AD148" s="2606"/>
      <c r="AE148" s="2606"/>
      <c r="AF148" s="2593"/>
      <c r="AG148" s="2593"/>
      <c r="AH148" s="2593"/>
      <c r="AI148" s="2593"/>
      <c r="AJ148" s="2593"/>
    </row>
    <row r="149" spans="1:36" s="2218" customFormat="1" ht="21" hidden="1" customHeight="1" outlineLevel="2">
      <c r="A149" s="2235">
        <v>226</v>
      </c>
      <c r="B149" s="2281" t="s">
        <v>1956</v>
      </c>
      <c r="C149" s="2282" t="s">
        <v>1953</v>
      </c>
      <c r="D149" s="2504" t="s">
        <v>1954</v>
      </c>
      <c r="E149" s="2284"/>
      <c r="F149" s="2285"/>
      <c r="G149" s="2257">
        <f t="shared" si="32"/>
        <v>0</v>
      </c>
      <c r="H149" s="2285"/>
      <c r="I149" s="2285"/>
      <c r="J149" s="2257">
        <f t="shared" si="33"/>
        <v>0</v>
      </c>
      <c r="K149" s="2285"/>
      <c r="L149" s="2285"/>
      <c r="M149" s="2259">
        <f t="shared" si="34"/>
        <v>0</v>
      </c>
      <c r="N149" s="2284"/>
      <c r="O149" s="2286"/>
      <c r="P149" s="2258">
        <f t="shared" si="35"/>
        <v>0</v>
      </c>
      <c r="Q149" s="2284"/>
      <c r="R149" s="2286"/>
      <c r="S149" s="2259">
        <f t="shared" si="36"/>
        <v>0</v>
      </c>
      <c r="T149" s="2284"/>
      <c r="U149" s="2286"/>
      <c r="V149" s="2258">
        <f t="shared" si="37"/>
        <v>0</v>
      </c>
      <c r="W149" s="2284"/>
      <c r="X149" s="2286"/>
      <c r="Y149" s="2258">
        <f t="shared" si="38"/>
        <v>0</v>
      </c>
      <c r="Z149" s="2284"/>
      <c r="AA149" s="2286"/>
      <c r="AB149" s="2259">
        <f t="shared" si="39"/>
        <v>0</v>
      </c>
      <c r="AC149" s="2606"/>
      <c r="AD149" s="2606"/>
      <c r="AE149" s="2606"/>
      <c r="AF149" s="2593"/>
      <c r="AG149" s="2593"/>
      <c r="AH149" s="2593"/>
      <c r="AI149" s="2593"/>
      <c r="AJ149" s="2593"/>
    </row>
    <row r="150" spans="1:36" s="2218" customFormat="1" ht="15.75" hidden="1" customHeight="1" outlineLevel="2">
      <c r="A150" s="2235">
        <v>220</v>
      </c>
      <c r="B150" s="2279"/>
      <c r="C150" s="2280" t="s">
        <v>1939</v>
      </c>
      <c r="D150" s="2500" t="s">
        <v>1317</v>
      </c>
      <c r="E150" s="2255">
        <f>E151*E152</f>
        <v>0</v>
      </c>
      <c r="F150" s="2256">
        <f>F151*F152</f>
        <v>0</v>
      </c>
      <c r="G150" s="2257">
        <f t="shared" si="32"/>
        <v>0</v>
      </c>
      <c r="H150" s="2256">
        <f>H151*H152</f>
        <v>0</v>
      </c>
      <c r="I150" s="2256">
        <f>I151*I152</f>
        <v>0</v>
      </c>
      <c r="J150" s="2257">
        <f t="shared" si="33"/>
        <v>0</v>
      </c>
      <c r="K150" s="2256">
        <f>K151*K152</f>
        <v>0</v>
      </c>
      <c r="L150" s="2256">
        <f>L151*L152</f>
        <v>0</v>
      </c>
      <c r="M150" s="2259">
        <f t="shared" si="34"/>
        <v>0</v>
      </c>
      <c r="N150" s="2255">
        <f>'2024 Калуга+область транспортир'!Z149+'2024 Калуга+область перекачка'!Z149+'2024 Калуга+область очистка'!Z149</f>
        <v>0</v>
      </c>
      <c r="O150" s="2260">
        <f>'2024 Калуга+область транспортир'!AA149+'2024 Калуга+область перекачка'!AA149+'2024 Калуга+область очистка'!AA149</f>
        <v>0</v>
      </c>
      <c r="P150" s="2258">
        <f t="shared" si="35"/>
        <v>0</v>
      </c>
      <c r="Q150" s="2255">
        <f>Q151*Q152</f>
        <v>0</v>
      </c>
      <c r="R150" s="2260">
        <f>R151*R152</f>
        <v>0</v>
      </c>
      <c r="S150" s="2259">
        <f t="shared" si="36"/>
        <v>0</v>
      </c>
      <c r="T150" s="2255">
        <f>T151*T152</f>
        <v>0</v>
      </c>
      <c r="U150" s="2260">
        <f>U151*U152</f>
        <v>0</v>
      </c>
      <c r="V150" s="2258">
        <f t="shared" si="37"/>
        <v>0</v>
      </c>
      <c r="W150" s="2255">
        <f>W151*W152</f>
        <v>0</v>
      </c>
      <c r="X150" s="2260">
        <f>X151*X152</f>
        <v>0</v>
      </c>
      <c r="Y150" s="2258">
        <f t="shared" si="38"/>
        <v>0</v>
      </c>
      <c r="Z150" s="2255">
        <f>Z151*Z152</f>
        <v>0</v>
      </c>
      <c r="AA150" s="2260">
        <f>AA151*AA152</f>
        <v>0</v>
      </c>
      <c r="AB150" s="2259">
        <f t="shared" si="39"/>
        <v>0</v>
      </c>
      <c r="AC150" s="2606"/>
      <c r="AD150" s="2606"/>
      <c r="AE150" s="2606"/>
      <c r="AF150" s="2593"/>
      <c r="AG150" s="2593"/>
      <c r="AH150" s="2593"/>
      <c r="AI150" s="2593"/>
      <c r="AJ150" s="2593"/>
    </row>
    <row r="151" spans="1:36" s="2218" customFormat="1" ht="21" hidden="1" customHeight="1" outlineLevel="2">
      <c r="A151" s="2235">
        <v>227</v>
      </c>
      <c r="B151" s="2281" t="s">
        <v>1957</v>
      </c>
      <c r="C151" s="2282" t="s">
        <v>1929</v>
      </c>
      <c r="D151" s="2504" t="s">
        <v>1951</v>
      </c>
      <c r="E151" s="2284"/>
      <c r="F151" s="2285"/>
      <c r="G151" s="2257">
        <f t="shared" si="32"/>
        <v>0</v>
      </c>
      <c r="H151" s="2285"/>
      <c r="I151" s="2285"/>
      <c r="J151" s="2257">
        <f t="shared" si="33"/>
        <v>0</v>
      </c>
      <c r="K151" s="2285"/>
      <c r="L151" s="2285"/>
      <c r="M151" s="2259">
        <f t="shared" si="34"/>
        <v>0</v>
      </c>
      <c r="N151" s="2255">
        <f>'2024 Калуга+область транспортир'!Z150+'2024 Калуга+область перекачка'!Z150+'2024 Калуга+область очистка'!Z150</f>
        <v>0</v>
      </c>
      <c r="O151" s="2260">
        <f>'2024 Калуга+область транспортир'!AA150+'2024 Калуга+область перекачка'!AA150+'2024 Калуга+область очистка'!AA150</f>
        <v>0</v>
      </c>
      <c r="P151" s="2258">
        <f t="shared" si="35"/>
        <v>0</v>
      </c>
      <c r="Q151" s="2284"/>
      <c r="R151" s="2286"/>
      <c r="S151" s="2259">
        <f t="shared" si="36"/>
        <v>0</v>
      </c>
      <c r="T151" s="2284"/>
      <c r="U151" s="2286"/>
      <c r="V151" s="2258">
        <f t="shared" si="37"/>
        <v>0</v>
      </c>
      <c r="W151" s="2284"/>
      <c r="X151" s="2286"/>
      <c r="Y151" s="2258">
        <f t="shared" si="38"/>
        <v>0</v>
      </c>
      <c r="Z151" s="2284"/>
      <c r="AA151" s="2286"/>
      <c r="AB151" s="2259">
        <f t="shared" si="39"/>
        <v>0</v>
      </c>
      <c r="AC151" s="2606"/>
      <c r="AD151" s="2606"/>
      <c r="AE151" s="2606"/>
      <c r="AF151" s="2593"/>
      <c r="AG151" s="2593"/>
      <c r="AH151" s="2593"/>
      <c r="AI151" s="2593"/>
      <c r="AJ151" s="2593"/>
    </row>
    <row r="152" spans="1:36" s="2218" customFormat="1" ht="21" hidden="1" customHeight="1" outlineLevel="2">
      <c r="A152" s="2235">
        <v>228</v>
      </c>
      <c r="B152" s="2281" t="s">
        <v>1958</v>
      </c>
      <c r="C152" s="2282" t="s">
        <v>1953</v>
      </c>
      <c r="D152" s="2504" t="s">
        <v>1954</v>
      </c>
      <c r="E152" s="2284"/>
      <c r="F152" s="2285"/>
      <c r="G152" s="2257">
        <f t="shared" si="32"/>
        <v>0</v>
      </c>
      <c r="H152" s="2285"/>
      <c r="I152" s="2285"/>
      <c r="J152" s="2257">
        <f t="shared" si="33"/>
        <v>0</v>
      </c>
      <c r="K152" s="2285"/>
      <c r="L152" s="2285"/>
      <c r="M152" s="2259">
        <f t="shared" si="34"/>
        <v>0</v>
      </c>
      <c r="N152" s="2284"/>
      <c r="O152" s="2286"/>
      <c r="P152" s="2258">
        <f t="shared" si="35"/>
        <v>0</v>
      </c>
      <c r="Q152" s="2284"/>
      <c r="R152" s="2286"/>
      <c r="S152" s="2259">
        <f t="shared" si="36"/>
        <v>0</v>
      </c>
      <c r="T152" s="2284"/>
      <c r="U152" s="2286"/>
      <c r="V152" s="2258">
        <f t="shared" si="37"/>
        <v>0</v>
      </c>
      <c r="W152" s="2284"/>
      <c r="X152" s="2286"/>
      <c r="Y152" s="2258">
        <f t="shared" si="38"/>
        <v>0</v>
      </c>
      <c r="Z152" s="2284"/>
      <c r="AA152" s="2286"/>
      <c r="AB152" s="2259">
        <f t="shared" si="39"/>
        <v>0</v>
      </c>
      <c r="AC152" s="2606"/>
      <c r="AD152" s="2606"/>
      <c r="AE152" s="2606"/>
      <c r="AF152" s="2593"/>
      <c r="AG152" s="2593"/>
      <c r="AH152" s="2593"/>
      <c r="AI152" s="2593"/>
      <c r="AJ152" s="2593"/>
    </row>
    <row r="153" spans="1:36" s="2218" customFormat="1" ht="18" customHeight="1" outlineLevel="1" collapsed="1">
      <c r="A153" s="2235">
        <v>221</v>
      </c>
      <c r="B153" s="2279"/>
      <c r="C153" s="2280" t="s">
        <v>1942</v>
      </c>
      <c r="D153" s="2500" t="s">
        <v>1317</v>
      </c>
      <c r="E153" s="2255">
        <f>E154*E155</f>
        <v>0</v>
      </c>
      <c r="F153" s="2256">
        <f>F154*F155</f>
        <v>0</v>
      </c>
      <c r="G153" s="2257">
        <f t="shared" si="32"/>
        <v>0</v>
      </c>
      <c r="H153" s="2256">
        <f>H154*H155</f>
        <v>0</v>
      </c>
      <c r="I153" s="2256">
        <f>I154*I155</f>
        <v>0</v>
      </c>
      <c r="J153" s="2257">
        <f t="shared" si="33"/>
        <v>0</v>
      </c>
      <c r="K153" s="2256">
        <f>K154*K155</f>
        <v>0</v>
      </c>
      <c r="L153" s="2256">
        <f>L154*L155</f>
        <v>0</v>
      </c>
      <c r="M153" s="2259">
        <f t="shared" si="34"/>
        <v>0</v>
      </c>
      <c r="N153" s="2255">
        <f>'[11]НВВ 26.09.23.'!N153+'[12]НВВ 26.09.'!N153+'[13]НВВ 26.09.23.'!N153</f>
        <v>4538.0687180686127</v>
      </c>
      <c r="O153" s="2260">
        <f>'[11]НВВ 26.09.23.'!O153+'[12]НВВ 26.09.'!O153+'[13]НВВ 26.09.23.'!O153</f>
        <v>4946.4949026947879</v>
      </c>
      <c r="P153" s="2258">
        <f t="shared" si="35"/>
        <v>4742.2818103817008</v>
      </c>
      <c r="Q153" s="2255">
        <f>'[11]НВВ 26.09.23.'!Q153+'[12]НВВ 26.09.'!Q153+'[13]НВВ 26.09.23.'!Q153</f>
        <v>4946.4949026947879</v>
      </c>
      <c r="R153" s="2260">
        <f>'[11]НВВ 26.09.23.'!R153+'[12]НВВ 26.09.'!R153+'[13]НВВ 26.09.23.'!R153</f>
        <v>5208.6591325376112</v>
      </c>
      <c r="S153" s="2259">
        <f t="shared" si="36"/>
        <v>5077.5770176161996</v>
      </c>
      <c r="T153" s="2255">
        <f>'[11]НВВ 26.09.23.'!T153+'[12]НВВ 26.09.'!T153+'[13]НВВ 26.09.23.'!T153</f>
        <v>5208.6591325376112</v>
      </c>
      <c r="U153" s="2260">
        <f>'[11]НВВ 26.09.23.'!U153+'[12]НВВ 26.09.'!U153+'[13]НВВ 26.09.23.'!U153</f>
        <v>5484.7180665621045</v>
      </c>
      <c r="V153" s="2258">
        <f t="shared" si="37"/>
        <v>5346.6885995498578</v>
      </c>
      <c r="W153" s="2255">
        <f>'[11]НВВ 26.09.23.'!W153+'[12]НВВ 26.09.'!W153+'[13]НВВ 26.09.23.'!W153</f>
        <v>5484.7180665621045</v>
      </c>
      <c r="X153" s="2260">
        <f>'[11]НВВ 26.09.23.'!X153+'[12]НВВ 26.09.'!X153+'[13]НВВ 26.09.23.'!X153</f>
        <v>5775.4081240898959</v>
      </c>
      <c r="Y153" s="2258">
        <f t="shared" si="38"/>
        <v>5630.0630953260006</v>
      </c>
      <c r="Z153" s="2255">
        <f>'[11]НВВ 26.09.23.'!Z153+'[12]НВВ 26.09.'!Z153+'[13]НВВ 26.09.23.'!Z153</f>
        <v>5775.4081240898959</v>
      </c>
      <c r="AA153" s="2260">
        <f>'[11]НВВ 26.09.23.'!AA153+'[12]НВВ 26.09.'!AA153+'[13]НВВ 26.09.23.'!AA153</f>
        <v>6081.5047546666601</v>
      </c>
      <c r="AB153" s="2259">
        <f t="shared" si="39"/>
        <v>5928.4564393782784</v>
      </c>
      <c r="AC153" s="2606"/>
      <c r="AD153" s="2606"/>
      <c r="AE153" s="2606"/>
      <c r="AF153" s="2593"/>
      <c r="AG153" s="2593"/>
      <c r="AH153" s="2593"/>
      <c r="AI153" s="2593"/>
      <c r="AJ153" s="2593"/>
    </row>
    <row r="154" spans="1:36" s="2218" customFormat="1" ht="21" customHeight="1" outlineLevel="1">
      <c r="A154" s="2235">
        <v>229</v>
      </c>
      <c r="B154" s="2281" t="s">
        <v>1959</v>
      </c>
      <c r="C154" s="2282" t="s">
        <v>1929</v>
      </c>
      <c r="D154" s="2504" t="s">
        <v>1951</v>
      </c>
      <c r="E154" s="2284"/>
      <c r="F154" s="2285"/>
      <c r="G154" s="2257">
        <f t="shared" si="32"/>
        <v>0</v>
      </c>
      <c r="H154" s="2285"/>
      <c r="I154" s="2285"/>
      <c r="J154" s="2257">
        <f t="shared" si="33"/>
        <v>0</v>
      </c>
      <c r="K154" s="2285"/>
      <c r="L154" s="2285"/>
      <c r="M154" s="2259">
        <f t="shared" si="34"/>
        <v>0</v>
      </c>
      <c r="N154" s="2255">
        <f>'[11]НВВ 26.09.23.'!N154+'[12]НВВ 26.09.'!N154+'[13]НВВ 26.09.23.'!N154</f>
        <v>3.9667823714357588</v>
      </c>
      <c r="O154" s="2260">
        <f>'[11]НВВ 26.09.23.'!O154+'[12]НВВ 26.09.'!O154+'[13]НВВ 26.09.23.'!O154</f>
        <v>3.9667823714357588</v>
      </c>
      <c r="P154" s="2258">
        <f t="shared" si="35"/>
        <v>3.9667823714357588</v>
      </c>
      <c r="Q154" s="2255">
        <f>'[11]НВВ 26.09.23.'!Q154+'[12]НВВ 26.09.'!Q154+'[13]НВВ 26.09.23.'!Q154</f>
        <v>3.9667823714357588</v>
      </c>
      <c r="R154" s="2260">
        <f>'[11]НВВ 26.09.23.'!R154+'[12]НВВ 26.09.'!R154+'[13]НВВ 26.09.23.'!R154</f>
        <v>3.9667823714357588</v>
      </c>
      <c r="S154" s="2259">
        <f t="shared" si="36"/>
        <v>3.9667823714357588</v>
      </c>
      <c r="T154" s="2255">
        <f>'[11]НВВ 26.09.23.'!T154+'[12]НВВ 26.09.'!T154+'[13]НВВ 26.09.23.'!T154</f>
        <v>3.9667823714357588</v>
      </c>
      <c r="U154" s="2260">
        <f>'[11]НВВ 26.09.23.'!U154+'[12]НВВ 26.09.'!U154+'[13]НВВ 26.09.23.'!U154</f>
        <v>3.9667823714357588</v>
      </c>
      <c r="V154" s="2258">
        <f t="shared" si="37"/>
        <v>3.9667823714357588</v>
      </c>
      <c r="W154" s="2255">
        <f>'[11]НВВ 26.09.23.'!W154+'[12]НВВ 26.09.'!W154+'[13]НВВ 26.09.23.'!W154</f>
        <v>3.9667823714357588</v>
      </c>
      <c r="X154" s="2260">
        <f>'[11]НВВ 26.09.23.'!X154+'[12]НВВ 26.09.'!X154+'[13]НВВ 26.09.23.'!X154</f>
        <v>3.9667823714357588</v>
      </c>
      <c r="Y154" s="2258">
        <f t="shared" si="38"/>
        <v>3.9667823714357588</v>
      </c>
      <c r="Z154" s="2255">
        <f>'[11]НВВ 26.09.23.'!Z154+'[12]НВВ 26.09.'!Z154+'[13]НВВ 26.09.23.'!Z154</f>
        <v>3.9667823714357588</v>
      </c>
      <c r="AA154" s="2260">
        <f>'[11]НВВ 26.09.23.'!AA154+'[12]НВВ 26.09.'!AA154+'[13]НВВ 26.09.23.'!AA154</f>
        <v>3.9667823714357588</v>
      </c>
      <c r="AB154" s="2259">
        <f t="shared" si="39"/>
        <v>3.9667823714357588</v>
      </c>
      <c r="AC154" s="2606"/>
      <c r="AD154" s="2606"/>
      <c r="AE154" s="2606"/>
      <c r="AF154" s="2593"/>
      <c r="AG154" s="2593"/>
      <c r="AH154" s="2593"/>
      <c r="AI154" s="2593"/>
      <c r="AJ154" s="2593"/>
    </row>
    <row r="155" spans="1:36" s="2218" customFormat="1" ht="21" customHeight="1" outlineLevel="1">
      <c r="A155" s="2235">
        <v>230</v>
      </c>
      <c r="B155" s="2281" t="s">
        <v>1960</v>
      </c>
      <c r="C155" s="2282" t="s">
        <v>1953</v>
      </c>
      <c r="D155" s="2504" t="s">
        <v>1954</v>
      </c>
      <c r="E155" s="2284"/>
      <c r="F155" s="2285"/>
      <c r="G155" s="2257">
        <f t="shared" si="32"/>
        <v>0</v>
      </c>
      <c r="H155" s="2285"/>
      <c r="I155" s="2285"/>
      <c r="J155" s="2257">
        <f t="shared" si="33"/>
        <v>0</v>
      </c>
      <c r="K155" s="2285"/>
      <c r="L155" s="2285"/>
      <c r="M155" s="2259">
        <f t="shared" si="34"/>
        <v>0</v>
      </c>
      <c r="N155" s="2284">
        <f>N153/N154</f>
        <v>1144.0175671714703</v>
      </c>
      <c r="O155" s="2286">
        <f>O153/O154</f>
        <v>1246.9791482169028</v>
      </c>
      <c r="P155" s="2258">
        <f t="shared" si="35"/>
        <v>1195.4983576941866</v>
      </c>
      <c r="Q155" s="2284">
        <f>O155</f>
        <v>1246.9791482169028</v>
      </c>
      <c r="R155" s="2286">
        <f>Q155*1.05</f>
        <v>1309.3281056277481</v>
      </c>
      <c r="S155" s="2259">
        <f t="shared" si="36"/>
        <v>1278.1536269223254</v>
      </c>
      <c r="T155" s="2284">
        <f>R155</f>
        <v>1309.3281056277481</v>
      </c>
      <c r="U155" s="2286">
        <f>T155*1.05</f>
        <v>1374.7945109091356</v>
      </c>
      <c r="V155" s="2258">
        <f t="shared" si="37"/>
        <v>1342.0613082684417</v>
      </c>
      <c r="W155" s="2284">
        <f>U155</f>
        <v>1374.7945109091356</v>
      </c>
      <c r="X155" s="2286">
        <f>W155*1.05</f>
        <v>1443.5342364545925</v>
      </c>
      <c r="Y155" s="2258">
        <f t="shared" si="38"/>
        <v>1409.1643736818642</v>
      </c>
      <c r="Z155" s="2284">
        <f>X155</f>
        <v>1443.5342364545925</v>
      </c>
      <c r="AA155" s="2286">
        <f>Z155*1.05</f>
        <v>1515.7109482773221</v>
      </c>
      <c r="AB155" s="2259">
        <f t="shared" si="39"/>
        <v>1479.6225923659572</v>
      </c>
      <c r="AC155" s="2606"/>
      <c r="AD155" s="2606"/>
      <c r="AE155" s="2606"/>
      <c r="AF155" s="2593"/>
      <c r="AG155" s="2593"/>
      <c r="AH155" s="2593"/>
      <c r="AI155" s="2593"/>
      <c r="AJ155" s="2593"/>
    </row>
    <row r="156" spans="1:36" s="2218" customFormat="1" ht="17.25" hidden="1" customHeight="1" outlineLevel="2">
      <c r="A156" s="2235">
        <v>222</v>
      </c>
      <c r="B156" s="2279"/>
      <c r="C156" s="2280" t="s">
        <v>1961</v>
      </c>
      <c r="D156" s="2500" t="s">
        <v>1317</v>
      </c>
      <c r="E156" s="2255">
        <f>E157*E158</f>
        <v>0</v>
      </c>
      <c r="F156" s="2256">
        <f>F157*F158</f>
        <v>0</v>
      </c>
      <c r="G156" s="2257">
        <f t="shared" si="32"/>
        <v>0</v>
      </c>
      <c r="H156" s="2256">
        <f>H157*H158</f>
        <v>0</v>
      </c>
      <c r="I156" s="2256">
        <f>I157*I158</f>
        <v>0</v>
      </c>
      <c r="J156" s="2257">
        <f t="shared" si="33"/>
        <v>0</v>
      </c>
      <c r="K156" s="2256">
        <f>K157*K158</f>
        <v>0</v>
      </c>
      <c r="L156" s="2256">
        <f>L157*L158</f>
        <v>0</v>
      </c>
      <c r="M156" s="2259">
        <f t="shared" si="34"/>
        <v>0</v>
      </c>
      <c r="N156" s="2255">
        <f>'2024 Калуга+область транспортир'!Z155+'2024 Калуга+область перекачка'!Z155+'2024 Калуга+область очистка'!Z155</f>
        <v>0</v>
      </c>
      <c r="O156" s="2260">
        <f>'2024 Калуга+область транспортир'!AA155+'2024 Калуга+область перекачка'!AA155+'2024 Калуга+область очистка'!AA155</f>
        <v>0</v>
      </c>
      <c r="P156" s="2258">
        <f t="shared" si="35"/>
        <v>0</v>
      </c>
      <c r="Q156" s="2255">
        <f>Q157*Q158</f>
        <v>0</v>
      </c>
      <c r="R156" s="2260">
        <f>R157*R158</f>
        <v>0</v>
      </c>
      <c r="S156" s="2259">
        <f t="shared" si="36"/>
        <v>0</v>
      </c>
      <c r="T156" s="2255">
        <f>T157*T158</f>
        <v>0</v>
      </c>
      <c r="U156" s="2260">
        <f>U157*U158</f>
        <v>0</v>
      </c>
      <c r="V156" s="2258">
        <f t="shared" si="37"/>
        <v>0</v>
      </c>
      <c r="W156" s="2255">
        <f>W157*W158</f>
        <v>0</v>
      </c>
      <c r="X156" s="2260">
        <f>X157*X158</f>
        <v>0</v>
      </c>
      <c r="Y156" s="2258">
        <f t="shared" si="38"/>
        <v>0</v>
      </c>
      <c r="Z156" s="2255">
        <f>Z157*Z158</f>
        <v>0</v>
      </c>
      <c r="AA156" s="2260">
        <f>AA157*AA158</f>
        <v>0</v>
      </c>
      <c r="AB156" s="2259">
        <f t="shared" si="39"/>
        <v>0</v>
      </c>
      <c r="AC156" s="2606"/>
      <c r="AD156" s="2606"/>
      <c r="AE156" s="2606"/>
      <c r="AF156" s="2593"/>
      <c r="AG156" s="2593"/>
      <c r="AH156" s="2593"/>
      <c r="AI156" s="2593"/>
      <c r="AJ156" s="2593"/>
    </row>
    <row r="157" spans="1:36" s="2218" customFormat="1" ht="21" hidden="1" customHeight="1" outlineLevel="2">
      <c r="A157" s="2235">
        <v>231</v>
      </c>
      <c r="B157" s="2281" t="s">
        <v>1962</v>
      </c>
      <c r="C157" s="2282" t="s">
        <v>1929</v>
      </c>
      <c r="D157" s="2504" t="s">
        <v>1951</v>
      </c>
      <c r="E157" s="2284"/>
      <c r="F157" s="2285"/>
      <c r="G157" s="2257">
        <f t="shared" si="32"/>
        <v>0</v>
      </c>
      <c r="H157" s="2285"/>
      <c r="I157" s="2285"/>
      <c r="J157" s="2257">
        <f t="shared" si="33"/>
        <v>0</v>
      </c>
      <c r="K157" s="2285"/>
      <c r="L157" s="2285"/>
      <c r="M157" s="2259">
        <f t="shared" si="34"/>
        <v>0</v>
      </c>
      <c r="N157" s="2255">
        <f>'2024 Калуга+область транспортир'!Z156+'2024 Калуга+область перекачка'!Z156+'2024 Калуга+область очистка'!Z156</f>
        <v>0</v>
      </c>
      <c r="O157" s="2260">
        <f>'2024 Калуга+область транспортир'!AA156+'2024 Калуга+область перекачка'!AA156+'2024 Калуга+область очистка'!AA156</f>
        <v>0</v>
      </c>
      <c r="P157" s="2258">
        <f t="shared" si="35"/>
        <v>0</v>
      </c>
      <c r="Q157" s="2284"/>
      <c r="R157" s="2286"/>
      <c r="S157" s="2259">
        <f t="shared" si="36"/>
        <v>0</v>
      </c>
      <c r="T157" s="2284"/>
      <c r="U157" s="2286"/>
      <c r="V157" s="2258">
        <f t="shared" si="37"/>
        <v>0</v>
      </c>
      <c r="W157" s="2284"/>
      <c r="X157" s="2286"/>
      <c r="Y157" s="2258">
        <f t="shared" si="38"/>
        <v>0</v>
      </c>
      <c r="Z157" s="2284"/>
      <c r="AA157" s="2286"/>
      <c r="AB157" s="2259">
        <f t="shared" si="39"/>
        <v>0</v>
      </c>
      <c r="AC157" s="2606"/>
      <c r="AD157" s="2606"/>
      <c r="AE157" s="2606"/>
      <c r="AF157" s="2593"/>
      <c r="AG157" s="2593"/>
      <c r="AH157" s="2593"/>
      <c r="AI157" s="2593"/>
      <c r="AJ157" s="2593"/>
    </row>
    <row r="158" spans="1:36" s="2218" customFormat="1" ht="21" hidden="1" customHeight="1" outlineLevel="2">
      <c r="A158" s="2235">
        <v>232</v>
      </c>
      <c r="B158" s="2281" t="s">
        <v>1963</v>
      </c>
      <c r="C158" s="2282" t="s">
        <v>1953</v>
      </c>
      <c r="D158" s="2504" t="s">
        <v>1954</v>
      </c>
      <c r="E158" s="2284"/>
      <c r="F158" s="2285"/>
      <c r="G158" s="2257">
        <f t="shared" si="32"/>
        <v>0</v>
      </c>
      <c r="H158" s="2285"/>
      <c r="I158" s="2285"/>
      <c r="J158" s="2257">
        <f t="shared" si="33"/>
        <v>0</v>
      </c>
      <c r="K158" s="2285"/>
      <c r="L158" s="2285"/>
      <c r="M158" s="2259">
        <f t="shared" si="34"/>
        <v>0</v>
      </c>
      <c r="N158" s="2284"/>
      <c r="O158" s="2286"/>
      <c r="P158" s="2258">
        <f t="shared" si="35"/>
        <v>0</v>
      </c>
      <c r="Q158" s="2284"/>
      <c r="R158" s="2286"/>
      <c r="S158" s="2259">
        <f t="shared" si="36"/>
        <v>0</v>
      </c>
      <c r="T158" s="2284"/>
      <c r="U158" s="2286"/>
      <c r="V158" s="2258">
        <f t="shared" si="37"/>
        <v>0</v>
      </c>
      <c r="W158" s="2284"/>
      <c r="X158" s="2286"/>
      <c r="Y158" s="2258">
        <f t="shared" si="38"/>
        <v>0</v>
      </c>
      <c r="Z158" s="2284"/>
      <c r="AA158" s="2286"/>
      <c r="AB158" s="2259">
        <f t="shared" si="39"/>
        <v>0</v>
      </c>
      <c r="AC158" s="2606"/>
      <c r="AD158" s="2606"/>
      <c r="AE158" s="2606"/>
      <c r="AF158" s="2593"/>
      <c r="AG158" s="2593"/>
      <c r="AH158" s="2593"/>
      <c r="AI158" s="2593"/>
      <c r="AJ158" s="2593"/>
    </row>
    <row r="159" spans="1:36" s="2218" customFormat="1" ht="16.5" customHeight="1" outlineLevel="1" collapsed="1">
      <c r="A159" s="2235">
        <v>217</v>
      </c>
      <c r="B159" s="2279"/>
      <c r="C159" s="2280" t="s">
        <v>1964</v>
      </c>
      <c r="D159" s="2500" t="s">
        <v>1317</v>
      </c>
      <c r="E159" s="2255">
        <f>E160+E163+E166+E169+E172</f>
        <v>0</v>
      </c>
      <c r="F159" s="2256"/>
      <c r="G159" s="2257">
        <f t="shared" si="32"/>
        <v>0</v>
      </c>
      <c r="H159" s="2256">
        <f>H160+H163+H166+H169+H172</f>
        <v>0</v>
      </c>
      <c r="I159" s="2256"/>
      <c r="J159" s="2257">
        <f t="shared" si="33"/>
        <v>0</v>
      </c>
      <c r="K159" s="2256">
        <f>K160+K163+K166+K169+K172</f>
        <v>0</v>
      </c>
      <c r="L159" s="2256"/>
      <c r="M159" s="2259">
        <f t="shared" si="34"/>
        <v>0</v>
      </c>
      <c r="N159" s="2255">
        <f>N160+N163+N166+N169+N172</f>
        <v>2372.5889794957516</v>
      </c>
      <c r="O159" s="2260">
        <f>O160+O163+O166+O169+O172</f>
        <v>2586.1219876503696</v>
      </c>
      <c r="P159" s="2258">
        <f t="shared" si="35"/>
        <v>2479.3554835730606</v>
      </c>
      <c r="Q159" s="2255">
        <f>Q160+Q163+Q166+Q169+Q172</f>
        <v>2586.1219876503696</v>
      </c>
      <c r="R159" s="2260">
        <f>R160+R163+R166+R169+R172</f>
        <v>2723.1864529958389</v>
      </c>
      <c r="S159" s="2259">
        <f t="shared" si="36"/>
        <v>2654.6542203231043</v>
      </c>
      <c r="T159" s="2255">
        <f>T160+T163+T166+T169+T172</f>
        <v>2723.1864529958389</v>
      </c>
      <c r="U159" s="2260">
        <f>U160+U163+U166+U169+U172</f>
        <v>2867.5153350046185</v>
      </c>
      <c r="V159" s="2258">
        <f t="shared" si="37"/>
        <v>2795.3508940002284</v>
      </c>
      <c r="W159" s="2255">
        <f>W160+W163+W166+W169+W172</f>
        <v>2867.5153350046185</v>
      </c>
      <c r="X159" s="2260">
        <f>X160+X163+X166+X169+X172</f>
        <v>3019.4936477598631</v>
      </c>
      <c r="Y159" s="2258">
        <f t="shared" si="38"/>
        <v>2943.5044913822408</v>
      </c>
      <c r="Z159" s="2255">
        <f>Z160+Z163+Z166+Z169+Z172</f>
        <v>3019.4936477598631</v>
      </c>
      <c r="AA159" s="2260">
        <f>AA160+AA163+AA166+AA169+AA172</f>
        <v>3179.5268110911356</v>
      </c>
      <c r="AB159" s="2259">
        <f t="shared" si="39"/>
        <v>3099.5102294254993</v>
      </c>
      <c r="AC159" s="2606"/>
      <c r="AD159" s="2606"/>
      <c r="AE159" s="2606"/>
      <c r="AF159" s="2593"/>
      <c r="AG159" s="2593"/>
      <c r="AH159" s="2593"/>
      <c r="AI159" s="2593"/>
      <c r="AJ159" s="2593"/>
    </row>
    <row r="160" spans="1:36" s="2218" customFormat="1" ht="17.25" hidden="1" customHeight="1" outlineLevel="2">
      <c r="A160" s="2235">
        <v>233</v>
      </c>
      <c r="B160" s="2279"/>
      <c r="C160" s="2280" t="s">
        <v>1927</v>
      </c>
      <c r="D160" s="2500" t="s">
        <v>1317</v>
      </c>
      <c r="E160" s="2255">
        <f>E161*E162</f>
        <v>0</v>
      </c>
      <c r="F160" s="2256">
        <f>F161*F162</f>
        <v>0</v>
      </c>
      <c r="G160" s="2257">
        <f t="shared" si="32"/>
        <v>0</v>
      </c>
      <c r="H160" s="2256">
        <f>H161*H162</f>
        <v>0</v>
      </c>
      <c r="I160" s="2256">
        <f>I161*I162</f>
        <v>0</v>
      </c>
      <c r="J160" s="2257">
        <f t="shared" si="33"/>
        <v>0</v>
      </c>
      <c r="K160" s="2256">
        <f>K161*K162</f>
        <v>0</v>
      </c>
      <c r="L160" s="2256">
        <f>L161*L162</f>
        <v>0</v>
      </c>
      <c r="M160" s="2259">
        <f t="shared" si="34"/>
        <v>0</v>
      </c>
      <c r="N160" s="2255">
        <f>'2024 Калуга+область транспортир'!Z159+'2024 Калуга+область перекачка'!Z159+'2024 Калуга+область очистка'!Z159</f>
        <v>0</v>
      </c>
      <c r="O160" s="2260">
        <f>'2024 Калуга+область транспортир'!AA159+'2024 Калуга+область перекачка'!AA159+'2024 Калуга+область очистка'!AA159</f>
        <v>0</v>
      </c>
      <c r="P160" s="2258">
        <f t="shared" si="35"/>
        <v>0</v>
      </c>
      <c r="Q160" s="2255">
        <f>Q161*Q162</f>
        <v>0</v>
      </c>
      <c r="R160" s="2260">
        <f>R161*R162</f>
        <v>0</v>
      </c>
      <c r="S160" s="2259">
        <f t="shared" si="36"/>
        <v>0</v>
      </c>
      <c r="T160" s="2255">
        <f>T161*T162</f>
        <v>0</v>
      </c>
      <c r="U160" s="2260">
        <f>U161*U162</f>
        <v>0</v>
      </c>
      <c r="V160" s="2258">
        <f t="shared" si="37"/>
        <v>0</v>
      </c>
      <c r="W160" s="2255">
        <f>W161*W162</f>
        <v>0</v>
      </c>
      <c r="X160" s="2260">
        <f>X161*X162</f>
        <v>0</v>
      </c>
      <c r="Y160" s="2258">
        <f t="shared" si="38"/>
        <v>0</v>
      </c>
      <c r="Z160" s="2255">
        <f>Z161*Z162</f>
        <v>0</v>
      </c>
      <c r="AA160" s="2260">
        <f>AA161*AA162</f>
        <v>0</v>
      </c>
      <c r="AB160" s="2259">
        <f t="shared" si="39"/>
        <v>0</v>
      </c>
      <c r="AC160" s="2606"/>
      <c r="AD160" s="2606"/>
      <c r="AE160" s="2606"/>
      <c r="AF160" s="2593"/>
      <c r="AG160" s="2593"/>
      <c r="AH160" s="2593"/>
      <c r="AI160" s="2593"/>
      <c r="AJ160" s="2593"/>
    </row>
    <row r="161" spans="1:36" s="2218" customFormat="1" ht="21" hidden="1" customHeight="1" outlineLevel="2">
      <c r="A161" s="2235">
        <v>242</v>
      </c>
      <c r="B161" s="2281" t="s">
        <v>1965</v>
      </c>
      <c r="C161" s="2282" t="s">
        <v>1929</v>
      </c>
      <c r="D161" s="2504" t="s">
        <v>1951</v>
      </c>
      <c r="E161" s="2284"/>
      <c r="F161" s="2285"/>
      <c r="G161" s="2257">
        <f t="shared" si="32"/>
        <v>0</v>
      </c>
      <c r="H161" s="2285"/>
      <c r="I161" s="2285"/>
      <c r="J161" s="2257">
        <f t="shared" si="33"/>
        <v>0</v>
      </c>
      <c r="K161" s="2285"/>
      <c r="L161" s="2285"/>
      <c r="M161" s="2259">
        <f t="shared" si="34"/>
        <v>0</v>
      </c>
      <c r="N161" s="2255">
        <f>'2024 Калуга+область транспортир'!Z160+'2024 Калуга+область перекачка'!Z160+'2024 Калуга+область очистка'!Z160</f>
        <v>0</v>
      </c>
      <c r="O161" s="2260">
        <f>'2024 Калуга+область транспортир'!AA160+'2024 Калуга+область перекачка'!AA160+'2024 Калуга+область очистка'!AA160</f>
        <v>0</v>
      </c>
      <c r="P161" s="2258">
        <f t="shared" si="35"/>
        <v>0</v>
      </c>
      <c r="Q161" s="2284"/>
      <c r="R161" s="2286"/>
      <c r="S161" s="2259">
        <f t="shared" si="36"/>
        <v>0</v>
      </c>
      <c r="T161" s="2284"/>
      <c r="U161" s="2286"/>
      <c r="V161" s="2258">
        <f t="shared" si="37"/>
        <v>0</v>
      </c>
      <c r="W161" s="2284"/>
      <c r="X161" s="2286"/>
      <c r="Y161" s="2258">
        <f t="shared" si="38"/>
        <v>0</v>
      </c>
      <c r="Z161" s="2284"/>
      <c r="AA161" s="2286"/>
      <c r="AB161" s="2259">
        <f t="shared" si="39"/>
        <v>0</v>
      </c>
      <c r="AC161" s="2606"/>
      <c r="AD161" s="2606"/>
      <c r="AE161" s="2606"/>
      <c r="AF161" s="2593"/>
      <c r="AG161" s="2593"/>
      <c r="AH161" s="2593"/>
      <c r="AI161" s="2593"/>
      <c r="AJ161" s="2593"/>
    </row>
    <row r="162" spans="1:36" s="2218" customFormat="1" ht="21" hidden="1" customHeight="1" outlineLevel="2">
      <c r="A162" s="2235">
        <v>243</v>
      </c>
      <c r="B162" s="2281" t="s">
        <v>1966</v>
      </c>
      <c r="C162" s="2282" t="s">
        <v>1967</v>
      </c>
      <c r="D162" s="2504" t="s">
        <v>1954</v>
      </c>
      <c r="E162" s="2284"/>
      <c r="F162" s="2285"/>
      <c r="G162" s="2257">
        <f t="shared" si="32"/>
        <v>0</v>
      </c>
      <c r="H162" s="2285"/>
      <c r="I162" s="2285"/>
      <c r="J162" s="2257">
        <f t="shared" si="33"/>
        <v>0</v>
      </c>
      <c r="K162" s="2285"/>
      <c r="L162" s="2285"/>
      <c r="M162" s="2259">
        <f t="shared" si="34"/>
        <v>0</v>
      </c>
      <c r="N162" s="2284"/>
      <c r="O162" s="2286"/>
      <c r="P162" s="2258">
        <f t="shared" si="35"/>
        <v>0</v>
      </c>
      <c r="Q162" s="2284"/>
      <c r="R162" s="2286"/>
      <c r="S162" s="2259">
        <f t="shared" si="36"/>
        <v>0</v>
      </c>
      <c r="T162" s="2284"/>
      <c r="U162" s="2286"/>
      <c r="V162" s="2258">
        <f t="shared" si="37"/>
        <v>0</v>
      </c>
      <c r="W162" s="2284"/>
      <c r="X162" s="2286"/>
      <c r="Y162" s="2258">
        <f t="shared" si="38"/>
        <v>0</v>
      </c>
      <c r="Z162" s="2284"/>
      <c r="AA162" s="2286"/>
      <c r="AB162" s="2259">
        <f t="shared" si="39"/>
        <v>0</v>
      </c>
      <c r="AC162" s="2606"/>
      <c r="AD162" s="2606"/>
      <c r="AE162" s="2606"/>
      <c r="AF162" s="2593"/>
      <c r="AG162" s="2593"/>
      <c r="AH162" s="2593"/>
      <c r="AI162" s="2593"/>
      <c r="AJ162" s="2593"/>
    </row>
    <row r="163" spans="1:36" s="2218" customFormat="1" ht="18.75" hidden="1" customHeight="1" outlineLevel="2">
      <c r="A163" s="2235">
        <v>234</v>
      </c>
      <c r="B163" s="2279"/>
      <c r="C163" s="2280" t="s">
        <v>1936</v>
      </c>
      <c r="D163" s="2500" t="s">
        <v>1317</v>
      </c>
      <c r="E163" s="2255">
        <f>E164*E165</f>
        <v>0</v>
      </c>
      <c r="F163" s="2256">
        <f>F164*F165</f>
        <v>0</v>
      </c>
      <c r="G163" s="2257">
        <f t="shared" si="32"/>
        <v>0</v>
      </c>
      <c r="H163" s="2256">
        <f>H164*H165</f>
        <v>0</v>
      </c>
      <c r="I163" s="2256">
        <f>I164*I165</f>
        <v>0</v>
      </c>
      <c r="J163" s="2257">
        <f t="shared" si="33"/>
        <v>0</v>
      </c>
      <c r="K163" s="2256">
        <f>K164*K165</f>
        <v>0</v>
      </c>
      <c r="L163" s="2256">
        <f>L164*L165</f>
        <v>0</v>
      </c>
      <c r="M163" s="2259">
        <f t="shared" si="34"/>
        <v>0</v>
      </c>
      <c r="N163" s="2255">
        <f>'2024 Калуга+область транспортир'!Z162+'2024 Калуга+область перекачка'!Z162+'2024 Калуга+область очистка'!Z162</f>
        <v>0</v>
      </c>
      <c r="O163" s="2260">
        <f>'2024 Калуга+область транспортир'!AA162+'2024 Калуга+область перекачка'!AA162+'2024 Калуга+область очистка'!AA162</f>
        <v>0</v>
      </c>
      <c r="P163" s="2258">
        <f t="shared" si="35"/>
        <v>0</v>
      </c>
      <c r="Q163" s="2255">
        <f>Q164*Q165</f>
        <v>0</v>
      </c>
      <c r="R163" s="2260">
        <f>R164*R165</f>
        <v>0</v>
      </c>
      <c r="S163" s="2259">
        <f t="shared" si="36"/>
        <v>0</v>
      </c>
      <c r="T163" s="2255">
        <f>T164*T165</f>
        <v>0</v>
      </c>
      <c r="U163" s="2260">
        <f>U164*U165</f>
        <v>0</v>
      </c>
      <c r="V163" s="2258">
        <f t="shared" si="37"/>
        <v>0</v>
      </c>
      <c r="W163" s="2255">
        <f>W164*W165</f>
        <v>0</v>
      </c>
      <c r="X163" s="2260">
        <f>X164*X165</f>
        <v>0</v>
      </c>
      <c r="Y163" s="2258">
        <f t="shared" si="38"/>
        <v>0</v>
      </c>
      <c r="Z163" s="2255">
        <f>Z164*Z165</f>
        <v>0</v>
      </c>
      <c r="AA163" s="2260">
        <f>AA164*AA165</f>
        <v>0</v>
      </c>
      <c r="AB163" s="2259">
        <f t="shared" si="39"/>
        <v>0</v>
      </c>
      <c r="AC163" s="2606"/>
      <c r="AD163" s="2606"/>
      <c r="AE163" s="2606"/>
      <c r="AF163" s="2593"/>
      <c r="AG163" s="2593"/>
      <c r="AH163" s="2593"/>
      <c r="AI163" s="2593"/>
      <c r="AJ163" s="2593"/>
    </row>
    <row r="164" spans="1:36" s="2218" customFormat="1" ht="21" hidden="1" customHeight="1" outlineLevel="2">
      <c r="A164" s="2235">
        <v>244</v>
      </c>
      <c r="B164" s="2281" t="s">
        <v>1968</v>
      </c>
      <c r="C164" s="2282" t="s">
        <v>1929</v>
      </c>
      <c r="D164" s="2504" t="s">
        <v>1951</v>
      </c>
      <c r="E164" s="2284"/>
      <c r="F164" s="2285"/>
      <c r="G164" s="2257">
        <f t="shared" si="32"/>
        <v>0</v>
      </c>
      <c r="H164" s="2285"/>
      <c r="I164" s="2285"/>
      <c r="J164" s="2257">
        <f t="shared" si="33"/>
        <v>0</v>
      </c>
      <c r="K164" s="2285"/>
      <c r="L164" s="2285"/>
      <c r="M164" s="2259">
        <f t="shared" si="34"/>
        <v>0</v>
      </c>
      <c r="N164" s="2255">
        <f>'2024 Калуга+область транспортир'!Z163+'2024 Калуга+область перекачка'!Z163+'2024 Калуга+область очистка'!Z163</f>
        <v>0</v>
      </c>
      <c r="O164" s="2260">
        <f>'2024 Калуга+область транспортир'!AA163+'2024 Калуга+область перекачка'!AA163+'2024 Калуга+область очистка'!AA163</f>
        <v>0</v>
      </c>
      <c r="P164" s="2258">
        <f t="shared" si="35"/>
        <v>0</v>
      </c>
      <c r="Q164" s="2284"/>
      <c r="R164" s="2286"/>
      <c r="S164" s="2259">
        <f t="shared" si="36"/>
        <v>0</v>
      </c>
      <c r="T164" s="2284"/>
      <c r="U164" s="2286"/>
      <c r="V164" s="2258">
        <f t="shared" si="37"/>
        <v>0</v>
      </c>
      <c r="W164" s="2284"/>
      <c r="X164" s="2286"/>
      <c r="Y164" s="2258">
        <f t="shared" si="38"/>
        <v>0</v>
      </c>
      <c r="Z164" s="2284"/>
      <c r="AA164" s="2286"/>
      <c r="AB164" s="2259">
        <f t="shared" si="39"/>
        <v>0</v>
      </c>
      <c r="AC164" s="2606"/>
      <c r="AD164" s="2606"/>
      <c r="AE164" s="2606"/>
      <c r="AF164" s="2593"/>
      <c r="AG164" s="2593"/>
      <c r="AH164" s="2593"/>
      <c r="AI164" s="2593"/>
      <c r="AJ164" s="2593"/>
    </row>
    <row r="165" spans="1:36" s="2218" customFormat="1" ht="21" hidden="1" customHeight="1" outlineLevel="2">
      <c r="A165" s="2235">
        <v>245</v>
      </c>
      <c r="B165" s="2281" t="s">
        <v>1969</v>
      </c>
      <c r="C165" s="2282" t="s">
        <v>1967</v>
      </c>
      <c r="D165" s="2504" t="s">
        <v>1954</v>
      </c>
      <c r="E165" s="2284"/>
      <c r="F165" s="2285"/>
      <c r="G165" s="2257">
        <f t="shared" si="32"/>
        <v>0</v>
      </c>
      <c r="H165" s="2285"/>
      <c r="I165" s="2285"/>
      <c r="J165" s="2257">
        <f t="shared" si="33"/>
        <v>0</v>
      </c>
      <c r="K165" s="2285"/>
      <c r="L165" s="2285"/>
      <c r="M165" s="2259">
        <f t="shared" si="34"/>
        <v>0</v>
      </c>
      <c r="N165" s="2284"/>
      <c r="O165" s="2286"/>
      <c r="P165" s="2258">
        <f t="shared" si="35"/>
        <v>0</v>
      </c>
      <c r="Q165" s="2284"/>
      <c r="R165" s="2286"/>
      <c r="S165" s="2259">
        <f t="shared" si="36"/>
        <v>0</v>
      </c>
      <c r="T165" s="2284"/>
      <c r="U165" s="2286"/>
      <c r="V165" s="2258">
        <f t="shared" si="37"/>
        <v>0</v>
      </c>
      <c r="W165" s="2284"/>
      <c r="X165" s="2286"/>
      <c r="Y165" s="2258">
        <f t="shared" si="38"/>
        <v>0</v>
      </c>
      <c r="Z165" s="2284"/>
      <c r="AA165" s="2286"/>
      <c r="AB165" s="2259">
        <f t="shared" si="39"/>
        <v>0</v>
      </c>
      <c r="AC165" s="2606"/>
      <c r="AD165" s="2606"/>
      <c r="AE165" s="2606"/>
      <c r="AF165" s="2593"/>
      <c r="AG165" s="2593"/>
      <c r="AH165" s="2593"/>
      <c r="AI165" s="2593"/>
      <c r="AJ165" s="2593"/>
    </row>
    <row r="166" spans="1:36" s="2218" customFormat="1" ht="15.75" hidden="1" customHeight="1" outlineLevel="2">
      <c r="A166" s="2235">
        <v>235</v>
      </c>
      <c r="B166" s="2279"/>
      <c r="C166" s="2280" t="s">
        <v>1939</v>
      </c>
      <c r="D166" s="2500" t="s">
        <v>1317</v>
      </c>
      <c r="E166" s="2255">
        <f>E167*E168</f>
        <v>0</v>
      </c>
      <c r="F166" s="2256">
        <f>F167*F168</f>
        <v>0</v>
      </c>
      <c r="G166" s="2257">
        <f t="shared" si="32"/>
        <v>0</v>
      </c>
      <c r="H166" s="2256">
        <f>H167*H168</f>
        <v>0</v>
      </c>
      <c r="I166" s="2256">
        <f>I167*I168</f>
        <v>0</v>
      </c>
      <c r="J166" s="2257">
        <f t="shared" si="33"/>
        <v>0</v>
      </c>
      <c r="K166" s="2256">
        <f>K167*K168</f>
        <v>0</v>
      </c>
      <c r="L166" s="2256">
        <f>L167*L168</f>
        <v>0</v>
      </c>
      <c r="M166" s="2259">
        <f t="shared" si="34"/>
        <v>0</v>
      </c>
      <c r="N166" s="2255">
        <f>'2024 Калуга+область транспортир'!Z165+'2024 Калуга+область перекачка'!Z165+'2024 Калуга+область очистка'!Z165</f>
        <v>0</v>
      </c>
      <c r="O166" s="2260">
        <f>'2024 Калуга+область транспортир'!AA165+'2024 Калуга+область перекачка'!AA165+'2024 Калуга+область очистка'!AA165</f>
        <v>0</v>
      </c>
      <c r="P166" s="2258">
        <f t="shared" si="35"/>
        <v>0</v>
      </c>
      <c r="Q166" s="2255">
        <f>Q167*Q168</f>
        <v>0</v>
      </c>
      <c r="R166" s="2260">
        <f>R167*R168</f>
        <v>0</v>
      </c>
      <c r="S166" s="2259">
        <f t="shared" si="36"/>
        <v>0</v>
      </c>
      <c r="T166" s="2255">
        <f>T167*T168</f>
        <v>0</v>
      </c>
      <c r="U166" s="2260">
        <f>U167*U168</f>
        <v>0</v>
      </c>
      <c r="V166" s="2258">
        <f t="shared" si="37"/>
        <v>0</v>
      </c>
      <c r="W166" s="2255">
        <f>W167*W168</f>
        <v>0</v>
      </c>
      <c r="X166" s="2260">
        <f>X167*X168</f>
        <v>0</v>
      </c>
      <c r="Y166" s="2258">
        <f t="shared" si="38"/>
        <v>0</v>
      </c>
      <c r="Z166" s="2255">
        <f>Z167*Z168</f>
        <v>0</v>
      </c>
      <c r="AA166" s="2260">
        <f>AA167*AA168</f>
        <v>0</v>
      </c>
      <c r="AB166" s="2259">
        <f t="shared" si="39"/>
        <v>0</v>
      </c>
      <c r="AC166" s="2606"/>
      <c r="AD166" s="2606"/>
      <c r="AE166" s="2606"/>
      <c r="AF166" s="2593"/>
      <c r="AG166" s="2593"/>
      <c r="AH166" s="2593"/>
      <c r="AI166" s="2593"/>
      <c r="AJ166" s="2593"/>
    </row>
    <row r="167" spans="1:36" s="2218" customFormat="1" ht="21" hidden="1" customHeight="1" outlineLevel="2">
      <c r="A167" s="2235">
        <v>246</v>
      </c>
      <c r="B167" s="2281" t="s">
        <v>1970</v>
      </c>
      <c r="C167" s="2282" t="s">
        <v>1929</v>
      </c>
      <c r="D167" s="2504" t="s">
        <v>1951</v>
      </c>
      <c r="E167" s="2284"/>
      <c r="F167" s="2285"/>
      <c r="G167" s="2257">
        <f t="shared" si="32"/>
        <v>0</v>
      </c>
      <c r="H167" s="2285"/>
      <c r="I167" s="2285"/>
      <c r="J167" s="2257">
        <f t="shared" si="33"/>
        <v>0</v>
      </c>
      <c r="K167" s="2285"/>
      <c r="L167" s="2285"/>
      <c r="M167" s="2259">
        <f t="shared" si="34"/>
        <v>0</v>
      </c>
      <c r="N167" s="2255">
        <f>'2024 Калуга+область транспортир'!Z166+'2024 Калуга+область перекачка'!Z166+'2024 Калуга+область очистка'!Z166</f>
        <v>0</v>
      </c>
      <c r="O167" s="2260">
        <f>'2024 Калуга+область транспортир'!AA166+'2024 Калуга+область перекачка'!AA166+'2024 Калуга+область очистка'!AA166</f>
        <v>0</v>
      </c>
      <c r="P167" s="2258">
        <f t="shared" si="35"/>
        <v>0</v>
      </c>
      <c r="Q167" s="2284"/>
      <c r="R167" s="2286"/>
      <c r="S167" s="2259">
        <f t="shared" si="36"/>
        <v>0</v>
      </c>
      <c r="T167" s="2284"/>
      <c r="U167" s="2286"/>
      <c r="V167" s="2258">
        <f t="shared" si="37"/>
        <v>0</v>
      </c>
      <c r="W167" s="2284"/>
      <c r="X167" s="2286"/>
      <c r="Y167" s="2258">
        <f t="shared" si="38"/>
        <v>0</v>
      </c>
      <c r="Z167" s="2284"/>
      <c r="AA167" s="2286"/>
      <c r="AB167" s="2259">
        <f t="shared" si="39"/>
        <v>0</v>
      </c>
      <c r="AC167" s="2606"/>
      <c r="AD167" s="2606"/>
      <c r="AE167" s="2606"/>
      <c r="AF167" s="2593"/>
      <c r="AG167" s="2593"/>
      <c r="AH167" s="2593"/>
      <c r="AI167" s="2593"/>
      <c r="AJ167" s="2593"/>
    </row>
    <row r="168" spans="1:36" s="2218" customFormat="1" ht="21" hidden="1" customHeight="1" outlineLevel="2">
      <c r="A168" s="2235">
        <v>247</v>
      </c>
      <c r="B168" s="2281" t="s">
        <v>1971</v>
      </c>
      <c r="C168" s="2282" t="s">
        <v>1967</v>
      </c>
      <c r="D168" s="2504" t="s">
        <v>1954</v>
      </c>
      <c r="E168" s="2284"/>
      <c r="F168" s="2285"/>
      <c r="G168" s="2257">
        <f t="shared" si="32"/>
        <v>0</v>
      </c>
      <c r="H168" s="2285"/>
      <c r="I168" s="2285"/>
      <c r="J168" s="2257">
        <f t="shared" si="33"/>
        <v>0</v>
      </c>
      <c r="K168" s="2285"/>
      <c r="L168" s="2285"/>
      <c r="M168" s="2259">
        <f t="shared" si="34"/>
        <v>0</v>
      </c>
      <c r="N168" s="2284"/>
      <c r="O168" s="2286"/>
      <c r="P168" s="2258">
        <f t="shared" si="35"/>
        <v>0</v>
      </c>
      <c r="Q168" s="2284"/>
      <c r="R168" s="2286"/>
      <c r="S168" s="2259">
        <f t="shared" si="36"/>
        <v>0</v>
      </c>
      <c r="T168" s="2284"/>
      <c r="U168" s="2286"/>
      <c r="V168" s="2258">
        <f t="shared" si="37"/>
        <v>0</v>
      </c>
      <c r="W168" s="2284"/>
      <c r="X168" s="2286"/>
      <c r="Y168" s="2258">
        <f t="shared" si="38"/>
        <v>0</v>
      </c>
      <c r="Z168" s="2284"/>
      <c r="AA168" s="2286"/>
      <c r="AB168" s="2259">
        <f t="shared" si="39"/>
        <v>0</v>
      </c>
      <c r="AC168" s="2606"/>
      <c r="AD168" s="2606"/>
      <c r="AE168" s="2606"/>
      <c r="AF168" s="2593"/>
      <c r="AG168" s="2593"/>
      <c r="AH168" s="2593"/>
      <c r="AI168" s="2593"/>
      <c r="AJ168" s="2593"/>
    </row>
    <row r="169" spans="1:36" s="2218" customFormat="1" ht="15.75" customHeight="1" outlineLevel="1" collapsed="1">
      <c r="A169" s="2235">
        <v>236</v>
      </c>
      <c r="B169" s="2279"/>
      <c r="C169" s="2280" t="s">
        <v>1942</v>
      </c>
      <c r="D169" s="2500" t="s">
        <v>1317</v>
      </c>
      <c r="E169" s="2255">
        <f>E170*E171</f>
        <v>0</v>
      </c>
      <c r="F169" s="2256">
        <f>F170*F171</f>
        <v>0</v>
      </c>
      <c r="G169" s="2257">
        <f t="shared" si="32"/>
        <v>0</v>
      </c>
      <c r="H169" s="2256">
        <f>H170*H171</f>
        <v>0</v>
      </c>
      <c r="I169" s="2256">
        <f>I170*I171</f>
        <v>0</v>
      </c>
      <c r="J169" s="2257">
        <f t="shared" si="33"/>
        <v>0</v>
      </c>
      <c r="K169" s="2256">
        <f>K170*K171</f>
        <v>0</v>
      </c>
      <c r="L169" s="2256">
        <f>L170*L171</f>
        <v>0</v>
      </c>
      <c r="M169" s="2259">
        <f t="shared" si="34"/>
        <v>0</v>
      </c>
      <c r="N169" s="2255">
        <f>'[11]НВВ 26.09.23.'!N169+'[12]НВВ 26.09.'!N169+'[13]НВВ 26.09.23.'!N169</f>
        <v>2372.5889794957516</v>
      </c>
      <c r="O169" s="2260">
        <f>'[11]НВВ 26.09.23.'!O169+'[12]НВВ 26.09.'!O169+'[13]НВВ 26.09.23.'!O169</f>
        <v>2586.1219876503696</v>
      </c>
      <c r="P169" s="2258">
        <f t="shared" si="35"/>
        <v>2479.3554835730606</v>
      </c>
      <c r="Q169" s="2255">
        <f>'[11]НВВ 26.09.23.'!Q169+'[12]НВВ 26.09.'!Q169+'[13]НВВ 26.09.23.'!Q169</f>
        <v>2586.1219876503696</v>
      </c>
      <c r="R169" s="2260">
        <f>'[11]НВВ 26.09.23.'!R169+'[12]НВВ 26.09.'!R169+'[13]НВВ 26.09.23.'!R169</f>
        <v>2723.1864529958389</v>
      </c>
      <c r="S169" s="2259">
        <f t="shared" si="36"/>
        <v>2654.6542203231043</v>
      </c>
      <c r="T169" s="2255">
        <f>'[11]НВВ 26.09.23.'!T169+'[12]НВВ 26.09.'!T169+'[13]НВВ 26.09.23.'!T169</f>
        <v>2723.1864529958389</v>
      </c>
      <c r="U169" s="2260">
        <f>'[11]НВВ 26.09.23.'!U169+'[12]НВВ 26.09.'!U169+'[13]НВВ 26.09.23.'!U169</f>
        <v>2867.5153350046185</v>
      </c>
      <c r="V169" s="2258">
        <f t="shared" si="37"/>
        <v>2795.3508940002284</v>
      </c>
      <c r="W169" s="2255">
        <f>'[11]НВВ 26.09.23.'!W169+'[12]НВВ 26.09.'!W169+'[13]НВВ 26.09.23.'!W169</f>
        <v>2867.5153350046185</v>
      </c>
      <c r="X169" s="2260">
        <f>'[11]НВВ 26.09.23.'!X169+'[12]НВВ 26.09.'!X169+'[13]НВВ 26.09.23.'!X169</f>
        <v>3019.4936477598631</v>
      </c>
      <c r="Y169" s="2258">
        <f t="shared" si="38"/>
        <v>2943.5044913822408</v>
      </c>
      <c r="Z169" s="2255">
        <f>'[11]НВВ 26.09.23.'!Z169+'[12]НВВ 26.09.'!Z169+'[13]НВВ 26.09.23.'!Z169</f>
        <v>3019.4936477598631</v>
      </c>
      <c r="AA169" s="2260">
        <f>'[11]НВВ 26.09.23.'!AA169+'[12]НВВ 26.09.'!AA169+'[13]НВВ 26.09.23.'!AA169</f>
        <v>3179.5268110911356</v>
      </c>
      <c r="AB169" s="2259">
        <f t="shared" si="39"/>
        <v>3099.5102294254993</v>
      </c>
      <c r="AC169" s="2606"/>
      <c r="AD169" s="2606"/>
      <c r="AE169" s="2606"/>
      <c r="AF169" s="2593"/>
      <c r="AG169" s="2593"/>
      <c r="AH169" s="2593"/>
      <c r="AI169" s="2593"/>
      <c r="AJ169" s="2593"/>
    </row>
    <row r="170" spans="1:36" s="2218" customFormat="1" ht="21" customHeight="1" outlineLevel="1">
      <c r="A170" s="2235">
        <v>238</v>
      </c>
      <c r="B170" s="2281" t="s">
        <v>1972</v>
      </c>
      <c r="C170" s="2282" t="s">
        <v>1929</v>
      </c>
      <c r="D170" s="2504" t="s">
        <v>1951</v>
      </c>
      <c r="E170" s="2284"/>
      <c r="F170" s="2285"/>
      <c r="G170" s="2257">
        <f t="shared" si="32"/>
        <v>0</v>
      </c>
      <c r="H170" s="2285"/>
      <c r="I170" s="2285"/>
      <c r="J170" s="2257">
        <f t="shared" si="33"/>
        <v>0</v>
      </c>
      <c r="K170" s="2285"/>
      <c r="L170" s="2285"/>
      <c r="M170" s="2259">
        <f t="shared" si="34"/>
        <v>0</v>
      </c>
      <c r="N170" s="2255">
        <f>'[11]НВВ 26.09.23.'!N170+'[12]НВВ 26.09.'!N170+'[13]НВВ 26.09.23.'!N170</f>
        <v>1058.0960803807991</v>
      </c>
      <c r="O170" s="2260">
        <f>'[11]НВВ 26.09.23.'!O170+'[12]НВВ 26.09.'!O170+'[13]НВВ 26.09.23.'!O170</f>
        <v>1058.0960803807991</v>
      </c>
      <c r="P170" s="2258">
        <f t="shared" si="35"/>
        <v>1058.0960803807991</v>
      </c>
      <c r="Q170" s="2255">
        <f>'[11]НВВ 26.09.23.'!Q170+'[12]НВВ 26.09.'!Q170+'[13]НВВ 26.09.23.'!Q170</f>
        <v>1058.0960803807991</v>
      </c>
      <c r="R170" s="2260">
        <f>'[11]НВВ 26.09.23.'!R170+'[12]НВВ 26.09.'!R170+'[13]НВВ 26.09.23.'!R170</f>
        <v>1058.0960803807991</v>
      </c>
      <c r="S170" s="2259">
        <f t="shared" si="36"/>
        <v>1058.0960803807991</v>
      </c>
      <c r="T170" s="2255">
        <f>'[11]НВВ 26.09.23.'!T170+'[12]НВВ 26.09.'!T170+'[13]НВВ 26.09.23.'!T170</f>
        <v>1058.0960803807991</v>
      </c>
      <c r="U170" s="2260">
        <f>'[11]НВВ 26.09.23.'!U170+'[12]НВВ 26.09.'!U170+'[13]НВВ 26.09.23.'!U170</f>
        <v>1058.0960803807991</v>
      </c>
      <c r="V170" s="2258">
        <f t="shared" si="37"/>
        <v>1058.0960803807991</v>
      </c>
      <c r="W170" s="2255">
        <f>'[11]НВВ 26.09.23.'!W170+'[12]НВВ 26.09.'!W170+'[13]НВВ 26.09.23.'!W170</f>
        <v>1058.0960803807991</v>
      </c>
      <c r="X170" s="2260">
        <f>'[11]НВВ 26.09.23.'!X170+'[12]НВВ 26.09.'!X170+'[13]НВВ 26.09.23.'!X170</f>
        <v>1058.0960803807991</v>
      </c>
      <c r="Y170" s="2258">
        <f t="shared" si="38"/>
        <v>1058.0960803807991</v>
      </c>
      <c r="Z170" s="2255">
        <f>'[11]НВВ 26.09.23.'!Z170+'[12]НВВ 26.09.'!Z170+'[13]НВВ 26.09.23.'!Z170</f>
        <v>1058.0960803807991</v>
      </c>
      <c r="AA170" s="2260">
        <f>'[11]НВВ 26.09.23.'!AA170+'[12]НВВ 26.09.'!AA170+'[13]НВВ 26.09.23.'!AA170</f>
        <v>1058.0960803807991</v>
      </c>
      <c r="AB170" s="2259">
        <f t="shared" si="39"/>
        <v>1058.0960803807991</v>
      </c>
      <c r="AC170" s="2606"/>
      <c r="AD170" s="2606"/>
      <c r="AE170" s="2606"/>
      <c r="AF170" s="2593"/>
      <c r="AG170" s="2593"/>
      <c r="AH170" s="2593"/>
      <c r="AI170" s="2593"/>
      <c r="AJ170" s="2593"/>
    </row>
    <row r="171" spans="1:36" s="2218" customFormat="1" ht="21" customHeight="1" outlineLevel="1" thickBot="1">
      <c r="A171" s="2235">
        <v>239</v>
      </c>
      <c r="B171" s="2281" t="s">
        <v>1973</v>
      </c>
      <c r="C171" s="2282" t="s">
        <v>1967</v>
      </c>
      <c r="D171" s="2504" t="s">
        <v>1954</v>
      </c>
      <c r="E171" s="2284"/>
      <c r="F171" s="2285"/>
      <c r="G171" s="2257">
        <f t="shared" si="32"/>
        <v>0</v>
      </c>
      <c r="H171" s="2285"/>
      <c r="I171" s="2285"/>
      <c r="J171" s="2257">
        <f t="shared" si="33"/>
        <v>0</v>
      </c>
      <c r="K171" s="2285"/>
      <c r="L171" s="2285"/>
      <c r="M171" s="2259">
        <f t="shared" si="34"/>
        <v>0</v>
      </c>
      <c r="N171" s="2284">
        <f>N169/N170</f>
        <v>2.2423190327308258</v>
      </c>
      <c r="O171" s="2286">
        <f>O169/O170</f>
        <v>2.4441277456766004</v>
      </c>
      <c r="P171" s="2258">
        <f t="shared" si="35"/>
        <v>2.3432233892037129</v>
      </c>
      <c r="Q171" s="2284">
        <f>O171</f>
        <v>2.4441277456766004</v>
      </c>
      <c r="R171" s="2286">
        <f>Q171*1.05</f>
        <v>2.5663341329604306</v>
      </c>
      <c r="S171" s="2259">
        <f t="shared" si="36"/>
        <v>2.5052309393185155</v>
      </c>
      <c r="T171" s="2284">
        <f>R171</f>
        <v>2.5663341329604306</v>
      </c>
      <c r="U171" s="2286">
        <f>T171*1.05</f>
        <v>2.6946508396084523</v>
      </c>
      <c r="V171" s="2258">
        <f t="shared" si="37"/>
        <v>2.6304924862844414</v>
      </c>
      <c r="W171" s="2284">
        <f>U171</f>
        <v>2.6946508396084523</v>
      </c>
      <c r="X171" s="2286">
        <f>W171*1.05</f>
        <v>2.8293833815888751</v>
      </c>
      <c r="Y171" s="2258">
        <f t="shared" si="38"/>
        <v>2.7620171105986637</v>
      </c>
      <c r="Z171" s="2284">
        <f>X171</f>
        <v>2.8293833815888751</v>
      </c>
      <c r="AA171" s="2286">
        <f>Z171*1.05</f>
        <v>2.9708525506683192</v>
      </c>
      <c r="AB171" s="2259">
        <f t="shared" si="39"/>
        <v>2.9001179661285974</v>
      </c>
      <c r="AC171" s="2606"/>
      <c r="AD171" s="2606"/>
      <c r="AE171" s="2606"/>
      <c r="AF171" s="2593"/>
      <c r="AG171" s="2593"/>
      <c r="AH171" s="2593"/>
      <c r="AI171" s="2593"/>
      <c r="AJ171" s="2593"/>
    </row>
    <row r="172" spans="1:36" s="2218" customFormat="1" ht="18.75" hidden="1" customHeight="1" outlineLevel="2">
      <c r="A172" s="2235">
        <v>237</v>
      </c>
      <c r="B172" s="2279"/>
      <c r="C172" s="2280" t="s">
        <v>1961</v>
      </c>
      <c r="D172" s="2500" t="s">
        <v>1317</v>
      </c>
      <c r="E172" s="2255">
        <f>E173*E174</f>
        <v>0</v>
      </c>
      <c r="F172" s="2256">
        <f>F173*F174</f>
        <v>0</v>
      </c>
      <c r="G172" s="2257">
        <f t="shared" si="32"/>
        <v>0</v>
      </c>
      <c r="H172" s="2256">
        <f>H173*H174</f>
        <v>0</v>
      </c>
      <c r="I172" s="2256">
        <f>I173*I174</f>
        <v>0</v>
      </c>
      <c r="J172" s="2257">
        <f t="shared" si="33"/>
        <v>0</v>
      </c>
      <c r="K172" s="2256">
        <f>K173*K174</f>
        <v>0</v>
      </c>
      <c r="L172" s="2256">
        <f>L173*L174</f>
        <v>0</v>
      </c>
      <c r="M172" s="2259">
        <f t="shared" si="34"/>
        <v>0</v>
      </c>
      <c r="N172" s="2255">
        <f>'2024 Калуга+область транспортир'!Z171+'2024 Калуга+область перекачка'!Z171+'2024 Калуга+область очистка'!Z171</f>
        <v>0</v>
      </c>
      <c r="O172" s="2260">
        <f>'2024 Калуга+область транспортир'!AA171+'2024 Калуга+область перекачка'!AA171+'2024 Калуга+область очистка'!AA171</f>
        <v>0</v>
      </c>
      <c r="P172" s="2258">
        <f t="shared" si="35"/>
        <v>0</v>
      </c>
      <c r="Q172" s="2255">
        <f>Q173*Q174</f>
        <v>0</v>
      </c>
      <c r="R172" s="2260">
        <f>R173*R174</f>
        <v>0</v>
      </c>
      <c r="S172" s="2259">
        <f t="shared" si="36"/>
        <v>0</v>
      </c>
      <c r="T172" s="2255">
        <f>T173*T174</f>
        <v>0</v>
      </c>
      <c r="U172" s="2260">
        <f>U173*U174</f>
        <v>0</v>
      </c>
      <c r="V172" s="2258">
        <f t="shared" si="37"/>
        <v>0</v>
      </c>
      <c r="W172" s="2255">
        <f>W173*W174</f>
        <v>0</v>
      </c>
      <c r="X172" s="2260">
        <f>X173*X174</f>
        <v>0</v>
      </c>
      <c r="Y172" s="2258">
        <f t="shared" si="38"/>
        <v>0</v>
      </c>
      <c r="Z172" s="2255">
        <f>Z173*Z174</f>
        <v>0</v>
      </c>
      <c r="AA172" s="2260">
        <f>AA173*AA174</f>
        <v>0</v>
      </c>
      <c r="AB172" s="2259">
        <f t="shared" si="39"/>
        <v>0</v>
      </c>
      <c r="AC172" s="2606"/>
      <c r="AD172" s="2606"/>
      <c r="AE172" s="2606"/>
      <c r="AF172" s="2593"/>
      <c r="AG172" s="2593"/>
      <c r="AH172" s="2593"/>
      <c r="AI172" s="2593"/>
      <c r="AJ172" s="2593"/>
    </row>
    <row r="173" spans="1:36" s="2218" customFormat="1" ht="21" hidden="1" customHeight="1" outlineLevel="2">
      <c r="A173" s="2235">
        <v>248</v>
      </c>
      <c r="B173" s="2281" t="s">
        <v>1974</v>
      </c>
      <c r="C173" s="2282" t="s">
        <v>1929</v>
      </c>
      <c r="D173" s="2504" t="s">
        <v>1951</v>
      </c>
      <c r="E173" s="2284"/>
      <c r="F173" s="2285"/>
      <c r="G173" s="2257">
        <f t="shared" si="32"/>
        <v>0</v>
      </c>
      <c r="H173" s="2285"/>
      <c r="I173" s="2285"/>
      <c r="J173" s="2257">
        <f t="shared" si="33"/>
        <v>0</v>
      </c>
      <c r="K173" s="2285"/>
      <c r="L173" s="2285"/>
      <c r="M173" s="2259">
        <f t="shared" si="34"/>
        <v>0</v>
      </c>
      <c r="N173" s="2255">
        <f>'2024 Калуга+область транспортир'!Z172+'2024 Калуга+область перекачка'!Z172+'2024 Калуга+область очистка'!Z172</f>
        <v>0</v>
      </c>
      <c r="O173" s="2260">
        <f>'2024 Калуга+область транспортир'!AA172+'2024 Калуга+область перекачка'!AA172+'2024 Калуга+область очистка'!AA172</f>
        <v>0</v>
      </c>
      <c r="P173" s="2258">
        <f t="shared" si="35"/>
        <v>0</v>
      </c>
      <c r="Q173" s="2284"/>
      <c r="R173" s="2286"/>
      <c r="S173" s="2259">
        <f t="shared" si="36"/>
        <v>0</v>
      </c>
      <c r="T173" s="2284"/>
      <c r="U173" s="2286"/>
      <c r="V173" s="2258">
        <f t="shared" si="37"/>
        <v>0</v>
      </c>
      <c r="W173" s="2284"/>
      <c r="X173" s="2286"/>
      <c r="Y173" s="2258">
        <f t="shared" si="38"/>
        <v>0</v>
      </c>
      <c r="Z173" s="2284"/>
      <c r="AA173" s="2286"/>
      <c r="AB173" s="2259">
        <f t="shared" si="39"/>
        <v>0</v>
      </c>
      <c r="AC173" s="2606"/>
      <c r="AD173" s="2606"/>
      <c r="AE173" s="2606"/>
      <c r="AF173" s="2593"/>
      <c r="AG173" s="2593"/>
      <c r="AH173" s="2593"/>
      <c r="AI173" s="2593"/>
      <c r="AJ173" s="2593"/>
    </row>
    <row r="174" spans="1:36" s="2218" customFormat="1" ht="21" hidden="1" customHeight="1" outlineLevel="2" thickBot="1">
      <c r="A174" s="2235">
        <v>249</v>
      </c>
      <c r="B174" s="2297" t="s">
        <v>1975</v>
      </c>
      <c r="C174" s="2298" t="s">
        <v>1967</v>
      </c>
      <c r="D174" s="2507" t="s">
        <v>1954</v>
      </c>
      <c r="E174" s="2300"/>
      <c r="F174" s="2301"/>
      <c r="G174" s="2266">
        <f t="shared" si="32"/>
        <v>0</v>
      </c>
      <c r="H174" s="2301"/>
      <c r="I174" s="2301"/>
      <c r="J174" s="2266">
        <f t="shared" si="33"/>
        <v>0</v>
      </c>
      <c r="K174" s="2301"/>
      <c r="L174" s="2301"/>
      <c r="M174" s="2268">
        <f t="shared" si="34"/>
        <v>0</v>
      </c>
      <c r="N174" s="2300"/>
      <c r="O174" s="2302"/>
      <c r="P174" s="2267">
        <f t="shared" si="35"/>
        <v>0</v>
      </c>
      <c r="Q174" s="2300"/>
      <c r="R174" s="2302"/>
      <c r="S174" s="2268">
        <f t="shared" si="36"/>
        <v>0</v>
      </c>
      <c r="T174" s="2300"/>
      <c r="U174" s="2302"/>
      <c r="V174" s="2267">
        <f t="shared" si="37"/>
        <v>0</v>
      </c>
      <c r="W174" s="2300"/>
      <c r="X174" s="2302"/>
      <c r="Y174" s="2267">
        <f t="shared" si="38"/>
        <v>0</v>
      </c>
      <c r="Z174" s="2300"/>
      <c r="AA174" s="2302"/>
      <c r="AB174" s="2268">
        <f t="shared" si="39"/>
        <v>0</v>
      </c>
      <c r="AC174" s="2606"/>
      <c r="AD174" s="2606"/>
      <c r="AE174" s="2606"/>
      <c r="AF174" s="2593"/>
      <c r="AG174" s="2593"/>
      <c r="AH174" s="2593"/>
      <c r="AI174" s="2593"/>
      <c r="AJ174" s="2593"/>
    </row>
    <row r="175" spans="1:36" s="2218" customFormat="1" ht="28.5" customHeight="1" outlineLevel="1" collapsed="1" thickBot="1">
      <c r="A175" s="2235">
        <v>255</v>
      </c>
      <c r="B175" s="2378" t="s">
        <v>1181</v>
      </c>
      <c r="C175" s="2318" t="s">
        <v>1976</v>
      </c>
      <c r="D175" s="2542" t="s">
        <v>1313</v>
      </c>
      <c r="E175" s="2070">
        <f>E176+E208+E218+E224+E225+E226+E230+E207+E233+E234+E235</f>
        <v>28895.950329566491</v>
      </c>
      <c r="F175" s="2070">
        <f>F176+F208+F218+F224+F225+F226+F230+F207+F233+F234+F235</f>
        <v>30023.574479762574</v>
      </c>
      <c r="G175" s="2071">
        <f t="shared" si="32"/>
        <v>29459.762404664532</v>
      </c>
      <c r="H175" s="2070">
        <f>H176+H208+H218+H224+H225+H226+H230+H207+H233+H234+H235</f>
        <v>29549.966559441658</v>
      </c>
      <c r="I175" s="2070">
        <f>I176+I208+I218+I224+I225+I226+I230+I207+I233+I234+I235</f>
        <v>30410.806817865305</v>
      </c>
      <c r="J175" s="2071">
        <f t="shared" si="33"/>
        <v>29980.386688653482</v>
      </c>
      <c r="K175" s="2070">
        <f>K176+K208+K218+K224+K225+K226+K230+K207+K233+K234+K235</f>
        <v>28626.287975715753</v>
      </c>
      <c r="L175" s="2070">
        <f>L176+L208+L218+L224+L225+L226+L230+L207+L233+L234+L235</f>
        <v>29339.961907045803</v>
      </c>
      <c r="M175" s="2071">
        <f t="shared" si="34"/>
        <v>28983.124941380778</v>
      </c>
      <c r="N175" s="2070">
        <f>N176+N208+N218+N224+N225+N226+N230+N207+N233+N234+N235</f>
        <v>126459.84385546182</v>
      </c>
      <c r="O175" s="2380">
        <f>O176+O208+O218+O224+O225+O226+O230+O207+O233+O234+O235</f>
        <v>158698.36819052053</v>
      </c>
      <c r="P175" s="2080">
        <f t="shared" si="35"/>
        <v>142579.10602299118</v>
      </c>
      <c r="Q175" s="2070">
        <f>Q176+Q208+Q218+Q224+Q225+Q226+Q230+Q207+Q233+Q234+Q235</f>
        <v>158698.36819052053</v>
      </c>
      <c r="R175" s="2380">
        <f>R176+R208+R218+R224+R225+R226+R230+R207+R233+R234+R235</f>
        <v>167095.80111096526</v>
      </c>
      <c r="S175" s="2071">
        <f t="shared" si="36"/>
        <v>162897.08465074288</v>
      </c>
      <c r="T175" s="2070">
        <f>T176+T208+T218+T224+T225+T226+T230+T207+T233+T234+T235</f>
        <v>167095.80111096526</v>
      </c>
      <c r="U175" s="2380">
        <f>U176+U208+U218+U224+U225+U226+U230+U207+U233+U234+U235</f>
        <v>175943.75267613924</v>
      </c>
      <c r="V175" s="2080">
        <f t="shared" si="37"/>
        <v>171519.77689355225</v>
      </c>
      <c r="W175" s="2070">
        <f>W176+W208+W218+W224+W225+W226+W230+W207+W233+W234+W235</f>
        <v>175943.86021704163</v>
      </c>
      <c r="X175" s="2380">
        <f>X176+X208+X218+X224+X225+X226+X230+X207+X233+X234+X235</f>
        <v>185261.60848294169</v>
      </c>
      <c r="Y175" s="2080">
        <f t="shared" si="38"/>
        <v>180602.73434999166</v>
      </c>
      <c r="Z175" s="2070">
        <f>Z176+Z208+Z218+Z224+Z225+Z226+Z230+Z207+Z233+Z234+Z235</f>
        <v>185261.61786832954</v>
      </c>
      <c r="AA175" s="2380">
        <f>AA176+AA208+AA218+AA224+AA225+AA226+AA230+AA207+AA233+AA234+AA235</f>
        <v>195074.17889205145</v>
      </c>
      <c r="AB175" s="2071">
        <f t="shared" si="39"/>
        <v>190167.89838019048</v>
      </c>
      <c r="AC175" s="2606"/>
      <c r="AD175" s="2606"/>
      <c r="AE175" s="2606"/>
      <c r="AF175" s="2593"/>
      <c r="AG175" s="2593"/>
      <c r="AH175" s="2593"/>
      <c r="AI175" s="2593"/>
      <c r="AJ175" s="2593"/>
    </row>
    <row r="176" spans="1:36" s="2218" customFormat="1" ht="94.5" outlineLevel="1">
      <c r="A176" s="2235">
        <v>256</v>
      </c>
      <c r="B176" s="2243" t="s">
        <v>1977</v>
      </c>
      <c r="C176" s="2278" t="s">
        <v>1774</v>
      </c>
      <c r="D176" s="2499" t="s">
        <v>1313</v>
      </c>
      <c r="E176" s="2246">
        <f>E177+E188+E192+E195+E198+E199+E200+E201+E204+E191</f>
        <v>28190.60375490196</v>
      </c>
      <c r="F176" s="2246">
        <f>F177+F188+F192+F195+F198+F199+F200+F201+F204+F191</f>
        <v>29318.22790509804</v>
      </c>
      <c r="G176" s="2248">
        <f t="shared" si="32"/>
        <v>28754.415829999998</v>
      </c>
      <c r="H176" s="2246">
        <f>H177+H188+H192+H195+H198+H199+H200+H201+H204+H191</f>
        <v>28694.675280788182</v>
      </c>
      <c r="I176" s="2246">
        <f>I177+I188+I192+I195+I198+I199+I200+I201+I204+I191</f>
        <v>29555.515539211829</v>
      </c>
      <c r="J176" s="2248">
        <f t="shared" si="33"/>
        <v>29125.095410000005</v>
      </c>
      <c r="K176" s="2246">
        <f>K177+K188+K192+K195+K198+K199+K200+K201+K204+K191</f>
        <v>23789.131044335023</v>
      </c>
      <c r="L176" s="2246">
        <f>L177+L188+L192+L195+L198+L199+L200+L201+L204+L191</f>
        <v>24502.804975665073</v>
      </c>
      <c r="M176" s="2250">
        <f t="shared" si="34"/>
        <v>24145.968010000048</v>
      </c>
      <c r="N176" s="2246">
        <f>N177+N188+N192+N195+N198+N199+N200+N201+N204+N191</f>
        <v>125484.15228753153</v>
      </c>
      <c r="O176" s="2251">
        <f>O177+O188+O192+O195+O198+O199+O200+O201+O204+O191</f>
        <v>155187.32200877948</v>
      </c>
      <c r="P176" s="2249">
        <f t="shared" si="35"/>
        <v>140335.73714815552</v>
      </c>
      <c r="Q176" s="2246">
        <f>O176</f>
        <v>155187.32200877948</v>
      </c>
      <c r="R176" s="2251">
        <f>R177+R188+R192+R195+R198+R199+R200+R201+R204+R191</f>
        <v>163444.31308195458</v>
      </c>
      <c r="S176" s="2250">
        <f t="shared" si="36"/>
        <v>159315.81754536703</v>
      </c>
      <c r="T176" s="2246">
        <f>R176</f>
        <v>163444.31308195458</v>
      </c>
      <c r="U176" s="2251">
        <f>U177+U188+U192+U195+U198+U199+U200+U201+U204+U191</f>
        <v>172146.20512596815</v>
      </c>
      <c r="V176" s="2249">
        <f t="shared" si="37"/>
        <v>167795.25910396135</v>
      </c>
      <c r="W176" s="2246">
        <f>U176</f>
        <v>172146.20512596815</v>
      </c>
      <c r="X176" s="2551">
        <f>X177+X188+X192+X195+X198+X199+X200+X201+X204+X191</f>
        <v>181312.05148986133</v>
      </c>
      <c r="Y176" s="2249">
        <f t="shared" si="38"/>
        <v>176729.12830791474</v>
      </c>
      <c r="Z176" s="2246">
        <f>X176</f>
        <v>181312.05148986133</v>
      </c>
      <c r="AA176" s="2551">
        <f>AA177+AA188+AA192+AA195+AA198+AA199+AA200+AA201+AA204+AA191</f>
        <v>190966.63453549612</v>
      </c>
      <c r="AB176" s="2250">
        <f t="shared" si="39"/>
        <v>186139.34301267873</v>
      </c>
      <c r="AC176" s="2606"/>
      <c r="AD176" s="2606"/>
      <c r="AE176" s="2606"/>
      <c r="AF176" s="2593"/>
      <c r="AG176" s="2593"/>
      <c r="AH176" s="2593"/>
      <c r="AI176" s="2593"/>
      <c r="AJ176" s="2593"/>
    </row>
    <row r="177" spans="1:36" s="2218" customFormat="1" ht="16.5" customHeight="1" outlineLevel="1">
      <c r="A177" s="2235">
        <v>333</v>
      </c>
      <c r="B177" s="2279" t="s">
        <v>1978</v>
      </c>
      <c r="C177" s="2280" t="s">
        <v>1979</v>
      </c>
      <c r="D177" s="2500"/>
      <c r="E177" s="2255">
        <f>E178+E181+E184+E187</f>
        <v>0</v>
      </c>
      <c r="F177" s="2256">
        <f>F178+F181+F184+F187</f>
        <v>0</v>
      </c>
      <c r="G177" s="2257">
        <f t="shared" si="32"/>
        <v>0</v>
      </c>
      <c r="H177" s="2256">
        <f>H178+H181+H184+H187</f>
        <v>0</v>
      </c>
      <c r="I177" s="2256">
        <f>I178+I181+I184+I187</f>
        <v>0</v>
      </c>
      <c r="J177" s="2257">
        <f t="shared" si="33"/>
        <v>0</v>
      </c>
      <c r="K177" s="2256">
        <f>K178+K181+K184+K187</f>
        <v>0</v>
      </c>
      <c r="L177" s="2256">
        <f>L178+L181+L184+L187</f>
        <v>0</v>
      </c>
      <c r="M177" s="2259">
        <f t="shared" si="34"/>
        <v>0</v>
      </c>
      <c r="N177" s="2255">
        <f>N178+N181+N184+N187</f>
        <v>1696.0964192663744</v>
      </c>
      <c r="O177" s="2260">
        <f>O178+O181+O184+O187</f>
        <v>1886.0592182242085</v>
      </c>
      <c r="P177" s="2258">
        <f t="shared" si="35"/>
        <v>1791.0778187452916</v>
      </c>
      <c r="Q177" s="2255">
        <f>Q178+Q181+Q184+Q187</f>
        <v>1886.0592182242083</v>
      </c>
      <c r="R177" s="2260">
        <f>R178+R181+R184+R187</f>
        <v>2018.083363499903</v>
      </c>
      <c r="S177" s="2259">
        <f t="shared" si="36"/>
        <v>1952.0712908620558</v>
      </c>
      <c r="T177" s="2255">
        <f>T178+T181+T184+T187</f>
        <v>2018.083363499903</v>
      </c>
      <c r="U177" s="2260">
        <f>U178+U181+U184+U187</f>
        <v>2159.3491989448962</v>
      </c>
      <c r="V177" s="2258">
        <f t="shared" si="37"/>
        <v>2088.7162812223996</v>
      </c>
      <c r="W177" s="2255">
        <f>W178+W181+W184+W187</f>
        <v>2159.3491989448962</v>
      </c>
      <c r="X177" s="2260">
        <f>X178+X181+X184+X187</f>
        <v>2310.5036428710391</v>
      </c>
      <c r="Y177" s="2258">
        <f t="shared" si="38"/>
        <v>2234.9264209079674</v>
      </c>
      <c r="Z177" s="2255">
        <f>Z178+Z181+Z184+Z187</f>
        <v>2310.5036428710391</v>
      </c>
      <c r="AA177" s="2260">
        <f>AA178+AA181+AA184+AA187</f>
        <v>2472.2388978720119</v>
      </c>
      <c r="AB177" s="2259">
        <f t="shared" si="39"/>
        <v>2391.3712703715255</v>
      </c>
      <c r="AC177" s="2606"/>
      <c r="AD177" s="2606"/>
      <c r="AE177" s="2606"/>
      <c r="AF177" s="2593"/>
      <c r="AG177" s="2593"/>
      <c r="AH177" s="2593"/>
      <c r="AI177" s="2593"/>
      <c r="AJ177" s="2593"/>
    </row>
    <row r="178" spans="1:36" s="2218" customFormat="1" ht="22.5" customHeight="1" outlineLevel="1">
      <c r="A178" s="2235">
        <v>334</v>
      </c>
      <c r="B178" s="2279" t="s">
        <v>1980</v>
      </c>
      <c r="C178" s="2280" t="s">
        <v>1981</v>
      </c>
      <c r="D178" s="2500"/>
      <c r="E178" s="2255">
        <f>E179*E180</f>
        <v>0</v>
      </c>
      <c r="F178" s="2256">
        <f>F179*F180</f>
        <v>0</v>
      </c>
      <c r="G178" s="2257">
        <f t="shared" si="32"/>
        <v>0</v>
      </c>
      <c r="H178" s="2256">
        <f>H179*H180</f>
        <v>0</v>
      </c>
      <c r="I178" s="2256">
        <f>I179*I180</f>
        <v>0</v>
      </c>
      <c r="J178" s="2257">
        <f t="shared" si="33"/>
        <v>0</v>
      </c>
      <c r="K178" s="2256">
        <f>K179*K180</f>
        <v>0</v>
      </c>
      <c r="L178" s="2256">
        <f>L179*L180</f>
        <v>0</v>
      </c>
      <c r="M178" s="2259">
        <f t="shared" si="34"/>
        <v>0</v>
      </c>
      <c r="N178" s="2255">
        <f>'[11]НВВ 26.09.23.'!N178+'[12]НВВ 26.09.'!N178+'[13]НВВ 26.09.23.'!N178</f>
        <v>1696.0964192663744</v>
      </c>
      <c r="O178" s="2260">
        <f>'[11]НВВ 26.09.23.'!O178+'[12]НВВ 26.09.'!O178+'[13]НВВ 26.09.23.'!O178</f>
        <v>1886.0592182242085</v>
      </c>
      <c r="P178" s="2258">
        <f t="shared" si="35"/>
        <v>1791.0778187452916</v>
      </c>
      <c r="Q178" s="2255">
        <f>'[11]НВВ 26.09.23.'!Q178+'[12]НВВ 26.09.'!Q178+'[13]НВВ 26.09.23.'!Q178</f>
        <v>1886.0592182242083</v>
      </c>
      <c r="R178" s="2260">
        <f>'[11]НВВ 26.09.23.'!R178+'[12]НВВ 26.09.'!R178+'[13]НВВ 26.09.23.'!R178</f>
        <v>2018.083363499903</v>
      </c>
      <c r="S178" s="2259">
        <f t="shared" si="36"/>
        <v>1952.0712908620558</v>
      </c>
      <c r="T178" s="2255">
        <f>'[11]НВВ 26.09.23.'!T178+'[12]НВВ 26.09.'!T178+'[13]НВВ 26.09.23.'!T178</f>
        <v>2018.083363499903</v>
      </c>
      <c r="U178" s="2260">
        <f>'[11]НВВ 26.09.23.'!U178+'[12]НВВ 26.09.'!U178+'[13]НВВ 26.09.23.'!U178</f>
        <v>2159.3491989448962</v>
      </c>
      <c r="V178" s="2258">
        <f t="shared" si="37"/>
        <v>2088.7162812223996</v>
      </c>
      <c r="W178" s="2255">
        <f>'[11]НВВ 26.09.23.'!W178+'[12]НВВ 26.09.'!W178+'[13]НВВ 26.09.23.'!W178</f>
        <v>2159.3491989448962</v>
      </c>
      <c r="X178" s="2260">
        <f>'[11]НВВ 26.09.23.'!X178+'[12]НВВ 26.09.'!X178+'[13]НВВ 26.09.23.'!X178</f>
        <v>2310.5036428710391</v>
      </c>
      <c r="Y178" s="2258">
        <f t="shared" si="38"/>
        <v>2234.9264209079674</v>
      </c>
      <c r="Z178" s="2255">
        <f>'[11]НВВ 26.09.23.'!Z178+'[12]НВВ 26.09.'!Z178+'[13]НВВ 26.09.23.'!Z178</f>
        <v>2310.5036428710391</v>
      </c>
      <c r="AA178" s="2260">
        <f>'[11]НВВ 26.09.23.'!AA178+'[12]НВВ 26.09.'!AA178+'[13]НВВ 26.09.23.'!AA178</f>
        <v>2472.2388978720119</v>
      </c>
      <c r="AB178" s="2259">
        <f t="shared" si="39"/>
        <v>2391.3712703715255</v>
      </c>
      <c r="AC178" s="2606"/>
      <c r="AD178" s="2606"/>
      <c r="AE178" s="2606"/>
      <c r="AF178" s="2593"/>
      <c r="AG178" s="2593"/>
      <c r="AH178" s="2593"/>
      <c r="AI178" s="2593"/>
      <c r="AJ178" s="2593"/>
    </row>
    <row r="179" spans="1:36" s="2218" customFormat="1" outlineLevel="1">
      <c r="A179" s="2235">
        <v>337</v>
      </c>
      <c r="B179" s="2281" t="s">
        <v>1982</v>
      </c>
      <c r="C179" s="2282" t="s">
        <v>1327</v>
      </c>
      <c r="D179" s="2504" t="s">
        <v>1983</v>
      </c>
      <c r="E179" s="2284"/>
      <c r="F179" s="2285"/>
      <c r="G179" s="2257">
        <f t="shared" si="32"/>
        <v>0</v>
      </c>
      <c r="H179" s="2285"/>
      <c r="I179" s="2285"/>
      <c r="J179" s="2257">
        <f t="shared" si="33"/>
        <v>0</v>
      </c>
      <c r="K179" s="2296"/>
      <c r="L179" s="2296"/>
      <c r="M179" s="2259">
        <f t="shared" si="34"/>
        <v>0</v>
      </c>
      <c r="N179" s="2255">
        <f>'[11]НВВ 26.09.23.'!N179+'[12]НВВ 26.09.'!N179+'[13]НВВ 26.09.23.'!N179</f>
        <v>215.8145200002987</v>
      </c>
      <c r="O179" s="2260">
        <f>'[11]НВВ 26.09.23.'!O179+'[12]НВВ 26.09.'!O179+'[13]НВВ 26.09.23.'!O179</f>
        <v>215.8145200002987</v>
      </c>
      <c r="P179" s="2258">
        <f t="shared" si="35"/>
        <v>215.8145200002987</v>
      </c>
      <c r="Q179" s="2255">
        <f>'[11]НВВ 26.09.23.'!Q179+'[12]НВВ 26.09.'!Q179+'[13]НВВ 26.09.23.'!Q179</f>
        <v>215.8145200002987</v>
      </c>
      <c r="R179" s="2260">
        <f>'[11]НВВ 26.09.23.'!R179+'[12]НВВ 26.09.'!R179+'[13]НВВ 26.09.23.'!R179</f>
        <v>215.8145200002987</v>
      </c>
      <c r="S179" s="2259">
        <f t="shared" si="36"/>
        <v>215.8145200002987</v>
      </c>
      <c r="T179" s="2255">
        <f>'[11]НВВ 26.09.23.'!T179+'[12]НВВ 26.09.'!T179+'[13]НВВ 26.09.23.'!T179</f>
        <v>215.8145200002987</v>
      </c>
      <c r="U179" s="2260">
        <f>'[11]НВВ 26.09.23.'!U179+'[12]НВВ 26.09.'!U179+'[13]НВВ 26.09.23.'!U179</f>
        <v>215.8145200002987</v>
      </c>
      <c r="V179" s="2258">
        <f t="shared" si="37"/>
        <v>215.8145200002987</v>
      </c>
      <c r="W179" s="2255">
        <f>'[11]НВВ 26.09.23.'!W179+'[12]НВВ 26.09.'!W179+'[13]НВВ 26.09.23.'!W179</f>
        <v>215.8145200002987</v>
      </c>
      <c r="X179" s="2260">
        <f>'[11]НВВ 26.09.23.'!X179+'[12]НВВ 26.09.'!X179+'[13]НВВ 26.09.23.'!X179</f>
        <v>215.8145200002987</v>
      </c>
      <c r="Y179" s="2258">
        <f t="shared" si="38"/>
        <v>215.8145200002987</v>
      </c>
      <c r="Z179" s="2255">
        <f>'[11]НВВ 26.09.23.'!Z179+'[12]НВВ 26.09.'!Z179+'[13]НВВ 26.09.23.'!Z179</f>
        <v>215.8145200002987</v>
      </c>
      <c r="AA179" s="2260">
        <f>'[11]НВВ 26.09.23.'!AA179+'[12]НВВ 26.09.'!AA179+'[13]НВВ 26.09.23.'!AA179</f>
        <v>215.8145200002987</v>
      </c>
      <c r="AB179" s="2259">
        <f t="shared" si="39"/>
        <v>215.8145200002987</v>
      </c>
      <c r="AC179" s="2606"/>
      <c r="AD179" s="2606"/>
      <c r="AE179" s="2606"/>
      <c r="AF179" s="2593"/>
      <c r="AG179" s="2593"/>
      <c r="AH179" s="2593"/>
      <c r="AI179" s="2593"/>
      <c r="AJ179" s="2593"/>
    </row>
    <row r="180" spans="1:36" s="2218" customFormat="1" outlineLevel="1">
      <c r="A180" s="2235">
        <v>338</v>
      </c>
      <c r="B180" s="2281" t="s">
        <v>1985</v>
      </c>
      <c r="C180" s="2282" t="s">
        <v>1330</v>
      </c>
      <c r="D180" s="2504" t="s">
        <v>1986</v>
      </c>
      <c r="E180" s="2284"/>
      <c r="F180" s="2285"/>
      <c r="G180" s="2257">
        <f t="shared" si="32"/>
        <v>0</v>
      </c>
      <c r="H180" s="2285"/>
      <c r="I180" s="2285"/>
      <c r="J180" s="2257">
        <f t="shared" si="33"/>
        <v>0</v>
      </c>
      <c r="K180" s="2285"/>
      <c r="L180" s="2285"/>
      <c r="M180" s="2259">
        <f t="shared" si="34"/>
        <v>0</v>
      </c>
      <c r="N180" s="2284">
        <f>N178-N179</f>
        <v>1480.2818992660757</v>
      </c>
      <c r="O180" s="2286">
        <f>O178-O179</f>
        <v>1670.2446982239098</v>
      </c>
      <c r="P180" s="2258">
        <f t="shared" si="35"/>
        <v>1575.2632987449929</v>
      </c>
      <c r="Q180" s="2284">
        <f>O180</f>
        <v>1670.2446982239098</v>
      </c>
      <c r="R180" s="2286">
        <f>Q180*1.07</f>
        <v>1787.1618270995837</v>
      </c>
      <c r="S180" s="2259">
        <f t="shared" si="36"/>
        <v>1728.7032626617467</v>
      </c>
      <c r="T180" s="2284">
        <f>R180</f>
        <v>1787.1618270995837</v>
      </c>
      <c r="U180" s="2286">
        <f>T180*1.07</f>
        <v>1912.2631549965547</v>
      </c>
      <c r="V180" s="2258">
        <f t="shared" si="37"/>
        <v>1849.7124910480693</v>
      </c>
      <c r="W180" s="2284">
        <f>U180</f>
        <v>1912.2631549965547</v>
      </c>
      <c r="X180" s="2286">
        <f>W180*1.07</f>
        <v>2046.1215758463136</v>
      </c>
      <c r="Y180" s="2258">
        <f t="shared" si="38"/>
        <v>1979.1923654214343</v>
      </c>
      <c r="Z180" s="2284">
        <f>X180</f>
        <v>2046.1215758463136</v>
      </c>
      <c r="AA180" s="2286">
        <f>Z180*1.07</f>
        <v>2189.3500861555558</v>
      </c>
      <c r="AB180" s="2259">
        <f t="shared" si="39"/>
        <v>2117.7358310009349</v>
      </c>
      <c r="AC180" s="2606"/>
      <c r="AD180" s="2606"/>
      <c r="AE180" s="2606"/>
      <c r="AF180" s="2593"/>
      <c r="AG180" s="2593"/>
      <c r="AH180" s="2593"/>
      <c r="AI180" s="2593"/>
      <c r="AJ180" s="2593"/>
    </row>
    <row r="181" spans="1:36" s="2218" customFormat="1" ht="29.25" hidden="1" customHeight="1" outlineLevel="2">
      <c r="A181" s="2235">
        <v>335</v>
      </c>
      <c r="B181" s="2279" t="s">
        <v>1988</v>
      </c>
      <c r="C181" s="2280" t="s">
        <v>1989</v>
      </c>
      <c r="D181" s="2500"/>
      <c r="E181" s="2255">
        <f>E182*E183</f>
        <v>0</v>
      </c>
      <c r="F181" s="2256">
        <f>F182*F183</f>
        <v>0</v>
      </c>
      <c r="G181" s="2257">
        <f t="shared" si="32"/>
        <v>0</v>
      </c>
      <c r="H181" s="2256">
        <f>H182*H183</f>
        <v>0</v>
      </c>
      <c r="I181" s="2256">
        <f>I182*I183</f>
        <v>0</v>
      </c>
      <c r="J181" s="2257">
        <f t="shared" si="33"/>
        <v>0</v>
      </c>
      <c r="K181" s="2256">
        <f>K182*K183</f>
        <v>0</v>
      </c>
      <c r="L181" s="2256">
        <f>L182*L183</f>
        <v>0</v>
      </c>
      <c r="M181" s="2259">
        <f t="shared" si="34"/>
        <v>0</v>
      </c>
      <c r="N181" s="2255">
        <f>'2024 Калуга+область транспортир'!Z180+'2024 Калуга+область перекачка'!Z180+'2024 Калуга+область очистка'!Z180</f>
        <v>0</v>
      </c>
      <c r="O181" s="2260">
        <f>'2024 Калуга+область транспортир'!AA180+'2024 Калуга+область перекачка'!AA180+'2024 Калуга+область очистка'!AA180</f>
        <v>0</v>
      </c>
      <c r="P181" s="2258">
        <f t="shared" si="35"/>
        <v>0</v>
      </c>
      <c r="Q181" s="2255">
        <f>Q182*Q183</f>
        <v>0</v>
      </c>
      <c r="R181" s="2260">
        <f>R182*R183</f>
        <v>0</v>
      </c>
      <c r="S181" s="2259">
        <f t="shared" si="36"/>
        <v>0</v>
      </c>
      <c r="T181" s="2255">
        <f>T182*T183</f>
        <v>0</v>
      </c>
      <c r="U181" s="2260">
        <f>U182*U183</f>
        <v>0</v>
      </c>
      <c r="V181" s="2258">
        <f t="shared" si="37"/>
        <v>0</v>
      </c>
      <c r="W181" s="2255">
        <f>W182*W183</f>
        <v>0</v>
      </c>
      <c r="X181" s="2260">
        <f>X182*X183</f>
        <v>0</v>
      </c>
      <c r="Y181" s="2258">
        <f t="shared" si="38"/>
        <v>0</v>
      </c>
      <c r="Z181" s="2255">
        <f>Z182*Z183</f>
        <v>0</v>
      </c>
      <c r="AA181" s="2260">
        <f>AA182*AA183</f>
        <v>0</v>
      </c>
      <c r="AB181" s="2259">
        <f t="shared" si="39"/>
        <v>0</v>
      </c>
      <c r="AC181" s="2606"/>
      <c r="AD181" s="2606"/>
      <c r="AE181" s="2606"/>
      <c r="AF181" s="2593"/>
      <c r="AG181" s="2593"/>
      <c r="AH181" s="2593"/>
      <c r="AI181" s="2593"/>
      <c r="AJ181" s="2593"/>
    </row>
    <row r="182" spans="1:36" s="2218" customFormat="1" ht="24" hidden="1" customHeight="1" outlineLevel="2">
      <c r="A182" s="2235">
        <v>339</v>
      </c>
      <c r="B182" s="2281" t="s">
        <v>1990</v>
      </c>
      <c r="C182" s="2282" t="s">
        <v>1327</v>
      </c>
      <c r="D182" s="2504" t="s">
        <v>1991</v>
      </c>
      <c r="E182" s="2284"/>
      <c r="F182" s="2285"/>
      <c r="G182" s="2257">
        <f t="shared" si="32"/>
        <v>0</v>
      </c>
      <c r="H182" s="2285"/>
      <c r="I182" s="2285"/>
      <c r="J182" s="2257">
        <f t="shared" si="33"/>
        <v>0</v>
      </c>
      <c r="K182" s="2285"/>
      <c r="L182" s="2285"/>
      <c r="M182" s="2259">
        <f t="shared" si="34"/>
        <v>0</v>
      </c>
      <c r="N182" s="2255">
        <f>'2024 Калуга+область транспортир'!Z181+'2024 Калуга+область перекачка'!Z181+'2024 Калуга+область очистка'!Z181</f>
        <v>0</v>
      </c>
      <c r="O182" s="2260">
        <f>'2024 Калуга+область транспортир'!AA181+'2024 Калуга+область перекачка'!AA181+'2024 Калуга+область очистка'!AA181</f>
        <v>0</v>
      </c>
      <c r="P182" s="2258">
        <f t="shared" si="35"/>
        <v>0</v>
      </c>
      <c r="Q182" s="2284"/>
      <c r="R182" s="2286"/>
      <c r="S182" s="2259">
        <f t="shared" si="36"/>
        <v>0</v>
      </c>
      <c r="T182" s="2284"/>
      <c r="U182" s="2286"/>
      <c r="V182" s="2258">
        <f t="shared" si="37"/>
        <v>0</v>
      </c>
      <c r="W182" s="2284"/>
      <c r="X182" s="2286"/>
      <c r="Y182" s="2258">
        <f t="shared" si="38"/>
        <v>0</v>
      </c>
      <c r="Z182" s="2284"/>
      <c r="AA182" s="2286"/>
      <c r="AB182" s="2259">
        <f t="shared" si="39"/>
        <v>0</v>
      </c>
      <c r="AC182" s="2606"/>
      <c r="AD182" s="2606"/>
      <c r="AE182" s="2606"/>
      <c r="AF182" s="2593"/>
      <c r="AG182" s="2593"/>
      <c r="AH182" s="2593"/>
      <c r="AI182" s="2593"/>
      <c r="AJ182" s="2593"/>
    </row>
    <row r="183" spans="1:36" s="2218" customFormat="1" ht="26.25" hidden="1" customHeight="1" outlineLevel="2">
      <c r="A183" s="2235">
        <v>340</v>
      </c>
      <c r="B183" s="2281" t="s">
        <v>1992</v>
      </c>
      <c r="C183" s="2282" t="s">
        <v>1330</v>
      </c>
      <c r="D183" s="2504" t="s">
        <v>1993</v>
      </c>
      <c r="E183" s="2284"/>
      <c r="F183" s="2285"/>
      <c r="G183" s="2257">
        <f t="shared" si="32"/>
        <v>0</v>
      </c>
      <c r="H183" s="2285"/>
      <c r="I183" s="2285"/>
      <c r="J183" s="2257">
        <f t="shared" si="33"/>
        <v>0</v>
      </c>
      <c r="K183" s="2285"/>
      <c r="L183" s="2285"/>
      <c r="M183" s="2259">
        <f t="shared" si="34"/>
        <v>0</v>
      </c>
      <c r="N183" s="2284"/>
      <c r="O183" s="2286"/>
      <c r="P183" s="2258">
        <f t="shared" si="35"/>
        <v>0</v>
      </c>
      <c r="Q183" s="2284"/>
      <c r="R183" s="2286"/>
      <c r="S183" s="2259">
        <f t="shared" si="36"/>
        <v>0</v>
      </c>
      <c r="T183" s="2284"/>
      <c r="U183" s="2286"/>
      <c r="V183" s="2258">
        <f t="shared" si="37"/>
        <v>0</v>
      </c>
      <c r="W183" s="2284"/>
      <c r="X183" s="2286"/>
      <c r="Y183" s="2258">
        <f t="shared" si="38"/>
        <v>0</v>
      </c>
      <c r="Z183" s="2284"/>
      <c r="AA183" s="2286"/>
      <c r="AB183" s="2259">
        <f t="shared" si="39"/>
        <v>0</v>
      </c>
      <c r="AC183" s="2606"/>
      <c r="AD183" s="2606"/>
      <c r="AE183" s="2606"/>
      <c r="AF183" s="2593"/>
      <c r="AG183" s="2593"/>
      <c r="AH183" s="2593"/>
      <c r="AI183" s="2593"/>
      <c r="AJ183" s="2593"/>
    </row>
    <row r="184" spans="1:36" s="2218" customFormat="1" ht="25.5" hidden="1" customHeight="1" outlineLevel="2">
      <c r="A184" s="2235">
        <v>336</v>
      </c>
      <c r="B184" s="2279" t="s">
        <v>1994</v>
      </c>
      <c r="C184" s="2280" t="s">
        <v>1995</v>
      </c>
      <c r="D184" s="2500"/>
      <c r="E184" s="2255">
        <f>E185*E186</f>
        <v>0</v>
      </c>
      <c r="F184" s="2256">
        <f>F185*F186</f>
        <v>0</v>
      </c>
      <c r="G184" s="2257">
        <f t="shared" si="32"/>
        <v>0</v>
      </c>
      <c r="H184" s="2256">
        <f>H185*H186</f>
        <v>0</v>
      </c>
      <c r="I184" s="2256">
        <f>I185*I186</f>
        <v>0</v>
      </c>
      <c r="J184" s="2257">
        <f t="shared" si="33"/>
        <v>0</v>
      </c>
      <c r="K184" s="2256">
        <f>K185*K186</f>
        <v>0</v>
      </c>
      <c r="L184" s="2256">
        <f>L185*L186</f>
        <v>0</v>
      </c>
      <c r="M184" s="2259">
        <f t="shared" si="34"/>
        <v>0</v>
      </c>
      <c r="N184" s="2255">
        <f>'2024 Калуга+область транспортир'!Z183+'2024 Калуга+область перекачка'!Z183+'2024 Калуга+область очистка'!Z183</f>
        <v>0</v>
      </c>
      <c r="O184" s="2260">
        <f>'2024 Калуга+область транспортир'!AA183+'2024 Калуга+область перекачка'!AA183+'2024 Калуга+область очистка'!AA183</f>
        <v>0</v>
      </c>
      <c r="P184" s="2258">
        <f t="shared" si="35"/>
        <v>0</v>
      </c>
      <c r="Q184" s="2255">
        <f>Q185*Q186</f>
        <v>0</v>
      </c>
      <c r="R184" s="2260">
        <f>R185*R186</f>
        <v>0</v>
      </c>
      <c r="S184" s="2259">
        <f t="shared" si="36"/>
        <v>0</v>
      </c>
      <c r="T184" s="2255">
        <f>T185*T186</f>
        <v>0</v>
      </c>
      <c r="U184" s="2260">
        <f>U185*U186</f>
        <v>0</v>
      </c>
      <c r="V184" s="2258">
        <f t="shared" si="37"/>
        <v>0</v>
      </c>
      <c r="W184" s="2255">
        <f>W185*W186</f>
        <v>0</v>
      </c>
      <c r="X184" s="2260">
        <f>X185*X186</f>
        <v>0</v>
      </c>
      <c r="Y184" s="2258">
        <f t="shared" si="38"/>
        <v>0</v>
      </c>
      <c r="Z184" s="2255">
        <f>Z185*Z186</f>
        <v>0</v>
      </c>
      <c r="AA184" s="2260">
        <f>AA185*AA186</f>
        <v>0</v>
      </c>
      <c r="AB184" s="2259">
        <f t="shared" si="39"/>
        <v>0</v>
      </c>
      <c r="AC184" s="2606"/>
      <c r="AD184" s="2606"/>
      <c r="AE184" s="2606"/>
      <c r="AF184" s="2593"/>
      <c r="AG184" s="2593"/>
      <c r="AH184" s="2593"/>
      <c r="AI184" s="2593"/>
      <c r="AJ184" s="2593"/>
    </row>
    <row r="185" spans="1:36" s="2218" customFormat="1" ht="21.75" hidden="1" customHeight="1" outlineLevel="2">
      <c r="A185" s="2235">
        <v>341</v>
      </c>
      <c r="B185" s="2281" t="s">
        <v>1996</v>
      </c>
      <c r="C185" s="2282" t="s">
        <v>1327</v>
      </c>
      <c r="D185" s="2504" t="s">
        <v>1991</v>
      </c>
      <c r="E185" s="2284"/>
      <c r="F185" s="2285"/>
      <c r="G185" s="2257">
        <f t="shared" si="32"/>
        <v>0</v>
      </c>
      <c r="H185" s="2285"/>
      <c r="I185" s="2285"/>
      <c r="J185" s="2257">
        <f t="shared" si="33"/>
        <v>0</v>
      </c>
      <c r="K185" s="2285"/>
      <c r="L185" s="2285"/>
      <c r="M185" s="2259">
        <f t="shared" si="34"/>
        <v>0</v>
      </c>
      <c r="N185" s="2255">
        <f>'2024 Калуга+область транспортир'!Z184+'2024 Калуга+область перекачка'!Z184+'2024 Калуга+область очистка'!Z184</f>
        <v>0</v>
      </c>
      <c r="O185" s="2260">
        <f>'2024 Калуга+область транспортир'!AA184+'2024 Калуга+область перекачка'!AA184+'2024 Калуга+область очистка'!AA184</f>
        <v>0</v>
      </c>
      <c r="P185" s="2258">
        <f t="shared" si="35"/>
        <v>0</v>
      </c>
      <c r="Q185" s="2284"/>
      <c r="R185" s="2286"/>
      <c r="S185" s="2259">
        <f t="shared" si="36"/>
        <v>0</v>
      </c>
      <c r="T185" s="2284"/>
      <c r="U185" s="2286"/>
      <c r="V185" s="2258">
        <f t="shared" si="37"/>
        <v>0</v>
      </c>
      <c r="W185" s="2284"/>
      <c r="X185" s="2286"/>
      <c r="Y185" s="2258">
        <f t="shared" si="38"/>
        <v>0</v>
      </c>
      <c r="Z185" s="2284"/>
      <c r="AA185" s="2286"/>
      <c r="AB185" s="2259">
        <f t="shared" si="39"/>
        <v>0</v>
      </c>
      <c r="AC185" s="2606"/>
      <c r="AD185" s="2606"/>
      <c r="AE185" s="2606"/>
      <c r="AF185" s="2593"/>
      <c r="AG185" s="2593"/>
      <c r="AH185" s="2593"/>
      <c r="AI185" s="2593"/>
      <c r="AJ185" s="2593"/>
    </row>
    <row r="186" spans="1:36" s="2218" customFormat="1" ht="20.25" hidden="1" customHeight="1" outlineLevel="2">
      <c r="A186" s="2235">
        <v>342</v>
      </c>
      <c r="B186" s="2281" t="s">
        <v>1997</v>
      </c>
      <c r="C186" s="2282" t="s">
        <v>1330</v>
      </c>
      <c r="D186" s="2504" t="s">
        <v>1993</v>
      </c>
      <c r="E186" s="2284"/>
      <c r="F186" s="2285"/>
      <c r="G186" s="2257">
        <f t="shared" si="32"/>
        <v>0</v>
      </c>
      <c r="H186" s="2285"/>
      <c r="I186" s="2285"/>
      <c r="J186" s="2257">
        <f t="shared" si="33"/>
        <v>0</v>
      </c>
      <c r="K186" s="2285"/>
      <c r="L186" s="2285"/>
      <c r="M186" s="2259">
        <f t="shared" si="34"/>
        <v>0</v>
      </c>
      <c r="N186" s="2284"/>
      <c r="O186" s="2286"/>
      <c r="P186" s="2258">
        <f t="shared" si="35"/>
        <v>0</v>
      </c>
      <c r="Q186" s="2284"/>
      <c r="R186" s="2286"/>
      <c r="S186" s="2259">
        <f t="shared" si="36"/>
        <v>0</v>
      </c>
      <c r="T186" s="2284"/>
      <c r="U186" s="2286"/>
      <c r="V186" s="2258">
        <f t="shared" si="37"/>
        <v>0</v>
      </c>
      <c r="W186" s="2284"/>
      <c r="X186" s="2286"/>
      <c r="Y186" s="2258">
        <f t="shared" si="38"/>
        <v>0</v>
      </c>
      <c r="Z186" s="2284"/>
      <c r="AA186" s="2286"/>
      <c r="AB186" s="2259">
        <f t="shared" si="39"/>
        <v>0</v>
      </c>
      <c r="AC186" s="2606"/>
      <c r="AD186" s="2606"/>
      <c r="AE186" s="2606"/>
      <c r="AF186" s="2593"/>
      <c r="AG186" s="2593"/>
      <c r="AH186" s="2593"/>
      <c r="AI186" s="2593"/>
      <c r="AJ186" s="2593"/>
    </row>
    <row r="187" spans="1:36" s="2218" customFormat="1" ht="24" hidden="1" customHeight="1" outlineLevel="2">
      <c r="A187" s="2235">
        <v>71</v>
      </c>
      <c r="B187" s="2281" t="s">
        <v>1998</v>
      </c>
      <c r="C187" s="2282" t="s">
        <v>1999</v>
      </c>
      <c r="D187" s="2504" t="s">
        <v>1317</v>
      </c>
      <c r="E187" s="2284"/>
      <c r="F187" s="2285"/>
      <c r="G187" s="2257">
        <f t="shared" si="32"/>
        <v>0</v>
      </c>
      <c r="H187" s="2285"/>
      <c r="I187" s="2285"/>
      <c r="J187" s="2257">
        <f t="shared" si="33"/>
        <v>0</v>
      </c>
      <c r="K187" s="2285"/>
      <c r="L187" s="2285"/>
      <c r="M187" s="2259">
        <f t="shared" si="34"/>
        <v>0</v>
      </c>
      <c r="N187" s="2255">
        <f>'2024 Калуга+область транспортир'!Z186+'2024 Калуга+область перекачка'!Z186+'2024 Калуга+область очистка'!Z186</f>
        <v>0</v>
      </c>
      <c r="O187" s="2260">
        <f>'2024 Калуга+область транспортир'!AA186+'2024 Калуга+область перекачка'!AA186+'2024 Калуга+область очистка'!AA186</f>
        <v>0</v>
      </c>
      <c r="P187" s="2258">
        <f t="shared" si="35"/>
        <v>0</v>
      </c>
      <c r="Q187" s="2284"/>
      <c r="R187" s="2286"/>
      <c r="S187" s="2259">
        <f t="shared" si="36"/>
        <v>0</v>
      </c>
      <c r="T187" s="2284"/>
      <c r="U187" s="2286"/>
      <c r="V187" s="2258">
        <f t="shared" si="37"/>
        <v>0</v>
      </c>
      <c r="W187" s="2284"/>
      <c r="X187" s="2286"/>
      <c r="Y187" s="2258">
        <f t="shared" si="38"/>
        <v>0</v>
      </c>
      <c r="Z187" s="2284"/>
      <c r="AA187" s="2286"/>
      <c r="AB187" s="2259">
        <f t="shared" si="39"/>
        <v>0</v>
      </c>
      <c r="AC187" s="2606"/>
      <c r="AD187" s="2606"/>
      <c r="AE187" s="2606"/>
      <c r="AF187" s="2593"/>
      <c r="AG187" s="2593"/>
      <c r="AH187" s="2593"/>
      <c r="AI187" s="2593"/>
      <c r="AJ187" s="2593"/>
    </row>
    <row r="188" spans="1:36" s="2218" customFormat="1" ht="20.25" customHeight="1" outlineLevel="1" collapsed="1">
      <c r="A188" s="2235">
        <v>270</v>
      </c>
      <c r="B188" s="2279" t="s">
        <v>2000</v>
      </c>
      <c r="C188" s="2280" t="s">
        <v>2001</v>
      </c>
      <c r="D188" s="2500" t="s">
        <v>1313</v>
      </c>
      <c r="E188" s="2255">
        <f>E189*E190+E191</f>
        <v>0</v>
      </c>
      <c r="F188" s="2256">
        <f>F189*F190+F191</f>
        <v>0</v>
      </c>
      <c r="G188" s="2257">
        <f t="shared" si="32"/>
        <v>0</v>
      </c>
      <c r="H188" s="2256">
        <f>H189*H190+H191</f>
        <v>0</v>
      </c>
      <c r="I188" s="2256">
        <f>I189*I190+I191</f>
        <v>0</v>
      </c>
      <c r="J188" s="2257">
        <f t="shared" si="33"/>
        <v>0</v>
      </c>
      <c r="K188" s="2256">
        <f>K189*K190+K191</f>
        <v>0</v>
      </c>
      <c r="L188" s="2256">
        <f>L189*L190+L191</f>
        <v>0</v>
      </c>
      <c r="M188" s="2259">
        <f t="shared" si="34"/>
        <v>0</v>
      </c>
      <c r="N188" s="2255">
        <f>'[11]НВВ 26.09.23.'!N188+'[12]НВВ 26.09.'!N188+'[13]НВВ 26.09.23.'!N188</f>
        <v>1572.6339488811791</v>
      </c>
      <c r="O188" s="2260">
        <f>'[11]НВВ 26.09.23.'!O188+'[12]НВВ 26.09.'!O188+'[13]НВВ 26.09.23.'!O188</f>
        <v>1671.7098876606933</v>
      </c>
      <c r="P188" s="2258">
        <f t="shared" si="35"/>
        <v>1622.1719182709362</v>
      </c>
      <c r="Q188" s="2255">
        <f>'[11]НВВ 26.09.23.'!Q188+'[12]НВВ 26.09.'!Q188+'[13]НВВ 26.09.23.'!Q188</f>
        <v>1671.7098876606933</v>
      </c>
      <c r="R188" s="2260">
        <f>'[11]НВВ 26.09.23.'!R188+'[12]НВВ 26.09.'!R188+'[13]НВВ 26.09.23.'!R188</f>
        <v>1760.3105117067103</v>
      </c>
      <c r="S188" s="2259">
        <f t="shared" si="36"/>
        <v>1716.0101996837018</v>
      </c>
      <c r="T188" s="2255">
        <f>'[11]НВВ 26.09.23.'!T188+'[12]НВВ 26.09.'!T188+'[13]НВВ 26.09.23.'!T188</f>
        <v>1760.3105117067103</v>
      </c>
      <c r="U188" s="2260">
        <f>'[11]НВВ 26.09.23.'!U188+'[12]НВВ 26.09.'!U188+'[13]НВВ 26.09.23.'!U188</f>
        <v>1858.643002317684</v>
      </c>
      <c r="V188" s="2258">
        <f t="shared" si="37"/>
        <v>1809.4767570121971</v>
      </c>
      <c r="W188" s="2255">
        <f>'[11]НВВ 26.09.23.'!W188+'[12]НВВ 26.09.'!W188+'[13]НВВ 26.09.23.'!W188</f>
        <v>1858.643002317684</v>
      </c>
      <c r="X188" s="2260">
        <f>'[11]НВВ 26.09.23.'!X188+'[12]НВВ 26.09.'!X188+'[13]НВВ 26.09.23.'!X188</f>
        <v>1962.5396372753764</v>
      </c>
      <c r="Y188" s="2258">
        <f t="shared" si="38"/>
        <v>1910.5913197965301</v>
      </c>
      <c r="Z188" s="2255">
        <f>'[11]НВВ 26.09.23.'!Z188+'[12]НВВ 26.09.'!Z188+'[13]НВВ 26.09.23.'!Z188</f>
        <v>1962.5396372753764</v>
      </c>
      <c r="AA188" s="2260">
        <f>'[11]НВВ 26.09.23.'!AA188+'[12]НВВ 26.09.'!AA188+'[13]НВВ 26.09.23.'!AA188</f>
        <v>2072.3199927942665</v>
      </c>
      <c r="AB188" s="2259">
        <f t="shared" si="39"/>
        <v>2017.4298150348213</v>
      </c>
      <c r="AC188" s="2606"/>
      <c r="AD188" s="2606"/>
      <c r="AE188" s="2606"/>
      <c r="AF188" s="2593"/>
      <c r="AG188" s="2593"/>
      <c r="AH188" s="2593"/>
      <c r="AI188" s="2593"/>
      <c r="AJ188" s="2593"/>
    </row>
    <row r="189" spans="1:36" s="2218" customFormat="1" outlineLevel="1">
      <c r="A189" s="2235">
        <v>271</v>
      </c>
      <c r="B189" s="2281" t="s">
        <v>2002</v>
      </c>
      <c r="C189" s="2282" t="s">
        <v>1505</v>
      </c>
      <c r="D189" s="2504"/>
      <c r="E189" s="2284"/>
      <c r="F189" s="2285"/>
      <c r="G189" s="2257">
        <f t="shared" si="32"/>
        <v>0</v>
      </c>
      <c r="H189" s="2285"/>
      <c r="I189" s="2285"/>
      <c r="J189" s="2257">
        <f t="shared" si="33"/>
        <v>0</v>
      </c>
      <c r="K189" s="2285"/>
      <c r="L189" s="2285"/>
      <c r="M189" s="2259">
        <f t="shared" si="34"/>
        <v>0</v>
      </c>
      <c r="N189" s="2255">
        <f>'[11]НВВ 26.09.23.'!N189+'[12]НВВ 26.09.'!N189+'[13]НВВ 26.09.23.'!N189</f>
        <v>0.66744530673573688</v>
      </c>
      <c r="O189" s="2260">
        <f>'[11]НВВ 26.09.23.'!O189+'[12]НВВ 26.09.'!O189+'[13]НВВ 26.09.23.'!O189</f>
        <v>0.66744530673573688</v>
      </c>
      <c r="P189" s="2258">
        <f t="shared" si="35"/>
        <v>0.66744530673573688</v>
      </c>
      <c r="Q189" s="2255">
        <f>'[11]НВВ 26.09.23.'!Q189+'[12]НВВ 26.09.'!Q189+'[13]НВВ 26.09.23.'!Q189</f>
        <v>0.66744530673573688</v>
      </c>
      <c r="R189" s="2260">
        <f>'[11]НВВ 26.09.23.'!R189+'[12]НВВ 26.09.'!R189+'[13]НВВ 26.09.23.'!R189</f>
        <v>0.66744530673573688</v>
      </c>
      <c r="S189" s="2259">
        <f t="shared" si="36"/>
        <v>0.66744530673573688</v>
      </c>
      <c r="T189" s="2255">
        <f>'[11]НВВ 26.09.23.'!T189+'[12]НВВ 26.09.'!T189+'[13]НВВ 26.09.23.'!T189</f>
        <v>0.66744530673573688</v>
      </c>
      <c r="U189" s="2260">
        <f>'[11]НВВ 26.09.23.'!U189+'[12]НВВ 26.09.'!U189+'[13]НВВ 26.09.23.'!U189</f>
        <v>0.66744530673573688</v>
      </c>
      <c r="V189" s="2258">
        <f t="shared" si="37"/>
        <v>0.66744530673573688</v>
      </c>
      <c r="W189" s="2255">
        <f>'[11]НВВ 26.09.23.'!W189+'[12]НВВ 26.09.'!W189+'[13]НВВ 26.09.23.'!W189</f>
        <v>0.66744530673573688</v>
      </c>
      <c r="X189" s="2260">
        <f>'[11]НВВ 26.09.23.'!X189+'[12]НВВ 26.09.'!X189+'[13]НВВ 26.09.23.'!X189</f>
        <v>0.66744530673573688</v>
      </c>
      <c r="Y189" s="2258">
        <f t="shared" si="38"/>
        <v>0.66744530673573688</v>
      </c>
      <c r="Z189" s="2255">
        <f>'[11]НВВ 26.09.23.'!Z189+'[12]НВВ 26.09.'!Z189+'[13]НВВ 26.09.23.'!Z189</f>
        <v>0.66744530673573688</v>
      </c>
      <c r="AA189" s="2260">
        <f>'[11]НВВ 26.09.23.'!AA189+'[12]НВВ 26.09.'!AA189+'[13]НВВ 26.09.23.'!AA189</f>
        <v>0.66744530673573688</v>
      </c>
      <c r="AB189" s="2259">
        <f t="shared" si="39"/>
        <v>0.66744530673573688</v>
      </c>
      <c r="AC189" s="2606"/>
      <c r="AD189" s="2606"/>
      <c r="AE189" s="2606"/>
      <c r="AF189" s="2593"/>
      <c r="AG189" s="2593"/>
      <c r="AH189" s="2593"/>
      <c r="AI189" s="2593"/>
      <c r="AJ189" s="2593"/>
    </row>
    <row r="190" spans="1:36" s="2218" customFormat="1" outlineLevel="1">
      <c r="A190" s="2235">
        <v>272</v>
      </c>
      <c r="B190" s="2281" t="s">
        <v>2004</v>
      </c>
      <c r="C190" s="2282" t="s">
        <v>2005</v>
      </c>
      <c r="D190" s="2504" t="s">
        <v>1934</v>
      </c>
      <c r="E190" s="2284"/>
      <c r="F190" s="2285"/>
      <c r="G190" s="2257">
        <f t="shared" si="32"/>
        <v>0</v>
      </c>
      <c r="H190" s="2285"/>
      <c r="I190" s="2285"/>
      <c r="J190" s="2257">
        <f t="shared" si="33"/>
        <v>0</v>
      </c>
      <c r="K190" s="2285"/>
      <c r="L190" s="2285"/>
      <c r="M190" s="2259">
        <f t="shared" si="34"/>
        <v>0</v>
      </c>
      <c r="N190" s="2284">
        <f>N188/N189</f>
        <v>2356.1989769205697</v>
      </c>
      <c r="O190" s="2286">
        <f>O188/O189</f>
        <v>2504.6395124665655</v>
      </c>
      <c r="P190" s="2258">
        <f t="shared" si="35"/>
        <v>2430.4192446935676</v>
      </c>
      <c r="Q190" s="2284">
        <f>O190</f>
        <v>2504.6395124665655</v>
      </c>
      <c r="R190" s="2286">
        <f>Q190*1.053</f>
        <v>2637.3854066272934</v>
      </c>
      <c r="S190" s="2259">
        <f t="shared" si="36"/>
        <v>2571.0124595469297</v>
      </c>
      <c r="T190" s="2284">
        <f>R190</f>
        <v>2637.3854066272934</v>
      </c>
      <c r="U190" s="2286">
        <f>T190*1.053</f>
        <v>2777.1668331785399</v>
      </c>
      <c r="V190" s="2258">
        <f t="shared" si="37"/>
        <v>2707.2761199029164</v>
      </c>
      <c r="W190" s="2284">
        <f>U190</f>
        <v>2777.1668331785399</v>
      </c>
      <c r="X190" s="2286">
        <f>W190*1.053</f>
        <v>2924.3566753370023</v>
      </c>
      <c r="Y190" s="2258">
        <f t="shared" si="38"/>
        <v>2850.7617542577709</v>
      </c>
      <c r="Z190" s="2284">
        <f>X190</f>
        <v>2924.3566753370023</v>
      </c>
      <c r="AA190" s="2286">
        <f>Z190*1.053</f>
        <v>3079.3475791298633</v>
      </c>
      <c r="AB190" s="2259">
        <f t="shared" si="39"/>
        <v>3001.8521272334328</v>
      </c>
      <c r="AC190" s="2606"/>
      <c r="AD190" s="2606"/>
      <c r="AE190" s="2606"/>
      <c r="AF190" s="2593"/>
      <c r="AG190" s="2593"/>
      <c r="AH190" s="2593"/>
      <c r="AI190" s="2593"/>
      <c r="AJ190" s="2593"/>
    </row>
    <row r="191" spans="1:36" s="2218" customFormat="1" ht="19.5" hidden="1" customHeight="1" outlineLevel="2">
      <c r="A191" s="2235">
        <v>70</v>
      </c>
      <c r="B191" s="2281" t="s">
        <v>2007</v>
      </c>
      <c r="C191" s="2282" t="s">
        <v>2008</v>
      </c>
      <c r="D191" s="2504" t="s">
        <v>1317</v>
      </c>
      <c r="E191" s="2284"/>
      <c r="F191" s="2285"/>
      <c r="G191" s="2257">
        <f t="shared" si="32"/>
        <v>0</v>
      </c>
      <c r="H191" s="2285"/>
      <c r="I191" s="2285"/>
      <c r="J191" s="2257">
        <f t="shared" si="33"/>
        <v>0</v>
      </c>
      <c r="K191" s="2285"/>
      <c r="L191" s="2285"/>
      <c r="M191" s="2259">
        <f t="shared" si="34"/>
        <v>0</v>
      </c>
      <c r="N191" s="2255">
        <f>'2024 Калуга+область транспортир'!Z190+'2024 Калуга+область перекачка'!Z190+'2024 Калуга+область очистка'!Z190</f>
        <v>0</v>
      </c>
      <c r="O191" s="2260">
        <f>'2024 Калуга+область транспортир'!AA190+'2024 Калуга+область перекачка'!AA190+'2024 Калуга+область очистка'!AA190</f>
        <v>0</v>
      </c>
      <c r="P191" s="2258">
        <f t="shared" si="35"/>
        <v>0</v>
      </c>
      <c r="Q191" s="2284"/>
      <c r="R191" s="2286"/>
      <c r="S191" s="2259">
        <f t="shared" si="36"/>
        <v>0</v>
      </c>
      <c r="T191" s="2284"/>
      <c r="U191" s="2286"/>
      <c r="V191" s="2258">
        <f t="shared" si="37"/>
        <v>0</v>
      </c>
      <c r="W191" s="2284"/>
      <c r="X191" s="2286"/>
      <c r="Y191" s="2258">
        <f t="shared" si="38"/>
        <v>0</v>
      </c>
      <c r="Z191" s="2284"/>
      <c r="AA191" s="2286"/>
      <c r="AB191" s="2259">
        <f t="shared" si="39"/>
        <v>0</v>
      </c>
      <c r="AC191" s="2606"/>
      <c r="AD191" s="2606"/>
      <c r="AE191" s="2606"/>
      <c r="AF191" s="2593"/>
      <c r="AG191" s="2593"/>
      <c r="AH191" s="2593"/>
      <c r="AI191" s="2593"/>
      <c r="AJ191" s="2593"/>
    </row>
    <row r="192" spans="1:36" s="2218" customFormat="1" ht="24" hidden="1" customHeight="1" outlineLevel="2">
      <c r="A192" s="2235">
        <v>273</v>
      </c>
      <c r="B192" s="2279" t="s">
        <v>2009</v>
      </c>
      <c r="C192" s="2280" t="s">
        <v>2010</v>
      </c>
      <c r="D192" s="2500" t="s">
        <v>1313</v>
      </c>
      <c r="E192" s="2255">
        <f>E193*E194</f>
        <v>0</v>
      </c>
      <c r="F192" s="2256">
        <f>F193*F194</f>
        <v>0</v>
      </c>
      <c r="G192" s="2257">
        <f t="shared" si="32"/>
        <v>0</v>
      </c>
      <c r="H192" s="2256">
        <f>H193*H194</f>
        <v>0</v>
      </c>
      <c r="I192" s="2256">
        <f>I193*I194</f>
        <v>0</v>
      </c>
      <c r="J192" s="2257">
        <f t="shared" si="33"/>
        <v>0</v>
      </c>
      <c r="K192" s="2256">
        <f>K193*K194</f>
        <v>0</v>
      </c>
      <c r="L192" s="2256">
        <f>L193*L194</f>
        <v>0</v>
      </c>
      <c r="M192" s="2259">
        <f t="shared" si="34"/>
        <v>0</v>
      </c>
      <c r="N192" s="2255">
        <f>'2024 Калуга+область транспортир'!Z191+'2024 Калуга+область перекачка'!Z191+'2024 Калуга+область очистка'!Z191</f>
        <v>0</v>
      </c>
      <c r="O192" s="2260">
        <f>'2024 Калуга+область транспортир'!AA191+'2024 Калуга+область перекачка'!AA191+'2024 Калуга+область очистка'!AA191</f>
        <v>0</v>
      </c>
      <c r="P192" s="2258">
        <f t="shared" si="35"/>
        <v>0</v>
      </c>
      <c r="Q192" s="2255">
        <f>Q193*Q194</f>
        <v>0</v>
      </c>
      <c r="R192" s="2260">
        <f>R193*R194</f>
        <v>0</v>
      </c>
      <c r="S192" s="2259">
        <f t="shared" si="36"/>
        <v>0</v>
      </c>
      <c r="T192" s="2255">
        <f>T193*T194</f>
        <v>0</v>
      </c>
      <c r="U192" s="2260">
        <f>U193*U194</f>
        <v>0</v>
      </c>
      <c r="V192" s="2258">
        <f t="shared" si="37"/>
        <v>0</v>
      </c>
      <c r="W192" s="2255">
        <f>W193*W194</f>
        <v>0</v>
      </c>
      <c r="X192" s="2260">
        <f>X193*X194</f>
        <v>0</v>
      </c>
      <c r="Y192" s="2258">
        <f t="shared" si="38"/>
        <v>0</v>
      </c>
      <c r="Z192" s="2255">
        <f>Z193*Z194</f>
        <v>0</v>
      </c>
      <c r="AA192" s="2260">
        <f>AA193*AA194</f>
        <v>0</v>
      </c>
      <c r="AB192" s="2259">
        <f t="shared" si="39"/>
        <v>0</v>
      </c>
      <c r="AC192" s="2606"/>
      <c r="AD192" s="2606"/>
      <c r="AE192" s="2606"/>
      <c r="AF192" s="2593"/>
      <c r="AG192" s="2593"/>
      <c r="AH192" s="2593"/>
      <c r="AI192" s="2593"/>
      <c r="AJ192" s="2593"/>
    </row>
    <row r="193" spans="1:46" s="2218" customFormat="1" ht="24" hidden="1" customHeight="1" outlineLevel="2">
      <c r="A193" s="2235">
        <v>274</v>
      </c>
      <c r="B193" s="2281" t="s">
        <v>2011</v>
      </c>
      <c r="C193" s="2282" t="s">
        <v>1505</v>
      </c>
      <c r="D193" s="2504" t="s">
        <v>2012</v>
      </c>
      <c r="E193" s="2284"/>
      <c r="F193" s="2285"/>
      <c r="G193" s="2257">
        <f t="shared" si="32"/>
        <v>0</v>
      </c>
      <c r="H193" s="2285"/>
      <c r="I193" s="2285"/>
      <c r="J193" s="2257">
        <f t="shared" si="33"/>
        <v>0</v>
      </c>
      <c r="K193" s="2285"/>
      <c r="L193" s="2285"/>
      <c r="M193" s="2259">
        <f t="shared" si="34"/>
        <v>0</v>
      </c>
      <c r="N193" s="2255">
        <f>'2024 Калуга+область транспортир'!Z192+'2024 Калуга+область перекачка'!Z192+'2024 Калуга+область очистка'!Z192</f>
        <v>0</v>
      </c>
      <c r="O193" s="2260">
        <f>'2024 Калуга+область транспортир'!AA192+'2024 Калуга+область перекачка'!AA192+'2024 Калуга+область очистка'!AA192</f>
        <v>0</v>
      </c>
      <c r="P193" s="2258">
        <f t="shared" si="35"/>
        <v>0</v>
      </c>
      <c r="Q193" s="2284"/>
      <c r="R193" s="2286"/>
      <c r="S193" s="2259">
        <f t="shared" si="36"/>
        <v>0</v>
      </c>
      <c r="T193" s="2284"/>
      <c r="U193" s="2286"/>
      <c r="V193" s="2258">
        <f t="shared" si="37"/>
        <v>0</v>
      </c>
      <c r="W193" s="2284"/>
      <c r="X193" s="2286"/>
      <c r="Y193" s="2258">
        <f t="shared" si="38"/>
        <v>0</v>
      </c>
      <c r="Z193" s="2284"/>
      <c r="AA193" s="2286"/>
      <c r="AB193" s="2259">
        <f t="shared" si="39"/>
        <v>0</v>
      </c>
      <c r="AC193" s="2606"/>
      <c r="AD193" s="2606"/>
      <c r="AE193" s="2606"/>
      <c r="AF193" s="2593"/>
      <c r="AG193" s="2593"/>
      <c r="AH193" s="2593"/>
      <c r="AI193" s="2593"/>
      <c r="AJ193" s="2593"/>
    </row>
    <row r="194" spans="1:46" s="2218" customFormat="1" ht="24" hidden="1" customHeight="1" outlineLevel="2">
      <c r="A194" s="2235">
        <v>275</v>
      </c>
      <c r="B194" s="2281" t="s">
        <v>2014</v>
      </c>
      <c r="C194" s="2282" t="s">
        <v>2005</v>
      </c>
      <c r="D194" s="2504" t="s">
        <v>1934</v>
      </c>
      <c r="E194" s="2284"/>
      <c r="F194" s="2285"/>
      <c r="G194" s="2257">
        <f t="shared" si="32"/>
        <v>0</v>
      </c>
      <c r="H194" s="2285"/>
      <c r="I194" s="2285"/>
      <c r="J194" s="2257">
        <f t="shared" si="33"/>
        <v>0</v>
      </c>
      <c r="K194" s="2285"/>
      <c r="L194" s="2285"/>
      <c r="M194" s="2259">
        <f t="shared" si="34"/>
        <v>0</v>
      </c>
      <c r="N194" s="2284"/>
      <c r="O194" s="2286"/>
      <c r="P194" s="2258">
        <f t="shared" si="35"/>
        <v>0</v>
      </c>
      <c r="Q194" s="2284"/>
      <c r="R194" s="2286"/>
      <c r="S194" s="2259">
        <f t="shared" si="36"/>
        <v>0</v>
      </c>
      <c r="T194" s="2284"/>
      <c r="U194" s="2286"/>
      <c r="V194" s="2258">
        <f t="shared" si="37"/>
        <v>0</v>
      </c>
      <c r="W194" s="2284"/>
      <c r="X194" s="2286"/>
      <c r="Y194" s="2258">
        <f t="shared" si="38"/>
        <v>0</v>
      </c>
      <c r="Z194" s="2284"/>
      <c r="AA194" s="2286"/>
      <c r="AB194" s="2259">
        <f t="shared" si="39"/>
        <v>0</v>
      </c>
      <c r="AC194" s="2606"/>
      <c r="AD194" s="2606"/>
      <c r="AE194" s="2606"/>
      <c r="AF194" s="2593"/>
      <c r="AG194" s="2593"/>
      <c r="AH194" s="2593"/>
      <c r="AI194" s="2593"/>
      <c r="AJ194" s="2593"/>
    </row>
    <row r="195" spans="1:46" s="2218" customFormat="1" ht="20.25" hidden="1" customHeight="1" outlineLevel="2">
      <c r="A195" s="2235">
        <v>72</v>
      </c>
      <c r="B195" s="2279" t="s">
        <v>2015</v>
      </c>
      <c r="C195" s="2280" t="s">
        <v>2016</v>
      </c>
      <c r="D195" s="2500" t="s">
        <v>1317</v>
      </c>
      <c r="E195" s="2255">
        <f>E196*E197</f>
        <v>0</v>
      </c>
      <c r="F195" s="2256">
        <f>F196*F197</f>
        <v>0</v>
      </c>
      <c r="G195" s="2257">
        <f t="shared" si="32"/>
        <v>0</v>
      </c>
      <c r="H195" s="2256">
        <f>H196*H197</f>
        <v>0</v>
      </c>
      <c r="I195" s="2256">
        <f>I196*I197</f>
        <v>0</v>
      </c>
      <c r="J195" s="2257">
        <f t="shared" si="33"/>
        <v>0</v>
      </c>
      <c r="K195" s="2256">
        <f>K196*K197</f>
        <v>0</v>
      </c>
      <c r="L195" s="2256">
        <f>L196*L197</f>
        <v>0</v>
      </c>
      <c r="M195" s="2259">
        <f t="shared" si="34"/>
        <v>0</v>
      </c>
      <c r="N195" s="2255">
        <f>'2024 Калуга+область транспортир'!Z194+'2024 Калуга+область перекачка'!Z194+'2024 Калуга+область очистка'!Z194</f>
        <v>0</v>
      </c>
      <c r="O195" s="2260">
        <f>'2024 Калуга+область транспортир'!AA194+'2024 Калуга+область перекачка'!AA194+'2024 Калуга+область очистка'!AA194</f>
        <v>0</v>
      </c>
      <c r="P195" s="2258">
        <f t="shared" si="35"/>
        <v>0</v>
      </c>
      <c r="Q195" s="2255">
        <f>Q196*Q197</f>
        <v>0</v>
      </c>
      <c r="R195" s="2260">
        <f>R196*R197</f>
        <v>0</v>
      </c>
      <c r="S195" s="2259">
        <f t="shared" si="36"/>
        <v>0</v>
      </c>
      <c r="T195" s="2255">
        <f>T196*T197</f>
        <v>0</v>
      </c>
      <c r="U195" s="2260">
        <f>U196*U197</f>
        <v>0</v>
      </c>
      <c r="V195" s="2258">
        <f t="shared" si="37"/>
        <v>0</v>
      </c>
      <c r="W195" s="2255">
        <f>W196*W197</f>
        <v>0</v>
      </c>
      <c r="X195" s="2260">
        <f>X196*X197</f>
        <v>0</v>
      </c>
      <c r="Y195" s="2258">
        <f t="shared" si="38"/>
        <v>0</v>
      </c>
      <c r="Z195" s="2255">
        <f>Z196*Z197</f>
        <v>0</v>
      </c>
      <c r="AA195" s="2260">
        <f>AA196*AA197</f>
        <v>0</v>
      </c>
      <c r="AB195" s="2259">
        <f t="shared" si="39"/>
        <v>0</v>
      </c>
      <c r="AC195" s="2606"/>
      <c r="AD195" s="2606"/>
      <c r="AE195" s="2606"/>
      <c r="AF195" s="2593"/>
      <c r="AG195" s="2593"/>
      <c r="AH195" s="2593"/>
      <c r="AI195" s="2593"/>
      <c r="AJ195" s="2593"/>
    </row>
    <row r="196" spans="1:46" s="2218" customFormat="1" ht="24" hidden="1" customHeight="1" outlineLevel="2">
      <c r="A196" s="2235">
        <v>74</v>
      </c>
      <c r="B196" s="2281" t="s">
        <v>2017</v>
      </c>
      <c r="C196" s="2282" t="s">
        <v>2018</v>
      </c>
      <c r="D196" s="2504" t="s">
        <v>1983</v>
      </c>
      <c r="E196" s="2284"/>
      <c r="F196" s="2285"/>
      <c r="G196" s="2257">
        <f t="shared" si="32"/>
        <v>0</v>
      </c>
      <c r="H196" s="2285"/>
      <c r="I196" s="2285"/>
      <c r="J196" s="2257">
        <f t="shared" si="33"/>
        <v>0</v>
      </c>
      <c r="K196" s="2285"/>
      <c r="L196" s="2285"/>
      <c r="M196" s="2259">
        <f t="shared" si="34"/>
        <v>0</v>
      </c>
      <c r="N196" s="2255">
        <f>'2024 Калуга+область транспортир'!Z195+'2024 Калуга+область перекачка'!Z195+'2024 Калуга+область очистка'!Z195</f>
        <v>0</v>
      </c>
      <c r="O196" s="2260">
        <f>'2024 Калуга+область транспортир'!AA195+'2024 Калуга+область перекачка'!AA195+'2024 Калуга+область очистка'!AA195</f>
        <v>0</v>
      </c>
      <c r="P196" s="2258">
        <f t="shared" si="35"/>
        <v>0</v>
      </c>
      <c r="Q196" s="2284"/>
      <c r="R196" s="2286"/>
      <c r="S196" s="2259">
        <f t="shared" si="36"/>
        <v>0</v>
      </c>
      <c r="T196" s="2284"/>
      <c r="U196" s="2286"/>
      <c r="V196" s="2258">
        <f t="shared" si="37"/>
        <v>0</v>
      </c>
      <c r="W196" s="2284"/>
      <c r="X196" s="2286"/>
      <c r="Y196" s="2258">
        <f t="shared" si="38"/>
        <v>0</v>
      </c>
      <c r="Z196" s="2284"/>
      <c r="AA196" s="2286"/>
      <c r="AB196" s="2259">
        <f t="shared" si="39"/>
        <v>0</v>
      </c>
      <c r="AC196" s="2606"/>
      <c r="AD196" s="2606"/>
      <c r="AE196" s="2606"/>
      <c r="AF196" s="2593"/>
      <c r="AG196" s="2593"/>
      <c r="AH196" s="2593"/>
      <c r="AI196" s="2593"/>
      <c r="AJ196" s="2593"/>
    </row>
    <row r="197" spans="1:46" s="2218" customFormat="1" ht="18.75" hidden="1" customHeight="1" outlineLevel="2">
      <c r="A197" s="2235">
        <v>73</v>
      </c>
      <c r="B197" s="2281" t="s">
        <v>2020</v>
      </c>
      <c r="C197" s="2282" t="s">
        <v>2005</v>
      </c>
      <c r="D197" s="2504" t="s">
        <v>1986</v>
      </c>
      <c r="E197" s="2284"/>
      <c r="F197" s="2285"/>
      <c r="G197" s="2257">
        <f t="shared" si="32"/>
        <v>0</v>
      </c>
      <c r="H197" s="2285"/>
      <c r="I197" s="2285"/>
      <c r="J197" s="2257">
        <f t="shared" si="33"/>
        <v>0</v>
      </c>
      <c r="K197" s="2285"/>
      <c r="L197" s="2285"/>
      <c r="M197" s="2259">
        <f t="shared" si="34"/>
        <v>0</v>
      </c>
      <c r="N197" s="2284"/>
      <c r="O197" s="2286"/>
      <c r="P197" s="2258">
        <f t="shared" si="35"/>
        <v>0</v>
      </c>
      <c r="Q197" s="2284"/>
      <c r="R197" s="2286"/>
      <c r="S197" s="2259">
        <f t="shared" si="36"/>
        <v>0</v>
      </c>
      <c r="T197" s="2284"/>
      <c r="U197" s="2286"/>
      <c r="V197" s="2258">
        <f t="shared" si="37"/>
        <v>0</v>
      </c>
      <c r="W197" s="2284"/>
      <c r="X197" s="2286"/>
      <c r="Y197" s="2258">
        <f t="shared" si="38"/>
        <v>0</v>
      </c>
      <c r="Z197" s="2284"/>
      <c r="AA197" s="2286"/>
      <c r="AB197" s="2259">
        <f t="shared" si="39"/>
        <v>0</v>
      </c>
      <c r="AC197" s="2606"/>
      <c r="AD197" s="2606"/>
      <c r="AE197" s="2606"/>
      <c r="AF197" s="2593"/>
      <c r="AG197" s="2593"/>
      <c r="AH197" s="2593"/>
      <c r="AI197" s="2593"/>
      <c r="AJ197" s="2593"/>
    </row>
    <row r="198" spans="1:46" s="2218" customFormat="1" ht="22.5" hidden="1" customHeight="1" outlineLevel="2">
      <c r="A198" s="2235">
        <v>260</v>
      </c>
      <c r="B198" s="2281" t="s">
        <v>2021</v>
      </c>
      <c r="C198" s="2282" t="s">
        <v>2022</v>
      </c>
      <c r="D198" s="2504" t="s">
        <v>1313</v>
      </c>
      <c r="E198" s="2284"/>
      <c r="F198" s="2285"/>
      <c r="G198" s="2257">
        <f t="shared" si="32"/>
        <v>0</v>
      </c>
      <c r="H198" s="2285"/>
      <c r="I198" s="2285"/>
      <c r="J198" s="2257">
        <f t="shared" si="33"/>
        <v>0</v>
      </c>
      <c r="K198" s="2285"/>
      <c r="L198" s="2285"/>
      <c r="M198" s="2259">
        <f t="shared" si="34"/>
        <v>0</v>
      </c>
      <c r="N198" s="2255">
        <f>'2024 Калуга+область транспортир'!Z197+'2024 Калуга+область перекачка'!Z197+'2024 Калуга+область очистка'!Z197</f>
        <v>0</v>
      </c>
      <c r="O198" s="2260">
        <f>'2024 Калуга+область транспортир'!AA197+'2024 Калуга+область перекачка'!AA197+'2024 Калуга+область очистка'!AA197</f>
        <v>0</v>
      </c>
      <c r="P198" s="2258">
        <f t="shared" si="35"/>
        <v>0</v>
      </c>
      <c r="Q198" s="2284"/>
      <c r="R198" s="2286"/>
      <c r="S198" s="2259">
        <f t="shared" ref="S198:S233" si="40">Q198/2+R198/2</f>
        <v>0</v>
      </c>
      <c r="T198" s="2284"/>
      <c r="U198" s="2286"/>
      <c r="V198" s="2258">
        <f t="shared" ref="V198:V233" si="41">T198/2+U198/2</f>
        <v>0</v>
      </c>
      <c r="W198" s="2284"/>
      <c r="X198" s="2286"/>
      <c r="Y198" s="2258">
        <f t="shared" si="38"/>
        <v>0</v>
      </c>
      <c r="Z198" s="2284"/>
      <c r="AA198" s="2286"/>
      <c r="AB198" s="2259">
        <f t="shared" si="39"/>
        <v>0</v>
      </c>
      <c r="AC198" s="2606"/>
      <c r="AD198" s="2606"/>
      <c r="AE198" s="2606"/>
      <c r="AF198" s="2593"/>
      <c r="AG198" s="2593"/>
      <c r="AH198" s="2593"/>
      <c r="AI198" s="2593"/>
      <c r="AJ198" s="2593"/>
    </row>
    <row r="199" spans="1:46" s="2218" customFormat="1" ht="30.75" hidden="1" customHeight="1" outlineLevel="2">
      <c r="A199" s="2235">
        <v>261</v>
      </c>
      <c r="B199" s="2281" t="s">
        <v>2023</v>
      </c>
      <c r="C199" s="2282" t="s">
        <v>2024</v>
      </c>
      <c r="D199" s="2504" t="s">
        <v>1313</v>
      </c>
      <c r="E199" s="2284"/>
      <c r="F199" s="2285"/>
      <c r="G199" s="2257">
        <f t="shared" si="32"/>
        <v>0</v>
      </c>
      <c r="H199" s="2285"/>
      <c r="I199" s="2285"/>
      <c r="J199" s="2257">
        <f t="shared" si="33"/>
        <v>0</v>
      </c>
      <c r="K199" s="2285"/>
      <c r="L199" s="2285"/>
      <c r="M199" s="2259">
        <f t="shared" si="34"/>
        <v>0</v>
      </c>
      <c r="N199" s="2255">
        <f>'2024 Калуга+область транспортир'!Z198+'2024 Калуга+область перекачка'!Z198+'2024 Калуга+область очистка'!Z198</f>
        <v>0</v>
      </c>
      <c r="O199" s="2260">
        <f>'2024 Калуга+область транспортир'!AA198+'2024 Калуга+область перекачка'!AA198+'2024 Калуга+область очистка'!AA198</f>
        <v>0</v>
      </c>
      <c r="P199" s="2258">
        <f t="shared" si="35"/>
        <v>0</v>
      </c>
      <c r="Q199" s="2284"/>
      <c r="R199" s="2286"/>
      <c r="S199" s="2259">
        <f t="shared" si="40"/>
        <v>0</v>
      </c>
      <c r="T199" s="2284"/>
      <c r="U199" s="2286"/>
      <c r="V199" s="2258">
        <f t="shared" si="41"/>
        <v>0</v>
      </c>
      <c r="W199" s="2284"/>
      <c r="X199" s="2286"/>
      <c r="Y199" s="2258">
        <f t="shared" si="38"/>
        <v>0</v>
      </c>
      <c r="Z199" s="2284"/>
      <c r="AA199" s="2286"/>
      <c r="AB199" s="2259">
        <f t="shared" si="39"/>
        <v>0</v>
      </c>
      <c r="AC199" s="2606"/>
      <c r="AD199" s="2606"/>
      <c r="AE199" s="2606"/>
      <c r="AF199" s="2593"/>
      <c r="AG199" s="2593"/>
      <c r="AH199" s="2593"/>
      <c r="AI199" s="2593"/>
      <c r="AJ199" s="2593"/>
    </row>
    <row r="200" spans="1:46" s="2218" customFormat="1" ht="21" hidden="1" customHeight="1" outlineLevel="2">
      <c r="A200" s="2235">
        <v>262</v>
      </c>
      <c r="B200" s="2281" t="s">
        <v>2025</v>
      </c>
      <c r="C200" s="2282" t="s">
        <v>2026</v>
      </c>
      <c r="D200" s="2504" t="s">
        <v>1313</v>
      </c>
      <c r="E200" s="2284"/>
      <c r="F200" s="2285"/>
      <c r="G200" s="2257">
        <f t="shared" si="32"/>
        <v>0</v>
      </c>
      <c r="H200" s="2285"/>
      <c r="I200" s="2285"/>
      <c r="J200" s="2257">
        <f t="shared" si="33"/>
        <v>0</v>
      </c>
      <c r="K200" s="2285"/>
      <c r="L200" s="2285"/>
      <c r="M200" s="2259">
        <f t="shared" si="34"/>
        <v>0</v>
      </c>
      <c r="N200" s="2255">
        <f>'2024 Калуга+область транспортир'!Z199+'2024 Калуга+область перекачка'!Z199+'2024 Калуга+область очистка'!Z199</f>
        <v>0</v>
      </c>
      <c r="O200" s="2260">
        <f>'2024 Калуга+область транспортир'!AA199+'2024 Калуга+область перекачка'!AA199+'2024 Калуга+область очистка'!AA199</f>
        <v>0</v>
      </c>
      <c r="P200" s="2258">
        <f t="shared" si="35"/>
        <v>0</v>
      </c>
      <c r="Q200" s="2284"/>
      <c r="R200" s="2286"/>
      <c r="S200" s="2259">
        <f t="shared" si="40"/>
        <v>0</v>
      </c>
      <c r="T200" s="2284"/>
      <c r="U200" s="2286"/>
      <c r="V200" s="2258">
        <f t="shared" si="41"/>
        <v>0</v>
      </c>
      <c r="W200" s="2284"/>
      <c r="X200" s="2286"/>
      <c r="Y200" s="2258">
        <f t="shared" si="38"/>
        <v>0</v>
      </c>
      <c r="Z200" s="2284"/>
      <c r="AA200" s="2286"/>
      <c r="AB200" s="2259">
        <f t="shared" si="39"/>
        <v>0</v>
      </c>
      <c r="AC200" s="2606"/>
      <c r="AD200" s="2606"/>
      <c r="AE200" s="2606"/>
      <c r="AF200" s="2593"/>
      <c r="AG200" s="2593"/>
      <c r="AH200" s="2593"/>
      <c r="AI200" s="2593"/>
      <c r="AJ200" s="2593"/>
    </row>
    <row r="201" spans="1:46" s="2218" customFormat="1" ht="31.5" outlineLevel="1" collapsed="1">
      <c r="A201" s="2235">
        <v>279</v>
      </c>
      <c r="B201" s="2279" t="s">
        <v>2027</v>
      </c>
      <c r="C201" s="2280" t="s">
        <v>2028</v>
      </c>
      <c r="D201" s="2500" t="s">
        <v>1313</v>
      </c>
      <c r="E201" s="2255">
        <f>E202*E203</f>
        <v>0</v>
      </c>
      <c r="F201" s="2256">
        <f>F202*F203</f>
        <v>0</v>
      </c>
      <c r="G201" s="2257">
        <f t="shared" si="32"/>
        <v>0</v>
      </c>
      <c r="H201" s="2256">
        <f>H202*H203</f>
        <v>0</v>
      </c>
      <c r="I201" s="2256">
        <f>I202*I203</f>
        <v>0</v>
      </c>
      <c r="J201" s="2257">
        <f t="shared" si="33"/>
        <v>0</v>
      </c>
      <c r="K201" s="2256">
        <f>K202*K203</f>
        <v>0</v>
      </c>
      <c r="L201" s="2256">
        <f>L202*L203</f>
        <v>0</v>
      </c>
      <c r="M201" s="2259">
        <f t="shared" si="34"/>
        <v>0</v>
      </c>
      <c r="N201" s="2255">
        <f>'[11]НВВ 26.09.23.'!N201+'[12]НВВ 26.09.'!N201+'[13]НВВ 26.09.23.'!N201</f>
        <v>104021.99877284553</v>
      </c>
      <c r="O201" s="2260">
        <f>'[11]НВВ 26.09.23.'!O201+'[12]НВВ 26.09.'!O201+'[13]НВВ 26.09.23.'!O201</f>
        <v>131639.02744124297</v>
      </c>
      <c r="P201" s="2258">
        <f t="shared" si="35"/>
        <v>117830.51310704424</v>
      </c>
      <c r="Q201" s="2255">
        <f>'[11]НВВ 26.09.23.'!Q201+'[12]НВВ 26.09.'!Q201+'[13]НВВ 26.09.23.'!Q201</f>
        <v>131639.02744124297</v>
      </c>
      <c r="R201" s="2260">
        <f>'[11]НВВ 26.09.23.'!R201+'[12]НВВ 26.09.'!R201+'[13]НВВ 26.09.23.'!R201</f>
        <v>138615.89589562884</v>
      </c>
      <c r="S201" s="2259">
        <f t="shared" si="40"/>
        <v>135127.46166843589</v>
      </c>
      <c r="T201" s="2255">
        <f>'[11]НВВ 26.09.23.'!T201+'[12]НВВ 26.09.'!T201+'[13]НВВ 26.09.23.'!T201</f>
        <v>138615.89589562884</v>
      </c>
      <c r="U201" s="2260">
        <f>'[11]НВВ 26.09.23.'!U201+'[12]НВВ 26.09.'!U201+'[13]НВВ 26.09.23.'!U201</f>
        <v>145962.53837809715</v>
      </c>
      <c r="V201" s="2258">
        <f t="shared" si="41"/>
        <v>142289.21713686298</v>
      </c>
      <c r="W201" s="2255">
        <f>'[11]НВВ 26.09.23.'!W201+'[12]НВВ 26.09.'!W201+'[13]НВВ 26.09.23.'!W201</f>
        <v>145962.53837809715</v>
      </c>
      <c r="X201" s="2260">
        <f>'[11]НВВ 26.09.23.'!X201+'[12]НВВ 26.09.'!X201+'[13]НВВ 26.09.23.'!X201</f>
        <v>153698.55291213628</v>
      </c>
      <c r="Y201" s="2258">
        <f t="shared" si="38"/>
        <v>149830.54564511671</v>
      </c>
      <c r="Z201" s="2255">
        <f>'[11]НВВ 26.09.23.'!Z201+'[12]НВВ 26.09.'!Z201+'[13]НВВ 26.09.23.'!Z201</f>
        <v>153698.55291213628</v>
      </c>
      <c r="AA201" s="2260">
        <f>'[11]НВВ 26.09.23.'!AA201+'[12]НВВ 26.09.'!AA201+'[13]НВВ 26.09.23.'!AA201</f>
        <v>161844.5762164795</v>
      </c>
      <c r="AB201" s="2259">
        <f t="shared" si="39"/>
        <v>157771.56456430789</v>
      </c>
      <c r="AC201" s="2606"/>
      <c r="AD201" s="2606"/>
      <c r="AE201" s="2606"/>
      <c r="AF201" s="2593"/>
      <c r="AG201" s="2593"/>
      <c r="AH201" s="2593"/>
      <c r="AI201" s="2593"/>
      <c r="AJ201" s="2593"/>
      <c r="AK201" s="2593"/>
      <c r="AL201" s="2593"/>
      <c r="AM201" s="2593"/>
      <c r="AN201" s="2593"/>
      <c r="AO201" s="2593"/>
      <c r="AP201" s="2593"/>
      <c r="AQ201" s="2593"/>
      <c r="AR201" s="2593"/>
      <c r="AS201" s="2593"/>
      <c r="AT201" s="2593"/>
    </row>
    <row r="202" spans="1:46" s="2218" customFormat="1" ht="17.25" customHeight="1" outlineLevel="1">
      <c r="A202" s="2235">
        <v>280</v>
      </c>
      <c r="B202" s="2281" t="s">
        <v>2029</v>
      </c>
      <c r="C202" s="2282" t="s">
        <v>1505</v>
      </c>
      <c r="D202" s="2504" t="s">
        <v>2012</v>
      </c>
      <c r="E202" s="2284"/>
      <c r="F202" s="2285"/>
      <c r="G202" s="2257">
        <f t="shared" si="32"/>
        <v>0</v>
      </c>
      <c r="H202" s="2285"/>
      <c r="I202" s="2285"/>
      <c r="J202" s="2257">
        <f t="shared" si="33"/>
        <v>0</v>
      </c>
      <c r="K202" s="2285"/>
      <c r="L202" s="2285"/>
      <c r="M202" s="2259">
        <f t="shared" si="34"/>
        <v>0</v>
      </c>
      <c r="N202" s="2255">
        <f>'[11]НВВ 26.09.23.'!N202+'[12]НВВ 26.09.'!N202+'[13]НВВ 26.09.23.'!N202</f>
        <v>31426.585731977502</v>
      </c>
      <c r="O202" s="2260">
        <f>'[11]НВВ 26.09.23.'!O202+'[12]НВВ 26.09.'!O202+'[13]НВВ 26.09.23.'!O202</f>
        <v>32701.402698497757</v>
      </c>
      <c r="P202" s="2258">
        <f t="shared" si="35"/>
        <v>32063.994215237632</v>
      </c>
      <c r="Q202" s="2255">
        <f>'[11]НВВ 26.09.23.'!Q202+'[12]НВВ 26.09.'!Q202+'[13]НВВ 26.09.23.'!Q202</f>
        <v>32701.402698497757</v>
      </c>
      <c r="R202" s="2260">
        <f>'[11]НВВ 26.09.23.'!R202+'[12]НВВ 26.09.'!R202+'[13]НВВ 26.09.23.'!R202</f>
        <v>32701.402698497757</v>
      </c>
      <c r="S202" s="2259">
        <f t="shared" si="40"/>
        <v>32701.402698497757</v>
      </c>
      <c r="T202" s="2255">
        <f>'[11]НВВ 26.09.23.'!T202+'[12]НВВ 26.09.'!T202+'[13]НВВ 26.09.23.'!T202</f>
        <v>32701.402698497757</v>
      </c>
      <c r="U202" s="2260">
        <f>'[11]НВВ 26.09.23.'!U202+'[12]НВВ 26.09.'!U202+'[13]НВВ 26.09.23.'!U202</f>
        <v>32701.402698497757</v>
      </c>
      <c r="V202" s="2258">
        <f t="shared" si="41"/>
        <v>32701.402698497757</v>
      </c>
      <c r="W202" s="2255">
        <f>'[11]НВВ 26.09.23.'!W202+'[12]НВВ 26.09.'!W202+'[13]НВВ 26.09.23.'!W202</f>
        <v>32701.402698497757</v>
      </c>
      <c r="X202" s="2260">
        <f>'[11]НВВ 26.09.23.'!X202+'[12]НВВ 26.09.'!X202+'[13]НВВ 26.09.23.'!X202</f>
        <v>32701.402698497757</v>
      </c>
      <c r="Y202" s="2258">
        <f t="shared" si="38"/>
        <v>32701.402698497757</v>
      </c>
      <c r="Z202" s="2255">
        <f>'[11]НВВ 26.09.23.'!Z202+'[12]НВВ 26.09.'!Z202+'[13]НВВ 26.09.23.'!Z202</f>
        <v>32701.402698497757</v>
      </c>
      <c r="AA202" s="2260">
        <f>'[11]НВВ 26.09.23.'!AA202+'[12]НВВ 26.09.'!AA202+'[13]НВВ 26.09.23.'!AA202</f>
        <v>32701.402698497757</v>
      </c>
      <c r="AB202" s="2259">
        <f t="shared" si="39"/>
        <v>32701.402698497757</v>
      </c>
      <c r="AC202" s="2606"/>
      <c r="AD202" s="2606"/>
      <c r="AE202" s="2606"/>
      <c r="AF202" s="2593"/>
      <c r="AG202" s="2593"/>
      <c r="AH202" s="2593"/>
      <c r="AI202" s="2593"/>
      <c r="AJ202" s="2593"/>
    </row>
    <row r="203" spans="1:46" s="2218" customFormat="1" ht="18.75" customHeight="1" outlineLevel="1">
      <c r="A203" s="2235">
        <v>281</v>
      </c>
      <c r="B203" s="2281" t="s">
        <v>2030</v>
      </c>
      <c r="C203" s="2282" t="s">
        <v>2005</v>
      </c>
      <c r="D203" s="2504" t="s">
        <v>1934</v>
      </c>
      <c r="E203" s="2284"/>
      <c r="F203" s="2285"/>
      <c r="G203" s="2257">
        <f t="shared" si="32"/>
        <v>0</v>
      </c>
      <c r="H203" s="2285"/>
      <c r="I203" s="2285"/>
      <c r="J203" s="2257">
        <f t="shared" si="33"/>
        <v>0</v>
      </c>
      <c r="K203" s="2285"/>
      <c r="L203" s="2285"/>
      <c r="M203" s="2259">
        <f t="shared" si="34"/>
        <v>0</v>
      </c>
      <c r="N203" s="2284">
        <f>N201/N202</f>
        <v>3.31</v>
      </c>
      <c r="O203" s="2286">
        <f>O201/O202</f>
        <v>4.0254856543902999</v>
      </c>
      <c r="P203" s="2258">
        <f t="shared" si="35"/>
        <v>3.6677428271951502</v>
      </c>
      <c r="Q203" s="2284">
        <f>O203</f>
        <v>4.0254856543902999</v>
      </c>
      <c r="R203" s="2286">
        <f>Q203*1.053</f>
        <v>4.2388363940729858</v>
      </c>
      <c r="S203" s="2259">
        <f t="shared" si="40"/>
        <v>4.1321610242316424</v>
      </c>
      <c r="T203" s="2284">
        <f>R203</f>
        <v>4.2388363940729858</v>
      </c>
      <c r="U203" s="2286">
        <f>T203*1.053</f>
        <v>4.4634947229588535</v>
      </c>
      <c r="V203" s="2258">
        <f t="shared" si="41"/>
        <v>4.3511655585159197</v>
      </c>
      <c r="W203" s="2284">
        <f>U203</f>
        <v>4.4634947229588535</v>
      </c>
      <c r="X203" s="2286">
        <f>W203*1.053</f>
        <v>4.7000599432756722</v>
      </c>
      <c r="Y203" s="2258">
        <f t="shared" si="38"/>
        <v>4.5817773331172624</v>
      </c>
      <c r="Z203" s="2284">
        <f>X203</f>
        <v>4.7000599432756722</v>
      </c>
      <c r="AA203" s="2286">
        <f>Z203*1.053</f>
        <v>4.949163120269283</v>
      </c>
      <c r="AB203" s="2259">
        <f t="shared" si="39"/>
        <v>4.8246115317724776</v>
      </c>
      <c r="AC203" s="2606"/>
      <c r="AD203" s="2606"/>
      <c r="AE203" s="2606"/>
      <c r="AF203" s="2593"/>
      <c r="AG203" s="2593"/>
      <c r="AH203" s="2593"/>
      <c r="AI203" s="2593"/>
      <c r="AJ203" s="2593"/>
    </row>
    <row r="204" spans="1:46" s="2218" customFormat="1" outlineLevel="1">
      <c r="A204" s="2235">
        <v>276</v>
      </c>
      <c r="B204" s="2279" t="s">
        <v>2031</v>
      </c>
      <c r="C204" s="2280" t="s">
        <v>2032</v>
      </c>
      <c r="D204" s="2500" t="s">
        <v>1313</v>
      </c>
      <c r="E204" s="2255">
        <f>E205*E206</f>
        <v>28190.60375490196</v>
      </c>
      <c r="F204" s="2256">
        <f>F205*F206</f>
        <v>29318.22790509804</v>
      </c>
      <c r="G204" s="2257">
        <f t="shared" si="32"/>
        <v>28754.415829999998</v>
      </c>
      <c r="H204" s="2256">
        <f>H205*H206</f>
        <v>28694.675280788182</v>
      </c>
      <c r="I204" s="2256">
        <f>I205*I206</f>
        <v>29555.515539211829</v>
      </c>
      <c r="J204" s="2257">
        <f t="shared" si="33"/>
        <v>29125.095410000005</v>
      </c>
      <c r="K204" s="2256">
        <f>K205*K206</f>
        <v>23789.131044335023</v>
      </c>
      <c r="L204" s="2256">
        <f>L205*L206</f>
        <v>24502.804975665073</v>
      </c>
      <c r="M204" s="2259">
        <f t="shared" si="34"/>
        <v>24145.968010000048</v>
      </c>
      <c r="N204" s="2255">
        <f>'[11]НВВ 26.09.23.'!N204+'[12]НВВ 26.09.'!N204+'[13]НВВ 26.09.23.'!N204</f>
        <v>18193.423146538436</v>
      </c>
      <c r="O204" s="2260">
        <f>'[11]НВВ 26.09.23.'!O204+'[12]НВВ 26.09.'!O204+'[13]НВВ 26.09.23.'!O204</f>
        <v>19990.525461651578</v>
      </c>
      <c r="P204" s="2258">
        <f t="shared" si="35"/>
        <v>19091.974304095005</v>
      </c>
      <c r="Q204" s="2255">
        <f>'[11]НВВ 26.09.23.'!Q204+'[12]НВВ 26.09.'!Q204+'[13]НВВ 26.09.23.'!Q204</f>
        <v>19990.525461651578</v>
      </c>
      <c r="R204" s="2260">
        <f>'[11]НВВ 26.09.23.'!R204+'[12]НВВ 26.09.'!R204+'[13]НВВ 26.09.23.'!R204</f>
        <v>21050.023311119108</v>
      </c>
      <c r="S204" s="2259">
        <f t="shared" si="40"/>
        <v>20520.274386385343</v>
      </c>
      <c r="T204" s="2255">
        <f>'[11]НВВ 26.09.23.'!T204+'[12]НВВ 26.09.'!T204+'[13]НВВ 26.09.23.'!T204</f>
        <v>21050.023311119108</v>
      </c>
      <c r="U204" s="2260">
        <f>'[11]НВВ 26.09.23.'!U204+'[12]НВВ 26.09.'!U204+'[13]НВВ 26.09.23.'!U204</f>
        <v>22165.674546608421</v>
      </c>
      <c r="V204" s="2258">
        <f t="shared" si="41"/>
        <v>21607.848928863765</v>
      </c>
      <c r="W204" s="2255">
        <f>'[11]НВВ 26.09.23.'!W204+'[12]НВВ 26.09.'!W204+'[13]НВВ 26.09.23.'!W204</f>
        <v>22165.674546608421</v>
      </c>
      <c r="X204" s="2260">
        <f>'[11]НВВ 26.09.23.'!X204+'[12]НВВ 26.09.'!X204+'[13]НВВ 26.09.23.'!X204</f>
        <v>23340.455297578665</v>
      </c>
      <c r="Y204" s="2258">
        <f t="shared" si="38"/>
        <v>22753.064922093545</v>
      </c>
      <c r="Z204" s="2255">
        <f>'[11]НВВ 26.09.23.'!Z204+'[12]НВВ 26.09.'!Z204+'[13]НВВ 26.09.23.'!Z204</f>
        <v>23340.455297578665</v>
      </c>
      <c r="AA204" s="2260">
        <f>'[11]НВВ 26.09.23.'!AA204+'[12]НВВ 26.09.'!AA204+'[13]НВВ 26.09.23.'!AA204</f>
        <v>24577.499428350333</v>
      </c>
      <c r="AB204" s="2259">
        <f t="shared" si="39"/>
        <v>23958.977362964499</v>
      </c>
      <c r="AC204" s="2606"/>
      <c r="AD204" s="2606"/>
      <c r="AE204" s="2606"/>
      <c r="AF204" s="2593"/>
      <c r="AG204" s="2593"/>
      <c r="AH204" s="2593"/>
      <c r="AI204" s="2593"/>
      <c r="AJ204" s="2593"/>
    </row>
    <row r="205" spans="1:46" s="2218" customFormat="1" ht="17.25" customHeight="1" outlineLevel="1">
      <c r="A205" s="2235">
        <v>277</v>
      </c>
      <c r="B205" s="2281" t="s">
        <v>2033</v>
      </c>
      <c r="C205" s="2282" t="s">
        <v>1505</v>
      </c>
      <c r="D205" s="2504" t="s">
        <v>2012</v>
      </c>
      <c r="E205" s="2284">
        <v>2185.1252670090962</v>
      </c>
      <c r="F205" s="2285">
        <v>2185.1252670090962</v>
      </c>
      <c r="G205" s="2257">
        <f t="shared" si="32"/>
        <v>2185.1252670090962</v>
      </c>
      <c r="H205" s="2285">
        <v>2229.787620029927</v>
      </c>
      <c r="I205" s="2285">
        <v>2229.787620029927</v>
      </c>
      <c r="J205" s="2257">
        <f t="shared" si="33"/>
        <v>2229.787620029927</v>
      </c>
      <c r="K205" s="2285">
        <v>1540.5711200000001</v>
      </c>
      <c r="L205" s="2285">
        <v>1540.5711200000001</v>
      </c>
      <c r="M205" s="2259">
        <f t="shared" si="34"/>
        <v>1540.5711200000001</v>
      </c>
      <c r="N205" s="2255">
        <f>'[11]НВВ 26.09.23.'!N205+'[12]НВВ 26.09.'!N205+'[13]НВВ 26.09.23.'!N205</f>
        <v>1034.2476893289897</v>
      </c>
      <c r="O205" s="2260">
        <f>'[11]НВВ 26.09.23.'!O205+'[12]НВВ 26.09.'!O205+'[13]НВВ 26.09.23.'!O205</f>
        <v>1083.9909291428316</v>
      </c>
      <c r="P205" s="2258">
        <f t="shared" si="35"/>
        <v>1059.1193092359108</v>
      </c>
      <c r="Q205" s="2255">
        <f>'[11]НВВ 26.09.23.'!Q205+'[12]НВВ 26.09.'!Q205+'[13]НВВ 26.09.23.'!Q205</f>
        <v>1083.9909291428316</v>
      </c>
      <c r="R205" s="2260">
        <f>'[11]НВВ 26.09.23.'!R205+'[12]НВВ 26.09.'!R205+'[13]НВВ 26.09.23.'!R205</f>
        <v>1083.9909291428316</v>
      </c>
      <c r="S205" s="2259">
        <f t="shared" si="40"/>
        <v>1083.9909291428316</v>
      </c>
      <c r="T205" s="2255">
        <f>'[11]НВВ 26.09.23.'!T205+'[12]НВВ 26.09.'!T205+'[13]НВВ 26.09.23.'!T205</f>
        <v>1083.9909291428316</v>
      </c>
      <c r="U205" s="2260">
        <f>'[11]НВВ 26.09.23.'!U205+'[12]НВВ 26.09.'!U205+'[13]НВВ 26.09.23.'!U205</f>
        <v>1083.9909291428316</v>
      </c>
      <c r="V205" s="2258">
        <f t="shared" si="41"/>
        <v>1083.9909291428316</v>
      </c>
      <c r="W205" s="2255">
        <f>'[11]НВВ 26.09.23.'!W205+'[12]НВВ 26.09.'!W205+'[13]НВВ 26.09.23.'!W205</f>
        <v>1083.9909291428316</v>
      </c>
      <c r="X205" s="2260">
        <f>'[11]НВВ 26.09.23.'!X205+'[12]НВВ 26.09.'!X205+'[13]НВВ 26.09.23.'!X205</f>
        <v>1083.9909291428316</v>
      </c>
      <c r="Y205" s="2258">
        <f t="shared" si="38"/>
        <v>1083.9909291428316</v>
      </c>
      <c r="Z205" s="2255">
        <f>'[11]НВВ 26.09.23.'!Z205+'[12]НВВ 26.09.'!Z205+'[13]НВВ 26.09.23.'!Z205</f>
        <v>1083.9909291428316</v>
      </c>
      <c r="AA205" s="2260">
        <f>'[11]НВВ 26.09.23.'!AA205+'[12]НВВ 26.09.'!AA205+'[13]НВВ 26.09.23.'!AA205</f>
        <v>1083.9909291428316</v>
      </c>
      <c r="AB205" s="2259">
        <f t="shared" si="39"/>
        <v>1083.9909291428316</v>
      </c>
      <c r="AC205" s="2606"/>
      <c r="AD205" s="2606"/>
      <c r="AE205" s="2606"/>
      <c r="AF205" s="2593"/>
      <c r="AG205" s="2593"/>
      <c r="AH205" s="2593"/>
      <c r="AI205" s="2593"/>
      <c r="AJ205" s="2593"/>
    </row>
    <row r="206" spans="1:46" s="2218" customFormat="1" ht="18" customHeight="1" outlineLevel="1">
      <c r="A206" s="2235">
        <v>278</v>
      </c>
      <c r="B206" s="2281" t="s">
        <v>2034</v>
      </c>
      <c r="C206" s="2282" t="s">
        <v>2005</v>
      </c>
      <c r="D206" s="2504" t="s">
        <v>1934</v>
      </c>
      <c r="E206" s="2284">
        <v>12.901138520762256</v>
      </c>
      <c r="F206" s="2285">
        <v>13.417184061592746</v>
      </c>
      <c r="G206" s="2257">
        <f t="shared" si="32"/>
        <v>13.159161291177501</v>
      </c>
      <c r="H206" s="2285">
        <v>12.868792984151135</v>
      </c>
      <c r="I206" s="2285">
        <v>13.25485677367567</v>
      </c>
      <c r="J206" s="2257">
        <f t="shared" si="33"/>
        <v>13.061824878913402</v>
      </c>
      <c r="K206" s="2285">
        <v>15.441761003760099</v>
      </c>
      <c r="L206" s="2285">
        <v>15.905013833872903</v>
      </c>
      <c r="M206" s="2259">
        <f t="shared" si="34"/>
        <v>15.673387418816501</v>
      </c>
      <c r="N206" s="2294">
        <f>N204/N205</f>
        <v>17.590972969291485</v>
      </c>
      <c r="O206" s="2286">
        <f>O204/O205</f>
        <v>18.441598471178288</v>
      </c>
      <c r="P206" s="2258">
        <f t="shared" si="35"/>
        <v>18.016285720234887</v>
      </c>
      <c r="Q206" s="2284">
        <f>O206</f>
        <v>18.441598471178288</v>
      </c>
      <c r="R206" s="2286">
        <f>Q206*1.053</f>
        <v>19.419003190150736</v>
      </c>
      <c r="S206" s="2259">
        <f t="shared" si="40"/>
        <v>18.930300830664514</v>
      </c>
      <c r="T206" s="2284">
        <f>R206</f>
        <v>19.419003190150736</v>
      </c>
      <c r="U206" s="2286">
        <f>T206*1.053</f>
        <v>20.448210359228725</v>
      </c>
      <c r="V206" s="2258">
        <f t="shared" si="41"/>
        <v>19.933606774689729</v>
      </c>
      <c r="W206" s="2284">
        <f>U206</f>
        <v>20.448210359228725</v>
      </c>
      <c r="X206" s="2286">
        <f>W206*1.053</f>
        <v>21.531965508267845</v>
      </c>
      <c r="Y206" s="2258">
        <f t="shared" si="38"/>
        <v>20.990087933748285</v>
      </c>
      <c r="Z206" s="2284">
        <f>X206</f>
        <v>21.531965508267845</v>
      </c>
      <c r="AA206" s="2286">
        <f>Z206*1.053</f>
        <v>22.673159680206041</v>
      </c>
      <c r="AB206" s="2259">
        <f t="shared" si="39"/>
        <v>22.102562594236943</v>
      </c>
      <c r="AC206" s="2606"/>
      <c r="AD206" s="2606"/>
      <c r="AE206" s="2606"/>
      <c r="AF206" s="2593"/>
      <c r="AG206" s="2593"/>
      <c r="AH206" s="2593"/>
      <c r="AI206" s="2593"/>
      <c r="AJ206" s="2593"/>
    </row>
    <row r="207" spans="1:46" s="2218" customFormat="1" ht="18" customHeight="1" outlineLevel="1">
      <c r="A207" s="2235"/>
      <c r="B207" s="2383" t="s">
        <v>141</v>
      </c>
      <c r="C207" s="2293" t="s">
        <v>2035</v>
      </c>
      <c r="D207" s="2543" t="s">
        <v>1313</v>
      </c>
      <c r="E207" s="2284">
        <f>[14]Химреагенты!D5</f>
        <v>0</v>
      </c>
      <c r="F207" s="2284">
        <f>[14]Химреагенты!E5</f>
        <v>0</v>
      </c>
      <c r="G207" s="2257">
        <f t="shared" si="32"/>
        <v>0</v>
      </c>
      <c r="H207" s="2385">
        <f>[14]Химреагенты!G5</f>
        <v>0</v>
      </c>
      <c r="I207" s="2481">
        <f>[14]Химреагенты!H5</f>
        <v>0</v>
      </c>
      <c r="J207" s="2257">
        <f t="shared" si="33"/>
        <v>0</v>
      </c>
      <c r="K207" s="2385">
        <f>[14]Химреагенты!J5</f>
        <v>0</v>
      </c>
      <c r="L207" s="2481">
        <f>[14]Химреагенты!K5</f>
        <v>0</v>
      </c>
      <c r="M207" s="2259">
        <f t="shared" si="34"/>
        <v>0</v>
      </c>
      <c r="N207" s="2255">
        <f>'[11]НВВ 26.09.23.'!N207+'[12]НВВ 26.09.'!N207+'[13]НВВ 26.09.23.'!N207</f>
        <v>0</v>
      </c>
      <c r="O207" s="2260">
        <f>'[11]НВВ 26.09.23.'!O207+'[12]НВВ 26.09.'!O207+'[13]НВВ 26.09.23.'!O207</f>
        <v>35.135807804549593</v>
      </c>
      <c r="P207" s="2258">
        <f t="shared" si="35"/>
        <v>17.567903902274796</v>
      </c>
      <c r="Q207" s="2255">
        <f>'[11]НВВ 26.09.23.'!Q207+'[12]НВВ 26.09.'!Q207+'[13]НВВ 26.09.23.'!Q207</f>
        <v>35.135807804549593</v>
      </c>
      <c r="R207" s="2260">
        <f>'[11]НВВ 26.09.23.'!R207+'[12]НВВ 26.09.'!R207+'[13]НВВ 26.09.23.'!R207</f>
        <v>36.541240116731579</v>
      </c>
      <c r="S207" s="2259">
        <f t="shared" si="40"/>
        <v>35.838523960640586</v>
      </c>
      <c r="T207" s="2255">
        <f>'[11]НВВ 26.09.23.'!T207+'[12]НВВ 26.09.'!T207+'[13]НВВ 26.09.23.'!T207</f>
        <v>36.541240116731579</v>
      </c>
      <c r="U207" s="2260">
        <f>'[11]НВВ 26.09.23.'!U207+'[12]НВВ 26.09.'!U207+'[13]НВВ 26.09.23.'!U207</f>
        <v>38.002889721400841</v>
      </c>
      <c r="V207" s="2258">
        <f t="shared" si="41"/>
        <v>37.27206491906621</v>
      </c>
      <c r="W207" s="2255">
        <f>'[11]НВВ 26.09.23.'!W207+'[12]НВВ 26.09.'!W207+'[13]НВВ 26.09.23.'!W207</f>
        <v>38.002889721400841</v>
      </c>
      <c r="X207" s="2260">
        <f>'[11]НВВ 26.09.23.'!X207+'[12]НВВ 26.09.'!X207+'[13]НВВ 26.09.23.'!X207</f>
        <v>39.523005310256877</v>
      </c>
      <c r="Y207" s="2258">
        <f t="shared" si="38"/>
        <v>38.762947515828856</v>
      </c>
      <c r="Z207" s="2255">
        <f>'[11]НВВ 26.09.23.'!Z207+'[12]НВВ 26.09.'!Z207+'[13]НВВ 26.09.23.'!Z207</f>
        <v>39.523005310256877</v>
      </c>
      <c r="AA207" s="2260">
        <f>'[11]НВВ 26.09.23.'!AA207+'[12]НВВ 26.09.'!AA207+'[13]НВВ 26.09.23.'!AA207</f>
        <v>41.103925522667154</v>
      </c>
      <c r="AB207" s="2259">
        <f t="shared" si="39"/>
        <v>40.313465416462016</v>
      </c>
      <c r="AC207" s="2606"/>
      <c r="AD207" s="2606"/>
      <c r="AE207" s="2606"/>
      <c r="AF207" s="2593"/>
      <c r="AG207" s="2593"/>
      <c r="AH207" s="2593"/>
      <c r="AI207" s="2593"/>
      <c r="AJ207" s="2593"/>
    </row>
    <row r="208" spans="1:46" s="2218" customFormat="1" ht="31.5" outlineLevel="1">
      <c r="A208" s="2235">
        <v>155</v>
      </c>
      <c r="B208" s="2279" t="s">
        <v>134</v>
      </c>
      <c r="C208" s="2295" t="s">
        <v>2036</v>
      </c>
      <c r="D208" s="2500" t="s">
        <v>1313</v>
      </c>
      <c r="E208" s="2255">
        <f>E209+E210+E211+E212+E215+E216+E217</f>
        <v>238.01354107613042</v>
      </c>
      <c r="F208" s="2256">
        <f>F209+F210+F211+F212+F215+F216+F217</f>
        <v>238.01354107613042</v>
      </c>
      <c r="G208" s="2257">
        <f t="shared" si="32"/>
        <v>238.01354107613042</v>
      </c>
      <c r="H208" s="2256">
        <f>H209+H210+H211+H212+H215+H216+H217</f>
        <v>236.64364266301149</v>
      </c>
      <c r="I208" s="2256">
        <f>I209+I210+I211+I212+I215+I216+I217</f>
        <v>236.64364266301149</v>
      </c>
      <c r="J208" s="2257">
        <f t="shared" si="33"/>
        <v>236.64364266301149</v>
      </c>
      <c r="K208" s="2256">
        <f>K209+K210+K211+K212+K215+K216+K217</f>
        <v>228.01698012835703</v>
      </c>
      <c r="L208" s="2256">
        <f>L209+L210+L211+L212+L215+L216+L217</f>
        <v>228.01698012835703</v>
      </c>
      <c r="M208" s="2259">
        <f t="shared" si="34"/>
        <v>228.01698012835703</v>
      </c>
      <c r="N208" s="2255">
        <f>N209+N210+N211+N212+N215+N216+N217</f>
        <v>149.24291574719692</v>
      </c>
      <c r="O208" s="2260">
        <f>O209+O210+O211+O212+O215+O216+O217</f>
        <v>421.71895973816601</v>
      </c>
      <c r="P208" s="2258">
        <f t="shared" si="35"/>
        <v>285.48093774268148</v>
      </c>
      <c r="Q208" s="2255">
        <f>Q209+Q210+Q211+Q212+Q215+Q216+Q217</f>
        <v>421.71895973816601</v>
      </c>
      <c r="R208" s="2260">
        <f>R209+R210+R211+R212+R215+R216+R217</f>
        <v>438.58771812769265</v>
      </c>
      <c r="S208" s="2259">
        <f t="shared" si="40"/>
        <v>430.15333893292933</v>
      </c>
      <c r="T208" s="2255">
        <f>T209+T210+T211+T212+T215+T216+T217</f>
        <v>438.58771812769265</v>
      </c>
      <c r="U208" s="2260">
        <f>U209+U210+U211+U212+U215+U216+U217</f>
        <v>456.13122685280035</v>
      </c>
      <c r="V208" s="2258">
        <f t="shared" si="41"/>
        <v>447.3594724902465</v>
      </c>
      <c r="W208" s="2255">
        <f>W209+W210+W211+W212+W215+W216+W217</f>
        <v>456.23876775519608</v>
      </c>
      <c r="X208" s="2260">
        <f>X209+X210+X211+X212+X215+X216+X217</f>
        <v>474.48401682930808</v>
      </c>
      <c r="Y208" s="2258">
        <f t="shared" si="38"/>
        <v>465.36139229225205</v>
      </c>
      <c r="Z208" s="2255">
        <f>Z209+Z210+Z211+Z212+Z215+Z216+Z217</f>
        <v>474.49340221715352</v>
      </c>
      <c r="AA208" s="2260">
        <f>AA209+AA210+AA211+AA212+AA215+AA216+AA217</f>
        <v>493.46846125422996</v>
      </c>
      <c r="AB208" s="2259">
        <f t="shared" si="39"/>
        <v>483.98093173569174</v>
      </c>
      <c r="AC208" s="2606"/>
      <c r="AD208" s="2606"/>
      <c r="AE208" s="2606"/>
      <c r="AF208" s="2593"/>
      <c r="AG208" s="2593"/>
      <c r="AH208" s="2593"/>
      <c r="AI208" s="2593"/>
      <c r="AJ208" s="2593"/>
    </row>
    <row r="209" spans="1:36" s="2218" customFormat="1" ht="18" hidden="1" customHeight="1" outlineLevel="2">
      <c r="A209" s="2235">
        <v>156</v>
      </c>
      <c r="B209" s="2281" t="s">
        <v>2037</v>
      </c>
      <c r="C209" s="2282" t="s">
        <v>1182</v>
      </c>
      <c r="D209" s="2504" t="s">
        <v>1317</v>
      </c>
      <c r="E209" s="2284"/>
      <c r="F209" s="2285"/>
      <c r="G209" s="2257">
        <f t="shared" si="32"/>
        <v>0</v>
      </c>
      <c r="H209" s="2285"/>
      <c r="I209" s="2285"/>
      <c r="J209" s="2257">
        <f t="shared" si="33"/>
        <v>0</v>
      </c>
      <c r="K209" s="2285"/>
      <c r="L209" s="2285"/>
      <c r="M209" s="2259">
        <f t="shared" si="34"/>
        <v>0</v>
      </c>
      <c r="N209" s="2255">
        <f>'2024 Калуга+область транспортир'!Z208+'2024 Калуга+область перекачка'!Z208+'2024 Калуга+область очистка'!Z208</f>
        <v>0</v>
      </c>
      <c r="O209" s="2260">
        <f>'2024 Калуга+область транспортир'!AA208+'2024 Калуга+область перекачка'!AA208+'2024 Калуга+область очистка'!AA208</f>
        <v>0</v>
      </c>
      <c r="P209" s="2258">
        <f t="shared" si="35"/>
        <v>0</v>
      </c>
      <c r="Q209" s="2284"/>
      <c r="R209" s="2286"/>
      <c r="S209" s="2259">
        <f t="shared" si="40"/>
        <v>0</v>
      </c>
      <c r="T209" s="2284"/>
      <c r="U209" s="2286"/>
      <c r="V209" s="2258">
        <f t="shared" si="41"/>
        <v>0</v>
      </c>
      <c r="W209" s="2284"/>
      <c r="X209" s="2286"/>
      <c r="Y209" s="2258">
        <f t="shared" si="38"/>
        <v>0</v>
      </c>
      <c r="Z209" s="2284"/>
      <c r="AA209" s="2286"/>
      <c r="AB209" s="2259">
        <f t="shared" si="39"/>
        <v>0</v>
      </c>
      <c r="AC209" s="2606"/>
      <c r="AD209" s="2606"/>
      <c r="AE209" s="2606"/>
      <c r="AF209" s="2593"/>
      <c r="AG209" s="2593"/>
      <c r="AH209" s="2593"/>
      <c r="AI209" s="2593"/>
      <c r="AJ209" s="2593"/>
    </row>
    <row r="210" spans="1:36" s="2218" customFormat="1" ht="21" hidden="1" customHeight="1" outlineLevel="2">
      <c r="A210" s="2235">
        <v>157</v>
      </c>
      <c r="B210" s="2281" t="s">
        <v>2038</v>
      </c>
      <c r="C210" s="2282" t="s">
        <v>2039</v>
      </c>
      <c r="D210" s="2504" t="s">
        <v>1317</v>
      </c>
      <c r="E210" s="2284"/>
      <c r="F210" s="2285"/>
      <c r="G210" s="2257">
        <f t="shared" si="32"/>
        <v>0</v>
      </c>
      <c r="H210" s="2285"/>
      <c r="I210" s="2285"/>
      <c r="J210" s="2257">
        <f t="shared" si="33"/>
        <v>0</v>
      </c>
      <c r="K210" s="2285"/>
      <c r="L210" s="2285"/>
      <c r="M210" s="2259">
        <f t="shared" si="34"/>
        <v>0</v>
      </c>
      <c r="N210" s="2255">
        <f>'2024 Калуга+область транспортир'!Z209+'2024 Калуга+область перекачка'!Z209+'2024 Калуга+область очистка'!Z209</f>
        <v>0</v>
      </c>
      <c r="O210" s="2260">
        <f>'2024 Калуга+область транспортир'!AA209+'2024 Калуга+область перекачка'!AA209+'2024 Калуга+область очистка'!AA209</f>
        <v>0</v>
      </c>
      <c r="P210" s="2258">
        <f t="shared" si="35"/>
        <v>0</v>
      </c>
      <c r="Q210" s="2284"/>
      <c r="R210" s="2286"/>
      <c r="S210" s="2259">
        <f t="shared" si="40"/>
        <v>0</v>
      </c>
      <c r="T210" s="2284"/>
      <c r="U210" s="2286"/>
      <c r="V210" s="2258">
        <f t="shared" si="41"/>
        <v>0</v>
      </c>
      <c r="W210" s="2284"/>
      <c r="X210" s="2286"/>
      <c r="Y210" s="2258">
        <f t="shared" si="38"/>
        <v>0</v>
      </c>
      <c r="Z210" s="2284"/>
      <c r="AA210" s="2286"/>
      <c r="AB210" s="2259">
        <f t="shared" si="39"/>
        <v>0</v>
      </c>
      <c r="AC210" s="2606"/>
      <c r="AD210" s="2606"/>
      <c r="AE210" s="2606"/>
      <c r="AF210" s="2593"/>
      <c r="AG210" s="2593"/>
      <c r="AH210" s="2593"/>
      <c r="AI210" s="2593"/>
      <c r="AJ210" s="2593"/>
    </row>
    <row r="211" spans="1:36" s="2218" customFormat="1" outlineLevel="1" collapsed="1">
      <c r="A211" s="2235">
        <v>160</v>
      </c>
      <c r="B211" s="2281" t="s">
        <v>2040</v>
      </c>
      <c r="C211" s="2282" t="s">
        <v>2041</v>
      </c>
      <c r="D211" s="2504" t="s">
        <v>1317</v>
      </c>
      <c r="E211" s="2284">
        <v>0.73344107613040543</v>
      </c>
      <c r="F211" s="2285">
        <v>0.73344107613040543</v>
      </c>
      <c r="G211" s="2257">
        <f t="shared" si="32"/>
        <v>0.73344107613040543</v>
      </c>
      <c r="H211" s="2285">
        <v>0.47159266301151626</v>
      </c>
      <c r="I211" s="2285">
        <v>0.47159266301151626</v>
      </c>
      <c r="J211" s="2257">
        <f t="shared" si="33"/>
        <v>0.47159266301151626</v>
      </c>
      <c r="K211" s="2285">
        <v>0.36294012835702327</v>
      </c>
      <c r="L211" s="2285">
        <v>0.36294012835702327</v>
      </c>
      <c r="M211" s="2259">
        <f t="shared" si="34"/>
        <v>0.36294012835702327</v>
      </c>
      <c r="N211" s="2255">
        <f>'[11]НВВ 26.09.23.'!N211+'[12]НВВ 26.09.'!N211+'[13]НВВ 26.09.23.'!N211</f>
        <v>0.9830696616968756</v>
      </c>
      <c r="O211" s="2260">
        <f>'[11]НВВ 26.09.23.'!O211+'[12]НВВ 26.09.'!O211+'[13]НВВ 26.09.23.'!O211</f>
        <v>51.526144775516812</v>
      </c>
      <c r="P211" s="2258">
        <f t="shared" si="35"/>
        <v>26.254607218606843</v>
      </c>
      <c r="Q211" s="2255">
        <f>'[11]НВВ 26.09.23.'!Q211+'[12]НВВ 26.09.'!Q211+'[13]НВВ 26.09.23.'!Q211</f>
        <v>51.526144775516812</v>
      </c>
      <c r="R211" s="2260">
        <f>'[11]НВВ 26.09.23.'!R211+'[12]НВВ 26.09.'!R211+'[13]НВВ 26.09.23.'!R211</f>
        <v>53.587190566537487</v>
      </c>
      <c r="S211" s="2259">
        <f t="shared" si="40"/>
        <v>52.556667671027149</v>
      </c>
      <c r="T211" s="2255">
        <f>'[11]НВВ 26.09.23.'!T211+'[12]НВВ 26.09.'!T211+'[13]НВВ 26.09.23.'!T211</f>
        <v>53.587190566537487</v>
      </c>
      <c r="U211" s="2260">
        <f>'[11]НВВ 26.09.23.'!U211+'[12]НВВ 26.09.'!U211+'[13]НВВ 26.09.23.'!U211</f>
        <v>55.730678189198983</v>
      </c>
      <c r="V211" s="2258">
        <f t="shared" si="41"/>
        <v>54.658934377868235</v>
      </c>
      <c r="W211" s="2255">
        <f>'[11]НВВ 26.09.23.'!W211+'[12]НВВ 26.09.'!W211+'[13]НВВ 26.09.23.'!W211</f>
        <v>55.730678189198983</v>
      </c>
      <c r="X211" s="2260">
        <f>'[11]НВВ 26.09.23.'!X211+'[12]НВВ 26.09.'!X211+'[13]НВВ 26.09.23.'!X211</f>
        <v>57.95990531676695</v>
      </c>
      <c r="Y211" s="2258">
        <f t="shared" si="38"/>
        <v>56.845291752982966</v>
      </c>
      <c r="Z211" s="2255">
        <f>'[11]НВВ 26.09.23.'!Z211+'[12]НВВ 26.09.'!Z211+'[13]НВВ 26.09.23.'!Z211</f>
        <v>57.95990531676695</v>
      </c>
      <c r="AA211" s="2260">
        <f>'[11]НВВ 26.09.23.'!AA211+'[12]НВВ 26.09.'!AA211+'[13]НВВ 26.09.23.'!AA211</f>
        <v>60.278301529437627</v>
      </c>
      <c r="AB211" s="2259">
        <f t="shared" si="39"/>
        <v>59.119103423102288</v>
      </c>
      <c r="AC211" s="2606"/>
      <c r="AD211" s="2606"/>
      <c r="AE211" s="2606"/>
      <c r="AF211" s="2593"/>
      <c r="AG211" s="2593"/>
      <c r="AH211" s="2593"/>
      <c r="AI211" s="2593"/>
      <c r="AJ211" s="2593"/>
    </row>
    <row r="212" spans="1:36" s="2218" customFormat="1" ht="30.75" hidden="1" customHeight="1" outlineLevel="2">
      <c r="A212" s="2235">
        <v>10</v>
      </c>
      <c r="B212" s="2279" t="s">
        <v>2043</v>
      </c>
      <c r="C212" s="2280" t="s">
        <v>2044</v>
      </c>
      <c r="D212" s="2500" t="s">
        <v>1313</v>
      </c>
      <c r="E212" s="2255">
        <f>E213+E214</f>
        <v>0</v>
      </c>
      <c r="F212" s="2256">
        <f>F213+F214</f>
        <v>0</v>
      </c>
      <c r="G212" s="2257">
        <f t="shared" si="32"/>
        <v>0</v>
      </c>
      <c r="H212" s="2256">
        <f>H213+H214</f>
        <v>0</v>
      </c>
      <c r="I212" s="2256">
        <f>I213+I214</f>
        <v>0</v>
      </c>
      <c r="J212" s="2257">
        <f t="shared" si="33"/>
        <v>0</v>
      </c>
      <c r="K212" s="2256">
        <f>K213+K214</f>
        <v>0</v>
      </c>
      <c r="L212" s="2256">
        <f>L213+L214</f>
        <v>0</v>
      </c>
      <c r="M212" s="2259">
        <f t="shared" si="34"/>
        <v>0</v>
      </c>
      <c r="N212" s="2255">
        <f>'2024 Калуга+область транспортир'!Z211+'2024 Калуга+область перекачка'!Z211+'2024 Калуга+область очистка'!Z211</f>
        <v>0</v>
      </c>
      <c r="O212" s="2260">
        <f>'2024 Калуга+область транспортир'!AA211+'2024 Калуга+область перекачка'!AA211+'2024 Калуга+область очистка'!AA211</f>
        <v>0</v>
      </c>
      <c r="P212" s="2258">
        <f t="shared" si="35"/>
        <v>0</v>
      </c>
      <c r="Q212" s="2255">
        <f>'2024 Калуга+область транспортир'!AC211+'2024 Калуга+область перекачка'!AC211+'2024 Калуга+область очистка'!AC211</f>
        <v>0</v>
      </c>
      <c r="R212" s="2260">
        <f>'2024 Калуга+область транспортир'!AD211+'2024 Калуга+область перекачка'!AD211+'2024 Калуга+область очистка'!AD211</f>
        <v>0</v>
      </c>
      <c r="S212" s="2259">
        <f t="shared" si="40"/>
        <v>0</v>
      </c>
      <c r="T212" s="2255">
        <f>'2024 Калуга+область транспортир'!AF211+'2024 Калуга+область перекачка'!AF211+'2024 Калуга+область очистка'!AF211</f>
        <v>0</v>
      </c>
      <c r="U212" s="2260">
        <f>'2024 Калуга+область транспортир'!AG211+'2024 Калуга+область перекачка'!AG211+'2024 Калуга+область очистка'!AG211</f>
        <v>0</v>
      </c>
      <c r="V212" s="2258">
        <f t="shared" si="41"/>
        <v>0</v>
      </c>
      <c r="W212" s="2255">
        <f>'2024 Калуга+область транспортир'!AI211+'2024 Калуга+область перекачка'!AI211+'2024 Калуга+область очистка'!AI211</f>
        <v>0</v>
      </c>
      <c r="X212" s="2260">
        <f>'2024 Калуга+область транспортир'!AJ211+'2024 Калуга+область перекачка'!AJ211+'2024 Калуга+область очистка'!AJ211</f>
        <v>0</v>
      </c>
      <c r="Y212" s="2258">
        <f t="shared" si="38"/>
        <v>0</v>
      </c>
      <c r="Z212" s="2255">
        <f>'2024 Калуга+область транспортир'!AL211+'2024 Калуга+область перекачка'!AL211+'2024 Калуга+область очистка'!AL211</f>
        <v>0</v>
      </c>
      <c r="AA212" s="2260">
        <f>'2024 Калуга+область транспортир'!AM211+'2024 Калуга+область перекачка'!AM211+'2024 Калуга+область очистка'!AM211</f>
        <v>0</v>
      </c>
      <c r="AB212" s="2259">
        <f t="shared" si="39"/>
        <v>0</v>
      </c>
      <c r="AC212" s="2606"/>
      <c r="AD212" s="2606"/>
      <c r="AE212" s="2606"/>
      <c r="AF212" s="2593"/>
      <c r="AG212" s="2593"/>
      <c r="AH212" s="2593"/>
      <c r="AI212" s="2593"/>
      <c r="AJ212" s="2593"/>
    </row>
    <row r="213" spans="1:36" s="2218" customFormat="1" ht="15" hidden="1" customHeight="1" outlineLevel="2">
      <c r="A213" s="2235">
        <v>11</v>
      </c>
      <c r="B213" s="2281" t="s">
        <v>2045</v>
      </c>
      <c r="C213" s="2282" t="s">
        <v>2046</v>
      </c>
      <c r="D213" s="2504" t="s">
        <v>1317</v>
      </c>
      <c r="E213" s="2284"/>
      <c r="F213" s="2285"/>
      <c r="G213" s="2257">
        <f t="shared" si="32"/>
        <v>0</v>
      </c>
      <c r="H213" s="2285"/>
      <c r="I213" s="2285"/>
      <c r="J213" s="2257">
        <f t="shared" si="33"/>
        <v>0</v>
      </c>
      <c r="K213" s="2285"/>
      <c r="L213" s="2285"/>
      <c r="M213" s="2259">
        <f t="shared" si="34"/>
        <v>0</v>
      </c>
      <c r="N213" s="2255">
        <f>'2024 Калуга+область транспортир'!Z212+'2024 Калуга+область перекачка'!Z212+'2024 Калуга+область очистка'!Z212</f>
        <v>0</v>
      </c>
      <c r="O213" s="2260">
        <f>'2024 Калуга+область транспортир'!AA212+'2024 Калуга+область перекачка'!AA212+'2024 Калуга+область очистка'!AA212</f>
        <v>0</v>
      </c>
      <c r="P213" s="2258">
        <f t="shared" si="35"/>
        <v>0</v>
      </c>
      <c r="Q213" s="2255">
        <f>'2024 Калуга+область транспортир'!AC212+'2024 Калуга+область перекачка'!AC212+'2024 Калуга+область очистка'!AC212</f>
        <v>0</v>
      </c>
      <c r="R213" s="2260">
        <f>'2024 Калуга+область транспортир'!AD212+'2024 Калуга+область перекачка'!AD212+'2024 Калуга+область очистка'!AD212</f>
        <v>0</v>
      </c>
      <c r="S213" s="2259">
        <f t="shared" si="40"/>
        <v>0</v>
      </c>
      <c r="T213" s="2255">
        <f>'2024 Калуга+область транспортир'!AF212+'2024 Калуга+область перекачка'!AF212+'2024 Калуга+область очистка'!AF212</f>
        <v>0</v>
      </c>
      <c r="U213" s="2260">
        <f>'2024 Калуга+область транспортир'!AG212+'2024 Калуга+область перекачка'!AG212+'2024 Калуга+область очистка'!AG212</f>
        <v>0</v>
      </c>
      <c r="V213" s="2258">
        <f t="shared" si="41"/>
        <v>0</v>
      </c>
      <c r="W213" s="2255">
        <f>'2024 Калуга+область транспортир'!AI212+'2024 Калуга+область перекачка'!AI212+'2024 Калуга+область очистка'!AI212</f>
        <v>0</v>
      </c>
      <c r="X213" s="2260">
        <f>'2024 Калуга+область транспортир'!AJ212+'2024 Калуга+область перекачка'!AJ212+'2024 Калуга+область очистка'!AJ212</f>
        <v>0</v>
      </c>
      <c r="Y213" s="2258">
        <f t="shared" si="38"/>
        <v>0</v>
      </c>
      <c r="Z213" s="2255">
        <f>'2024 Калуга+область транспортир'!AL212+'2024 Калуга+область перекачка'!AL212+'2024 Калуга+область очистка'!AL212</f>
        <v>0</v>
      </c>
      <c r="AA213" s="2260">
        <f>'2024 Калуга+область транспортир'!AM212+'2024 Калуга+область перекачка'!AM212+'2024 Калуга+область очистка'!AM212</f>
        <v>0</v>
      </c>
      <c r="AB213" s="2259">
        <f t="shared" si="39"/>
        <v>0</v>
      </c>
      <c r="AC213" s="2606"/>
      <c r="AD213" s="2606"/>
      <c r="AE213" s="2606"/>
      <c r="AF213" s="2593"/>
      <c r="AG213" s="2593"/>
      <c r="AH213" s="2593"/>
      <c r="AI213" s="2593"/>
      <c r="AJ213" s="2593"/>
    </row>
    <row r="214" spans="1:36" s="2218" customFormat="1" ht="21" hidden="1" customHeight="1" outlineLevel="2">
      <c r="A214" s="2235">
        <v>159</v>
      </c>
      <c r="B214" s="2281" t="s">
        <v>2048</v>
      </c>
      <c r="C214" s="2282" t="s">
        <v>2049</v>
      </c>
      <c r="D214" s="2504" t="s">
        <v>1317</v>
      </c>
      <c r="E214" s="2284"/>
      <c r="F214" s="2285"/>
      <c r="G214" s="2257">
        <f t="shared" si="32"/>
        <v>0</v>
      </c>
      <c r="H214" s="2285"/>
      <c r="I214" s="2285"/>
      <c r="J214" s="2257">
        <f t="shared" si="33"/>
        <v>0</v>
      </c>
      <c r="K214" s="2285"/>
      <c r="L214" s="2285"/>
      <c r="M214" s="2259">
        <f t="shared" si="34"/>
        <v>0</v>
      </c>
      <c r="N214" s="2255">
        <f>'2024 Калуга+область транспортир'!Z213+'2024 Калуга+область перекачка'!Z213+'2024 Калуга+область очистка'!Z213</f>
        <v>0</v>
      </c>
      <c r="O214" s="2260">
        <f>'2024 Калуга+область транспортир'!AA213+'2024 Калуга+область перекачка'!AA213+'2024 Калуга+область очистка'!AA213</f>
        <v>0</v>
      </c>
      <c r="P214" s="2258">
        <f t="shared" si="35"/>
        <v>0</v>
      </c>
      <c r="Q214" s="2255">
        <f>'2024 Калуга+область транспортир'!AC213+'2024 Калуга+область перекачка'!AC213+'2024 Калуга+область очистка'!AC213</f>
        <v>0</v>
      </c>
      <c r="R214" s="2260">
        <f>'2024 Калуга+область транспортир'!AD213+'2024 Калуга+область перекачка'!AD213+'2024 Калуга+область очистка'!AD213</f>
        <v>0</v>
      </c>
      <c r="S214" s="2259">
        <f t="shared" si="40"/>
        <v>0</v>
      </c>
      <c r="T214" s="2255">
        <f>'2024 Калуга+область транспортир'!AF213+'2024 Калуга+область перекачка'!AF213+'2024 Калуга+область очистка'!AF213</f>
        <v>0</v>
      </c>
      <c r="U214" s="2260">
        <f>'2024 Калуга+область транспортир'!AG213+'2024 Калуга+область перекачка'!AG213+'2024 Калуга+область очистка'!AG213</f>
        <v>0</v>
      </c>
      <c r="V214" s="2258">
        <f t="shared" si="41"/>
        <v>0</v>
      </c>
      <c r="W214" s="2255">
        <f>'2024 Калуга+область транспортир'!AI213+'2024 Калуга+область перекачка'!AI213+'2024 Калуга+область очистка'!AI213</f>
        <v>0</v>
      </c>
      <c r="X214" s="2260">
        <f>'2024 Калуга+область транспортир'!AJ213+'2024 Калуга+область перекачка'!AJ213+'2024 Калуга+область очистка'!AJ213</f>
        <v>0</v>
      </c>
      <c r="Y214" s="2258">
        <f t="shared" si="38"/>
        <v>0</v>
      </c>
      <c r="Z214" s="2255">
        <f>'2024 Калуга+область транспортир'!AL213+'2024 Калуга+область перекачка'!AL213+'2024 Калуга+область очистка'!AL213</f>
        <v>0</v>
      </c>
      <c r="AA214" s="2260">
        <f>'2024 Калуга+область транспортир'!AM213+'2024 Калуга+область перекачка'!AM213+'2024 Калуга+область очистка'!AM213</f>
        <v>0</v>
      </c>
      <c r="AB214" s="2259">
        <f t="shared" si="39"/>
        <v>0</v>
      </c>
      <c r="AC214" s="2606"/>
      <c r="AD214" s="2606"/>
      <c r="AE214" s="2606"/>
      <c r="AF214" s="2593"/>
      <c r="AG214" s="2593"/>
      <c r="AH214" s="2593"/>
      <c r="AI214" s="2593"/>
      <c r="AJ214" s="2593"/>
    </row>
    <row r="215" spans="1:36" s="2218" customFormat="1" ht="17.25" customHeight="1" outlineLevel="1" collapsed="1">
      <c r="A215" s="2235">
        <v>161</v>
      </c>
      <c r="B215" s="2281" t="s">
        <v>2051</v>
      </c>
      <c r="C215" s="2282" t="s">
        <v>2052</v>
      </c>
      <c r="D215" s="2504" t="s">
        <v>1317</v>
      </c>
      <c r="E215" s="2284">
        <v>237.2801</v>
      </c>
      <c r="F215" s="2285">
        <v>237.2801</v>
      </c>
      <c r="G215" s="2257">
        <f t="shared" si="32"/>
        <v>237.2801</v>
      </c>
      <c r="H215" s="2285">
        <v>236.17204999999998</v>
      </c>
      <c r="I215" s="2285">
        <v>236.17204999999998</v>
      </c>
      <c r="J215" s="2257">
        <f t="shared" si="33"/>
        <v>236.17204999999998</v>
      </c>
      <c r="K215" s="2285">
        <v>227.65404000000001</v>
      </c>
      <c r="L215" s="2285">
        <v>227.65404000000001</v>
      </c>
      <c r="M215" s="2259">
        <f t="shared" si="34"/>
        <v>227.65404000000001</v>
      </c>
      <c r="N215" s="2255">
        <f>'[11]НВВ 26.09.23.'!N215+'[12]НВВ 26.09.'!N215+'[13]НВВ 26.09.23.'!N215</f>
        <v>147.87397823109595</v>
      </c>
      <c r="O215" s="2260">
        <f>'[11]НВВ 26.09.23.'!O215+'[12]НВВ 26.09.'!O215+'[13]НВВ 26.09.23.'!O215</f>
        <v>364.96300380164291</v>
      </c>
      <c r="P215" s="2258">
        <f t="shared" si="35"/>
        <v>256.41849101636944</v>
      </c>
      <c r="Q215" s="2255">
        <f>'[11]НВВ 26.09.23.'!Q215+'[12]НВВ 26.09.'!Q215+'[13]НВВ 26.09.23.'!Q215</f>
        <v>364.96300380164291</v>
      </c>
      <c r="R215" s="2260">
        <f>'[11]НВВ 26.09.23.'!R215+'[12]НВВ 26.09.'!R215+'[13]НВВ 26.09.23.'!R215</f>
        <v>379.56152395370862</v>
      </c>
      <c r="S215" s="2259">
        <f t="shared" si="40"/>
        <v>372.26226387767576</v>
      </c>
      <c r="T215" s="2255">
        <f>'[11]НВВ 26.09.23.'!T215+'[12]НВВ 26.09.'!T215+'[13]НВВ 26.09.23.'!T215</f>
        <v>379.56152395370862</v>
      </c>
      <c r="U215" s="2260">
        <f>'[11]НВВ 26.09.23.'!U215+'[12]НВВ 26.09.'!U215+'[13]НВВ 26.09.23.'!U215</f>
        <v>394.74398491185701</v>
      </c>
      <c r="V215" s="2258">
        <f t="shared" si="41"/>
        <v>387.15275443278279</v>
      </c>
      <c r="W215" s="2255">
        <f>'[11]НВВ 26.09.23.'!W215+'[12]НВВ 26.09.'!W215+'[13]НВВ 26.09.23.'!W215</f>
        <v>394.74398491185701</v>
      </c>
      <c r="X215" s="2260">
        <f>'[11]НВВ 26.09.23.'!X215+'[12]НВВ 26.09.'!X215+'[13]НВВ 26.09.23.'!X215</f>
        <v>410.53374430833128</v>
      </c>
      <c r="Y215" s="2258">
        <f t="shared" si="38"/>
        <v>402.63886461009417</v>
      </c>
      <c r="Z215" s="2255">
        <f>'[11]НВВ 26.09.23.'!Z215+'[12]НВВ 26.09.'!Z215+'[13]НВВ 26.09.23.'!Z215</f>
        <v>410.53374430833128</v>
      </c>
      <c r="AA215" s="2260">
        <f>'[11]НВВ 26.09.23.'!AA215+'[12]НВВ 26.09.'!AA215+'[13]НВВ 26.09.23.'!AA215</f>
        <v>426.95509408066448</v>
      </c>
      <c r="AB215" s="2259">
        <f t="shared" si="39"/>
        <v>418.74441919449788</v>
      </c>
      <c r="AC215" s="2606"/>
      <c r="AD215" s="2606"/>
      <c r="AE215" s="2606"/>
      <c r="AF215" s="2593"/>
      <c r="AG215" s="2593"/>
      <c r="AH215" s="2593"/>
      <c r="AI215" s="2593"/>
      <c r="AJ215" s="2593"/>
    </row>
    <row r="216" spans="1:36" s="2218" customFormat="1" ht="31.5" outlineLevel="1">
      <c r="A216" s="2235">
        <v>158</v>
      </c>
      <c r="B216" s="2281" t="s">
        <v>2054</v>
      </c>
      <c r="C216" s="2282" t="s">
        <v>2055</v>
      </c>
      <c r="D216" s="2504" t="s">
        <v>1317</v>
      </c>
      <c r="E216" s="2386"/>
      <c r="F216" s="2387"/>
      <c r="G216" s="2257">
        <f t="shared" si="32"/>
        <v>0</v>
      </c>
      <c r="H216" s="2387"/>
      <c r="I216" s="2387"/>
      <c r="J216" s="2257">
        <f t="shared" si="33"/>
        <v>0</v>
      </c>
      <c r="K216" s="2387"/>
      <c r="L216" s="2387"/>
      <c r="M216" s="2259">
        <f t="shared" si="34"/>
        <v>0</v>
      </c>
      <c r="N216" s="2255">
        <f>'[11]НВВ 26.09.23.'!N216+'[12]НВВ 26.09.'!N216+'[13]НВВ 26.09.23.'!N216</f>
        <v>0.38586785440408949</v>
      </c>
      <c r="O216" s="2260">
        <f>'[11]НВВ 26.09.23.'!O216+'[12]НВВ 26.09.'!O216+'[13]НВВ 26.09.23.'!O216</f>
        <v>5.229811161006273</v>
      </c>
      <c r="P216" s="2544">
        <f t="shared" si="35"/>
        <v>2.8078395077051814</v>
      </c>
      <c r="Q216" s="2255">
        <f>'[11]НВВ 26.09.23.'!Q216+'[12]НВВ 26.09.'!Q216+'[13]НВВ 26.09.23.'!Q216</f>
        <v>5.229811161006273</v>
      </c>
      <c r="R216" s="2260">
        <f>'[11]НВВ 26.09.23.'!R216+'[12]НВВ 26.09.'!R216+'[13]НВВ 26.09.23.'!R216</f>
        <v>5.4390036074465238</v>
      </c>
      <c r="S216" s="2259">
        <f t="shared" si="40"/>
        <v>5.3344073842263988</v>
      </c>
      <c r="T216" s="2255">
        <f>'[11]НВВ 26.09.23.'!T216+'[12]НВВ 26.09.'!T216+'[13]НВВ 26.09.23.'!T216</f>
        <v>5.4390036074465238</v>
      </c>
      <c r="U216" s="2260">
        <f>'[11]НВВ 26.09.23.'!U216+'[12]НВВ 26.09.'!U216+'[13]НВВ 26.09.23.'!U216</f>
        <v>5.6565637517443852</v>
      </c>
      <c r="V216" s="2258">
        <f t="shared" si="41"/>
        <v>5.5477836795954545</v>
      </c>
      <c r="W216" s="2255">
        <f>'[11]НВВ 26.09.23.'!W216+'[12]НВВ 26.09.'!W216+'[13]НВВ 26.09.23.'!W216</f>
        <v>5.7641046541400964</v>
      </c>
      <c r="X216" s="2260">
        <f>'[11]НВВ 26.09.23.'!X216+'[12]НВВ 26.09.'!X216+'[13]НВВ 26.09.23.'!X216</f>
        <v>5.9903672042098721</v>
      </c>
      <c r="Y216" s="2258">
        <f t="shared" si="38"/>
        <v>5.8772359291749847</v>
      </c>
      <c r="Z216" s="2255">
        <f>'[11]НВВ 26.09.23.'!Z216+'[12]НВВ 26.09.'!Z216+'[13]НВВ 26.09.23.'!Z216</f>
        <v>5.9997525920553159</v>
      </c>
      <c r="AA216" s="2260">
        <f>'[11]НВВ 26.09.23.'!AA216+'[12]НВВ 26.09.'!AA216+'[13]НВВ 26.09.23.'!AA216</f>
        <v>6.2350656441278822</v>
      </c>
      <c r="AB216" s="2259">
        <f t="shared" si="39"/>
        <v>6.117409118091599</v>
      </c>
      <c r="AC216" s="2606"/>
      <c r="AD216" s="2606"/>
      <c r="AE216" s="2606"/>
      <c r="AF216" s="2593"/>
      <c r="AG216" s="2593"/>
      <c r="AH216" s="2593"/>
      <c r="AI216" s="2593"/>
      <c r="AJ216" s="2593"/>
    </row>
    <row r="217" spans="1:36" s="2218" customFormat="1" ht="57.75" hidden="1" customHeight="1" outlineLevel="2">
      <c r="A217" s="2235">
        <v>162</v>
      </c>
      <c r="B217" s="2281" t="s">
        <v>2056</v>
      </c>
      <c r="C217" s="2282" t="s">
        <v>2057</v>
      </c>
      <c r="D217" s="2504" t="s">
        <v>1317</v>
      </c>
      <c r="E217" s="2284"/>
      <c r="F217" s="2285"/>
      <c r="G217" s="2257">
        <f t="shared" si="32"/>
        <v>0</v>
      </c>
      <c r="H217" s="2285"/>
      <c r="I217" s="2285"/>
      <c r="J217" s="2257">
        <f t="shared" si="33"/>
        <v>0</v>
      </c>
      <c r="K217" s="2285"/>
      <c r="L217" s="2285"/>
      <c r="M217" s="2259">
        <f t="shared" si="34"/>
        <v>0</v>
      </c>
      <c r="N217" s="2255">
        <f>'2024 Калуга+область транспортир'!Z216+'2024 Калуга+область перекачка'!Z216+'2024 Калуга+область очистка'!Z216</f>
        <v>0</v>
      </c>
      <c r="O217" s="2260">
        <f>'2024 Калуга+область транспортир'!AA216+'2024 Калуга+область перекачка'!AA216+'2024 Калуга+область очистка'!AA216</f>
        <v>0</v>
      </c>
      <c r="P217" s="2258">
        <f t="shared" si="35"/>
        <v>0</v>
      </c>
      <c r="Q217" s="2284"/>
      <c r="R217" s="2286"/>
      <c r="S217" s="2259">
        <f t="shared" si="40"/>
        <v>0</v>
      </c>
      <c r="T217" s="2284"/>
      <c r="U217" s="2286"/>
      <c r="V217" s="2258">
        <f t="shared" si="41"/>
        <v>0</v>
      </c>
      <c r="W217" s="2284"/>
      <c r="X217" s="2286"/>
      <c r="Y217" s="2258">
        <f t="shared" si="38"/>
        <v>0</v>
      </c>
      <c r="Z217" s="2284"/>
      <c r="AA217" s="2286"/>
      <c r="AB217" s="2259">
        <f t="shared" si="39"/>
        <v>0</v>
      </c>
      <c r="AC217" s="2606"/>
      <c r="AD217" s="2606"/>
      <c r="AE217" s="2606"/>
      <c r="AF217" s="2593"/>
      <c r="AG217" s="2593"/>
      <c r="AH217" s="2593"/>
      <c r="AI217" s="2593"/>
      <c r="AJ217" s="2593"/>
    </row>
    <row r="218" spans="1:36" s="2218" customFormat="1" ht="31.5" outlineLevel="1" collapsed="1">
      <c r="A218" s="2235">
        <v>149</v>
      </c>
      <c r="B218" s="2388">
        <v>2</v>
      </c>
      <c r="C218" s="2295" t="s">
        <v>2058</v>
      </c>
      <c r="D218" s="2500" t="s">
        <v>1313</v>
      </c>
      <c r="E218" s="2255">
        <f>E219+E220+E221+E222+E223</f>
        <v>467.33303358840158</v>
      </c>
      <c r="F218" s="2256">
        <f>F219+F220+F221+F222+F223</f>
        <v>467.33303358840158</v>
      </c>
      <c r="G218" s="2257">
        <f t="shared" si="32"/>
        <v>467.33303358840158</v>
      </c>
      <c r="H218" s="2256">
        <f>H219+H220+H221+H222+H223</f>
        <v>618.64763599046501</v>
      </c>
      <c r="I218" s="2256">
        <f>I219+I220+I221+I222+I223</f>
        <v>618.64763599046501</v>
      </c>
      <c r="J218" s="2257">
        <f t="shared" si="33"/>
        <v>618.64763599046501</v>
      </c>
      <c r="K218" s="2256">
        <f>K219+K220+K221+K222+K223</f>
        <v>1252.22666723673</v>
      </c>
      <c r="L218" s="2256">
        <f>L219+L220+L221+L222+L223</f>
        <v>1252.22666723673</v>
      </c>
      <c r="M218" s="2259">
        <f t="shared" si="34"/>
        <v>1252.22666723673</v>
      </c>
      <c r="N218" s="2255">
        <f>N219+N220+N221+N222+N223</f>
        <v>826.44865218309337</v>
      </c>
      <c r="O218" s="2260">
        <f>O219+O220+O221+O222+O223</f>
        <v>3054.191414198327</v>
      </c>
      <c r="P218" s="2258">
        <f t="shared" si="35"/>
        <v>1940.3200331907101</v>
      </c>
      <c r="Q218" s="2255">
        <f>Q219+Q220+Q221+Q222+Q223</f>
        <v>3054.191414198327</v>
      </c>
      <c r="R218" s="2260">
        <f>R219+R220+R221+R222+R223</f>
        <v>3176.3590707662606</v>
      </c>
      <c r="S218" s="2259">
        <f t="shared" si="40"/>
        <v>3115.2752424822938</v>
      </c>
      <c r="T218" s="2255">
        <f>T219+T220+T221+T222+T223</f>
        <v>3176.3590707662606</v>
      </c>
      <c r="U218" s="2260">
        <f>U219+U220+U221+U222+U223</f>
        <v>3303.4134335969111</v>
      </c>
      <c r="V218" s="2258">
        <f t="shared" si="41"/>
        <v>3239.8862521815859</v>
      </c>
      <c r="W218" s="2255">
        <f>W219+W220+W221+W222+W223</f>
        <v>3303.4134335969111</v>
      </c>
      <c r="X218" s="2260">
        <f>X219+X220+X221+X222+X223</f>
        <v>3435.5499709407868</v>
      </c>
      <c r="Y218" s="2258">
        <f t="shared" si="38"/>
        <v>3369.4817022688489</v>
      </c>
      <c r="Z218" s="2255">
        <f>Z219+Z220+Z221+Z222+Z223</f>
        <v>3435.5499709407868</v>
      </c>
      <c r="AA218" s="2260">
        <f>AA219+AA220+AA221+AA222+AA223</f>
        <v>3572.9719697784185</v>
      </c>
      <c r="AB218" s="2259">
        <f t="shared" si="39"/>
        <v>3504.2609703596027</v>
      </c>
      <c r="AC218" s="2606"/>
      <c r="AD218" s="2606"/>
      <c r="AE218" s="2606"/>
      <c r="AF218" s="2593"/>
      <c r="AG218" s="2593"/>
      <c r="AH218" s="2593"/>
      <c r="AI218" s="2593"/>
      <c r="AJ218" s="2593"/>
    </row>
    <row r="219" spans="1:36" s="2218" customFormat="1" ht="24" hidden="1" customHeight="1" outlineLevel="2">
      <c r="A219" s="2235">
        <v>150</v>
      </c>
      <c r="B219" s="2281" t="s">
        <v>135</v>
      </c>
      <c r="C219" s="2282" t="s">
        <v>2059</v>
      </c>
      <c r="D219" s="2504" t="s">
        <v>1317</v>
      </c>
      <c r="E219" s="2284"/>
      <c r="F219" s="2285"/>
      <c r="G219" s="2257">
        <f t="shared" si="32"/>
        <v>0</v>
      </c>
      <c r="H219" s="2285"/>
      <c r="I219" s="2285"/>
      <c r="J219" s="2257">
        <f t="shared" si="33"/>
        <v>0</v>
      </c>
      <c r="K219" s="2285"/>
      <c r="L219" s="2285"/>
      <c r="M219" s="2259">
        <f t="shared" si="34"/>
        <v>0</v>
      </c>
      <c r="N219" s="2255">
        <f>'2024 Калуга+область транспортир'!Z218+'2024 Калуга+область перекачка'!Z218+'2024 Калуга+область очистка'!Z218</f>
        <v>0</v>
      </c>
      <c r="O219" s="2260">
        <f>'2024 Калуга+область транспортир'!AA218+'2024 Калуга+область перекачка'!AA218+'2024 Калуга+область очистка'!AA218</f>
        <v>0</v>
      </c>
      <c r="P219" s="2258">
        <f t="shared" si="35"/>
        <v>0</v>
      </c>
      <c r="Q219" s="2284"/>
      <c r="R219" s="2286"/>
      <c r="S219" s="2259">
        <f t="shared" si="40"/>
        <v>0</v>
      </c>
      <c r="T219" s="2284"/>
      <c r="U219" s="2286"/>
      <c r="V219" s="2258">
        <f t="shared" si="41"/>
        <v>0</v>
      </c>
      <c r="W219" s="2284"/>
      <c r="X219" s="2286"/>
      <c r="Y219" s="2258">
        <f t="shared" si="38"/>
        <v>0</v>
      </c>
      <c r="Z219" s="2284"/>
      <c r="AA219" s="2286"/>
      <c r="AB219" s="2259">
        <f t="shared" si="39"/>
        <v>0</v>
      </c>
      <c r="AC219" s="2606"/>
      <c r="AD219" s="2606"/>
      <c r="AE219" s="2606"/>
      <c r="AF219" s="2593"/>
      <c r="AG219" s="2593"/>
      <c r="AH219" s="2593"/>
      <c r="AI219" s="2593"/>
      <c r="AJ219" s="2593"/>
    </row>
    <row r="220" spans="1:36" s="2218" customFormat="1" hidden="1" outlineLevel="2">
      <c r="A220" s="2235">
        <v>151</v>
      </c>
      <c r="B220" s="2281" t="s">
        <v>2060</v>
      </c>
      <c r="C220" s="2282" t="s">
        <v>2061</v>
      </c>
      <c r="D220" s="2504" t="s">
        <v>1317</v>
      </c>
      <c r="E220" s="2284"/>
      <c r="F220" s="2285"/>
      <c r="G220" s="2257">
        <f t="shared" si="32"/>
        <v>0</v>
      </c>
      <c r="H220" s="2285"/>
      <c r="I220" s="2285"/>
      <c r="J220" s="2257">
        <f t="shared" si="33"/>
        <v>0</v>
      </c>
      <c r="K220" s="2285"/>
      <c r="L220" s="2285"/>
      <c r="M220" s="2259">
        <f t="shared" si="34"/>
        <v>0</v>
      </c>
      <c r="N220" s="2255">
        <f>'2024 Калуга+область транспортир'!Z219+'2024 Калуга+область перекачка'!Z219+'2024 Калуга+область очистка'!Z219</f>
        <v>0</v>
      </c>
      <c r="O220" s="2260">
        <f>'2024 Калуга+область транспортир'!AA219+'2024 Калуга+область перекачка'!AA219+'2024 Калуга+область очистка'!AA219</f>
        <v>0</v>
      </c>
      <c r="P220" s="2258">
        <f t="shared" si="35"/>
        <v>0</v>
      </c>
      <c r="Q220" s="2284"/>
      <c r="R220" s="2286"/>
      <c r="S220" s="2259">
        <f t="shared" si="40"/>
        <v>0</v>
      </c>
      <c r="T220" s="2284"/>
      <c r="U220" s="2286"/>
      <c r="V220" s="2258">
        <f t="shared" si="41"/>
        <v>0</v>
      </c>
      <c r="W220" s="2284"/>
      <c r="X220" s="2286"/>
      <c r="Y220" s="2258">
        <f t="shared" si="38"/>
        <v>0</v>
      </c>
      <c r="Z220" s="2284"/>
      <c r="AA220" s="2286"/>
      <c r="AB220" s="2259">
        <f t="shared" si="39"/>
        <v>0</v>
      </c>
      <c r="AC220" s="2606"/>
      <c r="AD220" s="2606"/>
      <c r="AE220" s="2606"/>
      <c r="AF220" s="2593"/>
      <c r="AG220" s="2593"/>
      <c r="AH220" s="2593"/>
      <c r="AI220" s="2593"/>
      <c r="AJ220" s="2593"/>
    </row>
    <row r="221" spans="1:36" s="2218" customFormat="1" ht="22.5" hidden="1" customHeight="1" outlineLevel="2">
      <c r="A221" s="2235">
        <v>152</v>
      </c>
      <c r="B221" s="2281" t="s">
        <v>2062</v>
      </c>
      <c r="C221" s="2282" t="s">
        <v>2063</v>
      </c>
      <c r="D221" s="2504" t="s">
        <v>1317</v>
      </c>
      <c r="E221" s="2284"/>
      <c r="F221" s="2285"/>
      <c r="G221" s="2257">
        <f t="shared" si="32"/>
        <v>0</v>
      </c>
      <c r="H221" s="2285"/>
      <c r="I221" s="2285"/>
      <c r="J221" s="2257">
        <f t="shared" si="33"/>
        <v>0</v>
      </c>
      <c r="K221" s="2285"/>
      <c r="L221" s="2285"/>
      <c r="M221" s="2259">
        <f t="shared" si="34"/>
        <v>0</v>
      </c>
      <c r="N221" s="2255">
        <f>'2024 Калуга+область транспортир'!Z220+'2024 Калуга+область перекачка'!Z220+'2024 Калуга+область очистка'!Z220</f>
        <v>0</v>
      </c>
      <c r="O221" s="2260">
        <f>'2024 Калуга+область транспортир'!AA220+'2024 Калуга+область перекачка'!AA220+'2024 Калуга+область очистка'!AA220</f>
        <v>0</v>
      </c>
      <c r="P221" s="2258">
        <f t="shared" si="35"/>
        <v>0</v>
      </c>
      <c r="Q221" s="2284"/>
      <c r="R221" s="2286"/>
      <c r="S221" s="2259">
        <f t="shared" si="40"/>
        <v>0</v>
      </c>
      <c r="T221" s="2284"/>
      <c r="U221" s="2286"/>
      <c r="V221" s="2258">
        <f t="shared" si="41"/>
        <v>0</v>
      </c>
      <c r="W221" s="2284"/>
      <c r="X221" s="2286"/>
      <c r="Y221" s="2258">
        <f t="shared" si="38"/>
        <v>0</v>
      </c>
      <c r="Z221" s="2284"/>
      <c r="AA221" s="2286"/>
      <c r="AB221" s="2259">
        <f t="shared" si="39"/>
        <v>0</v>
      </c>
      <c r="AC221" s="2606"/>
      <c r="AD221" s="2606"/>
      <c r="AE221" s="2606"/>
      <c r="AF221" s="2593"/>
      <c r="AG221" s="2593"/>
      <c r="AH221" s="2593"/>
      <c r="AI221" s="2593"/>
      <c r="AJ221" s="2593"/>
    </row>
    <row r="222" spans="1:36" s="2218" customFormat="1" ht="19.5" customHeight="1" outlineLevel="1" collapsed="1">
      <c r="A222" s="2235">
        <v>153</v>
      </c>
      <c r="B222" s="2281" t="s">
        <v>2064</v>
      </c>
      <c r="C222" s="2282" t="s">
        <v>2065</v>
      </c>
      <c r="D222" s="2504" t="s">
        <v>1317</v>
      </c>
      <c r="E222" s="2284">
        <v>467.33303358840158</v>
      </c>
      <c r="F222" s="2285">
        <v>467.33303358840158</v>
      </c>
      <c r="G222" s="2257">
        <f t="shared" si="32"/>
        <v>467.33303358840158</v>
      </c>
      <c r="H222" s="2285">
        <v>618.64763599046501</v>
      </c>
      <c r="I222" s="2285">
        <v>618.64763599046501</v>
      </c>
      <c r="J222" s="2257">
        <f t="shared" si="33"/>
        <v>618.64763599046501</v>
      </c>
      <c r="K222" s="2285">
        <f>1252226.66723673/1000</f>
        <v>1252.22666723673</v>
      </c>
      <c r="L222" s="2285">
        <f>K222</f>
        <v>1252.22666723673</v>
      </c>
      <c r="M222" s="2259">
        <f t="shared" si="34"/>
        <v>1252.22666723673</v>
      </c>
      <c r="N222" s="2255">
        <f>'[11]НВВ 26.09.23.'!N222+'[12]НВВ 26.09.'!N222+'[13]НВВ 26.09.23.'!N222</f>
        <v>826.44865218309337</v>
      </c>
      <c r="O222" s="2260">
        <f>'[11]НВВ 26.09.23.'!O222+'[12]НВВ 26.09.'!O222+'[13]НВВ 26.09.23.'!O222</f>
        <v>3054.191414198327</v>
      </c>
      <c r="P222" s="2258">
        <f t="shared" si="35"/>
        <v>1940.3200331907101</v>
      </c>
      <c r="Q222" s="2255">
        <f>'[11]НВВ 26.09.23.'!Q222+'[12]НВВ 26.09.'!Q222+'[13]НВВ 26.09.23.'!Q222</f>
        <v>3054.191414198327</v>
      </c>
      <c r="R222" s="2260">
        <f>'[11]НВВ 26.09.23.'!R222+'[12]НВВ 26.09.'!R222+'[13]НВВ 26.09.23.'!R222</f>
        <v>3176.3590707662606</v>
      </c>
      <c r="S222" s="2259">
        <f t="shared" si="40"/>
        <v>3115.2752424822938</v>
      </c>
      <c r="T222" s="2255">
        <f>'[11]НВВ 26.09.23.'!T222+'[12]НВВ 26.09.'!T222+'[13]НВВ 26.09.23.'!T222</f>
        <v>3176.3590707662606</v>
      </c>
      <c r="U222" s="2260">
        <f>'[11]НВВ 26.09.23.'!U222+'[12]НВВ 26.09.'!U222+'[13]НВВ 26.09.23.'!U222</f>
        <v>3303.4134335969111</v>
      </c>
      <c r="V222" s="2258">
        <f t="shared" si="41"/>
        <v>3239.8862521815859</v>
      </c>
      <c r="W222" s="2255">
        <f>'[11]НВВ 26.09.23.'!W222+'[12]НВВ 26.09.'!W222+'[13]НВВ 26.09.23.'!W222</f>
        <v>3303.4134335969111</v>
      </c>
      <c r="X222" s="2260">
        <f>'[11]НВВ 26.09.23.'!X222+'[12]НВВ 26.09.'!X222+'[13]НВВ 26.09.23.'!X222</f>
        <v>3435.5499709407868</v>
      </c>
      <c r="Y222" s="2258">
        <f t="shared" si="38"/>
        <v>3369.4817022688489</v>
      </c>
      <c r="Z222" s="2255">
        <f>'[11]НВВ 26.09.23.'!Z222+'[12]НВВ 26.09.'!Z222+'[13]НВВ 26.09.23.'!Z222</f>
        <v>3435.5499709407868</v>
      </c>
      <c r="AA222" s="2260">
        <f>'[11]НВВ 26.09.23.'!AA222+'[12]НВВ 26.09.'!AA222+'[13]НВВ 26.09.23.'!AA222</f>
        <v>3572.9719697784185</v>
      </c>
      <c r="AB222" s="2259">
        <f t="shared" si="39"/>
        <v>3504.2609703596027</v>
      </c>
      <c r="AC222" s="2606"/>
      <c r="AD222" s="2606"/>
      <c r="AE222" s="2606"/>
      <c r="AF222" s="2593"/>
      <c r="AG222" s="2593"/>
      <c r="AH222" s="2593"/>
      <c r="AI222" s="2593"/>
      <c r="AJ222" s="2593"/>
    </row>
    <row r="223" spans="1:36" s="2218" customFormat="1" ht="22.5" hidden="1" customHeight="1" outlineLevel="2">
      <c r="A223" s="2235">
        <v>154</v>
      </c>
      <c r="B223" s="2281" t="s">
        <v>2067</v>
      </c>
      <c r="C223" s="2282" t="s">
        <v>2068</v>
      </c>
      <c r="D223" s="2504" t="s">
        <v>1317</v>
      </c>
      <c r="E223" s="2284"/>
      <c r="F223" s="2285"/>
      <c r="G223" s="2257">
        <f t="shared" si="32"/>
        <v>0</v>
      </c>
      <c r="H223" s="2285"/>
      <c r="I223" s="2285"/>
      <c r="J223" s="2257">
        <f t="shared" si="33"/>
        <v>0</v>
      </c>
      <c r="K223" s="2285"/>
      <c r="L223" s="2285"/>
      <c r="M223" s="2259">
        <f t="shared" si="34"/>
        <v>0</v>
      </c>
      <c r="N223" s="2255">
        <f>'2024 Калуга+область транспортир'!Z222+'2024 Калуга+область перекачка'!Z222+'2024 Калуга+область очистка'!Z222</f>
        <v>0</v>
      </c>
      <c r="O223" s="2260">
        <f>'2024 Калуга+область транспортир'!AA222+'2024 Калуга+область перекачка'!AA222+'2024 Калуга+область очистка'!AA222</f>
        <v>0</v>
      </c>
      <c r="P223" s="2258">
        <f t="shared" si="35"/>
        <v>0</v>
      </c>
      <c r="Q223" s="2284"/>
      <c r="R223" s="2286"/>
      <c r="S223" s="2259">
        <f t="shared" si="40"/>
        <v>0</v>
      </c>
      <c r="T223" s="2284"/>
      <c r="U223" s="2286"/>
      <c r="V223" s="2258">
        <f t="shared" si="41"/>
        <v>0</v>
      </c>
      <c r="W223" s="2284"/>
      <c r="X223" s="2286"/>
      <c r="Y223" s="2258">
        <f t="shared" si="38"/>
        <v>0</v>
      </c>
      <c r="Z223" s="2284"/>
      <c r="AA223" s="2286"/>
      <c r="AB223" s="2259">
        <f t="shared" si="39"/>
        <v>0</v>
      </c>
      <c r="AC223" s="2606"/>
      <c r="AD223" s="2606"/>
      <c r="AE223" s="2606"/>
      <c r="AF223" s="2593"/>
      <c r="AG223" s="2593"/>
      <c r="AH223" s="2593"/>
      <c r="AI223" s="2593"/>
      <c r="AJ223" s="2593"/>
    </row>
    <row r="224" spans="1:36" s="2218" customFormat="1" ht="105" hidden="1" customHeight="1" outlineLevel="2">
      <c r="A224" s="2235">
        <v>169</v>
      </c>
      <c r="B224" s="2389">
        <v>13</v>
      </c>
      <c r="C224" s="2390" t="s">
        <v>2071</v>
      </c>
      <c r="D224" s="2505" t="s">
        <v>1317</v>
      </c>
      <c r="E224" s="2290"/>
      <c r="F224" s="2291"/>
      <c r="G224" s="2257">
        <f t="shared" si="32"/>
        <v>0</v>
      </c>
      <c r="H224" s="2291"/>
      <c r="I224" s="2291"/>
      <c r="J224" s="2257">
        <f t="shared" si="33"/>
        <v>0</v>
      </c>
      <c r="K224" s="2291"/>
      <c r="L224" s="2291"/>
      <c r="M224" s="2259">
        <f t="shared" si="34"/>
        <v>0</v>
      </c>
      <c r="N224" s="2255">
        <f>'2024 Калуга+область транспортир'!Z223+'2024 Калуга+область перекачка'!Z223+'2024 Калуга+область очистка'!Z223</f>
        <v>0</v>
      </c>
      <c r="O224" s="2260">
        <f>'2024 Калуга+область транспортир'!AA223+'2024 Калуга+область перекачка'!AA223+'2024 Калуга+область очистка'!AA223</f>
        <v>0</v>
      </c>
      <c r="P224" s="2258">
        <f t="shared" si="35"/>
        <v>0</v>
      </c>
      <c r="Q224" s="2290"/>
      <c r="R224" s="2292"/>
      <c r="S224" s="2259">
        <f t="shared" si="40"/>
        <v>0</v>
      </c>
      <c r="T224" s="2290"/>
      <c r="U224" s="2292"/>
      <c r="V224" s="2258">
        <f t="shared" si="41"/>
        <v>0</v>
      </c>
      <c r="W224" s="2290"/>
      <c r="X224" s="2292"/>
      <c r="Y224" s="2258">
        <f t="shared" si="38"/>
        <v>0</v>
      </c>
      <c r="Z224" s="2290"/>
      <c r="AA224" s="2292"/>
      <c r="AB224" s="2259">
        <f t="shared" si="39"/>
        <v>0</v>
      </c>
      <c r="AC224" s="2606"/>
      <c r="AD224" s="2606"/>
      <c r="AE224" s="2606"/>
      <c r="AF224" s="2593"/>
      <c r="AG224" s="2593"/>
      <c r="AH224" s="2593"/>
      <c r="AI224" s="2593"/>
      <c r="AJ224" s="2593"/>
    </row>
    <row r="225" spans="1:36" s="2218" customFormat="1" ht="66" hidden="1" customHeight="1" outlineLevel="2">
      <c r="A225" s="2235">
        <v>164</v>
      </c>
      <c r="B225" s="2287" t="s">
        <v>140</v>
      </c>
      <c r="C225" s="2390" t="s">
        <v>2072</v>
      </c>
      <c r="D225" s="2505" t="s">
        <v>1317</v>
      </c>
      <c r="E225" s="2290"/>
      <c r="F225" s="2291"/>
      <c r="G225" s="2257">
        <f t="shared" ref="G225:G273" si="42">E225/2+F225/2</f>
        <v>0</v>
      </c>
      <c r="H225" s="2291"/>
      <c r="I225" s="2291"/>
      <c r="J225" s="2257">
        <f t="shared" ref="J225:J269" si="43">H225/2+I225/2</f>
        <v>0</v>
      </c>
      <c r="K225" s="2291"/>
      <c r="L225" s="2291"/>
      <c r="M225" s="2259">
        <f t="shared" ref="M225:M269" si="44">K225/2+L225/2</f>
        <v>0</v>
      </c>
      <c r="N225" s="2255">
        <f>'2024 Калуга+область транспортир'!Z224+'2024 Калуга+область перекачка'!Z224+'2024 Калуга+область очистка'!Z224</f>
        <v>0</v>
      </c>
      <c r="O225" s="2260">
        <f>'2024 Калуга+область транспортир'!AA224+'2024 Калуга+область перекачка'!AA224+'2024 Калуга+область очистка'!AA224</f>
        <v>0</v>
      </c>
      <c r="P225" s="2258">
        <f t="shared" ref="P225:P269" si="45">N225/2+O225/2</f>
        <v>0</v>
      </c>
      <c r="Q225" s="2290"/>
      <c r="R225" s="2292"/>
      <c r="S225" s="2259">
        <f t="shared" si="40"/>
        <v>0</v>
      </c>
      <c r="T225" s="2290"/>
      <c r="U225" s="2292"/>
      <c r="V225" s="2258">
        <f t="shared" si="41"/>
        <v>0</v>
      </c>
      <c r="W225" s="2290"/>
      <c r="X225" s="2292"/>
      <c r="Y225" s="2258">
        <f t="shared" ref="Y225:Y269" si="46">W225/2+X225/2</f>
        <v>0</v>
      </c>
      <c r="Z225" s="2290"/>
      <c r="AA225" s="2292"/>
      <c r="AB225" s="2259">
        <f t="shared" ref="AB225:AB269" si="47">Z225/2+AA225/2</f>
        <v>0</v>
      </c>
      <c r="AC225" s="2606"/>
      <c r="AD225" s="2606"/>
      <c r="AE225" s="2606"/>
      <c r="AF225" s="2593"/>
      <c r="AG225" s="2593"/>
      <c r="AH225" s="2593"/>
      <c r="AI225" s="2593"/>
      <c r="AJ225" s="2593"/>
    </row>
    <row r="226" spans="1:36" s="2218" customFormat="1" ht="30.75" hidden="1" customHeight="1" outlineLevel="2">
      <c r="A226" s="2235">
        <v>12</v>
      </c>
      <c r="B226" s="2388">
        <v>12</v>
      </c>
      <c r="C226" s="2295" t="s">
        <v>2073</v>
      </c>
      <c r="D226" s="2500" t="s">
        <v>1313</v>
      </c>
      <c r="E226" s="2255">
        <f>E227+E228+E229</f>
        <v>0</v>
      </c>
      <c r="F226" s="2256">
        <f>F227+F228+F229</f>
        <v>0</v>
      </c>
      <c r="G226" s="2257">
        <f t="shared" si="42"/>
        <v>0</v>
      </c>
      <c r="H226" s="2256">
        <f>H227+H228+H229</f>
        <v>0</v>
      </c>
      <c r="I226" s="2256">
        <f>I227+I228+I229</f>
        <v>0</v>
      </c>
      <c r="J226" s="2257">
        <f t="shared" si="43"/>
        <v>0</v>
      </c>
      <c r="K226" s="2256">
        <f>K227+K228+K229</f>
        <v>0</v>
      </c>
      <c r="L226" s="2256">
        <f>L227+L228+L229</f>
        <v>0</v>
      </c>
      <c r="M226" s="2259">
        <f t="shared" si="44"/>
        <v>0</v>
      </c>
      <c r="N226" s="2255">
        <f>N227+N228+N229</f>
        <v>0</v>
      </c>
      <c r="O226" s="2260">
        <f>O227+O228+O229</f>
        <v>0</v>
      </c>
      <c r="P226" s="2258">
        <f t="shared" si="45"/>
        <v>0</v>
      </c>
      <c r="Q226" s="2255">
        <f>Q227+Q228+Q229</f>
        <v>0</v>
      </c>
      <c r="R226" s="2260">
        <f>R227+R228+R229</f>
        <v>0</v>
      </c>
      <c r="S226" s="2259">
        <f t="shared" si="40"/>
        <v>0</v>
      </c>
      <c r="T226" s="2255">
        <f>T227+T228+T229</f>
        <v>0</v>
      </c>
      <c r="U226" s="2260">
        <f>U227+U228+U229</f>
        <v>0</v>
      </c>
      <c r="V226" s="2258">
        <f t="shared" si="41"/>
        <v>0</v>
      </c>
      <c r="W226" s="2255">
        <f>W227+W228+W229</f>
        <v>0</v>
      </c>
      <c r="X226" s="2260">
        <f>X227+X228+X229</f>
        <v>0</v>
      </c>
      <c r="Y226" s="2258">
        <f t="shared" si="46"/>
        <v>0</v>
      </c>
      <c r="Z226" s="2255">
        <f>Z227+Z228+Z229</f>
        <v>0</v>
      </c>
      <c r="AA226" s="2260">
        <f>AA227+AA228+AA229</f>
        <v>0</v>
      </c>
      <c r="AB226" s="2259">
        <f t="shared" si="47"/>
        <v>0</v>
      </c>
      <c r="AC226" s="2606"/>
      <c r="AD226" s="2606"/>
      <c r="AE226" s="2606"/>
      <c r="AF226" s="2593"/>
      <c r="AG226" s="2593"/>
      <c r="AH226" s="2593"/>
      <c r="AI226" s="2593"/>
      <c r="AJ226" s="2593"/>
    </row>
    <row r="227" spans="1:36" s="2218" customFormat="1" ht="60" hidden="1" customHeight="1" outlineLevel="2">
      <c r="A227" s="2235">
        <v>166</v>
      </c>
      <c r="B227" s="2281" t="s">
        <v>2074</v>
      </c>
      <c r="C227" s="2282" t="s">
        <v>2075</v>
      </c>
      <c r="D227" s="2504" t="s">
        <v>1317</v>
      </c>
      <c r="E227" s="2284"/>
      <c r="F227" s="2285"/>
      <c r="G227" s="2257">
        <f t="shared" si="42"/>
        <v>0</v>
      </c>
      <c r="H227" s="2285"/>
      <c r="I227" s="2285"/>
      <c r="J227" s="2257">
        <f t="shared" si="43"/>
        <v>0</v>
      </c>
      <c r="K227" s="2285"/>
      <c r="L227" s="2285"/>
      <c r="M227" s="2259">
        <f t="shared" si="44"/>
        <v>0</v>
      </c>
      <c r="N227" s="2255">
        <f>'2024 Калуга+область транспортир'!Z226+'2024 Калуга+область перекачка'!Z226+'2024 Калуга+область очистка'!Z226</f>
        <v>0</v>
      </c>
      <c r="O227" s="2260">
        <f>'2024 Калуга+область транспортир'!AA226+'2024 Калуга+область перекачка'!AA226+'2024 Калуга+область очистка'!AA226</f>
        <v>0</v>
      </c>
      <c r="P227" s="2258">
        <f t="shared" si="45"/>
        <v>0</v>
      </c>
      <c r="Q227" s="2284"/>
      <c r="R227" s="2286"/>
      <c r="S227" s="2259">
        <f t="shared" si="40"/>
        <v>0</v>
      </c>
      <c r="T227" s="2284"/>
      <c r="U227" s="2286"/>
      <c r="V227" s="2258">
        <f t="shared" si="41"/>
        <v>0</v>
      </c>
      <c r="W227" s="2284"/>
      <c r="X227" s="2286"/>
      <c r="Y227" s="2258">
        <f t="shared" si="46"/>
        <v>0</v>
      </c>
      <c r="Z227" s="2284"/>
      <c r="AA227" s="2286"/>
      <c r="AB227" s="2259">
        <f t="shared" si="47"/>
        <v>0</v>
      </c>
      <c r="AC227" s="2606"/>
      <c r="AD227" s="2606"/>
      <c r="AE227" s="2606"/>
      <c r="AF227" s="2593"/>
      <c r="AG227" s="2593"/>
      <c r="AH227" s="2593"/>
      <c r="AI227" s="2593"/>
      <c r="AJ227" s="2593"/>
    </row>
    <row r="228" spans="1:36" s="2218" customFormat="1" ht="30.75" hidden="1" customHeight="1" outlineLevel="2">
      <c r="A228" s="2235">
        <v>167</v>
      </c>
      <c r="B228" s="2281" t="s">
        <v>2076</v>
      </c>
      <c r="C228" s="2282" t="s">
        <v>2077</v>
      </c>
      <c r="D228" s="2504" t="s">
        <v>1317</v>
      </c>
      <c r="E228" s="2284"/>
      <c r="F228" s="2285"/>
      <c r="G228" s="2257">
        <f t="shared" si="42"/>
        <v>0</v>
      </c>
      <c r="H228" s="2285"/>
      <c r="I228" s="2285"/>
      <c r="J228" s="2257">
        <f t="shared" si="43"/>
        <v>0</v>
      </c>
      <c r="K228" s="2285"/>
      <c r="L228" s="2285"/>
      <c r="M228" s="2259">
        <f t="shared" si="44"/>
        <v>0</v>
      </c>
      <c r="N228" s="2255">
        <f>'2024 Калуга+область транспортир'!Z227+'2024 Калуга+область перекачка'!Z227+'2024 Калуга+область очистка'!Z227</f>
        <v>0</v>
      </c>
      <c r="O228" s="2260">
        <f>'2024 Калуга+область транспортир'!AA227+'2024 Калуга+область перекачка'!AA227+'2024 Калуга+область очистка'!AA227</f>
        <v>0</v>
      </c>
      <c r="P228" s="2258">
        <f t="shared" si="45"/>
        <v>0</v>
      </c>
      <c r="Q228" s="2284"/>
      <c r="R228" s="2286"/>
      <c r="S228" s="2259">
        <f t="shared" si="40"/>
        <v>0</v>
      </c>
      <c r="T228" s="2284"/>
      <c r="U228" s="2286"/>
      <c r="V228" s="2258">
        <f t="shared" si="41"/>
        <v>0</v>
      </c>
      <c r="W228" s="2284"/>
      <c r="X228" s="2286"/>
      <c r="Y228" s="2258">
        <f t="shared" si="46"/>
        <v>0</v>
      </c>
      <c r="Z228" s="2284"/>
      <c r="AA228" s="2286"/>
      <c r="AB228" s="2259">
        <f t="shared" si="47"/>
        <v>0</v>
      </c>
      <c r="AC228" s="2606"/>
      <c r="AD228" s="2606"/>
      <c r="AE228" s="2606"/>
      <c r="AF228" s="2593"/>
      <c r="AG228" s="2593"/>
      <c r="AH228" s="2593"/>
      <c r="AI228" s="2593"/>
      <c r="AJ228" s="2593"/>
    </row>
    <row r="229" spans="1:36" s="2218" customFormat="1" ht="46.5" hidden="1" customHeight="1" outlineLevel="2">
      <c r="A229" s="2235">
        <v>168</v>
      </c>
      <c r="B229" s="2281" t="s">
        <v>2078</v>
      </c>
      <c r="C229" s="2282" t="s">
        <v>2079</v>
      </c>
      <c r="D229" s="2504" t="s">
        <v>1317</v>
      </c>
      <c r="E229" s="2284"/>
      <c r="F229" s="2285"/>
      <c r="G229" s="2257">
        <f t="shared" si="42"/>
        <v>0</v>
      </c>
      <c r="H229" s="2285"/>
      <c r="I229" s="2285"/>
      <c r="J229" s="2257">
        <f t="shared" si="43"/>
        <v>0</v>
      </c>
      <c r="K229" s="2285"/>
      <c r="L229" s="2285"/>
      <c r="M229" s="2259">
        <f t="shared" si="44"/>
        <v>0</v>
      </c>
      <c r="N229" s="2255">
        <f>'2024 Калуга+область транспортир'!Z228+'2024 Калуга+область перекачка'!Z228+'2024 Калуга+область очистка'!Z228</f>
        <v>0</v>
      </c>
      <c r="O229" s="2260">
        <f>'2024 Калуга+область транспортир'!AA228+'2024 Калуга+область перекачка'!AA228+'2024 Калуга+область очистка'!AA228</f>
        <v>0</v>
      </c>
      <c r="P229" s="2258">
        <f t="shared" si="45"/>
        <v>0</v>
      </c>
      <c r="Q229" s="2284"/>
      <c r="R229" s="2286"/>
      <c r="S229" s="2259">
        <f t="shared" si="40"/>
        <v>0</v>
      </c>
      <c r="T229" s="2284"/>
      <c r="U229" s="2286"/>
      <c r="V229" s="2258">
        <f t="shared" si="41"/>
        <v>0</v>
      </c>
      <c r="W229" s="2284"/>
      <c r="X229" s="2286"/>
      <c r="Y229" s="2258">
        <f t="shared" si="46"/>
        <v>0</v>
      </c>
      <c r="Z229" s="2284"/>
      <c r="AA229" s="2286"/>
      <c r="AB229" s="2259">
        <f t="shared" si="47"/>
        <v>0</v>
      </c>
      <c r="AC229" s="2606"/>
      <c r="AD229" s="2606"/>
      <c r="AE229" s="2606"/>
      <c r="AF229" s="2593"/>
      <c r="AG229" s="2593"/>
      <c r="AH229" s="2593"/>
      <c r="AI229" s="2593"/>
      <c r="AJ229" s="2593"/>
    </row>
    <row r="230" spans="1:36" s="2218" customFormat="1" ht="31.5" hidden="1" customHeight="1" outlineLevel="2">
      <c r="A230" s="2235">
        <v>13</v>
      </c>
      <c r="B230" s="2279" t="s">
        <v>142</v>
      </c>
      <c r="C230" s="2295" t="s">
        <v>2080</v>
      </c>
      <c r="D230" s="2500" t="s">
        <v>1313</v>
      </c>
      <c r="E230" s="2255">
        <f>E231+E232</f>
        <v>0</v>
      </c>
      <c r="F230" s="2256">
        <f>F231+F232</f>
        <v>0</v>
      </c>
      <c r="G230" s="2257">
        <f t="shared" si="42"/>
        <v>0</v>
      </c>
      <c r="H230" s="2256">
        <f>H231+H232</f>
        <v>0</v>
      </c>
      <c r="I230" s="2256">
        <f>I231+I232</f>
        <v>0</v>
      </c>
      <c r="J230" s="2257">
        <f t="shared" si="43"/>
        <v>0</v>
      </c>
      <c r="K230" s="2256">
        <f>K231+K232</f>
        <v>299.17216203372652</v>
      </c>
      <c r="L230" s="2256">
        <f>L231+L232</f>
        <v>299.17216203372652</v>
      </c>
      <c r="M230" s="2259">
        <f t="shared" si="44"/>
        <v>299.17216203372652</v>
      </c>
      <c r="N230" s="2255">
        <f>N231+N232</f>
        <v>0</v>
      </c>
      <c r="O230" s="2260">
        <f>O231+O232</f>
        <v>0</v>
      </c>
      <c r="P230" s="2258">
        <f t="shared" si="45"/>
        <v>0</v>
      </c>
      <c r="Q230" s="2255">
        <f>Q231+Q232</f>
        <v>0</v>
      </c>
      <c r="R230" s="2260">
        <f>R231+R232</f>
        <v>0</v>
      </c>
      <c r="S230" s="2259">
        <f t="shared" si="40"/>
        <v>0</v>
      </c>
      <c r="T230" s="2255">
        <f>T231+T232</f>
        <v>0</v>
      </c>
      <c r="U230" s="2260">
        <f>U231+U232</f>
        <v>0</v>
      </c>
      <c r="V230" s="2258">
        <f t="shared" si="41"/>
        <v>0</v>
      </c>
      <c r="W230" s="2255">
        <f>W231+W232</f>
        <v>0</v>
      </c>
      <c r="X230" s="2260">
        <f>X231+X232</f>
        <v>0</v>
      </c>
      <c r="Y230" s="2258">
        <f t="shared" si="46"/>
        <v>0</v>
      </c>
      <c r="Z230" s="2255">
        <f>Z231+Z232</f>
        <v>0</v>
      </c>
      <c r="AA230" s="2260">
        <f>AA231+AA232</f>
        <v>0</v>
      </c>
      <c r="AB230" s="2259">
        <f t="shared" si="47"/>
        <v>0</v>
      </c>
      <c r="AC230" s="2606"/>
      <c r="AD230" s="2606"/>
      <c r="AE230" s="2606"/>
      <c r="AF230" s="2593"/>
      <c r="AG230" s="2593"/>
      <c r="AH230" s="2593"/>
      <c r="AI230" s="2593"/>
      <c r="AJ230" s="2593"/>
    </row>
    <row r="231" spans="1:36" s="2218" customFormat="1" ht="20.25" hidden="1" customHeight="1" outlineLevel="2">
      <c r="A231" s="2235">
        <v>14</v>
      </c>
      <c r="B231" s="2281" t="s">
        <v>2081</v>
      </c>
      <c r="C231" s="2282" t="s">
        <v>2082</v>
      </c>
      <c r="D231" s="2504" t="s">
        <v>1313</v>
      </c>
      <c r="E231" s="2284"/>
      <c r="F231" s="2285"/>
      <c r="G231" s="2257">
        <f t="shared" si="42"/>
        <v>0</v>
      </c>
      <c r="H231" s="2285"/>
      <c r="I231" s="2285"/>
      <c r="J231" s="2257">
        <f t="shared" si="43"/>
        <v>0</v>
      </c>
      <c r="K231" s="2285"/>
      <c r="L231" s="2285"/>
      <c r="M231" s="2259">
        <f t="shared" si="44"/>
        <v>0</v>
      </c>
      <c r="N231" s="2255">
        <f>'2024 Калуга+область транспортир'!Z230+'2024 Калуга+область перекачка'!Z230+'2024 Калуга+область очистка'!Z230</f>
        <v>0</v>
      </c>
      <c r="O231" s="2260">
        <f>'2024 Калуга+область транспортир'!AA230+'2024 Калуга+область перекачка'!AA230+'2024 Калуга+область очистка'!AA230</f>
        <v>0</v>
      </c>
      <c r="P231" s="2258">
        <f t="shared" si="45"/>
        <v>0</v>
      </c>
      <c r="Q231" s="2284"/>
      <c r="R231" s="2286"/>
      <c r="S231" s="2259">
        <f t="shared" si="40"/>
        <v>0</v>
      </c>
      <c r="T231" s="2284"/>
      <c r="U231" s="2286"/>
      <c r="V231" s="2258">
        <f t="shared" si="41"/>
        <v>0</v>
      </c>
      <c r="W231" s="2284"/>
      <c r="X231" s="2286"/>
      <c r="Y231" s="2258">
        <f t="shared" si="46"/>
        <v>0</v>
      </c>
      <c r="Z231" s="2284"/>
      <c r="AA231" s="2286"/>
      <c r="AB231" s="2259">
        <f t="shared" si="47"/>
        <v>0</v>
      </c>
      <c r="AC231" s="2606"/>
      <c r="AD231" s="2606"/>
      <c r="AE231" s="2606"/>
      <c r="AF231" s="2593"/>
      <c r="AG231" s="2593"/>
      <c r="AH231" s="2593"/>
      <c r="AI231" s="2593"/>
      <c r="AJ231" s="2593"/>
    </row>
    <row r="232" spans="1:36" s="2218" customFormat="1" ht="31.5" hidden="1" outlineLevel="2">
      <c r="A232" s="2235">
        <v>89</v>
      </c>
      <c r="B232" s="2297" t="s">
        <v>2083</v>
      </c>
      <c r="C232" s="2298" t="s">
        <v>1806</v>
      </c>
      <c r="D232" s="2507" t="s">
        <v>1313</v>
      </c>
      <c r="E232" s="2300"/>
      <c r="F232" s="2301"/>
      <c r="G232" s="2266">
        <f t="shared" si="42"/>
        <v>0</v>
      </c>
      <c r="H232" s="2301"/>
      <c r="I232" s="2301"/>
      <c r="J232" s="2266">
        <f t="shared" si="43"/>
        <v>0</v>
      </c>
      <c r="K232" s="2301">
        <v>299.17216203372652</v>
      </c>
      <c r="L232" s="2301">
        <v>299.17216203372652</v>
      </c>
      <c r="M232" s="2268">
        <f t="shared" si="44"/>
        <v>299.17216203372652</v>
      </c>
      <c r="N232" s="2255">
        <f>'2024 Калуга+область транспортир'!Z231+'2024 Калуга+область перекачка'!Z231+'2024 Калуга+область очистка'!Z231</f>
        <v>0</v>
      </c>
      <c r="O232" s="2260">
        <f>'2024 Калуга+область транспортир'!AA231+'2024 Калуга+область перекачка'!AA231+'2024 Калуга+область очистка'!AA231</f>
        <v>0</v>
      </c>
      <c r="P232" s="2267">
        <f>N232/2+O232/2</f>
        <v>0</v>
      </c>
      <c r="Q232" s="2300">
        <f>O232</f>
        <v>0</v>
      </c>
      <c r="R232" s="2302">
        <f>Q232*1.04</f>
        <v>0</v>
      </c>
      <c r="S232" s="2268">
        <f t="shared" si="40"/>
        <v>0</v>
      </c>
      <c r="T232" s="2300">
        <f>R232</f>
        <v>0</v>
      </c>
      <c r="U232" s="2302">
        <f>T232*1.04</f>
        <v>0</v>
      </c>
      <c r="V232" s="2267">
        <f t="shared" si="41"/>
        <v>0</v>
      </c>
      <c r="W232" s="2300">
        <f>U232</f>
        <v>0</v>
      </c>
      <c r="X232" s="2302"/>
      <c r="Y232" s="2267">
        <f>W232/2+X232/2</f>
        <v>0</v>
      </c>
      <c r="Z232" s="2300">
        <f>X232</f>
        <v>0</v>
      </c>
      <c r="AA232" s="2302"/>
      <c r="AB232" s="2268">
        <f t="shared" si="47"/>
        <v>0</v>
      </c>
      <c r="AC232" s="2606"/>
      <c r="AD232" s="2606"/>
      <c r="AE232" s="2606"/>
      <c r="AF232" s="2593"/>
      <c r="AG232" s="2593"/>
      <c r="AH232" s="2593"/>
      <c r="AI232" s="2593"/>
      <c r="AJ232" s="2593"/>
    </row>
    <row r="233" spans="1:36" s="2218" customFormat="1" ht="124.5" hidden="1" customHeight="1" outlineLevel="2">
      <c r="A233" s="2235"/>
      <c r="B233" s="2391" t="s">
        <v>137</v>
      </c>
      <c r="C233" s="2392" t="s">
        <v>15031</v>
      </c>
      <c r="D233" s="2507" t="s">
        <v>1313</v>
      </c>
      <c r="E233" s="2301"/>
      <c r="F233" s="2301"/>
      <c r="G233" s="2266">
        <f t="shared" si="42"/>
        <v>0</v>
      </c>
      <c r="H233" s="2301"/>
      <c r="I233" s="2301"/>
      <c r="J233" s="2266">
        <f t="shared" si="43"/>
        <v>0</v>
      </c>
      <c r="K233" s="2301">
        <v>3057.7411219819182</v>
      </c>
      <c r="L233" s="2301">
        <v>3057.7411219819182</v>
      </c>
      <c r="M233" s="2268">
        <f t="shared" si="44"/>
        <v>3057.7411219819182</v>
      </c>
      <c r="N233" s="2255">
        <f>'2024 Калуга+область транспортир'!Z232+'2024 Калуга+область перекачка'!Z232+'2024 Калуга+область очистка'!Z232</f>
        <v>0</v>
      </c>
      <c r="O233" s="2260">
        <f>'2024 Калуга+область транспортир'!AA232+'2024 Калуга+область перекачка'!AA232+'2024 Калуга+область очистка'!AA232</f>
        <v>0</v>
      </c>
      <c r="P233" s="2267">
        <f t="shared" si="45"/>
        <v>0</v>
      </c>
      <c r="Q233" s="2300">
        <f>O233</f>
        <v>0</v>
      </c>
      <c r="R233" s="2302">
        <f>Q233*1.04</f>
        <v>0</v>
      </c>
      <c r="S233" s="2268">
        <f t="shared" si="40"/>
        <v>0</v>
      </c>
      <c r="T233" s="2300">
        <f>R233</f>
        <v>0</v>
      </c>
      <c r="U233" s="2302">
        <f>T233*1.04</f>
        <v>0</v>
      </c>
      <c r="V233" s="2267">
        <f t="shared" si="41"/>
        <v>0</v>
      </c>
      <c r="W233" s="2300">
        <f>U233</f>
        <v>0</v>
      </c>
      <c r="X233" s="2302"/>
      <c r="Y233" s="2267">
        <f t="shared" si="46"/>
        <v>0</v>
      </c>
      <c r="Z233" s="2300">
        <f>X233</f>
        <v>0</v>
      </c>
      <c r="AA233" s="2302"/>
      <c r="AB233" s="2268">
        <f t="shared" si="47"/>
        <v>0</v>
      </c>
      <c r="AC233" s="2606"/>
      <c r="AD233" s="2606"/>
      <c r="AE233" s="2606"/>
      <c r="AF233" s="2593"/>
      <c r="AG233" s="2593"/>
      <c r="AH233" s="2593"/>
      <c r="AI233" s="2593"/>
      <c r="AJ233" s="2593"/>
    </row>
    <row r="234" spans="1:36" s="2218" customFormat="1" ht="31.5" hidden="1" outlineLevel="2">
      <c r="A234" s="2235"/>
      <c r="B234" s="2393" t="s">
        <v>15032</v>
      </c>
      <c r="C234" s="2293" t="s">
        <v>15033</v>
      </c>
      <c r="D234" s="2507" t="s">
        <v>1313</v>
      </c>
      <c r="E234" s="2285"/>
      <c r="F234" s="2285"/>
      <c r="G234" s="2257"/>
      <c r="H234" s="2285"/>
      <c r="I234" s="2285"/>
      <c r="J234" s="2257"/>
      <c r="K234" s="2285"/>
      <c r="L234" s="2285"/>
      <c r="M234" s="2257"/>
      <c r="N234" s="2255">
        <f>'2024 Калуга+область транспортир'!Z233+'2024 Калуга+область перекачка'!Z233+'2024 Калуга+область очистка'!Z233</f>
        <v>0</v>
      </c>
      <c r="O234" s="2260">
        <f>'2024 Калуга+область транспортир'!AA233+'2024 Калуга+область перекачка'!AA233+'2024 Калуга+область очистка'!AA233</f>
        <v>0</v>
      </c>
      <c r="P234" s="2258"/>
      <c r="Q234" s="2284"/>
      <c r="R234" s="2286"/>
      <c r="S234" s="2259"/>
      <c r="T234" s="2284"/>
      <c r="U234" s="2286"/>
      <c r="V234" s="2258"/>
      <c r="W234" s="2284"/>
      <c r="X234" s="2286"/>
      <c r="Y234" s="2258"/>
      <c r="Z234" s="2284"/>
      <c r="AA234" s="2286"/>
      <c r="AB234" s="2259"/>
      <c r="AC234" s="2606"/>
      <c r="AD234" s="2606"/>
      <c r="AE234" s="2606"/>
      <c r="AF234" s="2593"/>
      <c r="AG234" s="2593"/>
      <c r="AH234" s="2593"/>
      <c r="AI234" s="2593"/>
      <c r="AJ234" s="2593"/>
    </row>
    <row r="235" spans="1:36" s="2218" customFormat="1" ht="63" hidden="1" outlineLevel="2">
      <c r="A235" s="2235"/>
      <c r="B235" s="2393" t="s">
        <v>15034</v>
      </c>
      <c r="C235" s="2293" t="s">
        <v>15035</v>
      </c>
      <c r="D235" s="2507" t="s">
        <v>1313</v>
      </c>
      <c r="E235" s="2285"/>
      <c r="F235" s="2285"/>
      <c r="G235" s="2257"/>
      <c r="H235" s="2285"/>
      <c r="I235" s="2285"/>
      <c r="J235" s="2257"/>
      <c r="K235" s="2285"/>
      <c r="L235" s="2285"/>
      <c r="M235" s="2257"/>
      <c r="N235" s="2255">
        <f>'2024 Калуга+область транспортир'!Z234+'2024 Калуга+область перекачка'!Z234+'2024 Калуга+область очистка'!Z234</f>
        <v>0</v>
      </c>
      <c r="O235" s="2260">
        <f>'2024 Калуга+область транспортир'!AA234+'2024 Калуга+область перекачка'!AA234+'2024 Калуга+область очистка'!AA234</f>
        <v>0</v>
      </c>
      <c r="P235" s="2258"/>
      <c r="Q235" s="2284"/>
      <c r="R235" s="2286"/>
      <c r="S235" s="2259"/>
      <c r="T235" s="2284"/>
      <c r="U235" s="2286"/>
      <c r="V235" s="2258"/>
      <c r="W235" s="2284"/>
      <c r="X235" s="2286"/>
      <c r="Y235" s="2258"/>
      <c r="Z235" s="2284"/>
      <c r="AA235" s="2286"/>
      <c r="AB235" s="2259"/>
      <c r="AC235" s="2606"/>
      <c r="AD235" s="2606"/>
      <c r="AE235" s="2606"/>
      <c r="AF235" s="2593"/>
      <c r="AG235" s="2593"/>
      <c r="AH235" s="2593"/>
      <c r="AI235" s="2593"/>
      <c r="AJ235" s="2593"/>
    </row>
    <row r="236" spans="1:36" s="2218" customFormat="1" ht="19.5" outlineLevel="1" collapsed="1" thickBot="1">
      <c r="A236" s="2235">
        <v>147</v>
      </c>
      <c r="B236" s="2394">
        <v>2</v>
      </c>
      <c r="C236" s="2395" t="s">
        <v>2084</v>
      </c>
      <c r="D236" s="2545" t="s">
        <v>1317</v>
      </c>
      <c r="E236" s="2397">
        <f>E237</f>
        <v>22100.138806483203</v>
      </c>
      <c r="F236" s="2398">
        <f>F237</f>
        <v>22100.138806483203</v>
      </c>
      <c r="G236" s="2399">
        <f t="shared" si="42"/>
        <v>22100.138806483203</v>
      </c>
      <c r="H236" s="2398">
        <f>H237</f>
        <v>26565.152793394864</v>
      </c>
      <c r="I236" s="2398">
        <f>I237</f>
        <v>26565.152793394864</v>
      </c>
      <c r="J236" s="2399">
        <f t="shared" si="43"/>
        <v>26565.152793394864</v>
      </c>
      <c r="K236" s="2398">
        <f>K237</f>
        <v>33821.77063496819</v>
      </c>
      <c r="L236" s="2398">
        <f>L237</f>
        <v>33821.77063496819</v>
      </c>
      <c r="M236" s="2399">
        <f t="shared" si="44"/>
        <v>33821.77063496819</v>
      </c>
      <c r="N236" s="2397">
        <f>N237</f>
        <v>44933.64336609868</v>
      </c>
      <c r="O236" s="2401">
        <f>O237</f>
        <v>0</v>
      </c>
      <c r="P236" s="2400">
        <f t="shared" si="45"/>
        <v>22466.82168304934</v>
      </c>
      <c r="Q236" s="2397">
        <f>Q237</f>
        <v>0</v>
      </c>
      <c r="R236" s="2401">
        <f>R237</f>
        <v>0</v>
      </c>
      <c r="S236" s="2399">
        <f>Q236/2+R236/2</f>
        <v>0</v>
      </c>
      <c r="T236" s="2397">
        <f>T237</f>
        <v>0</v>
      </c>
      <c r="U236" s="2401">
        <f>U237</f>
        <v>0</v>
      </c>
      <c r="V236" s="2400">
        <f>T236/2+U236/2</f>
        <v>0</v>
      </c>
      <c r="W236" s="2397">
        <f>W237</f>
        <v>0</v>
      </c>
      <c r="X236" s="2401">
        <f>X237</f>
        <v>0</v>
      </c>
      <c r="Y236" s="2400">
        <f t="shared" si="46"/>
        <v>0</v>
      </c>
      <c r="Z236" s="2397">
        <f>Z237</f>
        <v>0</v>
      </c>
      <c r="AA236" s="2401">
        <f>AA237</f>
        <v>0</v>
      </c>
      <c r="AB236" s="2399">
        <f t="shared" si="47"/>
        <v>0</v>
      </c>
      <c r="AC236" s="2606"/>
      <c r="AD236" s="2606"/>
      <c r="AE236" s="2606"/>
      <c r="AF236" s="2593"/>
      <c r="AG236" s="2593"/>
      <c r="AH236" s="2593"/>
      <c r="AI236" s="2593"/>
      <c r="AJ236" s="2593"/>
    </row>
    <row r="237" spans="1:36" s="2218" customFormat="1" ht="63.75" outlineLevel="1" thickBot="1">
      <c r="A237" s="2235">
        <v>148</v>
      </c>
      <c r="B237" s="2402" t="s">
        <v>1224</v>
      </c>
      <c r="C237" s="2403" t="s">
        <v>2085</v>
      </c>
      <c r="D237" s="2546" t="s">
        <v>1317</v>
      </c>
      <c r="E237" s="2405">
        <v>22100.138806483203</v>
      </c>
      <c r="F237" s="2406">
        <v>22100.138806483203</v>
      </c>
      <c r="G237" s="2407">
        <f t="shared" si="42"/>
        <v>22100.138806483203</v>
      </c>
      <c r="H237" s="2406">
        <v>26565.152793394864</v>
      </c>
      <c r="I237" s="2406">
        <v>26565.152793394864</v>
      </c>
      <c r="J237" s="2407">
        <f t="shared" si="43"/>
        <v>26565.152793394864</v>
      </c>
      <c r="K237" s="2406">
        <v>33821.77063496819</v>
      </c>
      <c r="L237" s="2406">
        <v>33821.77063496819</v>
      </c>
      <c r="M237" s="2410">
        <f t="shared" si="44"/>
        <v>33821.77063496819</v>
      </c>
      <c r="N237" s="2255">
        <f>'[11]НВВ 26.09.23.'!N237+'[12]НВВ 26.09.'!N237+'[13]НВВ 26.09.23.'!N237</f>
        <v>44933.64336609868</v>
      </c>
      <c r="O237" s="2260">
        <f>'[11]НВВ 26.09.23.'!O237+'[12]НВВ 26.09.'!O237+'[13]НВВ 26.09.23.'!O237</f>
        <v>0</v>
      </c>
      <c r="P237" s="2409">
        <f t="shared" si="45"/>
        <v>22466.82168304934</v>
      </c>
      <c r="Q237" s="2255">
        <f>'[11]НВВ 26.09.23.'!Q237+'[12]НВВ 26.09.'!Q237+'[13]НВВ 26.09.23.'!Q237</f>
        <v>0</v>
      </c>
      <c r="R237" s="2260">
        <f>'[11]НВВ 26.09.23.'!R237+'[12]НВВ 26.09.'!R237+'[13]НВВ 26.09.23.'!R237</f>
        <v>0</v>
      </c>
      <c r="S237" s="2410">
        <f>Q237/2+R237/2</f>
        <v>0</v>
      </c>
      <c r="T237" s="2255">
        <f>'[11]НВВ 26.09.23.'!T237+'[12]НВВ 26.09.'!T237+'[13]НВВ 26.09.23.'!T237</f>
        <v>0</v>
      </c>
      <c r="U237" s="2260">
        <f>'[11]НВВ 26.09.23.'!U237+'[12]НВВ 26.09.'!U237+'[13]НВВ 26.09.23.'!U237</f>
        <v>0</v>
      </c>
      <c r="V237" s="2409">
        <f>T237/2+U237/2</f>
        <v>0</v>
      </c>
      <c r="W237" s="2255">
        <f>'[11]НВВ 26.09.23.'!W237+'[12]НВВ 26.09.'!W237+'[13]НВВ 26.09.23.'!W237</f>
        <v>0</v>
      </c>
      <c r="X237" s="2260">
        <f>'[11]НВВ 26.09.23.'!X237+'[12]НВВ 26.09.'!X237+'[13]НВВ 26.09.23.'!X237</f>
        <v>0</v>
      </c>
      <c r="Y237" s="2409">
        <f t="shared" si="46"/>
        <v>0</v>
      </c>
      <c r="Z237" s="2255">
        <f>'[11]НВВ 26.09.23.'!Z237+'[12]НВВ 26.09.'!Z237+'[13]НВВ 26.09.23.'!Z237</f>
        <v>0</v>
      </c>
      <c r="AA237" s="2260">
        <f>'[11]НВВ 26.09.23.'!AA237+'[12]НВВ 26.09.'!AA237+'[13]НВВ 26.09.23.'!AA237</f>
        <v>0</v>
      </c>
      <c r="AB237" s="2410">
        <f t="shared" si="47"/>
        <v>0</v>
      </c>
      <c r="AC237" s="2606"/>
      <c r="AD237" s="2606"/>
      <c r="AE237" s="2606"/>
      <c r="AF237" s="2593"/>
      <c r="AG237" s="2593"/>
      <c r="AH237" s="2593"/>
      <c r="AI237" s="2593"/>
      <c r="AJ237" s="2593"/>
    </row>
    <row r="238" spans="1:36" s="2218" customFormat="1" ht="19.5" outlineLevel="1" thickBot="1">
      <c r="A238" s="2235">
        <v>171</v>
      </c>
      <c r="B238" s="2412">
        <v>15</v>
      </c>
      <c r="C238" s="2318" t="s">
        <v>2088</v>
      </c>
      <c r="D238" s="2542" t="s">
        <v>1128</v>
      </c>
      <c r="E238" s="2070">
        <f>E239+E270</f>
        <v>0</v>
      </c>
      <c r="F238" s="2413">
        <f>F239+F270</f>
        <v>0</v>
      </c>
      <c r="G238" s="2071">
        <f t="shared" si="42"/>
        <v>0</v>
      </c>
      <c r="H238" s="2413">
        <f>H239+H270</f>
        <v>0</v>
      </c>
      <c r="I238" s="2413">
        <f>I239+I270</f>
        <v>0</v>
      </c>
      <c r="J238" s="2071">
        <f t="shared" si="43"/>
        <v>0</v>
      </c>
      <c r="K238" s="2413">
        <f>K239+K270</f>
        <v>3191.582249598147</v>
      </c>
      <c r="L238" s="2413">
        <f>L239+L270</f>
        <v>3191.582249598147</v>
      </c>
      <c r="M238" s="2071">
        <f t="shared" si="44"/>
        <v>3191.582249598147</v>
      </c>
      <c r="N238" s="2070">
        <f>N239+N270</f>
        <v>8375.5508778610965</v>
      </c>
      <c r="O238" s="2380">
        <f>O239+O270</f>
        <v>27020.395900399286</v>
      </c>
      <c r="P238" s="2080">
        <f t="shared" si="45"/>
        <v>17697.973389130191</v>
      </c>
      <c r="Q238" s="2070">
        <f>Q239+Q270</f>
        <v>27020.395900399286</v>
      </c>
      <c r="R238" s="2380">
        <f>R239+R270</f>
        <v>86152.577675479173</v>
      </c>
      <c r="S238" s="2071">
        <f>Q238/2+R238/2</f>
        <v>56586.486787939226</v>
      </c>
      <c r="T238" s="2070">
        <f>T239+T270</f>
        <v>86152.577675479173</v>
      </c>
      <c r="U238" s="2380">
        <f>U239+U270</f>
        <v>148269.97758237302</v>
      </c>
      <c r="V238" s="2080">
        <f>T238/2+U238/2</f>
        <v>117211.27762892609</v>
      </c>
      <c r="W238" s="2070">
        <f>W239+W270</f>
        <v>148269.97758237302</v>
      </c>
      <c r="X238" s="2380">
        <f>X239+X270</f>
        <v>210436.55062084549</v>
      </c>
      <c r="Y238" s="2080">
        <f t="shared" si="46"/>
        <v>179353.26410160924</v>
      </c>
      <c r="Z238" s="2070">
        <f>Z239+Z270</f>
        <v>210436.55062084549</v>
      </c>
      <c r="AA238" s="2380">
        <f>AA239+AA270</f>
        <v>242046.60357423959</v>
      </c>
      <c r="AB238" s="2071">
        <f t="shared" si="47"/>
        <v>226241.57709754253</v>
      </c>
      <c r="AC238" s="2606"/>
      <c r="AD238" s="2606"/>
      <c r="AE238" s="2606"/>
      <c r="AF238" s="2593"/>
      <c r="AG238" s="2593"/>
      <c r="AH238" s="2593"/>
      <c r="AI238" s="2593"/>
      <c r="AJ238" s="2593"/>
    </row>
    <row r="239" spans="1:36" s="2218" customFormat="1" outlineLevel="1">
      <c r="A239" s="2235">
        <v>172</v>
      </c>
      <c r="B239" s="2243" t="s">
        <v>2089</v>
      </c>
      <c r="C239" s="2414" t="s">
        <v>105</v>
      </c>
      <c r="D239" s="2499" t="s">
        <v>1128</v>
      </c>
      <c r="E239" s="2246">
        <f>E240+E241+E242</f>
        <v>0</v>
      </c>
      <c r="F239" s="2247">
        <f>F240+F241+F242</f>
        <v>0</v>
      </c>
      <c r="G239" s="2248">
        <f t="shared" si="42"/>
        <v>0</v>
      </c>
      <c r="H239" s="2247">
        <f>H240+H241+H242</f>
        <v>0</v>
      </c>
      <c r="I239" s="2247">
        <f>I240+I241+I242</f>
        <v>0</v>
      </c>
      <c r="J239" s="2248">
        <f t="shared" si="43"/>
        <v>0</v>
      </c>
      <c r="K239" s="2247">
        <f>K240+K241+K242</f>
        <v>3191.582249598147</v>
      </c>
      <c r="L239" s="2247">
        <f>L240+L241+L242</f>
        <v>3191.582249598147</v>
      </c>
      <c r="M239" s="2250">
        <f t="shared" si="44"/>
        <v>3191.582249598147</v>
      </c>
      <c r="N239" s="2246">
        <f>N240+N241+N242</f>
        <v>8375.5508778610965</v>
      </c>
      <c r="O239" s="2251">
        <f>O240+O241+O242</f>
        <v>27020.395900399286</v>
      </c>
      <c r="P239" s="2249">
        <f t="shared" si="45"/>
        <v>17697.973389130191</v>
      </c>
      <c r="Q239" s="2246">
        <f>Q240+Q241+Q242</f>
        <v>27020.395900399286</v>
      </c>
      <c r="R239" s="2251">
        <f>R240+R241+R242</f>
        <v>86152.577675479173</v>
      </c>
      <c r="S239" s="2250">
        <f>Q239/2+R239/2</f>
        <v>56586.486787939226</v>
      </c>
      <c r="T239" s="2246">
        <f>T240+T241+T242</f>
        <v>86152.577675479173</v>
      </c>
      <c r="U239" s="2251">
        <f>U240+U241+U242</f>
        <v>148269.97758237302</v>
      </c>
      <c r="V239" s="2249">
        <f>T239/2+U239/2</f>
        <v>117211.27762892609</v>
      </c>
      <c r="W239" s="2246">
        <f>W240+W241+W242</f>
        <v>148269.97758237302</v>
      </c>
      <c r="X239" s="2251">
        <f>X240+X241+X242</f>
        <v>210436.55062084549</v>
      </c>
      <c r="Y239" s="2249">
        <f t="shared" si="46"/>
        <v>179353.26410160924</v>
      </c>
      <c r="Z239" s="2246">
        <f>Z240+Z241+Z242</f>
        <v>210436.55062084549</v>
      </c>
      <c r="AA239" s="2251">
        <f>AA240+AA241+AA242</f>
        <v>242046.60357423959</v>
      </c>
      <c r="AB239" s="2250">
        <f t="shared" si="47"/>
        <v>226241.57709754253</v>
      </c>
      <c r="AC239" s="2606"/>
      <c r="AD239" s="2606"/>
      <c r="AE239" s="2606"/>
      <c r="AF239" s="2593"/>
      <c r="AG239" s="2593"/>
      <c r="AH239" s="2593"/>
      <c r="AI239" s="2593"/>
      <c r="AJ239" s="2593"/>
    </row>
    <row r="240" spans="1:36" s="2218" customFormat="1" ht="63" outlineLevel="1">
      <c r="A240" s="2235">
        <v>196</v>
      </c>
      <c r="B240" s="2281" t="s">
        <v>2090</v>
      </c>
      <c r="C240" s="2282" t="s">
        <v>2091</v>
      </c>
      <c r="D240" s="2504" t="s">
        <v>1128</v>
      </c>
      <c r="E240" s="2284"/>
      <c r="F240" s="2285"/>
      <c r="G240" s="2257">
        <f t="shared" si="42"/>
        <v>0</v>
      </c>
      <c r="H240" s="2285"/>
      <c r="I240" s="2285"/>
      <c r="J240" s="2257">
        <f t="shared" si="43"/>
        <v>0</v>
      </c>
      <c r="K240" s="2285">
        <v>3191.582249598147</v>
      </c>
      <c r="L240" s="2285">
        <v>3191.582249598147</v>
      </c>
      <c r="M240" s="2259">
        <f t="shared" si="44"/>
        <v>3191.582249598147</v>
      </c>
      <c r="N240" s="2255">
        <f>'[11]НВВ 26.09.23.'!N240+'[12]НВВ 26.09.'!N240+'[13]НВВ 26.09.23.'!N240</f>
        <v>8375.5508778610965</v>
      </c>
      <c r="O240" s="2260">
        <f>'[11]НВВ 26.09.23.'!O240+'[12]НВВ 26.09.'!O240+'[13]НВВ 26.09.23.'!O240</f>
        <v>16515.706756099287</v>
      </c>
      <c r="P240" s="2258">
        <f>N240/2+O240/2</f>
        <v>12445.628816980192</v>
      </c>
      <c r="Q240" s="2255">
        <f>'[11]НВВ 26.09.23.'!Q240+'[12]НВВ 26.09.'!Q240+'[13]НВВ 26.09.23.'!Q240</f>
        <v>16515.706756099287</v>
      </c>
      <c r="R240" s="2260">
        <f>'[11]НВВ 26.09.23.'!R240+'[12]НВВ 26.09.'!R240+'[13]НВВ 26.09.23.'!R240</f>
        <v>17176.335026343262</v>
      </c>
      <c r="S240" s="2259">
        <f>Q240/2+R240/2</f>
        <v>16846.020891221277</v>
      </c>
      <c r="T240" s="2255">
        <f>'[11]НВВ 26.09.23.'!T240+'[12]НВВ 26.09.'!T240+'[13]НВВ 26.09.23.'!T240</f>
        <v>17176.335026343262</v>
      </c>
      <c r="U240" s="2260">
        <f>'[11]НВВ 26.09.23.'!U240+'[12]НВВ 26.09.'!U240+'[13]НВВ 26.09.23.'!U240</f>
        <v>17863.388427396989</v>
      </c>
      <c r="V240" s="2258">
        <f>T240/2+U240/2</f>
        <v>17519.861726870127</v>
      </c>
      <c r="W240" s="2255">
        <f>'[11]НВВ 26.09.23.'!W240+'[12]НВВ 26.09.'!W240+'[13]НВВ 26.09.23.'!W240</f>
        <v>17863.388427396989</v>
      </c>
      <c r="X240" s="2260">
        <f>'[11]НВВ 26.09.23.'!X240+'[12]НВВ 26.09.'!X240+'[13]НВВ 26.09.23.'!X240</f>
        <v>18577.923964492871</v>
      </c>
      <c r="Y240" s="2258">
        <f>W240/2+X240/2</f>
        <v>18220.656195944932</v>
      </c>
      <c r="Z240" s="2255">
        <f>'[11]НВВ 26.09.23.'!Z240+'[12]НВВ 26.09.'!Z240+'[13]НВВ 26.09.23.'!Z240</f>
        <v>18577.923964492871</v>
      </c>
      <c r="AA240" s="2260">
        <f>'[11]НВВ 26.09.23.'!AA240+'[12]НВВ 26.09.'!AA240+'[13]НВВ 26.09.23.'!AA240</f>
        <v>19321.040923072589</v>
      </c>
      <c r="AB240" s="2259">
        <f t="shared" si="47"/>
        <v>18949.48244378273</v>
      </c>
      <c r="AC240" s="2606"/>
      <c r="AD240" s="2606"/>
      <c r="AE240" s="2606"/>
      <c r="AF240" s="2593"/>
      <c r="AG240" s="2593"/>
      <c r="AH240" s="2593"/>
      <c r="AI240" s="2593"/>
      <c r="AJ240" s="2593"/>
    </row>
    <row r="241" spans="1:36" s="2218" customFormat="1" ht="31.5" outlineLevel="1">
      <c r="A241" s="2235">
        <v>15</v>
      </c>
      <c r="B241" s="2281" t="s">
        <v>2093</v>
      </c>
      <c r="C241" s="2282" t="s">
        <v>2094</v>
      </c>
      <c r="D241" s="2504" t="s">
        <v>1128</v>
      </c>
      <c r="E241" s="2284"/>
      <c r="F241" s="2285"/>
      <c r="G241" s="2257">
        <f t="shared" si="42"/>
        <v>0</v>
      </c>
      <c r="H241" s="2285"/>
      <c r="I241" s="2285"/>
      <c r="J241" s="2257">
        <f t="shared" si="43"/>
        <v>0</v>
      </c>
      <c r="K241" s="2285"/>
      <c r="L241" s="2285"/>
      <c r="M241" s="2259">
        <f t="shared" si="44"/>
        <v>0</v>
      </c>
      <c r="N241" s="2255">
        <f>'[11]НВВ 26.09.23.'!N241+'[12]НВВ 26.09.'!N241+'[13]НВВ 26.09.23.'!N241</f>
        <v>0</v>
      </c>
      <c r="O241" s="2260">
        <f>'[11]НВВ 26.09.23.'!O241+'[12]НВВ 26.09.'!O241+'[13]НВВ 26.09.23.'!O241</f>
        <v>0</v>
      </c>
      <c r="P241" s="2258">
        <f t="shared" si="45"/>
        <v>0</v>
      </c>
      <c r="Q241" s="2255">
        <f>'[11]НВВ 26.09.23.'!Q241+'[12]НВВ 26.09.'!Q241+'[13]НВВ 26.09.23.'!Q241</f>
        <v>0</v>
      </c>
      <c r="R241" s="2260">
        <f>'[11]НВВ 26.09.23.'!R241+'[12]НВВ 26.09.'!R241+'[13]НВВ 26.09.23.'!R241</f>
        <v>0</v>
      </c>
      <c r="S241" s="2259">
        <f t="shared" ref="S241:S269" si="48">Q241/2+R241/2</f>
        <v>0</v>
      </c>
      <c r="T241" s="2255">
        <f>'[11]НВВ 26.09.23.'!T241+'[12]НВВ 26.09.'!T241+'[13]НВВ 26.09.23.'!T241</f>
        <v>0</v>
      </c>
      <c r="U241" s="2260">
        <f>'[11]НВВ 26.09.23.'!U241+'[12]НВВ 26.09.'!U241+'[13]НВВ 26.09.23.'!U241</f>
        <v>0</v>
      </c>
      <c r="V241" s="2258">
        <f t="shared" ref="V241:V269" si="49">T241/2+U241/2</f>
        <v>0</v>
      </c>
      <c r="W241" s="2255">
        <f>'[11]НВВ 26.09.23.'!W241+'[12]НВВ 26.09.'!W241+'[13]НВВ 26.09.23.'!W241</f>
        <v>0</v>
      </c>
      <c r="X241" s="2260">
        <f>'[11]НВВ 26.09.23.'!X241+'[12]НВВ 26.09.'!X241+'[13]НВВ 26.09.23.'!X241</f>
        <v>0</v>
      </c>
      <c r="Y241" s="2258">
        <f t="shared" si="46"/>
        <v>0</v>
      </c>
      <c r="Z241" s="2255">
        <f>'[11]НВВ 26.09.23.'!Z241+'[12]НВВ 26.09.'!Z241+'[13]НВВ 26.09.23.'!Z241</f>
        <v>0</v>
      </c>
      <c r="AA241" s="2260">
        <f>'[11]НВВ 26.09.23.'!AA241+'[12]НВВ 26.09.'!AA241+'[13]НВВ 26.09.23.'!AA241</f>
        <v>0</v>
      </c>
      <c r="AB241" s="2259">
        <f t="shared" si="47"/>
        <v>0</v>
      </c>
      <c r="AC241" s="2606"/>
      <c r="AD241" s="2606"/>
      <c r="AE241" s="2606"/>
      <c r="AF241" s="2593"/>
      <c r="AG241" s="2593"/>
      <c r="AH241" s="2593"/>
      <c r="AI241" s="2593"/>
      <c r="AJ241" s="2593"/>
    </row>
    <row r="242" spans="1:36" s="2218" customFormat="1" ht="21" customHeight="1" outlineLevel="1" thickBot="1">
      <c r="A242" s="2235">
        <v>16</v>
      </c>
      <c r="B242" s="2415" t="s">
        <v>2095</v>
      </c>
      <c r="C242" s="2416" t="s">
        <v>2096</v>
      </c>
      <c r="D242" s="2547" t="s">
        <v>1128</v>
      </c>
      <c r="E242" s="2482">
        <f>E243</f>
        <v>0</v>
      </c>
      <c r="F242" s="2483">
        <f>F243</f>
        <v>0</v>
      </c>
      <c r="G242" s="2266">
        <f t="shared" si="42"/>
        <v>0</v>
      </c>
      <c r="H242" s="2483">
        <f>H243</f>
        <v>0</v>
      </c>
      <c r="I242" s="2483">
        <f>I243</f>
        <v>0</v>
      </c>
      <c r="J242" s="2266">
        <f t="shared" si="43"/>
        <v>0</v>
      </c>
      <c r="K242" s="2483">
        <f>K243</f>
        <v>0</v>
      </c>
      <c r="L242" s="2483">
        <f>L243</f>
        <v>0</v>
      </c>
      <c r="M242" s="2268">
        <f t="shared" si="44"/>
        <v>0</v>
      </c>
      <c r="N242" s="2482">
        <f>N243</f>
        <v>0</v>
      </c>
      <c r="O242" s="2548">
        <f>O243</f>
        <v>10504.6891443</v>
      </c>
      <c r="P242" s="2267">
        <f t="shared" si="45"/>
        <v>5252.3445721500002</v>
      </c>
      <c r="Q242" s="2284">
        <f>Q288</f>
        <v>10504.6891443</v>
      </c>
      <c r="R242" s="2286">
        <f>R288</f>
        <v>68976.242649135907</v>
      </c>
      <c r="S242" s="2268">
        <f t="shared" si="48"/>
        <v>39740.465896717957</v>
      </c>
      <c r="T242" s="2284">
        <f>T288</f>
        <v>68976.242649135907</v>
      </c>
      <c r="U242" s="2286">
        <f>U288</f>
        <v>130406.58915497604</v>
      </c>
      <c r="V242" s="2267">
        <f t="shared" si="49"/>
        <v>99691.415902055975</v>
      </c>
      <c r="W242" s="2284">
        <f>W288</f>
        <v>130406.58915497604</v>
      </c>
      <c r="X242" s="2286">
        <f>X288</f>
        <v>191858.62665635263</v>
      </c>
      <c r="Y242" s="2267">
        <f t="shared" si="46"/>
        <v>161132.60790566434</v>
      </c>
      <c r="Z242" s="2284">
        <f>Z288</f>
        <v>191858.62665635263</v>
      </c>
      <c r="AA242" s="2286">
        <f>AA288</f>
        <v>222725.56265116701</v>
      </c>
      <c r="AB242" s="2268">
        <f t="shared" si="47"/>
        <v>207292.09465375982</v>
      </c>
      <c r="AC242" s="2606"/>
      <c r="AD242" s="2606"/>
      <c r="AE242" s="2606"/>
      <c r="AF242" s="2593"/>
      <c r="AG242" s="2593"/>
      <c r="AH242" s="2593"/>
      <c r="AI242" s="2593"/>
      <c r="AJ242" s="2593"/>
    </row>
    <row r="243" spans="1:36" s="2218" customFormat="1" ht="26.25" customHeight="1" outlineLevel="1">
      <c r="A243" s="2235">
        <v>17</v>
      </c>
      <c r="B243" s="2420" t="s">
        <v>2097</v>
      </c>
      <c r="C243" s="2421" t="s">
        <v>2098</v>
      </c>
      <c r="D243" s="2549" t="s">
        <v>1313</v>
      </c>
      <c r="E243" s="2484">
        <f>E244+E245+E246+E247+E248+E249+E250+E251</f>
        <v>0</v>
      </c>
      <c r="F243" s="2466">
        <f>F244+F245+F246+F247+F248+F249+F250+F251</f>
        <v>0</v>
      </c>
      <c r="G243" s="2485">
        <f t="shared" si="42"/>
        <v>0</v>
      </c>
      <c r="H243" s="2466">
        <f>H244+H245+H246+H247+H248+H249+H250+H251</f>
        <v>0</v>
      </c>
      <c r="I243" s="2466">
        <f>I244+I245+I246+I247+I248+I249+I250+I251</f>
        <v>0</v>
      </c>
      <c r="J243" s="2485">
        <f t="shared" si="43"/>
        <v>0</v>
      </c>
      <c r="K243" s="2466">
        <f>K244+K245+K246+K247+K248+K249+K250+K251</f>
        <v>0</v>
      </c>
      <c r="L243" s="2466">
        <f>L244+L245+L246+L247+L248+L249+L250+L251</f>
        <v>0</v>
      </c>
      <c r="M243" s="2486">
        <f t="shared" si="44"/>
        <v>0</v>
      </c>
      <c r="N243" s="2484">
        <f>N244+N245+N246+N247+N248+N249+N250+N251</f>
        <v>0</v>
      </c>
      <c r="O243" s="2551">
        <f>O244+O245+O246+O247+O248+O249+O250+O251</f>
        <v>10504.6891443</v>
      </c>
      <c r="P243" s="2550">
        <f t="shared" si="45"/>
        <v>5252.3445721500002</v>
      </c>
      <c r="Q243" s="2484">
        <f>Q244+Q245+Q246+Q247+Q248+Q249+Q250+Q251</f>
        <v>10504.6891443</v>
      </c>
      <c r="R243" s="2551">
        <f>R244+R245+R246+R247+R248+R249+R250+R251</f>
        <v>68976.242649135907</v>
      </c>
      <c r="S243" s="2486">
        <f t="shared" si="48"/>
        <v>39740.465896717957</v>
      </c>
      <c r="T243" s="2484">
        <f>T244+T245+T246+T247+T248+T249+T250+T251</f>
        <v>68976.242649135907</v>
      </c>
      <c r="U243" s="2551">
        <f>U244+U245+U246+U247+U248+U249+U250+U251</f>
        <v>130406.58915497604</v>
      </c>
      <c r="V243" s="2550">
        <f t="shared" si="49"/>
        <v>99691.415902055975</v>
      </c>
      <c r="W243" s="2484">
        <f>W244+W245+W246+W247+W248+W249+W250+W251</f>
        <v>130406.58915497604</v>
      </c>
      <c r="X243" s="2551">
        <f>X244+X245+X246+X247+X248+X249+X250+X251</f>
        <v>191858.62665635263</v>
      </c>
      <c r="Y243" s="2550">
        <f t="shared" si="46"/>
        <v>161132.60790566434</v>
      </c>
      <c r="Z243" s="2484">
        <f>Z244+Z245+Z246+Z247+Z248+Z249+Z250+Z251</f>
        <v>191858.62665635263</v>
      </c>
      <c r="AA243" s="2551">
        <f>AA244+AA245+AA246+AA247+AA248+AA249+AA250+AA251</f>
        <v>222725.56265116701</v>
      </c>
      <c r="AB243" s="2486">
        <f t="shared" si="47"/>
        <v>207292.09465375982</v>
      </c>
      <c r="AC243" s="2606"/>
      <c r="AD243" s="2606"/>
      <c r="AE243" s="2606"/>
      <c r="AF243" s="2593"/>
      <c r="AG243" s="2593"/>
      <c r="AH243" s="2593"/>
      <c r="AI243" s="2593"/>
      <c r="AJ243" s="2593"/>
    </row>
    <row r="244" spans="1:36" s="2218" customFormat="1" ht="26.25" hidden="1" customHeight="1" outlineLevel="2">
      <c r="A244" s="2235">
        <v>18</v>
      </c>
      <c r="B244" s="2423" t="s">
        <v>2099</v>
      </c>
      <c r="C244" s="2424" t="s">
        <v>2100</v>
      </c>
      <c r="D244" s="2552" t="s">
        <v>1128</v>
      </c>
      <c r="E244" s="2284"/>
      <c r="F244" s="2285"/>
      <c r="G244" s="2257">
        <f t="shared" si="42"/>
        <v>0</v>
      </c>
      <c r="H244" s="2285"/>
      <c r="I244" s="2285"/>
      <c r="J244" s="2257">
        <f t="shared" si="43"/>
        <v>0</v>
      </c>
      <c r="K244" s="2285"/>
      <c r="L244" s="2285"/>
      <c r="M244" s="2259">
        <f t="shared" si="44"/>
        <v>0</v>
      </c>
      <c r="N244" s="2284"/>
      <c r="O244" s="2286"/>
      <c r="P244" s="2258">
        <f t="shared" si="45"/>
        <v>0</v>
      </c>
      <c r="Q244" s="2284"/>
      <c r="R244" s="2286"/>
      <c r="S244" s="2259">
        <f t="shared" si="48"/>
        <v>0</v>
      </c>
      <c r="T244" s="2284"/>
      <c r="U244" s="2286"/>
      <c r="V244" s="2258">
        <f t="shared" si="49"/>
        <v>0</v>
      </c>
      <c r="W244" s="2284"/>
      <c r="X244" s="2286"/>
      <c r="Y244" s="2258">
        <f t="shared" si="46"/>
        <v>0</v>
      </c>
      <c r="Z244" s="2284"/>
      <c r="AA244" s="2286"/>
      <c r="AB244" s="2259">
        <f t="shared" si="47"/>
        <v>0</v>
      </c>
      <c r="AC244" s="2606"/>
      <c r="AD244" s="2606"/>
      <c r="AE244" s="2606"/>
      <c r="AF244" s="2593"/>
      <c r="AG244" s="2593"/>
      <c r="AH244" s="2593"/>
      <c r="AI244" s="2593"/>
      <c r="AJ244" s="2593"/>
    </row>
    <row r="245" spans="1:36" s="2218" customFormat="1" ht="24" hidden="1" customHeight="1" outlineLevel="2">
      <c r="A245" s="2235">
        <v>19</v>
      </c>
      <c r="B245" s="2423" t="s">
        <v>2101</v>
      </c>
      <c r="C245" s="2424" t="s">
        <v>2102</v>
      </c>
      <c r="D245" s="2552" t="s">
        <v>1313</v>
      </c>
      <c r="E245" s="2284"/>
      <c r="F245" s="2285"/>
      <c r="G245" s="2257">
        <f t="shared" si="42"/>
        <v>0</v>
      </c>
      <c r="H245" s="2285"/>
      <c r="I245" s="2285"/>
      <c r="J245" s="2257">
        <f t="shared" si="43"/>
        <v>0</v>
      </c>
      <c r="K245" s="2285"/>
      <c r="L245" s="2285"/>
      <c r="M245" s="2259">
        <f t="shared" si="44"/>
        <v>0</v>
      </c>
      <c r="N245" s="2284"/>
      <c r="O245" s="2286"/>
      <c r="P245" s="2258">
        <f t="shared" si="45"/>
        <v>0</v>
      </c>
      <c r="Q245" s="2284"/>
      <c r="R245" s="2286"/>
      <c r="S245" s="2259">
        <f t="shared" si="48"/>
        <v>0</v>
      </c>
      <c r="T245" s="2284"/>
      <c r="U245" s="2286"/>
      <c r="V245" s="2258">
        <f t="shared" si="49"/>
        <v>0</v>
      </c>
      <c r="W245" s="2284"/>
      <c r="X245" s="2286"/>
      <c r="Y245" s="2258">
        <f t="shared" si="46"/>
        <v>0</v>
      </c>
      <c r="Z245" s="2284"/>
      <c r="AA245" s="2286"/>
      <c r="AB245" s="2259">
        <f t="shared" si="47"/>
        <v>0</v>
      </c>
      <c r="AC245" s="2606"/>
      <c r="AD245" s="2606"/>
      <c r="AE245" s="2606"/>
      <c r="AF245" s="2593"/>
      <c r="AG245" s="2593"/>
      <c r="AH245" s="2593"/>
      <c r="AI245" s="2593"/>
      <c r="AJ245" s="2593"/>
    </row>
    <row r="246" spans="1:36" s="2218" customFormat="1" ht="16.5" hidden="1" customHeight="1" outlineLevel="2">
      <c r="A246" s="2235">
        <v>20</v>
      </c>
      <c r="B246" s="2423" t="s">
        <v>2103</v>
      </c>
      <c r="C246" s="2424" t="s">
        <v>2104</v>
      </c>
      <c r="D246" s="2552" t="s">
        <v>1128</v>
      </c>
      <c r="E246" s="2284"/>
      <c r="F246" s="2285"/>
      <c r="G246" s="2257">
        <f t="shared" si="42"/>
        <v>0</v>
      </c>
      <c r="H246" s="2285"/>
      <c r="I246" s="2285"/>
      <c r="J246" s="2257">
        <f t="shared" si="43"/>
        <v>0</v>
      </c>
      <c r="K246" s="2285"/>
      <c r="L246" s="2285"/>
      <c r="M246" s="2259">
        <f t="shared" si="44"/>
        <v>0</v>
      </c>
      <c r="N246" s="2284"/>
      <c r="O246" s="2286"/>
      <c r="P246" s="2258">
        <f t="shared" si="45"/>
        <v>0</v>
      </c>
      <c r="Q246" s="2284"/>
      <c r="R246" s="2286"/>
      <c r="S246" s="2259">
        <f t="shared" si="48"/>
        <v>0</v>
      </c>
      <c r="T246" s="2284"/>
      <c r="U246" s="2286"/>
      <c r="V246" s="2258">
        <f t="shared" si="49"/>
        <v>0</v>
      </c>
      <c r="W246" s="2284"/>
      <c r="X246" s="2286"/>
      <c r="Y246" s="2258">
        <f t="shared" si="46"/>
        <v>0</v>
      </c>
      <c r="Z246" s="2284"/>
      <c r="AA246" s="2286"/>
      <c r="AB246" s="2259">
        <f t="shared" si="47"/>
        <v>0</v>
      </c>
      <c r="AC246" s="2606"/>
      <c r="AD246" s="2606"/>
      <c r="AE246" s="2606"/>
      <c r="AF246" s="2593"/>
      <c r="AG246" s="2593"/>
      <c r="AH246" s="2593"/>
      <c r="AI246" s="2593"/>
      <c r="AJ246" s="2593"/>
    </row>
    <row r="247" spans="1:36" s="2218" customFormat="1" ht="18" hidden="1" customHeight="1" outlineLevel="2">
      <c r="A247" s="2235">
        <v>21</v>
      </c>
      <c r="B247" s="2423" t="s">
        <v>2105</v>
      </c>
      <c r="C247" s="2424" t="s">
        <v>2106</v>
      </c>
      <c r="D247" s="2552" t="s">
        <v>1128</v>
      </c>
      <c r="E247" s="2284"/>
      <c r="F247" s="2285"/>
      <c r="G247" s="2257">
        <f t="shared" si="42"/>
        <v>0</v>
      </c>
      <c r="H247" s="2285"/>
      <c r="I247" s="2285"/>
      <c r="J247" s="2257">
        <f t="shared" si="43"/>
        <v>0</v>
      </c>
      <c r="K247" s="2285"/>
      <c r="L247" s="2285"/>
      <c r="M247" s="2259">
        <f t="shared" si="44"/>
        <v>0</v>
      </c>
      <c r="N247" s="2284"/>
      <c r="O247" s="2286"/>
      <c r="P247" s="2258">
        <f t="shared" si="45"/>
        <v>0</v>
      </c>
      <c r="Q247" s="2284"/>
      <c r="R247" s="2286"/>
      <c r="S247" s="2259">
        <f t="shared" si="48"/>
        <v>0</v>
      </c>
      <c r="T247" s="2284"/>
      <c r="U247" s="2286"/>
      <c r="V247" s="2258">
        <f t="shared" si="49"/>
        <v>0</v>
      </c>
      <c r="W247" s="2284"/>
      <c r="X247" s="2286"/>
      <c r="Y247" s="2258">
        <f t="shared" si="46"/>
        <v>0</v>
      </c>
      <c r="Z247" s="2284"/>
      <c r="AA247" s="2286"/>
      <c r="AB247" s="2259">
        <f t="shared" si="47"/>
        <v>0</v>
      </c>
      <c r="AC247" s="2606"/>
      <c r="AD247" s="2606"/>
      <c r="AE247" s="2606"/>
      <c r="AF247" s="2593"/>
      <c r="AG247" s="2593"/>
      <c r="AH247" s="2593"/>
      <c r="AI247" s="2593"/>
      <c r="AJ247" s="2593"/>
    </row>
    <row r="248" spans="1:36" s="2218" customFormat="1" ht="18" customHeight="1" outlineLevel="1" collapsed="1">
      <c r="A248" s="2235">
        <v>40</v>
      </c>
      <c r="B248" s="2423" t="s">
        <v>2107</v>
      </c>
      <c r="C248" s="2424" t="s">
        <v>2108</v>
      </c>
      <c r="D248" s="2552" t="s">
        <v>1128</v>
      </c>
      <c r="E248" s="2284"/>
      <c r="F248" s="2285"/>
      <c r="G248" s="2257">
        <f t="shared" si="42"/>
        <v>0</v>
      </c>
      <c r="H248" s="2285"/>
      <c r="I248" s="2285"/>
      <c r="J248" s="2257">
        <f t="shared" si="43"/>
        <v>0</v>
      </c>
      <c r="K248" s="2285"/>
      <c r="L248" s="2285"/>
      <c r="M248" s="2259">
        <f t="shared" si="44"/>
        <v>0</v>
      </c>
      <c r="N248" s="2284"/>
      <c r="O248" s="2506">
        <f>O288</f>
        <v>10504.6891443</v>
      </c>
      <c r="P248" s="2258">
        <f t="shared" si="45"/>
        <v>5252.3445721500002</v>
      </c>
      <c r="Q248" s="2284">
        <f>Q288</f>
        <v>10504.6891443</v>
      </c>
      <c r="R248" s="2286">
        <f>R288</f>
        <v>68976.242649135907</v>
      </c>
      <c r="S248" s="2259">
        <f t="shared" si="48"/>
        <v>39740.465896717957</v>
      </c>
      <c r="T248" s="2284">
        <f>T288</f>
        <v>68976.242649135907</v>
      </c>
      <c r="U248" s="2286">
        <f>U288</f>
        <v>130406.58915497604</v>
      </c>
      <c r="V248" s="2258">
        <f t="shared" si="49"/>
        <v>99691.415902055975</v>
      </c>
      <c r="W248" s="2284">
        <f>W288</f>
        <v>130406.58915497604</v>
      </c>
      <c r="X248" s="2286">
        <f>X288</f>
        <v>191858.62665635263</v>
      </c>
      <c r="Y248" s="2258">
        <f t="shared" si="46"/>
        <v>161132.60790566434</v>
      </c>
      <c r="Z248" s="2284">
        <f>Z288</f>
        <v>191858.62665635263</v>
      </c>
      <c r="AA248" s="2286">
        <f>AA288</f>
        <v>222725.56265116701</v>
      </c>
      <c r="AB248" s="2259">
        <f t="shared" si="47"/>
        <v>207292.09465375982</v>
      </c>
      <c r="AC248" s="2606"/>
      <c r="AD248" s="2606"/>
      <c r="AE248" s="2606"/>
      <c r="AF248" s="2593"/>
      <c r="AG248" s="2593"/>
      <c r="AH248" s="2593"/>
      <c r="AI248" s="2593"/>
      <c r="AJ248" s="2593"/>
    </row>
    <row r="249" spans="1:36" s="2218" customFormat="1" ht="22.5" hidden="1" customHeight="1" outlineLevel="2">
      <c r="A249" s="2235">
        <v>41</v>
      </c>
      <c r="B249" s="2423" t="s">
        <v>2109</v>
      </c>
      <c r="C249" s="2424" t="s">
        <v>2110</v>
      </c>
      <c r="D249" s="2552" t="s">
        <v>1128</v>
      </c>
      <c r="E249" s="2284"/>
      <c r="F249" s="2285"/>
      <c r="G249" s="2257">
        <f t="shared" si="42"/>
        <v>0</v>
      </c>
      <c r="H249" s="2285"/>
      <c r="I249" s="2285"/>
      <c r="J249" s="2257">
        <f t="shared" si="43"/>
        <v>0</v>
      </c>
      <c r="K249" s="2285"/>
      <c r="L249" s="2285"/>
      <c r="M249" s="2259">
        <f t="shared" si="44"/>
        <v>0</v>
      </c>
      <c r="N249" s="2284"/>
      <c r="O249" s="2286"/>
      <c r="P249" s="2258">
        <f t="shared" si="45"/>
        <v>0</v>
      </c>
      <c r="Q249" s="2284"/>
      <c r="R249" s="2286"/>
      <c r="S249" s="2259">
        <f t="shared" si="48"/>
        <v>0</v>
      </c>
      <c r="T249" s="2284"/>
      <c r="U249" s="2286"/>
      <c r="V249" s="2258">
        <f t="shared" si="49"/>
        <v>0</v>
      </c>
      <c r="W249" s="2284"/>
      <c r="X249" s="2286"/>
      <c r="Y249" s="2258">
        <f t="shared" si="46"/>
        <v>0</v>
      </c>
      <c r="Z249" s="2284"/>
      <c r="AA249" s="2286"/>
      <c r="AB249" s="2259">
        <f t="shared" si="47"/>
        <v>0</v>
      </c>
      <c r="AC249" s="2606"/>
      <c r="AD249" s="2606"/>
      <c r="AE249" s="2606"/>
      <c r="AF249" s="2593"/>
      <c r="AG249" s="2593"/>
      <c r="AH249" s="2593"/>
      <c r="AI249" s="2593"/>
      <c r="AJ249" s="2593"/>
    </row>
    <row r="250" spans="1:36" s="2218" customFormat="1" ht="18.75" hidden="1" customHeight="1" outlineLevel="2">
      <c r="A250" s="2235">
        <v>42</v>
      </c>
      <c r="B250" s="2423" t="s">
        <v>2111</v>
      </c>
      <c r="C250" s="2424" t="s">
        <v>2112</v>
      </c>
      <c r="D250" s="2552" t="s">
        <v>1128</v>
      </c>
      <c r="E250" s="2284"/>
      <c r="F250" s="2285"/>
      <c r="G250" s="2257">
        <f t="shared" si="42"/>
        <v>0</v>
      </c>
      <c r="H250" s="2285"/>
      <c r="I250" s="2285"/>
      <c r="J250" s="2257">
        <f t="shared" si="43"/>
        <v>0</v>
      </c>
      <c r="K250" s="2285"/>
      <c r="L250" s="2285"/>
      <c r="M250" s="2259">
        <f t="shared" si="44"/>
        <v>0</v>
      </c>
      <c r="N250" s="2284"/>
      <c r="O250" s="2286"/>
      <c r="P250" s="2258">
        <f t="shared" si="45"/>
        <v>0</v>
      </c>
      <c r="Q250" s="2284"/>
      <c r="R250" s="2286"/>
      <c r="S250" s="2259">
        <f t="shared" si="48"/>
        <v>0</v>
      </c>
      <c r="T250" s="2284"/>
      <c r="U250" s="2286"/>
      <c r="V250" s="2258">
        <f t="shared" si="49"/>
        <v>0</v>
      </c>
      <c r="W250" s="2284"/>
      <c r="X250" s="2286"/>
      <c r="Y250" s="2258">
        <f t="shared" si="46"/>
        <v>0</v>
      </c>
      <c r="Z250" s="2284"/>
      <c r="AA250" s="2286"/>
      <c r="AB250" s="2259">
        <f t="shared" si="47"/>
        <v>0</v>
      </c>
      <c r="AC250" s="2606"/>
      <c r="AD250" s="2606"/>
      <c r="AE250" s="2606"/>
      <c r="AF250" s="2593"/>
      <c r="AG250" s="2593"/>
      <c r="AH250" s="2593"/>
      <c r="AI250" s="2593"/>
      <c r="AJ250" s="2593"/>
    </row>
    <row r="251" spans="1:36" s="2218" customFormat="1" ht="18.75" hidden="1" customHeight="1" outlineLevel="2">
      <c r="A251" s="2235">
        <v>43</v>
      </c>
      <c r="B251" s="2423" t="s">
        <v>2113</v>
      </c>
      <c r="C251" s="2424" t="s">
        <v>2106</v>
      </c>
      <c r="D251" s="2552" t="s">
        <v>1128</v>
      </c>
      <c r="E251" s="2284"/>
      <c r="F251" s="2285"/>
      <c r="G251" s="2257">
        <f t="shared" si="42"/>
        <v>0</v>
      </c>
      <c r="H251" s="2285"/>
      <c r="I251" s="2285"/>
      <c r="J251" s="2257">
        <f t="shared" si="43"/>
        <v>0</v>
      </c>
      <c r="K251" s="2285"/>
      <c r="L251" s="2285"/>
      <c r="M251" s="2259">
        <f t="shared" si="44"/>
        <v>0</v>
      </c>
      <c r="N251" s="2284"/>
      <c r="O251" s="2286"/>
      <c r="P251" s="2258">
        <f t="shared" si="45"/>
        <v>0</v>
      </c>
      <c r="Q251" s="2284"/>
      <c r="R251" s="2286"/>
      <c r="S251" s="2259">
        <f t="shared" si="48"/>
        <v>0</v>
      </c>
      <c r="T251" s="2284"/>
      <c r="U251" s="2286"/>
      <c r="V251" s="2258">
        <f t="shared" si="49"/>
        <v>0</v>
      </c>
      <c r="W251" s="2284"/>
      <c r="X251" s="2286"/>
      <c r="Y251" s="2258">
        <f t="shared" si="46"/>
        <v>0</v>
      </c>
      <c r="Z251" s="2284"/>
      <c r="AA251" s="2286"/>
      <c r="AB251" s="2259">
        <f t="shared" si="47"/>
        <v>0</v>
      </c>
      <c r="AC251" s="2606"/>
      <c r="AD251" s="2606"/>
      <c r="AE251" s="2606"/>
      <c r="AF251" s="2593"/>
      <c r="AG251" s="2593"/>
      <c r="AH251" s="2593"/>
      <c r="AI251" s="2593"/>
      <c r="AJ251" s="2593"/>
    </row>
    <row r="252" spans="1:36" s="2218" customFormat="1" ht="32.25" customHeight="1" outlineLevel="1" collapsed="1">
      <c r="A252" s="2235">
        <v>22</v>
      </c>
      <c r="B252" s="2423" t="s">
        <v>2114</v>
      </c>
      <c r="C252" s="2426" t="s">
        <v>2115</v>
      </c>
      <c r="D252" s="2552" t="s">
        <v>1128</v>
      </c>
      <c r="E252" s="2255">
        <f>E253+E256+E260</f>
        <v>0</v>
      </c>
      <c r="F252" s="2256">
        <f>F253+F256+F260</f>
        <v>0</v>
      </c>
      <c r="G252" s="2257">
        <f t="shared" si="42"/>
        <v>0</v>
      </c>
      <c r="H252" s="2256">
        <f>H253+H256+H260</f>
        <v>0</v>
      </c>
      <c r="I252" s="2256">
        <f>I253+I256+I260</f>
        <v>0</v>
      </c>
      <c r="J252" s="2257">
        <f t="shared" si="43"/>
        <v>0</v>
      </c>
      <c r="K252" s="2256">
        <f>K253+K256+K260</f>
        <v>0</v>
      </c>
      <c r="L252" s="2256">
        <f>L253+L256+L260</f>
        <v>0</v>
      </c>
      <c r="M252" s="2259">
        <f t="shared" si="44"/>
        <v>0</v>
      </c>
      <c r="N252" s="2255">
        <f>N253+N256+N260</f>
        <v>0</v>
      </c>
      <c r="O252" s="2260">
        <f>O253+O256+O260</f>
        <v>10504.6891443</v>
      </c>
      <c r="P252" s="2258">
        <f t="shared" si="45"/>
        <v>5252.3445721500002</v>
      </c>
      <c r="Q252" s="2255">
        <f>Q253+Q256+Q260</f>
        <v>10504.6891443</v>
      </c>
      <c r="R252" s="2260">
        <f>R253+R256+R260</f>
        <v>68976.242649135907</v>
      </c>
      <c r="S252" s="2259">
        <f t="shared" si="48"/>
        <v>39740.465896717957</v>
      </c>
      <c r="T252" s="2255">
        <f>T253+T256+T260</f>
        <v>68976.242649135907</v>
      </c>
      <c r="U252" s="2260">
        <f>U253+U256+U260</f>
        <v>130406.58915497604</v>
      </c>
      <c r="V252" s="2258">
        <f t="shared" si="49"/>
        <v>99691.415902055975</v>
      </c>
      <c r="W252" s="2255">
        <f>W253+W256+W260</f>
        <v>130406.58915497604</v>
      </c>
      <c r="X252" s="2260">
        <f>X253+X256+X260</f>
        <v>191858.62665635263</v>
      </c>
      <c r="Y252" s="2258">
        <f t="shared" si="46"/>
        <v>161132.60790566434</v>
      </c>
      <c r="Z252" s="2255">
        <f>Z253+Z256+Z260</f>
        <v>191858.62665635263</v>
      </c>
      <c r="AA252" s="2260">
        <f>AA253+AA256+AA260</f>
        <v>222725.56265116701</v>
      </c>
      <c r="AB252" s="2259">
        <f t="shared" si="47"/>
        <v>207292.09465375982</v>
      </c>
      <c r="AC252" s="2606"/>
      <c r="AD252" s="2606"/>
      <c r="AE252" s="2606"/>
      <c r="AF252" s="2593"/>
      <c r="AG252" s="2593"/>
      <c r="AH252" s="2593"/>
      <c r="AI252" s="2593"/>
      <c r="AJ252" s="2593"/>
    </row>
    <row r="253" spans="1:36" s="2218" customFormat="1" ht="24" hidden="1" customHeight="1" outlineLevel="2">
      <c r="A253" s="2235">
        <v>23</v>
      </c>
      <c r="B253" s="2423" t="s">
        <v>2116</v>
      </c>
      <c r="C253" s="2427" t="s">
        <v>2084</v>
      </c>
      <c r="D253" s="2552" t="s">
        <v>1128</v>
      </c>
      <c r="E253" s="2255">
        <f>E254+E255</f>
        <v>0</v>
      </c>
      <c r="F253" s="2256">
        <f>F254+F255</f>
        <v>0</v>
      </c>
      <c r="G253" s="2257">
        <f t="shared" si="42"/>
        <v>0</v>
      </c>
      <c r="H253" s="2256">
        <f>H254+H255</f>
        <v>0</v>
      </c>
      <c r="I253" s="2256">
        <f>I254+I255</f>
        <v>0</v>
      </c>
      <c r="J253" s="2257">
        <f t="shared" si="43"/>
        <v>0</v>
      </c>
      <c r="K253" s="2256">
        <f>K254+K255</f>
        <v>0</v>
      </c>
      <c r="L253" s="2256">
        <f>L254+L255</f>
        <v>0</v>
      </c>
      <c r="M253" s="2259">
        <f t="shared" si="44"/>
        <v>0</v>
      </c>
      <c r="N253" s="2255">
        <f>N254+N255</f>
        <v>0</v>
      </c>
      <c r="O253" s="2260">
        <f>O254+O255</f>
        <v>0</v>
      </c>
      <c r="P253" s="2258">
        <f t="shared" si="45"/>
        <v>0</v>
      </c>
      <c r="Q253" s="2255">
        <f>Q254+Q255</f>
        <v>0</v>
      </c>
      <c r="R253" s="2260">
        <f>R254+R255</f>
        <v>0</v>
      </c>
      <c r="S253" s="2259">
        <f t="shared" si="48"/>
        <v>0</v>
      </c>
      <c r="T253" s="2255">
        <f>T254+T255</f>
        <v>0</v>
      </c>
      <c r="U253" s="2260">
        <f>U254+U255</f>
        <v>0</v>
      </c>
      <c r="V253" s="2258">
        <f t="shared" si="49"/>
        <v>0</v>
      </c>
      <c r="W253" s="2255">
        <f>W254+W255</f>
        <v>0</v>
      </c>
      <c r="X253" s="2260">
        <f>X254+X255</f>
        <v>0</v>
      </c>
      <c r="Y253" s="2258">
        <f t="shared" si="46"/>
        <v>0</v>
      </c>
      <c r="Z253" s="2255">
        <f>Z254+Z255</f>
        <v>0</v>
      </c>
      <c r="AA253" s="2260">
        <f>AA254+AA255</f>
        <v>0</v>
      </c>
      <c r="AB253" s="2259">
        <f t="shared" si="47"/>
        <v>0</v>
      </c>
      <c r="AC253" s="2606"/>
      <c r="AD253" s="2606"/>
      <c r="AE253" s="2606"/>
      <c r="AF253" s="2593"/>
      <c r="AG253" s="2593"/>
      <c r="AH253" s="2593"/>
      <c r="AI253" s="2593"/>
      <c r="AJ253" s="2593"/>
    </row>
    <row r="254" spans="1:36" s="2218" customFormat="1" ht="25.5" hidden="1" customHeight="1" outlineLevel="2">
      <c r="A254" s="2235">
        <v>24</v>
      </c>
      <c r="B254" s="2423" t="s">
        <v>2117</v>
      </c>
      <c r="C254" s="2424" t="s">
        <v>2118</v>
      </c>
      <c r="D254" s="2552" t="s">
        <v>1128</v>
      </c>
      <c r="E254" s="2284"/>
      <c r="F254" s="2285"/>
      <c r="G254" s="2257">
        <f t="shared" si="42"/>
        <v>0</v>
      </c>
      <c r="H254" s="2285"/>
      <c r="I254" s="2285"/>
      <c r="J254" s="2257">
        <f t="shared" si="43"/>
        <v>0</v>
      </c>
      <c r="K254" s="2285"/>
      <c r="L254" s="2285"/>
      <c r="M254" s="2259">
        <f t="shared" si="44"/>
        <v>0</v>
      </c>
      <c r="N254" s="2284"/>
      <c r="O254" s="2286"/>
      <c r="P254" s="2258">
        <f t="shared" si="45"/>
        <v>0</v>
      </c>
      <c r="Q254" s="2284"/>
      <c r="R254" s="2286"/>
      <c r="S254" s="2259">
        <f t="shared" si="48"/>
        <v>0</v>
      </c>
      <c r="T254" s="2284"/>
      <c r="U254" s="2286"/>
      <c r="V254" s="2258">
        <f t="shared" si="49"/>
        <v>0</v>
      </c>
      <c r="W254" s="2284"/>
      <c r="X254" s="2286"/>
      <c r="Y254" s="2258">
        <f t="shared" si="46"/>
        <v>0</v>
      </c>
      <c r="Z254" s="2284"/>
      <c r="AA254" s="2286"/>
      <c r="AB254" s="2259">
        <f t="shared" si="47"/>
        <v>0</v>
      </c>
      <c r="AC254" s="2606"/>
      <c r="AD254" s="2606"/>
      <c r="AE254" s="2606"/>
      <c r="AF254" s="2593"/>
      <c r="AG254" s="2593"/>
      <c r="AH254" s="2593"/>
      <c r="AI254" s="2593"/>
      <c r="AJ254" s="2593"/>
    </row>
    <row r="255" spans="1:36" s="2218" customFormat="1" hidden="1" outlineLevel="2">
      <c r="A255" s="2235">
        <v>38</v>
      </c>
      <c r="B255" s="2423"/>
      <c r="C255" s="2424" t="s">
        <v>2119</v>
      </c>
      <c r="D255" s="2552" t="s">
        <v>1128</v>
      </c>
      <c r="E255" s="2284"/>
      <c r="F255" s="2285"/>
      <c r="G255" s="2257">
        <f t="shared" si="42"/>
        <v>0</v>
      </c>
      <c r="H255" s="2285"/>
      <c r="I255" s="2285"/>
      <c r="J255" s="2257">
        <f t="shared" si="43"/>
        <v>0</v>
      </c>
      <c r="K255" s="2285"/>
      <c r="L255" s="2285"/>
      <c r="M255" s="2259">
        <f t="shared" si="44"/>
        <v>0</v>
      </c>
      <c r="N255" s="2284"/>
      <c r="O255" s="2286"/>
      <c r="P255" s="2258">
        <f t="shared" si="45"/>
        <v>0</v>
      </c>
      <c r="Q255" s="2284"/>
      <c r="R255" s="2286"/>
      <c r="S255" s="2259">
        <f t="shared" si="48"/>
        <v>0</v>
      </c>
      <c r="T255" s="2284"/>
      <c r="U255" s="2286"/>
      <c r="V255" s="2258">
        <f t="shared" si="49"/>
        <v>0</v>
      </c>
      <c r="W255" s="2284"/>
      <c r="X255" s="2286"/>
      <c r="Y255" s="2258">
        <f t="shared" si="46"/>
        <v>0</v>
      </c>
      <c r="Z255" s="2284"/>
      <c r="AA255" s="2286"/>
      <c r="AB255" s="2259">
        <f t="shared" si="47"/>
        <v>0</v>
      </c>
      <c r="AC255" s="2606"/>
      <c r="AD255" s="2606"/>
      <c r="AE255" s="2606"/>
      <c r="AF255" s="2593"/>
      <c r="AG255" s="2593"/>
      <c r="AH255" s="2593"/>
      <c r="AI255" s="2593"/>
      <c r="AJ255" s="2593"/>
    </row>
    <row r="256" spans="1:36" s="2218" customFormat="1" ht="22.5" customHeight="1" outlineLevel="1" collapsed="1">
      <c r="A256" s="2235">
        <v>25</v>
      </c>
      <c r="B256" s="2423" t="s">
        <v>2120</v>
      </c>
      <c r="C256" s="2427" t="s">
        <v>2088</v>
      </c>
      <c r="D256" s="2552" t="s">
        <v>1128</v>
      </c>
      <c r="E256" s="2255">
        <f>E257+E258+E259</f>
        <v>0</v>
      </c>
      <c r="F256" s="2256">
        <f>F257+F258+F259</f>
        <v>0</v>
      </c>
      <c r="G256" s="2257">
        <f t="shared" si="42"/>
        <v>0</v>
      </c>
      <c r="H256" s="2256">
        <f>H257+H258+H259</f>
        <v>0</v>
      </c>
      <c r="I256" s="2256">
        <f>I257+I258+I259</f>
        <v>0</v>
      </c>
      <c r="J256" s="2257">
        <f t="shared" si="43"/>
        <v>0</v>
      </c>
      <c r="K256" s="2256">
        <f>K257+K258+K259</f>
        <v>0</v>
      </c>
      <c r="L256" s="2256">
        <f>L257+L258+L259</f>
        <v>0</v>
      </c>
      <c r="M256" s="2259">
        <f t="shared" si="44"/>
        <v>0</v>
      </c>
      <c r="N256" s="2255">
        <f>N257+N258+N259</f>
        <v>0</v>
      </c>
      <c r="O256" s="2260">
        <f>O257+O258+O259</f>
        <v>10504.6891443</v>
      </c>
      <c r="P256" s="2258">
        <f t="shared" si="45"/>
        <v>5252.3445721500002</v>
      </c>
      <c r="Q256" s="2255">
        <f>Q257+Q258+Q259</f>
        <v>10504.6891443</v>
      </c>
      <c r="R256" s="2260">
        <f>R257+R258+R259</f>
        <v>68976.242649135907</v>
      </c>
      <c r="S256" s="2259">
        <f t="shared" si="48"/>
        <v>39740.465896717957</v>
      </c>
      <c r="T256" s="2255">
        <f>T257+T258+T259</f>
        <v>68976.242649135907</v>
      </c>
      <c r="U256" s="2260">
        <f>U257+U258+U259</f>
        <v>130406.58915497604</v>
      </c>
      <c r="V256" s="2258">
        <f t="shared" si="49"/>
        <v>99691.415902055975</v>
      </c>
      <c r="W256" s="2255">
        <f>W257+W258+W259</f>
        <v>130406.58915497604</v>
      </c>
      <c r="X256" s="2260">
        <f>X257+X258+X259</f>
        <v>191858.62665635263</v>
      </c>
      <c r="Y256" s="2258">
        <f t="shared" si="46"/>
        <v>161132.60790566434</v>
      </c>
      <c r="Z256" s="2255">
        <f>Z257+Z258+Z259</f>
        <v>191858.62665635263</v>
      </c>
      <c r="AA256" s="2260">
        <f>AA257+AA258+AA259</f>
        <v>222725.56265116701</v>
      </c>
      <c r="AB256" s="2259">
        <f t="shared" si="47"/>
        <v>207292.09465375982</v>
      </c>
      <c r="AC256" s="2606"/>
      <c r="AD256" s="2606"/>
      <c r="AE256" s="2606"/>
      <c r="AF256" s="2593"/>
      <c r="AG256" s="2593"/>
      <c r="AH256" s="2593"/>
      <c r="AI256" s="2593"/>
      <c r="AJ256" s="2593"/>
    </row>
    <row r="257" spans="1:36" s="2218" customFormat="1" ht="18" hidden="1" customHeight="1" outlineLevel="2">
      <c r="A257" s="2235">
        <v>26</v>
      </c>
      <c r="B257" s="2423" t="s">
        <v>2121</v>
      </c>
      <c r="C257" s="2424" t="s">
        <v>2122</v>
      </c>
      <c r="D257" s="2552" t="s">
        <v>1128</v>
      </c>
      <c r="E257" s="2284"/>
      <c r="F257" s="2285"/>
      <c r="G257" s="2257">
        <f t="shared" si="42"/>
        <v>0</v>
      </c>
      <c r="H257" s="2285"/>
      <c r="I257" s="2285"/>
      <c r="J257" s="2257">
        <f t="shared" si="43"/>
        <v>0</v>
      </c>
      <c r="K257" s="2285"/>
      <c r="L257" s="2285"/>
      <c r="M257" s="2259">
        <f t="shared" si="44"/>
        <v>0</v>
      </c>
      <c r="N257" s="2284"/>
      <c r="O257" s="2286"/>
      <c r="P257" s="2258">
        <f t="shared" si="45"/>
        <v>0</v>
      </c>
      <c r="Q257" s="2284"/>
      <c r="R257" s="2286"/>
      <c r="S257" s="2259">
        <f t="shared" si="48"/>
        <v>0</v>
      </c>
      <c r="T257" s="2284"/>
      <c r="U257" s="2286"/>
      <c r="V257" s="2258">
        <f t="shared" si="49"/>
        <v>0</v>
      </c>
      <c r="W257" s="2284"/>
      <c r="X257" s="2286"/>
      <c r="Y257" s="2258">
        <f t="shared" si="46"/>
        <v>0</v>
      </c>
      <c r="Z257" s="2284"/>
      <c r="AA257" s="2286"/>
      <c r="AB257" s="2259">
        <f t="shared" si="47"/>
        <v>0</v>
      </c>
      <c r="AC257" s="2606"/>
      <c r="AD257" s="2606"/>
      <c r="AE257" s="2606"/>
      <c r="AF257" s="2593"/>
      <c r="AG257" s="2593"/>
      <c r="AH257" s="2593"/>
      <c r="AI257" s="2593"/>
      <c r="AJ257" s="2593"/>
    </row>
    <row r="258" spans="1:36" s="2218" customFormat="1" outlineLevel="1" collapsed="1">
      <c r="A258" s="2235">
        <v>39</v>
      </c>
      <c r="B258" s="2423"/>
      <c r="C258" s="2424" t="s">
        <v>2123</v>
      </c>
      <c r="D258" s="2552" t="s">
        <v>1128</v>
      </c>
      <c r="E258" s="2284"/>
      <c r="F258" s="2285"/>
      <c r="G258" s="2257">
        <f t="shared" si="42"/>
        <v>0</v>
      </c>
      <c r="H258" s="2285"/>
      <c r="I258" s="2285"/>
      <c r="J258" s="2257">
        <f t="shared" si="43"/>
        <v>0</v>
      </c>
      <c r="K258" s="2285"/>
      <c r="L258" s="2285"/>
      <c r="M258" s="2259">
        <f t="shared" si="44"/>
        <v>0</v>
      </c>
      <c r="N258" s="2284"/>
      <c r="O258" s="2286">
        <f>O248</f>
        <v>10504.6891443</v>
      </c>
      <c r="P258" s="2258">
        <f t="shared" si="45"/>
        <v>5252.3445721500002</v>
      </c>
      <c r="Q258" s="2284">
        <f>Q248</f>
        <v>10504.6891443</v>
      </c>
      <c r="R258" s="2286">
        <f>R248</f>
        <v>68976.242649135907</v>
      </c>
      <c r="S258" s="2259">
        <f t="shared" si="48"/>
        <v>39740.465896717957</v>
      </c>
      <c r="T258" s="2284">
        <f>T248</f>
        <v>68976.242649135907</v>
      </c>
      <c r="U258" s="2286">
        <f>U248</f>
        <v>130406.58915497604</v>
      </c>
      <c r="V258" s="2258">
        <f t="shared" si="49"/>
        <v>99691.415902055975</v>
      </c>
      <c r="W258" s="2284">
        <f>W248</f>
        <v>130406.58915497604</v>
      </c>
      <c r="X258" s="2286">
        <f>X248</f>
        <v>191858.62665635263</v>
      </c>
      <c r="Y258" s="2258">
        <f t="shared" si="46"/>
        <v>161132.60790566434</v>
      </c>
      <c r="Z258" s="2284">
        <f>Z248</f>
        <v>191858.62665635263</v>
      </c>
      <c r="AA258" s="2286">
        <f>AA248</f>
        <v>222725.56265116701</v>
      </c>
      <c r="AB258" s="2259">
        <f t="shared" si="47"/>
        <v>207292.09465375982</v>
      </c>
      <c r="AC258" s="2606"/>
      <c r="AD258" s="2606"/>
      <c r="AE258" s="2606"/>
      <c r="AF258" s="2593"/>
      <c r="AG258" s="2593"/>
      <c r="AH258" s="2593"/>
      <c r="AI258" s="2593"/>
      <c r="AJ258" s="2593"/>
    </row>
    <row r="259" spans="1:36" s="2218" customFormat="1" ht="20.25" hidden="1" customHeight="1" outlineLevel="1">
      <c r="A259" s="2235">
        <v>27</v>
      </c>
      <c r="B259" s="2423" t="s">
        <v>2124</v>
      </c>
      <c r="C259" s="2424" t="s">
        <v>2125</v>
      </c>
      <c r="D259" s="2552" t="s">
        <v>1128</v>
      </c>
      <c r="E259" s="2284"/>
      <c r="F259" s="2285"/>
      <c r="G259" s="2257">
        <f t="shared" si="42"/>
        <v>0</v>
      </c>
      <c r="H259" s="2285"/>
      <c r="I259" s="2285"/>
      <c r="J259" s="2257">
        <f t="shared" si="43"/>
        <v>0</v>
      </c>
      <c r="K259" s="2285"/>
      <c r="L259" s="2285"/>
      <c r="M259" s="2259">
        <f t="shared" si="44"/>
        <v>0</v>
      </c>
      <c r="N259" s="2284"/>
      <c r="O259" s="2286"/>
      <c r="P259" s="2258">
        <f t="shared" si="45"/>
        <v>0</v>
      </c>
      <c r="Q259" s="2284"/>
      <c r="R259" s="2286"/>
      <c r="S259" s="2259">
        <f t="shared" si="48"/>
        <v>0</v>
      </c>
      <c r="T259" s="2284"/>
      <c r="U259" s="2286"/>
      <c r="V259" s="2258">
        <f t="shared" si="49"/>
        <v>0</v>
      </c>
      <c r="W259" s="2284"/>
      <c r="X259" s="2286"/>
      <c r="Y259" s="2258">
        <f t="shared" si="46"/>
        <v>0</v>
      </c>
      <c r="Z259" s="2284"/>
      <c r="AA259" s="2286"/>
      <c r="AB259" s="2259">
        <f t="shared" si="47"/>
        <v>0</v>
      </c>
      <c r="AC259" s="2606"/>
      <c r="AD259" s="2606"/>
      <c r="AE259" s="2606"/>
      <c r="AF259" s="2593"/>
      <c r="AG259" s="2593"/>
      <c r="AH259" s="2593"/>
      <c r="AI259" s="2593"/>
      <c r="AJ259" s="2593"/>
    </row>
    <row r="260" spans="1:36" s="2218" customFormat="1" ht="22.5" hidden="1" customHeight="1" outlineLevel="1">
      <c r="A260" s="2235">
        <v>28</v>
      </c>
      <c r="B260" s="2423" t="s">
        <v>2126</v>
      </c>
      <c r="C260" s="2427" t="s">
        <v>2127</v>
      </c>
      <c r="D260" s="2552" t="s">
        <v>1128</v>
      </c>
      <c r="E260" s="2255">
        <f>E261+E262+E263+E264+E265</f>
        <v>0</v>
      </c>
      <c r="F260" s="2256">
        <f>F261+F262+F263+F264+F265</f>
        <v>0</v>
      </c>
      <c r="G260" s="2257">
        <f t="shared" si="42"/>
        <v>0</v>
      </c>
      <c r="H260" s="2256">
        <f>H261+H262+H263+H264+H265</f>
        <v>0</v>
      </c>
      <c r="I260" s="2256">
        <f>I261+I262+I263+I264+I265</f>
        <v>0</v>
      </c>
      <c r="J260" s="2257">
        <f t="shared" si="43"/>
        <v>0</v>
      </c>
      <c r="K260" s="2256">
        <f>K261+K262+K263+K264+K265</f>
        <v>0</v>
      </c>
      <c r="L260" s="2256">
        <f>L261+L262+L263+L264+L265</f>
        <v>0</v>
      </c>
      <c r="M260" s="2259">
        <f t="shared" si="44"/>
        <v>0</v>
      </c>
      <c r="N260" s="2255">
        <f>N261+N262+N263+N264+N265</f>
        <v>0</v>
      </c>
      <c r="O260" s="2260">
        <f>O261+O262+O263+O264+O265</f>
        <v>0</v>
      </c>
      <c r="P260" s="2258">
        <f t="shared" si="45"/>
        <v>0</v>
      </c>
      <c r="Q260" s="2255">
        <f>Q261+Q262+Q263+Q264+Q265</f>
        <v>0</v>
      </c>
      <c r="R260" s="2260">
        <f>R261+R262+R263+R264+R265</f>
        <v>0</v>
      </c>
      <c r="S260" s="2259">
        <f t="shared" si="48"/>
        <v>0</v>
      </c>
      <c r="T260" s="2255">
        <f>T261+T262+T263+T264+T265</f>
        <v>0</v>
      </c>
      <c r="U260" s="2260">
        <f>U261+U262+U263+U264+U265</f>
        <v>0</v>
      </c>
      <c r="V260" s="2258">
        <f t="shared" si="49"/>
        <v>0</v>
      </c>
      <c r="W260" s="2255">
        <f>W261+W262+W263+W264+W265</f>
        <v>0</v>
      </c>
      <c r="X260" s="2260">
        <f>X261+X262+X263+X264+X265</f>
        <v>0</v>
      </c>
      <c r="Y260" s="2258">
        <f t="shared" si="46"/>
        <v>0</v>
      </c>
      <c r="Z260" s="2255">
        <f>Z261+Z262+Z263+Z264+Z265</f>
        <v>0</v>
      </c>
      <c r="AA260" s="2260">
        <f>AA261+AA262+AA263+AA264+AA265</f>
        <v>0</v>
      </c>
      <c r="AB260" s="2259">
        <f t="shared" si="47"/>
        <v>0</v>
      </c>
      <c r="AC260" s="2606"/>
      <c r="AD260" s="2606"/>
      <c r="AE260" s="2606"/>
      <c r="AF260" s="2593"/>
      <c r="AG260" s="2593"/>
      <c r="AH260" s="2593"/>
      <c r="AI260" s="2593"/>
      <c r="AJ260" s="2593"/>
    </row>
    <row r="261" spans="1:36" s="2218" customFormat="1" ht="24" hidden="1" customHeight="1" outlineLevel="1">
      <c r="A261" s="2235">
        <v>29</v>
      </c>
      <c r="B261" s="2423" t="s">
        <v>2128</v>
      </c>
      <c r="C261" s="2424" t="s">
        <v>2129</v>
      </c>
      <c r="D261" s="2552" t="s">
        <v>1128</v>
      </c>
      <c r="E261" s="2284"/>
      <c r="F261" s="2285"/>
      <c r="G261" s="2257">
        <f t="shared" si="42"/>
        <v>0</v>
      </c>
      <c r="H261" s="2285"/>
      <c r="I261" s="2285"/>
      <c r="J261" s="2257">
        <f t="shared" si="43"/>
        <v>0</v>
      </c>
      <c r="K261" s="2285"/>
      <c r="L261" s="2285"/>
      <c r="M261" s="2259">
        <f t="shared" si="44"/>
        <v>0</v>
      </c>
      <c r="N261" s="2284"/>
      <c r="O261" s="2286"/>
      <c r="P261" s="2258">
        <f t="shared" si="45"/>
        <v>0</v>
      </c>
      <c r="Q261" s="2284"/>
      <c r="R261" s="2286"/>
      <c r="S261" s="2259">
        <f t="shared" si="48"/>
        <v>0</v>
      </c>
      <c r="T261" s="2284"/>
      <c r="U261" s="2286"/>
      <c r="V261" s="2258">
        <f t="shared" si="49"/>
        <v>0</v>
      </c>
      <c r="W261" s="2284"/>
      <c r="X261" s="2286"/>
      <c r="Y261" s="2258">
        <f t="shared" si="46"/>
        <v>0</v>
      </c>
      <c r="Z261" s="2284"/>
      <c r="AA261" s="2286"/>
      <c r="AB261" s="2259">
        <f t="shared" si="47"/>
        <v>0</v>
      </c>
      <c r="AC261" s="2606"/>
      <c r="AD261" s="2606"/>
      <c r="AE261" s="2606"/>
      <c r="AF261" s="2593"/>
      <c r="AG261" s="2593"/>
      <c r="AH261" s="2593"/>
      <c r="AI261" s="2593"/>
      <c r="AJ261" s="2593"/>
    </row>
    <row r="262" spans="1:36" s="2218" customFormat="1" ht="22.5" hidden="1" customHeight="1" outlineLevel="1">
      <c r="A262" s="2235">
        <v>30</v>
      </c>
      <c r="B262" s="2423" t="s">
        <v>2130</v>
      </c>
      <c r="C262" s="2424" t="s">
        <v>2131</v>
      </c>
      <c r="D262" s="2552" t="s">
        <v>1128</v>
      </c>
      <c r="E262" s="2284"/>
      <c r="F262" s="2285"/>
      <c r="G262" s="2257">
        <f t="shared" si="42"/>
        <v>0</v>
      </c>
      <c r="H262" s="2285"/>
      <c r="I262" s="2285"/>
      <c r="J262" s="2257">
        <f t="shared" si="43"/>
        <v>0</v>
      </c>
      <c r="K262" s="2285"/>
      <c r="L262" s="2285"/>
      <c r="M262" s="2259">
        <f t="shared" si="44"/>
        <v>0</v>
      </c>
      <c r="N262" s="2284"/>
      <c r="O262" s="2286"/>
      <c r="P262" s="2258">
        <f t="shared" si="45"/>
        <v>0</v>
      </c>
      <c r="Q262" s="2284"/>
      <c r="R262" s="2286"/>
      <c r="S262" s="2259">
        <f t="shared" si="48"/>
        <v>0</v>
      </c>
      <c r="T262" s="2284"/>
      <c r="U262" s="2286"/>
      <c r="V262" s="2258">
        <f t="shared" si="49"/>
        <v>0</v>
      </c>
      <c r="W262" s="2284"/>
      <c r="X262" s="2286"/>
      <c r="Y262" s="2258">
        <f t="shared" si="46"/>
        <v>0</v>
      </c>
      <c r="Z262" s="2284"/>
      <c r="AA262" s="2286"/>
      <c r="AB262" s="2259">
        <f t="shared" si="47"/>
        <v>0</v>
      </c>
      <c r="AC262" s="2606"/>
      <c r="AD262" s="2606"/>
      <c r="AE262" s="2606"/>
      <c r="AF262" s="2593"/>
      <c r="AG262" s="2593"/>
      <c r="AH262" s="2593"/>
      <c r="AI262" s="2593"/>
      <c r="AJ262" s="2593"/>
    </row>
    <row r="263" spans="1:36" s="2218" customFormat="1" ht="24" hidden="1" customHeight="1" outlineLevel="1">
      <c r="A263" s="2235">
        <v>31</v>
      </c>
      <c r="B263" s="2423" t="s">
        <v>2132</v>
      </c>
      <c r="C263" s="2424" t="s">
        <v>2133</v>
      </c>
      <c r="D263" s="2552" t="s">
        <v>1128</v>
      </c>
      <c r="E263" s="2284"/>
      <c r="F263" s="2285"/>
      <c r="G263" s="2257">
        <f t="shared" si="42"/>
        <v>0</v>
      </c>
      <c r="H263" s="2285"/>
      <c r="I263" s="2285"/>
      <c r="J263" s="2257">
        <f t="shared" si="43"/>
        <v>0</v>
      </c>
      <c r="K263" s="2285"/>
      <c r="L263" s="2285"/>
      <c r="M263" s="2259">
        <f t="shared" si="44"/>
        <v>0</v>
      </c>
      <c r="N263" s="2284"/>
      <c r="O263" s="2286"/>
      <c r="P263" s="2258">
        <f t="shared" si="45"/>
        <v>0</v>
      </c>
      <c r="Q263" s="2284"/>
      <c r="R263" s="2286"/>
      <c r="S263" s="2259">
        <f t="shared" si="48"/>
        <v>0</v>
      </c>
      <c r="T263" s="2284"/>
      <c r="U263" s="2286"/>
      <c r="V263" s="2258">
        <f t="shared" si="49"/>
        <v>0</v>
      </c>
      <c r="W263" s="2284"/>
      <c r="X263" s="2286"/>
      <c r="Y263" s="2258">
        <f t="shared" si="46"/>
        <v>0</v>
      </c>
      <c r="Z263" s="2284"/>
      <c r="AA263" s="2286"/>
      <c r="AB263" s="2259">
        <f t="shared" si="47"/>
        <v>0</v>
      </c>
      <c r="AC263" s="2606"/>
      <c r="AD263" s="2606"/>
      <c r="AE263" s="2606"/>
      <c r="AF263" s="2593"/>
      <c r="AG263" s="2593"/>
      <c r="AH263" s="2593"/>
      <c r="AI263" s="2593"/>
      <c r="AJ263" s="2593"/>
    </row>
    <row r="264" spans="1:36" s="2218" customFormat="1" ht="24" hidden="1" customHeight="1" outlineLevel="1">
      <c r="A264" s="2235">
        <v>32</v>
      </c>
      <c r="B264" s="2423" t="s">
        <v>2134</v>
      </c>
      <c r="C264" s="2424" t="s">
        <v>2135</v>
      </c>
      <c r="D264" s="2552" t="s">
        <v>1128</v>
      </c>
      <c r="E264" s="2284"/>
      <c r="F264" s="2285"/>
      <c r="G264" s="2257">
        <f t="shared" si="42"/>
        <v>0</v>
      </c>
      <c r="H264" s="2285"/>
      <c r="I264" s="2285"/>
      <c r="J264" s="2257">
        <f t="shared" si="43"/>
        <v>0</v>
      </c>
      <c r="K264" s="2285"/>
      <c r="L264" s="2285"/>
      <c r="M264" s="2259">
        <f t="shared" si="44"/>
        <v>0</v>
      </c>
      <c r="N264" s="2284"/>
      <c r="O264" s="2286"/>
      <c r="P264" s="2258">
        <f t="shared" si="45"/>
        <v>0</v>
      </c>
      <c r="Q264" s="2284"/>
      <c r="R264" s="2286"/>
      <c r="S264" s="2259">
        <f t="shared" si="48"/>
        <v>0</v>
      </c>
      <c r="T264" s="2284"/>
      <c r="U264" s="2286"/>
      <c r="V264" s="2258">
        <f t="shared" si="49"/>
        <v>0</v>
      </c>
      <c r="W264" s="2284"/>
      <c r="X264" s="2286"/>
      <c r="Y264" s="2258">
        <f t="shared" si="46"/>
        <v>0</v>
      </c>
      <c r="Z264" s="2284"/>
      <c r="AA264" s="2286"/>
      <c r="AB264" s="2259">
        <f t="shared" si="47"/>
        <v>0</v>
      </c>
      <c r="AC264" s="2606"/>
      <c r="AD264" s="2606"/>
      <c r="AE264" s="2606"/>
      <c r="AF264" s="2593"/>
      <c r="AG264" s="2593"/>
      <c r="AH264" s="2593"/>
      <c r="AI264" s="2593"/>
      <c r="AJ264" s="2593"/>
    </row>
    <row r="265" spans="1:36" s="2218" customFormat="1" ht="23.25" hidden="1" customHeight="1" outlineLevel="1">
      <c r="A265" s="2235">
        <v>33</v>
      </c>
      <c r="B265" s="2423" t="s">
        <v>2136</v>
      </c>
      <c r="C265" s="2424" t="s">
        <v>2137</v>
      </c>
      <c r="D265" s="2552" t="s">
        <v>1128</v>
      </c>
      <c r="E265" s="2284"/>
      <c r="F265" s="2285"/>
      <c r="G265" s="2257">
        <f t="shared" si="42"/>
        <v>0</v>
      </c>
      <c r="H265" s="2285"/>
      <c r="I265" s="2285"/>
      <c r="J265" s="2257">
        <f t="shared" si="43"/>
        <v>0</v>
      </c>
      <c r="K265" s="2285"/>
      <c r="L265" s="2285"/>
      <c r="M265" s="2259">
        <f t="shared" si="44"/>
        <v>0</v>
      </c>
      <c r="N265" s="2284"/>
      <c r="O265" s="2286"/>
      <c r="P265" s="2258">
        <f t="shared" si="45"/>
        <v>0</v>
      </c>
      <c r="Q265" s="2284"/>
      <c r="R265" s="2286"/>
      <c r="S265" s="2259">
        <f t="shared" si="48"/>
        <v>0</v>
      </c>
      <c r="T265" s="2284"/>
      <c r="U265" s="2286"/>
      <c r="V265" s="2258">
        <f t="shared" si="49"/>
        <v>0</v>
      </c>
      <c r="W265" s="2284"/>
      <c r="X265" s="2286"/>
      <c r="Y265" s="2258">
        <f t="shared" si="46"/>
        <v>0</v>
      </c>
      <c r="Z265" s="2284"/>
      <c r="AA265" s="2286"/>
      <c r="AB265" s="2259">
        <f t="shared" si="47"/>
        <v>0</v>
      </c>
      <c r="AC265" s="2606"/>
      <c r="AD265" s="2606"/>
      <c r="AE265" s="2606"/>
      <c r="AF265" s="2593"/>
      <c r="AG265" s="2593"/>
      <c r="AH265" s="2593"/>
      <c r="AI265" s="2593"/>
      <c r="AJ265" s="2593"/>
    </row>
    <row r="266" spans="1:36" s="2218" customFormat="1" ht="22.5" hidden="1" customHeight="1" outlineLevel="1">
      <c r="A266" s="2235">
        <v>34</v>
      </c>
      <c r="B266" s="2423" t="s">
        <v>2138</v>
      </c>
      <c r="C266" s="2424" t="s">
        <v>2139</v>
      </c>
      <c r="D266" s="2552" t="s">
        <v>1313</v>
      </c>
      <c r="E266" s="2255">
        <f>E267+E268</f>
        <v>0</v>
      </c>
      <c r="F266" s="2256">
        <f>F267+F268</f>
        <v>0</v>
      </c>
      <c r="G266" s="2257">
        <f t="shared" si="42"/>
        <v>0</v>
      </c>
      <c r="H266" s="2256">
        <f>H267+H268</f>
        <v>0</v>
      </c>
      <c r="I266" s="2256">
        <f>I267+I268</f>
        <v>0</v>
      </c>
      <c r="J266" s="2257">
        <f t="shared" si="43"/>
        <v>0</v>
      </c>
      <c r="K266" s="2256">
        <f>K267+K268</f>
        <v>0</v>
      </c>
      <c r="L266" s="2256">
        <f>L267+L268</f>
        <v>0</v>
      </c>
      <c r="M266" s="2259">
        <f t="shared" si="44"/>
        <v>0</v>
      </c>
      <c r="N266" s="2255">
        <f>N267+N268</f>
        <v>0</v>
      </c>
      <c r="O266" s="2260">
        <f>O267+O268</f>
        <v>0</v>
      </c>
      <c r="P266" s="2258">
        <f t="shared" si="45"/>
        <v>0</v>
      </c>
      <c r="Q266" s="2255">
        <f>Q267+Q268</f>
        <v>0</v>
      </c>
      <c r="R266" s="2260">
        <f>R267+R268</f>
        <v>0</v>
      </c>
      <c r="S266" s="2259">
        <f t="shared" si="48"/>
        <v>0</v>
      </c>
      <c r="T266" s="2255">
        <f>T267+T268</f>
        <v>0</v>
      </c>
      <c r="U266" s="2260">
        <f>U267+U268</f>
        <v>0</v>
      </c>
      <c r="V266" s="2258">
        <f t="shared" si="49"/>
        <v>0</v>
      </c>
      <c r="W266" s="2255">
        <f>W267+W268</f>
        <v>0</v>
      </c>
      <c r="X266" s="2260">
        <f>X267+X268</f>
        <v>0</v>
      </c>
      <c r="Y266" s="2258">
        <f t="shared" si="46"/>
        <v>0</v>
      </c>
      <c r="Z266" s="2255">
        <f>Z267+Z268</f>
        <v>0</v>
      </c>
      <c r="AA266" s="2260">
        <f>AA267+AA268</f>
        <v>0</v>
      </c>
      <c r="AB266" s="2259">
        <f t="shared" si="47"/>
        <v>0</v>
      </c>
      <c r="AC266" s="2606"/>
      <c r="AD266" s="2606"/>
      <c r="AE266" s="2606"/>
      <c r="AF266" s="2593"/>
      <c r="AG266" s="2593"/>
      <c r="AH266" s="2593"/>
      <c r="AI266" s="2593"/>
      <c r="AJ266" s="2593"/>
    </row>
    <row r="267" spans="1:36" s="2218" customFormat="1" ht="25.5" hidden="1" customHeight="1" outlineLevel="1">
      <c r="A267" s="2235">
        <v>35</v>
      </c>
      <c r="B267" s="2423" t="s">
        <v>2140</v>
      </c>
      <c r="C267" s="2424" t="s">
        <v>2084</v>
      </c>
      <c r="D267" s="2552" t="s">
        <v>1128</v>
      </c>
      <c r="E267" s="2284"/>
      <c r="F267" s="2285"/>
      <c r="G267" s="2257">
        <f t="shared" si="42"/>
        <v>0</v>
      </c>
      <c r="H267" s="2285"/>
      <c r="I267" s="2285"/>
      <c r="J267" s="2257">
        <f t="shared" si="43"/>
        <v>0</v>
      </c>
      <c r="K267" s="2285"/>
      <c r="L267" s="2285"/>
      <c r="M267" s="2259">
        <f t="shared" si="44"/>
        <v>0</v>
      </c>
      <c r="N267" s="2284"/>
      <c r="O267" s="2286"/>
      <c r="P267" s="2258">
        <f t="shared" si="45"/>
        <v>0</v>
      </c>
      <c r="Q267" s="2284"/>
      <c r="R267" s="2286"/>
      <c r="S267" s="2259">
        <f t="shared" si="48"/>
        <v>0</v>
      </c>
      <c r="T267" s="2284"/>
      <c r="U267" s="2286"/>
      <c r="V267" s="2258">
        <f t="shared" si="49"/>
        <v>0</v>
      </c>
      <c r="W267" s="2284"/>
      <c r="X267" s="2286"/>
      <c r="Y267" s="2258">
        <f t="shared" si="46"/>
        <v>0</v>
      </c>
      <c r="Z267" s="2284"/>
      <c r="AA267" s="2286"/>
      <c r="AB267" s="2259">
        <f t="shared" si="47"/>
        <v>0</v>
      </c>
      <c r="AC267" s="2606"/>
      <c r="AD267" s="2606"/>
      <c r="AE267" s="2606"/>
      <c r="AF267" s="2593"/>
      <c r="AG267" s="2593"/>
      <c r="AH267" s="2593"/>
      <c r="AI267" s="2593"/>
      <c r="AJ267" s="2593"/>
    </row>
    <row r="268" spans="1:36" s="2218" customFormat="1" ht="23.25" hidden="1" customHeight="1" outlineLevel="1">
      <c r="A268" s="2235">
        <v>36</v>
      </c>
      <c r="B268" s="2423" t="s">
        <v>2141</v>
      </c>
      <c r="C268" s="2424" t="s">
        <v>2088</v>
      </c>
      <c r="D268" s="2552" t="s">
        <v>1128</v>
      </c>
      <c r="E268" s="2284"/>
      <c r="F268" s="2285"/>
      <c r="G268" s="2257">
        <f t="shared" si="42"/>
        <v>0</v>
      </c>
      <c r="H268" s="2285"/>
      <c r="I268" s="2285"/>
      <c r="J268" s="2257">
        <f t="shared" si="43"/>
        <v>0</v>
      </c>
      <c r="K268" s="2285"/>
      <c r="L268" s="2285"/>
      <c r="M268" s="2259">
        <f t="shared" si="44"/>
        <v>0</v>
      </c>
      <c r="N268" s="2284"/>
      <c r="O268" s="2286"/>
      <c r="P268" s="2258">
        <f t="shared" si="45"/>
        <v>0</v>
      </c>
      <c r="Q268" s="2284"/>
      <c r="R268" s="2286"/>
      <c r="S268" s="2259">
        <f t="shared" si="48"/>
        <v>0</v>
      </c>
      <c r="T268" s="2284"/>
      <c r="U268" s="2286"/>
      <c r="V268" s="2258">
        <f t="shared" si="49"/>
        <v>0</v>
      </c>
      <c r="W268" s="2284"/>
      <c r="X268" s="2286"/>
      <c r="Y268" s="2258">
        <f t="shared" si="46"/>
        <v>0</v>
      </c>
      <c r="Z268" s="2284"/>
      <c r="AA268" s="2286"/>
      <c r="AB268" s="2259">
        <f t="shared" si="47"/>
        <v>0</v>
      </c>
      <c r="AC268" s="2606"/>
      <c r="AD268" s="2606"/>
      <c r="AE268" s="2606"/>
      <c r="AF268" s="2593"/>
      <c r="AG268" s="2593"/>
      <c r="AH268" s="2593"/>
      <c r="AI268" s="2593"/>
      <c r="AJ268" s="2593"/>
    </row>
    <row r="269" spans="1:36" s="2218" customFormat="1" ht="20.25" hidden="1" customHeight="1" outlineLevel="1" thickBot="1">
      <c r="A269" s="2235">
        <v>37</v>
      </c>
      <c r="B269" s="2428" t="s">
        <v>2142</v>
      </c>
      <c r="C269" s="2429" t="s">
        <v>2143</v>
      </c>
      <c r="D269" s="2553" t="s">
        <v>1128</v>
      </c>
      <c r="E269" s="2487"/>
      <c r="F269" s="2488"/>
      <c r="G269" s="2489">
        <f t="shared" si="42"/>
        <v>0</v>
      </c>
      <c r="H269" s="2488"/>
      <c r="I269" s="2488"/>
      <c r="J269" s="2489">
        <f t="shared" si="43"/>
        <v>0</v>
      </c>
      <c r="K269" s="2488"/>
      <c r="L269" s="2488"/>
      <c r="M269" s="2490">
        <f t="shared" si="44"/>
        <v>0</v>
      </c>
      <c r="N269" s="2487"/>
      <c r="O269" s="2555"/>
      <c r="P269" s="2554">
        <f t="shared" si="45"/>
        <v>0</v>
      </c>
      <c r="Q269" s="2487"/>
      <c r="R269" s="2555"/>
      <c r="S269" s="2490">
        <f t="shared" si="48"/>
        <v>0</v>
      </c>
      <c r="T269" s="2487"/>
      <c r="U269" s="2555"/>
      <c r="V269" s="2554">
        <f t="shared" si="49"/>
        <v>0</v>
      </c>
      <c r="W269" s="2487"/>
      <c r="X269" s="2555"/>
      <c r="Y269" s="2554">
        <f t="shared" si="46"/>
        <v>0</v>
      </c>
      <c r="Z269" s="2487"/>
      <c r="AA269" s="2555"/>
      <c r="AB269" s="2490">
        <f t="shared" si="47"/>
        <v>0</v>
      </c>
      <c r="AC269" s="2606"/>
      <c r="AD269" s="2606"/>
      <c r="AE269" s="2606"/>
      <c r="AF269" s="2593"/>
      <c r="AG269" s="2593"/>
      <c r="AH269" s="2593"/>
      <c r="AI269" s="2593"/>
      <c r="AJ269" s="2593"/>
    </row>
    <row r="270" spans="1:36" s="2218" customFormat="1" ht="36" hidden="1" customHeight="1" outlineLevel="1" thickBot="1">
      <c r="A270" s="2235">
        <v>197</v>
      </c>
      <c r="B270" s="2317" t="s">
        <v>2144</v>
      </c>
      <c r="C270" s="2318" t="s">
        <v>2145</v>
      </c>
      <c r="D270" s="2510" t="s">
        <v>1317</v>
      </c>
      <c r="E270" s="2431"/>
      <c r="F270" s="2432"/>
      <c r="G270" s="2374">
        <f>E270/2+F270/2</f>
        <v>0</v>
      </c>
      <c r="H270" s="2432"/>
      <c r="I270" s="2432"/>
      <c r="J270" s="2374">
        <f>H270/2+I270/2</f>
        <v>0</v>
      </c>
      <c r="K270" s="2432"/>
      <c r="L270" s="2432"/>
      <c r="M270" s="2374">
        <f>K270/2+L270/2</f>
        <v>0</v>
      </c>
      <c r="N270" s="2431"/>
      <c r="O270" s="2433"/>
      <c r="P270" s="2375">
        <f>N270/2+O270/2</f>
        <v>0</v>
      </c>
      <c r="Q270" s="2431"/>
      <c r="R270" s="2433"/>
      <c r="S270" s="2374">
        <f>Q270/2+R270/2</f>
        <v>0</v>
      </c>
      <c r="T270" s="2431"/>
      <c r="U270" s="2433"/>
      <c r="V270" s="2375">
        <f>T270/2+U270/2</f>
        <v>0</v>
      </c>
      <c r="W270" s="2431"/>
      <c r="X270" s="2433"/>
      <c r="Y270" s="2375">
        <f>W270/2+X270/2</f>
        <v>0</v>
      </c>
      <c r="Z270" s="2431"/>
      <c r="AA270" s="2433"/>
      <c r="AB270" s="2374">
        <f>Z270/2+AA270/2</f>
        <v>0</v>
      </c>
      <c r="AC270" s="2606"/>
      <c r="AD270" s="2606"/>
      <c r="AE270" s="2606"/>
      <c r="AF270" s="2593"/>
      <c r="AG270" s="2593"/>
      <c r="AH270" s="2593"/>
      <c r="AI270" s="2593"/>
      <c r="AJ270" s="2593"/>
    </row>
    <row r="271" spans="1:36" ht="108.75" hidden="1" customHeight="1" outlineLevel="1">
      <c r="B271" s="2434"/>
      <c r="C271" s="2435" t="s">
        <v>2146</v>
      </c>
      <c r="D271" s="2508" t="s">
        <v>1317</v>
      </c>
      <c r="E271" s="2436"/>
      <c r="F271" s="2437"/>
      <c r="G271" s="2438">
        <f t="shared" si="42"/>
        <v>0</v>
      </c>
      <c r="H271" s="2437"/>
      <c r="I271" s="2437"/>
      <c r="J271" s="2438">
        <f>H271/2+I271/2</f>
        <v>0</v>
      </c>
      <c r="K271" s="2437"/>
      <c r="L271" s="2437"/>
      <c r="M271" s="2440">
        <f>K271/2+L271/2</f>
        <v>0</v>
      </c>
      <c r="N271" s="2436"/>
      <c r="O271" s="2441"/>
      <c r="P271" s="2439">
        <f>N271/2+O271/2</f>
        <v>0</v>
      </c>
      <c r="Q271" s="2436"/>
      <c r="R271" s="2441"/>
      <c r="S271" s="2440">
        <f>Q271/2+R271/2</f>
        <v>0</v>
      </c>
      <c r="T271" s="2436"/>
      <c r="U271" s="2441"/>
      <c r="V271" s="2439">
        <f>T271/2+U271/2</f>
        <v>0</v>
      </c>
      <c r="W271" s="2436"/>
      <c r="X271" s="2441"/>
      <c r="Y271" s="2439">
        <f>W271/2+X271/2</f>
        <v>0</v>
      </c>
      <c r="Z271" s="2436"/>
      <c r="AA271" s="2441"/>
      <c r="AB271" s="2440">
        <f>Z271/2+AA271/2</f>
        <v>0</v>
      </c>
      <c r="AC271" s="2606"/>
      <c r="AD271" s="2606"/>
      <c r="AE271" s="2606"/>
      <c r="AF271" s="2593"/>
      <c r="AG271" s="2593"/>
      <c r="AH271" s="2593"/>
      <c r="AI271" s="2593"/>
      <c r="AJ271" s="2593"/>
    </row>
    <row r="272" spans="1:36" collapsed="1">
      <c r="B272" s="2442" t="s">
        <v>15036</v>
      </c>
      <c r="C272" s="2435" t="s">
        <v>15037</v>
      </c>
      <c r="D272" s="2508" t="s">
        <v>1317</v>
      </c>
      <c r="E272" s="2436"/>
      <c r="F272" s="2437"/>
      <c r="G272" s="2438"/>
      <c r="H272" s="2437"/>
      <c r="I272" s="2437"/>
      <c r="J272" s="2438"/>
      <c r="K272" s="2437"/>
      <c r="L272" s="2437"/>
      <c r="M272" s="2440"/>
      <c r="N272" s="2255">
        <f>'[11]НВВ 26.09.23.'!N272+'[12]НВВ 26.09.'!N272+'[13]НВВ 26.09.23.'!N272</f>
        <v>0</v>
      </c>
      <c r="O272" s="2260">
        <f>'[11]НВВ 26.09.23.'!O272+'[12]НВВ 26.09.'!O272+'[13]НВВ 26.09.23.'!O272</f>
        <v>-63600</v>
      </c>
      <c r="P272" s="2439">
        <f>N272/2+O272/2</f>
        <v>-31800</v>
      </c>
      <c r="Q272" s="2255">
        <f>'[11]НВВ 26.09.23.'!Q272+'[12]НВВ 26.09.'!Q272+'[13]НВВ 26.09.23.'!Q272</f>
        <v>-63600</v>
      </c>
      <c r="R272" s="2260">
        <f>'[11]НВВ 26.09.23.'!R272+'[12]НВВ 26.09.'!R272+'[13]НВВ 26.09.23.'!R272</f>
        <v>-32600</v>
      </c>
      <c r="S272" s="2440">
        <f>Q272/2+R272/2</f>
        <v>-48100</v>
      </c>
      <c r="T272" s="2255">
        <f>'[11]НВВ 26.09.23.'!T272+'[12]НВВ 26.09.'!T272+'[13]НВВ 26.09.23.'!T272</f>
        <v>-32600</v>
      </c>
      <c r="U272" s="2260">
        <f>'[11]НВВ 26.09.23.'!U272+'[12]НВВ 26.09.'!U272+'[13]НВВ 26.09.23.'!U272</f>
        <v>1700</v>
      </c>
      <c r="V272" s="2439">
        <f>T272/2+U272/2</f>
        <v>-15450</v>
      </c>
      <c r="W272" s="2255">
        <f>'[11]НВВ 26.09.23.'!W272+'[12]НВВ 26.09.'!W272+'[13]НВВ 26.09.23.'!W272</f>
        <v>1700</v>
      </c>
      <c r="X272" s="2260">
        <f>'[11]НВВ 26.09.23.'!X272+'[12]НВВ 26.09.'!X272+'[13]НВВ 26.09.23.'!X272</f>
        <v>44500</v>
      </c>
      <c r="Y272" s="2439">
        <f>W272/2+X272/2</f>
        <v>23100</v>
      </c>
      <c r="Z272" s="2255">
        <f>'[11]НВВ 26.09.23.'!Z272+'[12]НВВ 26.09.'!Z272+'[13]НВВ 26.09.23.'!Z272</f>
        <v>44500</v>
      </c>
      <c r="AA272" s="2260">
        <f>'[11]НВВ 26.09.23.'!AA272+'[12]НВВ 26.09.'!AA272+'[13]НВВ 26.09.23.'!AA272</f>
        <v>100000</v>
      </c>
      <c r="AB272" s="2440">
        <f>Z272/2+AA272/2</f>
        <v>72250</v>
      </c>
      <c r="AC272" s="2606"/>
      <c r="AD272" s="2606"/>
      <c r="AE272" s="2606"/>
      <c r="AF272" s="2593"/>
      <c r="AG272" s="2593"/>
      <c r="AH272" s="2593"/>
      <c r="AI272" s="2593"/>
      <c r="AJ272" s="2593"/>
    </row>
    <row r="273" spans="1:36" ht="18.75" hidden="1" outlineLevel="1">
      <c r="B273" s="2443"/>
      <c r="C273" s="2444" t="s">
        <v>2147</v>
      </c>
      <c r="D273" s="2556" t="s">
        <v>1983</v>
      </c>
      <c r="E273" s="2446">
        <v>27805.372000000003</v>
      </c>
      <c r="F273" s="2447">
        <v>27805.372000000003</v>
      </c>
      <c r="G273" s="2448">
        <f t="shared" si="42"/>
        <v>27805.372000000003</v>
      </c>
      <c r="H273" s="2447">
        <v>28275.263349999997</v>
      </c>
      <c r="I273" s="2447">
        <v>28275.263349999997</v>
      </c>
      <c r="J273" s="2448">
        <f>H273/2+I273/2</f>
        <v>28275.263349999997</v>
      </c>
      <c r="K273" s="2447">
        <v>28226.453293000006</v>
      </c>
      <c r="L273" s="2447">
        <f>K273</f>
        <v>28226.453293000006</v>
      </c>
      <c r="M273" s="2450">
        <f>K273/2+L273/2</f>
        <v>28226.453293000006</v>
      </c>
      <c r="N273" s="2557">
        <v>28172.545970406045</v>
      </c>
      <c r="O273" s="2559">
        <f>O6/O274</f>
        <v>28172.545981405161</v>
      </c>
      <c r="P273" s="2449">
        <f>N273/2+O273/2</f>
        <v>28172.545975905603</v>
      </c>
      <c r="Q273" s="2557">
        <f>O273</f>
        <v>28172.545981405161</v>
      </c>
      <c r="R273" s="2559">
        <f>Q273</f>
        <v>28172.545981405161</v>
      </c>
      <c r="S273" s="2450">
        <f>Q273/2+R273/2</f>
        <v>28172.545981405161</v>
      </c>
      <c r="T273" s="2557">
        <f>R273</f>
        <v>28172.545981405161</v>
      </c>
      <c r="U273" s="2559">
        <f>T273</f>
        <v>28172.545981405161</v>
      </c>
      <c r="V273" s="2449">
        <f>T273/2+U273/2</f>
        <v>28172.545981405161</v>
      </c>
      <c r="W273" s="2557">
        <f>U273</f>
        <v>28172.545981405161</v>
      </c>
      <c r="X273" s="2559">
        <f>W273</f>
        <v>28172.545981405161</v>
      </c>
      <c r="Y273" s="2449">
        <f>W273/2+X273/2</f>
        <v>28172.545981405161</v>
      </c>
      <c r="Z273" s="2557">
        <f>X273</f>
        <v>28172.545981405161</v>
      </c>
      <c r="AA273" s="2559">
        <f>Z273</f>
        <v>28172.545981405161</v>
      </c>
      <c r="AB273" s="2450">
        <f>Z273/2+AA273/2</f>
        <v>28172.545981405161</v>
      </c>
      <c r="AC273" s="2606"/>
      <c r="AD273" s="2606"/>
      <c r="AE273" s="2606"/>
      <c r="AF273" s="2593"/>
      <c r="AG273" s="2593"/>
      <c r="AH273" s="2593"/>
      <c r="AI273" s="2593"/>
      <c r="AJ273" s="2593"/>
    </row>
    <row r="274" spans="1:36" ht="19.5" hidden="1" outlineLevel="1" thickBot="1">
      <c r="B274" s="2451"/>
      <c r="C274" s="2452" t="s">
        <v>2148</v>
      </c>
      <c r="D274" s="2560" t="s">
        <v>1986</v>
      </c>
      <c r="E274" s="2454">
        <f>E6/E273</f>
        <v>6.099834190096824</v>
      </c>
      <c r="F274" s="2455">
        <f>F6/F273</f>
        <v>6.2966098441291551</v>
      </c>
      <c r="G274" s="2455"/>
      <c r="H274" s="2455">
        <f>H6/H273</f>
        <v>6.222362474014572</v>
      </c>
      <c r="I274" s="2455">
        <f>I6/I273</f>
        <v>6.3922003856378211</v>
      </c>
      <c r="J274" s="2455"/>
      <c r="K274" s="2455">
        <f>K6/K273</f>
        <v>6.0850895506982559</v>
      </c>
      <c r="L274" s="2455">
        <f>L6/L273</f>
        <v>6.2857956223503475</v>
      </c>
      <c r="M274" s="2456"/>
      <c r="N274" s="2561">
        <f>'[11]НВВ 26.09.23.'!N274+'[12]НВВ 26.09.'!N274+'[13]НВВ 26.09.23.'!N274</f>
        <v>19.414916069682818</v>
      </c>
      <c r="O274" s="2565">
        <f>'[11]НВВ 26.09.23.'!O274+'[12]НВВ 26.09.'!O274+'[13]НВВ 26.09.23.'!O274</f>
        <v>24.784971588691288</v>
      </c>
      <c r="P274" s="2563"/>
      <c r="Q274" s="2561">
        <f>Q6/Q273</f>
        <v>24.784971570341309</v>
      </c>
      <c r="R274" s="2565">
        <f>R6/R273</f>
        <v>29.137375906766348</v>
      </c>
      <c r="S274" s="2564"/>
      <c r="T274" s="2561">
        <f>T6/T273</f>
        <v>29.137375906766348</v>
      </c>
      <c r="U274" s="2565">
        <f>U6/U273</f>
        <v>33.767157601457292</v>
      </c>
      <c r="V274" s="2563"/>
      <c r="W274" s="2561">
        <f>W6/W273</f>
        <v>33.767161418680708</v>
      </c>
      <c r="X274" s="2565">
        <f>X6/X273</f>
        <v>38.754414048552256</v>
      </c>
      <c r="Y274" s="2563"/>
      <c r="Z274" s="2561">
        <f>Z6/Z273</f>
        <v>38.754414381691745</v>
      </c>
      <c r="AA274" s="2565">
        <f>AA6/AA273</f>
        <v>43.166665660662161</v>
      </c>
      <c r="AB274" s="2564"/>
      <c r="AC274" s="2606"/>
      <c r="AD274" s="2606"/>
      <c r="AE274" s="2606"/>
      <c r="AF274" s="2593"/>
      <c r="AG274" s="2593"/>
      <c r="AH274" s="2593"/>
      <c r="AI274" s="2593"/>
      <c r="AJ274" s="2593"/>
    </row>
    <row r="275" spans="1:36" s="2894" customFormat="1" ht="14.25" customHeight="1" collapsed="1">
      <c r="A275" s="3026"/>
      <c r="B275" s="3465"/>
      <c r="C275" s="3466"/>
      <c r="D275" s="3466"/>
      <c r="E275" s="3466"/>
      <c r="F275" s="3466"/>
      <c r="G275" s="3466"/>
      <c r="H275" s="3466"/>
      <c r="I275" s="3466"/>
      <c r="J275" s="3466"/>
      <c r="K275" s="3466"/>
      <c r="L275" s="3466"/>
      <c r="N275" s="3048"/>
      <c r="O275" s="3048"/>
      <c r="P275" s="3048"/>
      <c r="Q275" s="3048"/>
      <c r="R275" s="3048"/>
      <c r="S275" s="3048"/>
      <c r="T275" s="3048"/>
      <c r="U275" s="3048"/>
      <c r="V275" s="3048"/>
      <c r="W275" s="3048"/>
      <c r="X275" s="3048"/>
      <c r="Y275" s="3048"/>
      <c r="Z275" s="3048"/>
      <c r="AA275" s="3048"/>
      <c r="AB275" s="3048"/>
      <c r="AC275" s="2066"/>
      <c r="AD275" s="2606"/>
      <c r="AE275" s="2066"/>
    </row>
    <row r="276" spans="1:36" s="1547" customFormat="1">
      <c r="A276" s="1540"/>
      <c r="B276" s="1540"/>
      <c r="C276" s="3055"/>
      <c r="D276" s="3056"/>
      <c r="E276" s="3055"/>
      <c r="F276" s="3055"/>
      <c r="G276" s="3055"/>
      <c r="H276" s="3055"/>
      <c r="I276" s="3055"/>
      <c r="J276" s="3055"/>
      <c r="K276" s="3055"/>
      <c r="L276" s="3055"/>
      <c r="M276" s="3055"/>
      <c r="N276" s="2607"/>
      <c r="O276" s="2607"/>
      <c r="P276" s="2607"/>
      <c r="Q276" s="2607"/>
      <c r="R276" s="2607"/>
      <c r="S276" s="2607"/>
      <c r="T276" s="2607"/>
      <c r="U276" s="2607"/>
      <c r="V276" s="2607"/>
      <c r="W276" s="2607"/>
      <c r="X276" s="2607"/>
      <c r="Y276" s="2607"/>
      <c r="Z276" s="2607"/>
      <c r="AA276" s="2607"/>
      <c r="AB276" s="2607"/>
      <c r="AD276" s="2606"/>
    </row>
    <row r="277" spans="1:36" s="3061" customFormat="1">
      <c r="A277" s="3057"/>
      <c r="B277" s="3057"/>
      <c r="C277" s="3058"/>
      <c r="D277" s="3059"/>
      <c r="E277" s="3058"/>
      <c r="F277" s="3058"/>
      <c r="G277" s="3058"/>
      <c r="H277" s="3058"/>
      <c r="I277" s="3058"/>
      <c r="J277" s="3058"/>
      <c r="K277" s="3058"/>
      <c r="L277" s="3058"/>
      <c r="M277" s="3058"/>
      <c r="N277" s="3060"/>
      <c r="O277" s="3060"/>
      <c r="P277" s="3060"/>
      <c r="Q277" s="3060"/>
      <c r="R277" s="3060"/>
      <c r="S277" s="3060"/>
      <c r="T277" s="3060"/>
      <c r="U277" s="3060"/>
      <c r="V277" s="3060"/>
      <c r="W277" s="3060"/>
      <c r="X277" s="3060"/>
      <c r="Y277" s="3060"/>
      <c r="Z277" s="3060"/>
      <c r="AA277" s="3060"/>
      <c r="AB277" s="3060"/>
      <c r="AD277" s="3057"/>
    </row>
    <row r="278" spans="1:36" s="2116" customFormat="1" hidden="1" outlineLevel="1">
      <c r="A278" s="2113"/>
      <c r="B278" s="2113"/>
      <c r="C278" s="2570"/>
      <c r="D278" s="2571"/>
      <c r="E278" s="2570"/>
      <c r="F278" s="2570"/>
      <c r="G278" s="2570"/>
      <c r="H278" s="2570"/>
      <c r="I278" s="2570"/>
      <c r="J278" s="2570"/>
      <c r="K278" s="2570"/>
      <c r="L278" s="2570"/>
      <c r="M278" s="2570"/>
      <c r="N278" s="3049"/>
      <c r="O278" s="3050"/>
      <c r="P278" s="2495"/>
      <c r="Q278" s="2492"/>
      <c r="R278" s="2494"/>
      <c r="S278" s="2492"/>
      <c r="T278" s="2492"/>
      <c r="U278" s="2494"/>
      <c r="V278" s="2492"/>
      <c r="W278" s="2492"/>
      <c r="X278" s="2494"/>
      <c r="Y278" s="2492"/>
      <c r="Z278" s="2492"/>
      <c r="AA278" s="2494"/>
      <c r="AB278" s="2495"/>
      <c r="AC278" s="1547"/>
      <c r="AD278" s="2606"/>
      <c r="AE278" s="1547"/>
    </row>
    <row r="279" spans="1:36" s="2116" customFormat="1" hidden="1" outlineLevel="1">
      <c r="A279" s="2113"/>
      <c r="B279" s="2113"/>
      <c r="C279" s="2570"/>
      <c r="D279" s="2571"/>
      <c r="E279" s="2570"/>
      <c r="F279" s="2570"/>
      <c r="G279" s="2570"/>
      <c r="H279" s="2570"/>
      <c r="I279" s="2570"/>
      <c r="J279" s="2570"/>
      <c r="K279" s="2570"/>
      <c r="L279" s="2570"/>
      <c r="M279" s="2570"/>
      <c r="N279" s="2572"/>
      <c r="O279" s="2573"/>
      <c r="P279" s="2492"/>
      <c r="Q279" s="2492"/>
      <c r="R279" s="2494"/>
      <c r="S279" s="2492"/>
      <c r="T279" s="2492"/>
      <c r="U279" s="2494"/>
      <c r="V279" s="2492"/>
      <c r="W279" s="2492"/>
      <c r="X279" s="2494"/>
      <c r="Y279" s="2492"/>
      <c r="Z279" s="2492"/>
      <c r="AA279" s="2494"/>
      <c r="AB279" s="2495"/>
      <c r="AC279" s="1547"/>
      <c r="AD279" s="2606"/>
      <c r="AE279" s="1547"/>
    </row>
    <row r="280" spans="1:36" s="2116" customFormat="1" ht="16.5" collapsed="1" thickBot="1">
      <c r="A280" s="2113"/>
      <c r="B280" s="2113"/>
      <c r="C280" s="2495"/>
      <c r="D280" s="2566"/>
      <c r="E280" s="2492"/>
      <c r="F280" s="2492"/>
      <c r="G280" s="2492"/>
      <c r="H280" s="2492"/>
      <c r="I280" s="2492"/>
      <c r="J280" s="2492"/>
      <c r="K280" s="2492"/>
      <c r="L280" s="2492"/>
      <c r="M280" s="2492"/>
      <c r="N280" s="2615"/>
      <c r="O280" s="2661"/>
      <c r="P280" s="2661"/>
      <c r="Q280" s="2661"/>
      <c r="R280" s="2661"/>
      <c r="S280" s="2661"/>
      <c r="T280" s="2661"/>
      <c r="U280" s="2661"/>
      <c r="V280" s="2661"/>
      <c r="W280" s="2661"/>
      <c r="X280" s="2661"/>
      <c r="Y280" s="2661"/>
      <c r="Z280" s="2661"/>
      <c r="AA280" s="2661"/>
      <c r="AB280" s="2661"/>
      <c r="AC280" s="1547"/>
      <c r="AD280" s="2606"/>
      <c r="AE280" s="1547"/>
    </row>
    <row r="281" spans="1:36" s="2116" customFormat="1" ht="18" thickBot="1">
      <c r="A281" s="2113"/>
      <c r="B281" s="1377"/>
      <c r="C281" s="1378" t="s">
        <v>15042</v>
      </c>
      <c r="D281" s="1472" t="s">
        <v>1983</v>
      </c>
      <c r="E281" s="2492"/>
      <c r="F281" s="2492"/>
      <c r="G281" s="2492"/>
      <c r="H281" s="2492"/>
      <c r="I281" s="2492"/>
      <c r="J281" s="2492"/>
      <c r="K281" s="2492"/>
      <c r="L281" s="2492"/>
      <c r="M281" s="2492"/>
      <c r="N281" s="2574">
        <f>N273</f>
        <v>28172.545970406045</v>
      </c>
      <c r="O281" s="2575">
        <f>N281</f>
        <v>28172.545970406045</v>
      </c>
      <c r="P281" s="1439">
        <f>N281/2+O281/2</f>
        <v>28172.545970406045</v>
      </c>
      <c r="Q281" s="2574">
        <f>N281</f>
        <v>28172.545970406045</v>
      </c>
      <c r="R281" s="2575">
        <f>O281</f>
        <v>28172.545970406045</v>
      </c>
      <c r="S281" s="1439">
        <f>Q281/2+R281/2</f>
        <v>28172.545970406045</v>
      </c>
      <c r="T281" s="2574">
        <f>Q281</f>
        <v>28172.545970406045</v>
      </c>
      <c r="U281" s="2575">
        <f>R281</f>
        <v>28172.545970406045</v>
      </c>
      <c r="V281" s="1439">
        <f>T281/2+U281/2</f>
        <v>28172.545970406045</v>
      </c>
      <c r="W281" s="2574">
        <f>T281</f>
        <v>28172.545970406045</v>
      </c>
      <c r="X281" s="2575">
        <f>U281</f>
        <v>28172.545970406045</v>
      </c>
      <c r="Y281" s="2108">
        <f>W281/2+X281/2</f>
        <v>28172.545970406045</v>
      </c>
      <c r="Z281" s="2574">
        <f>W281</f>
        <v>28172.545970406045</v>
      </c>
      <c r="AA281" s="2575">
        <f>X281</f>
        <v>28172.545970406045</v>
      </c>
      <c r="AB281" s="1439">
        <f>Z281/2+AA281/2</f>
        <v>28172.545970406045</v>
      </c>
      <c r="AC281" s="2607"/>
      <c r="AD281" s="2606"/>
      <c r="AE281" s="2111"/>
    </row>
    <row r="282" spans="1:36" s="2116" customFormat="1" ht="17.25" hidden="1" outlineLevel="1">
      <c r="A282" s="2113"/>
      <c r="B282" s="1382"/>
      <c r="C282" s="1383" t="s">
        <v>2163</v>
      </c>
      <c r="D282" s="1473" t="s">
        <v>14927</v>
      </c>
      <c r="E282" s="2492"/>
      <c r="F282" s="2492"/>
      <c r="G282" s="2492"/>
      <c r="H282" s="2492"/>
      <c r="I282" s="2492"/>
      <c r="J282" s="2492"/>
      <c r="K282" s="2492"/>
      <c r="L282" s="2492"/>
      <c r="M282" s="2492"/>
      <c r="N282" s="2576">
        <f>N6-N242</f>
        <v>546593.48745818262</v>
      </c>
      <c r="O282" s="2577">
        <f>O6-O242</f>
        <v>687751.06258592592</v>
      </c>
      <c r="P282" s="1440">
        <f>N282/2+O282/2</f>
        <v>617172.27502205432</v>
      </c>
      <c r="Q282" s="2576">
        <f>Q6-Q242</f>
        <v>687751.06206896028</v>
      </c>
      <c r="R282" s="2577">
        <f>R6-R242</f>
        <v>751897.8198617259</v>
      </c>
      <c r="S282" s="1440">
        <f>Q282/2+R282/2</f>
        <v>719824.44096534303</v>
      </c>
      <c r="T282" s="2576">
        <f>T6-T242</f>
        <v>751897.8198617259</v>
      </c>
      <c r="U282" s="2577">
        <f>U6-U242</f>
        <v>820900.21103343426</v>
      </c>
      <c r="V282" s="1440">
        <f>T282/2+U282/2</f>
        <v>786399.01544758002</v>
      </c>
      <c r="W282" s="2576">
        <f>W6-W242</f>
        <v>820900.31857433647</v>
      </c>
      <c r="X282" s="2577">
        <f>X6-X242</f>
        <v>899951.88510889991</v>
      </c>
      <c r="Y282" s="1450">
        <f>W282/2+X282/2</f>
        <v>860426.10184161819</v>
      </c>
      <c r="Z282" s="2576">
        <f>Z6-Z242</f>
        <v>899951.89449428755</v>
      </c>
      <c r="AA282" s="2577">
        <f>AA6-AA242</f>
        <v>993389.31053778098</v>
      </c>
      <c r="AB282" s="1440">
        <f>Z282/2+AA282/2</f>
        <v>946670.60251603427</v>
      </c>
      <c r="AC282" s="2607"/>
      <c r="AD282" s="2606"/>
      <c r="AE282" s="2111"/>
    </row>
    <row r="283" spans="1:36" s="2116" customFormat="1" ht="34.5" hidden="1" outlineLevel="1">
      <c r="A283" s="2113"/>
      <c r="B283" s="1382"/>
      <c r="C283" s="1383" t="s">
        <v>15043</v>
      </c>
      <c r="D283" s="1474" t="s">
        <v>14928</v>
      </c>
      <c r="E283" s="2492"/>
      <c r="F283" s="2492"/>
      <c r="G283" s="2492"/>
      <c r="H283" s="2492"/>
      <c r="I283" s="2492"/>
      <c r="J283" s="2492"/>
      <c r="K283" s="2492"/>
      <c r="L283" s="2492"/>
      <c r="M283" s="2492"/>
      <c r="N283" s="2576">
        <f>N274</f>
        <v>19.414916069682818</v>
      </c>
      <c r="O283" s="2578">
        <f>O282/O281</f>
        <v>24.412101884876737</v>
      </c>
      <c r="P283" s="1440"/>
      <c r="Q283" s="2576">
        <f>O283</f>
        <v>24.412101884876737</v>
      </c>
      <c r="R283" s="2578">
        <f>R282/R281</f>
        <v>26.689026282947935</v>
      </c>
      <c r="S283" s="1440"/>
      <c r="T283" s="2576">
        <f>R283</f>
        <v>26.689026282947935</v>
      </c>
      <c r="U283" s="2578">
        <f>U282/U281</f>
        <v>29.138304074319443</v>
      </c>
      <c r="V283" s="1440"/>
      <c r="W283" s="2576">
        <f>U283</f>
        <v>29.138304074319443</v>
      </c>
      <c r="X283" s="2578">
        <f>X282/X281</f>
        <v>31.944286684428793</v>
      </c>
      <c r="Y283" s="1450"/>
      <c r="Z283" s="2576">
        <f>X283</f>
        <v>31.944286684428793</v>
      </c>
      <c r="AA283" s="2578">
        <f>AA282/AA281</f>
        <v>35.260899443780851</v>
      </c>
      <c r="AB283" s="1440"/>
      <c r="AC283" s="2607"/>
      <c r="AD283" s="2606"/>
      <c r="AE283" s="2111"/>
    </row>
    <row r="284" spans="1:36" s="2116" customFormat="1" ht="21.75" hidden="1" outlineLevel="1" thickBot="1">
      <c r="A284" s="2113"/>
      <c r="B284" s="1387"/>
      <c r="C284" s="1386" t="s">
        <v>2152</v>
      </c>
      <c r="D284" s="1475" t="s">
        <v>1165</v>
      </c>
      <c r="E284" s="2492"/>
      <c r="F284" s="2492"/>
      <c r="G284" s="2492"/>
      <c r="H284" s="2492"/>
      <c r="I284" s="2492"/>
      <c r="J284" s="2492"/>
      <c r="K284" s="2492"/>
      <c r="L284" s="2492"/>
      <c r="M284" s="2492"/>
      <c r="N284" s="2579"/>
      <c r="O284" s="1481">
        <f>O283/N283</f>
        <v>1.2573889991210021</v>
      </c>
      <c r="P284" s="1442"/>
      <c r="Q284" s="2579">
        <f>Q283/O283</f>
        <v>1</v>
      </c>
      <c r="R284" s="1481">
        <f>R283/Q283</f>
        <v>1.0932703135849908</v>
      </c>
      <c r="S284" s="1442"/>
      <c r="T284" s="2579">
        <f>T283/R283</f>
        <v>1</v>
      </c>
      <c r="U284" s="1481">
        <f>U283/T283</f>
        <v>1.0917709685398449</v>
      </c>
      <c r="V284" s="1442"/>
      <c r="W284" s="2579">
        <f>W283/U283</f>
        <v>1</v>
      </c>
      <c r="X284" s="1481">
        <f>X283/W283</f>
        <v>1.0962987620333866</v>
      </c>
      <c r="Y284" s="2109"/>
      <c r="Z284" s="2579">
        <f>Z283/X283</f>
        <v>1</v>
      </c>
      <c r="AA284" s="1481">
        <f>AA283/Z283</f>
        <v>1.1038249121702486</v>
      </c>
      <c r="AB284" s="1442"/>
      <c r="AC284" s="2608"/>
      <c r="AD284" s="2606"/>
      <c r="AE284" s="2112"/>
    </row>
    <row r="285" spans="1:36" s="2116" customFormat="1" ht="17.25" collapsed="1">
      <c r="A285" s="2113"/>
      <c r="B285" s="1377"/>
      <c r="C285" s="1378" t="s">
        <v>2154</v>
      </c>
      <c r="D285" s="1472" t="s">
        <v>14927</v>
      </c>
      <c r="E285" s="2492"/>
      <c r="F285" s="2492"/>
      <c r="G285" s="2492"/>
      <c r="H285" s="2492"/>
      <c r="I285" s="2492"/>
      <c r="J285" s="2492"/>
      <c r="K285" s="2492"/>
      <c r="L285" s="2492"/>
      <c r="M285" s="2492"/>
      <c r="N285" s="2574">
        <f>N282</f>
        <v>546593.48745818262</v>
      </c>
      <c r="O285" s="2575">
        <f>O282+O288</f>
        <v>698255.75173022586</v>
      </c>
      <c r="P285" s="1440">
        <f>N285/2+O285/2</f>
        <v>622424.61959420424</v>
      </c>
      <c r="Q285" s="2574">
        <f>Q286*Q281</f>
        <v>698255.75173022586</v>
      </c>
      <c r="R285" s="2575">
        <f>R282+R288</f>
        <v>820874.06251086178</v>
      </c>
      <c r="S285" s="1440">
        <f>Q285/2+R285/2</f>
        <v>759564.90712054376</v>
      </c>
      <c r="T285" s="2574">
        <f>T286*T281</f>
        <v>820874.06251086178</v>
      </c>
      <c r="U285" s="2575">
        <f>U282+U288</f>
        <v>951306.80018841033</v>
      </c>
      <c r="V285" s="1440">
        <f>T285/2+U285/2</f>
        <v>886090.43134963606</v>
      </c>
      <c r="W285" s="2574">
        <f>W286*W281</f>
        <v>951306.80018841033</v>
      </c>
      <c r="X285" s="2575">
        <f>X282+X288</f>
        <v>1091810.5117652526</v>
      </c>
      <c r="Y285" s="1450">
        <f>W285/2+X285/2</f>
        <v>1021558.6559768314</v>
      </c>
      <c r="Z285" s="2574">
        <f>Z286*Z281</f>
        <v>1091810.5117652526</v>
      </c>
      <c r="AA285" s="2575">
        <f>AA282+AA288</f>
        <v>1216114.873188948</v>
      </c>
      <c r="AB285" s="1440">
        <f>Z285/2+AA285/2</f>
        <v>1153962.6924771003</v>
      </c>
      <c r="AC285" s="2607"/>
      <c r="AD285" s="2606"/>
      <c r="AE285" s="2111"/>
    </row>
    <row r="286" spans="1:36" s="2116" customFormat="1" ht="34.5">
      <c r="A286" s="2113"/>
      <c r="B286" s="1382"/>
      <c r="C286" s="1383" t="s">
        <v>15044</v>
      </c>
      <c r="D286" s="1474" t="s">
        <v>14907</v>
      </c>
      <c r="E286" s="2492"/>
      <c r="F286" s="2492"/>
      <c r="G286" s="2492"/>
      <c r="H286" s="2492"/>
      <c r="I286" s="2492"/>
      <c r="J286" s="2492"/>
      <c r="K286" s="2492"/>
      <c r="L286" s="2492"/>
      <c r="M286" s="2492"/>
      <c r="N286" s="2576">
        <f>N285/N281</f>
        <v>19.401636189798172</v>
      </c>
      <c r="O286" s="2578">
        <f>O285/O281</f>
        <v>24.784971598367829</v>
      </c>
      <c r="P286" s="1440"/>
      <c r="Q286" s="2576">
        <f>O286</f>
        <v>24.784971598367829</v>
      </c>
      <c r="R286" s="2578">
        <f>R285/R281</f>
        <v>29.137375918142151</v>
      </c>
      <c r="S286" s="1440"/>
      <c r="T286" s="2576">
        <f>R286</f>
        <v>29.137375918142151</v>
      </c>
      <c r="U286" s="2578">
        <f>U285/U281</f>
        <v>33.767157614640652</v>
      </c>
      <c r="V286" s="1440"/>
      <c r="W286" s="2576">
        <f>U286</f>
        <v>33.767157614640652</v>
      </c>
      <c r="X286" s="2578">
        <f>X285/X281</f>
        <v>38.754414063682738</v>
      </c>
      <c r="Y286" s="1450"/>
      <c r="Z286" s="2576">
        <f>X286</f>
        <v>38.754414063682738</v>
      </c>
      <c r="AA286" s="2578">
        <f>AA285/AA281</f>
        <v>43.166665677515283</v>
      </c>
      <c r="AB286" s="1440"/>
      <c r="AC286" s="2607"/>
      <c r="AD286" s="2606"/>
      <c r="AE286" s="2111"/>
    </row>
    <row r="287" spans="1:36" ht="35.25" thickBot="1">
      <c r="B287" s="1387"/>
      <c r="C287" s="1386" t="s">
        <v>2153</v>
      </c>
      <c r="D287" s="1475" t="s">
        <v>1165</v>
      </c>
      <c r="E287" s="2457"/>
      <c r="F287" s="2457"/>
      <c r="G287" s="2457"/>
      <c r="H287" s="2457"/>
      <c r="I287" s="2458"/>
      <c r="J287" s="2459"/>
      <c r="K287" s="2459"/>
      <c r="L287" s="2459"/>
      <c r="M287" s="2459"/>
      <c r="N287" s="2579"/>
      <c r="O287" s="1481">
        <f>O286/N286</f>
        <v>1.2774681143335911</v>
      </c>
      <c r="P287" s="1442"/>
      <c r="Q287" s="2579">
        <f>Q286/O286</f>
        <v>1</v>
      </c>
      <c r="R287" s="1481">
        <f>R286/Q286</f>
        <v>1.175606588956549</v>
      </c>
      <c r="S287" s="1442"/>
      <c r="T287" s="2579">
        <f>T286/R286</f>
        <v>1</v>
      </c>
      <c r="U287" s="1481">
        <f>U286/T286</f>
        <v>1.1588949433711979</v>
      </c>
      <c r="V287" s="1442"/>
      <c r="W287" s="2579">
        <f>W286/U286</f>
        <v>1</v>
      </c>
      <c r="X287" s="1481">
        <f>X286/W286</f>
        <v>1.1476954769470951</v>
      </c>
      <c r="Y287" s="2109"/>
      <c r="Z287" s="2579">
        <f>Z286/X286</f>
        <v>1</v>
      </c>
      <c r="AA287" s="1481">
        <f>AA286/Z286</f>
        <v>1.1138515887914642</v>
      </c>
      <c r="AB287" s="1442"/>
      <c r="AC287" s="2608"/>
      <c r="AD287" s="2606"/>
      <c r="AE287" s="2112"/>
    </row>
    <row r="288" spans="1:36" ht="35.25" thickBot="1">
      <c r="B288" s="1390"/>
      <c r="C288" s="1391" t="s">
        <v>2096</v>
      </c>
      <c r="D288" s="1476" t="s">
        <v>14929</v>
      </c>
      <c r="E288" s="2460"/>
      <c r="F288" s="2460"/>
      <c r="G288" s="2460"/>
      <c r="H288" s="2460"/>
      <c r="I288" s="2460"/>
      <c r="J288" s="2460"/>
      <c r="K288" s="2460"/>
      <c r="L288"/>
      <c r="M288"/>
      <c r="N288" s="2580"/>
      <c r="O288" s="2581">
        <f>P290/1.2*2</f>
        <v>10504.6891443</v>
      </c>
      <c r="P288" s="1443">
        <f>N288/2+O288/2</f>
        <v>5252.3445721500002</v>
      </c>
      <c r="Q288" s="2580">
        <f>O288</f>
        <v>10504.6891443</v>
      </c>
      <c r="R288" s="2581">
        <f>S290/1.2*2-Q288</f>
        <v>68976.242649135907</v>
      </c>
      <c r="S288" s="1443">
        <f>Q288/2+R288/2</f>
        <v>39740.465896717957</v>
      </c>
      <c r="T288" s="2580">
        <f>R288</f>
        <v>68976.242649135907</v>
      </c>
      <c r="U288" s="2581">
        <f>V290/1.2*2-T288</f>
        <v>130406.58915497604</v>
      </c>
      <c r="V288" s="1443">
        <f>T288/2+U288/2</f>
        <v>99691.415902055975</v>
      </c>
      <c r="W288" s="2580">
        <f>U288</f>
        <v>130406.58915497604</v>
      </c>
      <c r="X288" s="2581">
        <f>Y290/1.2*2-W288</f>
        <v>191858.62665635263</v>
      </c>
      <c r="Y288" s="2110">
        <f>W288/2+X288/2</f>
        <v>161132.60790566434</v>
      </c>
      <c r="Z288" s="2580">
        <f>X288</f>
        <v>191858.62665635263</v>
      </c>
      <c r="AA288" s="2581">
        <f>AB290/1.2*2-Z288</f>
        <v>222725.56265116701</v>
      </c>
      <c r="AB288" s="1443">
        <f>Z288/2+AA288/2</f>
        <v>207292.09465375982</v>
      </c>
      <c r="AC288" s="2607"/>
      <c r="AD288" s="2606"/>
      <c r="AE288" s="2111"/>
    </row>
    <row r="289" spans="2:38" ht="18" thickBot="1">
      <c r="B289" s="1415"/>
      <c r="C289" s="1416"/>
      <c r="D289" s="2618"/>
      <c r="E289" s="2460"/>
      <c r="F289" s="2461"/>
      <c r="G289" s="2460"/>
      <c r="H289" s="2460"/>
      <c r="I289" s="2460"/>
      <c r="J289" s="2460"/>
      <c r="K289" s="2460"/>
      <c r="N289" s="3054"/>
      <c r="O289" s="3054"/>
      <c r="P289" s="3054"/>
      <c r="Q289" s="3054"/>
      <c r="R289" s="3054"/>
      <c r="S289" s="3054"/>
      <c r="T289" s="3054"/>
      <c r="U289" s="3054"/>
      <c r="V289" s="3054"/>
      <c r="W289" s="3054"/>
      <c r="X289" s="3054"/>
      <c r="Y289" s="3054"/>
      <c r="Z289" s="3054"/>
      <c r="AA289" s="3054"/>
      <c r="AB289" s="3054"/>
      <c r="AC289" s="2609"/>
      <c r="AD289" s="2609"/>
      <c r="AE289" s="2610"/>
      <c r="AK289" s="2145">
        <v>45291</v>
      </c>
    </row>
    <row r="290" spans="2:38" ht="99" customHeight="1">
      <c r="B290" s="1421">
        <v>1</v>
      </c>
      <c r="C290" s="1422" t="s">
        <v>2164</v>
      </c>
      <c r="D290" s="1477" t="s">
        <v>2165</v>
      </c>
      <c r="E290" s="2585"/>
      <c r="F290" s="2585"/>
      <c r="G290" s="2586"/>
      <c r="H290" s="2586"/>
      <c r="I290" s="2586"/>
      <c r="J290" s="2586"/>
      <c r="K290" s="2586"/>
      <c r="L290" s="2587"/>
      <c r="M290" s="2587"/>
      <c r="N290" s="1445">
        <f>SUM(N291,N305)</f>
        <v>0</v>
      </c>
      <c r="O290" s="1444">
        <f t="shared" ref="O290:AB290" si="50">SUM(O291,O305)</f>
        <v>0</v>
      </c>
      <c r="P290" s="1444">
        <f>SUM(P291,P305)</f>
        <v>6302.8134865800002</v>
      </c>
      <c r="Q290" s="1445">
        <f t="shared" si="50"/>
        <v>0</v>
      </c>
      <c r="R290" s="1444">
        <f t="shared" si="50"/>
        <v>0</v>
      </c>
      <c r="S290" s="1444">
        <f t="shared" si="50"/>
        <v>47688.559076061545</v>
      </c>
      <c r="T290" s="1445">
        <f t="shared" si="50"/>
        <v>0</v>
      </c>
      <c r="U290" s="1444">
        <f t="shared" si="50"/>
        <v>0</v>
      </c>
      <c r="V290" s="1444">
        <f>SUM(V291,V305)</f>
        <v>119629.69908246717</v>
      </c>
      <c r="W290" s="1445">
        <f t="shared" si="50"/>
        <v>0</v>
      </c>
      <c r="X290" s="1444">
        <f t="shared" si="50"/>
        <v>0</v>
      </c>
      <c r="Y290" s="1444">
        <f t="shared" si="50"/>
        <v>193359.1294867972</v>
      </c>
      <c r="Z290" s="1445">
        <f t="shared" si="50"/>
        <v>0</v>
      </c>
      <c r="AA290" s="1444">
        <f t="shared" si="50"/>
        <v>0</v>
      </c>
      <c r="AB290" s="1444">
        <f t="shared" si="50"/>
        <v>248750.51358451176</v>
      </c>
      <c r="AC290" s="2611">
        <f>SUM(N290,Q290,T290,W290,Z290)</f>
        <v>0</v>
      </c>
      <c r="AD290" s="2612">
        <f>SUM(O290,R290,U290,X290,AA290)</f>
        <v>0</v>
      </c>
      <c r="AE290" s="2612">
        <f>SUM(P290,S290,V290,Y290,AB290)</f>
        <v>615730.71471641771</v>
      </c>
      <c r="AF290" s="2604" t="s">
        <v>14931</v>
      </c>
      <c r="AG290" s="2138" t="s">
        <v>14932</v>
      </c>
      <c r="AH290" s="2138" t="s">
        <v>14933</v>
      </c>
      <c r="AI290" s="2138" t="s">
        <v>14933</v>
      </c>
      <c r="AJ290" s="2138" t="s">
        <v>14934</v>
      </c>
      <c r="AK290" s="2138" t="s">
        <v>14935</v>
      </c>
      <c r="AL290" s="2138" t="s">
        <v>14937</v>
      </c>
    </row>
    <row r="291" spans="2:38" ht="155.25" hidden="1">
      <c r="B291" s="1418" t="s">
        <v>25</v>
      </c>
      <c r="C291" s="1366" t="s">
        <v>1109</v>
      </c>
      <c r="D291" s="1478" t="s">
        <v>2165</v>
      </c>
      <c r="E291" s="2588"/>
      <c r="F291" s="2588"/>
      <c r="G291" s="2589"/>
      <c r="H291" s="2589"/>
      <c r="I291" s="2589"/>
      <c r="J291" s="2589"/>
      <c r="K291" s="2589"/>
      <c r="L291" s="2233"/>
      <c r="M291" s="2233"/>
      <c r="N291" s="1447">
        <f t="shared" ref="N291:AB291" si="51">SUM(N292:N304)</f>
        <v>0</v>
      </c>
      <c r="O291" s="1446">
        <f t="shared" si="51"/>
        <v>0</v>
      </c>
      <c r="P291" s="1448">
        <f t="shared" si="51"/>
        <v>6302.8134865800002</v>
      </c>
      <c r="Q291" s="1447">
        <f t="shared" si="51"/>
        <v>0</v>
      </c>
      <c r="R291" s="1446">
        <f t="shared" si="51"/>
        <v>0</v>
      </c>
      <c r="S291" s="1449">
        <f t="shared" si="51"/>
        <v>28080.684226672747</v>
      </c>
      <c r="T291" s="1447">
        <f t="shared" si="51"/>
        <v>0</v>
      </c>
      <c r="U291" s="1446">
        <f t="shared" si="51"/>
        <v>0</v>
      </c>
      <c r="V291" s="1448">
        <f t="shared" si="51"/>
        <v>100021.82423307837</v>
      </c>
      <c r="W291" s="1447">
        <f t="shared" si="51"/>
        <v>0</v>
      </c>
      <c r="X291" s="1446">
        <f t="shared" si="51"/>
        <v>0</v>
      </c>
      <c r="Y291" s="1449">
        <f t="shared" si="51"/>
        <v>136960.47046342236</v>
      </c>
      <c r="Z291" s="1447">
        <f t="shared" si="51"/>
        <v>0</v>
      </c>
      <c r="AA291" s="1446">
        <f t="shared" si="51"/>
        <v>0</v>
      </c>
      <c r="AB291" s="1448">
        <f t="shared" si="51"/>
        <v>180955.52010005733</v>
      </c>
      <c r="AC291" s="1544">
        <f>SUM(N291,Q291,T291,W291,Z291)</f>
        <v>0</v>
      </c>
      <c r="AD291" s="1545">
        <f>SUM(O291,R291,U291,X291,AA291)</f>
        <v>0</v>
      </c>
      <c r="AE291" s="1545">
        <f t="shared" ref="AE291:AE308" si="52">SUM(P291,S291,V291,Y291,AB291)</f>
        <v>452321.31250981078</v>
      </c>
      <c r="AF291" s="2605">
        <f>Амортизация!$AE$92</f>
        <v>11027</v>
      </c>
      <c r="AG291" s="2144">
        <v>34172</v>
      </c>
      <c r="AH291" s="2148">
        <v>808</v>
      </c>
      <c r="AI291" s="1541">
        <v>181</v>
      </c>
      <c r="AJ291" s="1541">
        <v>181</v>
      </c>
      <c r="AK291" s="2143">
        <f>($AK$289-AG291)/30.4</f>
        <v>365.75657894736844</v>
      </c>
      <c r="AL291" s="2144"/>
    </row>
    <row r="292" spans="2:38" ht="69">
      <c r="B292" s="1414" t="s">
        <v>82</v>
      </c>
      <c r="C292" s="1879" t="s">
        <v>754</v>
      </c>
      <c r="D292" s="1479" t="s">
        <v>2165</v>
      </c>
      <c r="E292" s="2619"/>
      <c r="F292" s="2619"/>
      <c r="G292" s="2619"/>
      <c r="H292" s="3456"/>
      <c r="I292" s="3456"/>
      <c r="J292" s="2233"/>
      <c r="K292" s="2233"/>
      <c r="L292" s="2233"/>
      <c r="M292" s="2233"/>
      <c r="N292" s="1542"/>
      <c r="O292" s="1543"/>
      <c r="P292" s="1440">
        <f>Мероприятия_и_источники!$I$477</f>
        <v>0</v>
      </c>
      <c r="Q292" s="1542"/>
      <c r="R292" s="1543"/>
      <c r="S292" s="1450">
        <f>Мероприятия_и_источники!$J$477</f>
        <v>0</v>
      </c>
      <c r="T292" s="1542"/>
      <c r="U292" s="1543"/>
      <c r="V292" s="1440">
        <f>Мероприятия_и_источники!$K$477</f>
        <v>0</v>
      </c>
      <c r="W292" s="1542"/>
      <c r="X292" s="1543"/>
      <c r="Y292" s="1450">
        <f>Мероприятия_и_источники!$L$477</f>
        <v>9698.3785827647152</v>
      </c>
      <c r="Z292" s="1542"/>
      <c r="AA292" s="1543"/>
      <c r="AB292" s="1440">
        <f>Мероприятия_и_источники!$M$477</f>
        <v>0</v>
      </c>
      <c r="AC292" s="1544">
        <v>0</v>
      </c>
      <c r="AD292" s="1545">
        <v>0</v>
      </c>
      <c r="AE292" s="1545">
        <f t="shared" si="52"/>
        <v>9698.3785827647152</v>
      </c>
      <c r="AF292" s="2605">
        <f>Амортизация!$AE$93</f>
        <v>28769</v>
      </c>
      <c r="AG292" s="2144">
        <v>37256</v>
      </c>
      <c r="AH292" s="1541">
        <v>480</v>
      </c>
      <c r="AI292" s="1541">
        <v>480</v>
      </c>
      <c r="AJ292" s="1541">
        <v>360</v>
      </c>
      <c r="AK292" s="2143">
        <f t="shared" ref="AK292:AK303" si="53">($AK$289-AG292)/30.4</f>
        <v>264.30921052631578</v>
      </c>
      <c r="AL292" s="2144"/>
    </row>
    <row r="293" spans="2:38" ht="69">
      <c r="B293" s="1414" t="s">
        <v>83</v>
      </c>
      <c r="C293" s="1879" t="s">
        <v>756</v>
      </c>
      <c r="D293" s="1479" t="s">
        <v>2165</v>
      </c>
      <c r="E293" s="2590" t="s">
        <v>15038</v>
      </c>
      <c r="F293" s="2590"/>
      <c r="G293" s="2590"/>
      <c r="H293" s="2590"/>
      <c r="I293" s="2233"/>
      <c r="J293" s="2233"/>
      <c r="K293" s="2233"/>
      <c r="L293" s="2233"/>
      <c r="M293" s="2233"/>
      <c r="N293" s="1542"/>
      <c r="O293" s="1543"/>
      <c r="P293" s="1440">
        <f>Мероприятия_и_источники!$I$481</f>
        <v>0</v>
      </c>
      <c r="Q293" s="1542"/>
      <c r="R293" s="1543"/>
      <c r="S293" s="1450">
        <f>Мероприятия_и_источники!$J$481</f>
        <v>0</v>
      </c>
      <c r="T293" s="1542"/>
      <c r="U293" s="1543"/>
      <c r="V293" s="1440">
        <f>Мероприятия_и_источники!$K$481</f>
        <v>0</v>
      </c>
      <c r="W293" s="1542"/>
      <c r="X293" s="1543"/>
      <c r="Y293" s="1450">
        <f>Мероприятия_и_источники!L481</f>
        <v>6943.073294970437</v>
      </c>
      <c r="Z293" s="1542"/>
      <c r="AA293" s="1543"/>
      <c r="AB293" s="1440">
        <f>Мероприятия_и_источники!$M$481</f>
        <v>0</v>
      </c>
      <c r="AC293" s="1544">
        <v>0</v>
      </c>
      <c r="AD293" s="1545">
        <v>0</v>
      </c>
      <c r="AE293" s="1545">
        <f t="shared" si="52"/>
        <v>6943.073294970437</v>
      </c>
      <c r="AF293" s="2605">
        <f>Амортизация!$AE$94</f>
        <v>11139</v>
      </c>
      <c r="AG293" s="2144">
        <v>34172</v>
      </c>
      <c r="AH293" s="1541">
        <v>413</v>
      </c>
      <c r="AI293" s="1541">
        <v>413</v>
      </c>
      <c r="AJ293" s="1541">
        <v>413</v>
      </c>
      <c r="AK293" s="2143">
        <f t="shared" si="53"/>
        <v>365.75657894736844</v>
      </c>
      <c r="AL293" s="2144"/>
    </row>
    <row r="294" spans="2:38" ht="103.5">
      <c r="B294" s="1414" t="s">
        <v>84</v>
      </c>
      <c r="C294" s="1879" t="s">
        <v>883</v>
      </c>
      <c r="D294" s="1479" t="s">
        <v>2165</v>
      </c>
      <c r="E294" s="2233"/>
      <c r="F294" s="2233"/>
      <c r="G294" s="2233"/>
      <c r="H294" s="2233"/>
      <c r="I294" s="2233"/>
      <c r="J294" s="2233"/>
      <c r="K294" s="2233"/>
      <c r="L294" s="2233"/>
      <c r="M294" s="2233"/>
      <c r="N294" s="1542"/>
      <c r="O294" s="1543"/>
      <c r="P294" s="1440">
        <f>Мероприятия_и_источники!$I$485</f>
        <v>0</v>
      </c>
      <c r="Q294" s="1542"/>
      <c r="R294" s="1543"/>
      <c r="S294" s="1450">
        <f>Мероприятия_и_источники!$J$485</f>
        <v>0</v>
      </c>
      <c r="T294" s="1542"/>
      <c r="U294" s="1543"/>
      <c r="V294" s="1440">
        <f>Мероприятия_и_источники!K485</f>
        <v>0</v>
      </c>
      <c r="W294" s="1542"/>
      <c r="X294" s="1543"/>
      <c r="Y294" s="1450">
        <f>Мероприятия_и_источники!L485</f>
        <v>17007.535958665481</v>
      </c>
      <c r="Z294" s="1542"/>
      <c r="AA294" s="1543"/>
      <c r="AB294" s="1440">
        <f>Мероприятия_и_источники!$M$485</f>
        <v>68030.143834661925</v>
      </c>
      <c r="AC294" s="1544">
        <v>0</v>
      </c>
      <c r="AD294" s="1545">
        <v>0</v>
      </c>
      <c r="AE294" s="1545">
        <f t="shared" si="52"/>
        <v>85037.679793327407</v>
      </c>
      <c r="AF294" s="2605">
        <f>Амортизация!$AE$95</f>
        <v>11024</v>
      </c>
      <c r="AG294" s="2144">
        <v>34172</v>
      </c>
      <c r="AH294" s="2148">
        <v>413</v>
      </c>
      <c r="AI294" s="1541">
        <v>437</v>
      </c>
      <c r="AJ294" s="1541">
        <v>240</v>
      </c>
      <c r="AK294" s="2143">
        <f t="shared" si="53"/>
        <v>365.75657894736844</v>
      </c>
      <c r="AL294" s="2144"/>
    </row>
    <row r="295" spans="2:38" ht="86.25">
      <c r="B295" s="1414" t="s">
        <v>85</v>
      </c>
      <c r="C295" s="1369" t="s">
        <v>1287</v>
      </c>
      <c r="D295" s="1479" t="s">
        <v>2165</v>
      </c>
      <c r="E295" s="2233"/>
      <c r="F295" s="2233"/>
      <c r="G295" s="2233"/>
      <c r="H295" s="2233"/>
      <c r="I295" s="2233"/>
      <c r="J295" s="2233"/>
      <c r="K295" s="2233"/>
      <c r="L295" s="2233"/>
      <c r="M295" s="2233"/>
      <c r="N295" s="1542"/>
      <c r="O295" s="1543"/>
      <c r="P295" s="1440">
        <f>Мероприятия_и_источники!$I$489</f>
        <v>0</v>
      </c>
      <c r="Q295" s="1542"/>
      <c r="R295" s="1543"/>
      <c r="S295" s="1450">
        <f>Мероприятия_и_источники!$J$489</f>
        <v>0</v>
      </c>
      <c r="T295" s="1542"/>
      <c r="U295" s="1543"/>
      <c r="V295" s="1440">
        <f>Мероприятия_и_источники!$K$489</f>
        <v>0</v>
      </c>
      <c r="W295" s="1542"/>
      <c r="X295" s="1543"/>
      <c r="Y295" s="1450">
        <f>Мероприятия_и_источники!$L$489</f>
        <v>36914.73405469922</v>
      </c>
      <c r="Z295" s="1542"/>
      <c r="AA295" s="1543"/>
      <c r="AB295" s="1440">
        <f>Мероприятия_и_источники!$M$489</f>
        <v>0</v>
      </c>
      <c r="AC295" s="1544">
        <v>0</v>
      </c>
      <c r="AD295" s="1545">
        <v>0</v>
      </c>
      <c r="AE295" s="1545">
        <f t="shared" si="52"/>
        <v>36914.73405469922</v>
      </c>
      <c r="AF295" s="2605">
        <f>Амортизация!$AE$96</f>
        <v>38203</v>
      </c>
      <c r="AG295" s="2144">
        <v>38665</v>
      </c>
      <c r="AH295" s="1541">
        <v>326</v>
      </c>
      <c r="AI295" s="1541">
        <v>326</v>
      </c>
      <c r="AJ295" s="1541">
        <v>300</v>
      </c>
      <c r="AK295" s="2143">
        <f t="shared" si="53"/>
        <v>217.96052631578948</v>
      </c>
      <c r="AL295" s="2144"/>
    </row>
    <row r="296" spans="2:38" ht="69">
      <c r="B296" s="1414" t="s">
        <v>86</v>
      </c>
      <c r="C296" s="1879" t="s">
        <v>885</v>
      </c>
      <c r="D296" s="1479" t="s">
        <v>2165</v>
      </c>
      <c r="E296" s="2233"/>
      <c r="F296" s="2233"/>
      <c r="G296" s="2233"/>
      <c r="H296" s="2233"/>
      <c r="I296" s="2233"/>
      <c r="J296" s="2233"/>
      <c r="K296" s="2233"/>
      <c r="L296" s="2233"/>
      <c r="M296" s="2233"/>
      <c r="N296" s="1542"/>
      <c r="O296" s="1543"/>
      <c r="P296" s="1440">
        <f>Мероприятия_и_источники!$I$493</f>
        <v>0</v>
      </c>
      <c r="Q296" s="1542"/>
      <c r="R296" s="1543"/>
      <c r="S296" s="1450">
        <f>Мероприятия_и_источники!$J$493</f>
        <v>0</v>
      </c>
      <c r="T296" s="1542"/>
      <c r="U296" s="1543"/>
      <c r="V296" s="1440">
        <f>Мероприятия_и_источники!$K$493</f>
        <v>0</v>
      </c>
      <c r="W296" s="1542"/>
      <c r="X296" s="1543"/>
      <c r="Y296" s="1450">
        <f>Мероприятия_и_источники!L493</f>
        <v>18196.955229838848</v>
      </c>
      <c r="Z296" s="1542"/>
      <c r="AA296" s="1543"/>
      <c r="AB296" s="1440">
        <f>Мероприятия_и_источники!$M$493</f>
        <v>0</v>
      </c>
      <c r="AC296" s="1544">
        <v>0</v>
      </c>
      <c r="AD296" s="1545">
        <v>0</v>
      </c>
      <c r="AE296" s="1545">
        <f t="shared" si="52"/>
        <v>18196.955229838848</v>
      </c>
      <c r="AF296" s="2605">
        <f>Амортизация!$AE$97</f>
        <v>10446</v>
      </c>
      <c r="AG296" s="2144">
        <v>34172</v>
      </c>
      <c r="AH296" s="1541">
        <v>425</v>
      </c>
      <c r="AI296" s="1541">
        <v>425</v>
      </c>
      <c r="AJ296" s="1541">
        <v>425</v>
      </c>
      <c r="AK296" s="2143">
        <f t="shared" si="53"/>
        <v>365.75657894736844</v>
      </c>
      <c r="AL296" s="2144"/>
    </row>
    <row r="297" spans="2:38" ht="69">
      <c r="B297" s="1414" t="s">
        <v>87</v>
      </c>
      <c r="C297" s="1879" t="s">
        <v>887</v>
      </c>
      <c r="D297" s="1479" t="s">
        <v>2165</v>
      </c>
      <c r="E297" s="2233"/>
      <c r="F297" s="2233"/>
      <c r="G297" s="2233"/>
      <c r="H297" s="2233"/>
      <c r="I297" s="2233"/>
      <c r="J297" s="2233"/>
      <c r="K297" s="2233"/>
      <c r="L297" s="2233"/>
      <c r="M297" s="2233"/>
      <c r="N297" s="1542"/>
      <c r="O297" s="1543"/>
      <c r="P297" s="1440">
        <f>Мероприятия_и_источники!$I$497</f>
        <v>697.18800410999995</v>
      </c>
      <c r="Q297" s="1542"/>
      <c r="R297" s="1543"/>
      <c r="S297" s="1450">
        <f>Мероприятия_и_источники!$J$497</f>
        <v>0</v>
      </c>
      <c r="T297" s="1542"/>
      <c r="U297" s="1543"/>
      <c r="V297" s="1440">
        <f>Мероприятия_и_источники!$K$497</f>
        <v>0</v>
      </c>
      <c r="W297" s="1542"/>
      <c r="X297" s="1543"/>
      <c r="Y297" s="1450">
        <f>Мероприятия_и_источники!$L$497</f>
        <v>0</v>
      </c>
      <c r="Z297" s="1542"/>
      <c r="AA297" s="1543"/>
      <c r="AB297" s="1440">
        <f>Мероприятия_и_источники!$M$497</f>
        <v>0</v>
      </c>
      <c r="AC297" s="1544">
        <v>0</v>
      </c>
      <c r="AD297" s="1545">
        <v>0</v>
      </c>
      <c r="AE297" s="1545">
        <f t="shared" si="52"/>
        <v>697.18800410999995</v>
      </c>
      <c r="AF297" s="2605">
        <f>Амортизация!$AE$98</f>
        <v>11184</v>
      </c>
      <c r="AG297" s="2144">
        <v>34172</v>
      </c>
      <c r="AH297" s="1541">
        <v>413</v>
      </c>
      <c r="AI297" s="1541">
        <v>413</v>
      </c>
      <c r="AJ297" s="1541">
        <v>413</v>
      </c>
      <c r="AK297" s="2143">
        <f t="shared" si="53"/>
        <v>365.75657894736844</v>
      </c>
      <c r="AL297" s="2144"/>
    </row>
    <row r="298" spans="2:38" ht="69">
      <c r="B298" s="1414" t="s">
        <v>88</v>
      </c>
      <c r="C298" s="1369" t="s">
        <v>757</v>
      </c>
      <c r="D298" s="1479" t="s">
        <v>2165</v>
      </c>
      <c r="E298" s="2233"/>
      <c r="F298" s="2233"/>
      <c r="G298" s="2233"/>
      <c r="H298" s="2233"/>
      <c r="I298" s="2233"/>
      <c r="J298" s="2233"/>
      <c r="K298" s="2233"/>
      <c r="L298" s="2233"/>
      <c r="M298" s="2233"/>
      <c r="N298" s="1542"/>
      <c r="O298" s="1543"/>
      <c r="P298" s="1440">
        <f>Мероприятия_и_источники!$I$501</f>
        <v>0</v>
      </c>
      <c r="Q298" s="1542"/>
      <c r="R298" s="1543"/>
      <c r="S298" s="1450">
        <f>Мероприятия_и_источники!$J$501</f>
        <v>0</v>
      </c>
      <c r="T298" s="1542"/>
      <c r="U298" s="1543"/>
      <c r="V298" s="1440">
        <f>Мероприятия_и_источники!$K$501</f>
        <v>0</v>
      </c>
      <c r="W298" s="1542"/>
      <c r="X298" s="1543"/>
      <c r="Y298" s="1450">
        <f>Мероприятия_и_источники!$L$501</f>
        <v>0</v>
      </c>
      <c r="Z298" s="1542"/>
      <c r="AA298" s="1543"/>
      <c r="AB298" s="1440">
        <f>Мероприятия_и_источники!$M$501</f>
        <v>5881.9695516445136</v>
      </c>
      <c r="AC298" s="1544">
        <v>0</v>
      </c>
      <c r="AD298" s="1545">
        <v>0</v>
      </c>
      <c r="AE298" s="1545">
        <f t="shared" si="52"/>
        <v>5881.9695516445136</v>
      </c>
      <c r="AF298" s="2605">
        <f>Амортизация!$AE$99</f>
        <v>11330</v>
      </c>
      <c r="AG298" s="2144">
        <v>34404</v>
      </c>
      <c r="AH298" s="1541">
        <v>429</v>
      </c>
      <c r="AI298" s="1541">
        <v>429</v>
      </c>
      <c r="AJ298" s="1541">
        <v>240</v>
      </c>
      <c r="AK298" s="2143">
        <f t="shared" si="53"/>
        <v>358.125</v>
      </c>
      <c r="AL298" s="2144"/>
    </row>
    <row r="299" spans="2:38" ht="86.25">
      <c r="B299" s="1414" t="s">
        <v>89</v>
      </c>
      <c r="C299" s="1879" t="s">
        <v>889</v>
      </c>
      <c r="D299" s="1479" t="s">
        <v>2165</v>
      </c>
      <c r="E299" s="2233"/>
      <c r="F299" s="2233"/>
      <c r="G299" s="2233"/>
      <c r="H299" s="2233"/>
      <c r="I299" s="2233"/>
      <c r="J299" s="2233"/>
      <c r="K299" s="2233"/>
      <c r="L299" s="2233"/>
      <c r="M299" s="2233"/>
      <c r="N299" s="1542"/>
      <c r="O299" s="1543"/>
      <c r="P299" s="1440">
        <f>Мероприятия_и_источники!$I$505</f>
        <v>0</v>
      </c>
      <c r="Q299" s="1542"/>
      <c r="R299" s="1543"/>
      <c r="S299" s="1450">
        <f>Мероприятия_и_источники!$J$505</f>
        <v>28080.684226672747</v>
      </c>
      <c r="T299" s="1542"/>
      <c r="U299" s="1543"/>
      <c r="V299" s="1440">
        <f>Мероприятия_и_источники!$K$505</f>
        <v>33696.821072007297</v>
      </c>
      <c r="W299" s="1542"/>
      <c r="X299" s="1543"/>
      <c r="Y299" s="1450">
        <f>Мероприятия_и_источники!$L$505</f>
        <v>11232.273690669099</v>
      </c>
      <c r="Z299" s="1542"/>
      <c r="AA299" s="1543"/>
      <c r="AB299" s="1440">
        <f>Мероприятия_и_источники!$M$505</f>
        <v>1872.0456151115166</v>
      </c>
      <c r="AC299" s="1544">
        <v>0</v>
      </c>
      <c r="AD299" s="1545">
        <v>0</v>
      </c>
      <c r="AE299" s="1545">
        <f t="shared" si="52"/>
        <v>74881.824604460664</v>
      </c>
      <c r="AF299" s="2605">
        <f>Амортизация!$AE$101</f>
        <v>26577</v>
      </c>
      <c r="AG299" s="2144">
        <v>36161</v>
      </c>
      <c r="AH299" s="1541">
        <v>600</v>
      </c>
      <c r="AI299" s="1541">
        <v>600</v>
      </c>
      <c r="AJ299" s="1541">
        <v>360</v>
      </c>
      <c r="AK299" s="2143">
        <f t="shared" si="53"/>
        <v>300.32894736842104</v>
      </c>
      <c r="AL299" s="2144"/>
    </row>
    <row r="300" spans="2:38" ht="69">
      <c r="B300" s="1414" t="s">
        <v>774</v>
      </c>
      <c r="C300" s="1879" t="s">
        <v>894</v>
      </c>
      <c r="D300" s="1479" t="s">
        <v>2165</v>
      </c>
      <c r="E300" s="2233"/>
      <c r="F300" s="2233"/>
      <c r="G300" s="2233"/>
      <c r="H300" s="2233"/>
      <c r="I300" s="2233"/>
      <c r="J300" s="2233"/>
      <c r="K300" s="2233"/>
      <c r="L300" s="2233"/>
      <c r="M300" s="2233"/>
      <c r="N300" s="1542"/>
      <c r="O300" s="1543"/>
      <c r="P300" s="1440">
        <f>Мероприятия_и_источники!$I$513</f>
        <v>5605.62548247</v>
      </c>
      <c r="Q300" s="1542"/>
      <c r="R300" s="1543"/>
      <c r="S300" s="1450">
        <f>Мероприятия_и_источники!$J$513</f>
        <v>0</v>
      </c>
      <c r="T300" s="1542"/>
      <c r="U300" s="1543"/>
      <c r="V300" s="1440">
        <f>Мероприятия_и_источники!$K$513</f>
        <v>0</v>
      </c>
      <c r="W300" s="1542"/>
      <c r="X300" s="1543"/>
      <c r="Y300" s="1450">
        <f>Мероприятия_и_источники!$L$513</f>
        <v>0</v>
      </c>
      <c r="Z300" s="1542"/>
      <c r="AA300" s="1543"/>
      <c r="AB300" s="1440">
        <f>Мероприятия_и_источники!$M$513</f>
        <v>0</v>
      </c>
      <c r="AC300" s="1544">
        <v>0</v>
      </c>
      <c r="AD300" s="1545">
        <v>0</v>
      </c>
      <c r="AE300" s="1545">
        <f t="shared" si="52"/>
        <v>5605.62548247</v>
      </c>
      <c r="AF300" s="2605">
        <f>Амортизация!$AE$102</f>
        <v>24072</v>
      </c>
      <c r="AG300" s="2144">
        <v>35065</v>
      </c>
      <c r="AH300" s="1541">
        <v>407</v>
      </c>
      <c r="AI300" s="1541">
        <v>407</v>
      </c>
      <c r="AJ300" s="1541">
        <v>240</v>
      </c>
      <c r="AK300" s="2143">
        <f t="shared" si="53"/>
        <v>336.38157894736844</v>
      </c>
      <c r="AL300" s="2144"/>
    </row>
    <row r="301" spans="2:38" ht="69">
      <c r="B301" s="1414" t="s">
        <v>90</v>
      </c>
      <c r="C301" s="1369" t="s">
        <v>896</v>
      </c>
      <c r="D301" s="1479" t="s">
        <v>2165</v>
      </c>
      <c r="E301" s="2233"/>
      <c r="F301" s="2233"/>
      <c r="G301" s="2233"/>
      <c r="H301" s="2233"/>
      <c r="I301" s="2233"/>
      <c r="J301" s="2233"/>
      <c r="K301" s="2233"/>
      <c r="L301" s="2233"/>
      <c r="M301" s="2233"/>
      <c r="N301" s="1542"/>
      <c r="O301" s="1543"/>
      <c r="P301" s="1440">
        <f>Мероприятия_и_источники!$I$517</f>
        <v>0</v>
      </c>
      <c r="Q301" s="1542"/>
      <c r="R301" s="1543"/>
      <c r="S301" s="1450">
        <f>Мероприятия_и_источники!$J$517</f>
        <v>0</v>
      </c>
      <c r="T301" s="1542"/>
      <c r="U301" s="1543"/>
      <c r="V301" s="1440">
        <f>Мероприятия_и_источники!$K$517</f>
        <v>36967.51965181456</v>
      </c>
      <c r="W301" s="1542"/>
      <c r="X301" s="1543"/>
      <c r="Y301" s="1450">
        <f>Мероприятия_и_источники!$L$517</f>
        <v>36967.51965181456</v>
      </c>
      <c r="Z301" s="1542"/>
      <c r="AA301" s="1543"/>
      <c r="AB301" s="1440">
        <f>Мероприятия_и_источники!$M$517</f>
        <v>58091.816595708602</v>
      </c>
      <c r="AC301" s="1544">
        <v>0</v>
      </c>
      <c r="AD301" s="1545">
        <v>0</v>
      </c>
      <c r="AE301" s="1545">
        <f t="shared" si="52"/>
        <v>132026.85589933774</v>
      </c>
      <c r="AF301" s="2605">
        <f>Амортизация!$AE$103</f>
        <v>26484</v>
      </c>
      <c r="AG301" s="2144">
        <v>36130</v>
      </c>
      <c r="AH301" s="1541">
        <v>600</v>
      </c>
      <c r="AI301" s="1541">
        <v>600</v>
      </c>
      <c r="AJ301" s="1541">
        <v>600</v>
      </c>
      <c r="AK301" s="2143">
        <f t="shared" si="53"/>
        <v>301.34868421052636</v>
      </c>
      <c r="AL301" s="2144"/>
    </row>
    <row r="302" spans="2:38" ht="69">
      <c r="B302" s="1414" t="s">
        <v>91</v>
      </c>
      <c r="C302" s="1879" t="s">
        <v>755</v>
      </c>
      <c r="D302" s="1479" t="s">
        <v>2165</v>
      </c>
      <c r="E302" s="2233"/>
      <c r="F302" s="2233"/>
      <c r="G302" s="2233"/>
      <c r="H302" s="2233"/>
      <c r="I302" s="2233"/>
      <c r="J302" s="2233"/>
      <c r="K302" s="2233"/>
      <c r="L302" s="2233"/>
      <c r="M302" s="2233"/>
      <c r="N302" s="1542"/>
      <c r="O302" s="1543"/>
      <c r="P302" s="1440">
        <f>Мероприятия_и_источники!$I$521</f>
        <v>0</v>
      </c>
      <c r="Q302" s="1542"/>
      <c r="R302" s="1543"/>
      <c r="S302" s="1450">
        <f>Мероприятия_и_источники!J521</f>
        <v>0</v>
      </c>
      <c r="T302" s="1542"/>
      <c r="U302" s="1543"/>
      <c r="V302" s="1440">
        <f>Мероприятия_и_источники!$K$521</f>
        <v>29357.483509256497</v>
      </c>
      <c r="W302" s="1542"/>
      <c r="X302" s="1543"/>
      <c r="Y302" s="1450">
        <f>Мероприятия_и_источники!$L$521</f>
        <v>0</v>
      </c>
      <c r="Z302" s="1542"/>
      <c r="AA302" s="1543"/>
      <c r="AB302" s="1440">
        <f>Мероприятия_и_источники!$M$521</f>
        <v>0</v>
      </c>
      <c r="AC302" s="1544">
        <v>0</v>
      </c>
      <c r="AD302" s="1545">
        <v>0</v>
      </c>
      <c r="AE302" s="1545">
        <f t="shared" si="52"/>
        <v>29357.483509256497</v>
      </c>
      <c r="AF302" s="2605">
        <f>Амортизация!$AE$104</f>
        <v>27786</v>
      </c>
      <c r="AG302" s="2144">
        <v>37256</v>
      </c>
      <c r="AH302" s="1541">
        <v>600</v>
      </c>
      <c r="AI302" s="1541">
        <v>600</v>
      </c>
      <c r="AJ302" s="1541">
        <v>360</v>
      </c>
      <c r="AK302" s="2143">
        <f t="shared" si="53"/>
        <v>264.30921052631578</v>
      </c>
      <c r="AL302" s="2144"/>
    </row>
    <row r="303" spans="2:38" ht="51.75">
      <c r="B303" s="1414" t="s">
        <v>144</v>
      </c>
      <c r="C303" s="1369" t="s">
        <v>898</v>
      </c>
      <c r="D303" s="1479" t="s">
        <v>2165</v>
      </c>
      <c r="E303" s="2233"/>
      <c r="F303" s="2233"/>
      <c r="G303" s="2233"/>
      <c r="H303" s="2233"/>
      <c r="I303" s="2233"/>
      <c r="J303" s="2233"/>
      <c r="K303" s="2233"/>
      <c r="L303" s="2233"/>
      <c r="M303" s="2233"/>
      <c r="N303" s="1542"/>
      <c r="O303" s="1543"/>
      <c r="P303" s="1440">
        <f>Мероприятия_и_источники!$I$525</f>
        <v>0</v>
      </c>
      <c r="Q303" s="1542"/>
      <c r="R303" s="1543"/>
      <c r="S303" s="1450">
        <f>Мероприятия_и_источники!$J$525</f>
        <v>0</v>
      </c>
      <c r="T303" s="1542"/>
      <c r="U303" s="1543"/>
      <c r="V303" s="1440">
        <f>Мероприятия_и_источники!$K$525</f>
        <v>0</v>
      </c>
      <c r="W303" s="1542"/>
      <c r="X303" s="1543"/>
      <c r="Y303" s="1450">
        <f>Мероприятия_и_источники!$L$525</f>
        <v>0</v>
      </c>
      <c r="Z303" s="1542"/>
      <c r="AA303" s="1543"/>
      <c r="AB303" s="1440">
        <f>Мероприятия_и_источники!$M$525</f>
        <v>40124.852374263028</v>
      </c>
      <c r="AC303" s="1544">
        <v>0</v>
      </c>
      <c r="AD303" s="1545">
        <v>0</v>
      </c>
      <c r="AE303" s="1545">
        <f t="shared" si="52"/>
        <v>40124.852374263028</v>
      </c>
      <c r="AF303" s="2605">
        <f>Амортизация!$AE$105</f>
        <v>10409</v>
      </c>
      <c r="AG303" s="2144">
        <v>34172</v>
      </c>
      <c r="AH303" s="1541">
        <v>600</v>
      </c>
      <c r="AI303" s="1541">
        <v>600</v>
      </c>
      <c r="AJ303" s="1541">
        <v>360</v>
      </c>
      <c r="AK303" s="2143">
        <f t="shared" si="53"/>
        <v>365.75657894736844</v>
      </c>
      <c r="AL303" s="2144"/>
    </row>
    <row r="304" spans="2:38" ht="69">
      <c r="B304" s="1414" t="s">
        <v>145</v>
      </c>
      <c r="C304" s="1879" t="s">
        <v>1108</v>
      </c>
      <c r="D304" s="1479" t="s">
        <v>2165</v>
      </c>
      <c r="E304" s="2233"/>
      <c r="F304" s="2233"/>
      <c r="G304" s="2233"/>
      <c r="H304" s="2233"/>
      <c r="I304" s="2233"/>
      <c r="J304" s="2233"/>
      <c r="K304" s="2233"/>
      <c r="L304" s="2233"/>
      <c r="M304" s="2233"/>
      <c r="N304" s="1542"/>
      <c r="O304" s="1543"/>
      <c r="P304" s="1440">
        <f>Мероприятия_и_источники!$I$529</f>
        <v>0</v>
      </c>
      <c r="Q304" s="1542"/>
      <c r="R304" s="1543"/>
      <c r="S304" s="1450">
        <f>Мероприятия_и_источники!$J$529</f>
        <v>0</v>
      </c>
      <c r="T304" s="1542"/>
      <c r="U304" s="1543"/>
      <c r="V304" s="1440">
        <f>Мероприятия_и_источники!$K$529</f>
        <v>0</v>
      </c>
      <c r="W304" s="1542"/>
      <c r="X304" s="1543"/>
      <c r="Y304" s="1450">
        <f>Мероприятия_и_источники!$L$529</f>
        <v>0</v>
      </c>
      <c r="Z304" s="1542"/>
      <c r="AA304" s="1543"/>
      <c r="AB304" s="1440">
        <f>Мероприятия_и_источники!$M$529</f>
        <v>6954.692128667738</v>
      </c>
      <c r="AC304" s="1544">
        <v>0</v>
      </c>
      <c r="AD304" s="1545">
        <v>0</v>
      </c>
      <c r="AE304" s="1545">
        <f t="shared" si="52"/>
        <v>6954.692128667738</v>
      </c>
    </row>
    <row r="305" spans="2:31" ht="207">
      <c r="B305" s="2582" t="s">
        <v>3</v>
      </c>
      <c r="C305" s="2583" t="s">
        <v>1096</v>
      </c>
      <c r="D305" s="1478" t="s">
        <v>2165</v>
      </c>
      <c r="E305" s="2233"/>
      <c r="F305" s="2233"/>
      <c r="G305" s="2233"/>
      <c r="H305" s="2233"/>
      <c r="I305" s="2233"/>
      <c r="J305" s="2233"/>
      <c r="K305" s="2233"/>
      <c r="L305" s="2233"/>
      <c r="M305" s="2233"/>
      <c r="N305" s="2133">
        <f>SUM(N306:N308)</f>
        <v>0</v>
      </c>
      <c r="O305" s="2132">
        <f t="shared" ref="O305:AB305" si="54">SUM(O306:O308)</f>
        <v>0</v>
      </c>
      <c r="P305" s="1546">
        <f t="shared" si="54"/>
        <v>0</v>
      </c>
      <c r="Q305" s="2133">
        <f t="shared" si="54"/>
        <v>0</v>
      </c>
      <c r="R305" s="2132">
        <f t="shared" si="54"/>
        <v>0</v>
      </c>
      <c r="S305" s="2134">
        <f t="shared" si="54"/>
        <v>19607.874849388802</v>
      </c>
      <c r="T305" s="2133">
        <f t="shared" si="54"/>
        <v>0</v>
      </c>
      <c r="U305" s="2132">
        <f t="shared" si="54"/>
        <v>0</v>
      </c>
      <c r="V305" s="1546">
        <f t="shared" si="54"/>
        <v>19607.874849388802</v>
      </c>
      <c r="W305" s="2133">
        <f t="shared" si="54"/>
        <v>0</v>
      </c>
      <c r="X305" s="2132">
        <f t="shared" si="54"/>
        <v>0</v>
      </c>
      <c r="Y305" s="2134">
        <f t="shared" si="54"/>
        <v>56398.659023374836</v>
      </c>
      <c r="Z305" s="2133">
        <f t="shared" si="54"/>
        <v>0</v>
      </c>
      <c r="AA305" s="2132">
        <f t="shared" si="54"/>
        <v>0</v>
      </c>
      <c r="AB305" s="1546">
        <f t="shared" si="54"/>
        <v>67794.993484454433</v>
      </c>
      <c r="AC305" s="1544">
        <f>SUM(N305,Q305,T305,W305,Z305)</f>
        <v>0</v>
      </c>
      <c r="AD305" s="1545">
        <f>SUM(O305,R305,U305,X305,AA305)</f>
        <v>0</v>
      </c>
      <c r="AE305" s="1545">
        <f t="shared" si="52"/>
        <v>163409.40220660687</v>
      </c>
    </row>
    <row r="306" spans="2:31" ht="103.5">
      <c r="B306" s="1414" t="s">
        <v>92</v>
      </c>
      <c r="C306" s="1369" t="s">
        <v>15045</v>
      </c>
      <c r="D306" s="1479" t="s">
        <v>2165</v>
      </c>
      <c r="E306" s="2233"/>
      <c r="F306" s="2233"/>
      <c r="G306" s="2233"/>
      <c r="H306" s="2233"/>
      <c r="I306" s="2233"/>
      <c r="J306" s="2233"/>
      <c r="K306" s="2233"/>
      <c r="L306" s="2233"/>
      <c r="M306" s="2233"/>
      <c r="N306" s="2127"/>
      <c r="O306" s="2128"/>
      <c r="P306" s="1450">
        <f>Мероприятия_и_источники!$I$553</f>
        <v>0</v>
      </c>
      <c r="Q306" s="2127"/>
      <c r="R306" s="2128"/>
      <c r="S306" s="1450">
        <f>Мероприятия_и_источники!$J$553</f>
        <v>19607.874849388802</v>
      </c>
      <c r="T306" s="2127"/>
      <c r="U306" s="2128"/>
      <c r="V306" s="1441">
        <f>Мероприятия_и_источники!$K$553</f>
        <v>19607.874849388802</v>
      </c>
      <c r="W306" s="2127"/>
      <c r="X306" s="2128"/>
      <c r="Y306" s="1451">
        <f>Мероприятия_и_источники!$L$553</f>
        <v>0</v>
      </c>
      <c r="Z306" s="2127"/>
      <c r="AA306" s="2128"/>
      <c r="AB306" s="1441">
        <f>Мероприятия_и_источники!$M$553</f>
        <v>0</v>
      </c>
      <c r="AC306" s="2129">
        <v>0</v>
      </c>
      <c r="AD306" s="2130">
        <v>0</v>
      </c>
      <c r="AE306" s="2130">
        <f t="shared" si="52"/>
        <v>39215.749698777603</v>
      </c>
    </row>
    <row r="307" spans="2:31" ht="86.25">
      <c r="B307" s="1414" t="s">
        <v>14895</v>
      </c>
      <c r="C307" s="1879" t="s">
        <v>14963</v>
      </c>
      <c r="D307" s="1479" t="s">
        <v>2165</v>
      </c>
      <c r="E307" s="2233"/>
      <c r="F307" s="2233"/>
      <c r="G307" s="2233"/>
      <c r="H307" s="2233"/>
      <c r="I307" s="2233"/>
      <c r="J307" s="2233"/>
      <c r="K307" s="2233"/>
      <c r="L307" s="2233"/>
      <c r="M307" s="2233"/>
      <c r="N307" s="1542"/>
      <c r="O307" s="1543"/>
      <c r="P307" s="1440">
        <f>Мероприятия_и_источники!$I$557</f>
        <v>0</v>
      </c>
      <c r="Q307" s="1542"/>
      <c r="R307" s="1543"/>
      <c r="S307" s="1450">
        <f>Мероприятия_и_источники!$J$557</f>
        <v>0</v>
      </c>
      <c r="T307" s="1542"/>
      <c r="U307" s="1543"/>
      <c r="V307" s="1450">
        <f>Мероприятия_и_источники!K557</f>
        <v>0</v>
      </c>
      <c r="W307" s="1542"/>
      <c r="X307" s="1543"/>
      <c r="Y307" s="1450">
        <f>Мероприятия_и_источники!$L$557</f>
        <v>54416.912320112686</v>
      </c>
      <c r="Z307" s="1542"/>
      <c r="AA307" s="1543"/>
      <c r="AB307" s="1440">
        <f>Мероприятия_и_источники!$M$557</f>
        <v>0</v>
      </c>
      <c r="AC307" s="1544">
        <v>0</v>
      </c>
      <c r="AD307" s="1545">
        <v>0</v>
      </c>
      <c r="AE307" s="1545">
        <f t="shared" si="52"/>
        <v>54416.912320112686</v>
      </c>
    </row>
    <row r="308" spans="2:31" ht="52.5" thickBot="1">
      <c r="B308" s="2101" t="s">
        <v>14896</v>
      </c>
      <c r="C308" s="2591" t="s">
        <v>14961</v>
      </c>
      <c r="D308" s="2103" t="s">
        <v>2165</v>
      </c>
      <c r="E308" s="2592"/>
      <c r="F308" s="2592"/>
      <c r="G308" s="2592"/>
      <c r="H308" s="2592"/>
      <c r="I308" s="2592"/>
      <c r="J308" s="2592"/>
      <c r="K308" s="2592"/>
      <c r="L308" s="2592"/>
      <c r="M308" s="2592"/>
      <c r="N308" s="1640"/>
      <c r="O308" s="1641"/>
      <c r="P308" s="1642">
        <f>Мероприятия_и_источники!$I$561</f>
        <v>0</v>
      </c>
      <c r="Q308" s="1640"/>
      <c r="R308" s="1641"/>
      <c r="S308" s="1450">
        <f>Мероприятия_и_источники!$J$561</f>
        <v>0</v>
      </c>
      <c r="T308" s="1640"/>
      <c r="U308" s="1641"/>
      <c r="V308" s="1450">
        <f>Мероприятия_и_источники!K561/1000</f>
        <v>0</v>
      </c>
      <c r="W308" s="1640"/>
      <c r="X308" s="1641"/>
      <c r="Y308" s="1643">
        <f>Мероприятия_и_источники!L561</f>
        <v>1981.746703262153</v>
      </c>
      <c r="Z308" s="1640"/>
      <c r="AA308" s="1641"/>
      <c r="AB308" s="1642">
        <f>Мероприятия_и_источники!$M$561</f>
        <v>67794.993484454433</v>
      </c>
      <c r="AC308" s="1644">
        <v>0</v>
      </c>
      <c r="AD308" s="1645">
        <v>0</v>
      </c>
      <c r="AE308" s="1645">
        <f t="shared" si="52"/>
        <v>69776.740187716583</v>
      </c>
    </row>
  </sheetData>
  <mergeCells count="21">
    <mergeCell ref="C1:AB1"/>
    <mergeCell ref="E2:M2"/>
    <mergeCell ref="N2:P2"/>
    <mergeCell ref="Q2:S2"/>
    <mergeCell ref="T2:V2"/>
    <mergeCell ref="W2:Y2"/>
    <mergeCell ref="Z2:AB2"/>
    <mergeCell ref="H292:I292"/>
    <mergeCell ref="AC2:AE2"/>
    <mergeCell ref="N3:P3"/>
    <mergeCell ref="Q3:S3"/>
    <mergeCell ref="T3:V3"/>
    <mergeCell ref="W3:Y3"/>
    <mergeCell ref="Z3:AB3"/>
    <mergeCell ref="B275:L275"/>
    <mergeCell ref="B3:B4"/>
    <mergeCell ref="C3:C4"/>
    <mergeCell ref="D3:D4"/>
    <mergeCell ref="E3:G3"/>
    <mergeCell ref="H3:J3"/>
    <mergeCell ref="K3:M3"/>
  </mergeCells>
  <printOptions horizontalCentered="1"/>
  <pageMargins left="0" right="0" top="0.39370078740157483" bottom="0.39370078740157483" header="0.31496062992125984" footer="0.31496062992125984"/>
  <pageSetup paperSize="9" scale="35" fitToHeight="0" orientation="landscape" r:id="rId1"/>
  <rowBreaks count="1" manualBreakCount="1">
    <brk id="242" max="30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/>
  </sheetPr>
  <dimension ref="A1:AJ308"/>
  <sheetViews>
    <sheetView view="pageBreakPreview" zoomScale="60" zoomScaleNormal="80" workbookViewId="0">
      <pane ySplit="4" topLeftCell="A222" activePane="bottomLeft" state="frozen"/>
      <selection pane="bottomLeft" activeCell="N281" sqref="N281"/>
    </sheetView>
  </sheetViews>
  <sheetFormatPr defaultColWidth="8.28515625" defaultRowHeight="15.75" outlineLevelRow="2" outlineLevelCol="1"/>
  <cols>
    <col min="1" max="1" width="0.7109375" style="2218" customWidth="1"/>
    <col min="2" max="2" width="15.42578125" style="2218" customWidth="1"/>
    <col min="3" max="3" width="70.42578125" style="2219" customWidth="1"/>
    <col min="4" max="4" width="22" style="2584" customWidth="1"/>
    <col min="5" max="5" width="14.5703125" style="2219" hidden="1" customWidth="1" outlineLevel="1"/>
    <col min="6" max="6" width="14.140625" style="2219" hidden="1" customWidth="1" outlineLevel="1"/>
    <col min="7" max="7" width="14.42578125" style="2219" hidden="1" customWidth="1" outlineLevel="1"/>
    <col min="8" max="8" width="14.5703125" style="2219" hidden="1" customWidth="1" outlineLevel="1"/>
    <col min="9" max="9" width="14.140625" style="2219" hidden="1" customWidth="1" outlineLevel="1"/>
    <col min="10" max="10" width="14.42578125" style="2219" hidden="1" customWidth="1" outlineLevel="1"/>
    <col min="11" max="11" width="14.5703125" style="2219" hidden="1" customWidth="1" outlineLevel="1"/>
    <col min="12" max="12" width="14.140625" style="2219" hidden="1" customWidth="1" outlineLevel="1"/>
    <col min="13" max="13" width="14.42578125" style="2219" hidden="1" customWidth="1" outlineLevel="1"/>
    <col min="14" max="14" width="16.85546875" style="2219" bestFit="1" customWidth="1" collapsed="1"/>
    <col min="15" max="15" width="16.85546875" style="2219" bestFit="1" customWidth="1"/>
    <col min="16" max="16" width="15.5703125" style="2219" bestFit="1" customWidth="1"/>
    <col min="17" max="18" width="16.85546875" style="2219" bestFit="1" customWidth="1"/>
    <col min="19" max="19" width="15.5703125" style="2219" bestFit="1" customWidth="1"/>
    <col min="20" max="21" width="16.85546875" style="2219" bestFit="1" customWidth="1"/>
    <col min="22" max="22" width="15.5703125" style="2219" bestFit="1" customWidth="1"/>
    <col min="23" max="24" width="16.85546875" style="2219" bestFit="1" customWidth="1"/>
    <col min="25" max="25" width="15.5703125" style="2219" bestFit="1" customWidth="1"/>
    <col min="26" max="27" width="16.85546875" style="2219" bestFit="1" customWidth="1"/>
    <col min="28" max="28" width="15.5703125" style="2464" bestFit="1" customWidth="1"/>
    <col min="29" max="29" width="13.7109375" style="1547" bestFit="1" customWidth="1"/>
    <col min="30" max="30" width="13.85546875" style="1547" bestFit="1" customWidth="1"/>
    <col min="31" max="31" width="14.42578125" style="1547" customWidth="1"/>
    <col min="32" max="32" width="10.140625" customWidth="1"/>
    <col min="33" max="34" width="14" bestFit="1" customWidth="1"/>
    <col min="35" max="36" width="9.5703125" customWidth="1"/>
    <col min="257" max="257" width="0.7109375" customWidth="1"/>
    <col min="258" max="258" width="10.5703125" customWidth="1"/>
    <col min="259" max="259" width="46.42578125" customWidth="1"/>
    <col min="260" max="260" width="22" customWidth="1"/>
    <col min="261" max="269" width="0" hidden="1" customWidth="1"/>
    <col min="270" max="270" width="14.5703125" customWidth="1"/>
    <col min="271" max="271" width="16.85546875" bestFit="1" customWidth="1"/>
    <col min="272" max="272" width="14.42578125" customWidth="1"/>
    <col min="273" max="273" width="14.5703125" customWidth="1"/>
    <col min="274" max="274" width="16.85546875" bestFit="1" customWidth="1"/>
    <col min="275" max="275" width="14.42578125" bestFit="1" customWidth="1"/>
    <col min="276" max="276" width="14.5703125" customWidth="1"/>
    <col min="277" max="277" width="16.85546875" bestFit="1" customWidth="1"/>
    <col min="278" max="278" width="15.28515625" customWidth="1"/>
    <col min="279" max="279" width="14.5703125" customWidth="1"/>
    <col min="280" max="280" width="16.85546875" bestFit="1" customWidth="1"/>
    <col min="281" max="281" width="14.85546875" customWidth="1"/>
    <col min="282" max="282" width="14.5703125" customWidth="1"/>
    <col min="283" max="283" width="16.85546875" bestFit="1" customWidth="1"/>
    <col min="284" max="284" width="16" customWidth="1"/>
    <col min="285" max="285" width="13.7109375" bestFit="1" customWidth="1"/>
    <col min="286" max="286" width="13.85546875" bestFit="1" customWidth="1"/>
    <col min="287" max="287" width="14.42578125" customWidth="1"/>
    <col min="288" max="288" width="10.140625" customWidth="1"/>
    <col min="289" max="289" width="14" bestFit="1" customWidth="1"/>
    <col min="513" max="513" width="0.7109375" customWidth="1"/>
    <col min="514" max="514" width="10.5703125" customWidth="1"/>
    <col min="515" max="515" width="46.42578125" customWidth="1"/>
    <col min="516" max="516" width="22" customWidth="1"/>
    <col min="517" max="525" width="0" hidden="1" customWidth="1"/>
    <col min="526" max="526" width="14.5703125" customWidth="1"/>
    <col min="527" max="527" width="16.85546875" bestFit="1" customWidth="1"/>
    <col min="528" max="528" width="14.42578125" customWidth="1"/>
    <col min="529" max="529" width="14.5703125" customWidth="1"/>
    <col min="530" max="530" width="16.85546875" bestFit="1" customWidth="1"/>
    <col min="531" max="531" width="14.42578125" bestFit="1" customWidth="1"/>
    <col min="532" max="532" width="14.5703125" customWidth="1"/>
    <col min="533" max="533" width="16.85546875" bestFit="1" customWidth="1"/>
    <col min="534" max="534" width="15.28515625" customWidth="1"/>
    <col min="535" max="535" width="14.5703125" customWidth="1"/>
    <col min="536" max="536" width="16.85546875" bestFit="1" customWidth="1"/>
    <col min="537" max="537" width="14.85546875" customWidth="1"/>
    <col min="538" max="538" width="14.5703125" customWidth="1"/>
    <col min="539" max="539" width="16.85546875" bestFit="1" customWidth="1"/>
    <col min="540" max="540" width="16" customWidth="1"/>
    <col min="541" max="541" width="13.7109375" bestFit="1" customWidth="1"/>
    <col min="542" max="542" width="13.85546875" bestFit="1" customWidth="1"/>
    <col min="543" max="543" width="14.42578125" customWidth="1"/>
    <col min="544" max="544" width="10.140625" customWidth="1"/>
    <col min="545" max="545" width="14" bestFit="1" customWidth="1"/>
    <col min="769" max="769" width="0.7109375" customWidth="1"/>
    <col min="770" max="770" width="10.5703125" customWidth="1"/>
    <col min="771" max="771" width="46.42578125" customWidth="1"/>
    <col min="772" max="772" width="22" customWidth="1"/>
    <col min="773" max="781" width="0" hidden="1" customWidth="1"/>
    <col min="782" max="782" width="14.5703125" customWidth="1"/>
    <col min="783" max="783" width="16.85546875" bestFit="1" customWidth="1"/>
    <col min="784" max="784" width="14.42578125" customWidth="1"/>
    <col min="785" max="785" width="14.5703125" customWidth="1"/>
    <col min="786" max="786" width="16.85546875" bestFit="1" customWidth="1"/>
    <col min="787" max="787" width="14.42578125" bestFit="1" customWidth="1"/>
    <col min="788" max="788" width="14.5703125" customWidth="1"/>
    <col min="789" max="789" width="16.85546875" bestFit="1" customWidth="1"/>
    <col min="790" max="790" width="15.28515625" customWidth="1"/>
    <col min="791" max="791" width="14.5703125" customWidth="1"/>
    <col min="792" max="792" width="16.85546875" bestFit="1" customWidth="1"/>
    <col min="793" max="793" width="14.85546875" customWidth="1"/>
    <col min="794" max="794" width="14.5703125" customWidth="1"/>
    <col min="795" max="795" width="16.85546875" bestFit="1" customWidth="1"/>
    <col min="796" max="796" width="16" customWidth="1"/>
    <col min="797" max="797" width="13.7109375" bestFit="1" customWidth="1"/>
    <col min="798" max="798" width="13.85546875" bestFit="1" customWidth="1"/>
    <col min="799" max="799" width="14.42578125" customWidth="1"/>
    <col min="800" max="800" width="10.140625" customWidth="1"/>
    <col min="801" max="801" width="14" bestFit="1" customWidth="1"/>
    <col min="1025" max="1025" width="0.7109375" customWidth="1"/>
    <col min="1026" max="1026" width="10.5703125" customWidth="1"/>
    <col min="1027" max="1027" width="46.42578125" customWidth="1"/>
    <col min="1028" max="1028" width="22" customWidth="1"/>
    <col min="1029" max="1037" width="0" hidden="1" customWidth="1"/>
    <col min="1038" max="1038" width="14.5703125" customWidth="1"/>
    <col min="1039" max="1039" width="16.85546875" bestFit="1" customWidth="1"/>
    <col min="1040" max="1040" width="14.42578125" customWidth="1"/>
    <col min="1041" max="1041" width="14.5703125" customWidth="1"/>
    <col min="1042" max="1042" width="16.85546875" bestFit="1" customWidth="1"/>
    <col min="1043" max="1043" width="14.42578125" bestFit="1" customWidth="1"/>
    <col min="1044" max="1044" width="14.5703125" customWidth="1"/>
    <col min="1045" max="1045" width="16.85546875" bestFit="1" customWidth="1"/>
    <col min="1046" max="1046" width="15.28515625" customWidth="1"/>
    <col min="1047" max="1047" width="14.5703125" customWidth="1"/>
    <col min="1048" max="1048" width="16.85546875" bestFit="1" customWidth="1"/>
    <col min="1049" max="1049" width="14.85546875" customWidth="1"/>
    <col min="1050" max="1050" width="14.5703125" customWidth="1"/>
    <col min="1051" max="1051" width="16.85546875" bestFit="1" customWidth="1"/>
    <col min="1052" max="1052" width="16" customWidth="1"/>
    <col min="1053" max="1053" width="13.7109375" bestFit="1" customWidth="1"/>
    <col min="1054" max="1054" width="13.85546875" bestFit="1" customWidth="1"/>
    <col min="1055" max="1055" width="14.42578125" customWidth="1"/>
    <col min="1056" max="1056" width="10.140625" customWidth="1"/>
    <col min="1057" max="1057" width="14" bestFit="1" customWidth="1"/>
    <col min="1281" max="1281" width="0.7109375" customWidth="1"/>
    <col min="1282" max="1282" width="10.5703125" customWidth="1"/>
    <col min="1283" max="1283" width="46.42578125" customWidth="1"/>
    <col min="1284" max="1284" width="22" customWidth="1"/>
    <col min="1285" max="1293" width="0" hidden="1" customWidth="1"/>
    <col min="1294" max="1294" width="14.5703125" customWidth="1"/>
    <col min="1295" max="1295" width="16.85546875" bestFit="1" customWidth="1"/>
    <col min="1296" max="1296" width="14.42578125" customWidth="1"/>
    <col min="1297" max="1297" width="14.5703125" customWidth="1"/>
    <col min="1298" max="1298" width="16.85546875" bestFit="1" customWidth="1"/>
    <col min="1299" max="1299" width="14.42578125" bestFit="1" customWidth="1"/>
    <col min="1300" max="1300" width="14.5703125" customWidth="1"/>
    <col min="1301" max="1301" width="16.85546875" bestFit="1" customWidth="1"/>
    <col min="1302" max="1302" width="15.28515625" customWidth="1"/>
    <col min="1303" max="1303" width="14.5703125" customWidth="1"/>
    <col min="1304" max="1304" width="16.85546875" bestFit="1" customWidth="1"/>
    <col min="1305" max="1305" width="14.85546875" customWidth="1"/>
    <col min="1306" max="1306" width="14.5703125" customWidth="1"/>
    <col min="1307" max="1307" width="16.85546875" bestFit="1" customWidth="1"/>
    <col min="1308" max="1308" width="16" customWidth="1"/>
    <col min="1309" max="1309" width="13.7109375" bestFit="1" customWidth="1"/>
    <col min="1310" max="1310" width="13.85546875" bestFit="1" customWidth="1"/>
    <col min="1311" max="1311" width="14.42578125" customWidth="1"/>
    <col min="1312" max="1312" width="10.140625" customWidth="1"/>
    <col min="1313" max="1313" width="14" bestFit="1" customWidth="1"/>
    <col min="1537" max="1537" width="0.7109375" customWidth="1"/>
    <col min="1538" max="1538" width="10.5703125" customWidth="1"/>
    <col min="1539" max="1539" width="46.42578125" customWidth="1"/>
    <col min="1540" max="1540" width="22" customWidth="1"/>
    <col min="1541" max="1549" width="0" hidden="1" customWidth="1"/>
    <col min="1550" max="1550" width="14.5703125" customWidth="1"/>
    <col min="1551" max="1551" width="16.85546875" bestFit="1" customWidth="1"/>
    <col min="1552" max="1552" width="14.42578125" customWidth="1"/>
    <col min="1553" max="1553" width="14.5703125" customWidth="1"/>
    <col min="1554" max="1554" width="16.85546875" bestFit="1" customWidth="1"/>
    <col min="1555" max="1555" width="14.42578125" bestFit="1" customWidth="1"/>
    <col min="1556" max="1556" width="14.5703125" customWidth="1"/>
    <col min="1557" max="1557" width="16.85546875" bestFit="1" customWidth="1"/>
    <col min="1558" max="1558" width="15.28515625" customWidth="1"/>
    <col min="1559" max="1559" width="14.5703125" customWidth="1"/>
    <col min="1560" max="1560" width="16.85546875" bestFit="1" customWidth="1"/>
    <col min="1561" max="1561" width="14.85546875" customWidth="1"/>
    <col min="1562" max="1562" width="14.5703125" customWidth="1"/>
    <col min="1563" max="1563" width="16.85546875" bestFit="1" customWidth="1"/>
    <col min="1564" max="1564" width="16" customWidth="1"/>
    <col min="1565" max="1565" width="13.7109375" bestFit="1" customWidth="1"/>
    <col min="1566" max="1566" width="13.85546875" bestFit="1" customWidth="1"/>
    <col min="1567" max="1567" width="14.42578125" customWidth="1"/>
    <col min="1568" max="1568" width="10.140625" customWidth="1"/>
    <col min="1569" max="1569" width="14" bestFit="1" customWidth="1"/>
    <col min="1793" max="1793" width="0.7109375" customWidth="1"/>
    <col min="1794" max="1794" width="10.5703125" customWidth="1"/>
    <col min="1795" max="1795" width="46.42578125" customWidth="1"/>
    <col min="1796" max="1796" width="22" customWidth="1"/>
    <col min="1797" max="1805" width="0" hidden="1" customWidth="1"/>
    <col min="1806" max="1806" width="14.5703125" customWidth="1"/>
    <col min="1807" max="1807" width="16.85546875" bestFit="1" customWidth="1"/>
    <col min="1808" max="1808" width="14.42578125" customWidth="1"/>
    <col min="1809" max="1809" width="14.5703125" customWidth="1"/>
    <col min="1810" max="1810" width="16.85546875" bestFit="1" customWidth="1"/>
    <col min="1811" max="1811" width="14.42578125" bestFit="1" customWidth="1"/>
    <col min="1812" max="1812" width="14.5703125" customWidth="1"/>
    <col min="1813" max="1813" width="16.85546875" bestFit="1" customWidth="1"/>
    <col min="1814" max="1814" width="15.28515625" customWidth="1"/>
    <col min="1815" max="1815" width="14.5703125" customWidth="1"/>
    <col min="1816" max="1816" width="16.85546875" bestFit="1" customWidth="1"/>
    <col min="1817" max="1817" width="14.85546875" customWidth="1"/>
    <col min="1818" max="1818" width="14.5703125" customWidth="1"/>
    <col min="1819" max="1819" width="16.85546875" bestFit="1" customWidth="1"/>
    <col min="1820" max="1820" width="16" customWidth="1"/>
    <col min="1821" max="1821" width="13.7109375" bestFit="1" customWidth="1"/>
    <col min="1822" max="1822" width="13.85546875" bestFit="1" customWidth="1"/>
    <col min="1823" max="1823" width="14.42578125" customWidth="1"/>
    <col min="1824" max="1824" width="10.140625" customWidth="1"/>
    <col min="1825" max="1825" width="14" bestFit="1" customWidth="1"/>
    <col min="2049" max="2049" width="0.7109375" customWidth="1"/>
    <col min="2050" max="2050" width="10.5703125" customWidth="1"/>
    <col min="2051" max="2051" width="46.42578125" customWidth="1"/>
    <col min="2052" max="2052" width="22" customWidth="1"/>
    <col min="2053" max="2061" width="0" hidden="1" customWidth="1"/>
    <col min="2062" max="2062" width="14.5703125" customWidth="1"/>
    <col min="2063" max="2063" width="16.85546875" bestFit="1" customWidth="1"/>
    <col min="2064" max="2064" width="14.42578125" customWidth="1"/>
    <col min="2065" max="2065" width="14.5703125" customWidth="1"/>
    <col min="2066" max="2066" width="16.85546875" bestFit="1" customWidth="1"/>
    <col min="2067" max="2067" width="14.42578125" bestFit="1" customWidth="1"/>
    <col min="2068" max="2068" width="14.5703125" customWidth="1"/>
    <col min="2069" max="2069" width="16.85546875" bestFit="1" customWidth="1"/>
    <col min="2070" max="2070" width="15.28515625" customWidth="1"/>
    <col min="2071" max="2071" width="14.5703125" customWidth="1"/>
    <col min="2072" max="2072" width="16.85546875" bestFit="1" customWidth="1"/>
    <col min="2073" max="2073" width="14.85546875" customWidth="1"/>
    <col min="2074" max="2074" width="14.5703125" customWidth="1"/>
    <col min="2075" max="2075" width="16.85546875" bestFit="1" customWidth="1"/>
    <col min="2076" max="2076" width="16" customWidth="1"/>
    <col min="2077" max="2077" width="13.7109375" bestFit="1" customWidth="1"/>
    <col min="2078" max="2078" width="13.85546875" bestFit="1" customWidth="1"/>
    <col min="2079" max="2079" width="14.42578125" customWidth="1"/>
    <col min="2080" max="2080" width="10.140625" customWidth="1"/>
    <col min="2081" max="2081" width="14" bestFit="1" customWidth="1"/>
    <col min="2305" max="2305" width="0.7109375" customWidth="1"/>
    <col min="2306" max="2306" width="10.5703125" customWidth="1"/>
    <col min="2307" max="2307" width="46.42578125" customWidth="1"/>
    <col min="2308" max="2308" width="22" customWidth="1"/>
    <col min="2309" max="2317" width="0" hidden="1" customWidth="1"/>
    <col min="2318" max="2318" width="14.5703125" customWidth="1"/>
    <col min="2319" max="2319" width="16.85546875" bestFit="1" customWidth="1"/>
    <col min="2320" max="2320" width="14.42578125" customWidth="1"/>
    <col min="2321" max="2321" width="14.5703125" customWidth="1"/>
    <col min="2322" max="2322" width="16.85546875" bestFit="1" customWidth="1"/>
    <col min="2323" max="2323" width="14.42578125" bestFit="1" customWidth="1"/>
    <col min="2324" max="2324" width="14.5703125" customWidth="1"/>
    <col min="2325" max="2325" width="16.85546875" bestFit="1" customWidth="1"/>
    <col min="2326" max="2326" width="15.28515625" customWidth="1"/>
    <col min="2327" max="2327" width="14.5703125" customWidth="1"/>
    <col min="2328" max="2328" width="16.85546875" bestFit="1" customWidth="1"/>
    <col min="2329" max="2329" width="14.85546875" customWidth="1"/>
    <col min="2330" max="2330" width="14.5703125" customWidth="1"/>
    <col min="2331" max="2331" width="16.85546875" bestFit="1" customWidth="1"/>
    <col min="2332" max="2332" width="16" customWidth="1"/>
    <col min="2333" max="2333" width="13.7109375" bestFit="1" customWidth="1"/>
    <col min="2334" max="2334" width="13.85546875" bestFit="1" customWidth="1"/>
    <col min="2335" max="2335" width="14.42578125" customWidth="1"/>
    <col min="2336" max="2336" width="10.140625" customWidth="1"/>
    <col min="2337" max="2337" width="14" bestFit="1" customWidth="1"/>
    <col min="2561" max="2561" width="0.7109375" customWidth="1"/>
    <col min="2562" max="2562" width="10.5703125" customWidth="1"/>
    <col min="2563" max="2563" width="46.42578125" customWidth="1"/>
    <col min="2564" max="2564" width="22" customWidth="1"/>
    <col min="2565" max="2573" width="0" hidden="1" customWidth="1"/>
    <col min="2574" max="2574" width="14.5703125" customWidth="1"/>
    <col min="2575" max="2575" width="16.85546875" bestFit="1" customWidth="1"/>
    <col min="2576" max="2576" width="14.42578125" customWidth="1"/>
    <col min="2577" max="2577" width="14.5703125" customWidth="1"/>
    <col min="2578" max="2578" width="16.85546875" bestFit="1" customWidth="1"/>
    <col min="2579" max="2579" width="14.42578125" bestFit="1" customWidth="1"/>
    <col min="2580" max="2580" width="14.5703125" customWidth="1"/>
    <col min="2581" max="2581" width="16.85546875" bestFit="1" customWidth="1"/>
    <col min="2582" max="2582" width="15.28515625" customWidth="1"/>
    <col min="2583" max="2583" width="14.5703125" customWidth="1"/>
    <col min="2584" max="2584" width="16.85546875" bestFit="1" customWidth="1"/>
    <col min="2585" max="2585" width="14.85546875" customWidth="1"/>
    <col min="2586" max="2586" width="14.5703125" customWidth="1"/>
    <col min="2587" max="2587" width="16.85546875" bestFit="1" customWidth="1"/>
    <col min="2588" max="2588" width="16" customWidth="1"/>
    <col min="2589" max="2589" width="13.7109375" bestFit="1" customWidth="1"/>
    <col min="2590" max="2590" width="13.85546875" bestFit="1" customWidth="1"/>
    <col min="2591" max="2591" width="14.42578125" customWidth="1"/>
    <col min="2592" max="2592" width="10.140625" customWidth="1"/>
    <col min="2593" max="2593" width="14" bestFit="1" customWidth="1"/>
    <col min="2817" max="2817" width="0.7109375" customWidth="1"/>
    <col min="2818" max="2818" width="10.5703125" customWidth="1"/>
    <col min="2819" max="2819" width="46.42578125" customWidth="1"/>
    <col min="2820" max="2820" width="22" customWidth="1"/>
    <col min="2821" max="2829" width="0" hidden="1" customWidth="1"/>
    <col min="2830" max="2830" width="14.5703125" customWidth="1"/>
    <col min="2831" max="2831" width="16.85546875" bestFit="1" customWidth="1"/>
    <col min="2832" max="2832" width="14.42578125" customWidth="1"/>
    <col min="2833" max="2833" width="14.5703125" customWidth="1"/>
    <col min="2834" max="2834" width="16.85546875" bestFit="1" customWidth="1"/>
    <col min="2835" max="2835" width="14.42578125" bestFit="1" customWidth="1"/>
    <col min="2836" max="2836" width="14.5703125" customWidth="1"/>
    <col min="2837" max="2837" width="16.85546875" bestFit="1" customWidth="1"/>
    <col min="2838" max="2838" width="15.28515625" customWidth="1"/>
    <col min="2839" max="2839" width="14.5703125" customWidth="1"/>
    <col min="2840" max="2840" width="16.85546875" bestFit="1" customWidth="1"/>
    <col min="2841" max="2841" width="14.85546875" customWidth="1"/>
    <col min="2842" max="2842" width="14.5703125" customWidth="1"/>
    <col min="2843" max="2843" width="16.85546875" bestFit="1" customWidth="1"/>
    <col min="2844" max="2844" width="16" customWidth="1"/>
    <col min="2845" max="2845" width="13.7109375" bestFit="1" customWidth="1"/>
    <col min="2846" max="2846" width="13.85546875" bestFit="1" customWidth="1"/>
    <col min="2847" max="2847" width="14.42578125" customWidth="1"/>
    <col min="2848" max="2848" width="10.140625" customWidth="1"/>
    <col min="2849" max="2849" width="14" bestFit="1" customWidth="1"/>
    <col min="3073" max="3073" width="0.7109375" customWidth="1"/>
    <col min="3074" max="3074" width="10.5703125" customWidth="1"/>
    <col min="3075" max="3075" width="46.42578125" customWidth="1"/>
    <col min="3076" max="3076" width="22" customWidth="1"/>
    <col min="3077" max="3085" width="0" hidden="1" customWidth="1"/>
    <col min="3086" max="3086" width="14.5703125" customWidth="1"/>
    <col min="3087" max="3087" width="16.85546875" bestFit="1" customWidth="1"/>
    <col min="3088" max="3088" width="14.42578125" customWidth="1"/>
    <col min="3089" max="3089" width="14.5703125" customWidth="1"/>
    <col min="3090" max="3090" width="16.85546875" bestFit="1" customWidth="1"/>
    <col min="3091" max="3091" width="14.42578125" bestFit="1" customWidth="1"/>
    <col min="3092" max="3092" width="14.5703125" customWidth="1"/>
    <col min="3093" max="3093" width="16.85546875" bestFit="1" customWidth="1"/>
    <col min="3094" max="3094" width="15.28515625" customWidth="1"/>
    <col min="3095" max="3095" width="14.5703125" customWidth="1"/>
    <col min="3096" max="3096" width="16.85546875" bestFit="1" customWidth="1"/>
    <col min="3097" max="3097" width="14.85546875" customWidth="1"/>
    <col min="3098" max="3098" width="14.5703125" customWidth="1"/>
    <col min="3099" max="3099" width="16.85546875" bestFit="1" customWidth="1"/>
    <col min="3100" max="3100" width="16" customWidth="1"/>
    <col min="3101" max="3101" width="13.7109375" bestFit="1" customWidth="1"/>
    <col min="3102" max="3102" width="13.85546875" bestFit="1" customWidth="1"/>
    <col min="3103" max="3103" width="14.42578125" customWidth="1"/>
    <col min="3104" max="3104" width="10.140625" customWidth="1"/>
    <col min="3105" max="3105" width="14" bestFit="1" customWidth="1"/>
    <col min="3329" max="3329" width="0.7109375" customWidth="1"/>
    <col min="3330" max="3330" width="10.5703125" customWidth="1"/>
    <col min="3331" max="3331" width="46.42578125" customWidth="1"/>
    <col min="3332" max="3332" width="22" customWidth="1"/>
    <col min="3333" max="3341" width="0" hidden="1" customWidth="1"/>
    <col min="3342" max="3342" width="14.5703125" customWidth="1"/>
    <col min="3343" max="3343" width="16.85546875" bestFit="1" customWidth="1"/>
    <col min="3344" max="3344" width="14.42578125" customWidth="1"/>
    <col min="3345" max="3345" width="14.5703125" customWidth="1"/>
    <col min="3346" max="3346" width="16.85546875" bestFit="1" customWidth="1"/>
    <col min="3347" max="3347" width="14.42578125" bestFit="1" customWidth="1"/>
    <col min="3348" max="3348" width="14.5703125" customWidth="1"/>
    <col min="3349" max="3349" width="16.85546875" bestFit="1" customWidth="1"/>
    <col min="3350" max="3350" width="15.28515625" customWidth="1"/>
    <col min="3351" max="3351" width="14.5703125" customWidth="1"/>
    <col min="3352" max="3352" width="16.85546875" bestFit="1" customWidth="1"/>
    <col min="3353" max="3353" width="14.85546875" customWidth="1"/>
    <col min="3354" max="3354" width="14.5703125" customWidth="1"/>
    <col min="3355" max="3355" width="16.85546875" bestFit="1" customWidth="1"/>
    <col min="3356" max="3356" width="16" customWidth="1"/>
    <col min="3357" max="3357" width="13.7109375" bestFit="1" customWidth="1"/>
    <col min="3358" max="3358" width="13.85546875" bestFit="1" customWidth="1"/>
    <col min="3359" max="3359" width="14.42578125" customWidth="1"/>
    <col min="3360" max="3360" width="10.140625" customWidth="1"/>
    <col min="3361" max="3361" width="14" bestFit="1" customWidth="1"/>
    <col min="3585" max="3585" width="0.7109375" customWidth="1"/>
    <col min="3586" max="3586" width="10.5703125" customWidth="1"/>
    <col min="3587" max="3587" width="46.42578125" customWidth="1"/>
    <col min="3588" max="3588" width="22" customWidth="1"/>
    <col min="3589" max="3597" width="0" hidden="1" customWidth="1"/>
    <col min="3598" max="3598" width="14.5703125" customWidth="1"/>
    <col min="3599" max="3599" width="16.85546875" bestFit="1" customWidth="1"/>
    <col min="3600" max="3600" width="14.42578125" customWidth="1"/>
    <col min="3601" max="3601" width="14.5703125" customWidth="1"/>
    <col min="3602" max="3602" width="16.85546875" bestFit="1" customWidth="1"/>
    <col min="3603" max="3603" width="14.42578125" bestFit="1" customWidth="1"/>
    <col min="3604" max="3604" width="14.5703125" customWidth="1"/>
    <col min="3605" max="3605" width="16.85546875" bestFit="1" customWidth="1"/>
    <col min="3606" max="3606" width="15.28515625" customWidth="1"/>
    <col min="3607" max="3607" width="14.5703125" customWidth="1"/>
    <col min="3608" max="3608" width="16.85546875" bestFit="1" customWidth="1"/>
    <col min="3609" max="3609" width="14.85546875" customWidth="1"/>
    <col min="3610" max="3610" width="14.5703125" customWidth="1"/>
    <col min="3611" max="3611" width="16.85546875" bestFit="1" customWidth="1"/>
    <col min="3612" max="3612" width="16" customWidth="1"/>
    <col min="3613" max="3613" width="13.7109375" bestFit="1" customWidth="1"/>
    <col min="3614" max="3614" width="13.85546875" bestFit="1" customWidth="1"/>
    <col min="3615" max="3615" width="14.42578125" customWidth="1"/>
    <col min="3616" max="3616" width="10.140625" customWidth="1"/>
    <col min="3617" max="3617" width="14" bestFit="1" customWidth="1"/>
    <col min="3841" max="3841" width="0.7109375" customWidth="1"/>
    <col min="3842" max="3842" width="10.5703125" customWidth="1"/>
    <col min="3843" max="3843" width="46.42578125" customWidth="1"/>
    <col min="3844" max="3844" width="22" customWidth="1"/>
    <col min="3845" max="3853" width="0" hidden="1" customWidth="1"/>
    <col min="3854" max="3854" width="14.5703125" customWidth="1"/>
    <col min="3855" max="3855" width="16.85546875" bestFit="1" customWidth="1"/>
    <col min="3856" max="3856" width="14.42578125" customWidth="1"/>
    <col min="3857" max="3857" width="14.5703125" customWidth="1"/>
    <col min="3858" max="3858" width="16.85546875" bestFit="1" customWidth="1"/>
    <col min="3859" max="3859" width="14.42578125" bestFit="1" customWidth="1"/>
    <col min="3860" max="3860" width="14.5703125" customWidth="1"/>
    <col min="3861" max="3861" width="16.85546875" bestFit="1" customWidth="1"/>
    <col min="3862" max="3862" width="15.28515625" customWidth="1"/>
    <col min="3863" max="3863" width="14.5703125" customWidth="1"/>
    <col min="3864" max="3864" width="16.85546875" bestFit="1" customWidth="1"/>
    <col min="3865" max="3865" width="14.85546875" customWidth="1"/>
    <col min="3866" max="3866" width="14.5703125" customWidth="1"/>
    <col min="3867" max="3867" width="16.85546875" bestFit="1" customWidth="1"/>
    <col min="3868" max="3868" width="16" customWidth="1"/>
    <col min="3869" max="3869" width="13.7109375" bestFit="1" customWidth="1"/>
    <col min="3870" max="3870" width="13.85546875" bestFit="1" customWidth="1"/>
    <col min="3871" max="3871" width="14.42578125" customWidth="1"/>
    <col min="3872" max="3872" width="10.140625" customWidth="1"/>
    <col min="3873" max="3873" width="14" bestFit="1" customWidth="1"/>
    <col min="4097" max="4097" width="0.7109375" customWidth="1"/>
    <col min="4098" max="4098" width="10.5703125" customWidth="1"/>
    <col min="4099" max="4099" width="46.42578125" customWidth="1"/>
    <col min="4100" max="4100" width="22" customWidth="1"/>
    <col min="4101" max="4109" width="0" hidden="1" customWidth="1"/>
    <col min="4110" max="4110" width="14.5703125" customWidth="1"/>
    <col min="4111" max="4111" width="16.85546875" bestFit="1" customWidth="1"/>
    <col min="4112" max="4112" width="14.42578125" customWidth="1"/>
    <col min="4113" max="4113" width="14.5703125" customWidth="1"/>
    <col min="4114" max="4114" width="16.85546875" bestFit="1" customWidth="1"/>
    <col min="4115" max="4115" width="14.42578125" bestFit="1" customWidth="1"/>
    <col min="4116" max="4116" width="14.5703125" customWidth="1"/>
    <col min="4117" max="4117" width="16.85546875" bestFit="1" customWidth="1"/>
    <col min="4118" max="4118" width="15.28515625" customWidth="1"/>
    <col min="4119" max="4119" width="14.5703125" customWidth="1"/>
    <col min="4120" max="4120" width="16.85546875" bestFit="1" customWidth="1"/>
    <col min="4121" max="4121" width="14.85546875" customWidth="1"/>
    <col min="4122" max="4122" width="14.5703125" customWidth="1"/>
    <col min="4123" max="4123" width="16.85546875" bestFit="1" customWidth="1"/>
    <col min="4124" max="4124" width="16" customWidth="1"/>
    <col min="4125" max="4125" width="13.7109375" bestFit="1" customWidth="1"/>
    <col min="4126" max="4126" width="13.85546875" bestFit="1" customWidth="1"/>
    <col min="4127" max="4127" width="14.42578125" customWidth="1"/>
    <col min="4128" max="4128" width="10.140625" customWidth="1"/>
    <col min="4129" max="4129" width="14" bestFit="1" customWidth="1"/>
    <col min="4353" max="4353" width="0.7109375" customWidth="1"/>
    <col min="4354" max="4354" width="10.5703125" customWidth="1"/>
    <col min="4355" max="4355" width="46.42578125" customWidth="1"/>
    <col min="4356" max="4356" width="22" customWidth="1"/>
    <col min="4357" max="4365" width="0" hidden="1" customWidth="1"/>
    <col min="4366" max="4366" width="14.5703125" customWidth="1"/>
    <col min="4367" max="4367" width="16.85546875" bestFit="1" customWidth="1"/>
    <col min="4368" max="4368" width="14.42578125" customWidth="1"/>
    <col min="4369" max="4369" width="14.5703125" customWidth="1"/>
    <col min="4370" max="4370" width="16.85546875" bestFit="1" customWidth="1"/>
    <col min="4371" max="4371" width="14.42578125" bestFit="1" customWidth="1"/>
    <col min="4372" max="4372" width="14.5703125" customWidth="1"/>
    <col min="4373" max="4373" width="16.85546875" bestFit="1" customWidth="1"/>
    <col min="4374" max="4374" width="15.28515625" customWidth="1"/>
    <col min="4375" max="4375" width="14.5703125" customWidth="1"/>
    <col min="4376" max="4376" width="16.85546875" bestFit="1" customWidth="1"/>
    <col min="4377" max="4377" width="14.85546875" customWidth="1"/>
    <col min="4378" max="4378" width="14.5703125" customWidth="1"/>
    <col min="4379" max="4379" width="16.85546875" bestFit="1" customWidth="1"/>
    <col min="4380" max="4380" width="16" customWidth="1"/>
    <col min="4381" max="4381" width="13.7109375" bestFit="1" customWidth="1"/>
    <col min="4382" max="4382" width="13.85546875" bestFit="1" customWidth="1"/>
    <col min="4383" max="4383" width="14.42578125" customWidth="1"/>
    <col min="4384" max="4384" width="10.140625" customWidth="1"/>
    <col min="4385" max="4385" width="14" bestFit="1" customWidth="1"/>
    <col min="4609" max="4609" width="0.7109375" customWidth="1"/>
    <col min="4610" max="4610" width="10.5703125" customWidth="1"/>
    <col min="4611" max="4611" width="46.42578125" customWidth="1"/>
    <col min="4612" max="4612" width="22" customWidth="1"/>
    <col min="4613" max="4621" width="0" hidden="1" customWidth="1"/>
    <col min="4622" max="4622" width="14.5703125" customWidth="1"/>
    <col min="4623" max="4623" width="16.85546875" bestFit="1" customWidth="1"/>
    <col min="4624" max="4624" width="14.42578125" customWidth="1"/>
    <col min="4625" max="4625" width="14.5703125" customWidth="1"/>
    <col min="4626" max="4626" width="16.85546875" bestFit="1" customWidth="1"/>
    <col min="4627" max="4627" width="14.42578125" bestFit="1" customWidth="1"/>
    <col min="4628" max="4628" width="14.5703125" customWidth="1"/>
    <col min="4629" max="4629" width="16.85546875" bestFit="1" customWidth="1"/>
    <col min="4630" max="4630" width="15.28515625" customWidth="1"/>
    <col min="4631" max="4631" width="14.5703125" customWidth="1"/>
    <col min="4632" max="4632" width="16.85546875" bestFit="1" customWidth="1"/>
    <col min="4633" max="4633" width="14.85546875" customWidth="1"/>
    <col min="4634" max="4634" width="14.5703125" customWidth="1"/>
    <col min="4635" max="4635" width="16.85546875" bestFit="1" customWidth="1"/>
    <col min="4636" max="4636" width="16" customWidth="1"/>
    <col min="4637" max="4637" width="13.7109375" bestFit="1" customWidth="1"/>
    <col min="4638" max="4638" width="13.85546875" bestFit="1" customWidth="1"/>
    <col min="4639" max="4639" width="14.42578125" customWidth="1"/>
    <col min="4640" max="4640" width="10.140625" customWidth="1"/>
    <col min="4641" max="4641" width="14" bestFit="1" customWidth="1"/>
    <col min="4865" max="4865" width="0.7109375" customWidth="1"/>
    <col min="4866" max="4866" width="10.5703125" customWidth="1"/>
    <col min="4867" max="4867" width="46.42578125" customWidth="1"/>
    <col min="4868" max="4868" width="22" customWidth="1"/>
    <col min="4869" max="4877" width="0" hidden="1" customWidth="1"/>
    <col min="4878" max="4878" width="14.5703125" customWidth="1"/>
    <col min="4879" max="4879" width="16.85546875" bestFit="1" customWidth="1"/>
    <col min="4880" max="4880" width="14.42578125" customWidth="1"/>
    <col min="4881" max="4881" width="14.5703125" customWidth="1"/>
    <col min="4882" max="4882" width="16.85546875" bestFit="1" customWidth="1"/>
    <col min="4883" max="4883" width="14.42578125" bestFit="1" customWidth="1"/>
    <col min="4884" max="4884" width="14.5703125" customWidth="1"/>
    <col min="4885" max="4885" width="16.85546875" bestFit="1" customWidth="1"/>
    <col min="4886" max="4886" width="15.28515625" customWidth="1"/>
    <col min="4887" max="4887" width="14.5703125" customWidth="1"/>
    <col min="4888" max="4888" width="16.85546875" bestFit="1" customWidth="1"/>
    <col min="4889" max="4889" width="14.85546875" customWidth="1"/>
    <col min="4890" max="4890" width="14.5703125" customWidth="1"/>
    <col min="4891" max="4891" width="16.85546875" bestFit="1" customWidth="1"/>
    <col min="4892" max="4892" width="16" customWidth="1"/>
    <col min="4893" max="4893" width="13.7109375" bestFit="1" customWidth="1"/>
    <col min="4894" max="4894" width="13.85546875" bestFit="1" customWidth="1"/>
    <col min="4895" max="4895" width="14.42578125" customWidth="1"/>
    <col min="4896" max="4896" width="10.140625" customWidth="1"/>
    <col min="4897" max="4897" width="14" bestFit="1" customWidth="1"/>
    <col min="5121" max="5121" width="0.7109375" customWidth="1"/>
    <col min="5122" max="5122" width="10.5703125" customWidth="1"/>
    <col min="5123" max="5123" width="46.42578125" customWidth="1"/>
    <col min="5124" max="5124" width="22" customWidth="1"/>
    <col min="5125" max="5133" width="0" hidden="1" customWidth="1"/>
    <col min="5134" max="5134" width="14.5703125" customWidth="1"/>
    <col min="5135" max="5135" width="16.85546875" bestFit="1" customWidth="1"/>
    <col min="5136" max="5136" width="14.42578125" customWidth="1"/>
    <col min="5137" max="5137" width="14.5703125" customWidth="1"/>
    <col min="5138" max="5138" width="16.85546875" bestFit="1" customWidth="1"/>
    <col min="5139" max="5139" width="14.42578125" bestFit="1" customWidth="1"/>
    <col min="5140" max="5140" width="14.5703125" customWidth="1"/>
    <col min="5141" max="5141" width="16.85546875" bestFit="1" customWidth="1"/>
    <col min="5142" max="5142" width="15.28515625" customWidth="1"/>
    <col min="5143" max="5143" width="14.5703125" customWidth="1"/>
    <col min="5144" max="5144" width="16.85546875" bestFit="1" customWidth="1"/>
    <col min="5145" max="5145" width="14.85546875" customWidth="1"/>
    <col min="5146" max="5146" width="14.5703125" customWidth="1"/>
    <col min="5147" max="5147" width="16.85546875" bestFit="1" customWidth="1"/>
    <col min="5148" max="5148" width="16" customWidth="1"/>
    <col min="5149" max="5149" width="13.7109375" bestFit="1" customWidth="1"/>
    <col min="5150" max="5150" width="13.85546875" bestFit="1" customWidth="1"/>
    <col min="5151" max="5151" width="14.42578125" customWidth="1"/>
    <col min="5152" max="5152" width="10.140625" customWidth="1"/>
    <col min="5153" max="5153" width="14" bestFit="1" customWidth="1"/>
    <col min="5377" max="5377" width="0.7109375" customWidth="1"/>
    <col min="5378" max="5378" width="10.5703125" customWidth="1"/>
    <col min="5379" max="5379" width="46.42578125" customWidth="1"/>
    <col min="5380" max="5380" width="22" customWidth="1"/>
    <col min="5381" max="5389" width="0" hidden="1" customWidth="1"/>
    <col min="5390" max="5390" width="14.5703125" customWidth="1"/>
    <col min="5391" max="5391" width="16.85546875" bestFit="1" customWidth="1"/>
    <col min="5392" max="5392" width="14.42578125" customWidth="1"/>
    <col min="5393" max="5393" width="14.5703125" customWidth="1"/>
    <col min="5394" max="5394" width="16.85546875" bestFit="1" customWidth="1"/>
    <col min="5395" max="5395" width="14.42578125" bestFit="1" customWidth="1"/>
    <col min="5396" max="5396" width="14.5703125" customWidth="1"/>
    <col min="5397" max="5397" width="16.85546875" bestFit="1" customWidth="1"/>
    <col min="5398" max="5398" width="15.28515625" customWidth="1"/>
    <col min="5399" max="5399" width="14.5703125" customWidth="1"/>
    <col min="5400" max="5400" width="16.85546875" bestFit="1" customWidth="1"/>
    <col min="5401" max="5401" width="14.85546875" customWidth="1"/>
    <col min="5402" max="5402" width="14.5703125" customWidth="1"/>
    <col min="5403" max="5403" width="16.85546875" bestFit="1" customWidth="1"/>
    <col min="5404" max="5404" width="16" customWidth="1"/>
    <col min="5405" max="5405" width="13.7109375" bestFit="1" customWidth="1"/>
    <col min="5406" max="5406" width="13.85546875" bestFit="1" customWidth="1"/>
    <col min="5407" max="5407" width="14.42578125" customWidth="1"/>
    <col min="5408" max="5408" width="10.140625" customWidth="1"/>
    <col min="5409" max="5409" width="14" bestFit="1" customWidth="1"/>
    <col min="5633" max="5633" width="0.7109375" customWidth="1"/>
    <col min="5634" max="5634" width="10.5703125" customWidth="1"/>
    <col min="5635" max="5635" width="46.42578125" customWidth="1"/>
    <col min="5636" max="5636" width="22" customWidth="1"/>
    <col min="5637" max="5645" width="0" hidden="1" customWidth="1"/>
    <col min="5646" max="5646" width="14.5703125" customWidth="1"/>
    <col min="5647" max="5647" width="16.85546875" bestFit="1" customWidth="1"/>
    <col min="5648" max="5648" width="14.42578125" customWidth="1"/>
    <col min="5649" max="5649" width="14.5703125" customWidth="1"/>
    <col min="5650" max="5650" width="16.85546875" bestFit="1" customWidth="1"/>
    <col min="5651" max="5651" width="14.42578125" bestFit="1" customWidth="1"/>
    <col min="5652" max="5652" width="14.5703125" customWidth="1"/>
    <col min="5653" max="5653" width="16.85546875" bestFit="1" customWidth="1"/>
    <col min="5654" max="5654" width="15.28515625" customWidth="1"/>
    <col min="5655" max="5655" width="14.5703125" customWidth="1"/>
    <col min="5656" max="5656" width="16.85546875" bestFit="1" customWidth="1"/>
    <col min="5657" max="5657" width="14.85546875" customWidth="1"/>
    <col min="5658" max="5658" width="14.5703125" customWidth="1"/>
    <col min="5659" max="5659" width="16.85546875" bestFit="1" customWidth="1"/>
    <col min="5660" max="5660" width="16" customWidth="1"/>
    <col min="5661" max="5661" width="13.7109375" bestFit="1" customWidth="1"/>
    <col min="5662" max="5662" width="13.85546875" bestFit="1" customWidth="1"/>
    <col min="5663" max="5663" width="14.42578125" customWidth="1"/>
    <col min="5664" max="5664" width="10.140625" customWidth="1"/>
    <col min="5665" max="5665" width="14" bestFit="1" customWidth="1"/>
    <col min="5889" max="5889" width="0.7109375" customWidth="1"/>
    <col min="5890" max="5890" width="10.5703125" customWidth="1"/>
    <col min="5891" max="5891" width="46.42578125" customWidth="1"/>
    <col min="5892" max="5892" width="22" customWidth="1"/>
    <col min="5893" max="5901" width="0" hidden="1" customWidth="1"/>
    <col min="5902" max="5902" width="14.5703125" customWidth="1"/>
    <col min="5903" max="5903" width="16.85546875" bestFit="1" customWidth="1"/>
    <col min="5904" max="5904" width="14.42578125" customWidth="1"/>
    <col min="5905" max="5905" width="14.5703125" customWidth="1"/>
    <col min="5906" max="5906" width="16.85546875" bestFit="1" customWidth="1"/>
    <col min="5907" max="5907" width="14.42578125" bestFit="1" customWidth="1"/>
    <col min="5908" max="5908" width="14.5703125" customWidth="1"/>
    <col min="5909" max="5909" width="16.85546875" bestFit="1" customWidth="1"/>
    <col min="5910" max="5910" width="15.28515625" customWidth="1"/>
    <col min="5911" max="5911" width="14.5703125" customWidth="1"/>
    <col min="5912" max="5912" width="16.85546875" bestFit="1" customWidth="1"/>
    <col min="5913" max="5913" width="14.85546875" customWidth="1"/>
    <col min="5914" max="5914" width="14.5703125" customWidth="1"/>
    <col min="5915" max="5915" width="16.85546875" bestFit="1" customWidth="1"/>
    <col min="5916" max="5916" width="16" customWidth="1"/>
    <col min="5917" max="5917" width="13.7109375" bestFit="1" customWidth="1"/>
    <col min="5918" max="5918" width="13.85546875" bestFit="1" customWidth="1"/>
    <col min="5919" max="5919" width="14.42578125" customWidth="1"/>
    <col min="5920" max="5920" width="10.140625" customWidth="1"/>
    <col min="5921" max="5921" width="14" bestFit="1" customWidth="1"/>
    <col min="6145" max="6145" width="0.7109375" customWidth="1"/>
    <col min="6146" max="6146" width="10.5703125" customWidth="1"/>
    <col min="6147" max="6147" width="46.42578125" customWidth="1"/>
    <col min="6148" max="6148" width="22" customWidth="1"/>
    <col min="6149" max="6157" width="0" hidden="1" customWidth="1"/>
    <col min="6158" max="6158" width="14.5703125" customWidth="1"/>
    <col min="6159" max="6159" width="16.85546875" bestFit="1" customWidth="1"/>
    <col min="6160" max="6160" width="14.42578125" customWidth="1"/>
    <col min="6161" max="6161" width="14.5703125" customWidth="1"/>
    <col min="6162" max="6162" width="16.85546875" bestFit="1" customWidth="1"/>
    <col min="6163" max="6163" width="14.42578125" bestFit="1" customWidth="1"/>
    <col min="6164" max="6164" width="14.5703125" customWidth="1"/>
    <col min="6165" max="6165" width="16.85546875" bestFit="1" customWidth="1"/>
    <col min="6166" max="6166" width="15.28515625" customWidth="1"/>
    <col min="6167" max="6167" width="14.5703125" customWidth="1"/>
    <col min="6168" max="6168" width="16.85546875" bestFit="1" customWidth="1"/>
    <col min="6169" max="6169" width="14.85546875" customWidth="1"/>
    <col min="6170" max="6170" width="14.5703125" customWidth="1"/>
    <col min="6171" max="6171" width="16.85546875" bestFit="1" customWidth="1"/>
    <col min="6172" max="6172" width="16" customWidth="1"/>
    <col min="6173" max="6173" width="13.7109375" bestFit="1" customWidth="1"/>
    <col min="6174" max="6174" width="13.85546875" bestFit="1" customWidth="1"/>
    <col min="6175" max="6175" width="14.42578125" customWidth="1"/>
    <col min="6176" max="6176" width="10.140625" customWidth="1"/>
    <col min="6177" max="6177" width="14" bestFit="1" customWidth="1"/>
    <col min="6401" max="6401" width="0.7109375" customWidth="1"/>
    <col min="6402" max="6402" width="10.5703125" customWidth="1"/>
    <col min="6403" max="6403" width="46.42578125" customWidth="1"/>
    <col min="6404" max="6404" width="22" customWidth="1"/>
    <col min="6405" max="6413" width="0" hidden="1" customWidth="1"/>
    <col min="6414" max="6414" width="14.5703125" customWidth="1"/>
    <col min="6415" max="6415" width="16.85546875" bestFit="1" customWidth="1"/>
    <col min="6416" max="6416" width="14.42578125" customWidth="1"/>
    <col min="6417" max="6417" width="14.5703125" customWidth="1"/>
    <col min="6418" max="6418" width="16.85546875" bestFit="1" customWidth="1"/>
    <col min="6419" max="6419" width="14.42578125" bestFit="1" customWidth="1"/>
    <col min="6420" max="6420" width="14.5703125" customWidth="1"/>
    <col min="6421" max="6421" width="16.85546875" bestFit="1" customWidth="1"/>
    <col min="6422" max="6422" width="15.28515625" customWidth="1"/>
    <col min="6423" max="6423" width="14.5703125" customWidth="1"/>
    <col min="6424" max="6424" width="16.85546875" bestFit="1" customWidth="1"/>
    <col min="6425" max="6425" width="14.85546875" customWidth="1"/>
    <col min="6426" max="6426" width="14.5703125" customWidth="1"/>
    <col min="6427" max="6427" width="16.85546875" bestFit="1" customWidth="1"/>
    <col min="6428" max="6428" width="16" customWidth="1"/>
    <col min="6429" max="6429" width="13.7109375" bestFit="1" customWidth="1"/>
    <col min="6430" max="6430" width="13.85546875" bestFit="1" customWidth="1"/>
    <col min="6431" max="6431" width="14.42578125" customWidth="1"/>
    <col min="6432" max="6432" width="10.140625" customWidth="1"/>
    <col min="6433" max="6433" width="14" bestFit="1" customWidth="1"/>
    <col min="6657" max="6657" width="0.7109375" customWidth="1"/>
    <col min="6658" max="6658" width="10.5703125" customWidth="1"/>
    <col min="6659" max="6659" width="46.42578125" customWidth="1"/>
    <col min="6660" max="6660" width="22" customWidth="1"/>
    <col min="6661" max="6669" width="0" hidden="1" customWidth="1"/>
    <col min="6670" max="6670" width="14.5703125" customWidth="1"/>
    <col min="6671" max="6671" width="16.85546875" bestFit="1" customWidth="1"/>
    <col min="6672" max="6672" width="14.42578125" customWidth="1"/>
    <col min="6673" max="6673" width="14.5703125" customWidth="1"/>
    <col min="6674" max="6674" width="16.85546875" bestFit="1" customWidth="1"/>
    <col min="6675" max="6675" width="14.42578125" bestFit="1" customWidth="1"/>
    <col min="6676" max="6676" width="14.5703125" customWidth="1"/>
    <col min="6677" max="6677" width="16.85546875" bestFit="1" customWidth="1"/>
    <col min="6678" max="6678" width="15.28515625" customWidth="1"/>
    <col min="6679" max="6679" width="14.5703125" customWidth="1"/>
    <col min="6680" max="6680" width="16.85546875" bestFit="1" customWidth="1"/>
    <col min="6681" max="6681" width="14.85546875" customWidth="1"/>
    <col min="6682" max="6682" width="14.5703125" customWidth="1"/>
    <col min="6683" max="6683" width="16.85546875" bestFit="1" customWidth="1"/>
    <col min="6684" max="6684" width="16" customWidth="1"/>
    <col min="6685" max="6685" width="13.7109375" bestFit="1" customWidth="1"/>
    <col min="6686" max="6686" width="13.85546875" bestFit="1" customWidth="1"/>
    <col min="6687" max="6687" width="14.42578125" customWidth="1"/>
    <col min="6688" max="6688" width="10.140625" customWidth="1"/>
    <col min="6689" max="6689" width="14" bestFit="1" customWidth="1"/>
    <col min="6913" max="6913" width="0.7109375" customWidth="1"/>
    <col min="6914" max="6914" width="10.5703125" customWidth="1"/>
    <col min="6915" max="6915" width="46.42578125" customWidth="1"/>
    <col min="6916" max="6916" width="22" customWidth="1"/>
    <col min="6917" max="6925" width="0" hidden="1" customWidth="1"/>
    <col min="6926" max="6926" width="14.5703125" customWidth="1"/>
    <col min="6927" max="6927" width="16.85546875" bestFit="1" customWidth="1"/>
    <col min="6928" max="6928" width="14.42578125" customWidth="1"/>
    <col min="6929" max="6929" width="14.5703125" customWidth="1"/>
    <col min="6930" max="6930" width="16.85546875" bestFit="1" customWidth="1"/>
    <col min="6931" max="6931" width="14.42578125" bestFit="1" customWidth="1"/>
    <col min="6932" max="6932" width="14.5703125" customWidth="1"/>
    <col min="6933" max="6933" width="16.85546875" bestFit="1" customWidth="1"/>
    <col min="6934" max="6934" width="15.28515625" customWidth="1"/>
    <col min="6935" max="6935" width="14.5703125" customWidth="1"/>
    <col min="6936" max="6936" width="16.85546875" bestFit="1" customWidth="1"/>
    <col min="6937" max="6937" width="14.85546875" customWidth="1"/>
    <col min="6938" max="6938" width="14.5703125" customWidth="1"/>
    <col min="6939" max="6939" width="16.85546875" bestFit="1" customWidth="1"/>
    <col min="6940" max="6940" width="16" customWidth="1"/>
    <col min="6941" max="6941" width="13.7109375" bestFit="1" customWidth="1"/>
    <col min="6942" max="6942" width="13.85546875" bestFit="1" customWidth="1"/>
    <col min="6943" max="6943" width="14.42578125" customWidth="1"/>
    <col min="6944" max="6944" width="10.140625" customWidth="1"/>
    <col min="6945" max="6945" width="14" bestFit="1" customWidth="1"/>
    <col min="7169" max="7169" width="0.7109375" customWidth="1"/>
    <col min="7170" max="7170" width="10.5703125" customWidth="1"/>
    <col min="7171" max="7171" width="46.42578125" customWidth="1"/>
    <col min="7172" max="7172" width="22" customWidth="1"/>
    <col min="7173" max="7181" width="0" hidden="1" customWidth="1"/>
    <col min="7182" max="7182" width="14.5703125" customWidth="1"/>
    <col min="7183" max="7183" width="16.85546875" bestFit="1" customWidth="1"/>
    <col min="7184" max="7184" width="14.42578125" customWidth="1"/>
    <col min="7185" max="7185" width="14.5703125" customWidth="1"/>
    <col min="7186" max="7186" width="16.85546875" bestFit="1" customWidth="1"/>
    <col min="7187" max="7187" width="14.42578125" bestFit="1" customWidth="1"/>
    <col min="7188" max="7188" width="14.5703125" customWidth="1"/>
    <col min="7189" max="7189" width="16.85546875" bestFit="1" customWidth="1"/>
    <col min="7190" max="7190" width="15.28515625" customWidth="1"/>
    <col min="7191" max="7191" width="14.5703125" customWidth="1"/>
    <col min="7192" max="7192" width="16.85546875" bestFit="1" customWidth="1"/>
    <col min="7193" max="7193" width="14.85546875" customWidth="1"/>
    <col min="7194" max="7194" width="14.5703125" customWidth="1"/>
    <col min="7195" max="7195" width="16.85546875" bestFit="1" customWidth="1"/>
    <col min="7196" max="7196" width="16" customWidth="1"/>
    <col min="7197" max="7197" width="13.7109375" bestFit="1" customWidth="1"/>
    <col min="7198" max="7198" width="13.85546875" bestFit="1" customWidth="1"/>
    <col min="7199" max="7199" width="14.42578125" customWidth="1"/>
    <col min="7200" max="7200" width="10.140625" customWidth="1"/>
    <col min="7201" max="7201" width="14" bestFit="1" customWidth="1"/>
    <col min="7425" max="7425" width="0.7109375" customWidth="1"/>
    <col min="7426" max="7426" width="10.5703125" customWidth="1"/>
    <col min="7427" max="7427" width="46.42578125" customWidth="1"/>
    <col min="7428" max="7428" width="22" customWidth="1"/>
    <col min="7429" max="7437" width="0" hidden="1" customWidth="1"/>
    <col min="7438" max="7438" width="14.5703125" customWidth="1"/>
    <col min="7439" max="7439" width="16.85546875" bestFit="1" customWidth="1"/>
    <col min="7440" max="7440" width="14.42578125" customWidth="1"/>
    <col min="7441" max="7441" width="14.5703125" customWidth="1"/>
    <col min="7442" max="7442" width="16.85546875" bestFit="1" customWidth="1"/>
    <col min="7443" max="7443" width="14.42578125" bestFit="1" customWidth="1"/>
    <col min="7444" max="7444" width="14.5703125" customWidth="1"/>
    <col min="7445" max="7445" width="16.85546875" bestFit="1" customWidth="1"/>
    <col min="7446" max="7446" width="15.28515625" customWidth="1"/>
    <col min="7447" max="7447" width="14.5703125" customWidth="1"/>
    <col min="7448" max="7448" width="16.85546875" bestFit="1" customWidth="1"/>
    <col min="7449" max="7449" width="14.85546875" customWidth="1"/>
    <col min="7450" max="7450" width="14.5703125" customWidth="1"/>
    <col min="7451" max="7451" width="16.85546875" bestFit="1" customWidth="1"/>
    <col min="7452" max="7452" width="16" customWidth="1"/>
    <col min="7453" max="7453" width="13.7109375" bestFit="1" customWidth="1"/>
    <col min="7454" max="7454" width="13.85546875" bestFit="1" customWidth="1"/>
    <col min="7455" max="7455" width="14.42578125" customWidth="1"/>
    <col min="7456" max="7456" width="10.140625" customWidth="1"/>
    <col min="7457" max="7457" width="14" bestFit="1" customWidth="1"/>
    <col min="7681" max="7681" width="0.7109375" customWidth="1"/>
    <col min="7682" max="7682" width="10.5703125" customWidth="1"/>
    <col min="7683" max="7683" width="46.42578125" customWidth="1"/>
    <col min="7684" max="7684" width="22" customWidth="1"/>
    <col min="7685" max="7693" width="0" hidden="1" customWidth="1"/>
    <col min="7694" max="7694" width="14.5703125" customWidth="1"/>
    <col min="7695" max="7695" width="16.85546875" bestFit="1" customWidth="1"/>
    <col min="7696" max="7696" width="14.42578125" customWidth="1"/>
    <col min="7697" max="7697" width="14.5703125" customWidth="1"/>
    <col min="7698" max="7698" width="16.85546875" bestFit="1" customWidth="1"/>
    <col min="7699" max="7699" width="14.42578125" bestFit="1" customWidth="1"/>
    <col min="7700" max="7700" width="14.5703125" customWidth="1"/>
    <col min="7701" max="7701" width="16.85546875" bestFit="1" customWidth="1"/>
    <col min="7702" max="7702" width="15.28515625" customWidth="1"/>
    <col min="7703" max="7703" width="14.5703125" customWidth="1"/>
    <col min="7704" max="7704" width="16.85546875" bestFit="1" customWidth="1"/>
    <col min="7705" max="7705" width="14.85546875" customWidth="1"/>
    <col min="7706" max="7706" width="14.5703125" customWidth="1"/>
    <col min="7707" max="7707" width="16.85546875" bestFit="1" customWidth="1"/>
    <col min="7708" max="7708" width="16" customWidth="1"/>
    <col min="7709" max="7709" width="13.7109375" bestFit="1" customWidth="1"/>
    <col min="7710" max="7710" width="13.85546875" bestFit="1" customWidth="1"/>
    <col min="7711" max="7711" width="14.42578125" customWidth="1"/>
    <col min="7712" max="7712" width="10.140625" customWidth="1"/>
    <col min="7713" max="7713" width="14" bestFit="1" customWidth="1"/>
    <col min="7937" max="7937" width="0.7109375" customWidth="1"/>
    <col min="7938" max="7938" width="10.5703125" customWidth="1"/>
    <col min="7939" max="7939" width="46.42578125" customWidth="1"/>
    <col min="7940" max="7940" width="22" customWidth="1"/>
    <col min="7941" max="7949" width="0" hidden="1" customWidth="1"/>
    <col min="7950" max="7950" width="14.5703125" customWidth="1"/>
    <col min="7951" max="7951" width="16.85546875" bestFit="1" customWidth="1"/>
    <col min="7952" max="7952" width="14.42578125" customWidth="1"/>
    <col min="7953" max="7953" width="14.5703125" customWidth="1"/>
    <col min="7954" max="7954" width="16.85546875" bestFit="1" customWidth="1"/>
    <col min="7955" max="7955" width="14.42578125" bestFit="1" customWidth="1"/>
    <col min="7956" max="7956" width="14.5703125" customWidth="1"/>
    <col min="7957" max="7957" width="16.85546875" bestFit="1" customWidth="1"/>
    <col min="7958" max="7958" width="15.28515625" customWidth="1"/>
    <col min="7959" max="7959" width="14.5703125" customWidth="1"/>
    <col min="7960" max="7960" width="16.85546875" bestFit="1" customWidth="1"/>
    <col min="7961" max="7961" width="14.85546875" customWidth="1"/>
    <col min="7962" max="7962" width="14.5703125" customWidth="1"/>
    <col min="7963" max="7963" width="16.85546875" bestFit="1" customWidth="1"/>
    <col min="7964" max="7964" width="16" customWidth="1"/>
    <col min="7965" max="7965" width="13.7109375" bestFit="1" customWidth="1"/>
    <col min="7966" max="7966" width="13.85546875" bestFit="1" customWidth="1"/>
    <col min="7967" max="7967" width="14.42578125" customWidth="1"/>
    <col min="7968" max="7968" width="10.140625" customWidth="1"/>
    <col min="7969" max="7969" width="14" bestFit="1" customWidth="1"/>
    <col min="8193" max="8193" width="0.7109375" customWidth="1"/>
    <col min="8194" max="8194" width="10.5703125" customWidth="1"/>
    <col min="8195" max="8195" width="46.42578125" customWidth="1"/>
    <col min="8196" max="8196" width="22" customWidth="1"/>
    <col min="8197" max="8205" width="0" hidden="1" customWidth="1"/>
    <col min="8206" max="8206" width="14.5703125" customWidth="1"/>
    <col min="8207" max="8207" width="16.85546875" bestFit="1" customWidth="1"/>
    <col min="8208" max="8208" width="14.42578125" customWidth="1"/>
    <col min="8209" max="8209" width="14.5703125" customWidth="1"/>
    <col min="8210" max="8210" width="16.85546875" bestFit="1" customWidth="1"/>
    <col min="8211" max="8211" width="14.42578125" bestFit="1" customWidth="1"/>
    <col min="8212" max="8212" width="14.5703125" customWidth="1"/>
    <col min="8213" max="8213" width="16.85546875" bestFit="1" customWidth="1"/>
    <col min="8214" max="8214" width="15.28515625" customWidth="1"/>
    <col min="8215" max="8215" width="14.5703125" customWidth="1"/>
    <col min="8216" max="8216" width="16.85546875" bestFit="1" customWidth="1"/>
    <col min="8217" max="8217" width="14.85546875" customWidth="1"/>
    <col min="8218" max="8218" width="14.5703125" customWidth="1"/>
    <col min="8219" max="8219" width="16.85546875" bestFit="1" customWidth="1"/>
    <col min="8220" max="8220" width="16" customWidth="1"/>
    <col min="8221" max="8221" width="13.7109375" bestFit="1" customWidth="1"/>
    <col min="8222" max="8222" width="13.85546875" bestFit="1" customWidth="1"/>
    <col min="8223" max="8223" width="14.42578125" customWidth="1"/>
    <col min="8224" max="8224" width="10.140625" customWidth="1"/>
    <col min="8225" max="8225" width="14" bestFit="1" customWidth="1"/>
    <col min="8449" max="8449" width="0.7109375" customWidth="1"/>
    <col min="8450" max="8450" width="10.5703125" customWidth="1"/>
    <col min="8451" max="8451" width="46.42578125" customWidth="1"/>
    <col min="8452" max="8452" width="22" customWidth="1"/>
    <col min="8453" max="8461" width="0" hidden="1" customWidth="1"/>
    <col min="8462" max="8462" width="14.5703125" customWidth="1"/>
    <col min="8463" max="8463" width="16.85546875" bestFit="1" customWidth="1"/>
    <col min="8464" max="8464" width="14.42578125" customWidth="1"/>
    <col min="8465" max="8465" width="14.5703125" customWidth="1"/>
    <col min="8466" max="8466" width="16.85546875" bestFit="1" customWidth="1"/>
    <col min="8467" max="8467" width="14.42578125" bestFit="1" customWidth="1"/>
    <col min="8468" max="8468" width="14.5703125" customWidth="1"/>
    <col min="8469" max="8469" width="16.85546875" bestFit="1" customWidth="1"/>
    <col min="8470" max="8470" width="15.28515625" customWidth="1"/>
    <col min="8471" max="8471" width="14.5703125" customWidth="1"/>
    <col min="8472" max="8472" width="16.85546875" bestFit="1" customWidth="1"/>
    <col min="8473" max="8473" width="14.85546875" customWidth="1"/>
    <col min="8474" max="8474" width="14.5703125" customWidth="1"/>
    <col min="8475" max="8475" width="16.85546875" bestFit="1" customWidth="1"/>
    <col min="8476" max="8476" width="16" customWidth="1"/>
    <col min="8477" max="8477" width="13.7109375" bestFit="1" customWidth="1"/>
    <col min="8478" max="8478" width="13.85546875" bestFit="1" customWidth="1"/>
    <col min="8479" max="8479" width="14.42578125" customWidth="1"/>
    <col min="8480" max="8480" width="10.140625" customWidth="1"/>
    <col min="8481" max="8481" width="14" bestFit="1" customWidth="1"/>
    <col min="8705" max="8705" width="0.7109375" customWidth="1"/>
    <col min="8706" max="8706" width="10.5703125" customWidth="1"/>
    <col min="8707" max="8707" width="46.42578125" customWidth="1"/>
    <col min="8708" max="8708" width="22" customWidth="1"/>
    <col min="8709" max="8717" width="0" hidden="1" customWidth="1"/>
    <col min="8718" max="8718" width="14.5703125" customWidth="1"/>
    <col min="8719" max="8719" width="16.85546875" bestFit="1" customWidth="1"/>
    <col min="8720" max="8720" width="14.42578125" customWidth="1"/>
    <col min="8721" max="8721" width="14.5703125" customWidth="1"/>
    <col min="8722" max="8722" width="16.85546875" bestFit="1" customWidth="1"/>
    <col min="8723" max="8723" width="14.42578125" bestFit="1" customWidth="1"/>
    <col min="8724" max="8724" width="14.5703125" customWidth="1"/>
    <col min="8725" max="8725" width="16.85546875" bestFit="1" customWidth="1"/>
    <col min="8726" max="8726" width="15.28515625" customWidth="1"/>
    <col min="8727" max="8727" width="14.5703125" customWidth="1"/>
    <col min="8728" max="8728" width="16.85546875" bestFit="1" customWidth="1"/>
    <col min="8729" max="8729" width="14.85546875" customWidth="1"/>
    <col min="8730" max="8730" width="14.5703125" customWidth="1"/>
    <col min="8731" max="8731" width="16.85546875" bestFit="1" customWidth="1"/>
    <col min="8732" max="8732" width="16" customWidth="1"/>
    <col min="8733" max="8733" width="13.7109375" bestFit="1" customWidth="1"/>
    <col min="8734" max="8734" width="13.85546875" bestFit="1" customWidth="1"/>
    <col min="8735" max="8735" width="14.42578125" customWidth="1"/>
    <col min="8736" max="8736" width="10.140625" customWidth="1"/>
    <col min="8737" max="8737" width="14" bestFit="1" customWidth="1"/>
    <col min="8961" max="8961" width="0.7109375" customWidth="1"/>
    <col min="8962" max="8962" width="10.5703125" customWidth="1"/>
    <col min="8963" max="8963" width="46.42578125" customWidth="1"/>
    <col min="8964" max="8964" width="22" customWidth="1"/>
    <col min="8965" max="8973" width="0" hidden="1" customWidth="1"/>
    <col min="8974" max="8974" width="14.5703125" customWidth="1"/>
    <col min="8975" max="8975" width="16.85546875" bestFit="1" customWidth="1"/>
    <col min="8976" max="8976" width="14.42578125" customWidth="1"/>
    <col min="8977" max="8977" width="14.5703125" customWidth="1"/>
    <col min="8978" max="8978" width="16.85546875" bestFit="1" customWidth="1"/>
    <col min="8979" max="8979" width="14.42578125" bestFit="1" customWidth="1"/>
    <col min="8980" max="8980" width="14.5703125" customWidth="1"/>
    <col min="8981" max="8981" width="16.85546875" bestFit="1" customWidth="1"/>
    <col min="8982" max="8982" width="15.28515625" customWidth="1"/>
    <col min="8983" max="8983" width="14.5703125" customWidth="1"/>
    <col min="8984" max="8984" width="16.85546875" bestFit="1" customWidth="1"/>
    <col min="8985" max="8985" width="14.85546875" customWidth="1"/>
    <col min="8986" max="8986" width="14.5703125" customWidth="1"/>
    <col min="8987" max="8987" width="16.85546875" bestFit="1" customWidth="1"/>
    <col min="8988" max="8988" width="16" customWidth="1"/>
    <col min="8989" max="8989" width="13.7109375" bestFit="1" customWidth="1"/>
    <col min="8990" max="8990" width="13.85546875" bestFit="1" customWidth="1"/>
    <col min="8991" max="8991" width="14.42578125" customWidth="1"/>
    <col min="8992" max="8992" width="10.140625" customWidth="1"/>
    <col min="8993" max="8993" width="14" bestFit="1" customWidth="1"/>
    <col min="9217" max="9217" width="0.7109375" customWidth="1"/>
    <col min="9218" max="9218" width="10.5703125" customWidth="1"/>
    <col min="9219" max="9219" width="46.42578125" customWidth="1"/>
    <col min="9220" max="9220" width="22" customWidth="1"/>
    <col min="9221" max="9229" width="0" hidden="1" customWidth="1"/>
    <col min="9230" max="9230" width="14.5703125" customWidth="1"/>
    <col min="9231" max="9231" width="16.85546875" bestFit="1" customWidth="1"/>
    <col min="9232" max="9232" width="14.42578125" customWidth="1"/>
    <col min="9233" max="9233" width="14.5703125" customWidth="1"/>
    <col min="9234" max="9234" width="16.85546875" bestFit="1" customWidth="1"/>
    <col min="9235" max="9235" width="14.42578125" bestFit="1" customWidth="1"/>
    <col min="9236" max="9236" width="14.5703125" customWidth="1"/>
    <col min="9237" max="9237" width="16.85546875" bestFit="1" customWidth="1"/>
    <col min="9238" max="9238" width="15.28515625" customWidth="1"/>
    <col min="9239" max="9239" width="14.5703125" customWidth="1"/>
    <col min="9240" max="9240" width="16.85546875" bestFit="1" customWidth="1"/>
    <col min="9241" max="9241" width="14.85546875" customWidth="1"/>
    <col min="9242" max="9242" width="14.5703125" customWidth="1"/>
    <col min="9243" max="9243" width="16.85546875" bestFit="1" customWidth="1"/>
    <col min="9244" max="9244" width="16" customWidth="1"/>
    <col min="9245" max="9245" width="13.7109375" bestFit="1" customWidth="1"/>
    <col min="9246" max="9246" width="13.85546875" bestFit="1" customWidth="1"/>
    <col min="9247" max="9247" width="14.42578125" customWidth="1"/>
    <col min="9248" max="9248" width="10.140625" customWidth="1"/>
    <col min="9249" max="9249" width="14" bestFit="1" customWidth="1"/>
    <col min="9473" max="9473" width="0.7109375" customWidth="1"/>
    <col min="9474" max="9474" width="10.5703125" customWidth="1"/>
    <col min="9475" max="9475" width="46.42578125" customWidth="1"/>
    <col min="9476" max="9476" width="22" customWidth="1"/>
    <col min="9477" max="9485" width="0" hidden="1" customWidth="1"/>
    <col min="9486" max="9486" width="14.5703125" customWidth="1"/>
    <col min="9487" max="9487" width="16.85546875" bestFit="1" customWidth="1"/>
    <col min="9488" max="9488" width="14.42578125" customWidth="1"/>
    <col min="9489" max="9489" width="14.5703125" customWidth="1"/>
    <col min="9490" max="9490" width="16.85546875" bestFit="1" customWidth="1"/>
    <col min="9491" max="9491" width="14.42578125" bestFit="1" customWidth="1"/>
    <col min="9492" max="9492" width="14.5703125" customWidth="1"/>
    <col min="9493" max="9493" width="16.85546875" bestFit="1" customWidth="1"/>
    <col min="9494" max="9494" width="15.28515625" customWidth="1"/>
    <col min="9495" max="9495" width="14.5703125" customWidth="1"/>
    <col min="9496" max="9496" width="16.85546875" bestFit="1" customWidth="1"/>
    <col min="9497" max="9497" width="14.85546875" customWidth="1"/>
    <col min="9498" max="9498" width="14.5703125" customWidth="1"/>
    <col min="9499" max="9499" width="16.85546875" bestFit="1" customWidth="1"/>
    <col min="9500" max="9500" width="16" customWidth="1"/>
    <col min="9501" max="9501" width="13.7109375" bestFit="1" customWidth="1"/>
    <col min="9502" max="9502" width="13.85546875" bestFit="1" customWidth="1"/>
    <col min="9503" max="9503" width="14.42578125" customWidth="1"/>
    <col min="9504" max="9504" width="10.140625" customWidth="1"/>
    <col min="9505" max="9505" width="14" bestFit="1" customWidth="1"/>
    <col min="9729" max="9729" width="0.7109375" customWidth="1"/>
    <col min="9730" max="9730" width="10.5703125" customWidth="1"/>
    <col min="9731" max="9731" width="46.42578125" customWidth="1"/>
    <col min="9732" max="9732" width="22" customWidth="1"/>
    <col min="9733" max="9741" width="0" hidden="1" customWidth="1"/>
    <col min="9742" max="9742" width="14.5703125" customWidth="1"/>
    <col min="9743" max="9743" width="16.85546875" bestFit="1" customWidth="1"/>
    <col min="9744" max="9744" width="14.42578125" customWidth="1"/>
    <col min="9745" max="9745" width="14.5703125" customWidth="1"/>
    <col min="9746" max="9746" width="16.85546875" bestFit="1" customWidth="1"/>
    <col min="9747" max="9747" width="14.42578125" bestFit="1" customWidth="1"/>
    <col min="9748" max="9748" width="14.5703125" customWidth="1"/>
    <col min="9749" max="9749" width="16.85546875" bestFit="1" customWidth="1"/>
    <col min="9750" max="9750" width="15.28515625" customWidth="1"/>
    <col min="9751" max="9751" width="14.5703125" customWidth="1"/>
    <col min="9752" max="9752" width="16.85546875" bestFit="1" customWidth="1"/>
    <col min="9753" max="9753" width="14.85546875" customWidth="1"/>
    <col min="9754" max="9754" width="14.5703125" customWidth="1"/>
    <col min="9755" max="9755" width="16.85546875" bestFit="1" customWidth="1"/>
    <col min="9756" max="9756" width="16" customWidth="1"/>
    <col min="9757" max="9757" width="13.7109375" bestFit="1" customWidth="1"/>
    <col min="9758" max="9758" width="13.85546875" bestFit="1" customWidth="1"/>
    <col min="9759" max="9759" width="14.42578125" customWidth="1"/>
    <col min="9760" max="9760" width="10.140625" customWidth="1"/>
    <col min="9761" max="9761" width="14" bestFit="1" customWidth="1"/>
    <col min="9985" max="9985" width="0.7109375" customWidth="1"/>
    <col min="9986" max="9986" width="10.5703125" customWidth="1"/>
    <col min="9987" max="9987" width="46.42578125" customWidth="1"/>
    <col min="9988" max="9988" width="22" customWidth="1"/>
    <col min="9989" max="9997" width="0" hidden="1" customWidth="1"/>
    <col min="9998" max="9998" width="14.5703125" customWidth="1"/>
    <col min="9999" max="9999" width="16.85546875" bestFit="1" customWidth="1"/>
    <col min="10000" max="10000" width="14.42578125" customWidth="1"/>
    <col min="10001" max="10001" width="14.5703125" customWidth="1"/>
    <col min="10002" max="10002" width="16.85546875" bestFit="1" customWidth="1"/>
    <col min="10003" max="10003" width="14.42578125" bestFit="1" customWidth="1"/>
    <col min="10004" max="10004" width="14.5703125" customWidth="1"/>
    <col min="10005" max="10005" width="16.85546875" bestFit="1" customWidth="1"/>
    <col min="10006" max="10006" width="15.28515625" customWidth="1"/>
    <col min="10007" max="10007" width="14.5703125" customWidth="1"/>
    <col min="10008" max="10008" width="16.85546875" bestFit="1" customWidth="1"/>
    <col min="10009" max="10009" width="14.85546875" customWidth="1"/>
    <col min="10010" max="10010" width="14.5703125" customWidth="1"/>
    <col min="10011" max="10011" width="16.85546875" bestFit="1" customWidth="1"/>
    <col min="10012" max="10012" width="16" customWidth="1"/>
    <col min="10013" max="10013" width="13.7109375" bestFit="1" customWidth="1"/>
    <col min="10014" max="10014" width="13.85546875" bestFit="1" customWidth="1"/>
    <col min="10015" max="10015" width="14.42578125" customWidth="1"/>
    <col min="10016" max="10016" width="10.140625" customWidth="1"/>
    <col min="10017" max="10017" width="14" bestFit="1" customWidth="1"/>
    <col min="10241" max="10241" width="0.7109375" customWidth="1"/>
    <col min="10242" max="10242" width="10.5703125" customWidth="1"/>
    <col min="10243" max="10243" width="46.42578125" customWidth="1"/>
    <col min="10244" max="10244" width="22" customWidth="1"/>
    <col min="10245" max="10253" width="0" hidden="1" customWidth="1"/>
    <col min="10254" max="10254" width="14.5703125" customWidth="1"/>
    <col min="10255" max="10255" width="16.85546875" bestFit="1" customWidth="1"/>
    <col min="10256" max="10256" width="14.42578125" customWidth="1"/>
    <col min="10257" max="10257" width="14.5703125" customWidth="1"/>
    <col min="10258" max="10258" width="16.85546875" bestFit="1" customWidth="1"/>
    <col min="10259" max="10259" width="14.42578125" bestFit="1" customWidth="1"/>
    <col min="10260" max="10260" width="14.5703125" customWidth="1"/>
    <col min="10261" max="10261" width="16.85546875" bestFit="1" customWidth="1"/>
    <col min="10262" max="10262" width="15.28515625" customWidth="1"/>
    <col min="10263" max="10263" width="14.5703125" customWidth="1"/>
    <col min="10264" max="10264" width="16.85546875" bestFit="1" customWidth="1"/>
    <col min="10265" max="10265" width="14.85546875" customWidth="1"/>
    <col min="10266" max="10266" width="14.5703125" customWidth="1"/>
    <col min="10267" max="10267" width="16.85546875" bestFit="1" customWidth="1"/>
    <col min="10268" max="10268" width="16" customWidth="1"/>
    <col min="10269" max="10269" width="13.7109375" bestFit="1" customWidth="1"/>
    <col min="10270" max="10270" width="13.85546875" bestFit="1" customWidth="1"/>
    <col min="10271" max="10271" width="14.42578125" customWidth="1"/>
    <col min="10272" max="10272" width="10.140625" customWidth="1"/>
    <col min="10273" max="10273" width="14" bestFit="1" customWidth="1"/>
    <col min="10497" max="10497" width="0.7109375" customWidth="1"/>
    <col min="10498" max="10498" width="10.5703125" customWidth="1"/>
    <col min="10499" max="10499" width="46.42578125" customWidth="1"/>
    <col min="10500" max="10500" width="22" customWidth="1"/>
    <col min="10501" max="10509" width="0" hidden="1" customWidth="1"/>
    <col min="10510" max="10510" width="14.5703125" customWidth="1"/>
    <col min="10511" max="10511" width="16.85546875" bestFit="1" customWidth="1"/>
    <col min="10512" max="10512" width="14.42578125" customWidth="1"/>
    <col min="10513" max="10513" width="14.5703125" customWidth="1"/>
    <col min="10514" max="10514" width="16.85546875" bestFit="1" customWidth="1"/>
    <col min="10515" max="10515" width="14.42578125" bestFit="1" customWidth="1"/>
    <col min="10516" max="10516" width="14.5703125" customWidth="1"/>
    <col min="10517" max="10517" width="16.85546875" bestFit="1" customWidth="1"/>
    <col min="10518" max="10518" width="15.28515625" customWidth="1"/>
    <col min="10519" max="10519" width="14.5703125" customWidth="1"/>
    <col min="10520" max="10520" width="16.85546875" bestFit="1" customWidth="1"/>
    <col min="10521" max="10521" width="14.85546875" customWidth="1"/>
    <col min="10522" max="10522" width="14.5703125" customWidth="1"/>
    <col min="10523" max="10523" width="16.85546875" bestFit="1" customWidth="1"/>
    <col min="10524" max="10524" width="16" customWidth="1"/>
    <col min="10525" max="10525" width="13.7109375" bestFit="1" customWidth="1"/>
    <col min="10526" max="10526" width="13.85546875" bestFit="1" customWidth="1"/>
    <col min="10527" max="10527" width="14.42578125" customWidth="1"/>
    <col min="10528" max="10528" width="10.140625" customWidth="1"/>
    <col min="10529" max="10529" width="14" bestFit="1" customWidth="1"/>
    <col min="10753" max="10753" width="0.7109375" customWidth="1"/>
    <col min="10754" max="10754" width="10.5703125" customWidth="1"/>
    <col min="10755" max="10755" width="46.42578125" customWidth="1"/>
    <col min="10756" max="10756" width="22" customWidth="1"/>
    <col min="10757" max="10765" width="0" hidden="1" customWidth="1"/>
    <col min="10766" max="10766" width="14.5703125" customWidth="1"/>
    <col min="10767" max="10767" width="16.85546875" bestFit="1" customWidth="1"/>
    <col min="10768" max="10768" width="14.42578125" customWidth="1"/>
    <col min="10769" max="10769" width="14.5703125" customWidth="1"/>
    <col min="10770" max="10770" width="16.85546875" bestFit="1" customWidth="1"/>
    <col min="10771" max="10771" width="14.42578125" bestFit="1" customWidth="1"/>
    <col min="10772" max="10772" width="14.5703125" customWidth="1"/>
    <col min="10773" max="10773" width="16.85546875" bestFit="1" customWidth="1"/>
    <col min="10774" max="10774" width="15.28515625" customWidth="1"/>
    <col min="10775" max="10775" width="14.5703125" customWidth="1"/>
    <col min="10776" max="10776" width="16.85546875" bestFit="1" customWidth="1"/>
    <col min="10777" max="10777" width="14.85546875" customWidth="1"/>
    <col min="10778" max="10778" width="14.5703125" customWidth="1"/>
    <col min="10779" max="10779" width="16.85546875" bestFit="1" customWidth="1"/>
    <col min="10780" max="10780" width="16" customWidth="1"/>
    <col min="10781" max="10781" width="13.7109375" bestFit="1" customWidth="1"/>
    <col min="10782" max="10782" width="13.85546875" bestFit="1" customWidth="1"/>
    <col min="10783" max="10783" width="14.42578125" customWidth="1"/>
    <col min="10784" max="10784" width="10.140625" customWidth="1"/>
    <col min="10785" max="10785" width="14" bestFit="1" customWidth="1"/>
    <col min="11009" max="11009" width="0.7109375" customWidth="1"/>
    <col min="11010" max="11010" width="10.5703125" customWidth="1"/>
    <col min="11011" max="11011" width="46.42578125" customWidth="1"/>
    <col min="11012" max="11012" width="22" customWidth="1"/>
    <col min="11013" max="11021" width="0" hidden="1" customWidth="1"/>
    <col min="11022" max="11022" width="14.5703125" customWidth="1"/>
    <col min="11023" max="11023" width="16.85546875" bestFit="1" customWidth="1"/>
    <col min="11024" max="11024" width="14.42578125" customWidth="1"/>
    <col min="11025" max="11025" width="14.5703125" customWidth="1"/>
    <col min="11026" max="11026" width="16.85546875" bestFit="1" customWidth="1"/>
    <col min="11027" max="11027" width="14.42578125" bestFit="1" customWidth="1"/>
    <col min="11028" max="11028" width="14.5703125" customWidth="1"/>
    <col min="11029" max="11029" width="16.85546875" bestFit="1" customWidth="1"/>
    <col min="11030" max="11030" width="15.28515625" customWidth="1"/>
    <col min="11031" max="11031" width="14.5703125" customWidth="1"/>
    <col min="11032" max="11032" width="16.85546875" bestFit="1" customWidth="1"/>
    <col min="11033" max="11033" width="14.85546875" customWidth="1"/>
    <col min="11034" max="11034" width="14.5703125" customWidth="1"/>
    <col min="11035" max="11035" width="16.85546875" bestFit="1" customWidth="1"/>
    <col min="11036" max="11036" width="16" customWidth="1"/>
    <col min="11037" max="11037" width="13.7109375" bestFit="1" customWidth="1"/>
    <col min="11038" max="11038" width="13.85546875" bestFit="1" customWidth="1"/>
    <col min="11039" max="11039" width="14.42578125" customWidth="1"/>
    <col min="11040" max="11040" width="10.140625" customWidth="1"/>
    <col min="11041" max="11041" width="14" bestFit="1" customWidth="1"/>
    <col min="11265" max="11265" width="0.7109375" customWidth="1"/>
    <col min="11266" max="11266" width="10.5703125" customWidth="1"/>
    <col min="11267" max="11267" width="46.42578125" customWidth="1"/>
    <col min="11268" max="11268" width="22" customWidth="1"/>
    <col min="11269" max="11277" width="0" hidden="1" customWidth="1"/>
    <col min="11278" max="11278" width="14.5703125" customWidth="1"/>
    <col min="11279" max="11279" width="16.85546875" bestFit="1" customWidth="1"/>
    <col min="11280" max="11280" width="14.42578125" customWidth="1"/>
    <col min="11281" max="11281" width="14.5703125" customWidth="1"/>
    <col min="11282" max="11282" width="16.85546875" bestFit="1" customWidth="1"/>
    <col min="11283" max="11283" width="14.42578125" bestFit="1" customWidth="1"/>
    <col min="11284" max="11284" width="14.5703125" customWidth="1"/>
    <col min="11285" max="11285" width="16.85546875" bestFit="1" customWidth="1"/>
    <col min="11286" max="11286" width="15.28515625" customWidth="1"/>
    <col min="11287" max="11287" width="14.5703125" customWidth="1"/>
    <col min="11288" max="11288" width="16.85546875" bestFit="1" customWidth="1"/>
    <col min="11289" max="11289" width="14.85546875" customWidth="1"/>
    <col min="11290" max="11290" width="14.5703125" customWidth="1"/>
    <col min="11291" max="11291" width="16.85546875" bestFit="1" customWidth="1"/>
    <col min="11292" max="11292" width="16" customWidth="1"/>
    <col min="11293" max="11293" width="13.7109375" bestFit="1" customWidth="1"/>
    <col min="11294" max="11294" width="13.85546875" bestFit="1" customWidth="1"/>
    <col min="11295" max="11295" width="14.42578125" customWidth="1"/>
    <col min="11296" max="11296" width="10.140625" customWidth="1"/>
    <col min="11297" max="11297" width="14" bestFit="1" customWidth="1"/>
    <col min="11521" max="11521" width="0.7109375" customWidth="1"/>
    <col min="11522" max="11522" width="10.5703125" customWidth="1"/>
    <col min="11523" max="11523" width="46.42578125" customWidth="1"/>
    <col min="11524" max="11524" width="22" customWidth="1"/>
    <col min="11525" max="11533" width="0" hidden="1" customWidth="1"/>
    <col min="11534" max="11534" width="14.5703125" customWidth="1"/>
    <col min="11535" max="11535" width="16.85546875" bestFit="1" customWidth="1"/>
    <col min="11536" max="11536" width="14.42578125" customWidth="1"/>
    <col min="11537" max="11537" width="14.5703125" customWidth="1"/>
    <col min="11538" max="11538" width="16.85546875" bestFit="1" customWidth="1"/>
    <col min="11539" max="11539" width="14.42578125" bestFit="1" customWidth="1"/>
    <col min="11540" max="11540" width="14.5703125" customWidth="1"/>
    <col min="11541" max="11541" width="16.85546875" bestFit="1" customWidth="1"/>
    <col min="11542" max="11542" width="15.28515625" customWidth="1"/>
    <col min="11543" max="11543" width="14.5703125" customWidth="1"/>
    <col min="11544" max="11544" width="16.85546875" bestFit="1" customWidth="1"/>
    <col min="11545" max="11545" width="14.85546875" customWidth="1"/>
    <col min="11546" max="11546" width="14.5703125" customWidth="1"/>
    <col min="11547" max="11547" width="16.85546875" bestFit="1" customWidth="1"/>
    <col min="11548" max="11548" width="16" customWidth="1"/>
    <col min="11549" max="11549" width="13.7109375" bestFit="1" customWidth="1"/>
    <col min="11550" max="11550" width="13.85546875" bestFit="1" customWidth="1"/>
    <col min="11551" max="11551" width="14.42578125" customWidth="1"/>
    <col min="11552" max="11552" width="10.140625" customWidth="1"/>
    <col min="11553" max="11553" width="14" bestFit="1" customWidth="1"/>
    <col min="11777" max="11777" width="0.7109375" customWidth="1"/>
    <col min="11778" max="11778" width="10.5703125" customWidth="1"/>
    <col min="11779" max="11779" width="46.42578125" customWidth="1"/>
    <col min="11780" max="11780" width="22" customWidth="1"/>
    <col min="11781" max="11789" width="0" hidden="1" customWidth="1"/>
    <col min="11790" max="11790" width="14.5703125" customWidth="1"/>
    <col min="11791" max="11791" width="16.85546875" bestFit="1" customWidth="1"/>
    <col min="11792" max="11792" width="14.42578125" customWidth="1"/>
    <col min="11793" max="11793" width="14.5703125" customWidth="1"/>
    <col min="11794" max="11794" width="16.85546875" bestFit="1" customWidth="1"/>
    <col min="11795" max="11795" width="14.42578125" bestFit="1" customWidth="1"/>
    <col min="11796" max="11796" width="14.5703125" customWidth="1"/>
    <col min="11797" max="11797" width="16.85546875" bestFit="1" customWidth="1"/>
    <col min="11798" max="11798" width="15.28515625" customWidth="1"/>
    <col min="11799" max="11799" width="14.5703125" customWidth="1"/>
    <col min="11800" max="11800" width="16.85546875" bestFit="1" customWidth="1"/>
    <col min="11801" max="11801" width="14.85546875" customWidth="1"/>
    <col min="11802" max="11802" width="14.5703125" customWidth="1"/>
    <col min="11803" max="11803" width="16.85546875" bestFit="1" customWidth="1"/>
    <col min="11804" max="11804" width="16" customWidth="1"/>
    <col min="11805" max="11805" width="13.7109375" bestFit="1" customWidth="1"/>
    <col min="11806" max="11806" width="13.85546875" bestFit="1" customWidth="1"/>
    <col min="11807" max="11807" width="14.42578125" customWidth="1"/>
    <col min="11808" max="11808" width="10.140625" customWidth="1"/>
    <col min="11809" max="11809" width="14" bestFit="1" customWidth="1"/>
    <col min="12033" max="12033" width="0.7109375" customWidth="1"/>
    <col min="12034" max="12034" width="10.5703125" customWidth="1"/>
    <col min="12035" max="12035" width="46.42578125" customWidth="1"/>
    <col min="12036" max="12036" width="22" customWidth="1"/>
    <col min="12037" max="12045" width="0" hidden="1" customWidth="1"/>
    <col min="12046" max="12046" width="14.5703125" customWidth="1"/>
    <col min="12047" max="12047" width="16.85546875" bestFit="1" customWidth="1"/>
    <col min="12048" max="12048" width="14.42578125" customWidth="1"/>
    <col min="12049" max="12049" width="14.5703125" customWidth="1"/>
    <col min="12050" max="12050" width="16.85546875" bestFit="1" customWidth="1"/>
    <col min="12051" max="12051" width="14.42578125" bestFit="1" customWidth="1"/>
    <col min="12052" max="12052" width="14.5703125" customWidth="1"/>
    <col min="12053" max="12053" width="16.85546875" bestFit="1" customWidth="1"/>
    <col min="12054" max="12054" width="15.28515625" customWidth="1"/>
    <col min="12055" max="12055" width="14.5703125" customWidth="1"/>
    <col min="12056" max="12056" width="16.85546875" bestFit="1" customWidth="1"/>
    <col min="12057" max="12057" width="14.85546875" customWidth="1"/>
    <col min="12058" max="12058" width="14.5703125" customWidth="1"/>
    <col min="12059" max="12059" width="16.85546875" bestFit="1" customWidth="1"/>
    <col min="12060" max="12060" width="16" customWidth="1"/>
    <col min="12061" max="12061" width="13.7109375" bestFit="1" customWidth="1"/>
    <col min="12062" max="12062" width="13.85546875" bestFit="1" customWidth="1"/>
    <col min="12063" max="12063" width="14.42578125" customWidth="1"/>
    <col min="12064" max="12064" width="10.140625" customWidth="1"/>
    <col min="12065" max="12065" width="14" bestFit="1" customWidth="1"/>
    <col min="12289" max="12289" width="0.7109375" customWidth="1"/>
    <col min="12290" max="12290" width="10.5703125" customWidth="1"/>
    <col min="12291" max="12291" width="46.42578125" customWidth="1"/>
    <col min="12292" max="12292" width="22" customWidth="1"/>
    <col min="12293" max="12301" width="0" hidden="1" customWidth="1"/>
    <col min="12302" max="12302" width="14.5703125" customWidth="1"/>
    <col min="12303" max="12303" width="16.85546875" bestFit="1" customWidth="1"/>
    <col min="12304" max="12304" width="14.42578125" customWidth="1"/>
    <col min="12305" max="12305" width="14.5703125" customWidth="1"/>
    <col min="12306" max="12306" width="16.85546875" bestFit="1" customWidth="1"/>
    <col min="12307" max="12307" width="14.42578125" bestFit="1" customWidth="1"/>
    <col min="12308" max="12308" width="14.5703125" customWidth="1"/>
    <col min="12309" max="12309" width="16.85546875" bestFit="1" customWidth="1"/>
    <col min="12310" max="12310" width="15.28515625" customWidth="1"/>
    <col min="12311" max="12311" width="14.5703125" customWidth="1"/>
    <col min="12312" max="12312" width="16.85546875" bestFit="1" customWidth="1"/>
    <col min="12313" max="12313" width="14.85546875" customWidth="1"/>
    <col min="12314" max="12314" width="14.5703125" customWidth="1"/>
    <col min="12315" max="12315" width="16.85546875" bestFit="1" customWidth="1"/>
    <col min="12316" max="12316" width="16" customWidth="1"/>
    <col min="12317" max="12317" width="13.7109375" bestFit="1" customWidth="1"/>
    <col min="12318" max="12318" width="13.85546875" bestFit="1" customWidth="1"/>
    <col min="12319" max="12319" width="14.42578125" customWidth="1"/>
    <col min="12320" max="12320" width="10.140625" customWidth="1"/>
    <col min="12321" max="12321" width="14" bestFit="1" customWidth="1"/>
    <col min="12545" max="12545" width="0.7109375" customWidth="1"/>
    <col min="12546" max="12546" width="10.5703125" customWidth="1"/>
    <col min="12547" max="12547" width="46.42578125" customWidth="1"/>
    <col min="12548" max="12548" width="22" customWidth="1"/>
    <col min="12549" max="12557" width="0" hidden="1" customWidth="1"/>
    <col min="12558" max="12558" width="14.5703125" customWidth="1"/>
    <col min="12559" max="12559" width="16.85546875" bestFit="1" customWidth="1"/>
    <col min="12560" max="12560" width="14.42578125" customWidth="1"/>
    <col min="12561" max="12561" width="14.5703125" customWidth="1"/>
    <col min="12562" max="12562" width="16.85546875" bestFit="1" customWidth="1"/>
    <col min="12563" max="12563" width="14.42578125" bestFit="1" customWidth="1"/>
    <col min="12564" max="12564" width="14.5703125" customWidth="1"/>
    <col min="12565" max="12565" width="16.85546875" bestFit="1" customWidth="1"/>
    <col min="12566" max="12566" width="15.28515625" customWidth="1"/>
    <col min="12567" max="12567" width="14.5703125" customWidth="1"/>
    <col min="12568" max="12568" width="16.85546875" bestFit="1" customWidth="1"/>
    <col min="12569" max="12569" width="14.85546875" customWidth="1"/>
    <col min="12570" max="12570" width="14.5703125" customWidth="1"/>
    <col min="12571" max="12571" width="16.85546875" bestFit="1" customWidth="1"/>
    <col min="12572" max="12572" width="16" customWidth="1"/>
    <col min="12573" max="12573" width="13.7109375" bestFit="1" customWidth="1"/>
    <col min="12574" max="12574" width="13.85546875" bestFit="1" customWidth="1"/>
    <col min="12575" max="12575" width="14.42578125" customWidth="1"/>
    <col min="12576" max="12576" width="10.140625" customWidth="1"/>
    <col min="12577" max="12577" width="14" bestFit="1" customWidth="1"/>
    <col min="12801" max="12801" width="0.7109375" customWidth="1"/>
    <col min="12802" max="12802" width="10.5703125" customWidth="1"/>
    <col min="12803" max="12803" width="46.42578125" customWidth="1"/>
    <col min="12804" max="12804" width="22" customWidth="1"/>
    <col min="12805" max="12813" width="0" hidden="1" customWidth="1"/>
    <col min="12814" max="12814" width="14.5703125" customWidth="1"/>
    <col min="12815" max="12815" width="16.85546875" bestFit="1" customWidth="1"/>
    <col min="12816" max="12816" width="14.42578125" customWidth="1"/>
    <col min="12817" max="12817" width="14.5703125" customWidth="1"/>
    <col min="12818" max="12818" width="16.85546875" bestFit="1" customWidth="1"/>
    <col min="12819" max="12819" width="14.42578125" bestFit="1" customWidth="1"/>
    <col min="12820" max="12820" width="14.5703125" customWidth="1"/>
    <col min="12821" max="12821" width="16.85546875" bestFit="1" customWidth="1"/>
    <col min="12822" max="12822" width="15.28515625" customWidth="1"/>
    <col min="12823" max="12823" width="14.5703125" customWidth="1"/>
    <col min="12824" max="12824" width="16.85546875" bestFit="1" customWidth="1"/>
    <col min="12825" max="12825" width="14.85546875" customWidth="1"/>
    <col min="12826" max="12826" width="14.5703125" customWidth="1"/>
    <col min="12827" max="12827" width="16.85546875" bestFit="1" customWidth="1"/>
    <col min="12828" max="12828" width="16" customWidth="1"/>
    <col min="12829" max="12829" width="13.7109375" bestFit="1" customWidth="1"/>
    <col min="12830" max="12830" width="13.85546875" bestFit="1" customWidth="1"/>
    <col min="12831" max="12831" width="14.42578125" customWidth="1"/>
    <col min="12832" max="12832" width="10.140625" customWidth="1"/>
    <col min="12833" max="12833" width="14" bestFit="1" customWidth="1"/>
    <col min="13057" max="13057" width="0.7109375" customWidth="1"/>
    <col min="13058" max="13058" width="10.5703125" customWidth="1"/>
    <col min="13059" max="13059" width="46.42578125" customWidth="1"/>
    <col min="13060" max="13060" width="22" customWidth="1"/>
    <col min="13061" max="13069" width="0" hidden="1" customWidth="1"/>
    <col min="13070" max="13070" width="14.5703125" customWidth="1"/>
    <col min="13071" max="13071" width="16.85546875" bestFit="1" customWidth="1"/>
    <col min="13072" max="13072" width="14.42578125" customWidth="1"/>
    <col min="13073" max="13073" width="14.5703125" customWidth="1"/>
    <col min="13074" max="13074" width="16.85546875" bestFit="1" customWidth="1"/>
    <col min="13075" max="13075" width="14.42578125" bestFit="1" customWidth="1"/>
    <col min="13076" max="13076" width="14.5703125" customWidth="1"/>
    <col min="13077" max="13077" width="16.85546875" bestFit="1" customWidth="1"/>
    <col min="13078" max="13078" width="15.28515625" customWidth="1"/>
    <col min="13079" max="13079" width="14.5703125" customWidth="1"/>
    <col min="13080" max="13080" width="16.85546875" bestFit="1" customWidth="1"/>
    <col min="13081" max="13081" width="14.85546875" customWidth="1"/>
    <col min="13082" max="13082" width="14.5703125" customWidth="1"/>
    <col min="13083" max="13083" width="16.85546875" bestFit="1" customWidth="1"/>
    <col min="13084" max="13084" width="16" customWidth="1"/>
    <col min="13085" max="13085" width="13.7109375" bestFit="1" customWidth="1"/>
    <col min="13086" max="13086" width="13.85546875" bestFit="1" customWidth="1"/>
    <col min="13087" max="13087" width="14.42578125" customWidth="1"/>
    <col min="13088" max="13088" width="10.140625" customWidth="1"/>
    <col min="13089" max="13089" width="14" bestFit="1" customWidth="1"/>
    <col min="13313" max="13313" width="0.7109375" customWidth="1"/>
    <col min="13314" max="13314" width="10.5703125" customWidth="1"/>
    <col min="13315" max="13315" width="46.42578125" customWidth="1"/>
    <col min="13316" max="13316" width="22" customWidth="1"/>
    <col min="13317" max="13325" width="0" hidden="1" customWidth="1"/>
    <col min="13326" max="13326" width="14.5703125" customWidth="1"/>
    <col min="13327" max="13327" width="16.85546875" bestFit="1" customWidth="1"/>
    <col min="13328" max="13328" width="14.42578125" customWidth="1"/>
    <col min="13329" max="13329" width="14.5703125" customWidth="1"/>
    <col min="13330" max="13330" width="16.85546875" bestFit="1" customWidth="1"/>
    <col min="13331" max="13331" width="14.42578125" bestFit="1" customWidth="1"/>
    <col min="13332" max="13332" width="14.5703125" customWidth="1"/>
    <col min="13333" max="13333" width="16.85546875" bestFit="1" customWidth="1"/>
    <col min="13334" max="13334" width="15.28515625" customWidth="1"/>
    <col min="13335" max="13335" width="14.5703125" customWidth="1"/>
    <col min="13336" max="13336" width="16.85546875" bestFit="1" customWidth="1"/>
    <col min="13337" max="13337" width="14.85546875" customWidth="1"/>
    <col min="13338" max="13338" width="14.5703125" customWidth="1"/>
    <col min="13339" max="13339" width="16.85546875" bestFit="1" customWidth="1"/>
    <col min="13340" max="13340" width="16" customWidth="1"/>
    <col min="13341" max="13341" width="13.7109375" bestFit="1" customWidth="1"/>
    <col min="13342" max="13342" width="13.85546875" bestFit="1" customWidth="1"/>
    <col min="13343" max="13343" width="14.42578125" customWidth="1"/>
    <col min="13344" max="13344" width="10.140625" customWidth="1"/>
    <col min="13345" max="13345" width="14" bestFit="1" customWidth="1"/>
    <col min="13569" max="13569" width="0.7109375" customWidth="1"/>
    <col min="13570" max="13570" width="10.5703125" customWidth="1"/>
    <col min="13571" max="13571" width="46.42578125" customWidth="1"/>
    <col min="13572" max="13572" width="22" customWidth="1"/>
    <col min="13573" max="13581" width="0" hidden="1" customWidth="1"/>
    <col min="13582" max="13582" width="14.5703125" customWidth="1"/>
    <col min="13583" max="13583" width="16.85546875" bestFit="1" customWidth="1"/>
    <col min="13584" max="13584" width="14.42578125" customWidth="1"/>
    <col min="13585" max="13585" width="14.5703125" customWidth="1"/>
    <col min="13586" max="13586" width="16.85546875" bestFit="1" customWidth="1"/>
    <col min="13587" max="13587" width="14.42578125" bestFit="1" customWidth="1"/>
    <col min="13588" max="13588" width="14.5703125" customWidth="1"/>
    <col min="13589" max="13589" width="16.85546875" bestFit="1" customWidth="1"/>
    <col min="13590" max="13590" width="15.28515625" customWidth="1"/>
    <col min="13591" max="13591" width="14.5703125" customWidth="1"/>
    <col min="13592" max="13592" width="16.85546875" bestFit="1" customWidth="1"/>
    <col min="13593" max="13593" width="14.85546875" customWidth="1"/>
    <col min="13594" max="13594" width="14.5703125" customWidth="1"/>
    <col min="13595" max="13595" width="16.85546875" bestFit="1" customWidth="1"/>
    <col min="13596" max="13596" width="16" customWidth="1"/>
    <col min="13597" max="13597" width="13.7109375" bestFit="1" customWidth="1"/>
    <col min="13598" max="13598" width="13.85546875" bestFit="1" customWidth="1"/>
    <col min="13599" max="13599" width="14.42578125" customWidth="1"/>
    <col min="13600" max="13600" width="10.140625" customWidth="1"/>
    <col min="13601" max="13601" width="14" bestFit="1" customWidth="1"/>
    <col min="13825" max="13825" width="0.7109375" customWidth="1"/>
    <col min="13826" max="13826" width="10.5703125" customWidth="1"/>
    <col min="13827" max="13827" width="46.42578125" customWidth="1"/>
    <col min="13828" max="13828" width="22" customWidth="1"/>
    <col min="13829" max="13837" width="0" hidden="1" customWidth="1"/>
    <col min="13838" max="13838" width="14.5703125" customWidth="1"/>
    <col min="13839" max="13839" width="16.85546875" bestFit="1" customWidth="1"/>
    <col min="13840" max="13840" width="14.42578125" customWidth="1"/>
    <col min="13841" max="13841" width="14.5703125" customWidth="1"/>
    <col min="13842" max="13842" width="16.85546875" bestFit="1" customWidth="1"/>
    <col min="13843" max="13843" width="14.42578125" bestFit="1" customWidth="1"/>
    <col min="13844" max="13844" width="14.5703125" customWidth="1"/>
    <col min="13845" max="13845" width="16.85546875" bestFit="1" customWidth="1"/>
    <col min="13846" max="13846" width="15.28515625" customWidth="1"/>
    <col min="13847" max="13847" width="14.5703125" customWidth="1"/>
    <col min="13848" max="13848" width="16.85546875" bestFit="1" customWidth="1"/>
    <col min="13849" max="13849" width="14.85546875" customWidth="1"/>
    <col min="13850" max="13850" width="14.5703125" customWidth="1"/>
    <col min="13851" max="13851" width="16.85546875" bestFit="1" customWidth="1"/>
    <col min="13852" max="13852" width="16" customWidth="1"/>
    <col min="13853" max="13853" width="13.7109375" bestFit="1" customWidth="1"/>
    <col min="13854" max="13854" width="13.85546875" bestFit="1" customWidth="1"/>
    <col min="13855" max="13855" width="14.42578125" customWidth="1"/>
    <col min="13856" max="13856" width="10.140625" customWidth="1"/>
    <col min="13857" max="13857" width="14" bestFit="1" customWidth="1"/>
    <col min="14081" max="14081" width="0.7109375" customWidth="1"/>
    <col min="14082" max="14082" width="10.5703125" customWidth="1"/>
    <col min="14083" max="14083" width="46.42578125" customWidth="1"/>
    <col min="14084" max="14084" width="22" customWidth="1"/>
    <col min="14085" max="14093" width="0" hidden="1" customWidth="1"/>
    <col min="14094" max="14094" width="14.5703125" customWidth="1"/>
    <col min="14095" max="14095" width="16.85546875" bestFit="1" customWidth="1"/>
    <col min="14096" max="14096" width="14.42578125" customWidth="1"/>
    <col min="14097" max="14097" width="14.5703125" customWidth="1"/>
    <col min="14098" max="14098" width="16.85546875" bestFit="1" customWidth="1"/>
    <col min="14099" max="14099" width="14.42578125" bestFit="1" customWidth="1"/>
    <col min="14100" max="14100" width="14.5703125" customWidth="1"/>
    <col min="14101" max="14101" width="16.85546875" bestFit="1" customWidth="1"/>
    <col min="14102" max="14102" width="15.28515625" customWidth="1"/>
    <col min="14103" max="14103" width="14.5703125" customWidth="1"/>
    <col min="14104" max="14104" width="16.85546875" bestFit="1" customWidth="1"/>
    <col min="14105" max="14105" width="14.85546875" customWidth="1"/>
    <col min="14106" max="14106" width="14.5703125" customWidth="1"/>
    <col min="14107" max="14107" width="16.85546875" bestFit="1" customWidth="1"/>
    <col min="14108" max="14108" width="16" customWidth="1"/>
    <col min="14109" max="14109" width="13.7109375" bestFit="1" customWidth="1"/>
    <col min="14110" max="14110" width="13.85546875" bestFit="1" customWidth="1"/>
    <col min="14111" max="14111" width="14.42578125" customWidth="1"/>
    <col min="14112" max="14112" width="10.140625" customWidth="1"/>
    <col min="14113" max="14113" width="14" bestFit="1" customWidth="1"/>
    <col min="14337" max="14337" width="0.7109375" customWidth="1"/>
    <col min="14338" max="14338" width="10.5703125" customWidth="1"/>
    <col min="14339" max="14339" width="46.42578125" customWidth="1"/>
    <col min="14340" max="14340" width="22" customWidth="1"/>
    <col min="14341" max="14349" width="0" hidden="1" customWidth="1"/>
    <col min="14350" max="14350" width="14.5703125" customWidth="1"/>
    <col min="14351" max="14351" width="16.85546875" bestFit="1" customWidth="1"/>
    <col min="14352" max="14352" width="14.42578125" customWidth="1"/>
    <col min="14353" max="14353" width="14.5703125" customWidth="1"/>
    <col min="14354" max="14354" width="16.85546875" bestFit="1" customWidth="1"/>
    <col min="14355" max="14355" width="14.42578125" bestFit="1" customWidth="1"/>
    <col min="14356" max="14356" width="14.5703125" customWidth="1"/>
    <col min="14357" max="14357" width="16.85546875" bestFit="1" customWidth="1"/>
    <col min="14358" max="14358" width="15.28515625" customWidth="1"/>
    <col min="14359" max="14359" width="14.5703125" customWidth="1"/>
    <col min="14360" max="14360" width="16.85546875" bestFit="1" customWidth="1"/>
    <col min="14361" max="14361" width="14.85546875" customWidth="1"/>
    <col min="14362" max="14362" width="14.5703125" customWidth="1"/>
    <col min="14363" max="14363" width="16.85546875" bestFit="1" customWidth="1"/>
    <col min="14364" max="14364" width="16" customWidth="1"/>
    <col min="14365" max="14365" width="13.7109375" bestFit="1" customWidth="1"/>
    <col min="14366" max="14366" width="13.85546875" bestFit="1" customWidth="1"/>
    <col min="14367" max="14367" width="14.42578125" customWidth="1"/>
    <col min="14368" max="14368" width="10.140625" customWidth="1"/>
    <col min="14369" max="14369" width="14" bestFit="1" customWidth="1"/>
    <col min="14593" max="14593" width="0.7109375" customWidth="1"/>
    <col min="14594" max="14594" width="10.5703125" customWidth="1"/>
    <col min="14595" max="14595" width="46.42578125" customWidth="1"/>
    <col min="14596" max="14596" width="22" customWidth="1"/>
    <col min="14597" max="14605" width="0" hidden="1" customWidth="1"/>
    <col min="14606" max="14606" width="14.5703125" customWidth="1"/>
    <col min="14607" max="14607" width="16.85546875" bestFit="1" customWidth="1"/>
    <col min="14608" max="14608" width="14.42578125" customWidth="1"/>
    <col min="14609" max="14609" width="14.5703125" customWidth="1"/>
    <col min="14610" max="14610" width="16.85546875" bestFit="1" customWidth="1"/>
    <col min="14611" max="14611" width="14.42578125" bestFit="1" customWidth="1"/>
    <col min="14612" max="14612" width="14.5703125" customWidth="1"/>
    <col min="14613" max="14613" width="16.85546875" bestFit="1" customWidth="1"/>
    <col min="14614" max="14614" width="15.28515625" customWidth="1"/>
    <col min="14615" max="14615" width="14.5703125" customWidth="1"/>
    <col min="14616" max="14616" width="16.85546875" bestFit="1" customWidth="1"/>
    <col min="14617" max="14617" width="14.85546875" customWidth="1"/>
    <col min="14618" max="14618" width="14.5703125" customWidth="1"/>
    <col min="14619" max="14619" width="16.85546875" bestFit="1" customWidth="1"/>
    <col min="14620" max="14620" width="16" customWidth="1"/>
    <col min="14621" max="14621" width="13.7109375" bestFit="1" customWidth="1"/>
    <col min="14622" max="14622" width="13.85546875" bestFit="1" customWidth="1"/>
    <col min="14623" max="14623" width="14.42578125" customWidth="1"/>
    <col min="14624" max="14624" width="10.140625" customWidth="1"/>
    <col min="14625" max="14625" width="14" bestFit="1" customWidth="1"/>
    <col min="14849" max="14849" width="0.7109375" customWidth="1"/>
    <col min="14850" max="14850" width="10.5703125" customWidth="1"/>
    <col min="14851" max="14851" width="46.42578125" customWidth="1"/>
    <col min="14852" max="14852" width="22" customWidth="1"/>
    <col min="14853" max="14861" width="0" hidden="1" customWidth="1"/>
    <col min="14862" max="14862" width="14.5703125" customWidth="1"/>
    <col min="14863" max="14863" width="16.85546875" bestFit="1" customWidth="1"/>
    <col min="14864" max="14864" width="14.42578125" customWidth="1"/>
    <col min="14865" max="14865" width="14.5703125" customWidth="1"/>
    <col min="14866" max="14866" width="16.85546875" bestFit="1" customWidth="1"/>
    <col min="14867" max="14867" width="14.42578125" bestFit="1" customWidth="1"/>
    <col min="14868" max="14868" width="14.5703125" customWidth="1"/>
    <col min="14869" max="14869" width="16.85546875" bestFit="1" customWidth="1"/>
    <col min="14870" max="14870" width="15.28515625" customWidth="1"/>
    <col min="14871" max="14871" width="14.5703125" customWidth="1"/>
    <col min="14872" max="14872" width="16.85546875" bestFit="1" customWidth="1"/>
    <col min="14873" max="14873" width="14.85546875" customWidth="1"/>
    <col min="14874" max="14874" width="14.5703125" customWidth="1"/>
    <col min="14875" max="14875" width="16.85546875" bestFit="1" customWidth="1"/>
    <col min="14876" max="14876" width="16" customWidth="1"/>
    <col min="14877" max="14877" width="13.7109375" bestFit="1" customWidth="1"/>
    <col min="14878" max="14878" width="13.85546875" bestFit="1" customWidth="1"/>
    <col min="14879" max="14879" width="14.42578125" customWidth="1"/>
    <col min="14880" max="14880" width="10.140625" customWidth="1"/>
    <col min="14881" max="14881" width="14" bestFit="1" customWidth="1"/>
    <col min="15105" max="15105" width="0.7109375" customWidth="1"/>
    <col min="15106" max="15106" width="10.5703125" customWidth="1"/>
    <col min="15107" max="15107" width="46.42578125" customWidth="1"/>
    <col min="15108" max="15108" width="22" customWidth="1"/>
    <col min="15109" max="15117" width="0" hidden="1" customWidth="1"/>
    <col min="15118" max="15118" width="14.5703125" customWidth="1"/>
    <col min="15119" max="15119" width="16.85546875" bestFit="1" customWidth="1"/>
    <col min="15120" max="15120" width="14.42578125" customWidth="1"/>
    <col min="15121" max="15121" width="14.5703125" customWidth="1"/>
    <col min="15122" max="15122" width="16.85546875" bestFit="1" customWidth="1"/>
    <col min="15123" max="15123" width="14.42578125" bestFit="1" customWidth="1"/>
    <col min="15124" max="15124" width="14.5703125" customWidth="1"/>
    <col min="15125" max="15125" width="16.85546875" bestFit="1" customWidth="1"/>
    <col min="15126" max="15126" width="15.28515625" customWidth="1"/>
    <col min="15127" max="15127" width="14.5703125" customWidth="1"/>
    <col min="15128" max="15128" width="16.85546875" bestFit="1" customWidth="1"/>
    <col min="15129" max="15129" width="14.85546875" customWidth="1"/>
    <col min="15130" max="15130" width="14.5703125" customWidth="1"/>
    <col min="15131" max="15131" width="16.85546875" bestFit="1" customWidth="1"/>
    <col min="15132" max="15132" width="16" customWidth="1"/>
    <col min="15133" max="15133" width="13.7109375" bestFit="1" customWidth="1"/>
    <col min="15134" max="15134" width="13.85546875" bestFit="1" customWidth="1"/>
    <col min="15135" max="15135" width="14.42578125" customWidth="1"/>
    <col min="15136" max="15136" width="10.140625" customWidth="1"/>
    <col min="15137" max="15137" width="14" bestFit="1" customWidth="1"/>
    <col min="15361" max="15361" width="0.7109375" customWidth="1"/>
    <col min="15362" max="15362" width="10.5703125" customWidth="1"/>
    <col min="15363" max="15363" width="46.42578125" customWidth="1"/>
    <col min="15364" max="15364" width="22" customWidth="1"/>
    <col min="15365" max="15373" width="0" hidden="1" customWidth="1"/>
    <col min="15374" max="15374" width="14.5703125" customWidth="1"/>
    <col min="15375" max="15375" width="16.85546875" bestFit="1" customWidth="1"/>
    <col min="15376" max="15376" width="14.42578125" customWidth="1"/>
    <col min="15377" max="15377" width="14.5703125" customWidth="1"/>
    <col min="15378" max="15378" width="16.85546875" bestFit="1" customWidth="1"/>
    <col min="15379" max="15379" width="14.42578125" bestFit="1" customWidth="1"/>
    <col min="15380" max="15380" width="14.5703125" customWidth="1"/>
    <col min="15381" max="15381" width="16.85546875" bestFit="1" customWidth="1"/>
    <col min="15382" max="15382" width="15.28515625" customWidth="1"/>
    <col min="15383" max="15383" width="14.5703125" customWidth="1"/>
    <col min="15384" max="15384" width="16.85546875" bestFit="1" customWidth="1"/>
    <col min="15385" max="15385" width="14.85546875" customWidth="1"/>
    <col min="15386" max="15386" width="14.5703125" customWidth="1"/>
    <col min="15387" max="15387" width="16.85546875" bestFit="1" customWidth="1"/>
    <col min="15388" max="15388" width="16" customWidth="1"/>
    <col min="15389" max="15389" width="13.7109375" bestFit="1" customWidth="1"/>
    <col min="15390" max="15390" width="13.85546875" bestFit="1" customWidth="1"/>
    <col min="15391" max="15391" width="14.42578125" customWidth="1"/>
    <col min="15392" max="15392" width="10.140625" customWidth="1"/>
    <col min="15393" max="15393" width="14" bestFit="1" customWidth="1"/>
    <col min="15617" max="15617" width="0.7109375" customWidth="1"/>
    <col min="15618" max="15618" width="10.5703125" customWidth="1"/>
    <col min="15619" max="15619" width="46.42578125" customWidth="1"/>
    <col min="15620" max="15620" width="22" customWidth="1"/>
    <col min="15621" max="15629" width="0" hidden="1" customWidth="1"/>
    <col min="15630" max="15630" width="14.5703125" customWidth="1"/>
    <col min="15631" max="15631" width="16.85546875" bestFit="1" customWidth="1"/>
    <col min="15632" max="15632" width="14.42578125" customWidth="1"/>
    <col min="15633" max="15633" width="14.5703125" customWidth="1"/>
    <col min="15634" max="15634" width="16.85546875" bestFit="1" customWidth="1"/>
    <col min="15635" max="15635" width="14.42578125" bestFit="1" customWidth="1"/>
    <col min="15636" max="15636" width="14.5703125" customWidth="1"/>
    <col min="15637" max="15637" width="16.85546875" bestFit="1" customWidth="1"/>
    <col min="15638" max="15638" width="15.28515625" customWidth="1"/>
    <col min="15639" max="15639" width="14.5703125" customWidth="1"/>
    <col min="15640" max="15640" width="16.85546875" bestFit="1" customWidth="1"/>
    <col min="15641" max="15641" width="14.85546875" customWidth="1"/>
    <col min="15642" max="15642" width="14.5703125" customWidth="1"/>
    <col min="15643" max="15643" width="16.85546875" bestFit="1" customWidth="1"/>
    <col min="15644" max="15644" width="16" customWidth="1"/>
    <col min="15645" max="15645" width="13.7109375" bestFit="1" customWidth="1"/>
    <col min="15646" max="15646" width="13.85546875" bestFit="1" customWidth="1"/>
    <col min="15647" max="15647" width="14.42578125" customWidth="1"/>
    <col min="15648" max="15648" width="10.140625" customWidth="1"/>
    <col min="15649" max="15649" width="14" bestFit="1" customWidth="1"/>
    <col min="15873" max="15873" width="0.7109375" customWidth="1"/>
    <col min="15874" max="15874" width="10.5703125" customWidth="1"/>
    <col min="15875" max="15875" width="46.42578125" customWidth="1"/>
    <col min="15876" max="15876" width="22" customWidth="1"/>
    <col min="15877" max="15885" width="0" hidden="1" customWidth="1"/>
    <col min="15886" max="15886" width="14.5703125" customWidth="1"/>
    <col min="15887" max="15887" width="16.85546875" bestFit="1" customWidth="1"/>
    <col min="15888" max="15888" width="14.42578125" customWidth="1"/>
    <col min="15889" max="15889" width="14.5703125" customWidth="1"/>
    <col min="15890" max="15890" width="16.85546875" bestFit="1" customWidth="1"/>
    <col min="15891" max="15891" width="14.42578125" bestFit="1" customWidth="1"/>
    <col min="15892" max="15892" width="14.5703125" customWidth="1"/>
    <col min="15893" max="15893" width="16.85546875" bestFit="1" customWidth="1"/>
    <col min="15894" max="15894" width="15.28515625" customWidth="1"/>
    <col min="15895" max="15895" width="14.5703125" customWidth="1"/>
    <col min="15896" max="15896" width="16.85546875" bestFit="1" customWidth="1"/>
    <col min="15897" max="15897" width="14.85546875" customWidth="1"/>
    <col min="15898" max="15898" width="14.5703125" customWidth="1"/>
    <col min="15899" max="15899" width="16.85546875" bestFit="1" customWidth="1"/>
    <col min="15900" max="15900" width="16" customWidth="1"/>
    <col min="15901" max="15901" width="13.7109375" bestFit="1" customWidth="1"/>
    <col min="15902" max="15902" width="13.85546875" bestFit="1" customWidth="1"/>
    <col min="15903" max="15903" width="14.42578125" customWidth="1"/>
    <col min="15904" max="15904" width="10.140625" customWidth="1"/>
    <col min="15905" max="15905" width="14" bestFit="1" customWidth="1"/>
    <col min="16129" max="16129" width="0.7109375" customWidth="1"/>
    <col min="16130" max="16130" width="10.5703125" customWidth="1"/>
    <col min="16131" max="16131" width="46.42578125" customWidth="1"/>
    <col min="16132" max="16132" width="22" customWidth="1"/>
    <col min="16133" max="16141" width="0" hidden="1" customWidth="1"/>
    <col min="16142" max="16142" width="14.5703125" customWidth="1"/>
    <col min="16143" max="16143" width="16.85546875" bestFit="1" customWidth="1"/>
    <col min="16144" max="16144" width="14.42578125" customWidth="1"/>
    <col min="16145" max="16145" width="14.5703125" customWidth="1"/>
    <col min="16146" max="16146" width="16.85546875" bestFit="1" customWidth="1"/>
    <col min="16147" max="16147" width="14.42578125" bestFit="1" customWidth="1"/>
    <col min="16148" max="16148" width="14.5703125" customWidth="1"/>
    <col min="16149" max="16149" width="16.85546875" bestFit="1" customWidth="1"/>
    <col min="16150" max="16150" width="15.28515625" customWidth="1"/>
    <col min="16151" max="16151" width="14.5703125" customWidth="1"/>
    <col min="16152" max="16152" width="16.85546875" bestFit="1" customWidth="1"/>
    <col min="16153" max="16153" width="14.85546875" customWidth="1"/>
    <col min="16154" max="16154" width="14.5703125" customWidth="1"/>
    <col min="16155" max="16155" width="16.85546875" bestFit="1" customWidth="1"/>
    <col min="16156" max="16156" width="16" customWidth="1"/>
    <col min="16157" max="16157" width="13.7109375" bestFit="1" customWidth="1"/>
    <col min="16158" max="16158" width="13.85546875" bestFit="1" customWidth="1"/>
    <col min="16159" max="16159" width="14.42578125" customWidth="1"/>
    <col min="16160" max="16160" width="10.140625" customWidth="1"/>
    <col min="16161" max="16161" width="14" bestFit="1" customWidth="1"/>
  </cols>
  <sheetData>
    <row r="1" spans="1:36" ht="43.5" customHeight="1" thickBot="1">
      <c r="C1" s="3470" t="s">
        <v>15046</v>
      </c>
      <c r="D1" s="3470"/>
      <c r="E1" s="3470"/>
      <c r="F1" s="3470"/>
      <c r="G1" s="3470"/>
      <c r="H1" s="3470"/>
      <c r="I1" s="3470"/>
      <c r="J1" s="3470"/>
      <c r="K1" s="3470"/>
      <c r="L1" s="3470"/>
      <c r="M1" s="3470"/>
      <c r="N1" s="3470"/>
      <c r="O1" s="3470"/>
      <c r="P1" s="3470"/>
      <c r="Q1" s="3470"/>
      <c r="R1" s="3470"/>
      <c r="S1" s="3470"/>
      <c r="T1" s="3470"/>
      <c r="U1" s="3470"/>
      <c r="V1" s="3470"/>
      <c r="W1" s="3470"/>
      <c r="X1" s="3470"/>
      <c r="Y1" s="3470"/>
      <c r="Z1" s="3470"/>
      <c r="AA1" s="3470"/>
      <c r="AB1" s="3470"/>
    </row>
    <row r="2" spans="1:36" ht="19.5" hidden="1" outlineLevel="1" thickBot="1">
      <c r="A2" s="2220"/>
      <c r="B2" s="2221"/>
      <c r="C2" s="2222"/>
      <c r="D2" s="2496"/>
      <c r="E2" s="3335" t="s">
        <v>14964</v>
      </c>
      <c r="F2" s="3336"/>
      <c r="G2" s="3336"/>
      <c r="H2" s="3336"/>
      <c r="I2" s="3336"/>
      <c r="J2" s="3336"/>
      <c r="K2" s="3336"/>
      <c r="L2" s="3336"/>
      <c r="M2" s="3337"/>
      <c r="N2" s="3335"/>
      <c r="O2" s="3336"/>
      <c r="P2" s="3336"/>
      <c r="Q2" s="3335"/>
      <c r="R2" s="3336"/>
      <c r="S2" s="3337"/>
      <c r="T2" s="3336"/>
      <c r="U2" s="3336"/>
      <c r="V2" s="3336"/>
      <c r="W2" s="3335"/>
      <c r="X2" s="3336"/>
      <c r="Y2" s="3336"/>
      <c r="Z2" s="3335"/>
      <c r="AA2" s="3336"/>
      <c r="AB2" s="3337"/>
    </row>
    <row r="3" spans="1:36" s="2218" customFormat="1" collapsed="1">
      <c r="B3" s="3338" t="s">
        <v>665</v>
      </c>
      <c r="C3" s="3340" t="s">
        <v>1306</v>
      </c>
      <c r="D3" s="3342" t="s">
        <v>1307</v>
      </c>
      <c r="E3" s="3460">
        <v>2020</v>
      </c>
      <c r="F3" s="3461"/>
      <c r="G3" s="3461"/>
      <c r="H3" s="3461">
        <v>2021</v>
      </c>
      <c r="I3" s="3461"/>
      <c r="J3" s="3461"/>
      <c r="K3" s="3461">
        <v>2022</v>
      </c>
      <c r="L3" s="3461"/>
      <c r="M3" s="3463"/>
      <c r="N3" s="3460">
        <v>2024</v>
      </c>
      <c r="O3" s="3461"/>
      <c r="P3" s="3462"/>
      <c r="Q3" s="3344">
        <v>2025</v>
      </c>
      <c r="R3" s="3345"/>
      <c r="S3" s="3347"/>
      <c r="T3" s="3464">
        <v>2026</v>
      </c>
      <c r="U3" s="3461"/>
      <c r="V3" s="3462"/>
      <c r="W3" s="3460">
        <v>2027</v>
      </c>
      <c r="X3" s="3461"/>
      <c r="Y3" s="3462"/>
      <c r="Z3" s="3460">
        <v>2028</v>
      </c>
      <c r="AA3" s="3461"/>
      <c r="AB3" s="3463"/>
      <c r="AC3" s="2072"/>
      <c r="AD3" s="2073"/>
      <c r="AE3" s="2074"/>
    </row>
    <row r="4" spans="1:36" s="2218" customFormat="1" ht="26.25" thickBot="1">
      <c r="B4" s="3467"/>
      <c r="C4" s="3468"/>
      <c r="D4" s="3469"/>
      <c r="E4" s="2223" t="s">
        <v>14966</v>
      </c>
      <c r="F4" s="2224" t="s">
        <v>14967</v>
      </c>
      <c r="G4" s="2225" t="s">
        <v>1310</v>
      </c>
      <c r="H4" s="2224" t="s">
        <v>14968</v>
      </c>
      <c r="I4" s="2224" t="s">
        <v>14969</v>
      </c>
      <c r="J4" s="2225" t="s">
        <v>1310</v>
      </c>
      <c r="K4" s="2224" t="s">
        <v>14970</v>
      </c>
      <c r="L4" s="2224" t="s">
        <v>14971</v>
      </c>
      <c r="M4" s="2227" t="s">
        <v>1310</v>
      </c>
      <c r="N4" s="2223" t="s">
        <v>14972</v>
      </c>
      <c r="O4" s="2224" t="s">
        <v>14973</v>
      </c>
      <c r="P4" s="2226" t="s">
        <v>1310</v>
      </c>
      <c r="Q4" s="2223" t="s">
        <v>14974</v>
      </c>
      <c r="R4" s="2224" t="s">
        <v>14975</v>
      </c>
      <c r="S4" s="2227" t="s">
        <v>1310</v>
      </c>
      <c r="T4" s="2228" t="s">
        <v>14976</v>
      </c>
      <c r="U4" s="2224" t="s">
        <v>14977</v>
      </c>
      <c r="V4" s="2226" t="s">
        <v>1310</v>
      </c>
      <c r="W4" s="2223" t="s">
        <v>14978</v>
      </c>
      <c r="X4" s="2224" t="s">
        <v>14979</v>
      </c>
      <c r="Y4" s="2226" t="s">
        <v>1310</v>
      </c>
      <c r="Z4" s="2223" t="s">
        <v>14980</v>
      </c>
      <c r="AA4" s="2224" t="s">
        <v>14981</v>
      </c>
      <c r="AB4" s="2475" t="s">
        <v>1310</v>
      </c>
      <c r="AC4" s="1437"/>
      <c r="AD4" s="1438"/>
      <c r="AE4" s="2831" t="s">
        <v>16</v>
      </c>
    </row>
    <row r="5" spans="1:36" s="2218" customFormat="1" ht="11.25" hidden="1" customHeight="1" outlineLevel="1" thickBot="1">
      <c r="B5" s="2229"/>
      <c r="C5" s="2230"/>
      <c r="D5" s="2231"/>
      <c r="E5" s="2232"/>
      <c r="F5" s="2219"/>
      <c r="G5" s="2219"/>
      <c r="H5" s="2219"/>
      <c r="I5" s="2219"/>
      <c r="J5" s="2219"/>
      <c r="K5" s="2219"/>
      <c r="L5" s="2219"/>
      <c r="M5" s="2234"/>
      <c r="N5" s="2232"/>
      <c r="O5" s="2233"/>
      <c r="P5" s="2233"/>
      <c r="Q5" s="2232"/>
      <c r="R5" s="2233"/>
      <c r="S5" s="2234"/>
      <c r="T5" s="2233"/>
      <c r="U5" s="2233"/>
      <c r="V5" s="2233"/>
      <c r="W5" s="2232"/>
      <c r="X5" s="2233"/>
      <c r="Y5" s="2233"/>
      <c r="Z5" s="2232"/>
      <c r="AA5" s="2233"/>
      <c r="AB5" s="2476"/>
      <c r="AC5" s="1540"/>
      <c r="AD5" s="1540"/>
      <c r="AE5" s="1540"/>
    </row>
    <row r="6" spans="1:36" s="2218" customFormat="1" ht="19.5" collapsed="1" thickBot="1">
      <c r="A6" s="2235">
        <v>1</v>
      </c>
      <c r="B6" s="2236"/>
      <c r="C6" s="2237" t="s">
        <v>1311</v>
      </c>
      <c r="D6" s="2497"/>
      <c r="E6" s="2239">
        <f>E7+E238+E271+E272</f>
        <v>169608.15879396093</v>
      </c>
      <c r="F6" s="2239">
        <f>F7+F238+F271+F272</f>
        <v>175079.5790548732</v>
      </c>
      <c r="G6" s="2240">
        <f t="shared" ref="G6:G69" si="0">E6/2+F6/2</f>
        <v>172343.86892441707</v>
      </c>
      <c r="H6" s="2239">
        <f>H7+H238+H271+H272</f>
        <v>175938.93761191954</v>
      </c>
      <c r="I6" s="2239">
        <f>I7+I238+I271+I272</f>
        <v>180741.14928988094</v>
      </c>
      <c r="J6" s="2240">
        <f t="shared" ref="J6:J69" si="1">H6/2+I6/2</f>
        <v>178340.04345090024</v>
      </c>
      <c r="K6" s="2239">
        <f>K7+K238+K271+K272</f>
        <v>171760.49598650672</v>
      </c>
      <c r="L6" s="2239">
        <f>L7+L238+L271+L272</f>
        <v>177425.716543616</v>
      </c>
      <c r="M6" s="2240">
        <f t="shared" ref="M6:M69" si="2">K6/2+L6/2</f>
        <v>174593.10626506136</v>
      </c>
      <c r="N6" s="2239">
        <f>N7+N238+N271+N272</f>
        <v>342843.54620148148</v>
      </c>
      <c r="O6" s="2242">
        <f>O7+O238+O271+O272</f>
        <v>478236.58372934954</v>
      </c>
      <c r="P6" s="2241">
        <f t="shared" ref="P6:P69" si="3">N6/2+O6/2</f>
        <v>410540.06496541551</v>
      </c>
      <c r="Q6" s="2239">
        <f>Q7+Q238+Q271+Q272</f>
        <v>478236.58393730747</v>
      </c>
      <c r="R6" s="2242">
        <f>R7+R238+R271+R272</f>
        <v>583844.83770847891</v>
      </c>
      <c r="S6" s="2240">
        <f t="shared" ref="S6:S69" si="4">Q6/2+R6/2</f>
        <v>531040.71082289319</v>
      </c>
      <c r="T6" s="2239">
        <f>T7+T238+T271+T272</f>
        <v>583844.83770847891</v>
      </c>
      <c r="U6" s="2242">
        <f>U7+U238+U271+U272</f>
        <v>697527.55251288833</v>
      </c>
      <c r="V6" s="2241">
        <f t="shared" ref="V6:V69" si="5">T6/2+U6/2</f>
        <v>640686.19511068356</v>
      </c>
      <c r="W6" s="2239">
        <f>W7+W238+W271+W272</f>
        <v>697527.55251288833</v>
      </c>
      <c r="X6" s="2897">
        <f>X7+X238+X271+X272</f>
        <v>820521.42164792726</v>
      </c>
      <c r="Y6" s="2241">
        <f t="shared" ref="Y6:Y69" si="6">W6/2+X6/2</f>
        <v>759024.48708040779</v>
      </c>
      <c r="Z6" s="2239">
        <f>Z7+Z238+Z271+Z272</f>
        <v>820521.42164792726</v>
      </c>
      <c r="AA6" s="2242">
        <f>AA7+AA238+AA271+AA272</f>
        <v>926635.67509748181</v>
      </c>
      <c r="AB6" s="2240">
        <f t="shared" ref="AB6:AB69" si="7">Z6/2+AA6/2</f>
        <v>873578.54837270454</v>
      </c>
      <c r="AC6" s="2606"/>
      <c r="AD6" s="2606"/>
      <c r="AE6" s="2606"/>
      <c r="AF6" s="2593"/>
      <c r="AG6" s="2593"/>
      <c r="AH6" s="2593"/>
      <c r="AI6" s="2593"/>
      <c r="AJ6" s="2593"/>
    </row>
    <row r="7" spans="1:36" s="2218" customFormat="1" ht="18.75" outlineLevel="1">
      <c r="A7" s="2235">
        <v>253</v>
      </c>
      <c r="B7" s="2243"/>
      <c r="C7" s="2244" t="s">
        <v>1312</v>
      </c>
      <c r="D7" s="2499" t="s">
        <v>1313</v>
      </c>
      <c r="E7" s="2246">
        <f>E8+E236</f>
        <v>169608.15879396093</v>
      </c>
      <c r="F7" s="2247">
        <f>F8+F236</f>
        <v>175079.5790548732</v>
      </c>
      <c r="G7" s="2248">
        <f t="shared" si="0"/>
        <v>172343.86892441707</v>
      </c>
      <c r="H7" s="2247">
        <f>H8+H236</f>
        <v>175938.93761191954</v>
      </c>
      <c r="I7" s="2247">
        <f>I8+I236</f>
        <v>180741.14928988094</v>
      </c>
      <c r="J7" s="2248">
        <f t="shared" si="1"/>
        <v>178340.04345090024</v>
      </c>
      <c r="K7" s="2247">
        <f>K8+K236</f>
        <v>168568.91373690858</v>
      </c>
      <c r="L7" s="2247">
        <f>L8+L236</f>
        <v>174234.13429401786</v>
      </c>
      <c r="M7" s="2250">
        <f t="shared" si="2"/>
        <v>171401.52401546322</v>
      </c>
      <c r="N7" s="2246">
        <f>N8+N236</f>
        <v>337722.74687165959</v>
      </c>
      <c r="O7" s="2247">
        <f>O8+O236</f>
        <v>509723.23064707394</v>
      </c>
      <c r="P7" s="2249">
        <f t="shared" si="3"/>
        <v>423722.9887593668</v>
      </c>
      <c r="Q7" s="2246">
        <f>Q8+Q236</f>
        <v>509723.23085503187</v>
      </c>
      <c r="R7" s="2247">
        <f>R8+R236</f>
        <v>532471.58456384833</v>
      </c>
      <c r="S7" s="2250">
        <f t="shared" si="4"/>
        <v>521097.4077094401</v>
      </c>
      <c r="T7" s="2246">
        <f>T8+T236</f>
        <v>532471.58456384833</v>
      </c>
      <c r="U7" s="2247">
        <f>U8+U236</f>
        <v>556320.07244259783</v>
      </c>
      <c r="V7" s="2249">
        <f t="shared" si="5"/>
        <v>544395.82850322314</v>
      </c>
      <c r="W7" s="2246">
        <f>W8+W236</f>
        <v>556320.07244259783</v>
      </c>
      <c r="X7" s="2247">
        <f>X8+X236</f>
        <v>581241.8684396476</v>
      </c>
      <c r="Y7" s="2249">
        <f t="shared" si="6"/>
        <v>568780.97044112277</v>
      </c>
      <c r="Z7" s="2246">
        <f>Z8+Z236</f>
        <v>581241.8684396476</v>
      </c>
      <c r="AA7" s="2247">
        <f>AA8+AA236</f>
        <v>607352.34883231076</v>
      </c>
      <c r="AB7" s="2250">
        <f t="shared" si="7"/>
        <v>594297.10863597924</v>
      </c>
      <c r="AC7" s="2606"/>
      <c r="AD7" s="2606"/>
      <c r="AE7" s="2606"/>
      <c r="AF7" s="2593"/>
      <c r="AG7" s="2593"/>
      <c r="AH7" s="2593"/>
      <c r="AI7" s="2593"/>
      <c r="AJ7" s="2593"/>
    </row>
    <row r="8" spans="1:36" s="2218" customFormat="1" ht="18.75" outlineLevel="1">
      <c r="A8" s="2235">
        <v>252</v>
      </c>
      <c r="B8" s="2252">
        <v>1</v>
      </c>
      <c r="C8" s="2253" t="s">
        <v>1314</v>
      </c>
      <c r="D8" s="2500" t="s">
        <v>1313</v>
      </c>
      <c r="E8" s="2255">
        <f>E9+E125+E175</f>
        <v>147508.01998747772</v>
      </c>
      <c r="F8" s="2256">
        <f>F9+F125+F175</f>
        <v>152979.44024838999</v>
      </c>
      <c r="G8" s="2257">
        <f t="shared" si="0"/>
        <v>150243.73011793385</v>
      </c>
      <c r="H8" s="2256">
        <f>H9+H125+H175</f>
        <v>149373.78481852467</v>
      </c>
      <c r="I8" s="2256">
        <f>I9+I125+I175</f>
        <v>154175.99649648607</v>
      </c>
      <c r="J8" s="2257">
        <f t="shared" si="1"/>
        <v>151774.89065750537</v>
      </c>
      <c r="K8" s="2256">
        <f>K9+K125+K175</f>
        <v>134747.1431019404</v>
      </c>
      <c r="L8" s="2256">
        <f>L9+L125+L175</f>
        <v>140412.36365904968</v>
      </c>
      <c r="M8" s="2259">
        <f t="shared" si="2"/>
        <v>137579.75338049504</v>
      </c>
      <c r="N8" s="2255">
        <f>N9+N125+N175</f>
        <v>335889.38543318119</v>
      </c>
      <c r="O8" s="2256">
        <f>O9+O125+O175</f>
        <v>509723.23064707394</v>
      </c>
      <c r="P8" s="2258">
        <f t="shared" si="3"/>
        <v>422806.30804012757</v>
      </c>
      <c r="Q8" s="2255">
        <f>Q9+Q125+Q175</f>
        <v>509723.23085503187</v>
      </c>
      <c r="R8" s="2256">
        <f>R9+R125+R175</f>
        <v>532471.58456384833</v>
      </c>
      <c r="S8" s="2259">
        <f t="shared" si="4"/>
        <v>521097.4077094401</v>
      </c>
      <c r="T8" s="2255">
        <f>T9+T125+T175</f>
        <v>532471.58456384833</v>
      </c>
      <c r="U8" s="2256">
        <f>U9+U125+U175</f>
        <v>556320.07244259783</v>
      </c>
      <c r="V8" s="2258">
        <f t="shared" si="5"/>
        <v>544395.82850322314</v>
      </c>
      <c r="W8" s="2255">
        <f>W9+W125+W175</f>
        <v>556320.07244259783</v>
      </c>
      <c r="X8" s="2256">
        <f>X9+X125+X175</f>
        <v>581241.8684396476</v>
      </c>
      <c r="Y8" s="2258">
        <f t="shared" si="6"/>
        <v>568780.97044112277</v>
      </c>
      <c r="Z8" s="2255">
        <f>Z9+Z125+Z175</f>
        <v>581241.8684396476</v>
      </c>
      <c r="AA8" s="2256">
        <f>AA9+AA125+AA175</f>
        <v>607352.34883231076</v>
      </c>
      <c r="AB8" s="2259">
        <f t="shared" si="7"/>
        <v>594297.10863597924</v>
      </c>
      <c r="AC8" s="2606"/>
      <c r="AD8" s="2606"/>
      <c r="AE8" s="2606"/>
      <c r="AF8" s="2593"/>
      <c r="AG8" s="2593"/>
      <c r="AH8" s="2593"/>
      <c r="AI8" s="2593"/>
      <c r="AJ8" s="2593"/>
    </row>
    <row r="9" spans="1:36" s="2218" customFormat="1" ht="19.5" outlineLevel="1" thickBot="1">
      <c r="A9" s="2235">
        <v>254</v>
      </c>
      <c r="B9" s="2261" t="s">
        <v>25</v>
      </c>
      <c r="C9" s="2262" t="s">
        <v>1315</v>
      </c>
      <c r="D9" s="2501" t="s">
        <v>1313</v>
      </c>
      <c r="E9" s="2264">
        <f>E10+E54+E69+E96</f>
        <v>118612.06965791123</v>
      </c>
      <c r="F9" s="2265">
        <f>F10+F54+F69+F96</f>
        <v>122955.86576862742</v>
      </c>
      <c r="G9" s="2266">
        <f t="shared" si="0"/>
        <v>120783.96771326932</v>
      </c>
      <c r="H9" s="2265">
        <f>H10+H54+H69+H96</f>
        <v>119823.81825908301</v>
      </c>
      <c r="I9" s="2265">
        <f>I10+I54+I69+I96</f>
        <v>123765.18967862078</v>
      </c>
      <c r="J9" s="2266">
        <f t="shared" si="1"/>
        <v>121794.5039688519</v>
      </c>
      <c r="K9" s="2265">
        <f>K10+K54+K69+K96</f>
        <v>106120.85512622463</v>
      </c>
      <c r="L9" s="2265">
        <f>L10+L54+L69+L96</f>
        <v>111072.40175200388</v>
      </c>
      <c r="M9" s="2268">
        <f t="shared" si="2"/>
        <v>108596.62843911425</v>
      </c>
      <c r="N9" s="2264">
        <f>N10+N54+N69+N96</f>
        <v>161622.07347750958</v>
      </c>
      <c r="O9" s="2265">
        <f>O10+O54+O69+O96</f>
        <v>299362.50057990081</v>
      </c>
      <c r="P9" s="2267">
        <f t="shared" si="3"/>
        <v>230492.28702870518</v>
      </c>
      <c r="Q9" s="2264">
        <f>Q10+Q54+Q69+Q96</f>
        <v>299362.50078785873</v>
      </c>
      <c r="R9" s="2265">
        <f>R10+R54+R69+R96</f>
        <v>311147.65022962668</v>
      </c>
      <c r="S9" s="2268">
        <f t="shared" si="4"/>
        <v>305255.07550874271</v>
      </c>
      <c r="T9" s="2264">
        <f>T10+T54+T69+T96</f>
        <v>311147.65022962668</v>
      </c>
      <c r="U9" s="2265">
        <f>U10+U54+U69+U96</f>
        <v>323455.67264240631</v>
      </c>
      <c r="V9" s="2267">
        <f t="shared" si="5"/>
        <v>317301.6614360165</v>
      </c>
      <c r="W9" s="2264">
        <f>W10+W54+W69+W96</f>
        <v>323455.67264240631</v>
      </c>
      <c r="X9" s="2265">
        <f>X10+X54+X69+X96</f>
        <v>336234.24781099742</v>
      </c>
      <c r="Y9" s="2267">
        <f t="shared" si="6"/>
        <v>329844.96022670186</v>
      </c>
      <c r="Z9" s="2264">
        <f>Z10+Z54+Z69+Z96</f>
        <v>336234.24781099742</v>
      </c>
      <c r="AA9" s="2265">
        <f>AA10+AA54+AA69+AA96</f>
        <v>349567.21800111479</v>
      </c>
      <c r="AB9" s="2268">
        <f t="shared" si="7"/>
        <v>342900.7329060561</v>
      </c>
      <c r="AC9" s="2606"/>
      <c r="AD9" s="2606"/>
      <c r="AE9" s="2606"/>
      <c r="AF9" s="2593"/>
      <c r="AG9" s="2593"/>
      <c r="AH9" s="2593"/>
      <c r="AI9" s="2593"/>
      <c r="AJ9" s="2593"/>
    </row>
    <row r="10" spans="1:36" s="2218" customFormat="1" ht="19.5" outlineLevel="1" thickBot="1">
      <c r="A10" s="2235">
        <v>3</v>
      </c>
      <c r="B10" s="2270" t="s">
        <v>1132</v>
      </c>
      <c r="C10" s="2271" t="s">
        <v>1316</v>
      </c>
      <c r="D10" s="2502" t="s">
        <v>1317</v>
      </c>
      <c r="E10" s="2273">
        <f>E11+E30+E31+E43+E44+E47</f>
        <v>49217.80332686771</v>
      </c>
      <c r="F10" s="2273">
        <f>F11+F30+F31+F43+F44+F47</f>
        <v>51127.914239659236</v>
      </c>
      <c r="G10" s="2274">
        <f t="shared" si="0"/>
        <v>50172.858783263473</v>
      </c>
      <c r="H10" s="2275">
        <f>H11+H30+H31+H43+H44+H47</f>
        <v>49933.603492024544</v>
      </c>
      <c r="I10" s="2275">
        <f>I11+I30+I31+I43+I44+I47</f>
        <v>51597.466347686284</v>
      </c>
      <c r="J10" s="2274">
        <f t="shared" si="1"/>
        <v>50765.534919855418</v>
      </c>
      <c r="K10" s="2275">
        <f>K11+K30+K31+K43+K44+K47</f>
        <v>48160.471265631262</v>
      </c>
      <c r="L10" s="2275">
        <f>L11+L30+L31+L43+L44+L47</f>
        <v>50361.536961912156</v>
      </c>
      <c r="M10" s="2274">
        <f t="shared" si="2"/>
        <v>49261.004113771705</v>
      </c>
      <c r="N10" s="2273">
        <f>N11+N30+N31+N43+N44+N47</f>
        <v>54822.830228198902</v>
      </c>
      <c r="O10" s="2275">
        <f>O11+O30+O31+O43+O44+O47</f>
        <v>121703.53310063278</v>
      </c>
      <c r="P10" s="2276">
        <f t="shared" si="3"/>
        <v>88263.181664415839</v>
      </c>
      <c r="Q10" s="2273">
        <f>Q11+Q30+Q31+Q43+Q44+Q47</f>
        <v>121703.53309160701</v>
      </c>
      <c r="R10" s="2275">
        <f>R11+R30+R31+R43+R44+R47</f>
        <v>126571.67441527132</v>
      </c>
      <c r="S10" s="2274">
        <f t="shared" si="4"/>
        <v>124137.60375343917</v>
      </c>
      <c r="T10" s="2273">
        <f>T11+T30+T31+T43+T44+T47</f>
        <v>126571.67441527132</v>
      </c>
      <c r="U10" s="2275">
        <f>U11+U30+U31+U43+U44+U47</f>
        <v>131634.54139188214</v>
      </c>
      <c r="V10" s="2276">
        <f t="shared" si="5"/>
        <v>129103.10790357673</v>
      </c>
      <c r="W10" s="2273">
        <f>W11+W30+W31+W43+W44+W47</f>
        <v>131634.54139188214</v>
      </c>
      <c r="X10" s="2275">
        <f>X11+X30+X31+X43+X44+X47</f>
        <v>136899.92304755744</v>
      </c>
      <c r="Y10" s="2276">
        <f t="shared" si="6"/>
        <v>134267.23221971979</v>
      </c>
      <c r="Z10" s="2273">
        <f>Z11+Z30+Z31+Z43+Z44+Z47</f>
        <v>136899.92304755744</v>
      </c>
      <c r="AA10" s="2275">
        <f>AA11+AA30+AA31+AA43+AA44+AA47</f>
        <v>142375.91996945973</v>
      </c>
      <c r="AB10" s="2274">
        <f t="shared" si="7"/>
        <v>139637.92150850859</v>
      </c>
      <c r="AC10" s="2606"/>
      <c r="AD10" s="2606"/>
      <c r="AE10" s="2606"/>
      <c r="AF10" s="2593"/>
      <c r="AG10" s="2593"/>
      <c r="AH10" s="2593"/>
      <c r="AI10" s="2593"/>
      <c r="AJ10" s="2593"/>
    </row>
    <row r="11" spans="1:36" s="2218" customFormat="1" outlineLevel="1">
      <c r="A11" s="2235">
        <v>4</v>
      </c>
      <c r="B11" s="2243" t="s">
        <v>1318</v>
      </c>
      <c r="C11" s="2278" t="s">
        <v>1319</v>
      </c>
      <c r="D11" s="2499" t="s">
        <v>1317</v>
      </c>
      <c r="E11" s="2465">
        <f>E12+E29</f>
        <v>10882.052656434687</v>
      </c>
      <c r="F11" s="2466">
        <f>F12+F29</f>
        <v>11208.514236127729</v>
      </c>
      <c r="G11" s="2248">
        <f t="shared" si="0"/>
        <v>11045.283446281208</v>
      </c>
      <c r="H11" s="2465">
        <f>H12+H29</f>
        <v>11957.749384530976</v>
      </c>
      <c r="I11" s="2466">
        <f>I12+I29</f>
        <v>12388.228362374093</v>
      </c>
      <c r="J11" s="2248">
        <f t="shared" si="1"/>
        <v>12172.988873452534</v>
      </c>
      <c r="K11" s="2465">
        <f>K12+K29</f>
        <v>12396.310628482945</v>
      </c>
      <c r="L11" s="2466">
        <f>L12+L29</f>
        <v>12929.35198550771</v>
      </c>
      <c r="M11" s="2250">
        <f t="shared" si="2"/>
        <v>12662.831306995327</v>
      </c>
      <c r="N11" s="2465">
        <f>N12+N29</f>
        <v>13468.858685620584</v>
      </c>
      <c r="O11" s="2466">
        <f>O12+O29</f>
        <v>26863.804589839259</v>
      </c>
      <c r="P11" s="2249">
        <f t="shared" si="3"/>
        <v>20166.33163772992</v>
      </c>
      <c r="Q11" s="2465">
        <f>Q12+Q29</f>
        <v>26863.804589839259</v>
      </c>
      <c r="R11" s="2466">
        <f>R12+R29</f>
        <v>27938.356773432832</v>
      </c>
      <c r="S11" s="2250">
        <f t="shared" si="4"/>
        <v>27401.080681636045</v>
      </c>
      <c r="T11" s="2465">
        <f>T12+T29</f>
        <v>27938.356773432832</v>
      </c>
      <c r="U11" s="2466">
        <f>U12+U29</f>
        <v>29055.891044370146</v>
      </c>
      <c r="V11" s="2249">
        <f t="shared" si="5"/>
        <v>28497.123908901489</v>
      </c>
      <c r="W11" s="2465">
        <f>W12+W29</f>
        <v>29055.891044370146</v>
      </c>
      <c r="X11" s="2466">
        <f>X12+X29</f>
        <v>30218.126686144955</v>
      </c>
      <c r="Y11" s="2249">
        <f t="shared" si="6"/>
        <v>29637.00886525755</v>
      </c>
      <c r="Z11" s="2465">
        <f>Z12+Z29</f>
        <v>30218.126686144955</v>
      </c>
      <c r="AA11" s="2466">
        <f>AA12+AA29</f>
        <v>31426.851753590752</v>
      </c>
      <c r="AB11" s="2250">
        <f t="shared" si="7"/>
        <v>30822.489219867854</v>
      </c>
      <c r="AC11" s="2606"/>
      <c r="AD11" s="2606"/>
      <c r="AE11" s="2606"/>
      <c r="AF11" s="2593"/>
      <c r="AG11" s="2593"/>
      <c r="AH11" s="2593"/>
      <c r="AI11" s="2593"/>
      <c r="AJ11" s="2593"/>
    </row>
    <row r="12" spans="1:36" s="2218" customFormat="1" outlineLevel="1">
      <c r="A12" s="2235">
        <v>317</v>
      </c>
      <c r="B12" s="2279" t="s">
        <v>1737</v>
      </c>
      <c r="C12" s="2280" t="s">
        <v>1738</v>
      </c>
      <c r="D12" s="2500"/>
      <c r="E12" s="2255">
        <f>E13+E16+E19+E22+E25+E28</f>
        <v>5450.9133542306972</v>
      </c>
      <c r="F12" s="2256">
        <f>F13+F16+F19+F22+F25+F28</f>
        <v>5614.4407548576182</v>
      </c>
      <c r="G12" s="2257">
        <f t="shared" si="0"/>
        <v>5532.6770545441577</v>
      </c>
      <c r="H12" s="2256">
        <f>H13+H16+H19+H22+H25+H28</f>
        <v>5229.1102442589781</v>
      </c>
      <c r="I12" s="2256">
        <f>I13+I16+I19+I22+I25+I28</f>
        <v>5417.3582130523018</v>
      </c>
      <c r="J12" s="2257">
        <f t="shared" si="1"/>
        <v>5323.2342286556395</v>
      </c>
      <c r="K12" s="2256">
        <f>K13+K16+K19+K22+K25+K28</f>
        <v>6182.9428247509386</v>
      </c>
      <c r="L12" s="2256">
        <f>L13+L16+L19+L22+L25+L28</f>
        <v>6448.8093662152287</v>
      </c>
      <c r="M12" s="2259">
        <f t="shared" si="2"/>
        <v>6315.8760954830832</v>
      </c>
      <c r="N12" s="2255">
        <f>'[11]НВВ 26.09.23.'!N12+'[12]НВВ 26.09.'!N12</f>
        <v>4943.6378733216952</v>
      </c>
      <c r="O12" s="2260">
        <f>'[11]НВВ 26.09.23.'!O12+'[12]НВВ 26.09.'!O12</f>
        <v>9831.3830160246762</v>
      </c>
      <c r="P12" s="2258">
        <f t="shared" si="3"/>
        <v>7387.5104446731857</v>
      </c>
      <c r="Q12" s="2255">
        <f>'[11]НВВ 26.09.23.'!Q12+'[12]НВВ 26.09.'!Q12</f>
        <v>9831.3830160246762</v>
      </c>
      <c r="R12" s="2260">
        <f>'[11]НВВ 26.09.23.'!R12+'[12]НВВ 26.09.'!R12</f>
        <v>10224.638336665665</v>
      </c>
      <c r="S12" s="2259">
        <f t="shared" si="4"/>
        <v>10028.010676345169</v>
      </c>
      <c r="T12" s="2255">
        <f>'[11]НВВ 26.09.23.'!T12+'[12]НВВ 26.09.'!T12</f>
        <v>10224.638336665665</v>
      </c>
      <c r="U12" s="2260">
        <f>'[11]НВВ 26.09.23.'!U12+'[12]НВВ 26.09.'!U12</f>
        <v>10633.623870132291</v>
      </c>
      <c r="V12" s="2258">
        <f t="shared" si="5"/>
        <v>10429.131103398977</v>
      </c>
      <c r="W12" s="2255">
        <f>'[11]НВВ 26.09.23.'!W12+'[12]НВВ 26.09.'!W12</f>
        <v>10633.623870132291</v>
      </c>
      <c r="X12" s="2260">
        <f>'[11]НВВ 26.09.23.'!X12+'[12]НВВ 26.09.'!X12</f>
        <v>11058.968824937581</v>
      </c>
      <c r="Y12" s="2258">
        <f t="shared" si="6"/>
        <v>10846.296347534935</v>
      </c>
      <c r="Z12" s="2255">
        <f>'[11]НВВ 26.09.23.'!Z12+'[12]НВВ 26.09.'!Z12</f>
        <v>11058.968824937581</v>
      </c>
      <c r="AA12" s="2260">
        <f>'[11]НВВ 26.09.23.'!AA12+'[12]НВВ 26.09.'!AA12</f>
        <v>11501.327577935088</v>
      </c>
      <c r="AB12" s="2259">
        <f t="shared" si="7"/>
        <v>11280.148201436336</v>
      </c>
      <c r="AC12" s="2606"/>
      <c r="AD12" s="2606"/>
      <c r="AE12" s="2606"/>
      <c r="AF12" s="2593"/>
      <c r="AG12" s="2593"/>
      <c r="AH12" s="2593"/>
      <c r="AI12" s="2593"/>
      <c r="AJ12" s="2593"/>
    </row>
    <row r="13" spans="1:36" s="2218" customFormat="1" hidden="1" outlineLevel="2">
      <c r="A13" s="2235">
        <v>318</v>
      </c>
      <c r="B13" s="2279" t="s">
        <v>1739</v>
      </c>
      <c r="C13" s="2280" t="s">
        <v>1740</v>
      </c>
      <c r="D13" s="2500" t="s">
        <v>1317</v>
      </c>
      <c r="E13" s="2255">
        <f>E14*E15</f>
        <v>0</v>
      </c>
      <c r="F13" s="2256">
        <f>F14*F15</f>
        <v>0</v>
      </c>
      <c r="G13" s="2257">
        <f t="shared" si="0"/>
        <v>0</v>
      </c>
      <c r="H13" s="2256">
        <f>H14*H15</f>
        <v>0</v>
      </c>
      <c r="I13" s="2256">
        <f>I14*I15</f>
        <v>0</v>
      </c>
      <c r="J13" s="2257">
        <f t="shared" si="1"/>
        <v>0</v>
      </c>
      <c r="K13" s="2256">
        <f>K14*K15</f>
        <v>0</v>
      </c>
      <c r="L13" s="2256">
        <f>L14*L15</f>
        <v>0</v>
      </c>
      <c r="M13" s="2259">
        <f t="shared" si="2"/>
        <v>0</v>
      </c>
      <c r="N13" s="2255">
        <v>0</v>
      </c>
      <c r="O13" s="2256">
        <v>0</v>
      </c>
      <c r="P13" s="2258">
        <f t="shared" si="3"/>
        <v>0</v>
      </c>
      <c r="Q13" s="2255">
        <v>0</v>
      </c>
      <c r="R13" s="2256">
        <v>0</v>
      </c>
      <c r="S13" s="2259">
        <f t="shared" si="4"/>
        <v>0</v>
      </c>
      <c r="T13" s="2255">
        <v>0</v>
      </c>
      <c r="U13" s="2256">
        <v>0</v>
      </c>
      <c r="V13" s="2258">
        <f t="shared" si="5"/>
        <v>0</v>
      </c>
      <c r="W13" s="2255">
        <v>0</v>
      </c>
      <c r="X13" s="2256">
        <v>0</v>
      </c>
      <c r="Y13" s="2258">
        <f t="shared" si="6"/>
        <v>0</v>
      </c>
      <c r="Z13" s="2255">
        <v>0</v>
      </c>
      <c r="AA13" s="2256">
        <v>0</v>
      </c>
      <c r="AB13" s="2259">
        <f t="shared" si="7"/>
        <v>0</v>
      </c>
      <c r="AC13" s="2606"/>
      <c r="AD13" s="2606"/>
      <c r="AE13" s="2606"/>
      <c r="AF13" s="2593"/>
      <c r="AG13" s="2593"/>
      <c r="AH13" s="2593"/>
      <c r="AI13" s="2593"/>
      <c r="AJ13" s="2593"/>
    </row>
    <row r="14" spans="1:36" s="2218" customFormat="1" hidden="1" outlineLevel="2">
      <c r="A14" s="2235">
        <v>319</v>
      </c>
      <c r="B14" s="2281" t="s">
        <v>1741</v>
      </c>
      <c r="C14" s="2282" t="s">
        <v>1327</v>
      </c>
      <c r="D14" s="2504" t="s">
        <v>1742</v>
      </c>
      <c r="E14" s="2284"/>
      <c r="F14" s="2285"/>
      <c r="G14" s="2257">
        <f t="shared" si="0"/>
        <v>0</v>
      </c>
      <c r="H14" s="2285"/>
      <c r="I14" s="2285"/>
      <c r="J14" s="2257">
        <f t="shared" si="1"/>
        <v>0</v>
      </c>
      <c r="K14" s="2285"/>
      <c r="L14" s="2285"/>
      <c r="M14" s="2259">
        <f t="shared" si="2"/>
        <v>0</v>
      </c>
      <c r="N14" s="2284"/>
      <c r="O14" s="2285"/>
      <c r="P14" s="2258">
        <f t="shared" si="3"/>
        <v>0</v>
      </c>
      <c r="Q14" s="2284"/>
      <c r="R14" s="2285"/>
      <c r="S14" s="2259">
        <f t="shared" si="4"/>
        <v>0</v>
      </c>
      <c r="T14" s="2284"/>
      <c r="U14" s="2285"/>
      <c r="V14" s="2258">
        <f t="shared" si="5"/>
        <v>0</v>
      </c>
      <c r="W14" s="2284"/>
      <c r="X14" s="2285"/>
      <c r="Y14" s="2258">
        <f t="shared" si="6"/>
        <v>0</v>
      </c>
      <c r="Z14" s="2284"/>
      <c r="AA14" s="2285"/>
      <c r="AB14" s="2259">
        <f t="shared" si="7"/>
        <v>0</v>
      </c>
      <c r="AC14" s="2606"/>
      <c r="AD14" s="2606"/>
      <c r="AE14" s="2606"/>
      <c r="AF14" s="2593"/>
      <c r="AG14" s="2593"/>
      <c r="AH14" s="2593"/>
      <c r="AI14" s="2593"/>
      <c r="AJ14" s="2593"/>
    </row>
    <row r="15" spans="1:36" s="2218" customFormat="1" hidden="1" outlineLevel="2">
      <c r="A15" s="2235">
        <v>320</v>
      </c>
      <c r="B15" s="2281" t="s">
        <v>1743</v>
      </c>
      <c r="C15" s="2282" t="s">
        <v>1330</v>
      </c>
      <c r="D15" s="2504" t="s">
        <v>1744</v>
      </c>
      <c r="E15" s="2284"/>
      <c r="F15" s="2285"/>
      <c r="G15" s="2257">
        <f t="shared" si="0"/>
        <v>0</v>
      </c>
      <c r="H15" s="2285"/>
      <c r="I15" s="2285"/>
      <c r="J15" s="2257">
        <f t="shared" si="1"/>
        <v>0</v>
      </c>
      <c r="K15" s="2285"/>
      <c r="L15" s="2285"/>
      <c r="M15" s="2259">
        <f t="shared" si="2"/>
        <v>0</v>
      </c>
      <c r="N15" s="2284"/>
      <c r="O15" s="2285"/>
      <c r="P15" s="2258">
        <f t="shared" si="3"/>
        <v>0</v>
      </c>
      <c r="Q15" s="2284"/>
      <c r="R15" s="2285"/>
      <c r="S15" s="2259">
        <f t="shared" si="4"/>
        <v>0</v>
      </c>
      <c r="T15" s="2284"/>
      <c r="U15" s="2285"/>
      <c r="V15" s="2258">
        <f t="shared" si="5"/>
        <v>0</v>
      </c>
      <c r="W15" s="2284"/>
      <c r="X15" s="2285"/>
      <c r="Y15" s="2258">
        <f t="shared" si="6"/>
        <v>0</v>
      </c>
      <c r="Z15" s="2284"/>
      <c r="AA15" s="2285"/>
      <c r="AB15" s="2259">
        <f t="shared" si="7"/>
        <v>0</v>
      </c>
      <c r="AC15" s="2606"/>
      <c r="AD15" s="2606"/>
      <c r="AE15" s="2606"/>
      <c r="AF15" s="2593"/>
      <c r="AG15" s="2593"/>
      <c r="AH15" s="2593"/>
      <c r="AI15" s="2593"/>
      <c r="AJ15" s="2593"/>
    </row>
    <row r="16" spans="1:36" s="2218" customFormat="1" outlineLevel="1" collapsed="1">
      <c r="A16" s="2235">
        <v>322</v>
      </c>
      <c r="B16" s="2279" t="s">
        <v>1745</v>
      </c>
      <c r="C16" s="2280" t="s">
        <v>1746</v>
      </c>
      <c r="D16" s="2500" t="s">
        <v>1317</v>
      </c>
      <c r="E16" s="2255">
        <f>E17*E18</f>
        <v>1203.5802289127043</v>
      </c>
      <c r="F16" s="2256">
        <f>F17*F18</f>
        <v>1239.6876357800854</v>
      </c>
      <c r="G16" s="2257">
        <f t="shared" si="0"/>
        <v>1221.6339323463949</v>
      </c>
      <c r="H16" s="2256">
        <f>H17*H18</f>
        <v>1148.2732501890364</v>
      </c>
      <c r="I16" s="2256">
        <f>I17*I18</f>
        <v>1189.6110871958417</v>
      </c>
      <c r="J16" s="2257">
        <f t="shared" si="1"/>
        <v>1168.9421686924391</v>
      </c>
      <c r="K16" s="2256">
        <f>K17*K18</f>
        <v>765.88574486499385</v>
      </c>
      <c r="L16" s="2256">
        <f>L17*L18</f>
        <v>798.81883189418852</v>
      </c>
      <c r="M16" s="2259">
        <f t="shared" si="2"/>
        <v>782.35228837959119</v>
      </c>
      <c r="N16" s="2255">
        <f>'[11]НВВ 26.09.23.'!N16+'[12]НВВ 26.09.'!N16</f>
        <v>142.98768306443688</v>
      </c>
      <c r="O16" s="2260">
        <f>'[11]НВВ 26.09.23.'!O16+'[12]НВВ 26.09.'!O16</f>
        <v>1570.7543264956264</v>
      </c>
      <c r="P16" s="2258">
        <f t="shared" si="3"/>
        <v>856.87100478003163</v>
      </c>
      <c r="Q16" s="2255">
        <f>'[11]НВВ 26.09.23.'!Q16+'[12]НВВ 26.09.'!Q16</f>
        <v>1570.7543264956266</v>
      </c>
      <c r="R16" s="2260">
        <f>'[11]НВВ 26.09.23.'!R16+'[12]НВВ 26.09.'!R16</f>
        <v>1633.5844995554517</v>
      </c>
      <c r="S16" s="2259">
        <f t="shared" si="4"/>
        <v>1602.1694130255391</v>
      </c>
      <c r="T16" s="2255">
        <f>'[11]НВВ 26.09.23.'!T16+'[12]НВВ 26.09.'!T16</f>
        <v>1633.5844995554517</v>
      </c>
      <c r="U16" s="2260">
        <f>'[11]НВВ 26.09.23.'!U16+'[12]НВВ 26.09.'!U16</f>
        <v>1698.9278795376699</v>
      </c>
      <c r="V16" s="2258">
        <f t="shared" si="5"/>
        <v>1666.2561895465608</v>
      </c>
      <c r="W16" s="2255">
        <f>'[11]НВВ 26.09.23.'!W16+'[12]НВВ 26.09.'!W16</f>
        <v>1698.9278795376699</v>
      </c>
      <c r="X16" s="2260">
        <f>'[11]НВВ 26.09.23.'!X16+'[12]НВВ 26.09.'!X16</f>
        <v>1766.8849947191768</v>
      </c>
      <c r="Y16" s="2258">
        <f t="shared" si="6"/>
        <v>1732.9064371284235</v>
      </c>
      <c r="Z16" s="2255">
        <f>'[11]НВВ 26.09.23.'!Z16+'[12]НВВ 26.09.'!Z16</f>
        <v>1766.8849947191768</v>
      </c>
      <c r="AA16" s="2260">
        <f>'[11]НВВ 26.09.23.'!AA16+'[12]НВВ 26.09.'!AA16</f>
        <v>1837.5603945079438</v>
      </c>
      <c r="AB16" s="2259">
        <f t="shared" si="7"/>
        <v>1802.2226946135602</v>
      </c>
      <c r="AC16" s="2606"/>
      <c r="AD16" s="2606"/>
      <c r="AE16" s="2606"/>
      <c r="AF16" s="2593"/>
      <c r="AG16" s="2593"/>
      <c r="AH16" s="2593"/>
      <c r="AI16" s="2593"/>
      <c r="AJ16" s="2593"/>
    </row>
    <row r="17" spans="1:36" s="2218" customFormat="1" outlineLevel="1">
      <c r="A17" s="2235">
        <v>321</v>
      </c>
      <c r="B17" s="2281" t="s">
        <v>1747</v>
      </c>
      <c r="C17" s="2282" t="s">
        <v>1327</v>
      </c>
      <c r="D17" s="2504" t="s">
        <v>1748</v>
      </c>
      <c r="E17" s="2284">
        <v>34.827448647433023</v>
      </c>
      <c r="F17" s="2285">
        <v>34.827448647433023</v>
      </c>
      <c r="G17" s="2257">
        <f t="shared" si="0"/>
        <v>34.827448647433023</v>
      </c>
      <c r="H17" s="2285">
        <v>31.478863180526449</v>
      </c>
      <c r="I17" s="2285">
        <v>31.478863180526449</v>
      </c>
      <c r="J17" s="2257">
        <f t="shared" si="1"/>
        <v>31.478863180526449</v>
      </c>
      <c r="K17" s="2285">
        <v>20.860304432466183</v>
      </c>
      <c r="L17" s="2285">
        <v>20.860304432466183</v>
      </c>
      <c r="M17" s="2259">
        <f t="shared" si="2"/>
        <v>20.860304432466183</v>
      </c>
      <c r="N17" s="2255">
        <f>'[11]НВВ 26.09.23.'!N17+'[12]НВВ 26.09.'!N17</f>
        <v>3.5226144417859833</v>
      </c>
      <c r="O17" s="2260">
        <f>'[11]НВВ 26.09.23.'!O17+'[12]НВВ 26.09.'!O17</f>
        <v>36.224548732091563</v>
      </c>
      <c r="P17" s="2258">
        <f t="shared" si="3"/>
        <v>19.873581586938773</v>
      </c>
      <c r="Q17" s="2255">
        <f>'[11]НВВ 26.09.23.'!Q17+'[12]НВВ 26.09.'!Q17</f>
        <v>36.224548732091563</v>
      </c>
      <c r="R17" s="2260">
        <f>'[11]НВВ 26.09.23.'!R17+'[12]НВВ 26.09.'!R17</f>
        <v>36.224548732091563</v>
      </c>
      <c r="S17" s="2259">
        <f t="shared" si="4"/>
        <v>36.224548732091563</v>
      </c>
      <c r="T17" s="2255">
        <f>'[11]НВВ 26.09.23.'!T17+'[12]НВВ 26.09.'!T17</f>
        <v>36.224548732091563</v>
      </c>
      <c r="U17" s="2260">
        <f>'[11]НВВ 26.09.23.'!U17+'[12]НВВ 26.09.'!U17</f>
        <v>36.224548732091563</v>
      </c>
      <c r="V17" s="2258">
        <f t="shared" si="5"/>
        <v>36.224548732091563</v>
      </c>
      <c r="W17" s="2255">
        <f>'[11]НВВ 26.09.23.'!W17+'[12]НВВ 26.09.'!W17</f>
        <v>36.224548732091563</v>
      </c>
      <c r="X17" s="2260">
        <f>'[11]НВВ 26.09.23.'!X17+'[12]НВВ 26.09.'!X17</f>
        <v>36.224548732091563</v>
      </c>
      <c r="Y17" s="2258">
        <f t="shared" si="6"/>
        <v>36.224548732091563</v>
      </c>
      <c r="Z17" s="2255">
        <f>'[11]НВВ 26.09.23.'!Z17+'[12]НВВ 26.09.'!Z17</f>
        <v>36.224548732091563</v>
      </c>
      <c r="AA17" s="2260">
        <f>'[11]НВВ 26.09.23.'!AA17+'[12]НВВ 26.09.'!AA17</f>
        <v>36.224548732091563</v>
      </c>
      <c r="AB17" s="2259">
        <f t="shared" si="7"/>
        <v>36.224548732091563</v>
      </c>
      <c r="AC17" s="2606"/>
      <c r="AD17" s="2606"/>
      <c r="AE17" s="2606"/>
      <c r="AF17" s="2593"/>
      <c r="AG17" s="2593"/>
      <c r="AH17" s="2593"/>
      <c r="AI17" s="2593"/>
      <c r="AJ17" s="2593"/>
    </row>
    <row r="18" spans="1:36" s="2218" customFormat="1" outlineLevel="1">
      <c r="A18" s="2235">
        <v>323</v>
      </c>
      <c r="B18" s="2281" t="s">
        <v>1750</v>
      </c>
      <c r="C18" s="2282" t="s">
        <v>1330</v>
      </c>
      <c r="D18" s="2504" t="s">
        <v>1744</v>
      </c>
      <c r="E18" s="2284">
        <v>34.55838069267859</v>
      </c>
      <c r="F18" s="2285">
        <v>35.595132113458945</v>
      </c>
      <c r="G18" s="2257">
        <f t="shared" si="0"/>
        <v>35.076756403068771</v>
      </c>
      <c r="H18" s="2285">
        <v>36.477595890419089</v>
      </c>
      <c r="I18" s="2285">
        <v>37.790789342474177</v>
      </c>
      <c r="J18" s="2257">
        <f t="shared" si="1"/>
        <v>37.134192616446633</v>
      </c>
      <c r="K18" s="2285">
        <v>36.714984066723325</v>
      </c>
      <c r="L18" s="2285">
        <v>38.293728381592423</v>
      </c>
      <c r="M18" s="2259">
        <f t="shared" si="2"/>
        <v>37.504356224157874</v>
      </c>
      <c r="N18" s="2284">
        <f>N16/N17</f>
        <v>40.591352084487966</v>
      </c>
      <c r="O18" s="2286">
        <f>O16/O17</f>
        <v>43.361598183391166</v>
      </c>
      <c r="P18" s="2258">
        <f t="shared" si="3"/>
        <v>41.976475133939566</v>
      </c>
      <c r="Q18" s="2284">
        <f>Q16/Q17</f>
        <v>43.361598183391173</v>
      </c>
      <c r="R18" s="2286">
        <f>R16/R17</f>
        <v>45.09606211072682</v>
      </c>
      <c r="S18" s="2259">
        <f t="shared" si="4"/>
        <v>44.228830147059</v>
      </c>
      <c r="T18" s="2284">
        <f>T16/T17</f>
        <v>45.09606211072682</v>
      </c>
      <c r="U18" s="2286">
        <f>U16/U17</f>
        <v>46.899904595155903</v>
      </c>
      <c r="V18" s="2258">
        <f t="shared" si="5"/>
        <v>45.997983352941361</v>
      </c>
      <c r="W18" s="2284">
        <f>W16/W17</f>
        <v>46.899904595155903</v>
      </c>
      <c r="X18" s="2286">
        <f>X16/X17</f>
        <v>48.775900778962139</v>
      </c>
      <c r="Y18" s="2258">
        <f t="shared" si="6"/>
        <v>47.837902687059021</v>
      </c>
      <c r="Z18" s="2284">
        <f>Z16/Z17</f>
        <v>48.775900778962139</v>
      </c>
      <c r="AA18" s="2286">
        <f>AA16/AA17</f>
        <v>50.72693681012062</v>
      </c>
      <c r="AB18" s="2259">
        <f t="shared" si="7"/>
        <v>49.751418794541379</v>
      </c>
      <c r="AC18" s="2606"/>
      <c r="AD18" s="2606"/>
      <c r="AE18" s="2606"/>
      <c r="AF18" s="2593"/>
      <c r="AG18" s="2593"/>
      <c r="AH18" s="2593"/>
      <c r="AI18" s="2593"/>
      <c r="AJ18" s="2593"/>
    </row>
    <row r="19" spans="1:36" s="2218" customFormat="1" outlineLevel="1">
      <c r="A19" s="2235">
        <v>324</v>
      </c>
      <c r="B19" s="2279" t="s">
        <v>1751</v>
      </c>
      <c r="C19" s="2280" t="s">
        <v>1752</v>
      </c>
      <c r="D19" s="2500" t="s">
        <v>1317</v>
      </c>
      <c r="E19" s="2255">
        <f>E20*E21</f>
        <v>259.02865431409793</v>
      </c>
      <c r="F19" s="2256">
        <f>F20*F21</f>
        <v>266.79951394352088</v>
      </c>
      <c r="G19" s="2257">
        <f t="shared" si="0"/>
        <v>262.91408412880941</v>
      </c>
      <c r="H19" s="2256">
        <f>H20*H21</f>
        <v>248.5416574606862</v>
      </c>
      <c r="I19" s="2256">
        <f>I20*I21</f>
        <v>257.48915712927089</v>
      </c>
      <c r="J19" s="2257">
        <f t="shared" si="1"/>
        <v>253.01540729497856</v>
      </c>
      <c r="K19" s="2256">
        <f>K20*K21</f>
        <v>367.45063137224179</v>
      </c>
      <c r="L19" s="2256">
        <f>L20*L21</f>
        <v>383.25100852124814</v>
      </c>
      <c r="M19" s="2259">
        <f t="shared" si="2"/>
        <v>375.35081994674499</v>
      </c>
      <c r="N19" s="2255">
        <f>'[11]НВВ 26.09.23.'!N19+'[12]НВВ 26.09.'!N19</f>
        <v>68.601504562201995</v>
      </c>
      <c r="O19" s="2260">
        <f>'[11]НВВ 26.09.23.'!O19+'[12]НВВ 26.09.'!O19</f>
        <v>531.8086039431339</v>
      </c>
      <c r="P19" s="2258">
        <f t="shared" si="3"/>
        <v>300.20505425266794</v>
      </c>
      <c r="Q19" s="2255">
        <f>'[11]НВВ 26.09.23.'!Q19+'[12]НВВ 26.09.'!Q19</f>
        <v>531.8086039431339</v>
      </c>
      <c r="R19" s="2260">
        <f>'[11]НВВ 26.09.23.'!R19+'[12]НВВ 26.09.'!R19</f>
        <v>553.08094810085925</v>
      </c>
      <c r="S19" s="2259">
        <f t="shared" si="4"/>
        <v>542.44477602199663</v>
      </c>
      <c r="T19" s="2255">
        <f>'[11]НВВ 26.09.23.'!T19+'[12]НВВ 26.09.'!T19</f>
        <v>553.08094810085925</v>
      </c>
      <c r="U19" s="2260">
        <f>'[11]НВВ 26.09.23.'!U19+'[12]НВВ 26.09.'!U19</f>
        <v>575.2041860248936</v>
      </c>
      <c r="V19" s="2258">
        <f t="shared" si="5"/>
        <v>564.14256706287642</v>
      </c>
      <c r="W19" s="2255">
        <f>'[11]НВВ 26.09.23.'!W19+'[12]НВВ 26.09.'!W19</f>
        <v>575.2041860248936</v>
      </c>
      <c r="X19" s="2260">
        <f>'[11]НВВ 26.09.23.'!X19+'[12]НВВ 26.09.'!X19</f>
        <v>598.21235346588935</v>
      </c>
      <c r="Y19" s="2258">
        <f t="shared" si="6"/>
        <v>586.70826974539148</v>
      </c>
      <c r="Z19" s="2255">
        <f>'[11]НВВ 26.09.23.'!Z19+'[12]НВВ 26.09.'!Z19</f>
        <v>598.21235346588935</v>
      </c>
      <c r="AA19" s="2260">
        <f>'[11]НВВ 26.09.23.'!AA19+'[12]НВВ 26.09.'!AA19</f>
        <v>622.14084760452499</v>
      </c>
      <c r="AB19" s="2259">
        <f t="shared" si="7"/>
        <v>610.17660053520717</v>
      </c>
      <c r="AC19" s="2606"/>
      <c r="AD19" s="2606"/>
      <c r="AE19" s="2606"/>
      <c r="AF19" s="2593"/>
      <c r="AG19" s="2593"/>
      <c r="AH19" s="2593"/>
      <c r="AI19" s="2593"/>
      <c r="AJ19" s="2593"/>
    </row>
    <row r="20" spans="1:36" s="2218" customFormat="1" outlineLevel="1">
      <c r="A20" s="2235">
        <v>327</v>
      </c>
      <c r="B20" s="2281" t="s">
        <v>1753</v>
      </c>
      <c r="C20" s="2282" t="s">
        <v>1327</v>
      </c>
      <c r="D20" s="2504" t="s">
        <v>1748</v>
      </c>
      <c r="E20" s="2284">
        <v>7.0747201069799193</v>
      </c>
      <c r="F20" s="2285">
        <v>7.0747201069799184</v>
      </c>
      <c r="G20" s="2257">
        <f t="shared" si="0"/>
        <v>7.0747201069799193</v>
      </c>
      <c r="H20" s="2285">
        <v>6.4197416802389791</v>
      </c>
      <c r="I20" s="2285">
        <v>6.4197416802389791</v>
      </c>
      <c r="J20" s="2257">
        <f t="shared" si="1"/>
        <v>6.4197416802389791</v>
      </c>
      <c r="K20" s="2285">
        <v>9.2628374025695752</v>
      </c>
      <c r="L20" s="2285">
        <v>9.2628374025695752</v>
      </c>
      <c r="M20" s="2259">
        <f t="shared" si="2"/>
        <v>9.2628374025695752</v>
      </c>
      <c r="N20" s="2255">
        <f>'[11]НВВ 26.09.23.'!N20+'[12]НВВ 26.09.'!N20</f>
        <v>1.5641864150085842</v>
      </c>
      <c r="O20" s="2260">
        <f>'[11]НВВ 26.09.23.'!O20+'[12]НВВ 26.09.'!O20</f>
        <v>11.484219271214641</v>
      </c>
      <c r="P20" s="2258">
        <f>N20/2+O20/2</f>
        <v>6.5242028431116132</v>
      </c>
      <c r="Q20" s="2255">
        <f>'[11]НВВ 26.09.23.'!Q20+'[12]НВВ 26.09.'!Q20</f>
        <v>11.484219271214641</v>
      </c>
      <c r="R20" s="2260">
        <f>'[11]НВВ 26.09.23.'!R20+'[12]НВВ 26.09.'!R20</f>
        <v>11.484219271214641</v>
      </c>
      <c r="S20" s="2259">
        <f t="shared" si="4"/>
        <v>11.484219271214641</v>
      </c>
      <c r="T20" s="2255">
        <f>'[11]НВВ 26.09.23.'!T20+'[12]НВВ 26.09.'!T20</f>
        <v>11.484219271214641</v>
      </c>
      <c r="U20" s="2260">
        <f>'[11]НВВ 26.09.23.'!U20+'[12]НВВ 26.09.'!U20</f>
        <v>11.484219271214641</v>
      </c>
      <c r="V20" s="2258">
        <f t="shared" si="5"/>
        <v>11.484219271214641</v>
      </c>
      <c r="W20" s="2255">
        <f>'[11]НВВ 26.09.23.'!W20+'[12]НВВ 26.09.'!W20</f>
        <v>11.484219271214641</v>
      </c>
      <c r="X20" s="2260">
        <f>'[11]НВВ 26.09.23.'!X20+'[12]НВВ 26.09.'!X20</f>
        <v>11.484219271214641</v>
      </c>
      <c r="Y20" s="2258">
        <f>W20/2+X20/2</f>
        <v>11.484219271214641</v>
      </c>
      <c r="Z20" s="2255">
        <f>'[11]НВВ 26.09.23.'!Z20+'[12]НВВ 26.09.'!Z20</f>
        <v>11.484219271214641</v>
      </c>
      <c r="AA20" s="2260">
        <f>'[11]НВВ 26.09.23.'!AA20+'[12]НВВ 26.09.'!AA20</f>
        <v>11.484219271214641</v>
      </c>
      <c r="AB20" s="2259">
        <f t="shared" si="7"/>
        <v>11.484219271214641</v>
      </c>
      <c r="AC20" s="2606"/>
      <c r="AD20" s="2606"/>
      <c r="AE20" s="2606"/>
      <c r="AF20" s="2593"/>
      <c r="AG20" s="2593"/>
      <c r="AH20" s="2593"/>
      <c r="AI20" s="2593"/>
      <c r="AJ20" s="2593"/>
    </row>
    <row r="21" spans="1:36" s="2218" customFormat="1" outlineLevel="1">
      <c r="A21" s="2235">
        <v>328</v>
      </c>
      <c r="B21" s="2281" t="s">
        <v>1755</v>
      </c>
      <c r="C21" s="2282" t="s">
        <v>1330</v>
      </c>
      <c r="D21" s="2504" t="s">
        <v>1744</v>
      </c>
      <c r="E21" s="2284">
        <v>36.613272383530798</v>
      </c>
      <c r="F21" s="2285">
        <v>37.711670555036726</v>
      </c>
      <c r="G21" s="2257">
        <f t="shared" si="0"/>
        <v>37.162471469283759</v>
      </c>
      <c r="H21" s="2285">
        <v>38.71521158331624</v>
      </c>
      <c r="I21" s="2285">
        <v>40.108959200315624</v>
      </c>
      <c r="J21" s="2257">
        <f t="shared" si="1"/>
        <v>39.412085391815936</v>
      </c>
      <c r="K21" s="2285">
        <v>39.669338389801425</v>
      </c>
      <c r="L21" s="2285">
        <v>41.375119940562882</v>
      </c>
      <c r="M21" s="2259">
        <f t="shared" si="2"/>
        <v>40.522229165182154</v>
      </c>
      <c r="N21" s="2284">
        <f>N19/N20</f>
        <v>43.857627136996655</v>
      </c>
      <c r="O21" s="2286">
        <f>O19/O20</f>
        <v>46.307771680754975</v>
      </c>
      <c r="P21" s="2258">
        <f>N21/2+O21/2</f>
        <v>45.082699408875811</v>
      </c>
      <c r="Q21" s="2284">
        <f>Q19/Q20</f>
        <v>46.307771680754975</v>
      </c>
      <c r="R21" s="2286">
        <f>R19/R20</f>
        <v>48.160082547985169</v>
      </c>
      <c r="S21" s="2259">
        <f t="shared" si="4"/>
        <v>47.233927114370076</v>
      </c>
      <c r="T21" s="2284">
        <f>T19/T20</f>
        <v>48.160082547985169</v>
      </c>
      <c r="U21" s="2286">
        <f>U19/U20</f>
        <v>50.086485849904577</v>
      </c>
      <c r="V21" s="2258">
        <f t="shared" si="5"/>
        <v>49.123284198944873</v>
      </c>
      <c r="W21" s="2284">
        <f>W19/W20</f>
        <v>50.086485849904577</v>
      </c>
      <c r="X21" s="2286">
        <f>X19/X20</f>
        <v>52.089945283900761</v>
      </c>
      <c r="Y21" s="2258">
        <f>W21/2+X21/2</f>
        <v>51.088215566902669</v>
      </c>
      <c r="Z21" s="2284">
        <f>Z19/Z20</f>
        <v>52.089945283900761</v>
      </c>
      <c r="AA21" s="2286">
        <f>AA19/AA20</f>
        <v>54.173543095256797</v>
      </c>
      <c r="AB21" s="2259">
        <f t="shared" si="7"/>
        <v>53.131744189578782</v>
      </c>
      <c r="AC21" s="2606"/>
      <c r="AD21" s="2606"/>
      <c r="AE21" s="2606"/>
      <c r="AF21" s="2593"/>
      <c r="AG21" s="2593"/>
      <c r="AH21" s="2593"/>
      <c r="AI21" s="2593"/>
      <c r="AJ21" s="2593"/>
    </row>
    <row r="22" spans="1:36" s="2218" customFormat="1" outlineLevel="1">
      <c r="A22" s="2235">
        <v>325</v>
      </c>
      <c r="B22" s="2279" t="s">
        <v>1756</v>
      </c>
      <c r="C22" s="2280" t="s">
        <v>1757</v>
      </c>
      <c r="D22" s="2500" t="s">
        <v>1317</v>
      </c>
      <c r="E22" s="2255">
        <f>E23*E24</f>
        <v>3710.4011880962807</v>
      </c>
      <c r="F22" s="2256">
        <f>F23*F24</f>
        <v>3821.7132237391693</v>
      </c>
      <c r="G22" s="2257">
        <f t="shared" si="0"/>
        <v>3766.0572059177248</v>
      </c>
      <c r="H22" s="2256">
        <f>H23*H24</f>
        <v>3504.7088660469576</v>
      </c>
      <c r="I22" s="2256">
        <f>I23*I24</f>
        <v>3630.8783852246484</v>
      </c>
      <c r="J22" s="2257">
        <f t="shared" si="1"/>
        <v>3567.793625635803</v>
      </c>
      <c r="K22" s="2256">
        <f>K23*K24</f>
        <v>4628.1414461361392</v>
      </c>
      <c r="L22" s="2256">
        <f>L23*L24</f>
        <v>4827.1515283199933</v>
      </c>
      <c r="M22" s="2259">
        <f t="shared" si="2"/>
        <v>4727.6464872280667</v>
      </c>
      <c r="N22" s="2255">
        <f>'[11]НВВ 26.09.23.'!N22+'[12]НВВ 26.09.'!N22</f>
        <v>4605.2035999001819</v>
      </c>
      <c r="O22" s="2260">
        <f>'[11]НВВ 26.09.23.'!O22+'[12]НВВ 26.09.'!O22</f>
        <v>6994.2655007356279</v>
      </c>
      <c r="P22" s="2258">
        <f t="shared" si="3"/>
        <v>5799.7345503179049</v>
      </c>
      <c r="Q22" s="2255">
        <f>'[11]НВВ 26.09.23.'!Q22+'[12]НВВ 26.09.'!Q22</f>
        <v>6994.2655007356279</v>
      </c>
      <c r="R22" s="2260">
        <f>'[11]НВВ 26.09.23.'!R22+'[12]НВВ 26.09.'!R22</f>
        <v>7274.0361207650531</v>
      </c>
      <c r="S22" s="2259">
        <f t="shared" si="4"/>
        <v>7134.1508107503405</v>
      </c>
      <c r="T22" s="2255">
        <f>'[11]НВВ 26.09.23.'!T22+'[12]НВВ 26.09.'!T22</f>
        <v>7274.0361207650531</v>
      </c>
      <c r="U22" s="2260">
        <f>'[11]НВВ 26.09.23.'!U22+'[12]НВВ 26.09.'!U22</f>
        <v>7564.9975655956559</v>
      </c>
      <c r="V22" s="2258">
        <f t="shared" si="5"/>
        <v>7419.516843180354</v>
      </c>
      <c r="W22" s="2255">
        <f>'[11]НВВ 26.09.23.'!W22+'[12]НВВ 26.09.'!W22</f>
        <v>7564.9975655956559</v>
      </c>
      <c r="X22" s="2260">
        <f>'[11]НВВ 26.09.23.'!X22+'[12]НВВ 26.09.'!X22</f>
        <v>7867.597468219481</v>
      </c>
      <c r="Y22" s="2258">
        <f t="shared" si="6"/>
        <v>7716.2975169075689</v>
      </c>
      <c r="Z22" s="2255">
        <f>'[11]НВВ 26.09.23.'!Z22+'[12]НВВ 26.09.'!Z22</f>
        <v>7867.597468219481</v>
      </c>
      <c r="AA22" s="2260">
        <f>'[11]НВВ 26.09.23.'!AA22+'[12]НВВ 26.09.'!AA22</f>
        <v>8182.3013669482616</v>
      </c>
      <c r="AB22" s="2259">
        <f t="shared" si="7"/>
        <v>8024.9494175838718</v>
      </c>
      <c r="AC22" s="2606"/>
      <c r="AD22" s="2606"/>
      <c r="AE22" s="2606"/>
      <c r="AF22" s="2593"/>
      <c r="AG22" s="2593"/>
      <c r="AH22" s="2593"/>
      <c r="AI22" s="2593"/>
      <c r="AJ22" s="2593"/>
    </row>
    <row r="23" spans="1:36" s="2218" customFormat="1" outlineLevel="1">
      <c r="A23" s="2235">
        <v>329</v>
      </c>
      <c r="B23" s="2281" t="s">
        <v>1758</v>
      </c>
      <c r="C23" s="2282" t="s">
        <v>1327</v>
      </c>
      <c r="D23" s="2504" t="s">
        <v>1748</v>
      </c>
      <c r="E23" s="2284">
        <v>94.710823565800638</v>
      </c>
      <c r="F23" s="2285">
        <v>94.710823565800638</v>
      </c>
      <c r="G23" s="2257">
        <f t="shared" si="0"/>
        <v>94.710823565800638</v>
      </c>
      <c r="H23" s="2285">
        <v>90.156756110119659</v>
      </c>
      <c r="I23" s="2285">
        <v>90.156756110119659</v>
      </c>
      <c r="J23" s="2257">
        <f t="shared" si="1"/>
        <v>90.156756110119659</v>
      </c>
      <c r="K23" s="2285">
        <v>111.13003068238238</v>
      </c>
      <c r="L23" s="2285">
        <v>111.13003068238238</v>
      </c>
      <c r="M23" s="2259">
        <f t="shared" si="2"/>
        <v>111.13003068238238</v>
      </c>
      <c r="N23" s="2255">
        <f>'[11]НВВ 26.09.23.'!N23+'[12]НВВ 26.09.'!N23</f>
        <v>104.89440457695319</v>
      </c>
      <c r="O23" s="2260">
        <f>'[11]НВВ 26.09.23.'!O23+'[12]НВВ 26.09.'!O23</f>
        <v>143.40739871576324</v>
      </c>
      <c r="P23" s="2258">
        <f>N23/2+O23/2</f>
        <v>124.15090164635822</v>
      </c>
      <c r="Q23" s="2255">
        <f>'[11]НВВ 26.09.23.'!Q23+'[12]НВВ 26.09.'!Q23</f>
        <v>143.40739871576324</v>
      </c>
      <c r="R23" s="2260">
        <f>'[11]НВВ 26.09.23.'!R23+'[12]НВВ 26.09.'!R23</f>
        <v>143.40739871576324</v>
      </c>
      <c r="S23" s="2259">
        <f t="shared" si="4"/>
        <v>143.40739871576324</v>
      </c>
      <c r="T23" s="2255">
        <f>'[11]НВВ 26.09.23.'!T23+'[12]НВВ 26.09.'!T23</f>
        <v>143.40739871576324</v>
      </c>
      <c r="U23" s="2260">
        <f>'[11]НВВ 26.09.23.'!U23+'[12]НВВ 26.09.'!U23</f>
        <v>143.40739871576324</v>
      </c>
      <c r="V23" s="2258">
        <f t="shared" si="5"/>
        <v>143.40739871576324</v>
      </c>
      <c r="W23" s="2255">
        <f>'[11]НВВ 26.09.23.'!W23+'[12]НВВ 26.09.'!W23</f>
        <v>143.40739871576324</v>
      </c>
      <c r="X23" s="2260">
        <f>'[11]НВВ 26.09.23.'!X23+'[12]НВВ 26.09.'!X23</f>
        <v>143.40739871576324</v>
      </c>
      <c r="Y23" s="2258">
        <f>W23/2+X23/2</f>
        <v>143.40739871576324</v>
      </c>
      <c r="Z23" s="2255">
        <f>'[11]НВВ 26.09.23.'!Z23+'[12]НВВ 26.09.'!Z23</f>
        <v>143.40739871576324</v>
      </c>
      <c r="AA23" s="2260">
        <f>'[11]НВВ 26.09.23.'!AA23+'[12]НВВ 26.09.'!AA23</f>
        <v>143.40739871576324</v>
      </c>
      <c r="AB23" s="2259">
        <f t="shared" si="7"/>
        <v>143.40739871576324</v>
      </c>
      <c r="AC23" s="2606"/>
      <c r="AD23" s="2606"/>
      <c r="AE23" s="2606"/>
      <c r="AF23" s="2593"/>
      <c r="AG23" s="2593"/>
      <c r="AH23" s="2593"/>
      <c r="AI23" s="2593"/>
      <c r="AJ23" s="2593"/>
    </row>
    <row r="24" spans="1:36" s="2218" customFormat="1" outlineLevel="1">
      <c r="A24" s="2235">
        <v>330</v>
      </c>
      <c r="B24" s="2281" t="s">
        <v>1760</v>
      </c>
      <c r="C24" s="2282" t="s">
        <v>1330</v>
      </c>
      <c r="D24" s="2504" t="s">
        <v>1744</v>
      </c>
      <c r="E24" s="2284">
        <v>39.176105205319729</v>
      </c>
      <c r="F24" s="2285">
        <v>40.351388361479323</v>
      </c>
      <c r="G24" s="2257">
        <f t="shared" si="0"/>
        <v>39.763746783399526</v>
      </c>
      <c r="H24" s="2285">
        <v>38.873502300440144</v>
      </c>
      <c r="I24" s="2285">
        <v>40.272948383255994</v>
      </c>
      <c r="J24" s="2257">
        <f t="shared" si="1"/>
        <v>39.573225341848072</v>
      </c>
      <c r="K24" s="2285">
        <v>41.646181664105718</v>
      </c>
      <c r="L24" s="2285">
        <v>43.436967475662264</v>
      </c>
      <c r="M24" s="2259">
        <f t="shared" si="2"/>
        <v>42.541574569883991</v>
      </c>
      <c r="N24" s="2284">
        <f>N22/N23</f>
        <v>43.903234099791163</v>
      </c>
      <c r="O24" s="2286">
        <f>O22/O23</f>
        <v>48.771998958006506</v>
      </c>
      <c r="P24" s="2258">
        <f>N24/2+O24/2</f>
        <v>46.337616528898835</v>
      </c>
      <c r="Q24" s="2284">
        <f>Q22/Q23</f>
        <v>48.771998958006506</v>
      </c>
      <c r="R24" s="2286">
        <f>R22/R23</f>
        <v>50.722878916326763</v>
      </c>
      <c r="S24" s="2259">
        <f t="shared" si="4"/>
        <v>49.747438937166635</v>
      </c>
      <c r="T24" s="2284">
        <f>T22/T23</f>
        <v>50.722878916326763</v>
      </c>
      <c r="U24" s="2286">
        <f>U22/U23</f>
        <v>52.751794072979841</v>
      </c>
      <c r="V24" s="2258">
        <f t="shared" si="5"/>
        <v>51.737336494653306</v>
      </c>
      <c r="W24" s="2284">
        <f>W22/W23</f>
        <v>52.751794072979841</v>
      </c>
      <c r="X24" s="2286">
        <f>X22/X23</f>
        <v>54.861865835899025</v>
      </c>
      <c r="Y24" s="2258">
        <f>W24/2+X24/2</f>
        <v>53.806829954439436</v>
      </c>
      <c r="Z24" s="2284">
        <f>Z22/Z23</f>
        <v>54.861865835899025</v>
      </c>
      <c r="AA24" s="2286">
        <f>AA22/AA23</f>
        <v>57.056340469334998</v>
      </c>
      <c r="AB24" s="2259">
        <f t="shared" si="7"/>
        <v>55.959103152617011</v>
      </c>
      <c r="AC24" s="2606"/>
      <c r="AD24" s="2606"/>
      <c r="AE24" s="2606"/>
      <c r="AF24" s="2593"/>
      <c r="AG24" s="2593"/>
      <c r="AH24" s="2593"/>
      <c r="AI24" s="2593"/>
      <c r="AJ24" s="2593"/>
    </row>
    <row r="25" spans="1:36" s="2218" customFormat="1" outlineLevel="1">
      <c r="A25" s="2235">
        <v>326</v>
      </c>
      <c r="B25" s="2279" t="s">
        <v>1761</v>
      </c>
      <c r="C25" s="2280" t="s">
        <v>1762</v>
      </c>
      <c r="D25" s="2500" t="s">
        <v>1317</v>
      </c>
      <c r="E25" s="2255">
        <f>E26*E27</f>
        <v>34.225187624814339</v>
      </c>
      <c r="F25" s="2256">
        <f>F26*F27</f>
        <v>35.251943253558771</v>
      </c>
      <c r="G25" s="2257">
        <f t="shared" si="0"/>
        <v>34.738565439186559</v>
      </c>
      <c r="H25" s="2256">
        <f>H26*H27</f>
        <v>324.48823114080602</v>
      </c>
      <c r="I25" s="2256">
        <f>I26*I27</f>
        <v>336.16980746187505</v>
      </c>
      <c r="J25" s="2257">
        <f t="shared" si="1"/>
        <v>330.32901930134051</v>
      </c>
      <c r="K25" s="2256">
        <f>K26*K27</f>
        <v>417.66581866815341</v>
      </c>
      <c r="L25" s="2256">
        <f>L26*L27</f>
        <v>435.62544887088399</v>
      </c>
      <c r="M25" s="2259">
        <f t="shared" si="2"/>
        <v>426.64563376951867</v>
      </c>
      <c r="N25" s="2255">
        <f>'[11]НВВ 26.09.23.'!N25+'[12]НВВ 26.09.'!N25</f>
        <v>77.976471173383445</v>
      </c>
      <c r="O25" s="2260">
        <f>'[11]НВВ 26.09.23.'!O25+'[12]НВВ 26.09.'!O25</f>
        <v>646.70053947633869</v>
      </c>
      <c r="P25" s="2258">
        <f t="shared" si="3"/>
        <v>362.33850532486105</v>
      </c>
      <c r="Q25" s="2255">
        <f>'[11]НВВ 26.09.23.'!Q25+'[12]НВВ 26.09.'!Q25</f>
        <v>646.70053947633869</v>
      </c>
      <c r="R25" s="2260">
        <f>'[11]НВВ 26.09.23.'!R25+'[12]НВВ 26.09.'!R25</f>
        <v>672.56856105539225</v>
      </c>
      <c r="S25" s="2259">
        <f t="shared" si="4"/>
        <v>659.63455026586553</v>
      </c>
      <c r="T25" s="2255">
        <f>'[11]НВВ 26.09.23.'!T25+'[12]НВВ 26.09.'!T25</f>
        <v>672.56856105539225</v>
      </c>
      <c r="U25" s="2260">
        <f>'[11]НВВ 26.09.23.'!U25+'[12]НВВ 26.09.'!U25</f>
        <v>699.47130349760801</v>
      </c>
      <c r="V25" s="2258">
        <f t="shared" si="5"/>
        <v>686.01993227650019</v>
      </c>
      <c r="W25" s="2255">
        <f>'[11]НВВ 26.09.23.'!W25+'[12]НВВ 26.09.'!W25</f>
        <v>699.47130349760801</v>
      </c>
      <c r="X25" s="2260">
        <f>'[11]НВВ 26.09.23.'!X25+'[12]НВВ 26.09.'!X25</f>
        <v>727.45015563751224</v>
      </c>
      <c r="Y25" s="2258">
        <f t="shared" si="6"/>
        <v>713.46072956756007</v>
      </c>
      <c r="Z25" s="2255">
        <f>'[11]НВВ 26.09.23.'!Z25+'[12]НВВ 26.09.'!Z25</f>
        <v>727.45015563751224</v>
      </c>
      <c r="AA25" s="2260">
        <f>'[11]НВВ 26.09.23.'!AA25+'[12]НВВ 26.09.'!AA25</f>
        <v>756.54816186301275</v>
      </c>
      <c r="AB25" s="2259">
        <f t="shared" si="7"/>
        <v>741.9991587502625</v>
      </c>
      <c r="AC25" s="2606"/>
      <c r="AD25" s="2606"/>
      <c r="AE25" s="2606"/>
      <c r="AF25" s="2593"/>
      <c r="AG25" s="2593"/>
      <c r="AH25" s="2593"/>
      <c r="AI25" s="2593"/>
      <c r="AJ25" s="2593"/>
    </row>
    <row r="26" spans="1:36" s="2218" customFormat="1" outlineLevel="1">
      <c r="A26" s="2235">
        <v>331</v>
      </c>
      <c r="B26" s="2281" t="s">
        <v>1763</v>
      </c>
      <c r="C26" s="2282" t="s">
        <v>1327</v>
      </c>
      <c r="D26" s="2504" t="s">
        <v>1748</v>
      </c>
      <c r="E26" s="2284">
        <v>0.18104437878282661</v>
      </c>
      <c r="F26" s="2285">
        <v>0.18104437878282661</v>
      </c>
      <c r="G26" s="2257">
        <f t="shared" si="0"/>
        <v>0.18104437878282661</v>
      </c>
      <c r="H26" s="2285">
        <v>2.7033625718996146</v>
      </c>
      <c r="I26" s="2285">
        <v>2.7033625718996146</v>
      </c>
      <c r="J26" s="2257">
        <f t="shared" si="1"/>
        <v>2.7033625718996146</v>
      </c>
      <c r="K26" s="2285">
        <v>2.3911936303154517</v>
      </c>
      <c r="L26" s="2285">
        <v>2.3911936303154517</v>
      </c>
      <c r="M26" s="2259">
        <f t="shared" si="2"/>
        <v>2.3911936303154517</v>
      </c>
      <c r="N26" s="2255">
        <f>'[11]НВВ 26.09.23.'!N26+'[12]НВВ 26.09.'!N26</f>
        <v>0.40379339824716237</v>
      </c>
      <c r="O26" s="2260">
        <f>'[11]НВВ 26.09.23.'!O26+'[12]НВВ 26.09.'!O26</f>
        <v>3.0146841236522759</v>
      </c>
      <c r="P26" s="2258">
        <f>N26/2+O26/2</f>
        <v>1.709238760949719</v>
      </c>
      <c r="Q26" s="2255">
        <f>'[11]НВВ 26.09.23.'!Q26+'[12]НВВ 26.09.'!Q26</f>
        <v>3.0146841236522759</v>
      </c>
      <c r="R26" s="2260">
        <f>'[11]НВВ 26.09.23.'!R26+'[12]НВВ 26.09.'!R26</f>
        <v>3.0146841236522759</v>
      </c>
      <c r="S26" s="2259">
        <f t="shared" si="4"/>
        <v>3.0146841236522759</v>
      </c>
      <c r="T26" s="2255">
        <f>'[11]НВВ 26.09.23.'!T26+'[12]НВВ 26.09.'!T26</f>
        <v>3.0146841236522759</v>
      </c>
      <c r="U26" s="2260">
        <f>'[11]НВВ 26.09.23.'!U26+'[12]НВВ 26.09.'!U26</f>
        <v>3.0146841236522759</v>
      </c>
      <c r="V26" s="2258">
        <f t="shared" si="5"/>
        <v>3.0146841236522759</v>
      </c>
      <c r="W26" s="2255">
        <f>'[11]НВВ 26.09.23.'!W26+'[12]НВВ 26.09.'!W26</f>
        <v>3.0146841236522759</v>
      </c>
      <c r="X26" s="2260">
        <f>'[11]НВВ 26.09.23.'!X26+'[12]НВВ 26.09.'!X26</f>
        <v>3.0146841236522759</v>
      </c>
      <c r="Y26" s="2258">
        <f>W26/2+X26/2</f>
        <v>3.0146841236522759</v>
      </c>
      <c r="Z26" s="2255">
        <f>'[11]НВВ 26.09.23.'!Z26+'[12]НВВ 26.09.'!Z26</f>
        <v>3.0146841236522759</v>
      </c>
      <c r="AA26" s="2260">
        <f>'[11]НВВ 26.09.23.'!AA26+'[12]НВВ 26.09.'!AA26</f>
        <v>3.0146841236522759</v>
      </c>
      <c r="AB26" s="2259">
        <f t="shared" si="7"/>
        <v>3.0146841236522759</v>
      </c>
      <c r="AC26" s="2606"/>
      <c r="AD26" s="2606"/>
      <c r="AE26" s="2606"/>
      <c r="AF26" s="2593"/>
      <c r="AG26" s="2593"/>
      <c r="AH26" s="2593"/>
      <c r="AI26" s="2593"/>
      <c r="AJ26" s="2593"/>
    </row>
    <row r="27" spans="1:36" s="2218" customFormat="1" outlineLevel="1">
      <c r="A27" s="2235">
        <v>332</v>
      </c>
      <c r="B27" s="2281" t="s">
        <v>1765</v>
      </c>
      <c r="C27" s="2282" t="s">
        <v>1330</v>
      </c>
      <c r="D27" s="2504" t="s">
        <v>1744</v>
      </c>
      <c r="E27" s="2284">
        <v>189.04308355173771</v>
      </c>
      <c r="F27" s="2285">
        <v>194.71437605828984</v>
      </c>
      <c r="G27" s="2257">
        <f t="shared" si="0"/>
        <v>191.87872980501379</v>
      </c>
      <c r="H27" s="2285">
        <v>120.03133967812269</v>
      </c>
      <c r="I27" s="2285">
        <v>124.35246790653511</v>
      </c>
      <c r="J27" s="2257">
        <f t="shared" si="1"/>
        <v>122.1919037923289</v>
      </c>
      <c r="K27" s="2285">
        <v>174.66833859583926</v>
      </c>
      <c r="L27" s="2285">
        <v>182.17907715546033</v>
      </c>
      <c r="M27" s="2259">
        <f t="shared" si="2"/>
        <v>178.4237078756498</v>
      </c>
      <c r="N27" s="2284">
        <f>N25/N26</f>
        <v>193.10982178478798</v>
      </c>
      <c r="O27" s="2286">
        <f>O25/O26</f>
        <v>214.51684917916506</v>
      </c>
      <c r="P27" s="2258">
        <f>N27/2+O27/2</f>
        <v>203.81333548197654</v>
      </c>
      <c r="Q27" s="2284">
        <f>Q25/Q26</f>
        <v>214.51684917916506</v>
      </c>
      <c r="R27" s="2286">
        <f>R25/R26</f>
        <v>223.09752314633167</v>
      </c>
      <c r="S27" s="2259">
        <f t="shared" si="4"/>
        <v>218.80718616274837</v>
      </c>
      <c r="T27" s="2284">
        <f>T25/T26</f>
        <v>223.09752314633167</v>
      </c>
      <c r="U27" s="2286">
        <f>U25/U26</f>
        <v>232.02142407218497</v>
      </c>
      <c r="V27" s="2258">
        <f t="shared" si="5"/>
        <v>227.5594736092583</v>
      </c>
      <c r="W27" s="2284">
        <f>W25/W26</f>
        <v>232.02142407218497</v>
      </c>
      <c r="X27" s="2286">
        <f>X25/X26</f>
        <v>241.30228103507233</v>
      </c>
      <c r="Y27" s="2258">
        <f>W27/2+X27/2</f>
        <v>236.66185255362865</v>
      </c>
      <c r="Z27" s="2284">
        <f>Z25/Z26</f>
        <v>241.30228103507233</v>
      </c>
      <c r="AA27" s="2286">
        <f>AA25/AA26</f>
        <v>250.95437227647523</v>
      </c>
      <c r="AB27" s="2259">
        <f t="shared" si="7"/>
        <v>246.12832665577378</v>
      </c>
      <c r="AC27" s="2606"/>
      <c r="AD27" s="2606"/>
      <c r="AE27" s="2606"/>
      <c r="AF27" s="2593"/>
      <c r="AG27" s="2593"/>
      <c r="AH27" s="2593"/>
      <c r="AI27" s="2593"/>
      <c r="AJ27" s="2593"/>
    </row>
    <row r="28" spans="1:36" s="2218" customFormat="1" outlineLevel="1">
      <c r="A28" s="2235">
        <v>6</v>
      </c>
      <c r="B28" s="2281" t="s">
        <v>1767</v>
      </c>
      <c r="C28" s="2282" t="s">
        <v>1768</v>
      </c>
      <c r="D28" s="2504" t="s">
        <v>1317</v>
      </c>
      <c r="E28" s="2284">
        <v>243.67809528279901</v>
      </c>
      <c r="F28" s="2285">
        <v>250.98843814128298</v>
      </c>
      <c r="G28" s="2257">
        <f t="shared" si="0"/>
        <v>247.333266712041</v>
      </c>
      <c r="H28" s="2285">
        <v>3.098239421491281</v>
      </c>
      <c r="I28" s="2285">
        <v>3.2097760406649671</v>
      </c>
      <c r="J28" s="2257">
        <f t="shared" si="1"/>
        <v>3.1540077310781243</v>
      </c>
      <c r="K28" s="2285">
        <v>3.7991837094103746</v>
      </c>
      <c r="L28" s="2285">
        <v>3.9625486089150206</v>
      </c>
      <c r="M28" s="2259">
        <f t="shared" si="2"/>
        <v>3.8808661591626974</v>
      </c>
      <c r="N28" s="2255">
        <f>'[11]НВВ 26.09.23.'!N28+'[12]НВВ 26.09.'!N28</f>
        <v>48.868614621491837</v>
      </c>
      <c r="O28" s="2260">
        <f>'[11]НВВ 26.09.23.'!O28+'[12]НВВ 26.09.'!O28</f>
        <v>87.854045373949759</v>
      </c>
      <c r="P28" s="2258">
        <f>N28/2+O28/2</f>
        <v>68.361329997720802</v>
      </c>
      <c r="Q28" s="2255">
        <f>'[11]НВВ 26.09.23.'!Q28+'[12]НВВ 26.09.'!Q28</f>
        <v>87.854045373949759</v>
      </c>
      <c r="R28" s="2260">
        <f>'[11]НВВ 26.09.23.'!R28+'[12]НВВ 26.09.'!R28</f>
        <v>91.368207188907746</v>
      </c>
      <c r="S28" s="2259">
        <f t="shared" si="4"/>
        <v>89.611126281428753</v>
      </c>
      <c r="T28" s="2255">
        <f>'[11]НВВ 26.09.23.'!T28+'[12]НВВ 26.09.'!T28</f>
        <v>91.368207188907746</v>
      </c>
      <c r="U28" s="2260">
        <f>'[11]НВВ 26.09.23.'!U28+'[12]НВВ 26.09.'!U28</f>
        <v>95.022935476464056</v>
      </c>
      <c r="V28" s="2258">
        <f t="shared" si="5"/>
        <v>93.195571332685901</v>
      </c>
      <c r="W28" s="2255">
        <f>'[11]НВВ 26.09.23.'!W28+'[12]НВВ 26.09.'!W28</f>
        <v>95.022935476464056</v>
      </c>
      <c r="X28" s="2260">
        <f>'[11]НВВ 26.09.23.'!X28+'[12]НВВ 26.09.'!X28</f>
        <v>98.823852895522606</v>
      </c>
      <c r="Y28" s="2258">
        <f>W28/2+X28/2</f>
        <v>96.923394185993331</v>
      </c>
      <c r="Z28" s="2255">
        <f>'[11]НВВ 26.09.23.'!Z28+'[12]НВВ 26.09.'!Z28</f>
        <v>98.823852895522606</v>
      </c>
      <c r="AA28" s="2260">
        <f>'[11]НВВ 26.09.23.'!AA28+'[12]НВВ 26.09.'!AA28</f>
        <v>102.77680701134352</v>
      </c>
      <c r="AB28" s="2259">
        <f t="shared" si="7"/>
        <v>100.80032995343306</v>
      </c>
      <c r="AC28" s="2606"/>
      <c r="AD28" s="2606"/>
      <c r="AE28" s="2606"/>
      <c r="AF28" s="2593"/>
      <c r="AG28" s="2593"/>
      <c r="AH28" s="2593"/>
      <c r="AI28" s="2593"/>
      <c r="AJ28" s="2593"/>
    </row>
    <row r="29" spans="1:36" s="2218" customFormat="1" outlineLevel="1">
      <c r="A29" s="2235">
        <v>7</v>
      </c>
      <c r="B29" s="2287" t="s">
        <v>1770</v>
      </c>
      <c r="C29" s="2288" t="s">
        <v>1771</v>
      </c>
      <c r="D29" s="2505" t="s">
        <v>1317</v>
      </c>
      <c r="E29" s="2290">
        <v>5431.1393022039902</v>
      </c>
      <c r="F29" s="2291">
        <v>5594.0734812701103</v>
      </c>
      <c r="G29" s="2257">
        <f t="shared" si="0"/>
        <v>5512.6063917370502</v>
      </c>
      <c r="H29" s="2291">
        <v>6728.6391402719992</v>
      </c>
      <c r="I29" s="2291">
        <v>6970.8701493217914</v>
      </c>
      <c r="J29" s="2257">
        <f t="shared" si="1"/>
        <v>6849.7546447968953</v>
      </c>
      <c r="K29" s="2291">
        <v>6213.3678037320051</v>
      </c>
      <c r="L29" s="2291">
        <v>6480.5426192924806</v>
      </c>
      <c r="M29" s="2259">
        <f t="shared" si="2"/>
        <v>6346.9552115122424</v>
      </c>
      <c r="N29" s="2255">
        <f>'[11]НВВ 26.09.23.'!N29+'[12]НВВ 26.09.'!N29</f>
        <v>8525.2208122988886</v>
      </c>
      <c r="O29" s="2260">
        <f>'[11]НВВ 26.09.23.'!O29+'[12]НВВ 26.09.'!O29</f>
        <v>17032.421573814583</v>
      </c>
      <c r="P29" s="2258">
        <f t="shared" si="3"/>
        <v>12778.821193056736</v>
      </c>
      <c r="Q29" s="2255">
        <f>'[11]НВВ 26.09.23.'!Q29+'[12]НВВ 26.09.'!Q29</f>
        <v>17032.421573814583</v>
      </c>
      <c r="R29" s="2260">
        <f>'[11]НВВ 26.09.23.'!R29+'[12]НВВ 26.09.'!R29</f>
        <v>17713.718436767165</v>
      </c>
      <c r="S29" s="2259">
        <f t="shared" si="4"/>
        <v>17373.070005290872</v>
      </c>
      <c r="T29" s="2255">
        <f>'[11]НВВ 26.09.23.'!T29+'[12]НВВ 26.09.'!T29</f>
        <v>17713.718436767165</v>
      </c>
      <c r="U29" s="2260">
        <f>'[11]НВВ 26.09.23.'!U29+'[12]НВВ 26.09.'!U29</f>
        <v>18422.267174237855</v>
      </c>
      <c r="V29" s="2258">
        <f t="shared" si="5"/>
        <v>18067.992805502508</v>
      </c>
      <c r="W29" s="2255">
        <f>'[11]НВВ 26.09.23.'!W29+'[12]НВВ 26.09.'!W29</f>
        <v>18422.267174237855</v>
      </c>
      <c r="X29" s="2260">
        <f>'[11]НВВ 26.09.23.'!X29+'[12]НВВ 26.09.'!X29</f>
        <v>19159.157861207372</v>
      </c>
      <c r="Y29" s="2258">
        <f t="shared" si="6"/>
        <v>18790.712517722612</v>
      </c>
      <c r="Z29" s="2255">
        <f>'[11]НВВ 26.09.23.'!Z29+'[12]НВВ 26.09.'!Z29</f>
        <v>19159.157861207372</v>
      </c>
      <c r="AA29" s="2260">
        <f>'[11]НВВ 26.09.23.'!AA29+'[12]НВВ 26.09.'!AA29</f>
        <v>19925.524175655664</v>
      </c>
      <c r="AB29" s="2259">
        <f t="shared" si="7"/>
        <v>19542.341018431518</v>
      </c>
      <c r="AC29" s="2606"/>
      <c r="AD29" s="2606"/>
      <c r="AE29" s="2606"/>
      <c r="AF29" s="2593"/>
      <c r="AG29" s="2593"/>
      <c r="AH29" s="2593"/>
      <c r="AI29" s="2593"/>
      <c r="AJ29" s="2593"/>
    </row>
    <row r="30" spans="1:36" s="2218" customFormat="1" ht="63" hidden="1" outlineLevel="2">
      <c r="A30" s="2235">
        <v>75</v>
      </c>
      <c r="B30" s="2281" t="s">
        <v>1773</v>
      </c>
      <c r="C30" s="2293" t="s">
        <v>1774</v>
      </c>
      <c r="D30" s="2504" t="s">
        <v>1317</v>
      </c>
      <c r="E30" s="2284"/>
      <c r="F30" s="2285"/>
      <c r="G30" s="2257">
        <f t="shared" si="0"/>
        <v>0</v>
      </c>
      <c r="H30" s="2285"/>
      <c r="I30" s="2285"/>
      <c r="J30" s="2257">
        <f t="shared" si="1"/>
        <v>0</v>
      </c>
      <c r="K30" s="2285">
        <v>253.24874396917789</v>
      </c>
      <c r="L30" s="2285">
        <v>264.13843995985252</v>
      </c>
      <c r="M30" s="2259">
        <f t="shared" si="2"/>
        <v>258.69359196451524</v>
      </c>
      <c r="N30" s="2294"/>
      <c r="O30" s="2286">
        <f>N30*1.047</f>
        <v>0</v>
      </c>
      <c r="P30" s="2258">
        <f t="shared" si="3"/>
        <v>0</v>
      </c>
      <c r="Q30" s="2284">
        <f>O30</f>
        <v>0</v>
      </c>
      <c r="R30" s="2285">
        <f>Q30*1.04</f>
        <v>0</v>
      </c>
      <c r="S30" s="2259">
        <f t="shared" si="4"/>
        <v>0</v>
      </c>
      <c r="T30" s="2284">
        <f>R30</f>
        <v>0</v>
      </c>
      <c r="U30" s="2285">
        <f>T30*1.04</f>
        <v>0</v>
      </c>
      <c r="V30" s="2258">
        <f t="shared" si="5"/>
        <v>0</v>
      </c>
      <c r="W30" s="2284">
        <f>U30</f>
        <v>0</v>
      </c>
      <c r="X30" s="2285"/>
      <c r="Y30" s="2258">
        <f t="shared" si="6"/>
        <v>0</v>
      </c>
      <c r="Z30" s="2284">
        <f>X30</f>
        <v>0</v>
      </c>
      <c r="AA30" s="2285"/>
      <c r="AB30" s="2259">
        <f t="shared" si="7"/>
        <v>0</v>
      </c>
      <c r="AC30" s="2606"/>
      <c r="AD30" s="2606"/>
      <c r="AE30" s="2606"/>
      <c r="AF30" s="2593"/>
      <c r="AG30" s="2593"/>
      <c r="AH30" s="2593"/>
      <c r="AI30" s="2593"/>
      <c r="AJ30" s="2593"/>
    </row>
    <row r="31" spans="1:36" s="2218" customFormat="1" ht="47.25" outlineLevel="1" collapsed="1">
      <c r="A31" s="2235">
        <v>76</v>
      </c>
      <c r="B31" s="2279" t="s">
        <v>1776</v>
      </c>
      <c r="C31" s="2295" t="s">
        <v>1777</v>
      </c>
      <c r="D31" s="2500" t="s">
        <v>1317</v>
      </c>
      <c r="E31" s="2255">
        <f>E32+E42</f>
        <v>19386.135876796063</v>
      </c>
      <c r="F31" s="2256">
        <f>F32+F42</f>
        <v>20401.296766085434</v>
      </c>
      <c r="G31" s="2257">
        <f t="shared" si="0"/>
        <v>19893.716321440748</v>
      </c>
      <c r="H31" s="2256">
        <f>H32+H42</f>
        <v>20131.846679141086</v>
      </c>
      <c r="I31" s="2256">
        <f>I32+I42</f>
        <v>20722.846289539011</v>
      </c>
      <c r="J31" s="2257">
        <f t="shared" si="1"/>
        <v>20427.346484340051</v>
      </c>
      <c r="K31" s="2256">
        <f>K32+K42</f>
        <v>19988.837985048514</v>
      </c>
      <c r="L31" s="2256">
        <f>L32+L42</f>
        <v>20978.523450264362</v>
      </c>
      <c r="M31" s="2259">
        <f t="shared" si="2"/>
        <v>20483.68071765644</v>
      </c>
      <c r="N31" s="2255">
        <f>'[11]НВВ 26.09.23.'!N31+'[12]НВВ 26.09.'!N31</f>
        <v>34832.720095309349</v>
      </c>
      <c r="O31" s="2260">
        <f>'[11]НВВ 26.09.23.'!O31+'[12]НВВ 26.09.'!O31</f>
        <v>71924.543770993099</v>
      </c>
      <c r="P31" s="2258">
        <f t="shared" si="3"/>
        <v>53378.63193315122</v>
      </c>
      <c r="Q31" s="2255">
        <f>'[11]НВВ 26.09.23.'!Q31+'[12]НВВ 26.09.'!Q31</f>
        <v>71924.543761967332</v>
      </c>
      <c r="R31" s="2260">
        <f>'[11]НВВ 26.09.23.'!R31+'[12]НВВ 26.09.'!R31</f>
        <v>74801.525512446038</v>
      </c>
      <c r="S31" s="2259">
        <f t="shared" si="4"/>
        <v>73363.034637206685</v>
      </c>
      <c r="T31" s="2255">
        <f>'[11]НВВ 26.09.23.'!T31+'[12]НВВ 26.09.'!T31</f>
        <v>74801.525512446038</v>
      </c>
      <c r="U31" s="2260">
        <f>'[11]НВВ 26.09.23.'!U31+'[12]НВВ 26.09.'!U31</f>
        <v>77793.586532943867</v>
      </c>
      <c r="V31" s="2258">
        <f t="shared" si="5"/>
        <v>76297.556022694946</v>
      </c>
      <c r="W31" s="2255">
        <f>'[11]НВВ 26.09.23.'!W31+'[12]НВВ 26.09.'!W31</f>
        <v>77793.586532943867</v>
      </c>
      <c r="X31" s="2260">
        <f>'[11]НВВ 26.09.23.'!X31+'[12]НВВ 26.09.'!X31</f>
        <v>80905.329994261629</v>
      </c>
      <c r="Y31" s="2258">
        <f t="shared" si="6"/>
        <v>79349.458263602748</v>
      </c>
      <c r="Z31" s="2255">
        <f>'[11]НВВ 26.09.23.'!Z31+'[12]НВВ 26.09.'!Z31</f>
        <v>80905.329994261629</v>
      </c>
      <c r="AA31" s="2260">
        <f>'[11]НВВ 26.09.23.'!AA31+'[12]НВВ 26.09.'!AA31</f>
        <v>84141.5431940321</v>
      </c>
      <c r="AB31" s="2259">
        <f t="shared" si="7"/>
        <v>82523.436594146857</v>
      </c>
      <c r="AC31" s="2606"/>
      <c r="AD31" s="2606"/>
      <c r="AE31" s="2606"/>
      <c r="AF31" s="2593"/>
      <c r="AG31" s="2593"/>
      <c r="AH31" s="2593"/>
      <c r="AI31" s="2593"/>
      <c r="AJ31" s="2593"/>
    </row>
    <row r="32" spans="1:36" s="2218" customFormat="1" outlineLevel="1">
      <c r="A32" s="2235">
        <v>77</v>
      </c>
      <c r="B32" s="2279" t="s">
        <v>1778</v>
      </c>
      <c r="C32" s="2280" t="s">
        <v>1779</v>
      </c>
      <c r="D32" s="2500" t="s">
        <v>1317</v>
      </c>
      <c r="E32" s="2255">
        <f>E33*E41*12/1000</f>
        <v>14814.866172362563</v>
      </c>
      <c r="F32" s="2256">
        <f>F33*F41*12/1000</f>
        <v>15692.88897051893</v>
      </c>
      <c r="G32" s="2257">
        <f t="shared" si="0"/>
        <v>15253.877571440746</v>
      </c>
      <c r="H32" s="2256">
        <f>H33*H41*12/1000</f>
        <v>15528.494390339516</v>
      </c>
      <c r="I32" s="2256">
        <f>I33*I41*12/1000</f>
        <v>15953.773318340585</v>
      </c>
      <c r="J32" s="2257">
        <f t="shared" si="1"/>
        <v>15741.133854340051</v>
      </c>
      <c r="K32" s="2256">
        <f>K33*K41*12/1000</f>
        <v>15543.209849953066</v>
      </c>
      <c r="L32" s="2256">
        <f>L33*L41*12/1000</f>
        <v>16341.73330535981</v>
      </c>
      <c r="M32" s="2259">
        <f t="shared" si="2"/>
        <v>15942.471577656437</v>
      </c>
      <c r="N32" s="2255">
        <f>'[11]НВВ 26.09.23.'!N32+'[12]НВВ 26.09.'!N32</f>
        <v>26753.241212437319</v>
      </c>
      <c r="O32" s="2260">
        <f>'[11]НВВ 26.09.23.'!O32+'[12]НВВ 26.09.'!O32</f>
        <v>55241.583695986628</v>
      </c>
      <c r="P32" s="2258">
        <f>N32/2+O32/2</f>
        <v>40997.412454211975</v>
      </c>
      <c r="Q32" s="2255">
        <f>'[11]НВВ 26.09.23.'!Q32+'[12]НВВ 26.09.'!Q32</f>
        <v>55241.583695986628</v>
      </c>
      <c r="R32" s="2260">
        <f>'[11]НВВ 26.09.23.'!R32+'[12]НВВ 26.09.'!R32</f>
        <v>57451.247043826093</v>
      </c>
      <c r="S32" s="2259">
        <f t="shared" si="4"/>
        <v>56346.415369906361</v>
      </c>
      <c r="T32" s="2255">
        <f>'[11]НВВ 26.09.23.'!T32+'[12]НВВ 26.09.'!T32</f>
        <v>57451.247043826093</v>
      </c>
      <c r="U32" s="2260">
        <f>'[11]НВВ 26.09.23.'!U32+'[12]НВВ 26.09.'!U32</f>
        <v>59749.296925579139</v>
      </c>
      <c r="V32" s="2258">
        <f t="shared" si="5"/>
        <v>58600.271984702616</v>
      </c>
      <c r="W32" s="2255">
        <f>'[11]НВВ 26.09.23.'!W32+'[12]НВВ 26.09.'!W32</f>
        <v>59749.296925579139</v>
      </c>
      <c r="X32" s="2260">
        <f>'[11]НВВ 26.09.23.'!X32+'[12]НВВ 26.09.'!X32</f>
        <v>62139.26880260231</v>
      </c>
      <c r="Y32" s="2258">
        <f t="shared" si="6"/>
        <v>60944.282864090725</v>
      </c>
      <c r="Z32" s="2255">
        <f>'[11]НВВ 26.09.23.'!Z32+'[12]НВВ 26.09.'!Z32</f>
        <v>62139.26880260231</v>
      </c>
      <c r="AA32" s="2260">
        <f>'[11]НВВ 26.09.23.'!AA32+'[12]НВВ 26.09.'!AA32</f>
        <v>64624.839554706414</v>
      </c>
      <c r="AB32" s="2259">
        <f t="shared" si="7"/>
        <v>63382.054178654362</v>
      </c>
      <c r="AC32" s="2606"/>
      <c r="AD32" s="2606"/>
      <c r="AE32" s="2606"/>
      <c r="AF32" s="2593"/>
      <c r="AG32" s="2593"/>
      <c r="AH32" s="2593"/>
      <c r="AI32" s="2593"/>
      <c r="AJ32" s="2593"/>
    </row>
    <row r="33" spans="1:36" s="2218" customFormat="1" ht="31.5" hidden="1" outlineLevel="2">
      <c r="A33" s="2235">
        <v>441</v>
      </c>
      <c r="B33" s="2279" t="s">
        <v>1780</v>
      </c>
      <c r="C33" s="2280" t="s">
        <v>1781</v>
      </c>
      <c r="D33" s="2500"/>
      <c r="E33" s="2255">
        <f>E34+E35+E38+E39+E40</f>
        <v>25195.350633269663</v>
      </c>
      <c r="F33" s="2256">
        <f>F34+F35+F38+F39+F40</f>
        <v>26688.586684556001</v>
      </c>
      <c r="G33" s="2257">
        <f t="shared" si="0"/>
        <v>25941.968658912832</v>
      </c>
      <c r="H33" s="2256">
        <f>H34+H35+H38+H39+H40</f>
        <v>30810.504742737132</v>
      </c>
      <c r="I33" s="2256">
        <f>I34+I35+I38+I39+I40</f>
        <v>31654.312139564652</v>
      </c>
      <c r="J33" s="2257">
        <f t="shared" si="1"/>
        <v>31232.408441150892</v>
      </c>
      <c r="K33" s="2256">
        <f>K34+K35+K38+K39+K40</f>
        <v>30122.49970921137</v>
      </c>
      <c r="L33" s="2256">
        <f>L34+L35+L38+L39+L40</f>
        <v>31670.025785581031</v>
      </c>
      <c r="M33" s="2259">
        <f t="shared" si="2"/>
        <v>30896.262747396198</v>
      </c>
      <c r="N33" s="2294">
        <v>34403.308191224991</v>
      </c>
      <c r="O33" s="2506">
        <v>36880.346380993193</v>
      </c>
      <c r="P33" s="2258">
        <f t="shared" si="3"/>
        <v>35641.827286109095</v>
      </c>
      <c r="Q33" s="2294">
        <v>34403.308191224991</v>
      </c>
      <c r="R33" s="2506">
        <v>36880.346380993193</v>
      </c>
      <c r="S33" s="2259">
        <f t="shared" si="4"/>
        <v>35641.827286109095</v>
      </c>
      <c r="T33" s="2294">
        <v>34403.308191224991</v>
      </c>
      <c r="U33" s="2506">
        <v>36880.346380993193</v>
      </c>
      <c r="V33" s="2258">
        <f t="shared" si="5"/>
        <v>35641.827286109095</v>
      </c>
      <c r="W33" s="2294">
        <v>34403.308191224991</v>
      </c>
      <c r="X33" s="2506">
        <v>36880.346380993193</v>
      </c>
      <c r="Y33" s="2258">
        <f t="shared" si="6"/>
        <v>35641.827286109095</v>
      </c>
      <c r="Z33" s="2294">
        <v>34403.308191224991</v>
      </c>
      <c r="AA33" s="2506">
        <v>36880.346380993193</v>
      </c>
      <c r="AB33" s="2259">
        <f t="shared" si="7"/>
        <v>35641.827286109095</v>
      </c>
      <c r="AC33" s="2606"/>
      <c r="AD33" s="2606"/>
      <c r="AE33" s="2606"/>
      <c r="AF33" s="2593"/>
      <c r="AG33" s="2593"/>
      <c r="AH33" s="2593"/>
      <c r="AI33" s="2593"/>
      <c r="AJ33" s="2593"/>
    </row>
    <row r="34" spans="1:36" s="2218" customFormat="1" hidden="1" outlineLevel="2">
      <c r="A34" s="2235">
        <v>304</v>
      </c>
      <c r="B34" s="2281" t="s">
        <v>1782</v>
      </c>
      <c r="C34" s="2282" t="s">
        <v>1783</v>
      </c>
      <c r="D34" s="2504" t="s">
        <v>1784</v>
      </c>
      <c r="E34" s="2284"/>
      <c r="F34" s="2285"/>
      <c r="G34" s="2257">
        <f t="shared" si="0"/>
        <v>0</v>
      </c>
      <c r="H34" s="2285"/>
      <c r="I34" s="2285"/>
      <c r="J34" s="2257">
        <f t="shared" si="1"/>
        <v>0</v>
      </c>
      <c r="K34" s="2285"/>
      <c r="L34" s="2285"/>
      <c r="M34" s="2259">
        <f t="shared" si="2"/>
        <v>0</v>
      </c>
      <c r="N34" s="2284">
        <v>0</v>
      </c>
      <c r="O34" s="2285">
        <v>0</v>
      </c>
      <c r="P34" s="2258">
        <f t="shared" si="3"/>
        <v>0</v>
      </c>
      <c r="Q34" s="2284">
        <v>0</v>
      </c>
      <c r="R34" s="2285">
        <v>0</v>
      </c>
      <c r="S34" s="2259">
        <f t="shared" si="4"/>
        <v>0</v>
      </c>
      <c r="T34" s="2284">
        <v>0</v>
      </c>
      <c r="U34" s="2285">
        <v>0</v>
      </c>
      <c r="V34" s="2258">
        <f t="shared" si="5"/>
        <v>0</v>
      </c>
      <c r="W34" s="2284">
        <v>0</v>
      </c>
      <c r="X34" s="2285">
        <v>0</v>
      </c>
      <c r="Y34" s="2258">
        <f t="shared" si="6"/>
        <v>0</v>
      </c>
      <c r="Z34" s="2284">
        <v>0</v>
      </c>
      <c r="AA34" s="2285">
        <v>0</v>
      </c>
      <c r="AB34" s="2259">
        <f t="shared" si="7"/>
        <v>0</v>
      </c>
      <c r="AC34" s="2606"/>
      <c r="AD34" s="2606"/>
      <c r="AE34" s="2606"/>
      <c r="AF34" s="2593"/>
      <c r="AG34" s="2593"/>
      <c r="AH34" s="2593"/>
      <c r="AI34" s="2593"/>
      <c r="AJ34" s="2593"/>
    </row>
    <row r="35" spans="1:36" s="2218" customFormat="1" hidden="1" outlineLevel="2">
      <c r="A35" s="2235">
        <v>442</v>
      </c>
      <c r="B35" s="2279" t="s">
        <v>1785</v>
      </c>
      <c r="C35" s="2280" t="s">
        <v>1786</v>
      </c>
      <c r="D35" s="2500"/>
      <c r="E35" s="2255">
        <f>E36*E37</f>
        <v>9236.4903225806447</v>
      </c>
      <c r="F35" s="2256">
        <f>F36*F37</f>
        <v>9615.6</v>
      </c>
      <c r="G35" s="2257">
        <f t="shared" si="0"/>
        <v>9426.0451612903234</v>
      </c>
      <c r="H35" s="2256">
        <f>H36*H37</f>
        <v>9662.5309090909086</v>
      </c>
      <c r="I35" s="2256">
        <f>I36*I37</f>
        <v>9956.9090909090901</v>
      </c>
      <c r="J35" s="2257">
        <f t="shared" si="1"/>
        <v>9809.7199999999993</v>
      </c>
      <c r="K35" s="2256">
        <f>K36*K37</f>
        <v>9956.9090909090901</v>
      </c>
      <c r="L35" s="2256">
        <f>L36*L37</f>
        <v>10459.083636363637</v>
      </c>
      <c r="M35" s="2259">
        <f t="shared" si="2"/>
        <v>10207.996363636365</v>
      </c>
      <c r="N35" s="2294">
        <v>11086.628654545455</v>
      </c>
      <c r="O35" s="2506">
        <v>11884.865917672729</v>
      </c>
      <c r="P35" s="2258">
        <f t="shared" si="3"/>
        <v>11485.747286109092</v>
      </c>
      <c r="Q35" s="2294">
        <v>11086.628654545455</v>
      </c>
      <c r="R35" s="2506">
        <v>11884.865917672729</v>
      </c>
      <c r="S35" s="2259">
        <f t="shared" si="4"/>
        <v>11485.747286109092</v>
      </c>
      <c r="T35" s="2294">
        <v>11086.628654545455</v>
      </c>
      <c r="U35" s="2506">
        <v>11884.865917672729</v>
      </c>
      <c r="V35" s="2258">
        <f t="shared" si="5"/>
        <v>11485.747286109092</v>
      </c>
      <c r="W35" s="2294">
        <v>11086.628654545455</v>
      </c>
      <c r="X35" s="2506">
        <v>11884.865917672729</v>
      </c>
      <c r="Y35" s="2258">
        <f t="shared" si="6"/>
        <v>11485.747286109092</v>
      </c>
      <c r="Z35" s="2294">
        <v>11086.628654545455</v>
      </c>
      <c r="AA35" s="2506">
        <v>11884.865917672729</v>
      </c>
      <c r="AB35" s="2259">
        <f t="shared" si="7"/>
        <v>11485.747286109092</v>
      </c>
      <c r="AC35" s="2606"/>
      <c r="AD35" s="2606"/>
      <c r="AE35" s="2606"/>
      <c r="AF35" s="2593"/>
      <c r="AG35" s="2593"/>
      <c r="AH35" s="2593"/>
      <c r="AI35" s="2593"/>
      <c r="AJ35" s="2593"/>
    </row>
    <row r="36" spans="1:36" s="2218" customFormat="1" hidden="1" outlineLevel="2">
      <c r="A36" s="2235">
        <v>82</v>
      </c>
      <c r="B36" s="2281" t="s">
        <v>1787</v>
      </c>
      <c r="C36" s="2282" t="s">
        <v>1788</v>
      </c>
      <c r="D36" s="2504" t="s">
        <v>1784</v>
      </c>
      <c r="E36" s="2284">
        <v>5360</v>
      </c>
      <c r="F36" s="2285">
        <v>5580</v>
      </c>
      <c r="G36" s="2257">
        <f t="shared" si="0"/>
        <v>5470</v>
      </c>
      <c r="H36" s="2285">
        <v>5580</v>
      </c>
      <c r="I36" s="2285">
        <v>5750</v>
      </c>
      <c r="J36" s="2257">
        <f t="shared" si="1"/>
        <v>5665</v>
      </c>
      <c r="K36" s="2285">
        <v>5750</v>
      </c>
      <c r="L36" s="2285">
        <v>6040</v>
      </c>
      <c r="M36" s="2259">
        <f t="shared" si="2"/>
        <v>5895</v>
      </c>
      <c r="N36" s="2294">
        <v>6402.4000000000005</v>
      </c>
      <c r="O36" s="2296">
        <v>6863.372800000001</v>
      </c>
      <c r="P36" s="2258">
        <f t="shared" si="3"/>
        <v>6632.8864000000012</v>
      </c>
      <c r="Q36" s="2294">
        <v>6402.4000000000005</v>
      </c>
      <c r="R36" s="2296">
        <v>6863.372800000001</v>
      </c>
      <c r="S36" s="2259">
        <f t="shared" si="4"/>
        <v>6632.8864000000012</v>
      </c>
      <c r="T36" s="2294">
        <v>6402.4000000000005</v>
      </c>
      <c r="U36" s="2296">
        <v>6863.372800000001</v>
      </c>
      <c r="V36" s="2258">
        <f t="shared" si="5"/>
        <v>6632.8864000000012</v>
      </c>
      <c r="W36" s="2294">
        <v>6402.4000000000005</v>
      </c>
      <c r="X36" s="2296">
        <v>6863.372800000001</v>
      </c>
      <c r="Y36" s="2258">
        <f t="shared" si="6"/>
        <v>6632.8864000000012</v>
      </c>
      <c r="Z36" s="2294">
        <v>6402.4000000000005</v>
      </c>
      <c r="AA36" s="2296">
        <v>6863.372800000001</v>
      </c>
      <c r="AB36" s="2259">
        <f t="shared" si="7"/>
        <v>6632.8864000000012</v>
      </c>
      <c r="AC36" s="2606"/>
      <c r="AD36" s="2606"/>
      <c r="AE36" s="2606"/>
      <c r="AF36" s="2593"/>
      <c r="AG36" s="2593"/>
      <c r="AH36" s="2593"/>
      <c r="AI36" s="2593"/>
      <c r="AJ36" s="2593"/>
    </row>
    <row r="37" spans="1:36" s="2218" customFormat="1" hidden="1" outlineLevel="2">
      <c r="A37" s="2235">
        <v>85</v>
      </c>
      <c r="B37" s="2281" t="s">
        <v>1789</v>
      </c>
      <c r="C37" s="2282" t="s">
        <v>1790</v>
      </c>
      <c r="D37" s="2504"/>
      <c r="E37" s="2284">
        <v>1.7232258064516128</v>
      </c>
      <c r="F37" s="2285">
        <v>1.7232258064516128</v>
      </c>
      <c r="G37" s="2257">
        <f t="shared" si="0"/>
        <v>1.7232258064516128</v>
      </c>
      <c r="H37" s="2285">
        <v>1.7316363636363636</v>
      </c>
      <c r="I37" s="2285">
        <v>1.7316363636363636</v>
      </c>
      <c r="J37" s="2257">
        <f t="shared" si="1"/>
        <v>1.7316363636363636</v>
      </c>
      <c r="K37" s="2285">
        <v>1.7316363636363636</v>
      </c>
      <c r="L37" s="2285">
        <v>1.7316363636363636</v>
      </c>
      <c r="M37" s="2259">
        <f t="shared" si="2"/>
        <v>1.7316363636363636</v>
      </c>
      <c r="N37" s="2294">
        <v>1.7316363636363636</v>
      </c>
      <c r="O37" s="2296">
        <v>1.7316363636363636</v>
      </c>
      <c r="P37" s="2258">
        <f t="shared" si="3"/>
        <v>1.7316363636363636</v>
      </c>
      <c r="Q37" s="2294">
        <v>1.7316363636363636</v>
      </c>
      <c r="R37" s="2296">
        <v>1.7316363636363636</v>
      </c>
      <c r="S37" s="2259">
        <f t="shared" si="4"/>
        <v>1.7316363636363636</v>
      </c>
      <c r="T37" s="2294">
        <v>1.7316363636363636</v>
      </c>
      <c r="U37" s="2296">
        <v>1.7316363636363636</v>
      </c>
      <c r="V37" s="2258">
        <f t="shared" si="5"/>
        <v>1.7316363636363636</v>
      </c>
      <c r="W37" s="2294">
        <v>1.7316363636363636</v>
      </c>
      <c r="X37" s="2296">
        <v>1.7316363636363636</v>
      </c>
      <c r="Y37" s="2258">
        <f t="shared" si="6"/>
        <v>1.7316363636363636</v>
      </c>
      <c r="Z37" s="2294">
        <v>1.7316363636363636</v>
      </c>
      <c r="AA37" s="2296">
        <v>1.7316363636363636</v>
      </c>
      <c r="AB37" s="2259">
        <f t="shared" si="7"/>
        <v>1.7316363636363636</v>
      </c>
      <c r="AC37" s="2606"/>
      <c r="AD37" s="2606"/>
      <c r="AE37" s="2606"/>
      <c r="AF37" s="2593"/>
      <c r="AG37" s="2593"/>
      <c r="AH37" s="2593"/>
      <c r="AI37" s="2593"/>
      <c r="AJ37" s="2593"/>
    </row>
    <row r="38" spans="1:36" s="2218" customFormat="1" hidden="1" outlineLevel="1" collapsed="1">
      <c r="A38" s="2235">
        <v>457</v>
      </c>
      <c r="B38" s="2281" t="s">
        <v>1791</v>
      </c>
      <c r="C38" s="2282" t="s">
        <v>1792</v>
      </c>
      <c r="D38" s="2504" t="s">
        <v>1793</v>
      </c>
      <c r="E38" s="2284">
        <v>9698.3148387096717</v>
      </c>
      <c r="F38" s="2285">
        <v>10636.451808876001</v>
      </c>
      <c r="G38" s="2257">
        <f t="shared" si="0"/>
        <v>10167.383323792837</v>
      </c>
      <c r="H38" s="2285">
        <v>8524.5408250690907</v>
      </c>
      <c r="I38" s="2285">
        <v>8780.277049821163</v>
      </c>
      <c r="J38" s="2257">
        <f t="shared" si="1"/>
        <v>8652.4089374451269</v>
      </c>
      <c r="K38" s="2285">
        <v>8966.5431818181823</v>
      </c>
      <c r="L38" s="2285">
        <v>9414.8703409090922</v>
      </c>
      <c r="M38" s="2259">
        <f t="shared" si="2"/>
        <v>9190.7067613636373</v>
      </c>
      <c r="N38" s="2284"/>
      <c r="O38" s="2286"/>
      <c r="P38" s="2258">
        <f t="shared" si="3"/>
        <v>0</v>
      </c>
      <c r="Q38" s="2284"/>
      <c r="R38" s="2286"/>
      <c r="S38" s="2259">
        <f t="shared" si="4"/>
        <v>0</v>
      </c>
      <c r="T38" s="2284"/>
      <c r="U38" s="2286"/>
      <c r="V38" s="2258">
        <f t="shared" si="5"/>
        <v>0</v>
      </c>
      <c r="W38" s="2284"/>
      <c r="X38" s="2286"/>
      <c r="Y38" s="2258">
        <f t="shared" si="6"/>
        <v>0</v>
      </c>
      <c r="Z38" s="2284"/>
      <c r="AA38" s="2286"/>
      <c r="AB38" s="2259">
        <f t="shared" si="7"/>
        <v>0</v>
      </c>
      <c r="AC38" s="2606"/>
      <c r="AD38" s="2606"/>
      <c r="AE38" s="2606"/>
      <c r="AF38" s="2593"/>
      <c r="AG38" s="2593"/>
      <c r="AH38" s="2593"/>
      <c r="AI38" s="2593"/>
      <c r="AJ38" s="2593"/>
    </row>
    <row r="39" spans="1:36" s="2218" customFormat="1" hidden="1" outlineLevel="1">
      <c r="A39" s="2235">
        <v>458</v>
      </c>
      <c r="B39" s="2281" t="s">
        <v>1794</v>
      </c>
      <c r="C39" s="2282" t="s">
        <v>1795</v>
      </c>
      <c r="D39" s="2504" t="s">
        <v>1784</v>
      </c>
      <c r="E39" s="2284">
        <v>6260.5454719793497</v>
      </c>
      <c r="F39" s="2285">
        <v>6436.5348756799995</v>
      </c>
      <c r="G39" s="2257">
        <f t="shared" si="0"/>
        <v>6348.540173829675</v>
      </c>
      <c r="H39" s="2285">
        <v>12623.433008577131</v>
      </c>
      <c r="I39" s="2285">
        <v>12917.125998834399</v>
      </c>
      <c r="J39" s="2257">
        <f t="shared" si="1"/>
        <v>12770.279503705766</v>
      </c>
      <c r="K39" s="2285">
        <v>11199.047436484099</v>
      </c>
      <c r="L39" s="2285">
        <v>11796.071808308301</v>
      </c>
      <c r="M39" s="2259">
        <f t="shared" si="2"/>
        <v>11497.5596223962</v>
      </c>
      <c r="N39" s="2284"/>
      <c r="O39" s="2286"/>
      <c r="P39" s="2258">
        <f t="shared" si="3"/>
        <v>0</v>
      </c>
      <c r="Q39" s="2284"/>
      <c r="R39" s="2286"/>
      <c r="S39" s="2259">
        <f t="shared" si="4"/>
        <v>0</v>
      </c>
      <c r="T39" s="2284"/>
      <c r="U39" s="2286"/>
      <c r="V39" s="2258">
        <f t="shared" si="5"/>
        <v>0</v>
      </c>
      <c r="W39" s="2284"/>
      <c r="X39" s="2286"/>
      <c r="Y39" s="2258">
        <f t="shared" si="6"/>
        <v>0</v>
      </c>
      <c r="Z39" s="2284"/>
      <c r="AA39" s="2286"/>
      <c r="AB39" s="2259">
        <f t="shared" si="7"/>
        <v>0</v>
      </c>
      <c r="AC39" s="2606"/>
      <c r="AD39" s="2606"/>
      <c r="AE39" s="2606"/>
      <c r="AF39" s="2593"/>
      <c r="AG39" s="2593"/>
      <c r="AH39" s="2593"/>
      <c r="AI39" s="2593"/>
      <c r="AJ39" s="2593"/>
    </row>
    <row r="40" spans="1:36" s="2218" customFormat="1" ht="31.5" hidden="1" outlineLevel="2">
      <c r="A40" s="2235">
        <v>459</v>
      </c>
      <c r="B40" s="2281" t="s">
        <v>1796</v>
      </c>
      <c r="C40" s="2282" t="s">
        <v>1797</v>
      </c>
      <c r="D40" s="2504" t="s">
        <v>1784</v>
      </c>
      <c r="E40" s="2284"/>
      <c r="F40" s="2285"/>
      <c r="G40" s="2257">
        <f t="shared" si="0"/>
        <v>0</v>
      </c>
      <c r="H40" s="2285"/>
      <c r="I40" s="2285"/>
      <c r="J40" s="2257">
        <f t="shared" si="1"/>
        <v>0</v>
      </c>
      <c r="K40" s="2285">
        <v>0</v>
      </c>
      <c r="L40" s="2285">
        <v>0</v>
      </c>
      <c r="M40" s="2259">
        <f t="shared" si="2"/>
        <v>0</v>
      </c>
      <c r="N40" s="2284">
        <v>0</v>
      </c>
      <c r="O40" s="2285">
        <v>0</v>
      </c>
      <c r="P40" s="2258">
        <f t="shared" si="3"/>
        <v>0</v>
      </c>
      <c r="Q40" s="2284">
        <v>0</v>
      </c>
      <c r="R40" s="2285">
        <v>0</v>
      </c>
      <c r="S40" s="2259">
        <f t="shared" si="4"/>
        <v>0</v>
      </c>
      <c r="T40" s="2284">
        <v>0</v>
      </c>
      <c r="U40" s="2285">
        <v>0</v>
      </c>
      <c r="V40" s="2258">
        <f t="shared" si="5"/>
        <v>0</v>
      </c>
      <c r="W40" s="2284">
        <v>0</v>
      </c>
      <c r="X40" s="2285">
        <v>0</v>
      </c>
      <c r="Y40" s="2258">
        <f t="shared" si="6"/>
        <v>0</v>
      </c>
      <c r="Z40" s="2284">
        <v>0</v>
      </c>
      <c r="AA40" s="2285">
        <v>0</v>
      </c>
      <c r="AB40" s="2259">
        <f t="shared" si="7"/>
        <v>0</v>
      </c>
      <c r="AC40" s="2606"/>
      <c r="AD40" s="2606"/>
      <c r="AE40" s="2606"/>
      <c r="AF40" s="2593"/>
      <c r="AG40" s="2593"/>
      <c r="AH40" s="2593"/>
      <c r="AI40" s="2593"/>
      <c r="AJ40" s="2593"/>
    </row>
    <row r="41" spans="1:36" s="2218" customFormat="1" outlineLevel="1" collapsed="1">
      <c r="A41" s="2235">
        <v>78</v>
      </c>
      <c r="B41" s="2281" t="s">
        <v>1798</v>
      </c>
      <c r="C41" s="2282" t="s">
        <v>1799</v>
      </c>
      <c r="D41" s="2504" t="s">
        <v>1800</v>
      </c>
      <c r="E41" s="2284">
        <v>49</v>
      </c>
      <c r="F41" s="2285">
        <v>49</v>
      </c>
      <c r="G41" s="2257">
        <f t="shared" si="0"/>
        <v>49</v>
      </c>
      <c r="H41" s="2285">
        <v>42</v>
      </c>
      <c r="I41" s="2285">
        <v>42</v>
      </c>
      <c r="J41" s="2257">
        <f t="shared" si="1"/>
        <v>42</v>
      </c>
      <c r="K41" s="2285">
        <v>43</v>
      </c>
      <c r="L41" s="2285">
        <v>43</v>
      </c>
      <c r="M41" s="2259">
        <f t="shared" si="2"/>
        <v>43</v>
      </c>
      <c r="N41" s="3031">
        <f>'[11]НВВ 26.09.23.'!N41+'[12]НВВ 26.09.'!N41</f>
        <v>68.294329622803815</v>
      </c>
      <c r="O41" s="3039">
        <f>'[11]НВВ 26.09.23.'!O41+'[12]НВВ 26.09.'!O41</f>
        <v>159.22330258357374</v>
      </c>
      <c r="P41" s="2258">
        <f t="shared" si="3"/>
        <v>113.75881610318878</v>
      </c>
      <c r="Q41" s="3031">
        <f>'[11]НВВ 26.09.23.'!Q41+'[12]НВВ 26.09.'!Q41</f>
        <v>159.22330258357374</v>
      </c>
      <c r="R41" s="3039">
        <f>'[11]НВВ 26.09.23.'!R41+'[12]НВВ 26.09.'!R41</f>
        <v>159.22330258357374</v>
      </c>
      <c r="S41" s="2259">
        <f t="shared" si="4"/>
        <v>159.22330258357374</v>
      </c>
      <c r="T41" s="3031">
        <f>'[11]НВВ 26.09.23.'!T41+'[12]НВВ 26.09.'!T41</f>
        <v>159.22330258357374</v>
      </c>
      <c r="U41" s="3039">
        <f>'[11]НВВ 26.09.23.'!U41+'[12]НВВ 26.09.'!U41</f>
        <v>159.22330258357374</v>
      </c>
      <c r="V41" s="2258">
        <f t="shared" si="5"/>
        <v>159.22330258357374</v>
      </c>
      <c r="W41" s="3031">
        <f>'[11]НВВ 26.09.23.'!W41+'[12]НВВ 26.09.'!W41</f>
        <v>159.22330258357374</v>
      </c>
      <c r="X41" s="3039">
        <f>'[11]НВВ 26.09.23.'!X41+'[12]НВВ 26.09.'!X41</f>
        <v>159.22330258357374</v>
      </c>
      <c r="Y41" s="2258">
        <f t="shared" si="6"/>
        <v>159.22330258357374</v>
      </c>
      <c r="Z41" s="3031">
        <f>'[11]НВВ 26.09.23.'!Z41+'[12]НВВ 26.09.'!Z41</f>
        <v>159.22330258357374</v>
      </c>
      <c r="AA41" s="3039">
        <f>'[11]НВВ 26.09.23.'!AA41+'[12]НВВ 26.09.'!AA41</f>
        <v>159.22330258357374</v>
      </c>
      <c r="AB41" s="2259">
        <f t="shared" si="7"/>
        <v>159.22330258357374</v>
      </c>
      <c r="AC41" s="2606"/>
      <c r="AD41" s="2606"/>
      <c r="AE41" s="2606"/>
      <c r="AF41" s="2593"/>
      <c r="AG41" s="2593"/>
      <c r="AH41" s="2593"/>
      <c r="AI41" s="2593"/>
      <c r="AJ41" s="2593"/>
    </row>
    <row r="42" spans="1:36" s="2218" customFormat="1" ht="31.5" outlineLevel="1">
      <c r="A42" s="2235">
        <v>88</v>
      </c>
      <c r="B42" s="2287" t="s">
        <v>1802</v>
      </c>
      <c r="C42" s="2288" t="s">
        <v>1803</v>
      </c>
      <c r="D42" s="2505" t="s">
        <v>1317</v>
      </c>
      <c r="E42" s="2290">
        <v>4571.2697044334982</v>
      </c>
      <c r="F42" s="2291">
        <v>4708.4077955665034</v>
      </c>
      <c r="G42" s="2257">
        <f t="shared" si="0"/>
        <v>4639.8387500000008</v>
      </c>
      <c r="H42" s="2291">
        <v>4603.3522888015714</v>
      </c>
      <c r="I42" s="2291">
        <v>4769.0729711984277</v>
      </c>
      <c r="J42" s="2257">
        <f t="shared" si="1"/>
        <v>4686.21263</v>
      </c>
      <c r="K42" s="2291">
        <v>4445.6281350954478</v>
      </c>
      <c r="L42" s="2291">
        <v>4636.7901449045521</v>
      </c>
      <c r="M42" s="2259">
        <f t="shared" si="2"/>
        <v>4541.2091399999999</v>
      </c>
      <c r="N42" s="2255">
        <f>'[11]НВВ 26.09.23.'!N42+'[12]НВВ 26.09.'!N42</f>
        <v>8079.4788828720311</v>
      </c>
      <c r="O42" s="2260">
        <f>'[11]НВВ 26.09.23.'!O42+'[12]НВВ 26.09.'!O42</f>
        <v>16682.960075006478</v>
      </c>
      <c r="P42" s="2258">
        <f t="shared" si="3"/>
        <v>12381.219478939254</v>
      </c>
      <c r="Q42" s="2255">
        <f>'[11]НВВ 26.09.23.'!Q42+'[12]НВВ 26.09.'!Q42</f>
        <v>16682.960065980704</v>
      </c>
      <c r="R42" s="2260">
        <f>'[11]НВВ 26.09.23.'!R42+'[12]НВВ 26.09.'!R42</f>
        <v>17350.278468619934</v>
      </c>
      <c r="S42" s="2259">
        <f t="shared" si="4"/>
        <v>17016.619267300317</v>
      </c>
      <c r="T42" s="2255">
        <f>'[11]НВВ 26.09.23.'!T42+'[12]НВВ 26.09.'!T42</f>
        <v>17350.278468619934</v>
      </c>
      <c r="U42" s="2260">
        <f>'[11]НВВ 26.09.23.'!U42+'[12]НВВ 26.09.'!U42</f>
        <v>18044.289607364732</v>
      </c>
      <c r="V42" s="2258">
        <f t="shared" si="5"/>
        <v>17697.284037992333</v>
      </c>
      <c r="W42" s="2255">
        <f>'[11]НВВ 26.09.23.'!W42+'[12]НВВ 26.09.'!W42</f>
        <v>18044.289607364732</v>
      </c>
      <c r="X42" s="2260">
        <f>'[11]НВВ 26.09.23.'!X42+'[12]НВВ 26.09.'!X42</f>
        <v>18766.061191659319</v>
      </c>
      <c r="Y42" s="2258">
        <f t="shared" si="6"/>
        <v>18405.175399512023</v>
      </c>
      <c r="Z42" s="2255">
        <f>'[11]НВВ 26.09.23.'!Z42+'[12]НВВ 26.09.'!Z42</f>
        <v>18766.061191659319</v>
      </c>
      <c r="AA42" s="2260">
        <f>'[11]НВВ 26.09.23.'!AA42+'[12]НВВ 26.09.'!AA42</f>
        <v>19516.703639325693</v>
      </c>
      <c r="AB42" s="2259">
        <f t="shared" si="7"/>
        <v>19141.382415492506</v>
      </c>
      <c r="AC42" s="2606"/>
      <c r="AD42" s="2606"/>
      <c r="AE42" s="2606"/>
      <c r="AF42" s="2593"/>
      <c r="AG42" s="2593"/>
      <c r="AH42" s="2593"/>
      <c r="AI42" s="2593"/>
      <c r="AJ42" s="2593"/>
    </row>
    <row r="43" spans="1:36" s="2218" customFormat="1" hidden="1" outlineLevel="2">
      <c r="A43" s="2235">
        <v>287</v>
      </c>
      <c r="B43" s="2281" t="s">
        <v>1805</v>
      </c>
      <c r="C43" s="2282" t="s">
        <v>1806</v>
      </c>
      <c r="D43" s="2504" t="s">
        <v>1313</v>
      </c>
      <c r="E43" s="2284"/>
      <c r="F43" s="2285"/>
      <c r="G43" s="2257">
        <f t="shared" si="0"/>
        <v>0</v>
      </c>
      <c r="H43" s="2285"/>
      <c r="I43" s="2285"/>
      <c r="J43" s="2257">
        <f t="shared" si="1"/>
        <v>0</v>
      </c>
      <c r="K43" s="2285"/>
      <c r="L43" s="2285"/>
      <c r="M43" s="2259">
        <f t="shared" si="2"/>
        <v>0</v>
      </c>
      <c r="N43" s="2284">
        <v>0</v>
      </c>
      <c r="O43" s="2285">
        <v>0</v>
      </c>
      <c r="P43" s="2258">
        <f t="shared" si="3"/>
        <v>0</v>
      </c>
      <c r="Q43" s="2284">
        <v>0</v>
      </c>
      <c r="R43" s="2285">
        <v>0</v>
      </c>
      <c r="S43" s="2259">
        <f t="shared" si="4"/>
        <v>0</v>
      </c>
      <c r="T43" s="2284">
        <v>0</v>
      </c>
      <c r="U43" s="2285">
        <v>0</v>
      </c>
      <c r="V43" s="2258">
        <f t="shared" si="5"/>
        <v>0</v>
      </c>
      <c r="W43" s="2284">
        <v>0</v>
      </c>
      <c r="X43" s="2285">
        <v>0</v>
      </c>
      <c r="Y43" s="2258">
        <f t="shared" si="6"/>
        <v>0</v>
      </c>
      <c r="Z43" s="2284">
        <v>0</v>
      </c>
      <c r="AA43" s="2285">
        <v>0</v>
      </c>
      <c r="AB43" s="2259">
        <f t="shared" si="7"/>
        <v>0</v>
      </c>
      <c r="AC43" s="2606"/>
      <c r="AD43" s="2606"/>
      <c r="AE43" s="2606"/>
      <c r="AF43" s="2593"/>
      <c r="AG43" s="2593"/>
      <c r="AH43" s="2593"/>
      <c r="AI43" s="2593"/>
      <c r="AJ43" s="2593"/>
    </row>
    <row r="44" spans="1:36" s="2218" customFormat="1" outlineLevel="1" collapsed="1">
      <c r="A44" s="2235">
        <v>8</v>
      </c>
      <c r="B44" s="2279" t="s">
        <v>1807</v>
      </c>
      <c r="C44" s="2295" t="s">
        <v>1808</v>
      </c>
      <c r="D44" s="2500" t="s">
        <v>1313</v>
      </c>
      <c r="E44" s="2255">
        <f>E45+E46</f>
        <v>9687.284053877238</v>
      </c>
      <c r="F44" s="2256">
        <f>F45+F46</f>
        <v>9977.9025754935556</v>
      </c>
      <c r="G44" s="2257">
        <f t="shared" si="0"/>
        <v>9832.5933146853968</v>
      </c>
      <c r="H44" s="2256">
        <f>H45+H46</f>
        <v>7841.1335550273807</v>
      </c>
      <c r="I44" s="2256">
        <f>I45+I46</f>
        <v>8123.4143630083672</v>
      </c>
      <c r="J44" s="2257">
        <f t="shared" si="1"/>
        <v>7982.2739590178735</v>
      </c>
      <c r="K44" s="2256">
        <f>K45+K46</f>
        <v>4321.2815566189902</v>
      </c>
      <c r="L44" s="2256">
        <f>L45+L46</f>
        <v>4507.096663553606</v>
      </c>
      <c r="M44" s="2259">
        <f t="shared" si="2"/>
        <v>4414.1891100862977</v>
      </c>
      <c r="N44" s="2255">
        <f>'[11]НВВ 26.09.23.'!N44+'[12]НВВ 26.09.'!N44</f>
        <v>3099.8010590895674</v>
      </c>
      <c r="O44" s="2260">
        <f>'[11]НВВ 26.09.23.'!O44+'[12]НВВ 26.09.'!O44</f>
        <v>9553.0338418869178</v>
      </c>
      <c r="P44" s="2258">
        <f t="shared" si="3"/>
        <v>6326.417450488243</v>
      </c>
      <c r="Q44" s="2255">
        <f>'[11]НВВ 26.09.23.'!Q44+'[12]НВВ 26.09.'!Q44</f>
        <v>9553.0338418869178</v>
      </c>
      <c r="R44" s="2260">
        <f>'[11]НВВ 26.09.23.'!R44+'[12]НВВ 26.09.'!R44</f>
        <v>9935.1551955623945</v>
      </c>
      <c r="S44" s="2259">
        <f t="shared" si="4"/>
        <v>9744.0945187246562</v>
      </c>
      <c r="T44" s="2255">
        <f>'[11]НВВ 26.09.23.'!T44+'[12]НВВ 26.09.'!T44</f>
        <v>9935.1551955623945</v>
      </c>
      <c r="U44" s="2260">
        <f>'[11]НВВ 26.09.23.'!U44+'[12]НВВ 26.09.'!U44</f>
        <v>10332.561403384891</v>
      </c>
      <c r="V44" s="2258">
        <f t="shared" si="5"/>
        <v>10133.858299473643</v>
      </c>
      <c r="W44" s="2255">
        <f>'[11]НВВ 26.09.23.'!W44+'[12]НВВ 26.09.'!W44</f>
        <v>10332.561403384891</v>
      </c>
      <c r="X44" s="2260">
        <f>'[11]НВВ 26.09.23.'!X44+'[12]НВВ 26.09.'!X44</f>
        <v>10745.863859520286</v>
      </c>
      <c r="Y44" s="2258">
        <f t="shared" si="6"/>
        <v>10539.212631452589</v>
      </c>
      <c r="Z44" s="2255">
        <f>'[11]НВВ 26.09.23.'!Z44+'[12]НВВ 26.09.'!Z44</f>
        <v>10745.863859520286</v>
      </c>
      <c r="AA44" s="2260">
        <f>'[11]НВВ 26.09.23.'!AA44+'[12]НВВ 26.09.'!AA44</f>
        <v>11175.698413901098</v>
      </c>
      <c r="AB44" s="2259">
        <f t="shared" si="7"/>
        <v>10960.781136710691</v>
      </c>
      <c r="AC44" s="2606"/>
      <c r="AD44" s="2606"/>
      <c r="AE44" s="2606"/>
      <c r="AF44" s="2593"/>
      <c r="AG44" s="2593"/>
      <c r="AH44" s="2593"/>
      <c r="AI44" s="2593"/>
      <c r="AJ44" s="2593"/>
    </row>
    <row r="45" spans="1:36" s="2218" customFormat="1" outlineLevel="1">
      <c r="A45" s="2235">
        <v>99</v>
      </c>
      <c r="B45" s="2281" t="s">
        <v>1809</v>
      </c>
      <c r="C45" s="2282" t="s">
        <v>1810</v>
      </c>
      <c r="D45" s="2504" t="s">
        <v>1317</v>
      </c>
      <c r="E45" s="2284">
        <v>1575.49397527733</v>
      </c>
      <c r="F45" s="2285">
        <v>1622.7587945356499</v>
      </c>
      <c r="G45" s="2257">
        <f t="shared" si="0"/>
        <v>1599.1263849064899</v>
      </c>
      <c r="H45" s="2285">
        <v>1981.7327622300247</v>
      </c>
      <c r="I45" s="2285">
        <v>2053.0751416703056</v>
      </c>
      <c r="J45" s="2257">
        <f t="shared" si="1"/>
        <v>2017.4039519501653</v>
      </c>
      <c r="K45" s="2285">
        <v>1705.9445936732013</v>
      </c>
      <c r="L45" s="2285">
        <v>1779.3002112011488</v>
      </c>
      <c r="M45" s="2259">
        <f t="shared" si="2"/>
        <v>1742.622402437175</v>
      </c>
      <c r="N45" s="3031">
        <f>'[11]НВВ 26.09.23.'!N45+'[12]НВВ 26.09.'!N45</f>
        <v>690.36587998191999</v>
      </c>
      <c r="O45" s="3039">
        <f>'[11]НВВ 26.09.23.'!O45+'[12]НВВ 26.09.'!O45</f>
        <v>3973.070434840145</v>
      </c>
      <c r="P45" s="2258">
        <f t="shared" si="3"/>
        <v>2331.7181574110327</v>
      </c>
      <c r="Q45" s="3031">
        <f>'[11]НВВ 26.09.23.'!Q45+'[12]НВВ 26.09.'!Q45</f>
        <v>3973.070434840145</v>
      </c>
      <c r="R45" s="3039">
        <f>'[11]НВВ 26.09.23.'!R45+'[12]НВВ 26.09.'!R45</f>
        <v>4131.9932522337504</v>
      </c>
      <c r="S45" s="2259">
        <f t="shared" si="4"/>
        <v>4052.5318435369477</v>
      </c>
      <c r="T45" s="3031">
        <f>'[11]НВВ 26.09.23.'!T45+'[12]НВВ 26.09.'!T45</f>
        <v>4131.9932522337504</v>
      </c>
      <c r="U45" s="3039">
        <f>'[11]НВВ 26.09.23.'!U45+'[12]НВВ 26.09.'!U45</f>
        <v>4297.2729823231011</v>
      </c>
      <c r="V45" s="2258">
        <f t="shared" si="5"/>
        <v>4214.6331172784257</v>
      </c>
      <c r="W45" s="3031">
        <f>'[11]НВВ 26.09.23.'!W45+'[12]НВВ 26.09.'!W45</f>
        <v>4297.2729823231011</v>
      </c>
      <c r="X45" s="3039">
        <f>'[11]НВВ 26.09.23.'!X45+'[12]НВВ 26.09.'!X45</f>
        <v>4469.1639016160252</v>
      </c>
      <c r="Y45" s="2258">
        <f t="shared" si="6"/>
        <v>4383.2184419695632</v>
      </c>
      <c r="Z45" s="3031">
        <f>'[11]НВВ 26.09.23.'!Z45+'[12]НВВ 26.09.'!Z45</f>
        <v>4469.1639016160252</v>
      </c>
      <c r="AA45" s="3039">
        <f>'[11]НВВ 26.09.23.'!AA45+'[12]НВВ 26.09.'!AA45</f>
        <v>4647.9304576806662</v>
      </c>
      <c r="AB45" s="2259">
        <f t="shared" si="7"/>
        <v>4558.5471796483453</v>
      </c>
      <c r="AC45" s="2606"/>
      <c r="AD45" s="2606"/>
      <c r="AE45" s="2606"/>
      <c r="AF45" s="2593"/>
      <c r="AG45" s="2593"/>
      <c r="AH45" s="2593"/>
      <c r="AI45" s="2593"/>
      <c r="AJ45" s="2593"/>
    </row>
    <row r="46" spans="1:36" s="2218" customFormat="1" outlineLevel="1">
      <c r="A46" s="2235">
        <v>9</v>
      </c>
      <c r="B46" s="2281" t="s">
        <v>1812</v>
      </c>
      <c r="C46" s="2282" t="s">
        <v>1813</v>
      </c>
      <c r="D46" s="2504" t="s">
        <v>1313</v>
      </c>
      <c r="E46" s="2284">
        <v>8111.7900785999082</v>
      </c>
      <c r="F46" s="2285">
        <v>8355.1437809579056</v>
      </c>
      <c r="G46" s="2257">
        <f t="shared" si="0"/>
        <v>8233.4669297789078</v>
      </c>
      <c r="H46" s="2285">
        <v>5859.4007927973562</v>
      </c>
      <c r="I46" s="2285">
        <v>6070.3392213380612</v>
      </c>
      <c r="J46" s="2257">
        <f t="shared" si="1"/>
        <v>5964.8700070677087</v>
      </c>
      <c r="K46" s="2285">
        <v>2615.3369629457889</v>
      </c>
      <c r="L46" s="2285">
        <v>2727.7964523524574</v>
      </c>
      <c r="M46" s="2259">
        <f t="shared" si="2"/>
        <v>2671.5667076491231</v>
      </c>
      <c r="N46" s="3031">
        <f>'[11]НВВ 26.09.23.'!N46+'[12]НВВ 26.09.'!N46</f>
        <v>2409.4351791076474</v>
      </c>
      <c r="O46" s="3039">
        <f>'[11]НВВ 26.09.23.'!O46+'[12]НВВ 26.09.'!O46</f>
        <v>5579.9634070467728</v>
      </c>
      <c r="P46" s="2258">
        <f t="shared" si="3"/>
        <v>3994.6992930772103</v>
      </c>
      <c r="Q46" s="3031">
        <f>'[11]НВВ 26.09.23.'!Q46+'[12]НВВ 26.09.'!Q46</f>
        <v>5579.9634070467728</v>
      </c>
      <c r="R46" s="3039">
        <f>'[11]НВВ 26.09.23.'!R46+'[12]НВВ 26.09.'!R46</f>
        <v>5803.1619433286432</v>
      </c>
      <c r="S46" s="2259">
        <f t="shared" si="4"/>
        <v>5691.562675187708</v>
      </c>
      <c r="T46" s="3031">
        <f>'[11]НВВ 26.09.23.'!T46+'[12]НВВ 26.09.'!T46</f>
        <v>5803.1619433286432</v>
      </c>
      <c r="U46" s="3039">
        <f>'[11]НВВ 26.09.23.'!U46+'[12]НВВ 26.09.'!U46</f>
        <v>6035.2884210617904</v>
      </c>
      <c r="V46" s="2258">
        <f t="shared" si="5"/>
        <v>5919.2251821952168</v>
      </c>
      <c r="W46" s="3031">
        <f>'[11]НВВ 26.09.23.'!W46+'[12]НВВ 26.09.'!W46</f>
        <v>6035.2884210617904</v>
      </c>
      <c r="X46" s="3039">
        <f>'[11]НВВ 26.09.23.'!X46+'[12]НВВ 26.09.'!X46</f>
        <v>6276.6999579042622</v>
      </c>
      <c r="Y46" s="2258">
        <f t="shared" si="6"/>
        <v>6155.9941894830263</v>
      </c>
      <c r="Z46" s="3031">
        <f>'[11]НВВ 26.09.23.'!Z46+'[12]НВВ 26.09.'!Z46</f>
        <v>6276.6999579042622</v>
      </c>
      <c r="AA46" s="3039">
        <f>'[11]НВВ 26.09.23.'!AA46+'[12]НВВ 26.09.'!AA46</f>
        <v>6527.7679562204321</v>
      </c>
      <c r="AB46" s="2259">
        <f t="shared" si="7"/>
        <v>6402.2339570623471</v>
      </c>
      <c r="AC46" s="2606"/>
      <c r="AD46" s="2606"/>
      <c r="AE46" s="2606"/>
      <c r="AF46" s="2593"/>
      <c r="AG46" s="2593"/>
      <c r="AH46" s="2593"/>
      <c r="AI46" s="2593"/>
      <c r="AJ46" s="2593"/>
    </row>
    <row r="47" spans="1:36" s="2218" customFormat="1" outlineLevel="1">
      <c r="A47" s="2235">
        <v>91</v>
      </c>
      <c r="B47" s="2279" t="s">
        <v>1815</v>
      </c>
      <c r="C47" s="2295" t="s">
        <v>1816</v>
      </c>
      <c r="D47" s="2500" t="s">
        <v>1317</v>
      </c>
      <c r="E47" s="2255">
        <f>E48+E49+E50+E51+E52+E53</f>
        <v>9262.3307397597273</v>
      </c>
      <c r="F47" s="2256">
        <f>F48+F49+F50+F51+F52+F53</f>
        <v>9540.2006619525182</v>
      </c>
      <c r="G47" s="2257">
        <f t="shared" si="0"/>
        <v>9401.2657008561218</v>
      </c>
      <c r="H47" s="2256">
        <f>H48+H49+H50+H51+H52+H53</f>
        <v>10002.873873325101</v>
      </c>
      <c r="I47" s="2256">
        <f>I48+I49+I50+I51+I52+I53</f>
        <v>10362.977332764805</v>
      </c>
      <c r="J47" s="2257">
        <f t="shared" si="1"/>
        <v>10182.925603044954</v>
      </c>
      <c r="K47" s="2256">
        <f>K48+K49+K50+K51+K52+K53</f>
        <v>11200.792351511636</v>
      </c>
      <c r="L47" s="2256">
        <f>L48+L49+L50+L51+L52+L53</f>
        <v>11682.426422626633</v>
      </c>
      <c r="M47" s="2259">
        <f t="shared" si="2"/>
        <v>11441.609387069135</v>
      </c>
      <c r="N47" s="3031">
        <f>'[11]НВВ 26.09.23.'!N47+'[12]НВВ 26.09.'!N47</f>
        <v>3421.4503881794003</v>
      </c>
      <c r="O47" s="3039">
        <f>'[11]НВВ 26.09.23.'!O47+'[12]НВВ 26.09.'!O47</f>
        <v>13362.1508979135</v>
      </c>
      <c r="P47" s="2258">
        <f t="shared" si="3"/>
        <v>8391.8006430464502</v>
      </c>
      <c r="Q47" s="3031">
        <f>'[11]НВВ 26.09.23.'!Q47+'[12]НВВ 26.09.'!Q47</f>
        <v>13362.1508979135</v>
      </c>
      <c r="R47" s="3039">
        <f>'[11]НВВ 26.09.23.'!R47+'[12]НВВ 26.09.'!R47</f>
        <v>13896.636933830043</v>
      </c>
      <c r="S47" s="2259">
        <f t="shared" si="4"/>
        <v>13629.393915871771</v>
      </c>
      <c r="T47" s="3031">
        <f>'[11]НВВ 26.09.23.'!T47+'[12]НВВ 26.09.'!T47</f>
        <v>13896.636933830043</v>
      </c>
      <c r="U47" s="3039">
        <f>'[11]НВВ 26.09.23.'!U47+'[12]НВВ 26.09.'!U47</f>
        <v>14452.502411183243</v>
      </c>
      <c r="V47" s="2258">
        <f t="shared" si="5"/>
        <v>14174.569672506643</v>
      </c>
      <c r="W47" s="3031">
        <f>'[11]НВВ 26.09.23.'!W47+'[12]НВВ 26.09.'!W47</f>
        <v>14452.502411183243</v>
      </c>
      <c r="X47" s="3039">
        <f>'[11]НВВ 26.09.23.'!X47+'[12]НВВ 26.09.'!X47</f>
        <v>15030.602507630574</v>
      </c>
      <c r="Y47" s="2258">
        <f t="shared" si="6"/>
        <v>14741.552459406908</v>
      </c>
      <c r="Z47" s="3031">
        <f>'[11]НВВ 26.09.23.'!Z47+'[12]НВВ 26.09.'!Z47</f>
        <v>15030.602507630574</v>
      </c>
      <c r="AA47" s="3039">
        <f>'[11]НВВ 26.09.23.'!AA47+'[12]НВВ 26.09.'!AA47</f>
        <v>15631.826607935796</v>
      </c>
      <c r="AB47" s="2259">
        <f t="shared" si="7"/>
        <v>15331.214557783185</v>
      </c>
      <c r="AC47" s="2606"/>
      <c r="AD47" s="2606"/>
      <c r="AE47" s="2606"/>
      <c r="AF47" s="2593"/>
      <c r="AG47" s="2593"/>
      <c r="AH47" s="2593"/>
      <c r="AI47" s="2593"/>
      <c r="AJ47" s="2593"/>
    </row>
    <row r="48" spans="1:36" s="2218" customFormat="1" outlineLevel="1">
      <c r="A48" s="2235">
        <v>92</v>
      </c>
      <c r="B48" s="2281" t="s">
        <v>1817</v>
      </c>
      <c r="C48" s="2282" t="s">
        <v>1818</v>
      </c>
      <c r="D48" s="2504" t="s">
        <v>1317</v>
      </c>
      <c r="E48" s="2284">
        <v>6070.7385221674895</v>
      </c>
      <c r="F48" s="2285">
        <v>6252.8606778325147</v>
      </c>
      <c r="G48" s="2257">
        <f t="shared" si="0"/>
        <v>6161.7996000000021</v>
      </c>
      <c r="H48" s="2285">
        <v>5476.9530451866403</v>
      </c>
      <c r="I48" s="2285">
        <v>5674.1233548133596</v>
      </c>
      <c r="J48" s="2257">
        <f t="shared" si="1"/>
        <v>5575.5382</v>
      </c>
      <c r="K48" s="2285">
        <v>6486.2677728830149</v>
      </c>
      <c r="L48" s="2285">
        <v>6765.1772871169842</v>
      </c>
      <c r="M48" s="2259">
        <f t="shared" si="2"/>
        <v>6625.7225299999991</v>
      </c>
      <c r="N48" s="3031">
        <f>'[11]НВВ 26.09.23.'!N48+'[12]НВВ 26.09.'!N48</f>
        <v>2500.0069515956147</v>
      </c>
      <c r="O48" s="3039">
        <f>'[11]НВВ 26.09.23.'!O48+'[12]НВВ 26.09.'!O48</f>
        <v>6215.5947071938172</v>
      </c>
      <c r="P48" s="2258">
        <f t="shared" si="3"/>
        <v>4357.8008293947159</v>
      </c>
      <c r="Q48" s="3031">
        <f>'[11]НВВ 26.09.23.'!Q48+'[12]НВВ 26.09.'!Q48</f>
        <v>6215.5947071938172</v>
      </c>
      <c r="R48" s="3039">
        <f>'[11]НВВ 26.09.23.'!R48+'[12]НВВ 26.09.'!R48</f>
        <v>6464.2184954815712</v>
      </c>
      <c r="S48" s="2259">
        <f t="shared" si="4"/>
        <v>6339.9066013376942</v>
      </c>
      <c r="T48" s="3031">
        <f>'[11]НВВ 26.09.23.'!T48+'[12]НВВ 26.09.'!T48</f>
        <v>6464.2184954815712</v>
      </c>
      <c r="U48" s="3039">
        <f>'[11]НВВ 26.09.23.'!U48+'[12]НВВ 26.09.'!U48</f>
        <v>6722.7872353008333</v>
      </c>
      <c r="V48" s="2258">
        <f t="shared" si="5"/>
        <v>6593.5028653912022</v>
      </c>
      <c r="W48" s="3031">
        <f>'[11]НВВ 26.09.23.'!W48+'[12]НВВ 26.09.'!W48</f>
        <v>6722.7872353008333</v>
      </c>
      <c r="X48" s="3039">
        <f>'[11]НВВ 26.09.23.'!X48+'[12]НВВ 26.09.'!X48</f>
        <v>6991.6987247128673</v>
      </c>
      <c r="Y48" s="2258">
        <f t="shared" si="6"/>
        <v>6857.2429800068503</v>
      </c>
      <c r="Z48" s="3031">
        <f>'[11]НВВ 26.09.23.'!Z48+'[12]НВВ 26.09.'!Z48</f>
        <v>6991.6987247128673</v>
      </c>
      <c r="AA48" s="3039">
        <f>'[11]НВВ 26.09.23.'!AA48+'[12]НВВ 26.09.'!AA48</f>
        <v>7271.3666737013828</v>
      </c>
      <c r="AB48" s="2259">
        <f t="shared" si="7"/>
        <v>7131.532699207125</v>
      </c>
      <c r="AC48" s="2606"/>
      <c r="AD48" s="2606"/>
      <c r="AE48" s="2606"/>
      <c r="AF48" s="2593"/>
      <c r="AG48" s="2593"/>
      <c r="AH48" s="2593"/>
      <c r="AI48" s="2593"/>
      <c r="AJ48" s="2593"/>
    </row>
    <row r="49" spans="1:36" s="2218" customFormat="1" hidden="1" outlineLevel="2">
      <c r="A49" s="2235">
        <v>95</v>
      </c>
      <c r="B49" s="2281" t="s">
        <v>1820</v>
      </c>
      <c r="C49" s="2282" t="s">
        <v>1821</v>
      </c>
      <c r="D49" s="2504" t="s">
        <v>1317</v>
      </c>
      <c r="E49" s="2284"/>
      <c r="F49" s="2285"/>
      <c r="G49" s="2257">
        <f t="shared" si="0"/>
        <v>0</v>
      </c>
      <c r="H49" s="2285"/>
      <c r="I49" s="2285"/>
      <c r="J49" s="2257">
        <f t="shared" si="1"/>
        <v>0</v>
      </c>
      <c r="K49" s="2285"/>
      <c r="L49" s="2285"/>
      <c r="M49" s="2259">
        <f t="shared" si="2"/>
        <v>0</v>
      </c>
      <c r="N49" s="2294">
        <v>0</v>
      </c>
      <c r="O49" s="2506">
        <v>0</v>
      </c>
      <c r="P49" s="2258">
        <f t="shared" si="3"/>
        <v>0</v>
      </c>
      <c r="Q49" s="2294">
        <v>0</v>
      </c>
      <c r="R49" s="2506">
        <v>0</v>
      </c>
      <c r="S49" s="2259">
        <f t="shared" si="4"/>
        <v>0</v>
      </c>
      <c r="T49" s="2294">
        <v>0</v>
      </c>
      <c r="U49" s="2506">
        <v>0</v>
      </c>
      <c r="V49" s="2258">
        <f t="shared" si="5"/>
        <v>0</v>
      </c>
      <c r="W49" s="2294">
        <v>0</v>
      </c>
      <c r="X49" s="2506">
        <v>0</v>
      </c>
      <c r="Y49" s="2258">
        <f t="shared" si="6"/>
        <v>0</v>
      </c>
      <c r="Z49" s="2294">
        <v>0</v>
      </c>
      <c r="AA49" s="2506">
        <v>0</v>
      </c>
      <c r="AB49" s="2259">
        <f t="shared" si="7"/>
        <v>0</v>
      </c>
      <c r="AC49" s="2606"/>
      <c r="AD49" s="2606"/>
      <c r="AE49" s="2606"/>
      <c r="AF49" s="2593"/>
      <c r="AG49" s="2593"/>
      <c r="AH49" s="2593"/>
      <c r="AI49" s="2593"/>
      <c r="AJ49" s="2593"/>
    </row>
    <row r="50" spans="1:36" s="2218" customFormat="1" ht="31.5" outlineLevel="1" collapsed="1">
      <c r="A50" s="2235">
        <v>266</v>
      </c>
      <c r="B50" s="2281" t="s">
        <v>1822</v>
      </c>
      <c r="C50" s="2282" t="s">
        <v>1823</v>
      </c>
      <c r="D50" s="2504" t="s">
        <v>1313</v>
      </c>
      <c r="E50" s="2284">
        <v>1547.9170049261086</v>
      </c>
      <c r="F50" s="2285">
        <v>1594.3545150738919</v>
      </c>
      <c r="G50" s="2257">
        <f t="shared" si="0"/>
        <v>1571.1357600000001</v>
      </c>
      <c r="H50" s="2285">
        <v>2523.3663654223969</v>
      </c>
      <c r="I50" s="2285">
        <v>2614.2075545776033</v>
      </c>
      <c r="J50" s="2257">
        <f t="shared" si="1"/>
        <v>2568.7869600000004</v>
      </c>
      <c r="K50" s="2285">
        <v>2500.1187273617229</v>
      </c>
      <c r="L50" s="2285">
        <v>2607.6238326382768</v>
      </c>
      <c r="M50" s="2259">
        <f t="shared" si="2"/>
        <v>2553.8712799999998</v>
      </c>
      <c r="N50" s="3031">
        <f>'[11]НВВ 26.09.23.'!N50+'[12]НВВ 26.09.'!N50</f>
        <v>460.64798268813132</v>
      </c>
      <c r="O50" s="3039">
        <f>'[11]НВВ 26.09.23.'!O50+'[12]НВВ 26.09.'!O50</f>
        <v>4201.3807492301148</v>
      </c>
      <c r="P50" s="2258">
        <f t="shared" si="3"/>
        <v>2331.0143659591231</v>
      </c>
      <c r="Q50" s="3031">
        <f>'[11]НВВ 26.09.23.'!Q50+'[12]НВВ 26.09.'!Q50</f>
        <v>4201.3807492301148</v>
      </c>
      <c r="R50" s="3039">
        <f>'[11]НВВ 26.09.23.'!R50+'[12]НВВ 26.09.'!R50</f>
        <v>4369.4359791993193</v>
      </c>
      <c r="S50" s="2259">
        <f t="shared" si="4"/>
        <v>4285.408364214717</v>
      </c>
      <c r="T50" s="3031">
        <f>'[11]НВВ 26.09.23.'!T50+'[12]НВВ 26.09.'!T50</f>
        <v>4369.4359791993193</v>
      </c>
      <c r="U50" s="3039">
        <f>'[11]НВВ 26.09.23.'!U50+'[12]НВВ 26.09.'!U50</f>
        <v>4544.2134183672915</v>
      </c>
      <c r="V50" s="2258">
        <f t="shared" si="5"/>
        <v>4456.8246987833054</v>
      </c>
      <c r="W50" s="3031">
        <f>'[11]НВВ 26.09.23.'!W50+'[12]НВВ 26.09.'!W50</f>
        <v>4544.2134183672915</v>
      </c>
      <c r="X50" s="3039">
        <f>'[11]НВВ 26.09.23.'!X50+'[12]НВВ 26.09.'!X50</f>
        <v>4725.9819551019837</v>
      </c>
      <c r="Y50" s="2258">
        <f t="shared" si="6"/>
        <v>4635.097686734638</v>
      </c>
      <c r="Z50" s="3031">
        <f>'[11]НВВ 26.09.23.'!Z50+'[12]НВВ 26.09.'!Z50</f>
        <v>4725.9819551019837</v>
      </c>
      <c r="AA50" s="3039">
        <f>'[11]НВВ 26.09.23.'!AA50+'[12]НВВ 26.09.'!AA50</f>
        <v>4915.0212333060626</v>
      </c>
      <c r="AB50" s="2259">
        <f t="shared" si="7"/>
        <v>4820.5015942040227</v>
      </c>
      <c r="AC50" s="2606"/>
      <c r="AD50" s="2606"/>
      <c r="AE50" s="2606"/>
      <c r="AF50" s="2593"/>
      <c r="AG50" s="2593"/>
      <c r="AH50" s="2593"/>
      <c r="AI50" s="2593"/>
      <c r="AJ50" s="2593"/>
    </row>
    <row r="51" spans="1:36" s="2218" customFormat="1" ht="31.5" outlineLevel="1">
      <c r="A51" s="2235">
        <v>267</v>
      </c>
      <c r="B51" s="2281" t="s">
        <v>1825</v>
      </c>
      <c r="C51" s="2282" t="s">
        <v>1826</v>
      </c>
      <c r="D51" s="2504" t="s">
        <v>1128</v>
      </c>
      <c r="E51" s="2284">
        <v>1602.7529209198171</v>
      </c>
      <c r="F51" s="2285">
        <v>1650.8355085474118</v>
      </c>
      <c r="G51" s="2257">
        <f t="shared" si="0"/>
        <v>1626.7942147336144</v>
      </c>
      <c r="H51" s="2285">
        <v>1922.6996194057176</v>
      </c>
      <c r="I51" s="2285">
        <v>1991.9168057043235</v>
      </c>
      <c r="J51" s="2257">
        <f t="shared" si="1"/>
        <v>1957.3082125550204</v>
      </c>
      <c r="K51" s="2285">
        <v>2143.0709135735005</v>
      </c>
      <c r="L51" s="2285">
        <v>2235.2229628571608</v>
      </c>
      <c r="M51" s="2259">
        <f t="shared" si="2"/>
        <v>2189.1469382153309</v>
      </c>
      <c r="N51" s="3031">
        <f>'[11]НВВ 26.09.23.'!N51+'[12]НВВ 26.09.'!N51</f>
        <v>391.25490531862948</v>
      </c>
      <c r="O51" s="3039">
        <f>'[11]НВВ 26.09.23.'!O51+'[12]НВВ 26.09.'!O51</f>
        <v>2434.4291309919709</v>
      </c>
      <c r="P51" s="2258">
        <f t="shared" si="3"/>
        <v>1412.8420181553001</v>
      </c>
      <c r="Q51" s="3031">
        <f>'[11]НВВ 26.09.23.'!Q51+'[12]НВВ 26.09.'!Q51</f>
        <v>2434.4291309919709</v>
      </c>
      <c r="R51" s="3039">
        <f>'[11]НВВ 26.09.23.'!R51+'[12]НВВ 26.09.'!R51</f>
        <v>2531.8062962316499</v>
      </c>
      <c r="S51" s="2259">
        <f t="shared" si="4"/>
        <v>2483.1177136118104</v>
      </c>
      <c r="T51" s="3031">
        <f>'[11]НВВ 26.09.23.'!T51+'[12]НВВ 26.09.'!T51</f>
        <v>2531.8062962316499</v>
      </c>
      <c r="U51" s="3039">
        <f>'[11]НВВ 26.09.23.'!U51+'[12]НВВ 26.09.'!U51</f>
        <v>2633.0785480809159</v>
      </c>
      <c r="V51" s="2258">
        <f t="shared" si="5"/>
        <v>2582.4424221562831</v>
      </c>
      <c r="W51" s="3031">
        <f>'[11]НВВ 26.09.23.'!W51+'[12]НВВ 26.09.'!W51</f>
        <v>2633.0785480809159</v>
      </c>
      <c r="X51" s="3039">
        <f>'[11]НВВ 26.09.23.'!X51+'[12]НВВ 26.09.'!X51</f>
        <v>2738.4016900041529</v>
      </c>
      <c r="Y51" s="2258">
        <f t="shared" si="6"/>
        <v>2685.7401190425344</v>
      </c>
      <c r="Z51" s="3031">
        <f>'[11]НВВ 26.09.23.'!Z51+'[12]НВВ 26.09.'!Z51</f>
        <v>2738.4016900041529</v>
      </c>
      <c r="AA51" s="3039">
        <f>'[11]НВВ 26.09.23.'!AA51+'[12]НВВ 26.09.'!AA51</f>
        <v>2847.9377576043189</v>
      </c>
      <c r="AB51" s="2259">
        <f t="shared" si="7"/>
        <v>2793.1697238042361</v>
      </c>
      <c r="AC51" s="2606"/>
      <c r="AD51" s="2606"/>
      <c r="AE51" s="2606"/>
      <c r="AF51" s="2593"/>
      <c r="AG51" s="2593"/>
      <c r="AH51" s="2593"/>
      <c r="AI51" s="2593"/>
      <c r="AJ51" s="2593"/>
    </row>
    <row r="52" spans="1:36" s="2218" customFormat="1" ht="32.25" outlineLevel="1" thickBot="1">
      <c r="A52" s="2235">
        <v>93</v>
      </c>
      <c r="B52" s="2281" t="s">
        <v>1828</v>
      </c>
      <c r="C52" s="2282" t="s">
        <v>1829</v>
      </c>
      <c r="D52" s="2504" t="s">
        <v>1317</v>
      </c>
      <c r="E52" s="2284">
        <v>40.922291746311323</v>
      </c>
      <c r="F52" s="2285">
        <v>42.149960498700665</v>
      </c>
      <c r="G52" s="2257">
        <f t="shared" si="0"/>
        <v>41.536126122505991</v>
      </c>
      <c r="H52" s="2285">
        <v>79.854843310346013</v>
      </c>
      <c r="I52" s="2285">
        <v>82.729617669518476</v>
      </c>
      <c r="J52" s="2257">
        <f t="shared" si="1"/>
        <v>81.292230489932251</v>
      </c>
      <c r="K52" s="2285">
        <v>71.334937693395915</v>
      </c>
      <c r="L52" s="2285">
        <v>74.40234001421193</v>
      </c>
      <c r="M52" s="2259">
        <f t="shared" si="2"/>
        <v>72.86863885380393</v>
      </c>
      <c r="N52" s="3031">
        <f>'[11]НВВ 26.09.23.'!N52+'[12]НВВ 26.09.'!N52</f>
        <v>69.540548577024637</v>
      </c>
      <c r="O52" s="3039">
        <f>'[11]НВВ 26.09.23.'!O52+'[12]НВВ 26.09.'!O52</f>
        <v>510.74631049759779</v>
      </c>
      <c r="P52" s="2258">
        <f t="shared" si="3"/>
        <v>290.14342953731119</v>
      </c>
      <c r="Q52" s="3031">
        <f>'[11]НВВ 26.09.23.'!Q52+'[12]НВВ 26.09.'!Q52</f>
        <v>510.74631049759779</v>
      </c>
      <c r="R52" s="3039">
        <f>'[11]НВВ 26.09.23.'!R52+'[12]НВВ 26.09.'!R52</f>
        <v>531.17616291750164</v>
      </c>
      <c r="S52" s="2259">
        <f t="shared" si="4"/>
        <v>520.96123670754969</v>
      </c>
      <c r="T52" s="3031">
        <f>'[11]НВВ 26.09.23.'!T52+'[12]НВВ 26.09.'!T52</f>
        <v>531.17616291750164</v>
      </c>
      <c r="U52" s="3039">
        <f>'[11]НВВ 26.09.23.'!U52+'[12]НВВ 26.09.'!U52</f>
        <v>552.42320943420179</v>
      </c>
      <c r="V52" s="2258">
        <f t="shared" si="5"/>
        <v>541.79968617585178</v>
      </c>
      <c r="W52" s="3031">
        <f>'[11]НВВ 26.09.23.'!W52+'[12]НВВ 26.09.'!W52</f>
        <v>552.42320943420179</v>
      </c>
      <c r="X52" s="3039">
        <f>'[11]НВВ 26.09.23.'!X52+'[12]НВВ 26.09.'!X52</f>
        <v>574.52013781156984</v>
      </c>
      <c r="Y52" s="2258">
        <f t="shared" si="6"/>
        <v>563.47167362288587</v>
      </c>
      <c r="Z52" s="3031">
        <f>'[11]НВВ 26.09.23.'!Z52+'[12]НВВ 26.09.'!Z52</f>
        <v>574.52013781156984</v>
      </c>
      <c r="AA52" s="3039">
        <f>'[11]НВВ 26.09.23.'!AA52+'[12]НВВ 26.09.'!AA52</f>
        <v>597.50094332403273</v>
      </c>
      <c r="AB52" s="2259">
        <f t="shared" si="7"/>
        <v>586.01054056780129</v>
      </c>
      <c r="AC52" s="2606"/>
      <c r="AD52" s="2606"/>
      <c r="AE52" s="2606"/>
      <c r="AF52" s="2593"/>
      <c r="AG52" s="2593"/>
      <c r="AH52" s="2593"/>
      <c r="AI52" s="2593"/>
      <c r="AJ52" s="2593"/>
    </row>
    <row r="53" spans="1:36" s="2218" customFormat="1" ht="16.5" hidden="1" outlineLevel="2" thickBot="1">
      <c r="A53" s="2235">
        <v>94</v>
      </c>
      <c r="B53" s="2297" t="s">
        <v>1830</v>
      </c>
      <c r="C53" s="2298" t="s">
        <v>1831</v>
      </c>
      <c r="D53" s="2507" t="s">
        <v>1317</v>
      </c>
      <c r="E53" s="2300"/>
      <c r="F53" s="2301"/>
      <c r="G53" s="2266">
        <f t="shared" si="0"/>
        <v>0</v>
      </c>
      <c r="H53" s="2301"/>
      <c r="I53" s="2301"/>
      <c r="J53" s="2266">
        <f t="shared" si="1"/>
        <v>0</v>
      </c>
      <c r="K53" s="2301"/>
      <c r="L53" s="2301"/>
      <c r="M53" s="2268">
        <f t="shared" si="2"/>
        <v>0</v>
      </c>
      <c r="N53" s="2284"/>
      <c r="O53" s="2286"/>
      <c r="P53" s="2267">
        <f t="shared" si="3"/>
        <v>0</v>
      </c>
      <c r="Q53" s="2284"/>
      <c r="R53" s="2301"/>
      <c r="S53" s="2268">
        <f t="shared" si="4"/>
        <v>0</v>
      </c>
      <c r="T53" s="2284"/>
      <c r="U53" s="2301"/>
      <c r="V53" s="2267">
        <f t="shared" si="5"/>
        <v>0</v>
      </c>
      <c r="W53" s="2284"/>
      <c r="X53" s="2301"/>
      <c r="Y53" s="2267">
        <f t="shared" si="6"/>
        <v>0</v>
      </c>
      <c r="Z53" s="2284"/>
      <c r="AA53" s="2301"/>
      <c r="AB53" s="2268">
        <f t="shared" si="7"/>
        <v>0</v>
      </c>
      <c r="AC53" s="2606"/>
      <c r="AD53" s="2606"/>
      <c r="AE53" s="2606"/>
      <c r="AF53" s="2593"/>
      <c r="AG53" s="2593"/>
      <c r="AH53" s="2593"/>
      <c r="AI53" s="2593"/>
      <c r="AJ53" s="2593"/>
    </row>
    <row r="54" spans="1:36" s="2218" customFormat="1" ht="19.5" outlineLevel="1" collapsed="1" thickBot="1">
      <c r="A54" s="2235">
        <v>101</v>
      </c>
      <c r="B54" s="2270" t="s">
        <v>119</v>
      </c>
      <c r="C54" s="2271" t="s">
        <v>1832</v>
      </c>
      <c r="D54" s="2502" t="s">
        <v>1317</v>
      </c>
      <c r="E54" s="2273">
        <f>E55+E56+E57</f>
        <v>37676.241584664807</v>
      </c>
      <c r="F54" s="2275">
        <f>F55+F56+F57</f>
        <v>38918.543538821621</v>
      </c>
      <c r="G54" s="2303">
        <f t="shared" si="0"/>
        <v>38297.392561743211</v>
      </c>
      <c r="H54" s="2275">
        <f>H55+H56+H57</f>
        <v>37188.748423135432</v>
      </c>
      <c r="I54" s="2275">
        <f>I55+I56+I57</f>
        <v>38460.76768427706</v>
      </c>
      <c r="J54" s="2303">
        <f t="shared" si="1"/>
        <v>37824.758053706246</v>
      </c>
      <c r="K54" s="2275">
        <f>K55+K56+K57</f>
        <v>35576.240516676233</v>
      </c>
      <c r="L54" s="2275">
        <f>L55+L56+L57</f>
        <v>37243.607495956974</v>
      </c>
      <c r="M54" s="2303">
        <f t="shared" si="2"/>
        <v>36409.924006316607</v>
      </c>
      <c r="N54" s="2273">
        <f>N55+N56+N57</f>
        <v>47596.707373431942</v>
      </c>
      <c r="O54" s="2275">
        <f>O55+O56+O57</f>
        <v>98921.280814350161</v>
      </c>
      <c r="P54" s="2304">
        <f t="shared" si="3"/>
        <v>73258.994093891059</v>
      </c>
      <c r="Q54" s="2273">
        <f>Q55+Q56+Q57</f>
        <v>98921.281031333812</v>
      </c>
      <c r="R54" s="2275">
        <f>R55+R56+R57</f>
        <v>102878.13227258716</v>
      </c>
      <c r="S54" s="2303">
        <f t="shared" si="4"/>
        <v>100899.70665196049</v>
      </c>
      <c r="T54" s="2273">
        <f>T55+T56+T57</f>
        <v>102878.13227258716</v>
      </c>
      <c r="U54" s="2275">
        <f>U55+U56+U57</f>
        <v>106993.25756349068</v>
      </c>
      <c r="V54" s="2304">
        <f t="shared" si="5"/>
        <v>104935.69491803892</v>
      </c>
      <c r="W54" s="2273">
        <f>W55+W56+W57</f>
        <v>106993.25756349068</v>
      </c>
      <c r="X54" s="2275">
        <f>X55+X56+X57</f>
        <v>111272.98786603026</v>
      </c>
      <c r="Y54" s="2304">
        <f t="shared" si="6"/>
        <v>109133.12271476048</v>
      </c>
      <c r="Z54" s="2273">
        <f>Z55+Z56+Z57</f>
        <v>111272.98786603026</v>
      </c>
      <c r="AA54" s="2275">
        <f>AA55+AA56+AA57</f>
        <v>115723.9073806715</v>
      </c>
      <c r="AB54" s="2303">
        <f t="shared" si="7"/>
        <v>113498.44762335089</v>
      </c>
      <c r="AC54" s="2606"/>
      <c r="AD54" s="2606"/>
      <c r="AE54" s="2606"/>
      <c r="AF54" s="2593"/>
      <c r="AG54" s="2593"/>
      <c r="AH54" s="2593"/>
      <c r="AI54" s="2593"/>
      <c r="AJ54" s="2593"/>
    </row>
    <row r="55" spans="1:36" s="2218" customFormat="1" ht="47.25" outlineLevel="1">
      <c r="A55" s="2235">
        <v>102</v>
      </c>
      <c r="B55" s="2305" t="s">
        <v>1833</v>
      </c>
      <c r="C55" s="2306" t="s">
        <v>1834</v>
      </c>
      <c r="D55" s="2508" t="s">
        <v>1317</v>
      </c>
      <c r="E55" s="2308">
        <v>131.80582266009853</v>
      </c>
      <c r="F55" s="2309">
        <v>135.75999733990147</v>
      </c>
      <c r="G55" s="2248">
        <f t="shared" si="0"/>
        <v>133.78291000000002</v>
      </c>
      <c r="H55" s="2309">
        <v>440.31156188605109</v>
      </c>
      <c r="I55" s="2309">
        <v>456.16277811394895</v>
      </c>
      <c r="J55" s="2248">
        <f t="shared" si="1"/>
        <v>448.23716999999999</v>
      </c>
      <c r="K55" s="2309">
        <v>41.750964268232984</v>
      </c>
      <c r="L55" s="2309">
        <v>43.546255731766998</v>
      </c>
      <c r="M55" s="2250">
        <f t="shared" si="2"/>
        <v>42.648609999999991</v>
      </c>
      <c r="N55" s="3031">
        <f>'[11]НВВ 26.09.23.'!N55+'[12]НВВ 26.09.'!N55</f>
        <v>0</v>
      </c>
      <c r="O55" s="3039">
        <f>'[11]НВВ 26.09.23.'!O55+'[12]НВВ 26.09.'!O55</f>
        <v>2777.4642883369002</v>
      </c>
      <c r="P55" s="2249">
        <f t="shared" si="3"/>
        <v>1388.7321441684501</v>
      </c>
      <c r="Q55" s="3031">
        <f>'[11]НВВ 26.09.23.'!Q55+'[12]НВВ 26.09.'!Q55</f>
        <v>2777.4642883369002</v>
      </c>
      <c r="R55" s="3039">
        <f>'[11]НВВ 26.09.23.'!R55+'[12]НВВ 26.09.'!R55</f>
        <v>2888.5628598703761</v>
      </c>
      <c r="S55" s="2250">
        <f t="shared" si="4"/>
        <v>2833.0135741036383</v>
      </c>
      <c r="T55" s="3031">
        <f>'[11]НВВ 26.09.23.'!T55+'[12]НВВ 26.09.'!T55</f>
        <v>2888.5628598703761</v>
      </c>
      <c r="U55" s="3039">
        <f>'[11]НВВ 26.09.23.'!U55+'[12]НВВ 26.09.'!U55</f>
        <v>3004.1053742651916</v>
      </c>
      <c r="V55" s="2249">
        <f t="shared" si="5"/>
        <v>2946.3341170677841</v>
      </c>
      <c r="W55" s="3031">
        <f>'[11]НВВ 26.09.23.'!W55+'[12]НВВ 26.09.'!W55</f>
        <v>3004.1053742651916</v>
      </c>
      <c r="X55" s="3039">
        <f>'[11]НВВ 26.09.23.'!X55+'[12]НВВ 26.09.'!X55</f>
        <v>3124.2695892357992</v>
      </c>
      <c r="Y55" s="2249">
        <f t="shared" si="6"/>
        <v>3064.1874817504954</v>
      </c>
      <c r="Z55" s="3031">
        <f>'[11]НВВ 26.09.23.'!Z55+'[12]НВВ 26.09.'!Z55</f>
        <v>3124.2695892357992</v>
      </c>
      <c r="AA55" s="3039">
        <f>'[11]НВВ 26.09.23.'!AA55+'[12]НВВ 26.09.'!AA55</f>
        <v>3249.2403728052313</v>
      </c>
      <c r="AB55" s="2250">
        <f t="shared" si="7"/>
        <v>3186.7549810205155</v>
      </c>
      <c r="AC55" s="2606"/>
      <c r="AD55" s="2606"/>
      <c r="AE55" s="2606"/>
      <c r="AF55" s="2593"/>
      <c r="AG55" s="2593"/>
      <c r="AH55" s="2593"/>
      <c r="AI55" s="2593"/>
      <c r="AJ55" s="2593"/>
    </row>
    <row r="56" spans="1:36" s="2218" customFormat="1" ht="47.25" outlineLevel="1">
      <c r="A56" s="2235">
        <v>103</v>
      </c>
      <c r="B56" s="2281" t="s">
        <v>1836</v>
      </c>
      <c r="C56" s="2293" t="s">
        <v>1837</v>
      </c>
      <c r="D56" s="2504" t="s">
        <v>1317</v>
      </c>
      <c r="E56" s="2284">
        <v>15376.376137655036</v>
      </c>
      <c r="F56" s="2285">
        <v>15837.667421784687</v>
      </c>
      <c r="G56" s="2257">
        <f t="shared" si="0"/>
        <v>15607.02177971986</v>
      </c>
      <c r="H56" s="2285">
        <v>6955.5660065324373</v>
      </c>
      <c r="I56" s="2285">
        <v>7205.966382767605</v>
      </c>
      <c r="J56" s="2257">
        <f t="shared" si="1"/>
        <v>7080.7661946500211</v>
      </c>
      <c r="K56" s="2285">
        <v>2666.8442357749332</v>
      </c>
      <c r="L56" s="2285">
        <v>2781.5185379132549</v>
      </c>
      <c r="M56" s="2259">
        <f t="shared" si="2"/>
        <v>2724.181386844094</v>
      </c>
      <c r="N56" s="3031">
        <f>'[11]НВВ 26.09.23.'!N56+'[12]НВВ 26.09.'!N56</f>
        <v>0</v>
      </c>
      <c r="O56" s="3039">
        <f>'[11]НВВ 26.09.23.'!O56+'[12]НВВ 26.09.'!O56</f>
        <v>461.54745584430611</v>
      </c>
      <c r="P56" s="2258">
        <f t="shared" si="3"/>
        <v>230.77372792215306</v>
      </c>
      <c r="Q56" s="3031">
        <f>'[11]НВВ 26.09.23.'!Q56+'[12]НВВ 26.09.'!Q56</f>
        <v>461.54745584430611</v>
      </c>
      <c r="R56" s="3039">
        <f>'[11]НВВ 26.09.23.'!R56+'[12]НВВ 26.09.'!R56</f>
        <v>480.00935407807839</v>
      </c>
      <c r="S56" s="2259">
        <f t="shared" si="4"/>
        <v>470.77840496119222</v>
      </c>
      <c r="T56" s="3031">
        <f>'[11]НВВ 26.09.23.'!T56+'[12]НВВ 26.09.'!T56</f>
        <v>480.00935407807839</v>
      </c>
      <c r="U56" s="3039">
        <f>'[11]НВВ 26.09.23.'!U56+'[12]НВВ 26.09.'!U56</f>
        <v>499.2097282412015</v>
      </c>
      <c r="V56" s="2258">
        <f t="shared" si="5"/>
        <v>489.60954115963995</v>
      </c>
      <c r="W56" s="3031">
        <f>'[11]НВВ 26.09.23.'!W56+'[12]НВВ 26.09.'!W56</f>
        <v>499.2097282412015</v>
      </c>
      <c r="X56" s="3039">
        <f>'[11]НВВ 26.09.23.'!X56+'[12]НВВ 26.09.'!X56</f>
        <v>519.17811737084958</v>
      </c>
      <c r="Y56" s="2258">
        <f t="shared" si="6"/>
        <v>509.19392280602551</v>
      </c>
      <c r="Z56" s="3031">
        <f>'[11]НВВ 26.09.23.'!Z56+'[12]НВВ 26.09.'!Z56</f>
        <v>519.17811737084958</v>
      </c>
      <c r="AA56" s="3039">
        <f>'[11]НВВ 26.09.23.'!AA56+'[12]НВВ 26.09.'!AA56</f>
        <v>539.9452420656836</v>
      </c>
      <c r="AB56" s="2259">
        <f t="shared" si="7"/>
        <v>529.56167971826653</v>
      </c>
      <c r="AC56" s="2606"/>
      <c r="AD56" s="2606"/>
      <c r="AE56" s="2606"/>
      <c r="AF56" s="2593"/>
      <c r="AG56" s="2593"/>
      <c r="AH56" s="2593"/>
      <c r="AI56" s="2593"/>
      <c r="AJ56" s="2593"/>
    </row>
    <row r="57" spans="1:36" s="2218" customFormat="1" ht="31.5" outlineLevel="1">
      <c r="A57" s="2235">
        <v>104</v>
      </c>
      <c r="B57" s="2279" t="s">
        <v>1839</v>
      </c>
      <c r="C57" s="2280" t="s">
        <v>1840</v>
      </c>
      <c r="D57" s="2500" t="s">
        <v>1317</v>
      </c>
      <c r="E57" s="2255">
        <f>E58+E68</f>
        <v>22168.059624349669</v>
      </c>
      <c r="F57" s="2256">
        <f>F58+F68</f>
        <v>22945.116119697032</v>
      </c>
      <c r="G57" s="2257">
        <f t="shared" si="0"/>
        <v>22556.587872023352</v>
      </c>
      <c r="H57" s="2256">
        <f>H58+H68</f>
        <v>29792.870854716944</v>
      </c>
      <c r="I57" s="2256">
        <f>I58+I68</f>
        <v>30798.638523395508</v>
      </c>
      <c r="J57" s="2257">
        <f t="shared" si="1"/>
        <v>30295.754689056226</v>
      </c>
      <c r="K57" s="2256">
        <f>K58+K68</f>
        <v>32867.645316633068</v>
      </c>
      <c r="L57" s="2256">
        <f>L58+L68</f>
        <v>34418.542702311956</v>
      </c>
      <c r="M57" s="2259">
        <f t="shared" si="2"/>
        <v>33643.094009472508</v>
      </c>
      <c r="N57" s="3031">
        <f>'[11]НВВ 26.09.23.'!N57+'[12]НВВ 26.09.'!N57</f>
        <v>47596.707373431942</v>
      </c>
      <c r="O57" s="3039">
        <f>'[11]НВВ 26.09.23.'!O57+'[12]НВВ 26.09.'!O57</f>
        <v>95682.269070168957</v>
      </c>
      <c r="P57" s="2258">
        <f t="shared" si="3"/>
        <v>71639.48822180045</v>
      </c>
      <c r="Q57" s="3031">
        <f>'[11]НВВ 26.09.23.'!Q57+'[12]НВВ 26.09.'!Q57</f>
        <v>95682.269287152609</v>
      </c>
      <c r="R57" s="3039">
        <f>'[11]НВВ 26.09.23.'!R57+'[12]НВВ 26.09.'!R57</f>
        <v>99509.560058638701</v>
      </c>
      <c r="S57" s="2259">
        <f t="shared" si="4"/>
        <v>97595.914672895655</v>
      </c>
      <c r="T57" s="3031">
        <f>'[11]НВВ 26.09.23.'!T57+'[12]НВВ 26.09.'!T57</f>
        <v>99509.560058638701</v>
      </c>
      <c r="U57" s="3039">
        <f>'[11]НВВ 26.09.23.'!U57+'[12]НВВ 26.09.'!U57</f>
        <v>103489.94246098428</v>
      </c>
      <c r="V57" s="2258">
        <f t="shared" si="5"/>
        <v>101499.75125981148</v>
      </c>
      <c r="W57" s="3031">
        <f>'[11]НВВ 26.09.23.'!W57+'[12]НВВ 26.09.'!W57</f>
        <v>103489.94246098428</v>
      </c>
      <c r="X57" s="3039">
        <f>'[11]НВВ 26.09.23.'!X57+'[12]НВВ 26.09.'!X57</f>
        <v>107629.54015942362</v>
      </c>
      <c r="Y57" s="2258">
        <f t="shared" si="6"/>
        <v>105559.74131020394</v>
      </c>
      <c r="Z57" s="3031">
        <f>'[11]НВВ 26.09.23.'!Z57+'[12]НВВ 26.09.'!Z57</f>
        <v>107629.54015942362</v>
      </c>
      <c r="AA57" s="3039">
        <f>'[11]НВВ 26.09.23.'!AA57+'[12]НВВ 26.09.'!AA57</f>
        <v>111934.72176580058</v>
      </c>
      <c r="AB57" s="2259">
        <f t="shared" si="7"/>
        <v>109782.13096261211</v>
      </c>
      <c r="AC57" s="2606"/>
      <c r="AD57" s="2606"/>
      <c r="AE57" s="2606"/>
      <c r="AF57" s="2593"/>
      <c r="AG57" s="2593"/>
      <c r="AH57" s="2593"/>
      <c r="AI57" s="2593"/>
      <c r="AJ57" s="2593"/>
    </row>
    <row r="58" spans="1:36" s="2218" customFormat="1" outlineLevel="1">
      <c r="A58" s="2235">
        <v>105</v>
      </c>
      <c r="B58" s="2279" t="s">
        <v>1841</v>
      </c>
      <c r="C58" s="2280" t="s">
        <v>1842</v>
      </c>
      <c r="D58" s="2500" t="s">
        <v>1317</v>
      </c>
      <c r="E58" s="2255">
        <f>E59*E67*12/1000</f>
        <v>15478.425299226516</v>
      </c>
      <c r="F58" s="2256">
        <f>F59*F67*12/1000</f>
        <v>16054.792764820184</v>
      </c>
      <c r="G58" s="2257">
        <f t="shared" si="0"/>
        <v>15766.609032023349</v>
      </c>
      <c r="H58" s="2256">
        <f>H59*H67*12/1000</f>
        <v>22926.546051180598</v>
      </c>
      <c r="I58" s="2256">
        <f>I59*I67*12/1000</f>
        <v>23685.126026931855</v>
      </c>
      <c r="J58" s="2257">
        <f t="shared" si="1"/>
        <v>23305.836039056227</v>
      </c>
      <c r="K58" s="2256">
        <f>K59*K67*12/1000</f>
        <v>25234.789428233653</v>
      </c>
      <c r="L58" s="2256">
        <f>L59*L67*12/1000</f>
        <v>26457.474010711368</v>
      </c>
      <c r="M58" s="2259">
        <f t="shared" si="2"/>
        <v>25846.131719472512</v>
      </c>
      <c r="N58" s="3031">
        <f>'[11]НВВ 26.09.23.'!N58+'[12]НВВ 26.09.'!N58</f>
        <v>36556.611154879087</v>
      </c>
      <c r="O58" s="3039">
        <f>'[11]НВВ 26.09.23.'!O58+'[12]НВВ 26.09.'!O58</f>
        <v>73488.686088884293</v>
      </c>
      <c r="P58" s="2258">
        <f t="shared" si="3"/>
        <v>55022.648621881686</v>
      </c>
      <c r="Q58" s="3031">
        <f>'[11]НВВ 26.09.23.'!Q58+'[12]НВВ 26.09.'!Q58</f>
        <v>73488.686088884293</v>
      </c>
      <c r="R58" s="3039">
        <f>'[11]НВВ 26.09.23.'!R58+'[12]НВВ 26.09.'!R58</f>
        <v>76428.233532439655</v>
      </c>
      <c r="S58" s="2259">
        <f t="shared" si="4"/>
        <v>74958.459810661967</v>
      </c>
      <c r="T58" s="3031">
        <f>'[11]НВВ 26.09.23.'!T58+'[12]НВВ 26.09.'!T58</f>
        <v>76428.233532439655</v>
      </c>
      <c r="U58" s="3039">
        <f>'[11]НВВ 26.09.23.'!U58+'[12]НВВ 26.09.'!U58</f>
        <v>79485.362873737264</v>
      </c>
      <c r="V58" s="2258">
        <f t="shared" si="5"/>
        <v>77956.79820308846</v>
      </c>
      <c r="W58" s="3031">
        <f>'[11]НВВ 26.09.23.'!W58+'[12]НВВ 26.09.'!W58</f>
        <v>79485.362873737264</v>
      </c>
      <c r="X58" s="3039">
        <f>'[11]НВВ 26.09.23.'!X58+'[12]НВВ 26.09.'!X58</f>
        <v>82664.777388686722</v>
      </c>
      <c r="Y58" s="2258">
        <f t="shared" si="6"/>
        <v>81075.070131211993</v>
      </c>
      <c r="Z58" s="3031">
        <f>'[11]НВВ 26.09.23.'!Z58+'[12]НВВ 26.09.'!Z58</f>
        <v>82664.777388686722</v>
      </c>
      <c r="AA58" s="3039">
        <f>'[11]НВВ 26.09.23.'!AA58+'[12]НВВ 26.09.'!AA58</f>
        <v>85971.368484234219</v>
      </c>
      <c r="AB58" s="2259">
        <f t="shared" si="7"/>
        <v>84318.072936460463</v>
      </c>
      <c r="AC58" s="2606"/>
      <c r="AD58" s="2606"/>
      <c r="AE58" s="2606"/>
      <c r="AF58" s="2593"/>
      <c r="AG58" s="2593"/>
      <c r="AH58" s="2593"/>
      <c r="AI58" s="2593"/>
      <c r="AJ58" s="2593"/>
    </row>
    <row r="59" spans="1:36" s="2218" customFormat="1" hidden="1" outlineLevel="2">
      <c r="A59" s="2235">
        <v>610</v>
      </c>
      <c r="B59" s="2279" t="s">
        <v>1843</v>
      </c>
      <c r="C59" s="2280" t="s">
        <v>1844</v>
      </c>
      <c r="D59" s="2500"/>
      <c r="E59" s="2255">
        <f>E60+E61+E64+E65+E66</f>
        <v>30711.161307989114</v>
      </c>
      <c r="F59" s="2256">
        <f>F60+F61+F64+F65+F66</f>
        <v>31854.747549246396</v>
      </c>
      <c r="G59" s="2257">
        <f t="shared" si="0"/>
        <v>31282.954428617755</v>
      </c>
      <c r="H59" s="2256">
        <f>H60+H61+H64+H65+H66</f>
        <v>45489.178672977374</v>
      </c>
      <c r="I59" s="2256">
        <f>I60+I61+I64+I65+I66</f>
        <v>46994.297672483845</v>
      </c>
      <c r="J59" s="2257">
        <f t="shared" si="1"/>
        <v>46241.738172730606</v>
      </c>
      <c r="K59" s="2256">
        <f>K60+K61+K64+K65+K66</f>
        <v>47793.161795897075</v>
      </c>
      <c r="L59" s="2256">
        <f>L60+L61+L64+L65+L66</f>
        <v>50108.852293013959</v>
      </c>
      <c r="M59" s="2259">
        <f t="shared" si="2"/>
        <v>48951.007044455517</v>
      </c>
      <c r="N59" s="2255"/>
      <c r="O59" s="2256"/>
      <c r="P59" s="2258">
        <f t="shared" si="3"/>
        <v>0</v>
      </c>
      <c r="Q59" s="2255"/>
      <c r="R59" s="2256"/>
      <c r="S59" s="2259">
        <f t="shared" si="4"/>
        <v>0</v>
      </c>
      <c r="T59" s="2255"/>
      <c r="U59" s="2256"/>
      <c r="V59" s="2258">
        <f t="shared" si="5"/>
        <v>0</v>
      </c>
      <c r="W59" s="2255"/>
      <c r="X59" s="2256"/>
      <c r="Y59" s="2258">
        <f t="shared" si="6"/>
        <v>0</v>
      </c>
      <c r="Z59" s="2255"/>
      <c r="AA59" s="2256"/>
      <c r="AB59" s="2259">
        <f t="shared" si="7"/>
        <v>0</v>
      </c>
      <c r="AC59" s="2606"/>
      <c r="AD59" s="2606"/>
      <c r="AE59" s="2606"/>
      <c r="AF59" s="2593"/>
      <c r="AG59" s="2593"/>
      <c r="AH59" s="2593"/>
      <c r="AI59" s="2593"/>
      <c r="AJ59" s="2593"/>
    </row>
    <row r="60" spans="1:36" s="2218" customFormat="1" hidden="1" outlineLevel="2">
      <c r="A60" s="2235">
        <v>311</v>
      </c>
      <c r="B60" s="2281" t="s">
        <v>1845</v>
      </c>
      <c r="C60" s="2282" t="s">
        <v>1846</v>
      </c>
      <c r="D60" s="2504" t="s">
        <v>1847</v>
      </c>
      <c r="E60" s="2284"/>
      <c r="F60" s="2285"/>
      <c r="G60" s="2257">
        <f t="shared" si="0"/>
        <v>0</v>
      </c>
      <c r="H60" s="2285"/>
      <c r="I60" s="2285"/>
      <c r="J60" s="2257">
        <f t="shared" si="1"/>
        <v>0</v>
      </c>
      <c r="K60" s="2285"/>
      <c r="L60" s="2285"/>
      <c r="M60" s="2259">
        <f t="shared" si="2"/>
        <v>0</v>
      </c>
      <c r="N60" s="2284">
        <v>0</v>
      </c>
      <c r="O60" s="2285">
        <v>0</v>
      </c>
      <c r="P60" s="2258">
        <f t="shared" si="3"/>
        <v>0</v>
      </c>
      <c r="Q60" s="2284">
        <v>0</v>
      </c>
      <c r="R60" s="2285">
        <v>0</v>
      </c>
      <c r="S60" s="2259">
        <f t="shared" si="4"/>
        <v>0</v>
      </c>
      <c r="T60" s="2284">
        <v>0</v>
      </c>
      <c r="U60" s="2285">
        <v>0</v>
      </c>
      <c r="V60" s="2258">
        <f t="shared" si="5"/>
        <v>0</v>
      </c>
      <c r="W60" s="2284">
        <v>0</v>
      </c>
      <c r="X60" s="2285">
        <v>0</v>
      </c>
      <c r="Y60" s="2258">
        <f t="shared" si="6"/>
        <v>0</v>
      </c>
      <c r="Z60" s="2284">
        <v>0</v>
      </c>
      <c r="AA60" s="2285">
        <v>0</v>
      </c>
      <c r="AB60" s="2259">
        <f t="shared" si="7"/>
        <v>0</v>
      </c>
      <c r="AC60" s="2606"/>
      <c r="AD60" s="2606"/>
      <c r="AE60" s="2606"/>
      <c r="AF60" s="2593"/>
      <c r="AG60" s="2593"/>
      <c r="AH60" s="2593"/>
      <c r="AI60" s="2593"/>
      <c r="AJ60" s="2593"/>
    </row>
    <row r="61" spans="1:36" s="2218" customFormat="1" hidden="1" outlineLevel="2">
      <c r="A61" s="2235">
        <v>611</v>
      </c>
      <c r="B61" s="2279" t="s">
        <v>1848</v>
      </c>
      <c r="C61" s="2280" t="s">
        <v>1786</v>
      </c>
      <c r="D61" s="2500" t="s">
        <v>1849</v>
      </c>
      <c r="E61" s="2255">
        <f>E62*E63</f>
        <v>14361.933339431329</v>
      </c>
      <c r="F61" s="2256">
        <f>F62*F63</f>
        <v>14951.415677990079</v>
      </c>
      <c r="G61" s="2257">
        <f t="shared" si="0"/>
        <v>14656.674508710705</v>
      </c>
      <c r="H61" s="2256">
        <f>H62*H63</f>
        <v>14963.208277639798</v>
      </c>
      <c r="I61" s="2256">
        <f>I62*I63</f>
        <v>15419.076630184381</v>
      </c>
      <c r="J61" s="2257">
        <f t="shared" si="1"/>
        <v>15191.142453912089</v>
      </c>
      <c r="K61" s="2256">
        <f>K62*K63</f>
        <v>15149.886840522502</v>
      </c>
      <c r="L61" s="2256">
        <f>L62*L63</f>
        <v>15913.968089870594</v>
      </c>
      <c r="M61" s="2259">
        <f t="shared" si="2"/>
        <v>15531.927465196548</v>
      </c>
      <c r="N61" s="2255">
        <v>16868.806175262831</v>
      </c>
      <c r="O61" s="2256">
        <v>18083.360219881757</v>
      </c>
      <c r="P61" s="2258">
        <f t="shared" si="3"/>
        <v>17476.083197572294</v>
      </c>
      <c r="Q61" s="2255">
        <v>16868.806175262831</v>
      </c>
      <c r="R61" s="2256">
        <v>18083.360219881757</v>
      </c>
      <c r="S61" s="2259">
        <f t="shared" si="4"/>
        <v>17476.083197572294</v>
      </c>
      <c r="T61" s="2255">
        <v>16868.806175262831</v>
      </c>
      <c r="U61" s="2256">
        <v>18083.360219881757</v>
      </c>
      <c r="V61" s="2258">
        <f t="shared" si="5"/>
        <v>17476.083197572294</v>
      </c>
      <c r="W61" s="2255">
        <v>16868.806175262831</v>
      </c>
      <c r="X61" s="2256">
        <v>18083.360219881757</v>
      </c>
      <c r="Y61" s="2258">
        <f t="shared" si="6"/>
        <v>17476.083197572294</v>
      </c>
      <c r="Z61" s="2255">
        <v>16868.806175262831</v>
      </c>
      <c r="AA61" s="2256">
        <v>18083.360219881757</v>
      </c>
      <c r="AB61" s="2259">
        <f t="shared" si="7"/>
        <v>17476.083197572294</v>
      </c>
      <c r="AC61" s="2606"/>
      <c r="AD61" s="2606"/>
      <c r="AE61" s="2606"/>
      <c r="AF61" s="2593"/>
      <c r="AG61" s="2593"/>
      <c r="AH61" s="2593"/>
      <c r="AI61" s="2593"/>
      <c r="AJ61" s="2593"/>
    </row>
    <row r="62" spans="1:36" s="2218" customFormat="1" hidden="1" outlineLevel="2">
      <c r="A62" s="2235">
        <v>110</v>
      </c>
      <c r="B62" s="2281" t="s">
        <v>1850</v>
      </c>
      <c r="C62" s="2282" t="s">
        <v>1788</v>
      </c>
      <c r="D62" s="2504" t="s">
        <v>1784</v>
      </c>
      <c r="E62" s="2284">
        <v>5360</v>
      </c>
      <c r="F62" s="2285">
        <v>5580</v>
      </c>
      <c r="G62" s="2257">
        <f t="shared" si="0"/>
        <v>5470</v>
      </c>
      <c r="H62" s="2285">
        <v>5580</v>
      </c>
      <c r="I62" s="2285">
        <v>5750</v>
      </c>
      <c r="J62" s="2257">
        <f t="shared" si="1"/>
        <v>5665</v>
      </c>
      <c r="K62" s="2285">
        <v>5750</v>
      </c>
      <c r="L62" s="2285">
        <v>6040</v>
      </c>
      <c r="M62" s="2259">
        <f t="shared" si="2"/>
        <v>5895</v>
      </c>
      <c r="N62" s="2284">
        <v>6402.4000000000005</v>
      </c>
      <c r="O62" s="2285">
        <v>6863.372800000001</v>
      </c>
      <c r="P62" s="2258">
        <f t="shared" si="3"/>
        <v>6632.8864000000012</v>
      </c>
      <c r="Q62" s="2284">
        <v>6402.4000000000005</v>
      </c>
      <c r="R62" s="2285">
        <v>6863.372800000001</v>
      </c>
      <c r="S62" s="2259">
        <f t="shared" si="4"/>
        <v>6632.8864000000012</v>
      </c>
      <c r="T62" s="2284">
        <v>6402.4000000000005</v>
      </c>
      <c r="U62" s="2285">
        <v>6863.372800000001</v>
      </c>
      <c r="V62" s="2258">
        <f t="shared" si="5"/>
        <v>6632.8864000000012</v>
      </c>
      <c r="W62" s="2284">
        <v>6402.4000000000005</v>
      </c>
      <c r="X62" s="2285">
        <v>6863.372800000001</v>
      </c>
      <c r="Y62" s="2258">
        <f t="shared" si="6"/>
        <v>6632.8864000000012</v>
      </c>
      <c r="Z62" s="2284">
        <v>6402.4000000000005</v>
      </c>
      <c r="AA62" s="2285">
        <v>6863.372800000001</v>
      </c>
      <c r="AB62" s="2259">
        <f t="shared" si="7"/>
        <v>6632.8864000000012</v>
      </c>
      <c r="AC62" s="2606"/>
      <c r="AD62" s="2606"/>
      <c r="AE62" s="2606"/>
      <c r="AF62" s="2593"/>
      <c r="AG62" s="2593"/>
      <c r="AH62" s="2593"/>
      <c r="AI62" s="2593"/>
      <c r="AJ62" s="2593"/>
    </row>
    <row r="63" spans="1:36" s="2218" customFormat="1" hidden="1" outlineLevel="2">
      <c r="A63" s="2235">
        <v>113</v>
      </c>
      <c r="B63" s="2281" t="s">
        <v>1851</v>
      </c>
      <c r="C63" s="2282" t="s">
        <v>1790</v>
      </c>
      <c r="D63" s="2504"/>
      <c r="E63" s="2284">
        <v>2.6794651752670391</v>
      </c>
      <c r="F63" s="2285">
        <v>2.6794651752670391</v>
      </c>
      <c r="G63" s="2257">
        <f t="shared" si="0"/>
        <v>2.6794651752670391</v>
      </c>
      <c r="H63" s="2285">
        <v>2.6815785443798923</v>
      </c>
      <c r="I63" s="2285">
        <v>2.6815785443798923</v>
      </c>
      <c r="J63" s="2257">
        <f t="shared" si="1"/>
        <v>2.6815785443798923</v>
      </c>
      <c r="K63" s="2285">
        <v>2.6347629287865222</v>
      </c>
      <c r="L63" s="2285">
        <v>2.6347629287865222</v>
      </c>
      <c r="M63" s="2259">
        <f t="shared" si="2"/>
        <v>2.6347629287865222</v>
      </c>
      <c r="N63" s="2284">
        <v>2.6347629287865222</v>
      </c>
      <c r="O63" s="2285">
        <v>2.6347629287865222</v>
      </c>
      <c r="P63" s="2258">
        <f t="shared" si="3"/>
        <v>2.6347629287865222</v>
      </c>
      <c r="Q63" s="2284">
        <v>2.6347629287865222</v>
      </c>
      <c r="R63" s="2285">
        <v>2.6347629287865222</v>
      </c>
      <c r="S63" s="2259">
        <f t="shared" si="4"/>
        <v>2.6347629287865222</v>
      </c>
      <c r="T63" s="2284">
        <v>2.6347629287865222</v>
      </c>
      <c r="U63" s="2285">
        <v>2.6347629287865222</v>
      </c>
      <c r="V63" s="2258">
        <f t="shared" si="5"/>
        <v>2.6347629287865222</v>
      </c>
      <c r="W63" s="2284">
        <v>2.6347629287865222</v>
      </c>
      <c r="X63" s="2285">
        <v>2.6347629287865222</v>
      </c>
      <c r="Y63" s="2258">
        <f t="shared" si="6"/>
        <v>2.6347629287865222</v>
      </c>
      <c r="Z63" s="2284">
        <v>2.6347629287865222</v>
      </c>
      <c r="AA63" s="2285">
        <v>2.6347629287865222</v>
      </c>
      <c r="AB63" s="2259">
        <f t="shared" si="7"/>
        <v>2.6347629287865222</v>
      </c>
      <c r="AC63" s="2606"/>
      <c r="AD63" s="2606"/>
      <c r="AE63" s="2606"/>
      <c r="AF63" s="2593"/>
      <c r="AG63" s="2593"/>
      <c r="AH63" s="2593"/>
      <c r="AI63" s="2593"/>
      <c r="AJ63" s="2593"/>
    </row>
    <row r="64" spans="1:36" s="2218" customFormat="1" ht="31.5" hidden="1" outlineLevel="1" collapsed="1">
      <c r="A64" s="2235">
        <v>612</v>
      </c>
      <c r="B64" s="2281" t="s">
        <v>1852</v>
      </c>
      <c r="C64" s="2282" t="s">
        <v>1853</v>
      </c>
      <c r="D64" s="2504" t="s">
        <v>1847</v>
      </c>
      <c r="E64" s="2284">
        <v>10251.54801768608</v>
      </c>
      <c r="F64" s="2285">
        <v>10622.721521858461</v>
      </c>
      <c r="G64" s="2257">
        <f t="shared" si="0"/>
        <v>10437.13476977227</v>
      </c>
      <c r="H64" s="2285">
        <v>8977.9249665838779</v>
      </c>
      <c r="I64" s="2285">
        <v>9251.4459781106289</v>
      </c>
      <c r="J64" s="2257">
        <f t="shared" si="1"/>
        <v>9114.6854723472534</v>
      </c>
      <c r="K64" s="2285">
        <v>13362.415130391877</v>
      </c>
      <c r="L64" s="2285">
        <v>14030.535886911472</v>
      </c>
      <c r="M64" s="2259">
        <f t="shared" si="2"/>
        <v>13696.475508651674</v>
      </c>
      <c r="N64" s="2284"/>
      <c r="O64" s="2286"/>
      <c r="P64" s="2258">
        <f t="shared" si="3"/>
        <v>0</v>
      </c>
      <c r="Q64" s="2284"/>
      <c r="R64" s="2286"/>
      <c r="S64" s="2259">
        <f t="shared" si="4"/>
        <v>0</v>
      </c>
      <c r="T64" s="2284"/>
      <c r="U64" s="2286"/>
      <c r="V64" s="2258">
        <f t="shared" si="5"/>
        <v>0</v>
      </c>
      <c r="W64" s="2284"/>
      <c r="X64" s="2286"/>
      <c r="Y64" s="2258">
        <f t="shared" si="6"/>
        <v>0</v>
      </c>
      <c r="Z64" s="2284"/>
      <c r="AA64" s="2286"/>
      <c r="AB64" s="2259">
        <f t="shared" si="7"/>
        <v>0</v>
      </c>
      <c r="AC64" s="2606"/>
      <c r="AD64" s="2606"/>
      <c r="AE64" s="2606"/>
      <c r="AF64" s="2593"/>
      <c r="AG64" s="2593"/>
      <c r="AH64" s="2593"/>
      <c r="AI64" s="2593"/>
      <c r="AJ64" s="2593"/>
    </row>
    <row r="65" spans="1:36" s="2218" customFormat="1" hidden="1" outlineLevel="1">
      <c r="A65" s="2235">
        <v>613</v>
      </c>
      <c r="B65" s="2281" t="s">
        <v>1854</v>
      </c>
      <c r="C65" s="2282" t="s">
        <v>1795</v>
      </c>
      <c r="D65" s="2504" t="s">
        <v>1847</v>
      </c>
      <c r="E65" s="2284">
        <v>6097.6799508717049</v>
      </c>
      <c r="F65" s="2285">
        <v>6280.6103493978562</v>
      </c>
      <c r="G65" s="2257">
        <f t="shared" si="0"/>
        <v>6189.1451501347801</v>
      </c>
      <c r="H65" s="2285">
        <v>21548.0454287537</v>
      </c>
      <c r="I65" s="2285">
        <v>22323.775064188834</v>
      </c>
      <c r="J65" s="2257">
        <f t="shared" si="1"/>
        <v>21935.910246471267</v>
      </c>
      <c r="K65" s="2285">
        <v>19280.859824982701</v>
      </c>
      <c r="L65" s="2285">
        <v>20164.348316231899</v>
      </c>
      <c r="M65" s="2259">
        <f t="shared" si="2"/>
        <v>19722.6040706073</v>
      </c>
      <c r="N65" s="2284"/>
      <c r="O65" s="2286"/>
      <c r="P65" s="2258">
        <f t="shared" si="3"/>
        <v>0</v>
      </c>
      <c r="Q65" s="2284"/>
      <c r="R65" s="2286"/>
      <c r="S65" s="2259">
        <f t="shared" si="4"/>
        <v>0</v>
      </c>
      <c r="T65" s="2284"/>
      <c r="U65" s="2286"/>
      <c r="V65" s="2258">
        <f t="shared" si="5"/>
        <v>0</v>
      </c>
      <c r="W65" s="2284"/>
      <c r="X65" s="2286"/>
      <c r="Y65" s="2258">
        <f t="shared" si="6"/>
        <v>0</v>
      </c>
      <c r="Z65" s="2284"/>
      <c r="AA65" s="2286"/>
      <c r="AB65" s="2259">
        <f t="shared" si="7"/>
        <v>0</v>
      </c>
      <c r="AC65" s="2606"/>
      <c r="AD65" s="2606"/>
      <c r="AE65" s="2606"/>
      <c r="AF65" s="2593"/>
      <c r="AG65" s="2593"/>
      <c r="AH65" s="2593"/>
      <c r="AI65" s="2593"/>
      <c r="AJ65" s="2593"/>
    </row>
    <row r="66" spans="1:36" s="2218" customFormat="1" hidden="1" outlineLevel="2">
      <c r="A66" s="2235">
        <v>614</v>
      </c>
      <c r="B66" s="2281" t="s">
        <v>1855</v>
      </c>
      <c r="C66" s="2282" t="s">
        <v>1856</v>
      </c>
      <c r="D66" s="2504" t="s">
        <v>1847</v>
      </c>
      <c r="E66" s="2284"/>
      <c r="F66" s="2285"/>
      <c r="G66" s="2257">
        <f t="shared" si="0"/>
        <v>0</v>
      </c>
      <c r="H66" s="2285"/>
      <c r="I66" s="2285"/>
      <c r="J66" s="2257">
        <f t="shared" si="1"/>
        <v>0</v>
      </c>
      <c r="K66" s="2285">
        <v>0</v>
      </c>
      <c r="L66" s="2285">
        <v>0</v>
      </c>
      <c r="M66" s="2259">
        <f t="shared" si="2"/>
        <v>0</v>
      </c>
      <c r="N66" s="2284">
        <v>0</v>
      </c>
      <c r="O66" s="2285">
        <v>0</v>
      </c>
      <c r="P66" s="2258">
        <f t="shared" si="3"/>
        <v>0</v>
      </c>
      <c r="Q66" s="2284">
        <v>0</v>
      </c>
      <c r="R66" s="2285">
        <v>0</v>
      </c>
      <c r="S66" s="2259">
        <f t="shared" si="4"/>
        <v>0</v>
      </c>
      <c r="T66" s="2284">
        <v>0</v>
      </c>
      <c r="U66" s="2285">
        <v>0</v>
      </c>
      <c r="V66" s="2258">
        <f t="shared" si="5"/>
        <v>0</v>
      </c>
      <c r="W66" s="2284">
        <v>0</v>
      </c>
      <c r="X66" s="2285">
        <v>0</v>
      </c>
      <c r="Y66" s="2258">
        <f t="shared" si="6"/>
        <v>0</v>
      </c>
      <c r="Z66" s="2284">
        <v>0</v>
      </c>
      <c r="AA66" s="2285">
        <v>0</v>
      </c>
      <c r="AB66" s="2259">
        <f t="shared" si="7"/>
        <v>0</v>
      </c>
      <c r="AC66" s="2606"/>
      <c r="AD66" s="2606"/>
      <c r="AE66" s="2606"/>
      <c r="AF66" s="2593"/>
      <c r="AG66" s="2593"/>
      <c r="AH66" s="2593"/>
      <c r="AI66" s="2593"/>
      <c r="AJ66" s="2593"/>
    </row>
    <row r="67" spans="1:36" s="2218" customFormat="1" outlineLevel="1" collapsed="1">
      <c r="A67" s="2235">
        <v>106</v>
      </c>
      <c r="B67" s="2281" t="s">
        <v>1857</v>
      </c>
      <c r="C67" s="2282" t="s">
        <v>1799</v>
      </c>
      <c r="D67" s="2504" t="s">
        <v>1800</v>
      </c>
      <c r="E67" s="2284">
        <v>42</v>
      </c>
      <c r="F67" s="2285">
        <v>42</v>
      </c>
      <c r="G67" s="2257">
        <f t="shared" si="0"/>
        <v>42</v>
      </c>
      <c r="H67" s="2285">
        <v>42</v>
      </c>
      <c r="I67" s="2285">
        <v>42</v>
      </c>
      <c r="J67" s="2257">
        <f t="shared" si="1"/>
        <v>42</v>
      </c>
      <c r="K67" s="2285">
        <v>44</v>
      </c>
      <c r="L67" s="2285">
        <v>44</v>
      </c>
      <c r="M67" s="2259">
        <f t="shared" si="2"/>
        <v>44</v>
      </c>
      <c r="N67" s="3031">
        <f>'[11]НВВ 26.09.23.'!N67+'[12]НВВ 26.09.'!N67</f>
        <v>77.827789549634019</v>
      </c>
      <c r="O67" s="3039">
        <f>'[11]НВВ 26.09.23.'!O67+'[12]НВВ 26.09.'!O67</f>
        <v>149.02542725138878</v>
      </c>
      <c r="P67" s="2258">
        <f t="shared" si="3"/>
        <v>113.4266084005114</v>
      </c>
      <c r="Q67" s="3031">
        <f>'[11]НВВ 26.09.23.'!Q67+'[12]НВВ 26.09.'!Q67</f>
        <v>149.02542725138878</v>
      </c>
      <c r="R67" s="3039">
        <f>'[11]НВВ 26.09.23.'!R67+'[12]НВВ 26.09.'!R67</f>
        <v>149.02542725138878</v>
      </c>
      <c r="S67" s="2259">
        <f t="shared" si="4"/>
        <v>149.02542725138878</v>
      </c>
      <c r="T67" s="3031">
        <f>'[11]НВВ 26.09.23.'!T67+'[12]НВВ 26.09.'!T67</f>
        <v>149.02542725138878</v>
      </c>
      <c r="U67" s="3039">
        <f>'[11]НВВ 26.09.23.'!U67+'[12]НВВ 26.09.'!U67</f>
        <v>149.02542725138878</v>
      </c>
      <c r="V67" s="2258">
        <f t="shared" si="5"/>
        <v>149.02542725138878</v>
      </c>
      <c r="W67" s="3031">
        <f>'[11]НВВ 26.09.23.'!W67+'[12]НВВ 26.09.'!W67</f>
        <v>149.02542725138878</v>
      </c>
      <c r="X67" s="3039">
        <f>'[11]НВВ 26.09.23.'!X67+'[12]НВВ 26.09.'!X67</f>
        <v>149.02542725138878</v>
      </c>
      <c r="Y67" s="2258">
        <f t="shared" si="6"/>
        <v>149.02542725138878</v>
      </c>
      <c r="Z67" s="3031">
        <f>'[11]НВВ 26.09.23.'!Z67+'[12]НВВ 26.09.'!Z67</f>
        <v>149.02542725138878</v>
      </c>
      <c r="AA67" s="3039">
        <f>'[11]НВВ 26.09.23.'!AA67+'[12]НВВ 26.09.'!AA67</f>
        <v>149.02542725138878</v>
      </c>
      <c r="AB67" s="2259">
        <f t="shared" si="7"/>
        <v>149.02542725138878</v>
      </c>
      <c r="AC67" s="2606"/>
      <c r="AD67" s="2606"/>
      <c r="AE67" s="2606"/>
      <c r="AF67" s="2593"/>
      <c r="AG67" s="2593"/>
      <c r="AH67" s="2593"/>
      <c r="AI67" s="2593"/>
      <c r="AJ67" s="2593"/>
    </row>
    <row r="68" spans="1:36" s="2218" customFormat="1" ht="32.25" outlineLevel="1" thickBot="1">
      <c r="A68" s="2235">
        <v>116</v>
      </c>
      <c r="B68" s="2311" t="s">
        <v>1859</v>
      </c>
      <c r="C68" s="2312" t="s">
        <v>1860</v>
      </c>
      <c r="D68" s="2509" t="s">
        <v>1317</v>
      </c>
      <c r="E68" s="2314">
        <v>6689.6343251231528</v>
      </c>
      <c r="F68" s="2315">
        <v>6890.3233548768476</v>
      </c>
      <c r="G68" s="2266">
        <f t="shared" si="0"/>
        <v>6789.9788399999998</v>
      </c>
      <c r="H68" s="2315">
        <v>6866.3248035363458</v>
      </c>
      <c r="I68" s="2315">
        <v>7113.5124964636543</v>
      </c>
      <c r="J68" s="2266">
        <f t="shared" si="1"/>
        <v>6989.9186499999996</v>
      </c>
      <c r="K68" s="2315">
        <v>7632.8558883994137</v>
      </c>
      <c r="L68" s="2315">
        <v>7961.068691600588</v>
      </c>
      <c r="M68" s="2268">
        <f t="shared" si="2"/>
        <v>7796.9622900000013</v>
      </c>
      <c r="N68" s="3031">
        <f>'[11]НВВ 26.09.23.'!N68+'[12]НВВ 26.09.'!N68</f>
        <v>11040.096218552857</v>
      </c>
      <c r="O68" s="3039">
        <f>'[11]НВВ 26.09.23.'!O68+'[12]НВВ 26.09.'!O68</f>
        <v>22193.582981284664</v>
      </c>
      <c r="P68" s="2267">
        <f t="shared" si="3"/>
        <v>16616.83959991876</v>
      </c>
      <c r="Q68" s="3031">
        <f>'[11]НВВ 26.09.23.'!Q68+'[12]НВВ 26.09.'!Q68</f>
        <v>22193.583198268312</v>
      </c>
      <c r="R68" s="3039">
        <f>'[11]НВВ 26.09.23.'!R68+'[12]НВВ 26.09.'!R68</f>
        <v>23081.326526199045</v>
      </c>
      <c r="S68" s="2268">
        <f t="shared" si="4"/>
        <v>22637.454862233681</v>
      </c>
      <c r="T68" s="3031">
        <f>'[11]НВВ 26.09.23.'!T68+'[12]НВВ 26.09.'!T68</f>
        <v>23081.326526199045</v>
      </c>
      <c r="U68" s="3039">
        <f>'[11]НВВ 26.09.23.'!U68+'[12]НВВ 26.09.'!U68</f>
        <v>24004.579587247012</v>
      </c>
      <c r="V68" s="2267">
        <f t="shared" si="5"/>
        <v>23542.953056723029</v>
      </c>
      <c r="W68" s="3031">
        <f>'[11]НВВ 26.09.23.'!W68+'[12]НВВ 26.09.'!W68</f>
        <v>24004.579587247012</v>
      </c>
      <c r="X68" s="3039">
        <f>'[11]НВВ 26.09.23.'!X68+'[12]НВВ 26.09.'!X68</f>
        <v>24964.762770736888</v>
      </c>
      <c r="Y68" s="2267">
        <f t="shared" si="6"/>
        <v>24484.67117899195</v>
      </c>
      <c r="Z68" s="3031">
        <f>'[11]НВВ 26.09.23.'!Z68+'[12]НВВ 26.09.'!Z68</f>
        <v>24964.762770736888</v>
      </c>
      <c r="AA68" s="3039">
        <f>'[11]НВВ 26.09.23.'!AA68+'[12]НВВ 26.09.'!AA68</f>
        <v>25963.353281566368</v>
      </c>
      <c r="AB68" s="2268">
        <f t="shared" si="7"/>
        <v>25464.05802615163</v>
      </c>
      <c r="AC68" s="2606"/>
      <c r="AD68" s="2606"/>
      <c r="AE68" s="2606"/>
      <c r="AF68" s="2593"/>
      <c r="AG68" s="2593"/>
      <c r="AH68" s="2593"/>
      <c r="AI68" s="2593"/>
      <c r="AJ68" s="2593"/>
    </row>
    <row r="69" spans="1:36" s="2218" customFormat="1" ht="19.5" outlineLevel="1" thickBot="1">
      <c r="A69" s="2235">
        <v>117</v>
      </c>
      <c r="B69" s="2317" t="s">
        <v>120</v>
      </c>
      <c r="C69" s="2318" t="s">
        <v>1862</v>
      </c>
      <c r="D69" s="2510" t="s">
        <v>1317</v>
      </c>
      <c r="E69" s="2320">
        <f>E70+E77+E90+E91+E92+E93+E89</f>
        <v>31718.024746378709</v>
      </c>
      <c r="F69" s="2321">
        <f>F70+F77+F90+F91+F92+F93+F89</f>
        <v>32909.407990146559</v>
      </c>
      <c r="G69" s="2303">
        <f t="shared" si="0"/>
        <v>32313.716368262634</v>
      </c>
      <c r="H69" s="2321">
        <f>H70+H77+H90+H91+H92+H93+H89</f>
        <v>32701.466343923035</v>
      </c>
      <c r="I69" s="2321">
        <f>I70+I77+I90+I91+I92+I93+I89</f>
        <v>33706.955646657443</v>
      </c>
      <c r="J69" s="2303">
        <f t="shared" si="1"/>
        <v>33204.210995290239</v>
      </c>
      <c r="K69" s="2321">
        <f>K70+K77+K90+K91+K92+K93+K89</f>
        <v>18688.734886485669</v>
      </c>
      <c r="L69" s="2321">
        <f>L70+L77+L90+L91+L92+L93+L89</f>
        <v>19606.105870680782</v>
      </c>
      <c r="M69" s="2303">
        <f t="shared" si="2"/>
        <v>19147.420378583225</v>
      </c>
      <c r="N69" s="2320">
        <f>N70+N77+N90+N91+N92+N93+N89</f>
        <v>40355.513950937566</v>
      </c>
      <c r="O69" s="2321">
        <f>O70+O77+O90+O91+O92+O93+O89</f>
        <v>47184.962359262085</v>
      </c>
      <c r="P69" s="2304">
        <f t="shared" si="3"/>
        <v>43770.238155099825</v>
      </c>
      <c r="Q69" s="2320">
        <f>Q70+Q77+Q90+Q91+Q92+Q93+Q89</f>
        <v>47184.962359262085</v>
      </c>
      <c r="R69" s="2321">
        <f>R70+R77+R90+R91+R92+R93+R89</f>
        <v>49072.360853632563</v>
      </c>
      <c r="S69" s="2303">
        <f t="shared" si="4"/>
        <v>48128.66160644732</v>
      </c>
      <c r="T69" s="2320">
        <f>T70+T77+T90+T91+T92+T93+T89</f>
        <v>49072.360853632563</v>
      </c>
      <c r="U69" s="2321">
        <f>U70+U77+U90+U91+U92+U93+U89</f>
        <v>51035.255287777865</v>
      </c>
      <c r="V69" s="2304">
        <f t="shared" si="5"/>
        <v>50053.808070705214</v>
      </c>
      <c r="W69" s="2320">
        <f>W70+W77+W90+W91+W92+W93+W89</f>
        <v>51035.255287777865</v>
      </c>
      <c r="X69" s="2321">
        <f>X70+X77+X90+X91+X92+X93+X89</f>
        <v>53076.665499288996</v>
      </c>
      <c r="Y69" s="2304">
        <f t="shared" si="6"/>
        <v>52055.960393533431</v>
      </c>
      <c r="Z69" s="2320">
        <f>Z70+Z77+Z90+Z91+Z92+Z93+Z89</f>
        <v>53076.665499288996</v>
      </c>
      <c r="AA69" s="2321">
        <f>AA70+AA77+AA90+AA91+AA92+AA93+AA89</f>
        <v>55199.732119260545</v>
      </c>
      <c r="AB69" s="2303">
        <f t="shared" si="7"/>
        <v>54138.198809274771</v>
      </c>
      <c r="AC69" s="2606"/>
      <c r="AD69" s="2606"/>
      <c r="AE69" s="2606"/>
      <c r="AF69" s="2593"/>
      <c r="AG69" s="2593"/>
      <c r="AH69" s="2593"/>
      <c r="AI69" s="2593"/>
      <c r="AJ69" s="2593"/>
    </row>
    <row r="70" spans="1:36" s="2218" customFormat="1" ht="31.5" outlineLevel="1">
      <c r="A70" s="2235">
        <v>118</v>
      </c>
      <c r="B70" s="2243" t="s">
        <v>1863</v>
      </c>
      <c r="C70" s="2278" t="s">
        <v>1864</v>
      </c>
      <c r="D70" s="2499" t="s">
        <v>1317</v>
      </c>
      <c r="E70" s="2246">
        <f>E71+E72+E73+E74+E75+E76</f>
        <v>1287.196691119201</v>
      </c>
      <c r="F70" s="2247">
        <f>F71+F72+F73+F74+F75+F76</f>
        <v>1325.8125918527771</v>
      </c>
      <c r="G70" s="2248">
        <f t="shared" ref="G70:G133" si="8">E70/2+F70/2</f>
        <v>1306.5046414859889</v>
      </c>
      <c r="H70" s="2247">
        <f>H71+H72+H73+H74+H75+H76</f>
        <v>1272.9898076620266</v>
      </c>
      <c r="I70" s="2247">
        <f>I71+I72+I73+I74+I75+I76</f>
        <v>1318.8174407378597</v>
      </c>
      <c r="J70" s="2248">
        <f t="shared" ref="J70:J133" si="9">H70/2+I70/2</f>
        <v>1295.9036241999431</v>
      </c>
      <c r="K70" s="2247">
        <f>K71+K72+K73+K74+K75+K76</f>
        <v>1187.9283304731161</v>
      </c>
      <c r="L70" s="2247">
        <f>L71+L72+L73+L74+L75+L76</f>
        <v>1239.2121828854245</v>
      </c>
      <c r="M70" s="2250">
        <f t="shared" ref="M70:M133" si="10">K70/2+L70/2</f>
        <v>1213.5702566792702</v>
      </c>
      <c r="N70" s="2246">
        <f>N71+N72+N73+N74+N75+N76</f>
        <v>1077.8491645758843</v>
      </c>
      <c r="O70" s="2247">
        <f>O71+O72+O73+O74+O75+O76</f>
        <v>2629.5013112016163</v>
      </c>
      <c r="P70" s="2249">
        <f t="shared" ref="P70:P133" si="11">N70/2+O70/2</f>
        <v>1853.6752378887504</v>
      </c>
      <c r="Q70" s="2246">
        <f>Q71+Q72+Q73+Q74+Q75+Q76</f>
        <v>2629.5013112016163</v>
      </c>
      <c r="R70" s="2247">
        <f>R71+R72+R73+R74+R75+R76</f>
        <v>2734.6813636496813</v>
      </c>
      <c r="S70" s="2250">
        <f t="shared" ref="S70:S133" si="12">Q70/2+R70/2</f>
        <v>2682.0913374256488</v>
      </c>
      <c r="T70" s="2246">
        <f>T71+T72+T73+T74+T75+T76</f>
        <v>2734.6813636496813</v>
      </c>
      <c r="U70" s="2247">
        <f>U71+U72+U73+U74+U75+U76</f>
        <v>2844.0686181956685</v>
      </c>
      <c r="V70" s="2249">
        <f t="shared" ref="V70:V133" si="13">T70/2+U70/2</f>
        <v>2789.3749909226749</v>
      </c>
      <c r="W70" s="2246">
        <f>W71+W72+W73+W74+W75+W76</f>
        <v>2844.0686181956685</v>
      </c>
      <c r="X70" s="2247">
        <f>X71+X72+X73+X74+X75+X76</f>
        <v>2957.8313629234958</v>
      </c>
      <c r="Y70" s="2249">
        <f t="shared" ref="Y70:Y133" si="14">W70/2+X70/2</f>
        <v>2900.9499905595821</v>
      </c>
      <c r="Z70" s="2246">
        <f>Z71+Z72+Z73+Z74+Z75+Z76</f>
        <v>2957.8313629234958</v>
      </c>
      <c r="AA70" s="2247">
        <f>AA71+AA72+AA73+AA74+AA75+AA76</f>
        <v>3076.144617440435</v>
      </c>
      <c r="AB70" s="2250">
        <f t="shared" ref="AB70:AB133" si="15">Z70/2+AA70/2</f>
        <v>3016.9879901819654</v>
      </c>
      <c r="AC70" s="2606"/>
      <c r="AD70" s="2606"/>
      <c r="AE70" s="2606"/>
      <c r="AF70" s="2593"/>
      <c r="AG70" s="2593"/>
      <c r="AH70" s="2593"/>
      <c r="AI70" s="2593"/>
      <c r="AJ70" s="2593"/>
    </row>
    <row r="71" spans="1:36" s="2218" customFormat="1" outlineLevel="1">
      <c r="A71" s="2235">
        <v>119</v>
      </c>
      <c r="B71" s="2281" t="s">
        <v>1865</v>
      </c>
      <c r="C71" s="2282" t="s">
        <v>1866</v>
      </c>
      <c r="D71" s="2504" t="s">
        <v>1317</v>
      </c>
      <c r="E71" s="2284">
        <v>898.91091746831864</v>
      </c>
      <c r="F71" s="2285">
        <v>925.8782449923682</v>
      </c>
      <c r="G71" s="2257">
        <f t="shared" si="8"/>
        <v>912.39458123034342</v>
      </c>
      <c r="H71" s="2285">
        <v>983.90587067987042</v>
      </c>
      <c r="I71" s="2285">
        <v>1019.3264820243458</v>
      </c>
      <c r="J71" s="2257">
        <f t="shared" si="9"/>
        <v>1001.6161763521081</v>
      </c>
      <c r="K71" s="2285">
        <v>1108.8417305252267</v>
      </c>
      <c r="L71" s="2285">
        <v>1156.5219249378113</v>
      </c>
      <c r="M71" s="2259">
        <f t="shared" si="10"/>
        <v>1132.681827731519</v>
      </c>
      <c r="N71" s="3031">
        <f>'[11]НВВ 26.09.23.'!N71+'[12]НВВ 26.09.'!N71</f>
        <v>1003.0651109105578</v>
      </c>
      <c r="O71" s="3039">
        <f>'[11]НВВ 26.09.23.'!O71+'[12]НВВ 26.09.'!O71</f>
        <v>2036.1515433989014</v>
      </c>
      <c r="P71" s="2258">
        <f t="shared" si="11"/>
        <v>1519.6083271547295</v>
      </c>
      <c r="Q71" s="3031">
        <f>'[11]НВВ 26.09.23.'!Q71+'[12]НВВ 26.09.'!Q71</f>
        <v>2036.1515433989014</v>
      </c>
      <c r="R71" s="3039">
        <f>'[11]НВВ 26.09.23.'!R71+'[12]НВВ 26.09.'!R71</f>
        <v>2117.5976051348575</v>
      </c>
      <c r="S71" s="2259">
        <f t="shared" si="12"/>
        <v>2076.8745742668793</v>
      </c>
      <c r="T71" s="3031">
        <f>'[11]НВВ 26.09.23.'!T71+'[12]НВВ 26.09.'!T71</f>
        <v>2117.5976051348575</v>
      </c>
      <c r="U71" s="3039">
        <f>'[11]НВВ 26.09.23.'!U71+'[12]НВВ 26.09.'!U71</f>
        <v>2202.3015093402519</v>
      </c>
      <c r="V71" s="2258">
        <f t="shared" si="13"/>
        <v>2159.9495572375545</v>
      </c>
      <c r="W71" s="3031">
        <f>'[11]НВВ 26.09.23.'!W71+'[12]НВВ 26.09.'!W71</f>
        <v>2202.3015093402519</v>
      </c>
      <c r="X71" s="3039">
        <f>'[11]НВВ 26.09.23.'!X71+'[12]НВВ 26.09.'!X71</f>
        <v>2290.3935697138622</v>
      </c>
      <c r="Y71" s="2258">
        <f t="shared" si="14"/>
        <v>2246.3475395270571</v>
      </c>
      <c r="Z71" s="3031">
        <f>'[11]НВВ 26.09.23.'!Z71+'[12]НВВ 26.09.'!Z71</f>
        <v>2290.3935697138622</v>
      </c>
      <c r="AA71" s="3039">
        <f>'[11]НВВ 26.09.23.'!AA71+'[12]НВВ 26.09.'!AA71</f>
        <v>2382.0093125024168</v>
      </c>
      <c r="AB71" s="2259">
        <f t="shared" si="15"/>
        <v>2336.2014411081395</v>
      </c>
      <c r="AC71" s="2606"/>
      <c r="AD71" s="2606"/>
      <c r="AE71" s="2606"/>
      <c r="AF71" s="2593"/>
      <c r="AG71" s="2593"/>
      <c r="AH71" s="2593"/>
      <c r="AI71" s="2593"/>
      <c r="AJ71" s="2593"/>
    </row>
    <row r="72" spans="1:36" s="2218" customFormat="1" hidden="1" outlineLevel="2">
      <c r="A72" s="2235">
        <v>120</v>
      </c>
      <c r="B72" s="2281" t="s">
        <v>1868</v>
      </c>
      <c r="C72" s="2282" t="s">
        <v>1869</v>
      </c>
      <c r="D72" s="2504" t="s">
        <v>1317</v>
      </c>
      <c r="E72" s="2284">
        <v>63.987122092503448</v>
      </c>
      <c r="F72" s="2285">
        <v>65.906735755278547</v>
      </c>
      <c r="G72" s="2257">
        <f t="shared" si="8"/>
        <v>64.946928923890994</v>
      </c>
      <c r="H72" s="2285">
        <v>72.756100062527437</v>
      </c>
      <c r="I72" s="2285">
        <v>75.375319664778431</v>
      </c>
      <c r="J72" s="2257">
        <f t="shared" si="9"/>
        <v>74.065709863652927</v>
      </c>
      <c r="K72" s="2285"/>
      <c r="L72" s="2285"/>
      <c r="M72" s="2259">
        <f t="shared" si="10"/>
        <v>0</v>
      </c>
      <c r="N72" s="3031">
        <f>'[11]НВВ 26.09.23.'!N72+'[12]НВВ 26.09.'!N72</f>
        <v>0</v>
      </c>
      <c r="O72" s="3039">
        <f>'[11]НВВ 26.09.23.'!O72+'[12]НВВ 26.09.'!O72</f>
        <v>0</v>
      </c>
      <c r="P72" s="2258">
        <f t="shared" si="11"/>
        <v>0</v>
      </c>
      <c r="Q72" s="3031">
        <f>'[11]НВВ 26.09.23.'!Q72+'[12]НВВ 26.09.'!Q72</f>
        <v>0</v>
      </c>
      <c r="R72" s="3039">
        <f>'[11]НВВ 26.09.23.'!R72+'[12]НВВ 26.09.'!R72</f>
        <v>0</v>
      </c>
      <c r="S72" s="2259">
        <f t="shared" si="12"/>
        <v>0</v>
      </c>
      <c r="T72" s="3031">
        <f>'[11]НВВ 26.09.23.'!T72+'[12]НВВ 26.09.'!T72</f>
        <v>0</v>
      </c>
      <c r="U72" s="3039">
        <f>'[11]НВВ 26.09.23.'!U72+'[12]НВВ 26.09.'!U72</f>
        <v>0</v>
      </c>
      <c r="V72" s="2258">
        <f t="shared" si="13"/>
        <v>0</v>
      </c>
      <c r="W72" s="3031">
        <f>'[11]НВВ 26.09.23.'!W72+'[12]НВВ 26.09.'!W72</f>
        <v>0</v>
      </c>
      <c r="X72" s="3039">
        <f>'[11]НВВ 26.09.23.'!X72+'[12]НВВ 26.09.'!X72</f>
        <v>0</v>
      </c>
      <c r="Y72" s="2258">
        <f t="shared" si="14"/>
        <v>0</v>
      </c>
      <c r="Z72" s="3031">
        <f>'[11]НВВ 26.09.23.'!Z72+'[12]НВВ 26.09.'!Z72</f>
        <v>0</v>
      </c>
      <c r="AA72" s="3039">
        <f>'[11]НВВ 26.09.23.'!AA72+'[12]НВВ 26.09.'!AA72</f>
        <v>0</v>
      </c>
      <c r="AB72" s="2259">
        <f t="shared" si="15"/>
        <v>0</v>
      </c>
      <c r="AC72" s="2606"/>
      <c r="AD72" s="2606"/>
      <c r="AE72" s="2606"/>
      <c r="AF72" s="2593"/>
      <c r="AG72" s="2593"/>
      <c r="AH72" s="2593"/>
      <c r="AI72" s="2593"/>
      <c r="AJ72" s="2593"/>
    </row>
    <row r="73" spans="1:36" s="2218" customFormat="1" outlineLevel="1" collapsed="1">
      <c r="A73" s="2235">
        <v>121</v>
      </c>
      <c r="B73" s="2281" t="s">
        <v>1870</v>
      </c>
      <c r="C73" s="2282" t="s">
        <v>1871</v>
      </c>
      <c r="D73" s="2504" t="s">
        <v>1317</v>
      </c>
      <c r="E73" s="2284">
        <v>102.76719608796007</v>
      </c>
      <c r="F73" s="2285">
        <v>105.85021197059888</v>
      </c>
      <c r="G73" s="2257">
        <f t="shared" si="8"/>
        <v>104.30870402927948</v>
      </c>
      <c r="H73" s="2285">
        <v>10.188872934067637</v>
      </c>
      <c r="I73" s="2285">
        <v>10.555672359694073</v>
      </c>
      <c r="J73" s="2257">
        <f t="shared" si="9"/>
        <v>10.372272646880855</v>
      </c>
      <c r="K73" s="2285">
        <v>8.6518138041131092</v>
      </c>
      <c r="L73" s="2285">
        <v>9.0238417976899719</v>
      </c>
      <c r="M73" s="2259">
        <f t="shared" si="10"/>
        <v>8.8378278009015396</v>
      </c>
      <c r="N73" s="3031">
        <f>'[11]НВВ 26.09.23.'!N73+'[12]НВВ 26.09.'!N73</f>
        <v>7.8264844604013337</v>
      </c>
      <c r="O73" s="3039">
        <f>'[11]НВВ 26.09.23.'!O73+'[12]НВВ 26.09.'!O73</f>
        <v>15.887212345535055</v>
      </c>
      <c r="P73" s="2258">
        <f t="shared" si="11"/>
        <v>11.856848402968193</v>
      </c>
      <c r="Q73" s="3031">
        <f>'[11]НВВ 26.09.23.'!Q73+'[12]НВВ 26.09.'!Q73</f>
        <v>15.887212345535055</v>
      </c>
      <c r="R73" s="3039">
        <f>'[11]НВВ 26.09.23.'!R73+'[12]НВВ 26.09.'!R73</f>
        <v>16.522700839356457</v>
      </c>
      <c r="S73" s="2259">
        <f t="shared" si="12"/>
        <v>16.204956592445754</v>
      </c>
      <c r="T73" s="3031">
        <f>'[11]НВВ 26.09.23.'!T73+'[12]НВВ 26.09.'!T73</f>
        <v>16.522700839356457</v>
      </c>
      <c r="U73" s="3039">
        <f>'[11]НВВ 26.09.23.'!U73+'[12]НВВ 26.09.'!U73</f>
        <v>17.183608872930716</v>
      </c>
      <c r="V73" s="2258">
        <f t="shared" si="13"/>
        <v>16.853154856143586</v>
      </c>
      <c r="W73" s="3031">
        <f>'[11]НВВ 26.09.23.'!W73+'[12]НВВ 26.09.'!W73</f>
        <v>17.183608872930716</v>
      </c>
      <c r="X73" s="3039">
        <f>'[11]НВВ 26.09.23.'!X73+'[12]НВВ 26.09.'!X73</f>
        <v>17.870953227847945</v>
      </c>
      <c r="Y73" s="2258">
        <f t="shared" si="14"/>
        <v>17.52728105038933</v>
      </c>
      <c r="Z73" s="3031">
        <f>'[11]НВВ 26.09.23.'!Z73+'[12]НВВ 26.09.'!Z73</f>
        <v>17.870953227847945</v>
      </c>
      <c r="AA73" s="3039">
        <f>'[11]НВВ 26.09.23.'!AA73+'[12]НВВ 26.09.'!AA73</f>
        <v>18.585791356961863</v>
      </c>
      <c r="AB73" s="2259">
        <f t="shared" si="15"/>
        <v>18.228372292404906</v>
      </c>
      <c r="AC73" s="2606"/>
      <c r="AD73" s="2606"/>
      <c r="AE73" s="2606"/>
      <c r="AF73" s="2593"/>
      <c r="AG73" s="2593"/>
      <c r="AH73" s="2593"/>
      <c r="AI73" s="2593"/>
      <c r="AJ73" s="2593"/>
    </row>
    <row r="74" spans="1:36" s="2218" customFormat="1" outlineLevel="1">
      <c r="A74" s="2235">
        <v>122</v>
      </c>
      <c r="B74" s="2281" t="s">
        <v>1873</v>
      </c>
      <c r="C74" s="2282" t="s">
        <v>1874</v>
      </c>
      <c r="D74" s="2504" t="s">
        <v>1317</v>
      </c>
      <c r="E74" s="2284">
        <v>9.7919686838528008</v>
      </c>
      <c r="F74" s="2285">
        <v>10.085727744368386</v>
      </c>
      <c r="G74" s="2257">
        <f t="shared" si="8"/>
        <v>9.9388482141105925</v>
      </c>
      <c r="H74" s="2285">
        <v>3.8702622522888035</v>
      </c>
      <c r="I74" s="2285">
        <v>4.0095916933712008</v>
      </c>
      <c r="J74" s="2257">
        <f t="shared" si="9"/>
        <v>3.9399269728300021</v>
      </c>
      <c r="K74" s="2285">
        <v>9.5169951845244203</v>
      </c>
      <c r="L74" s="2285">
        <v>9.9262259774589694</v>
      </c>
      <c r="M74" s="2259">
        <f t="shared" si="10"/>
        <v>9.721610580991694</v>
      </c>
      <c r="N74" s="3031">
        <f>'[11]НВВ 26.09.23.'!N74+'[12]НВВ 26.09.'!N74</f>
        <v>8.6091329064414666</v>
      </c>
      <c r="O74" s="3039">
        <f>'[11]НВВ 26.09.23.'!O74+'[12]НВВ 26.09.'!O74</f>
        <v>17.475933580088565</v>
      </c>
      <c r="P74" s="2258">
        <f t="shared" si="11"/>
        <v>13.042533243265016</v>
      </c>
      <c r="Q74" s="3031">
        <f>'[11]НВВ 26.09.23.'!Q74+'[12]НВВ 26.09.'!Q74</f>
        <v>17.475933580088565</v>
      </c>
      <c r="R74" s="3039">
        <f>'[11]НВВ 26.09.23.'!R74+'[12]НВВ 26.09.'!R74</f>
        <v>18.174970923292108</v>
      </c>
      <c r="S74" s="2259">
        <f t="shared" si="12"/>
        <v>17.825452251690336</v>
      </c>
      <c r="T74" s="3031">
        <f>'[11]НВВ 26.09.23.'!T74+'[12]НВВ 26.09.'!T74</f>
        <v>18.174970923292108</v>
      </c>
      <c r="U74" s="3039">
        <f>'[11]НВВ 26.09.23.'!U74+'[12]НВВ 26.09.'!U74</f>
        <v>18.901969760223793</v>
      </c>
      <c r="V74" s="2258">
        <f t="shared" si="13"/>
        <v>18.53847034175795</v>
      </c>
      <c r="W74" s="3031">
        <f>'[11]НВВ 26.09.23.'!W74+'[12]НВВ 26.09.'!W74</f>
        <v>18.901969760223793</v>
      </c>
      <c r="X74" s="3039">
        <f>'[11]НВВ 26.09.23.'!X74+'[12]НВВ 26.09.'!X74</f>
        <v>19.658048550632742</v>
      </c>
      <c r="Y74" s="2258">
        <f t="shared" si="14"/>
        <v>19.280009155428267</v>
      </c>
      <c r="Z74" s="3031">
        <f>'[11]НВВ 26.09.23.'!Z74+'[12]НВВ 26.09.'!Z74</f>
        <v>19.658048550632742</v>
      </c>
      <c r="AA74" s="3039">
        <f>'[11]НВВ 26.09.23.'!AA74+'[12]НВВ 26.09.'!AA74</f>
        <v>20.444370492658052</v>
      </c>
      <c r="AB74" s="2259">
        <f t="shared" si="15"/>
        <v>20.051209521645397</v>
      </c>
      <c r="AC74" s="2606"/>
      <c r="AD74" s="2606"/>
      <c r="AE74" s="2606"/>
      <c r="AF74" s="2593"/>
      <c r="AG74" s="2593"/>
      <c r="AH74" s="2593"/>
      <c r="AI74" s="2593"/>
      <c r="AJ74" s="2593"/>
    </row>
    <row r="75" spans="1:36" s="2218" customFormat="1" outlineLevel="1">
      <c r="A75" s="2235">
        <v>123</v>
      </c>
      <c r="B75" s="2281" t="s">
        <v>1876</v>
      </c>
      <c r="C75" s="2282" t="s">
        <v>1877</v>
      </c>
      <c r="D75" s="2504" t="s">
        <v>1317</v>
      </c>
      <c r="E75" s="2284">
        <v>76.283081374168887</v>
      </c>
      <c r="F75" s="2285">
        <v>78.571573815393961</v>
      </c>
      <c r="G75" s="2257">
        <f t="shared" si="8"/>
        <v>77.427327594781417</v>
      </c>
      <c r="H75" s="2285">
        <v>79.587836760187457</v>
      </c>
      <c r="I75" s="2285">
        <v>82.452998883554201</v>
      </c>
      <c r="J75" s="2257">
        <f t="shared" si="9"/>
        <v>81.020417821870836</v>
      </c>
      <c r="K75" s="2285">
        <f>65.6371910049335-4.71940004568142</f>
        <v>60.917790959252081</v>
      </c>
      <c r="L75" s="2285">
        <f>68.4595902181457-4.71940004568142</f>
        <v>63.740190172464288</v>
      </c>
      <c r="M75" s="2259">
        <f t="shared" si="10"/>
        <v>62.328990565858184</v>
      </c>
      <c r="N75" s="3031">
        <f>'[11]НВВ 26.09.23.'!N75+'[12]НВВ 26.09.'!N75</f>
        <v>55.282433016606305</v>
      </c>
      <c r="O75" s="3039">
        <f>'[11]НВВ 26.09.23.'!O75+'[12]НВВ 26.09.'!O75</f>
        <v>556.69986635891905</v>
      </c>
      <c r="P75" s="2258">
        <f t="shared" si="11"/>
        <v>305.99114968776269</v>
      </c>
      <c r="Q75" s="3031">
        <f>'[11]НВВ 26.09.23.'!Q75+'[12]НВВ 26.09.'!Q75</f>
        <v>556.69986635891905</v>
      </c>
      <c r="R75" s="3039">
        <f>'[11]НВВ 26.09.23.'!R75+'[12]НВВ 26.09.'!R75</f>
        <v>578.96786101327586</v>
      </c>
      <c r="S75" s="2259">
        <f t="shared" si="12"/>
        <v>567.8338636860974</v>
      </c>
      <c r="T75" s="3031">
        <f>'[11]НВВ 26.09.23.'!T75+'[12]НВВ 26.09.'!T75</f>
        <v>578.96786101327586</v>
      </c>
      <c r="U75" s="3039">
        <f>'[11]НВВ 26.09.23.'!U75+'[12]НВВ 26.09.'!U75</f>
        <v>602.12657545380694</v>
      </c>
      <c r="V75" s="2258">
        <f t="shared" si="13"/>
        <v>590.54721823354134</v>
      </c>
      <c r="W75" s="3031">
        <f>'[11]НВВ 26.09.23.'!W75+'[12]НВВ 26.09.'!W75</f>
        <v>602.12657545380694</v>
      </c>
      <c r="X75" s="3039">
        <f>'[11]НВВ 26.09.23.'!X75+'[12]НВВ 26.09.'!X75</f>
        <v>626.21163847195919</v>
      </c>
      <c r="Y75" s="2258">
        <f t="shared" si="14"/>
        <v>614.16910696288301</v>
      </c>
      <c r="Z75" s="3031">
        <f>'[11]НВВ 26.09.23.'!Z75+'[12]НВВ 26.09.'!Z75</f>
        <v>626.21163847195919</v>
      </c>
      <c r="AA75" s="3039">
        <f>'[11]НВВ 26.09.23.'!AA75+'[12]НВВ 26.09.'!AA75</f>
        <v>651.26010401083749</v>
      </c>
      <c r="AB75" s="2259">
        <f t="shared" si="15"/>
        <v>638.7358712413984</v>
      </c>
      <c r="AC75" s="2606"/>
      <c r="AD75" s="2606"/>
      <c r="AE75" s="2606"/>
      <c r="AF75" s="2593"/>
      <c r="AG75" s="2593"/>
      <c r="AH75" s="2593"/>
      <c r="AI75" s="2593"/>
      <c r="AJ75" s="2593"/>
    </row>
    <row r="76" spans="1:36" s="2218" customFormat="1" outlineLevel="1">
      <c r="A76" s="2235">
        <v>124</v>
      </c>
      <c r="B76" s="2281" t="s">
        <v>1879</v>
      </c>
      <c r="C76" s="2282" t="s">
        <v>1880</v>
      </c>
      <c r="D76" s="2504" t="s">
        <v>1317</v>
      </c>
      <c r="E76" s="2284">
        <v>135.45640541239723</v>
      </c>
      <c r="F76" s="2285">
        <v>139.52009757476915</v>
      </c>
      <c r="G76" s="2257">
        <f t="shared" si="8"/>
        <v>137.48825149358319</v>
      </c>
      <c r="H76" s="2285">
        <v>122.68086497308479</v>
      </c>
      <c r="I76" s="2285">
        <v>127.09737611211585</v>
      </c>
      <c r="J76" s="2257">
        <f t="shared" si="9"/>
        <v>124.88912054260032</v>
      </c>
      <c r="K76" s="2285"/>
      <c r="L76" s="2285"/>
      <c r="M76" s="2259">
        <f t="shared" si="10"/>
        <v>0</v>
      </c>
      <c r="N76" s="3031">
        <f>'[11]НВВ 26.09.23.'!N76+'[12]НВВ 26.09.'!N76</f>
        <v>3.0660032818772232</v>
      </c>
      <c r="O76" s="3039">
        <f>'[11]НВВ 26.09.23.'!O76+'[12]НВВ 26.09.'!O76</f>
        <v>3.2867555181723827</v>
      </c>
      <c r="P76" s="2258">
        <f t="shared" si="11"/>
        <v>3.1763794000248029</v>
      </c>
      <c r="Q76" s="3031">
        <f>'[11]НВВ 26.09.23.'!Q76+'[12]НВВ 26.09.'!Q76</f>
        <v>3.2867555181723827</v>
      </c>
      <c r="R76" s="3039">
        <f>'[11]НВВ 26.09.23.'!R76+'[12]НВВ 26.09.'!R76</f>
        <v>3.4182257388992783</v>
      </c>
      <c r="S76" s="2259">
        <f t="shared" si="12"/>
        <v>3.3524906285358305</v>
      </c>
      <c r="T76" s="3031">
        <f>'[11]НВВ 26.09.23.'!T76+'[12]НВВ 26.09.'!T76</f>
        <v>3.4182257388992783</v>
      </c>
      <c r="U76" s="3039">
        <f>'[11]НВВ 26.09.23.'!U76+'[12]НВВ 26.09.'!U76</f>
        <v>3.5549547684552496</v>
      </c>
      <c r="V76" s="2258">
        <f t="shared" si="13"/>
        <v>3.4865902536772637</v>
      </c>
      <c r="W76" s="3031">
        <f>'[11]НВВ 26.09.23.'!W76+'[12]НВВ 26.09.'!W76</f>
        <v>3.5549547684552496</v>
      </c>
      <c r="X76" s="3039">
        <f>'[11]НВВ 26.09.23.'!X76+'[12]НВВ 26.09.'!X76</f>
        <v>3.6971529591934598</v>
      </c>
      <c r="Y76" s="2258">
        <f t="shared" si="14"/>
        <v>3.6260538638243549</v>
      </c>
      <c r="Z76" s="3031">
        <f>'[11]НВВ 26.09.23.'!Z76+'[12]НВВ 26.09.'!Z76</f>
        <v>3.6971529591934598</v>
      </c>
      <c r="AA76" s="3039">
        <f>'[11]НВВ 26.09.23.'!AA76+'[12]НВВ 26.09.'!AA76</f>
        <v>3.8450390775611982</v>
      </c>
      <c r="AB76" s="2259">
        <f t="shared" si="15"/>
        <v>3.771096018377329</v>
      </c>
      <c r="AC76" s="2606"/>
      <c r="AD76" s="2606"/>
      <c r="AE76" s="2606"/>
      <c r="AF76" s="2593"/>
      <c r="AG76" s="2593"/>
      <c r="AH76" s="2593"/>
      <c r="AI76" s="2593"/>
      <c r="AJ76" s="2593"/>
    </row>
    <row r="77" spans="1:36" s="2218" customFormat="1" ht="47.25" outlineLevel="1">
      <c r="A77" s="2235">
        <v>125</v>
      </c>
      <c r="B77" s="2279" t="s">
        <v>1882</v>
      </c>
      <c r="C77" s="2295" t="s">
        <v>1883</v>
      </c>
      <c r="D77" s="2500" t="s">
        <v>1317</v>
      </c>
      <c r="E77" s="2255">
        <f>E78+E88</f>
        <v>28765.077235054188</v>
      </c>
      <c r="F77" s="2256">
        <f>F78+F88</f>
        <v>29867.872053482301</v>
      </c>
      <c r="G77" s="2257">
        <f t="shared" si="8"/>
        <v>29316.474644268244</v>
      </c>
      <c r="H77" s="2256">
        <f>H78+H88</f>
        <v>29257.04878521643</v>
      </c>
      <c r="I77" s="2256">
        <f>I78+I88</f>
        <v>30138.539055837402</v>
      </c>
      <c r="J77" s="2257">
        <f t="shared" si="9"/>
        <v>29697.793920526914</v>
      </c>
      <c r="K77" s="2256">
        <f>K78+K88</f>
        <v>15897.681773456257</v>
      </c>
      <c r="L77" s="2256">
        <f>L78+L88</f>
        <v>16694.834539589141</v>
      </c>
      <c r="M77" s="2259">
        <f t="shared" si="10"/>
        <v>16296.258156522699</v>
      </c>
      <c r="N77" s="3031">
        <f>'[11]НВВ 26.09.23.'!N77+'[12]НВВ 26.09.'!N77</f>
        <v>38820.819858799121</v>
      </c>
      <c r="O77" s="3039">
        <f>'[11]НВВ 26.09.23.'!O77+'[12]НВВ 26.09.'!O77</f>
        <v>41637.75355250042</v>
      </c>
      <c r="P77" s="2258">
        <f t="shared" si="11"/>
        <v>40229.286705649771</v>
      </c>
      <c r="Q77" s="3031">
        <f>'[11]НВВ 26.09.23.'!Q77+'[12]НВВ 26.09.'!Q77</f>
        <v>41637.75355250042</v>
      </c>
      <c r="R77" s="3039">
        <f>'[11]НВВ 26.09.23.'!R77+'[12]НВВ 26.09.'!R77</f>
        <v>43303.263694600435</v>
      </c>
      <c r="S77" s="2259">
        <f t="shared" si="12"/>
        <v>42470.508623550428</v>
      </c>
      <c r="T77" s="3031">
        <f>'[11]НВВ 26.09.23.'!T77+'[12]НВВ 26.09.'!T77</f>
        <v>43303.263694600435</v>
      </c>
      <c r="U77" s="3039">
        <f>'[11]НВВ 26.09.23.'!U77+'[12]НВВ 26.09.'!U77</f>
        <v>45035.394242384456</v>
      </c>
      <c r="V77" s="2258">
        <f t="shared" si="13"/>
        <v>44169.328968492446</v>
      </c>
      <c r="W77" s="3031">
        <f>'[11]НВВ 26.09.23.'!W77+'[12]НВВ 26.09.'!W77</f>
        <v>45035.394242384456</v>
      </c>
      <c r="X77" s="3039">
        <f>'[11]НВВ 26.09.23.'!X77+'[12]НВВ 26.09.'!X77</f>
        <v>46836.810012079841</v>
      </c>
      <c r="Y77" s="2258">
        <f t="shared" si="14"/>
        <v>45936.102127232152</v>
      </c>
      <c r="Z77" s="3031">
        <f>'[11]НВВ 26.09.23.'!Z77+'[12]НВВ 26.09.'!Z77</f>
        <v>46836.810012079841</v>
      </c>
      <c r="AA77" s="3039">
        <f>'[11]НВВ 26.09.23.'!AA77+'[12]НВВ 26.09.'!AA77</f>
        <v>48710.282412563029</v>
      </c>
      <c r="AB77" s="2259">
        <f t="shared" si="15"/>
        <v>47773.546212321438</v>
      </c>
      <c r="AC77" s="2606"/>
      <c r="AD77" s="2606"/>
      <c r="AE77" s="2606"/>
      <c r="AF77" s="2593"/>
      <c r="AG77" s="2593"/>
      <c r="AH77" s="2593"/>
      <c r="AI77" s="2593"/>
      <c r="AJ77" s="2593"/>
    </row>
    <row r="78" spans="1:36" s="2218" customFormat="1" ht="31.5" outlineLevel="1">
      <c r="A78" s="2235">
        <v>126</v>
      </c>
      <c r="B78" s="2279" t="s">
        <v>1884</v>
      </c>
      <c r="C78" s="2280" t="s">
        <v>1885</v>
      </c>
      <c r="D78" s="2500" t="s">
        <v>1317</v>
      </c>
      <c r="E78" s="2255">
        <f>E79*E87*12/1000</f>
        <v>22234.649303038099</v>
      </c>
      <c r="F78" s="2256">
        <f>F79*F87*12/1000</f>
        <v>23141.531283505727</v>
      </c>
      <c r="G78" s="2257">
        <f t="shared" si="8"/>
        <v>22688.090293271911</v>
      </c>
      <c r="H78" s="2256">
        <f>H79*H87*12/1000</f>
        <v>22665.198171522759</v>
      </c>
      <c r="I78" s="2256">
        <f>I79*I87*12/1000</f>
        <v>23348.081527823175</v>
      </c>
      <c r="J78" s="2257">
        <f t="shared" si="9"/>
        <v>23006.639849672967</v>
      </c>
      <c r="K78" s="2256">
        <f>K79*K87*12/1000</f>
        <v>12271.212164579452</v>
      </c>
      <c r="L78" s="2256">
        <f>L79*L87*12/1000</f>
        <v>12886.523935200668</v>
      </c>
      <c r="M78" s="2259">
        <f t="shared" si="10"/>
        <v>12578.868049890061</v>
      </c>
      <c r="N78" s="3031">
        <f>'[11]НВВ 26.09.23.'!N78+'[12]НВВ 26.09.'!N78</f>
        <v>29831.941640086163</v>
      </c>
      <c r="O78" s="3039">
        <f>'[11]НВВ 26.09.23.'!O78+'[12]НВВ 26.09.'!O78</f>
        <v>31979.841438172371</v>
      </c>
      <c r="P78" s="2258">
        <f t="shared" si="11"/>
        <v>30905.891539129268</v>
      </c>
      <c r="Q78" s="3031">
        <f>'[11]НВВ 26.09.23.'!Q78+'[12]НВВ 26.09.'!Q78</f>
        <v>31979.841438172371</v>
      </c>
      <c r="R78" s="3039">
        <f>'[11]НВВ 26.09.23.'!R78+'[12]НВВ 26.09.'!R78</f>
        <v>33259.035095699262</v>
      </c>
      <c r="S78" s="2259">
        <f t="shared" si="12"/>
        <v>32619.438266935817</v>
      </c>
      <c r="T78" s="3031">
        <f>'[11]НВВ 26.09.23.'!T78+'[12]НВВ 26.09.'!T78</f>
        <v>33259.035095699262</v>
      </c>
      <c r="U78" s="3039">
        <f>'[11]НВВ 26.09.23.'!U78+'[12]НВВ 26.09.'!U78</f>
        <v>34589.396499527233</v>
      </c>
      <c r="V78" s="2258">
        <f t="shared" si="13"/>
        <v>33924.215797613244</v>
      </c>
      <c r="W78" s="3031">
        <f>'[11]НВВ 26.09.23.'!W78+'[12]НВВ 26.09.'!W78</f>
        <v>34589.396499527233</v>
      </c>
      <c r="X78" s="3039">
        <f>'[11]НВВ 26.09.23.'!X78+'[12]НВВ 26.09.'!X78</f>
        <v>35972.972359508327</v>
      </c>
      <c r="Y78" s="2258">
        <f t="shared" si="14"/>
        <v>35281.18442951778</v>
      </c>
      <c r="Z78" s="3031">
        <f>'[11]НВВ 26.09.23.'!Z78+'[12]НВВ 26.09.'!Z78</f>
        <v>35972.972359508327</v>
      </c>
      <c r="AA78" s="3039">
        <f>'[11]НВВ 26.09.23.'!AA78+'[12]НВВ 26.09.'!AA78</f>
        <v>37411.891253888658</v>
      </c>
      <c r="AB78" s="2259">
        <f t="shared" si="15"/>
        <v>36692.431806698492</v>
      </c>
      <c r="AC78" s="2606"/>
      <c r="AD78" s="2606"/>
      <c r="AE78" s="2606"/>
      <c r="AF78" s="2593"/>
      <c r="AG78" s="2593"/>
      <c r="AH78" s="2593"/>
      <c r="AI78" s="2593"/>
      <c r="AJ78" s="2593"/>
    </row>
    <row r="79" spans="1:36" s="2218" customFormat="1" ht="31.5" hidden="1" outlineLevel="2">
      <c r="A79" s="2235">
        <v>617</v>
      </c>
      <c r="B79" s="2279" t="s">
        <v>1886</v>
      </c>
      <c r="C79" s="2280" t="s">
        <v>1887</v>
      </c>
      <c r="D79" s="2500" t="s">
        <v>1888</v>
      </c>
      <c r="E79" s="2255">
        <f>E80+E81+E82+E85+E86</f>
        <v>49516.583973680805</v>
      </c>
      <c r="F79" s="2256">
        <f>F80+F81+F82+F85+F86</f>
        <v>51536.2109589334</v>
      </c>
      <c r="G79" s="2257">
        <f t="shared" si="8"/>
        <v>50526.397466307099</v>
      </c>
      <c r="H79" s="2256">
        <f>H80+H81+H82+H85+H86</f>
        <v>53964.757551244664</v>
      </c>
      <c r="I79" s="2256">
        <f>I80+I81+I82+I85+I86</f>
        <v>55590.670304340892</v>
      </c>
      <c r="J79" s="2257">
        <f t="shared" si="9"/>
        <v>54777.713927792778</v>
      </c>
      <c r="K79" s="2256">
        <f>K80+K81+K82+K85+K86</f>
        <v>48695.28636737878</v>
      </c>
      <c r="L79" s="2256">
        <f>L80+L81+L82+L85+L86</f>
        <v>51136.9997428598</v>
      </c>
      <c r="M79" s="2259">
        <f t="shared" si="10"/>
        <v>49916.14305511929</v>
      </c>
      <c r="N79" s="2891">
        <v>55937.678217352033</v>
      </c>
      <c r="O79" s="2887">
        <v>59965.191049001398</v>
      </c>
      <c r="P79" s="2258">
        <f t="shared" si="11"/>
        <v>57951.434633176716</v>
      </c>
      <c r="Q79" s="2891">
        <v>55937.678217352033</v>
      </c>
      <c r="R79" s="2887">
        <v>59965.191049001398</v>
      </c>
      <c r="S79" s="2259">
        <f t="shared" si="12"/>
        <v>57951.434633176716</v>
      </c>
      <c r="T79" s="2891">
        <v>55937.678217352033</v>
      </c>
      <c r="U79" s="2887">
        <v>59965.191049001398</v>
      </c>
      <c r="V79" s="2258">
        <f t="shared" si="13"/>
        <v>57951.434633176716</v>
      </c>
      <c r="W79" s="2891">
        <v>55937.678217352033</v>
      </c>
      <c r="X79" s="2887">
        <v>59965.191049001398</v>
      </c>
      <c r="Y79" s="2258">
        <f t="shared" si="14"/>
        <v>57951.434633176716</v>
      </c>
      <c r="Z79" s="2891">
        <v>55937.678217352033</v>
      </c>
      <c r="AA79" s="2887">
        <v>59965.191049001398</v>
      </c>
      <c r="AB79" s="2259">
        <f t="shared" si="15"/>
        <v>57951.434633176716</v>
      </c>
      <c r="AC79" s="2606"/>
      <c r="AD79" s="2606"/>
      <c r="AE79" s="2606"/>
      <c r="AF79" s="2593"/>
      <c r="AG79" s="2593"/>
      <c r="AH79" s="2593"/>
      <c r="AI79" s="2593"/>
      <c r="AJ79" s="2593"/>
    </row>
    <row r="80" spans="1:36" s="2218" customFormat="1" ht="31.5" hidden="1" outlineLevel="1" collapsed="1">
      <c r="A80" s="2235">
        <v>288</v>
      </c>
      <c r="B80" s="2281" t="s">
        <v>1889</v>
      </c>
      <c r="C80" s="2282" t="s">
        <v>1890</v>
      </c>
      <c r="D80" s="2504" t="s">
        <v>1793</v>
      </c>
      <c r="E80" s="2284">
        <v>21466.614372294353</v>
      </c>
      <c r="F80" s="2285">
        <v>22334.936635101989</v>
      </c>
      <c r="G80" s="2257">
        <f t="shared" si="8"/>
        <v>21900.775503698169</v>
      </c>
      <c r="H80" s="2285">
        <v>19095.707795267954</v>
      </c>
      <c r="I80" s="2285">
        <v>19668.579029125995</v>
      </c>
      <c r="J80" s="2257">
        <f t="shared" si="9"/>
        <v>19382.143412196972</v>
      </c>
      <c r="K80" s="2285">
        <v>15982.831357758625</v>
      </c>
      <c r="L80" s="2285">
        <v>16781.972925646558</v>
      </c>
      <c r="M80" s="2259">
        <f t="shared" si="10"/>
        <v>16382.402141702591</v>
      </c>
      <c r="N80" s="2468"/>
      <c r="O80" s="2296"/>
      <c r="P80" s="2258">
        <f t="shared" si="11"/>
        <v>0</v>
      </c>
      <c r="Q80" s="2468"/>
      <c r="R80" s="2296"/>
      <c r="S80" s="2259">
        <f t="shared" si="12"/>
        <v>0</v>
      </c>
      <c r="T80" s="2468"/>
      <c r="U80" s="2296"/>
      <c r="V80" s="2258">
        <f t="shared" si="13"/>
        <v>0</v>
      </c>
      <c r="W80" s="2468"/>
      <c r="X80" s="2296"/>
      <c r="Y80" s="2258">
        <f t="shared" si="14"/>
        <v>0</v>
      </c>
      <c r="Z80" s="2468"/>
      <c r="AA80" s="2296"/>
      <c r="AB80" s="2259">
        <f t="shared" si="15"/>
        <v>0</v>
      </c>
      <c r="AC80" s="2606"/>
      <c r="AD80" s="2606"/>
      <c r="AE80" s="2606"/>
      <c r="AF80" s="2593"/>
      <c r="AG80" s="2593"/>
      <c r="AH80" s="2593"/>
      <c r="AI80" s="2593"/>
      <c r="AJ80" s="2593"/>
    </row>
    <row r="81" spans="1:36" s="2218" customFormat="1" hidden="1" outlineLevel="2">
      <c r="A81" s="2235">
        <v>297</v>
      </c>
      <c r="B81" s="2281" t="s">
        <v>1891</v>
      </c>
      <c r="C81" s="2282" t="s">
        <v>1846</v>
      </c>
      <c r="D81" s="2504" t="s">
        <v>1784</v>
      </c>
      <c r="E81" s="2284"/>
      <c r="F81" s="2285"/>
      <c r="G81" s="2257">
        <f t="shared" si="8"/>
        <v>0</v>
      </c>
      <c r="H81" s="2285"/>
      <c r="I81" s="2285"/>
      <c r="J81" s="2257">
        <f t="shared" si="9"/>
        <v>0</v>
      </c>
      <c r="K81" s="2285"/>
      <c r="L81" s="2285"/>
      <c r="M81" s="2259">
        <f t="shared" si="10"/>
        <v>0</v>
      </c>
      <c r="N81" s="2294"/>
      <c r="O81" s="2296"/>
      <c r="P81" s="2258">
        <f t="shared" si="11"/>
        <v>0</v>
      </c>
      <c r="Q81" s="2294"/>
      <c r="R81" s="2296"/>
      <c r="S81" s="2259">
        <f t="shared" si="12"/>
        <v>0</v>
      </c>
      <c r="T81" s="2294"/>
      <c r="U81" s="2296"/>
      <c r="V81" s="2258">
        <f t="shared" si="13"/>
        <v>0</v>
      </c>
      <c r="W81" s="2294"/>
      <c r="X81" s="2296"/>
      <c r="Y81" s="2258">
        <f t="shared" si="14"/>
        <v>0</v>
      </c>
      <c r="Z81" s="2294"/>
      <c r="AA81" s="2296"/>
      <c r="AB81" s="2259">
        <f t="shared" si="15"/>
        <v>0</v>
      </c>
      <c r="AC81" s="2606"/>
      <c r="AD81" s="2606"/>
      <c r="AE81" s="2606"/>
      <c r="AF81" s="2593"/>
      <c r="AG81" s="2593"/>
      <c r="AH81" s="2593"/>
      <c r="AI81" s="2593"/>
      <c r="AJ81" s="2593"/>
    </row>
    <row r="82" spans="1:36" s="2218" customFormat="1" hidden="1" outlineLevel="2">
      <c r="A82" s="2235">
        <v>615</v>
      </c>
      <c r="B82" s="2279" t="s">
        <v>1892</v>
      </c>
      <c r="C82" s="2280" t="s">
        <v>1786</v>
      </c>
      <c r="D82" s="2500" t="s">
        <v>1893</v>
      </c>
      <c r="E82" s="2255">
        <f>E83*E84</f>
        <v>15333.295980210269</v>
      </c>
      <c r="F82" s="2256">
        <f>F83*F84</f>
        <v>15962.647680890541</v>
      </c>
      <c r="G82" s="2257">
        <f t="shared" si="8"/>
        <v>15647.971830550405</v>
      </c>
      <c r="H82" s="2256">
        <f>H83*H84</f>
        <v>14958.749307159354</v>
      </c>
      <c r="I82" s="2256">
        <f>I83*I84</f>
        <v>15414.481812933025</v>
      </c>
      <c r="J82" s="2257">
        <f t="shared" si="9"/>
        <v>15186.61556004619</v>
      </c>
      <c r="K82" s="2256">
        <f>K83*K84</f>
        <v>15982.831357758625</v>
      </c>
      <c r="L82" s="2256">
        <f>L83*L84</f>
        <v>16788.921982758624</v>
      </c>
      <c r="M82" s="2259">
        <f t="shared" si="10"/>
        <v>16385.876670258625</v>
      </c>
      <c r="N82" s="2255"/>
      <c r="O82" s="2256"/>
      <c r="P82" s="2258">
        <f t="shared" si="11"/>
        <v>0</v>
      </c>
      <c r="Q82" s="2255"/>
      <c r="R82" s="2256"/>
      <c r="S82" s="2259">
        <f t="shared" si="12"/>
        <v>0</v>
      </c>
      <c r="T82" s="2255"/>
      <c r="U82" s="2256"/>
      <c r="V82" s="2258">
        <f t="shared" si="13"/>
        <v>0</v>
      </c>
      <c r="W82" s="2255"/>
      <c r="X82" s="2256"/>
      <c r="Y82" s="2258">
        <f t="shared" si="14"/>
        <v>0</v>
      </c>
      <c r="Z82" s="2255"/>
      <c r="AA82" s="2256"/>
      <c r="AB82" s="2259">
        <f t="shared" si="15"/>
        <v>0</v>
      </c>
      <c r="AC82" s="2606"/>
      <c r="AD82" s="2606"/>
      <c r="AE82" s="2606"/>
      <c r="AF82" s="2593"/>
      <c r="AG82" s="2593"/>
      <c r="AH82" s="2593"/>
      <c r="AI82" s="2593"/>
      <c r="AJ82" s="2593"/>
    </row>
    <row r="83" spans="1:36" s="2218" customFormat="1" hidden="1" outlineLevel="2">
      <c r="A83" s="2235">
        <v>131</v>
      </c>
      <c r="B83" s="2281" t="s">
        <v>1894</v>
      </c>
      <c r="C83" s="2282" t="s">
        <v>1788</v>
      </c>
      <c r="D83" s="2504" t="s">
        <v>1784</v>
      </c>
      <c r="E83" s="2284">
        <v>5360</v>
      </c>
      <c r="F83" s="2285">
        <v>5580</v>
      </c>
      <c r="G83" s="2257">
        <f t="shared" si="8"/>
        <v>5470</v>
      </c>
      <c r="H83" s="2285">
        <v>5580</v>
      </c>
      <c r="I83" s="2285">
        <v>5750</v>
      </c>
      <c r="J83" s="2257">
        <f t="shared" si="9"/>
        <v>5665</v>
      </c>
      <c r="K83" s="2285">
        <v>5750</v>
      </c>
      <c r="L83" s="2285">
        <v>6040</v>
      </c>
      <c r="M83" s="2259">
        <f t="shared" si="10"/>
        <v>5895</v>
      </c>
      <c r="N83" s="2284"/>
      <c r="O83" s="2285"/>
      <c r="P83" s="2258">
        <f t="shared" si="11"/>
        <v>0</v>
      </c>
      <c r="Q83" s="2284"/>
      <c r="R83" s="2285"/>
      <c r="S83" s="2259">
        <f t="shared" si="12"/>
        <v>0</v>
      </c>
      <c r="T83" s="2284"/>
      <c r="U83" s="2285"/>
      <c r="V83" s="2258">
        <f t="shared" si="13"/>
        <v>0</v>
      </c>
      <c r="W83" s="2284"/>
      <c r="X83" s="2285"/>
      <c r="Y83" s="2258">
        <f t="shared" si="14"/>
        <v>0</v>
      </c>
      <c r="Z83" s="2284"/>
      <c r="AA83" s="2285"/>
      <c r="AB83" s="2259">
        <f t="shared" si="15"/>
        <v>0</v>
      </c>
      <c r="AC83" s="2606"/>
      <c r="AD83" s="2606"/>
      <c r="AE83" s="2606"/>
      <c r="AF83" s="2593"/>
      <c r="AG83" s="2593"/>
      <c r="AH83" s="2593"/>
      <c r="AI83" s="2593"/>
      <c r="AJ83" s="2593"/>
    </row>
    <row r="84" spans="1:36" s="2218" customFormat="1" hidden="1" outlineLevel="2">
      <c r="A84" s="2235">
        <v>134</v>
      </c>
      <c r="B84" s="2281" t="s">
        <v>1895</v>
      </c>
      <c r="C84" s="2282" t="s">
        <v>1790</v>
      </c>
      <c r="D84" s="2504"/>
      <c r="E84" s="2284">
        <v>2.8606895485466919</v>
      </c>
      <c r="F84" s="2285">
        <v>2.8606895485466919</v>
      </c>
      <c r="G84" s="2257">
        <f t="shared" si="8"/>
        <v>2.8606895485466919</v>
      </c>
      <c r="H84" s="2285">
        <v>2.6807794457274827</v>
      </c>
      <c r="I84" s="2285">
        <v>2.6807794457274827</v>
      </c>
      <c r="J84" s="2257">
        <f t="shared" si="9"/>
        <v>2.6807794457274827</v>
      </c>
      <c r="K84" s="2285">
        <v>2.7796228448275868</v>
      </c>
      <c r="L84" s="2285">
        <v>2.7796228448275868</v>
      </c>
      <c r="M84" s="2259">
        <f t="shared" si="10"/>
        <v>2.7796228448275868</v>
      </c>
      <c r="N84" s="2294"/>
      <c r="O84" s="2296"/>
      <c r="P84" s="2258">
        <f t="shared" si="11"/>
        <v>0</v>
      </c>
      <c r="Q84" s="2294"/>
      <c r="R84" s="2296"/>
      <c r="S84" s="2259">
        <f t="shared" si="12"/>
        <v>0</v>
      </c>
      <c r="T84" s="2294"/>
      <c r="U84" s="2296"/>
      <c r="V84" s="2258">
        <f t="shared" si="13"/>
        <v>0</v>
      </c>
      <c r="W84" s="2294"/>
      <c r="X84" s="2296"/>
      <c r="Y84" s="2258">
        <f t="shared" si="14"/>
        <v>0</v>
      </c>
      <c r="Z84" s="2294"/>
      <c r="AA84" s="2296"/>
      <c r="AB84" s="2259">
        <f t="shared" si="15"/>
        <v>0</v>
      </c>
      <c r="AC84" s="2606"/>
      <c r="AD84" s="2606"/>
      <c r="AE84" s="2606"/>
      <c r="AF84" s="2593"/>
      <c r="AG84" s="2593"/>
      <c r="AH84" s="2593"/>
      <c r="AI84" s="2593"/>
      <c r="AJ84" s="2593"/>
    </row>
    <row r="85" spans="1:36" s="2218" customFormat="1" hidden="1" outlineLevel="1" collapsed="1">
      <c r="A85" s="2235">
        <v>618</v>
      </c>
      <c r="B85" s="2281" t="s">
        <v>1896</v>
      </c>
      <c r="C85" s="2282" t="s">
        <v>1795</v>
      </c>
      <c r="D85" s="2504" t="s">
        <v>1784</v>
      </c>
      <c r="E85" s="2284">
        <v>12716.67362117618</v>
      </c>
      <c r="F85" s="2285">
        <v>13238.626642940873</v>
      </c>
      <c r="G85" s="2257">
        <f t="shared" si="8"/>
        <v>12977.650132058527</v>
      </c>
      <c r="H85" s="2285">
        <v>19910.300448817354</v>
      </c>
      <c r="I85" s="2285">
        <v>20507.609462281875</v>
      </c>
      <c r="J85" s="2257">
        <f t="shared" si="9"/>
        <v>20208.954955549612</v>
      </c>
      <c r="K85" s="2285">
        <v>16729.623651861533</v>
      </c>
      <c r="L85" s="2285">
        <v>17566.104834454611</v>
      </c>
      <c r="M85" s="2259">
        <f t="shared" si="10"/>
        <v>17147.864243158074</v>
      </c>
      <c r="N85" s="2294"/>
      <c r="O85" s="2296"/>
      <c r="P85" s="2258">
        <f t="shared" si="11"/>
        <v>0</v>
      </c>
      <c r="Q85" s="2294"/>
      <c r="R85" s="2296"/>
      <c r="S85" s="2259">
        <f t="shared" si="12"/>
        <v>0</v>
      </c>
      <c r="T85" s="2294"/>
      <c r="U85" s="2296"/>
      <c r="V85" s="2258">
        <f t="shared" si="13"/>
        <v>0</v>
      </c>
      <c r="W85" s="2294"/>
      <c r="X85" s="2296"/>
      <c r="Y85" s="2258">
        <f t="shared" si="14"/>
        <v>0</v>
      </c>
      <c r="Z85" s="2294"/>
      <c r="AA85" s="2296"/>
      <c r="AB85" s="2259">
        <f t="shared" si="15"/>
        <v>0</v>
      </c>
      <c r="AC85" s="2606"/>
      <c r="AD85" s="2606"/>
      <c r="AE85" s="2606"/>
      <c r="AF85" s="2593"/>
      <c r="AG85" s="2593"/>
      <c r="AH85" s="2593"/>
      <c r="AI85" s="2593"/>
      <c r="AJ85" s="2593"/>
    </row>
    <row r="86" spans="1:36" s="2218" customFormat="1" hidden="1" outlineLevel="2">
      <c r="A86" s="2235">
        <v>619</v>
      </c>
      <c r="B86" s="2281" t="s">
        <v>1897</v>
      </c>
      <c r="C86" s="2282" t="s">
        <v>1898</v>
      </c>
      <c r="D86" s="2504" t="s">
        <v>1784</v>
      </c>
      <c r="E86" s="2284"/>
      <c r="F86" s="2285"/>
      <c r="G86" s="2257">
        <f t="shared" si="8"/>
        <v>0</v>
      </c>
      <c r="H86" s="2285"/>
      <c r="I86" s="2285"/>
      <c r="J86" s="2257">
        <f t="shared" si="9"/>
        <v>0</v>
      </c>
      <c r="K86" s="2285">
        <v>0</v>
      </c>
      <c r="L86" s="2285">
        <v>0</v>
      </c>
      <c r="M86" s="2259">
        <f t="shared" si="10"/>
        <v>0</v>
      </c>
      <c r="N86" s="2294">
        <v>0</v>
      </c>
      <c r="O86" s="2296">
        <v>0</v>
      </c>
      <c r="P86" s="2258">
        <f t="shared" si="11"/>
        <v>0</v>
      </c>
      <c r="Q86" s="2294">
        <v>0</v>
      </c>
      <c r="R86" s="2296">
        <v>0</v>
      </c>
      <c r="S86" s="2259">
        <f t="shared" si="12"/>
        <v>0</v>
      </c>
      <c r="T86" s="2294">
        <v>0</v>
      </c>
      <c r="U86" s="2296">
        <v>0</v>
      </c>
      <c r="V86" s="2258">
        <f t="shared" si="13"/>
        <v>0</v>
      </c>
      <c r="W86" s="2294">
        <v>0</v>
      </c>
      <c r="X86" s="2296">
        <v>0</v>
      </c>
      <c r="Y86" s="2258">
        <f t="shared" si="14"/>
        <v>0</v>
      </c>
      <c r="Z86" s="2294">
        <v>0</v>
      </c>
      <c r="AA86" s="2296">
        <v>0</v>
      </c>
      <c r="AB86" s="2259">
        <f t="shared" si="15"/>
        <v>0</v>
      </c>
      <c r="AC86" s="2606"/>
      <c r="AD86" s="2606"/>
      <c r="AE86" s="2606"/>
      <c r="AF86" s="2593"/>
      <c r="AG86" s="2593"/>
      <c r="AH86" s="2593"/>
      <c r="AI86" s="2593"/>
      <c r="AJ86" s="2593"/>
    </row>
    <row r="87" spans="1:36" s="2218" customFormat="1" outlineLevel="1" collapsed="1">
      <c r="A87" s="2235">
        <v>127</v>
      </c>
      <c r="B87" s="2281" t="s">
        <v>1899</v>
      </c>
      <c r="C87" s="2282" t="s">
        <v>1799</v>
      </c>
      <c r="D87" s="2504" t="s">
        <v>1800</v>
      </c>
      <c r="E87" s="2284">
        <v>37.419532876191404</v>
      </c>
      <c r="F87" s="2285">
        <v>37.419532876191404</v>
      </c>
      <c r="G87" s="2257">
        <f t="shared" si="8"/>
        <v>37.419532876191404</v>
      </c>
      <c r="H87" s="2285">
        <v>35</v>
      </c>
      <c r="I87" s="2285">
        <v>35</v>
      </c>
      <c r="J87" s="2257">
        <f t="shared" si="9"/>
        <v>35</v>
      </c>
      <c r="K87" s="2285">
        <v>21</v>
      </c>
      <c r="L87" s="2285">
        <v>21</v>
      </c>
      <c r="M87" s="2259">
        <f t="shared" si="10"/>
        <v>21</v>
      </c>
      <c r="N87" s="3031">
        <f>'[11]НВВ 26.09.23.'!N87+'[12]НВВ 26.09.'!N87</f>
        <v>44.432105154013627</v>
      </c>
      <c r="O87" s="3039">
        <f>'[11]НВВ 26.09.23.'!O87+'[12]НВВ 26.09.'!O87</f>
        <v>44.432105154013627</v>
      </c>
      <c r="P87" s="2258">
        <f t="shared" si="11"/>
        <v>44.432105154013627</v>
      </c>
      <c r="Q87" s="3031">
        <f>'[11]НВВ 26.09.23.'!Q87+'[12]НВВ 26.09.'!Q87</f>
        <v>44.432105154013627</v>
      </c>
      <c r="R87" s="3039">
        <f>'[11]НВВ 26.09.23.'!R87+'[12]НВВ 26.09.'!R87</f>
        <v>44.432105154013627</v>
      </c>
      <c r="S87" s="2259">
        <f t="shared" si="12"/>
        <v>44.432105154013627</v>
      </c>
      <c r="T87" s="3031">
        <f>'[11]НВВ 26.09.23.'!T87+'[12]НВВ 26.09.'!T87</f>
        <v>44.432105154013627</v>
      </c>
      <c r="U87" s="3039">
        <f>'[11]НВВ 26.09.23.'!U87+'[12]НВВ 26.09.'!U87</f>
        <v>44.432105154013627</v>
      </c>
      <c r="V87" s="2258">
        <f t="shared" si="13"/>
        <v>44.432105154013627</v>
      </c>
      <c r="W87" s="3031">
        <f>'[11]НВВ 26.09.23.'!W87+'[12]НВВ 26.09.'!W87</f>
        <v>44.432105154013627</v>
      </c>
      <c r="X87" s="3039">
        <f>'[11]НВВ 26.09.23.'!X87+'[12]НВВ 26.09.'!X87</f>
        <v>44.432105154013627</v>
      </c>
      <c r="Y87" s="2258">
        <f t="shared" si="14"/>
        <v>44.432105154013627</v>
      </c>
      <c r="Z87" s="3031">
        <f>'[11]НВВ 26.09.23.'!Z87+'[12]НВВ 26.09.'!Z87</f>
        <v>44.432105154013627</v>
      </c>
      <c r="AA87" s="3039">
        <f>'[11]НВВ 26.09.23.'!AA87+'[12]НВВ 26.09.'!AA87</f>
        <v>44.432105154013627</v>
      </c>
      <c r="AB87" s="2259">
        <f t="shared" si="15"/>
        <v>44.432105154013627</v>
      </c>
      <c r="AC87" s="2606"/>
      <c r="AD87" s="2606"/>
      <c r="AE87" s="2606"/>
      <c r="AF87" s="2593"/>
      <c r="AG87" s="2593"/>
      <c r="AH87" s="2593"/>
      <c r="AI87" s="2593"/>
      <c r="AJ87" s="2593"/>
    </row>
    <row r="88" spans="1:36" s="2218" customFormat="1" ht="31.5" outlineLevel="1">
      <c r="A88" s="2235">
        <v>137</v>
      </c>
      <c r="B88" s="2287" t="s">
        <v>1901</v>
      </c>
      <c r="C88" s="2288" t="s">
        <v>1902</v>
      </c>
      <c r="D88" s="2505" t="s">
        <v>1317</v>
      </c>
      <c r="E88" s="2290">
        <v>6530.4279320160895</v>
      </c>
      <c r="F88" s="2291">
        <v>6726.3407699765721</v>
      </c>
      <c r="G88" s="2257">
        <f t="shared" si="8"/>
        <v>6628.3843509963308</v>
      </c>
      <c r="H88" s="2291">
        <v>6591.8506136936685</v>
      </c>
      <c r="I88" s="2291">
        <v>6790.4575280142262</v>
      </c>
      <c r="J88" s="2257">
        <f t="shared" si="9"/>
        <v>6691.1540708539469</v>
      </c>
      <c r="K88" s="2291">
        <v>3626.4696088768055</v>
      </c>
      <c r="L88" s="2291">
        <v>3808.3106043884736</v>
      </c>
      <c r="M88" s="2259">
        <f t="shared" si="10"/>
        <v>3717.3901066326398</v>
      </c>
      <c r="N88" s="3031">
        <f>'[11]НВВ 26.09.23.'!N88+'[12]НВВ 26.09.'!N88</f>
        <v>8988.8782187129582</v>
      </c>
      <c r="O88" s="3039">
        <f>'[11]НВВ 26.09.23.'!O88+'[12]НВВ 26.09.'!O88</f>
        <v>9657.9121143280536</v>
      </c>
      <c r="P88" s="2258">
        <f t="shared" si="11"/>
        <v>9323.3951665205059</v>
      </c>
      <c r="Q88" s="3031">
        <f>'[11]НВВ 26.09.23.'!Q88+'[12]НВВ 26.09.'!Q88</f>
        <v>9657.9121143280536</v>
      </c>
      <c r="R88" s="3039">
        <f>'[11]НВВ 26.09.23.'!R88+'[12]НВВ 26.09.'!R88</f>
        <v>10044.228598901176</v>
      </c>
      <c r="S88" s="2259">
        <f t="shared" si="12"/>
        <v>9851.0703566146149</v>
      </c>
      <c r="T88" s="3031">
        <f>'[11]НВВ 26.09.23.'!T88+'[12]НВВ 26.09.'!T88</f>
        <v>10044.228598901176</v>
      </c>
      <c r="U88" s="3039">
        <f>'[11]НВВ 26.09.23.'!U88+'[12]НВВ 26.09.'!U88</f>
        <v>10445.997742857224</v>
      </c>
      <c r="V88" s="2258">
        <f t="shared" si="13"/>
        <v>10245.1131708792</v>
      </c>
      <c r="W88" s="3031">
        <f>'[11]НВВ 26.09.23.'!W88+'[12]НВВ 26.09.'!W88</f>
        <v>10445.997742857224</v>
      </c>
      <c r="X88" s="3039">
        <f>'[11]НВВ 26.09.23.'!X88+'[12]НВВ 26.09.'!X88</f>
        <v>10863.837652571514</v>
      </c>
      <c r="Y88" s="2258">
        <f t="shared" si="14"/>
        <v>10654.917697714369</v>
      </c>
      <c r="Z88" s="3031">
        <f>'[11]НВВ 26.09.23.'!Z88+'[12]НВВ 26.09.'!Z88</f>
        <v>10863.837652571514</v>
      </c>
      <c r="AA88" s="3039">
        <f>'[11]НВВ 26.09.23.'!AA88+'[12]НВВ 26.09.'!AA88</f>
        <v>11298.391158674374</v>
      </c>
      <c r="AB88" s="2259">
        <f t="shared" si="15"/>
        <v>11081.114405622944</v>
      </c>
      <c r="AC88" s="2606"/>
      <c r="AD88" s="2606"/>
      <c r="AE88" s="2606"/>
      <c r="AF88" s="2593"/>
      <c r="AG88" s="2593"/>
      <c r="AH88" s="2593"/>
      <c r="AI88" s="2593"/>
      <c r="AJ88" s="2593"/>
    </row>
    <row r="89" spans="1:36" s="2218" customFormat="1" ht="47.25" outlineLevel="1">
      <c r="A89" s="2235">
        <v>138</v>
      </c>
      <c r="B89" s="2281" t="s">
        <v>1904</v>
      </c>
      <c r="C89" s="2293" t="s">
        <v>1905</v>
      </c>
      <c r="D89" s="2504" t="s">
        <v>1317</v>
      </c>
      <c r="E89" s="2284"/>
      <c r="F89" s="2285"/>
      <c r="G89" s="2257">
        <f t="shared" si="8"/>
        <v>0</v>
      </c>
      <c r="H89" s="2285">
        <f>6.69452/1.018</f>
        <v>6.5761493123772103</v>
      </c>
      <c r="I89" s="2285">
        <f>H89*1.036</f>
        <v>6.8128906876227902</v>
      </c>
      <c r="J89" s="2257">
        <f t="shared" si="9"/>
        <v>6.6945200000000007</v>
      </c>
      <c r="K89" s="2285">
        <f>23.05511/1.0215</f>
        <v>22.569858051884481</v>
      </c>
      <c r="L89" s="2285">
        <f>K89*1.043</f>
        <v>23.54036194811551</v>
      </c>
      <c r="M89" s="2259">
        <f t="shared" si="10"/>
        <v>23.055109999999996</v>
      </c>
      <c r="N89" s="3031">
        <f>'[11]НВВ 26.09.23.'!N89+'[12]НВВ 26.09.'!N89</f>
        <v>3.9624449267025676</v>
      </c>
      <c r="O89" s="3039">
        <f>'[11]НВВ 26.09.23.'!O89+'[12]НВВ 26.09.'!O89</f>
        <v>831.06858393807545</v>
      </c>
      <c r="P89" s="2258">
        <f t="shared" si="11"/>
        <v>417.51551443238901</v>
      </c>
      <c r="Q89" s="3031">
        <f>'[11]НВВ 26.09.23.'!Q89+'[12]НВВ 26.09.'!Q89</f>
        <v>831.06858393807545</v>
      </c>
      <c r="R89" s="3039">
        <f>'[11]НВВ 26.09.23.'!R89+'[12]НВВ 26.09.'!R89</f>
        <v>864.31132729559852</v>
      </c>
      <c r="S89" s="2259">
        <f t="shared" si="12"/>
        <v>847.68995561683698</v>
      </c>
      <c r="T89" s="3031">
        <f>'[11]НВВ 26.09.23.'!T89+'[12]НВВ 26.09.'!T89</f>
        <v>864.31132729559852</v>
      </c>
      <c r="U89" s="3039">
        <f>'[11]НВВ 26.09.23.'!U89+'[12]НВВ 26.09.'!U89</f>
        <v>898.88378038742246</v>
      </c>
      <c r="V89" s="2258">
        <f t="shared" si="13"/>
        <v>881.59755384151049</v>
      </c>
      <c r="W89" s="3031">
        <f>'[11]НВВ 26.09.23.'!W89+'[12]НВВ 26.09.'!W89</f>
        <v>898.88378038742246</v>
      </c>
      <c r="X89" s="3039">
        <f>'[11]НВВ 26.09.23.'!X89+'[12]НВВ 26.09.'!X89</f>
        <v>934.83913160291945</v>
      </c>
      <c r="Y89" s="2258">
        <f t="shared" si="14"/>
        <v>916.8614559951709</v>
      </c>
      <c r="Z89" s="3031">
        <f>'[11]НВВ 26.09.23.'!Z89+'[12]НВВ 26.09.'!Z89</f>
        <v>934.83913160291945</v>
      </c>
      <c r="AA89" s="3039">
        <f>'[11]НВВ 26.09.23.'!AA89+'[12]НВВ 26.09.'!AA89</f>
        <v>972.23269686703622</v>
      </c>
      <c r="AB89" s="2259">
        <f t="shared" si="15"/>
        <v>953.53591423497778</v>
      </c>
      <c r="AC89" s="2606"/>
      <c r="AD89" s="2606"/>
      <c r="AE89" s="2606"/>
      <c r="AF89" s="2593"/>
      <c r="AG89" s="2593"/>
      <c r="AH89" s="2593"/>
      <c r="AI89" s="2593"/>
      <c r="AJ89" s="2593"/>
    </row>
    <row r="90" spans="1:36" s="2218" customFormat="1" outlineLevel="1">
      <c r="A90" s="2235">
        <v>139</v>
      </c>
      <c r="B90" s="2281" t="s">
        <v>1907</v>
      </c>
      <c r="C90" s="2293" t="s">
        <v>1908</v>
      </c>
      <c r="D90" s="2504" t="s">
        <v>1317</v>
      </c>
      <c r="E90" s="2284">
        <v>1131.7414105218998</v>
      </c>
      <c r="F90" s="2285">
        <v>1165.6936528375568</v>
      </c>
      <c r="G90" s="2257">
        <f t="shared" si="8"/>
        <v>1148.7175316797284</v>
      </c>
      <c r="H90" s="2285">
        <v>1474.6304106635287</v>
      </c>
      <c r="I90" s="2285">
        <v>1527.7171054474156</v>
      </c>
      <c r="J90" s="2257">
        <f t="shared" si="9"/>
        <v>1501.1737580554723</v>
      </c>
      <c r="K90" s="2285">
        <v>1042.1710523391096</v>
      </c>
      <c r="L90" s="2285">
        <v>1086.9844075896913</v>
      </c>
      <c r="M90" s="2259">
        <f t="shared" si="10"/>
        <v>1064.5777299644005</v>
      </c>
      <c r="N90" s="3031">
        <f>'[11]НВВ 26.09.23.'!N90+'[12]НВВ 26.09.'!N90</f>
        <v>188.2791710674091</v>
      </c>
      <c r="O90" s="3039">
        <f>'[11]НВВ 26.09.23.'!O90+'[12]НВВ 26.09.'!O90</f>
        <v>1319.4501612737781</v>
      </c>
      <c r="P90" s="2258">
        <f t="shared" si="11"/>
        <v>753.86466617059364</v>
      </c>
      <c r="Q90" s="3031">
        <f>'[11]НВВ 26.09.23.'!Q90+'[12]НВВ 26.09.'!Q90</f>
        <v>1319.4501612737781</v>
      </c>
      <c r="R90" s="3039">
        <f>'[11]НВВ 26.09.23.'!R90+'[12]НВВ 26.09.'!R90</f>
        <v>1372.2281677247292</v>
      </c>
      <c r="S90" s="2259">
        <f t="shared" si="12"/>
        <v>1345.8391644992537</v>
      </c>
      <c r="T90" s="3031">
        <f>'[11]НВВ 26.09.23.'!T90+'[12]НВВ 26.09.'!T90</f>
        <v>1372.2281677247292</v>
      </c>
      <c r="U90" s="3039">
        <f>'[11]НВВ 26.09.23.'!U90+'[12]НВВ 26.09.'!U90</f>
        <v>1427.1172944337184</v>
      </c>
      <c r="V90" s="2258">
        <f t="shared" si="13"/>
        <v>1399.6727310792239</v>
      </c>
      <c r="W90" s="3031">
        <f>'[11]НВВ 26.09.23.'!W90+'[12]НВВ 26.09.'!W90</f>
        <v>1427.1172944337184</v>
      </c>
      <c r="X90" s="3039">
        <f>'[11]НВВ 26.09.23.'!X90+'[12]НВВ 26.09.'!X90</f>
        <v>1484.2019862110672</v>
      </c>
      <c r="Y90" s="2258">
        <f t="shared" si="14"/>
        <v>1455.6596403223928</v>
      </c>
      <c r="Z90" s="3031">
        <f>'[11]НВВ 26.09.23.'!Z90+'[12]НВВ 26.09.'!Z90</f>
        <v>1484.2019862110672</v>
      </c>
      <c r="AA90" s="3039">
        <f>'[11]НВВ 26.09.23.'!AA90+'[12]НВВ 26.09.'!AA90</f>
        <v>1543.5700656595097</v>
      </c>
      <c r="AB90" s="2259">
        <f t="shared" si="15"/>
        <v>1513.8860259352884</v>
      </c>
      <c r="AC90" s="2606"/>
      <c r="AD90" s="2606"/>
      <c r="AE90" s="2606"/>
      <c r="AF90" s="2593"/>
      <c r="AG90" s="2593"/>
      <c r="AH90" s="2593"/>
      <c r="AI90" s="2593"/>
      <c r="AJ90" s="2593"/>
    </row>
    <row r="91" spans="1:36" s="2218" customFormat="1" outlineLevel="1">
      <c r="A91" s="2235">
        <v>140</v>
      </c>
      <c r="B91" s="2281" t="s">
        <v>1909</v>
      </c>
      <c r="C91" s="2293" t="s">
        <v>1910</v>
      </c>
      <c r="D91" s="2504" t="s">
        <v>1317</v>
      </c>
      <c r="E91" s="2284">
        <v>197.99557487625884</v>
      </c>
      <c r="F91" s="2285">
        <v>203.93544212254662</v>
      </c>
      <c r="G91" s="2257">
        <f t="shared" si="8"/>
        <v>200.96550849940274</v>
      </c>
      <c r="H91" s="2285">
        <v>368.89499753838112</v>
      </c>
      <c r="I91" s="2285">
        <v>382.17521744976284</v>
      </c>
      <c r="J91" s="2257">
        <f t="shared" si="9"/>
        <v>375.53510749407201</v>
      </c>
      <c r="K91" s="2285">
        <v>228.91367523145038</v>
      </c>
      <c r="L91" s="2285">
        <v>238.75696326640272</v>
      </c>
      <c r="M91" s="2259">
        <f t="shared" si="10"/>
        <v>233.83531924892657</v>
      </c>
      <c r="N91" s="3031">
        <f>'[11]НВВ 26.09.23.'!N91+'[12]НВВ 26.09.'!N91</f>
        <v>207.07673125380654</v>
      </c>
      <c r="O91" s="3039">
        <f>'[11]НВВ 26.09.23.'!O91+'[12]НВВ 26.09.'!O91</f>
        <v>420.35118294732058</v>
      </c>
      <c r="P91" s="2258">
        <f t="shared" si="11"/>
        <v>313.71395710056356</v>
      </c>
      <c r="Q91" s="3031">
        <f>'[11]НВВ 26.09.23.'!Q91+'[12]НВВ 26.09.'!Q91</f>
        <v>420.35118294732058</v>
      </c>
      <c r="R91" s="3039">
        <f>'[11]НВВ 26.09.23.'!R91+'[12]НВВ 26.09.'!R91</f>
        <v>437.16523026521338</v>
      </c>
      <c r="S91" s="2259">
        <f t="shared" si="12"/>
        <v>428.75820660626698</v>
      </c>
      <c r="T91" s="3031">
        <f>'[11]НВВ 26.09.23.'!T91+'[12]НВВ 26.09.'!T91</f>
        <v>437.16523026521338</v>
      </c>
      <c r="U91" s="3039">
        <f>'[11]НВВ 26.09.23.'!U91+'[12]НВВ 26.09.'!U91</f>
        <v>454.65183947582193</v>
      </c>
      <c r="V91" s="2258">
        <f t="shared" si="13"/>
        <v>445.90853487051766</v>
      </c>
      <c r="W91" s="3031">
        <f>'[11]НВВ 26.09.23.'!W91+'[12]НВВ 26.09.'!W91</f>
        <v>454.65183947582193</v>
      </c>
      <c r="X91" s="3039">
        <f>'[11]НВВ 26.09.23.'!X91+'[12]НВВ 26.09.'!X91</f>
        <v>472.83791305485488</v>
      </c>
      <c r="Y91" s="2258">
        <f t="shared" si="14"/>
        <v>463.74487626533841</v>
      </c>
      <c r="Z91" s="3031">
        <f>'[11]НВВ 26.09.23.'!Z91+'[12]НВВ 26.09.'!Z91</f>
        <v>472.83791305485488</v>
      </c>
      <c r="AA91" s="3039">
        <f>'[11]НВВ 26.09.23.'!AA91+'[12]НВВ 26.09.'!AA91</f>
        <v>491.75142957704907</v>
      </c>
      <c r="AB91" s="2259">
        <f t="shared" si="15"/>
        <v>482.29467131595197</v>
      </c>
      <c r="AC91" s="2606"/>
      <c r="AD91" s="2606"/>
      <c r="AE91" s="2606"/>
      <c r="AF91" s="2593"/>
      <c r="AG91" s="2593"/>
      <c r="AH91" s="2593"/>
      <c r="AI91" s="2593"/>
      <c r="AJ91" s="2593"/>
    </row>
    <row r="92" spans="1:36" s="2218" customFormat="1" ht="16.5" outlineLevel="1" thickBot="1">
      <c r="A92" s="2235">
        <v>141</v>
      </c>
      <c r="B92" s="2281" t="s">
        <v>1912</v>
      </c>
      <c r="C92" s="2293" t="s">
        <v>1913</v>
      </c>
      <c r="D92" s="2504" t="s">
        <v>1317</v>
      </c>
      <c r="E92" s="2284">
        <v>336.01383480716436</v>
      </c>
      <c r="F92" s="2285">
        <v>346.09424985137929</v>
      </c>
      <c r="G92" s="2257">
        <f t="shared" si="8"/>
        <v>341.05404232927185</v>
      </c>
      <c r="H92" s="2285">
        <v>321.32619353029406</v>
      </c>
      <c r="I92" s="2285">
        <v>332.89393649738469</v>
      </c>
      <c r="J92" s="2257">
        <f t="shared" si="9"/>
        <v>327.1100650138394</v>
      </c>
      <c r="K92" s="2285">
        <v>309.47019693385243</v>
      </c>
      <c r="L92" s="2285">
        <v>322.77741540200805</v>
      </c>
      <c r="M92" s="2259">
        <f t="shared" si="10"/>
        <v>316.12380616793024</v>
      </c>
      <c r="N92" s="3031">
        <f>'[11]НВВ 26.09.23.'!N92+'[12]НВВ 26.09.'!N92</f>
        <v>57.526580314648569</v>
      </c>
      <c r="O92" s="3039">
        <f>'[11]НВВ 26.09.23.'!O92+'[12]НВВ 26.09.'!O92</f>
        <v>346.83756740087006</v>
      </c>
      <c r="P92" s="2258">
        <f t="shared" si="11"/>
        <v>202.18207385775932</v>
      </c>
      <c r="Q92" s="3031">
        <f>'[11]НВВ 26.09.23.'!Q92+'[12]НВВ 26.09.'!Q92</f>
        <v>346.83756740087006</v>
      </c>
      <c r="R92" s="3039">
        <f>'[11]НВВ 26.09.23.'!R92+'[12]НВВ 26.09.'!R92</f>
        <v>360.71107009690485</v>
      </c>
      <c r="S92" s="2259">
        <f t="shared" si="12"/>
        <v>353.77431874888748</v>
      </c>
      <c r="T92" s="3031">
        <f>'[11]НВВ 26.09.23.'!T92+'[12]НВВ 26.09.'!T92</f>
        <v>360.71107009690485</v>
      </c>
      <c r="U92" s="3039">
        <f>'[11]НВВ 26.09.23.'!U92+'[12]НВВ 26.09.'!U92</f>
        <v>375.13951290078109</v>
      </c>
      <c r="V92" s="2258">
        <f t="shared" si="13"/>
        <v>367.92529149884297</v>
      </c>
      <c r="W92" s="3031">
        <f>'[11]НВВ 26.09.23.'!W92+'[12]НВВ 26.09.'!W92</f>
        <v>375.13951290078109</v>
      </c>
      <c r="X92" s="3039">
        <f>'[11]НВВ 26.09.23.'!X92+'[12]НВВ 26.09.'!X92</f>
        <v>390.14509341681236</v>
      </c>
      <c r="Y92" s="2258">
        <f t="shared" si="14"/>
        <v>382.64230315879672</v>
      </c>
      <c r="Z92" s="3031">
        <f>'[11]НВВ 26.09.23.'!Z92+'[12]НВВ 26.09.'!Z92</f>
        <v>390.14509341681236</v>
      </c>
      <c r="AA92" s="3039">
        <f>'[11]НВВ 26.09.23.'!AA92+'[12]НВВ 26.09.'!AA92</f>
        <v>405.75089715348486</v>
      </c>
      <c r="AB92" s="2259">
        <f t="shared" si="15"/>
        <v>397.94799528514864</v>
      </c>
      <c r="AC92" s="2606"/>
      <c r="AD92" s="2606"/>
      <c r="AE92" s="2606"/>
      <c r="AF92" s="2593"/>
      <c r="AG92" s="2593"/>
      <c r="AH92" s="2593"/>
      <c r="AI92" s="2593"/>
      <c r="AJ92" s="2593"/>
    </row>
    <row r="93" spans="1:36" s="2218" customFormat="1" hidden="1" outlineLevel="2">
      <c r="A93" s="2235">
        <v>142</v>
      </c>
      <c r="B93" s="2279" t="s">
        <v>1915</v>
      </c>
      <c r="C93" s="2295" t="s">
        <v>1916</v>
      </c>
      <c r="D93" s="2500" t="s">
        <v>1317</v>
      </c>
      <c r="E93" s="2255">
        <f>E94+E95</f>
        <v>0</v>
      </c>
      <c r="F93" s="2256">
        <f>F94+F95</f>
        <v>0</v>
      </c>
      <c r="G93" s="2257">
        <f t="shared" si="8"/>
        <v>0</v>
      </c>
      <c r="H93" s="2256">
        <f>H94+H95</f>
        <v>0</v>
      </c>
      <c r="I93" s="2256">
        <f>I94+I95</f>
        <v>0</v>
      </c>
      <c r="J93" s="2257">
        <f t="shared" si="9"/>
        <v>0</v>
      </c>
      <c r="K93" s="2256">
        <f>K94+K95</f>
        <v>0</v>
      </c>
      <c r="L93" s="2256">
        <f>L94+L95</f>
        <v>0</v>
      </c>
      <c r="M93" s="2259">
        <f t="shared" si="10"/>
        <v>0</v>
      </c>
      <c r="N93" s="2255">
        <f>N94+N95</f>
        <v>0</v>
      </c>
      <c r="O93" s="2256">
        <f>O94+O95</f>
        <v>0</v>
      </c>
      <c r="P93" s="2258">
        <f t="shared" si="11"/>
        <v>0</v>
      </c>
      <c r="Q93" s="2255">
        <f>Q94+Q95</f>
        <v>0</v>
      </c>
      <c r="R93" s="2256">
        <f>R94+R95</f>
        <v>0</v>
      </c>
      <c r="S93" s="2259">
        <f t="shared" si="12"/>
        <v>0</v>
      </c>
      <c r="T93" s="2255">
        <f>T94+T95</f>
        <v>0</v>
      </c>
      <c r="U93" s="2256">
        <f>U94+U95</f>
        <v>0</v>
      </c>
      <c r="V93" s="2258">
        <f t="shared" si="13"/>
        <v>0</v>
      </c>
      <c r="W93" s="2255">
        <f>W94+W95</f>
        <v>0</v>
      </c>
      <c r="X93" s="2256">
        <f>X94+X95</f>
        <v>0</v>
      </c>
      <c r="Y93" s="2258">
        <f t="shared" si="14"/>
        <v>0</v>
      </c>
      <c r="Z93" s="2255">
        <f>Z94+Z95</f>
        <v>0</v>
      </c>
      <c r="AA93" s="2256">
        <f>AA94+AA95</f>
        <v>0</v>
      </c>
      <c r="AB93" s="2259">
        <f t="shared" si="15"/>
        <v>0</v>
      </c>
      <c r="AC93" s="2606"/>
      <c r="AD93" s="2606"/>
      <c r="AE93" s="2606"/>
      <c r="AF93" s="2593"/>
      <c r="AG93" s="2593"/>
      <c r="AH93" s="2593"/>
      <c r="AI93" s="2593"/>
      <c r="AJ93" s="2593"/>
    </row>
    <row r="94" spans="1:36" s="2218" customFormat="1" hidden="1" outlineLevel="2">
      <c r="A94" s="2235">
        <v>143</v>
      </c>
      <c r="B94" s="2281" t="s">
        <v>1917</v>
      </c>
      <c r="C94" s="2282" t="s">
        <v>1918</v>
      </c>
      <c r="D94" s="2504" t="s">
        <v>1317</v>
      </c>
      <c r="E94" s="2284"/>
      <c r="F94" s="2285"/>
      <c r="G94" s="2257">
        <f t="shared" si="8"/>
        <v>0</v>
      </c>
      <c r="H94" s="2285"/>
      <c r="I94" s="2285"/>
      <c r="J94" s="2257">
        <f t="shared" si="9"/>
        <v>0</v>
      </c>
      <c r="K94" s="2285"/>
      <c r="L94" s="2285"/>
      <c r="M94" s="2259">
        <f t="shared" si="10"/>
        <v>0</v>
      </c>
      <c r="N94" s="2284"/>
      <c r="O94" s="2285"/>
      <c r="P94" s="2258">
        <f t="shared" si="11"/>
        <v>0</v>
      </c>
      <c r="Q94" s="2284"/>
      <c r="R94" s="2285"/>
      <c r="S94" s="2259">
        <f t="shared" si="12"/>
        <v>0</v>
      </c>
      <c r="T94" s="2284"/>
      <c r="U94" s="2285"/>
      <c r="V94" s="2258">
        <f t="shared" si="13"/>
        <v>0</v>
      </c>
      <c r="W94" s="2284"/>
      <c r="X94" s="2285"/>
      <c r="Y94" s="2258">
        <f t="shared" si="14"/>
        <v>0</v>
      </c>
      <c r="Z94" s="2284"/>
      <c r="AA94" s="2285"/>
      <c r="AB94" s="2259">
        <f t="shared" si="15"/>
        <v>0</v>
      </c>
      <c r="AC94" s="2606"/>
      <c r="AD94" s="2606"/>
      <c r="AE94" s="2606"/>
      <c r="AF94" s="2593"/>
      <c r="AG94" s="2593"/>
      <c r="AH94" s="2593"/>
      <c r="AI94" s="2593"/>
      <c r="AJ94" s="2593"/>
    </row>
    <row r="95" spans="1:36" s="2218" customFormat="1" ht="16.5" hidden="1" outlineLevel="2" thickBot="1">
      <c r="A95" s="2235">
        <v>144</v>
      </c>
      <c r="B95" s="2297" t="s">
        <v>1919</v>
      </c>
      <c r="C95" s="2298" t="s">
        <v>1920</v>
      </c>
      <c r="D95" s="2507" t="s">
        <v>1317</v>
      </c>
      <c r="E95" s="2300"/>
      <c r="F95" s="2301"/>
      <c r="G95" s="2266">
        <f t="shared" si="8"/>
        <v>0</v>
      </c>
      <c r="H95" s="2301"/>
      <c r="I95" s="2301"/>
      <c r="J95" s="2266">
        <f t="shared" si="9"/>
        <v>0</v>
      </c>
      <c r="K95" s="2301"/>
      <c r="L95" s="2301"/>
      <c r="M95" s="2268">
        <f t="shared" si="10"/>
        <v>0</v>
      </c>
      <c r="N95" s="2300"/>
      <c r="O95" s="2301"/>
      <c r="P95" s="2267">
        <f t="shared" si="11"/>
        <v>0</v>
      </c>
      <c r="Q95" s="2300"/>
      <c r="R95" s="2301"/>
      <c r="S95" s="2268">
        <f t="shared" si="12"/>
        <v>0</v>
      </c>
      <c r="T95" s="2300"/>
      <c r="U95" s="2301"/>
      <c r="V95" s="2267">
        <f t="shared" si="13"/>
        <v>0</v>
      </c>
      <c r="W95" s="2300"/>
      <c r="X95" s="2301"/>
      <c r="Y95" s="2267">
        <f t="shared" si="14"/>
        <v>0</v>
      </c>
      <c r="Z95" s="2300"/>
      <c r="AA95" s="2301"/>
      <c r="AB95" s="2268">
        <f t="shared" si="15"/>
        <v>0</v>
      </c>
      <c r="AC95" s="2606"/>
      <c r="AD95" s="2606"/>
      <c r="AE95" s="2606"/>
      <c r="AF95" s="2593"/>
      <c r="AG95" s="2593"/>
      <c r="AH95" s="2593"/>
      <c r="AI95" s="2593"/>
      <c r="AJ95" s="2593"/>
    </row>
    <row r="96" spans="1:36" s="2218" customFormat="1" ht="18.75" outlineLevel="1" collapsed="1">
      <c r="A96" s="2235">
        <v>5</v>
      </c>
      <c r="B96" s="2323" t="s">
        <v>85</v>
      </c>
      <c r="C96" s="2324" t="s">
        <v>1921</v>
      </c>
      <c r="D96" s="2511" t="s">
        <v>1313</v>
      </c>
      <c r="E96" s="2325">
        <f>E97+E98+E102+E103+E104+E105</f>
        <v>0</v>
      </c>
      <c r="F96" s="2325">
        <f>F97+F98+F102+F103+F104+F105</f>
        <v>0</v>
      </c>
      <c r="G96" s="2326">
        <f t="shared" si="8"/>
        <v>0</v>
      </c>
      <c r="H96" s="2326">
        <f>H97+H98+H102+H103+H104+H105</f>
        <v>0</v>
      </c>
      <c r="I96" s="2477">
        <f>I97+I98+I102+I103+I104+I105</f>
        <v>0</v>
      </c>
      <c r="J96" s="2478">
        <f t="shared" si="9"/>
        <v>0</v>
      </c>
      <c r="K96" s="2326">
        <f>K97+K98+K102+K103+K104+K105+K113</f>
        <v>3695.4084574314697</v>
      </c>
      <c r="L96" s="2479">
        <f>L97+L98+L102+L103+L104+L105+L113</f>
        <v>3861.1514234539636</v>
      </c>
      <c r="M96" s="2512">
        <f t="shared" si="10"/>
        <v>3778.2799404427169</v>
      </c>
      <c r="N96" s="2513">
        <f>N97+N98+N102+N103+N104+N105+N113</f>
        <v>18847.021924941171</v>
      </c>
      <c r="O96" s="2514">
        <f>O97+O98+O102+O103+O104+O105+O113</f>
        <v>31552.724305655778</v>
      </c>
      <c r="P96" s="2515">
        <f t="shared" si="11"/>
        <v>25199.873115298476</v>
      </c>
      <c r="Q96" s="2513">
        <f>Q97+Q98+Q102+Q103+Q104+Q105+Q113</f>
        <v>31552.724305655778</v>
      </c>
      <c r="R96" s="2479">
        <f>R97+R98+R102+R103+R104+R105+R113</f>
        <v>32625.482688135657</v>
      </c>
      <c r="S96" s="2516">
        <f t="shared" si="12"/>
        <v>32089.103496895717</v>
      </c>
      <c r="T96" s="2513">
        <f>T97+T98+T102+T103+T104+T105+T113</f>
        <v>32625.482688135657</v>
      </c>
      <c r="U96" s="2479">
        <f>U97+U98+U102+U103+U104+U105+U113</f>
        <v>33792.618399255603</v>
      </c>
      <c r="V96" s="2517">
        <f t="shared" si="13"/>
        <v>33209.05054369563</v>
      </c>
      <c r="W96" s="2513">
        <f>W97+W98+W102+W103+W104+W105+W113</f>
        <v>33792.618399255603</v>
      </c>
      <c r="X96" s="2325">
        <f>X97+X98+X102+X103+X104+X105+X113</f>
        <v>34984.671398120721</v>
      </c>
      <c r="Y96" s="2517">
        <f t="shared" si="14"/>
        <v>34388.644898688159</v>
      </c>
      <c r="Z96" s="2513">
        <f>Z97+Z98+Z102+Z103+Z104+Z105+Z113</f>
        <v>34984.671398120721</v>
      </c>
      <c r="AA96" s="2325">
        <f>AA97+AA98+AA102+AA103+AA104+AA105+AA113</f>
        <v>36267.658531723027</v>
      </c>
      <c r="AB96" s="2665">
        <f t="shared" si="15"/>
        <v>35626.164964921874</v>
      </c>
      <c r="AC96" s="2606"/>
      <c r="AD96" s="2606"/>
      <c r="AE96" s="2606"/>
      <c r="AF96" s="2593"/>
      <c r="AG96" s="2593"/>
      <c r="AH96" s="2593"/>
      <c r="AI96" s="2593"/>
      <c r="AJ96" s="2593"/>
    </row>
    <row r="97" spans="1:36" s="2218" customFormat="1" ht="47.25" outlineLevel="1">
      <c r="A97" s="2235"/>
      <c r="B97" s="2328" t="s">
        <v>14982</v>
      </c>
      <c r="C97" s="2329" t="s">
        <v>14983</v>
      </c>
      <c r="D97" s="2518" t="s">
        <v>1317</v>
      </c>
      <c r="E97" s="2331"/>
      <c r="F97" s="2331"/>
      <c r="G97" s="2332">
        <f t="shared" si="8"/>
        <v>0</v>
      </c>
      <c r="H97" s="2331"/>
      <c r="I97" s="2331"/>
      <c r="J97" s="2332">
        <f t="shared" si="9"/>
        <v>0</v>
      </c>
      <c r="K97" s="2472">
        <v>29.203437578138004</v>
      </c>
      <c r="L97" s="2472">
        <v>30.459185393997938</v>
      </c>
      <c r="M97" s="2332">
        <f t="shared" si="10"/>
        <v>29.831311486067971</v>
      </c>
      <c r="N97" s="3031">
        <f>'[11]НВВ 26.09.23.'!N97+'[12]НВВ 26.09.'!N97</f>
        <v>51.440543381640168</v>
      </c>
      <c r="O97" s="3039">
        <f>'[11]НВВ 26.09.23.'!O97+'[12]НВВ 26.09.'!O97</f>
        <v>55.144262505118263</v>
      </c>
      <c r="P97" s="2332">
        <f t="shared" si="11"/>
        <v>53.292402943379216</v>
      </c>
      <c r="Q97" s="3031">
        <f>'[11]НВВ 26.09.23.'!Q97+'[12]НВВ 26.09.'!Q97</f>
        <v>55.144262505118263</v>
      </c>
      <c r="R97" s="3039">
        <f>'[11]НВВ 26.09.23.'!R97+'[12]НВВ 26.09.'!R97</f>
        <v>57.350033005322999</v>
      </c>
      <c r="S97" s="2334">
        <f t="shared" si="12"/>
        <v>56.247147755220631</v>
      </c>
      <c r="T97" s="3031">
        <f>'[11]НВВ 26.09.23.'!T97+'[12]НВВ 26.09.'!T97</f>
        <v>57.350033005322999</v>
      </c>
      <c r="U97" s="3039">
        <f>'[11]НВВ 26.09.23.'!U97+'[12]НВВ 26.09.'!U97</f>
        <v>59.64403432553592</v>
      </c>
      <c r="V97" s="2332">
        <f t="shared" si="13"/>
        <v>58.497033665429456</v>
      </c>
      <c r="W97" s="3031">
        <f>'[11]НВВ 26.09.23.'!W97+'[12]НВВ 26.09.'!W97</f>
        <v>59.64403432553592</v>
      </c>
      <c r="X97" s="3039">
        <f>'[11]НВВ 26.09.23.'!X97+'[12]НВВ 26.09.'!X97</f>
        <v>62.029795698557358</v>
      </c>
      <c r="Y97" s="2332">
        <f t="shared" si="14"/>
        <v>60.836915012046639</v>
      </c>
      <c r="Z97" s="3031">
        <f>'[11]НВВ 26.09.23.'!Z97+'[12]НВВ 26.09.'!Z97</f>
        <v>62.029795698557358</v>
      </c>
      <c r="AA97" s="3039">
        <f>'[11]НВВ 26.09.23.'!AA97+'[12]НВВ 26.09.'!AA97</f>
        <v>64.510987526499648</v>
      </c>
      <c r="AB97" s="2334">
        <f t="shared" si="15"/>
        <v>63.270391612528499</v>
      </c>
      <c r="AC97" s="2606"/>
      <c r="AD97" s="2606"/>
      <c r="AE97" s="2606"/>
      <c r="AF97" s="2593"/>
      <c r="AG97" s="2593"/>
      <c r="AH97" s="2593"/>
      <c r="AI97" s="2593"/>
      <c r="AJ97" s="2593"/>
    </row>
    <row r="98" spans="1:36" s="2218" customFormat="1" ht="31.5" outlineLevel="1">
      <c r="A98" s="2235"/>
      <c r="B98" s="2328" t="s">
        <v>14984</v>
      </c>
      <c r="C98" s="2336" t="s">
        <v>14985</v>
      </c>
      <c r="D98" s="2520" t="s">
        <v>1128</v>
      </c>
      <c r="E98" s="2331">
        <f>E99+E100+E101</f>
        <v>0</v>
      </c>
      <c r="F98" s="2331">
        <f>F99+F100+F101</f>
        <v>0</v>
      </c>
      <c r="G98" s="2332">
        <f t="shared" si="8"/>
        <v>0</v>
      </c>
      <c r="H98" s="2331">
        <f>H99+H100+H101</f>
        <v>0</v>
      </c>
      <c r="I98" s="2331">
        <f>I99+I100+I101</f>
        <v>0</v>
      </c>
      <c r="J98" s="2332">
        <f t="shared" si="9"/>
        <v>0</v>
      </c>
      <c r="K98" s="2331">
        <f>K99+K100+K101</f>
        <v>17.371855811885457</v>
      </c>
      <c r="L98" s="2331">
        <f>L99+L100+L101</f>
        <v>18.11884561179653</v>
      </c>
      <c r="M98" s="2332">
        <f t="shared" si="10"/>
        <v>17.745350711840992</v>
      </c>
      <c r="N98" s="3031">
        <f>'[11]НВВ 26.09.23.'!N98+'[12]НВВ 26.09.'!N98</f>
        <v>63.364575766022185</v>
      </c>
      <c r="O98" s="3039">
        <f>'[11]НВВ 26.09.23.'!O98+'[12]НВВ 26.09.'!O98</f>
        <v>67.92682522117579</v>
      </c>
      <c r="P98" s="2332">
        <f t="shared" si="11"/>
        <v>65.64570049359898</v>
      </c>
      <c r="Q98" s="3031">
        <f>'[11]НВВ 26.09.23.'!Q98+'[12]НВВ 26.09.'!Q98</f>
        <v>67.92682522117579</v>
      </c>
      <c r="R98" s="3039">
        <f>'[11]НВВ 26.09.23.'!R98+'[12]НВВ 26.09.'!R98</f>
        <v>70.643898230022813</v>
      </c>
      <c r="S98" s="2521">
        <f t="shared" si="12"/>
        <v>69.285361725599302</v>
      </c>
      <c r="T98" s="3031">
        <f>'[11]НВВ 26.09.23.'!T98+'[12]НВВ 26.09.'!T98</f>
        <v>70.643898230022813</v>
      </c>
      <c r="U98" s="3039">
        <f>'[11]НВВ 26.09.23.'!U98+'[12]НВВ 26.09.'!U98</f>
        <v>73.469654159223737</v>
      </c>
      <c r="V98" s="2332">
        <f t="shared" si="13"/>
        <v>72.056776194623268</v>
      </c>
      <c r="W98" s="3031">
        <f>'[11]НВВ 26.09.23.'!W98+'[12]НВВ 26.09.'!W98</f>
        <v>73.469654159223737</v>
      </c>
      <c r="X98" s="3039">
        <f>'[11]НВВ 26.09.23.'!X98+'[12]НВВ 26.09.'!X98</f>
        <v>76.408440325592693</v>
      </c>
      <c r="Y98" s="2522">
        <f t="shared" si="14"/>
        <v>74.939047242408208</v>
      </c>
      <c r="Z98" s="3031">
        <f>'[11]НВВ 26.09.23.'!Z98+'[12]НВВ 26.09.'!Z98</f>
        <v>76.408440325592693</v>
      </c>
      <c r="AA98" s="3039">
        <f>'[11]НВВ 26.09.23.'!AA98+'[12]НВВ 26.09.'!AA98</f>
        <v>79.464777938616407</v>
      </c>
      <c r="AB98" s="2521">
        <f t="shared" si="15"/>
        <v>77.93660913210455</v>
      </c>
      <c r="AC98" s="2606"/>
      <c r="AD98" s="2606"/>
      <c r="AE98" s="2606"/>
      <c r="AF98" s="2593"/>
      <c r="AG98" s="2593"/>
      <c r="AH98" s="2593"/>
      <c r="AI98" s="2593"/>
      <c r="AJ98" s="2593"/>
    </row>
    <row r="99" spans="1:36" s="2218" customFormat="1" hidden="1" outlineLevel="2">
      <c r="A99" s="2235"/>
      <c r="B99" s="2338" t="s">
        <v>14986</v>
      </c>
      <c r="C99" s="2329" t="s">
        <v>14987</v>
      </c>
      <c r="D99" s="2518" t="s">
        <v>1317</v>
      </c>
      <c r="E99" s="2331"/>
      <c r="F99" s="2331"/>
      <c r="G99" s="2332">
        <f t="shared" si="8"/>
        <v>0</v>
      </c>
      <c r="H99" s="2331"/>
      <c r="I99" s="2331"/>
      <c r="J99" s="2332">
        <f t="shared" si="9"/>
        <v>0</v>
      </c>
      <c r="K99" s="2331"/>
      <c r="L99" s="2331"/>
      <c r="M99" s="2332">
        <f t="shared" si="10"/>
        <v>0</v>
      </c>
      <c r="N99" s="2284">
        <v>0</v>
      </c>
      <c r="O99" s="2286">
        <v>0</v>
      </c>
      <c r="P99" s="2332">
        <f t="shared" si="11"/>
        <v>0</v>
      </c>
      <c r="Q99" s="2284">
        <v>0</v>
      </c>
      <c r="R99" s="2286">
        <v>0</v>
      </c>
      <c r="S99" s="2334">
        <f t="shared" si="12"/>
        <v>0</v>
      </c>
      <c r="T99" s="2284">
        <v>0</v>
      </c>
      <c r="U99" s="2286">
        <v>0</v>
      </c>
      <c r="V99" s="2332">
        <f t="shared" si="13"/>
        <v>0</v>
      </c>
      <c r="W99" s="2284">
        <v>0</v>
      </c>
      <c r="X99" s="2286">
        <v>0</v>
      </c>
      <c r="Y99" s="2522">
        <f t="shared" si="14"/>
        <v>0</v>
      </c>
      <c r="Z99" s="2284">
        <v>0</v>
      </c>
      <c r="AA99" s="2286">
        <v>0</v>
      </c>
      <c r="AB99" s="2334">
        <f t="shared" si="15"/>
        <v>0</v>
      </c>
      <c r="AC99" s="2606"/>
      <c r="AD99" s="2606"/>
      <c r="AE99" s="2606"/>
      <c r="AF99" s="2593"/>
      <c r="AG99" s="2593"/>
      <c r="AH99" s="2593"/>
      <c r="AI99" s="2593"/>
      <c r="AJ99" s="2593"/>
    </row>
    <row r="100" spans="1:36" s="2218" customFormat="1" ht="47.25" outlineLevel="1" collapsed="1">
      <c r="A100" s="2235"/>
      <c r="B100" s="2338" t="s">
        <v>14988</v>
      </c>
      <c r="C100" s="2329" t="s">
        <v>14989</v>
      </c>
      <c r="D100" s="2518" t="s">
        <v>1317</v>
      </c>
      <c r="E100" s="2331"/>
      <c r="F100" s="2331"/>
      <c r="G100" s="2332">
        <f t="shared" si="8"/>
        <v>0</v>
      </c>
      <c r="H100" s="2331"/>
      <c r="I100" s="2331"/>
      <c r="J100" s="2332">
        <f t="shared" si="9"/>
        <v>0</v>
      </c>
      <c r="K100" s="2472">
        <v>12.75178724048906</v>
      </c>
      <c r="L100" s="2472">
        <v>13.300114091830089</v>
      </c>
      <c r="M100" s="2332">
        <f t="shared" si="10"/>
        <v>13.025950666159574</v>
      </c>
      <c r="N100" s="3031">
        <f>'[11]НВВ 26.09.23.'!N100+'[12]НВВ 26.09.'!N100</f>
        <v>55.226532525832461</v>
      </c>
      <c r="O100" s="3039">
        <f>'[11]НВВ 26.09.23.'!O100+'[12]НВВ 26.09.'!O100</f>
        <v>59.202842867692397</v>
      </c>
      <c r="P100" s="2332">
        <f t="shared" si="11"/>
        <v>57.214687696762425</v>
      </c>
      <c r="Q100" s="3031">
        <f>'[11]НВВ 26.09.23.'!Q100+'[12]НВВ 26.09.'!Q100</f>
        <v>59.202842867692397</v>
      </c>
      <c r="R100" s="3039">
        <f>'[11]НВВ 26.09.23.'!R100+'[12]НВВ 26.09.'!R100</f>
        <v>61.5709565824001</v>
      </c>
      <c r="S100" s="2334">
        <f t="shared" si="12"/>
        <v>60.386899725046248</v>
      </c>
      <c r="T100" s="3031">
        <f>'[11]НВВ 26.09.23.'!T100+'[12]НВВ 26.09.'!T100</f>
        <v>61.5709565824001</v>
      </c>
      <c r="U100" s="3039">
        <f>'[11]НВВ 26.09.23.'!U100+'[12]НВВ 26.09.'!U100</f>
        <v>64.033794845696107</v>
      </c>
      <c r="V100" s="2332">
        <f t="shared" si="13"/>
        <v>62.802375714048104</v>
      </c>
      <c r="W100" s="3031">
        <f>'[11]НВВ 26.09.23.'!W100+'[12]НВВ 26.09.'!W100</f>
        <v>64.033794845696107</v>
      </c>
      <c r="X100" s="3039">
        <f>'[11]НВВ 26.09.23.'!X100+'[12]НВВ 26.09.'!X100</f>
        <v>66.595146639523946</v>
      </c>
      <c r="Y100" s="2522">
        <f t="shared" si="14"/>
        <v>65.314470742610027</v>
      </c>
      <c r="Z100" s="3031">
        <f>'[11]НВВ 26.09.23.'!Z100+'[12]НВВ 26.09.'!Z100</f>
        <v>66.595146639523946</v>
      </c>
      <c r="AA100" s="3039">
        <f>'[11]НВВ 26.09.23.'!AA100+'[12]НВВ 26.09.'!AA100</f>
        <v>69.258952505104915</v>
      </c>
      <c r="AB100" s="2334">
        <f t="shared" si="15"/>
        <v>67.927049572314431</v>
      </c>
      <c r="AC100" s="2606"/>
      <c r="AD100" s="2606"/>
      <c r="AE100" s="2606"/>
      <c r="AF100" s="2593"/>
      <c r="AG100" s="2593"/>
      <c r="AH100" s="2593"/>
      <c r="AI100" s="2593"/>
      <c r="AJ100" s="2593"/>
    </row>
    <row r="101" spans="1:36" s="2218" customFormat="1" ht="47.25" outlineLevel="1">
      <c r="A101" s="2235"/>
      <c r="B101" s="2338" t="s">
        <v>14990</v>
      </c>
      <c r="C101" s="2329" t="s">
        <v>14991</v>
      </c>
      <c r="D101" s="2518" t="s">
        <v>1317</v>
      </c>
      <c r="E101" s="2339"/>
      <c r="F101" s="2339"/>
      <c r="G101" s="2332">
        <f t="shared" si="8"/>
        <v>0</v>
      </c>
      <c r="H101" s="2339"/>
      <c r="I101" s="2339"/>
      <c r="J101" s="2332">
        <f t="shared" si="9"/>
        <v>0</v>
      </c>
      <c r="K101" s="2340">
        <f>4.71940004568142/1.0215</f>
        <v>4.6200685713963967</v>
      </c>
      <c r="L101" s="2340">
        <f>K101*1.043</f>
        <v>4.8187315199664411</v>
      </c>
      <c r="M101" s="2332">
        <f t="shared" si="10"/>
        <v>4.7194000456814189</v>
      </c>
      <c r="N101" s="3031">
        <f>'[11]НВВ 26.09.23.'!N101+'[12]НВВ 26.09.'!N101</f>
        <v>8.1380432401897256</v>
      </c>
      <c r="O101" s="3039">
        <f>'[11]НВВ 26.09.23.'!O101+'[12]НВВ 26.09.'!O101</f>
        <v>8.723982353483386</v>
      </c>
      <c r="P101" s="2332">
        <f>N101/2+O101/2</f>
        <v>8.4310127968365549</v>
      </c>
      <c r="Q101" s="3031">
        <f>'[11]НВВ 26.09.23.'!Q101+'[12]НВВ 26.09.'!Q101</f>
        <v>8.723982353483386</v>
      </c>
      <c r="R101" s="3039">
        <f>'[11]НВВ 26.09.23.'!R101+'[12]НВВ 26.09.'!R101</f>
        <v>9.0729416476227236</v>
      </c>
      <c r="S101" s="2524">
        <f t="shared" si="12"/>
        <v>8.8984620005530548</v>
      </c>
      <c r="T101" s="3031">
        <f>'[11]НВВ 26.09.23.'!T101+'[12]НВВ 26.09.'!T101</f>
        <v>9.0729416476227236</v>
      </c>
      <c r="U101" s="3039">
        <f>'[11]НВВ 26.09.23.'!U101+'[12]НВВ 26.09.'!U101</f>
        <v>9.435859313527633</v>
      </c>
      <c r="V101" s="2332">
        <f t="shared" si="13"/>
        <v>9.2544004805751783</v>
      </c>
      <c r="W101" s="3031">
        <f>'[11]НВВ 26.09.23.'!W101+'[12]НВВ 26.09.'!W101</f>
        <v>9.435859313527633</v>
      </c>
      <c r="X101" s="3039">
        <f>'[11]НВВ 26.09.23.'!X101+'[12]НВВ 26.09.'!X101</f>
        <v>9.8132936860687394</v>
      </c>
      <c r="Y101" s="2522">
        <f>W101/2+X101/2</f>
        <v>9.6245764997981862</v>
      </c>
      <c r="Z101" s="3031">
        <f>'[11]НВВ 26.09.23.'!Z101+'[12]НВВ 26.09.'!Z101</f>
        <v>9.8132936860687394</v>
      </c>
      <c r="AA101" s="3039">
        <f>'[11]НВВ 26.09.23.'!AA101+'[12]НВВ 26.09.'!AA101</f>
        <v>10.205825433511489</v>
      </c>
      <c r="AB101" s="2524">
        <f t="shared" si="15"/>
        <v>10.009559559790114</v>
      </c>
      <c r="AC101" s="2606"/>
      <c r="AD101" s="2606"/>
      <c r="AE101" s="2606"/>
      <c r="AF101" s="2593"/>
      <c r="AG101" s="2593"/>
      <c r="AH101" s="2593"/>
      <c r="AI101" s="2593"/>
      <c r="AJ101" s="2593"/>
    </row>
    <row r="102" spans="1:36" s="2218" customFormat="1" ht="31.5" hidden="1" outlineLevel="2">
      <c r="A102" s="2235"/>
      <c r="B102" s="2328" t="s">
        <v>14992</v>
      </c>
      <c r="C102" s="2338" t="s">
        <v>14993</v>
      </c>
      <c r="D102" s="2525" t="s">
        <v>1317</v>
      </c>
      <c r="E102" s="2331"/>
      <c r="F102" s="2331"/>
      <c r="G102" s="2332">
        <f t="shared" si="8"/>
        <v>0</v>
      </c>
      <c r="H102" s="2331"/>
      <c r="I102" s="2331"/>
      <c r="J102" s="2332">
        <f t="shared" si="9"/>
        <v>0</v>
      </c>
      <c r="K102" s="2331"/>
      <c r="L102" s="2331"/>
      <c r="M102" s="2332">
        <f t="shared" si="10"/>
        <v>0</v>
      </c>
      <c r="N102" s="2284">
        <v>0</v>
      </c>
      <c r="O102" s="2286">
        <v>0</v>
      </c>
      <c r="P102" s="2332">
        <f t="shared" si="11"/>
        <v>0</v>
      </c>
      <c r="Q102" s="2284">
        <v>0</v>
      </c>
      <c r="R102" s="2286">
        <v>0</v>
      </c>
      <c r="S102" s="2526">
        <f t="shared" si="12"/>
        <v>0</v>
      </c>
      <c r="T102" s="2284">
        <v>0</v>
      </c>
      <c r="U102" s="2286">
        <v>0</v>
      </c>
      <c r="V102" s="2332">
        <f t="shared" si="13"/>
        <v>0</v>
      </c>
      <c r="W102" s="2284">
        <v>0</v>
      </c>
      <c r="X102" s="2286">
        <v>0</v>
      </c>
      <c r="Y102" s="2332">
        <f t="shared" si="14"/>
        <v>0</v>
      </c>
      <c r="Z102" s="2284">
        <v>0</v>
      </c>
      <c r="AA102" s="2286">
        <v>0</v>
      </c>
      <c r="AB102" s="2526">
        <f t="shared" si="15"/>
        <v>0</v>
      </c>
      <c r="AC102" s="2606"/>
      <c r="AD102" s="2606"/>
      <c r="AE102" s="2606"/>
      <c r="AF102" s="2593"/>
      <c r="AG102" s="2593"/>
      <c r="AH102" s="2593"/>
      <c r="AI102" s="2593"/>
      <c r="AJ102" s="2593"/>
    </row>
    <row r="103" spans="1:36" s="2218" customFormat="1" ht="31.5" hidden="1" outlineLevel="2">
      <c r="A103" s="2235"/>
      <c r="B103" s="2343" t="s">
        <v>14994</v>
      </c>
      <c r="C103" s="2329" t="s">
        <v>14995</v>
      </c>
      <c r="D103" s="2527" t="s">
        <v>1317</v>
      </c>
      <c r="E103" s="2331"/>
      <c r="F103" s="2331"/>
      <c r="G103" s="2332">
        <f t="shared" si="8"/>
        <v>0</v>
      </c>
      <c r="H103" s="2331"/>
      <c r="I103" s="2331"/>
      <c r="J103" s="2332">
        <f t="shared" si="9"/>
        <v>0</v>
      </c>
      <c r="K103" s="2331"/>
      <c r="L103" s="2331"/>
      <c r="M103" s="2332">
        <f t="shared" si="10"/>
        <v>0</v>
      </c>
      <c r="N103" s="2284">
        <v>0</v>
      </c>
      <c r="O103" s="2286">
        <v>0</v>
      </c>
      <c r="P103" s="2332">
        <f t="shared" si="11"/>
        <v>0</v>
      </c>
      <c r="Q103" s="2284">
        <v>0</v>
      </c>
      <c r="R103" s="2286">
        <v>0</v>
      </c>
      <c r="S103" s="2334">
        <f t="shared" si="12"/>
        <v>0</v>
      </c>
      <c r="T103" s="2284">
        <v>0</v>
      </c>
      <c r="U103" s="2286">
        <v>0</v>
      </c>
      <c r="V103" s="2332">
        <f t="shared" si="13"/>
        <v>0</v>
      </c>
      <c r="W103" s="2284">
        <v>0</v>
      </c>
      <c r="X103" s="2286">
        <v>0</v>
      </c>
      <c r="Y103" s="2332">
        <f t="shared" si="14"/>
        <v>0</v>
      </c>
      <c r="Z103" s="2284">
        <v>0</v>
      </c>
      <c r="AA103" s="2286">
        <v>0</v>
      </c>
      <c r="AB103" s="2334">
        <f t="shared" si="15"/>
        <v>0</v>
      </c>
      <c r="AC103" s="2606"/>
      <c r="AD103" s="2606"/>
      <c r="AE103" s="2606"/>
      <c r="AF103" s="2593"/>
      <c r="AG103" s="2593"/>
      <c r="AH103" s="2593"/>
      <c r="AI103" s="2593"/>
      <c r="AJ103" s="2593"/>
    </row>
    <row r="104" spans="1:36" s="2218" customFormat="1" ht="63" hidden="1" outlineLevel="2">
      <c r="A104" s="2235"/>
      <c r="B104" s="2344" t="s">
        <v>14996</v>
      </c>
      <c r="C104" s="2345" t="s">
        <v>14997</v>
      </c>
      <c r="D104" s="2527" t="s">
        <v>1317</v>
      </c>
      <c r="E104" s="2346"/>
      <c r="F104" s="2346"/>
      <c r="G104" s="2332">
        <f t="shared" si="8"/>
        <v>0</v>
      </c>
      <c r="H104" s="2346"/>
      <c r="I104" s="2346"/>
      <c r="J104" s="2332">
        <f t="shared" si="9"/>
        <v>0</v>
      </c>
      <c r="K104" s="2346"/>
      <c r="L104" s="2346"/>
      <c r="M104" s="2332">
        <f t="shared" si="10"/>
        <v>0</v>
      </c>
      <c r="N104" s="2284">
        <v>0</v>
      </c>
      <c r="O104" s="2286">
        <v>0</v>
      </c>
      <c r="P104" s="2332">
        <f t="shared" si="11"/>
        <v>0</v>
      </c>
      <c r="Q104" s="2284">
        <v>0</v>
      </c>
      <c r="R104" s="2286">
        <v>0</v>
      </c>
      <c r="S104" s="2334">
        <f t="shared" si="12"/>
        <v>0</v>
      </c>
      <c r="T104" s="2284">
        <v>0</v>
      </c>
      <c r="U104" s="2286">
        <v>0</v>
      </c>
      <c r="V104" s="2332">
        <f t="shared" si="13"/>
        <v>0</v>
      </c>
      <c r="W104" s="2284">
        <v>0</v>
      </c>
      <c r="X104" s="2286">
        <v>0</v>
      </c>
      <c r="Y104" s="2332">
        <f t="shared" si="14"/>
        <v>0</v>
      </c>
      <c r="Z104" s="2284">
        <v>0</v>
      </c>
      <c r="AA104" s="2286">
        <v>0</v>
      </c>
      <c r="AB104" s="2334">
        <f t="shared" si="15"/>
        <v>0</v>
      </c>
      <c r="AC104" s="2606"/>
      <c r="AD104" s="2606"/>
      <c r="AE104" s="2606"/>
      <c r="AF104" s="2593"/>
      <c r="AG104" s="2593"/>
      <c r="AH104" s="2593"/>
      <c r="AI104" s="2593"/>
      <c r="AJ104" s="2593"/>
    </row>
    <row r="105" spans="1:36" s="2218" customFormat="1" ht="47.25" outlineLevel="1" collapsed="1">
      <c r="A105" s="2235"/>
      <c r="B105" s="2349" t="s">
        <v>14998</v>
      </c>
      <c r="C105" s="2336" t="s">
        <v>14999</v>
      </c>
      <c r="D105" s="2528" t="s">
        <v>1128</v>
      </c>
      <c r="E105" s="2346">
        <f>E106+E107+E108+E109+E110+E111+E112</f>
        <v>0</v>
      </c>
      <c r="F105" s="2346"/>
      <c r="G105" s="2332">
        <f t="shared" si="8"/>
        <v>0</v>
      </c>
      <c r="H105" s="2346">
        <f>H106+H107+H108+H109+H110+H111+H112</f>
        <v>0</v>
      </c>
      <c r="I105" s="2346"/>
      <c r="J105" s="2332">
        <f t="shared" si="9"/>
        <v>0</v>
      </c>
      <c r="K105" s="2346">
        <f>K106+K107+K108+K109+K110+K111+K112</f>
        <v>61.298289700076104</v>
      </c>
      <c r="L105" s="2346">
        <f>L106+L107+L108+L109+L110+L111+L112</f>
        <v>63.934116157179375</v>
      </c>
      <c r="M105" s="2332">
        <f t="shared" si="10"/>
        <v>62.616202928627743</v>
      </c>
      <c r="N105" s="3031">
        <f>'[11]НВВ 26.09.23.'!N105+'[12]НВВ 26.09.'!N105</f>
        <v>11803.451218489061</v>
      </c>
      <c r="O105" s="3039">
        <f>'[11]НВВ 26.09.23.'!O105+'[12]НВВ 26.09.'!O105</f>
        <v>18299.458496482439</v>
      </c>
      <c r="P105" s="2332">
        <f t="shared" si="11"/>
        <v>15051.454857485751</v>
      </c>
      <c r="Q105" s="3031">
        <f>'[11]НВВ 26.09.23.'!Q105+'[12]НВВ 26.09.'!Q105</f>
        <v>18299.458496482439</v>
      </c>
      <c r="R105" s="3039">
        <f>'[11]НВВ 26.09.23.'!R105+'[12]НВВ 26.09.'!R105</f>
        <v>19031.436836341734</v>
      </c>
      <c r="S105" s="2334">
        <f t="shared" si="12"/>
        <v>18665.447666412088</v>
      </c>
      <c r="T105" s="3031">
        <f>'[11]НВВ 26.09.23.'!T105+'[12]НВВ 26.09.'!T105</f>
        <v>19031.436836341734</v>
      </c>
      <c r="U105" s="3039">
        <f>'[11]НВВ 26.09.23.'!U105+'[12]НВВ 26.09.'!U105</f>
        <v>19792.69430979541</v>
      </c>
      <c r="V105" s="2529">
        <f t="shared" si="13"/>
        <v>19412.065573068572</v>
      </c>
      <c r="W105" s="3031">
        <f>'[11]НВВ 26.09.23.'!W105+'[12]НВВ 26.09.'!W105</f>
        <v>19792.69430979541</v>
      </c>
      <c r="X105" s="3039">
        <f>'[11]НВВ 26.09.23.'!X105+'[12]НВВ 26.09.'!X105</f>
        <v>20584.402082187222</v>
      </c>
      <c r="Y105" s="2529">
        <f t="shared" si="14"/>
        <v>20188.548195991316</v>
      </c>
      <c r="Z105" s="3031">
        <f>'[11]НВВ 26.09.23.'!Z105+'[12]НВВ 26.09.'!Z105</f>
        <v>20584.402082187222</v>
      </c>
      <c r="AA105" s="3039">
        <f>'[11]НВВ 26.09.23.'!AA105+'[12]НВВ 26.09.'!AA105</f>
        <v>21407.778165474712</v>
      </c>
      <c r="AB105" s="2334">
        <f t="shared" si="15"/>
        <v>20996.090123830967</v>
      </c>
      <c r="AC105" s="2606"/>
      <c r="AD105" s="2606"/>
      <c r="AE105" s="2606"/>
      <c r="AF105" s="2593"/>
      <c r="AG105" s="2593"/>
      <c r="AH105" s="2593"/>
      <c r="AI105" s="2593"/>
      <c r="AJ105" s="2593"/>
    </row>
    <row r="106" spans="1:36" s="2218" customFormat="1" outlineLevel="1">
      <c r="A106" s="2235"/>
      <c r="B106" s="2350" t="s">
        <v>15000</v>
      </c>
      <c r="C106" s="2329" t="s">
        <v>15001</v>
      </c>
      <c r="D106" s="2527" t="s">
        <v>1317</v>
      </c>
      <c r="E106" s="2346"/>
      <c r="F106" s="2346"/>
      <c r="G106" s="2332">
        <f t="shared" si="8"/>
        <v>0</v>
      </c>
      <c r="H106" s="2346"/>
      <c r="I106" s="2346"/>
      <c r="J106" s="2332">
        <f t="shared" si="9"/>
        <v>0</v>
      </c>
      <c r="K106" s="2346">
        <v>5.551580524305912</v>
      </c>
      <c r="L106" s="2346">
        <v>5.7902984868510661</v>
      </c>
      <c r="M106" s="2332">
        <f t="shared" si="10"/>
        <v>5.670939505578489</v>
      </c>
      <c r="N106" s="3031">
        <f>'[11]НВВ 26.09.23.'!N106+'[12]НВВ 26.09.'!N106</f>
        <v>1487.011822495775</v>
      </c>
      <c r="O106" s="3039">
        <f>'[11]НВВ 26.09.23.'!O106+'[12]НВВ 26.09.'!O106</f>
        <v>1594.0766737154713</v>
      </c>
      <c r="P106" s="2332">
        <f>N106/2+O106/2</f>
        <v>1540.5442481056232</v>
      </c>
      <c r="Q106" s="3031">
        <f>'[11]НВВ 26.09.23.'!Q106+'[12]НВВ 26.09.'!Q106</f>
        <v>1594.0766737154713</v>
      </c>
      <c r="R106" s="3039">
        <f>'[11]НВВ 26.09.23.'!R106+'[12]НВВ 26.09.'!R106</f>
        <v>1657.8397406640902</v>
      </c>
      <c r="S106" s="2524">
        <f t="shared" si="12"/>
        <v>1625.9582071897808</v>
      </c>
      <c r="T106" s="3031">
        <f>'[11]НВВ 26.09.23.'!T106+'[12]НВВ 26.09.'!T106</f>
        <v>1657.8397406640902</v>
      </c>
      <c r="U106" s="3039">
        <f>'[11]НВВ 26.09.23.'!U106+'[12]НВВ 26.09.'!U106</f>
        <v>1724.1533302906539</v>
      </c>
      <c r="V106" s="2332">
        <f t="shared" si="13"/>
        <v>1690.9965354773722</v>
      </c>
      <c r="W106" s="3031">
        <f>'[11]НВВ 26.09.23.'!W106+'[12]НВВ 26.09.'!W106</f>
        <v>1724.1533302906539</v>
      </c>
      <c r="X106" s="3039">
        <f>'[11]НВВ 26.09.23.'!X106+'[12]НВВ 26.09.'!X106</f>
        <v>1793.11946350228</v>
      </c>
      <c r="Y106" s="2522">
        <f>W106/2+X106/2</f>
        <v>1758.636396896467</v>
      </c>
      <c r="Z106" s="3031">
        <f>'[11]НВВ 26.09.23.'!Z106+'[12]НВВ 26.09.'!Z106</f>
        <v>1793.11946350228</v>
      </c>
      <c r="AA106" s="3039">
        <f>'[11]НВВ 26.09.23.'!AA106+'[12]НВВ 26.09.'!AA106</f>
        <v>1864.8442420423712</v>
      </c>
      <c r="AB106" s="2524">
        <f>Z106/2+AA106/2</f>
        <v>1828.9818527723255</v>
      </c>
      <c r="AC106" s="2606"/>
      <c r="AD106" s="2606"/>
      <c r="AE106" s="2606"/>
      <c r="AF106" s="2593"/>
      <c r="AG106" s="2593"/>
      <c r="AH106" s="2593"/>
      <c r="AI106" s="2593"/>
      <c r="AJ106" s="2593"/>
    </row>
    <row r="107" spans="1:36" s="2218" customFormat="1" hidden="1" outlineLevel="2">
      <c r="A107" s="2235"/>
      <c r="B107" s="2350" t="s">
        <v>15002</v>
      </c>
      <c r="C107" s="2329" t="s">
        <v>15003</v>
      </c>
      <c r="D107" s="2527" t="s">
        <v>1317</v>
      </c>
      <c r="E107" s="2346"/>
      <c r="F107" s="2346"/>
      <c r="G107" s="2332">
        <f t="shared" si="8"/>
        <v>0</v>
      </c>
      <c r="H107" s="2346"/>
      <c r="I107" s="2346"/>
      <c r="J107" s="2332">
        <f t="shared" si="9"/>
        <v>0</v>
      </c>
      <c r="K107" s="2346"/>
      <c r="L107" s="2346">
        <v>0</v>
      </c>
      <c r="M107" s="2332">
        <f t="shared" si="10"/>
        <v>0</v>
      </c>
      <c r="N107" s="2284">
        <v>0</v>
      </c>
      <c r="O107" s="2286">
        <v>0</v>
      </c>
      <c r="P107" s="2332">
        <f t="shared" si="11"/>
        <v>0</v>
      </c>
      <c r="Q107" s="2284">
        <v>0</v>
      </c>
      <c r="R107" s="2286">
        <v>0</v>
      </c>
      <c r="S107" s="2334">
        <f t="shared" si="12"/>
        <v>0</v>
      </c>
      <c r="T107" s="2284">
        <v>0</v>
      </c>
      <c r="U107" s="2286">
        <v>0</v>
      </c>
      <c r="V107" s="2332">
        <f t="shared" si="13"/>
        <v>0</v>
      </c>
      <c r="W107" s="2284">
        <v>0</v>
      </c>
      <c r="X107" s="2286">
        <v>0</v>
      </c>
      <c r="Y107" s="2332">
        <f t="shared" si="14"/>
        <v>0</v>
      </c>
      <c r="Z107" s="2284">
        <v>0</v>
      </c>
      <c r="AA107" s="2286">
        <v>0</v>
      </c>
      <c r="AB107" s="2334">
        <f t="shared" si="15"/>
        <v>0</v>
      </c>
      <c r="AC107" s="2606"/>
      <c r="AD107" s="2606"/>
      <c r="AE107" s="2606"/>
      <c r="AF107" s="2593"/>
      <c r="AG107" s="2593"/>
      <c r="AH107" s="2593"/>
      <c r="AI107" s="2593"/>
      <c r="AJ107" s="2593"/>
    </row>
    <row r="108" spans="1:36" s="2218" customFormat="1" outlineLevel="1" collapsed="1">
      <c r="A108" s="2235"/>
      <c r="B108" s="2350" t="s">
        <v>15004</v>
      </c>
      <c r="C108" s="2329" t="s">
        <v>15005</v>
      </c>
      <c r="D108" s="2527" t="s">
        <v>1317</v>
      </c>
      <c r="E108" s="2346"/>
      <c r="F108" s="2346"/>
      <c r="G108" s="2332">
        <f t="shared" si="8"/>
        <v>0</v>
      </c>
      <c r="H108" s="2346"/>
      <c r="I108" s="2346"/>
      <c r="J108" s="2332">
        <f t="shared" si="9"/>
        <v>0</v>
      </c>
      <c r="K108" s="2346">
        <v>31.146529694807196</v>
      </c>
      <c r="L108" s="2346">
        <v>32.485830471683904</v>
      </c>
      <c r="M108" s="2332">
        <f t="shared" si="10"/>
        <v>31.816180083245548</v>
      </c>
      <c r="N108" s="3031">
        <f>'[11]НВВ 26.09.23.'!N108+'[12]НВВ 26.09.'!N108</f>
        <v>54.863212855211685</v>
      </c>
      <c r="O108" s="3039">
        <f>'[11]НВВ 26.09.23.'!O108+'[12]НВВ 26.09.'!O108</f>
        <v>58.813364180786927</v>
      </c>
      <c r="P108" s="2332">
        <f>N108/2+O108/2</f>
        <v>56.838288517999302</v>
      </c>
      <c r="Q108" s="3031">
        <f>'[11]НВВ 26.09.23.'!Q108+'[12]НВВ 26.09.'!Q108</f>
        <v>58.813364180786927</v>
      </c>
      <c r="R108" s="3039">
        <f>'[11]НВВ 26.09.23.'!R108+'[12]НВВ 26.09.'!R108</f>
        <v>61.165898748018407</v>
      </c>
      <c r="S108" s="2524">
        <f t="shared" si="12"/>
        <v>59.989631464402663</v>
      </c>
      <c r="T108" s="3031">
        <f>'[11]НВВ 26.09.23.'!T108+'[12]НВВ 26.09.'!T108</f>
        <v>61.165898748018407</v>
      </c>
      <c r="U108" s="3039">
        <f>'[11]НВВ 26.09.23.'!U108+'[12]НВВ 26.09.'!U108</f>
        <v>63.612534697939147</v>
      </c>
      <c r="V108" s="2332">
        <f t="shared" si="13"/>
        <v>62.389216722978773</v>
      </c>
      <c r="W108" s="3031">
        <f>'[11]НВВ 26.09.23.'!W108+'[12]НВВ 26.09.'!W108</f>
        <v>63.612534697939147</v>
      </c>
      <c r="X108" s="3039">
        <f>'[11]НВВ 26.09.23.'!X108+'[12]НВВ 26.09.'!X108</f>
        <v>66.157036085856717</v>
      </c>
      <c r="Y108" s="2522">
        <f>W108/2+X108/2</f>
        <v>64.884785391897935</v>
      </c>
      <c r="Z108" s="3031">
        <f>'[11]НВВ 26.09.23.'!Z108+'[12]НВВ 26.09.'!Z108</f>
        <v>66.157036085856717</v>
      </c>
      <c r="AA108" s="3039">
        <f>'[11]НВВ 26.09.23.'!AA108+'[12]НВВ 26.09.'!AA108</f>
        <v>68.803317529290979</v>
      </c>
      <c r="AB108" s="2524">
        <f>Z108/2+AA108/2</f>
        <v>67.480176807573855</v>
      </c>
      <c r="AC108" s="2606"/>
      <c r="AD108" s="2606"/>
      <c r="AE108" s="2606"/>
      <c r="AF108" s="2593"/>
      <c r="AG108" s="2593"/>
      <c r="AH108" s="2593"/>
      <c r="AI108" s="2593"/>
      <c r="AJ108" s="2593"/>
    </row>
    <row r="109" spans="1:36" s="2218" customFormat="1" outlineLevel="1">
      <c r="A109" s="2235"/>
      <c r="B109" s="2350" t="s">
        <v>15006</v>
      </c>
      <c r="C109" s="2329" t="s">
        <v>15007</v>
      </c>
      <c r="D109" s="2527" t="s">
        <v>1317</v>
      </c>
      <c r="E109" s="2346"/>
      <c r="F109" s="2346"/>
      <c r="G109" s="2332">
        <f t="shared" si="8"/>
        <v>0</v>
      </c>
      <c r="H109" s="2346"/>
      <c r="I109" s="2346"/>
      <c r="J109" s="2332">
        <f t="shared" si="9"/>
        <v>0</v>
      </c>
      <c r="K109" s="2346">
        <v>9.1219187589733988</v>
      </c>
      <c r="L109" s="2346">
        <v>9.5141612656092551</v>
      </c>
      <c r="M109" s="2332">
        <f t="shared" si="10"/>
        <v>9.3180400122913269</v>
      </c>
      <c r="N109" s="3031">
        <f>'[11]НВВ 26.09.23.'!N109+'[12]НВВ 26.09.'!N109</f>
        <v>16.067850108031241</v>
      </c>
      <c r="O109" s="3039">
        <f>'[11]НВВ 26.09.23.'!O109+'[12]НВВ 26.09.'!O109</f>
        <v>17.22473531580949</v>
      </c>
      <c r="P109" s="2332">
        <f>N109/2+O109/2</f>
        <v>16.646292711920367</v>
      </c>
      <c r="Q109" s="3031">
        <f>'[11]НВВ 26.09.23.'!Q109+'[12]НВВ 26.09.'!Q109</f>
        <v>17.22473531580949</v>
      </c>
      <c r="R109" s="3039">
        <f>'[11]НВВ 26.09.23.'!R109+'[12]НВВ 26.09.'!R109</f>
        <v>17.913724728441871</v>
      </c>
      <c r="S109" s="2524">
        <f t="shared" si="12"/>
        <v>17.56923002212568</v>
      </c>
      <c r="T109" s="3031">
        <f>'[11]НВВ 26.09.23.'!T109+'[12]НВВ 26.09.'!T109</f>
        <v>17.913724728441871</v>
      </c>
      <c r="U109" s="3039">
        <f>'[11]НВВ 26.09.23.'!U109+'[12]НВВ 26.09.'!U109</f>
        <v>18.630273717579549</v>
      </c>
      <c r="V109" s="2332">
        <f t="shared" si="13"/>
        <v>18.27199922301071</v>
      </c>
      <c r="W109" s="3031">
        <f>'[11]НВВ 26.09.23.'!W109+'[12]НВВ 26.09.'!W109</f>
        <v>18.630273717579549</v>
      </c>
      <c r="X109" s="3039">
        <f>'[11]НВВ 26.09.23.'!X109+'[12]НВВ 26.09.'!X109</f>
        <v>19.37548466628273</v>
      </c>
      <c r="Y109" s="2522">
        <f>W109/2+X109/2</f>
        <v>19.00287919193114</v>
      </c>
      <c r="Z109" s="3031">
        <f>'[11]НВВ 26.09.23.'!Z109+'[12]НВВ 26.09.'!Z109</f>
        <v>19.37548466628273</v>
      </c>
      <c r="AA109" s="3039">
        <f>'[11]НВВ 26.09.23.'!AA109+'[12]НВВ 26.09.'!AA109</f>
        <v>20.150504052934039</v>
      </c>
      <c r="AB109" s="2524">
        <f>Z109/2+AA109/2</f>
        <v>19.762994359608385</v>
      </c>
      <c r="AC109" s="2606"/>
      <c r="AD109" s="2606"/>
      <c r="AE109" s="2606"/>
      <c r="AF109" s="2593"/>
      <c r="AG109" s="2593"/>
      <c r="AH109" s="2593"/>
      <c r="AI109" s="2593"/>
      <c r="AJ109" s="2593"/>
    </row>
    <row r="110" spans="1:36" s="2218" customFormat="1" ht="31.5" hidden="1" outlineLevel="2">
      <c r="A110" s="2235"/>
      <c r="B110" s="2350" t="s">
        <v>15008</v>
      </c>
      <c r="C110" s="2329" t="s">
        <v>15009</v>
      </c>
      <c r="D110" s="2527" t="s">
        <v>1317</v>
      </c>
      <c r="E110" s="2346"/>
      <c r="F110" s="2346"/>
      <c r="G110" s="2332">
        <f t="shared" si="8"/>
        <v>0</v>
      </c>
      <c r="H110" s="2346"/>
      <c r="I110" s="2346"/>
      <c r="J110" s="2332">
        <f t="shared" si="9"/>
        <v>0</v>
      </c>
      <c r="K110" s="2346"/>
      <c r="L110" s="2346">
        <v>0</v>
      </c>
      <c r="M110" s="2332">
        <f t="shared" si="10"/>
        <v>0</v>
      </c>
      <c r="N110" s="2284">
        <v>0</v>
      </c>
      <c r="O110" s="2286">
        <v>0</v>
      </c>
      <c r="P110" s="2332">
        <f t="shared" si="11"/>
        <v>0</v>
      </c>
      <c r="Q110" s="2284">
        <v>0</v>
      </c>
      <c r="R110" s="2286">
        <v>0</v>
      </c>
      <c r="S110" s="2334">
        <f t="shared" si="12"/>
        <v>0</v>
      </c>
      <c r="T110" s="2284">
        <v>0</v>
      </c>
      <c r="U110" s="2286">
        <v>0</v>
      </c>
      <c r="V110" s="2332">
        <f t="shared" si="13"/>
        <v>0</v>
      </c>
      <c r="W110" s="2284">
        <v>0</v>
      </c>
      <c r="X110" s="2286">
        <v>0</v>
      </c>
      <c r="Y110" s="2332">
        <f t="shared" si="14"/>
        <v>0</v>
      </c>
      <c r="Z110" s="2284">
        <v>0</v>
      </c>
      <c r="AA110" s="2286">
        <v>0</v>
      </c>
      <c r="AB110" s="2334">
        <f t="shared" si="15"/>
        <v>0</v>
      </c>
      <c r="AC110" s="2606"/>
      <c r="AD110" s="2606"/>
      <c r="AE110" s="2606"/>
      <c r="AF110" s="2593"/>
      <c r="AG110" s="2593"/>
      <c r="AH110" s="2593"/>
      <c r="AI110" s="2593"/>
      <c r="AJ110" s="2593"/>
    </row>
    <row r="111" spans="1:36" s="2218" customFormat="1" ht="63" outlineLevel="1" collapsed="1">
      <c r="A111" s="2235"/>
      <c r="B111" s="2351" t="s">
        <v>15010</v>
      </c>
      <c r="C111" s="2345" t="s">
        <v>15011</v>
      </c>
      <c r="D111" s="2530" t="s">
        <v>1317</v>
      </c>
      <c r="E111" s="2352"/>
      <c r="F111" s="2346"/>
      <c r="G111" s="2332">
        <f t="shared" si="8"/>
        <v>0</v>
      </c>
      <c r="H111" s="2352"/>
      <c r="I111" s="2346"/>
      <c r="J111" s="2332">
        <f t="shared" si="9"/>
        <v>0</v>
      </c>
      <c r="K111" s="2352"/>
      <c r="L111" s="2346"/>
      <c r="M111" s="2332">
        <f t="shared" si="10"/>
        <v>0</v>
      </c>
      <c r="N111" s="3031">
        <f>'[11]НВВ 26.09.23.'!N111+'[12]НВВ 26.09.'!N111</f>
        <v>7433.7289737479141</v>
      </c>
      <c r="O111" s="3039">
        <f>'[11]НВВ 26.09.23.'!O111+'[12]НВВ 26.09.'!O111</f>
        <v>13615.116250119929</v>
      </c>
      <c r="P111" s="2332">
        <f>N111/2+O111/2</f>
        <v>10524.422611933922</v>
      </c>
      <c r="Q111" s="3031">
        <f>'[11]НВВ 26.09.23.'!Q111+'[12]НВВ 26.09.'!Q111</f>
        <v>13615.116250119929</v>
      </c>
      <c r="R111" s="3039">
        <f>'[11]НВВ 26.09.23.'!R111+'[12]НВВ 26.09.'!R111</f>
        <v>14159.720900124727</v>
      </c>
      <c r="S111" s="2524">
        <f t="shared" si="12"/>
        <v>13887.418575122327</v>
      </c>
      <c r="T111" s="3031">
        <f>'[11]НВВ 26.09.23.'!T111+'[12]НВВ 26.09.'!T111</f>
        <v>14159.720900124727</v>
      </c>
      <c r="U111" s="3039">
        <f>'[11]НВВ 26.09.23.'!U111+'[12]НВВ 26.09.'!U111</f>
        <v>14726.109736129716</v>
      </c>
      <c r="V111" s="2332">
        <f t="shared" si="13"/>
        <v>14442.915318127221</v>
      </c>
      <c r="W111" s="3031">
        <f>'[11]НВВ 26.09.23.'!W111+'[12]НВВ 26.09.'!W111</f>
        <v>14726.109736129716</v>
      </c>
      <c r="X111" s="3039">
        <f>'[11]НВВ 26.09.23.'!X111+'[12]НВВ 26.09.'!X111</f>
        <v>15315.154125574905</v>
      </c>
      <c r="Y111" s="2522">
        <f>W111/2+X111/2</f>
        <v>15020.631930852311</v>
      </c>
      <c r="Z111" s="3031">
        <f>'[11]НВВ 26.09.23.'!Z111+'[12]НВВ 26.09.'!Z111</f>
        <v>15315.154125574905</v>
      </c>
      <c r="AA111" s="3039">
        <f>'[11]НВВ 26.09.23.'!AA111+'[12]НВВ 26.09.'!AA111</f>
        <v>15927.760290597902</v>
      </c>
      <c r="AB111" s="2524">
        <f>Z111/2+AA111/2</f>
        <v>15621.457208086404</v>
      </c>
      <c r="AC111" s="2606"/>
      <c r="AD111" s="2606"/>
      <c r="AE111" s="2606"/>
      <c r="AF111" s="2593"/>
      <c r="AG111" s="2593"/>
      <c r="AH111" s="2593"/>
      <c r="AI111" s="2593"/>
      <c r="AJ111" s="2593"/>
    </row>
    <row r="112" spans="1:36" s="2218" customFormat="1" ht="31.5" outlineLevel="1">
      <c r="A112" s="2235"/>
      <c r="B112" s="2353" t="s">
        <v>15012</v>
      </c>
      <c r="C112" s="2354" t="s">
        <v>15013</v>
      </c>
      <c r="D112" s="2531" t="s">
        <v>1317</v>
      </c>
      <c r="E112" s="2346"/>
      <c r="F112" s="2346"/>
      <c r="G112" s="2332">
        <f t="shared" si="8"/>
        <v>0</v>
      </c>
      <c r="H112" s="2346"/>
      <c r="I112" s="2346"/>
      <c r="J112" s="2332">
        <f t="shared" si="9"/>
        <v>0</v>
      </c>
      <c r="K112" s="2346">
        <v>15.478260721989598</v>
      </c>
      <c r="L112" s="2346">
        <v>16.143825933035149</v>
      </c>
      <c r="M112" s="2332">
        <f t="shared" si="10"/>
        <v>15.811043327512373</v>
      </c>
      <c r="N112" s="3031">
        <f>'[11]НВВ 26.09.23.'!N112+'[12]НВВ 26.09.'!N112</f>
        <v>2811.779359282129</v>
      </c>
      <c r="O112" s="3039">
        <f>'[11]НВВ 26.09.23.'!O112+'[12]НВВ 26.09.'!O112</f>
        <v>3014.2274731504426</v>
      </c>
      <c r="P112" s="2332">
        <f>N112/2+O112/2</f>
        <v>2913.0034162162856</v>
      </c>
      <c r="Q112" s="3031">
        <f>'[11]НВВ 26.09.23.'!Q112+'[12]НВВ 26.09.'!Q112</f>
        <v>3014.2274731504426</v>
      </c>
      <c r="R112" s="3039">
        <f>'[11]НВВ 26.09.23.'!R112+'[12]НВВ 26.09.'!R112</f>
        <v>3134.7965720764601</v>
      </c>
      <c r="S112" s="2524">
        <f t="shared" si="12"/>
        <v>3074.5120226134513</v>
      </c>
      <c r="T112" s="3031">
        <f>'[11]НВВ 26.09.23.'!T112+'[12]НВВ 26.09.'!T112</f>
        <v>3134.7965720764601</v>
      </c>
      <c r="U112" s="3039">
        <f>'[11]НВВ 26.09.23.'!U112+'[12]НВВ 26.09.'!U112</f>
        <v>3260.1884349595189</v>
      </c>
      <c r="V112" s="2332">
        <f t="shared" si="13"/>
        <v>3197.4925035179895</v>
      </c>
      <c r="W112" s="3031">
        <f>'[11]НВВ 26.09.23.'!W112+'[12]НВВ 26.09.'!W112</f>
        <v>3260.1884349595189</v>
      </c>
      <c r="X112" s="3039">
        <f>'[11]НВВ 26.09.23.'!X112+'[12]НВВ 26.09.'!X112</f>
        <v>3390.5959723578994</v>
      </c>
      <c r="Y112" s="2522">
        <f>W112/2+X112/2</f>
        <v>3325.3922036587091</v>
      </c>
      <c r="Z112" s="3031">
        <f>'[11]НВВ 26.09.23.'!Z112+'[12]НВВ 26.09.'!Z112</f>
        <v>3390.5959723578994</v>
      </c>
      <c r="AA112" s="3039">
        <f>'[11]НВВ 26.09.23.'!AA112+'[12]НВВ 26.09.'!AA112</f>
        <v>3526.2198112522155</v>
      </c>
      <c r="AB112" s="2524">
        <f>Z112/2+AA112/2</f>
        <v>3458.4078918050573</v>
      </c>
      <c r="AC112" s="2606"/>
      <c r="AD112" s="2606"/>
      <c r="AE112" s="2606"/>
      <c r="AF112" s="2593"/>
      <c r="AG112" s="2593"/>
      <c r="AH112" s="2593"/>
      <c r="AI112" s="2593"/>
      <c r="AJ112" s="2593"/>
    </row>
    <row r="113" spans="1:36" s="2218" customFormat="1" ht="31.5" outlineLevel="1">
      <c r="A113" s="2235"/>
      <c r="B113" s="2349" t="s">
        <v>15014</v>
      </c>
      <c r="C113" s="2355" t="s">
        <v>15015</v>
      </c>
      <c r="D113" s="2532" t="s">
        <v>1317</v>
      </c>
      <c r="E113" s="2357">
        <f>E114+E124</f>
        <v>0</v>
      </c>
      <c r="F113" s="2357">
        <f>F114+F124</f>
        <v>0</v>
      </c>
      <c r="G113" s="2358">
        <f t="shared" si="8"/>
        <v>0</v>
      </c>
      <c r="H113" s="2357">
        <f>H114+H124</f>
        <v>0</v>
      </c>
      <c r="I113" s="2357">
        <f>I114+I124</f>
        <v>0</v>
      </c>
      <c r="J113" s="2358">
        <f t="shared" si="9"/>
        <v>0</v>
      </c>
      <c r="K113" s="2357">
        <f>K114+K124</f>
        <v>3587.5348743413701</v>
      </c>
      <c r="L113" s="2357">
        <f>L114+L124</f>
        <v>3748.63927629099</v>
      </c>
      <c r="M113" s="2358">
        <f t="shared" si="10"/>
        <v>3668.0870753161798</v>
      </c>
      <c r="N113" s="3031">
        <f>'[11]НВВ 26.09.23.'!N113+'[12]НВВ 26.09.'!N113</f>
        <v>6928.7655873044478</v>
      </c>
      <c r="O113" s="3039">
        <f>'[11]НВВ 26.09.23.'!O113+'[12]НВВ 26.09.'!O113</f>
        <v>13130.194721447044</v>
      </c>
      <c r="P113" s="2358">
        <f t="shared" si="11"/>
        <v>10029.480154375746</v>
      </c>
      <c r="Q113" s="3031">
        <f>'[11]НВВ 26.09.23.'!Q113+'[12]НВВ 26.09.'!Q113</f>
        <v>13130.194721447044</v>
      </c>
      <c r="R113" s="3039">
        <f>'[11]НВВ 26.09.23.'!R113+'[12]НВВ 26.09.'!R113</f>
        <v>13466.051920558575</v>
      </c>
      <c r="S113" s="2360">
        <f t="shared" si="12"/>
        <v>13298.123321002809</v>
      </c>
      <c r="T113" s="3031">
        <f>'[11]НВВ 26.09.23.'!T113+'[12]НВВ 26.09.'!T113</f>
        <v>13466.051920558575</v>
      </c>
      <c r="U113" s="3039">
        <f>'[11]НВВ 26.09.23.'!U113+'[12]НВВ 26.09.'!U113</f>
        <v>13866.810400975433</v>
      </c>
      <c r="V113" s="2358">
        <f t="shared" si="13"/>
        <v>13666.431160767004</v>
      </c>
      <c r="W113" s="3031">
        <f>'[11]НВВ 26.09.23.'!W113+'[12]НВВ 26.09.'!W113</f>
        <v>13866.810400975433</v>
      </c>
      <c r="X113" s="3039">
        <f>'[11]НВВ 26.09.23.'!X113+'[12]НВВ 26.09.'!X113</f>
        <v>14261.831079909347</v>
      </c>
      <c r="Y113" s="2358">
        <f t="shared" si="14"/>
        <v>14064.32074044239</v>
      </c>
      <c r="Z113" s="3031">
        <f>'[11]НВВ 26.09.23.'!Z113+'[12]НВВ 26.09.'!Z113</f>
        <v>14261.831079909347</v>
      </c>
      <c r="AA113" s="3039">
        <f>'[11]НВВ 26.09.23.'!AA113+'[12]НВВ 26.09.'!AA113</f>
        <v>14715.904600783198</v>
      </c>
      <c r="AB113" s="2360">
        <f t="shared" si="15"/>
        <v>14488.867840346273</v>
      </c>
      <c r="AC113" s="2606"/>
      <c r="AD113" s="2606"/>
      <c r="AE113" s="2606"/>
      <c r="AF113" s="2593"/>
      <c r="AG113" s="2593"/>
      <c r="AH113" s="2593"/>
      <c r="AI113" s="2593"/>
      <c r="AJ113" s="2593"/>
    </row>
    <row r="114" spans="1:36" s="2218" customFormat="1" outlineLevel="1">
      <c r="A114" s="2235"/>
      <c r="B114" s="2349" t="s">
        <v>15016</v>
      </c>
      <c r="C114" s="2356" t="s">
        <v>15017</v>
      </c>
      <c r="D114" s="2532" t="s">
        <v>1317</v>
      </c>
      <c r="E114" s="2357">
        <f>E115*E123*12/1000</f>
        <v>0</v>
      </c>
      <c r="F114" s="2357">
        <f>F115*F123*12/1000</f>
        <v>0</v>
      </c>
      <c r="G114" s="2358">
        <f t="shared" si="8"/>
        <v>0</v>
      </c>
      <c r="H114" s="2357">
        <f>H115*H123*12/1000</f>
        <v>0</v>
      </c>
      <c r="I114" s="2357">
        <f>I115*I123*12/1000</f>
        <v>0</v>
      </c>
      <c r="J114" s="2358">
        <f t="shared" si="9"/>
        <v>0</v>
      </c>
      <c r="K114" s="2357">
        <f>K115*K123*12/1000</f>
        <v>2768.1351915687997</v>
      </c>
      <c r="L114" s="2357">
        <f>L115*L123*12/1000</f>
        <v>2894.005407159199</v>
      </c>
      <c r="M114" s="2358">
        <f t="shared" si="10"/>
        <v>2831.0702993639993</v>
      </c>
      <c r="N114" s="3031">
        <f>'[11]НВВ 26.09.23.'!N114+'[12]НВВ 26.09.'!N114</f>
        <v>5326.3690340127687</v>
      </c>
      <c r="O114" s="3039">
        <f>'[11]НВВ 26.09.23.'!O114+'[12]НВВ 26.09.'!O114</f>
        <v>10089.712412640491</v>
      </c>
      <c r="P114" s="2533">
        <f t="shared" si="11"/>
        <v>7708.0407233266296</v>
      </c>
      <c r="Q114" s="3031">
        <f>'[11]НВВ 26.09.23.'!Q114+'[12]НВВ 26.09.'!Q114</f>
        <v>10089.712412640491</v>
      </c>
      <c r="R114" s="3039">
        <f>'[11]НВВ 26.09.23.'!R114+'[12]НВВ 26.09.'!R114</f>
        <v>10303.950319399759</v>
      </c>
      <c r="S114" s="2534">
        <f t="shared" si="12"/>
        <v>10196.831366020124</v>
      </c>
      <c r="T114" s="3031">
        <f>'[11]НВВ 26.09.23.'!T114+'[12]НВВ 26.09.'!T114</f>
        <v>10303.950319399759</v>
      </c>
      <c r="U114" s="3039">
        <f>'[11]НВВ 26.09.23.'!U114+'[12]НВВ 26.09.'!U114</f>
        <v>10659.84086483733</v>
      </c>
      <c r="V114" s="2533">
        <f t="shared" si="13"/>
        <v>10481.895592118544</v>
      </c>
      <c r="W114" s="3031">
        <f>'[11]НВВ 26.09.23.'!W114+'[12]НВВ 26.09.'!W114</f>
        <v>10659.84086483733</v>
      </c>
      <c r="X114" s="3039">
        <f>'[11]НВВ 26.09.23.'!X114+'[12]НВВ 26.09.'!X114</f>
        <v>10963.425470888436</v>
      </c>
      <c r="Y114" s="2533">
        <f t="shared" si="14"/>
        <v>10811.633167862883</v>
      </c>
      <c r="Z114" s="3031">
        <f>'[11]НВВ 26.09.23.'!Z114+'[12]НВВ 26.09.'!Z114</f>
        <v>10963.425470888436</v>
      </c>
      <c r="AA114" s="3039">
        <f>'[11]НВВ 26.09.23.'!AA114+'[12]НВВ 26.09.'!AA114</f>
        <v>11312.424241783572</v>
      </c>
      <c r="AB114" s="2360">
        <f t="shared" si="15"/>
        <v>11137.924856336005</v>
      </c>
      <c r="AC114" s="2606"/>
      <c r="AD114" s="2606"/>
      <c r="AE114" s="2606"/>
      <c r="AF114" s="2593"/>
      <c r="AG114" s="2593"/>
      <c r="AH114" s="2593"/>
      <c r="AI114" s="2593"/>
      <c r="AJ114" s="2593"/>
    </row>
    <row r="115" spans="1:36" s="2218" customFormat="1" hidden="1" outlineLevel="2">
      <c r="A115" s="2235"/>
      <c r="B115" s="2336" t="s">
        <v>15018</v>
      </c>
      <c r="C115" s="2356" t="s">
        <v>15019</v>
      </c>
      <c r="D115" s="2532" t="s">
        <v>1888</v>
      </c>
      <c r="E115" s="2357">
        <f>E116+E117+E118+E121+E122</f>
        <v>0</v>
      </c>
      <c r="F115" s="2357">
        <f>F116+F117+F118+F121+F122</f>
        <v>0</v>
      </c>
      <c r="G115" s="2358">
        <f t="shared" si="8"/>
        <v>0</v>
      </c>
      <c r="H115" s="2357">
        <f>H116+H117+H118+H121+H122</f>
        <v>0</v>
      </c>
      <c r="I115" s="2357">
        <f>I116+I117+I118+I121+I122</f>
        <v>0</v>
      </c>
      <c r="J115" s="2358">
        <f t="shared" si="9"/>
        <v>0</v>
      </c>
      <c r="K115" s="2357">
        <f>K116+K117+K118+K121+K122</f>
        <v>38446.322105122221</v>
      </c>
      <c r="L115" s="2357">
        <f>L116+L117+L118+L121+L122</f>
        <v>40194.519543877766</v>
      </c>
      <c r="M115" s="2358">
        <f t="shared" si="10"/>
        <v>39320.42082449999</v>
      </c>
      <c r="N115" s="2359">
        <v>40692.782060200203</v>
      </c>
      <c r="O115" s="2357">
        <v>34678.657992755441</v>
      </c>
      <c r="P115" s="2358">
        <f t="shared" si="11"/>
        <v>37685.720026477822</v>
      </c>
      <c r="Q115" s="2359">
        <v>40692.782060200203</v>
      </c>
      <c r="R115" s="2357">
        <v>34678.657992755441</v>
      </c>
      <c r="S115" s="2360">
        <f t="shared" si="12"/>
        <v>37685.720026477822</v>
      </c>
      <c r="T115" s="2359">
        <v>40692.782060200203</v>
      </c>
      <c r="U115" s="2357">
        <v>34678.657992755441</v>
      </c>
      <c r="V115" s="2358">
        <f t="shared" si="13"/>
        <v>37685.720026477822</v>
      </c>
      <c r="W115" s="2359">
        <v>40692.782060200203</v>
      </c>
      <c r="X115" s="2357">
        <v>34678.657992755441</v>
      </c>
      <c r="Y115" s="2358">
        <f t="shared" si="14"/>
        <v>37685.720026477822</v>
      </c>
      <c r="Z115" s="2359">
        <v>40692.782060200203</v>
      </c>
      <c r="AA115" s="2357">
        <v>34678.657992755441</v>
      </c>
      <c r="AB115" s="2360">
        <f t="shared" si="15"/>
        <v>37685.720026477822</v>
      </c>
      <c r="AC115" s="2606"/>
      <c r="AD115" s="2606"/>
      <c r="AE115" s="2606"/>
      <c r="AF115" s="2593"/>
      <c r="AG115" s="2593"/>
      <c r="AH115" s="2593"/>
      <c r="AI115" s="2593"/>
      <c r="AJ115" s="2593"/>
    </row>
    <row r="116" spans="1:36" s="2218" customFormat="1" ht="31.5" hidden="1" outlineLevel="1" collapsed="1">
      <c r="A116" s="2235"/>
      <c r="B116" s="2329" t="s">
        <v>15020</v>
      </c>
      <c r="C116" s="2363" t="s">
        <v>1890</v>
      </c>
      <c r="D116" s="2535" t="s">
        <v>15021</v>
      </c>
      <c r="E116" s="2364"/>
      <c r="F116" s="2364"/>
      <c r="G116" s="2358">
        <f t="shared" si="8"/>
        <v>0</v>
      </c>
      <c r="H116" s="2364"/>
      <c r="I116" s="2364"/>
      <c r="J116" s="2358">
        <f t="shared" si="9"/>
        <v>0</v>
      </c>
      <c r="K116" s="2364">
        <f>9170.5394117647/1.0215</f>
        <v>8977.5226742679388</v>
      </c>
      <c r="L116" s="2364">
        <f>K116*1.043</f>
        <v>9363.5561492614597</v>
      </c>
      <c r="M116" s="2358">
        <f t="shared" si="10"/>
        <v>9170.5394117646993</v>
      </c>
      <c r="N116" s="3031"/>
      <c r="O116" s="3039"/>
      <c r="P116" s="2358">
        <f t="shared" si="11"/>
        <v>0</v>
      </c>
      <c r="Q116" s="3031"/>
      <c r="R116" s="3039"/>
      <c r="S116" s="2360">
        <f t="shared" si="12"/>
        <v>0</v>
      </c>
      <c r="T116" s="3031"/>
      <c r="U116" s="3039"/>
      <c r="V116" s="2358">
        <f t="shared" si="13"/>
        <v>0</v>
      </c>
      <c r="W116" s="3031"/>
      <c r="X116" s="3039"/>
      <c r="Y116" s="2358">
        <f t="shared" si="14"/>
        <v>0</v>
      </c>
      <c r="Z116" s="3031"/>
      <c r="AA116" s="3039"/>
      <c r="AB116" s="2360">
        <f t="shared" si="15"/>
        <v>0</v>
      </c>
      <c r="AC116" s="2606"/>
      <c r="AD116" s="2606"/>
      <c r="AE116" s="2606"/>
      <c r="AF116" s="2593"/>
      <c r="AG116" s="2593"/>
      <c r="AH116" s="2593"/>
      <c r="AI116" s="2593"/>
      <c r="AJ116" s="2593"/>
    </row>
    <row r="117" spans="1:36" s="2218" customFormat="1" hidden="1" outlineLevel="2">
      <c r="A117" s="2235"/>
      <c r="B117" s="2329" t="s">
        <v>15022</v>
      </c>
      <c r="C117" s="2363" t="s">
        <v>1846</v>
      </c>
      <c r="D117" s="2535" t="s">
        <v>15021</v>
      </c>
      <c r="E117" s="2364"/>
      <c r="F117" s="2364"/>
      <c r="G117" s="2358">
        <f t="shared" si="8"/>
        <v>0</v>
      </c>
      <c r="H117" s="2364"/>
      <c r="I117" s="2364"/>
      <c r="J117" s="2358">
        <f t="shared" si="9"/>
        <v>0</v>
      </c>
      <c r="K117" s="2364"/>
      <c r="L117" s="2364"/>
      <c r="M117" s="2358">
        <f t="shared" si="10"/>
        <v>0</v>
      </c>
      <c r="N117" s="2365"/>
      <c r="O117" s="2364"/>
      <c r="P117" s="2358">
        <f t="shared" si="11"/>
        <v>0</v>
      </c>
      <c r="Q117" s="2365"/>
      <c r="R117" s="2364"/>
      <c r="S117" s="2360">
        <f t="shared" si="12"/>
        <v>0</v>
      </c>
      <c r="T117" s="2365"/>
      <c r="U117" s="2364"/>
      <c r="V117" s="2358">
        <f t="shared" si="13"/>
        <v>0</v>
      </c>
      <c r="W117" s="2365"/>
      <c r="X117" s="2364"/>
      <c r="Y117" s="2358">
        <f t="shared" si="14"/>
        <v>0</v>
      </c>
      <c r="Z117" s="2365"/>
      <c r="AA117" s="2364"/>
      <c r="AB117" s="2360">
        <f t="shared" si="15"/>
        <v>0</v>
      </c>
      <c r="AC117" s="2606"/>
      <c r="AD117" s="2606"/>
      <c r="AE117" s="2606"/>
      <c r="AF117" s="2593"/>
      <c r="AG117" s="2593"/>
      <c r="AH117" s="2593"/>
      <c r="AI117" s="2593"/>
      <c r="AJ117" s="2593"/>
    </row>
    <row r="118" spans="1:36" s="2218" customFormat="1" hidden="1" outlineLevel="2">
      <c r="A118" s="2235"/>
      <c r="B118" s="2336" t="s">
        <v>15023</v>
      </c>
      <c r="C118" s="2356" t="s">
        <v>1786</v>
      </c>
      <c r="D118" s="2536" t="s">
        <v>15021</v>
      </c>
      <c r="E118" s="2357">
        <f>E119*E120</f>
        <v>0</v>
      </c>
      <c r="F118" s="2357">
        <f>F119*F120</f>
        <v>0</v>
      </c>
      <c r="G118" s="2358">
        <f t="shared" si="8"/>
        <v>0</v>
      </c>
      <c r="H118" s="2357">
        <f>H119*H120</f>
        <v>0</v>
      </c>
      <c r="I118" s="2357">
        <f>I119*I120</f>
        <v>0</v>
      </c>
      <c r="J118" s="2358">
        <f t="shared" si="9"/>
        <v>0</v>
      </c>
      <c r="K118" s="2357">
        <f>K119*K120</f>
        <v>12778.529411764704</v>
      </c>
      <c r="L118" s="2357">
        <f>L119*L120</f>
        <v>13423.011764705881</v>
      </c>
      <c r="M118" s="2358">
        <f t="shared" si="10"/>
        <v>13100.770588235293</v>
      </c>
      <c r="N118" s="2359"/>
      <c r="O118" s="2357"/>
      <c r="P118" s="2358">
        <f t="shared" si="11"/>
        <v>0</v>
      </c>
      <c r="Q118" s="2359"/>
      <c r="R118" s="2357"/>
      <c r="S118" s="2360">
        <f t="shared" si="12"/>
        <v>0</v>
      </c>
      <c r="T118" s="2359"/>
      <c r="U118" s="2357"/>
      <c r="V118" s="2358">
        <f t="shared" si="13"/>
        <v>0</v>
      </c>
      <c r="W118" s="2359"/>
      <c r="X118" s="2357"/>
      <c r="Y118" s="2358">
        <f t="shared" si="14"/>
        <v>0</v>
      </c>
      <c r="Z118" s="2359"/>
      <c r="AA118" s="2357"/>
      <c r="AB118" s="2360">
        <f t="shared" si="15"/>
        <v>0</v>
      </c>
      <c r="AC118" s="2606"/>
      <c r="AD118" s="2606"/>
      <c r="AE118" s="2606"/>
      <c r="AF118" s="2593"/>
      <c r="AG118" s="2593"/>
      <c r="AH118" s="2593"/>
      <c r="AI118" s="2593"/>
      <c r="AJ118" s="2593"/>
    </row>
    <row r="119" spans="1:36" s="2218" customFormat="1" hidden="1" outlineLevel="2">
      <c r="A119" s="2235"/>
      <c r="B119" s="2329" t="s">
        <v>15024</v>
      </c>
      <c r="C119" s="2363" t="s">
        <v>1788</v>
      </c>
      <c r="D119" s="2535" t="s">
        <v>15021</v>
      </c>
      <c r="E119" s="2364"/>
      <c r="F119" s="2364"/>
      <c r="G119" s="2358">
        <f t="shared" si="8"/>
        <v>0</v>
      </c>
      <c r="H119" s="2364"/>
      <c r="I119" s="2364"/>
      <c r="J119" s="2358">
        <f t="shared" si="9"/>
        <v>0</v>
      </c>
      <c r="K119" s="2364">
        <v>5750</v>
      </c>
      <c r="L119" s="2364">
        <v>6040</v>
      </c>
      <c r="M119" s="2358">
        <f t="shared" si="10"/>
        <v>5895</v>
      </c>
      <c r="N119" s="2365"/>
      <c r="O119" s="2364"/>
      <c r="P119" s="2358">
        <f t="shared" si="11"/>
        <v>0</v>
      </c>
      <c r="Q119" s="2365"/>
      <c r="R119" s="2364"/>
      <c r="S119" s="2360">
        <f t="shared" si="12"/>
        <v>0</v>
      </c>
      <c r="T119" s="2365"/>
      <c r="U119" s="2364"/>
      <c r="V119" s="2358">
        <f t="shared" si="13"/>
        <v>0</v>
      </c>
      <c r="W119" s="2365"/>
      <c r="X119" s="2364"/>
      <c r="Y119" s="2358">
        <f t="shared" si="14"/>
        <v>0</v>
      </c>
      <c r="Z119" s="2365"/>
      <c r="AA119" s="2364"/>
      <c r="AB119" s="2360">
        <f t="shared" si="15"/>
        <v>0</v>
      </c>
      <c r="AC119" s="2606"/>
      <c r="AD119" s="2606"/>
      <c r="AE119" s="2606"/>
      <c r="AF119" s="2593"/>
      <c r="AG119" s="2593"/>
      <c r="AH119" s="2593"/>
      <c r="AI119" s="2593"/>
      <c r="AJ119" s="2593"/>
    </row>
    <row r="120" spans="1:36" s="2218" customFormat="1" hidden="1" outlineLevel="2">
      <c r="A120" s="2235"/>
      <c r="B120" s="2329" t="s">
        <v>15025</v>
      </c>
      <c r="C120" s="2363" t="s">
        <v>1790</v>
      </c>
      <c r="D120" s="2535"/>
      <c r="E120" s="2364"/>
      <c r="F120" s="2364"/>
      <c r="G120" s="2358">
        <f t="shared" si="8"/>
        <v>0</v>
      </c>
      <c r="H120" s="2364"/>
      <c r="I120" s="2364"/>
      <c r="J120" s="2358">
        <f t="shared" si="9"/>
        <v>0</v>
      </c>
      <c r="K120" s="2364">
        <v>2.2223529411764704</v>
      </c>
      <c r="L120" s="2364">
        <f>K120</f>
        <v>2.2223529411764704</v>
      </c>
      <c r="M120" s="2358">
        <f t="shared" si="10"/>
        <v>2.2223529411764704</v>
      </c>
      <c r="N120" s="2365"/>
      <c r="O120" s="2364"/>
      <c r="P120" s="2358">
        <f t="shared" si="11"/>
        <v>0</v>
      </c>
      <c r="Q120" s="2365"/>
      <c r="R120" s="2364"/>
      <c r="S120" s="2360">
        <f t="shared" si="12"/>
        <v>0</v>
      </c>
      <c r="T120" s="2365"/>
      <c r="U120" s="2364"/>
      <c r="V120" s="2358">
        <f t="shared" si="13"/>
        <v>0</v>
      </c>
      <c r="W120" s="2365"/>
      <c r="X120" s="2364"/>
      <c r="Y120" s="2358">
        <f t="shared" si="14"/>
        <v>0</v>
      </c>
      <c r="Z120" s="2365"/>
      <c r="AA120" s="2364"/>
      <c r="AB120" s="2360">
        <f t="shared" si="15"/>
        <v>0</v>
      </c>
      <c r="AC120" s="2606"/>
      <c r="AD120" s="2606"/>
      <c r="AE120" s="2606"/>
      <c r="AF120" s="2593"/>
      <c r="AG120" s="2593"/>
      <c r="AH120" s="2593"/>
      <c r="AI120" s="2593"/>
      <c r="AJ120" s="2593"/>
    </row>
    <row r="121" spans="1:36" s="2218" customFormat="1" hidden="1" outlineLevel="1" collapsed="1">
      <c r="A121" s="2235"/>
      <c r="B121" s="2336" t="s">
        <v>15026</v>
      </c>
      <c r="C121" s="2363" t="s">
        <v>1795</v>
      </c>
      <c r="D121" s="2535" t="s">
        <v>15021</v>
      </c>
      <c r="E121" s="2364"/>
      <c r="F121" s="2364"/>
      <c r="G121" s="2358">
        <f t="shared" si="8"/>
        <v>0</v>
      </c>
      <c r="H121" s="2364"/>
      <c r="I121" s="2364"/>
      <c r="J121" s="2358">
        <f t="shared" si="9"/>
        <v>0</v>
      </c>
      <c r="K121" s="2364">
        <f>17049.1108245/1.0215</f>
        <v>16690.270019089574</v>
      </c>
      <c r="L121" s="2364">
        <f>K121*1.043</f>
        <v>17407.951629910425</v>
      </c>
      <c r="M121" s="2358">
        <f t="shared" si="10"/>
        <v>17049.1108245</v>
      </c>
      <c r="N121" s="3031"/>
      <c r="O121" s="3039"/>
      <c r="P121" s="2358">
        <f t="shared" si="11"/>
        <v>0</v>
      </c>
      <c r="Q121" s="3031"/>
      <c r="R121" s="3039"/>
      <c r="S121" s="2360">
        <f t="shared" si="12"/>
        <v>0</v>
      </c>
      <c r="T121" s="3031"/>
      <c r="U121" s="3039"/>
      <c r="V121" s="2358">
        <f t="shared" si="13"/>
        <v>0</v>
      </c>
      <c r="W121" s="3031"/>
      <c r="X121" s="3039"/>
      <c r="Y121" s="2358">
        <f t="shared" si="14"/>
        <v>0</v>
      </c>
      <c r="Z121" s="3031"/>
      <c r="AA121" s="3039"/>
      <c r="AB121" s="2360">
        <f t="shared" si="15"/>
        <v>0</v>
      </c>
      <c r="AC121" s="2606"/>
      <c r="AD121" s="2606"/>
      <c r="AE121" s="2606"/>
      <c r="AF121" s="2593"/>
      <c r="AG121" s="2593"/>
      <c r="AH121" s="2593"/>
      <c r="AI121" s="2593"/>
      <c r="AJ121" s="2593"/>
    </row>
    <row r="122" spans="1:36" s="2218" customFormat="1" hidden="1" outlineLevel="2">
      <c r="A122" s="2235"/>
      <c r="B122" s="2336" t="s">
        <v>15027</v>
      </c>
      <c r="C122" s="2363" t="s">
        <v>1898</v>
      </c>
      <c r="D122" s="2535" t="s">
        <v>15021</v>
      </c>
      <c r="E122" s="2364"/>
      <c r="F122" s="2364"/>
      <c r="G122" s="2358">
        <f>E122/2+F122/2</f>
        <v>0</v>
      </c>
      <c r="H122" s="2364"/>
      <c r="I122" s="2364"/>
      <c r="J122" s="2358">
        <f>H122/2+I122/2</f>
        <v>0</v>
      </c>
      <c r="K122" s="2364"/>
      <c r="L122" s="2364"/>
      <c r="M122" s="2358">
        <f>K122/2+L122/2</f>
        <v>0</v>
      </c>
      <c r="N122" s="2365">
        <v>0</v>
      </c>
      <c r="O122" s="2364">
        <v>0</v>
      </c>
      <c r="P122" s="2358">
        <f>N122/2+O122/2</f>
        <v>0</v>
      </c>
      <c r="Q122" s="2365">
        <v>0</v>
      </c>
      <c r="R122" s="2364">
        <v>0</v>
      </c>
      <c r="S122" s="2360">
        <f t="shared" si="12"/>
        <v>0</v>
      </c>
      <c r="T122" s="2365">
        <v>0</v>
      </c>
      <c r="U122" s="2364">
        <v>0</v>
      </c>
      <c r="V122" s="2358">
        <f t="shared" si="13"/>
        <v>0</v>
      </c>
      <c r="W122" s="2365">
        <v>0</v>
      </c>
      <c r="X122" s="2364">
        <v>0</v>
      </c>
      <c r="Y122" s="2358">
        <f>W122/2+X122/2</f>
        <v>0</v>
      </c>
      <c r="Z122" s="2365">
        <v>0</v>
      </c>
      <c r="AA122" s="2364">
        <v>0</v>
      </c>
      <c r="AB122" s="2360">
        <f>Z122/2+AA122/2</f>
        <v>0</v>
      </c>
      <c r="AC122" s="2606"/>
      <c r="AD122" s="2606"/>
      <c r="AE122" s="2606"/>
      <c r="AF122" s="2593"/>
      <c r="AG122" s="2593"/>
      <c r="AH122" s="2593"/>
      <c r="AI122" s="2593"/>
      <c r="AJ122" s="2593"/>
    </row>
    <row r="123" spans="1:36" s="2218" customFormat="1" outlineLevel="1" collapsed="1">
      <c r="A123" s="2235"/>
      <c r="B123" s="2329" t="s">
        <v>15028</v>
      </c>
      <c r="C123" s="2363" t="s">
        <v>1799</v>
      </c>
      <c r="D123" s="2535" t="s">
        <v>1800</v>
      </c>
      <c r="E123" s="2364"/>
      <c r="F123" s="2364"/>
      <c r="G123" s="2358">
        <f>E123/2+F123/2</f>
        <v>0</v>
      </c>
      <c r="H123" s="2364"/>
      <c r="I123" s="2364"/>
      <c r="J123" s="2358">
        <f>H123/2+I123/2</f>
        <v>0</v>
      </c>
      <c r="K123" s="2364">
        <v>6</v>
      </c>
      <c r="L123" s="2364">
        <f>K123</f>
        <v>6</v>
      </c>
      <c r="M123" s="2358">
        <f>K123/2+L123/2</f>
        <v>6</v>
      </c>
      <c r="N123" s="3031">
        <f>'[11]НВВ 26.09.23.'!N123+'[12]НВВ 26.09.'!N123</f>
        <v>10.907163869917468</v>
      </c>
      <c r="O123" s="3039">
        <f>'[11]НВВ 26.09.23.'!O123+'[12]НВВ 26.09.'!O123</f>
        <v>24.244190084368377</v>
      </c>
      <c r="P123" s="2358">
        <f>N123/2+O123/2</f>
        <v>17.575676977142923</v>
      </c>
      <c r="Q123" s="3031">
        <f>'[11]НВВ 26.09.23.'!Q123+'[12]НВВ 26.09.'!Q123</f>
        <v>24.244190084368377</v>
      </c>
      <c r="R123" s="3039">
        <f>'[11]НВВ 26.09.23.'!R123+'[12]НВВ 26.09.'!R123</f>
        <v>24.244190084368377</v>
      </c>
      <c r="S123" s="2360">
        <f t="shared" si="12"/>
        <v>24.244190084368377</v>
      </c>
      <c r="T123" s="3031">
        <f>'[11]НВВ 26.09.23.'!T123+'[12]НВВ 26.09.'!T123</f>
        <v>24.244190084368377</v>
      </c>
      <c r="U123" s="3039">
        <f>'[11]НВВ 26.09.23.'!U123+'[12]НВВ 26.09.'!U123</f>
        <v>24.244190084368377</v>
      </c>
      <c r="V123" s="2358">
        <f t="shared" si="13"/>
        <v>24.244190084368377</v>
      </c>
      <c r="W123" s="3031">
        <f>'[11]НВВ 26.09.23.'!W123+'[12]НВВ 26.09.'!W123</f>
        <v>24.244190084368377</v>
      </c>
      <c r="X123" s="3039">
        <f>'[11]НВВ 26.09.23.'!X123+'[12]НВВ 26.09.'!X123</f>
        <v>24.244190084368377</v>
      </c>
      <c r="Y123" s="2358">
        <f>W123/2+X123/2</f>
        <v>24.244190084368377</v>
      </c>
      <c r="Z123" s="3031">
        <f>'[11]НВВ 26.09.23.'!Z123+'[12]НВВ 26.09.'!Z123</f>
        <v>24.244190084368377</v>
      </c>
      <c r="AA123" s="3039">
        <f>'[11]НВВ 26.09.23.'!AA123+'[12]НВВ 26.09.'!AA123</f>
        <v>24.244190084368377</v>
      </c>
      <c r="AB123" s="2360">
        <f>Z123/2+AA123/2</f>
        <v>24.244190084368377</v>
      </c>
      <c r="AC123" s="2606"/>
      <c r="AD123" s="2606"/>
      <c r="AE123" s="2606"/>
      <c r="AF123" s="2593"/>
      <c r="AG123" s="2593"/>
      <c r="AH123" s="2593"/>
      <c r="AI123" s="2593"/>
      <c r="AJ123" s="2593"/>
    </row>
    <row r="124" spans="1:36" s="2218" customFormat="1" ht="32.25" outlineLevel="1" thickBot="1">
      <c r="A124" s="2235"/>
      <c r="B124" s="2368" t="s">
        <v>15029</v>
      </c>
      <c r="C124" s="2369" t="s">
        <v>15030</v>
      </c>
      <c r="D124" s="2537" t="s">
        <v>1317</v>
      </c>
      <c r="E124" s="2370"/>
      <c r="F124" s="2370"/>
      <c r="G124" s="2358">
        <f>E124/2+F124/2</f>
        <v>0</v>
      </c>
      <c r="H124" s="2370"/>
      <c r="I124" s="2370"/>
      <c r="J124" s="2358">
        <f>H124/2+I124/2</f>
        <v>0</v>
      </c>
      <c r="K124" s="2370">
        <f>837.016775952181/1.0215</f>
        <v>819.3996827725706</v>
      </c>
      <c r="L124" s="2370">
        <f>K124*1.043</f>
        <v>854.63386913179113</v>
      </c>
      <c r="M124" s="2358">
        <f>K124/2+L124/2</f>
        <v>837.01677595218086</v>
      </c>
      <c r="N124" s="3031">
        <f>'[11]НВВ 26.09.23.'!N124+'[12]НВВ 26.09.'!N124</f>
        <v>1602.3965532916779</v>
      </c>
      <c r="O124" s="3039">
        <f>'[11]НВВ 26.09.23.'!O124+'[12]НВВ 26.09.'!O124</f>
        <v>3040.4823088065541</v>
      </c>
      <c r="P124" s="2538">
        <f>N124/2+O124/2</f>
        <v>2321.4394310491161</v>
      </c>
      <c r="Q124" s="3031">
        <f>'[11]НВВ 26.09.23.'!Q124+'[12]НВВ 26.09.'!Q124</f>
        <v>3040.4823088065541</v>
      </c>
      <c r="R124" s="3039">
        <f>'[11]НВВ 26.09.23.'!R124+'[12]НВВ 26.09.'!R124</f>
        <v>3162.1016011588163</v>
      </c>
      <c r="S124" s="2539">
        <f t="shared" si="12"/>
        <v>3101.2919549826852</v>
      </c>
      <c r="T124" s="3031">
        <f>'[11]НВВ 26.09.23.'!T124+'[12]НВВ 26.09.'!T124</f>
        <v>3162.1016011588163</v>
      </c>
      <c r="U124" s="3039">
        <f>'[11]НВВ 26.09.23.'!U124+'[12]НВВ 26.09.'!U124</f>
        <v>3206.9695361381023</v>
      </c>
      <c r="V124" s="2538">
        <f t="shared" si="13"/>
        <v>3184.535568648459</v>
      </c>
      <c r="W124" s="3031">
        <f>'[11]НВВ 26.09.23.'!W124+'[12]НВВ 26.09.'!W124</f>
        <v>3206.9695361381023</v>
      </c>
      <c r="X124" s="3039">
        <f>'[11]НВВ 26.09.23.'!X124+'[12]НВВ 26.09.'!X124</f>
        <v>3298.4056090209106</v>
      </c>
      <c r="Y124" s="2538">
        <f>W124/2+X124/2</f>
        <v>3252.6875725795062</v>
      </c>
      <c r="Z124" s="3031">
        <f>'[11]НВВ 26.09.23.'!Z124+'[12]НВВ 26.09.'!Z124</f>
        <v>3298.4056090209106</v>
      </c>
      <c r="AA124" s="3039">
        <f>'[11]НВВ 26.09.23.'!AA124+'[12]НВВ 26.09.'!AA124</f>
        <v>3403.4803589996263</v>
      </c>
      <c r="AB124" s="2540">
        <f>Z124/2+AA124/2</f>
        <v>3350.9429840102684</v>
      </c>
      <c r="AC124" s="2606"/>
      <c r="AD124" s="2606"/>
      <c r="AE124" s="2606"/>
      <c r="AF124" s="2593"/>
      <c r="AG124" s="2593"/>
      <c r="AH124" s="2593"/>
      <c r="AI124" s="2593"/>
      <c r="AJ124" s="2593"/>
    </row>
    <row r="125" spans="1:36" s="2218" customFormat="1" ht="19.5" outlineLevel="1" thickBot="1">
      <c r="A125" s="2235">
        <v>9</v>
      </c>
      <c r="B125" s="1260" t="s">
        <v>1175</v>
      </c>
      <c r="C125" s="2318" t="s">
        <v>1924</v>
      </c>
      <c r="D125" s="2541" t="s">
        <v>1317</v>
      </c>
      <c r="E125" s="2372">
        <f>E126+E142</f>
        <v>0</v>
      </c>
      <c r="F125" s="2373">
        <f>F126+F142</f>
        <v>0</v>
      </c>
      <c r="G125" s="2374">
        <f t="shared" si="8"/>
        <v>0</v>
      </c>
      <c r="H125" s="2373">
        <f>H126+H142</f>
        <v>0</v>
      </c>
      <c r="I125" s="2373">
        <f>I126+I142</f>
        <v>0</v>
      </c>
      <c r="J125" s="2374">
        <f t="shared" si="9"/>
        <v>0</v>
      </c>
      <c r="K125" s="2373">
        <f>K126+K142</f>
        <v>0</v>
      </c>
      <c r="L125" s="2373">
        <f>L126+L142</f>
        <v>0</v>
      </c>
      <c r="M125" s="2374">
        <f t="shared" si="10"/>
        <v>0</v>
      </c>
      <c r="N125" s="2372">
        <f>N126+N142</f>
        <v>50433.418880863959</v>
      </c>
      <c r="O125" s="2373">
        <f>O126+O142</f>
        <v>54972.42658014172</v>
      </c>
      <c r="P125" s="2375">
        <f t="shared" si="11"/>
        <v>52702.92273050284</v>
      </c>
      <c r="Q125" s="2372">
        <f>Q126+Q142</f>
        <v>54972.42658014172</v>
      </c>
      <c r="R125" s="2373">
        <f>R126+R142</f>
        <v>57721.047909148809</v>
      </c>
      <c r="S125" s="2374">
        <f t="shared" si="12"/>
        <v>56346.737244645265</v>
      </c>
      <c r="T125" s="2372">
        <f>T126+T142</f>
        <v>57721.047909148809</v>
      </c>
      <c r="U125" s="2373">
        <f>U126+U142</f>
        <v>60607.100304606254</v>
      </c>
      <c r="V125" s="2375">
        <f t="shared" si="13"/>
        <v>59164.074106877531</v>
      </c>
      <c r="W125" s="2372">
        <f>W126+W142</f>
        <v>60607.100304606254</v>
      </c>
      <c r="X125" s="2373">
        <f>X126+X142</f>
        <v>63637.455319836568</v>
      </c>
      <c r="Y125" s="2375">
        <f t="shared" si="14"/>
        <v>62122.277812221408</v>
      </c>
      <c r="Z125" s="2372">
        <f>Z126+Z142</f>
        <v>63637.455319836568</v>
      </c>
      <c r="AA125" s="2373">
        <f>AA126+AA142</f>
        <v>66819.328085828398</v>
      </c>
      <c r="AB125" s="2374">
        <f t="shared" si="15"/>
        <v>65228.391702832479</v>
      </c>
      <c r="AC125" s="2606"/>
      <c r="AD125" s="2606"/>
      <c r="AE125" s="2606"/>
      <c r="AF125" s="2593"/>
      <c r="AG125" s="2593"/>
      <c r="AH125" s="2593"/>
      <c r="AI125" s="2593"/>
      <c r="AJ125" s="2593"/>
    </row>
    <row r="126" spans="1:36" s="2218" customFormat="1" outlineLevel="1">
      <c r="A126" s="2235">
        <v>198</v>
      </c>
      <c r="B126" s="2243"/>
      <c r="C126" s="2278" t="s">
        <v>1925</v>
      </c>
      <c r="D126" s="2499" t="s">
        <v>1926</v>
      </c>
      <c r="E126" s="2246">
        <f>E127+E130+E133+E136+E139</f>
        <v>0</v>
      </c>
      <c r="F126" s="2247">
        <f>F127+F130+F133+F136+F139</f>
        <v>0</v>
      </c>
      <c r="G126" s="2248">
        <f t="shared" si="8"/>
        <v>0</v>
      </c>
      <c r="H126" s="2247">
        <f>H127+H130+H133+H136+H139</f>
        <v>0</v>
      </c>
      <c r="I126" s="2247">
        <f>I127+I130+I133+I136+I139</f>
        <v>0</v>
      </c>
      <c r="J126" s="2248">
        <f t="shared" si="9"/>
        <v>0</v>
      </c>
      <c r="K126" s="2247">
        <f>K127+K130+K133+K136+K139</f>
        <v>0</v>
      </c>
      <c r="L126" s="2247">
        <f>L127+L130+L133+L136+L139</f>
        <v>0</v>
      </c>
      <c r="M126" s="2250">
        <f t="shared" si="10"/>
        <v>0</v>
      </c>
      <c r="N126" s="2246">
        <f>N127+N130+N133+N136+N139</f>
        <v>50433.418880863959</v>
      </c>
      <c r="O126" s="2247">
        <f>O127+O130+O133+O136+O139</f>
        <v>54972.42658014172</v>
      </c>
      <c r="P126" s="2249">
        <f t="shared" si="11"/>
        <v>52702.92273050284</v>
      </c>
      <c r="Q126" s="2246">
        <f>Q127+Q130+Q133+Q136+Q139</f>
        <v>54972.42658014172</v>
      </c>
      <c r="R126" s="2247">
        <f>R127+R130+R133+R136+R139</f>
        <v>57721.047909148809</v>
      </c>
      <c r="S126" s="2250">
        <f t="shared" si="12"/>
        <v>56346.737244645265</v>
      </c>
      <c r="T126" s="2246">
        <f>T127+T130+T133+T136+T139</f>
        <v>57721.047909148809</v>
      </c>
      <c r="U126" s="2247">
        <f>U127+U130+U133+U136+U139</f>
        <v>60607.100304606254</v>
      </c>
      <c r="V126" s="2249">
        <f t="shared" si="13"/>
        <v>59164.074106877531</v>
      </c>
      <c r="W126" s="2246">
        <f>W127+W130+W133+W136+W139</f>
        <v>60607.100304606254</v>
      </c>
      <c r="X126" s="2247">
        <f>X127+X130+X133+X136+X139</f>
        <v>63637.455319836568</v>
      </c>
      <c r="Y126" s="2249">
        <f t="shared" si="14"/>
        <v>62122.277812221408</v>
      </c>
      <c r="Z126" s="2246">
        <f>Z127+Z130+Z133+Z136+Z139</f>
        <v>63637.455319836568</v>
      </c>
      <c r="AA126" s="2247">
        <f>AA127+AA130+AA133+AA136+AA139</f>
        <v>66819.328085828398</v>
      </c>
      <c r="AB126" s="2250">
        <f t="shared" si="15"/>
        <v>65228.391702832479</v>
      </c>
      <c r="AC126" s="2606"/>
      <c r="AD126" s="2606"/>
      <c r="AE126" s="2606"/>
      <c r="AF126" s="2593"/>
      <c r="AG126" s="2593"/>
      <c r="AH126" s="2593"/>
      <c r="AI126" s="2593"/>
      <c r="AJ126" s="2593"/>
    </row>
    <row r="127" spans="1:36" s="2218" customFormat="1" outlineLevel="1">
      <c r="A127" s="2235">
        <v>201</v>
      </c>
      <c r="B127" s="2279"/>
      <c r="C127" s="2280" t="s">
        <v>1927</v>
      </c>
      <c r="D127" s="2500" t="s">
        <v>1317</v>
      </c>
      <c r="E127" s="2255">
        <f>E128*E129</f>
        <v>0</v>
      </c>
      <c r="F127" s="2256">
        <f>F128*F129</f>
        <v>0</v>
      </c>
      <c r="G127" s="2257">
        <f t="shared" si="8"/>
        <v>0</v>
      </c>
      <c r="H127" s="2256">
        <f>H128*H129</f>
        <v>0</v>
      </c>
      <c r="I127" s="2256">
        <f>I128*I129</f>
        <v>0</v>
      </c>
      <c r="J127" s="2257">
        <f t="shared" si="9"/>
        <v>0</v>
      </c>
      <c r="K127" s="2256">
        <f>K128*K129</f>
        <v>0</v>
      </c>
      <c r="L127" s="2256">
        <f>L128*L129</f>
        <v>0</v>
      </c>
      <c r="M127" s="2259">
        <f t="shared" si="10"/>
        <v>0</v>
      </c>
      <c r="N127" s="3031">
        <f>'[11]НВВ 26.09.23.'!N127+'[12]НВВ 26.09.'!N127</f>
        <v>21230.943339670248</v>
      </c>
      <c r="O127" s="3039">
        <f>'[11]НВВ 26.09.23.'!O127+'[12]НВВ 26.09.'!O127</f>
        <v>23141.728240240573</v>
      </c>
      <c r="P127" s="2258">
        <f t="shared" si="11"/>
        <v>22186.33578995541</v>
      </c>
      <c r="Q127" s="3031">
        <f>'[11]НВВ 26.09.23.'!Q127+'[12]НВВ 26.09.'!Q127</f>
        <v>23141.728240240573</v>
      </c>
      <c r="R127" s="3039">
        <f>'[11]НВВ 26.09.23.'!R127+'[12]НВВ 26.09.'!R127</f>
        <v>24298.814652252604</v>
      </c>
      <c r="S127" s="2259">
        <f t="shared" si="12"/>
        <v>23720.271446246588</v>
      </c>
      <c r="T127" s="3031">
        <f>'[11]НВВ 26.09.23.'!T127+'[12]НВВ 26.09.'!T127</f>
        <v>24298.814652252604</v>
      </c>
      <c r="U127" s="3039">
        <f>'[11]НВВ 26.09.23.'!U127+'[12]НВВ 26.09.'!U127</f>
        <v>25513.755384865235</v>
      </c>
      <c r="V127" s="2258">
        <f t="shared" si="13"/>
        <v>24906.28501855892</v>
      </c>
      <c r="W127" s="3031">
        <f>'[11]НВВ 26.09.23.'!W127+'[12]НВВ 26.09.'!W127</f>
        <v>25513.755384865235</v>
      </c>
      <c r="X127" s="3039">
        <f>'[11]НВВ 26.09.23.'!X127+'[12]НВВ 26.09.'!X127</f>
        <v>26789.4431541085</v>
      </c>
      <c r="Y127" s="2258">
        <f t="shared" si="14"/>
        <v>26151.599269486869</v>
      </c>
      <c r="Z127" s="3031">
        <f>'[11]НВВ 26.09.23.'!Z127+'[12]НВВ 26.09.'!Z127</f>
        <v>26789.4431541085</v>
      </c>
      <c r="AA127" s="3039">
        <f>'[11]НВВ 26.09.23.'!AA127+'[12]НВВ 26.09.'!AA127</f>
        <v>28128.915311813922</v>
      </c>
      <c r="AB127" s="2259">
        <f t="shared" si="15"/>
        <v>27459.179232961211</v>
      </c>
      <c r="AC127" s="2606"/>
      <c r="AD127" s="2606"/>
      <c r="AE127" s="2606"/>
      <c r="AF127" s="2593"/>
      <c r="AG127" s="2593"/>
      <c r="AH127" s="2593"/>
      <c r="AI127" s="2593"/>
      <c r="AJ127" s="2593"/>
    </row>
    <row r="128" spans="1:36" s="2218" customFormat="1" outlineLevel="1">
      <c r="A128" s="2235">
        <v>206</v>
      </c>
      <c r="B128" s="2281" t="s">
        <v>1928</v>
      </c>
      <c r="C128" s="2282" t="s">
        <v>1929</v>
      </c>
      <c r="D128" s="2504" t="s">
        <v>1930</v>
      </c>
      <c r="E128" s="2284"/>
      <c r="F128" s="2285"/>
      <c r="G128" s="2257">
        <f t="shared" si="8"/>
        <v>0</v>
      </c>
      <c r="H128" s="2285"/>
      <c r="I128" s="2285"/>
      <c r="J128" s="2257">
        <f t="shared" si="9"/>
        <v>0</v>
      </c>
      <c r="K128" s="2285"/>
      <c r="L128" s="2285"/>
      <c r="M128" s="2259">
        <f t="shared" si="10"/>
        <v>0</v>
      </c>
      <c r="N128" s="3031">
        <f>'[11]НВВ 26.09.23.'!N128+'[12]НВВ 26.09.'!N128</f>
        <v>2979.9113039303097</v>
      </c>
      <c r="O128" s="3039">
        <f>'[11]НВВ 26.09.23.'!O128+'[12]НВВ 26.09.'!O128</f>
        <v>2979.9113039303097</v>
      </c>
      <c r="P128" s="2258">
        <f t="shared" si="11"/>
        <v>2979.9113039303097</v>
      </c>
      <c r="Q128" s="3031">
        <f>'[11]НВВ 26.09.23.'!Q128+'[12]НВВ 26.09.'!Q128</f>
        <v>2979.9113039303097</v>
      </c>
      <c r="R128" s="3039">
        <f>'[11]НВВ 26.09.23.'!R128+'[12]НВВ 26.09.'!R128</f>
        <v>2979.9113039303097</v>
      </c>
      <c r="S128" s="2259">
        <f t="shared" si="12"/>
        <v>2979.9113039303097</v>
      </c>
      <c r="T128" s="3031">
        <f>'[11]НВВ 26.09.23.'!T128+'[12]НВВ 26.09.'!T128</f>
        <v>2979.9113039303097</v>
      </c>
      <c r="U128" s="3039">
        <f>'[11]НВВ 26.09.23.'!U128+'[12]НВВ 26.09.'!U128</f>
        <v>2979.9113039303097</v>
      </c>
      <c r="V128" s="2258">
        <f t="shared" si="13"/>
        <v>2979.9113039303097</v>
      </c>
      <c r="W128" s="3031">
        <f>'[11]НВВ 26.09.23.'!W128+'[12]НВВ 26.09.'!W128</f>
        <v>2979.9113039303097</v>
      </c>
      <c r="X128" s="3039">
        <f>'[11]НВВ 26.09.23.'!X128+'[12]НВВ 26.09.'!X128</f>
        <v>2979.9113039303097</v>
      </c>
      <c r="Y128" s="2258">
        <f t="shared" si="14"/>
        <v>2979.9113039303097</v>
      </c>
      <c r="Z128" s="3031">
        <f>'[11]НВВ 26.09.23.'!Z128+'[12]НВВ 26.09.'!Z128</f>
        <v>2979.9113039303097</v>
      </c>
      <c r="AA128" s="3039">
        <f>'[11]НВВ 26.09.23.'!AA128+'[12]НВВ 26.09.'!AA128</f>
        <v>2979.9113039303097</v>
      </c>
      <c r="AB128" s="2259">
        <f t="shared" si="15"/>
        <v>2979.9113039303097</v>
      </c>
      <c r="AC128" s="2606"/>
      <c r="AD128" s="2606"/>
      <c r="AE128" s="2606"/>
      <c r="AF128" s="2593"/>
      <c r="AG128" s="2593"/>
      <c r="AH128" s="2593"/>
      <c r="AI128" s="2593"/>
      <c r="AJ128" s="2593"/>
    </row>
    <row r="129" spans="1:36" s="2218" customFormat="1" outlineLevel="1">
      <c r="A129" s="2235">
        <v>207</v>
      </c>
      <c r="B129" s="2281" t="s">
        <v>1932</v>
      </c>
      <c r="C129" s="2282" t="s">
        <v>1933</v>
      </c>
      <c r="D129" s="2504" t="s">
        <v>1934</v>
      </c>
      <c r="E129" s="2284"/>
      <c r="F129" s="2285"/>
      <c r="G129" s="2257">
        <f t="shared" si="8"/>
        <v>0</v>
      </c>
      <c r="H129" s="2285"/>
      <c r="I129" s="2285"/>
      <c r="J129" s="2257">
        <f t="shared" si="9"/>
        <v>0</v>
      </c>
      <c r="K129" s="2285"/>
      <c r="L129" s="2285"/>
      <c r="M129" s="2259">
        <f t="shared" si="10"/>
        <v>0</v>
      </c>
      <c r="N129" s="2284">
        <v>7.1246896884709328</v>
      </c>
      <c r="O129" s="2285">
        <v>7.7659117604333172</v>
      </c>
      <c r="P129" s="2258">
        <f t="shared" si="11"/>
        <v>7.4453007244521245</v>
      </c>
      <c r="Q129" s="2284">
        <f t="shared" ref="Q129:Q132" si="16">O129</f>
        <v>7.7659117604333172</v>
      </c>
      <c r="R129" s="2285">
        <f>Q129*1.05</f>
        <v>8.1542073484549835</v>
      </c>
      <c r="S129" s="2259">
        <f t="shared" si="12"/>
        <v>7.9600595544441504</v>
      </c>
      <c r="T129" s="2284">
        <f t="shared" ref="T129:T132" si="17">R129</f>
        <v>8.1542073484549835</v>
      </c>
      <c r="U129" s="2285">
        <f>T129*1.05</f>
        <v>8.5619177158777333</v>
      </c>
      <c r="V129" s="2258">
        <f t="shared" si="13"/>
        <v>8.3580625321663575</v>
      </c>
      <c r="W129" s="2284">
        <f t="shared" ref="W129:W132" si="18">U129</f>
        <v>8.5619177158777333</v>
      </c>
      <c r="X129" s="2285">
        <f>W129*1.05</f>
        <v>8.9900136016716203</v>
      </c>
      <c r="Y129" s="2258">
        <f t="shared" si="14"/>
        <v>8.7759656587746768</v>
      </c>
      <c r="Z129" s="2284">
        <f t="shared" ref="Z129:Z132" si="19">X129</f>
        <v>8.9900136016716203</v>
      </c>
      <c r="AA129" s="2285">
        <f>Z129*1.05</f>
        <v>9.4395142817552014</v>
      </c>
      <c r="AB129" s="2259">
        <f t="shared" si="15"/>
        <v>9.2147639417134108</v>
      </c>
      <c r="AC129" s="2606"/>
      <c r="AD129" s="2606"/>
      <c r="AE129" s="2606"/>
      <c r="AF129" s="2593"/>
      <c r="AG129" s="2593"/>
      <c r="AH129" s="2593"/>
      <c r="AI129" s="2593"/>
      <c r="AJ129" s="2593"/>
    </row>
    <row r="130" spans="1:36" s="2218" customFormat="1" hidden="1" outlineLevel="2">
      <c r="A130" s="2235">
        <v>202</v>
      </c>
      <c r="B130" s="2279"/>
      <c r="C130" s="2280" t="s">
        <v>1936</v>
      </c>
      <c r="D130" s="2500" t="s">
        <v>1317</v>
      </c>
      <c r="E130" s="2255">
        <f>E131*E132</f>
        <v>0</v>
      </c>
      <c r="F130" s="2256">
        <f>F131*F132</f>
        <v>0</v>
      </c>
      <c r="G130" s="2257">
        <f t="shared" si="8"/>
        <v>0</v>
      </c>
      <c r="H130" s="2256">
        <f>H131*H132</f>
        <v>0</v>
      </c>
      <c r="I130" s="2256">
        <f>I131*I132</f>
        <v>0</v>
      </c>
      <c r="J130" s="2257">
        <f t="shared" si="9"/>
        <v>0</v>
      </c>
      <c r="K130" s="2256">
        <f>K131*K132</f>
        <v>0</v>
      </c>
      <c r="L130" s="2256">
        <f>L131*L132</f>
        <v>0</v>
      </c>
      <c r="M130" s="2259">
        <f t="shared" si="10"/>
        <v>0</v>
      </c>
      <c r="N130" s="2255">
        <f>N131*N132</f>
        <v>0</v>
      </c>
      <c r="O130" s="2256">
        <f>O131*O132</f>
        <v>0</v>
      </c>
      <c r="P130" s="2258">
        <f t="shared" si="11"/>
        <v>0</v>
      </c>
      <c r="Q130" s="2284">
        <f t="shared" si="16"/>
        <v>0</v>
      </c>
      <c r="R130" s="2256">
        <f>R131*R132</f>
        <v>0</v>
      </c>
      <c r="S130" s="2259">
        <f t="shared" si="12"/>
        <v>0</v>
      </c>
      <c r="T130" s="2284">
        <f t="shared" si="17"/>
        <v>0</v>
      </c>
      <c r="U130" s="2256">
        <f>U131*U132</f>
        <v>0</v>
      </c>
      <c r="V130" s="2258">
        <f t="shared" si="13"/>
        <v>0</v>
      </c>
      <c r="W130" s="2284">
        <f t="shared" si="18"/>
        <v>0</v>
      </c>
      <c r="X130" s="2256">
        <f>X131*X132</f>
        <v>0</v>
      </c>
      <c r="Y130" s="2258">
        <f t="shared" si="14"/>
        <v>0</v>
      </c>
      <c r="Z130" s="2284">
        <f t="shared" si="19"/>
        <v>0</v>
      </c>
      <c r="AA130" s="2256">
        <f>AA131*AA132</f>
        <v>0</v>
      </c>
      <c r="AB130" s="2259">
        <f t="shared" si="15"/>
        <v>0</v>
      </c>
      <c r="AC130" s="2606"/>
      <c r="AD130" s="2606"/>
      <c r="AE130" s="2606"/>
      <c r="AF130" s="2593"/>
      <c r="AG130" s="2593"/>
      <c r="AH130" s="2593"/>
      <c r="AI130" s="2593"/>
      <c r="AJ130" s="2593"/>
    </row>
    <row r="131" spans="1:36" s="2218" customFormat="1" hidden="1" outlineLevel="2">
      <c r="A131" s="2235">
        <v>208</v>
      </c>
      <c r="B131" s="2281" t="s">
        <v>1937</v>
      </c>
      <c r="C131" s="2282" t="s">
        <v>1929</v>
      </c>
      <c r="D131" s="2504" t="s">
        <v>1930</v>
      </c>
      <c r="E131" s="2284"/>
      <c r="F131" s="2285"/>
      <c r="G131" s="2257">
        <f t="shared" si="8"/>
        <v>0</v>
      </c>
      <c r="H131" s="2285"/>
      <c r="I131" s="2285"/>
      <c r="J131" s="2257">
        <f t="shared" si="9"/>
        <v>0</v>
      </c>
      <c r="K131" s="2285"/>
      <c r="L131" s="2285"/>
      <c r="M131" s="2259">
        <f t="shared" si="10"/>
        <v>0</v>
      </c>
      <c r="N131" s="2284"/>
      <c r="O131" s="2285"/>
      <c r="P131" s="2258">
        <f t="shared" si="11"/>
        <v>0</v>
      </c>
      <c r="Q131" s="2284">
        <f t="shared" si="16"/>
        <v>0</v>
      </c>
      <c r="R131" s="2285"/>
      <c r="S131" s="2259">
        <f t="shared" si="12"/>
        <v>0</v>
      </c>
      <c r="T131" s="2284">
        <f t="shared" si="17"/>
        <v>0</v>
      </c>
      <c r="U131" s="2285"/>
      <c r="V131" s="2258">
        <f t="shared" si="13"/>
        <v>0</v>
      </c>
      <c r="W131" s="2284">
        <f t="shared" si="18"/>
        <v>0</v>
      </c>
      <c r="X131" s="2285"/>
      <c r="Y131" s="2258">
        <f t="shared" si="14"/>
        <v>0</v>
      </c>
      <c r="Z131" s="2284">
        <f t="shared" si="19"/>
        <v>0</v>
      </c>
      <c r="AA131" s="2285"/>
      <c r="AB131" s="2259">
        <f t="shared" si="15"/>
        <v>0</v>
      </c>
      <c r="AC131" s="2606"/>
      <c r="AD131" s="2606"/>
      <c r="AE131" s="2606"/>
      <c r="AF131" s="2593"/>
      <c r="AG131" s="2593"/>
      <c r="AH131" s="2593"/>
      <c r="AI131" s="2593"/>
      <c r="AJ131" s="2593"/>
    </row>
    <row r="132" spans="1:36" s="2218" customFormat="1" hidden="1" outlineLevel="2">
      <c r="A132" s="2235">
        <v>209</v>
      </c>
      <c r="B132" s="2281" t="s">
        <v>1938</v>
      </c>
      <c r="C132" s="2282" t="s">
        <v>1933</v>
      </c>
      <c r="D132" s="2504" t="s">
        <v>1934</v>
      </c>
      <c r="E132" s="2284"/>
      <c r="F132" s="2285"/>
      <c r="G132" s="2257">
        <f t="shared" si="8"/>
        <v>0</v>
      </c>
      <c r="H132" s="2285"/>
      <c r="I132" s="2285"/>
      <c r="J132" s="2257">
        <f t="shared" si="9"/>
        <v>0</v>
      </c>
      <c r="K132" s="2285"/>
      <c r="L132" s="2285"/>
      <c r="M132" s="2259">
        <f t="shared" si="10"/>
        <v>0</v>
      </c>
      <c r="N132" s="2284"/>
      <c r="O132" s="2285"/>
      <c r="P132" s="2258">
        <f t="shared" si="11"/>
        <v>0</v>
      </c>
      <c r="Q132" s="2284">
        <f t="shared" si="16"/>
        <v>0</v>
      </c>
      <c r="R132" s="2285"/>
      <c r="S132" s="2259">
        <f t="shared" si="12"/>
        <v>0</v>
      </c>
      <c r="T132" s="2284">
        <f t="shared" si="17"/>
        <v>0</v>
      </c>
      <c r="U132" s="2285"/>
      <c r="V132" s="2258">
        <f t="shared" si="13"/>
        <v>0</v>
      </c>
      <c r="W132" s="2284">
        <f t="shared" si="18"/>
        <v>0</v>
      </c>
      <c r="X132" s="2285"/>
      <c r="Y132" s="2258">
        <f t="shared" si="14"/>
        <v>0</v>
      </c>
      <c r="Z132" s="2284">
        <f t="shared" si="19"/>
        <v>0</v>
      </c>
      <c r="AA132" s="2285"/>
      <c r="AB132" s="2259">
        <f t="shared" si="15"/>
        <v>0</v>
      </c>
      <c r="AC132" s="2606"/>
      <c r="AD132" s="2606"/>
      <c r="AE132" s="2606"/>
      <c r="AF132" s="2593"/>
      <c r="AG132" s="2593"/>
      <c r="AH132" s="2593"/>
      <c r="AI132" s="2593"/>
      <c r="AJ132" s="2593"/>
    </row>
    <row r="133" spans="1:36" s="2218" customFormat="1" outlineLevel="1" collapsed="1">
      <c r="A133" s="2235">
        <v>203</v>
      </c>
      <c r="B133" s="2279"/>
      <c r="C133" s="2280" t="s">
        <v>1939</v>
      </c>
      <c r="D133" s="2500" t="s">
        <v>1317</v>
      </c>
      <c r="E133" s="2255">
        <f>E134*E135</f>
        <v>0</v>
      </c>
      <c r="F133" s="2256">
        <f>F134*F135</f>
        <v>0</v>
      </c>
      <c r="G133" s="2257">
        <f t="shared" si="8"/>
        <v>0</v>
      </c>
      <c r="H133" s="2256">
        <f>H134*H135</f>
        <v>0</v>
      </c>
      <c r="I133" s="2256">
        <f>I134*I135</f>
        <v>0</v>
      </c>
      <c r="J133" s="2257">
        <f t="shared" si="9"/>
        <v>0</v>
      </c>
      <c r="K133" s="2256">
        <f>K134*K135</f>
        <v>0</v>
      </c>
      <c r="L133" s="2256">
        <f>L134*L135</f>
        <v>0</v>
      </c>
      <c r="M133" s="2259">
        <f t="shared" si="10"/>
        <v>0</v>
      </c>
      <c r="N133" s="3031">
        <f>'[11]НВВ 26.09.23.'!N133+'[12]НВВ 26.09.'!N133</f>
        <v>29202.475541193711</v>
      </c>
      <c r="O133" s="3039">
        <f>'[11]НВВ 26.09.23.'!O133+'[12]НВВ 26.09.'!O133</f>
        <v>31830.698339901144</v>
      </c>
      <c r="P133" s="2258">
        <f t="shared" si="11"/>
        <v>30516.58694054743</v>
      </c>
      <c r="Q133" s="3031">
        <f>'[11]НВВ 26.09.23.'!Q133+'[12]НВВ 26.09.'!Q133</f>
        <v>31830.698339901144</v>
      </c>
      <c r="R133" s="3039">
        <f>'[11]НВВ 26.09.23.'!R133+'[12]НВВ 26.09.'!R133</f>
        <v>33422.233256896201</v>
      </c>
      <c r="S133" s="2259">
        <f t="shared" si="12"/>
        <v>32626.465798398673</v>
      </c>
      <c r="T133" s="3031">
        <f>'[11]НВВ 26.09.23.'!T133+'[12]НВВ 26.09.'!T133</f>
        <v>33422.233256896201</v>
      </c>
      <c r="U133" s="3039">
        <f>'[11]НВВ 26.09.23.'!U133+'[12]НВВ 26.09.'!U133</f>
        <v>35093.344919741015</v>
      </c>
      <c r="V133" s="2258">
        <f t="shared" si="13"/>
        <v>34257.789088318605</v>
      </c>
      <c r="W133" s="3031">
        <f>'[11]НВВ 26.09.23.'!W133+'[12]НВВ 26.09.'!W133</f>
        <v>35093.344919741015</v>
      </c>
      <c r="X133" s="3039">
        <f>'[11]НВВ 26.09.23.'!X133+'[12]НВВ 26.09.'!X133</f>
        <v>36848.012165728069</v>
      </c>
      <c r="Y133" s="2258">
        <f t="shared" si="14"/>
        <v>35970.678542734546</v>
      </c>
      <c r="Z133" s="3031">
        <f>'[11]НВВ 26.09.23.'!Z133+'[12]НВВ 26.09.'!Z133</f>
        <v>36848.012165728069</v>
      </c>
      <c r="AA133" s="3039">
        <f>'[11]НВВ 26.09.23.'!AA133+'[12]НВВ 26.09.'!AA133</f>
        <v>38690.412774014476</v>
      </c>
      <c r="AB133" s="2259">
        <f t="shared" si="15"/>
        <v>37769.212469871272</v>
      </c>
      <c r="AC133" s="2606"/>
      <c r="AD133" s="2606"/>
      <c r="AE133" s="2606"/>
      <c r="AF133" s="2593"/>
      <c r="AG133" s="2593"/>
      <c r="AH133" s="2593"/>
      <c r="AI133" s="2593"/>
      <c r="AJ133" s="2593"/>
    </row>
    <row r="134" spans="1:36" s="2218" customFormat="1" outlineLevel="1">
      <c r="A134" s="2235">
        <v>210</v>
      </c>
      <c r="B134" s="2281" t="s">
        <v>1940</v>
      </c>
      <c r="C134" s="2282" t="s">
        <v>1929</v>
      </c>
      <c r="D134" s="2504" t="s">
        <v>1930</v>
      </c>
      <c r="E134" s="2284"/>
      <c r="F134" s="2285"/>
      <c r="G134" s="2257">
        <f t="shared" ref="G134:G224" si="20">E134/2+F134/2</f>
        <v>0</v>
      </c>
      <c r="H134" s="2285"/>
      <c r="I134" s="2285"/>
      <c r="J134" s="2257">
        <f t="shared" ref="J134:J224" si="21">H134/2+I134/2</f>
        <v>0</v>
      </c>
      <c r="K134" s="2285"/>
      <c r="L134" s="2285"/>
      <c r="M134" s="2259">
        <f t="shared" ref="M134:M224" si="22">K134/2+L134/2</f>
        <v>0</v>
      </c>
      <c r="N134" s="3031">
        <f>'[11]НВВ 26.09.23.'!N134+'[12]НВВ 26.09.'!N134</f>
        <v>4201.7547970699225</v>
      </c>
      <c r="O134" s="3039">
        <f>'[11]НВВ 26.09.23.'!O134+'[12]НВВ 26.09.'!O134</f>
        <v>4201.7547970699225</v>
      </c>
      <c r="P134" s="2258">
        <f t="shared" ref="P134:P224" si="23">N134/2+O134/2</f>
        <v>4201.7547970699225</v>
      </c>
      <c r="Q134" s="3031">
        <f>'[11]НВВ 26.09.23.'!Q134+'[12]НВВ 26.09.'!Q134</f>
        <v>4201.7547970699225</v>
      </c>
      <c r="R134" s="3039">
        <f>'[11]НВВ 26.09.23.'!R134+'[12]НВВ 26.09.'!R134</f>
        <v>4201.7547970699225</v>
      </c>
      <c r="S134" s="2259">
        <f t="shared" ref="S134:S197" si="24">Q134/2+R134/2</f>
        <v>4201.7547970699225</v>
      </c>
      <c r="T134" s="3031">
        <f>'[11]НВВ 26.09.23.'!T134+'[12]НВВ 26.09.'!T134</f>
        <v>4201.7547970699225</v>
      </c>
      <c r="U134" s="3039">
        <f>'[11]НВВ 26.09.23.'!U134+'[12]НВВ 26.09.'!U134</f>
        <v>4201.7547970699225</v>
      </c>
      <c r="V134" s="2258">
        <f t="shared" ref="V134:V197" si="25">T134/2+U134/2</f>
        <v>4201.7547970699225</v>
      </c>
      <c r="W134" s="3031">
        <f>'[11]НВВ 26.09.23.'!W134+'[12]НВВ 26.09.'!W134</f>
        <v>4201.7547970699225</v>
      </c>
      <c r="X134" s="3039">
        <f>'[11]НВВ 26.09.23.'!X134+'[12]НВВ 26.09.'!X134</f>
        <v>4201.7547970699225</v>
      </c>
      <c r="Y134" s="2258">
        <f t="shared" ref="Y134:Y224" si="26">W134/2+X134/2</f>
        <v>4201.7547970699225</v>
      </c>
      <c r="Z134" s="3031">
        <f>'[11]НВВ 26.09.23.'!Z134+'[12]НВВ 26.09.'!Z134</f>
        <v>4201.7547970699225</v>
      </c>
      <c r="AA134" s="3039">
        <f>'[11]НВВ 26.09.23.'!AA134+'[12]НВВ 26.09.'!AA134</f>
        <v>4201.7547970699225</v>
      </c>
      <c r="AB134" s="2259">
        <f t="shared" ref="AB134:AB224" si="27">Z134/2+AA134/2</f>
        <v>4201.7547970699225</v>
      </c>
      <c r="AC134" s="2606"/>
      <c r="AD134" s="2606"/>
      <c r="AE134" s="2606"/>
      <c r="AF134" s="2593"/>
      <c r="AG134" s="2593"/>
      <c r="AH134" s="2593"/>
      <c r="AI134" s="2593"/>
      <c r="AJ134" s="2593"/>
    </row>
    <row r="135" spans="1:36" s="2218" customFormat="1" ht="16.5" outlineLevel="1" thickBot="1">
      <c r="A135" s="2235">
        <v>211</v>
      </c>
      <c r="B135" s="2281" t="s">
        <v>1941</v>
      </c>
      <c r="C135" s="2282" t="s">
        <v>1933</v>
      </c>
      <c r="D135" s="2504" t="s">
        <v>1934</v>
      </c>
      <c r="E135" s="2284"/>
      <c r="F135" s="2285"/>
      <c r="G135" s="2257">
        <f t="shared" si="20"/>
        <v>0</v>
      </c>
      <c r="H135" s="2285"/>
      <c r="I135" s="2285"/>
      <c r="J135" s="2257">
        <f t="shared" si="21"/>
        <v>0</v>
      </c>
      <c r="K135" s="2285"/>
      <c r="L135" s="2285"/>
      <c r="M135" s="2259">
        <f t="shared" si="22"/>
        <v>0</v>
      </c>
      <c r="N135" s="2284">
        <v>6.9500665677963758</v>
      </c>
      <c r="O135" s="2286">
        <v>7.5755725588980489</v>
      </c>
      <c r="P135" s="2258">
        <f t="shared" si="23"/>
        <v>7.2628195633472128</v>
      </c>
      <c r="Q135" s="2284">
        <f>O135</f>
        <v>7.5755725588980489</v>
      </c>
      <c r="R135" s="2285">
        <f>Q135*1.05</f>
        <v>7.9543511868429517</v>
      </c>
      <c r="S135" s="2259">
        <f t="shared" si="24"/>
        <v>7.7649618728705008</v>
      </c>
      <c r="T135" s="2284">
        <f>R135</f>
        <v>7.9543511868429517</v>
      </c>
      <c r="U135" s="2285">
        <f>T135*1.05</f>
        <v>8.3520687461851004</v>
      </c>
      <c r="V135" s="2258">
        <f t="shared" si="25"/>
        <v>8.1532099665140265</v>
      </c>
      <c r="W135" s="2284">
        <f>U135</f>
        <v>8.3520687461851004</v>
      </c>
      <c r="X135" s="2285">
        <f>W135*1.05</f>
        <v>8.7696721834943556</v>
      </c>
      <c r="Y135" s="2258">
        <f t="shared" si="26"/>
        <v>8.5608704648397271</v>
      </c>
      <c r="Z135" s="2284">
        <f>X135</f>
        <v>8.7696721834943556</v>
      </c>
      <c r="AA135" s="2285">
        <f>Z135*1.05</f>
        <v>9.2081557926690731</v>
      </c>
      <c r="AB135" s="2259">
        <f t="shared" si="27"/>
        <v>8.9889139880817144</v>
      </c>
      <c r="AC135" s="2606"/>
      <c r="AD135" s="2606"/>
      <c r="AE135" s="2606"/>
      <c r="AF135" s="2593"/>
      <c r="AG135" s="2593"/>
      <c r="AH135" s="2593"/>
      <c r="AI135" s="2593"/>
      <c r="AJ135" s="2593"/>
    </row>
    <row r="136" spans="1:36" s="2218" customFormat="1" hidden="1" outlineLevel="2">
      <c r="A136" s="2235">
        <v>204</v>
      </c>
      <c r="B136" s="2279"/>
      <c r="C136" s="2280" t="s">
        <v>1942</v>
      </c>
      <c r="D136" s="2500" t="s">
        <v>1317</v>
      </c>
      <c r="E136" s="2255">
        <f>E137*E138</f>
        <v>0</v>
      </c>
      <c r="F136" s="2256">
        <f>F137*F138</f>
        <v>0</v>
      </c>
      <c r="G136" s="2257">
        <f t="shared" si="20"/>
        <v>0</v>
      </c>
      <c r="H136" s="2256">
        <f>H137*H138</f>
        <v>0</v>
      </c>
      <c r="I136" s="2256">
        <f>I137*I138</f>
        <v>0</v>
      </c>
      <c r="J136" s="2257">
        <f t="shared" si="21"/>
        <v>0</v>
      </c>
      <c r="K136" s="2256">
        <f>K137*K138</f>
        <v>0</v>
      </c>
      <c r="L136" s="2256">
        <f>L137*L138</f>
        <v>0</v>
      </c>
      <c r="M136" s="2259">
        <f t="shared" si="22"/>
        <v>0</v>
      </c>
      <c r="N136" s="2255">
        <f>N137*N138</f>
        <v>0</v>
      </c>
      <c r="O136" s="2256">
        <f>O137*O138</f>
        <v>0</v>
      </c>
      <c r="P136" s="2258">
        <f t="shared" si="23"/>
        <v>0</v>
      </c>
      <c r="Q136" s="2255">
        <f>Q137*Q138</f>
        <v>0</v>
      </c>
      <c r="R136" s="2256">
        <f>R137*R138</f>
        <v>0</v>
      </c>
      <c r="S136" s="2259">
        <f t="shared" si="24"/>
        <v>0</v>
      </c>
      <c r="T136" s="2255">
        <f>T137*T138</f>
        <v>0</v>
      </c>
      <c r="U136" s="2256">
        <f>U137*U138</f>
        <v>0</v>
      </c>
      <c r="V136" s="2258">
        <f t="shared" si="25"/>
        <v>0</v>
      </c>
      <c r="W136" s="2255">
        <f>W137*W138</f>
        <v>0</v>
      </c>
      <c r="X136" s="2256">
        <f>X137*X138</f>
        <v>0</v>
      </c>
      <c r="Y136" s="2258">
        <f t="shared" si="26"/>
        <v>0</v>
      </c>
      <c r="Z136" s="2255">
        <f>Z137*Z138</f>
        <v>0</v>
      </c>
      <c r="AA136" s="2256">
        <f>AA137*AA138</f>
        <v>0</v>
      </c>
      <c r="AB136" s="2259">
        <f t="shared" si="27"/>
        <v>0</v>
      </c>
      <c r="AC136" s="2606"/>
      <c r="AD136" s="2606"/>
      <c r="AE136" s="2606"/>
      <c r="AF136" s="2593"/>
      <c r="AG136" s="2593"/>
      <c r="AH136" s="2593"/>
      <c r="AI136" s="2593"/>
      <c r="AJ136" s="2593"/>
    </row>
    <row r="137" spans="1:36" s="2218" customFormat="1" hidden="1" outlineLevel="2">
      <c r="A137" s="2235">
        <v>212</v>
      </c>
      <c r="B137" s="2281" t="s">
        <v>1943</v>
      </c>
      <c r="C137" s="2282" t="s">
        <v>1929</v>
      </c>
      <c r="D137" s="2504" t="s">
        <v>1930</v>
      </c>
      <c r="E137" s="2284"/>
      <c r="F137" s="2285"/>
      <c r="G137" s="2257">
        <f t="shared" si="20"/>
        <v>0</v>
      </c>
      <c r="H137" s="2285"/>
      <c r="I137" s="2285"/>
      <c r="J137" s="2257">
        <f t="shared" si="21"/>
        <v>0</v>
      </c>
      <c r="K137" s="2285"/>
      <c r="L137" s="2285"/>
      <c r="M137" s="2259">
        <f t="shared" si="22"/>
        <v>0</v>
      </c>
      <c r="N137" s="2284"/>
      <c r="O137" s="2285"/>
      <c r="P137" s="2258">
        <f t="shared" si="23"/>
        <v>0</v>
      </c>
      <c r="Q137" s="2284"/>
      <c r="R137" s="2285"/>
      <c r="S137" s="2259">
        <f t="shared" si="24"/>
        <v>0</v>
      </c>
      <c r="T137" s="2284"/>
      <c r="U137" s="2285"/>
      <c r="V137" s="2258">
        <f t="shared" si="25"/>
        <v>0</v>
      </c>
      <c r="W137" s="2284"/>
      <c r="X137" s="2285"/>
      <c r="Y137" s="2258">
        <f t="shared" si="26"/>
        <v>0</v>
      </c>
      <c r="Z137" s="2284"/>
      <c r="AA137" s="2285"/>
      <c r="AB137" s="2259">
        <f t="shared" si="27"/>
        <v>0</v>
      </c>
      <c r="AC137" s="2606"/>
      <c r="AD137" s="2606"/>
      <c r="AE137" s="2606"/>
      <c r="AF137" s="2593"/>
      <c r="AG137" s="2593"/>
      <c r="AH137" s="2593"/>
      <c r="AI137" s="2593"/>
      <c r="AJ137" s="2593"/>
    </row>
    <row r="138" spans="1:36" s="2218" customFormat="1" hidden="1" outlineLevel="2">
      <c r="A138" s="2235">
        <v>213</v>
      </c>
      <c r="B138" s="2281" t="s">
        <v>1944</v>
      </c>
      <c r="C138" s="2282" t="s">
        <v>1933</v>
      </c>
      <c r="D138" s="2504" t="s">
        <v>1934</v>
      </c>
      <c r="E138" s="2284"/>
      <c r="F138" s="2285"/>
      <c r="G138" s="2257">
        <f t="shared" si="20"/>
        <v>0</v>
      </c>
      <c r="H138" s="2285"/>
      <c r="I138" s="2285"/>
      <c r="J138" s="2257">
        <f t="shared" si="21"/>
        <v>0</v>
      </c>
      <c r="K138" s="2285"/>
      <c r="L138" s="2285"/>
      <c r="M138" s="2259">
        <f t="shared" si="22"/>
        <v>0</v>
      </c>
      <c r="N138" s="2284"/>
      <c r="O138" s="2285"/>
      <c r="P138" s="2258">
        <f t="shared" si="23"/>
        <v>0</v>
      </c>
      <c r="Q138" s="2284"/>
      <c r="R138" s="2285"/>
      <c r="S138" s="2259">
        <f t="shared" si="24"/>
        <v>0</v>
      </c>
      <c r="T138" s="2284"/>
      <c r="U138" s="2285"/>
      <c r="V138" s="2258">
        <f t="shared" si="25"/>
        <v>0</v>
      </c>
      <c r="W138" s="2284"/>
      <c r="X138" s="2285"/>
      <c r="Y138" s="2258">
        <f t="shared" si="26"/>
        <v>0</v>
      </c>
      <c r="Z138" s="2284"/>
      <c r="AA138" s="2285"/>
      <c r="AB138" s="2259">
        <f t="shared" si="27"/>
        <v>0</v>
      </c>
      <c r="AC138" s="2606"/>
      <c r="AD138" s="2606"/>
      <c r="AE138" s="2606"/>
      <c r="AF138" s="2593"/>
      <c r="AG138" s="2593"/>
      <c r="AH138" s="2593"/>
      <c r="AI138" s="2593"/>
      <c r="AJ138" s="2593"/>
    </row>
    <row r="139" spans="1:36" s="2218" customFormat="1" hidden="1" outlineLevel="2">
      <c r="A139" s="2235">
        <v>205</v>
      </c>
      <c r="B139" s="2279"/>
      <c r="C139" s="2280" t="s">
        <v>1945</v>
      </c>
      <c r="D139" s="2500" t="s">
        <v>1317</v>
      </c>
      <c r="E139" s="2255">
        <f>E140*E141</f>
        <v>0</v>
      </c>
      <c r="F139" s="2256">
        <f>F140*F141</f>
        <v>0</v>
      </c>
      <c r="G139" s="2257">
        <f t="shared" si="20"/>
        <v>0</v>
      </c>
      <c r="H139" s="2256">
        <f>H140*H141</f>
        <v>0</v>
      </c>
      <c r="I139" s="2256">
        <f>I140*I141</f>
        <v>0</v>
      </c>
      <c r="J139" s="2257">
        <f t="shared" si="21"/>
        <v>0</v>
      </c>
      <c r="K139" s="2256">
        <f>K140*K141</f>
        <v>0</v>
      </c>
      <c r="L139" s="2256">
        <f>L140*L141</f>
        <v>0</v>
      </c>
      <c r="M139" s="2259">
        <f t="shared" si="22"/>
        <v>0</v>
      </c>
      <c r="N139" s="2255">
        <f>N140*N141</f>
        <v>0</v>
      </c>
      <c r="O139" s="2256">
        <f>O140*O141</f>
        <v>0</v>
      </c>
      <c r="P139" s="2258">
        <f t="shared" si="23"/>
        <v>0</v>
      </c>
      <c r="Q139" s="2255">
        <f>Q140*Q141</f>
        <v>0</v>
      </c>
      <c r="R139" s="2256">
        <f>R140*R141</f>
        <v>0</v>
      </c>
      <c r="S139" s="2259">
        <f t="shared" si="24"/>
        <v>0</v>
      </c>
      <c r="T139" s="2255">
        <f>T140*T141</f>
        <v>0</v>
      </c>
      <c r="U139" s="2256">
        <f>U140*U141</f>
        <v>0</v>
      </c>
      <c r="V139" s="2258">
        <f t="shared" si="25"/>
        <v>0</v>
      </c>
      <c r="W139" s="2255">
        <f>W140*W141</f>
        <v>0</v>
      </c>
      <c r="X139" s="2256">
        <f>X140*X141</f>
        <v>0</v>
      </c>
      <c r="Y139" s="2258">
        <f t="shared" si="26"/>
        <v>0</v>
      </c>
      <c r="Z139" s="2255">
        <f>Z140*Z141</f>
        <v>0</v>
      </c>
      <c r="AA139" s="2256">
        <f>AA140*AA141</f>
        <v>0</v>
      </c>
      <c r="AB139" s="2259">
        <f t="shared" si="27"/>
        <v>0</v>
      </c>
      <c r="AC139" s="2606"/>
      <c r="AD139" s="2606"/>
      <c r="AE139" s="2606"/>
      <c r="AF139" s="2593"/>
      <c r="AG139" s="2593"/>
      <c r="AH139" s="2593"/>
      <c r="AI139" s="2593"/>
      <c r="AJ139" s="2593"/>
    </row>
    <row r="140" spans="1:36" s="2218" customFormat="1" hidden="1" outlineLevel="2">
      <c r="A140" s="2235">
        <v>214</v>
      </c>
      <c r="B140" s="2281" t="s">
        <v>1946</v>
      </c>
      <c r="C140" s="2282" t="s">
        <v>1929</v>
      </c>
      <c r="D140" s="2504" t="s">
        <v>1930</v>
      </c>
      <c r="E140" s="2284"/>
      <c r="F140" s="2285"/>
      <c r="G140" s="2257">
        <f t="shared" si="20"/>
        <v>0</v>
      </c>
      <c r="H140" s="2285"/>
      <c r="I140" s="2285"/>
      <c r="J140" s="2257">
        <f t="shared" si="21"/>
        <v>0</v>
      </c>
      <c r="K140" s="2285"/>
      <c r="L140" s="2285"/>
      <c r="M140" s="2259">
        <f t="shared" si="22"/>
        <v>0</v>
      </c>
      <c r="N140" s="2284"/>
      <c r="O140" s="2285"/>
      <c r="P140" s="2258">
        <f t="shared" si="23"/>
        <v>0</v>
      </c>
      <c r="Q140" s="2284"/>
      <c r="R140" s="2285"/>
      <c r="S140" s="2259">
        <f t="shared" si="24"/>
        <v>0</v>
      </c>
      <c r="T140" s="2284"/>
      <c r="U140" s="2285"/>
      <c r="V140" s="2258">
        <f t="shared" si="25"/>
        <v>0</v>
      </c>
      <c r="W140" s="2284"/>
      <c r="X140" s="2285"/>
      <c r="Y140" s="2258">
        <f t="shared" si="26"/>
        <v>0</v>
      </c>
      <c r="Z140" s="2284"/>
      <c r="AA140" s="2285"/>
      <c r="AB140" s="2259">
        <f t="shared" si="27"/>
        <v>0</v>
      </c>
      <c r="AC140" s="2606"/>
      <c r="AD140" s="2606"/>
      <c r="AE140" s="2606"/>
      <c r="AF140" s="2593"/>
      <c r="AG140" s="2593"/>
      <c r="AH140" s="2593"/>
      <c r="AI140" s="2593"/>
      <c r="AJ140" s="2593"/>
    </row>
    <row r="141" spans="1:36" s="2218" customFormat="1" hidden="1" outlineLevel="2">
      <c r="A141" s="2235">
        <v>215</v>
      </c>
      <c r="B141" s="2281" t="s">
        <v>1947</v>
      </c>
      <c r="C141" s="2282" t="s">
        <v>1933</v>
      </c>
      <c r="D141" s="2504" t="s">
        <v>1317</v>
      </c>
      <c r="E141" s="2284"/>
      <c r="F141" s="2285"/>
      <c r="G141" s="2257">
        <f t="shared" si="20"/>
        <v>0</v>
      </c>
      <c r="H141" s="2285"/>
      <c r="I141" s="2285"/>
      <c r="J141" s="2257">
        <f t="shared" si="21"/>
        <v>0</v>
      </c>
      <c r="K141" s="2285"/>
      <c r="L141" s="2285"/>
      <c r="M141" s="2259">
        <f t="shared" si="22"/>
        <v>0</v>
      </c>
      <c r="N141" s="2284"/>
      <c r="O141" s="2285"/>
      <c r="P141" s="2258">
        <f t="shared" si="23"/>
        <v>0</v>
      </c>
      <c r="Q141" s="2284"/>
      <c r="R141" s="2285"/>
      <c r="S141" s="2259">
        <f t="shared" si="24"/>
        <v>0</v>
      </c>
      <c r="T141" s="2284"/>
      <c r="U141" s="2285"/>
      <c r="V141" s="2258">
        <f t="shared" si="25"/>
        <v>0</v>
      </c>
      <c r="W141" s="2284"/>
      <c r="X141" s="2285"/>
      <c r="Y141" s="2258">
        <f t="shared" si="26"/>
        <v>0</v>
      </c>
      <c r="Z141" s="2284"/>
      <c r="AA141" s="2285"/>
      <c r="AB141" s="2259">
        <f t="shared" si="27"/>
        <v>0</v>
      </c>
      <c r="AC141" s="2606"/>
      <c r="AD141" s="2606"/>
      <c r="AE141" s="2606"/>
      <c r="AF141" s="2593"/>
      <c r="AG141" s="2593"/>
      <c r="AH141" s="2593"/>
      <c r="AI141" s="2593"/>
      <c r="AJ141" s="2593"/>
    </row>
    <row r="142" spans="1:36" s="2218" customFormat="1" hidden="1" outlineLevel="2">
      <c r="A142" s="2235">
        <v>200</v>
      </c>
      <c r="B142" s="2279"/>
      <c r="C142" s="2295" t="s">
        <v>1948</v>
      </c>
      <c r="D142" s="2500" t="s">
        <v>1317</v>
      </c>
      <c r="E142" s="2255">
        <f>E143+E159</f>
        <v>0</v>
      </c>
      <c r="F142" s="2256">
        <f>F143+F159</f>
        <v>0</v>
      </c>
      <c r="G142" s="2257">
        <f t="shared" si="20"/>
        <v>0</v>
      </c>
      <c r="H142" s="2256">
        <f>H143+H159</f>
        <v>0</v>
      </c>
      <c r="I142" s="2256">
        <f>I143+I159</f>
        <v>0</v>
      </c>
      <c r="J142" s="2257">
        <f t="shared" si="21"/>
        <v>0</v>
      </c>
      <c r="K142" s="2256">
        <f>K143+K159</f>
        <v>0</v>
      </c>
      <c r="L142" s="2256">
        <f>L143+L159</f>
        <v>0</v>
      </c>
      <c r="M142" s="2259">
        <f t="shared" si="22"/>
        <v>0</v>
      </c>
      <c r="N142" s="2255">
        <f>N143+N159</f>
        <v>0</v>
      </c>
      <c r="O142" s="2256">
        <f>O143+O159</f>
        <v>0</v>
      </c>
      <c r="P142" s="2258">
        <f t="shared" si="23"/>
        <v>0</v>
      </c>
      <c r="Q142" s="2255">
        <f>Q143+Q159</f>
        <v>0</v>
      </c>
      <c r="R142" s="2256">
        <f>R143+R159</f>
        <v>0</v>
      </c>
      <c r="S142" s="2259">
        <f t="shared" si="24"/>
        <v>0</v>
      </c>
      <c r="T142" s="2255">
        <f>T143+T159</f>
        <v>0</v>
      </c>
      <c r="U142" s="2256">
        <f>U143+U159</f>
        <v>0</v>
      </c>
      <c r="V142" s="2258">
        <f t="shared" si="25"/>
        <v>0</v>
      </c>
      <c r="W142" s="2255">
        <f>W143+W159</f>
        <v>0</v>
      </c>
      <c r="X142" s="2256">
        <f>X143+X159</f>
        <v>0</v>
      </c>
      <c r="Y142" s="2258">
        <f t="shared" si="26"/>
        <v>0</v>
      </c>
      <c r="Z142" s="2255">
        <f>Z143+Z159</f>
        <v>0</v>
      </c>
      <c r="AA142" s="2256">
        <f>AA143+AA159</f>
        <v>0</v>
      </c>
      <c r="AB142" s="2259">
        <f t="shared" si="27"/>
        <v>0</v>
      </c>
      <c r="AC142" s="2606"/>
      <c r="AD142" s="2606"/>
      <c r="AE142" s="2606"/>
      <c r="AF142" s="2593"/>
      <c r="AG142" s="2593"/>
      <c r="AH142" s="2593"/>
      <c r="AI142" s="2593"/>
      <c r="AJ142" s="2593"/>
    </row>
    <row r="143" spans="1:36" s="2218" customFormat="1" hidden="1" outlineLevel="2">
      <c r="A143" s="2235">
        <v>216</v>
      </c>
      <c r="B143" s="2279"/>
      <c r="C143" s="2280" t="s">
        <v>1949</v>
      </c>
      <c r="D143" s="2500" t="s">
        <v>1317</v>
      </c>
      <c r="E143" s="2255">
        <f>E144+E147+E150+E153+E156</f>
        <v>0</v>
      </c>
      <c r="F143" s="2256">
        <f>F144+F147+F150+F153+F156</f>
        <v>0</v>
      </c>
      <c r="G143" s="2257">
        <f t="shared" si="20"/>
        <v>0</v>
      </c>
      <c r="H143" s="2256">
        <f>H144+H147+H150+H153+H156</f>
        <v>0</v>
      </c>
      <c r="I143" s="2256">
        <f>I144+I147+I150+I153+I156</f>
        <v>0</v>
      </c>
      <c r="J143" s="2257">
        <f t="shared" si="21"/>
        <v>0</v>
      </c>
      <c r="K143" s="2256">
        <f>K144+K147+K150+K153+K156</f>
        <v>0</v>
      </c>
      <c r="L143" s="2256">
        <f>L144+L147+L150+L153+L156</f>
        <v>0</v>
      </c>
      <c r="M143" s="2259">
        <f t="shared" si="22"/>
        <v>0</v>
      </c>
      <c r="N143" s="2255">
        <f>N144+N147+N150+N153+N156</f>
        <v>0</v>
      </c>
      <c r="O143" s="2256">
        <f>O144+O147+O150+O153+O156</f>
        <v>0</v>
      </c>
      <c r="P143" s="2258">
        <f t="shared" si="23"/>
        <v>0</v>
      </c>
      <c r="Q143" s="2255">
        <f>Q144+Q147+Q150+Q153+Q156</f>
        <v>0</v>
      </c>
      <c r="R143" s="2256">
        <f>R144+R147+R150+R153+R156</f>
        <v>0</v>
      </c>
      <c r="S143" s="2259">
        <f t="shared" si="24"/>
        <v>0</v>
      </c>
      <c r="T143" s="2255">
        <f>T144+T147+T150+T153+T156</f>
        <v>0</v>
      </c>
      <c r="U143" s="2256">
        <f>U144+U147+U150+U153+U156</f>
        <v>0</v>
      </c>
      <c r="V143" s="2258">
        <f t="shared" si="25"/>
        <v>0</v>
      </c>
      <c r="W143" s="2255">
        <f>W144+W147+W150+W153+W156</f>
        <v>0</v>
      </c>
      <c r="X143" s="2256">
        <f>X144+X147+X150+X153+X156</f>
        <v>0</v>
      </c>
      <c r="Y143" s="2258">
        <f t="shared" si="26"/>
        <v>0</v>
      </c>
      <c r="Z143" s="2255">
        <f>Z144+Z147+Z150+Z153+Z156</f>
        <v>0</v>
      </c>
      <c r="AA143" s="2256">
        <f>AA144+AA147+AA150+AA153+AA156</f>
        <v>0</v>
      </c>
      <c r="AB143" s="2259">
        <f t="shared" si="27"/>
        <v>0</v>
      </c>
      <c r="AC143" s="2606"/>
      <c r="AD143" s="2606"/>
      <c r="AE143" s="2606"/>
      <c r="AF143" s="2593"/>
      <c r="AG143" s="2593"/>
      <c r="AH143" s="2593"/>
      <c r="AI143" s="2593"/>
      <c r="AJ143" s="2593"/>
    </row>
    <row r="144" spans="1:36" s="2218" customFormat="1" hidden="1" outlineLevel="2">
      <c r="A144" s="2235">
        <v>218</v>
      </c>
      <c r="B144" s="2279"/>
      <c r="C144" s="2280" t="s">
        <v>1927</v>
      </c>
      <c r="D144" s="2500" t="s">
        <v>1317</v>
      </c>
      <c r="E144" s="2255">
        <f>E145*E146</f>
        <v>0</v>
      </c>
      <c r="F144" s="2256">
        <f>F145*F146</f>
        <v>0</v>
      </c>
      <c r="G144" s="2257">
        <f t="shared" si="20"/>
        <v>0</v>
      </c>
      <c r="H144" s="2256">
        <f>H145*H146</f>
        <v>0</v>
      </c>
      <c r="I144" s="2256">
        <f>I145*I146</f>
        <v>0</v>
      </c>
      <c r="J144" s="2257">
        <f t="shared" si="21"/>
        <v>0</v>
      </c>
      <c r="K144" s="2256">
        <f>K145*K146</f>
        <v>0</v>
      </c>
      <c r="L144" s="2256">
        <f>L145*L146</f>
        <v>0</v>
      </c>
      <c r="M144" s="2259">
        <f t="shared" si="22"/>
        <v>0</v>
      </c>
      <c r="N144" s="2255">
        <f>N145*N146</f>
        <v>0</v>
      </c>
      <c r="O144" s="2256">
        <f>O145*O146</f>
        <v>0</v>
      </c>
      <c r="P144" s="2258">
        <f t="shared" si="23"/>
        <v>0</v>
      </c>
      <c r="Q144" s="2255">
        <f>Q145*Q146</f>
        <v>0</v>
      </c>
      <c r="R144" s="2256">
        <f>R145*R146</f>
        <v>0</v>
      </c>
      <c r="S144" s="2259">
        <f t="shared" si="24"/>
        <v>0</v>
      </c>
      <c r="T144" s="2255">
        <f>T145*T146</f>
        <v>0</v>
      </c>
      <c r="U144" s="2256">
        <f>U145*U146</f>
        <v>0</v>
      </c>
      <c r="V144" s="2258">
        <f t="shared" si="25"/>
        <v>0</v>
      </c>
      <c r="W144" s="2255">
        <f>W145*W146</f>
        <v>0</v>
      </c>
      <c r="X144" s="2256">
        <f>X145*X146</f>
        <v>0</v>
      </c>
      <c r="Y144" s="2258">
        <f t="shared" si="26"/>
        <v>0</v>
      </c>
      <c r="Z144" s="2255">
        <f>Z145*Z146</f>
        <v>0</v>
      </c>
      <c r="AA144" s="2256">
        <f>AA145*AA146</f>
        <v>0</v>
      </c>
      <c r="AB144" s="2259">
        <f t="shared" si="27"/>
        <v>0</v>
      </c>
      <c r="AC144" s="2606"/>
      <c r="AD144" s="2606"/>
      <c r="AE144" s="2606"/>
      <c r="AF144" s="2593"/>
      <c r="AG144" s="2593"/>
      <c r="AH144" s="2593"/>
      <c r="AI144" s="2593"/>
      <c r="AJ144" s="2593"/>
    </row>
    <row r="145" spans="1:36" s="2218" customFormat="1" hidden="1" outlineLevel="2">
      <c r="A145" s="2235">
        <v>223</v>
      </c>
      <c r="B145" s="2281" t="s">
        <v>1950</v>
      </c>
      <c r="C145" s="2282" t="s">
        <v>1929</v>
      </c>
      <c r="D145" s="2504" t="s">
        <v>1951</v>
      </c>
      <c r="E145" s="2284"/>
      <c r="F145" s="2285"/>
      <c r="G145" s="2257">
        <f t="shared" si="20"/>
        <v>0</v>
      </c>
      <c r="H145" s="2285"/>
      <c r="I145" s="2285"/>
      <c r="J145" s="2257">
        <f t="shared" si="21"/>
        <v>0</v>
      </c>
      <c r="K145" s="2285"/>
      <c r="L145" s="2285"/>
      <c r="M145" s="2259">
        <f t="shared" si="22"/>
        <v>0</v>
      </c>
      <c r="N145" s="2284"/>
      <c r="O145" s="2285"/>
      <c r="P145" s="2258">
        <f t="shared" si="23"/>
        <v>0</v>
      </c>
      <c r="Q145" s="2284"/>
      <c r="R145" s="2285"/>
      <c r="S145" s="2259">
        <f t="shared" si="24"/>
        <v>0</v>
      </c>
      <c r="T145" s="2284"/>
      <c r="U145" s="2285"/>
      <c r="V145" s="2258">
        <f t="shared" si="25"/>
        <v>0</v>
      </c>
      <c r="W145" s="2284"/>
      <c r="X145" s="2285"/>
      <c r="Y145" s="2258">
        <f t="shared" si="26"/>
        <v>0</v>
      </c>
      <c r="Z145" s="2284"/>
      <c r="AA145" s="2285"/>
      <c r="AB145" s="2259">
        <f t="shared" si="27"/>
        <v>0</v>
      </c>
      <c r="AC145" s="2606"/>
      <c r="AD145" s="2606"/>
      <c r="AE145" s="2606"/>
      <c r="AF145" s="2593"/>
      <c r="AG145" s="2593"/>
      <c r="AH145" s="2593"/>
      <c r="AI145" s="2593"/>
      <c r="AJ145" s="2593"/>
    </row>
    <row r="146" spans="1:36" s="2218" customFormat="1" hidden="1" outlineLevel="2">
      <c r="A146" s="2235">
        <v>224</v>
      </c>
      <c r="B146" s="2281" t="s">
        <v>1952</v>
      </c>
      <c r="C146" s="2282" t="s">
        <v>1953</v>
      </c>
      <c r="D146" s="2504" t="s">
        <v>1954</v>
      </c>
      <c r="E146" s="2284"/>
      <c r="F146" s="2285"/>
      <c r="G146" s="2257">
        <f t="shared" si="20"/>
        <v>0</v>
      </c>
      <c r="H146" s="2285"/>
      <c r="I146" s="2285"/>
      <c r="J146" s="2257">
        <f t="shared" si="21"/>
        <v>0</v>
      </c>
      <c r="K146" s="2285"/>
      <c r="L146" s="2285"/>
      <c r="M146" s="2259">
        <f t="shared" si="22"/>
        <v>0</v>
      </c>
      <c r="N146" s="2284"/>
      <c r="O146" s="2285"/>
      <c r="P146" s="2258">
        <f t="shared" si="23"/>
        <v>0</v>
      </c>
      <c r="Q146" s="2284"/>
      <c r="R146" s="2285"/>
      <c r="S146" s="2259">
        <f t="shared" si="24"/>
        <v>0</v>
      </c>
      <c r="T146" s="2284"/>
      <c r="U146" s="2285"/>
      <c r="V146" s="2258">
        <f t="shared" si="25"/>
        <v>0</v>
      </c>
      <c r="W146" s="2284"/>
      <c r="X146" s="2285"/>
      <c r="Y146" s="2258">
        <f t="shared" si="26"/>
        <v>0</v>
      </c>
      <c r="Z146" s="2284"/>
      <c r="AA146" s="2285"/>
      <c r="AB146" s="2259">
        <f t="shared" si="27"/>
        <v>0</v>
      </c>
      <c r="AC146" s="2606"/>
      <c r="AD146" s="2606"/>
      <c r="AE146" s="2606"/>
      <c r="AF146" s="2593"/>
      <c r="AG146" s="2593"/>
      <c r="AH146" s="2593"/>
      <c r="AI146" s="2593"/>
      <c r="AJ146" s="2593"/>
    </row>
    <row r="147" spans="1:36" s="2218" customFormat="1" hidden="1" outlineLevel="2">
      <c r="A147" s="2235">
        <v>219</v>
      </c>
      <c r="B147" s="2279"/>
      <c r="C147" s="2280" t="s">
        <v>1936</v>
      </c>
      <c r="D147" s="2500" t="s">
        <v>1317</v>
      </c>
      <c r="E147" s="2255">
        <f>E148*E149</f>
        <v>0</v>
      </c>
      <c r="F147" s="2256">
        <f>F148*F149</f>
        <v>0</v>
      </c>
      <c r="G147" s="2257">
        <f t="shared" si="20"/>
        <v>0</v>
      </c>
      <c r="H147" s="2256">
        <f>H148*H149</f>
        <v>0</v>
      </c>
      <c r="I147" s="2256">
        <f>I148*I149</f>
        <v>0</v>
      </c>
      <c r="J147" s="2257">
        <f t="shared" si="21"/>
        <v>0</v>
      </c>
      <c r="K147" s="2256">
        <f>K148*K149</f>
        <v>0</v>
      </c>
      <c r="L147" s="2256">
        <f>L148*L149</f>
        <v>0</v>
      </c>
      <c r="M147" s="2259">
        <f t="shared" si="22"/>
        <v>0</v>
      </c>
      <c r="N147" s="2255">
        <f>N148*N149</f>
        <v>0</v>
      </c>
      <c r="O147" s="2256">
        <f>O148*O149</f>
        <v>0</v>
      </c>
      <c r="P147" s="2258">
        <f t="shared" si="23"/>
        <v>0</v>
      </c>
      <c r="Q147" s="2255">
        <f>Q148*Q149</f>
        <v>0</v>
      </c>
      <c r="R147" s="2256">
        <f>R148*R149</f>
        <v>0</v>
      </c>
      <c r="S147" s="2259">
        <f t="shared" si="24"/>
        <v>0</v>
      </c>
      <c r="T147" s="2255">
        <f>T148*T149</f>
        <v>0</v>
      </c>
      <c r="U147" s="2256">
        <f>U148*U149</f>
        <v>0</v>
      </c>
      <c r="V147" s="2258">
        <f t="shared" si="25"/>
        <v>0</v>
      </c>
      <c r="W147" s="2255">
        <f>W148*W149</f>
        <v>0</v>
      </c>
      <c r="X147" s="2256">
        <f>X148*X149</f>
        <v>0</v>
      </c>
      <c r="Y147" s="2258">
        <f t="shared" si="26"/>
        <v>0</v>
      </c>
      <c r="Z147" s="2255">
        <f>Z148*Z149</f>
        <v>0</v>
      </c>
      <c r="AA147" s="2256">
        <f>AA148*AA149</f>
        <v>0</v>
      </c>
      <c r="AB147" s="2259">
        <f t="shared" si="27"/>
        <v>0</v>
      </c>
      <c r="AC147" s="2606"/>
      <c r="AD147" s="2606"/>
      <c r="AE147" s="2606"/>
      <c r="AF147" s="2593"/>
      <c r="AG147" s="2593"/>
      <c r="AH147" s="2593"/>
      <c r="AI147" s="2593"/>
      <c r="AJ147" s="2593"/>
    </row>
    <row r="148" spans="1:36" s="2218" customFormat="1" hidden="1" outlineLevel="2">
      <c r="A148" s="2235">
        <v>225</v>
      </c>
      <c r="B148" s="2281" t="s">
        <v>1955</v>
      </c>
      <c r="C148" s="2282" t="s">
        <v>1929</v>
      </c>
      <c r="D148" s="2504" t="s">
        <v>1951</v>
      </c>
      <c r="E148" s="2284"/>
      <c r="F148" s="2285"/>
      <c r="G148" s="2257">
        <f t="shared" si="20"/>
        <v>0</v>
      </c>
      <c r="H148" s="2285"/>
      <c r="I148" s="2285"/>
      <c r="J148" s="2257">
        <f t="shared" si="21"/>
        <v>0</v>
      </c>
      <c r="K148" s="2285"/>
      <c r="L148" s="2285"/>
      <c r="M148" s="2259">
        <f t="shared" si="22"/>
        <v>0</v>
      </c>
      <c r="N148" s="2284"/>
      <c r="O148" s="2285"/>
      <c r="P148" s="2258">
        <f t="shared" si="23"/>
        <v>0</v>
      </c>
      <c r="Q148" s="2284"/>
      <c r="R148" s="2285"/>
      <c r="S148" s="2259">
        <f t="shared" si="24"/>
        <v>0</v>
      </c>
      <c r="T148" s="2284"/>
      <c r="U148" s="2285"/>
      <c r="V148" s="2258">
        <f t="shared" si="25"/>
        <v>0</v>
      </c>
      <c r="W148" s="2284"/>
      <c r="X148" s="2285"/>
      <c r="Y148" s="2258">
        <f t="shared" si="26"/>
        <v>0</v>
      </c>
      <c r="Z148" s="2284"/>
      <c r="AA148" s="2285"/>
      <c r="AB148" s="2259">
        <f t="shared" si="27"/>
        <v>0</v>
      </c>
      <c r="AC148" s="2606"/>
      <c r="AD148" s="2606"/>
      <c r="AE148" s="2606"/>
      <c r="AF148" s="2593"/>
      <c r="AG148" s="2593"/>
      <c r="AH148" s="2593"/>
      <c r="AI148" s="2593"/>
      <c r="AJ148" s="2593"/>
    </row>
    <row r="149" spans="1:36" s="2218" customFormat="1" hidden="1" outlineLevel="2">
      <c r="A149" s="2235">
        <v>226</v>
      </c>
      <c r="B149" s="2281" t="s">
        <v>1956</v>
      </c>
      <c r="C149" s="2282" t="s">
        <v>1953</v>
      </c>
      <c r="D149" s="2504" t="s">
        <v>1954</v>
      </c>
      <c r="E149" s="2284"/>
      <c r="F149" s="2285"/>
      <c r="G149" s="2257">
        <f t="shared" si="20"/>
        <v>0</v>
      </c>
      <c r="H149" s="2285"/>
      <c r="I149" s="2285"/>
      <c r="J149" s="2257">
        <f t="shared" si="21"/>
        <v>0</v>
      </c>
      <c r="K149" s="2285"/>
      <c r="L149" s="2285"/>
      <c r="M149" s="2259">
        <f t="shared" si="22"/>
        <v>0</v>
      </c>
      <c r="N149" s="2284"/>
      <c r="O149" s="2285"/>
      <c r="P149" s="2258">
        <f t="shared" si="23"/>
        <v>0</v>
      </c>
      <c r="Q149" s="2284"/>
      <c r="R149" s="2285"/>
      <c r="S149" s="2259">
        <f t="shared" si="24"/>
        <v>0</v>
      </c>
      <c r="T149" s="2284"/>
      <c r="U149" s="2285"/>
      <c r="V149" s="2258">
        <f t="shared" si="25"/>
        <v>0</v>
      </c>
      <c r="W149" s="2284"/>
      <c r="X149" s="2285"/>
      <c r="Y149" s="2258">
        <f t="shared" si="26"/>
        <v>0</v>
      </c>
      <c r="Z149" s="2284"/>
      <c r="AA149" s="2285"/>
      <c r="AB149" s="2259">
        <f t="shared" si="27"/>
        <v>0</v>
      </c>
      <c r="AC149" s="2606"/>
      <c r="AD149" s="2606"/>
      <c r="AE149" s="2606"/>
      <c r="AF149" s="2593"/>
      <c r="AG149" s="2593"/>
      <c r="AH149" s="2593"/>
      <c r="AI149" s="2593"/>
      <c r="AJ149" s="2593"/>
    </row>
    <row r="150" spans="1:36" s="2218" customFormat="1" hidden="1" outlineLevel="2">
      <c r="A150" s="2235">
        <v>220</v>
      </c>
      <c r="B150" s="2279"/>
      <c r="C150" s="2280" t="s">
        <v>1939</v>
      </c>
      <c r="D150" s="2500" t="s">
        <v>1317</v>
      </c>
      <c r="E150" s="2255">
        <f>E151*E152</f>
        <v>0</v>
      </c>
      <c r="F150" s="2256">
        <f>F151*F152</f>
        <v>0</v>
      </c>
      <c r="G150" s="2257">
        <f t="shared" si="20"/>
        <v>0</v>
      </c>
      <c r="H150" s="2256">
        <f>H151*H152</f>
        <v>0</v>
      </c>
      <c r="I150" s="2256">
        <f>I151*I152</f>
        <v>0</v>
      </c>
      <c r="J150" s="2257">
        <f t="shared" si="21"/>
        <v>0</v>
      </c>
      <c r="K150" s="2256">
        <f>K151*K152</f>
        <v>0</v>
      </c>
      <c r="L150" s="2256">
        <f>L151*L152</f>
        <v>0</v>
      </c>
      <c r="M150" s="2259">
        <f t="shared" si="22"/>
        <v>0</v>
      </c>
      <c r="N150" s="2255">
        <f>N151*N152</f>
        <v>0</v>
      </c>
      <c r="O150" s="2256">
        <f>O151*O152</f>
        <v>0</v>
      </c>
      <c r="P150" s="2258">
        <f t="shared" si="23"/>
        <v>0</v>
      </c>
      <c r="Q150" s="2255">
        <f>Q151*Q152</f>
        <v>0</v>
      </c>
      <c r="R150" s="2256">
        <f>R151*R152</f>
        <v>0</v>
      </c>
      <c r="S150" s="2259">
        <f t="shared" si="24"/>
        <v>0</v>
      </c>
      <c r="T150" s="2255">
        <f>T151*T152</f>
        <v>0</v>
      </c>
      <c r="U150" s="2256">
        <f>U151*U152</f>
        <v>0</v>
      </c>
      <c r="V150" s="2258">
        <f t="shared" si="25"/>
        <v>0</v>
      </c>
      <c r="W150" s="2255">
        <f>W151*W152</f>
        <v>0</v>
      </c>
      <c r="X150" s="2256">
        <f>X151*X152</f>
        <v>0</v>
      </c>
      <c r="Y150" s="2258">
        <f t="shared" si="26"/>
        <v>0</v>
      </c>
      <c r="Z150" s="2255">
        <f>Z151*Z152</f>
        <v>0</v>
      </c>
      <c r="AA150" s="2256">
        <f>AA151*AA152</f>
        <v>0</v>
      </c>
      <c r="AB150" s="2259">
        <f t="shared" si="27"/>
        <v>0</v>
      </c>
      <c r="AC150" s="2606"/>
      <c r="AD150" s="2606"/>
      <c r="AE150" s="2606"/>
      <c r="AF150" s="2593"/>
      <c r="AG150" s="2593"/>
      <c r="AH150" s="2593"/>
      <c r="AI150" s="2593"/>
      <c r="AJ150" s="2593"/>
    </row>
    <row r="151" spans="1:36" s="2218" customFormat="1" hidden="1" outlineLevel="2">
      <c r="A151" s="2235">
        <v>227</v>
      </c>
      <c r="B151" s="2281" t="s">
        <v>1957</v>
      </c>
      <c r="C151" s="2282" t="s">
        <v>1929</v>
      </c>
      <c r="D151" s="2504" t="s">
        <v>1951</v>
      </c>
      <c r="E151" s="2284"/>
      <c r="F151" s="2285"/>
      <c r="G151" s="2257">
        <f t="shared" si="20"/>
        <v>0</v>
      </c>
      <c r="H151" s="2285"/>
      <c r="I151" s="2285"/>
      <c r="J151" s="2257">
        <f t="shared" si="21"/>
        <v>0</v>
      </c>
      <c r="K151" s="2285"/>
      <c r="L151" s="2285"/>
      <c r="M151" s="2259">
        <f t="shared" si="22"/>
        <v>0</v>
      </c>
      <c r="N151" s="2284"/>
      <c r="O151" s="2285"/>
      <c r="P151" s="2258">
        <f t="shared" si="23"/>
        <v>0</v>
      </c>
      <c r="Q151" s="2284"/>
      <c r="R151" s="2285"/>
      <c r="S151" s="2259">
        <f t="shared" si="24"/>
        <v>0</v>
      </c>
      <c r="T151" s="2284"/>
      <c r="U151" s="2285"/>
      <c r="V151" s="2258">
        <f t="shared" si="25"/>
        <v>0</v>
      </c>
      <c r="W151" s="2284"/>
      <c r="X151" s="2285"/>
      <c r="Y151" s="2258">
        <f t="shared" si="26"/>
        <v>0</v>
      </c>
      <c r="Z151" s="2284"/>
      <c r="AA151" s="2285"/>
      <c r="AB151" s="2259">
        <f t="shared" si="27"/>
        <v>0</v>
      </c>
      <c r="AC151" s="2606"/>
      <c r="AD151" s="2606"/>
      <c r="AE151" s="2606"/>
      <c r="AF151" s="2593"/>
      <c r="AG151" s="2593"/>
      <c r="AH151" s="2593"/>
      <c r="AI151" s="2593"/>
      <c r="AJ151" s="2593"/>
    </row>
    <row r="152" spans="1:36" s="2218" customFormat="1" hidden="1" outlineLevel="2">
      <c r="A152" s="2235">
        <v>228</v>
      </c>
      <c r="B152" s="2281" t="s">
        <v>1958</v>
      </c>
      <c r="C152" s="2282" t="s">
        <v>1953</v>
      </c>
      <c r="D152" s="2504" t="s">
        <v>1954</v>
      </c>
      <c r="E152" s="2284"/>
      <c r="F152" s="2285"/>
      <c r="G152" s="2257">
        <f t="shared" si="20"/>
        <v>0</v>
      </c>
      <c r="H152" s="2285"/>
      <c r="I152" s="2285"/>
      <c r="J152" s="2257">
        <f t="shared" si="21"/>
        <v>0</v>
      </c>
      <c r="K152" s="2285"/>
      <c r="L152" s="2285"/>
      <c r="M152" s="2259">
        <f t="shared" si="22"/>
        <v>0</v>
      </c>
      <c r="N152" s="2284"/>
      <c r="O152" s="2285"/>
      <c r="P152" s="2258">
        <f t="shared" si="23"/>
        <v>0</v>
      </c>
      <c r="Q152" s="2284"/>
      <c r="R152" s="2285"/>
      <c r="S152" s="2259">
        <f t="shared" si="24"/>
        <v>0</v>
      </c>
      <c r="T152" s="2284"/>
      <c r="U152" s="2285"/>
      <c r="V152" s="2258">
        <f t="shared" si="25"/>
        <v>0</v>
      </c>
      <c r="W152" s="2284"/>
      <c r="X152" s="2285"/>
      <c r="Y152" s="2258">
        <f t="shared" si="26"/>
        <v>0</v>
      </c>
      <c r="Z152" s="2284"/>
      <c r="AA152" s="2285"/>
      <c r="AB152" s="2259">
        <f t="shared" si="27"/>
        <v>0</v>
      </c>
      <c r="AC152" s="2606"/>
      <c r="AD152" s="2606"/>
      <c r="AE152" s="2606"/>
      <c r="AF152" s="2593"/>
      <c r="AG152" s="2593"/>
      <c r="AH152" s="2593"/>
      <c r="AI152" s="2593"/>
      <c r="AJ152" s="2593"/>
    </row>
    <row r="153" spans="1:36" s="2218" customFormat="1" hidden="1" outlineLevel="2">
      <c r="A153" s="2235">
        <v>221</v>
      </c>
      <c r="B153" s="2279"/>
      <c r="C153" s="2280" t="s">
        <v>1942</v>
      </c>
      <c r="D153" s="2500" t="s">
        <v>1317</v>
      </c>
      <c r="E153" s="2255">
        <f>E154*E155</f>
        <v>0</v>
      </c>
      <c r="F153" s="2256">
        <f>F154*F155</f>
        <v>0</v>
      </c>
      <c r="G153" s="2257">
        <f t="shared" si="20"/>
        <v>0</v>
      </c>
      <c r="H153" s="2256">
        <f>H154*H155</f>
        <v>0</v>
      </c>
      <c r="I153" s="2256">
        <f>I154*I155</f>
        <v>0</v>
      </c>
      <c r="J153" s="2257">
        <f t="shared" si="21"/>
        <v>0</v>
      </c>
      <c r="K153" s="2256">
        <f>K154*K155</f>
        <v>0</v>
      </c>
      <c r="L153" s="2256">
        <f>L154*L155</f>
        <v>0</v>
      </c>
      <c r="M153" s="2259">
        <f t="shared" si="22"/>
        <v>0</v>
      </c>
      <c r="N153" s="2284"/>
      <c r="O153" s="2286"/>
      <c r="P153" s="2258">
        <f t="shared" si="23"/>
        <v>0</v>
      </c>
      <c r="Q153" s="2284"/>
      <c r="R153" s="2256">
        <f>R154*R155</f>
        <v>0</v>
      </c>
      <c r="S153" s="2259">
        <f t="shared" si="24"/>
        <v>0</v>
      </c>
      <c r="T153" s="2284"/>
      <c r="U153" s="2256">
        <f>U154*U155</f>
        <v>0</v>
      </c>
      <c r="V153" s="2258">
        <f t="shared" si="25"/>
        <v>0</v>
      </c>
      <c r="W153" s="2284"/>
      <c r="X153" s="2256">
        <f>X154*X155</f>
        <v>0</v>
      </c>
      <c r="Y153" s="2258">
        <f t="shared" si="26"/>
        <v>0</v>
      </c>
      <c r="Z153" s="2284"/>
      <c r="AA153" s="2256">
        <f>AA154*AA155</f>
        <v>0</v>
      </c>
      <c r="AB153" s="2259">
        <f t="shared" si="27"/>
        <v>0</v>
      </c>
      <c r="AC153" s="2606"/>
      <c r="AD153" s="2606"/>
      <c r="AE153" s="2606"/>
      <c r="AF153" s="2593"/>
      <c r="AG153" s="2593"/>
      <c r="AH153" s="2593"/>
      <c r="AI153" s="2593"/>
      <c r="AJ153" s="2593"/>
    </row>
    <row r="154" spans="1:36" s="2218" customFormat="1" hidden="1" outlineLevel="2">
      <c r="A154" s="2235">
        <v>229</v>
      </c>
      <c r="B154" s="2281" t="s">
        <v>1959</v>
      </c>
      <c r="C154" s="2282" t="s">
        <v>1929</v>
      </c>
      <c r="D154" s="2504" t="s">
        <v>1951</v>
      </c>
      <c r="E154" s="2284"/>
      <c r="F154" s="2285"/>
      <c r="G154" s="2257">
        <f t="shared" si="20"/>
        <v>0</v>
      </c>
      <c r="H154" s="2285"/>
      <c r="I154" s="2285"/>
      <c r="J154" s="2257">
        <f t="shared" si="21"/>
        <v>0</v>
      </c>
      <c r="K154" s="2285"/>
      <c r="L154" s="2285"/>
      <c r="M154" s="2259">
        <f t="shared" si="22"/>
        <v>0</v>
      </c>
      <c r="N154" s="2284"/>
      <c r="O154" s="2286"/>
      <c r="P154" s="2258">
        <f t="shared" si="23"/>
        <v>0</v>
      </c>
      <c r="Q154" s="2284"/>
      <c r="R154" s="2285"/>
      <c r="S154" s="2259">
        <f t="shared" si="24"/>
        <v>0</v>
      </c>
      <c r="T154" s="2284"/>
      <c r="U154" s="2285"/>
      <c r="V154" s="2258">
        <f t="shared" si="25"/>
        <v>0</v>
      </c>
      <c r="W154" s="2284"/>
      <c r="X154" s="2285"/>
      <c r="Y154" s="2258">
        <f t="shared" si="26"/>
        <v>0</v>
      </c>
      <c r="Z154" s="2284"/>
      <c r="AA154" s="2285"/>
      <c r="AB154" s="2259">
        <f t="shared" si="27"/>
        <v>0</v>
      </c>
      <c r="AC154" s="2606"/>
      <c r="AD154" s="2606"/>
      <c r="AE154" s="2606"/>
      <c r="AF154" s="2593"/>
      <c r="AG154" s="2593"/>
      <c r="AH154" s="2593"/>
      <c r="AI154" s="2593"/>
      <c r="AJ154" s="2593"/>
    </row>
    <row r="155" spans="1:36" s="2218" customFormat="1" hidden="1" outlineLevel="2">
      <c r="A155" s="2235">
        <v>230</v>
      </c>
      <c r="B155" s="2281" t="s">
        <v>1960</v>
      </c>
      <c r="C155" s="2282" t="s">
        <v>1953</v>
      </c>
      <c r="D155" s="2504" t="s">
        <v>1954</v>
      </c>
      <c r="E155" s="2284"/>
      <c r="F155" s="2285"/>
      <c r="G155" s="2257">
        <f t="shared" si="20"/>
        <v>0</v>
      </c>
      <c r="H155" s="2285"/>
      <c r="I155" s="2285"/>
      <c r="J155" s="2257">
        <f t="shared" si="21"/>
        <v>0</v>
      </c>
      <c r="K155" s="2285"/>
      <c r="L155" s="2285"/>
      <c r="M155" s="2259">
        <f t="shared" si="22"/>
        <v>0</v>
      </c>
      <c r="N155" s="2284"/>
      <c r="O155" s="2286"/>
      <c r="P155" s="2258">
        <f t="shared" si="23"/>
        <v>0</v>
      </c>
      <c r="Q155" s="2284"/>
      <c r="R155" s="2285"/>
      <c r="S155" s="2259">
        <f t="shared" si="24"/>
        <v>0</v>
      </c>
      <c r="T155" s="2284"/>
      <c r="U155" s="2285"/>
      <c r="V155" s="2258">
        <f t="shared" si="25"/>
        <v>0</v>
      </c>
      <c r="W155" s="2284"/>
      <c r="X155" s="2285"/>
      <c r="Y155" s="2258">
        <f t="shared" si="26"/>
        <v>0</v>
      </c>
      <c r="Z155" s="2284"/>
      <c r="AA155" s="2285"/>
      <c r="AB155" s="2259">
        <f t="shared" si="27"/>
        <v>0</v>
      </c>
      <c r="AC155" s="2606"/>
      <c r="AD155" s="2606"/>
      <c r="AE155" s="2606"/>
      <c r="AF155" s="2593"/>
      <c r="AG155" s="2593"/>
      <c r="AH155" s="2593"/>
      <c r="AI155" s="2593"/>
      <c r="AJ155" s="2593"/>
    </row>
    <row r="156" spans="1:36" s="2218" customFormat="1" hidden="1" outlineLevel="2">
      <c r="A156" s="2235">
        <v>222</v>
      </c>
      <c r="B156" s="2279"/>
      <c r="C156" s="2280" t="s">
        <v>1961</v>
      </c>
      <c r="D156" s="2500" t="s">
        <v>1317</v>
      </c>
      <c r="E156" s="2255">
        <f>E157*E158</f>
        <v>0</v>
      </c>
      <c r="F156" s="2256">
        <f>F157*F158</f>
        <v>0</v>
      </c>
      <c r="G156" s="2257">
        <f t="shared" si="20"/>
        <v>0</v>
      </c>
      <c r="H156" s="2256">
        <f>H157*H158</f>
        <v>0</v>
      </c>
      <c r="I156" s="2256">
        <f>I157*I158</f>
        <v>0</v>
      </c>
      <c r="J156" s="2257">
        <f t="shared" si="21"/>
        <v>0</v>
      </c>
      <c r="K156" s="2256">
        <f>K157*K158</f>
        <v>0</v>
      </c>
      <c r="L156" s="2256">
        <f>L157*L158</f>
        <v>0</v>
      </c>
      <c r="M156" s="2259">
        <f t="shared" si="22"/>
        <v>0</v>
      </c>
      <c r="N156" s="2255">
        <f>N157*N158</f>
        <v>0</v>
      </c>
      <c r="O156" s="2256">
        <f>O157*O158</f>
        <v>0</v>
      </c>
      <c r="P156" s="2258">
        <f t="shared" si="23"/>
        <v>0</v>
      </c>
      <c r="Q156" s="2255">
        <f>Q157*Q158</f>
        <v>0</v>
      </c>
      <c r="R156" s="2256">
        <f>R157*R158</f>
        <v>0</v>
      </c>
      <c r="S156" s="2259">
        <f t="shared" si="24"/>
        <v>0</v>
      </c>
      <c r="T156" s="2255">
        <f>T157*T158</f>
        <v>0</v>
      </c>
      <c r="U156" s="2256">
        <f>U157*U158</f>
        <v>0</v>
      </c>
      <c r="V156" s="2258">
        <f t="shared" si="25"/>
        <v>0</v>
      </c>
      <c r="W156" s="2255">
        <f>W157*W158</f>
        <v>0</v>
      </c>
      <c r="X156" s="2256">
        <f>X157*X158</f>
        <v>0</v>
      </c>
      <c r="Y156" s="2258">
        <f t="shared" si="26"/>
        <v>0</v>
      </c>
      <c r="Z156" s="2255">
        <f>Z157*Z158</f>
        <v>0</v>
      </c>
      <c r="AA156" s="2256">
        <f>AA157*AA158</f>
        <v>0</v>
      </c>
      <c r="AB156" s="2259">
        <f t="shared" si="27"/>
        <v>0</v>
      </c>
      <c r="AC156" s="2606"/>
      <c r="AD156" s="2606"/>
      <c r="AE156" s="2606"/>
      <c r="AF156" s="2593"/>
      <c r="AG156" s="2593"/>
      <c r="AH156" s="2593"/>
      <c r="AI156" s="2593"/>
      <c r="AJ156" s="2593"/>
    </row>
    <row r="157" spans="1:36" s="2218" customFormat="1" hidden="1" outlineLevel="2">
      <c r="A157" s="2235">
        <v>231</v>
      </c>
      <c r="B157" s="2281" t="s">
        <v>1962</v>
      </c>
      <c r="C157" s="2282" t="s">
        <v>1929</v>
      </c>
      <c r="D157" s="2504" t="s">
        <v>1951</v>
      </c>
      <c r="E157" s="2284"/>
      <c r="F157" s="2285"/>
      <c r="G157" s="2257">
        <f t="shared" si="20"/>
        <v>0</v>
      </c>
      <c r="H157" s="2285"/>
      <c r="I157" s="2285"/>
      <c r="J157" s="2257">
        <f t="shared" si="21"/>
        <v>0</v>
      </c>
      <c r="K157" s="2285"/>
      <c r="L157" s="2285"/>
      <c r="M157" s="2259">
        <f t="shared" si="22"/>
        <v>0</v>
      </c>
      <c r="N157" s="2284"/>
      <c r="O157" s="2285"/>
      <c r="P157" s="2258">
        <f t="shared" si="23"/>
        <v>0</v>
      </c>
      <c r="Q157" s="2284"/>
      <c r="R157" s="2285"/>
      <c r="S157" s="2259">
        <f t="shared" si="24"/>
        <v>0</v>
      </c>
      <c r="T157" s="2284"/>
      <c r="U157" s="2285"/>
      <c r="V157" s="2258">
        <f t="shared" si="25"/>
        <v>0</v>
      </c>
      <c r="W157" s="2284"/>
      <c r="X157" s="2285"/>
      <c r="Y157" s="2258">
        <f t="shared" si="26"/>
        <v>0</v>
      </c>
      <c r="Z157" s="2284"/>
      <c r="AA157" s="2285"/>
      <c r="AB157" s="2259">
        <f t="shared" si="27"/>
        <v>0</v>
      </c>
      <c r="AC157" s="2606"/>
      <c r="AD157" s="2606"/>
      <c r="AE157" s="2606"/>
      <c r="AF157" s="2593"/>
      <c r="AG157" s="2593"/>
      <c r="AH157" s="2593"/>
      <c r="AI157" s="2593"/>
      <c r="AJ157" s="2593"/>
    </row>
    <row r="158" spans="1:36" s="2218" customFormat="1" hidden="1" outlineLevel="2">
      <c r="A158" s="2235">
        <v>232</v>
      </c>
      <c r="B158" s="2281" t="s">
        <v>1963</v>
      </c>
      <c r="C158" s="2282" t="s">
        <v>1953</v>
      </c>
      <c r="D158" s="2504" t="s">
        <v>1954</v>
      </c>
      <c r="E158" s="2284"/>
      <c r="F158" s="2285"/>
      <c r="G158" s="2257">
        <f t="shared" si="20"/>
        <v>0</v>
      </c>
      <c r="H158" s="2285"/>
      <c r="I158" s="2285"/>
      <c r="J158" s="2257">
        <f t="shared" si="21"/>
        <v>0</v>
      </c>
      <c r="K158" s="2285"/>
      <c r="L158" s="2285"/>
      <c r="M158" s="2259">
        <f t="shared" si="22"/>
        <v>0</v>
      </c>
      <c r="N158" s="2284"/>
      <c r="O158" s="2285"/>
      <c r="P158" s="2258">
        <f t="shared" si="23"/>
        <v>0</v>
      </c>
      <c r="Q158" s="2284"/>
      <c r="R158" s="2285"/>
      <c r="S158" s="2259">
        <f t="shared" si="24"/>
        <v>0</v>
      </c>
      <c r="T158" s="2284"/>
      <c r="U158" s="2285"/>
      <c r="V158" s="2258">
        <f t="shared" si="25"/>
        <v>0</v>
      </c>
      <c r="W158" s="2284"/>
      <c r="X158" s="2285"/>
      <c r="Y158" s="2258">
        <f t="shared" si="26"/>
        <v>0</v>
      </c>
      <c r="Z158" s="2284"/>
      <c r="AA158" s="2285"/>
      <c r="AB158" s="2259">
        <f t="shared" si="27"/>
        <v>0</v>
      </c>
      <c r="AC158" s="2606"/>
      <c r="AD158" s="2606"/>
      <c r="AE158" s="2606"/>
      <c r="AF158" s="2593"/>
      <c r="AG158" s="2593"/>
      <c r="AH158" s="2593"/>
      <c r="AI158" s="2593"/>
      <c r="AJ158" s="2593"/>
    </row>
    <row r="159" spans="1:36" s="2218" customFormat="1" hidden="1" outlineLevel="2">
      <c r="A159" s="2235">
        <v>217</v>
      </c>
      <c r="B159" s="2279"/>
      <c r="C159" s="2280" t="s">
        <v>1964</v>
      </c>
      <c r="D159" s="2500" t="s">
        <v>1317</v>
      </c>
      <c r="E159" s="2255">
        <f>E160+E163+E166+E169+E172</f>
        <v>0</v>
      </c>
      <c r="F159" s="2256"/>
      <c r="G159" s="2257">
        <f t="shared" si="20"/>
        <v>0</v>
      </c>
      <c r="H159" s="2256">
        <f>H160+H163+H166+H169+H172</f>
        <v>0</v>
      </c>
      <c r="I159" s="2256"/>
      <c r="J159" s="2257">
        <f t="shared" si="21"/>
        <v>0</v>
      </c>
      <c r="K159" s="2256">
        <f>K160+K163+K166+K169+K172</f>
        <v>0</v>
      </c>
      <c r="L159" s="2256"/>
      <c r="M159" s="2259">
        <f t="shared" si="22"/>
        <v>0</v>
      </c>
      <c r="N159" s="2255">
        <f>N160+N163+N166+N169+N172</f>
        <v>0</v>
      </c>
      <c r="O159" s="2260">
        <f>O160+O163+O166+O169+O172</f>
        <v>0</v>
      </c>
      <c r="P159" s="2258">
        <f t="shared" si="23"/>
        <v>0</v>
      </c>
      <c r="Q159" s="2255">
        <f>Q160+Q163+Q166+Q169+Q172</f>
        <v>0</v>
      </c>
      <c r="R159" s="2256"/>
      <c r="S159" s="2259">
        <f t="shared" si="24"/>
        <v>0</v>
      </c>
      <c r="T159" s="2255">
        <f>T160+T163+T166+T169+T172</f>
        <v>0</v>
      </c>
      <c r="U159" s="2256"/>
      <c r="V159" s="2258">
        <f t="shared" si="25"/>
        <v>0</v>
      </c>
      <c r="W159" s="2255">
        <f>W160+W163+W166+W169+W172</f>
        <v>0</v>
      </c>
      <c r="X159" s="2256"/>
      <c r="Y159" s="2258">
        <f t="shared" si="26"/>
        <v>0</v>
      </c>
      <c r="Z159" s="2255">
        <f>Z160+Z163+Z166+Z169+Z172</f>
        <v>0</v>
      </c>
      <c r="AA159" s="2256"/>
      <c r="AB159" s="2259">
        <f t="shared" si="27"/>
        <v>0</v>
      </c>
      <c r="AC159" s="2606"/>
      <c r="AD159" s="2606"/>
      <c r="AE159" s="2606"/>
      <c r="AF159" s="2593"/>
      <c r="AG159" s="2593"/>
      <c r="AH159" s="2593"/>
      <c r="AI159" s="2593"/>
      <c r="AJ159" s="2593"/>
    </row>
    <row r="160" spans="1:36" s="2218" customFormat="1" hidden="1" outlineLevel="2">
      <c r="A160" s="2235">
        <v>233</v>
      </c>
      <c r="B160" s="2279"/>
      <c r="C160" s="2280" t="s">
        <v>1927</v>
      </c>
      <c r="D160" s="2500" t="s">
        <v>1317</v>
      </c>
      <c r="E160" s="2255">
        <f>E161*E162</f>
        <v>0</v>
      </c>
      <c r="F160" s="2256">
        <f>F161*F162</f>
        <v>0</v>
      </c>
      <c r="G160" s="2257">
        <f t="shared" si="20"/>
        <v>0</v>
      </c>
      <c r="H160" s="2256">
        <f>H161*H162</f>
        <v>0</v>
      </c>
      <c r="I160" s="2256">
        <f>I161*I162</f>
        <v>0</v>
      </c>
      <c r="J160" s="2257">
        <f t="shared" si="21"/>
        <v>0</v>
      </c>
      <c r="K160" s="2256">
        <f>K161*K162</f>
        <v>0</v>
      </c>
      <c r="L160" s="2256">
        <f>L161*L162</f>
        <v>0</v>
      </c>
      <c r="M160" s="2259">
        <f t="shared" si="22"/>
        <v>0</v>
      </c>
      <c r="N160" s="2255">
        <f>N161*N162</f>
        <v>0</v>
      </c>
      <c r="O160" s="2256">
        <f>O161*O162</f>
        <v>0</v>
      </c>
      <c r="P160" s="2258">
        <f t="shared" si="23"/>
        <v>0</v>
      </c>
      <c r="Q160" s="2255">
        <f>Q161*Q162</f>
        <v>0</v>
      </c>
      <c r="R160" s="2256">
        <f>R161*R162</f>
        <v>0</v>
      </c>
      <c r="S160" s="2259">
        <f t="shared" si="24"/>
        <v>0</v>
      </c>
      <c r="T160" s="2255">
        <f>T161*T162</f>
        <v>0</v>
      </c>
      <c r="U160" s="2256">
        <f>U161*U162</f>
        <v>0</v>
      </c>
      <c r="V160" s="2258">
        <f t="shared" si="25"/>
        <v>0</v>
      </c>
      <c r="W160" s="2255">
        <f>W161*W162</f>
        <v>0</v>
      </c>
      <c r="X160" s="2256">
        <f>X161*X162</f>
        <v>0</v>
      </c>
      <c r="Y160" s="2258">
        <f t="shared" si="26"/>
        <v>0</v>
      </c>
      <c r="Z160" s="2255">
        <f>Z161*Z162</f>
        <v>0</v>
      </c>
      <c r="AA160" s="2256">
        <f>AA161*AA162</f>
        <v>0</v>
      </c>
      <c r="AB160" s="2259">
        <f t="shared" si="27"/>
        <v>0</v>
      </c>
      <c r="AC160" s="2606"/>
      <c r="AD160" s="2606"/>
      <c r="AE160" s="2606"/>
      <c r="AF160" s="2593"/>
      <c r="AG160" s="2593"/>
      <c r="AH160" s="2593"/>
      <c r="AI160" s="2593"/>
      <c r="AJ160" s="2593"/>
    </row>
    <row r="161" spans="1:36" s="2218" customFormat="1" hidden="1" outlineLevel="2">
      <c r="A161" s="2235">
        <v>242</v>
      </c>
      <c r="B161" s="2281" t="s">
        <v>1965</v>
      </c>
      <c r="C161" s="2282" t="s">
        <v>1929</v>
      </c>
      <c r="D161" s="2504" t="s">
        <v>1951</v>
      </c>
      <c r="E161" s="2284"/>
      <c r="F161" s="2285"/>
      <c r="G161" s="2257">
        <f t="shared" si="20"/>
        <v>0</v>
      </c>
      <c r="H161" s="2285"/>
      <c r="I161" s="2285"/>
      <c r="J161" s="2257">
        <f t="shared" si="21"/>
        <v>0</v>
      </c>
      <c r="K161" s="2285"/>
      <c r="L161" s="2285"/>
      <c r="M161" s="2259">
        <f t="shared" si="22"/>
        <v>0</v>
      </c>
      <c r="N161" s="2284"/>
      <c r="O161" s="2285"/>
      <c r="P161" s="2258">
        <f t="shared" si="23"/>
        <v>0</v>
      </c>
      <c r="Q161" s="2284"/>
      <c r="R161" s="2285"/>
      <c r="S161" s="2259">
        <f t="shared" si="24"/>
        <v>0</v>
      </c>
      <c r="T161" s="2284"/>
      <c r="U161" s="2285"/>
      <c r="V161" s="2258">
        <f t="shared" si="25"/>
        <v>0</v>
      </c>
      <c r="W161" s="2284"/>
      <c r="X161" s="2285"/>
      <c r="Y161" s="2258">
        <f t="shared" si="26"/>
        <v>0</v>
      </c>
      <c r="Z161" s="2284"/>
      <c r="AA161" s="2285"/>
      <c r="AB161" s="2259">
        <f t="shared" si="27"/>
        <v>0</v>
      </c>
      <c r="AC161" s="2606"/>
      <c r="AD161" s="2606"/>
      <c r="AE161" s="2606"/>
      <c r="AF161" s="2593"/>
      <c r="AG161" s="2593"/>
      <c r="AH161" s="2593"/>
      <c r="AI161" s="2593"/>
      <c r="AJ161" s="2593"/>
    </row>
    <row r="162" spans="1:36" s="2218" customFormat="1" hidden="1" outlineLevel="2">
      <c r="A162" s="2235">
        <v>243</v>
      </c>
      <c r="B162" s="2281" t="s">
        <v>1966</v>
      </c>
      <c r="C162" s="2282" t="s">
        <v>1967</v>
      </c>
      <c r="D162" s="2504" t="s">
        <v>1954</v>
      </c>
      <c r="E162" s="2284"/>
      <c r="F162" s="2285"/>
      <c r="G162" s="2257">
        <f t="shared" si="20"/>
        <v>0</v>
      </c>
      <c r="H162" s="2285"/>
      <c r="I162" s="2285"/>
      <c r="J162" s="2257">
        <f t="shared" si="21"/>
        <v>0</v>
      </c>
      <c r="K162" s="2285"/>
      <c r="L162" s="2285"/>
      <c r="M162" s="2259">
        <f t="shared" si="22"/>
        <v>0</v>
      </c>
      <c r="N162" s="2284"/>
      <c r="O162" s="2285"/>
      <c r="P162" s="2258">
        <f t="shared" si="23"/>
        <v>0</v>
      </c>
      <c r="Q162" s="2284"/>
      <c r="R162" s="2285"/>
      <c r="S162" s="2259">
        <f t="shared" si="24"/>
        <v>0</v>
      </c>
      <c r="T162" s="2284"/>
      <c r="U162" s="2285"/>
      <c r="V162" s="2258">
        <f t="shared" si="25"/>
        <v>0</v>
      </c>
      <c r="W162" s="2284"/>
      <c r="X162" s="2285"/>
      <c r="Y162" s="2258">
        <f t="shared" si="26"/>
        <v>0</v>
      </c>
      <c r="Z162" s="2284"/>
      <c r="AA162" s="2285"/>
      <c r="AB162" s="2259">
        <f t="shared" si="27"/>
        <v>0</v>
      </c>
      <c r="AC162" s="2606"/>
      <c r="AD162" s="2606"/>
      <c r="AE162" s="2606"/>
      <c r="AF162" s="2593"/>
      <c r="AG162" s="2593"/>
      <c r="AH162" s="2593"/>
      <c r="AI162" s="2593"/>
      <c r="AJ162" s="2593"/>
    </row>
    <row r="163" spans="1:36" s="2218" customFormat="1" hidden="1" outlineLevel="2">
      <c r="A163" s="2235">
        <v>234</v>
      </c>
      <c r="B163" s="2279"/>
      <c r="C163" s="2280" t="s">
        <v>1936</v>
      </c>
      <c r="D163" s="2500" t="s">
        <v>1317</v>
      </c>
      <c r="E163" s="2255">
        <f>E164*E165</f>
        <v>0</v>
      </c>
      <c r="F163" s="2256">
        <f>F164*F165</f>
        <v>0</v>
      </c>
      <c r="G163" s="2257">
        <f t="shared" si="20"/>
        <v>0</v>
      </c>
      <c r="H163" s="2256">
        <f>H164*H165</f>
        <v>0</v>
      </c>
      <c r="I163" s="2256">
        <f>I164*I165</f>
        <v>0</v>
      </c>
      <c r="J163" s="2257">
        <f t="shared" si="21"/>
        <v>0</v>
      </c>
      <c r="K163" s="2256">
        <f>K164*K165</f>
        <v>0</v>
      </c>
      <c r="L163" s="2256">
        <f>L164*L165</f>
        <v>0</v>
      </c>
      <c r="M163" s="2259">
        <f t="shared" si="22"/>
        <v>0</v>
      </c>
      <c r="N163" s="2255">
        <f>N164*N165</f>
        <v>0</v>
      </c>
      <c r="O163" s="2256">
        <f>O164*O165</f>
        <v>0</v>
      </c>
      <c r="P163" s="2258">
        <f t="shared" si="23"/>
        <v>0</v>
      </c>
      <c r="Q163" s="2255">
        <f>Q164*Q165</f>
        <v>0</v>
      </c>
      <c r="R163" s="2256">
        <f>R164*R165</f>
        <v>0</v>
      </c>
      <c r="S163" s="2259">
        <f t="shared" si="24"/>
        <v>0</v>
      </c>
      <c r="T163" s="2255">
        <f>T164*T165</f>
        <v>0</v>
      </c>
      <c r="U163" s="2256">
        <f>U164*U165</f>
        <v>0</v>
      </c>
      <c r="V163" s="2258">
        <f t="shared" si="25"/>
        <v>0</v>
      </c>
      <c r="W163" s="2255">
        <f>W164*W165</f>
        <v>0</v>
      </c>
      <c r="X163" s="2256">
        <f>X164*X165</f>
        <v>0</v>
      </c>
      <c r="Y163" s="2258">
        <f t="shared" si="26"/>
        <v>0</v>
      </c>
      <c r="Z163" s="2255">
        <f>Z164*Z165</f>
        <v>0</v>
      </c>
      <c r="AA163" s="2256">
        <f>AA164*AA165</f>
        <v>0</v>
      </c>
      <c r="AB163" s="2259">
        <f t="shared" si="27"/>
        <v>0</v>
      </c>
      <c r="AC163" s="2606"/>
      <c r="AD163" s="2606"/>
      <c r="AE163" s="2606"/>
      <c r="AF163" s="2593"/>
      <c r="AG163" s="2593"/>
      <c r="AH163" s="2593"/>
      <c r="AI163" s="2593"/>
      <c r="AJ163" s="2593"/>
    </row>
    <row r="164" spans="1:36" s="2218" customFormat="1" hidden="1" outlineLevel="2">
      <c r="A164" s="2235">
        <v>244</v>
      </c>
      <c r="B164" s="2281" t="s">
        <v>1968</v>
      </c>
      <c r="C164" s="2282" t="s">
        <v>1929</v>
      </c>
      <c r="D164" s="2504" t="s">
        <v>1951</v>
      </c>
      <c r="E164" s="2284"/>
      <c r="F164" s="2285"/>
      <c r="G164" s="2257">
        <f t="shared" si="20"/>
        <v>0</v>
      </c>
      <c r="H164" s="2285"/>
      <c r="I164" s="2285"/>
      <c r="J164" s="2257">
        <f t="shared" si="21"/>
        <v>0</v>
      </c>
      <c r="K164" s="2285"/>
      <c r="L164" s="2285"/>
      <c r="M164" s="2259">
        <f t="shared" si="22"/>
        <v>0</v>
      </c>
      <c r="N164" s="2284"/>
      <c r="O164" s="2285"/>
      <c r="P164" s="2258">
        <f t="shared" si="23"/>
        <v>0</v>
      </c>
      <c r="Q164" s="2284"/>
      <c r="R164" s="2285"/>
      <c r="S164" s="2259">
        <f t="shared" si="24"/>
        <v>0</v>
      </c>
      <c r="T164" s="2284"/>
      <c r="U164" s="2285"/>
      <c r="V164" s="2258">
        <f t="shared" si="25"/>
        <v>0</v>
      </c>
      <c r="W164" s="2284"/>
      <c r="X164" s="2285"/>
      <c r="Y164" s="2258">
        <f t="shared" si="26"/>
        <v>0</v>
      </c>
      <c r="Z164" s="2284"/>
      <c r="AA164" s="2285"/>
      <c r="AB164" s="2259">
        <f t="shared" si="27"/>
        <v>0</v>
      </c>
      <c r="AC164" s="2606"/>
      <c r="AD164" s="2606"/>
      <c r="AE164" s="2606"/>
      <c r="AF164" s="2593"/>
      <c r="AG164" s="2593"/>
      <c r="AH164" s="2593"/>
      <c r="AI164" s="2593"/>
      <c r="AJ164" s="2593"/>
    </row>
    <row r="165" spans="1:36" s="2218" customFormat="1" hidden="1" outlineLevel="2">
      <c r="A165" s="2235">
        <v>245</v>
      </c>
      <c r="B165" s="2281" t="s">
        <v>1969</v>
      </c>
      <c r="C165" s="2282" t="s">
        <v>1967</v>
      </c>
      <c r="D165" s="2504" t="s">
        <v>1954</v>
      </c>
      <c r="E165" s="2284"/>
      <c r="F165" s="2285"/>
      <c r="G165" s="2257">
        <f t="shared" si="20"/>
        <v>0</v>
      </c>
      <c r="H165" s="2285"/>
      <c r="I165" s="2285"/>
      <c r="J165" s="2257">
        <f t="shared" si="21"/>
        <v>0</v>
      </c>
      <c r="K165" s="2285"/>
      <c r="L165" s="2285"/>
      <c r="M165" s="2259">
        <f t="shared" si="22"/>
        <v>0</v>
      </c>
      <c r="N165" s="2284"/>
      <c r="O165" s="2285"/>
      <c r="P165" s="2258">
        <f t="shared" si="23"/>
        <v>0</v>
      </c>
      <c r="Q165" s="2284"/>
      <c r="R165" s="2285"/>
      <c r="S165" s="2259">
        <f t="shared" si="24"/>
        <v>0</v>
      </c>
      <c r="T165" s="2284"/>
      <c r="U165" s="2285"/>
      <c r="V165" s="2258">
        <f t="shared" si="25"/>
        <v>0</v>
      </c>
      <c r="W165" s="2284"/>
      <c r="X165" s="2285"/>
      <c r="Y165" s="2258">
        <f t="shared" si="26"/>
        <v>0</v>
      </c>
      <c r="Z165" s="2284"/>
      <c r="AA165" s="2285"/>
      <c r="AB165" s="2259">
        <f t="shared" si="27"/>
        <v>0</v>
      </c>
      <c r="AC165" s="2606"/>
      <c r="AD165" s="2606"/>
      <c r="AE165" s="2606"/>
      <c r="AF165" s="2593"/>
      <c r="AG165" s="2593"/>
      <c r="AH165" s="2593"/>
      <c r="AI165" s="2593"/>
      <c r="AJ165" s="2593"/>
    </row>
    <row r="166" spans="1:36" s="2218" customFormat="1" hidden="1" outlineLevel="2">
      <c r="A166" s="2235">
        <v>235</v>
      </c>
      <c r="B166" s="2279"/>
      <c r="C166" s="2280" t="s">
        <v>1939</v>
      </c>
      <c r="D166" s="2500" t="s">
        <v>1317</v>
      </c>
      <c r="E166" s="2255">
        <f>E167*E168</f>
        <v>0</v>
      </c>
      <c r="F166" s="2256">
        <f>F167*F168</f>
        <v>0</v>
      </c>
      <c r="G166" s="2257">
        <f t="shared" si="20"/>
        <v>0</v>
      </c>
      <c r="H166" s="2256">
        <f>H167*H168</f>
        <v>0</v>
      </c>
      <c r="I166" s="2256">
        <f>I167*I168</f>
        <v>0</v>
      </c>
      <c r="J166" s="2257">
        <f t="shared" si="21"/>
        <v>0</v>
      </c>
      <c r="K166" s="2256">
        <f>K167*K168</f>
        <v>0</v>
      </c>
      <c r="L166" s="2256">
        <f>L167*L168</f>
        <v>0</v>
      </c>
      <c r="M166" s="2259">
        <f t="shared" si="22"/>
        <v>0</v>
      </c>
      <c r="N166" s="2255">
        <f>N167*N168</f>
        <v>0</v>
      </c>
      <c r="O166" s="2256">
        <f>O167*O168</f>
        <v>0</v>
      </c>
      <c r="P166" s="2258">
        <f t="shared" si="23"/>
        <v>0</v>
      </c>
      <c r="Q166" s="2255">
        <f>Q167*Q168</f>
        <v>0</v>
      </c>
      <c r="R166" s="2256">
        <f>R167*R168</f>
        <v>0</v>
      </c>
      <c r="S166" s="2259">
        <f t="shared" si="24"/>
        <v>0</v>
      </c>
      <c r="T166" s="2255">
        <f>T167*T168</f>
        <v>0</v>
      </c>
      <c r="U166" s="2256">
        <f>U167*U168</f>
        <v>0</v>
      </c>
      <c r="V166" s="2258">
        <f t="shared" si="25"/>
        <v>0</v>
      </c>
      <c r="W166" s="2255">
        <f>W167*W168</f>
        <v>0</v>
      </c>
      <c r="X166" s="2256">
        <f>X167*X168</f>
        <v>0</v>
      </c>
      <c r="Y166" s="2258">
        <f t="shared" si="26"/>
        <v>0</v>
      </c>
      <c r="Z166" s="2255">
        <f>Z167*Z168</f>
        <v>0</v>
      </c>
      <c r="AA166" s="2256">
        <f>AA167*AA168</f>
        <v>0</v>
      </c>
      <c r="AB166" s="2259">
        <f t="shared" si="27"/>
        <v>0</v>
      </c>
      <c r="AC166" s="2606"/>
      <c r="AD166" s="2606"/>
      <c r="AE166" s="2606"/>
      <c r="AF166" s="2593"/>
      <c r="AG166" s="2593"/>
      <c r="AH166" s="2593"/>
      <c r="AI166" s="2593"/>
      <c r="AJ166" s="2593"/>
    </row>
    <row r="167" spans="1:36" s="2218" customFormat="1" hidden="1" outlineLevel="2">
      <c r="A167" s="2235">
        <v>246</v>
      </c>
      <c r="B167" s="2281" t="s">
        <v>1970</v>
      </c>
      <c r="C167" s="2282" t="s">
        <v>1929</v>
      </c>
      <c r="D167" s="2504" t="s">
        <v>1951</v>
      </c>
      <c r="E167" s="2284"/>
      <c r="F167" s="2285"/>
      <c r="G167" s="2257">
        <f t="shared" si="20"/>
        <v>0</v>
      </c>
      <c r="H167" s="2285"/>
      <c r="I167" s="2285"/>
      <c r="J167" s="2257">
        <f t="shared" si="21"/>
        <v>0</v>
      </c>
      <c r="K167" s="2285"/>
      <c r="L167" s="2285"/>
      <c r="M167" s="2259">
        <f t="shared" si="22"/>
        <v>0</v>
      </c>
      <c r="N167" s="2284"/>
      <c r="O167" s="2285"/>
      <c r="P167" s="2258">
        <f t="shared" si="23"/>
        <v>0</v>
      </c>
      <c r="Q167" s="2284"/>
      <c r="R167" s="2285"/>
      <c r="S167" s="2259">
        <f t="shared" si="24"/>
        <v>0</v>
      </c>
      <c r="T167" s="2284"/>
      <c r="U167" s="2285"/>
      <c r="V167" s="2258">
        <f t="shared" si="25"/>
        <v>0</v>
      </c>
      <c r="W167" s="2284"/>
      <c r="X167" s="2285"/>
      <c r="Y167" s="2258">
        <f t="shared" si="26"/>
        <v>0</v>
      </c>
      <c r="Z167" s="2284"/>
      <c r="AA167" s="2285"/>
      <c r="AB167" s="2259">
        <f t="shared" si="27"/>
        <v>0</v>
      </c>
      <c r="AC167" s="2606"/>
      <c r="AD167" s="2606"/>
      <c r="AE167" s="2606"/>
      <c r="AF167" s="2593"/>
      <c r="AG167" s="2593"/>
      <c r="AH167" s="2593"/>
      <c r="AI167" s="2593"/>
      <c r="AJ167" s="2593"/>
    </row>
    <row r="168" spans="1:36" s="2218" customFormat="1" hidden="1" outlineLevel="2">
      <c r="A168" s="2235">
        <v>247</v>
      </c>
      <c r="B168" s="2281" t="s">
        <v>1971</v>
      </c>
      <c r="C168" s="2282" t="s">
        <v>1967</v>
      </c>
      <c r="D168" s="2504" t="s">
        <v>1954</v>
      </c>
      <c r="E168" s="2284"/>
      <c r="F168" s="2285"/>
      <c r="G168" s="2257">
        <f t="shared" si="20"/>
        <v>0</v>
      </c>
      <c r="H168" s="2285"/>
      <c r="I168" s="2285"/>
      <c r="J168" s="2257">
        <f t="shared" si="21"/>
        <v>0</v>
      </c>
      <c r="K168" s="2285"/>
      <c r="L168" s="2285"/>
      <c r="M168" s="2259">
        <f t="shared" si="22"/>
        <v>0</v>
      </c>
      <c r="N168" s="2284"/>
      <c r="O168" s="2285"/>
      <c r="P168" s="2258">
        <f t="shared" si="23"/>
        <v>0</v>
      </c>
      <c r="Q168" s="2284"/>
      <c r="R168" s="2285"/>
      <c r="S168" s="2259">
        <f t="shared" si="24"/>
        <v>0</v>
      </c>
      <c r="T168" s="2284"/>
      <c r="U168" s="2285"/>
      <c r="V168" s="2258">
        <f t="shared" si="25"/>
        <v>0</v>
      </c>
      <c r="W168" s="2284"/>
      <c r="X168" s="2285"/>
      <c r="Y168" s="2258">
        <f t="shared" si="26"/>
        <v>0</v>
      </c>
      <c r="Z168" s="2284"/>
      <c r="AA168" s="2285"/>
      <c r="AB168" s="2259">
        <f t="shared" si="27"/>
        <v>0</v>
      </c>
      <c r="AC168" s="2606"/>
      <c r="AD168" s="2606"/>
      <c r="AE168" s="2606"/>
      <c r="AF168" s="2593"/>
      <c r="AG168" s="2593"/>
      <c r="AH168" s="2593"/>
      <c r="AI168" s="2593"/>
      <c r="AJ168" s="2593"/>
    </row>
    <row r="169" spans="1:36" s="2218" customFormat="1" hidden="1" outlineLevel="2">
      <c r="A169" s="2235">
        <v>236</v>
      </c>
      <c r="B169" s="2279"/>
      <c r="C169" s="2280" t="s">
        <v>1942</v>
      </c>
      <c r="D169" s="2500" t="s">
        <v>1317</v>
      </c>
      <c r="E169" s="2255">
        <f>E170*E171</f>
        <v>0</v>
      </c>
      <c r="F169" s="2256">
        <f>F170*F171</f>
        <v>0</v>
      </c>
      <c r="G169" s="2257">
        <f t="shared" si="20"/>
        <v>0</v>
      </c>
      <c r="H169" s="2256">
        <f>H170*H171</f>
        <v>0</v>
      </c>
      <c r="I169" s="2256">
        <f>I170*I171</f>
        <v>0</v>
      </c>
      <c r="J169" s="2257">
        <f t="shared" si="21"/>
        <v>0</v>
      </c>
      <c r="K169" s="2256">
        <f>K170*K171</f>
        <v>0</v>
      </c>
      <c r="L169" s="2256">
        <f>L170*L171</f>
        <v>0</v>
      </c>
      <c r="M169" s="2259">
        <f t="shared" si="22"/>
        <v>0</v>
      </c>
      <c r="N169" s="2284"/>
      <c r="O169" s="2286"/>
      <c r="P169" s="2258">
        <f t="shared" si="23"/>
        <v>0</v>
      </c>
      <c r="Q169" s="2284"/>
      <c r="R169" s="2256">
        <f>R170*R171</f>
        <v>0</v>
      </c>
      <c r="S169" s="2259">
        <f t="shared" si="24"/>
        <v>0</v>
      </c>
      <c r="T169" s="2284"/>
      <c r="U169" s="2256">
        <f>U170*U171</f>
        <v>0</v>
      </c>
      <c r="V169" s="2258">
        <f t="shared" si="25"/>
        <v>0</v>
      </c>
      <c r="W169" s="2284"/>
      <c r="X169" s="2256">
        <f>X170*X171</f>
        <v>0</v>
      </c>
      <c r="Y169" s="2258">
        <f t="shared" si="26"/>
        <v>0</v>
      </c>
      <c r="Z169" s="2284"/>
      <c r="AA169" s="2256">
        <f>AA170*AA171</f>
        <v>0</v>
      </c>
      <c r="AB169" s="2259">
        <f t="shared" si="27"/>
        <v>0</v>
      </c>
      <c r="AC169" s="2606"/>
      <c r="AD169" s="2606"/>
      <c r="AE169" s="2606"/>
      <c r="AF169" s="2593"/>
      <c r="AG169" s="2593"/>
      <c r="AH169" s="2593"/>
      <c r="AI169" s="2593"/>
      <c r="AJ169" s="2593"/>
    </row>
    <row r="170" spans="1:36" s="2218" customFormat="1" hidden="1" outlineLevel="2">
      <c r="A170" s="2235">
        <v>238</v>
      </c>
      <c r="B170" s="2281" t="s">
        <v>1972</v>
      </c>
      <c r="C170" s="2282" t="s">
        <v>1929</v>
      </c>
      <c r="D170" s="2504" t="s">
        <v>1951</v>
      </c>
      <c r="E170" s="2284"/>
      <c r="F170" s="2285"/>
      <c r="G170" s="2257">
        <f t="shared" si="20"/>
        <v>0</v>
      </c>
      <c r="H170" s="2285"/>
      <c r="I170" s="2285"/>
      <c r="J170" s="2257">
        <f t="shared" si="21"/>
        <v>0</v>
      </c>
      <c r="K170" s="2285"/>
      <c r="L170" s="2285"/>
      <c r="M170" s="2259">
        <f t="shared" si="22"/>
        <v>0</v>
      </c>
      <c r="N170" s="2284"/>
      <c r="O170" s="2286"/>
      <c r="P170" s="2258">
        <f t="shared" si="23"/>
        <v>0</v>
      </c>
      <c r="Q170" s="2284"/>
      <c r="R170" s="2285"/>
      <c r="S170" s="2259">
        <f t="shared" si="24"/>
        <v>0</v>
      </c>
      <c r="T170" s="2284"/>
      <c r="U170" s="2285"/>
      <c r="V170" s="2258">
        <f t="shared" si="25"/>
        <v>0</v>
      </c>
      <c r="W170" s="2284"/>
      <c r="X170" s="2285"/>
      <c r="Y170" s="2258">
        <f t="shared" si="26"/>
        <v>0</v>
      </c>
      <c r="Z170" s="2284"/>
      <c r="AA170" s="2285"/>
      <c r="AB170" s="2259">
        <f t="shared" si="27"/>
        <v>0</v>
      </c>
      <c r="AC170" s="2606"/>
      <c r="AD170" s="2606"/>
      <c r="AE170" s="2606"/>
      <c r="AF170" s="2593"/>
      <c r="AG170" s="2593"/>
      <c r="AH170" s="2593"/>
      <c r="AI170" s="2593"/>
      <c r="AJ170" s="2593"/>
    </row>
    <row r="171" spans="1:36" s="2218" customFormat="1" hidden="1" outlineLevel="2">
      <c r="A171" s="2235">
        <v>239</v>
      </c>
      <c r="B171" s="2281" t="s">
        <v>1973</v>
      </c>
      <c r="C171" s="2282" t="s">
        <v>1967</v>
      </c>
      <c r="D171" s="2504" t="s">
        <v>1954</v>
      </c>
      <c r="E171" s="2284"/>
      <c r="F171" s="2285"/>
      <c r="G171" s="2257">
        <f t="shared" si="20"/>
        <v>0</v>
      </c>
      <c r="H171" s="2285"/>
      <c r="I171" s="2285"/>
      <c r="J171" s="2257">
        <f t="shared" si="21"/>
        <v>0</v>
      </c>
      <c r="K171" s="2285"/>
      <c r="L171" s="2285"/>
      <c r="M171" s="2259">
        <f t="shared" si="22"/>
        <v>0</v>
      </c>
      <c r="N171" s="2284"/>
      <c r="O171" s="2286"/>
      <c r="P171" s="2258">
        <f t="shared" si="23"/>
        <v>0</v>
      </c>
      <c r="Q171" s="2284"/>
      <c r="R171" s="2285"/>
      <c r="S171" s="2259">
        <f t="shared" si="24"/>
        <v>0</v>
      </c>
      <c r="T171" s="2284"/>
      <c r="U171" s="2285"/>
      <c r="V171" s="2258">
        <f t="shared" si="25"/>
        <v>0</v>
      </c>
      <c r="W171" s="2284"/>
      <c r="X171" s="2285"/>
      <c r="Y171" s="2258">
        <f t="shared" si="26"/>
        <v>0</v>
      </c>
      <c r="Z171" s="2284"/>
      <c r="AA171" s="2285"/>
      <c r="AB171" s="2259">
        <f t="shared" si="27"/>
        <v>0</v>
      </c>
      <c r="AC171" s="2606"/>
      <c r="AD171" s="2606"/>
      <c r="AE171" s="2606"/>
      <c r="AF171" s="2593"/>
      <c r="AG171" s="2593"/>
      <c r="AH171" s="2593"/>
      <c r="AI171" s="2593"/>
      <c r="AJ171" s="2593"/>
    </row>
    <row r="172" spans="1:36" s="2218" customFormat="1" hidden="1" outlineLevel="2">
      <c r="A172" s="2235">
        <v>237</v>
      </c>
      <c r="B172" s="2279"/>
      <c r="C172" s="2280" t="s">
        <v>1961</v>
      </c>
      <c r="D172" s="2500" t="s">
        <v>1317</v>
      </c>
      <c r="E172" s="2255">
        <f>E173*E174</f>
        <v>0</v>
      </c>
      <c r="F172" s="2256">
        <f>F173*F174</f>
        <v>0</v>
      </c>
      <c r="G172" s="2257">
        <f t="shared" si="20"/>
        <v>0</v>
      </c>
      <c r="H172" s="2256">
        <f>H173*H174</f>
        <v>0</v>
      </c>
      <c r="I172" s="2256">
        <f>I173*I174</f>
        <v>0</v>
      </c>
      <c r="J172" s="2257">
        <f t="shared" si="21"/>
        <v>0</v>
      </c>
      <c r="K172" s="2256">
        <f>K173*K174</f>
        <v>0</v>
      </c>
      <c r="L172" s="2256">
        <f>L173*L174</f>
        <v>0</v>
      </c>
      <c r="M172" s="2259">
        <f t="shared" si="22"/>
        <v>0</v>
      </c>
      <c r="N172" s="2255">
        <f>N173*N174</f>
        <v>0</v>
      </c>
      <c r="O172" s="2256">
        <f>O173*O174</f>
        <v>0</v>
      </c>
      <c r="P172" s="2258">
        <f t="shared" si="23"/>
        <v>0</v>
      </c>
      <c r="Q172" s="2255">
        <f>Q173*Q174</f>
        <v>0</v>
      </c>
      <c r="R172" s="2256">
        <f>R173*R174</f>
        <v>0</v>
      </c>
      <c r="S172" s="2259">
        <f t="shared" si="24"/>
        <v>0</v>
      </c>
      <c r="T172" s="2255">
        <f>T173*T174</f>
        <v>0</v>
      </c>
      <c r="U172" s="2256">
        <f>U173*U174</f>
        <v>0</v>
      </c>
      <c r="V172" s="2258">
        <f t="shared" si="25"/>
        <v>0</v>
      </c>
      <c r="W172" s="2255">
        <f>W173*W174</f>
        <v>0</v>
      </c>
      <c r="X172" s="2256">
        <f>X173*X174</f>
        <v>0</v>
      </c>
      <c r="Y172" s="2258">
        <f t="shared" si="26"/>
        <v>0</v>
      </c>
      <c r="Z172" s="2255">
        <f>Z173*Z174</f>
        <v>0</v>
      </c>
      <c r="AA172" s="2256">
        <f>AA173*AA174</f>
        <v>0</v>
      </c>
      <c r="AB172" s="2259">
        <f t="shared" si="27"/>
        <v>0</v>
      </c>
      <c r="AC172" s="2606"/>
      <c r="AD172" s="2606"/>
      <c r="AE172" s="2606"/>
      <c r="AF172" s="2593"/>
      <c r="AG172" s="2593"/>
      <c r="AH172" s="2593"/>
      <c r="AI172" s="2593"/>
      <c r="AJ172" s="2593"/>
    </row>
    <row r="173" spans="1:36" s="2218" customFormat="1" hidden="1" outlineLevel="2">
      <c r="A173" s="2235">
        <v>248</v>
      </c>
      <c r="B173" s="2281" t="s">
        <v>1974</v>
      </c>
      <c r="C173" s="2282" t="s">
        <v>1929</v>
      </c>
      <c r="D173" s="2504" t="s">
        <v>1951</v>
      </c>
      <c r="E173" s="2284"/>
      <c r="F173" s="2285"/>
      <c r="G173" s="2257">
        <f t="shared" si="20"/>
        <v>0</v>
      </c>
      <c r="H173" s="2285"/>
      <c r="I173" s="2285"/>
      <c r="J173" s="2257">
        <f t="shared" si="21"/>
        <v>0</v>
      </c>
      <c r="K173" s="2285"/>
      <c r="L173" s="2285"/>
      <c r="M173" s="2259">
        <f t="shared" si="22"/>
        <v>0</v>
      </c>
      <c r="N173" s="2284"/>
      <c r="O173" s="2285"/>
      <c r="P173" s="2258">
        <f t="shared" si="23"/>
        <v>0</v>
      </c>
      <c r="Q173" s="2284"/>
      <c r="R173" s="2285"/>
      <c r="S173" s="2259">
        <f t="shared" si="24"/>
        <v>0</v>
      </c>
      <c r="T173" s="2284"/>
      <c r="U173" s="2285"/>
      <c r="V173" s="2258">
        <f t="shared" si="25"/>
        <v>0</v>
      </c>
      <c r="W173" s="2284"/>
      <c r="X173" s="2285"/>
      <c r="Y173" s="2258">
        <f t="shared" si="26"/>
        <v>0</v>
      </c>
      <c r="Z173" s="2284"/>
      <c r="AA173" s="2285"/>
      <c r="AB173" s="2259">
        <f t="shared" si="27"/>
        <v>0</v>
      </c>
      <c r="AC173" s="2606"/>
      <c r="AD173" s="2606"/>
      <c r="AE173" s="2606"/>
      <c r="AF173" s="2593"/>
      <c r="AG173" s="2593"/>
      <c r="AH173" s="2593"/>
      <c r="AI173" s="2593"/>
      <c r="AJ173" s="2593"/>
    </row>
    <row r="174" spans="1:36" s="2218" customFormat="1" ht="16.5" hidden="1" outlineLevel="2" thickBot="1">
      <c r="A174" s="2235">
        <v>249</v>
      </c>
      <c r="B174" s="2297" t="s">
        <v>1975</v>
      </c>
      <c r="C174" s="2298" t="s">
        <v>1967</v>
      </c>
      <c r="D174" s="2507" t="s">
        <v>1954</v>
      </c>
      <c r="E174" s="2300"/>
      <c r="F174" s="2301"/>
      <c r="G174" s="2266">
        <f t="shared" si="20"/>
        <v>0</v>
      </c>
      <c r="H174" s="2301"/>
      <c r="I174" s="2301"/>
      <c r="J174" s="2266">
        <f t="shared" si="21"/>
        <v>0</v>
      </c>
      <c r="K174" s="2301"/>
      <c r="L174" s="2301"/>
      <c r="M174" s="2268">
        <f t="shared" si="22"/>
        <v>0</v>
      </c>
      <c r="N174" s="2300"/>
      <c r="O174" s="2301"/>
      <c r="P174" s="2267">
        <f t="shared" si="23"/>
        <v>0</v>
      </c>
      <c r="Q174" s="2300"/>
      <c r="R174" s="2301"/>
      <c r="S174" s="2268">
        <f t="shared" si="24"/>
        <v>0</v>
      </c>
      <c r="T174" s="2300"/>
      <c r="U174" s="2301"/>
      <c r="V174" s="2267">
        <f t="shared" si="25"/>
        <v>0</v>
      </c>
      <c r="W174" s="2300"/>
      <c r="X174" s="2301"/>
      <c r="Y174" s="2267">
        <f t="shared" si="26"/>
        <v>0</v>
      </c>
      <c r="Z174" s="2300"/>
      <c r="AA174" s="2301"/>
      <c r="AB174" s="2268">
        <f t="shared" si="27"/>
        <v>0</v>
      </c>
      <c r="AC174" s="2606"/>
      <c r="AD174" s="2606"/>
      <c r="AE174" s="2606"/>
      <c r="AF174" s="2593"/>
      <c r="AG174" s="2593"/>
      <c r="AH174" s="2593"/>
      <c r="AI174" s="2593"/>
      <c r="AJ174" s="2593"/>
    </row>
    <row r="175" spans="1:36" s="2218" customFormat="1" ht="19.5" outlineLevel="1" collapsed="1" thickBot="1">
      <c r="A175" s="2235">
        <v>255</v>
      </c>
      <c r="B175" s="2378" t="s">
        <v>1181</v>
      </c>
      <c r="C175" s="2318" t="s">
        <v>1976</v>
      </c>
      <c r="D175" s="2542" t="s">
        <v>1313</v>
      </c>
      <c r="E175" s="2070">
        <f>E176+E208+E218+E224+E225+E226+E230+E207+E233+E234+E235</f>
        <v>28895.950329566491</v>
      </c>
      <c r="F175" s="2070">
        <f>F176+F208+F218+F224+F225+F226+F230+F207+F233+F234+F235</f>
        <v>30023.574479762574</v>
      </c>
      <c r="G175" s="2071">
        <f t="shared" si="20"/>
        <v>29459.762404664532</v>
      </c>
      <c r="H175" s="2070">
        <f>H176+H208+H218+H224+H225+H226+H230+H207+H233+H234+H235</f>
        <v>29549.966559441658</v>
      </c>
      <c r="I175" s="2070">
        <f>I176+I208+I218+I224+I225+I226+I230+I207+I233+I234+I235</f>
        <v>30410.806817865305</v>
      </c>
      <c r="J175" s="2071">
        <f t="shared" si="21"/>
        <v>29980.386688653482</v>
      </c>
      <c r="K175" s="2070">
        <f>K176+K208+K218+K224+K225+K226+K230+K207+K233+K234+K235</f>
        <v>28626.287975715753</v>
      </c>
      <c r="L175" s="2070">
        <f>L176+L208+L218+L224+L225+L226+L230+L207+L233+L234+L235</f>
        <v>29339.961907045803</v>
      </c>
      <c r="M175" s="2071">
        <f t="shared" si="22"/>
        <v>28983.124941380778</v>
      </c>
      <c r="N175" s="2070">
        <f>N176+N208+N218+N224+N225+N226+N230+N207+N233+N234+N235</f>
        <v>123833.89307480764</v>
      </c>
      <c r="O175" s="2380">
        <f>O176+O208+O218+O224+O225+O226+O230+O207+O233+O234+O235</f>
        <v>155388.30348703143</v>
      </c>
      <c r="P175" s="2080">
        <f t="shared" si="23"/>
        <v>139611.09828091954</v>
      </c>
      <c r="Q175" s="2070">
        <f>Q176+Q208+Q218+Q224+Q225+Q226+Q230+Q207+Q233+Q234+Q235</f>
        <v>155388.30348703143</v>
      </c>
      <c r="R175" s="2070">
        <f>R176+R208+R218+R224+R225+R226+R230+R207+R233+R234+R235</f>
        <v>163602.88642507282</v>
      </c>
      <c r="S175" s="2071">
        <f t="shared" si="24"/>
        <v>159495.59495605214</v>
      </c>
      <c r="T175" s="2070">
        <f>T176+T208+T218+T224+T225+T226+T230+T207+T233+T234+T235</f>
        <v>163602.88642507282</v>
      </c>
      <c r="U175" s="2070">
        <f>U176+U208+U218+U224+U225+U226+U230+U207+U233+U234+U235</f>
        <v>172257.29949558526</v>
      </c>
      <c r="V175" s="2080">
        <f t="shared" si="25"/>
        <v>167930.09296032903</v>
      </c>
      <c r="W175" s="2070">
        <f>W176+W208+W218+W224+W225+W226+W230+W207+W233+W234+W235</f>
        <v>172257.29949558526</v>
      </c>
      <c r="X175" s="2070">
        <f>X176+X208+X218+X224+X225+X226+X230+X207+X233+X234+X235</f>
        <v>181370.16530881365</v>
      </c>
      <c r="Y175" s="2080">
        <f t="shared" si="26"/>
        <v>176813.73240219947</v>
      </c>
      <c r="Z175" s="2070">
        <f>Z176+Z208+Z218+Z224+Z225+Z226+Z230+Z207+Z233+Z234+Z235</f>
        <v>181370.16530881365</v>
      </c>
      <c r="AA175" s="2070">
        <f>AA176+AA208+AA218+AA224+AA225+AA226+AA230+AA207+AA233+AA234+AA235</f>
        <v>190965.80274536757</v>
      </c>
      <c r="AB175" s="2071">
        <f t="shared" si="27"/>
        <v>186167.9840270906</v>
      </c>
      <c r="AC175" s="2606"/>
      <c r="AD175" s="2606"/>
      <c r="AE175" s="2606"/>
      <c r="AF175" s="2593"/>
      <c r="AG175" s="2593"/>
      <c r="AH175" s="2593"/>
      <c r="AI175" s="2593"/>
      <c r="AJ175" s="2593"/>
    </row>
    <row r="176" spans="1:36" s="2218" customFormat="1" ht="63" outlineLevel="1">
      <c r="A176" s="2235">
        <v>256</v>
      </c>
      <c r="B176" s="2243" t="s">
        <v>1977</v>
      </c>
      <c r="C176" s="2278" t="s">
        <v>1774</v>
      </c>
      <c r="D176" s="2499" t="s">
        <v>1313</v>
      </c>
      <c r="E176" s="2246">
        <f>E177+E188+E192+E195+E198+E199+E200+E201+E204+E191</f>
        <v>28190.60375490196</v>
      </c>
      <c r="F176" s="2246">
        <f>F177+F188+F192+F195+F198+F199+F200+F201+F204+F191</f>
        <v>29318.22790509804</v>
      </c>
      <c r="G176" s="2248">
        <f t="shared" si="20"/>
        <v>28754.415829999998</v>
      </c>
      <c r="H176" s="2246">
        <f>H177+H188+H192+H195+H198+H199+H200+H201+H204+H191</f>
        <v>28694.675280788182</v>
      </c>
      <c r="I176" s="2246">
        <f>I177+I188+I192+I195+I198+I199+I200+I201+I204+I191</f>
        <v>29555.515539211829</v>
      </c>
      <c r="J176" s="2248">
        <f t="shared" si="21"/>
        <v>29125.095410000005</v>
      </c>
      <c r="K176" s="2246">
        <f>K177+K188+K192+K195+K198+K199+K200+K201+K204+K191</f>
        <v>23789.131044335023</v>
      </c>
      <c r="L176" s="2246">
        <f>L177+L188+L192+L195+L198+L199+L200+L201+L204+L191</f>
        <v>24502.804975665073</v>
      </c>
      <c r="M176" s="2250">
        <f t="shared" si="22"/>
        <v>24145.968010000048</v>
      </c>
      <c r="N176" s="3031">
        <f>'[11]НВВ 26.09.23.'!N176+'[12]НВВ 26.09.'!N176</f>
        <v>123580.9606235484</v>
      </c>
      <c r="O176" s="3039">
        <f>'[11]НВВ 26.09.23.'!O176+'[12]НВВ 26.09.'!O176</f>
        <v>153103.6790297371</v>
      </c>
      <c r="P176" s="2249">
        <f t="shared" si="23"/>
        <v>138342.31982664275</v>
      </c>
      <c r="Q176" s="3031">
        <f>'[11]НВВ 26.09.23.'!Q176+'[12]НВВ 26.09.'!Q176</f>
        <v>153103.6790297371</v>
      </c>
      <c r="R176" s="3039">
        <f>'[11]НВВ 26.09.23.'!R176+'[12]НВВ 26.09.'!R176</f>
        <v>161226.87698948674</v>
      </c>
      <c r="S176" s="2250">
        <f t="shared" si="24"/>
        <v>157165.27800961194</v>
      </c>
      <c r="T176" s="3031">
        <f>'[11]НВВ 26.09.23.'!T176+'[12]НВВ 26.09.'!T176</f>
        <v>161226.87698948674</v>
      </c>
      <c r="U176" s="3039">
        <f>'[11]НВВ 26.09.23.'!U176+'[12]НВВ 26.09.'!U176</f>
        <v>169786.24968257576</v>
      </c>
      <c r="V176" s="2249">
        <f t="shared" si="25"/>
        <v>165506.56333603125</v>
      </c>
      <c r="W176" s="3031">
        <f>'[11]НВВ 26.09.23.'!W176+'[12]НВВ 26.09.'!W176</f>
        <v>169786.24968257576</v>
      </c>
      <c r="X176" s="3039">
        <f>'[11]НВВ 26.09.23.'!X176+'[12]НВВ 26.09.'!X176</f>
        <v>178800.27350328374</v>
      </c>
      <c r="Y176" s="2249">
        <f t="shared" si="26"/>
        <v>174293.26159292975</v>
      </c>
      <c r="Z176" s="3031">
        <f>'[11]НВВ 26.09.23.'!Z176+'[12]НВВ 26.09.'!Z176</f>
        <v>178800.27350328374</v>
      </c>
      <c r="AA176" s="3039">
        <f>'[11]НВВ 26.09.23.'!AA176+'[12]НВВ 26.09.'!AA176</f>
        <v>188293.11526761643</v>
      </c>
      <c r="AB176" s="2250">
        <f t="shared" si="27"/>
        <v>183546.6943854501</v>
      </c>
      <c r="AC176" s="2606"/>
      <c r="AD176" s="2606"/>
      <c r="AE176" s="2606"/>
      <c r="AF176" s="2593"/>
      <c r="AG176" s="2593"/>
      <c r="AH176" s="2593"/>
      <c r="AI176" s="2593"/>
      <c r="AJ176" s="2593"/>
    </row>
    <row r="177" spans="1:36" s="2218" customFormat="1" outlineLevel="1">
      <c r="A177" s="2235">
        <v>333</v>
      </c>
      <c r="B177" s="2279" t="s">
        <v>1978</v>
      </c>
      <c r="C177" s="2280" t="s">
        <v>1979</v>
      </c>
      <c r="D177" s="2500"/>
      <c r="E177" s="2255">
        <f>E178+E181+E184+E187</f>
        <v>0</v>
      </c>
      <c r="F177" s="2256">
        <f>F178+F181+F184+F187</f>
        <v>0</v>
      </c>
      <c r="G177" s="2257">
        <f t="shared" si="20"/>
        <v>0</v>
      </c>
      <c r="H177" s="2256">
        <f>H178+H181+H184+H187</f>
        <v>0</v>
      </c>
      <c r="I177" s="2256">
        <f>I178+I181+I184+I187</f>
        <v>0</v>
      </c>
      <c r="J177" s="2257">
        <f t="shared" si="21"/>
        <v>0</v>
      </c>
      <c r="K177" s="2256">
        <f>K178+K181+K184+K187</f>
        <v>0</v>
      </c>
      <c r="L177" s="2256">
        <f>L178+L181+L184+L187</f>
        <v>0</v>
      </c>
      <c r="M177" s="2259">
        <f t="shared" si="22"/>
        <v>0</v>
      </c>
      <c r="N177" s="3031">
        <f>'[11]НВВ 26.09.23.'!N177+'[12]НВВ 26.09.'!N177</f>
        <v>460.37723093385745</v>
      </c>
      <c r="O177" s="3039">
        <f>'[11]НВВ 26.09.23.'!O177+'[12]НВВ 26.09.'!O177</f>
        <v>511.93948079844949</v>
      </c>
      <c r="P177" s="2258">
        <f t="shared" si="23"/>
        <v>486.15835586615344</v>
      </c>
      <c r="Q177" s="3031">
        <f>'[11]НВВ 26.09.23.'!Q177+'[12]НВВ 26.09.'!Q177</f>
        <v>511.93948079844949</v>
      </c>
      <c r="R177" s="3039">
        <f>'[11]НВВ 26.09.23.'!R177+'[12]НВВ 26.09.'!R177</f>
        <v>547.77524445434096</v>
      </c>
      <c r="S177" s="2259">
        <f t="shared" si="24"/>
        <v>529.85736262639523</v>
      </c>
      <c r="T177" s="3031">
        <f>'[11]НВВ 26.09.23.'!T177+'[12]НВВ 26.09.'!T177</f>
        <v>547.77524445434096</v>
      </c>
      <c r="U177" s="3039">
        <f>'[11]НВВ 26.09.23.'!U177+'[12]НВВ 26.09.'!U177</f>
        <v>586.11951156614487</v>
      </c>
      <c r="V177" s="2258">
        <f t="shared" si="25"/>
        <v>566.94737801024291</v>
      </c>
      <c r="W177" s="3031">
        <f>'[11]НВВ 26.09.23.'!W177+'[12]НВВ 26.09.'!W177</f>
        <v>586.11951156614487</v>
      </c>
      <c r="X177" s="3039">
        <f>'[11]НВВ 26.09.23.'!X177+'[12]НВВ 26.09.'!X177</f>
        <v>627.14787737577501</v>
      </c>
      <c r="Y177" s="2258">
        <f t="shared" si="26"/>
        <v>606.63369447095988</v>
      </c>
      <c r="Z177" s="3031">
        <f>'[11]НВВ 26.09.23.'!Z177+'[12]НВВ 26.09.'!Z177</f>
        <v>627.14787737577501</v>
      </c>
      <c r="AA177" s="3039">
        <f>'[11]НВВ 26.09.23.'!AA177+'[12]НВВ 26.09.'!AA177</f>
        <v>671.04822879207927</v>
      </c>
      <c r="AB177" s="2259">
        <f t="shared" si="27"/>
        <v>649.0980530839272</v>
      </c>
      <c r="AC177" s="2606"/>
      <c r="AD177" s="2606"/>
      <c r="AE177" s="2606"/>
      <c r="AF177" s="2593"/>
      <c r="AG177" s="2593"/>
      <c r="AH177" s="2593"/>
      <c r="AI177" s="2593"/>
      <c r="AJ177" s="2593"/>
    </row>
    <row r="178" spans="1:36" s="2218" customFormat="1" outlineLevel="1">
      <c r="A178" s="2235">
        <v>334</v>
      </c>
      <c r="B178" s="2279" t="s">
        <v>1980</v>
      </c>
      <c r="C178" s="2280" t="s">
        <v>1981</v>
      </c>
      <c r="D178" s="2500"/>
      <c r="E178" s="2255">
        <f>E179*E180</f>
        <v>0</v>
      </c>
      <c r="F178" s="2256">
        <f>F179*F180</f>
        <v>0</v>
      </c>
      <c r="G178" s="2257">
        <f t="shared" si="20"/>
        <v>0</v>
      </c>
      <c r="H178" s="2256">
        <f>H179*H180</f>
        <v>0</v>
      </c>
      <c r="I178" s="2256">
        <f>I179*I180</f>
        <v>0</v>
      </c>
      <c r="J178" s="2257">
        <f t="shared" si="21"/>
        <v>0</v>
      </c>
      <c r="K178" s="2256">
        <f>K179*K180</f>
        <v>0</v>
      </c>
      <c r="L178" s="2256">
        <f>L179*L180</f>
        <v>0</v>
      </c>
      <c r="M178" s="2259">
        <f t="shared" si="22"/>
        <v>0</v>
      </c>
      <c r="N178" s="3031">
        <f>'[11]НВВ 26.09.23.'!N178+'[12]НВВ 26.09.'!N178</f>
        <v>460.37723093385745</v>
      </c>
      <c r="O178" s="3039">
        <f>'[11]НВВ 26.09.23.'!O178+'[12]НВВ 26.09.'!O178</f>
        <v>511.93948079844949</v>
      </c>
      <c r="P178" s="2258">
        <f t="shared" si="23"/>
        <v>486.15835586615344</v>
      </c>
      <c r="Q178" s="3031">
        <f>'[11]НВВ 26.09.23.'!Q178+'[12]НВВ 26.09.'!Q178</f>
        <v>511.93948079844949</v>
      </c>
      <c r="R178" s="3039">
        <f>'[11]НВВ 26.09.23.'!R178+'[12]НВВ 26.09.'!R178</f>
        <v>547.77524445434096</v>
      </c>
      <c r="S178" s="2259">
        <f t="shared" si="24"/>
        <v>529.85736262639523</v>
      </c>
      <c r="T178" s="3031">
        <f>'[11]НВВ 26.09.23.'!T178+'[12]НВВ 26.09.'!T178</f>
        <v>547.77524445434096</v>
      </c>
      <c r="U178" s="3039">
        <f>'[11]НВВ 26.09.23.'!U178+'[12]НВВ 26.09.'!U178</f>
        <v>586.11951156614487</v>
      </c>
      <c r="V178" s="2258">
        <f t="shared" si="25"/>
        <v>566.94737801024291</v>
      </c>
      <c r="W178" s="3031">
        <f>'[11]НВВ 26.09.23.'!W178+'[12]НВВ 26.09.'!W178</f>
        <v>586.11951156614487</v>
      </c>
      <c r="X178" s="3039">
        <f>'[11]НВВ 26.09.23.'!X178+'[12]НВВ 26.09.'!X178</f>
        <v>627.14787737577501</v>
      </c>
      <c r="Y178" s="2258">
        <f t="shared" si="26"/>
        <v>606.63369447095988</v>
      </c>
      <c r="Z178" s="3031">
        <f>'[11]НВВ 26.09.23.'!Z178+'[12]НВВ 26.09.'!Z178</f>
        <v>627.14787737577501</v>
      </c>
      <c r="AA178" s="3039">
        <f>'[11]НВВ 26.09.23.'!AA178+'[12]НВВ 26.09.'!AA178</f>
        <v>671.04822879207927</v>
      </c>
      <c r="AB178" s="2259">
        <f t="shared" si="27"/>
        <v>649.0980530839272</v>
      </c>
      <c r="AC178" s="2606"/>
      <c r="AD178" s="2606"/>
      <c r="AE178" s="2606"/>
      <c r="AF178" s="2593"/>
      <c r="AG178" s="2593"/>
      <c r="AH178" s="2593"/>
      <c r="AI178" s="2593"/>
      <c r="AJ178" s="2593"/>
    </row>
    <row r="179" spans="1:36" s="2218" customFormat="1" outlineLevel="1">
      <c r="A179" s="2235">
        <v>337</v>
      </c>
      <c r="B179" s="2281" t="s">
        <v>1982</v>
      </c>
      <c r="C179" s="2282" t="s">
        <v>1327</v>
      </c>
      <c r="D179" s="2504" t="s">
        <v>1983</v>
      </c>
      <c r="E179" s="2284"/>
      <c r="F179" s="2285"/>
      <c r="G179" s="2257">
        <f t="shared" si="20"/>
        <v>0</v>
      </c>
      <c r="H179" s="2285"/>
      <c r="I179" s="2285"/>
      <c r="J179" s="2257">
        <f t="shared" si="21"/>
        <v>0</v>
      </c>
      <c r="K179" s="2296"/>
      <c r="L179" s="2296"/>
      <c r="M179" s="2259">
        <f t="shared" si="22"/>
        <v>0</v>
      </c>
      <c r="N179" s="3031">
        <f>'[11]НВВ 26.09.23.'!N179+'[12]НВВ 26.09.'!N179</f>
        <v>57.727330606724991</v>
      </c>
      <c r="O179" s="3039">
        <f>'[11]НВВ 26.09.23.'!O179+'[12]НВВ 26.09.'!O179</f>
        <v>57.727330606724991</v>
      </c>
      <c r="P179" s="2258">
        <f t="shared" si="23"/>
        <v>57.727330606724991</v>
      </c>
      <c r="Q179" s="3031">
        <f>'[11]НВВ 26.09.23.'!Q179+'[12]НВВ 26.09.'!Q179</f>
        <v>57.727330606724991</v>
      </c>
      <c r="R179" s="3039">
        <f>'[11]НВВ 26.09.23.'!R179+'[12]НВВ 26.09.'!R179</f>
        <v>57.727330606724991</v>
      </c>
      <c r="S179" s="2259">
        <f t="shared" si="24"/>
        <v>57.727330606724991</v>
      </c>
      <c r="T179" s="3031">
        <f>'[11]НВВ 26.09.23.'!T179+'[12]НВВ 26.09.'!T179</f>
        <v>57.727330606724991</v>
      </c>
      <c r="U179" s="3039">
        <f>'[11]НВВ 26.09.23.'!U179+'[12]НВВ 26.09.'!U179</f>
        <v>57.727330606724991</v>
      </c>
      <c r="V179" s="2258">
        <f t="shared" si="25"/>
        <v>57.727330606724991</v>
      </c>
      <c r="W179" s="3031">
        <f>'[11]НВВ 26.09.23.'!W179+'[12]НВВ 26.09.'!W179</f>
        <v>57.727330606724991</v>
      </c>
      <c r="X179" s="3039">
        <f>'[11]НВВ 26.09.23.'!X179+'[12]НВВ 26.09.'!X179</f>
        <v>57.727330606724991</v>
      </c>
      <c r="Y179" s="2258">
        <f t="shared" si="26"/>
        <v>57.727330606724991</v>
      </c>
      <c r="Z179" s="3031">
        <f>'[11]НВВ 26.09.23.'!Z179+'[12]НВВ 26.09.'!Z179</f>
        <v>57.727330606724991</v>
      </c>
      <c r="AA179" s="3039">
        <f>'[11]НВВ 26.09.23.'!AA179+'[12]НВВ 26.09.'!AA179</f>
        <v>57.727330606724991</v>
      </c>
      <c r="AB179" s="2259">
        <f t="shared" si="27"/>
        <v>57.727330606724991</v>
      </c>
      <c r="AC179" s="2606"/>
      <c r="AD179" s="2606"/>
      <c r="AE179" s="2606"/>
      <c r="AF179" s="2593"/>
      <c r="AG179" s="2593"/>
      <c r="AH179" s="2593"/>
      <c r="AI179" s="2593"/>
      <c r="AJ179" s="2593"/>
    </row>
    <row r="180" spans="1:36" s="2218" customFormat="1" outlineLevel="1">
      <c r="A180" s="2235">
        <v>338</v>
      </c>
      <c r="B180" s="2281" t="s">
        <v>1985</v>
      </c>
      <c r="C180" s="2282" t="s">
        <v>1330</v>
      </c>
      <c r="D180" s="2504" t="s">
        <v>1986</v>
      </c>
      <c r="E180" s="2284"/>
      <c r="F180" s="2285"/>
      <c r="G180" s="2257">
        <f t="shared" si="20"/>
        <v>0</v>
      </c>
      <c r="H180" s="2285"/>
      <c r="I180" s="2285"/>
      <c r="J180" s="2257">
        <f t="shared" si="21"/>
        <v>0</v>
      </c>
      <c r="K180" s="2285"/>
      <c r="L180" s="2285"/>
      <c r="M180" s="2259">
        <f t="shared" si="22"/>
        <v>0</v>
      </c>
      <c r="N180" s="2284">
        <f>N178/N179</f>
        <v>7.9750306500440438</v>
      </c>
      <c r="O180" s="2286">
        <f>O178/O179</f>
        <v>8.8682340828489767</v>
      </c>
      <c r="P180" s="2258">
        <f t="shared" si="23"/>
        <v>8.4216323664465094</v>
      </c>
      <c r="Q180" s="2284">
        <f>Q178/Q179</f>
        <v>8.8682340828489767</v>
      </c>
      <c r="R180" s="2286">
        <f>R178/R179</f>
        <v>9.4890104686484058</v>
      </c>
      <c r="S180" s="2259">
        <f t="shared" si="24"/>
        <v>9.1786222757486904</v>
      </c>
      <c r="T180" s="2284">
        <f>T178/T179</f>
        <v>9.4890104686484058</v>
      </c>
      <c r="U180" s="2286">
        <f>U178/U179</f>
        <v>10.153241201453795</v>
      </c>
      <c r="V180" s="2258">
        <f t="shared" si="25"/>
        <v>9.8211258350511006</v>
      </c>
      <c r="W180" s="2284">
        <f>W178/W179</f>
        <v>10.153241201453795</v>
      </c>
      <c r="X180" s="2286">
        <f>X178/X179</f>
        <v>10.863968085555561</v>
      </c>
      <c r="Y180" s="2258">
        <f t="shared" si="26"/>
        <v>10.508604643504679</v>
      </c>
      <c r="Z180" s="2284">
        <f>Z178/Z179</f>
        <v>10.863968085555561</v>
      </c>
      <c r="AA180" s="2286">
        <f>AA178/AA179</f>
        <v>11.624445851544451</v>
      </c>
      <c r="AB180" s="2259">
        <f t="shared" si="27"/>
        <v>11.244206968550007</v>
      </c>
      <c r="AC180" s="2606"/>
      <c r="AD180" s="2606"/>
      <c r="AE180" s="2606"/>
      <c r="AF180" s="2593"/>
      <c r="AG180" s="2593"/>
      <c r="AH180" s="2593"/>
      <c r="AI180" s="2593"/>
      <c r="AJ180" s="2593"/>
    </row>
    <row r="181" spans="1:36" s="2218" customFormat="1" hidden="1" outlineLevel="2">
      <c r="A181" s="2235">
        <v>335</v>
      </c>
      <c r="B181" s="2279" t="s">
        <v>1988</v>
      </c>
      <c r="C181" s="2280" t="s">
        <v>1989</v>
      </c>
      <c r="D181" s="2500"/>
      <c r="E181" s="2255">
        <f>E182*E183</f>
        <v>0</v>
      </c>
      <c r="F181" s="2256">
        <f>F182*F183</f>
        <v>0</v>
      </c>
      <c r="G181" s="2257">
        <f t="shared" si="20"/>
        <v>0</v>
      </c>
      <c r="H181" s="2256">
        <f>H182*H183</f>
        <v>0</v>
      </c>
      <c r="I181" s="2256">
        <f>I182*I183</f>
        <v>0</v>
      </c>
      <c r="J181" s="2257">
        <f t="shared" si="21"/>
        <v>0</v>
      </c>
      <c r="K181" s="2256">
        <f>K182*K183</f>
        <v>0</v>
      </c>
      <c r="L181" s="2256">
        <f>L182*L183</f>
        <v>0</v>
      </c>
      <c r="M181" s="2259">
        <f t="shared" si="22"/>
        <v>0</v>
      </c>
      <c r="N181" s="2255">
        <v>0</v>
      </c>
      <c r="O181" s="2260">
        <v>0</v>
      </c>
      <c r="P181" s="2258">
        <f t="shared" si="23"/>
        <v>0</v>
      </c>
      <c r="Q181" s="2255">
        <v>0</v>
      </c>
      <c r="R181" s="2260">
        <v>0</v>
      </c>
      <c r="S181" s="2259">
        <f t="shared" si="24"/>
        <v>0</v>
      </c>
      <c r="T181" s="2255">
        <v>0</v>
      </c>
      <c r="U181" s="2260">
        <v>0</v>
      </c>
      <c r="V181" s="2258">
        <f t="shared" si="25"/>
        <v>0</v>
      </c>
      <c r="W181" s="2255">
        <v>0</v>
      </c>
      <c r="X181" s="2260">
        <v>0</v>
      </c>
      <c r="Y181" s="2258">
        <f t="shared" si="26"/>
        <v>0</v>
      </c>
      <c r="Z181" s="2255">
        <v>0</v>
      </c>
      <c r="AA181" s="2260">
        <v>0</v>
      </c>
      <c r="AB181" s="2259">
        <f t="shared" si="27"/>
        <v>0</v>
      </c>
      <c r="AC181" s="2606"/>
      <c r="AD181" s="2606"/>
      <c r="AE181" s="2606"/>
      <c r="AF181" s="2593"/>
      <c r="AG181" s="2593"/>
      <c r="AH181" s="2593"/>
      <c r="AI181" s="2593"/>
      <c r="AJ181" s="2593"/>
    </row>
    <row r="182" spans="1:36" s="2218" customFormat="1" hidden="1" outlineLevel="2">
      <c r="A182" s="2235">
        <v>339</v>
      </c>
      <c r="B182" s="2281" t="s">
        <v>1990</v>
      </c>
      <c r="C182" s="2282" t="s">
        <v>1327</v>
      </c>
      <c r="D182" s="2504" t="s">
        <v>1991</v>
      </c>
      <c r="E182" s="2284"/>
      <c r="F182" s="2285"/>
      <c r="G182" s="2257">
        <f t="shared" si="20"/>
        <v>0</v>
      </c>
      <c r="H182" s="2285"/>
      <c r="I182" s="2285"/>
      <c r="J182" s="2257">
        <f t="shared" si="21"/>
        <v>0</v>
      </c>
      <c r="K182" s="2285"/>
      <c r="L182" s="2285"/>
      <c r="M182" s="2259">
        <f t="shared" si="22"/>
        <v>0</v>
      </c>
      <c r="N182" s="2284">
        <v>0</v>
      </c>
      <c r="O182" s="2286">
        <v>0</v>
      </c>
      <c r="P182" s="2258">
        <f t="shared" si="23"/>
        <v>0</v>
      </c>
      <c r="Q182" s="2284">
        <v>0</v>
      </c>
      <c r="R182" s="2286">
        <v>0</v>
      </c>
      <c r="S182" s="2259">
        <f t="shared" si="24"/>
        <v>0</v>
      </c>
      <c r="T182" s="2284">
        <v>0</v>
      </c>
      <c r="U182" s="2286">
        <v>0</v>
      </c>
      <c r="V182" s="2258">
        <f t="shared" si="25"/>
        <v>0</v>
      </c>
      <c r="W182" s="2284">
        <v>0</v>
      </c>
      <c r="X182" s="2286">
        <v>0</v>
      </c>
      <c r="Y182" s="2258">
        <f t="shared" si="26"/>
        <v>0</v>
      </c>
      <c r="Z182" s="2284">
        <v>0</v>
      </c>
      <c r="AA182" s="2286">
        <v>0</v>
      </c>
      <c r="AB182" s="2259">
        <f t="shared" si="27"/>
        <v>0</v>
      </c>
      <c r="AC182" s="2606"/>
      <c r="AD182" s="2606"/>
      <c r="AE182" s="2606"/>
      <c r="AF182" s="2593"/>
      <c r="AG182" s="2593"/>
      <c r="AH182" s="2593"/>
      <c r="AI182" s="2593"/>
      <c r="AJ182" s="2593"/>
    </row>
    <row r="183" spans="1:36" s="2218" customFormat="1" hidden="1" outlineLevel="2">
      <c r="A183" s="2235">
        <v>340</v>
      </c>
      <c r="B183" s="2281" t="s">
        <v>1992</v>
      </c>
      <c r="C183" s="2282" t="s">
        <v>1330</v>
      </c>
      <c r="D183" s="2504" t="s">
        <v>1993</v>
      </c>
      <c r="E183" s="2284"/>
      <c r="F183" s="2285"/>
      <c r="G183" s="2257">
        <f t="shared" si="20"/>
        <v>0</v>
      </c>
      <c r="H183" s="2285"/>
      <c r="I183" s="2285"/>
      <c r="J183" s="2257">
        <f t="shared" si="21"/>
        <v>0</v>
      </c>
      <c r="K183" s="2285"/>
      <c r="L183" s="2285"/>
      <c r="M183" s="2259">
        <f t="shared" si="22"/>
        <v>0</v>
      </c>
      <c r="N183" s="2284"/>
      <c r="O183" s="2286"/>
      <c r="P183" s="2258">
        <f t="shared" si="23"/>
        <v>0</v>
      </c>
      <c r="Q183" s="2284"/>
      <c r="R183" s="2286"/>
      <c r="S183" s="2259">
        <f t="shared" si="24"/>
        <v>0</v>
      </c>
      <c r="T183" s="2284"/>
      <c r="U183" s="2286"/>
      <c r="V183" s="2258">
        <f t="shared" si="25"/>
        <v>0</v>
      </c>
      <c r="W183" s="2284"/>
      <c r="X183" s="2286"/>
      <c r="Y183" s="2258">
        <f t="shared" si="26"/>
        <v>0</v>
      </c>
      <c r="Z183" s="2284"/>
      <c r="AA183" s="2286"/>
      <c r="AB183" s="2259">
        <f t="shared" si="27"/>
        <v>0</v>
      </c>
      <c r="AC183" s="2606"/>
      <c r="AD183" s="2606"/>
      <c r="AE183" s="2606"/>
      <c r="AF183" s="2593"/>
      <c r="AG183" s="2593"/>
      <c r="AH183" s="2593"/>
      <c r="AI183" s="2593"/>
      <c r="AJ183" s="2593"/>
    </row>
    <row r="184" spans="1:36" s="2218" customFormat="1" hidden="1" outlineLevel="2">
      <c r="A184" s="2235">
        <v>336</v>
      </c>
      <c r="B184" s="2279" t="s">
        <v>1994</v>
      </c>
      <c r="C184" s="2280" t="s">
        <v>1995</v>
      </c>
      <c r="D184" s="2500"/>
      <c r="E184" s="2255">
        <f>E185*E186</f>
        <v>0</v>
      </c>
      <c r="F184" s="2256">
        <f>F185*F186</f>
        <v>0</v>
      </c>
      <c r="G184" s="2257">
        <f t="shared" si="20"/>
        <v>0</v>
      </c>
      <c r="H184" s="2256">
        <f>H185*H186</f>
        <v>0</v>
      </c>
      <c r="I184" s="2256">
        <f>I185*I186</f>
        <v>0</v>
      </c>
      <c r="J184" s="2257">
        <f t="shared" si="21"/>
        <v>0</v>
      </c>
      <c r="K184" s="2256">
        <f>K185*K186</f>
        <v>0</v>
      </c>
      <c r="L184" s="2256">
        <f>L185*L186</f>
        <v>0</v>
      </c>
      <c r="M184" s="2259">
        <f t="shared" si="22"/>
        <v>0</v>
      </c>
      <c r="N184" s="2255">
        <v>0</v>
      </c>
      <c r="O184" s="2260">
        <v>0</v>
      </c>
      <c r="P184" s="2258">
        <f t="shared" si="23"/>
        <v>0</v>
      </c>
      <c r="Q184" s="2255">
        <v>0</v>
      </c>
      <c r="R184" s="2260">
        <v>0</v>
      </c>
      <c r="S184" s="2259">
        <f t="shared" si="24"/>
        <v>0</v>
      </c>
      <c r="T184" s="2255">
        <v>0</v>
      </c>
      <c r="U184" s="2260">
        <v>0</v>
      </c>
      <c r="V184" s="2258">
        <f t="shared" si="25"/>
        <v>0</v>
      </c>
      <c r="W184" s="2255">
        <v>0</v>
      </c>
      <c r="X184" s="2260">
        <v>0</v>
      </c>
      <c r="Y184" s="2258">
        <f t="shared" si="26"/>
        <v>0</v>
      </c>
      <c r="Z184" s="2255">
        <v>0</v>
      </c>
      <c r="AA184" s="2260">
        <v>0</v>
      </c>
      <c r="AB184" s="2259">
        <f t="shared" si="27"/>
        <v>0</v>
      </c>
      <c r="AC184" s="2606"/>
      <c r="AD184" s="2606"/>
      <c r="AE184" s="2606"/>
      <c r="AF184" s="2593"/>
      <c r="AG184" s="2593"/>
      <c r="AH184" s="2593"/>
      <c r="AI184" s="2593"/>
      <c r="AJ184" s="2593"/>
    </row>
    <row r="185" spans="1:36" s="2218" customFormat="1" hidden="1" outlineLevel="2">
      <c r="A185" s="2235">
        <v>341</v>
      </c>
      <c r="B185" s="2281" t="s">
        <v>1996</v>
      </c>
      <c r="C185" s="2282" t="s">
        <v>1327</v>
      </c>
      <c r="D185" s="2504" t="s">
        <v>1991</v>
      </c>
      <c r="E185" s="2284"/>
      <c r="F185" s="2285"/>
      <c r="G185" s="2257">
        <f t="shared" si="20"/>
        <v>0</v>
      </c>
      <c r="H185" s="2285"/>
      <c r="I185" s="2285"/>
      <c r="J185" s="2257">
        <f t="shared" si="21"/>
        <v>0</v>
      </c>
      <c r="K185" s="2285"/>
      <c r="L185" s="2285"/>
      <c r="M185" s="2259">
        <f t="shared" si="22"/>
        <v>0</v>
      </c>
      <c r="N185" s="2284">
        <v>0</v>
      </c>
      <c r="O185" s="2286">
        <v>0</v>
      </c>
      <c r="P185" s="2258">
        <f t="shared" si="23"/>
        <v>0</v>
      </c>
      <c r="Q185" s="2284">
        <v>0</v>
      </c>
      <c r="R185" s="2286">
        <v>0</v>
      </c>
      <c r="S185" s="2259">
        <f t="shared" si="24"/>
        <v>0</v>
      </c>
      <c r="T185" s="2284">
        <v>0</v>
      </c>
      <c r="U185" s="2286">
        <v>0</v>
      </c>
      <c r="V185" s="2258">
        <f t="shared" si="25"/>
        <v>0</v>
      </c>
      <c r="W185" s="2284">
        <v>0</v>
      </c>
      <c r="X185" s="2286">
        <v>0</v>
      </c>
      <c r="Y185" s="2258">
        <f t="shared" si="26"/>
        <v>0</v>
      </c>
      <c r="Z185" s="2284">
        <v>0</v>
      </c>
      <c r="AA185" s="2286">
        <v>0</v>
      </c>
      <c r="AB185" s="2259">
        <f t="shared" si="27"/>
        <v>0</v>
      </c>
      <c r="AC185" s="2606"/>
      <c r="AD185" s="2606"/>
      <c r="AE185" s="2606"/>
      <c r="AF185" s="2593"/>
      <c r="AG185" s="2593"/>
      <c r="AH185" s="2593"/>
      <c r="AI185" s="2593"/>
      <c r="AJ185" s="2593"/>
    </row>
    <row r="186" spans="1:36" s="2218" customFormat="1" hidden="1" outlineLevel="2">
      <c r="A186" s="2235">
        <v>342</v>
      </c>
      <c r="B186" s="2281" t="s">
        <v>1997</v>
      </c>
      <c r="C186" s="2282" t="s">
        <v>1330</v>
      </c>
      <c r="D186" s="2504" t="s">
        <v>1993</v>
      </c>
      <c r="E186" s="2284"/>
      <c r="F186" s="2285"/>
      <c r="G186" s="2257">
        <f t="shared" si="20"/>
        <v>0</v>
      </c>
      <c r="H186" s="2285"/>
      <c r="I186" s="2285"/>
      <c r="J186" s="2257">
        <f t="shared" si="21"/>
        <v>0</v>
      </c>
      <c r="K186" s="2285"/>
      <c r="L186" s="2285"/>
      <c r="M186" s="2259">
        <f t="shared" si="22"/>
        <v>0</v>
      </c>
      <c r="N186" s="2284">
        <v>0</v>
      </c>
      <c r="O186" s="2286">
        <v>0</v>
      </c>
      <c r="P186" s="2258">
        <f t="shared" si="23"/>
        <v>0</v>
      </c>
      <c r="Q186" s="2284">
        <v>0</v>
      </c>
      <c r="R186" s="2286">
        <v>0</v>
      </c>
      <c r="S186" s="2259">
        <f t="shared" si="24"/>
        <v>0</v>
      </c>
      <c r="T186" s="2284">
        <v>0</v>
      </c>
      <c r="U186" s="2286">
        <v>0</v>
      </c>
      <c r="V186" s="2258">
        <f t="shared" si="25"/>
        <v>0</v>
      </c>
      <c r="W186" s="2284">
        <v>0</v>
      </c>
      <c r="X186" s="2286">
        <v>0</v>
      </c>
      <c r="Y186" s="2258">
        <f t="shared" si="26"/>
        <v>0</v>
      </c>
      <c r="Z186" s="2284">
        <v>0</v>
      </c>
      <c r="AA186" s="2286">
        <v>0</v>
      </c>
      <c r="AB186" s="2259">
        <f t="shared" si="27"/>
        <v>0</v>
      </c>
      <c r="AC186" s="2606"/>
      <c r="AD186" s="2606"/>
      <c r="AE186" s="2606"/>
      <c r="AF186" s="2593"/>
      <c r="AG186" s="2593"/>
      <c r="AH186" s="2593"/>
      <c r="AI186" s="2593"/>
      <c r="AJ186" s="2593"/>
    </row>
    <row r="187" spans="1:36" s="2218" customFormat="1" hidden="1" outlineLevel="2">
      <c r="A187" s="2235">
        <v>71</v>
      </c>
      <c r="B187" s="2281" t="s">
        <v>1998</v>
      </c>
      <c r="C187" s="2282" t="s">
        <v>1999</v>
      </c>
      <c r="D187" s="2504" t="s">
        <v>1317</v>
      </c>
      <c r="E187" s="2284"/>
      <c r="F187" s="2285"/>
      <c r="G187" s="2257">
        <f t="shared" si="20"/>
        <v>0</v>
      </c>
      <c r="H187" s="2285"/>
      <c r="I187" s="2285"/>
      <c r="J187" s="2257">
        <f t="shared" si="21"/>
        <v>0</v>
      </c>
      <c r="K187" s="2285"/>
      <c r="L187" s="2285"/>
      <c r="M187" s="2259">
        <f t="shared" si="22"/>
        <v>0</v>
      </c>
      <c r="N187" s="2284">
        <v>0</v>
      </c>
      <c r="O187" s="2286">
        <v>0</v>
      </c>
      <c r="P187" s="2258">
        <f t="shared" si="23"/>
        <v>0</v>
      </c>
      <c r="Q187" s="2284">
        <v>0</v>
      </c>
      <c r="R187" s="2286">
        <v>0</v>
      </c>
      <c r="S187" s="2259">
        <f t="shared" si="24"/>
        <v>0</v>
      </c>
      <c r="T187" s="2284">
        <v>0</v>
      </c>
      <c r="U187" s="2286">
        <v>0</v>
      </c>
      <c r="V187" s="2258">
        <f t="shared" si="25"/>
        <v>0</v>
      </c>
      <c r="W187" s="2284">
        <v>0</v>
      </c>
      <c r="X187" s="2286">
        <v>0</v>
      </c>
      <c r="Y187" s="2258">
        <f t="shared" si="26"/>
        <v>0</v>
      </c>
      <c r="Z187" s="2284">
        <v>0</v>
      </c>
      <c r="AA187" s="2286">
        <v>0</v>
      </c>
      <c r="AB187" s="2259">
        <f t="shared" si="27"/>
        <v>0</v>
      </c>
      <c r="AC187" s="2606"/>
      <c r="AD187" s="2606"/>
      <c r="AE187" s="2606"/>
      <c r="AF187" s="2593"/>
      <c r="AG187" s="2593"/>
      <c r="AH187" s="2593"/>
      <c r="AI187" s="2593"/>
      <c r="AJ187" s="2593"/>
    </row>
    <row r="188" spans="1:36" s="2218" customFormat="1" outlineLevel="1" collapsed="1">
      <c r="A188" s="2235">
        <v>270</v>
      </c>
      <c r="B188" s="2279" t="s">
        <v>2000</v>
      </c>
      <c r="C188" s="2280" t="s">
        <v>2001</v>
      </c>
      <c r="D188" s="2500" t="s">
        <v>1313</v>
      </c>
      <c r="E188" s="2255">
        <f>E189*E190+E191</f>
        <v>0</v>
      </c>
      <c r="F188" s="2256">
        <f>F189*F190+F191</f>
        <v>0</v>
      </c>
      <c r="G188" s="2257">
        <f t="shared" si="20"/>
        <v>0</v>
      </c>
      <c r="H188" s="2256">
        <f>H189*H190+H191</f>
        <v>0</v>
      </c>
      <c r="I188" s="2256">
        <f>I189*I190+I191</f>
        <v>0</v>
      </c>
      <c r="J188" s="2257">
        <f t="shared" si="21"/>
        <v>0</v>
      </c>
      <c r="K188" s="2256">
        <f>K189*K190+K191</f>
        <v>0</v>
      </c>
      <c r="L188" s="2256">
        <f>L189*L190+L191</f>
        <v>0</v>
      </c>
      <c r="M188" s="2259">
        <f t="shared" si="22"/>
        <v>0</v>
      </c>
      <c r="N188" s="3031">
        <f>'[11]НВВ 26.09.23.'!N188+'[12]НВВ 26.09.'!N188</f>
        <v>905.16147323057726</v>
      </c>
      <c r="O188" s="3039">
        <f>'[11]НВВ 26.09.23.'!O188+'[12]НВВ 26.09.'!O188</f>
        <v>962.18664604410355</v>
      </c>
      <c r="P188" s="2258">
        <f t="shared" si="23"/>
        <v>933.67405963734041</v>
      </c>
      <c r="Q188" s="3031">
        <f>'[11]НВВ 26.09.23.'!Q188+'[12]НВВ 26.09.'!Q188</f>
        <v>962.18664604410355</v>
      </c>
      <c r="R188" s="3039">
        <f>'[11]НВВ 26.09.23.'!R188+'[12]НВВ 26.09.'!R188</f>
        <v>1013.1825382844411</v>
      </c>
      <c r="S188" s="2259">
        <f t="shared" si="24"/>
        <v>987.68459216427232</v>
      </c>
      <c r="T188" s="3031">
        <f>'[11]НВВ 26.09.23.'!T188+'[12]НВВ 26.09.'!T188</f>
        <v>1013.1825382844411</v>
      </c>
      <c r="U188" s="3039">
        <f>'[11]НВВ 26.09.23.'!U188+'[12]НВВ 26.09.'!U188</f>
        <v>1071.917246304035</v>
      </c>
      <c r="V188" s="2258">
        <f t="shared" si="25"/>
        <v>1042.5498922942379</v>
      </c>
      <c r="W188" s="3031">
        <f>'[11]НВВ 26.09.23.'!W188+'[12]НВВ 26.09.'!W188</f>
        <v>1071.917246304035</v>
      </c>
      <c r="X188" s="3039">
        <f>'[11]НВВ 26.09.23.'!X188+'[12]НВВ 26.09.'!X188</f>
        <v>1134.1174161930039</v>
      </c>
      <c r="Y188" s="2258">
        <f t="shared" si="26"/>
        <v>1103.0173312485194</v>
      </c>
      <c r="Z188" s="3031">
        <f>'[11]НВВ 26.09.23.'!Z188+'[12]НВВ 26.09.'!Z188</f>
        <v>1134.1174161930039</v>
      </c>
      <c r="AA188" s="3039">
        <f>'[11]НВВ 26.09.23.'!AA188+'[12]НВВ 26.09.'!AA188</f>
        <v>1199.9913939945282</v>
      </c>
      <c r="AB188" s="2259">
        <f t="shared" si="27"/>
        <v>1167.054405093766</v>
      </c>
      <c r="AC188" s="2606"/>
      <c r="AD188" s="2606"/>
      <c r="AE188" s="2606"/>
      <c r="AF188" s="2593"/>
      <c r="AG188" s="2593"/>
      <c r="AH188" s="2593"/>
      <c r="AI188" s="2593"/>
      <c r="AJ188" s="2593"/>
    </row>
    <row r="189" spans="1:36" s="2218" customFormat="1" outlineLevel="1">
      <c r="A189" s="2235">
        <v>271</v>
      </c>
      <c r="B189" s="2281" t="s">
        <v>2002</v>
      </c>
      <c r="C189" s="2282" t="s">
        <v>1505</v>
      </c>
      <c r="D189" s="2504"/>
      <c r="E189" s="2284"/>
      <c r="F189" s="2285"/>
      <c r="G189" s="2257">
        <f t="shared" si="20"/>
        <v>0</v>
      </c>
      <c r="H189" s="2285"/>
      <c r="I189" s="2285"/>
      <c r="J189" s="2257">
        <f t="shared" si="21"/>
        <v>0</v>
      </c>
      <c r="K189" s="2285"/>
      <c r="L189" s="2285"/>
      <c r="M189" s="2259">
        <f t="shared" si="22"/>
        <v>0</v>
      </c>
      <c r="N189" s="3031">
        <f>'[11]НВВ 26.09.23.'!N189+'[12]НВВ 26.09.'!N189</f>
        <v>0.37756202039749137</v>
      </c>
      <c r="O189" s="3039">
        <f>'[11]НВВ 26.09.23.'!O189+'[12]НВВ 26.09.'!O189</f>
        <v>0.37756202039749137</v>
      </c>
      <c r="P189" s="2258">
        <f t="shared" si="23"/>
        <v>0.37756202039749137</v>
      </c>
      <c r="Q189" s="3031">
        <f>'[11]НВВ 26.09.23.'!Q189+'[12]НВВ 26.09.'!Q189</f>
        <v>0.37756202039749137</v>
      </c>
      <c r="R189" s="3039">
        <f>'[11]НВВ 26.09.23.'!R189+'[12]НВВ 26.09.'!R189</f>
        <v>0.37756202039749137</v>
      </c>
      <c r="S189" s="2259">
        <f t="shared" si="24"/>
        <v>0.37756202039749137</v>
      </c>
      <c r="T189" s="3031">
        <f>'[11]НВВ 26.09.23.'!T189+'[12]НВВ 26.09.'!T189</f>
        <v>0.37756202039749137</v>
      </c>
      <c r="U189" s="3039">
        <f>'[11]НВВ 26.09.23.'!U189+'[12]НВВ 26.09.'!U189</f>
        <v>0.37756202039749137</v>
      </c>
      <c r="V189" s="2258">
        <f t="shared" si="25"/>
        <v>0.37756202039749137</v>
      </c>
      <c r="W189" s="3031">
        <f>'[11]НВВ 26.09.23.'!W189+'[12]НВВ 26.09.'!W189</f>
        <v>0.37756202039749137</v>
      </c>
      <c r="X189" s="3039">
        <f>'[11]НВВ 26.09.23.'!X189+'[12]НВВ 26.09.'!X189</f>
        <v>0.37756202039749137</v>
      </c>
      <c r="Y189" s="2258">
        <f t="shared" si="26"/>
        <v>0.37756202039749137</v>
      </c>
      <c r="Z189" s="3031">
        <f>'[11]НВВ 26.09.23.'!Z189+'[12]НВВ 26.09.'!Z189</f>
        <v>0.37756202039749137</v>
      </c>
      <c r="AA189" s="3039">
        <f>'[11]НВВ 26.09.23.'!AA189+'[12]НВВ 26.09.'!AA189</f>
        <v>0.37756202039749137</v>
      </c>
      <c r="AB189" s="2259">
        <f t="shared" si="27"/>
        <v>0.37756202039749137</v>
      </c>
      <c r="AC189" s="2606"/>
      <c r="AD189" s="2606"/>
      <c r="AE189" s="2606"/>
      <c r="AF189" s="2593"/>
      <c r="AG189" s="2593"/>
      <c r="AH189" s="2593"/>
      <c r="AI189" s="2593"/>
      <c r="AJ189" s="2593"/>
    </row>
    <row r="190" spans="1:36" s="2218" customFormat="1" outlineLevel="1">
      <c r="A190" s="2235">
        <v>272</v>
      </c>
      <c r="B190" s="2281" t="s">
        <v>2004</v>
      </c>
      <c r="C190" s="2282" t="s">
        <v>2005</v>
      </c>
      <c r="D190" s="2504" t="s">
        <v>1934</v>
      </c>
      <c r="E190" s="2284"/>
      <c r="F190" s="2285"/>
      <c r="G190" s="2257">
        <f t="shared" si="20"/>
        <v>0</v>
      </c>
      <c r="H190" s="2285"/>
      <c r="I190" s="2285"/>
      <c r="J190" s="2257">
        <f t="shared" si="21"/>
        <v>0</v>
      </c>
      <c r="K190" s="2285"/>
      <c r="L190" s="2285"/>
      <c r="M190" s="2259">
        <f t="shared" si="22"/>
        <v>0</v>
      </c>
      <c r="N190" s="2284">
        <f>N188/N189</f>
        <v>2397.3848648167459</v>
      </c>
      <c r="O190" s="2286">
        <f>O188/O189</f>
        <v>2548.4201113002005</v>
      </c>
      <c r="P190" s="2258">
        <f t="shared" si="23"/>
        <v>2472.902488058473</v>
      </c>
      <c r="Q190" s="2284">
        <f>Q188/Q189</f>
        <v>2548.4201113002005</v>
      </c>
      <c r="R190" s="2286">
        <f>R188/R189</f>
        <v>2683.4863771991113</v>
      </c>
      <c r="S190" s="2259">
        <f t="shared" si="24"/>
        <v>2615.9532442496557</v>
      </c>
      <c r="T190" s="2284">
        <f>T188/T189</f>
        <v>2683.4863771991113</v>
      </c>
      <c r="U190" s="2286">
        <f>U188/U189</f>
        <v>2839.0494498772341</v>
      </c>
      <c r="V190" s="2258">
        <f t="shared" si="25"/>
        <v>2761.2679135381727</v>
      </c>
      <c r="W190" s="2284">
        <f>W188/W189</f>
        <v>2839.0494498772341</v>
      </c>
      <c r="X190" s="2286">
        <f>X188/X189</f>
        <v>3003.7910460353582</v>
      </c>
      <c r="Y190" s="2258">
        <f t="shared" si="26"/>
        <v>2921.4202479562964</v>
      </c>
      <c r="Z190" s="2284">
        <f>Z188/Z189</f>
        <v>3003.7910460353582</v>
      </c>
      <c r="AA190" s="2286">
        <f>AA188/AA189</f>
        <v>3178.2629850618873</v>
      </c>
      <c r="AB190" s="2259">
        <f t="shared" si="27"/>
        <v>3091.0270155486228</v>
      </c>
      <c r="AC190" s="2606"/>
      <c r="AD190" s="2606"/>
      <c r="AE190" s="2606"/>
      <c r="AF190" s="2593"/>
      <c r="AG190" s="2593"/>
      <c r="AH190" s="2593"/>
      <c r="AI190" s="2593"/>
      <c r="AJ190" s="2593"/>
    </row>
    <row r="191" spans="1:36" s="2218" customFormat="1" hidden="1" outlineLevel="2">
      <c r="A191" s="2235">
        <v>70</v>
      </c>
      <c r="B191" s="2281" t="s">
        <v>2007</v>
      </c>
      <c r="C191" s="2282" t="s">
        <v>2008</v>
      </c>
      <c r="D191" s="2504" t="s">
        <v>1317</v>
      </c>
      <c r="E191" s="2284"/>
      <c r="F191" s="2285"/>
      <c r="G191" s="2257">
        <f t="shared" si="20"/>
        <v>0</v>
      </c>
      <c r="H191" s="2285"/>
      <c r="I191" s="2285"/>
      <c r="J191" s="2257">
        <f t="shared" si="21"/>
        <v>0</v>
      </c>
      <c r="K191" s="2285"/>
      <c r="L191" s="2285"/>
      <c r="M191" s="2259">
        <f t="shared" si="22"/>
        <v>0</v>
      </c>
      <c r="N191" s="2284">
        <v>0</v>
      </c>
      <c r="O191" s="2286">
        <v>0</v>
      </c>
      <c r="P191" s="2258">
        <f t="shared" si="23"/>
        <v>0</v>
      </c>
      <c r="Q191" s="2284">
        <v>0</v>
      </c>
      <c r="R191" s="2286">
        <v>0</v>
      </c>
      <c r="S191" s="2259">
        <f t="shared" si="24"/>
        <v>0</v>
      </c>
      <c r="T191" s="2284">
        <v>0</v>
      </c>
      <c r="U191" s="2286">
        <v>0</v>
      </c>
      <c r="V191" s="2258">
        <f t="shared" si="25"/>
        <v>0</v>
      </c>
      <c r="W191" s="2284">
        <v>0</v>
      </c>
      <c r="X191" s="2286">
        <v>0</v>
      </c>
      <c r="Y191" s="2258">
        <f t="shared" si="26"/>
        <v>0</v>
      </c>
      <c r="Z191" s="2284">
        <v>0</v>
      </c>
      <c r="AA191" s="2286">
        <v>0</v>
      </c>
      <c r="AB191" s="2259">
        <f t="shared" si="27"/>
        <v>0</v>
      </c>
      <c r="AC191" s="2606"/>
      <c r="AD191" s="2606"/>
      <c r="AE191" s="2606"/>
      <c r="AF191" s="2593"/>
      <c r="AG191" s="2593"/>
      <c r="AH191" s="2593"/>
      <c r="AI191" s="2593"/>
      <c r="AJ191" s="2593"/>
    </row>
    <row r="192" spans="1:36" s="2218" customFormat="1" hidden="1" outlineLevel="2">
      <c r="A192" s="2235">
        <v>273</v>
      </c>
      <c r="B192" s="2279" t="s">
        <v>2009</v>
      </c>
      <c r="C192" s="2280" t="s">
        <v>2010</v>
      </c>
      <c r="D192" s="2500" t="s">
        <v>1313</v>
      </c>
      <c r="E192" s="2255">
        <f>E193*E194</f>
        <v>0</v>
      </c>
      <c r="F192" s="2256">
        <f>F193*F194</f>
        <v>0</v>
      </c>
      <c r="G192" s="2257">
        <f t="shared" si="20"/>
        <v>0</v>
      </c>
      <c r="H192" s="2256">
        <f>H193*H194</f>
        <v>0</v>
      </c>
      <c r="I192" s="2256">
        <f>I193*I194</f>
        <v>0</v>
      </c>
      <c r="J192" s="2257">
        <f t="shared" si="21"/>
        <v>0</v>
      </c>
      <c r="K192" s="2256">
        <f>K193*K194</f>
        <v>0</v>
      </c>
      <c r="L192" s="2256">
        <f>L193*L194</f>
        <v>0</v>
      </c>
      <c r="M192" s="2259">
        <f t="shared" si="22"/>
        <v>0</v>
      </c>
      <c r="N192" s="2255">
        <v>0</v>
      </c>
      <c r="O192" s="2260">
        <v>0</v>
      </c>
      <c r="P192" s="2258">
        <f t="shared" si="23"/>
        <v>0</v>
      </c>
      <c r="Q192" s="2255">
        <v>0</v>
      </c>
      <c r="R192" s="2260">
        <v>0</v>
      </c>
      <c r="S192" s="2259">
        <f t="shared" si="24"/>
        <v>0</v>
      </c>
      <c r="T192" s="2255">
        <v>0</v>
      </c>
      <c r="U192" s="2260">
        <v>0</v>
      </c>
      <c r="V192" s="2258">
        <f t="shared" si="25"/>
        <v>0</v>
      </c>
      <c r="W192" s="2255">
        <v>0</v>
      </c>
      <c r="X192" s="2260">
        <v>0</v>
      </c>
      <c r="Y192" s="2258">
        <f t="shared" si="26"/>
        <v>0</v>
      </c>
      <c r="Z192" s="2255">
        <v>0</v>
      </c>
      <c r="AA192" s="2260">
        <v>0</v>
      </c>
      <c r="AB192" s="2259">
        <f t="shared" si="27"/>
        <v>0</v>
      </c>
      <c r="AC192" s="2606"/>
      <c r="AD192" s="2606"/>
      <c r="AE192" s="2606"/>
      <c r="AF192" s="2593"/>
      <c r="AG192" s="2593"/>
      <c r="AH192" s="2593"/>
      <c r="AI192" s="2593"/>
      <c r="AJ192" s="2593"/>
    </row>
    <row r="193" spans="1:36" s="2218" customFormat="1" hidden="1" outlineLevel="2">
      <c r="A193" s="2235">
        <v>274</v>
      </c>
      <c r="B193" s="2281" t="s">
        <v>2011</v>
      </c>
      <c r="C193" s="2282" t="s">
        <v>1505</v>
      </c>
      <c r="D193" s="2504" t="s">
        <v>2012</v>
      </c>
      <c r="E193" s="2284"/>
      <c r="F193" s="2285"/>
      <c r="G193" s="2257">
        <f t="shared" si="20"/>
        <v>0</v>
      </c>
      <c r="H193" s="2285"/>
      <c r="I193" s="2285"/>
      <c r="J193" s="2257">
        <f t="shared" si="21"/>
        <v>0</v>
      </c>
      <c r="K193" s="2285"/>
      <c r="L193" s="2285"/>
      <c r="M193" s="2259">
        <f t="shared" si="22"/>
        <v>0</v>
      </c>
      <c r="N193" s="2284">
        <v>0</v>
      </c>
      <c r="O193" s="2286">
        <v>0</v>
      </c>
      <c r="P193" s="2258">
        <f t="shared" si="23"/>
        <v>0</v>
      </c>
      <c r="Q193" s="2284">
        <v>0</v>
      </c>
      <c r="R193" s="2286">
        <v>0</v>
      </c>
      <c r="S193" s="2259">
        <f t="shared" si="24"/>
        <v>0</v>
      </c>
      <c r="T193" s="2284">
        <v>0</v>
      </c>
      <c r="U193" s="2286">
        <v>0</v>
      </c>
      <c r="V193" s="2258">
        <f t="shared" si="25"/>
        <v>0</v>
      </c>
      <c r="W193" s="2284">
        <v>0</v>
      </c>
      <c r="X193" s="2286">
        <v>0</v>
      </c>
      <c r="Y193" s="2258">
        <f t="shared" si="26"/>
        <v>0</v>
      </c>
      <c r="Z193" s="2284">
        <v>0</v>
      </c>
      <c r="AA193" s="2286">
        <v>0</v>
      </c>
      <c r="AB193" s="2259">
        <f t="shared" si="27"/>
        <v>0</v>
      </c>
      <c r="AC193" s="2606"/>
      <c r="AD193" s="2606"/>
      <c r="AE193" s="2606"/>
      <c r="AF193" s="2593"/>
      <c r="AG193" s="2593"/>
      <c r="AH193" s="2593"/>
      <c r="AI193" s="2593"/>
      <c r="AJ193" s="2593"/>
    </row>
    <row r="194" spans="1:36" s="2218" customFormat="1" hidden="1" outlineLevel="2">
      <c r="A194" s="2235">
        <v>275</v>
      </c>
      <c r="B194" s="2281" t="s">
        <v>2014</v>
      </c>
      <c r="C194" s="2282" t="s">
        <v>2005</v>
      </c>
      <c r="D194" s="2504" t="s">
        <v>1934</v>
      </c>
      <c r="E194" s="2284"/>
      <c r="F194" s="2285"/>
      <c r="G194" s="2257">
        <f t="shared" si="20"/>
        <v>0</v>
      </c>
      <c r="H194" s="2285"/>
      <c r="I194" s="2285"/>
      <c r="J194" s="2257">
        <f t="shared" si="21"/>
        <v>0</v>
      </c>
      <c r="K194" s="2285"/>
      <c r="L194" s="2285"/>
      <c r="M194" s="2259">
        <f t="shared" si="22"/>
        <v>0</v>
      </c>
      <c r="N194" s="2284" t="e">
        <v>#DIV/0!</v>
      </c>
      <c r="O194" s="2286" t="e">
        <v>#DIV/0!</v>
      </c>
      <c r="P194" s="2258" t="e">
        <f t="shared" si="23"/>
        <v>#DIV/0!</v>
      </c>
      <c r="Q194" s="2284" t="e">
        <v>#DIV/0!</v>
      </c>
      <c r="R194" s="2286" t="e">
        <v>#DIV/0!</v>
      </c>
      <c r="S194" s="2259" t="e">
        <f t="shared" si="24"/>
        <v>#DIV/0!</v>
      </c>
      <c r="T194" s="2284" t="e">
        <v>#DIV/0!</v>
      </c>
      <c r="U194" s="2286" t="e">
        <v>#DIV/0!</v>
      </c>
      <c r="V194" s="2258" t="e">
        <f t="shared" si="25"/>
        <v>#DIV/0!</v>
      </c>
      <c r="W194" s="2284" t="e">
        <v>#DIV/0!</v>
      </c>
      <c r="X194" s="2286" t="e">
        <v>#DIV/0!</v>
      </c>
      <c r="Y194" s="2258" t="e">
        <f t="shared" si="26"/>
        <v>#DIV/0!</v>
      </c>
      <c r="Z194" s="2284" t="e">
        <v>#DIV/0!</v>
      </c>
      <c r="AA194" s="2286" t="e">
        <v>#DIV/0!</v>
      </c>
      <c r="AB194" s="2259" t="e">
        <f t="shared" si="27"/>
        <v>#DIV/0!</v>
      </c>
      <c r="AC194" s="2606"/>
      <c r="AD194" s="2606"/>
      <c r="AE194" s="2606"/>
      <c r="AF194" s="2593"/>
      <c r="AG194" s="2593"/>
      <c r="AH194" s="2593"/>
      <c r="AI194" s="2593"/>
      <c r="AJ194" s="2593"/>
    </row>
    <row r="195" spans="1:36" s="2218" customFormat="1" hidden="1" outlineLevel="2">
      <c r="A195" s="2235">
        <v>72</v>
      </c>
      <c r="B195" s="2279" t="s">
        <v>2015</v>
      </c>
      <c r="C195" s="2280" t="s">
        <v>2016</v>
      </c>
      <c r="D195" s="2500" t="s">
        <v>1317</v>
      </c>
      <c r="E195" s="2255">
        <f>E196*E197</f>
        <v>0</v>
      </c>
      <c r="F195" s="2256">
        <f>F196*F197</f>
        <v>0</v>
      </c>
      <c r="G195" s="2257">
        <f t="shared" si="20"/>
        <v>0</v>
      </c>
      <c r="H195" s="2256">
        <f>H196*H197</f>
        <v>0</v>
      </c>
      <c r="I195" s="2256">
        <f>I196*I197</f>
        <v>0</v>
      </c>
      <c r="J195" s="2257">
        <f t="shared" si="21"/>
        <v>0</v>
      </c>
      <c r="K195" s="2256">
        <f>K196*K197</f>
        <v>0</v>
      </c>
      <c r="L195" s="2256">
        <f>L196*L197</f>
        <v>0</v>
      </c>
      <c r="M195" s="2259">
        <f t="shared" si="22"/>
        <v>0</v>
      </c>
      <c r="N195" s="2255">
        <v>0</v>
      </c>
      <c r="O195" s="2260">
        <v>0</v>
      </c>
      <c r="P195" s="2258">
        <f t="shared" si="23"/>
        <v>0</v>
      </c>
      <c r="Q195" s="2255">
        <v>0</v>
      </c>
      <c r="R195" s="2260">
        <v>0</v>
      </c>
      <c r="S195" s="2259">
        <f t="shared" si="24"/>
        <v>0</v>
      </c>
      <c r="T195" s="2255">
        <v>0</v>
      </c>
      <c r="U195" s="2260">
        <v>0</v>
      </c>
      <c r="V195" s="2258">
        <f t="shared" si="25"/>
        <v>0</v>
      </c>
      <c r="W195" s="2255">
        <v>0</v>
      </c>
      <c r="X195" s="2260">
        <v>0</v>
      </c>
      <c r="Y195" s="2258">
        <f t="shared" si="26"/>
        <v>0</v>
      </c>
      <c r="Z195" s="2255">
        <v>0</v>
      </c>
      <c r="AA195" s="2260">
        <v>0</v>
      </c>
      <c r="AB195" s="2259">
        <f t="shared" si="27"/>
        <v>0</v>
      </c>
      <c r="AC195" s="2606"/>
      <c r="AD195" s="2606"/>
      <c r="AE195" s="2606"/>
      <c r="AF195" s="2593"/>
      <c r="AG195" s="2593"/>
      <c r="AH195" s="2593"/>
      <c r="AI195" s="2593"/>
      <c r="AJ195" s="2593"/>
    </row>
    <row r="196" spans="1:36" s="2218" customFormat="1" hidden="1" outlineLevel="2">
      <c r="A196" s="2235">
        <v>74</v>
      </c>
      <c r="B196" s="2281" t="s">
        <v>2017</v>
      </c>
      <c r="C196" s="2282" t="s">
        <v>2018</v>
      </c>
      <c r="D196" s="2504" t="s">
        <v>1983</v>
      </c>
      <c r="E196" s="2284"/>
      <c r="F196" s="2285"/>
      <c r="G196" s="2257">
        <f t="shared" si="20"/>
        <v>0</v>
      </c>
      <c r="H196" s="2285"/>
      <c r="I196" s="2285"/>
      <c r="J196" s="2257">
        <f t="shared" si="21"/>
        <v>0</v>
      </c>
      <c r="K196" s="2285"/>
      <c r="L196" s="2285"/>
      <c r="M196" s="2259">
        <f t="shared" si="22"/>
        <v>0</v>
      </c>
      <c r="N196" s="2284">
        <v>0</v>
      </c>
      <c r="O196" s="2286">
        <v>0</v>
      </c>
      <c r="P196" s="2258">
        <f t="shared" si="23"/>
        <v>0</v>
      </c>
      <c r="Q196" s="2284">
        <v>0</v>
      </c>
      <c r="R196" s="2286">
        <v>0</v>
      </c>
      <c r="S196" s="2259">
        <f t="shared" si="24"/>
        <v>0</v>
      </c>
      <c r="T196" s="2284">
        <v>0</v>
      </c>
      <c r="U196" s="2286">
        <v>0</v>
      </c>
      <c r="V196" s="2258">
        <f t="shared" si="25"/>
        <v>0</v>
      </c>
      <c r="W196" s="2284">
        <v>0</v>
      </c>
      <c r="X196" s="2286">
        <v>0</v>
      </c>
      <c r="Y196" s="2258">
        <f t="shared" si="26"/>
        <v>0</v>
      </c>
      <c r="Z196" s="2284">
        <v>0</v>
      </c>
      <c r="AA196" s="2286">
        <v>0</v>
      </c>
      <c r="AB196" s="2259">
        <f t="shared" si="27"/>
        <v>0</v>
      </c>
      <c r="AC196" s="2606"/>
      <c r="AD196" s="2606"/>
      <c r="AE196" s="2606"/>
      <c r="AF196" s="2593"/>
      <c r="AG196" s="2593"/>
      <c r="AH196" s="2593"/>
      <c r="AI196" s="2593"/>
      <c r="AJ196" s="2593"/>
    </row>
    <row r="197" spans="1:36" s="2218" customFormat="1" hidden="1" outlineLevel="2">
      <c r="A197" s="2235">
        <v>73</v>
      </c>
      <c r="B197" s="2281" t="s">
        <v>2020</v>
      </c>
      <c r="C197" s="2282" t="s">
        <v>2005</v>
      </c>
      <c r="D197" s="2504" t="s">
        <v>1986</v>
      </c>
      <c r="E197" s="2284"/>
      <c r="F197" s="2285"/>
      <c r="G197" s="2257">
        <f t="shared" si="20"/>
        <v>0</v>
      </c>
      <c r="H197" s="2285"/>
      <c r="I197" s="2285"/>
      <c r="J197" s="2257">
        <f t="shared" si="21"/>
        <v>0</v>
      </c>
      <c r="K197" s="2285"/>
      <c r="L197" s="2285"/>
      <c r="M197" s="2259">
        <f t="shared" si="22"/>
        <v>0</v>
      </c>
      <c r="N197" s="2284"/>
      <c r="O197" s="2286"/>
      <c r="P197" s="2258">
        <f t="shared" si="23"/>
        <v>0</v>
      </c>
      <c r="Q197" s="2284"/>
      <c r="R197" s="2286"/>
      <c r="S197" s="2259">
        <f t="shared" si="24"/>
        <v>0</v>
      </c>
      <c r="T197" s="2284"/>
      <c r="U197" s="2286"/>
      <c r="V197" s="2258">
        <f t="shared" si="25"/>
        <v>0</v>
      </c>
      <c r="W197" s="2284"/>
      <c r="X197" s="2286"/>
      <c r="Y197" s="2258">
        <f t="shared" si="26"/>
        <v>0</v>
      </c>
      <c r="Z197" s="2284"/>
      <c r="AA197" s="2286"/>
      <c r="AB197" s="2259">
        <f t="shared" si="27"/>
        <v>0</v>
      </c>
      <c r="AC197" s="2606"/>
      <c r="AD197" s="2606"/>
      <c r="AE197" s="2606"/>
      <c r="AF197" s="2593"/>
      <c r="AG197" s="2593"/>
      <c r="AH197" s="2593"/>
      <c r="AI197" s="2593"/>
      <c r="AJ197" s="2593"/>
    </row>
    <row r="198" spans="1:36" s="2218" customFormat="1" hidden="1" outlineLevel="2">
      <c r="A198" s="2235">
        <v>260</v>
      </c>
      <c r="B198" s="2281" t="s">
        <v>2021</v>
      </c>
      <c r="C198" s="2282" t="s">
        <v>2022</v>
      </c>
      <c r="D198" s="2504" t="s">
        <v>1313</v>
      </c>
      <c r="E198" s="2284"/>
      <c r="F198" s="2285"/>
      <c r="G198" s="2257">
        <f t="shared" si="20"/>
        <v>0</v>
      </c>
      <c r="H198" s="2285"/>
      <c r="I198" s="2285"/>
      <c r="J198" s="2257">
        <f t="shared" si="21"/>
        <v>0</v>
      </c>
      <c r="K198" s="2285"/>
      <c r="L198" s="2285"/>
      <c r="M198" s="2259">
        <f t="shared" si="22"/>
        <v>0</v>
      </c>
      <c r="N198" s="2284">
        <v>0</v>
      </c>
      <c r="O198" s="2286">
        <v>0</v>
      </c>
      <c r="P198" s="2258">
        <f t="shared" si="23"/>
        <v>0</v>
      </c>
      <c r="Q198" s="2284">
        <v>0</v>
      </c>
      <c r="R198" s="2286">
        <v>0</v>
      </c>
      <c r="S198" s="2259">
        <f t="shared" ref="S198:S233" si="28">Q198/2+R198/2</f>
        <v>0</v>
      </c>
      <c r="T198" s="2284">
        <v>0</v>
      </c>
      <c r="U198" s="2286">
        <v>0</v>
      </c>
      <c r="V198" s="2258">
        <f t="shared" ref="V198:V233" si="29">T198/2+U198/2</f>
        <v>0</v>
      </c>
      <c r="W198" s="2284">
        <v>0</v>
      </c>
      <c r="X198" s="2286">
        <v>0</v>
      </c>
      <c r="Y198" s="2258">
        <f t="shared" si="26"/>
        <v>0</v>
      </c>
      <c r="Z198" s="2284">
        <v>0</v>
      </c>
      <c r="AA198" s="2286">
        <v>0</v>
      </c>
      <c r="AB198" s="2259">
        <f t="shared" si="27"/>
        <v>0</v>
      </c>
      <c r="AC198" s="2606"/>
      <c r="AD198" s="2606"/>
      <c r="AE198" s="2606"/>
      <c r="AF198" s="2593"/>
      <c r="AG198" s="2593"/>
      <c r="AH198" s="2593"/>
      <c r="AI198" s="2593"/>
      <c r="AJ198" s="2593"/>
    </row>
    <row r="199" spans="1:36" s="2218" customFormat="1" hidden="1" outlineLevel="2">
      <c r="A199" s="2235">
        <v>261</v>
      </c>
      <c r="B199" s="2281" t="s">
        <v>2023</v>
      </c>
      <c r="C199" s="2282" t="s">
        <v>2024</v>
      </c>
      <c r="D199" s="2504" t="s">
        <v>1313</v>
      </c>
      <c r="E199" s="2284"/>
      <c r="F199" s="2285"/>
      <c r="G199" s="2257">
        <f t="shared" si="20"/>
        <v>0</v>
      </c>
      <c r="H199" s="2285"/>
      <c r="I199" s="2285"/>
      <c r="J199" s="2257">
        <f t="shared" si="21"/>
        <v>0</v>
      </c>
      <c r="K199" s="2285"/>
      <c r="L199" s="2285"/>
      <c r="M199" s="2259">
        <f t="shared" si="22"/>
        <v>0</v>
      </c>
      <c r="N199" s="2284">
        <v>0</v>
      </c>
      <c r="O199" s="2286">
        <v>0</v>
      </c>
      <c r="P199" s="2258">
        <f t="shared" si="23"/>
        <v>0</v>
      </c>
      <c r="Q199" s="2284">
        <v>0</v>
      </c>
      <c r="R199" s="2286">
        <v>0</v>
      </c>
      <c r="S199" s="2259">
        <f t="shared" si="28"/>
        <v>0</v>
      </c>
      <c r="T199" s="2284">
        <v>0</v>
      </c>
      <c r="U199" s="2286">
        <v>0</v>
      </c>
      <c r="V199" s="2258">
        <f t="shared" si="29"/>
        <v>0</v>
      </c>
      <c r="W199" s="2284">
        <v>0</v>
      </c>
      <c r="X199" s="2286">
        <v>0</v>
      </c>
      <c r="Y199" s="2258">
        <f t="shared" si="26"/>
        <v>0</v>
      </c>
      <c r="Z199" s="2284">
        <v>0</v>
      </c>
      <c r="AA199" s="2286">
        <v>0</v>
      </c>
      <c r="AB199" s="2259">
        <f t="shared" si="27"/>
        <v>0</v>
      </c>
      <c r="AC199" s="2606"/>
      <c r="AD199" s="2606"/>
      <c r="AE199" s="2606"/>
      <c r="AF199" s="2593"/>
      <c r="AG199" s="2593"/>
      <c r="AH199" s="2593"/>
      <c r="AI199" s="2593"/>
      <c r="AJ199" s="2593"/>
    </row>
    <row r="200" spans="1:36" s="2218" customFormat="1" hidden="1" outlineLevel="2">
      <c r="A200" s="2235">
        <v>262</v>
      </c>
      <c r="B200" s="2281" t="s">
        <v>2025</v>
      </c>
      <c r="C200" s="2282" t="s">
        <v>2026</v>
      </c>
      <c r="D200" s="2504" t="s">
        <v>1313</v>
      </c>
      <c r="E200" s="2284"/>
      <c r="F200" s="2285"/>
      <c r="G200" s="2257">
        <f t="shared" si="20"/>
        <v>0</v>
      </c>
      <c r="H200" s="2285"/>
      <c r="I200" s="2285"/>
      <c r="J200" s="2257">
        <f t="shared" si="21"/>
        <v>0</v>
      </c>
      <c r="K200" s="2285"/>
      <c r="L200" s="2285"/>
      <c r="M200" s="2259">
        <f t="shared" si="22"/>
        <v>0</v>
      </c>
      <c r="N200" s="2284">
        <v>0</v>
      </c>
      <c r="O200" s="2286">
        <v>0</v>
      </c>
      <c r="P200" s="2258">
        <f t="shared" si="23"/>
        <v>0</v>
      </c>
      <c r="Q200" s="2284">
        <v>0</v>
      </c>
      <c r="R200" s="2286">
        <v>0</v>
      </c>
      <c r="S200" s="2259">
        <f t="shared" si="28"/>
        <v>0</v>
      </c>
      <c r="T200" s="2284">
        <v>0</v>
      </c>
      <c r="U200" s="2286">
        <v>0</v>
      </c>
      <c r="V200" s="2258">
        <f t="shared" si="29"/>
        <v>0</v>
      </c>
      <c r="W200" s="2284">
        <v>0</v>
      </c>
      <c r="X200" s="2286">
        <v>0</v>
      </c>
      <c r="Y200" s="2258">
        <f t="shared" si="26"/>
        <v>0</v>
      </c>
      <c r="Z200" s="2284">
        <v>0</v>
      </c>
      <c r="AA200" s="2286">
        <v>0</v>
      </c>
      <c r="AB200" s="2259">
        <f t="shared" si="27"/>
        <v>0</v>
      </c>
      <c r="AC200" s="2606"/>
      <c r="AD200" s="2606"/>
      <c r="AE200" s="2606"/>
      <c r="AF200" s="2593"/>
      <c r="AG200" s="2593"/>
      <c r="AH200" s="2593"/>
      <c r="AI200" s="2593"/>
      <c r="AJ200" s="2593"/>
    </row>
    <row r="201" spans="1:36" s="2218" customFormat="1" outlineLevel="1" collapsed="1">
      <c r="A201" s="2235">
        <v>279</v>
      </c>
      <c r="B201" s="2279" t="s">
        <v>2027</v>
      </c>
      <c r="C201" s="2280" t="s">
        <v>2028</v>
      </c>
      <c r="D201" s="2500" t="s">
        <v>1313</v>
      </c>
      <c r="E201" s="2255">
        <f>E202*E203</f>
        <v>0</v>
      </c>
      <c r="F201" s="2256">
        <f>F202*F203</f>
        <v>0</v>
      </c>
      <c r="G201" s="2257">
        <f t="shared" si="20"/>
        <v>0</v>
      </c>
      <c r="H201" s="2256">
        <f>H202*H203</f>
        <v>0</v>
      </c>
      <c r="I201" s="2256">
        <f>I202*I203</f>
        <v>0</v>
      </c>
      <c r="J201" s="2257">
        <f t="shared" si="21"/>
        <v>0</v>
      </c>
      <c r="K201" s="2256">
        <f>K202*K203</f>
        <v>0</v>
      </c>
      <c r="L201" s="2256">
        <f>L202*L203</f>
        <v>0</v>
      </c>
      <c r="M201" s="2259">
        <f t="shared" si="22"/>
        <v>0</v>
      </c>
      <c r="N201" s="3031">
        <f>'[11]НВВ 26.09.23.'!N201+'[12]НВВ 26.09.'!N201</f>
        <v>104021.99877284553</v>
      </c>
      <c r="O201" s="3039">
        <f>'[11]НВВ 26.09.23.'!O201+'[12]НВВ 26.09.'!O201</f>
        <v>131639.02744124297</v>
      </c>
      <c r="P201" s="2258">
        <f t="shared" si="23"/>
        <v>117830.51310704424</v>
      </c>
      <c r="Q201" s="3031">
        <f>'[11]НВВ 26.09.23.'!Q201+'[12]НВВ 26.09.'!Q201</f>
        <v>131639.02744124297</v>
      </c>
      <c r="R201" s="3039">
        <f>'[11]НВВ 26.09.23.'!R201+'[12]НВВ 26.09.'!R201</f>
        <v>138615.89589562884</v>
      </c>
      <c r="S201" s="2259">
        <f t="shared" si="28"/>
        <v>135127.46166843589</v>
      </c>
      <c r="T201" s="3031">
        <f>'[11]НВВ 26.09.23.'!T201+'[12]НВВ 26.09.'!T201</f>
        <v>138615.89589562884</v>
      </c>
      <c r="U201" s="3039">
        <f>'[11]НВВ 26.09.23.'!U201+'[12]НВВ 26.09.'!U201</f>
        <v>145962.53837809715</v>
      </c>
      <c r="V201" s="2258">
        <f t="shared" si="29"/>
        <v>142289.21713686298</v>
      </c>
      <c r="W201" s="3031">
        <f>'[11]НВВ 26.09.23.'!W201+'[12]НВВ 26.09.'!W201</f>
        <v>145962.53837809715</v>
      </c>
      <c r="X201" s="3039">
        <f>'[11]НВВ 26.09.23.'!X201+'[12]НВВ 26.09.'!X201</f>
        <v>153698.55291213628</v>
      </c>
      <c r="Y201" s="2258">
        <f t="shared" si="26"/>
        <v>149830.54564511671</v>
      </c>
      <c r="Z201" s="3031">
        <f>'[11]НВВ 26.09.23.'!Z201+'[12]НВВ 26.09.'!Z201</f>
        <v>153698.55291213628</v>
      </c>
      <c r="AA201" s="3039">
        <f>'[11]НВВ 26.09.23.'!AA201+'[12]НВВ 26.09.'!AA201</f>
        <v>161844.5762164795</v>
      </c>
      <c r="AB201" s="2259">
        <f t="shared" si="27"/>
        <v>157771.56456430789</v>
      </c>
      <c r="AC201" s="2606"/>
      <c r="AD201" s="2606"/>
      <c r="AE201" s="2606"/>
      <c r="AF201" s="2593"/>
      <c r="AG201" s="2593"/>
      <c r="AH201" s="2593"/>
      <c r="AI201" s="2593"/>
      <c r="AJ201" s="2593"/>
    </row>
    <row r="202" spans="1:36" s="2218" customFormat="1" outlineLevel="1">
      <c r="A202" s="2235">
        <v>280</v>
      </c>
      <c r="B202" s="2281" t="s">
        <v>2029</v>
      </c>
      <c r="C202" s="2282" t="s">
        <v>1505</v>
      </c>
      <c r="D202" s="2504" t="s">
        <v>2012</v>
      </c>
      <c r="E202" s="2284"/>
      <c r="F202" s="2285"/>
      <c r="G202" s="2257">
        <f t="shared" si="20"/>
        <v>0</v>
      </c>
      <c r="H202" s="2285"/>
      <c r="I202" s="2285"/>
      <c r="J202" s="2257">
        <f t="shared" si="21"/>
        <v>0</v>
      </c>
      <c r="K202" s="2285"/>
      <c r="L202" s="2285"/>
      <c r="M202" s="2259">
        <f t="shared" si="22"/>
        <v>0</v>
      </c>
      <c r="N202" s="3031">
        <f>'[11]НВВ 26.09.23.'!N202+'[12]НВВ 26.09.'!N202</f>
        <v>31426.585731977502</v>
      </c>
      <c r="O202" s="3039">
        <f>'[11]НВВ 26.09.23.'!O202+'[12]НВВ 26.09.'!O202</f>
        <v>32701.402698497757</v>
      </c>
      <c r="P202" s="2258">
        <f t="shared" si="23"/>
        <v>32063.994215237632</v>
      </c>
      <c r="Q202" s="3031">
        <f>'[11]НВВ 26.09.23.'!Q202+'[12]НВВ 26.09.'!Q202</f>
        <v>32701.402698497757</v>
      </c>
      <c r="R202" s="3039">
        <f>'[11]НВВ 26.09.23.'!R202+'[12]НВВ 26.09.'!R202</f>
        <v>32701.402698497757</v>
      </c>
      <c r="S202" s="2259">
        <f t="shared" si="28"/>
        <v>32701.402698497757</v>
      </c>
      <c r="T202" s="3031">
        <f>'[11]НВВ 26.09.23.'!T202+'[12]НВВ 26.09.'!T202</f>
        <v>32701.402698497757</v>
      </c>
      <c r="U202" s="3039">
        <f>'[11]НВВ 26.09.23.'!U202+'[12]НВВ 26.09.'!U202</f>
        <v>32701.402698497757</v>
      </c>
      <c r="V202" s="2258">
        <f t="shared" si="29"/>
        <v>32701.402698497757</v>
      </c>
      <c r="W202" s="3031">
        <f>'[11]НВВ 26.09.23.'!W202+'[12]НВВ 26.09.'!W202</f>
        <v>32701.402698497757</v>
      </c>
      <c r="X202" s="3039">
        <f>'[11]НВВ 26.09.23.'!X202+'[12]НВВ 26.09.'!X202</f>
        <v>32701.402698497757</v>
      </c>
      <c r="Y202" s="2258">
        <f t="shared" si="26"/>
        <v>32701.402698497757</v>
      </c>
      <c r="Z202" s="3031">
        <f>'[11]НВВ 26.09.23.'!Z202+'[12]НВВ 26.09.'!Z202</f>
        <v>32701.402698497757</v>
      </c>
      <c r="AA202" s="3039">
        <f>'[11]НВВ 26.09.23.'!AA202+'[12]НВВ 26.09.'!AA202</f>
        <v>32701.402698497757</v>
      </c>
      <c r="AB202" s="2259">
        <f t="shared" si="27"/>
        <v>32701.402698497757</v>
      </c>
      <c r="AC202" s="2606"/>
      <c r="AD202" s="2606"/>
      <c r="AE202" s="2606"/>
      <c r="AF202" s="2593"/>
      <c r="AG202" s="2593"/>
      <c r="AH202" s="2593"/>
      <c r="AI202" s="2593"/>
      <c r="AJ202" s="2593"/>
    </row>
    <row r="203" spans="1:36" s="2218" customFormat="1" outlineLevel="1">
      <c r="A203" s="2235">
        <v>281</v>
      </c>
      <c r="B203" s="2281" t="s">
        <v>2030</v>
      </c>
      <c r="C203" s="2282" t="s">
        <v>2005</v>
      </c>
      <c r="D203" s="2504" t="s">
        <v>1934</v>
      </c>
      <c r="E203" s="2284"/>
      <c r="F203" s="2285"/>
      <c r="G203" s="2257">
        <f t="shared" si="20"/>
        <v>0</v>
      </c>
      <c r="H203" s="2285"/>
      <c r="I203" s="2285"/>
      <c r="J203" s="2257">
        <f t="shared" si="21"/>
        <v>0</v>
      </c>
      <c r="K203" s="2285"/>
      <c r="L203" s="2285"/>
      <c r="M203" s="2259">
        <f t="shared" si="22"/>
        <v>0</v>
      </c>
      <c r="N203" s="2284">
        <f>N201/N202</f>
        <v>3.31</v>
      </c>
      <c r="O203" s="2286">
        <f>O201/O202</f>
        <v>4.0254856543902999</v>
      </c>
      <c r="P203" s="2258">
        <f t="shared" si="23"/>
        <v>3.6677428271951502</v>
      </c>
      <c r="Q203" s="2284">
        <f>Q201/Q202</f>
        <v>4.0254856543902999</v>
      </c>
      <c r="R203" s="2286">
        <f>R201/R202</f>
        <v>4.2388363940729858</v>
      </c>
      <c r="S203" s="2259">
        <f t="shared" si="28"/>
        <v>4.1321610242316424</v>
      </c>
      <c r="T203" s="2284">
        <f>T201/T202</f>
        <v>4.2388363940729858</v>
      </c>
      <c r="U203" s="2286">
        <f>U201/U202</f>
        <v>4.4634947229588535</v>
      </c>
      <c r="V203" s="2258">
        <f t="shared" si="29"/>
        <v>4.3511655585159197</v>
      </c>
      <c r="W203" s="2284">
        <f>W201/W202</f>
        <v>4.4634947229588535</v>
      </c>
      <c r="X203" s="2286">
        <f>X201/X202</f>
        <v>4.7000599432756722</v>
      </c>
      <c r="Y203" s="2258">
        <f t="shared" si="26"/>
        <v>4.5817773331172624</v>
      </c>
      <c r="Z203" s="2284">
        <f>Z201/Z202</f>
        <v>4.7000599432756722</v>
      </c>
      <c r="AA203" s="2286">
        <f>AA201/AA202</f>
        <v>4.949163120269283</v>
      </c>
      <c r="AB203" s="2259">
        <f t="shared" si="27"/>
        <v>4.8246115317724776</v>
      </c>
      <c r="AC203" s="2606"/>
      <c r="AD203" s="2606"/>
      <c r="AE203" s="2606"/>
      <c r="AF203" s="2593"/>
      <c r="AG203" s="2593"/>
      <c r="AH203" s="2593"/>
      <c r="AI203" s="2593"/>
      <c r="AJ203" s="2593"/>
    </row>
    <row r="204" spans="1:36" s="2218" customFormat="1" outlineLevel="1">
      <c r="A204" s="2235">
        <v>276</v>
      </c>
      <c r="B204" s="2279" t="s">
        <v>2031</v>
      </c>
      <c r="C204" s="2280" t="s">
        <v>2032</v>
      </c>
      <c r="D204" s="2500" t="s">
        <v>1313</v>
      </c>
      <c r="E204" s="2255">
        <f>E205*E206</f>
        <v>28190.60375490196</v>
      </c>
      <c r="F204" s="2256">
        <f>F205*F206</f>
        <v>29318.22790509804</v>
      </c>
      <c r="G204" s="2257">
        <f t="shared" si="20"/>
        <v>28754.415829999998</v>
      </c>
      <c r="H204" s="2256">
        <f>H205*H206</f>
        <v>28694.675280788182</v>
      </c>
      <c r="I204" s="2256">
        <f>I205*I206</f>
        <v>29555.515539211829</v>
      </c>
      <c r="J204" s="2257">
        <f t="shared" si="21"/>
        <v>29125.095410000005</v>
      </c>
      <c r="K204" s="2256">
        <f>K205*K206</f>
        <v>23789.131044335023</v>
      </c>
      <c r="L204" s="2256">
        <f>L205*L206</f>
        <v>24502.804975665073</v>
      </c>
      <c r="M204" s="2259">
        <f t="shared" si="22"/>
        <v>24145.968010000048</v>
      </c>
      <c r="N204" s="3031">
        <f>'[11]НВВ 26.09.23.'!N204+'[12]НВВ 26.09.'!N204</f>
        <v>18193.423146538436</v>
      </c>
      <c r="O204" s="3039">
        <f>'[11]НВВ 26.09.23.'!O204+'[12]НВВ 26.09.'!O204</f>
        <v>19990.525461651578</v>
      </c>
      <c r="P204" s="2258">
        <f t="shared" si="23"/>
        <v>19091.974304095005</v>
      </c>
      <c r="Q204" s="3031">
        <f>'[11]НВВ 26.09.23.'!Q204+'[12]НВВ 26.09.'!Q204</f>
        <v>19990.525461651578</v>
      </c>
      <c r="R204" s="3039">
        <f>'[11]НВВ 26.09.23.'!R204+'[12]НВВ 26.09.'!R204</f>
        <v>21050.023311119108</v>
      </c>
      <c r="S204" s="2259">
        <f t="shared" si="28"/>
        <v>20520.274386385343</v>
      </c>
      <c r="T204" s="3031">
        <f>'[11]НВВ 26.09.23.'!T204+'[12]НВВ 26.09.'!T204</f>
        <v>21050.023311119108</v>
      </c>
      <c r="U204" s="3039">
        <f>'[11]НВВ 26.09.23.'!U204+'[12]НВВ 26.09.'!U204</f>
        <v>22165.674546608421</v>
      </c>
      <c r="V204" s="2258">
        <f t="shared" si="29"/>
        <v>21607.848928863765</v>
      </c>
      <c r="W204" s="3031">
        <f>'[11]НВВ 26.09.23.'!W204+'[12]НВВ 26.09.'!W204</f>
        <v>22165.674546608421</v>
      </c>
      <c r="X204" s="3039">
        <f>'[11]НВВ 26.09.23.'!X204+'[12]НВВ 26.09.'!X204</f>
        <v>23340.455297578665</v>
      </c>
      <c r="Y204" s="2258">
        <f t="shared" si="26"/>
        <v>22753.064922093545</v>
      </c>
      <c r="Z204" s="3031">
        <f>'[11]НВВ 26.09.23.'!Z204+'[12]НВВ 26.09.'!Z204</f>
        <v>23340.455297578665</v>
      </c>
      <c r="AA204" s="3039">
        <f>'[11]НВВ 26.09.23.'!AA204+'[12]НВВ 26.09.'!AA204</f>
        <v>24577.499428350333</v>
      </c>
      <c r="AB204" s="2259">
        <f t="shared" si="27"/>
        <v>23958.977362964499</v>
      </c>
      <c r="AC204" s="2606"/>
      <c r="AD204" s="2606"/>
      <c r="AE204" s="2606"/>
      <c r="AF204" s="2593"/>
      <c r="AG204" s="2593"/>
      <c r="AH204" s="2593"/>
      <c r="AI204" s="2593"/>
      <c r="AJ204" s="2593"/>
    </row>
    <row r="205" spans="1:36" s="2218" customFormat="1" outlineLevel="1">
      <c r="A205" s="2235">
        <v>277</v>
      </c>
      <c r="B205" s="2281" t="s">
        <v>2033</v>
      </c>
      <c r="C205" s="2282" t="s">
        <v>1505</v>
      </c>
      <c r="D205" s="2504" t="s">
        <v>2012</v>
      </c>
      <c r="E205" s="2284">
        <v>2185.1252670090962</v>
      </c>
      <c r="F205" s="2285">
        <v>2185.1252670090962</v>
      </c>
      <c r="G205" s="2257">
        <f t="shared" si="20"/>
        <v>2185.1252670090962</v>
      </c>
      <c r="H205" s="2285">
        <v>2229.787620029927</v>
      </c>
      <c r="I205" s="2285">
        <v>2229.787620029927</v>
      </c>
      <c r="J205" s="2257">
        <f t="shared" si="21"/>
        <v>2229.787620029927</v>
      </c>
      <c r="K205" s="2285">
        <v>1540.5711200000001</v>
      </c>
      <c r="L205" s="2285">
        <v>1540.5711200000001</v>
      </c>
      <c r="M205" s="2259">
        <f t="shared" si="22"/>
        <v>1540.5711200000001</v>
      </c>
      <c r="N205" s="3031">
        <f>'[11]НВВ 26.09.23.'!N205+'[12]НВВ 26.09.'!N205</f>
        <v>1034.2476893289897</v>
      </c>
      <c r="O205" s="3039">
        <f>'[11]НВВ 26.09.23.'!O205+'[12]НВВ 26.09.'!O205</f>
        <v>1083.9909291428316</v>
      </c>
      <c r="P205" s="2258">
        <f t="shared" si="23"/>
        <v>1059.1193092359108</v>
      </c>
      <c r="Q205" s="3031">
        <f>'[11]НВВ 26.09.23.'!Q205+'[12]НВВ 26.09.'!Q205</f>
        <v>1083.9909291428316</v>
      </c>
      <c r="R205" s="3039">
        <f>'[11]НВВ 26.09.23.'!R205+'[12]НВВ 26.09.'!R205</f>
        <v>1083.9909291428316</v>
      </c>
      <c r="S205" s="2259">
        <f t="shared" si="28"/>
        <v>1083.9909291428316</v>
      </c>
      <c r="T205" s="3031">
        <f>'[11]НВВ 26.09.23.'!T205+'[12]НВВ 26.09.'!T205</f>
        <v>1083.9909291428316</v>
      </c>
      <c r="U205" s="3039">
        <f>'[11]НВВ 26.09.23.'!U205+'[12]НВВ 26.09.'!U205</f>
        <v>1083.9909291428316</v>
      </c>
      <c r="V205" s="2258">
        <f t="shared" si="29"/>
        <v>1083.9909291428316</v>
      </c>
      <c r="W205" s="3031">
        <f>'[11]НВВ 26.09.23.'!W205+'[12]НВВ 26.09.'!W205</f>
        <v>1083.9909291428316</v>
      </c>
      <c r="X205" s="3039">
        <f>'[11]НВВ 26.09.23.'!X205+'[12]НВВ 26.09.'!X205</f>
        <v>1083.9909291428316</v>
      </c>
      <c r="Y205" s="2258">
        <f t="shared" si="26"/>
        <v>1083.9909291428316</v>
      </c>
      <c r="Z205" s="3031">
        <f>'[11]НВВ 26.09.23.'!Z205+'[12]НВВ 26.09.'!Z205</f>
        <v>1083.9909291428316</v>
      </c>
      <c r="AA205" s="3039">
        <f>'[11]НВВ 26.09.23.'!AA205+'[12]НВВ 26.09.'!AA205</f>
        <v>1083.9909291428316</v>
      </c>
      <c r="AB205" s="2259">
        <f t="shared" si="27"/>
        <v>1083.9909291428316</v>
      </c>
      <c r="AC205" s="2606"/>
      <c r="AD205" s="2606"/>
      <c r="AE205" s="2606"/>
      <c r="AF205" s="2593"/>
      <c r="AG205" s="2593"/>
      <c r="AH205" s="2593"/>
      <c r="AI205" s="2593"/>
      <c r="AJ205" s="2593"/>
    </row>
    <row r="206" spans="1:36" s="2218" customFormat="1" outlineLevel="1">
      <c r="A206" s="2235">
        <v>278</v>
      </c>
      <c r="B206" s="2281" t="s">
        <v>2034</v>
      </c>
      <c r="C206" s="2282" t="s">
        <v>2005</v>
      </c>
      <c r="D206" s="2504" t="s">
        <v>1934</v>
      </c>
      <c r="E206" s="2284">
        <v>12.901138520762256</v>
      </c>
      <c r="F206" s="2285">
        <v>13.417184061592746</v>
      </c>
      <c r="G206" s="2257">
        <f t="shared" si="20"/>
        <v>13.159161291177501</v>
      </c>
      <c r="H206" s="2285">
        <v>12.868792984151135</v>
      </c>
      <c r="I206" s="2285">
        <v>13.25485677367567</v>
      </c>
      <c r="J206" s="2257">
        <f t="shared" si="21"/>
        <v>13.061824878913402</v>
      </c>
      <c r="K206" s="2285">
        <v>15.441761003760099</v>
      </c>
      <c r="L206" s="2285">
        <v>15.905013833872903</v>
      </c>
      <c r="M206" s="2259">
        <f t="shared" si="22"/>
        <v>15.673387418816501</v>
      </c>
      <c r="N206" s="2284">
        <f>N204/N205</f>
        <v>17.590972969291485</v>
      </c>
      <c r="O206" s="2286">
        <f>O204/O205</f>
        <v>18.441598471178288</v>
      </c>
      <c r="P206" s="2258">
        <f t="shared" si="23"/>
        <v>18.016285720234887</v>
      </c>
      <c r="Q206" s="2284">
        <f>Q204/Q205</f>
        <v>18.441598471178288</v>
      </c>
      <c r="R206" s="2286">
        <f>R204/R205</f>
        <v>19.419003190150736</v>
      </c>
      <c r="S206" s="2259">
        <f t="shared" si="28"/>
        <v>18.930300830664514</v>
      </c>
      <c r="T206" s="2284">
        <f>T204/T205</f>
        <v>19.419003190150736</v>
      </c>
      <c r="U206" s="2286">
        <f>U204/U205</f>
        <v>20.448210359228725</v>
      </c>
      <c r="V206" s="2258">
        <f t="shared" si="29"/>
        <v>19.933606774689729</v>
      </c>
      <c r="W206" s="2284">
        <f>W204/W205</f>
        <v>20.448210359228725</v>
      </c>
      <c r="X206" s="2286">
        <f>X204/X205</f>
        <v>21.531965508267845</v>
      </c>
      <c r="Y206" s="2258">
        <f t="shared" si="26"/>
        <v>20.990087933748285</v>
      </c>
      <c r="Z206" s="2284">
        <f>Z204/Z205</f>
        <v>21.531965508267845</v>
      </c>
      <c r="AA206" s="2286">
        <f>AA204/AA205</f>
        <v>22.673159680206041</v>
      </c>
      <c r="AB206" s="2259">
        <f t="shared" si="27"/>
        <v>22.102562594236943</v>
      </c>
      <c r="AC206" s="2606"/>
      <c r="AD206" s="2606"/>
      <c r="AE206" s="2606"/>
      <c r="AF206" s="2593"/>
      <c r="AG206" s="2593"/>
      <c r="AH206" s="2593"/>
      <c r="AI206" s="2593"/>
      <c r="AJ206" s="2593"/>
    </row>
    <row r="207" spans="1:36" s="2218" customFormat="1" hidden="1" outlineLevel="2">
      <c r="A207" s="2235"/>
      <c r="B207" s="2383" t="s">
        <v>141</v>
      </c>
      <c r="C207" s="2293" t="s">
        <v>2035</v>
      </c>
      <c r="D207" s="2543" t="s">
        <v>1313</v>
      </c>
      <c r="E207" s="2284">
        <f>[14]Химреагенты!D5</f>
        <v>0</v>
      </c>
      <c r="F207" s="2284">
        <f>[14]Химреагенты!E5</f>
        <v>0</v>
      </c>
      <c r="G207" s="2257">
        <f t="shared" si="20"/>
        <v>0</v>
      </c>
      <c r="H207" s="2385">
        <f>[14]Химреагенты!G5</f>
        <v>0</v>
      </c>
      <c r="I207" s="2481">
        <f>[14]Химреагенты!H5</f>
        <v>0</v>
      </c>
      <c r="J207" s="2257">
        <f t="shared" si="21"/>
        <v>0</v>
      </c>
      <c r="K207" s="2385">
        <f>[14]Химреагенты!J5</f>
        <v>0</v>
      </c>
      <c r="L207" s="2481">
        <f>[14]Химреагенты!K5</f>
        <v>0</v>
      </c>
      <c r="M207" s="2259">
        <f t="shared" si="22"/>
        <v>0</v>
      </c>
      <c r="N207" s="3031">
        <f>'[11]НВВ 26.09.23.'!N207+'[12]НВВ 26.09.'!N207</f>
        <v>0</v>
      </c>
      <c r="O207" s="3039">
        <f>'[11]НВВ 26.09.23.'!O207+'[12]НВВ 26.09.'!O207</f>
        <v>35.135807804549593</v>
      </c>
      <c r="P207" s="2258">
        <f t="shared" si="23"/>
        <v>17.567903902274796</v>
      </c>
      <c r="Q207" s="3031">
        <f>O207</f>
        <v>35.135807804549593</v>
      </c>
      <c r="R207" s="3039">
        <f>'[11]НВВ 26.09.23.'!R207+'[12]НВВ 26.09.'!R207</f>
        <v>36.541240116731579</v>
      </c>
      <c r="S207" s="2259">
        <f t="shared" si="28"/>
        <v>35.838523960640586</v>
      </c>
      <c r="T207" s="3031">
        <f>'[11]НВВ 26.09.23.'!T207+'[12]НВВ 26.09.'!T207</f>
        <v>36.541240116731579</v>
      </c>
      <c r="U207" s="3039">
        <f>'[11]НВВ 26.09.23.'!U207+'[12]НВВ 26.09.'!U207</f>
        <v>38.002889721400841</v>
      </c>
      <c r="V207" s="2258">
        <f t="shared" si="29"/>
        <v>37.27206491906621</v>
      </c>
      <c r="W207" s="3031">
        <f>'[11]НВВ 26.09.23.'!W207+'[12]НВВ 26.09.'!W207</f>
        <v>38.002889721400841</v>
      </c>
      <c r="X207" s="3039">
        <f>'[11]НВВ 26.09.23.'!X207+'[12]НВВ 26.09.'!X207</f>
        <v>39.523005310256877</v>
      </c>
      <c r="Y207" s="2258">
        <f t="shared" si="26"/>
        <v>38.762947515828856</v>
      </c>
      <c r="Z207" s="3031">
        <f>'[11]НВВ 26.09.23.'!Z207+'[12]НВВ 26.09.'!Z207</f>
        <v>39.523005310256877</v>
      </c>
      <c r="AA207" s="3039">
        <f>'[11]НВВ 26.09.23.'!AA207+'[12]НВВ 26.09.'!AA207</f>
        <v>41.103925522667154</v>
      </c>
      <c r="AB207" s="2259">
        <f t="shared" si="27"/>
        <v>40.313465416462016</v>
      </c>
      <c r="AC207" s="2606"/>
      <c r="AD207" s="2606"/>
      <c r="AE207" s="2606"/>
      <c r="AF207" s="2593"/>
      <c r="AG207" s="2593"/>
      <c r="AH207" s="2593"/>
      <c r="AI207" s="2593"/>
      <c r="AJ207" s="2593"/>
    </row>
    <row r="208" spans="1:36" s="2218" customFormat="1" outlineLevel="1" collapsed="1">
      <c r="A208" s="2235">
        <v>155</v>
      </c>
      <c r="B208" s="2279" t="s">
        <v>134</v>
      </c>
      <c r="C208" s="2295" t="s">
        <v>2036</v>
      </c>
      <c r="D208" s="2500" t="s">
        <v>1313</v>
      </c>
      <c r="E208" s="2255">
        <f>E209+E210+E211+E212+E215+E216+E217</f>
        <v>238.01354107613042</v>
      </c>
      <c r="F208" s="2256">
        <f>F209+F210+F211+F212+F215+F216+F217</f>
        <v>238.01354107613042</v>
      </c>
      <c r="G208" s="2257">
        <f t="shared" si="20"/>
        <v>238.01354107613042</v>
      </c>
      <c r="H208" s="2256">
        <f>H209+H210+H211+H212+H215+H216+H217</f>
        <v>236.64364266301149</v>
      </c>
      <c r="I208" s="2256">
        <f>I209+I210+I211+I212+I215+I216+I217</f>
        <v>236.64364266301149</v>
      </c>
      <c r="J208" s="2257">
        <f t="shared" si="21"/>
        <v>236.64364266301149</v>
      </c>
      <c r="K208" s="2256">
        <f>K209+K210+K211+K212+K215+K216+K217</f>
        <v>228.01698012835703</v>
      </c>
      <c r="L208" s="2256">
        <f>L209+L210+L211+L212+L215+L216+L217</f>
        <v>228.01698012835703</v>
      </c>
      <c r="M208" s="2259">
        <f t="shared" si="22"/>
        <v>228.01698012835703</v>
      </c>
      <c r="N208" s="3031">
        <f>'[11]НВВ 26.09.23.'!N208+'[12]НВВ 26.09.'!N208</f>
        <v>41.58232434590478</v>
      </c>
      <c r="O208" s="3039">
        <f>'[11]НВВ 26.09.23.'!O208+'[12]НВВ 26.09.'!O208</f>
        <v>287.50761397428352</v>
      </c>
      <c r="P208" s="2258">
        <f t="shared" si="23"/>
        <v>164.54496916009415</v>
      </c>
      <c r="Q208" s="3031">
        <f>'[11]НВВ 26.09.23.'!Q208+'[12]НВВ 26.09.'!Q208</f>
        <v>287.50761397428346</v>
      </c>
      <c r="R208" s="3039">
        <f>'[11]НВВ 26.09.23.'!R208+'[12]НВВ 26.09.'!R208</f>
        <v>299.00791853325484</v>
      </c>
      <c r="S208" s="2259">
        <f t="shared" si="28"/>
        <v>293.25776625376915</v>
      </c>
      <c r="T208" s="3031">
        <f>'[11]НВВ 26.09.23.'!T208+'[12]НВВ 26.09.'!T208</f>
        <v>299.00791853325484</v>
      </c>
      <c r="U208" s="3039">
        <f>'[11]НВВ 26.09.23.'!U208+'[12]НВВ 26.09.'!U208</f>
        <v>310.96823527458503</v>
      </c>
      <c r="V208" s="2258">
        <f t="shared" si="29"/>
        <v>304.98807690391993</v>
      </c>
      <c r="W208" s="3031">
        <f>'[11]НВВ 26.09.23.'!W208+'[12]НВВ 26.09.'!W208</f>
        <v>310.96823527458503</v>
      </c>
      <c r="X208" s="3039">
        <f>'[11]НВВ 26.09.23.'!X208+'[12]НВВ 26.09.'!X208</f>
        <v>323.40696468556843</v>
      </c>
      <c r="Y208" s="2258">
        <f t="shared" si="26"/>
        <v>317.1875999800767</v>
      </c>
      <c r="Z208" s="3031">
        <f>'[11]НВВ 26.09.23.'!Z208+'[12]НВВ 26.09.'!Z208</f>
        <v>323.40696468556843</v>
      </c>
      <c r="AA208" s="3039">
        <f>'[11]НВВ 26.09.23.'!AA208+'[12]НВВ 26.09.'!AA208</f>
        <v>336.34324327299117</v>
      </c>
      <c r="AB208" s="2259">
        <f t="shared" si="27"/>
        <v>329.8751039792798</v>
      </c>
      <c r="AC208" s="2606"/>
      <c r="AD208" s="2606"/>
      <c r="AE208" s="2606"/>
      <c r="AF208" s="2593"/>
      <c r="AG208" s="2593"/>
      <c r="AH208" s="2593"/>
      <c r="AI208" s="2593"/>
      <c r="AJ208" s="2593"/>
    </row>
    <row r="209" spans="1:36" s="2218" customFormat="1" hidden="1" outlineLevel="2">
      <c r="A209" s="2235">
        <v>156</v>
      </c>
      <c r="B209" s="2281" t="s">
        <v>2037</v>
      </c>
      <c r="C209" s="2282" t="s">
        <v>1182</v>
      </c>
      <c r="D209" s="2504" t="s">
        <v>1317</v>
      </c>
      <c r="E209" s="2284"/>
      <c r="F209" s="2285"/>
      <c r="G209" s="2257">
        <f t="shared" si="20"/>
        <v>0</v>
      </c>
      <c r="H209" s="2285"/>
      <c r="I209" s="2285"/>
      <c r="J209" s="2257">
        <f t="shared" si="21"/>
        <v>0</v>
      </c>
      <c r="K209" s="2285"/>
      <c r="L209" s="2285"/>
      <c r="M209" s="2259">
        <f t="shared" si="22"/>
        <v>0</v>
      </c>
      <c r="N209" s="2284">
        <v>0</v>
      </c>
      <c r="O209" s="2286">
        <v>0</v>
      </c>
      <c r="P209" s="2258">
        <f t="shared" si="23"/>
        <v>0</v>
      </c>
      <c r="Q209" s="2284">
        <v>0</v>
      </c>
      <c r="R209" s="2286">
        <v>0</v>
      </c>
      <c r="S209" s="2259">
        <f t="shared" si="28"/>
        <v>0</v>
      </c>
      <c r="T209" s="2284">
        <v>0</v>
      </c>
      <c r="U209" s="2286">
        <v>0</v>
      </c>
      <c r="V209" s="2258">
        <f t="shared" si="29"/>
        <v>0</v>
      </c>
      <c r="W209" s="2284">
        <v>0</v>
      </c>
      <c r="X209" s="2286">
        <v>0</v>
      </c>
      <c r="Y209" s="2258">
        <f t="shared" si="26"/>
        <v>0</v>
      </c>
      <c r="Z209" s="2284">
        <v>0</v>
      </c>
      <c r="AA209" s="2286">
        <v>0</v>
      </c>
      <c r="AB209" s="2259">
        <f t="shared" si="27"/>
        <v>0</v>
      </c>
      <c r="AC209" s="2606"/>
      <c r="AD209" s="2606"/>
      <c r="AE209" s="2606"/>
      <c r="AF209" s="2593"/>
      <c r="AG209" s="2593"/>
      <c r="AH209" s="2593"/>
      <c r="AI209" s="2593"/>
      <c r="AJ209" s="2593"/>
    </row>
    <row r="210" spans="1:36" s="2218" customFormat="1" hidden="1" outlineLevel="2">
      <c r="A210" s="2235">
        <v>157</v>
      </c>
      <c r="B210" s="2281" t="s">
        <v>2038</v>
      </c>
      <c r="C210" s="2282" t="s">
        <v>2039</v>
      </c>
      <c r="D210" s="2504" t="s">
        <v>1317</v>
      </c>
      <c r="E210" s="2284"/>
      <c r="F210" s="2285"/>
      <c r="G210" s="2257">
        <f t="shared" si="20"/>
        <v>0</v>
      </c>
      <c r="H210" s="2285"/>
      <c r="I210" s="2285"/>
      <c r="J210" s="2257">
        <f t="shared" si="21"/>
        <v>0</v>
      </c>
      <c r="K210" s="2285"/>
      <c r="L210" s="2285"/>
      <c r="M210" s="2259">
        <f t="shared" si="22"/>
        <v>0</v>
      </c>
      <c r="N210" s="2284">
        <v>0</v>
      </c>
      <c r="O210" s="2286">
        <v>0</v>
      </c>
      <c r="P210" s="2258">
        <f t="shared" si="23"/>
        <v>0</v>
      </c>
      <c r="Q210" s="2284">
        <v>0</v>
      </c>
      <c r="R210" s="2286">
        <v>0</v>
      </c>
      <c r="S210" s="2259">
        <f t="shared" si="28"/>
        <v>0</v>
      </c>
      <c r="T210" s="2284">
        <v>0</v>
      </c>
      <c r="U210" s="2286">
        <v>0</v>
      </c>
      <c r="V210" s="2258">
        <f t="shared" si="29"/>
        <v>0</v>
      </c>
      <c r="W210" s="2284">
        <v>0</v>
      </c>
      <c r="X210" s="2286">
        <v>0</v>
      </c>
      <c r="Y210" s="2258">
        <f t="shared" si="26"/>
        <v>0</v>
      </c>
      <c r="Z210" s="2284">
        <v>0</v>
      </c>
      <c r="AA210" s="2286">
        <v>0</v>
      </c>
      <c r="AB210" s="2259">
        <f t="shared" si="27"/>
        <v>0</v>
      </c>
      <c r="AC210" s="2606"/>
      <c r="AD210" s="2606"/>
      <c r="AE210" s="2606"/>
      <c r="AF210" s="2593"/>
      <c r="AG210" s="2593"/>
      <c r="AH210" s="2593"/>
      <c r="AI210" s="2593"/>
      <c r="AJ210" s="2593"/>
    </row>
    <row r="211" spans="1:36" s="2218" customFormat="1" outlineLevel="1" collapsed="1">
      <c r="A211" s="2235">
        <v>160</v>
      </c>
      <c r="B211" s="2281" t="s">
        <v>2040</v>
      </c>
      <c r="C211" s="2282" t="s">
        <v>2041</v>
      </c>
      <c r="D211" s="2504" t="s">
        <v>1317</v>
      </c>
      <c r="E211" s="2284">
        <v>0.73344107613040543</v>
      </c>
      <c r="F211" s="2285">
        <v>0.73344107613040543</v>
      </c>
      <c r="G211" s="2257">
        <f t="shared" si="20"/>
        <v>0.73344107613040543</v>
      </c>
      <c r="H211" s="2285">
        <v>0.47159266301151626</v>
      </c>
      <c r="I211" s="2285">
        <v>0.47159266301151626</v>
      </c>
      <c r="J211" s="2257">
        <f t="shared" si="21"/>
        <v>0.47159266301151626</v>
      </c>
      <c r="K211" s="2285">
        <v>0.36294012835702327</v>
      </c>
      <c r="L211" s="2285">
        <v>0.36294012835702327</v>
      </c>
      <c r="M211" s="2259">
        <f t="shared" si="22"/>
        <v>0.36294012835702327</v>
      </c>
      <c r="N211" s="3031">
        <f>'[11]НВВ 26.09.23.'!N211+'[12]НВВ 26.09.'!N211</f>
        <v>0.61294605145173864</v>
      </c>
      <c r="O211" s="3039">
        <f>'[11]НВВ 26.09.23.'!O211+'[12]НВВ 26.09.'!O211</f>
        <v>34.752115993689458</v>
      </c>
      <c r="P211" s="2258">
        <f t="shared" si="23"/>
        <v>17.682531022570597</v>
      </c>
      <c r="Q211" s="3031">
        <f>'[11]НВВ 26.09.23.'!Q211+'[12]НВВ 26.09.'!Q211</f>
        <v>34.752115993689458</v>
      </c>
      <c r="R211" s="3039">
        <f>'[11]НВВ 26.09.23.'!R211+'[12]НВВ 26.09.'!R211</f>
        <v>36.142200633437035</v>
      </c>
      <c r="S211" s="2259">
        <f t="shared" si="28"/>
        <v>35.44715831356325</v>
      </c>
      <c r="T211" s="3031">
        <f>'[11]НВВ 26.09.23.'!T211+'[12]НВВ 26.09.'!T211</f>
        <v>36.142200633437035</v>
      </c>
      <c r="U211" s="3039">
        <f>'[11]НВВ 26.09.23.'!U211+'[12]НВВ 26.09.'!U211</f>
        <v>37.587888658774517</v>
      </c>
      <c r="V211" s="2258">
        <f t="shared" si="29"/>
        <v>36.865044646105773</v>
      </c>
      <c r="W211" s="3031">
        <f>'[11]НВВ 26.09.23.'!W211+'[12]НВВ 26.09.'!W211</f>
        <v>37.587888658774517</v>
      </c>
      <c r="X211" s="3039">
        <f>'[11]НВВ 26.09.23.'!X211+'[12]НВВ 26.09.'!X211</f>
        <v>39.0914042051255</v>
      </c>
      <c r="Y211" s="2258">
        <f t="shared" si="26"/>
        <v>38.339646431950008</v>
      </c>
      <c r="Z211" s="3031">
        <f>'[11]НВВ 26.09.23.'!Z211+'[12]НВВ 26.09.'!Z211</f>
        <v>39.0914042051255</v>
      </c>
      <c r="AA211" s="3039">
        <f>'[11]НВВ 26.09.23.'!AA211+'[12]НВВ 26.09.'!AA211</f>
        <v>40.655060373330514</v>
      </c>
      <c r="AB211" s="2259">
        <f t="shared" si="27"/>
        <v>39.873232289228007</v>
      </c>
      <c r="AC211" s="2606"/>
      <c r="AD211" s="2606"/>
      <c r="AE211" s="2606"/>
      <c r="AF211" s="2593"/>
      <c r="AG211" s="2593"/>
      <c r="AH211" s="2593"/>
      <c r="AI211" s="2593"/>
      <c r="AJ211" s="2593"/>
    </row>
    <row r="212" spans="1:36" s="2218" customFormat="1" hidden="1" outlineLevel="2">
      <c r="A212" s="2235">
        <v>10</v>
      </c>
      <c r="B212" s="2279" t="s">
        <v>2043</v>
      </c>
      <c r="C212" s="2280" t="s">
        <v>2044</v>
      </c>
      <c r="D212" s="2500" t="s">
        <v>1313</v>
      </c>
      <c r="E212" s="2255">
        <f>E213+E214</f>
        <v>0</v>
      </c>
      <c r="F212" s="2256">
        <f>F213+F214</f>
        <v>0</v>
      </c>
      <c r="G212" s="2257">
        <f t="shared" si="20"/>
        <v>0</v>
      </c>
      <c r="H212" s="2256">
        <f>H213+H214</f>
        <v>0</v>
      </c>
      <c r="I212" s="2256">
        <f>I213+I214</f>
        <v>0</v>
      </c>
      <c r="J212" s="2257">
        <f t="shared" si="21"/>
        <v>0</v>
      </c>
      <c r="K212" s="2256">
        <f>K213+K214</f>
        <v>0</v>
      </c>
      <c r="L212" s="2256">
        <f>L213+L214</f>
        <v>0</v>
      </c>
      <c r="M212" s="2259">
        <f t="shared" si="22"/>
        <v>0</v>
      </c>
      <c r="N212" s="2255">
        <v>0</v>
      </c>
      <c r="O212" s="2260">
        <v>0</v>
      </c>
      <c r="P212" s="2258">
        <f t="shared" si="23"/>
        <v>0</v>
      </c>
      <c r="Q212" s="2255">
        <v>0</v>
      </c>
      <c r="R212" s="2260">
        <v>0</v>
      </c>
      <c r="S212" s="2259">
        <f t="shared" si="28"/>
        <v>0</v>
      </c>
      <c r="T212" s="2255">
        <v>0</v>
      </c>
      <c r="U212" s="2260">
        <v>0</v>
      </c>
      <c r="V212" s="2258">
        <f t="shared" si="29"/>
        <v>0</v>
      </c>
      <c r="W212" s="2255">
        <v>0</v>
      </c>
      <c r="X212" s="2260">
        <v>0</v>
      </c>
      <c r="Y212" s="2258">
        <f t="shared" si="26"/>
        <v>0</v>
      </c>
      <c r="Z212" s="2255">
        <v>0</v>
      </c>
      <c r="AA212" s="2260">
        <v>0</v>
      </c>
      <c r="AB212" s="2259">
        <f t="shared" si="27"/>
        <v>0</v>
      </c>
      <c r="AC212" s="2606"/>
      <c r="AD212" s="2606"/>
      <c r="AE212" s="2606"/>
      <c r="AF212" s="2593"/>
      <c r="AG212" s="2593"/>
      <c r="AH212" s="2593"/>
      <c r="AI212" s="2593"/>
      <c r="AJ212" s="2593"/>
    </row>
    <row r="213" spans="1:36" s="2218" customFormat="1" hidden="1" outlineLevel="2">
      <c r="A213" s="2235">
        <v>11</v>
      </c>
      <c r="B213" s="2281" t="s">
        <v>2045</v>
      </c>
      <c r="C213" s="2282" t="s">
        <v>2046</v>
      </c>
      <c r="D213" s="2504" t="s">
        <v>1317</v>
      </c>
      <c r="E213" s="2284"/>
      <c r="F213" s="2285"/>
      <c r="G213" s="2257">
        <f t="shared" si="20"/>
        <v>0</v>
      </c>
      <c r="H213" s="2285"/>
      <c r="I213" s="2285"/>
      <c r="J213" s="2257">
        <f t="shared" si="21"/>
        <v>0</v>
      </c>
      <c r="K213" s="2285"/>
      <c r="L213" s="2285"/>
      <c r="M213" s="2259">
        <f t="shared" si="22"/>
        <v>0</v>
      </c>
      <c r="N213" s="2284">
        <v>0</v>
      </c>
      <c r="O213" s="2286">
        <v>0</v>
      </c>
      <c r="P213" s="2258">
        <f t="shared" si="23"/>
        <v>0</v>
      </c>
      <c r="Q213" s="2284">
        <v>0</v>
      </c>
      <c r="R213" s="2286">
        <v>0</v>
      </c>
      <c r="S213" s="2259">
        <f t="shared" si="28"/>
        <v>0</v>
      </c>
      <c r="T213" s="2284">
        <v>0</v>
      </c>
      <c r="U213" s="2286">
        <v>0</v>
      </c>
      <c r="V213" s="2258">
        <f t="shared" si="29"/>
        <v>0</v>
      </c>
      <c r="W213" s="2284">
        <v>0</v>
      </c>
      <c r="X213" s="2286">
        <v>0</v>
      </c>
      <c r="Y213" s="2258">
        <f t="shared" si="26"/>
        <v>0</v>
      </c>
      <c r="Z213" s="2284">
        <v>0</v>
      </c>
      <c r="AA213" s="2286">
        <v>0</v>
      </c>
      <c r="AB213" s="2259">
        <f t="shared" si="27"/>
        <v>0</v>
      </c>
      <c r="AC213" s="2606"/>
      <c r="AD213" s="2606"/>
      <c r="AE213" s="2606"/>
      <c r="AF213" s="2593"/>
      <c r="AG213" s="2593"/>
      <c r="AH213" s="2593"/>
      <c r="AI213" s="2593"/>
      <c r="AJ213" s="2593"/>
    </row>
    <row r="214" spans="1:36" s="2218" customFormat="1" hidden="1" outlineLevel="2">
      <c r="A214" s="2235">
        <v>159</v>
      </c>
      <c r="B214" s="2281" t="s">
        <v>2048</v>
      </c>
      <c r="C214" s="2282" t="s">
        <v>2049</v>
      </c>
      <c r="D214" s="2504" t="s">
        <v>1317</v>
      </c>
      <c r="E214" s="2284"/>
      <c r="F214" s="2285"/>
      <c r="G214" s="2257">
        <f t="shared" si="20"/>
        <v>0</v>
      </c>
      <c r="H214" s="2285"/>
      <c r="I214" s="2285"/>
      <c r="J214" s="2257">
        <f t="shared" si="21"/>
        <v>0</v>
      </c>
      <c r="K214" s="2285"/>
      <c r="L214" s="2285"/>
      <c r="M214" s="2259">
        <f t="shared" si="22"/>
        <v>0</v>
      </c>
      <c r="N214" s="2284">
        <v>0</v>
      </c>
      <c r="O214" s="2286">
        <v>0</v>
      </c>
      <c r="P214" s="2258">
        <f t="shared" si="23"/>
        <v>0</v>
      </c>
      <c r="Q214" s="2284">
        <v>0</v>
      </c>
      <c r="R214" s="2286">
        <v>0</v>
      </c>
      <c r="S214" s="2259">
        <f t="shared" si="28"/>
        <v>0</v>
      </c>
      <c r="T214" s="2284">
        <v>0</v>
      </c>
      <c r="U214" s="2286">
        <v>0</v>
      </c>
      <c r="V214" s="2258">
        <f t="shared" si="29"/>
        <v>0</v>
      </c>
      <c r="W214" s="2284">
        <v>0</v>
      </c>
      <c r="X214" s="2286">
        <v>0</v>
      </c>
      <c r="Y214" s="2258">
        <f t="shared" si="26"/>
        <v>0</v>
      </c>
      <c r="Z214" s="2284">
        <v>0</v>
      </c>
      <c r="AA214" s="2286">
        <v>0</v>
      </c>
      <c r="AB214" s="2259">
        <f t="shared" si="27"/>
        <v>0</v>
      </c>
      <c r="AC214" s="2606"/>
      <c r="AD214" s="2606"/>
      <c r="AE214" s="2606"/>
      <c r="AF214" s="2593"/>
      <c r="AG214" s="2593"/>
      <c r="AH214" s="2593"/>
      <c r="AI214" s="2593"/>
      <c r="AJ214" s="2593"/>
    </row>
    <row r="215" spans="1:36" s="2218" customFormat="1" outlineLevel="1" collapsed="1">
      <c r="A215" s="2235">
        <v>161</v>
      </c>
      <c r="B215" s="2281" t="s">
        <v>2051</v>
      </c>
      <c r="C215" s="2282" t="s">
        <v>2052</v>
      </c>
      <c r="D215" s="2504" t="s">
        <v>1317</v>
      </c>
      <c r="E215" s="2284">
        <v>237.2801</v>
      </c>
      <c r="F215" s="2285">
        <v>237.2801</v>
      </c>
      <c r="G215" s="2257">
        <f t="shared" si="20"/>
        <v>237.2801</v>
      </c>
      <c r="H215" s="2285">
        <v>236.17204999999998</v>
      </c>
      <c r="I215" s="2285">
        <v>236.17204999999998</v>
      </c>
      <c r="J215" s="2257">
        <f t="shared" si="21"/>
        <v>236.17204999999998</v>
      </c>
      <c r="K215" s="2285">
        <v>227.65404000000001</v>
      </c>
      <c r="L215" s="2285">
        <v>227.65404000000001</v>
      </c>
      <c r="M215" s="2259">
        <f t="shared" si="22"/>
        <v>227.65404000000001</v>
      </c>
      <c r="N215" s="3031">
        <f>'[11]НВВ 26.09.23.'!N215+'[12]НВВ 26.09.'!N215</f>
        <v>40.583510440048947</v>
      </c>
      <c r="O215" s="3039">
        <f>'[11]НВВ 26.09.23.'!O215+'[12]НВВ 26.09.'!O215</f>
        <v>247.52568681958775</v>
      </c>
      <c r="P215" s="2258">
        <f t="shared" si="23"/>
        <v>144.05459862981834</v>
      </c>
      <c r="Q215" s="3031">
        <f>'[11]НВВ 26.09.23.'!Q215+'[12]НВВ 26.09.'!Q215</f>
        <v>247.52568681958775</v>
      </c>
      <c r="R215" s="3039">
        <f>'[11]НВВ 26.09.23.'!R215+'[12]НВВ 26.09.'!R215</f>
        <v>257.42671429237129</v>
      </c>
      <c r="S215" s="2259">
        <f t="shared" si="28"/>
        <v>252.47620055597952</v>
      </c>
      <c r="T215" s="3031">
        <f>'[11]НВВ 26.09.23.'!T215+'[12]НВВ 26.09.'!T215</f>
        <v>257.42671429237129</v>
      </c>
      <c r="U215" s="3039">
        <f>'[11]НВВ 26.09.23.'!U215+'[12]НВВ 26.09.'!U215</f>
        <v>267.72378286406615</v>
      </c>
      <c r="V215" s="2258">
        <f t="shared" si="29"/>
        <v>262.57524857821875</v>
      </c>
      <c r="W215" s="3031">
        <f>'[11]НВВ 26.09.23.'!W215+'[12]НВВ 26.09.'!W215</f>
        <v>267.72378286406615</v>
      </c>
      <c r="X215" s="3039">
        <f>'[11]НВВ 26.09.23.'!X215+'[12]НВВ 26.09.'!X215</f>
        <v>278.43273417862878</v>
      </c>
      <c r="Y215" s="2258">
        <f t="shared" si="26"/>
        <v>273.07825852134749</v>
      </c>
      <c r="Z215" s="3031">
        <f>'[11]НВВ 26.09.23.'!Z215+'[12]НВВ 26.09.'!Z215</f>
        <v>278.43273417862878</v>
      </c>
      <c r="AA215" s="3039">
        <f>'[11]НВВ 26.09.23.'!AA215+'[12]НВВ 26.09.'!AA215</f>
        <v>289.5700435457739</v>
      </c>
      <c r="AB215" s="2259">
        <f t="shared" si="27"/>
        <v>284.00138886220134</v>
      </c>
      <c r="AC215" s="2606"/>
      <c r="AD215" s="2606"/>
      <c r="AE215" s="2606"/>
      <c r="AF215" s="2593"/>
      <c r="AG215" s="2593"/>
      <c r="AH215" s="2593"/>
      <c r="AI215" s="2593"/>
      <c r="AJ215" s="2593"/>
    </row>
    <row r="216" spans="1:36" s="2218" customFormat="1" outlineLevel="1">
      <c r="A216" s="2235">
        <v>158</v>
      </c>
      <c r="B216" s="2281" t="s">
        <v>2054</v>
      </c>
      <c r="C216" s="2282" t="s">
        <v>2055</v>
      </c>
      <c r="D216" s="2504" t="s">
        <v>1317</v>
      </c>
      <c r="E216" s="2386"/>
      <c r="F216" s="2387"/>
      <c r="G216" s="2257">
        <f t="shared" si="20"/>
        <v>0</v>
      </c>
      <c r="H216" s="2387"/>
      <c r="I216" s="2387"/>
      <c r="J216" s="2257">
        <f t="shared" si="21"/>
        <v>0</v>
      </c>
      <c r="K216" s="2387"/>
      <c r="L216" s="2387"/>
      <c r="M216" s="2259">
        <f t="shared" si="22"/>
        <v>0</v>
      </c>
      <c r="N216" s="3031">
        <f>'[11]НВВ 26.09.23.'!N216+'[12]НВВ 26.09.'!N216</f>
        <v>0.38586785440408949</v>
      </c>
      <c r="O216" s="3039">
        <f>'[11]НВВ 26.09.23.'!O216+'[12]НВВ 26.09.'!O216</f>
        <v>5.229811161006273</v>
      </c>
      <c r="P216" s="2544">
        <f t="shared" si="23"/>
        <v>2.8078395077051814</v>
      </c>
      <c r="Q216" s="3031">
        <f>'[11]НВВ 26.09.23.'!Q216+'[12]НВВ 26.09.'!Q216</f>
        <v>5.229811161006273</v>
      </c>
      <c r="R216" s="3039">
        <f>'[11]НВВ 26.09.23.'!R216+'[12]НВВ 26.09.'!R216</f>
        <v>5.4390036074465238</v>
      </c>
      <c r="S216" s="2259">
        <f t="shared" si="28"/>
        <v>5.3344073842263988</v>
      </c>
      <c r="T216" s="3031">
        <f>'[11]НВВ 26.09.23.'!T216+'[12]НВВ 26.09.'!T216</f>
        <v>5.4390036074465238</v>
      </c>
      <c r="U216" s="3039">
        <f>'[11]НВВ 26.09.23.'!U216+'[12]НВВ 26.09.'!U216</f>
        <v>5.6565637517443852</v>
      </c>
      <c r="V216" s="2258">
        <f t="shared" si="29"/>
        <v>5.5477836795954545</v>
      </c>
      <c r="W216" s="3031">
        <f>'[11]НВВ 26.09.23.'!W216+'[12]НВВ 26.09.'!W216</f>
        <v>5.6565637517443852</v>
      </c>
      <c r="X216" s="3039">
        <f>'[11]НВВ 26.09.23.'!X216+'[12]НВВ 26.09.'!X216</f>
        <v>5.8828263018141609</v>
      </c>
      <c r="Y216" s="2258">
        <f t="shared" si="26"/>
        <v>5.7696950267792726</v>
      </c>
      <c r="Z216" s="3031">
        <f>'[11]НВВ 26.09.23.'!Z216+'[12]НВВ 26.09.'!Z216</f>
        <v>5.8828263018141609</v>
      </c>
      <c r="AA216" s="3039">
        <f>'[11]НВВ 26.09.23.'!AA216+'[12]НВВ 26.09.'!AA216</f>
        <v>6.1181393538867272</v>
      </c>
      <c r="AB216" s="2259">
        <f t="shared" si="27"/>
        <v>6.0004828278504441</v>
      </c>
      <c r="AC216" s="2606"/>
      <c r="AD216" s="2606"/>
      <c r="AE216" s="2606"/>
      <c r="AF216" s="2593"/>
      <c r="AG216" s="2593"/>
      <c r="AH216" s="2593"/>
      <c r="AI216" s="2593"/>
      <c r="AJ216" s="2593"/>
    </row>
    <row r="217" spans="1:36" s="2218" customFormat="1" ht="47.25" hidden="1" outlineLevel="2">
      <c r="A217" s="2235">
        <v>162</v>
      </c>
      <c r="B217" s="2281" t="s">
        <v>2056</v>
      </c>
      <c r="C217" s="2282" t="s">
        <v>2057</v>
      </c>
      <c r="D217" s="2504" t="s">
        <v>1317</v>
      </c>
      <c r="E217" s="2284"/>
      <c r="F217" s="2285"/>
      <c r="G217" s="2257">
        <f t="shared" si="20"/>
        <v>0</v>
      </c>
      <c r="H217" s="2285"/>
      <c r="I217" s="2285"/>
      <c r="J217" s="2257">
        <f t="shared" si="21"/>
        <v>0</v>
      </c>
      <c r="K217" s="2285"/>
      <c r="L217" s="2285"/>
      <c r="M217" s="2259">
        <f t="shared" si="22"/>
        <v>0</v>
      </c>
      <c r="N217" s="2284">
        <v>0</v>
      </c>
      <c r="O217" s="2286">
        <v>0</v>
      </c>
      <c r="P217" s="2258">
        <f t="shared" si="23"/>
        <v>0</v>
      </c>
      <c r="Q217" s="2284">
        <v>0</v>
      </c>
      <c r="R217" s="2286">
        <v>0</v>
      </c>
      <c r="S217" s="2259">
        <f t="shared" si="28"/>
        <v>0</v>
      </c>
      <c r="T217" s="2284">
        <v>0</v>
      </c>
      <c r="U217" s="2286">
        <v>0</v>
      </c>
      <c r="V217" s="2258">
        <f t="shared" si="29"/>
        <v>0</v>
      </c>
      <c r="W217" s="2284">
        <v>0</v>
      </c>
      <c r="X217" s="2286">
        <v>0</v>
      </c>
      <c r="Y217" s="2258">
        <f t="shared" si="26"/>
        <v>0</v>
      </c>
      <c r="Z217" s="2284">
        <v>0</v>
      </c>
      <c r="AA217" s="2286">
        <v>0</v>
      </c>
      <c r="AB217" s="2259">
        <f t="shared" si="27"/>
        <v>0</v>
      </c>
      <c r="AC217" s="2606"/>
      <c r="AD217" s="2606"/>
      <c r="AE217" s="2606"/>
      <c r="AF217" s="2593"/>
      <c r="AG217" s="2593"/>
      <c r="AH217" s="2593"/>
      <c r="AI217" s="2593"/>
      <c r="AJ217" s="2593"/>
    </row>
    <row r="218" spans="1:36" s="2218" customFormat="1" ht="31.5" outlineLevel="1" collapsed="1">
      <c r="A218" s="2235">
        <v>149</v>
      </c>
      <c r="B218" s="2388">
        <v>2</v>
      </c>
      <c r="C218" s="2295" t="s">
        <v>2058</v>
      </c>
      <c r="D218" s="2500" t="s">
        <v>1313</v>
      </c>
      <c r="E218" s="2255">
        <f>E219+E220+E221+E222+E223</f>
        <v>467.33303358840158</v>
      </c>
      <c r="F218" s="2256">
        <f>F219+F220+F221+F222+F223</f>
        <v>467.33303358840158</v>
      </c>
      <c r="G218" s="2257">
        <f t="shared" si="20"/>
        <v>467.33303358840158</v>
      </c>
      <c r="H218" s="2256">
        <f>H219+H220+H221+H222+H223</f>
        <v>618.64763599046501</v>
      </c>
      <c r="I218" s="2256">
        <f>I219+I220+I221+I222+I223</f>
        <v>618.64763599046501</v>
      </c>
      <c r="J218" s="2257">
        <f t="shared" si="21"/>
        <v>618.64763599046501</v>
      </c>
      <c r="K218" s="2256">
        <f>K219+K220+K221+K222+K223</f>
        <v>1252.22666723673</v>
      </c>
      <c r="L218" s="2256">
        <f>L219+L220+L221+L222+L223</f>
        <v>1252.22666723673</v>
      </c>
      <c r="M218" s="2259">
        <f t="shared" si="22"/>
        <v>1252.22666723673</v>
      </c>
      <c r="N218" s="3031">
        <f>'[11]НВВ 26.09.23.'!N218+'[12]НВВ 26.09.'!N218</f>
        <v>211.35012691334063</v>
      </c>
      <c r="O218" s="3039">
        <f>'[11]НВВ 26.09.23.'!O218+'[12]НВВ 26.09.'!O218</f>
        <v>1961.9810355154871</v>
      </c>
      <c r="P218" s="2258">
        <f t="shared" si="23"/>
        <v>1086.6655812144138</v>
      </c>
      <c r="Q218" s="3031">
        <f>'[11]НВВ 26.09.23.'!Q218+'[12]НВВ 26.09.'!Q218</f>
        <v>1961.9810355154871</v>
      </c>
      <c r="R218" s="3039">
        <f>'[11]НВВ 26.09.23.'!R218+'[12]НВВ 26.09.'!R218</f>
        <v>2040.4602769361068</v>
      </c>
      <c r="S218" s="2259">
        <f t="shared" si="28"/>
        <v>2001.220656225797</v>
      </c>
      <c r="T218" s="3031">
        <f>'[11]НВВ 26.09.23.'!T218+'[12]НВВ 26.09.'!T218</f>
        <v>2040.4602769361068</v>
      </c>
      <c r="U218" s="3039">
        <f>'[11]НВВ 26.09.23.'!U218+'[12]НВВ 26.09.'!U218</f>
        <v>2122.0786880135511</v>
      </c>
      <c r="V218" s="2258">
        <f t="shared" si="29"/>
        <v>2081.2694824748287</v>
      </c>
      <c r="W218" s="3031">
        <f>'[11]НВВ 26.09.23.'!W218+'[12]НВВ 26.09.'!W218</f>
        <v>2122.0786880135511</v>
      </c>
      <c r="X218" s="3039">
        <f>'[11]НВВ 26.09.23.'!X218+'[12]НВВ 26.09.'!X218</f>
        <v>2206.9618355340926</v>
      </c>
      <c r="Y218" s="2258">
        <f t="shared" si="26"/>
        <v>2164.5202617738219</v>
      </c>
      <c r="Z218" s="3031">
        <f>'[11]НВВ 26.09.23.'!Z218+'[12]НВВ 26.09.'!Z218</f>
        <v>2206.9618355340926</v>
      </c>
      <c r="AA218" s="3039">
        <f>'[11]НВВ 26.09.23.'!AA218+'[12]НВВ 26.09.'!AA218</f>
        <v>2295.2403089554564</v>
      </c>
      <c r="AB218" s="2259">
        <f t="shared" si="27"/>
        <v>2251.1010722447745</v>
      </c>
      <c r="AC218" s="2606"/>
      <c r="AD218" s="2606"/>
      <c r="AE218" s="2606"/>
      <c r="AF218" s="2593"/>
      <c r="AG218" s="2593"/>
      <c r="AH218" s="2593"/>
      <c r="AI218" s="2593"/>
      <c r="AJ218" s="2593"/>
    </row>
    <row r="219" spans="1:36" s="2218" customFormat="1" hidden="1" outlineLevel="2">
      <c r="A219" s="2235">
        <v>150</v>
      </c>
      <c r="B219" s="2281" t="s">
        <v>135</v>
      </c>
      <c r="C219" s="2282" t="s">
        <v>2059</v>
      </c>
      <c r="D219" s="2504" t="s">
        <v>1317</v>
      </c>
      <c r="E219" s="2284"/>
      <c r="F219" s="2285"/>
      <c r="G219" s="2257">
        <f t="shared" si="20"/>
        <v>0</v>
      </c>
      <c r="H219" s="2285"/>
      <c r="I219" s="2285"/>
      <c r="J219" s="2257">
        <f t="shared" si="21"/>
        <v>0</v>
      </c>
      <c r="K219" s="2285"/>
      <c r="L219" s="2285"/>
      <c r="M219" s="2259">
        <f t="shared" si="22"/>
        <v>0</v>
      </c>
      <c r="N219" s="2284">
        <v>0</v>
      </c>
      <c r="O219" s="2286">
        <v>0</v>
      </c>
      <c r="P219" s="2258">
        <f t="shared" si="23"/>
        <v>0</v>
      </c>
      <c r="Q219" s="2284">
        <v>0</v>
      </c>
      <c r="R219" s="2286">
        <v>0</v>
      </c>
      <c r="S219" s="2259">
        <f t="shared" si="28"/>
        <v>0</v>
      </c>
      <c r="T219" s="2284">
        <v>0</v>
      </c>
      <c r="U219" s="2286">
        <v>0</v>
      </c>
      <c r="V219" s="2258">
        <f t="shared" si="29"/>
        <v>0</v>
      </c>
      <c r="W219" s="2284">
        <v>0</v>
      </c>
      <c r="X219" s="2286">
        <v>0</v>
      </c>
      <c r="Y219" s="2258">
        <f t="shared" si="26"/>
        <v>0</v>
      </c>
      <c r="Z219" s="2284">
        <v>0</v>
      </c>
      <c r="AA219" s="2286">
        <v>0</v>
      </c>
      <c r="AB219" s="2259">
        <f t="shared" si="27"/>
        <v>0</v>
      </c>
      <c r="AC219" s="2606"/>
      <c r="AD219" s="2606"/>
      <c r="AE219" s="2606"/>
      <c r="AF219" s="2593"/>
      <c r="AG219" s="2593"/>
      <c r="AH219" s="2593"/>
      <c r="AI219" s="2593"/>
      <c r="AJ219" s="2593"/>
    </row>
    <row r="220" spans="1:36" s="2218" customFormat="1" hidden="1" outlineLevel="2">
      <c r="A220" s="2235">
        <v>151</v>
      </c>
      <c r="B220" s="2281" t="s">
        <v>2060</v>
      </c>
      <c r="C220" s="2282" t="s">
        <v>2061</v>
      </c>
      <c r="D220" s="2504" t="s">
        <v>1317</v>
      </c>
      <c r="E220" s="2284"/>
      <c r="F220" s="2285"/>
      <c r="G220" s="2257">
        <f t="shared" si="20"/>
        <v>0</v>
      </c>
      <c r="H220" s="2285"/>
      <c r="I220" s="2285"/>
      <c r="J220" s="2257">
        <f t="shared" si="21"/>
        <v>0</v>
      </c>
      <c r="K220" s="2285"/>
      <c r="L220" s="2285"/>
      <c r="M220" s="2259">
        <f t="shared" si="22"/>
        <v>0</v>
      </c>
      <c r="N220" s="2284">
        <v>0</v>
      </c>
      <c r="O220" s="2286">
        <v>0</v>
      </c>
      <c r="P220" s="2258">
        <f t="shared" si="23"/>
        <v>0</v>
      </c>
      <c r="Q220" s="2284">
        <v>0</v>
      </c>
      <c r="R220" s="2286">
        <v>0</v>
      </c>
      <c r="S220" s="2259">
        <f t="shared" si="28"/>
        <v>0</v>
      </c>
      <c r="T220" s="2284">
        <v>0</v>
      </c>
      <c r="U220" s="2286">
        <v>0</v>
      </c>
      <c r="V220" s="2258">
        <f t="shared" si="29"/>
        <v>0</v>
      </c>
      <c r="W220" s="2284">
        <v>0</v>
      </c>
      <c r="X220" s="2286">
        <v>0</v>
      </c>
      <c r="Y220" s="2258">
        <f t="shared" si="26"/>
        <v>0</v>
      </c>
      <c r="Z220" s="2284">
        <v>0</v>
      </c>
      <c r="AA220" s="2286">
        <v>0</v>
      </c>
      <c r="AB220" s="2259">
        <f t="shared" si="27"/>
        <v>0</v>
      </c>
      <c r="AC220" s="2606"/>
      <c r="AD220" s="2606"/>
      <c r="AE220" s="2606"/>
      <c r="AF220" s="2593"/>
      <c r="AG220" s="2593"/>
      <c r="AH220" s="2593"/>
      <c r="AI220" s="2593"/>
      <c r="AJ220" s="2593"/>
    </row>
    <row r="221" spans="1:36" s="2218" customFormat="1" hidden="1" outlineLevel="2">
      <c r="A221" s="2235">
        <v>152</v>
      </c>
      <c r="B221" s="2281" t="s">
        <v>2062</v>
      </c>
      <c r="C221" s="2282" t="s">
        <v>2063</v>
      </c>
      <c r="D221" s="2504" t="s">
        <v>1317</v>
      </c>
      <c r="E221" s="2284"/>
      <c r="F221" s="2285"/>
      <c r="G221" s="2257">
        <f t="shared" si="20"/>
        <v>0</v>
      </c>
      <c r="H221" s="2285"/>
      <c r="I221" s="2285"/>
      <c r="J221" s="2257">
        <f t="shared" si="21"/>
        <v>0</v>
      </c>
      <c r="K221" s="2285"/>
      <c r="L221" s="2285"/>
      <c r="M221" s="2259">
        <f t="shared" si="22"/>
        <v>0</v>
      </c>
      <c r="N221" s="2284">
        <v>0</v>
      </c>
      <c r="O221" s="2286">
        <v>0</v>
      </c>
      <c r="P221" s="2258">
        <f t="shared" si="23"/>
        <v>0</v>
      </c>
      <c r="Q221" s="2284">
        <v>0</v>
      </c>
      <c r="R221" s="2286">
        <v>0</v>
      </c>
      <c r="S221" s="2259">
        <f t="shared" si="28"/>
        <v>0</v>
      </c>
      <c r="T221" s="2284">
        <v>0</v>
      </c>
      <c r="U221" s="2286">
        <v>0</v>
      </c>
      <c r="V221" s="2258">
        <f t="shared" si="29"/>
        <v>0</v>
      </c>
      <c r="W221" s="2284">
        <v>0</v>
      </c>
      <c r="X221" s="2286">
        <v>0</v>
      </c>
      <c r="Y221" s="2258">
        <f t="shared" si="26"/>
        <v>0</v>
      </c>
      <c r="Z221" s="2284">
        <v>0</v>
      </c>
      <c r="AA221" s="2286">
        <v>0</v>
      </c>
      <c r="AB221" s="2259">
        <f t="shared" si="27"/>
        <v>0</v>
      </c>
      <c r="AC221" s="2606"/>
      <c r="AD221" s="2606"/>
      <c r="AE221" s="2606"/>
      <c r="AF221" s="2593"/>
      <c r="AG221" s="2593"/>
      <c r="AH221" s="2593"/>
      <c r="AI221" s="2593"/>
      <c r="AJ221" s="2593"/>
    </row>
    <row r="222" spans="1:36" s="2218" customFormat="1" outlineLevel="1" collapsed="1">
      <c r="A222" s="2235">
        <v>153</v>
      </c>
      <c r="B222" s="2281" t="s">
        <v>2064</v>
      </c>
      <c r="C222" s="2282" t="s">
        <v>2065</v>
      </c>
      <c r="D222" s="2504" t="s">
        <v>1317</v>
      </c>
      <c r="E222" s="2284">
        <v>467.33303358840158</v>
      </c>
      <c r="F222" s="2285">
        <v>467.33303358840158</v>
      </c>
      <c r="G222" s="2257">
        <f t="shared" si="20"/>
        <v>467.33303358840158</v>
      </c>
      <c r="H222" s="2285">
        <v>618.64763599046501</v>
      </c>
      <c r="I222" s="2285">
        <v>618.64763599046501</v>
      </c>
      <c r="J222" s="2257">
        <f t="shared" si="21"/>
        <v>618.64763599046501</v>
      </c>
      <c r="K222" s="2285">
        <f>1252226.66723673/1000</f>
        <v>1252.22666723673</v>
      </c>
      <c r="L222" s="2285">
        <f>K222</f>
        <v>1252.22666723673</v>
      </c>
      <c r="M222" s="2259">
        <f t="shared" si="22"/>
        <v>1252.22666723673</v>
      </c>
      <c r="N222" s="3031">
        <f>'[11]НВВ 26.09.23.'!N222+'[12]НВВ 26.09.'!N222</f>
        <v>211.35012691334063</v>
      </c>
      <c r="O222" s="3039">
        <f>'[11]НВВ 26.09.23.'!O222+'[12]НВВ 26.09.'!O222</f>
        <v>1961.9810355154871</v>
      </c>
      <c r="P222" s="2258">
        <f t="shared" si="23"/>
        <v>1086.6655812144138</v>
      </c>
      <c r="Q222" s="3031">
        <f>'[11]НВВ 26.09.23.'!Q222+'[12]НВВ 26.09.'!Q222</f>
        <v>1961.9810355154871</v>
      </c>
      <c r="R222" s="3039">
        <f>'[11]НВВ 26.09.23.'!R222+'[12]НВВ 26.09.'!R222</f>
        <v>2040.4602769361068</v>
      </c>
      <c r="S222" s="2259">
        <f t="shared" si="28"/>
        <v>2001.220656225797</v>
      </c>
      <c r="T222" s="3031">
        <f>'[11]НВВ 26.09.23.'!T222+'[12]НВВ 26.09.'!T222</f>
        <v>2040.4602769361068</v>
      </c>
      <c r="U222" s="3039">
        <f>'[11]НВВ 26.09.23.'!U222+'[12]НВВ 26.09.'!U222</f>
        <v>2122.0786880135511</v>
      </c>
      <c r="V222" s="2258">
        <f t="shared" si="29"/>
        <v>2081.2694824748287</v>
      </c>
      <c r="W222" s="3031">
        <f>'[11]НВВ 26.09.23.'!W222+'[12]НВВ 26.09.'!W222</f>
        <v>2122.0786880135511</v>
      </c>
      <c r="X222" s="3039">
        <f>'[11]НВВ 26.09.23.'!X222+'[12]НВВ 26.09.'!X222</f>
        <v>2206.9618355340926</v>
      </c>
      <c r="Y222" s="2258">
        <f t="shared" si="26"/>
        <v>2164.5202617738219</v>
      </c>
      <c r="Z222" s="3031">
        <f>'[11]НВВ 26.09.23.'!Z222+'[12]НВВ 26.09.'!Z222</f>
        <v>2206.9618355340926</v>
      </c>
      <c r="AA222" s="3039">
        <f>'[11]НВВ 26.09.23.'!AA222+'[12]НВВ 26.09.'!AA222</f>
        <v>2295.2403089554564</v>
      </c>
      <c r="AB222" s="2259">
        <f t="shared" si="27"/>
        <v>2251.1010722447745</v>
      </c>
      <c r="AC222" s="2606"/>
      <c r="AD222" s="2606"/>
      <c r="AE222" s="2606"/>
      <c r="AF222" s="2593"/>
      <c r="AG222" s="2593"/>
      <c r="AH222" s="2593"/>
      <c r="AI222" s="2593"/>
      <c r="AJ222" s="2593"/>
    </row>
    <row r="223" spans="1:36" s="2218" customFormat="1" hidden="1" outlineLevel="2">
      <c r="A223" s="2235">
        <v>154</v>
      </c>
      <c r="B223" s="2281" t="s">
        <v>2067</v>
      </c>
      <c r="C223" s="2282" t="s">
        <v>2068</v>
      </c>
      <c r="D223" s="2504" t="s">
        <v>1317</v>
      </c>
      <c r="E223" s="2284"/>
      <c r="F223" s="2285"/>
      <c r="G223" s="2257">
        <f t="shared" si="20"/>
        <v>0</v>
      </c>
      <c r="H223" s="2285"/>
      <c r="I223" s="2285"/>
      <c r="J223" s="2257">
        <f t="shared" si="21"/>
        <v>0</v>
      </c>
      <c r="K223" s="2285"/>
      <c r="L223" s="2285"/>
      <c r="M223" s="2259">
        <f t="shared" si="22"/>
        <v>0</v>
      </c>
      <c r="N223" s="2284">
        <v>0</v>
      </c>
      <c r="O223" s="2286">
        <v>0</v>
      </c>
      <c r="P223" s="2258">
        <f t="shared" si="23"/>
        <v>0</v>
      </c>
      <c r="Q223" s="2284"/>
      <c r="R223" s="2285"/>
      <c r="S223" s="2259">
        <f t="shared" si="28"/>
        <v>0</v>
      </c>
      <c r="T223" s="2284"/>
      <c r="U223" s="2285"/>
      <c r="V223" s="2258">
        <f t="shared" si="29"/>
        <v>0</v>
      </c>
      <c r="W223" s="2284"/>
      <c r="X223" s="2285"/>
      <c r="Y223" s="2258">
        <f t="shared" si="26"/>
        <v>0</v>
      </c>
      <c r="Z223" s="2284"/>
      <c r="AA223" s="2285"/>
      <c r="AB223" s="2259">
        <f t="shared" si="27"/>
        <v>0</v>
      </c>
      <c r="AC223" s="2606">
        <f t="shared" ref="AC223:AC224" si="30">Q223-O223</f>
        <v>0</v>
      </c>
      <c r="AD223" s="2606"/>
      <c r="AE223" s="2606"/>
      <c r="AF223" s="2593"/>
      <c r="AG223" s="2593"/>
      <c r="AH223" s="2593"/>
      <c r="AI223" s="2593"/>
      <c r="AJ223" s="2593"/>
    </row>
    <row r="224" spans="1:36" s="2218" customFormat="1" ht="31.5" hidden="1" outlineLevel="2">
      <c r="A224" s="2235">
        <v>169</v>
      </c>
      <c r="B224" s="2389">
        <v>13</v>
      </c>
      <c r="C224" s="2390" t="s">
        <v>2071</v>
      </c>
      <c r="D224" s="2505" t="s">
        <v>1317</v>
      </c>
      <c r="E224" s="2290"/>
      <c r="F224" s="2291"/>
      <c r="G224" s="2257">
        <f t="shared" si="20"/>
        <v>0</v>
      </c>
      <c r="H224" s="2291"/>
      <c r="I224" s="2291"/>
      <c r="J224" s="2257">
        <f t="shared" si="21"/>
        <v>0</v>
      </c>
      <c r="K224" s="2291"/>
      <c r="L224" s="2291"/>
      <c r="M224" s="2259">
        <f t="shared" si="22"/>
        <v>0</v>
      </c>
      <c r="N224" s="2290">
        <v>0</v>
      </c>
      <c r="O224" s="2291">
        <v>0</v>
      </c>
      <c r="P224" s="2258">
        <f t="shared" si="23"/>
        <v>0</v>
      </c>
      <c r="Q224" s="2290"/>
      <c r="R224" s="2291"/>
      <c r="S224" s="2259">
        <f t="shared" si="28"/>
        <v>0</v>
      </c>
      <c r="T224" s="2290"/>
      <c r="U224" s="2291"/>
      <c r="V224" s="2258">
        <f t="shared" si="29"/>
        <v>0</v>
      </c>
      <c r="W224" s="2290"/>
      <c r="X224" s="2291"/>
      <c r="Y224" s="2258">
        <f t="shared" si="26"/>
        <v>0</v>
      </c>
      <c r="Z224" s="2290"/>
      <c r="AA224" s="2291"/>
      <c r="AB224" s="2259">
        <f t="shared" si="27"/>
        <v>0</v>
      </c>
      <c r="AC224" s="2606">
        <f t="shared" si="30"/>
        <v>0</v>
      </c>
      <c r="AD224" s="2606"/>
      <c r="AE224" s="2606"/>
      <c r="AF224" s="2593"/>
      <c r="AG224" s="2593"/>
      <c r="AH224" s="2593"/>
      <c r="AI224" s="2593"/>
      <c r="AJ224" s="2593"/>
    </row>
    <row r="225" spans="1:36" s="2218" customFormat="1" hidden="1" outlineLevel="2">
      <c r="A225" s="2235">
        <v>164</v>
      </c>
      <c r="B225" s="2287" t="s">
        <v>140</v>
      </c>
      <c r="C225" s="2390" t="s">
        <v>2072</v>
      </c>
      <c r="D225" s="2505" t="s">
        <v>1317</v>
      </c>
      <c r="E225" s="2290"/>
      <c r="F225" s="2291"/>
      <c r="G225" s="2257">
        <f t="shared" ref="G225:G273" si="31">E225/2+F225/2</f>
        <v>0</v>
      </c>
      <c r="H225" s="2291"/>
      <c r="I225" s="2291"/>
      <c r="J225" s="2257">
        <f t="shared" ref="J225:J269" si="32">H225/2+I225/2</f>
        <v>0</v>
      </c>
      <c r="K225" s="2291"/>
      <c r="L225" s="2291"/>
      <c r="M225" s="2259">
        <f t="shared" ref="M225:M269" si="33">K225/2+L225/2</f>
        <v>0</v>
      </c>
      <c r="N225" s="2290">
        <v>0</v>
      </c>
      <c r="O225" s="2291">
        <v>0</v>
      </c>
      <c r="P225" s="2258">
        <f t="shared" ref="P225:P269" si="34">N225/2+O225/2</f>
        <v>0</v>
      </c>
      <c r="Q225" s="2290"/>
      <c r="R225" s="2291"/>
      <c r="S225" s="2259">
        <f t="shared" si="28"/>
        <v>0</v>
      </c>
      <c r="T225" s="2290"/>
      <c r="U225" s="2291"/>
      <c r="V225" s="2258">
        <f t="shared" si="29"/>
        <v>0</v>
      </c>
      <c r="W225" s="2290"/>
      <c r="X225" s="2291"/>
      <c r="Y225" s="2258">
        <f t="shared" ref="Y225:Y269" si="35">W225/2+X225/2</f>
        <v>0</v>
      </c>
      <c r="Z225" s="2290"/>
      <c r="AA225" s="2291"/>
      <c r="AB225" s="2259">
        <f t="shared" ref="AB225:AB269" si="36">Z225/2+AA225/2</f>
        <v>0</v>
      </c>
      <c r="AC225" s="2606"/>
      <c r="AD225" s="2606"/>
      <c r="AE225" s="2606"/>
      <c r="AF225" s="2593"/>
      <c r="AG225" s="2593"/>
      <c r="AH225" s="2593"/>
      <c r="AI225" s="2593"/>
      <c r="AJ225" s="2593"/>
    </row>
    <row r="226" spans="1:36" s="2218" customFormat="1" hidden="1" outlineLevel="2">
      <c r="A226" s="2235">
        <v>12</v>
      </c>
      <c r="B226" s="2388">
        <v>12</v>
      </c>
      <c r="C226" s="2295" t="s">
        <v>2073</v>
      </c>
      <c r="D226" s="2500" t="s">
        <v>1313</v>
      </c>
      <c r="E226" s="2255">
        <f>E227+E228+E229</f>
        <v>0</v>
      </c>
      <c r="F226" s="2256">
        <f>F227+F228+F229</f>
        <v>0</v>
      </c>
      <c r="G226" s="2257">
        <f t="shared" si="31"/>
        <v>0</v>
      </c>
      <c r="H226" s="2256">
        <f>H227+H228+H229</f>
        <v>0</v>
      </c>
      <c r="I226" s="2256">
        <f>I227+I228+I229</f>
        <v>0</v>
      </c>
      <c r="J226" s="2257">
        <f t="shared" si="32"/>
        <v>0</v>
      </c>
      <c r="K226" s="2256">
        <f>K227+K228+K229</f>
        <v>0</v>
      </c>
      <c r="L226" s="2256">
        <f>L227+L228+L229</f>
        <v>0</v>
      </c>
      <c r="M226" s="2259">
        <f t="shared" si="33"/>
        <v>0</v>
      </c>
      <c r="N226" s="2255">
        <v>0</v>
      </c>
      <c r="O226" s="2256">
        <v>0</v>
      </c>
      <c r="P226" s="2258">
        <f t="shared" si="34"/>
        <v>0</v>
      </c>
      <c r="Q226" s="2255">
        <f>Q227+Q228+Q229</f>
        <v>0</v>
      </c>
      <c r="R226" s="2256">
        <f>R227+R228+R229</f>
        <v>0</v>
      </c>
      <c r="S226" s="2259">
        <f t="shared" si="28"/>
        <v>0</v>
      </c>
      <c r="T226" s="2255">
        <f>T227+T228+T229</f>
        <v>0</v>
      </c>
      <c r="U226" s="2256">
        <f>U227+U228+U229</f>
        <v>0</v>
      </c>
      <c r="V226" s="2258">
        <f t="shared" si="29"/>
        <v>0</v>
      </c>
      <c r="W226" s="2255">
        <f>W227+W228+W229</f>
        <v>0</v>
      </c>
      <c r="X226" s="2256">
        <f>X227+X228+X229</f>
        <v>0</v>
      </c>
      <c r="Y226" s="2258">
        <f t="shared" si="35"/>
        <v>0</v>
      </c>
      <c r="Z226" s="2255">
        <f>Z227+Z228+Z229</f>
        <v>0</v>
      </c>
      <c r="AA226" s="2256">
        <f>AA227+AA228+AA229</f>
        <v>0</v>
      </c>
      <c r="AB226" s="2259">
        <f t="shared" si="36"/>
        <v>0</v>
      </c>
      <c r="AC226" s="2606"/>
      <c r="AD226" s="2606"/>
      <c r="AE226" s="2606"/>
      <c r="AF226" s="2593"/>
      <c r="AG226" s="2593"/>
      <c r="AH226" s="2593"/>
      <c r="AI226" s="2593"/>
      <c r="AJ226" s="2593"/>
    </row>
    <row r="227" spans="1:36" s="2218" customFormat="1" ht="47.25" hidden="1" outlineLevel="2">
      <c r="A227" s="2235">
        <v>166</v>
      </c>
      <c r="B227" s="2281" t="s">
        <v>2074</v>
      </c>
      <c r="C227" s="2282" t="s">
        <v>2075</v>
      </c>
      <c r="D227" s="2504" t="s">
        <v>1317</v>
      </c>
      <c r="E227" s="2284"/>
      <c r="F227" s="2285"/>
      <c r="G227" s="2257">
        <f t="shared" si="31"/>
        <v>0</v>
      </c>
      <c r="H227" s="2285"/>
      <c r="I227" s="2285"/>
      <c r="J227" s="2257">
        <f t="shared" si="32"/>
        <v>0</v>
      </c>
      <c r="K227" s="2285"/>
      <c r="L227" s="2285"/>
      <c r="M227" s="2259">
        <f t="shared" si="33"/>
        <v>0</v>
      </c>
      <c r="N227" s="2284">
        <v>0</v>
      </c>
      <c r="O227" s="2285">
        <v>0</v>
      </c>
      <c r="P227" s="2258">
        <f t="shared" si="34"/>
        <v>0</v>
      </c>
      <c r="Q227" s="2284"/>
      <c r="R227" s="2285"/>
      <c r="S227" s="2259">
        <f t="shared" si="28"/>
        <v>0</v>
      </c>
      <c r="T227" s="2284"/>
      <c r="U227" s="2285"/>
      <c r="V227" s="2258">
        <f t="shared" si="29"/>
        <v>0</v>
      </c>
      <c r="W227" s="2284"/>
      <c r="X227" s="2285"/>
      <c r="Y227" s="2258">
        <f t="shared" si="35"/>
        <v>0</v>
      </c>
      <c r="Z227" s="2284"/>
      <c r="AA227" s="2285"/>
      <c r="AB227" s="2259">
        <f t="shared" si="36"/>
        <v>0</v>
      </c>
      <c r="AC227" s="2606"/>
      <c r="AD227" s="2606"/>
      <c r="AE227" s="2606"/>
      <c r="AF227" s="2593"/>
      <c r="AG227" s="2593"/>
      <c r="AH227" s="2593"/>
      <c r="AI227" s="2593"/>
      <c r="AJ227" s="2593"/>
    </row>
    <row r="228" spans="1:36" s="2218" customFormat="1" hidden="1" outlineLevel="2">
      <c r="A228" s="2235">
        <v>167</v>
      </c>
      <c r="B228" s="2281" t="s">
        <v>2076</v>
      </c>
      <c r="C228" s="2282" t="s">
        <v>2077</v>
      </c>
      <c r="D228" s="2504" t="s">
        <v>1317</v>
      </c>
      <c r="E228" s="2284"/>
      <c r="F228" s="2285"/>
      <c r="G228" s="2257">
        <f t="shared" si="31"/>
        <v>0</v>
      </c>
      <c r="H228" s="2285"/>
      <c r="I228" s="2285"/>
      <c r="J228" s="2257">
        <f t="shared" si="32"/>
        <v>0</v>
      </c>
      <c r="K228" s="2285"/>
      <c r="L228" s="2285"/>
      <c r="M228" s="2259">
        <f t="shared" si="33"/>
        <v>0</v>
      </c>
      <c r="N228" s="2284">
        <v>0</v>
      </c>
      <c r="O228" s="2285">
        <v>0</v>
      </c>
      <c r="P228" s="2258">
        <f t="shared" si="34"/>
        <v>0</v>
      </c>
      <c r="Q228" s="2284"/>
      <c r="R228" s="2285"/>
      <c r="S228" s="2259">
        <f t="shared" si="28"/>
        <v>0</v>
      </c>
      <c r="T228" s="2284"/>
      <c r="U228" s="2285"/>
      <c r="V228" s="2258">
        <f t="shared" si="29"/>
        <v>0</v>
      </c>
      <c r="W228" s="2284"/>
      <c r="X228" s="2285"/>
      <c r="Y228" s="2258">
        <f t="shared" si="35"/>
        <v>0</v>
      </c>
      <c r="Z228" s="2284"/>
      <c r="AA228" s="2285"/>
      <c r="AB228" s="2259">
        <f t="shared" si="36"/>
        <v>0</v>
      </c>
      <c r="AC228" s="2606"/>
      <c r="AD228" s="2606"/>
      <c r="AE228" s="2606"/>
      <c r="AF228" s="2593"/>
      <c r="AG228" s="2593"/>
      <c r="AH228" s="2593"/>
      <c r="AI228" s="2593"/>
      <c r="AJ228" s="2593"/>
    </row>
    <row r="229" spans="1:36" s="2218" customFormat="1" ht="47.25" hidden="1" outlineLevel="2">
      <c r="A229" s="2235">
        <v>168</v>
      </c>
      <c r="B229" s="2281" t="s">
        <v>2078</v>
      </c>
      <c r="C229" s="2282" t="s">
        <v>2079</v>
      </c>
      <c r="D229" s="2504" t="s">
        <v>1317</v>
      </c>
      <c r="E229" s="2284"/>
      <c r="F229" s="2285"/>
      <c r="G229" s="2257">
        <f t="shared" si="31"/>
        <v>0</v>
      </c>
      <c r="H229" s="2285"/>
      <c r="I229" s="2285"/>
      <c r="J229" s="2257">
        <f t="shared" si="32"/>
        <v>0</v>
      </c>
      <c r="K229" s="2285"/>
      <c r="L229" s="2285"/>
      <c r="M229" s="2259">
        <f t="shared" si="33"/>
        <v>0</v>
      </c>
      <c r="N229" s="2284">
        <v>0</v>
      </c>
      <c r="O229" s="2285">
        <v>0</v>
      </c>
      <c r="P229" s="2258">
        <f t="shared" si="34"/>
        <v>0</v>
      </c>
      <c r="Q229" s="2284"/>
      <c r="R229" s="2285"/>
      <c r="S229" s="2259">
        <f t="shared" si="28"/>
        <v>0</v>
      </c>
      <c r="T229" s="2284"/>
      <c r="U229" s="2285"/>
      <c r="V229" s="2258">
        <f t="shared" si="29"/>
        <v>0</v>
      </c>
      <c r="W229" s="2284"/>
      <c r="X229" s="2285"/>
      <c r="Y229" s="2258">
        <f t="shared" si="35"/>
        <v>0</v>
      </c>
      <c r="Z229" s="2284"/>
      <c r="AA229" s="2285"/>
      <c r="AB229" s="2259">
        <f t="shared" si="36"/>
        <v>0</v>
      </c>
      <c r="AC229" s="2606"/>
      <c r="AD229" s="2606"/>
      <c r="AE229" s="2606"/>
      <c r="AF229" s="2593"/>
      <c r="AG229" s="2593"/>
      <c r="AH229" s="2593"/>
      <c r="AI229" s="2593"/>
      <c r="AJ229" s="2593"/>
    </row>
    <row r="230" spans="1:36" s="2218" customFormat="1" hidden="1" outlineLevel="2">
      <c r="A230" s="2235">
        <v>13</v>
      </c>
      <c r="B230" s="2279" t="s">
        <v>142</v>
      </c>
      <c r="C230" s="2295" t="s">
        <v>2080</v>
      </c>
      <c r="D230" s="2500" t="s">
        <v>1313</v>
      </c>
      <c r="E230" s="2255">
        <f>E231+E232</f>
        <v>0</v>
      </c>
      <c r="F230" s="2256">
        <f>F231+F232</f>
        <v>0</v>
      </c>
      <c r="G230" s="2257">
        <f t="shared" si="31"/>
        <v>0</v>
      </c>
      <c r="H230" s="2256">
        <f>H231+H232</f>
        <v>0</v>
      </c>
      <c r="I230" s="2256">
        <f>I231+I232</f>
        <v>0</v>
      </c>
      <c r="J230" s="2257">
        <f t="shared" si="32"/>
        <v>0</v>
      </c>
      <c r="K230" s="2256">
        <f>K231+K232</f>
        <v>299.17216203372652</v>
      </c>
      <c r="L230" s="2256">
        <f>L231+L232</f>
        <v>299.17216203372652</v>
      </c>
      <c r="M230" s="2259">
        <f t="shared" si="33"/>
        <v>299.17216203372652</v>
      </c>
      <c r="N230" s="2255">
        <v>0</v>
      </c>
      <c r="O230" s="2256">
        <v>0</v>
      </c>
      <c r="P230" s="2258">
        <f t="shared" si="34"/>
        <v>0</v>
      </c>
      <c r="Q230" s="2255">
        <f>Q231+Q232</f>
        <v>0</v>
      </c>
      <c r="R230" s="2256">
        <f>R231+R232</f>
        <v>0</v>
      </c>
      <c r="S230" s="2259">
        <f t="shared" si="28"/>
        <v>0</v>
      </c>
      <c r="T230" s="2255">
        <f>T231+T232</f>
        <v>0</v>
      </c>
      <c r="U230" s="2256">
        <f>U231+U232</f>
        <v>0</v>
      </c>
      <c r="V230" s="2258">
        <f t="shared" si="29"/>
        <v>0</v>
      </c>
      <c r="W230" s="2255">
        <f>W231+W232</f>
        <v>0</v>
      </c>
      <c r="X230" s="2256">
        <f>X231+X232</f>
        <v>0</v>
      </c>
      <c r="Y230" s="2258">
        <f t="shared" si="35"/>
        <v>0</v>
      </c>
      <c r="Z230" s="2255">
        <f>Z231+Z232</f>
        <v>0</v>
      </c>
      <c r="AA230" s="2256">
        <f>AA231+AA232</f>
        <v>0</v>
      </c>
      <c r="AB230" s="2259">
        <f t="shared" si="36"/>
        <v>0</v>
      </c>
      <c r="AC230" s="2606"/>
      <c r="AD230" s="2606"/>
      <c r="AE230" s="2606"/>
      <c r="AF230" s="2593"/>
      <c r="AG230" s="2593"/>
      <c r="AH230" s="2593"/>
      <c r="AI230" s="2593"/>
      <c r="AJ230" s="2593"/>
    </row>
    <row r="231" spans="1:36" s="2218" customFormat="1" hidden="1" outlineLevel="2">
      <c r="A231" s="2235">
        <v>14</v>
      </c>
      <c r="B231" s="2281" t="s">
        <v>2081</v>
      </c>
      <c r="C231" s="2282" t="s">
        <v>2082</v>
      </c>
      <c r="D231" s="2504" t="s">
        <v>1313</v>
      </c>
      <c r="E231" s="2284"/>
      <c r="F231" s="2285"/>
      <c r="G231" s="2257">
        <f t="shared" si="31"/>
        <v>0</v>
      </c>
      <c r="H231" s="2285"/>
      <c r="I231" s="2285"/>
      <c r="J231" s="2257">
        <f t="shared" si="32"/>
        <v>0</v>
      </c>
      <c r="K231" s="2285"/>
      <c r="L231" s="2285"/>
      <c r="M231" s="2259">
        <f t="shared" si="33"/>
        <v>0</v>
      </c>
      <c r="N231" s="2284"/>
      <c r="O231" s="2285"/>
      <c r="P231" s="2258">
        <f t="shared" si="34"/>
        <v>0</v>
      </c>
      <c r="Q231" s="2284"/>
      <c r="R231" s="2285"/>
      <c r="S231" s="2259">
        <f t="shared" si="28"/>
        <v>0</v>
      </c>
      <c r="T231" s="2284"/>
      <c r="U231" s="2285"/>
      <c r="V231" s="2258">
        <f t="shared" si="29"/>
        <v>0</v>
      </c>
      <c r="W231" s="2284"/>
      <c r="X231" s="2285"/>
      <c r="Y231" s="2258">
        <f t="shared" si="35"/>
        <v>0</v>
      </c>
      <c r="Z231" s="2284"/>
      <c r="AA231" s="2285"/>
      <c r="AB231" s="2259">
        <f t="shared" si="36"/>
        <v>0</v>
      </c>
      <c r="AC231" s="2606"/>
      <c r="AD231" s="2606"/>
      <c r="AE231" s="2606"/>
      <c r="AF231" s="2593"/>
      <c r="AG231" s="2593"/>
      <c r="AH231" s="2593"/>
      <c r="AI231" s="2593"/>
      <c r="AJ231" s="2593"/>
    </row>
    <row r="232" spans="1:36" s="2218" customFormat="1" hidden="1" outlineLevel="2">
      <c r="A232" s="2235">
        <v>89</v>
      </c>
      <c r="B232" s="2297" t="s">
        <v>2083</v>
      </c>
      <c r="C232" s="2298" t="s">
        <v>1806</v>
      </c>
      <c r="D232" s="2507" t="s">
        <v>1313</v>
      </c>
      <c r="E232" s="2300"/>
      <c r="F232" s="2301"/>
      <c r="G232" s="2266">
        <f t="shared" si="31"/>
        <v>0</v>
      </c>
      <c r="H232" s="2301"/>
      <c r="I232" s="2301"/>
      <c r="J232" s="2266">
        <f t="shared" si="32"/>
        <v>0</v>
      </c>
      <c r="K232" s="2301">
        <v>299.17216203372652</v>
      </c>
      <c r="L232" s="2301">
        <v>299.17216203372652</v>
      </c>
      <c r="M232" s="2268">
        <f t="shared" si="33"/>
        <v>299.17216203372652</v>
      </c>
      <c r="N232" s="2300"/>
      <c r="O232" s="2301">
        <f>N232*1.047</f>
        <v>0</v>
      </c>
      <c r="P232" s="2267">
        <f>N232/2+O232/2</f>
        <v>0</v>
      </c>
      <c r="Q232" s="2300">
        <f>O232</f>
        <v>0</v>
      </c>
      <c r="R232" s="2301">
        <f>Q232*1.04</f>
        <v>0</v>
      </c>
      <c r="S232" s="2268">
        <f t="shared" si="28"/>
        <v>0</v>
      </c>
      <c r="T232" s="2300">
        <f>R232</f>
        <v>0</v>
      </c>
      <c r="U232" s="2301">
        <f>T232*1.04</f>
        <v>0</v>
      </c>
      <c r="V232" s="2267">
        <f t="shared" si="29"/>
        <v>0</v>
      </c>
      <c r="W232" s="2300">
        <f>U232</f>
        <v>0</v>
      </c>
      <c r="X232" s="2301"/>
      <c r="Y232" s="2267">
        <f>W232/2+X232/2</f>
        <v>0</v>
      </c>
      <c r="Z232" s="2300">
        <f>X232</f>
        <v>0</v>
      </c>
      <c r="AA232" s="2301"/>
      <c r="AB232" s="2268">
        <f t="shared" si="36"/>
        <v>0</v>
      </c>
      <c r="AC232" s="2606"/>
      <c r="AD232" s="2606"/>
      <c r="AE232" s="2606"/>
      <c r="AF232" s="2593"/>
      <c r="AG232" s="2593"/>
      <c r="AH232" s="2593"/>
      <c r="AI232" s="2593"/>
      <c r="AJ232" s="2593"/>
    </row>
    <row r="233" spans="1:36" s="2218" customFormat="1" ht="94.5" hidden="1" outlineLevel="2">
      <c r="A233" s="2235"/>
      <c r="B233" s="2391" t="s">
        <v>137</v>
      </c>
      <c r="C233" s="2392" t="s">
        <v>15031</v>
      </c>
      <c r="D233" s="2507" t="s">
        <v>1313</v>
      </c>
      <c r="E233" s="2301"/>
      <c r="F233" s="2301"/>
      <c r="G233" s="2266">
        <f t="shared" si="31"/>
        <v>0</v>
      </c>
      <c r="H233" s="2301"/>
      <c r="I233" s="2301"/>
      <c r="J233" s="2266">
        <f t="shared" si="32"/>
        <v>0</v>
      </c>
      <c r="K233" s="2301">
        <v>3057.7411219819182</v>
      </c>
      <c r="L233" s="2301">
        <v>3057.7411219819182</v>
      </c>
      <c r="M233" s="2268">
        <f t="shared" si="33"/>
        <v>3057.7411219819182</v>
      </c>
      <c r="N233" s="2301"/>
      <c r="O233" s="2301">
        <f>N233*1.047</f>
        <v>0</v>
      </c>
      <c r="P233" s="2267">
        <f t="shared" si="34"/>
        <v>0</v>
      </c>
      <c r="Q233" s="2300">
        <f>O233</f>
        <v>0</v>
      </c>
      <c r="R233" s="2301">
        <f>Q233*1.04</f>
        <v>0</v>
      </c>
      <c r="S233" s="2268">
        <f t="shared" si="28"/>
        <v>0</v>
      </c>
      <c r="T233" s="2300">
        <f>R233</f>
        <v>0</v>
      </c>
      <c r="U233" s="2301">
        <f>T233*1.04</f>
        <v>0</v>
      </c>
      <c r="V233" s="2267">
        <f t="shared" si="29"/>
        <v>0</v>
      </c>
      <c r="W233" s="2300">
        <f>U233</f>
        <v>0</v>
      </c>
      <c r="X233" s="2301"/>
      <c r="Y233" s="2267">
        <f t="shared" si="35"/>
        <v>0</v>
      </c>
      <c r="Z233" s="2300">
        <f>X233</f>
        <v>0</v>
      </c>
      <c r="AA233" s="2301"/>
      <c r="AB233" s="2268">
        <f t="shared" si="36"/>
        <v>0</v>
      </c>
      <c r="AC233" s="2606"/>
      <c r="AD233" s="2606"/>
      <c r="AE233" s="2606"/>
      <c r="AF233" s="2593"/>
      <c r="AG233" s="2593"/>
      <c r="AH233" s="2593"/>
      <c r="AI233" s="2593"/>
      <c r="AJ233" s="2593"/>
    </row>
    <row r="234" spans="1:36" s="2218" customFormat="1" ht="31.5" hidden="1" outlineLevel="2">
      <c r="A234" s="2235"/>
      <c r="B234" s="2393" t="s">
        <v>15032</v>
      </c>
      <c r="C234" s="2293" t="s">
        <v>15033</v>
      </c>
      <c r="D234" s="2507" t="s">
        <v>1313</v>
      </c>
      <c r="E234" s="2285"/>
      <c r="F234" s="2285"/>
      <c r="G234" s="2257"/>
      <c r="H234" s="2285"/>
      <c r="I234" s="2285"/>
      <c r="J234" s="2257"/>
      <c r="K234" s="2285"/>
      <c r="L234" s="2285"/>
      <c r="M234" s="2257"/>
      <c r="N234" s="2285"/>
      <c r="O234" s="2285"/>
      <c r="P234" s="2258"/>
      <c r="Q234" s="2284"/>
      <c r="R234" s="2285"/>
      <c r="S234" s="2259"/>
      <c r="T234" s="2284"/>
      <c r="U234" s="2285"/>
      <c r="V234" s="2258"/>
      <c r="W234" s="2284"/>
      <c r="X234" s="2285"/>
      <c r="Y234" s="2258"/>
      <c r="Z234" s="2284"/>
      <c r="AA234" s="2285"/>
      <c r="AB234" s="2259"/>
      <c r="AC234" s="2606"/>
      <c r="AD234" s="2606"/>
      <c r="AE234" s="2606"/>
      <c r="AF234" s="2593"/>
      <c r="AG234" s="2593"/>
      <c r="AH234" s="2593"/>
      <c r="AI234" s="2593"/>
      <c r="AJ234" s="2593"/>
    </row>
    <row r="235" spans="1:36" s="2218" customFormat="1" ht="47.25" hidden="1" outlineLevel="2">
      <c r="A235" s="2235"/>
      <c r="B235" s="2393" t="s">
        <v>15034</v>
      </c>
      <c r="C235" s="2293" t="s">
        <v>15035</v>
      </c>
      <c r="D235" s="2507" t="s">
        <v>1313</v>
      </c>
      <c r="E235" s="2285"/>
      <c r="F235" s="2285"/>
      <c r="G235" s="2257"/>
      <c r="H235" s="2285"/>
      <c r="I235" s="2285"/>
      <c r="J235" s="2257"/>
      <c r="K235" s="2285"/>
      <c r="L235" s="2285"/>
      <c r="M235" s="2257"/>
      <c r="N235" s="2285"/>
      <c r="O235" s="2285"/>
      <c r="P235" s="2258"/>
      <c r="Q235" s="2284"/>
      <c r="R235" s="2285"/>
      <c r="S235" s="2259"/>
      <c r="T235" s="2284"/>
      <c r="U235" s="2285"/>
      <c r="V235" s="2258"/>
      <c r="W235" s="2284"/>
      <c r="X235" s="2285"/>
      <c r="Y235" s="2258"/>
      <c r="Z235" s="2284"/>
      <c r="AA235" s="2285"/>
      <c r="AB235" s="2259"/>
      <c r="AC235" s="2606"/>
      <c r="AD235" s="2606"/>
      <c r="AE235" s="2606"/>
      <c r="AF235" s="2593"/>
      <c r="AG235" s="2593"/>
      <c r="AH235" s="2593"/>
      <c r="AI235" s="2593"/>
      <c r="AJ235" s="2593"/>
    </row>
    <row r="236" spans="1:36" s="2218" customFormat="1" ht="19.5" outlineLevel="1" collapsed="1" thickBot="1">
      <c r="A236" s="2235">
        <v>147</v>
      </c>
      <c r="B236" s="2394">
        <v>2</v>
      </c>
      <c r="C236" s="2395" t="s">
        <v>2084</v>
      </c>
      <c r="D236" s="2545" t="s">
        <v>1317</v>
      </c>
      <c r="E236" s="2397">
        <f>E237</f>
        <v>22100.138806483203</v>
      </c>
      <c r="F236" s="2398">
        <f>F237</f>
        <v>22100.138806483203</v>
      </c>
      <c r="G236" s="2399">
        <f t="shared" si="31"/>
        <v>22100.138806483203</v>
      </c>
      <c r="H236" s="2398">
        <f>H237</f>
        <v>26565.152793394864</v>
      </c>
      <c r="I236" s="2398">
        <f>I237</f>
        <v>26565.152793394864</v>
      </c>
      <c r="J236" s="2399">
        <f t="shared" si="32"/>
        <v>26565.152793394864</v>
      </c>
      <c r="K236" s="2398">
        <f>K237</f>
        <v>33821.77063496819</v>
      </c>
      <c r="L236" s="2398">
        <f>L237</f>
        <v>33821.77063496819</v>
      </c>
      <c r="M236" s="2399">
        <f t="shared" si="33"/>
        <v>33821.77063496819</v>
      </c>
      <c r="N236" s="2397">
        <f>N237</f>
        <v>1833.3614384783782</v>
      </c>
      <c r="O236" s="2398">
        <f>O237</f>
        <v>0</v>
      </c>
      <c r="P236" s="2400">
        <f t="shared" si="34"/>
        <v>916.6807192391891</v>
      </c>
      <c r="Q236" s="2397">
        <f>Q237</f>
        <v>0</v>
      </c>
      <c r="R236" s="2398">
        <f>R237</f>
        <v>0</v>
      </c>
      <c r="S236" s="2399">
        <f>Q236/2+R236/2</f>
        <v>0</v>
      </c>
      <c r="T236" s="2397">
        <f>T237</f>
        <v>0</v>
      </c>
      <c r="U236" s="2398">
        <f>U237</f>
        <v>0</v>
      </c>
      <c r="V236" s="2400">
        <f>T236/2+U236/2</f>
        <v>0</v>
      </c>
      <c r="W236" s="2397">
        <f>W237</f>
        <v>0</v>
      </c>
      <c r="X236" s="2398">
        <f>X237</f>
        <v>0</v>
      </c>
      <c r="Y236" s="2400">
        <f t="shared" si="35"/>
        <v>0</v>
      </c>
      <c r="Z236" s="2397">
        <f>Z237</f>
        <v>0</v>
      </c>
      <c r="AA236" s="2398">
        <f>AA237</f>
        <v>0</v>
      </c>
      <c r="AB236" s="2399">
        <f t="shared" si="36"/>
        <v>0</v>
      </c>
      <c r="AC236" s="2606"/>
      <c r="AD236" s="2606"/>
      <c r="AE236" s="2606"/>
      <c r="AF236" s="2593"/>
      <c r="AG236" s="2593"/>
      <c r="AH236" s="2593"/>
      <c r="AI236" s="2593"/>
      <c r="AJ236" s="2593"/>
    </row>
    <row r="237" spans="1:36" s="2218" customFormat="1" ht="48" outlineLevel="1" thickBot="1">
      <c r="A237" s="2235">
        <v>148</v>
      </c>
      <c r="B237" s="2402" t="s">
        <v>1224</v>
      </c>
      <c r="C237" s="2403" t="s">
        <v>2085</v>
      </c>
      <c r="D237" s="2546" t="s">
        <v>1317</v>
      </c>
      <c r="E237" s="2405">
        <v>22100.138806483203</v>
      </c>
      <c r="F237" s="2406">
        <v>22100.138806483203</v>
      </c>
      <c r="G237" s="2407">
        <f t="shared" si="31"/>
        <v>22100.138806483203</v>
      </c>
      <c r="H237" s="2406">
        <v>26565.152793394864</v>
      </c>
      <c r="I237" s="2406">
        <v>26565.152793394864</v>
      </c>
      <c r="J237" s="2407">
        <f t="shared" si="32"/>
        <v>26565.152793394864</v>
      </c>
      <c r="K237" s="2406">
        <v>33821.77063496819</v>
      </c>
      <c r="L237" s="2406">
        <v>33821.77063496819</v>
      </c>
      <c r="M237" s="2410">
        <f t="shared" si="33"/>
        <v>33821.77063496819</v>
      </c>
      <c r="N237" s="3031">
        <f>'[11]НВВ 26.09.23.'!N237+'[12]НВВ 26.09.'!N237</f>
        <v>1833.3614384783782</v>
      </c>
      <c r="O237" s="3039">
        <f>'[11]НВВ 26.09.23.'!O237+'[12]НВВ 26.09.'!O237</f>
        <v>0</v>
      </c>
      <c r="P237" s="2409">
        <f t="shared" si="34"/>
        <v>916.6807192391891</v>
      </c>
      <c r="Q237" s="3031">
        <f>'[11]НВВ 26.09.23.'!Q237+'[12]НВВ 26.09.'!Q237</f>
        <v>0</v>
      </c>
      <c r="R237" s="3039">
        <f>'[11]НВВ 26.09.23.'!R237+'[12]НВВ 26.09.'!R237</f>
        <v>0</v>
      </c>
      <c r="S237" s="2410">
        <f>Q237/2+R237/2</f>
        <v>0</v>
      </c>
      <c r="T237" s="3031">
        <f>'[11]НВВ 26.09.23.'!T237+'[12]НВВ 26.09.'!T237</f>
        <v>0</v>
      </c>
      <c r="U237" s="3039">
        <f>'[11]НВВ 26.09.23.'!U237+'[12]НВВ 26.09.'!U237</f>
        <v>0</v>
      </c>
      <c r="V237" s="2409">
        <f>T237/2+U237/2</f>
        <v>0</v>
      </c>
      <c r="W237" s="3031">
        <f>'[11]НВВ 26.09.23.'!W237+'[12]НВВ 26.09.'!W237</f>
        <v>0</v>
      </c>
      <c r="X237" s="3039">
        <f>'[11]НВВ 26.09.23.'!X237+'[12]НВВ 26.09.'!X237</f>
        <v>0</v>
      </c>
      <c r="Y237" s="2409">
        <f t="shared" si="35"/>
        <v>0</v>
      </c>
      <c r="Z237" s="3031">
        <f>'[11]НВВ 26.09.23.'!Z237+'[12]НВВ 26.09.'!Z237</f>
        <v>0</v>
      </c>
      <c r="AA237" s="3039">
        <f>'[11]НВВ 26.09.23.'!AA237+'[12]НВВ 26.09.'!AA237</f>
        <v>0</v>
      </c>
      <c r="AB237" s="2410">
        <f t="shared" si="36"/>
        <v>0</v>
      </c>
      <c r="AC237" s="2606"/>
      <c r="AD237" s="2606"/>
      <c r="AE237" s="2606"/>
      <c r="AF237" s="2593"/>
      <c r="AG237" s="2593"/>
      <c r="AH237" s="2593"/>
      <c r="AI237" s="2593"/>
      <c r="AJ237" s="2593"/>
    </row>
    <row r="238" spans="1:36" s="2218" customFormat="1" ht="19.5" outlineLevel="1" thickBot="1">
      <c r="A238" s="2235">
        <v>171</v>
      </c>
      <c r="B238" s="2412">
        <v>15</v>
      </c>
      <c r="C238" s="2318" t="s">
        <v>2088</v>
      </c>
      <c r="D238" s="2542" t="s">
        <v>1128</v>
      </c>
      <c r="E238" s="2070">
        <f>E239+E270</f>
        <v>0</v>
      </c>
      <c r="F238" s="2413">
        <f>F239+F270</f>
        <v>0</v>
      </c>
      <c r="G238" s="2071">
        <f t="shared" si="31"/>
        <v>0</v>
      </c>
      <c r="H238" s="2413">
        <f>H239+H270</f>
        <v>0</v>
      </c>
      <c r="I238" s="2413">
        <f>I239+I270</f>
        <v>0</v>
      </c>
      <c r="J238" s="2071">
        <f t="shared" si="32"/>
        <v>0</v>
      </c>
      <c r="K238" s="2413">
        <f>K239+K270</f>
        <v>3191.582249598147</v>
      </c>
      <c r="L238" s="2413">
        <f>L239+L270</f>
        <v>3191.582249598147</v>
      </c>
      <c r="M238" s="2071">
        <f t="shared" si="33"/>
        <v>3191.582249598147</v>
      </c>
      <c r="N238" s="2070">
        <f>N239+N270</f>
        <v>5120.7993298219117</v>
      </c>
      <c r="O238" s="2413">
        <f>O239+O270</f>
        <v>20213.353082275637</v>
      </c>
      <c r="P238" s="2080">
        <f t="shared" si="34"/>
        <v>12667.076206048774</v>
      </c>
      <c r="Q238" s="2070">
        <f>Q239+Q270</f>
        <v>20213.353082275637</v>
      </c>
      <c r="R238" s="2413">
        <f>R239+R270</f>
        <v>79073.253144630566</v>
      </c>
      <c r="S238" s="2071">
        <f>Q238/2+R238/2</f>
        <v>49643.303113453105</v>
      </c>
      <c r="T238" s="2070">
        <f>T239+T270</f>
        <v>79073.253144630566</v>
      </c>
      <c r="U238" s="2413">
        <f>U239+U270</f>
        <v>140907.4800702905</v>
      </c>
      <c r="V238" s="2080">
        <f>T238/2+U238/2</f>
        <v>109990.36660746054</v>
      </c>
      <c r="W238" s="2070">
        <f>W239+W270</f>
        <v>140907.4800702905</v>
      </c>
      <c r="X238" s="2413">
        <f>X239+X270</f>
        <v>202779.55320827966</v>
      </c>
      <c r="Y238" s="2080">
        <f t="shared" si="35"/>
        <v>171843.51663928508</v>
      </c>
      <c r="Z238" s="2070">
        <f>Z239+Z270</f>
        <v>202779.55320827966</v>
      </c>
      <c r="AA238" s="2413">
        <f>AA239+AA270</f>
        <v>234083.32626517111</v>
      </c>
      <c r="AB238" s="2071">
        <f t="shared" si="36"/>
        <v>218431.43973672538</v>
      </c>
      <c r="AC238" s="2606"/>
      <c r="AD238" s="2606"/>
      <c r="AE238" s="2606"/>
      <c r="AF238" s="2593"/>
      <c r="AG238" s="2593"/>
      <c r="AH238" s="2593"/>
      <c r="AI238" s="2593"/>
      <c r="AJ238" s="2593"/>
    </row>
    <row r="239" spans="1:36" s="2218" customFormat="1" outlineLevel="1">
      <c r="A239" s="2235">
        <v>172</v>
      </c>
      <c r="B239" s="2243" t="s">
        <v>2089</v>
      </c>
      <c r="C239" s="2414" t="s">
        <v>105</v>
      </c>
      <c r="D239" s="2499" t="s">
        <v>1128</v>
      </c>
      <c r="E239" s="2246">
        <f>E240+E241+E242</f>
        <v>0</v>
      </c>
      <c r="F239" s="2247">
        <f>F240+F241+F242</f>
        <v>0</v>
      </c>
      <c r="G239" s="2248">
        <f t="shared" si="31"/>
        <v>0</v>
      </c>
      <c r="H239" s="2247">
        <f>H240+H241+H242</f>
        <v>0</v>
      </c>
      <c r="I239" s="2247">
        <f>I240+I241+I242</f>
        <v>0</v>
      </c>
      <c r="J239" s="2248">
        <f t="shared" si="32"/>
        <v>0</v>
      </c>
      <c r="K239" s="2247">
        <f>K240+K241+K242</f>
        <v>3191.582249598147</v>
      </c>
      <c r="L239" s="2247">
        <f>L240+L241+L242</f>
        <v>3191.582249598147</v>
      </c>
      <c r="M239" s="2250">
        <f t="shared" si="33"/>
        <v>3191.582249598147</v>
      </c>
      <c r="N239" s="2246">
        <f>N240+N241+N242</f>
        <v>5120.7993298219117</v>
      </c>
      <c r="O239" s="2247">
        <f>O240+O241+O242</f>
        <v>20213.353082275637</v>
      </c>
      <c r="P239" s="2249">
        <f t="shared" si="34"/>
        <v>12667.076206048774</v>
      </c>
      <c r="Q239" s="2246">
        <f>Q240+Q241+Q242</f>
        <v>20213.353082275637</v>
      </c>
      <c r="R239" s="2247">
        <f>R240+R241+R242</f>
        <v>79073.253144630566</v>
      </c>
      <c r="S239" s="2250">
        <f>Q239/2+R239/2</f>
        <v>49643.303113453105</v>
      </c>
      <c r="T239" s="2246">
        <f>T240+T241+T242</f>
        <v>79073.253144630566</v>
      </c>
      <c r="U239" s="2247">
        <f>U240+U241+U242</f>
        <v>140907.4800702905</v>
      </c>
      <c r="V239" s="2249">
        <f>T239/2+U239/2</f>
        <v>109990.36660746054</v>
      </c>
      <c r="W239" s="2246">
        <f>W240+W241+W242</f>
        <v>140907.4800702905</v>
      </c>
      <c r="X239" s="2247">
        <f>X240+X241+X242</f>
        <v>202779.55320827966</v>
      </c>
      <c r="Y239" s="2249">
        <f t="shared" si="35"/>
        <v>171843.51663928508</v>
      </c>
      <c r="Z239" s="2246">
        <f>Z240+Z241+Z242</f>
        <v>202779.55320827966</v>
      </c>
      <c r="AA239" s="2247">
        <f>AA240+AA241+AA242</f>
        <v>234083.32626517111</v>
      </c>
      <c r="AB239" s="2250">
        <f t="shared" si="36"/>
        <v>218431.43973672538</v>
      </c>
      <c r="AC239" s="2606"/>
      <c r="AD239" s="2606"/>
      <c r="AE239" s="2606"/>
      <c r="AF239" s="2593"/>
      <c r="AG239" s="2593"/>
      <c r="AH239" s="2593"/>
      <c r="AI239" s="2593"/>
      <c r="AJ239" s="2593"/>
    </row>
    <row r="240" spans="1:36" s="2218" customFormat="1" ht="47.25" outlineLevel="1">
      <c r="A240" s="2235">
        <v>196</v>
      </c>
      <c r="B240" s="2281" t="s">
        <v>2090</v>
      </c>
      <c r="C240" s="2282" t="s">
        <v>2091</v>
      </c>
      <c r="D240" s="2504" t="s">
        <v>1128</v>
      </c>
      <c r="E240" s="2284"/>
      <c r="F240" s="2285"/>
      <c r="G240" s="2257">
        <f t="shared" si="31"/>
        <v>0</v>
      </c>
      <c r="H240" s="2285"/>
      <c r="I240" s="2285"/>
      <c r="J240" s="2257">
        <f t="shared" si="32"/>
        <v>0</v>
      </c>
      <c r="K240" s="2285">
        <v>3191.582249598147</v>
      </c>
      <c r="L240" s="2285">
        <v>3191.582249598147</v>
      </c>
      <c r="M240" s="2259">
        <f t="shared" si="33"/>
        <v>3191.582249598147</v>
      </c>
      <c r="N240" s="3031">
        <f>'[11]НВВ 26.09.23.'!N240+'[12]НВВ 26.09.'!N240</f>
        <v>5120.7993298219117</v>
      </c>
      <c r="O240" s="3039">
        <f>'[11]НВВ 26.09.23.'!O240+'[12]НВВ 26.09.'!O240</f>
        <v>9708.663937975638</v>
      </c>
      <c r="P240" s="2258">
        <f>N240/2+O240/2</f>
        <v>7414.7316338987748</v>
      </c>
      <c r="Q240" s="3031">
        <f>'[11]НВВ 26.09.23.'!Q240+'[12]НВВ 26.09.'!Q240</f>
        <v>9708.663937975638</v>
      </c>
      <c r="R240" s="3039">
        <f>'[11]НВВ 26.09.23.'!R240+'[12]НВВ 26.09.'!R240</f>
        <v>10097.010495494664</v>
      </c>
      <c r="S240" s="2259">
        <f>Q240/2+R240/2</f>
        <v>9902.8372167351517</v>
      </c>
      <c r="T240" s="3031">
        <f>'[11]НВВ 26.09.23.'!T240+'[12]НВВ 26.09.'!T240</f>
        <v>10097.010495494664</v>
      </c>
      <c r="U240" s="3039">
        <f>'[11]НВВ 26.09.23.'!U240+'[12]НВВ 26.09.'!U240</f>
        <v>10500.890915314449</v>
      </c>
      <c r="V240" s="2258">
        <f>T240/2+U240/2</f>
        <v>10298.950705404557</v>
      </c>
      <c r="W240" s="3031">
        <f>'[11]НВВ 26.09.23.'!W240+'[12]НВВ 26.09.'!W240</f>
        <v>10500.890915314449</v>
      </c>
      <c r="X240" s="3039">
        <f>'[11]НВВ 26.09.23.'!X240+'[12]НВВ 26.09.'!X240</f>
        <v>10920.926551927027</v>
      </c>
      <c r="Y240" s="2258">
        <f>W240/2+X240/2</f>
        <v>10710.908733620738</v>
      </c>
      <c r="Z240" s="3031">
        <f>'[11]НВВ 26.09.23.'!Z240+'[12]НВВ 26.09.'!Z240</f>
        <v>10920.926551927027</v>
      </c>
      <c r="AA240" s="3039">
        <f>'[11]НВВ 26.09.23.'!AA240+'[12]НВВ 26.09.'!AA240</f>
        <v>11357.76361400411</v>
      </c>
      <c r="AB240" s="2259">
        <f t="shared" si="36"/>
        <v>11139.345082965569</v>
      </c>
      <c r="AC240" s="2606"/>
      <c r="AD240" s="2606"/>
      <c r="AE240" s="2606"/>
      <c r="AF240" s="2593"/>
      <c r="AG240" s="2593"/>
      <c r="AH240" s="2593"/>
      <c r="AI240" s="2593"/>
      <c r="AJ240" s="2593"/>
    </row>
    <row r="241" spans="1:36" s="2218" customFormat="1" hidden="1" outlineLevel="2">
      <c r="A241" s="2235">
        <v>15</v>
      </c>
      <c r="B241" s="2281" t="s">
        <v>2093</v>
      </c>
      <c r="C241" s="2282" t="s">
        <v>2094</v>
      </c>
      <c r="D241" s="2504" t="s">
        <v>1128</v>
      </c>
      <c r="E241" s="2284"/>
      <c r="F241" s="2285"/>
      <c r="G241" s="2257">
        <f t="shared" si="31"/>
        <v>0</v>
      </c>
      <c r="H241" s="2285"/>
      <c r="I241" s="2285"/>
      <c r="J241" s="2257">
        <f t="shared" si="32"/>
        <v>0</v>
      </c>
      <c r="K241" s="2285"/>
      <c r="L241" s="2285"/>
      <c r="M241" s="2259">
        <f t="shared" si="33"/>
        <v>0</v>
      </c>
      <c r="N241" s="2284"/>
      <c r="O241" s="2286"/>
      <c r="P241" s="2258">
        <f t="shared" si="34"/>
        <v>0</v>
      </c>
      <c r="Q241" s="2284"/>
      <c r="R241" s="2285"/>
      <c r="S241" s="2259">
        <f t="shared" ref="S241:S269" si="37">Q241/2+R241/2</f>
        <v>0</v>
      </c>
      <c r="T241" s="2284"/>
      <c r="U241" s="2286"/>
      <c r="V241" s="2258">
        <f t="shared" ref="V241:V269" si="38">T241/2+U241/2</f>
        <v>0</v>
      </c>
      <c r="W241" s="2284"/>
      <c r="X241" s="2286"/>
      <c r="Y241" s="2258">
        <f t="shared" si="35"/>
        <v>0</v>
      </c>
      <c r="Z241" s="2284"/>
      <c r="AA241" s="2286"/>
      <c r="AB241" s="2259">
        <f t="shared" si="36"/>
        <v>0</v>
      </c>
      <c r="AC241" s="2606"/>
      <c r="AD241" s="2606"/>
      <c r="AE241" s="2606"/>
      <c r="AF241" s="2593"/>
      <c r="AG241" s="2593"/>
      <c r="AH241" s="2593"/>
      <c r="AI241" s="2593"/>
      <c r="AJ241" s="2593"/>
    </row>
    <row r="242" spans="1:36" s="2218" customFormat="1" ht="16.5" outlineLevel="1" collapsed="1" thickBot="1">
      <c r="A242" s="2235">
        <v>16</v>
      </c>
      <c r="B242" s="2415" t="s">
        <v>2095</v>
      </c>
      <c r="C242" s="2416" t="s">
        <v>2096</v>
      </c>
      <c r="D242" s="2547" t="s">
        <v>1128</v>
      </c>
      <c r="E242" s="2482">
        <f>E243</f>
        <v>0</v>
      </c>
      <c r="F242" s="2483">
        <f>F243</f>
        <v>0</v>
      </c>
      <c r="G242" s="2266">
        <f t="shared" si="31"/>
        <v>0</v>
      </c>
      <c r="H242" s="2483">
        <f>H243</f>
        <v>0</v>
      </c>
      <c r="I242" s="2483">
        <f>I243</f>
        <v>0</v>
      </c>
      <c r="J242" s="2266">
        <f t="shared" si="32"/>
        <v>0</v>
      </c>
      <c r="K242" s="2483">
        <f>K243</f>
        <v>0</v>
      </c>
      <c r="L242" s="2483">
        <f>L243</f>
        <v>0</v>
      </c>
      <c r="M242" s="2268">
        <f t="shared" si="33"/>
        <v>0</v>
      </c>
      <c r="N242" s="2284">
        <f>N288</f>
        <v>0</v>
      </c>
      <c r="O242" s="2286">
        <f>O288</f>
        <v>10504.6891443</v>
      </c>
      <c r="P242" s="2267">
        <f t="shared" si="34"/>
        <v>5252.3445721500002</v>
      </c>
      <c r="Q242" s="2284">
        <f>Q288</f>
        <v>10504.6891443</v>
      </c>
      <c r="R242" s="2286">
        <f>R288</f>
        <v>68976.242649135907</v>
      </c>
      <c r="S242" s="2268">
        <f t="shared" si="37"/>
        <v>39740.465896717957</v>
      </c>
      <c r="T242" s="2284">
        <f>T288</f>
        <v>68976.242649135907</v>
      </c>
      <c r="U242" s="2286">
        <f>U288</f>
        <v>130406.58915497604</v>
      </c>
      <c r="V242" s="2267">
        <f t="shared" si="38"/>
        <v>99691.415902055975</v>
      </c>
      <c r="W242" s="2284">
        <f>W288</f>
        <v>130406.58915497604</v>
      </c>
      <c r="X242" s="2286">
        <f>X288</f>
        <v>191858.62665635263</v>
      </c>
      <c r="Y242" s="2267">
        <f t="shared" si="35"/>
        <v>161132.60790566434</v>
      </c>
      <c r="Z242" s="2284">
        <f>Z288</f>
        <v>191858.62665635263</v>
      </c>
      <c r="AA242" s="2286">
        <f>AA288</f>
        <v>222725.56265116701</v>
      </c>
      <c r="AB242" s="2268">
        <f t="shared" si="36"/>
        <v>207292.09465375982</v>
      </c>
      <c r="AC242" s="2606"/>
      <c r="AD242" s="2606"/>
      <c r="AE242" s="2606"/>
      <c r="AF242" s="2593"/>
      <c r="AG242" s="2593"/>
      <c r="AH242" s="2593"/>
      <c r="AI242" s="2593"/>
      <c r="AJ242" s="2593"/>
    </row>
    <row r="243" spans="1:36" s="2218" customFormat="1" ht="18.75" outlineLevel="1">
      <c r="A243" s="2235">
        <v>17</v>
      </c>
      <c r="B243" s="2420" t="s">
        <v>2097</v>
      </c>
      <c r="C243" s="2421" t="s">
        <v>2098</v>
      </c>
      <c r="D243" s="2549" t="s">
        <v>1313</v>
      </c>
      <c r="E243" s="2484">
        <f>E244+E245+E246+E247+E248+E249+E250+E251</f>
        <v>0</v>
      </c>
      <c r="F243" s="2466">
        <f>F244+F245+F246+F247+F248+F249+F250+F251</f>
        <v>0</v>
      </c>
      <c r="G243" s="2485">
        <f t="shared" si="31"/>
        <v>0</v>
      </c>
      <c r="H243" s="2466">
        <f>H244+H245+H246+H247+H248+H249+H250+H251</f>
        <v>0</v>
      </c>
      <c r="I243" s="2466">
        <f>I244+I245+I246+I247+I248+I249+I250+I251</f>
        <v>0</v>
      </c>
      <c r="J243" s="2485">
        <f t="shared" si="32"/>
        <v>0</v>
      </c>
      <c r="K243" s="2466">
        <f>K244+K245+K246+K247+K248+K249+K250+K251</f>
        <v>0</v>
      </c>
      <c r="L243" s="2466">
        <f>L244+L245+L246+L247+L248+L249+L250+L251</f>
        <v>0</v>
      </c>
      <c r="M243" s="2486">
        <f t="shared" si="33"/>
        <v>0</v>
      </c>
      <c r="N243" s="2484">
        <f>N244+N245+N246+N247+N248+N249+N250+N251</f>
        <v>0</v>
      </c>
      <c r="O243" s="2466">
        <f>O244+O245+O246+O247+O248+O249+O250+O251</f>
        <v>10504.6891443</v>
      </c>
      <c r="P243" s="2550">
        <f t="shared" si="34"/>
        <v>5252.3445721500002</v>
      </c>
      <c r="Q243" s="2484">
        <f>Q244+Q245+Q246+Q247+Q248+Q249+Q250+Q251</f>
        <v>10504.6891443</v>
      </c>
      <c r="R243" s="2466">
        <f>R244+R245+R246+R247+R248+R249+R250+R251</f>
        <v>68976.242649135907</v>
      </c>
      <c r="S243" s="2486">
        <f t="shared" si="37"/>
        <v>39740.465896717957</v>
      </c>
      <c r="T243" s="2551">
        <f>T244+T245+T246+T247+T248+T249+T250+T251</f>
        <v>68976.242649135907</v>
      </c>
      <c r="U243" s="2466">
        <f>U244+U245+U246+U247+U248+U249+U250+U251</f>
        <v>130406.58915497604</v>
      </c>
      <c r="V243" s="2550">
        <f t="shared" si="38"/>
        <v>99691.415902055975</v>
      </c>
      <c r="W243" s="2484">
        <f>W244+W245+W246+W247+W248+W249+W250+W251</f>
        <v>130406.58915497604</v>
      </c>
      <c r="X243" s="2466">
        <f>X244+X245+X246+X247+X248+X249+X250+X251</f>
        <v>191858.62665635263</v>
      </c>
      <c r="Y243" s="2550">
        <f t="shared" si="35"/>
        <v>161132.60790566434</v>
      </c>
      <c r="Z243" s="2484">
        <f>Z244+Z245+Z246+Z247+Z248+Z249+Z250+Z251</f>
        <v>191858.62665635263</v>
      </c>
      <c r="AA243" s="2466">
        <f>AA244+AA245+AA246+AA247+AA248+AA249+AA250+AA251</f>
        <v>222725.56265116701</v>
      </c>
      <c r="AB243" s="2486">
        <f t="shared" si="36"/>
        <v>207292.09465375982</v>
      </c>
      <c r="AC243" s="2606"/>
      <c r="AD243" s="2606"/>
      <c r="AE243" s="2606"/>
      <c r="AF243" s="2593"/>
      <c r="AG243" s="2593"/>
      <c r="AH243" s="2593"/>
      <c r="AI243" s="2593"/>
      <c r="AJ243" s="2593"/>
    </row>
    <row r="244" spans="1:36" s="2218" customFormat="1" hidden="1" outlineLevel="2">
      <c r="A244" s="2235">
        <v>18</v>
      </c>
      <c r="B244" s="2423" t="s">
        <v>2099</v>
      </c>
      <c r="C244" s="2424" t="s">
        <v>2100</v>
      </c>
      <c r="D244" s="2552" t="s">
        <v>1128</v>
      </c>
      <c r="E244" s="2284"/>
      <c r="F244" s="2285"/>
      <c r="G244" s="2257">
        <f t="shared" si="31"/>
        <v>0</v>
      </c>
      <c r="H244" s="2285"/>
      <c r="I244" s="2285"/>
      <c r="J244" s="2257">
        <f t="shared" si="32"/>
        <v>0</v>
      </c>
      <c r="K244" s="2285"/>
      <c r="L244" s="2285"/>
      <c r="M244" s="2259">
        <f t="shared" si="33"/>
        <v>0</v>
      </c>
      <c r="N244" s="2284"/>
      <c r="O244" s="2285"/>
      <c r="P244" s="2258">
        <f t="shared" si="34"/>
        <v>0</v>
      </c>
      <c r="Q244" s="2284"/>
      <c r="R244" s="2285"/>
      <c r="S244" s="2259">
        <f t="shared" si="37"/>
        <v>0</v>
      </c>
      <c r="T244" s="2286"/>
      <c r="U244" s="2285"/>
      <c r="V244" s="2258">
        <f t="shared" si="38"/>
        <v>0</v>
      </c>
      <c r="W244" s="2284"/>
      <c r="X244" s="2285"/>
      <c r="Y244" s="2258">
        <f t="shared" si="35"/>
        <v>0</v>
      </c>
      <c r="Z244" s="2284"/>
      <c r="AA244" s="2285"/>
      <c r="AB244" s="2259">
        <f t="shared" si="36"/>
        <v>0</v>
      </c>
      <c r="AC244" s="2606"/>
      <c r="AD244" s="2606"/>
      <c r="AE244" s="2606"/>
      <c r="AF244" s="2593"/>
      <c r="AG244" s="2593"/>
      <c r="AH244" s="2593"/>
      <c r="AI244" s="2593"/>
      <c r="AJ244" s="2593"/>
    </row>
    <row r="245" spans="1:36" s="2218" customFormat="1" hidden="1" outlineLevel="2">
      <c r="A245" s="2235">
        <v>19</v>
      </c>
      <c r="B245" s="2423" t="s">
        <v>2101</v>
      </c>
      <c r="C245" s="2424" t="s">
        <v>2102</v>
      </c>
      <c r="D245" s="2552" t="s">
        <v>1313</v>
      </c>
      <c r="E245" s="2284"/>
      <c r="F245" s="2285"/>
      <c r="G245" s="2257">
        <f t="shared" si="31"/>
        <v>0</v>
      </c>
      <c r="H245" s="2285"/>
      <c r="I245" s="2285"/>
      <c r="J245" s="2257">
        <f t="shared" si="32"/>
        <v>0</v>
      </c>
      <c r="K245" s="2285"/>
      <c r="L245" s="2285"/>
      <c r="M245" s="2259">
        <f t="shared" si="33"/>
        <v>0</v>
      </c>
      <c r="N245" s="2284"/>
      <c r="O245" s="2285"/>
      <c r="P245" s="2258">
        <f t="shared" si="34"/>
        <v>0</v>
      </c>
      <c r="Q245" s="2284"/>
      <c r="R245" s="2285"/>
      <c r="S245" s="2259">
        <f t="shared" si="37"/>
        <v>0</v>
      </c>
      <c r="T245" s="2286"/>
      <c r="U245" s="2285"/>
      <c r="V245" s="2258">
        <f t="shared" si="38"/>
        <v>0</v>
      </c>
      <c r="W245" s="2284"/>
      <c r="X245" s="2285"/>
      <c r="Y245" s="2258">
        <f t="shared" si="35"/>
        <v>0</v>
      </c>
      <c r="Z245" s="2284"/>
      <c r="AA245" s="2285"/>
      <c r="AB245" s="2259">
        <f t="shared" si="36"/>
        <v>0</v>
      </c>
      <c r="AC245" s="2606"/>
      <c r="AD245" s="2606"/>
      <c r="AE245" s="2606"/>
      <c r="AF245" s="2593"/>
      <c r="AG245" s="2593"/>
      <c r="AH245" s="2593"/>
      <c r="AI245" s="2593"/>
      <c r="AJ245" s="2593"/>
    </row>
    <row r="246" spans="1:36" s="2218" customFormat="1" hidden="1" outlineLevel="2">
      <c r="A246" s="2235">
        <v>20</v>
      </c>
      <c r="B246" s="2423" t="s">
        <v>2103</v>
      </c>
      <c r="C246" s="2424" t="s">
        <v>2104</v>
      </c>
      <c r="D246" s="2552" t="s">
        <v>1128</v>
      </c>
      <c r="E246" s="2284"/>
      <c r="F246" s="2285"/>
      <c r="G246" s="2257">
        <f t="shared" si="31"/>
        <v>0</v>
      </c>
      <c r="H246" s="2285"/>
      <c r="I246" s="2285"/>
      <c r="J246" s="2257">
        <f t="shared" si="32"/>
        <v>0</v>
      </c>
      <c r="K246" s="2285"/>
      <c r="L246" s="2285"/>
      <c r="M246" s="2259">
        <f t="shared" si="33"/>
        <v>0</v>
      </c>
      <c r="N246" s="2284"/>
      <c r="O246" s="2285"/>
      <c r="P246" s="2258">
        <f t="shared" si="34"/>
        <v>0</v>
      </c>
      <c r="Q246" s="2284"/>
      <c r="R246" s="2285"/>
      <c r="S246" s="2259">
        <f t="shared" si="37"/>
        <v>0</v>
      </c>
      <c r="T246" s="2286"/>
      <c r="U246" s="2285"/>
      <c r="V246" s="2258">
        <f t="shared" si="38"/>
        <v>0</v>
      </c>
      <c r="W246" s="2284"/>
      <c r="X246" s="2285"/>
      <c r="Y246" s="2258">
        <f t="shared" si="35"/>
        <v>0</v>
      </c>
      <c r="Z246" s="2284"/>
      <c r="AA246" s="2285"/>
      <c r="AB246" s="2259">
        <f t="shared" si="36"/>
        <v>0</v>
      </c>
      <c r="AC246" s="2606"/>
      <c r="AD246" s="2606"/>
      <c r="AE246" s="2606"/>
      <c r="AF246" s="2593"/>
      <c r="AG246" s="2593"/>
      <c r="AH246" s="2593"/>
      <c r="AI246" s="2593"/>
      <c r="AJ246" s="2593"/>
    </row>
    <row r="247" spans="1:36" s="2218" customFormat="1" hidden="1" outlineLevel="2">
      <c r="A247" s="2235">
        <v>21</v>
      </c>
      <c r="B247" s="2423" t="s">
        <v>2105</v>
      </c>
      <c r="C247" s="2424" t="s">
        <v>2106</v>
      </c>
      <c r="D247" s="2552" t="s">
        <v>1128</v>
      </c>
      <c r="E247" s="2284"/>
      <c r="F247" s="2285"/>
      <c r="G247" s="2257">
        <f t="shared" si="31"/>
        <v>0</v>
      </c>
      <c r="H247" s="2285"/>
      <c r="I247" s="2285"/>
      <c r="J247" s="2257">
        <f t="shared" si="32"/>
        <v>0</v>
      </c>
      <c r="K247" s="2285"/>
      <c r="L247" s="2285"/>
      <c r="M247" s="2259">
        <f t="shared" si="33"/>
        <v>0</v>
      </c>
      <c r="N247" s="2284"/>
      <c r="O247" s="2285"/>
      <c r="P247" s="2258">
        <f t="shared" si="34"/>
        <v>0</v>
      </c>
      <c r="Q247" s="2284"/>
      <c r="R247" s="2285"/>
      <c r="S247" s="2259">
        <f t="shared" si="37"/>
        <v>0</v>
      </c>
      <c r="T247" s="2286"/>
      <c r="U247" s="2285"/>
      <c r="V247" s="2258">
        <f t="shared" si="38"/>
        <v>0</v>
      </c>
      <c r="W247" s="2284"/>
      <c r="X247" s="2285"/>
      <c r="Y247" s="2258">
        <f t="shared" si="35"/>
        <v>0</v>
      </c>
      <c r="Z247" s="2284"/>
      <c r="AA247" s="2285"/>
      <c r="AB247" s="2259">
        <f t="shared" si="36"/>
        <v>0</v>
      </c>
      <c r="AC247" s="2606"/>
      <c r="AD247" s="2606"/>
      <c r="AE247" s="2606"/>
      <c r="AF247" s="2593"/>
      <c r="AG247" s="2593"/>
      <c r="AH247" s="2593"/>
      <c r="AI247" s="2593"/>
      <c r="AJ247" s="2593"/>
    </row>
    <row r="248" spans="1:36" s="2218" customFormat="1" outlineLevel="1" collapsed="1">
      <c r="A248" s="2235">
        <v>40</v>
      </c>
      <c r="B248" s="2423" t="s">
        <v>2107</v>
      </c>
      <c r="C248" s="2424" t="s">
        <v>2108</v>
      </c>
      <c r="D248" s="2552" t="s">
        <v>1128</v>
      </c>
      <c r="E248" s="2284"/>
      <c r="F248" s="2285"/>
      <c r="G248" s="2257">
        <f t="shared" si="31"/>
        <v>0</v>
      </c>
      <c r="H248" s="2285"/>
      <c r="I248" s="2285"/>
      <c r="J248" s="2257">
        <f t="shared" si="32"/>
        <v>0</v>
      </c>
      <c r="K248" s="2285"/>
      <c r="L248" s="2285"/>
      <c r="M248" s="2259">
        <f t="shared" si="33"/>
        <v>0</v>
      </c>
      <c r="N248" s="2284">
        <f>N288</f>
        <v>0</v>
      </c>
      <c r="O248" s="2286">
        <f>O288</f>
        <v>10504.6891443</v>
      </c>
      <c r="P248" s="2258">
        <f t="shared" si="34"/>
        <v>5252.3445721500002</v>
      </c>
      <c r="Q248" s="2284">
        <f>Q288</f>
        <v>10504.6891443</v>
      </c>
      <c r="R248" s="2286">
        <f>R288</f>
        <v>68976.242649135907</v>
      </c>
      <c r="S248" s="2259">
        <f t="shared" si="37"/>
        <v>39740.465896717957</v>
      </c>
      <c r="T248" s="2284">
        <f>T288</f>
        <v>68976.242649135907</v>
      </c>
      <c r="U248" s="2286">
        <f>U288</f>
        <v>130406.58915497604</v>
      </c>
      <c r="V248" s="2258">
        <f t="shared" si="38"/>
        <v>99691.415902055975</v>
      </c>
      <c r="W248" s="2284">
        <f>W288</f>
        <v>130406.58915497604</v>
      </c>
      <c r="X248" s="2286">
        <f>X288</f>
        <v>191858.62665635263</v>
      </c>
      <c r="Y248" s="2258">
        <f t="shared" si="35"/>
        <v>161132.60790566434</v>
      </c>
      <c r="Z248" s="2284">
        <f>Z288</f>
        <v>191858.62665635263</v>
      </c>
      <c r="AA248" s="2286">
        <f>AA288</f>
        <v>222725.56265116701</v>
      </c>
      <c r="AB248" s="2259">
        <f t="shared" si="36"/>
        <v>207292.09465375982</v>
      </c>
      <c r="AC248" s="2606"/>
      <c r="AD248" s="2606"/>
      <c r="AE248" s="2606"/>
      <c r="AF248" s="2593"/>
      <c r="AG248" s="2593"/>
      <c r="AH248" s="2593"/>
      <c r="AI248" s="2593"/>
      <c r="AJ248" s="2593"/>
    </row>
    <row r="249" spans="1:36" s="2218" customFormat="1" hidden="1" outlineLevel="2">
      <c r="A249" s="2235">
        <v>41</v>
      </c>
      <c r="B249" s="2423" t="s">
        <v>2109</v>
      </c>
      <c r="C249" s="2424" t="s">
        <v>2110</v>
      </c>
      <c r="D249" s="2552" t="s">
        <v>1128</v>
      </c>
      <c r="E249" s="2284"/>
      <c r="F249" s="2285"/>
      <c r="G249" s="2257">
        <f t="shared" si="31"/>
        <v>0</v>
      </c>
      <c r="H249" s="2285"/>
      <c r="I249" s="2285"/>
      <c r="J249" s="2257">
        <f t="shared" si="32"/>
        <v>0</v>
      </c>
      <c r="K249" s="2285"/>
      <c r="L249" s="2285"/>
      <c r="M249" s="2259">
        <f t="shared" si="33"/>
        <v>0</v>
      </c>
      <c r="N249" s="2284"/>
      <c r="O249" s="2285"/>
      <c r="P249" s="2258">
        <f t="shared" si="34"/>
        <v>0</v>
      </c>
      <c r="Q249" s="2284"/>
      <c r="R249" s="2285"/>
      <c r="S249" s="2259">
        <f t="shared" si="37"/>
        <v>0</v>
      </c>
      <c r="T249" s="2286"/>
      <c r="U249" s="2285"/>
      <c r="V249" s="2258">
        <f t="shared" si="38"/>
        <v>0</v>
      </c>
      <c r="W249" s="2284"/>
      <c r="X249" s="2285"/>
      <c r="Y249" s="2258">
        <f t="shared" si="35"/>
        <v>0</v>
      </c>
      <c r="Z249" s="2284"/>
      <c r="AA249" s="2285"/>
      <c r="AB249" s="2259">
        <f t="shared" si="36"/>
        <v>0</v>
      </c>
      <c r="AC249" s="2606"/>
      <c r="AD249" s="2606"/>
      <c r="AE249" s="2606"/>
      <c r="AF249" s="2593"/>
      <c r="AG249" s="2593"/>
      <c r="AH249" s="2593"/>
      <c r="AI249" s="2593"/>
      <c r="AJ249" s="2593"/>
    </row>
    <row r="250" spans="1:36" s="2218" customFormat="1" hidden="1" outlineLevel="2">
      <c r="A250" s="2235">
        <v>42</v>
      </c>
      <c r="B250" s="2423" t="s">
        <v>2111</v>
      </c>
      <c r="C250" s="2424" t="s">
        <v>2112</v>
      </c>
      <c r="D250" s="2552" t="s">
        <v>1128</v>
      </c>
      <c r="E250" s="2284"/>
      <c r="F250" s="2285"/>
      <c r="G250" s="2257">
        <f t="shared" si="31"/>
        <v>0</v>
      </c>
      <c r="H250" s="2285"/>
      <c r="I250" s="2285"/>
      <c r="J250" s="2257">
        <f t="shared" si="32"/>
        <v>0</v>
      </c>
      <c r="K250" s="2285"/>
      <c r="L250" s="2285"/>
      <c r="M250" s="2259">
        <f t="shared" si="33"/>
        <v>0</v>
      </c>
      <c r="N250" s="2284"/>
      <c r="O250" s="2285"/>
      <c r="P250" s="2258">
        <f t="shared" si="34"/>
        <v>0</v>
      </c>
      <c r="Q250" s="2284"/>
      <c r="R250" s="2285"/>
      <c r="S250" s="2259">
        <f t="shared" si="37"/>
        <v>0</v>
      </c>
      <c r="T250" s="2286"/>
      <c r="U250" s="2285"/>
      <c r="V250" s="2258">
        <f t="shared" si="38"/>
        <v>0</v>
      </c>
      <c r="W250" s="2284"/>
      <c r="X250" s="2285"/>
      <c r="Y250" s="2258">
        <f t="shared" si="35"/>
        <v>0</v>
      </c>
      <c r="Z250" s="2284"/>
      <c r="AA250" s="2285"/>
      <c r="AB250" s="2259">
        <f t="shared" si="36"/>
        <v>0</v>
      </c>
      <c r="AC250" s="2606"/>
      <c r="AD250" s="2606"/>
      <c r="AE250" s="2606"/>
      <c r="AF250" s="2593"/>
      <c r="AG250" s="2593"/>
      <c r="AH250" s="2593"/>
      <c r="AI250" s="2593"/>
      <c r="AJ250" s="2593"/>
    </row>
    <row r="251" spans="1:36" s="2218" customFormat="1" hidden="1" outlineLevel="2">
      <c r="A251" s="2235">
        <v>43</v>
      </c>
      <c r="B251" s="2423" t="s">
        <v>2113</v>
      </c>
      <c r="C251" s="2424" t="s">
        <v>2106</v>
      </c>
      <c r="D251" s="2552" t="s">
        <v>1128</v>
      </c>
      <c r="E251" s="2284"/>
      <c r="F251" s="2285"/>
      <c r="G251" s="2257">
        <f t="shared" si="31"/>
        <v>0</v>
      </c>
      <c r="H251" s="2285"/>
      <c r="I251" s="2285"/>
      <c r="J251" s="2257">
        <f t="shared" si="32"/>
        <v>0</v>
      </c>
      <c r="K251" s="2285"/>
      <c r="L251" s="2285"/>
      <c r="M251" s="2259">
        <f t="shared" si="33"/>
        <v>0</v>
      </c>
      <c r="N251" s="2284"/>
      <c r="O251" s="2285"/>
      <c r="P251" s="2258">
        <f t="shared" si="34"/>
        <v>0</v>
      </c>
      <c r="Q251" s="2284"/>
      <c r="R251" s="2285"/>
      <c r="S251" s="2259">
        <f t="shared" si="37"/>
        <v>0</v>
      </c>
      <c r="T251" s="2286"/>
      <c r="U251" s="2285"/>
      <c r="V251" s="2258">
        <f t="shared" si="38"/>
        <v>0</v>
      </c>
      <c r="W251" s="2284"/>
      <c r="X251" s="2285"/>
      <c r="Y251" s="2258">
        <f t="shared" si="35"/>
        <v>0</v>
      </c>
      <c r="Z251" s="2284"/>
      <c r="AA251" s="2285"/>
      <c r="AB251" s="2259">
        <f t="shared" si="36"/>
        <v>0</v>
      </c>
      <c r="AC251" s="2606"/>
      <c r="AD251" s="2606"/>
      <c r="AE251" s="2606"/>
      <c r="AF251" s="2593"/>
      <c r="AG251" s="2593"/>
      <c r="AH251" s="2593"/>
      <c r="AI251" s="2593"/>
      <c r="AJ251" s="2593"/>
    </row>
    <row r="252" spans="1:36" s="2218" customFormat="1" ht="18.75" outlineLevel="1" collapsed="1">
      <c r="A252" s="2235">
        <v>22</v>
      </c>
      <c r="B252" s="2423" t="s">
        <v>2114</v>
      </c>
      <c r="C252" s="2426" t="s">
        <v>2115</v>
      </c>
      <c r="D252" s="2552" t="s">
        <v>1128</v>
      </c>
      <c r="E252" s="2255">
        <f>E253+E256+E260</f>
        <v>0</v>
      </c>
      <c r="F252" s="2256">
        <f>F253+F256+F260</f>
        <v>0</v>
      </c>
      <c r="G252" s="2257">
        <f t="shared" si="31"/>
        <v>0</v>
      </c>
      <c r="H252" s="2256">
        <f>H253+H256+H260</f>
        <v>0</v>
      </c>
      <c r="I252" s="2256">
        <f>I253+I256+I260</f>
        <v>0</v>
      </c>
      <c r="J252" s="2257">
        <f t="shared" si="32"/>
        <v>0</v>
      </c>
      <c r="K252" s="2256">
        <f>K253+K256+K260</f>
        <v>0</v>
      </c>
      <c r="L252" s="2256">
        <f>L253+L256+L260</f>
        <v>0</v>
      </c>
      <c r="M252" s="2259">
        <f t="shared" si="33"/>
        <v>0</v>
      </c>
      <c r="N252" s="2255">
        <f>N253+N256+N260</f>
        <v>0</v>
      </c>
      <c r="O252" s="2256">
        <f>O253+O256+O260</f>
        <v>10504.6891443</v>
      </c>
      <c r="P252" s="2258">
        <f t="shared" si="34"/>
        <v>5252.3445721500002</v>
      </c>
      <c r="Q252" s="2255">
        <f>Q253+Q256+Q260</f>
        <v>10504.6891443</v>
      </c>
      <c r="R252" s="2256">
        <f>R253+R256+R260</f>
        <v>68976.242649135907</v>
      </c>
      <c r="S252" s="2259">
        <f t="shared" si="37"/>
        <v>39740.465896717957</v>
      </c>
      <c r="T252" s="2260">
        <f>T253+T256+T260</f>
        <v>68976.242649135907</v>
      </c>
      <c r="U252" s="2256">
        <f>U253+U256+U260</f>
        <v>130406.58915497604</v>
      </c>
      <c r="V252" s="2258">
        <f t="shared" si="38"/>
        <v>99691.415902055975</v>
      </c>
      <c r="W252" s="2255">
        <f>W253+W256+W260</f>
        <v>130406.58915497604</v>
      </c>
      <c r="X252" s="2256">
        <f>X253+X256+X260</f>
        <v>191858.62665635263</v>
      </c>
      <c r="Y252" s="2258">
        <f t="shared" si="35"/>
        <v>161132.60790566434</v>
      </c>
      <c r="Z252" s="2255">
        <f>Z253+Z256+Z260</f>
        <v>191858.62665635263</v>
      </c>
      <c r="AA252" s="2256">
        <f>AA253+AA256+AA260</f>
        <v>222725.56265116701</v>
      </c>
      <c r="AB252" s="2259">
        <f t="shared" si="36"/>
        <v>207292.09465375982</v>
      </c>
      <c r="AC252" s="2606"/>
      <c r="AD252" s="2606"/>
      <c r="AE252" s="2606"/>
      <c r="AF252" s="2593"/>
      <c r="AG252" s="2593"/>
      <c r="AH252" s="2593"/>
      <c r="AI252" s="2593"/>
      <c r="AJ252" s="2593"/>
    </row>
    <row r="253" spans="1:36" s="2218" customFormat="1" hidden="1" outlineLevel="2">
      <c r="A253" s="2235">
        <v>23</v>
      </c>
      <c r="B253" s="2423" t="s">
        <v>2116</v>
      </c>
      <c r="C253" s="2427" t="s">
        <v>2084</v>
      </c>
      <c r="D253" s="2552" t="s">
        <v>1128</v>
      </c>
      <c r="E253" s="2255">
        <f>E254+E255</f>
        <v>0</v>
      </c>
      <c r="F253" s="2256">
        <f>F254+F255</f>
        <v>0</v>
      </c>
      <c r="G253" s="2257">
        <f t="shared" si="31"/>
        <v>0</v>
      </c>
      <c r="H253" s="2256">
        <f>H254+H255</f>
        <v>0</v>
      </c>
      <c r="I253" s="2256">
        <f>I254+I255</f>
        <v>0</v>
      </c>
      <c r="J253" s="2257">
        <f t="shared" si="32"/>
        <v>0</v>
      </c>
      <c r="K253" s="2256">
        <f>K254+K255</f>
        <v>0</v>
      </c>
      <c r="L253" s="2256">
        <f>L254+L255</f>
        <v>0</v>
      </c>
      <c r="M253" s="2259">
        <f t="shared" si="33"/>
        <v>0</v>
      </c>
      <c r="N253" s="2255">
        <f>N254+N255</f>
        <v>0</v>
      </c>
      <c r="O253" s="2256">
        <f>O254+O255</f>
        <v>0</v>
      </c>
      <c r="P253" s="2258">
        <f t="shared" si="34"/>
        <v>0</v>
      </c>
      <c r="Q253" s="2255">
        <f>Q254+Q255</f>
        <v>0</v>
      </c>
      <c r="R253" s="2256">
        <f>R254+R255</f>
        <v>0</v>
      </c>
      <c r="S253" s="2259">
        <f t="shared" si="37"/>
        <v>0</v>
      </c>
      <c r="T253" s="2260">
        <f>T254+T255</f>
        <v>0</v>
      </c>
      <c r="U253" s="2256">
        <f>U254+U255</f>
        <v>0</v>
      </c>
      <c r="V253" s="2258">
        <f t="shared" si="38"/>
        <v>0</v>
      </c>
      <c r="W253" s="2255">
        <f>W254+W255</f>
        <v>0</v>
      </c>
      <c r="X253" s="2256">
        <f>X254+X255</f>
        <v>0</v>
      </c>
      <c r="Y253" s="2258">
        <f t="shared" si="35"/>
        <v>0</v>
      </c>
      <c r="Z253" s="2255">
        <f>Z254+Z255</f>
        <v>0</v>
      </c>
      <c r="AA253" s="2256">
        <f>AA254+AA255</f>
        <v>0</v>
      </c>
      <c r="AB253" s="2259">
        <f t="shared" si="36"/>
        <v>0</v>
      </c>
      <c r="AC253" s="2606"/>
      <c r="AD253" s="2606"/>
      <c r="AE253" s="2606"/>
      <c r="AF253" s="2593"/>
      <c r="AG253" s="2593"/>
      <c r="AH253" s="2593"/>
      <c r="AI253" s="2593"/>
      <c r="AJ253" s="2593"/>
    </row>
    <row r="254" spans="1:36" s="2218" customFormat="1" hidden="1" outlineLevel="2">
      <c r="A254" s="2235">
        <v>24</v>
      </c>
      <c r="B254" s="2423" t="s">
        <v>2117</v>
      </c>
      <c r="C254" s="2424" t="s">
        <v>2118</v>
      </c>
      <c r="D254" s="2552" t="s">
        <v>1128</v>
      </c>
      <c r="E254" s="2284"/>
      <c r="F254" s="2285"/>
      <c r="G254" s="2257">
        <f t="shared" si="31"/>
        <v>0</v>
      </c>
      <c r="H254" s="2285"/>
      <c r="I254" s="2285"/>
      <c r="J254" s="2257">
        <f t="shared" si="32"/>
        <v>0</v>
      </c>
      <c r="K254" s="2285"/>
      <c r="L254" s="2285"/>
      <c r="M254" s="2259">
        <f t="shared" si="33"/>
        <v>0</v>
      </c>
      <c r="N254" s="2284"/>
      <c r="O254" s="2285"/>
      <c r="P254" s="2258">
        <f t="shared" si="34"/>
        <v>0</v>
      </c>
      <c r="Q254" s="2284"/>
      <c r="R254" s="2285"/>
      <c r="S254" s="2259">
        <f t="shared" si="37"/>
        <v>0</v>
      </c>
      <c r="T254" s="2286"/>
      <c r="U254" s="2285"/>
      <c r="V254" s="2258">
        <f t="shared" si="38"/>
        <v>0</v>
      </c>
      <c r="W254" s="2284"/>
      <c r="X254" s="2285"/>
      <c r="Y254" s="2258">
        <f t="shared" si="35"/>
        <v>0</v>
      </c>
      <c r="Z254" s="2284"/>
      <c r="AA254" s="2285"/>
      <c r="AB254" s="2259">
        <f t="shared" si="36"/>
        <v>0</v>
      </c>
      <c r="AC254" s="2606"/>
      <c r="AD254" s="2606"/>
      <c r="AE254" s="2606"/>
      <c r="AF254" s="2593"/>
      <c r="AG254" s="2593"/>
      <c r="AH254" s="2593"/>
      <c r="AI254" s="2593"/>
      <c r="AJ254" s="2593"/>
    </row>
    <row r="255" spans="1:36" s="2218" customFormat="1" hidden="1" outlineLevel="2">
      <c r="A255" s="2235">
        <v>38</v>
      </c>
      <c r="B255" s="2423"/>
      <c r="C255" s="2424" t="s">
        <v>2119</v>
      </c>
      <c r="D255" s="2552" t="s">
        <v>1128</v>
      </c>
      <c r="E255" s="2284"/>
      <c r="F255" s="2285"/>
      <c r="G255" s="2257">
        <f t="shared" si="31"/>
        <v>0</v>
      </c>
      <c r="H255" s="2285"/>
      <c r="I255" s="2285"/>
      <c r="J255" s="2257">
        <f t="shared" si="32"/>
        <v>0</v>
      </c>
      <c r="K255" s="2285"/>
      <c r="L255" s="2285"/>
      <c r="M255" s="2259">
        <f t="shared" si="33"/>
        <v>0</v>
      </c>
      <c r="N255" s="2284"/>
      <c r="O255" s="2285"/>
      <c r="P255" s="2258">
        <f t="shared" si="34"/>
        <v>0</v>
      </c>
      <c r="Q255" s="2284"/>
      <c r="R255" s="2285"/>
      <c r="S255" s="2259">
        <f t="shared" si="37"/>
        <v>0</v>
      </c>
      <c r="T255" s="2286"/>
      <c r="U255" s="2285"/>
      <c r="V255" s="2258">
        <f t="shared" si="38"/>
        <v>0</v>
      </c>
      <c r="W255" s="2284"/>
      <c r="X255" s="2285"/>
      <c r="Y255" s="2258">
        <f t="shared" si="35"/>
        <v>0</v>
      </c>
      <c r="Z255" s="2284"/>
      <c r="AA255" s="2285"/>
      <c r="AB255" s="2259">
        <f t="shared" si="36"/>
        <v>0</v>
      </c>
      <c r="AC255" s="2606"/>
      <c r="AD255" s="2606"/>
      <c r="AE255" s="2606"/>
      <c r="AF255" s="2593"/>
      <c r="AG255" s="2593"/>
      <c r="AH255" s="2593"/>
      <c r="AI255" s="2593"/>
      <c r="AJ255" s="2593"/>
    </row>
    <row r="256" spans="1:36" s="2218" customFormat="1" outlineLevel="1" collapsed="1">
      <c r="A256" s="2235">
        <v>25</v>
      </c>
      <c r="B256" s="2423" t="s">
        <v>2120</v>
      </c>
      <c r="C256" s="2427" t="s">
        <v>2088</v>
      </c>
      <c r="D256" s="2552" t="s">
        <v>1128</v>
      </c>
      <c r="E256" s="2255">
        <f>E257+E258+E259</f>
        <v>0</v>
      </c>
      <c r="F256" s="2256">
        <f>F257+F258+F259</f>
        <v>0</v>
      </c>
      <c r="G256" s="2257">
        <f t="shared" si="31"/>
        <v>0</v>
      </c>
      <c r="H256" s="2256">
        <f>H257+H258+H259</f>
        <v>0</v>
      </c>
      <c r="I256" s="2256">
        <f>I257+I258+I259</f>
        <v>0</v>
      </c>
      <c r="J256" s="2257">
        <f t="shared" si="32"/>
        <v>0</v>
      </c>
      <c r="K256" s="2256">
        <f>K257+K258+K259</f>
        <v>0</v>
      </c>
      <c r="L256" s="2256">
        <f>L257+L258+L259</f>
        <v>0</v>
      </c>
      <c r="M256" s="2259">
        <f t="shared" si="33"/>
        <v>0</v>
      </c>
      <c r="N256" s="2255">
        <f>N257+N258+N259</f>
        <v>0</v>
      </c>
      <c r="O256" s="2256">
        <f>O257+O258+O259</f>
        <v>10504.6891443</v>
      </c>
      <c r="P256" s="2258">
        <f t="shared" si="34"/>
        <v>5252.3445721500002</v>
      </c>
      <c r="Q256" s="2255">
        <f>Q257+Q258+Q259</f>
        <v>10504.6891443</v>
      </c>
      <c r="R256" s="2256">
        <f>R257+R258+R259</f>
        <v>68976.242649135907</v>
      </c>
      <c r="S256" s="2259">
        <f t="shared" si="37"/>
        <v>39740.465896717957</v>
      </c>
      <c r="T256" s="2260">
        <f>T257+T258+T259</f>
        <v>68976.242649135907</v>
      </c>
      <c r="U256" s="2256">
        <f>U257+U258+U259</f>
        <v>130406.58915497604</v>
      </c>
      <c r="V256" s="2258">
        <f t="shared" si="38"/>
        <v>99691.415902055975</v>
      </c>
      <c r="W256" s="2255">
        <f>W257+W258+W259</f>
        <v>130406.58915497604</v>
      </c>
      <c r="X256" s="2256">
        <f>X257+X258+X259</f>
        <v>191858.62665635263</v>
      </c>
      <c r="Y256" s="2258">
        <f t="shared" si="35"/>
        <v>161132.60790566434</v>
      </c>
      <c r="Z256" s="2255">
        <f>Z257+Z258+Z259</f>
        <v>191858.62665635263</v>
      </c>
      <c r="AA256" s="2256">
        <f>AA257+AA258+AA259</f>
        <v>222725.56265116701</v>
      </c>
      <c r="AB256" s="2259">
        <f t="shared" si="36"/>
        <v>207292.09465375982</v>
      </c>
      <c r="AC256" s="2606"/>
      <c r="AD256" s="2606"/>
      <c r="AE256" s="2606"/>
      <c r="AF256" s="2593"/>
      <c r="AG256" s="2593"/>
      <c r="AH256" s="2593"/>
      <c r="AI256" s="2593"/>
      <c r="AJ256" s="2593"/>
    </row>
    <row r="257" spans="1:36" s="2218" customFormat="1" ht="18" hidden="1" customHeight="1" outlineLevel="2">
      <c r="A257" s="2235">
        <v>26</v>
      </c>
      <c r="B257" s="2423" t="s">
        <v>2121</v>
      </c>
      <c r="C257" s="2424" t="s">
        <v>2122</v>
      </c>
      <c r="D257" s="2552" t="s">
        <v>1128</v>
      </c>
      <c r="E257" s="2284"/>
      <c r="F257" s="2285"/>
      <c r="G257" s="2257">
        <f t="shared" si="31"/>
        <v>0</v>
      </c>
      <c r="H257" s="2285"/>
      <c r="I257" s="2285"/>
      <c r="J257" s="2257">
        <f t="shared" si="32"/>
        <v>0</v>
      </c>
      <c r="K257" s="2285"/>
      <c r="L257" s="2285"/>
      <c r="M257" s="2259">
        <f t="shared" si="33"/>
        <v>0</v>
      </c>
      <c r="N257" s="2284"/>
      <c r="O257" s="2285"/>
      <c r="P257" s="2258">
        <f t="shared" si="34"/>
        <v>0</v>
      </c>
      <c r="Q257" s="2284"/>
      <c r="R257" s="2285"/>
      <c r="S257" s="2259">
        <f t="shared" si="37"/>
        <v>0</v>
      </c>
      <c r="T257" s="2286"/>
      <c r="U257" s="2285"/>
      <c r="V257" s="2258">
        <f t="shared" si="38"/>
        <v>0</v>
      </c>
      <c r="W257" s="2284"/>
      <c r="X257" s="2285"/>
      <c r="Y257" s="2258">
        <f t="shared" si="35"/>
        <v>0</v>
      </c>
      <c r="Z257" s="2284"/>
      <c r="AA257" s="2285"/>
      <c r="AB257" s="2259">
        <f t="shared" si="36"/>
        <v>0</v>
      </c>
      <c r="AC257" s="2606"/>
      <c r="AD257" s="2606"/>
      <c r="AE257" s="2606"/>
      <c r="AF257" s="2593"/>
      <c r="AG257" s="2593"/>
      <c r="AH257" s="2593"/>
      <c r="AI257" s="2593"/>
      <c r="AJ257" s="2593"/>
    </row>
    <row r="258" spans="1:36" s="2218" customFormat="1" outlineLevel="1" collapsed="1">
      <c r="A258" s="2235">
        <v>39</v>
      </c>
      <c r="B258" s="2423"/>
      <c r="C258" s="2424" t="s">
        <v>2123</v>
      </c>
      <c r="D258" s="2552" t="s">
        <v>1128</v>
      </c>
      <c r="E258" s="2284"/>
      <c r="F258" s="2285"/>
      <c r="G258" s="2257">
        <f t="shared" si="31"/>
        <v>0</v>
      </c>
      <c r="H258" s="2285"/>
      <c r="I258" s="2285"/>
      <c r="J258" s="2257">
        <f t="shared" si="32"/>
        <v>0</v>
      </c>
      <c r="K258" s="2285"/>
      <c r="L258" s="2285"/>
      <c r="M258" s="2259">
        <f t="shared" si="33"/>
        <v>0</v>
      </c>
      <c r="N258" s="2284"/>
      <c r="O258" s="2285">
        <f>O248</f>
        <v>10504.6891443</v>
      </c>
      <c r="P258" s="2258">
        <f t="shared" si="34"/>
        <v>5252.3445721500002</v>
      </c>
      <c r="Q258" s="2284">
        <f>Q248</f>
        <v>10504.6891443</v>
      </c>
      <c r="R258" s="2285">
        <f>R248</f>
        <v>68976.242649135907</v>
      </c>
      <c r="S258" s="2259">
        <f t="shared" si="37"/>
        <v>39740.465896717957</v>
      </c>
      <c r="T258" s="2286">
        <f>T248</f>
        <v>68976.242649135907</v>
      </c>
      <c r="U258" s="2285">
        <f>U248</f>
        <v>130406.58915497604</v>
      </c>
      <c r="V258" s="2258">
        <f t="shared" si="38"/>
        <v>99691.415902055975</v>
      </c>
      <c r="W258" s="2284">
        <f>W248</f>
        <v>130406.58915497604</v>
      </c>
      <c r="X258" s="2285">
        <f>X248</f>
        <v>191858.62665635263</v>
      </c>
      <c r="Y258" s="2258">
        <f t="shared" si="35"/>
        <v>161132.60790566434</v>
      </c>
      <c r="Z258" s="2284">
        <f>Z248</f>
        <v>191858.62665635263</v>
      </c>
      <c r="AA258" s="2285">
        <f>AA248</f>
        <v>222725.56265116701</v>
      </c>
      <c r="AB258" s="2259">
        <f t="shared" si="36"/>
        <v>207292.09465375982</v>
      </c>
      <c r="AC258" s="2606"/>
      <c r="AD258" s="2606"/>
      <c r="AE258" s="2606"/>
      <c r="AF258" s="2593"/>
      <c r="AG258" s="2593"/>
      <c r="AH258" s="2593"/>
      <c r="AI258" s="2593"/>
      <c r="AJ258" s="2593"/>
    </row>
    <row r="259" spans="1:36" s="2218" customFormat="1" ht="20.25" hidden="1" customHeight="1" outlineLevel="1">
      <c r="A259" s="2235">
        <v>27</v>
      </c>
      <c r="B259" s="2423" t="s">
        <v>2124</v>
      </c>
      <c r="C259" s="2424" t="s">
        <v>2125</v>
      </c>
      <c r="D259" s="2552" t="s">
        <v>1128</v>
      </c>
      <c r="E259" s="2284"/>
      <c r="F259" s="2285"/>
      <c r="G259" s="2257">
        <f t="shared" si="31"/>
        <v>0</v>
      </c>
      <c r="H259" s="2285"/>
      <c r="I259" s="2285"/>
      <c r="J259" s="2257">
        <f t="shared" si="32"/>
        <v>0</v>
      </c>
      <c r="K259" s="2285"/>
      <c r="L259" s="2285"/>
      <c r="M259" s="2259">
        <f t="shared" si="33"/>
        <v>0</v>
      </c>
      <c r="N259" s="2284"/>
      <c r="O259" s="2285"/>
      <c r="P259" s="2258">
        <f t="shared" si="34"/>
        <v>0</v>
      </c>
      <c r="Q259" s="2284"/>
      <c r="R259" s="2285"/>
      <c r="S259" s="2259">
        <f t="shared" si="37"/>
        <v>0</v>
      </c>
      <c r="T259" s="2286"/>
      <c r="U259" s="2285"/>
      <c r="V259" s="2258">
        <f t="shared" si="38"/>
        <v>0</v>
      </c>
      <c r="W259" s="2284"/>
      <c r="X259" s="2285"/>
      <c r="Y259" s="2258">
        <f t="shared" si="35"/>
        <v>0</v>
      </c>
      <c r="Z259" s="2284"/>
      <c r="AA259" s="2285"/>
      <c r="AB259" s="2259">
        <f t="shared" si="36"/>
        <v>0</v>
      </c>
      <c r="AC259" s="2606"/>
      <c r="AD259" s="2606"/>
      <c r="AE259" s="2606"/>
      <c r="AF259" s="2593"/>
      <c r="AG259" s="2593"/>
      <c r="AH259" s="2593"/>
      <c r="AI259" s="2593"/>
      <c r="AJ259" s="2593"/>
    </row>
    <row r="260" spans="1:36" s="2218" customFormat="1" ht="22.5" hidden="1" customHeight="1" outlineLevel="1">
      <c r="A260" s="2235">
        <v>28</v>
      </c>
      <c r="B260" s="2423" t="s">
        <v>2126</v>
      </c>
      <c r="C260" s="2427" t="s">
        <v>2127</v>
      </c>
      <c r="D260" s="2552" t="s">
        <v>1128</v>
      </c>
      <c r="E260" s="2255">
        <f>E261+E262+E263+E264+E265</f>
        <v>0</v>
      </c>
      <c r="F260" s="2256">
        <f>F261+F262+F263+F264+F265</f>
        <v>0</v>
      </c>
      <c r="G260" s="2257">
        <f t="shared" si="31"/>
        <v>0</v>
      </c>
      <c r="H260" s="2256">
        <f>H261+H262+H263+H264+H265</f>
        <v>0</v>
      </c>
      <c r="I260" s="2256">
        <f>I261+I262+I263+I264+I265</f>
        <v>0</v>
      </c>
      <c r="J260" s="2257">
        <f t="shared" si="32"/>
        <v>0</v>
      </c>
      <c r="K260" s="2256">
        <f>K261+K262+K263+K264+K265</f>
        <v>0</v>
      </c>
      <c r="L260" s="2256">
        <f>L261+L262+L263+L264+L265</f>
        <v>0</v>
      </c>
      <c r="M260" s="2259">
        <f t="shared" si="33"/>
        <v>0</v>
      </c>
      <c r="N260" s="2255">
        <f>N261+N262+N263+N264+N265</f>
        <v>0</v>
      </c>
      <c r="O260" s="2256">
        <f>O261+O262+O263+O264+O265</f>
        <v>0</v>
      </c>
      <c r="P260" s="2258">
        <f t="shared" si="34"/>
        <v>0</v>
      </c>
      <c r="Q260" s="2255">
        <f>Q261+Q262+Q263+Q264+Q265</f>
        <v>0</v>
      </c>
      <c r="R260" s="2256">
        <f>R261+R262+R263+R264+R265</f>
        <v>0</v>
      </c>
      <c r="S260" s="2259">
        <f t="shared" si="37"/>
        <v>0</v>
      </c>
      <c r="T260" s="2260">
        <f>T261+T262+T263+T264+T265</f>
        <v>0</v>
      </c>
      <c r="U260" s="2256">
        <f>U261+U262+U263+U264+U265</f>
        <v>0</v>
      </c>
      <c r="V260" s="2258">
        <f t="shared" si="38"/>
        <v>0</v>
      </c>
      <c r="W260" s="2255">
        <f>W261+W262+W263+W264+W265</f>
        <v>0</v>
      </c>
      <c r="X260" s="2256">
        <f>X261+X262+X263+X264+X265</f>
        <v>0</v>
      </c>
      <c r="Y260" s="2258">
        <f t="shared" si="35"/>
        <v>0</v>
      </c>
      <c r="Z260" s="2255">
        <f>Z261+Z262+Z263+Z264+Z265</f>
        <v>0</v>
      </c>
      <c r="AA260" s="2256">
        <f>AA261+AA262+AA263+AA264+AA265</f>
        <v>0</v>
      </c>
      <c r="AB260" s="2259">
        <f t="shared" si="36"/>
        <v>0</v>
      </c>
      <c r="AC260" s="2606"/>
      <c r="AD260" s="2606"/>
      <c r="AE260" s="2606"/>
      <c r="AF260" s="2593"/>
      <c r="AG260" s="2593"/>
      <c r="AH260" s="2593"/>
      <c r="AI260" s="2593"/>
      <c r="AJ260" s="2593"/>
    </row>
    <row r="261" spans="1:36" s="2218" customFormat="1" ht="24" hidden="1" customHeight="1" outlineLevel="1">
      <c r="A261" s="2235">
        <v>29</v>
      </c>
      <c r="B261" s="2423" t="s">
        <v>2128</v>
      </c>
      <c r="C261" s="2424" t="s">
        <v>2129</v>
      </c>
      <c r="D261" s="2552" t="s">
        <v>1128</v>
      </c>
      <c r="E261" s="2284"/>
      <c r="F261" s="2285"/>
      <c r="G261" s="2257">
        <f t="shared" si="31"/>
        <v>0</v>
      </c>
      <c r="H261" s="2285"/>
      <c r="I261" s="2285"/>
      <c r="J261" s="2257">
        <f t="shared" si="32"/>
        <v>0</v>
      </c>
      <c r="K261" s="2285"/>
      <c r="L261" s="2285"/>
      <c r="M261" s="2259">
        <f t="shared" si="33"/>
        <v>0</v>
      </c>
      <c r="N261" s="2284"/>
      <c r="O261" s="2285"/>
      <c r="P261" s="2258">
        <f t="shared" si="34"/>
        <v>0</v>
      </c>
      <c r="Q261" s="2284"/>
      <c r="R261" s="2285"/>
      <c r="S261" s="2259">
        <f t="shared" si="37"/>
        <v>0</v>
      </c>
      <c r="T261" s="2286"/>
      <c r="U261" s="2285"/>
      <c r="V261" s="2258">
        <f t="shared" si="38"/>
        <v>0</v>
      </c>
      <c r="W261" s="2284"/>
      <c r="X261" s="2285"/>
      <c r="Y261" s="2258">
        <f t="shared" si="35"/>
        <v>0</v>
      </c>
      <c r="Z261" s="2284"/>
      <c r="AA261" s="2285"/>
      <c r="AB261" s="2259">
        <f t="shared" si="36"/>
        <v>0</v>
      </c>
      <c r="AC261" s="2606"/>
      <c r="AD261" s="2606"/>
      <c r="AE261" s="2606"/>
      <c r="AF261" s="2593"/>
      <c r="AG261" s="2593"/>
      <c r="AH261" s="2593"/>
      <c r="AI261" s="2593"/>
      <c r="AJ261" s="2593"/>
    </row>
    <row r="262" spans="1:36" s="2218" customFormat="1" ht="22.5" hidden="1" customHeight="1" outlineLevel="1">
      <c r="A262" s="2235">
        <v>30</v>
      </c>
      <c r="B262" s="2423" t="s">
        <v>2130</v>
      </c>
      <c r="C262" s="2424" t="s">
        <v>2131</v>
      </c>
      <c r="D262" s="2552" t="s">
        <v>1128</v>
      </c>
      <c r="E262" s="2284"/>
      <c r="F262" s="2285"/>
      <c r="G262" s="2257">
        <f t="shared" si="31"/>
        <v>0</v>
      </c>
      <c r="H262" s="2285"/>
      <c r="I262" s="2285"/>
      <c r="J262" s="2257">
        <f t="shared" si="32"/>
        <v>0</v>
      </c>
      <c r="K262" s="2285"/>
      <c r="L262" s="2285"/>
      <c r="M262" s="2259">
        <f t="shared" si="33"/>
        <v>0</v>
      </c>
      <c r="N262" s="2284"/>
      <c r="O262" s="2285"/>
      <c r="P262" s="2258">
        <f t="shared" si="34"/>
        <v>0</v>
      </c>
      <c r="Q262" s="2284"/>
      <c r="R262" s="2285"/>
      <c r="S262" s="2259">
        <f t="shared" si="37"/>
        <v>0</v>
      </c>
      <c r="T262" s="2286"/>
      <c r="U262" s="2285"/>
      <c r="V262" s="2258">
        <f t="shared" si="38"/>
        <v>0</v>
      </c>
      <c r="W262" s="2284"/>
      <c r="X262" s="2285"/>
      <c r="Y262" s="2258">
        <f t="shared" si="35"/>
        <v>0</v>
      </c>
      <c r="Z262" s="2284"/>
      <c r="AA262" s="2285"/>
      <c r="AB262" s="2259">
        <f t="shared" si="36"/>
        <v>0</v>
      </c>
      <c r="AC262" s="2606"/>
      <c r="AD262" s="2606"/>
      <c r="AE262" s="2606"/>
      <c r="AF262" s="2593"/>
      <c r="AG262" s="2593"/>
      <c r="AH262" s="2593"/>
      <c r="AI262" s="2593"/>
      <c r="AJ262" s="2593"/>
    </row>
    <row r="263" spans="1:36" s="2218" customFormat="1" ht="24" hidden="1" customHeight="1" outlineLevel="1">
      <c r="A263" s="2235">
        <v>31</v>
      </c>
      <c r="B263" s="2423" t="s">
        <v>2132</v>
      </c>
      <c r="C263" s="2424" t="s">
        <v>2133</v>
      </c>
      <c r="D263" s="2552" t="s">
        <v>1128</v>
      </c>
      <c r="E263" s="2284"/>
      <c r="F263" s="2285"/>
      <c r="G263" s="2257">
        <f t="shared" si="31"/>
        <v>0</v>
      </c>
      <c r="H263" s="2285"/>
      <c r="I263" s="2285"/>
      <c r="J263" s="2257">
        <f t="shared" si="32"/>
        <v>0</v>
      </c>
      <c r="K263" s="2285"/>
      <c r="L263" s="2285"/>
      <c r="M263" s="2259">
        <f t="shared" si="33"/>
        <v>0</v>
      </c>
      <c r="N263" s="2284"/>
      <c r="O263" s="2285"/>
      <c r="P263" s="2258">
        <f t="shared" si="34"/>
        <v>0</v>
      </c>
      <c r="Q263" s="2284"/>
      <c r="R263" s="2285"/>
      <c r="S263" s="2259">
        <f t="shared" si="37"/>
        <v>0</v>
      </c>
      <c r="T263" s="2286"/>
      <c r="U263" s="2285"/>
      <c r="V263" s="2258">
        <f t="shared" si="38"/>
        <v>0</v>
      </c>
      <c r="W263" s="2284"/>
      <c r="X263" s="2285"/>
      <c r="Y263" s="2258">
        <f t="shared" si="35"/>
        <v>0</v>
      </c>
      <c r="Z263" s="2284"/>
      <c r="AA263" s="2285"/>
      <c r="AB263" s="2259">
        <f t="shared" si="36"/>
        <v>0</v>
      </c>
      <c r="AC263" s="2606"/>
      <c r="AD263" s="2606"/>
      <c r="AE263" s="2606"/>
      <c r="AF263" s="2593"/>
      <c r="AG263" s="2593"/>
      <c r="AH263" s="2593"/>
      <c r="AI263" s="2593"/>
      <c r="AJ263" s="2593"/>
    </row>
    <row r="264" spans="1:36" s="2218" customFormat="1" ht="24" hidden="1" customHeight="1" outlineLevel="1">
      <c r="A264" s="2235">
        <v>32</v>
      </c>
      <c r="B264" s="2423" t="s">
        <v>2134</v>
      </c>
      <c r="C264" s="2424" t="s">
        <v>2135</v>
      </c>
      <c r="D264" s="2552" t="s">
        <v>1128</v>
      </c>
      <c r="E264" s="2284"/>
      <c r="F264" s="2285"/>
      <c r="G264" s="2257">
        <f t="shared" si="31"/>
        <v>0</v>
      </c>
      <c r="H264" s="2285"/>
      <c r="I264" s="2285"/>
      <c r="J264" s="2257">
        <f t="shared" si="32"/>
        <v>0</v>
      </c>
      <c r="K264" s="2285"/>
      <c r="L264" s="2285"/>
      <c r="M264" s="2259">
        <f t="shared" si="33"/>
        <v>0</v>
      </c>
      <c r="N264" s="2284"/>
      <c r="O264" s="2285"/>
      <c r="P264" s="2258">
        <f t="shared" si="34"/>
        <v>0</v>
      </c>
      <c r="Q264" s="2284"/>
      <c r="R264" s="2285"/>
      <c r="S264" s="2259">
        <f t="shared" si="37"/>
        <v>0</v>
      </c>
      <c r="T264" s="2286"/>
      <c r="U264" s="2285"/>
      <c r="V264" s="2258">
        <f t="shared" si="38"/>
        <v>0</v>
      </c>
      <c r="W264" s="2284"/>
      <c r="X264" s="2285"/>
      <c r="Y264" s="2258">
        <f t="shared" si="35"/>
        <v>0</v>
      </c>
      <c r="Z264" s="2284"/>
      <c r="AA264" s="2285"/>
      <c r="AB264" s="2259">
        <f t="shared" si="36"/>
        <v>0</v>
      </c>
      <c r="AC264" s="2606"/>
      <c r="AD264" s="2606"/>
      <c r="AE264" s="2606"/>
      <c r="AF264" s="2593"/>
      <c r="AG264" s="2593"/>
      <c r="AH264" s="2593"/>
      <c r="AI264" s="2593"/>
      <c r="AJ264" s="2593"/>
    </row>
    <row r="265" spans="1:36" s="2218" customFormat="1" ht="23.25" hidden="1" customHeight="1" outlineLevel="1">
      <c r="A265" s="2235">
        <v>33</v>
      </c>
      <c r="B265" s="2423" t="s">
        <v>2136</v>
      </c>
      <c r="C265" s="2424" t="s">
        <v>2137</v>
      </c>
      <c r="D265" s="2552" t="s">
        <v>1128</v>
      </c>
      <c r="E265" s="2284"/>
      <c r="F265" s="2285"/>
      <c r="G265" s="2257">
        <f t="shared" si="31"/>
        <v>0</v>
      </c>
      <c r="H265" s="2285"/>
      <c r="I265" s="2285"/>
      <c r="J265" s="2257">
        <f t="shared" si="32"/>
        <v>0</v>
      </c>
      <c r="K265" s="2285"/>
      <c r="L265" s="2285"/>
      <c r="M265" s="2259">
        <f t="shared" si="33"/>
        <v>0</v>
      </c>
      <c r="N265" s="2284"/>
      <c r="O265" s="2285"/>
      <c r="P265" s="2258">
        <f t="shared" si="34"/>
        <v>0</v>
      </c>
      <c r="Q265" s="2284"/>
      <c r="R265" s="2285"/>
      <c r="S265" s="2259">
        <f t="shared" si="37"/>
        <v>0</v>
      </c>
      <c r="T265" s="2286"/>
      <c r="U265" s="2285"/>
      <c r="V265" s="2258">
        <f t="shared" si="38"/>
        <v>0</v>
      </c>
      <c r="W265" s="2284"/>
      <c r="X265" s="2285"/>
      <c r="Y265" s="2258">
        <f t="shared" si="35"/>
        <v>0</v>
      </c>
      <c r="Z265" s="2284"/>
      <c r="AA265" s="2285"/>
      <c r="AB265" s="2259">
        <f t="shared" si="36"/>
        <v>0</v>
      </c>
      <c r="AC265" s="2606"/>
      <c r="AD265" s="2606"/>
      <c r="AE265" s="2606"/>
      <c r="AF265" s="2593"/>
      <c r="AG265" s="2593"/>
      <c r="AH265" s="2593"/>
      <c r="AI265" s="2593"/>
      <c r="AJ265" s="2593"/>
    </row>
    <row r="266" spans="1:36" s="2218" customFormat="1" ht="22.5" hidden="1" customHeight="1" outlineLevel="1">
      <c r="A266" s="2235">
        <v>34</v>
      </c>
      <c r="B266" s="2423" t="s">
        <v>2138</v>
      </c>
      <c r="C266" s="2424" t="s">
        <v>2139</v>
      </c>
      <c r="D266" s="2552" t="s">
        <v>1313</v>
      </c>
      <c r="E266" s="2255">
        <f>E267+E268</f>
        <v>0</v>
      </c>
      <c r="F266" s="2256">
        <f>F267+F268</f>
        <v>0</v>
      </c>
      <c r="G266" s="2257">
        <f t="shared" si="31"/>
        <v>0</v>
      </c>
      <c r="H266" s="2256">
        <f>H267+H268</f>
        <v>0</v>
      </c>
      <c r="I266" s="2256">
        <f>I267+I268</f>
        <v>0</v>
      </c>
      <c r="J266" s="2257">
        <f t="shared" si="32"/>
        <v>0</v>
      </c>
      <c r="K266" s="2256">
        <f>K267+K268</f>
        <v>0</v>
      </c>
      <c r="L266" s="2256">
        <f>L267+L268</f>
        <v>0</v>
      </c>
      <c r="M266" s="2259">
        <f t="shared" si="33"/>
        <v>0</v>
      </c>
      <c r="N266" s="2255">
        <f>N267+N268</f>
        <v>0</v>
      </c>
      <c r="O266" s="2256">
        <f>O267+O268</f>
        <v>0</v>
      </c>
      <c r="P266" s="2258">
        <f t="shared" si="34"/>
        <v>0</v>
      </c>
      <c r="Q266" s="2255">
        <f>Q267+Q268</f>
        <v>0</v>
      </c>
      <c r="R266" s="2256">
        <f>R267+R268</f>
        <v>0</v>
      </c>
      <c r="S266" s="2259">
        <f t="shared" si="37"/>
        <v>0</v>
      </c>
      <c r="T266" s="2260">
        <f>T267+T268</f>
        <v>0</v>
      </c>
      <c r="U266" s="2256">
        <f>U267+U268</f>
        <v>0</v>
      </c>
      <c r="V266" s="2258">
        <f t="shared" si="38"/>
        <v>0</v>
      </c>
      <c r="W266" s="2255">
        <f>W267+W268</f>
        <v>0</v>
      </c>
      <c r="X266" s="2256">
        <f>X267+X268</f>
        <v>0</v>
      </c>
      <c r="Y266" s="2258">
        <f t="shared" si="35"/>
        <v>0</v>
      </c>
      <c r="Z266" s="2255">
        <f>Z267+Z268</f>
        <v>0</v>
      </c>
      <c r="AA266" s="2256">
        <f>AA267+AA268</f>
        <v>0</v>
      </c>
      <c r="AB266" s="2259">
        <f t="shared" si="36"/>
        <v>0</v>
      </c>
      <c r="AC266" s="2606"/>
      <c r="AD266" s="2606"/>
      <c r="AE266" s="2606"/>
      <c r="AF266" s="2593"/>
      <c r="AG266" s="2593"/>
      <c r="AH266" s="2593"/>
      <c r="AI266" s="2593"/>
      <c r="AJ266" s="2593"/>
    </row>
    <row r="267" spans="1:36" s="2218" customFormat="1" ht="25.5" hidden="1" customHeight="1" outlineLevel="1">
      <c r="A267" s="2235">
        <v>35</v>
      </c>
      <c r="B267" s="2423" t="s">
        <v>2140</v>
      </c>
      <c r="C267" s="2424" t="s">
        <v>2084</v>
      </c>
      <c r="D267" s="2552" t="s">
        <v>1128</v>
      </c>
      <c r="E267" s="2284"/>
      <c r="F267" s="2285"/>
      <c r="G267" s="2257">
        <f t="shared" si="31"/>
        <v>0</v>
      </c>
      <c r="H267" s="2285"/>
      <c r="I267" s="2285"/>
      <c r="J267" s="2257">
        <f t="shared" si="32"/>
        <v>0</v>
      </c>
      <c r="K267" s="2285"/>
      <c r="L267" s="2285"/>
      <c r="M267" s="2259">
        <f t="shared" si="33"/>
        <v>0</v>
      </c>
      <c r="N267" s="2284"/>
      <c r="O267" s="2285"/>
      <c r="P267" s="2258">
        <f t="shared" si="34"/>
        <v>0</v>
      </c>
      <c r="Q267" s="2284"/>
      <c r="R267" s="2285"/>
      <c r="S267" s="2259">
        <f t="shared" si="37"/>
        <v>0</v>
      </c>
      <c r="T267" s="2286"/>
      <c r="U267" s="2285"/>
      <c r="V267" s="2258">
        <f t="shared" si="38"/>
        <v>0</v>
      </c>
      <c r="W267" s="2284"/>
      <c r="X267" s="2285"/>
      <c r="Y267" s="2258">
        <f t="shared" si="35"/>
        <v>0</v>
      </c>
      <c r="Z267" s="2284"/>
      <c r="AA267" s="2285"/>
      <c r="AB267" s="2259">
        <f t="shared" si="36"/>
        <v>0</v>
      </c>
      <c r="AC267" s="2606"/>
      <c r="AD267" s="2606"/>
      <c r="AE267" s="2606"/>
      <c r="AF267" s="2593"/>
      <c r="AG267" s="2593"/>
      <c r="AH267" s="2593"/>
      <c r="AI267" s="2593"/>
      <c r="AJ267" s="2593"/>
    </row>
    <row r="268" spans="1:36" s="2218" customFormat="1" ht="23.25" hidden="1" customHeight="1" outlineLevel="1">
      <c r="A268" s="2235">
        <v>36</v>
      </c>
      <c r="B268" s="2423" t="s">
        <v>2141</v>
      </c>
      <c r="C268" s="2424" t="s">
        <v>2088</v>
      </c>
      <c r="D268" s="2552" t="s">
        <v>1128</v>
      </c>
      <c r="E268" s="2284"/>
      <c r="F268" s="2285"/>
      <c r="G268" s="2257">
        <f t="shared" si="31"/>
        <v>0</v>
      </c>
      <c r="H268" s="2285"/>
      <c r="I268" s="2285"/>
      <c r="J268" s="2257">
        <f t="shared" si="32"/>
        <v>0</v>
      </c>
      <c r="K268" s="2285"/>
      <c r="L268" s="2285"/>
      <c r="M268" s="2259">
        <f t="shared" si="33"/>
        <v>0</v>
      </c>
      <c r="N268" s="2284"/>
      <c r="O268" s="2285"/>
      <c r="P268" s="2258">
        <f t="shared" si="34"/>
        <v>0</v>
      </c>
      <c r="Q268" s="2284"/>
      <c r="R268" s="2285"/>
      <c r="S268" s="2259">
        <f t="shared" si="37"/>
        <v>0</v>
      </c>
      <c r="T268" s="2286"/>
      <c r="U268" s="2285"/>
      <c r="V268" s="2258">
        <f t="shared" si="38"/>
        <v>0</v>
      </c>
      <c r="W268" s="2284"/>
      <c r="X268" s="2285"/>
      <c r="Y268" s="2258">
        <f t="shared" si="35"/>
        <v>0</v>
      </c>
      <c r="Z268" s="2284"/>
      <c r="AA268" s="2285"/>
      <c r="AB268" s="2259">
        <f t="shared" si="36"/>
        <v>0</v>
      </c>
      <c r="AC268" s="2606"/>
      <c r="AD268" s="2606"/>
      <c r="AE268" s="2606"/>
      <c r="AF268" s="2593"/>
      <c r="AG268" s="2593"/>
      <c r="AH268" s="2593"/>
      <c r="AI268" s="2593"/>
      <c r="AJ268" s="2593"/>
    </row>
    <row r="269" spans="1:36" s="2218" customFormat="1" ht="20.25" hidden="1" customHeight="1" outlineLevel="1" thickBot="1">
      <c r="A269" s="2235">
        <v>37</v>
      </c>
      <c r="B269" s="2428" t="s">
        <v>2142</v>
      </c>
      <c r="C269" s="2429" t="s">
        <v>2143</v>
      </c>
      <c r="D269" s="2553" t="s">
        <v>1128</v>
      </c>
      <c r="E269" s="2487"/>
      <c r="F269" s="2488"/>
      <c r="G269" s="2489">
        <f t="shared" si="31"/>
        <v>0</v>
      </c>
      <c r="H269" s="2488"/>
      <c r="I269" s="2488"/>
      <c r="J269" s="2489">
        <f t="shared" si="32"/>
        <v>0</v>
      </c>
      <c r="K269" s="2488"/>
      <c r="L269" s="2488"/>
      <c r="M269" s="2490">
        <f t="shared" si="33"/>
        <v>0</v>
      </c>
      <c r="N269" s="2487"/>
      <c r="O269" s="2488"/>
      <c r="P269" s="2554">
        <f t="shared" si="34"/>
        <v>0</v>
      </c>
      <c r="Q269" s="2487"/>
      <c r="R269" s="2488"/>
      <c r="S269" s="2490">
        <f t="shared" si="37"/>
        <v>0</v>
      </c>
      <c r="T269" s="2555"/>
      <c r="U269" s="2488"/>
      <c r="V269" s="2554">
        <f t="shared" si="38"/>
        <v>0</v>
      </c>
      <c r="W269" s="2487"/>
      <c r="X269" s="2488"/>
      <c r="Y269" s="2554">
        <f t="shared" si="35"/>
        <v>0</v>
      </c>
      <c r="Z269" s="2487"/>
      <c r="AA269" s="2488"/>
      <c r="AB269" s="2490">
        <f t="shared" si="36"/>
        <v>0</v>
      </c>
      <c r="AC269" s="2606"/>
      <c r="AD269" s="2606"/>
      <c r="AE269" s="2606"/>
      <c r="AF269" s="2593"/>
      <c r="AG269" s="2593"/>
      <c r="AH269" s="2593"/>
      <c r="AI269" s="2593"/>
      <c r="AJ269" s="2593"/>
    </row>
    <row r="270" spans="1:36" s="2218" customFormat="1" ht="36" hidden="1" customHeight="1" outlineLevel="1" thickBot="1">
      <c r="A270" s="2235">
        <v>197</v>
      </c>
      <c r="B270" s="2317" t="s">
        <v>2144</v>
      </c>
      <c r="C270" s="2318" t="s">
        <v>2145</v>
      </c>
      <c r="D270" s="2510" t="s">
        <v>1317</v>
      </c>
      <c r="E270" s="2431"/>
      <c r="F270" s="2432"/>
      <c r="G270" s="2374">
        <f>E270/2+F270/2</f>
        <v>0</v>
      </c>
      <c r="H270" s="2432"/>
      <c r="I270" s="2432"/>
      <c r="J270" s="2374">
        <f>H270/2+I270/2</f>
        <v>0</v>
      </c>
      <c r="K270" s="2432"/>
      <c r="L270" s="2432"/>
      <c r="M270" s="2374">
        <f>K270/2+L270/2</f>
        <v>0</v>
      </c>
      <c r="N270" s="2431"/>
      <c r="O270" s="2432"/>
      <c r="P270" s="2375">
        <f>N270/2+O270/2</f>
        <v>0</v>
      </c>
      <c r="Q270" s="2431"/>
      <c r="R270" s="2432"/>
      <c r="S270" s="2374">
        <f>Q270/2+R270/2</f>
        <v>0</v>
      </c>
      <c r="T270" s="2433"/>
      <c r="U270" s="2432"/>
      <c r="V270" s="2375">
        <f>T270/2+U270/2</f>
        <v>0</v>
      </c>
      <c r="W270" s="2431"/>
      <c r="X270" s="2432"/>
      <c r="Y270" s="2375">
        <f>W270/2+X270/2</f>
        <v>0</v>
      </c>
      <c r="Z270" s="2431"/>
      <c r="AA270" s="2432"/>
      <c r="AB270" s="2374">
        <f>Z270/2+AA270/2</f>
        <v>0</v>
      </c>
      <c r="AC270" s="2606"/>
      <c r="AD270" s="2606"/>
      <c r="AE270" s="2606"/>
      <c r="AF270" s="2593"/>
      <c r="AG270" s="2593"/>
      <c r="AH270" s="2593"/>
      <c r="AI270" s="2593"/>
      <c r="AJ270" s="2593"/>
    </row>
    <row r="271" spans="1:36" ht="108.75" hidden="1" customHeight="1" outlineLevel="1">
      <c r="B271" s="2434"/>
      <c r="C271" s="2435" t="s">
        <v>2146</v>
      </c>
      <c r="D271" s="2508" t="s">
        <v>1317</v>
      </c>
      <c r="E271" s="2436"/>
      <c r="F271" s="2437"/>
      <c r="G271" s="2438">
        <f t="shared" si="31"/>
        <v>0</v>
      </c>
      <c r="H271" s="2437"/>
      <c r="I271" s="2437"/>
      <c r="J271" s="2438">
        <f>H271/2+I271/2</f>
        <v>0</v>
      </c>
      <c r="K271" s="2437"/>
      <c r="L271" s="2437"/>
      <c r="M271" s="2440">
        <f>K271/2+L271/2</f>
        <v>0</v>
      </c>
      <c r="N271" s="2436"/>
      <c r="O271" s="2437"/>
      <c r="P271" s="2439">
        <f>N271/2+O271/2</f>
        <v>0</v>
      </c>
      <c r="Q271" s="2436"/>
      <c r="R271" s="2437"/>
      <c r="S271" s="2440">
        <f>Q271/2+R271/2</f>
        <v>0</v>
      </c>
      <c r="T271" s="2441"/>
      <c r="U271" s="2437"/>
      <c r="V271" s="2439">
        <f>T271/2+U271/2</f>
        <v>0</v>
      </c>
      <c r="W271" s="2436"/>
      <c r="X271" s="2437"/>
      <c r="Y271" s="2439">
        <f>W271/2+X271/2</f>
        <v>0</v>
      </c>
      <c r="Z271" s="2436"/>
      <c r="AA271" s="2437"/>
      <c r="AB271" s="2440">
        <f>Z271/2+AA271/2</f>
        <v>0</v>
      </c>
      <c r="AC271" s="2606"/>
      <c r="AD271" s="2606"/>
      <c r="AE271" s="2606"/>
      <c r="AF271" s="2593"/>
      <c r="AG271" s="2593"/>
      <c r="AH271" s="2593"/>
      <c r="AI271" s="2593"/>
      <c r="AJ271" s="2593"/>
    </row>
    <row r="272" spans="1:36" collapsed="1">
      <c r="B272" s="2442" t="s">
        <v>15036</v>
      </c>
      <c r="C272" s="2435" t="s">
        <v>15037</v>
      </c>
      <c r="D272" s="2508" t="s">
        <v>1317</v>
      </c>
      <c r="E272" s="2436"/>
      <c r="F272" s="2437"/>
      <c r="G272" s="2438"/>
      <c r="H272" s="2437"/>
      <c r="I272" s="2437"/>
      <c r="J272" s="2438"/>
      <c r="K272" s="2437"/>
      <c r="L272" s="2437"/>
      <c r="M272" s="2440"/>
      <c r="N272" s="3031">
        <f>'[11]НВВ 26.09.23.'!N272+'[12]НВВ 26.09.'!N272</f>
        <v>0</v>
      </c>
      <c r="O272" s="3039">
        <f>'[11]НВВ 26.09.23.'!O272+'[12]НВВ 26.09.'!O272</f>
        <v>-51700</v>
      </c>
      <c r="P272" s="2439">
        <f>N272/2+O272/2</f>
        <v>-25850</v>
      </c>
      <c r="Q272" s="3031">
        <f>'[11]НВВ 26.09.23.'!Q272+'[12]НВВ 26.09.'!Q272</f>
        <v>-51700</v>
      </c>
      <c r="R272" s="3039">
        <f>'[11]НВВ 26.09.23.'!R272+'[12]НВВ 26.09.'!R272</f>
        <v>-27700</v>
      </c>
      <c r="S272" s="2440">
        <f>Q272/2+R272/2</f>
        <v>-39700</v>
      </c>
      <c r="T272" s="3031">
        <f>'[11]НВВ 26.09.23.'!T272+'[12]НВВ 26.09.'!T272</f>
        <v>-27700</v>
      </c>
      <c r="U272" s="3039">
        <f>'[11]НВВ 26.09.23.'!U272+'[12]НВВ 26.09.'!U272</f>
        <v>300</v>
      </c>
      <c r="V272" s="2439">
        <f>T272/2+U272/2</f>
        <v>-13700</v>
      </c>
      <c r="W272" s="3031">
        <f>'[11]НВВ 26.09.23.'!W272+'[12]НВВ 26.09.'!W272</f>
        <v>300</v>
      </c>
      <c r="X272" s="3039">
        <f>'[11]НВВ 26.09.23.'!X272+'[12]НВВ 26.09.'!X272</f>
        <v>36500</v>
      </c>
      <c r="Y272" s="2439">
        <f>W272/2+X272/2</f>
        <v>18400</v>
      </c>
      <c r="Z272" s="3031">
        <f>'[11]НВВ 26.09.23.'!Z272+'[12]НВВ 26.09.'!Z272</f>
        <v>36500</v>
      </c>
      <c r="AA272" s="3039">
        <f>'[11]НВВ 26.09.23.'!AA272+'[12]НВВ 26.09.'!AA272</f>
        <v>85200</v>
      </c>
      <c r="AB272" s="2440">
        <f>Z272/2+AA272/2</f>
        <v>60850</v>
      </c>
      <c r="AC272" s="2606"/>
      <c r="AD272" s="2606"/>
      <c r="AE272" s="2606"/>
      <c r="AF272" s="2593"/>
      <c r="AG272" s="2593"/>
      <c r="AH272" s="2593"/>
      <c r="AI272" s="2593"/>
      <c r="AJ272" s="2593"/>
    </row>
    <row r="273" spans="1:36" ht="18.75" outlineLevel="1">
      <c r="B273" s="2443"/>
      <c r="C273" s="2444" t="s">
        <v>2147</v>
      </c>
      <c r="D273" s="2556" t="s">
        <v>1983</v>
      </c>
      <c r="E273" s="2446">
        <v>27805.372000000003</v>
      </c>
      <c r="F273" s="2447">
        <v>27805.372000000003</v>
      </c>
      <c r="G273" s="2448">
        <f t="shared" si="31"/>
        <v>27805.372000000003</v>
      </c>
      <c r="H273" s="2447">
        <v>28275.263349999997</v>
      </c>
      <c r="I273" s="2447">
        <v>28275.263349999997</v>
      </c>
      <c r="J273" s="2448">
        <f>H273/2+I273/2</f>
        <v>28275.263349999997</v>
      </c>
      <c r="K273" s="2447">
        <v>28226.453293000006</v>
      </c>
      <c r="L273" s="2447">
        <f>K273</f>
        <v>28226.453293000006</v>
      </c>
      <c r="M273" s="2450">
        <f>K273/2+L273/2</f>
        <v>28226.453293000006</v>
      </c>
      <c r="N273" s="2557">
        <v>28280.595410000002</v>
      </c>
      <c r="O273" s="2558">
        <f>N273</f>
        <v>28280.595410000002</v>
      </c>
      <c r="P273" s="2449">
        <f>N273/2+O273/2</f>
        <v>28280.595410000002</v>
      </c>
      <c r="Q273" s="2557">
        <f>O273</f>
        <v>28280.595410000002</v>
      </c>
      <c r="R273" s="2558">
        <f>Q273</f>
        <v>28280.595410000002</v>
      </c>
      <c r="S273" s="2450">
        <f>Q273/2+R273/2</f>
        <v>28280.595410000002</v>
      </c>
      <c r="T273" s="2559">
        <f>R273</f>
        <v>28280.595410000002</v>
      </c>
      <c r="U273" s="2558">
        <f>T273</f>
        <v>28280.595410000002</v>
      </c>
      <c r="V273" s="2449">
        <f>T273/2+U273/2</f>
        <v>28280.595410000002</v>
      </c>
      <c r="W273" s="2557">
        <f>U273</f>
        <v>28280.595410000002</v>
      </c>
      <c r="X273" s="2558">
        <f>W273</f>
        <v>28280.595410000002</v>
      </c>
      <c r="Y273" s="2449">
        <f>W273/2+X273/2</f>
        <v>28280.595410000002</v>
      </c>
      <c r="Z273" s="2557">
        <f>X273</f>
        <v>28280.595410000002</v>
      </c>
      <c r="AA273" s="2558">
        <f>Z273</f>
        <v>28280.595410000002</v>
      </c>
      <c r="AB273" s="2450">
        <f>Z273/2+AA273/2</f>
        <v>28280.595410000002</v>
      </c>
      <c r="AC273" s="2606"/>
      <c r="AD273" s="2606"/>
      <c r="AE273" s="2606"/>
      <c r="AF273" s="2593"/>
      <c r="AG273" s="2593"/>
      <c r="AH273" s="2593"/>
      <c r="AI273" s="2593"/>
      <c r="AJ273" s="2593"/>
    </row>
    <row r="274" spans="1:36" ht="19.5" outlineLevel="1" thickBot="1">
      <c r="B274" s="2451"/>
      <c r="C274" s="2452" t="s">
        <v>2148</v>
      </c>
      <c r="D274" s="2560" t="s">
        <v>1986</v>
      </c>
      <c r="E274" s="2454">
        <f>E6/E273</f>
        <v>6.099834190096824</v>
      </c>
      <c r="F274" s="2455">
        <f>F6/F273</f>
        <v>6.2966098441291551</v>
      </c>
      <c r="G274" s="2455"/>
      <c r="H274" s="2455">
        <f>H6/H273</f>
        <v>6.222362474014572</v>
      </c>
      <c r="I274" s="2455">
        <f>I6/I273</f>
        <v>6.3922003856378211</v>
      </c>
      <c r="J274" s="2455"/>
      <c r="K274" s="2455">
        <f>K6/K273</f>
        <v>6.0850895506982559</v>
      </c>
      <c r="L274" s="2455">
        <f>L6/L273</f>
        <v>6.2857956223503475</v>
      </c>
      <c r="M274" s="2456"/>
      <c r="N274" s="2561">
        <f>8.08+4.04</f>
        <v>12.120000000000001</v>
      </c>
      <c r="O274" s="2562">
        <f>O6/O273</f>
        <v>16.91041425387548</v>
      </c>
      <c r="P274" s="2563"/>
      <c r="Q274" s="2561">
        <f>Q6/Q273</f>
        <v>16.910414261228858</v>
      </c>
      <c r="R274" s="2562">
        <f>R6/R273</f>
        <v>20.644715192312809</v>
      </c>
      <c r="S274" s="2564"/>
      <c r="T274" s="2565">
        <f>T6/T273</f>
        <v>20.644715192312809</v>
      </c>
      <c r="U274" s="2562">
        <f>U6/U273</f>
        <v>24.664528536278379</v>
      </c>
      <c r="V274" s="2563"/>
      <c r="W274" s="2561">
        <f>W6/W273</f>
        <v>24.664528536278379</v>
      </c>
      <c r="X274" s="2562">
        <f>X6/X273</f>
        <v>29.013583687060258</v>
      </c>
      <c r="Y274" s="2563"/>
      <c r="Z274" s="2561">
        <f>Z6/Z273</f>
        <v>29.013583687060258</v>
      </c>
      <c r="AA274" s="2562">
        <f>AA6/AA273</f>
        <v>32.765776733605264</v>
      </c>
      <c r="AB274" s="2564"/>
      <c r="AC274" s="2606"/>
      <c r="AD274" s="2606"/>
      <c r="AE274" s="2606"/>
      <c r="AF274" s="2593"/>
      <c r="AG274" s="2593"/>
      <c r="AH274" s="2593"/>
      <c r="AI274" s="2593"/>
      <c r="AJ274" s="2593"/>
    </row>
    <row r="275" spans="1:36" s="2893" customFormat="1" ht="14.25" customHeight="1" thickBot="1">
      <c r="A275" s="2892"/>
      <c r="B275" s="3471"/>
      <c r="C275" s="3472"/>
      <c r="D275" s="3472"/>
      <c r="E275" s="3472"/>
      <c r="F275" s="3472"/>
      <c r="G275" s="3472"/>
      <c r="H275" s="3472"/>
      <c r="I275" s="3472"/>
      <c r="J275" s="3472"/>
      <c r="K275" s="3472"/>
      <c r="L275" s="3472"/>
      <c r="N275" s="3053"/>
      <c r="O275" s="3053"/>
      <c r="P275" s="3053"/>
      <c r="Q275" s="3053"/>
      <c r="R275" s="3053"/>
      <c r="S275" s="3053"/>
      <c r="T275" s="3053"/>
      <c r="U275" s="3053"/>
      <c r="V275" s="3053"/>
      <c r="W275" s="3053"/>
      <c r="X275" s="3053"/>
      <c r="Y275" s="3053"/>
      <c r="Z275" s="3053"/>
      <c r="AA275" s="3053"/>
      <c r="AB275" s="3053"/>
    </row>
    <row r="276" spans="1:36" s="2116" customFormat="1" hidden="1" outlineLevel="1">
      <c r="A276" s="2113"/>
      <c r="B276" s="2113"/>
      <c r="C276" s="2492"/>
      <c r="D276" s="2566"/>
      <c r="E276" s="2492"/>
      <c r="F276" s="2492"/>
      <c r="G276" s="2492"/>
      <c r="H276" s="2492"/>
      <c r="I276" s="2492"/>
      <c r="J276" s="2492"/>
      <c r="K276" s="2492"/>
      <c r="L276" s="2492"/>
      <c r="M276" s="2492"/>
      <c r="N276" s="2493"/>
      <c r="O276" s="2567"/>
      <c r="P276" s="2568"/>
      <c r="Q276" s="2568"/>
      <c r="R276" s="2898"/>
      <c r="S276" s="2569"/>
      <c r="T276" s="2569"/>
      <c r="U276" s="2898"/>
      <c r="V276" s="2569"/>
      <c r="W276" s="2569"/>
      <c r="X276" s="2898"/>
      <c r="Y276" s="2569"/>
      <c r="Z276" s="2569"/>
      <c r="AA276" s="2898"/>
      <c r="AB276" s="2569"/>
      <c r="AC276" s="1547"/>
      <c r="AD276" s="1547"/>
      <c r="AE276" s="1547"/>
    </row>
    <row r="277" spans="1:36" s="2116" customFormat="1" hidden="1" outlineLevel="1">
      <c r="A277" s="2113"/>
      <c r="B277" s="2113"/>
      <c r="C277" s="2492"/>
      <c r="D277" s="2566"/>
      <c r="E277" s="2492"/>
      <c r="F277" s="2492"/>
      <c r="G277" s="2492"/>
      <c r="H277" s="2492"/>
      <c r="I277" s="2492"/>
      <c r="J277" s="2492"/>
      <c r="K277" s="2492"/>
      <c r="L277" s="2492"/>
      <c r="M277" s="2492"/>
      <c r="N277" s="2493"/>
      <c r="O277" s="2494"/>
      <c r="P277" s="2492"/>
      <c r="Q277" s="2492"/>
      <c r="R277" s="2661"/>
      <c r="S277" s="2495"/>
      <c r="T277" s="2495"/>
      <c r="U277" s="2661"/>
      <c r="V277" s="2495"/>
      <c r="W277" s="2495"/>
      <c r="X277" s="2661"/>
      <c r="Y277" s="2495"/>
      <c r="Z277" s="2495"/>
      <c r="AA277" s="2661"/>
      <c r="AB277" s="2495"/>
      <c r="AC277" s="1547"/>
      <c r="AD277" s="1547"/>
      <c r="AE277" s="1547"/>
    </row>
    <row r="278" spans="1:36" s="2116" customFormat="1" hidden="1" outlineLevel="2">
      <c r="A278" s="2113"/>
      <c r="B278" s="2113"/>
      <c r="C278" s="2570" t="s">
        <v>15041</v>
      </c>
      <c r="D278" s="2571"/>
      <c r="E278" s="2570"/>
      <c r="F278" s="2570"/>
      <c r="G278" s="2570"/>
      <c r="H278" s="2570"/>
      <c r="I278" s="2570"/>
      <c r="J278" s="2570"/>
      <c r="K278" s="2570"/>
      <c r="L278" s="2570"/>
      <c r="M278" s="2570"/>
      <c r="N278" s="2572"/>
      <c r="O278" s="2573"/>
      <c r="P278" s="2495"/>
      <c r="Q278" s="2492"/>
      <c r="R278" s="2494"/>
      <c r="S278" s="2492"/>
      <c r="T278" s="2492"/>
      <c r="U278" s="2494"/>
      <c r="V278" s="2492"/>
      <c r="W278" s="2492"/>
      <c r="X278" s="2494"/>
      <c r="Y278" s="2492"/>
      <c r="Z278" s="2492"/>
      <c r="AA278" s="2494"/>
      <c r="AB278" s="2495"/>
      <c r="AC278" s="1547"/>
      <c r="AD278" s="1547"/>
      <c r="AE278" s="1547"/>
    </row>
    <row r="279" spans="1:36" s="2116" customFormat="1" hidden="1" outlineLevel="2">
      <c r="A279" s="2113"/>
      <c r="B279" s="2113"/>
      <c r="C279" s="2570" t="s">
        <v>15041</v>
      </c>
      <c r="D279" s="2571"/>
      <c r="E279" s="2570"/>
      <c r="F279" s="2570"/>
      <c r="G279" s="2570"/>
      <c r="H279" s="2570"/>
      <c r="I279" s="2570"/>
      <c r="J279" s="2570"/>
      <c r="K279" s="2570"/>
      <c r="L279" s="2570"/>
      <c r="M279" s="2570"/>
      <c r="N279" s="2572"/>
      <c r="O279" s="2573"/>
      <c r="P279" s="2492"/>
      <c r="Q279" s="2492"/>
      <c r="R279" s="2494"/>
      <c r="S279" s="2492"/>
      <c r="T279" s="2492"/>
      <c r="U279" s="2494"/>
      <c r="V279" s="2492"/>
      <c r="W279" s="2492"/>
      <c r="X279" s="2494"/>
      <c r="Y279" s="2492"/>
      <c r="Z279" s="2492"/>
      <c r="AA279" s="2494"/>
      <c r="AB279" s="2495"/>
      <c r="AC279" s="1547"/>
      <c r="AD279" s="1547"/>
      <c r="AE279" s="1547"/>
    </row>
    <row r="280" spans="1:36" s="2116" customFormat="1" ht="30.75" hidden="1" customHeight="1" outlineLevel="1" collapsed="1" thickBot="1">
      <c r="A280" s="2113"/>
      <c r="B280" s="2113"/>
      <c r="C280" s="2492"/>
      <c r="D280" s="2566"/>
      <c r="E280" s="2492"/>
      <c r="F280" s="2492"/>
      <c r="G280" s="2492"/>
      <c r="H280" s="2492"/>
      <c r="I280" s="2492"/>
      <c r="J280" s="2492"/>
      <c r="K280" s="2492"/>
      <c r="L280" s="2492"/>
      <c r="M280" s="2492"/>
      <c r="N280" s="2493"/>
      <c r="O280" s="2493"/>
      <c r="P280" s="2492"/>
      <c r="Q280" s="2492"/>
      <c r="R280" s="2494"/>
      <c r="S280" s="2492"/>
      <c r="T280" s="2492"/>
      <c r="U280" s="2494"/>
      <c r="V280" s="2492"/>
      <c r="W280" s="2492"/>
      <c r="X280" s="2661"/>
      <c r="Y280" s="2492"/>
      <c r="Z280" s="2492"/>
      <c r="AA280" s="2661"/>
      <c r="AB280" s="2495"/>
      <c r="AC280" s="1547"/>
      <c r="AD280" s="1547"/>
      <c r="AE280" s="1547"/>
    </row>
    <row r="281" spans="1:36" s="2116" customFormat="1" ht="18" collapsed="1" thickBot="1">
      <c r="A281" s="2113"/>
      <c r="B281" s="1377"/>
      <c r="C281" s="1378" t="s">
        <v>15042</v>
      </c>
      <c r="D281" s="1472" t="s">
        <v>1983</v>
      </c>
      <c r="E281" s="2492"/>
      <c r="F281" s="2492"/>
      <c r="G281" s="2492"/>
      <c r="H281" s="2492"/>
      <c r="I281" s="2492"/>
      <c r="J281" s="2492"/>
      <c r="K281" s="2492"/>
      <c r="L281" s="2492"/>
      <c r="M281" s="2492"/>
      <c r="N281" s="2574">
        <f>N273</f>
        <v>28280.595410000002</v>
      </c>
      <c r="O281" s="2575">
        <f>N281</f>
        <v>28280.595410000002</v>
      </c>
      <c r="P281" s="1439">
        <f>N281/2+O281/2</f>
        <v>28280.595410000002</v>
      </c>
      <c r="Q281" s="2574">
        <f>N281</f>
        <v>28280.595410000002</v>
      </c>
      <c r="R281" s="2575">
        <f>O281</f>
        <v>28280.595410000002</v>
      </c>
      <c r="S281" s="1439">
        <f>Q281/2+R281/2</f>
        <v>28280.595410000002</v>
      </c>
      <c r="T281" s="2574">
        <f>Q281</f>
        <v>28280.595410000002</v>
      </c>
      <c r="U281" s="2575">
        <f>R281</f>
        <v>28280.595410000002</v>
      </c>
      <c r="V281" s="1439">
        <f>T281/2+U281/2</f>
        <v>28280.595410000002</v>
      </c>
      <c r="W281" s="2574">
        <f>T281</f>
        <v>28280.595410000002</v>
      </c>
      <c r="X281" s="2575">
        <f>U281</f>
        <v>28280.595410000002</v>
      </c>
      <c r="Y281" s="2108">
        <f>W281/2+X281/2</f>
        <v>28280.595410000002</v>
      </c>
      <c r="Z281" s="2574">
        <f>W281</f>
        <v>28280.595410000002</v>
      </c>
      <c r="AA281" s="2575">
        <f>X281</f>
        <v>28280.595410000002</v>
      </c>
      <c r="AB281" s="1439">
        <f>Z281/2+AA281/2</f>
        <v>28280.595410000002</v>
      </c>
      <c r="AC281" s="2607"/>
      <c r="AD281" s="2607"/>
      <c r="AE281" s="2111"/>
    </row>
    <row r="282" spans="1:36" s="2116" customFormat="1" ht="17.25" hidden="1" outlineLevel="1">
      <c r="A282" s="2113"/>
      <c r="B282" s="1382"/>
      <c r="C282" s="1383" t="s">
        <v>2163</v>
      </c>
      <c r="D282" s="1473" t="s">
        <v>14927</v>
      </c>
      <c r="E282" s="2492"/>
      <c r="F282" s="2492"/>
      <c r="G282" s="2492"/>
      <c r="H282" s="2492"/>
      <c r="I282" s="2492"/>
      <c r="J282" s="2492"/>
      <c r="K282" s="2492"/>
      <c r="L282" s="2492"/>
      <c r="M282" s="2492"/>
      <c r="N282" s="2576">
        <f>N6-N242</f>
        <v>342843.54620148148</v>
      </c>
      <c r="O282" s="2577">
        <f>O6-O242</f>
        <v>467731.89458504954</v>
      </c>
      <c r="P282" s="1440">
        <f>N282/2+O282/2</f>
        <v>405287.72039326548</v>
      </c>
      <c r="Q282" s="2576">
        <f>Q6-Q242</f>
        <v>467731.89479300746</v>
      </c>
      <c r="R282" s="2577">
        <f>R6-R242</f>
        <v>514868.59505934303</v>
      </c>
      <c r="S282" s="1440">
        <f>Q282/2+R282/2</f>
        <v>491300.24492617522</v>
      </c>
      <c r="T282" s="2576">
        <f>T6-T242</f>
        <v>514868.59505934303</v>
      </c>
      <c r="U282" s="2577">
        <f>U6-U242</f>
        <v>567120.96335791226</v>
      </c>
      <c r="V282" s="1440">
        <f>T282/2+U282/2</f>
        <v>540994.77920862765</v>
      </c>
      <c r="W282" s="2576">
        <f>W6-W242</f>
        <v>567120.96335791226</v>
      </c>
      <c r="X282" s="2577">
        <f>X6-X242</f>
        <v>628662.7949915746</v>
      </c>
      <c r="Y282" s="1450">
        <f>W282/2+X282/2</f>
        <v>597891.87917474343</v>
      </c>
      <c r="Z282" s="2576">
        <f>Z6-Z242</f>
        <v>628662.7949915746</v>
      </c>
      <c r="AA282" s="2577">
        <f>AA6-AA242</f>
        <v>703910.11244631477</v>
      </c>
      <c r="AB282" s="1440">
        <f>Z282/2+AA282/2</f>
        <v>666286.45371894469</v>
      </c>
      <c r="AC282" s="2607"/>
      <c r="AD282" s="2607"/>
      <c r="AE282" s="2111"/>
    </row>
    <row r="283" spans="1:36" s="2116" customFormat="1" ht="34.5" hidden="1" outlineLevel="1">
      <c r="A283" s="2113"/>
      <c r="B283" s="1382"/>
      <c r="C283" s="1383" t="s">
        <v>15159</v>
      </c>
      <c r="D283" s="1474" t="s">
        <v>14928</v>
      </c>
      <c r="E283" s="2492"/>
      <c r="F283" s="2492"/>
      <c r="G283" s="2492"/>
      <c r="H283" s="2492"/>
      <c r="I283" s="2492"/>
      <c r="J283" s="2492"/>
      <c r="K283" s="2492"/>
      <c r="L283" s="2492"/>
      <c r="M283" s="2492"/>
      <c r="N283" s="2576">
        <f>8.08+4.04</f>
        <v>12.120000000000001</v>
      </c>
      <c r="O283" s="2578">
        <f>O282/O281</f>
        <v>16.538969134279959</v>
      </c>
      <c r="P283" s="1440"/>
      <c r="Q283" s="2576">
        <f>O283</f>
        <v>16.538969134279959</v>
      </c>
      <c r="R283" s="2578">
        <f>R282/R281</f>
        <v>18.20571977339932</v>
      </c>
      <c r="S283" s="1440"/>
      <c r="T283" s="2576">
        <f>R283</f>
        <v>18.20571977339932</v>
      </c>
      <c r="U283" s="2578">
        <f>U282/U281</f>
        <v>20.053360091470303</v>
      </c>
      <c r="V283" s="1440"/>
      <c r="W283" s="2576">
        <f>U283</f>
        <v>20.053360091470303</v>
      </c>
      <c r="X283" s="2578">
        <f>X282/X281</f>
        <v>22.229475224177204</v>
      </c>
      <c r="Y283" s="1450"/>
      <c r="Z283" s="2576">
        <f>X283</f>
        <v>22.229475224177204</v>
      </c>
      <c r="AA283" s="2578">
        <f>AA282/AA281</f>
        <v>24.890215437169068</v>
      </c>
      <c r="AB283" s="1440"/>
      <c r="AC283" s="2607"/>
      <c r="AD283" s="2607"/>
      <c r="AE283" s="2111"/>
    </row>
    <row r="284" spans="1:36" s="2116" customFormat="1" ht="21.75" hidden="1" outlineLevel="1" thickBot="1">
      <c r="A284" s="2113"/>
      <c r="B284" s="1387"/>
      <c r="C284" s="1386" t="s">
        <v>2152</v>
      </c>
      <c r="D284" s="1475" t="s">
        <v>1165</v>
      </c>
      <c r="E284" s="2492"/>
      <c r="F284" s="2492"/>
      <c r="G284" s="2492"/>
      <c r="H284" s="2492"/>
      <c r="I284" s="2492"/>
      <c r="J284" s="2492"/>
      <c r="K284" s="2492"/>
      <c r="L284" s="2492"/>
      <c r="M284" s="2492"/>
      <c r="N284" s="2579"/>
      <c r="O284" s="1481">
        <f>O283/N283</f>
        <v>1.3646014137194684</v>
      </c>
      <c r="P284" s="1442"/>
      <c r="Q284" s="2579">
        <f>Q283/O283</f>
        <v>1</v>
      </c>
      <c r="R284" s="1481">
        <f>R283/Q283</f>
        <v>1.1007771781655196</v>
      </c>
      <c r="S284" s="1442"/>
      <c r="T284" s="2579">
        <f>T283/R283</f>
        <v>1</v>
      </c>
      <c r="U284" s="1481">
        <f>U283/T283</f>
        <v>1.1014868042059287</v>
      </c>
      <c r="V284" s="1442"/>
      <c r="W284" s="2579">
        <f>W283/U283</f>
        <v>1</v>
      </c>
      <c r="X284" s="1481">
        <f>X283/W283</f>
        <v>1.1085162348245325</v>
      </c>
      <c r="Y284" s="2109"/>
      <c r="Z284" s="2579">
        <f>Z283/X283</f>
        <v>1</v>
      </c>
      <c r="AA284" s="1481">
        <f>AA283/Z283</f>
        <v>1.1196942431685473</v>
      </c>
      <c r="AB284" s="1442"/>
      <c r="AC284" s="2608"/>
      <c r="AD284" s="2608"/>
      <c r="AE284" s="2112"/>
    </row>
    <row r="285" spans="1:36" s="2116" customFormat="1" ht="17.25" collapsed="1">
      <c r="A285" s="2113"/>
      <c r="B285" s="1377"/>
      <c r="C285" s="1378" t="s">
        <v>2154</v>
      </c>
      <c r="D285" s="1472" t="s">
        <v>14927</v>
      </c>
      <c r="E285" s="2492"/>
      <c r="F285" s="2492"/>
      <c r="G285" s="2492"/>
      <c r="H285" s="2492"/>
      <c r="I285" s="2492"/>
      <c r="J285" s="2492"/>
      <c r="K285" s="2492"/>
      <c r="L285" s="2492"/>
      <c r="M285" s="2492"/>
      <c r="N285" s="2574">
        <f>N282</f>
        <v>342843.54620148148</v>
      </c>
      <c r="O285" s="2575">
        <f>O282+O288</f>
        <v>478236.58372934954</v>
      </c>
      <c r="P285" s="1440">
        <f>N285/2+O285/2</f>
        <v>410540.06496541551</v>
      </c>
      <c r="Q285" s="2574">
        <f>Q286*Q281</f>
        <v>478236.58372934948</v>
      </c>
      <c r="R285" s="2575">
        <f>R282+R288</f>
        <v>583844.83770847891</v>
      </c>
      <c r="S285" s="1440">
        <f>Q285/2+R285/2</f>
        <v>531040.71071891417</v>
      </c>
      <c r="T285" s="2574">
        <f>T286*T281</f>
        <v>583844.83770847891</v>
      </c>
      <c r="U285" s="2575">
        <f>U282+U288</f>
        <v>697527.55251288833</v>
      </c>
      <c r="V285" s="1440">
        <f>T285/2+U285/2</f>
        <v>640686.19511068356</v>
      </c>
      <c r="W285" s="2574">
        <f>W286*W281</f>
        <v>697527.55251288833</v>
      </c>
      <c r="X285" s="2575">
        <f>X282+X288</f>
        <v>820521.42164792726</v>
      </c>
      <c r="Y285" s="1450">
        <f>W285/2+X285/2</f>
        <v>759024.48708040779</v>
      </c>
      <c r="Z285" s="2574">
        <f>Z286*Z281</f>
        <v>820521.42164792726</v>
      </c>
      <c r="AA285" s="2575">
        <f>AA282+AA288</f>
        <v>926635.67509748181</v>
      </c>
      <c r="AB285" s="1440">
        <f>Z285/2+AA285/2</f>
        <v>873578.54837270454</v>
      </c>
      <c r="AC285" s="2607"/>
      <c r="AD285" s="2607"/>
      <c r="AE285" s="2111"/>
    </row>
    <row r="286" spans="1:36" s="2116" customFormat="1" ht="34.5">
      <c r="A286" s="2113"/>
      <c r="B286" s="1382"/>
      <c r="C286" s="1383" t="s">
        <v>15160</v>
      </c>
      <c r="D286" s="1474" t="s">
        <v>14907</v>
      </c>
      <c r="E286" s="2492"/>
      <c r="F286" s="2492"/>
      <c r="G286" s="2492"/>
      <c r="H286" s="2492"/>
      <c r="I286" s="2492"/>
      <c r="J286" s="2492"/>
      <c r="K286" s="2492"/>
      <c r="L286" s="2492"/>
      <c r="M286" s="2492"/>
      <c r="N286" s="2576">
        <f>N285/N281</f>
        <v>12.122925321446811</v>
      </c>
      <c r="O286" s="2578">
        <f>O285/O281</f>
        <v>16.91041425387548</v>
      </c>
      <c r="P286" s="1440"/>
      <c r="Q286" s="2576">
        <f>O286</f>
        <v>16.91041425387548</v>
      </c>
      <c r="R286" s="2578">
        <f>R285/R281</f>
        <v>20.644715192312809</v>
      </c>
      <c r="S286" s="1440"/>
      <c r="T286" s="2576">
        <f>R286</f>
        <v>20.644715192312809</v>
      </c>
      <c r="U286" s="2578">
        <f>U285/U281</f>
        <v>24.664528536278379</v>
      </c>
      <c r="V286" s="1440"/>
      <c r="W286" s="2576">
        <f>U286</f>
        <v>24.664528536278379</v>
      </c>
      <c r="X286" s="2578">
        <f>X285/X281</f>
        <v>29.013583687060258</v>
      </c>
      <c r="Y286" s="1450"/>
      <c r="Z286" s="2576">
        <f>X286</f>
        <v>29.013583687060258</v>
      </c>
      <c r="AA286" s="2578">
        <f>AA285/AA281</f>
        <v>32.765776733605264</v>
      </c>
      <c r="AB286" s="1440"/>
      <c r="AC286" s="2607"/>
      <c r="AD286" s="2607"/>
      <c r="AE286" s="2111"/>
    </row>
    <row r="287" spans="1:36" ht="21.75" thickBot="1">
      <c r="B287" s="1387"/>
      <c r="C287" s="1386" t="s">
        <v>2153</v>
      </c>
      <c r="D287" s="1475" t="s">
        <v>1165</v>
      </c>
      <c r="E287" s="2457"/>
      <c r="F287" s="2457"/>
      <c r="G287" s="2457"/>
      <c r="H287" s="2457"/>
      <c r="I287" s="2458"/>
      <c r="J287" s="2459"/>
      <c r="K287" s="2459"/>
      <c r="L287" s="2459"/>
      <c r="M287" s="2459"/>
      <c r="N287" s="2579"/>
      <c r="O287" s="1481">
        <f>O286/N286</f>
        <v>1.3949120204476608</v>
      </c>
      <c r="P287" s="1442"/>
      <c r="Q287" s="2579">
        <f>Q286/O286</f>
        <v>1</v>
      </c>
      <c r="R287" s="1481">
        <f>R286/Q286</f>
        <v>1.220828471873864</v>
      </c>
      <c r="S287" s="1442"/>
      <c r="T287" s="2579">
        <f>T286/R286</f>
        <v>1</v>
      </c>
      <c r="U287" s="1481">
        <f>U286/T286</f>
        <v>1.1947139162017779</v>
      </c>
      <c r="V287" s="1442"/>
      <c r="W287" s="2579">
        <f>W286/U286</f>
        <v>1</v>
      </c>
      <c r="X287" s="1481">
        <f>X286/W286</f>
        <v>1.17632833096262</v>
      </c>
      <c r="Y287" s="2109"/>
      <c r="Z287" s="2579">
        <f>Z286/X286</f>
        <v>1</v>
      </c>
      <c r="AA287" s="1481">
        <f>AA286/Z286</f>
        <v>1.129325390720983</v>
      </c>
      <c r="AB287" s="1442"/>
      <c r="AC287" s="2608"/>
      <c r="AD287" s="2608"/>
      <c r="AE287" s="2112"/>
    </row>
    <row r="288" spans="1:36" ht="35.25" thickBot="1">
      <c r="B288" s="1390"/>
      <c r="C288" s="1391" t="s">
        <v>2096</v>
      </c>
      <c r="D288" s="1476" t="s">
        <v>14929</v>
      </c>
      <c r="E288" s="2460"/>
      <c r="F288" s="2460"/>
      <c r="G288" s="2460"/>
      <c r="H288" s="2460"/>
      <c r="I288" s="2460"/>
      <c r="J288" s="2460"/>
      <c r="K288" s="2460"/>
      <c r="L288"/>
      <c r="M288"/>
      <c r="N288" s="2580"/>
      <c r="O288" s="2581">
        <f>P290/1.2*2</f>
        <v>10504.6891443</v>
      </c>
      <c r="P288" s="1443">
        <f>N288/2+O288/2</f>
        <v>5252.3445721500002</v>
      </c>
      <c r="Q288" s="2580">
        <f>O288</f>
        <v>10504.6891443</v>
      </c>
      <c r="R288" s="2581">
        <f>S290/1.2*2-Q288</f>
        <v>68976.242649135907</v>
      </c>
      <c r="S288" s="1443">
        <f>Q288/2+R288/2</f>
        <v>39740.465896717957</v>
      </c>
      <c r="T288" s="2580">
        <f>R288</f>
        <v>68976.242649135907</v>
      </c>
      <c r="U288" s="2581">
        <f>V290/1.2*2-T288</f>
        <v>130406.58915497604</v>
      </c>
      <c r="V288" s="1443">
        <f>T288/2+U288/2</f>
        <v>99691.415902055975</v>
      </c>
      <c r="W288" s="2580">
        <f>U288</f>
        <v>130406.58915497604</v>
      </c>
      <c r="X288" s="2581">
        <f>Y290/1.2*2-W288</f>
        <v>191858.62665635263</v>
      </c>
      <c r="Y288" s="2110">
        <f>W288/2+X288/2</f>
        <v>161132.60790566434</v>
      </c>
      <c r="Z288" s="2580">
        <f>X288</f>
        <v>191858.62665635263</v>
      </c>
      <c r="AA288" s="2581">
        <f>AB290/1.2*2-Z288</f>
        <v>222725.56265116701</v>
      </c>
      <c r="AB288" s="1443">
        <f>Z288/2+AA288/2</f>
        <v>207292.09465375982</v>
      </c>
      <c r="AC288" s="2607"/>
      <c r="AD288" s="2607"/>
      <c r="AE288" s="2111"/>
    </row>
    <row r="289" spans="2:31" ht="18" thickBot="1">
      <c r="B289" s="1415"/>
      <c r="C289" s="1416"/>
      <c r="D289" s="2828"/>
      <c r="E289" s="2460"/>
      <c r="F289" s="2461"/>
      <c r="G289" s="2460"/>
      <c r="H289" s="2460"/>
      <c r="I289" s="2460"/>
      <c r="J289" s="2460"/>
      <c r="K289" s="2460"/>
      <c r="N289" s="2114"/>
      <c r="O289" s="2114"/>
      <c r="P289" s="1922"/>
      <c r="Q289" s="2115"/>
      <c r="R289" s="2115"/>
      <c r="S289" s="1922"/>
      <c r="T289" s="2115"/>
      <c r="U289" s="2115"/>
      <c r="V289" s="1922"/>
      <c r="W289" s="2115"/>
      <c r="X289" s="2115"/>
      <c r="Y289" s="1922"/>
      <c r="Z289" s="2115"/>
      <c r="AA289" s="2115"/>
      <c r="AB289" s="1922"/>
      <c r="AC289" s="2609"/>
      <c r="AD289" s="2609"/>
      <c r="AE289" s="2610"/>
    </row>
    <row r="290" spans="2:31" ht="86.25">
      <c r="B290" s="1421">
        <v>1</v>
      </c>
      <c r="C290" s="1422" t="s">
        <v>2164</v>
      </c>
      <c r="D290" s="1477" t="s">
        <v>2165</v>
      </c>
      <c r="E290" s="2585"/>
      <c r="F290" s="2585"/>
      <c r="G290" s="2586"/>
      <c r="H290" s="2586"/>
      <c r="I290" s="2586"/>
      <c r="J290" s="2586"/>
      <c r="K290" s="2586"/>
      <c r="L290" s="2587"/>
      <c r="M290" s="2587"/>
      <c r="N290" s="1445">
        <f>SUM(N291,N305)</f>
        <v>0</v>
      </c>
      <c r="O290" s="1444">
        <f t="shared" ref="O290:AB290" si="39">SUM(O291,O305)</f>
        <v>0</v>
      </c>
      <c r="P290" s="1444">
        <f t="shared" si="39"/>
        <v>6302.8134865800002</v>
      </c>
      <c r="Q290" s="1445">
        <f t="shared" si="39"/>
        <v>0</v>
      </c>
      <c r="R290" s="1444">
        <f t="shared" si="39"/>
        <v>0</v>
      </c>
      <c r="S290" s="1444">
        <f t="shared" si="39"/>
        <v>47688.559076061545</v>
      </c>
      <c r="T290" s="1445">
        <f t="shared" si="39"/>
        <v>0</v>
      </c>
      <c r="U290" s="1444">
        <f t="shared" si="39"/>
        <v>0</v>
      </c>
      <c r="V290" s="1444">
        <f t="shared" si="39"/>
        <v>119629.69908246717</v>
      </c>
      <c r="W290" s="1445">
        <f t="shared" si="39"/>
        <v>0</v>
      </c>
      <c r="X290" s="1444">
        <f t="shared" si="39"/>
        <v>0</v>
      </c>
      <c r="Y290" s="1444">
        <f t="shared" si="39"/>
        <v>193359.1294867972</v>
      </c>
      <c r="Z290" s="1445">
        <f t="shared" si="39"/>
        <v>0</v>
      </c>
      <c r="AA290" s="1444">
        <f t="shared" si="39"/>
        <v>0</v>
      </c>
      <c r="AB290" s="1444">
        <f t="shared" si="39"/>
        <v>248750.51358451176</v>
      </c>
      <c r="AC290" s="2611">
        <f t="shared" ref="AC290:AE291" si="40">SUM(N290,Q290,T290,W290,Z290)</f>
        <v>0</v>
      </c>
      <c r="AD290" s="2612">
        <f t="shared" si="40"/>
        <v>0</v>
      </c>
      <c r="AE290" s="2613">
        <f t="shared" si="40"/>
        <v>615730.71471641771</v>
      </c>
    </row>
    <row r="291" spans="2:31" ht="86.25">
      <c r="B291" s="1418" t="s">
        <v>25</v>
      </c>
      <c r="C291" s="1366" t="s">
        <v>1109</v>
      </c>
      <c r="D291" s="1478" t="s">
        <v>2165</v>
      </c>
      <c r="E291" s="2588"/>
      <c r="F291" s="2588"/>
      <c r="G291" s="2589"/>
      <c r="H291" s="2589"/>
      <c r="I291" s="2589"/>
      <c r="J291" s="2589"/>
      <c r="K291" s="2589"/>
      <c r="L291" s="2233"/>
      <c r="M291" s="2233"/>
      <c r="N291" s="1447">
        <f t="shared" ref="N291:AB291" si="41">SUM(N292:N304)</f>
        <v>0</v>
      </c>
      <c r="O291" s="1446">
        <f t="shared" si="41"/>
        <v>0</v>
      </c>
      <c r="P291" s="1448">
        <f t="shared" si="41"/>
        <v>6302.8134865800002</v>
      </c>
      <c r="Q291" s="1447">
        <f t="shared" si="41"/>
        <v>0</v>
      </c>
      <c r="R291" s="1446">
        <f t="shared" si="41"/>
        <v>0</v>
      </c>
      <c r="S291" s="1449">
        <f t="shared" si="41"/>
        <v>28080.684226672747</v>
      </c>
      <c r="T291" s="1447">
        <f t="shared" si="41"/>
        <v>0</v>
      </c>
      <c r="U291" s="1446">
        <f t="shared" si="41"/>
        <v>0</v>
      </c>
      <c r="V291" s="1448">
        <f t="shared" si="41"/>
        <v>100021.82423307837</v>
      </c>
      <c r="W291" s="1447">
        <f t="shared" si="41"/>
        <v>0</v>
      </c>
      <c r="X291" s="1446">
        <f t="shared" si="41"/>
        <v>0</v>
      </c>
      <c r="Y291" s="1449">
        <f t="shared" si="41"/>
        <v>136960.47046342236</v>
      </c>
      <c r="Z291" s="1447">
        <f t="shared" si="41"/>
        <v>0</v>
      </c>
      <c r="AA291" s="1446">
        <f t="shared" si="41"/>
        <v>0</v>
      </c>
      <c r="AB291" s="1448">
        <f t="shared" si="41"/>
        <v>180955.52010005733</v>
      </c>
      <c r="AC291" s="1544">
        <f t="shared" si="40"/>
        <v>0</v>
      </c>
      <c r="AD291" s="1545">
        <f t="shared" si="40"/>
        <v>0</v>
      </c>
      <c r="AE291" s="2134">
        <f t="shared" si="40"/>
        <v>452321.31250981078</v>
      </c>
    </row>
    <row r="292" spans="2:31" ht="51.75">
      <c r="B292" s="1414" t="s">
        <v>82</v>
      </c>
      <c r="C292" s="1879" t="s">
        <v>754</v>
      </c>
      <c r="D292" s="1479" t="s">
        <v>2165</v>
      </c>
      <c r="E292" s="2832"/>
      <c r="F292" s="2832"/>
      <c r="G292" s="2832"/>
      <c r="H292" s="3456"/>
      <c r="I292" s="3456"/>
      <c r="J292" s="2233"/>
      <c r="K292" s="2233"/>
      <c r="L292" s="2233"/>
      <c r="M292" s="2233"/>
      <c r="N292" s="1542"/>
      <c r="O292" s="1543"/>
      <c r="P292" s="1440">
        <f>Мероприятия_и_источники!$I$477</f>
        <v>0</v>
      </c>
      <c r="Q292" s="1542"/>
      <c r="R292" s="1543"/>
      <c r="S292" s="1450">
        <f>Мероприятия_и_источники!$J$477</f>
        <v>0</v>
      </c>
      <c r="T292" s="1542"/>
      <c r="U292" s="1543"/>
      <c r="V292" s="1440">
        <f>Мероприятия_и_источники!$K$477</f>
        <v>0</v>
      </c>
      <c r="W292" s="1542"/>
      <c r="X292" s="1543"/>
      <c r="Y292" s="1450">
        <f>Мероприятия_и_источники!$L$477</f>
        <v>9698.3785827647152</v>
      </c>
      <c r="Z292" s="1542"/>
      <c r="AA292" s="1543"/>
      <c r="AB292" s="1440">
        <f>Мероприятия_и_источники!$M$477</f>
        <v>0</v>
      </c>
      <c r="AC292" s="1544">
        <v>0</v>
      </c>
      <c r="AD292" s="1545">
        <v>0</v>
      </c>
      <c r="AE292" s="1546">
        <v>10163.900754737422</v>
      </c>
    </row>
    <row r="293" spans="2:31" ht="51.75">
      <c r="B293" s="1414" t="s">
        <v>83</v>
      </c>
      <c r="C293" s="1879" t="s">
        <v>756</v>
      </c>
      <c r="D293" s="1479" t="s">
        <v>2165</v>
      </c>
      <c r="E293" s="2590" t="s">
        <v>15038</v>
      </c>
      <c r="F293" s="2590"/>
      <c r="G293" s="2590"/>
      <c r="H293" s="2590"/>
      <c r="I293" s="2233"/>
      <c r="J293" s="2233"/>
      <c r="K293" s="2233"/>
      <c r="L293" s="2233"/>
      <c r="M293" s="2233"/>
      <c r="N293" s="1542"/>
      <c r="O293" s="1543"/>
      <c r="P293" s="1440">
        <f>Мероприятия_и_источники!$I$481</f>
        <v>0</v>
      </c>
      <c r="Q293" s="1542"/>
      <c r="R293" s="1543"/>
      <c r="S293" s="1450">
        <f>Мероприятия_и_источники!$J$481</f>
        <v>0</v>
      </c>
      <c r="T293" s="1542"/>
      <c r="U293" s="1543"/>
      <c r="V293" s="1440">
        <f>Мероприятия_и_источники!$K$481</f>
        <v>0</v>
      </c>
      <c r="W293" s="1542"/>
      <c r="X293" s="1543"/>
      <c r="Y293" s="1450">
        <f>Мероприятия_и_источники!$L$481</f>
        <v>6943.073294970437</v>
      </c>
      <c r="Z293" s="1542"/>
      <c r="AA293" s="1543"/>
      <c r="AB293" s="1440">
        <f>Мероприятия_и_источники!$M$481</f>
        <v>0</v>
      </c>
      <c r="AC293" s="1544">
        <v>0</v>
      </c>
      <c r="AD293" s="1545">
        <v>0</v>
      </c>
      <c r="AE293" s="1546">
        <v>6943.073294970437</v>
      </c>
    </row>
    <row r="294" spans="2:31" ht="69">
      <c r="B294" s="1414" t="s">
        <v>84</v>
      </c>
      <c r="C294" s="1879" t="s">
        <v>883</v>
      </c>
      <c r="D294" s="1479" t="s">
        <v>2165</v>
      </c>
      <c r="E294" s="2233"/>
      <c r="F294" s="2233"/>
      <c r="G294" s="2233"/>
      <c r="H294" s="2233"/>
      <c r="I294" s="2233"/>
      <c r="J294" s="2233"/>
      <c r="K294" s="2233"/>
      <c r="L294" s="2233"/>
      <c r="M294" s="2233"/>
      <c r="N294" s="1542"/>
      <c r="O294" s="1543"/>
      <c r="P294" s="1440">
        <f>Мероприятия_и_источники!$I$485</f>
        <v>0</v>
      </c>
      <c r="Q294" s="1542"/>
      <c r="R294" s="1543"/>
      <c r="S294" s="1450">
        <f>Мероприятия_и_источники!$J$485</f>
        <v>0</v>
      </c>
      <c r="T294" s="1542"/>
      <c r="U294" s="1543"/>
      <c r="V294" s="1440">
        <f>Мероприятия_и_источники!$K$485</f>
        <v>0</v>
      </c>
      <c r="W294" s="1542"/>
      <c r="X294" s="1543"/>
      <c r="Y294" s="1450">
        <f>Мероприятия_и_источники!$L$485</f>
        <v>17007.535958665481</v>
      </c>
      <c r="Z294" s="1542"/>
      <c r="AA294" s="1543"/>
      <c r="AB294" s="1440">
        <f>Мероприятия_и_источники!$M$485</f>
        <v>68030.143834661925</v>
      </c>
      <c r="AC294" s="1544">
        <v>0</v>
      </c>
      <c r="AD294" s="1545">
        <v>0</v>
      </c>
      <c r="AE294" s="1546">
        <v>77426.358998353302</v>
      </c>
    </row>
    <row r="295" spans="2:31" ht="51.75">
      <c r="B295" s="1414" t="s">
        <v>85</v>
      </c>
      <c r="C295" s="1369" t="s">
        <v>1287</v>
      </c>
      <c r="D295" s="1479" t="s">
        <v>2165</v>
      </c>
      <c r="E295" s="2233"/>
      <c r="F295" s="2233"/>
      <c r="G295" s="2233"/>
      <c r="H295" s="2233"/>
      <c r="I295" s="2233"/>
      <c r="J295" s="2233"/>
      <c r="K295" s="2233"/>
      <c r="L295" s="2233"/>
      <c r="M295" s="2233"/>
      <c r="N295" s="1542"/>
      <c r="O295" s="1543"/>
      <c r="P295" s="1440">
        <f>Мероприятия_и_источники!$I$489</f>
        <v>0</v>
      </c>
      <c r="Q295" s="1542"/>
      <c r="R295" s="1543"/>
      <c r="S295" s="1450">
        <f>Мероприятия_и_источники!$J$489</f>
        <v>0</v>
      </c>
      <c r="T295" s="1542"/>
      <c r="U295" s="1543"/>
      <c r="V295" s="1440">
        <f>Мероприятия_и_источники!$K$489</f>
        <v>0</v>
      </c>
      <c r="W295" s="1542"/>
      <c r="X295" s="1543"/>
      <c r="Y295" s="1450">
        <f>Мероприятия_и_источники!$L$489</f>
        <v>36914.73405469922</v>
      </c>
      <c r="Z295" s="1542"/>
      <c r="AA295" s="1543"/>
      <c r="AB295" s="1440">
        <f>Мероприятия_и_источники!$M$489</f>
        <v>0</v>
      </c>
      <c r="AC295" s="1544">
        <v>0</v>
      </c>
      <c r="AD295" s="1545">
        <v>0</v>
      </c>
      <c r="AE295" s="1546">
        <v>33610.670683799042</v>
      </c>
    </row>
    <row r="296" spans="2:31" ht="51.75">
      <c r="B296" s="1414" t="s">
        <v>86</v>
      </c>
      <c r="C296" s="1879" t="s">
        <v>885</v>
      </c>
      <c r="D296" s="1479" t="s">
        <v>2165</v>
      </c>
      <c r="E296" s="2233"/>
      <c r="F296" s="2233"/>
      <c r="G296" s="2233"/>
      <c r="H296" s="2233"/>
      <c r="I296" s="2233"/>
      <c r="J296" s="2233"/>
      <c r="K296" s="2233"/>
      <c r="L296" s="2233"/>
      <c r="M296" s="2233"/>
      <c r="N296" s="1542"/>
      <c r="O296" s="1543"/>
      <c r="P296" s="1440">
        <f>Мероприятия_и_источники!$I$493</f>
        <v>0</v>
      </c>
      <c r="Q296" s="1542"/>
      <c r="R296" s="1543"/>
      <c r="S296" s="1450">
        <f>Мероприятия_и_источники!$J$493</f>
        <v>0</v>
      </c>
      <c r="T296" s="1542"/>
      <c r="U296" s="1543"/>
      <c r="V296" s="1440">
        <f>Мероприятия_и_источники!$K$493</f>
        <v>0</v>
      </c>
      <c r="W296" s="1542"/>
      <c r="X296" s="1543"/>
      <c r="Y296" s="1450">
        <f>Мероприятия_и_источники!$L$493</f>
        <v>18196.955229838848</v>
      </c>
      <c r="Z296" s="1542"/>
      <c r="AA296" s="1543"/>
      <c r="AB296" s="1440">
        <f>Мероприятия_и_источники!$M$493</f>
        <v>0</v>
      </c>
      <c r="AC296" s="1544">
        <v>0</v>
      </c>
      <c r="AD296" s="1545">
        <v>0</v>
      </c>
      <c r="AE296" s="1546">
        <v>18196.955229838848</v>
      </c>
    </row>
    <row r="297" spans="2:31" ht="51.75">
      <c r="B297" s="1414" t="s">
        <v>87</v>
      </c>
      <c r="C297" s="1879" t="s">
        <v>887</v>
      </c>
      <c r="D297" s="1479" t="s">
        <v>2165</v>
      </c>
      <c r="E297" s="2233"/>
      <c r="F297" s="2233"/>
      <c r="G297" s="2233"/>
      <c r="H297" s="2233"/>
      <c r="I297" s="2233"/>
      <c r="J297" s="2233"/>
      <c r="K297" s="2233"/>
      <c r="L297" s="2233"/>
      <c r="M297" s="2233"/>
      <c r="N297" s="1542"/>
      <c r="O297" s="1543"/>
      <c r="P297" s="1440">
        <f>Мероприятия_и_источники!$I$497</f>
        <v>697.18800410999995</v>
      </c>
      <c r="Q297" s="1542"/>
      <c r="R297" s="1543"/>
      <c r="S297" s="1450">
        <f>Мероприятия_и_источники!$J$497</f>
        <v>0</v>
      </c>
      <c r="T297" s="1542"/>
      <c r="U297" s="1543"/>
      <c r="V297" s="1440">
        <f>Мероприятия_и_источники!$K$497</f>
        <v>0</v>
      </c>
      <c r="W297" s="1542"/>
      <c r="X297" s="1543"/>
      <c r="Y297" s="1450">
        <f>Мероприятия_и_источники!$L$497</f>
        <v>0</v>
      </c>
      <c r="Z297" s="1542"/>
      <c r="AA297" s="1543"/>
      <c r="AB297" s="1440">
        <f>Мероприятия_и_источники!$M$497</f>
        <v>0</v>
      </c>
      <c r="AC297" s="1544">
        <v>0</v>
      </c>
      <c r="AD297" s="1545">
        <v>0</v>
      </c>
      <c r="AE297" s="1546">
        <v>840.99814249489452</v>
      </c>
    </row>
    <row r="298" spans="2:31" ht="51.75">
      <c r="B298" s="1414" t="s">
        <v>88</v>
      </c>
      <c r="C298" s="1369" t="s">
        <v>757</v>
      </c>
      <c r="D298" s="1479" t="s">
        <v>2165</v>
      </c>
      <c r="E298" s="2233"/>
      <c r="F298" s="2233"/>
      <c r="G298" s="2233"/>
      <c r="H298" s="2233"/>
      <c r="I298" s="2233"/>
      <c r="J298" s="2233"/>
      <c r="K298" s="2233"/>
      <c r="L298" s="2233"/>
      <c r="M298" s="2233"/>
      <c r="N298" s="1542"/>
      <c r="O298" s="1543"/>
      <c r="P298" s="1440">
        <f>Мероприятия_и_источники!$I$501</f>
        <v>0</v>
      </c>
      <c r="Q298" s="1542"/>
      <c r="R298" s="1543"/>
      <c r="S298" s="1450">
        <f>Мероприятия_и_источники!$J$501</f>
        <v>0</v>
      </c>
      <c r="T298" s="1542"/>
      <c r="U298" s="1543"/>
      <c r="V298" s="1440">
        <f>Мероприятия_и_источники!$K$501</f>
        <v>0</v>
      </c>
      <c r="W298" s="1542"/>
      <c r="X298" s="1543"/>
      <c r="Y298" s="1450">
        <f>Мероприятия_и_источники!$L$501</f>
        <v>0</v>
      </c>
      <c r="Z298" s="1542"/>
      <c r="AA298" s="1543"/>
      <c r="AB298" s="1440">
        <f>Мероприятия_и_источники!$M$501</f>
        <v>5881.9695516445136</v>
      </c>
      <c r="AC298" s="1544">
        <v>0</v>
      </c>
      <c r="AD298" s="1545">
        <v>0</v>
      </c>
      <c r="AE298" s="1546">
        <v>5881.9695516445136</v>
      </c>
    </row>
    <row r="299" spans="2:31" ht="51.75">
      <c r="B299" s="1414" t="s">
        <v>89</v>
      </c>
      <c r="C299" s="1879" t="s">
        <v>889</v>
      </c>
      <c r="D299" s="1479" t="s">
        <v>2165</v>
      </c>
      <c r="E299" s="2233"/>
      <c r="F299" s="2233"/>
      <c r="G299" s="2233"/>
      <c r="H299" s="2233"/>
      <c r="I299" s="2233"/>
      <c r="J299" s="2233"/>
      <c r="K299" s="2233"/>
      <c r="L299" s="2233"/>
      <c r="M299" s="2233"/>
      <c r="N299" s="1542"/>
      <c r="O299" s="1543"/>
      <c r="P299" s="1440">
        <f>Мероприятия_и_источники!$I$505</f>
        <v>0</v>
      </c>
      <c r="Q299" s="1542"/>
      <c r="R299" s="1543"/>
      <c r="S299" s="1450">
        <f>Мероприятия_и_источники!$J$505</f>
        <v>28080.684226672747</v>
      </c>
      <c r="T299" s="1542"/>
      <c r="U299" s="1543"/>
      <c r="V299" s="1440">
        <f>Мероприятия_и_источники!$K$505</f>
        <v>33696.821072007297</v>
      </c>
      <c r="W299" s="1542"/>
      <c r="X299" s="1543"/>
      <c r="Y299" s="1450">
        <f>Мероприятия_и_источники!$L$505</f>
        <v>11232.273690669099</v>
      </c>
      <c r="Z299" s="1542"/>
      <c r="AA299" s="1543"/>
      <c r="AB299" s="1440">
        <f>Мероприятия_и_источники!$M$505</f>
        <v>1872.0456151115166</v>
      </c>
      <c r="AC299" s="1544">
        <v>0</v>
      </c>
      <c r="AD299" s="1545">
        <v>0</v>
      </c>
      <c r="AE299" s="1546">
        <v>74881.824604460664</v>
      </c>
    </row>
    <row r="300" spans="2:31" ht="51.75">
      <c r="B300" s="1414" t="s">
        <v>774</v>
      </c>
      <c r="C300" s="1879" t="s">
        <v>894</v>
      </c>
      <c r="D300" s="1479" t="s">
        <v>2165</v>
      </c>
      <c r="E300" s="2233"/>
      <c r="F300" s="2233"/>
      <c r="G300" s="2233"/>
      <c r="H300" s="2233"/>
      <c r="I300" s="2233"/>
      <c r="J300" s="2233"/>
      <c r="K300" s="2233"/>
      <c r="L300" s="2233"/>
      <c r="M300" s="2233"/>
      <c r="N300" s="1542"/>
      <c r="O300" s="1543"/>
      <c r="P300" s="1440">
        <f>Мероприятия_и_источники!$I$513</f>
        <v>5605.62548247</v>
      </c>
      <c r="Q300" s="1542"/>
      <c r="R300" s="1543"/>
      <c r="S300" s="1450">
        <f>Мероприятия_и_источники!$J$513</f>
        <v>0</v>
      </c>
      <c r="T300" s="1542"/>
      <c r="U300" s="1543"/>
      <c r="V300" s="1440">
        <f>Мероприятия_и_источники!$K$513</f>
        <v>0</v>
      </c>
      <c r="W300" s="1542"/>
      <c r="X300" s="1543"/>
      <c r="Y300" s="1450">
        <f>Мероприятия_и_источники!$L$513</f>
        <v>0</v>
      </c>
      <c r="Z300" s="1542"/>
      <c r="AA300" s="1543"/>
      <c r="AB300" s="1440">
        <f>Мероприятия_и_источники!$M$513</f>
        <v>0</v>
      </c>
      <c r="AC300" s="1544">
        <v>0</v>
      </c>
      <c r="AD300" s="1545">
        <v>0</v>
      </c>
      <c r="AE300" s="1546">
        <v>6761.9072480993354</v>
      </c>
    </row>
    <row r="301" spans="2:31" ht="51.75">
      <c r="B301" s="1414" t="s">
        <v>90</v>
      </c>
      <c r="C301" s="1369" t="s">
        <v>896</v>
      </c>
      <c r="D301" s="1479" t="s">
        <v>2165</v>
      </c>
      <c r="E301" s="2233"/>
      <c r="F301" s="2233"/>
      <c r="G301" s="2233"/>
      <c r="H301" s="2233"/>
      <c r="I301" s="2233"/>
      <c r="J301" s="2233"/>
      <c r="K301" s="2233"/>
      <c r="L301" s="2233"/>
      <c r="M301" s="2233"/>
      <c r="N301" s="1542"/>
      <c r="O301" s="1543"/>
      <c r="P301" s="1440">
        <f>Мероприятия_и_источники!$I$517</f>
        <v>0</v>
      </c>
      <c r="Q301" s="1542"/>
      <c r="R301" s="1543"/>
      <c r="S301" s="1450">
        <f>Мероприятия_и_источники!$J$517</f>
        <v>0</v>
      </c>
      <c r="T301" s="1542"/>
      <c r="U301" s="1543"/>
      <c r="V301" s="1440">
        <f>Мероприятия_и_источники!$K$517</f>
        <v>36967.51965181456</v>
      </c>
      <c r="W301" s="1542"/>
      <c r="X301" s="1543"/>
      <c r="Y301" s="1450">
        <f>Мероприятия_и_источники!$L$517</f>
        <v>36967.51965181456</v>
      </c>
      <c r="Z301" s="1542"/>
      <c r="AA301" s="1543"/>
      <c r="AB301" s="1440">
        <f>Мероприятия_и_источники!$M$517</f>
        <v>58091.816595708602</v>
      </c>
      <c r="AC301" s="1544">
        <v>0</v>
      </c>
      <c r="AD301" s="1545">
        <v>0</v>
      </c>
      <c r="AE301" s="1546">
        <v>132026.85589933771</v>
      </c>
    </row>
    <row r="302" spans="2:31" ht="51.75">
      <c r="B302" s="1414" t="s">
        <v>91</v>
      </c>
      <c r="C302" s="1879" t="s">
        <v>755</v>
      </c>
      <c r="D302" s="1479" t="s">
        <v>2165</v>
      </c>
      <c r="E302" s="2233"/>
      <c r="F302" s="2233"/>
      <c r="G302" s="2233"/>
      <c r="H302" s="2233"/>
      <c r="I302" s="2233"/>
      <c r="J302" s="2233"/>
      <c r="K302" s="2233"/>
      <c r="L302" s="2233"/>
      <c r="M302" s="2233"/>
      <c r="N302" s="1542"/>
      <c r="O302" s="1543"/>
      <c r="P302" s="1440">
        <f>Мероприятия_и_источники!$I$521</f>
        <v>0</v>
      </c>
      <c r="Q302" s="1542"/>
      <c r="R302" s="1543"/>
      <c r="S302" s="1450">
        <f>Мероприятия_и_источники!$J$521</f>
        <v>0</v>
      </c>
      <c r="T302" s="1542"/>
      <c r="U302" s="1543"/>
      <c r="V302" s="1440">
        <f>Мероприятия_и_источники!$K$521</f>
        <v>29357.483509256497</v>
      </c>
      <c r="W302" s="1542"/>
      <c r="X302" s="1543"/>
      <c r="Y302" s="1450">
        <f>Мероприятия_и_источники!$L$521</f>
        <v>0</v>
      </c>
      <c r="Z302" s="1542"/>
      <c r="AA302" s="1543"/>
      <c r="AB302" s="1440">
        <f>Мероприятия_и_источники!$M$521</f>
        <v>0</v>
      </c>
      <c r="AC302" s="1544">
        <v>0</v>
      </c>
      <c r="AD302" s="1545">
        <v>0</v>
      </c>
      <c r="AE302" s="1546">
        <v>28012.865943947039</v>
      </c>
    </row>
    <row r="303" spans="2:31" ht="51.75">
      <c r="B303" s="1414" t="s">
        <v>144</v>
      </c>
      <c r="C303" s="1369" t="s">
        <v>898</v>
      </c>
      <c r="D303" s="1479" t="s">
        <v>2165</v>
      </c>
      <c r="E303" s="2233"/>
      <c r="F303" s="2233"/>
      <c r="G303" s="2233"/>
      <c r="H303" s="2233"/>
      <c r="I303" s="2233"/>
      <c r="J303" s="2233"/>
      <c r="K303" s="2233"/>
      <c r="L303" s="2233"/>
      <c r="M303" s="2233"/>
      <c r="N303" s="1542"/>
      <c r="O303" s="1543"/>
      <c r="P303" s="1440">
        <f>Мероприятия_и_источники!$I$525</f>
        <v>0</v>
      </c>
      <c r="Q303" s="1542"/>
      <c r="R303" s="1543"/>
      <c r="S303" s="1450">
        <f>Мероприятия_и_источники!$J$525</f>
        <v>0</v>
      </c>
      <c r="T303" s="1542"/>
      <c r="U303" s="1543"/>
      <c r="V303" s="1440">
        <f>Мероприятия_и_источники!$K$525</f>
        <v>0</v>
      </c>
      <c r="W303" s="1542"/>
      <c r="X303" s="1543"/>
      <c r="Y303" s="1450">
        <f>Мероприятия_и_источники!$L$525</f>
        <v>0</v>
      </c>
      <c r="Z303" s="1542"/>
      <c r="AA303" s="1543"/>
      <c r="AB303" s="1440">
        <f>Мероприятия_и_источники!$M$525</f>
        <v>40124.852374263028</v>
      </c>
      <c r="AC303" s="1544">
        <v>0</v>
      </c>
      <c r="AD303" s="1545">
        <v>0</v>
      </c>
      <c r="AE303" s="1546">
        <v>40124.852374263028</v>
      </c>
    </row>
    <row r="304" spans="2:31" ht="34.5">
      <c r="B304" s="1414" t="s">
        <v>145</v>
      </c>
      <c r="C304" s="1879" t="s">
        <v>1108</v>
      </c>
      <c r="D304" s="1479" t="s">
        <v>2165</v>
      </c>
      <c r="E304" s="2233"/>
      <c r="F304" s="2233"/>
      <c r="G304" s="2233"/>
      <c r="H304" s="2233"/>
      <c r="I304" s="2233"/>
      <c r="J304" s="2233"/>
      <c r="K304" s="2233"/>
      <c r="L304" s="2233"/>
      <c r="M304" s="2233"/>
      <c r="N304" s="1542"/>
      <c r="O304" s="1543"/>
      <c r="P304" s="1440">
        <f>Мероприятия_и_источники!$I$529</f>
        <v>0</v>
      </c>
      <c r="Q304" s="1542"/>
      <c r="R304" s="1543"/>
      <c r="S304" s="1450">
        <f>Мероприятия_и_источники!$J$529</f>
        <v>0</v>
      </c>
      <c r="T304" s="1542"/>
      <c r="U304" s="1543"/>
      <c r="V304" s="1440">
        <f>Мероприятия_и_источники!$K$529</f>
        <v>0</v>
      </c>
      <c r="W304" s="1542"/>
      <c r="X304" s="1543"/>
      <c r="Y304" s="1450">
        <f>Мероприятия_и_источники!$L$529</f>
        <v>0</v>
      </c>
      <c r="Z304" s="1542"/>
      <c r="AA304" s="1543"/>
      <c r="AB304" s="1440">
        <f>Мероприятия_и_источники!$M$529</f>
        <v>6954.692128667738</v>
      </c>
      <c r="AC304" s="1544">
        <v>0</v>
      </c>
      <c r="AD304" s="1545">
        <v>0</v>
      </c>
      <c r="AE304" s="1546">
        <v>6954.692128667738</v>
      </c>
    </row>
    <row r="305" spans="2:31" ht="138">
      <c r="B305" s="2582" t="s">
        <v>3</v>
      </c>
      <c r="C305" s="2583" t="s">
        <v>1096</v>
      </c>
      <c r="D305" s="1478" t="s">
        <v>2165</v>
      </c>
      <c r="E305" s="2233"/>
      <c r="F305" s="2233"/>
      <c r="G305" s="2233"/>
      <c r="H305" s="2233"/>
      <c r="I305" s="2233"/>
      <c r="J305" s="2233"/>
      <c r="K305" s="2233"/>
      <c r="L305" s="2233"/>
      <c r="M305" s="2233"/>
      <c r="N305" s="2133">
        <f>SUM(N306:N308)</f>
        <v>0</v>
      </c>
      <c r="O305" s="2132">
        <f t="shared" ref="O305:AB305" si="42">SUM(O306:O308)</f>
        <v>0</v>
      </c>
      <c r="P305" s="1546">
        <f t="shared" si="42"/>
        <v>0</v>
      </c>
      <c r="Q305" s="2133">
        <f t="shared" si="42"/>
        <v>0</v>
      </c>
      <c r="R305" s="2132">
        <f t="shared" si="42"/>
        <v>0</v>
      </c>
      <c r="S305" s="2134">
        <f t="shared" si="42"/>
        <v>19607.874849388802</v>
      </c>
      <c r="T305" s="2133">
        <f t="shared" si="42"/>
        <v>0</v>
      </c>
      <c r="U305" s="2132">
        <f t="shared" si="42"/>
        <v>0</v>
      </c>
      <c r="V305" s="1546">
        <f t="shared" si="42"/>
        <v>19607.874849388802</v>
      </c>
      <c r="W305" s="2133">
        <f t="shared" si="42"/>
        <v>0</v>
      </c>
      <c r="X305" s="2132">
        <f t="shared" si="42"/>
        <v>0</v>
      </c>
      <c r="Y305" s="2134">
        <f t="shared" si="42"/>
        <v>56398.659023374836</v>
      </c>
      <c r="Z305" s="2133">
        <f t="shared" si="42"/>
        <v>0</v>
      </c>
      <c r="AA305" s="2132">
        <f t="shared" si="42"/>
        <v>0</v>
      </c>
      <c r="AB305" s="1546">
        <f t="shared" si="42"/>
        <v>67794.993484454433</v>
      </c>
      <c r="AC305" s="1544">
        <f>SUM(N305,Q305,T305,W305,Z305)</f>
        <v>0</v>
      </c>
      <c r="AD305" s="1545">
        <f>SUM(O305,R305,U305,X305,AA305)</f>
        <v>0</v>
      </c>
      <c r="AE305" s="1546">
        <f>SUM(P305,S305,V305,Y305,AB305)</f>
        <v>163409.40220660687</v>
      </c>
    </row>
    <row r="306" spans="2:31" ht="86.25">
      <c r="B306" s="1414" t="s">
        <v>92</v>
      </c>
      <c r="C306" s="1369" t="s">
        <v>15045</v>
      </c>
      <c r="D306" s="1479" t="s">
        <v>2165</v>
      </c>
      <c r="E306" s="2233"/>
      <c r="F306" s="2233"/>
      <c r="G306" s="2233"/>
      <c r="H306" s="2233"/>
      <c r="I306" s="2233"/>
      <c r="J306" s="2233"/>
      <c r="K306" s="2233"/>
      <c r="L306" s="2233"/>
      <c r="M306" s="2233"/>
      <c r="N306" s="2127"/>
      <c r="O306" s="2128"/>
      <c r="P306" s="1441">
        <f>Мероприятия_и_источники!$I$553</f>
        <v>0</v>
      </c>
      <c r="Q306" s="2127"/>
      <c r="R306" s="2128"/>
      <c r="S306" s="1451">
        <f>Мероприятия_и_источники!$J$553</f>
        <v>19607.874849388802</v>
      </c>
      <c r="T306" s="2127"/>
      <c r="U306" s="2128"/>
      <c r="V306" s="1441">
        <f>Мероприятия_и_источники!$K$553</f>
        <v>19607.874849388802</v>
      </c>
      <c r="W306" s="2127"/>
      <c r="X306" s="2128"/>
      <c r="Y306" s="1451">
        <f>Мероприятия_и_источники!$L$553</f>
        <v>0</v>
      </c>
      <c r="Z306" s="2127"/>
      <c r="AA306" s="2128"/>
      <c r="AB306" s="1441">
        <f>Мероприятия_и_источники!$M$553</f>
        <v>0</v>
      </c>
      <c r="AC306" s="2129">
        <v>0</v>
      </c>
      <c r="AD306" s="2130">
        <v>0</v>
      </c>
      <c r="AE306" s="2131">
        <v>37419.608491200001</v>
      </c>
    </row>
    <row r="307" spans="2:31" ht="51.75">
      <c r="B307" s="1414" t="s">
        <v>14895</v>
      </c>
      <c r="C307" s="1879" t="s">
        <v>14963</v>
      </c>
      <c r="D307" s="1479" t="s">
        <v>2165</v>
      </c>
      <c r="E307" s="2233"/>
      <c r="F307" s="2233"/>
      <c r="G307" s="2233"/>
      <c r="H307" s="2233"/>
      <c r="I307" s="2233"/>
      <c r="J307" s="2233"/>
      <c r="K307" s="2233"/>
      <c r="L307" s="2233"/>
      <c r="M307" s="2233"/>
      <c r="N307" s="1542"/>
      <c r="O307" s="1543"/>
      <c r="P307" s="1440">
        <f>Мероприятия_и_источники!$I$557</f>
        <v>0</v>
      </c>
      <c r="Q307" s="1542"/>
      <c r="R307" s="1543"/>
      <c r="S307" s="1450">
        <f>Мероприятия_и_источники!$J$557</f>
        <v>0</v>
      </c>
      <c r="T307" s="1542"/>
      <c r="U307" s="1543"/>
      <c r="V307" s="1440">
        <f>Мероприятия_и_источники!$K$557</f>
        <v>0</v>
      </c>
      <c r="W307" s="1542"/>
      <c r="X307" s="1543"/>
      <c r="Y307" s="1450">
        <f>Мероприятия_и_источники!$L$557</f>
        <v>54416.912320112686</v>
      </c>
      <c r="Z307" s="1542"/>
      <c r="AA307" s="1543"/>
      <c r="AB307" s="1440">
        <f>Мероприятия_и_источники!$M$557</f>
        <v>0</v>
      </c>
      <c r="AC307" s="1544">
        <v>0</v>
      </c>
      <c r="AD307" s="1545">
        <v>0</v>
      </c>
      <c r="AE307" s="1546">
        <v>47277.014976360006</v>
      </c>
    </row>
    <row r="308" spans="2:31" ht="35.25" thickBot="1">
      <c r="B308" s="2101" t="s">
        <v>14896</v>
      </c>
      <c r="C308" s="2591" t="s">
        <v>14961</v>
      </c>
      <c r="D308" s="2103" t="s">
        <v>2165</v>
      </c>
      <c r="E308" s="2592"/>
      <c r="F308" s="2592"/>
      <c r="G308" s="2592"/>
      <c r="H308" s="2592"/>
      <c r="I308" s="2592"/>
      <c r="J308" s="2592"/>
      <c r="K308" s="2592"/>
      <c r="L308" s="2592"/>
      <c r="M308" s="2592"/>
      <c r="N308" s="1640"/>
      <c r="O308" s="1641"/>
      <c r="P308" s="1642">
        <f>Мероприятия_и_источники!$I$561</f>
        <v>0</v>
      </c>
      <c r="Q308" s="1640"/>
      <c r="R308" s="1641"/>
      <c r="S308" s="1643">
        <f>Мероприятия_и_источники!$J$561</f>
        <v>0</v>
      </c>
      <c r="T308" s="1640"/>
      <c r="U308" s="1641"/>
      <c r="V308" s="1642">
        <f>Мероприятия_и_источники!$K$561</f>
        <v>0</v>
      </c>
      <c r="W308" s="1640"/>
      <c r="X308" s="1641"/>
      <c r="Y308" s="1643">
        <f>Мероприятия_и_источники!$L$561</f>
        <v>1981.746703262153</v>
      </c>
      <c r="Z308" s="1640"/>
      <c r="AA308" s="1641"/>
      <c r="AB308" s="1642">
        <f>Мероприятия_и_источники!$M$561</f>
        <v>67794.993484454433</v>
      </c>
      <c r="AC308" s="1644">
        <v>0</v>
      </c>
      <c r="AD308" s="1645">
        <v>0</v>
      </c>
      <c r="AE308" s="1646">
        <v>63531.353967313771</v>
      </c>
    </row>
  </sheetData>
  <mergeCells count="20">
    <mergeCell ref="H292:I292"/>
    <mergeCell ref="N3:P3"/>
    <mergeCell ref="Q3:S3"/>
    <mergeCell ref="T3:V3"/>
    <mergeCell ref="W3:Y3"/>
    <mergeCell ref="Z3:AB3"/>
    <mergeCell ref="B275:L275"/>
    <mergeCell ref="B3:B4"/>
    <mergeCell ref="C3:C4"/>
    <mergeCell ref="D3:D4"/>
    <mergeCell ref="E3:G3"/>
    <mergeCell ref="H3:J3"/>
    <mergeCell ref="K3:M3"/>
    <mergeCell ref="C1:AB1"/>
    <mergeCell ref="E2:M2"/>
    <mergeCell ref="N2:P2"/>
    <mergeCell ref="Q2:S2"/>
    <mergeCell ref="T2:V2"/>
    <mergeCell ref="W2:Y2"/>
    <mergeCell ref="Z2:AB2"/>
  </mergeCells>
  <printOptions horizontalCentered="1"/>
  <pageMargins left="0" right="0" top="0.39370078740157483" bottom="0.39370078740157483" header="0.31496062992125984" footer="0.31496062992125984"/>
  <pageSetup paperSize="9" scale="36" fitToHeight="0" orientation="landscape" r:id="rId1"/>
  <rowBreaks count="1" manualBreakCount="1">
    <brk id="242" max="30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6"/>
    <pageSetUpPr fitToPage="1"/>
  </sheetPr>
  <dimension ref="A1:AF292"/>
  <sheetViews>
    <sheetView view="pageBreakPreview" zoomScale="60" zoomScaleNormal="80" workbookViewId="0">
      <pane ySplit="4" topLeftCell="A201" activePane="bottomLeft" state="frozen"/>
      <selection pane="bottomLeft" activeCell="Q292" sqref="Q292"/>
    </sheetView>
  </sheetViews>
  <sheetFormatPr defaultColWidth="8.28515625" defaultRowHeight="15.75" outlineLevelRow="1" outlineLevelCol="1"/>
  <cols>
    <col min="1" max="1" width="0.7109375" style="2218" customWidth="1"/>
    <col min="2" max="2" width="15.42578125" style="2218" customWidth="1"/>
    <col min="3" max="3" width="70.42578125" style="2219" customWidth="1"/>
    <col min="4" max="4" width="22" style="2584" customWidth="1"/>
    <col min="5" max="5" width="14.5703125" style="2219" hidden="1" customWidth="1" outlineLevel="1"/>
    <col min="6" max="6" width="14.140625" style="2219" hidden="1" customWidth="1" outlineLevel="1"/>
    <col min="7" max="7" width="14.42578125" style="2219" hidden="1" customWidth="1" outlineLevel="1"/>
    <col min="8" max="8" width="14.5703125" style="2219" hidden="1" customWidth="1" outlineLevel="1"/>
    <col min="9" max="9" width="14.140625" style="2219" hidden="1" customWidth="1" outlineLevel="1"/>
    <col min="10" max="10" width="14.42578125" style="2219" hidden="1" customWidth="1" outlineLevel="1"/>
    <col min="11" max="11" width="14.5703125" style="2219" hidden="1" customWidth="1" outlineLevel="1"/>
    <col min="12" max="12" width="14.140625" style="2219" hidden="1" customWidth="1" outlineLevel="1"/>
    <col min="13" max="13" width="14.42578125" style="2219" hidden="1" customWidth="1" outlineLevel="1"/>
    <col min="14" max="14" width="16.85546875" style="2219" bestFit="1" customWidth="1" collapsed="1"/>
    <col min="15" max="15" width="16.85546875" style="2219" bestFit="1" customWidth="1"/>
    <col min="16" max="16" width="15.5703125" style="2219" bestFit="1" customWidth="1"/>
    <col min="17" max="18" width="16.85546875" style="2219" bestFit="1" customWidth="1"/>
    <col min="19" max="19" width="15.5703125" style="2219" bestFit="1" customWidth="1"/>
    <col min="20" max="21" width="16.85546875" style="2219" bestFit="1" customWidth="1"/>
    <col min="22" max="22" width="15.5703125" style="2219" bestFit="1" customWidth="1"/>
    <col min="23" max="24" width="16.85546875" style="2219" bestFit="1" customWidth="1"/>
    <col min="25" max="25" width="15.5703125" style="2219" bestFit="1" customWidth="1"/>
    <col min="26" max="27" width="16.85546875" style="2219" bestFit="1" customWidth="1"/>
    <col min="28" max="28" width="15.5703125" style="2464" bestFit="1" customWidth="1"/>
    <col min="29" max="29" width="8.28515625" customWidth="1"/>
    <col min="30" max="30" width="8.7109375" bestFit="1" customWidth="1"/>
    <col min="32" max="32" width="9.42578125" bestFit="1" customWidth="1"/>
    <col min="254" max="254" width="0.7109375" customWidth="1"/>
    <col min="255" max="255" width="10.5703125" customWidth="1"/>
    <col min="256" max="256" width="46.42578125" customWidth="1"/>
    <col min="257" max="257" width="12.7109375" customWidth="1"/>
    <col min="258" max="266" width="0" hidden="1" customWidth="1"/>
    <col min="267" max="267" width="14.5703125" customWidth="1"/>
    <col min="268" max="268" width="19.140625" customWidth="1"/>
    <col min="269" max="270" width="14.5703125" customWidth="1"/>
    <col min="271" max="272" width="14.140625" customWidth="1"/>
    <col min="273" max="273" width="15.28515625" customWidth="1"/>
    <col min="274" max="274" width="14.140625" customWidth="1"/>
    <col min="275" max="275" width="15.140625" customWidth="1"/>
    <col min="276" max="277" width="14.140625" customWidth="1"/>
    <col min="278" max="279" width="14.5703125" customWidth="1"/>
    <col min="280" max="280" width="14.140625" customWidth="1"/>
    <col min="281" max="281" width="14.5703125" customWidth="1"/>
    <col min="282" max="282" width="21.42578125" customWidth="1"/>
    <col min="283" max="283" width="18" customWidth="1"/>
    <col min="284" max="284" width="16.28515625" customWidth="1"/>
    <col min="285" max="285" width="8.28515625" customWidth="1"/>
    <col min="288" max="288" width="9.42578125" bestFit="1" customWidth="1"/>
    <col min="510" max="510" width="0.7109375" customWidth="1"/>
    <col min="511" max="511" width="10.5703125" customWidth="1"/>
    <col min="512" max="512" width="46.42578125" customWidth="1"/>
    <col min="513" max="513" width="12.7109375" customWidth="1"/>
    <col min="514" max="522" width="0" hidden="1" customWidth="1"/>
    <col min="523" max="523" width="14.5703125" customWidth="1"/>
    <col min="524" max="524" width="19.140625" customWidth="1"/>
    <col min="525" max="526" width="14.5703125" customWidth="1"/>
    <col min="527" max="528" width="14.140625" customWidth="1"/>
    <col min="529" max="529" width="15.28515625" customWidth="1"/>
    <col min="530" max="530" width="14.140625" customWidth="1"/>
    <col min="531" max="531" width="15.140625" customWidth="1"/>
    <col min="532" max="533" width="14.140625" customWidth="1"/>
    <col min="534" max="535" width="14.5703125" customWidth="1"/>
    <col min="536" max="536" width="14.140625" customWidth="1"/>
    <col min="537" max="537" width="14.5703125" customWidth="1"/>
    <col min="538" max="538" width="21.42578125" customWidth="1"/>
    <col min="539" max="539" width="18" customWidth="1"/>
    <col min="540" max="540" width="16.28515625" customWidth="1"/>
    <col min="541" max="541" width="8.28515625" customWidth="1"/>
    <col min="544" max="544" width="9.42578125" bestFit="1" customWidth="1"/>
    <col min="766" max="766" width="0.7109375" customWidth="1"/>
    <col min="767" max="767" width="10.5703125" customWidth="1"/>
    <col min="768" max="768" width="46.42578125" customWidth="1"/>
    <col min="769" max="769" width="12.7109375" customWidth="1"/>
    <col min="770" max="778" width="0" hidden="1" customWidth="1"/>
    <col min="779" max="779" width="14.5703125" customWidth="1"/>
    <col min="780" max="780" width="19.140625" customWidth="1"/>
    <col min="781" max="782" width="14.5703125" customWidth="1"/>
    <col min="783" max="784" width="14.140625" customWidth="1"/>
    <col min="785" max="785" width="15.28515625" customWidth="1"/>
    <col min="786" max="786" width="14.140625" customWidth="1"/>
    <col min="787" max="787" width="15.140625" customWidth="1"/>
    <col min="788" max="789" width="14.140625" customWidth="1"/>
    <col min="790" max="791" width="14.5703125" customWidth="1"/>
    <col min="792" max="792" width="14.140625" customWidth="1"/>
    <col min="793" max="793" width="14.5703125" customWidth="1"/>
    <col min="794" max="794" width="21.42578125" customWidth="1"/>
    <col min="795" max="795" width="18" customWidth="1"/>
    <col min="796" max="796" width="16.28515625" customWidth="1"/>
    <col min="797" max="797" width="8.28515625" customWidth="1"/>
    <col min="800" max="800" width="9.42578125" bestFit="1" customWidth="1"/>
    <col min="1022" max="1022" width="0.7109375" customWidth="1"/>
    <col min="1023" max="1023" width="10.5703125" customWidth="1"/>
    <col min="1024" max="1024" width="46.42578125" customWidth="1"/>
    <col min="1025" max="1025" width="12.7109375" customWidth="1"/>
    <col min="1026" max="1034" width="0" hidden="1" customWidth="1"/>
    <col min="1035" max="1035" width="14.5703125" customWidth="1"/>
    <col min="1036" max="1036" width="19.140625" customWidth="1"/>
    <col min="1037" max="1038" width="14.5703125" customWidth="1"/>
    <col min="1039" max="1040" width="14.140625" customWidth="1"/>
    <col min="1041" max="1041" width="15.28515625" customWidth="1"/>
    <col min="1042" max="1042" width="14.140625" customWidth="1"/>
    <col min="1043" max="1043" width="15.140625" customWidth="1"/>
    <col min="1044" max="1045" width="14.140625" customWidth="1"/>
    <col min="1046" max="1047" width="14.5703125" customWidth="1"/>
    <col min="1048" max="1048" width="14.140625" customWidth="1"/>
    <col min="1049" max="1049" width="14.5703125" customWidth="1"/>
    <col min="1050" max="1050" width="21.42578125" customWidth="1"/>
    <col min="1051" max="1051" width="18" customWidth="1"/>
    <col min="1052" max="1052" width="16.28515625" customWidth="1"/>
    <col min="1053" max="1053" width="8.28515625" customWidth="1"/>
    <col min="1056" max="1056" width="9.42578125" bestFit="1" customWidth="1"/>
    <col min="1278" max="1278" width="0.7109375" customWidth="1"/>
    <col min="1279" max="1279" width="10.5703125" customWidth="1"/>
    <col min="1280" max="1280" width="46.42578125" customWidth="1"/>
    <col min="1281" max="1281" width="12.7109375" customWidth="1"/>
    <col min="1282" max="1290" width="0" hidden="1" customWidth="1"/>
    <col min="1291" max="1291" width="14.5703125" customWidth="1"/>
    <col min="1292" max="1292" width="19.140625" customWidth="1"/>
    <col min="1293" max="1294" width="14.5703125" customWidth="1"/>
    <col min="1295" max="1296" width="14.140625" customWidth="1"/>
    <col min="1297" max="1297" width="15.28515625" customWidth="1"/>
    <col min="1298" max="1298" width="14.140625" customWidth="1"/>
    <col min="1299" max="1299" width="15.140625" customWidth="1"/>
    <col min="1300" max="1301" width="14.140625" customWidth="1"/>
    <col min="1302" max="1303" width="14.5703125" customWidth="1"/>
    <col min="1304" max="1304" width="14.140625" customWidth="1"/>
    <col min="1305" max="1305" width="14.5703125" customWidth="1"/>
    <col min="1306" max="1306" width="21.42578125" customWidth="1"/>
    <col min="1307" max="1307" width="18" customWidth="1"/>
    <col min="1308" max="1308" width="16.28515625" customWidth="1"/>
    <col min="1309" max="1309" width="8.28515625" customWidth="1"/>
    <col min="1312" max="1312" width="9.42578125" bestFit="1" customWidth="1"/>
    <col min="1534" max="1534" width="0.7109375" customWidth="1"/>
    <col min="1535" max="1535" width="10.5703125" customWidth="1"/>
    <col min="1536" max="1536" width="46.42578125" customWidth="1"/>
    <col min="1537" max="1537" width="12.7109375" customWidth="1"/>
    <col min="1538" max="1546" width="0" hidden="1" customWidth="1"/>
    <col min="1547" max="1547" width="14.5703125" customWidth="1"/>
    <col min="1548" max="1548" width="19.140625" customWidth="1"/>
    <col min="1549" max="1550" width="14.5703125" customWidth="1"/>
    <col min="1551" max="1552" width="14.140625" customWidth="1"/>
    <col min="1553" max="1553" width="15.28515625" customWidth="1"/>
    <col min="1554" max="1554" width="14.140625" customWidth="1"/>
    <col min="1555" max="1555" width="15.140625" customWidth="1"/>
    <col min="1556" max="1557" width="14.140625" customWidth="1"/>
    <col min="1558" max="1559" width="14.5703125" customWidth="1"/>
    <col min="1560" max="1560" width="14.140625" customWidth="1"/>
    <col min="1561" max="1561" width="14.5703125" customWidth="1"/>
    <col min="1562" max="1562" width="21.42578125" customWidth="1"/>
    <col min="1563" max="1563" width="18" customWidth="1"/>
    <col min="1564" max="1564" width="16.28515625" customWidth="1"/>
    <col min="1565" max="1565" width="8.28515625" customWidth="1"/>
    <col min="1568" max="1568" width="9.42578125" bestFit="1" customWidth="1"/>
    <col min="1790" max="1790" width="0.7109375" customWidth="1"/>
    <col min="1791" max="1791" width="10.5703125" customWidth="1"/>
    <col min="1792" max="1792" width="46.42578125" customWidth="1"/>
    <col min="1793" max="1793" width="12.7109375" customWidth="1"/>
    <col min="1794" max="1802" width="0" hidden="1" customWidth="1"/>
    <col min="1803" max="1803" width="14.5703125" customWidth="1"/>
    <col min="1804" max="1804" width="19.140625" customWidth="1"/>
    <col min="1805" max="1806" width="14.5703125" customWidth="1"/>
    <col min="1807" max="1808" width="14.140625" customWidth="1"/>
    <col min="1809" max="1809" width="15.28515625" customWidth="1"/>
    <col min="1810" max="1810" width="14.140625" customWidth="1"/>
    <col min="1811" max="1811" width="15.140625" customWidth="1"/>
    <col min="1812" max="1813" width="14.140625" customWidth="1"/>
    <col min="1814" max="1815" width="14.5703125" customWidth="1"/>
    <col min="1816" max="1816" width="14.140625" customWidth="1"/>
    <col min="1817" max="1817" width="14.5703125" customWidth="1"/>
    <col min="1818" max="1818" width="21.42578125" customWidth="1"/>
    <col min="1819" max="1819" width="18" customWidth="1"/>
    <col min="1820" max="1820" width="16.28515625" customWidth="1"/>
    <col min="1821" max="1821" width="8.28515625" customWidth="1"/>
    <col min="1824" max="1824" width="9.42578125" bestFit="1" customWidth="1"/>
    <col min="2046" max="2046" width="0.7109375" customWidth="1"/>
    <col min="2047" max="2047" width="10.5703125" customWidth="1"/>
    <col min="2048" max="2048" width="46.42578125" customWidth="1"/>
    <col min="2049" max="2049" width="12.7109375" customWidth="1"/>
    <col min="2050" max="2058" width="0" hidden="1" customWidth="1"/>
    <col min="2059" max="2059" width="14.5703125" customWidth="1"/>
    <col min="2060" max="2060" width="19.140625" customWidth="1"/>
    <col min="2061" max="2062" width="14.5703125" customWidth="1"/>
    <col min="2063" max="2064" width="14.140625" customWidth="1"/>
    <col min="2065" max="2065" width="15.28515625" customWidth="1"/>
    <col min="2066" max="2066" width="14.140625" customWidth="1"/>
    <col min="2067" max="2067" width="15.140625" customWidth="1"/>
    <col min="2068" max="2069" width="14.140625" customWidth="1"/>
    <col min="2070" max="2071" width="14.5703125" customWidth="1"/>
    <col min="2072" max="2072" width="14.140625" customWidth="1"/>
    <col min="2073" max="2073" width="14.5703125" customWidth="1"/>
    <col min="2074" max="2074" width="21.42578125" customWidth="1"/>
    <col min="2075" max="2075" width="18" customWidth="1"/>
    <col min="2076" max="2076" width="16.28515625" customWidth="1"/>
    <col min="2077" max="2077" width="8.28515625" customWidth="1"/>
    <col min="2080" max="2080" width="9.42578125" bestFit="1" customWidth="1"/>
    <col min="2302" max="2302" width="0.7109375" customWidth="1"/>
    <col min="2303" max="2303" width="10.5703125" customWidth="1"/>
    <col min="2304" max="2304" width="46.42578125" customWidth="1"/>
    <col min="2305" max="2305" width="12.7109375" customWidth="1"/>
    <col min="2306" max="2314" width="0" hidden="1" customWidth="1"/>
    <col min="2315" max="2315" width="14.5703125" customWidth="1"/>
    <col min="2316" max="2316" width="19.140625" customWidth="1"/>
    <col min="2317" max="2318" width="14.5703125" customWidth="1"/>
    <col min="2319" max="2320" width="14.140625" customWidth="1"/>
    <col min="2321" max="2321" width="15.28515625" customWidth="1"/>
    <col min="2322" max="2322" width="14.140625" customWidth="1"/>
    <col min="2323" max="2323" width="15.140625" customWidth="1"/>
    <col min="2324" max="2325" width="14.140625" customWidth="1"/>
    <col min="2326" max="2327" width="14.5703125" customWidth="1"/>
    <col min="2328" max="2328" width="14.140625" customWidth="1"/>
    <col min="2329" max="2329" width="14.5703125" customWidth="1"/>
    <col min="2330" max="2330" width="21.42578125" customWidth="1"/>
    <col min="2331" max="2331" width="18" customWidth="1"/>
    <col min="2332" max="2332" width="16.28515625" customWidth="1"/>
    <col min="2333" max="2333" width="8.28515625" customWidth="1"/>
    <col min="2336" max="2336" width="9.42578125" bestFit="1" customWidth="1"/>
    <col min="2558" max="2558" width="0.7109375" customWidth="1"/>
    <col min="2559" max="2559" width="10.5703125" customWidth="1"/>
    <col min="2560" max="2560" width="46.42578125" customWidth="1"/>
    <col min="2561" max="2561" width="12.7109375" customWidth="1"/>
    <col min="2562" max="2570" width="0" hidden="1" customWidth="1"/>
    <col min="2571" max="2571" width="14.5703125" customWidth="1"/>
    <col min="2572" max="2572" width="19.140625" customWidth="1"/>
    <col min="2573" max="2574" width="14.5703125" customWidth="1"/>
    <col min="2575" max="2576" width="14.140625" customWidth="1"/>
    <col min="2577" max="2577" width="15.28515625" customWidth="1"/>
    <col min="2578" max="2578" width="14.140625" customWidth="1"/>
    <col min="2579" max="2579" width="15.140625" customWidth="1"/>
    <col min="2580" max="2581" width="14.140625" customWidth="1"/>
    <col min="2582" max="2583" width="14.5703125" customWidth="1"/>
    <col min="2584" max="2584" width="14.140625" customWidth="1"/>
    <col min="2585" max="2585" width="14.5703125" customWidth="1"/>
    <col min="2586" max="2586" width="21.42578125" customWidth="1"/>
    <col min="2587" max="2587" width="18" customWidth="1"/>
    <col min="2588" max="2588" width="16.28515625" customWidth="1"/>
    <col min="2589" max="2589" width="8.28515625" customWidth="1"/>
    <col min="2592" max="2592" width="9.42578125" bestFit="1" customWidth="1"/>
    <col min="2814" max="2814" width="0.7109375" customWidth="1"/>
    <col min="2815" max="2815" width="10.5703125" customWidth="1"/>
    <col min="2816" max="2816" width="46.42578125" customWidth="1"/>
    <col min="2817" max="2817" width="12.7109375" customWidth="1"/>
    <col min="2818" max="2826" width="0" hidden="1" customWidth="1"/>
    <col min="2827" max="2827" width="14.5703125" customWidth="1"/>
    <col min="2828" max="2828" width="19.140625" customWidth="1"/>
    <col min="2829" max="2830" width="14.5703125" customWidth="1"/>
    <col min="2831" max="2832" width="14.140625" customWidth="1"/>
    <col min="2833" max="2833" width="15.28515625" customWidth="1"/>
    <col min="2834" max="2834" width="14.140625" customWidth="1"/>
    <col min="2835" max="2835" width="15.140625" customWidth="1"/>
    <col min="2836" max="2837" width="14.140625" customWidth="1"/>
    <col min="2838" max="2839" width="14.5703125" customWidth="1"/>
    <col min="2840" max="2840" width="14.140625" customWidth="1"/>
    <col min="2841" max="2841" width="14.5703125" customWidth="1"/>
    <col min="2842" max="2842" width="21.42578125" customWidth="1"/>
    <col min="2843" max="2843" width="18" customWidth="1"/>
    <col min="2844" max="2844" width="16.28515625" customWidth="1"/>
    <col min="2845" max="2845" width="8.28515625" customWidth="1"/>
    <col min="2848" max="2848" width="9.42578125" bestFit="1" customWidth="1"/>
    <col min="3070" max="3070" width="0.7109375" customWidth="1"/>
    <col min="3071" max="3071" width="10.5703125" customWidth="1"/>
    <col min="3072" max="3072" width="46.42578125" customWidth="1"/>
    <col min="3073" max="3073" width="12.7109375" customWidth="1"/>
    <col min="3074" max="3082" width="0" hidden="1" customWidth="1"/>
    <col min="3083" max="3083" width="14.5703125" customWidth="1"/>
    <col min="3084" max="3084" width="19.140625" customWidth="1"/>
    <col min="3085" max="3086" width="14.5703125" customWidth="1"/>
    <col min="3087" max="3088" width="14.140625" customWidth="1"/>
    <col min="3089" max="3089" width="15.28515625" customWidth="1"/>
    <col min="3090" max="3090" width="14.140625" customWidth="1"/>
    <col min="3091" max="3091" width="15.140625" customWidth="1"/>
    <col min="3092" max="3093" width="14.140625" customWidth="1"/>
    <col min="3094" max="3095" width="14.5703125" customWidth="1"/>
    <col min="3096" max="3096" width="14.140625" customWidth="1"/>
    <col min="3097" max="3097" width="14.5703125" customWidth="1"/>
    <col min="3098" max="3098" width="21.42578125" customWidth="1"/>
    <col min="3099" max="3099" width="18" customWidth="1"/>
    <col min="3100" max="3100" width="16.28515625" customWidth="1"/>
    <col min="3101" max="3101" width="8.28515625" customWidth="1"/>
    <col min="3104" max="3104" width="9.42578125" bestFit="1" customWidth="1"/>
    <col min="3326" max="3326" width="0.7109375" customWidth="1"/>
    <col min="3327" max="3327" width="10.5703125" customWidth="1"/>
    <col min="3328" max="3328" width="46.42578125" customWidth="1"/>
    <col min="3329" max="3329" width="12.7109375" customWidth="1"/>
    <col min="3330" max="3338" width="0" hidden="1" customWidth="1"/>
    <col min="3339" max="3339" width="14.5703125" customWidth="1"/>
    <col min="3340" max="3340" width="19.140625" customWidth="1"/>
    <col min="3341" max="3342" width="14.5703125" customWidth="1"/>
    <col min="3343" max="3344" width="14.140625" customWidth="1"/>
    <col min="3345" max="3345" width="15.28515625" customWidth="1"/>
    <col min="3346" max="3346" width="14.140625" customWidth="1"/>
    <col min="3347" max="3347" width="15.140625" customWidth="1"/>
    <col min="3348" max="3349" width="14.140625" customWidth="1"/>
    <col min="3350" max="3351" width="14.5703125" customWidth="1"/>
    <col min="3352" max="3352" width="14.140625" customWidth="1"/>
    <col min="3353" max="3353" width="14.5703125" customWidth="1"/>
    <col min="3354" max="3354" width="21.42578125" customWidth="1"/>
    <col min="3355" max="3355" width="18" customWidth="1"/>
    <col min="3356" max="3356" width="16.28515625" customWidth="1"/>
    <col min="3357" max="3357" width="8.28515625" customWidth="1"/>
    <col min="3360" max="3360" width="9.42578125" bestFit="1" customWidth="1"/>
    <col min="3582" max="3582" width="0.7109375" customWidth="1"/>
    <col min="3583" max="3583" width="10.5703125" customWidth="1"/>
    <col min="3584" max="3584" width="46.42578125" customWidth="1"/>
    <col min="3585" max="3585" width="12.7109375" customWidth="1"/>
    <col min="3586" max="3594" width="0" hidden="1" customWidth="1"/>
    <col min="3595" max="3595" width="14.5703125" customWidth="1"/>
    <col min="3596" max="3596" width="19.140625" customWidth="1"/>
    <col min="3597" max="3598" width="14.5703125" customWidth="1"/>
    <col min="3599" max="3600" width="14.140625" customWidth="1"/>
    <col min="3601" max="3601" width="15.28515625" customWidth="1"/>
    <col min="3602" max="3602" width="14.140625" customWidth="1"/>
    <col min="3603" max="3603" width="15.140625" customWidth="1"/>
    <col min="3604" max="3605" width="14.140625" customWidth="1"/>
    <col min="3606" max="3607" width="14.5703125" customWidth="1"/>
    <col min="3608" max="3608" width="14.140625" customWidth="1"/>
    <col min="3609" max="3609" width="14.5703125" customWidth="1"/>
    <col min="3610" max="3610" width="21.42578125" customWidth="1"/>
    <col min="3611" max="3611" width="18" customWidth="1"/>
    <col min="3612" max="3612" width="16.28515625" customWidth="1"/>
    <col min="3613" max="3613" width="8.28515625" customWidth="1"/>
    <col min="3616" max="3616" width="9.42578125" bestFit="1" customWidth="1"/>
    <col min="3838" max="3838" width="0.7109375" customWidth="1"/>
    <col min="3839" max="3839" width="10.5703125" customWidth="1"/>
    <col min="3840" max="3840" width="46.42578125" customWidth="1"/>
    <col min="3841" max="3841" width="12.7109375" customWidth="1"/>
    <col min="3842" max="3850" width="0" hidden="1" customWidth="1"/>
    <col min="3851" max="3851" width="14.5703125" customWidth="1"/>
    <col min="3852" max="3852" width="19.140625" customWidth="1"/>
    <col min="3853" max="3854" width="14.5703125" customWidth="1"/>
    <col min="3855" max="3856" width="14.140625" customWidth="1"/>
    <col min="3857" max="3857" width="15.28515625" customWidth="1"/>
    <col min="3858" max="3858" width="14.140625" customWidth="1"/>
    <col min="3859" max="3859" width="15.140625" customWidth="1"/>
    <col min="3860" max="3861" width="14.140625" customWidth="1"/>
    <col min="3862" max="3863" width="14.5703125" customWidth="1"/>
    <col min="3864" max="3864" width="14.140625" customWidth="1"/>
    <col min="3865" max="3865" width="14.5703125" customWidth="1"/>
    <col min="3866" max="3866" width="21.42578125" customWidth="1"/>
    <col min="3867" max="3867" width="18" customWidth="1"/>
    <col min="3868" max="3868" width="16.28515625" customWidth="1"/>
    <col min="3869" max="3869" width="8.28515625" customWidth="1"/>
    <col min="3872" max="3872" width="9.42578125" bestFit="1" customWidth="1"/>
    <col min="4094" max="4094" width="0.7109375" customWidth="1"/>
    <col min="4095" max="4095" width="10.5703125" customWidth="1"/>
    <col min="4096" max="4096" width="46.42578125" customWidth="1"/>
    <col min="4097" max="4097" width="12.7109375" customWidth="1"/>
    <col min="4098" max="4106" width="0" hidden="1" customWidth="1"/>
    <col min="4107" max="4107" width="14.5703125" customWidth="1"/>
    <col min="4108" max="4108" width="19.140625" customWidth="1"/>
    <col min="4109" max="4110" width="14.5703125" customWidth="1"/>
    <col min="4111" max="4112" width="14.140625" customWidth="1"/>
    <col min="4113" max="4113" width="15.28515625" customWidth="1"/>
    <col min="4114" max="4114" width="14.140625" customWidth="1"/>
    <col min="4115" max="4115" width="15.140625" customWidth="1"/>
    <col min="4116" max="4117" width="14.140625" customWidth="1"/>
    <col min="4118" max="4119" width="14.5703125" customWidth="1"/>
    <col min="4120" max="4120" width="14.140625" customWidth="1"/>
    <col min="4121" max="4121" width="14.5703125" customWidth="1"/>
    <col min="4122" max="4122" width="21.42578125" customWidth="1"/>
    <col min="4123" max="4123" width="18" customWidth="1"/>
    <col min="4124" max="4124" width="16.28515625" customWidth="1"/>
    <col min="4125" max="4125" width="8.28515625" customWidth="1"/>
    <col min="4128" max="4128" width="9.42578125" bestFit="1" customWidth="1"/>
    <col min="4350" max="4350" width="0.7109375" customWidth="1"/>
    <col min="4351" max="4351" width="10.5703125" customWidth="1"/>
    <col min="4352" max="4352" width="46.42578125" customWidth="1"/>
    <col min="4353" max="4353" width="12.7109375" customWidth="1"/>
    <col min="4354" max="4362" width="0" hidden="1" customWidth="1"/>
    <col min="4363" max="4363" width="14.5703125" customWidth="1"/>
    <col min="4364" max="4364" width="19.140625" customWidth="1"/>
    <col min="4365" max="4366" width="14.5703125" customWidth="1"/>
    <col min="4367" max="4368" width="14.140625" customWidth="1"/>
    <col min="4369" max="4369" width="15.28515625" customWidth="1"/>
    <col min="4370" max="4370" width="14.140625" customWidth="1"/>
    <col min="4371" max="4371" width="15.140625" customWidth="1"/>
    <col min="4372" max="4373" width="14.140625" customWidth="1"/>
    <col min="4374" max="4375" width="14.5703125" customWidth="1"/>
    <col min="4376" max="4376" width="14.140625" customWidth="1"/>
    <col min="4377" max="4377" width="14.5703125" customWidth="1"/>
    <col min="4378" max="4378" width="21.42578125" customWidth="1"/>
    <col min="4379" max="4379" width="18" customWidth="1"/>
    <col min="4380" max="4380" width="16.28515625" customWidth="1"/>
    <col min="4381" max="4381" width="8.28515625" customWidth="1"/>
    <col min="4384" max="4384" width="9.42578125" bestFit="1" customWidth="1"/>
    <col min="4606" max="4606" width="0.7109375" customWidth="1"/>
    <col min="4607" max="4607" width="10.5703125" customWidth="1"/>
    <col min="4608" max="4608" width="46.42578125" customWidth="1"/>
    <col min="4609" max="4609" width="12.7109375" customWidth="1"/>
    <col min="4610" max="4618" width="0" hidden="1" customWidth="1"/>
    <col min="4619" max="4619" width="14.5703125" customWidth="1"/>
    <col min="4620" max="4620" width="19.140625" customWidth="1"/>
    <col min="4621" max="4622" width="14.5703125" customWidth="1"/>
    <col min="4623" max="4624" width="14.140625" customWidth="1"/>
    <col min="4625" max="4625" width="15.28515625" customWidth="1"/>
    <col min="4626" max="4626" width="14.140625" customWidth="1"/>
    <col min="4627" max="4627" width="15.140625" customWidth="1"/>
    <col min="4628" max="4629" width="14.140625" customWidth="1"/>
    <col min="4630" max="4631" width="14.5703125" customWidth="1"/>
    <col min="4632" max="4632" width="14.140625" customWidth="1"/>
    <col min="4633" max="4633" width="14.5703125" customWidth="1"/>
    <col min="4634" max="4634" width="21.42578125" customWidth="1"/>
    <col min="4635" max="4635" width="18" customWidth="1"/>
    <col min="4636" max="4636" width="16.28515625" customWidth="1"/>
    <col min="4637" max="4637" width="8.28515625" customWidth="1"/>
    <col min="4640" max="4640" width="9.42578125" bestFit="1" customWidth="1"/>
    <col min="4862" max="4862" width="0.7109375" customWidth="1"/>
    <col min="4863" max="4863" width="10.5703125" customWidth="1"/>
    <col min="4864" max="4864" width="46.42578125" customWidth="1"/>
    <col min="4865" max="4865" width="12.7109375" customWidth="1"/>
    <col min="4866" max="4874" width="0" hidden="1" customWidth="1"/>
    <col min="4875" max="4875" width="14.5703125" customWidth="1"/>
    <col min="4876" max="4876" width="19.140625" customWidth="1"/>
    <col min="4877" max="4878" width="14.5703125" customWidth="1"/>
    <col min="4879" max="4880" width="14.140625" customWidth="1"/>
    <col min="4881" max="4881" width="15.28515625" customWidth="1"/>
    <col min="4882" max="4882" width="14.140625" customWidth="1"/>
    <col min="4883" max="4883" width="15.140625" customWidth="1"/>
    <col min="4884" max="4885" width="14.140625" customWidth="1"/>
    <col min="4886" max="4887" width="14.5703125" customWidth="1"/>
    <col min="4888" max="4888" width="14.140625" customWidth="1"/>
    <col min="4889" max="4889" width="14.5703125" customWidth="1"/>
    <col min="4890" max="4890" width="21.42578125" customWidth="1"/>
    <col min="4891" max="4891" width="18" customWidth="1"/>
    <col min="4892" max="4892" width="16.28515625" customWidth="1"/>
    <col min="4893" max="4893" width="8.28515625" customWidth="1"/>
    <col min="4896" max="4896" width="9.42578125" bestFit="1" customWidth="1"/>
    <col min="5118" max="5118" width="0.7109375" customWidth="1"/>
    <col min="5119" max="5119" width="10.5703125" customWidth="1"/>
    <col min="5120" max="5120" width="46.42578125" customWidth="1"/>
    <col min="5121" max="5121" width="12.7109375" customWidth="1"/>
    <col min="5122" max="5130" width="0" hidden="1" customWidth="1"/>
    <col min="5131" max="5131" width="14.5703125" customWidth="1"/>
    <col min="5132" max="5132" width="19.140625" customWidth="1"/>
    <col min="5133" max="5134" width="14.5703125" customWidth="1"/>
    <col min="5135" max="5136" width="14.140625" customWidth="1"/>
    <col min="5137" max="5137" width="15.28515625" customWidth="1"/>
    <col min="5138" max="5138" width="14.140625" customWidth="1"/>
    <col min="5139" max="5139" width="15.140625" customWidth="1"/>
    <col min="5140" max="5141" width="14.140625" customWidth="1"/>
    <col min="5142" max="5143" width="14.5703125" customWidth="1"/>
    <col min="5144" max="5144" width="14.140625" customWidth="1"/>
    <col min="5145" max="5145" width="14.5703125" customWidth="1"/>
    <col min="5146" max="5146" width="21.42578125" customWidth="1"/>
    <col min="5147" max="5147" width="18" customWidth="1"/>
    <col min="5148" max="5148" width="16.28515625" customWidth="1"/>
    <col min="5149" max="5149" width="8.28515625" customWidth="1"/>
    <col min="5152" max="5152" width="9.42578125" bestFit="1" customWidth="1"/>
    <col min="5374" max="5374" width="0.7109375" customWidth="1"/>
    <col min="5375" max="5375" width="10.5703125" customWidth="1"/>
    <col min="5376" max="5376" width="46.42578125" customWidth="1"/>
    <col min="5377" max="5377" width="12.7109375" customWidth="1"/>
    <col min="5378" max="5386" width="0" hidden="1" customWidth="1"/>
    <col min="5387" max="5387" width="14.5703125" customWidth="1"/>
    <col min="5388" max="5388" width="19.140625" customWidth="1"/>
    <col min="5389" max="5390" width="14.5703125" customWidth="1"/>
    <col min="5391" max="5392" width="14.140625" customWidth="1"/>
    <col min="5393" max="5393" width="15.28515625" customWidth="1"/>
    <col min="5394" max="5394" width="14.140625" customWidth="1"/>
    <col min="5395" max="5395" width="15.140625" customWidth="1"/>
    <col min="5396" max="5397" width="14.140625" customWidth="1"/>
    <col min="5398" max="5399" width="14.5703125" customWidth="1"/>
    <col min="5400" max="5400" width="14.140625" customWidth="1"/>
    <col min="5401" max="5401" width="14.5703125" customWidth="1"/>
    <col min="5402" max="5402" width="21.42578125" customWidth="1"/>
    <col min="5403" max="5403" width="18" customWidth="1"/>
    <col min="5404" max="5404" width="16.28515625" customWidth="1"/>
    <col min="5405" max="5405" width="8.28515625" customWidth="1"/>
    <col min="5408" max="5408" width="9.42578125" bestFit="1" customWidth="1"/>
    <col min="5630" max="5630" width="0.7109375" customWidth="1"/>
    <col min="5631" max="5631" width="10.5703125" customWidth="1"/>
    <col min="5632" max="5632" width="46.42578125" customWidth="1"/>
    <col min="5633" max="5633" width="12.7109375" customWidth="1"/>
    <col min="5634" max="5642" width="0" hidden="1" customWidth="1"/>
    <col min="5643" max="5643" width="14.5703125" customWidth="1"/>
    <col min="5644" max="5644" width="19.140625" customWidth="1"/>
    <col min="5645" max="5646" width="14.5703125" customWidth="1"/>
    <col min="5647" max="5648" width="14.140625" customWidth="1"/>
    <col min="5649" max="5649" width="15.28515625" customWidth="1"/>
    <col min="5650" max="5650" width="14.140625" customWidth="1"/>
    <col min="5651" max="5651" width="15.140625" customWidth="1"/>
    <col min="5652" max="5653" width="14.140625" customWidth="1"/>
    <col min="5654" max="5655" width="14.5703125" customWidth="1"/>
    <col min="5656" max="5656" width="14.140625" customWidth="1"/>
    <col min="5657" max="5657" width="14.5703125" customWidth="1"/>
    <col min="5658" max="5658" width="21.42578125" customWidth="1"/>
    <col min="5659" max="5659" width="18" customWidth="1"/>
    <col min="5660" max="5660" width="16.28515625" customWidth="1"/>
    <col min="5661" max="5661" width="8.28515625" customWidth="1"/>
    <col min="5664" max="5664" width="9.42578125" bestFit="1" customWidth="1"/>
    <col min="5886" max="5886" width="0.7109375" customWidth="1"/>
    <col min="5887" max="5887" width="10.5703125" customWidth="1"/>
    <col min="5888" max="5888" width="46.42578125" customWidth="1"/>
    <col min="5889" max="5889" width="12.7109375" customWidth="1"/>
    <col min="5890" max="5898" width="0" hidden="1" customWidth="1"/>
    <col min="5899" max="5899" width="14.5703125" customWidth="1"/>
    <col min="5900" max="5900" width="19.140625" customWidth="1"/>
    <col min="5901" max="5902" width="14.5703125" customWidth="1"/>
    <col min="5903" max="5904" width="14.140625" customWidth="1"/>
    <col min="5905" max="5905" width="15.28515625" customWidth="1"/>
    <col min="5906" max="5906" width="14.140625" customWidth="1"/>
    <col min="5907" max="5907" width="15.140625" customWidth="1"/>
    <col min="5908" max="5909" width="14.140625" customWidth="1"/>
    <col min="5910" max="5911" width="14.5703125" customWidth="1"/>
    <col min="5912" max="5912" width="14.140625" customWidth="1"/>
    <col min="5913" max="5913" width="14.5703125" customWidth="1"/>
    <col min="5914" max="5914" width="21.42578125" customWidth="1"/>
    <col min="5915" max="5915" width="18" customWidth="1"/>
    <col min="5916" max="5916" width="16.28515625" customWidth="1"/>
    <col min="5917" max="5917" width="8.28515625" customWidth="1"/>
    <col min="5920" max="5920" width="9.42578125" bestFit="1" customWidth="1"/>
    <col min="6142" max="6142" width="0.7109375" customWidth="1"/>
    <col min="6143" max="6143" width="10.5703125" customWidth="1"/>
    <col min="6144" max="6144" width="46.42578125" customWidth="1"/>
    <col min="6145" max="6145" width="12.7109375" customWidth="1"/>
    <col min="6146" max="6154" width="0" hidden="1" customWidth="1"/>
    <col min="6155" max="6155" width="14.5703125" customWidth="1"/>
    <col min="6156" max="6156" width="19.140625" customWidth="1"/>
    <col min="6157" max="6158" width="14.5703125" customWidth="1"/>
    <col min="6159" max="6160" width="14.140625" customWidth="1"/>
    <col min="6161" max="6161" width="15.28515625" customWidth="1"/>
    <col min="6162" max="6162" width="14.140625" customWidth="1"/>
    <col min="6163" max="6163" width="15.140625" customWidth="1"/>
    <col min="6164" max="6165" width="14.140625" customWidth="1"/>
    <col min="6166" max="6167" width="14.5703125" customWidth="1"/>
    <col min="6168" max="6168" width="14.140625" customWidth="1"/>
    <col min="6169" max="6169" width="14.5703125" customWidth="1"/>
    <col min="6170" max="6170" width="21.42578125" customWidth="1"/>
    <col min="6171" max="6171" width="18" customWidth="1"/>
    <col min="6172" max="6172" width="16.28515625" customWidth="1"/>
    <col min="6173" max="6173" width="8.28515625" customWidth="1"/>
    <col min="6176" max="6176" width="9.42578125" bestFit="1" customWidth="1"/>
    <col min="6398" max="6398" width="0.7109375" customWidth="1"/>
    <col min="6399" max="6399" width="10.5703125" customWidth="1"/>
    <col min="6400" max="6400" width="46.42578125" customWidth="1"/>
    <col min="6401" max="6401" width="12.7109375" customWidth="1"/>
    <col min="6402" max="6410" width="0" hidden="1" customWidth="1"/>
    <col min="6411" max="6411" width="14.5703125" customWidth="1"/>
    <col min="6412" max="6412" width="19.140625" customWidth="1"/>
    <col min="6413" max="6414" width="14.5703125" customWidth="1"/>
    <col min="6415" max="6416" width="14.140625" customWidth="1"/>
    <col min="6417" max="6417" width="15.28515625" customWidth="1"/>
    <col min="6418" max="6418" width="14.140625" customWidth="1"/>
    <col min="6419" max="6419" width="15.140625" customWidth="1"/>
    <col min="6420" max="6421" width="14.140625" customWidth="1"/>
    <col min="6422" max="6423" width="14.5703125" customWidth="1"/>
    <col min="6424" max="6424" width="14.140625" customWidth="1"/>
    <col min="6425" max="6425" width="14.5703125" customWidth="1"/>
    <col min="6426" max="6426" width="21.42578125" customWidth="1"/>
    <col min="6427" max="6427" width="18" customWidth="1"/>
    <col min="6428" max="6428" width="16.28515625" customWidth="1"/>
    <col min="6429" max="6429" width="8.28515625" customWidth="1"/>
    <col min="6432" max="6432" width="9.42578125" bestFit="1" customWidth="1"/>
    <col min="6654" max="6654" width="0.7109375" customWidth="1"/>
    <col min="6655" max="6655" width="10.5703125" customWidth="1"/>
    <col min="6656" max="6656" width="46.42578125" customWidth="1"/>
    <col min="6657" max="6657" width="12.7109375" customWidth="1"/>
    <col min="6658" max="6666" width="0" hidden="1" customWidth="1"/>
    <col min="6667" max="6667" width="14.5703125" customWidth="1"/>
    <col min="6668" max="6668" width="19.140625" customWidth="1"/>
    <col min="6669" max="6670" width="14.5703125" customWidth="1"/>
    <col min="6671" max="6672" width="14.140625" customWidth="1"/>
    <col min="6673" max="6673" width="15.28515625" customWidth="1"/>
    <col min="6674" max="6674" width="14.140625" customWidth="1"/>
    <col min="6675" max="6675" width="15.140625" customWidth="1"/>
    <col min="6676" max="6677" width="14.140625" customWidth="1"/>
    <col min="6678" max="6679" width="14.5703125" customWidth="1"/>
    <col min="6680" max="6680" width="14.140625" customWidth="1"/>
    <col min="6681" max="6681" width="14.5703125" customWidth="1"/>
    <col min="6682" max="6682" width="21.42578125" customWidth="1"/>
    <col min="6683" max="6683" width="18" customWidth="1"/>
    <col min="6684" max="6684" width="16.28515625" customWidth="1"/>
    <col min="6685" max="6685" width="8.28515625" customWidth="1"/>
    <col min="6688" max="6688" width="9.42578125" bestFit="1" customWidth="1"/>
    <col min="6910" max="6910" width="0.7109375" customWidth="1"/>
    <col min="6911" max="6911" width="10.5703125" customWidth="1"/>
    <col min="6912" max="6912" width="46.42578125" customWidth="1"/>
    <col min="6913" max="6913" width="12.7109375" customWidth="1"/>
    <col min="6914" max="6922" width="0" hidden="1" customWidth="1"/>
    <col min="6923" max="6923" width="14.5703125" customWidth="1"/>
    <col min="6924" max="6924" width="19.140625" customWidth="1"/>
    <col min="6925" max="6926" width="14.5703125" customWidth="1"/>
    <col min="6927" max="6928" width="14.140625" customWidth="1"/>
    <col min="6929" max="6929" width="15.28515625" customWidth="1"/>
    <col min="6930" max="6930" width="14.140625" customWidth="1"/>
    <col min="6931" max="6931" width="15.140625" customWidth="1"/>
    <col min="6932" max="6933" width="14.140625" customWidth="1"/>
    <col min="6934" max="6935" width="14.5703125" customWidth="1"/>
    <col min="6936" max="6936" width="14.140625" customWidth="1"/>
    <col min="6937" max="6937" width="14.5703125" customWidth="1"/>
    <col min="6938" max="6938" width="21.42578125" customWidth="1"/>
    <col min="6939" max="6939" width="18" customWidth="1"/>
    <col min="6940" max="6940" width="16.28515625" customWidth="1"/>
    <col min="6941" max="6941" width="8.28515625" customWidth="1"/>
    <col min="6944" max="6944" width="9.42578125" bestFit="1" customWidth="1"/>
    <col min="7166" max="7166" width="0.7109375" customWidth="1"/>
    <col min="7167" max="7167" width="10.5703125" customWidth="1"/>
    <col min="7168" max="7168" width="46.42578125" customWidth="1"/>
    <col min="7169" max="7169" width="12.7109375" customWidth="1"/>
    <col min="7170" max="7178" width="0" hidden="1" customWidth="1"/>
    <col min="7179" max="7179" width="14.5703125" customWidth="1"/>
    <col min="7180" max="7180" width="19.140625" customWidth="1"/>
    <col min="7181" max="7182" width="14.5703125" customWidth="1"/>
    <col min="7183" max="7184" width="14.140625" customWidth="1"/>
    <col min="7185" max="7185" width="15.28515625" customWidth="1"/>
    <col min="7186" max="7186" width="14.140625" customWidth="1"/>
    <col min="7187" max="7187" width="15.140625" customWidth="1"/>
    <col min="7188" max="7189" width="14.140625" customWidth="1"/>
    <col min="7190" max="7191" width="14.5703125" customWidth="1"/>
    <col min="7192" max="7192" width="14.140625" customWidth="1"/>
    <col min="7193" max="7193" width="14.5703125" customWidth="1"/>
    <col min="7194" max="7194" width="21.42578125" customWidth="1"/>
    <col min="7195" max="7195" width="18" customWidth="1"/>
    <col min="7196" max="7196" width="16.28515625" customWidth="1"/>
    <col min="7197" max="7197" width="8.28515625" customWidth="1"/>
    <col min="7200" max="7200" width="9.42578125" bestFit="1" customWidth="1"/>
    <col min="7422" max="7422" width="0.7109375" customWidth="1"/>
    <col min="7423" max="7423" width="10.5703125" customWidth="1"/>
    <col min="7424" max="7424" width="46.42578125" customWidth="1"/>
    <col min="7425" max="7425" width="12.7109375" customWidth="1"/>
    <col min="7426" max="7434" width="0" hidden="1" customWidth="1"/>
    <col min="7435" max="7435" width="14.5703125" customWidth="1"/>
    <col min="7436" max="7436" width="19.140625" customWidth="1"/>
    <col min="7437" max="7438" width="14.5703125" customWidth="1"/>
    <col min="7439" max="7440" width="14.140625" customWidth="1"/>
    <col min="7441" max="7441" width="15.28515625" customWidth="1"/>
    <col min="7442" max="7442" width="14.140625" customWidth="1"/>
    <col min="7443" max="7443" width="15.140625" customWidth="1"/>
    <col min="7444" max="7445" width="14.140625" customWidth="1"/>
    <col min="7446" max="7447" width="14.5703125" customWidth="1"/>
    <col min="7448" max="7448" width="14.140625" customWidth="1"/>
    <col min="7449" max="7449" width="14.5703125" customWidth="1"/>
    <col min="7450" max="7450" width="21.42578125" customWidth="1"/>
    <col min="7451" max="7451" width="18" customWidth="1"/>
    <col min="7452" max="7452" width="16.28515625" customWidth="1"/>
    <col min="7453" max="7453" width="8.28515625" customWidth="1"/>
    <col min="7456" max="7456" width="9.42578125" bestFit="1" customWidth="1"/>
    <col min="7678" max="7678" width="0.7109375" customWidth="1"/>
    <col min="7679" max="7679" width="10.5703125" customWidth="1"/>
    <col min="7680" max="7680" width="46.42578125" customWidth="1"/>
    <col min="7681" max="7681" width="12.7109375" customWidth="1"/>
    <col min="7682" max="7690" width="0" hidden="1" customWidth="1"/>
    <col min="7691" max="7691" width="14.5703125" customWidth="1"/>
    <col min="7692" max="7692" width="19.140625" customWidth="1"/>
    <col min="7693" max="7694" width="14.5703125" customWidth="1"/>
    <col min="7695" max="7696" width="14.140625" customWidth="1"/>
    <col min="7697" max="7697" width="15.28515625" customWidth="1"/>
    <col min="7698" max="7698" width="14.140625" customWidth="1"/>
    <col min="7699" max="7699" width="15.140625" customWidth="1"/>
    <col min="7700" max="7701" width="14.140625" customWidth="1"/>
    <col min="7702" max="7703" width="14.5703125" customWidth="1"/>
    <col min="7704" max="7704" width="14.140625" customWidth="1"/>
    <col min="7705" max="7705" width="14.5703125" customWidth="1"/>
    <col min="7706" max="7706" width="21.42578125" customWidth="1"/>
    <col min="7707" max="7707" width="18" customWidth="1"/>
    <col min="7708" max="7708" width="16.28515625" customWidth="1"/>
    <col min="7709" max="7709" width="8.28515625" customWidth="1"/>
    <col min="7712" max="7712" width="9.42578125" bestFit="1" customWidth="1"/>
    <col min="7934" max="7934" width="0.7109375" customWidth="1"/>
    <col min="7935" max="7935" width="10.5703125" customWidth="1"/>
    <col min="7936" max="7936" width="46.42578125" customWidth="1"/>
    <col min="7937" max="7937" width="12.7109375" customWidth="1"/>
    <col min="7938" max="7946" width="0" hidden="1" customWidth="1"/>
    <col min="7947" max="7947" width="14.5703125" customWidth="1"/>
    <col min="7948" max="7948" width="19.140625" customWidth="1"/>
    <col min="7949" max="7950" width="14.5703125" customWidth="1"/>
    <col min="7951" max="7952" width="14.140625" customWidth="1"/>
    <col min="7953" max="7953" width="15.28515625" customWidth="1"/>
    <col min="7954" max="7954" width="14.140625" customWidth="1"/>
    <col min="7955" max="7955" width="15.140625" customWidth="1"/>
    <col min="7956" max="7957" width="14.140625" customWidth="1"/>
    <col min="7958" max="7959" width="14.5703125" customWidth="1"/>
    <col min="7960" max="7960" width="14.140625" customWidth="1"/>
    <col min="7961" max="7961" width="14.5703125" customWidth="1"/>
    <col min="7962" max="7962" width="21.42578125" customWidth="1"/>
    <col min="7963" max="7963" width="18" customWidth="1"/>
    <col min="7964" max="7964" width="16.28515625" customWidth="1"/>
    <col min="7965" max="7965" width="8.28515625" customWidth="1"/>
    <col min="7968" max="7968" width="9.42578125" bestFit="1" customWidth="1"/>
    <col min="8190" max="8190" width="0.7109375" customWidth="1"/>
    <col min="8191" max="8191" width="10.5703125" customWidth="1"/>
    <col min="8192" max="8192" width="46.42578125" customWidth="1"/>
    <col min="8193" max="8193" width="12.7109375" customWidth="1"/>
    <col min="8194" max="8202" width="0" hidden="1" customWidth="1"/>
    <col min="8203" max="8203" width="14.5703125" customWidth="1"/>
    <col min="8204" max="8204" width="19.140625" customWidth="1"/>
    <col min="8205" max="8206" width="14.5703125" customWidth="1"/>
    <col min="8207" max="8208" width="14.140625" customWidth="1"/>
    <col min="8209" max="8209" width="15.28515625" customWidth="1"/>
    <col min="8210" max="8210" width="14.140625" customWidth="1"/>
    <col min="8211" max="8211" width="15.140625" customWidth="1"/>
    <col min="8212" max="8213" width="14.140625" customWidth="1"/>
    <col min="8214" max="8215" width="14.5703125" customWidth="1"/>
    <col min="8216" max="8216" width="14.140625" customWidth="1"/>
    <col min="8217" max="8217" width="14.5703125" customWidth="1"/>
    <col min="8218" max="8218" width="21.42578125" customWidth="1"/>
    <col min="8219" max="8219" width="18" customWidth="1"/>
    <col min="8220" max="8220" width="16.28515625" customWidth="1"/>
    <col min="8221" max="8221" width="8.28515625" customWidth="1"/>
    <col min="8224" max="8224" width="9.42578125" bestFit="1" customWidth="1"/>
    <col min="8446" max="8446" width="0.7109375" customWidth="1"/>
    <col min="8447" max="8447" width="10.5703125" customWidth="1"/>
    <col min="8448" max="8448" width="46.42578125" customWidth="1"/>
    <col min="8449" max="8449" width="12.7109375" customWidth="1"/>
    <col min="8450" max="8458" width="0" hidden="1" customWidth="1"/>
    <col min="8459" max="8459" width="14.5703125" customWidth="1"/>
    <col min="8460" max="8460" width="19.140625" customWidth="1"/>
    <col min="8461" max="8462" width="14.5703125" customWidth="1"/>
    <col min="8463" max="8464" width="14.140625" customWidth="1"/>
    <col min="8465" max="8465" width="15.28515625" customWidth="1"/>
    <col min="8466" max="8466" width="14.140625" customWidth="1"/>
    <col min="8467" max="8467" width="15.140625" customWidth="1"/>
    <col min="8468" max="8469" width="14.140625" customWidth="1"/>
    <col min="8470" max="8471" width="14.5703125" customWidth="1"/>
    <col min="8472" max="8472" width="14.140625" customWidth="1"/>
    <col min="8473" max="8473" width="14.5703125" customWidth="1"/>
    <col min="8474" max="8474" width="21.42578125" customWidth="1"/>
    <col min="8475" max="8475" width="18" customWidth="1"/>
    <col min="8476" max="8476" width="16.28515625" customWidth="1"/>
    <col min="8477" max="8477" width="8.28515625" customWidth="1"/>
    <col min="8480" max="8480" width="9.42578125" bestFit="1" customWidth="1"/>
    <col min="8702" max="8702" width="0.7109375" customWidth="1"/>
    <col min="8703" max="8703" width="10.5703125" customWidth="1"/>
    <col min="8704" max="8704" width="46.42578125" customWidth="1"/>
    <col min="8705" max="8705" width="12.7109375" customWidth="1"/>
    <col min="8706" max="8714" width="0" hidden="1" customWidth="1"/>
    <col min="8715" max="8715" width="14.5703125" customWidth="1"/>
    <col min="8716" max="8716" width="19.140625" customWidth="1"/>
    <col min="8717" max="8718" width="14.5703125" customWidth="1"/>
    <col min="8719" max="8720" width="14.140625" customWidth="1"/>
    <col min="8721" max="8721" width="15.28515625" customWidth="1"/>
    <col min="8722" max="8722" width="14.140625" customWidth="1"/>
    <col min="8723" max="8723" width="15.140625" customWidth="1"/>
    <col min="8724" max="8725" width="14.140625" customWidth="1"/>
    <col min="8726" max="8727" width="14.5703125" customWidth="1"/>
    <col min="8728" max="8728" width="14.140625" customWidth="1"/>
    <col min="8729" max="8729" width="14.5703125" customWidth="1"/>
    <col min="8730" max="8730" width="21.42578125" customWidth="1"/>
    <col min="8731" max="8731" width="18" customWidth="1"/>
    <col min="8732" max="8732" width="16.28515625" customWidth="1"/>
    <col min="8733" max="8733" width="8.28515625" customWidth="1"/>
    <col min="8736" max="8736" width="9.42578125" bestFit="1" customWidth="1"/>
    <col min="8958" max="8958" width="0.7109375" customWidth="1"/>
    <col min="8959" max="8959" width="10.5703125" customWidth="1"/>
    <col min="8960" max="8960" width="46.42578125" customWidth="1"/>
    <col min="8961" max="8961" width="12.7109375" customWidth="1"/>
    <col min="8962" max="8970" width="0" hidden="1" customWidth="1"/>
    <col min="8971" max="8971" width="14.5703125" customWidth="1"/>
    <col min="8972" max="8972" width="19.140625" customWidth="1"/>
    <col min="8973" max="8974" width="14.5703125" customWidth="1"/>
    <col min="8975" max="8976" width="14.140625" customWidth="1"/>
    <col min="8977" max="8977" width="15.28515625" customWidth="1"/>
    <col min="8978" max="8978" width="14.140625" customWidth="1"/>
    <col min="8979" max="8979" width="15.140625" customWidth="1"/>
    <col min="8980" max="8981" width="14.140625" customWidth="1"/>
    <col min="8982" max="8983" width="14.5703125" customWidth="1"/>
    <col min="8984" max="8984" width="14.140625" customWidth="1"/>
    <col min="8985" max="8985" width="14.5703125" customWidth="1"/>
    <col min="8986" max="8986" width="21.42578125" customWidth="1"/>
    <col min="8987" max="8987" width="18" customWidth="1"/>
    <col min="8988" max="8988" width="16.28515625" customWidth="1"/>
    <col min="8989" max="8989" width="8.28515625" customWidth="1"/>
    <col min="8992" max="8992" width="9.42578125" bestFit="1" customWidth="1"/>
    <col min="9214" max="9214" width="0.7109375" customWidth="1"/>
    <col min="9215" max="9215" width="10.5703125" customWidth="1"/>
    <col min="9216" max="9216" width="46.42578125" customWidth="1"/>
    <col min="9217" max="9217" width="12.7109375" customWidth="1"/>
    <col min="9218" max="9226" width="0" hidden="1" customWidth="1"/>
    <col min="9227" max="9227" width="14.5703125" customWidth="1"/>
    <col min="9228" max="9228" width="19.140625" customWidth="1"/>
    <col min="9229" max="9230" width="14.5703125" customWidth="1"/>
    <col min="9231" max="9232" width="14.140625" customWidth="1"/>
    <col min="9233" max="9233" width="15.28515625" customWidth="1"/>
    <col min="9234" max="9234" width="14.140625" customWidth="1"/>
    <col min="9235" max="9235" width="15.140625" customWidth="1"/>
    <col min="9236" max="9237" width="14.140625" customWidth="1"/>
    <col min="9238" max="9239" width="14.5703125" customWidth="1"/>
    <col min="9240" max="9240" width="14.140625" customWidth="1"/>
    <col min="9241" max="9241" width="14.5703125" customWidth="1"/>
    <col min="9242" max="9242" width="21.42578125" customWidth="1"/>
    <col min="9243" max="9243" width="18" customWidth="1"/>
    <col min="9244" max="9244" width="16.28515625" customWidth="1"/>
    <col min="9245" max="9245" width="8.28515625" customWidth="1"/>
    <col min="9248" max="9248" width="9.42578125" bestFit="1" customWidth="1"/>
    <col min="9470" max="9470" width="0.7109375" customWidth="1"/>
    <col min="9471" max="9471" width="10.5703125" customWidth="1"/>
    <col min="9472" max="9472" width="46.42578125" customWidth="1"/>
    <col min="9473" max="9473" width="12.7109375" customWidth="1"/>
    <col min="9474" max="9482" width="0" hidden="1" customWidth="1"/>
    <col min="9483" max="9483" width="14.5703125" customWidth="1"/>
    <col min="9484" max="9484" width="19.140625" customWidth="1"/>
    <col min="9485" max="9486" width="14.5703125" customWidth="1"/>
    <col min="9487" max="9488" width="14.140625" customWidth="1"/>
    <col min="9489" max="9489" width="15.28515625" customWidth="1"/>
    <col min="9490" max="9490" width="14.140625" customWidth="1"/>
    <col min="9491" max="9491" width="15.140625" customWidth="1"/>
    <col min="9492" max="9493" width="14.140625" customWidth="1"/>
    <col min="9494" max="9495" width="14.5703125" customWidth="1"/>
    <col min="9496" max="9496" width="14.140625" customWidth="1"/>
    <col min="9497" max="9497" width="14.5703125" customWidth="1"/>
    <col min="9498" max="9498" width="21.42578125" customWidth="1"/>
    <col min="9499" max="9499" width="18" customWidth="1"/>
    <col min="9500" max="9500" width="16.28515625" customWidth="1"/>
    <col min="9501" max="9501" width="8.28515625" customWidth="1"/>
    <col min="9504" max="9504" width="9.42578125" bestFit="1" customWidth="1"/>
    <col min="9726" max="9726" width="0.7109375" customWidth="1"/>
    <col min="9727" max="9727" width="10.5703125" customWidth="1"/>
    <col min="9728" max="9728" width="46.42578125" customWidth="1"/>
    <col min="9729" max="9729" width="12.7109375" customWidth="1"/>
    <col min="9730" max="9738" width="0" hidden="1" customWidth="1"/>
    <col min="9739" max="9739" width="14.5703125" customWidth="1"/>
    <col min="9740" max="9740" width="19.140625" customWidth="1"/>
    <col min="9741" max="9742" width="14.5703125" customWidth="1"/>
    <col min="9743" max="9744" width="14.140625" customWidth="1"/>
    <col min="9745" max="9745" width="15.28515625" customWidth="1"/>
    <col min="9746" max="9746" width="14.140625" customWidth="1"/>
    <col min="9747" max="9747" width="15.140625" customWidth="1"/>
    <col min="9748" max="9749" width="14.140625" customWidth="1"/>
    <col min="9750" max="9751" width="14.5703125" customWidth="1"/>
    <col min="9752" max="9752" width="14.140625" customWidth="1"/>
    <col min="9753" max="9753" width="14.5703125" customWidth="1"/>
    <col min="9754" max="9754" width="21.42578125" customWidth="1"/>
    <col min="9755" max="9755" width="18" customWidth="1"/>
    <col min="9756" max="9756" width="16.28515625" customWidth="1"/>
    <col min="9757" max="9757" width="8.28515625" customWidth="1"/>
    <col min="9760" max="9760" width="9.42578125" bestFit="1" customWidth="1"/>
    <col min="9982" max="9982" width="0.7109375" customWidth="1"/>
    <col min="9983" max="9983" width="10.5703125" customWidth="1"/>
    <col min="9984" max="9984" width="46.42578125" customWidth="1"/>
    <col min="9985" max="9985" width="12.7109375" customWidth="1"/>
    <col min="9986" max="9994" width="0" hidden="1" customWidth="1"/>
    <col min="9995" max="9995" width="14.5703125" customWidth="1"/>
    <col min="9996" max="9996" width="19.140625" customWidth="1"/>
    <col min="9997" max="9998" width="14.5703125" customWidth="1"/>
    <col min="9999" max="10000" width="14.140625" customWidth="1"/>
    <col min="10001" max="10001" width="15.28515625" customWidth="1"/>
    <col min="10002" max="10002" width="14.140625" customWidth="1"/>
    <col min="10003" max="10003" width="15.140625" customWidth="1"/>
    <col min="10004" max="10005" width="14.140625" customWidth="1"/>
    <col min="10006" max="10007" width="14.5703125" customWidth="1"/>
    <col min="10008" max="10008" width="14.140625" customWidth="1"/>
    <col min="10009" max="10009" width="14.5703125" customWidth="1"/>
    <col min="10010" max="10010" width="21.42578125" customWidth="1"/>
    <col min="10011" max="10011" width="18" customWidth="1"/>
    <col min="10012" max="10012" width="16.28515625" customWidth="1"/>
    <col min="10013" max="10013" width="8.28515625" customWidth="1"/>
    <col min="10016" max="10016" width="9.42578125" bestFit="1" customWidth="1"/>
    <col min="10238" max="10238" width="0.7109375" customWidth="1"/>
    <col min="10239" max="10239" width="10.5703125" customWidth="1"/>
    <col min="10240" max="10240" width="46.42578125" customWidth="1"/>
    <col min="10241" max="10241" width="12.7109375" customWidth="1"/>
    <col min="10242" max="10250" width="0" hidden="1" customWidth="1"/>
    <col min="10251" max="10251" width="14.5703125" customWidth="1"/>
    <col min="10252" max="10252" width="19.140625" customWidth="1"/>
    <col min="10253" max="10254" width="14.5703125" customWidth="1"/>
    <col min="10255" max="10256" width="14.140625" customWidth="1"/>
    <col min="10257" max="10257" width="15.28515625" customWidth="1"/>
    <col min="10258" max="10258" width="14.140625" customWidth="1"/>
    <col min="10259" max="10259" width="15.140625" customWidth="1"/>
    <col min="10260" max="10261" width="14.140625" customWidth="1"/>
    <col min="10262" max="10263" width="14.5703125" customWidth="1"/>
    <col min="10264" max="10264" width="14.140625" customWidth="1"/>
    <col min="10265" max="10265" width="14.5703125" customWidth="1"/>
    <col min="10266" max="10266" width="21.42578125" customWidth="1"/>
    <col min="10267" max="10267" width="18" customWidth="1"/>
    <col min="10268" max="10268" width="16.28515625" customWidth="1"/>
    <col min="10269" max="10269" width="8.28515625" customWidth="1"/>
    <col min="10272" max="10272" width="9.42578125" bestFit="1" customWidth="1"/>
    <col min="10494" max="10494" width="0.7109375" customWidth="1"/>
    <col min="10495" max="10495" width="10.5703125" customWidth="1"/>
    <col min="10496" max="10496" width="46.42578125" customWidth="1"/>
    <col min="10497" max="10497" width="12.7109375" customWidth="1"/>
    <col min="10498" max="10506" width="0" hidden="1" customWidth="1"/>
    <col min="10507" max="10507" width="14.5703125" customWidth="1"/>
    <col min="10508" max="10508" width="19.140625" customWidth="1"/>
    <col min="10509" max="10510" width="14.5703125" customWidth="1"/>
    <col min="10511" max="10512" width="14.140625" customWidth="1"/>
    <col min="10513" max="10513" width="15.28515625" customWidth="1"/>
    <col min="10514" max="10514" width="14.140625" customWidth="1"/>
    <col min="10515" max="10515" width="15.140625" customWidth="1"/>
    <col min="10516" max="10517" width="14.140625" customWidth="1"/>
    <col min="10518" max="10519" width="14.5703125" customWidth="1"/>
    <col min="10520" max="10520" width="14.140625" customWidth="1"/>
    <col min="10521" max="10521" width="14.5703125" customWidth="1"/>
    <col min="10522" max="10522" width="21.42578125" customWidth="1"/>
    <col min="10523" max="10523" width="18" customWidth="1"/>
    <col min="10524" max="10524" width="16.28515625" customWidth="1"/>
    <col min="10525" max="10525" width="8.28515625" customWidth="1"/>
    <col min="10528" max="10528" width="9.42578125" bestFit="1" customWidth="1"/>
    <col min="10750" max="10750" width="0.7109375" customWidth="1"/>
    <col min="10751" max="10751" width="10.5703125" customWidth="1"/>
    <col min="10752" max="10752" width="46.42578125" customWidth="1"/>
    <col min="10753" max="10753" width="12.7109375" customWidth="1"/>
    <col min="10754" max="10762" width="0" hidden="1" customWidth="1"/>
    <col min="10763" max="10763" width="14.5703125" customWidth="1"/>
    <col min="10764" max="10764" width="19.140625" customWidth="1"/>
    <col min="10765" max="10766" width="14.5703125" customWidth="1"/>
    <col min="10767" max="10768" width="14.140625" customWidth="1"/>
    <col min="10769" max="10769" width="15.28515625" customWidth="1"/>
    <col min="10770" max="10770" width="14.140625" customWidth="1"/>
    <col min="10771" max="10771" width="15.140625" customWidth="1"/>
    <col min="10772" max="10773" width="14.140625" customWidth="1"/>
    <col min="10774" max="10775" width="14.5703125" customWidth="1"/>
    <col min="10776" max="10776" width="14.140625" customWidth="1"/>
    <col min="10777" max="10777" width="14.5703125" customWidth="1"/>
    <col min="10778" max="10778" width="21.42578125" customWidth="1"/>
    <col min="10779" max="10779" width="18" customWidth="1"/>
    <col min="10780" max="10780" width="16.28515625" customWidth="1"/>
    <col min="10781" max="10781" width="8.28515625" customWidth="1"/>
    <col min="10784" max="10784" width="9.42578125" bestFit="1" customWidth="1"/>
    <col min="11006" max="11006" width="0.7109375" customWidth="1"/>
    <col min="11007" max="11007" width="10.5703125" customWidth="1"/>
    <col min="11008" max="11008" width="46.42578125" customWidth="1"/>
    <col min="11009" max="11009" width="12.7109375" customWidth="1"/>
    <col min="11010" max="11018" width="0" hidden="1" customWidth="1"/>
    <col min="11019" max="11019" width="14.5703125" customWidth="1"/>
    <col min="11020" max="11020" width="19.140625" customWidth="1"/>
    <col min="11021" max="11022" width="14.5703125" customWidth="1"/>
    <col min="11023" max="11024" width="14.140625" customWidth="1"/>
    <col min="11025" max="11025" width="15.28515625" customWidth="1"/>
    <col min="11026" max="11026" width="14.140625" customWidth="1"/>
    <col min="11027" max="11027" width="15.140625" customWidth="1"/>
    <col min="11028" max="11029" width="14.140625" customWidth="1"/>
    <col min="11030" max="11031" width="14.5703125" customWidth="1"/>
    <col min="11032" max="11032" width="14.140625" customWidth="1"/>
    <col min="11033" max="11033" width="14.5703125" customWidth="1"/>
    <col min="11034" max="11034" width="21.42578125" customWidth="1"/>
    <col min="11035" max="11035" width="18" customWidth="1"/>
    <col min="11036" max="11036" width="16.28515625" customWidth="1"/>
    <col min="11037" max="11037" width="8.28515625" customWidth="1"/>
    <col min="11040" max="11040" width="9.42578125" bestFit="1" customWidth="1"/>
    <col min="11262" max="11262" width="0.7109375" customWidth="1"/>
    <col min="11263" max="11263" width="10.5703125" customWidth="1"/>
    <col min="11264" max="11264" width="46.42578125" customWidth="1"/>
    <col min="11265" max="11265" width="12.7109375" customWidth="1"/>
    <col min="11266" max="11274" width="0" hidden="1" customWidth="1"/>
    <col min="11275" max="11275" width="14.5703125" customWidth="1"/>
    <col min="11276" max="11276" width="19.140625" customWidth="1"/>
    <col min="11277" max="11278" width="14.5703125" customWidth="1"/>
    <col min="11279" max="11280" width="14.140625" customWidth="1"/>
    <col min="11281" max="11281" width="15.28515625" customWidth="1"/>
    <col min="11282" max="11282" width="14.140625" customWidth="1"/>
    <col min="11283" max="11283" width="15.140625" customWidth="1"/>
    <col min="11284" max="11285" width="14.140625" customWidth="1"/>
    <col min="11286" max="11287" width="14.5703125" customWidth="1"/>
    <col min="11288" max="11288" width="14.140625" customWidth="1"/>
    <col min="11289" max="11289" width="14.5703125" customWidth="1"/>
    <col min="11290" max="11290" width="21.42578125" customWidth="1"/>
    <col min="11291" max="11291" width="18" customWidth="1"/>
    <col min="11292" max="11292" width="16.28515625" customWidth="1"/>
    <col min="11293" max="11293" width="8.28515625" customWidth="1"/>
    <col min="11296" max="11296" width="9.42578125" bestFit="1" customWidth="1"/>
    <col min="11518" max="11518" width="0.7109375" customWidth="1"/>
    <col min="11519" max="11519" width="10.5703125" customWidth="1"/>
    <col min="11520" max="11520" width="46.42578125" customWidth="1"/>
    <col min="11521" max="11521" width="12.7109375" customWidth="1"/>
    <col min="11522" max="11530" width="0" hidden="1" customWidth="1"/>
    <col min="11531" max="11531" width="14.5703125" customWidth="1"/>
    <col min="11532" max="11532" width="19.140625" customWidth="1"/>
    <col min="11533" max="11534" width="14.5703125" customWidth="1"/>
    <col min="11535" max="11536" width="14.140625" customWidth="1"/>
    <col min="11537" max="11537" width="15.28515625" customWidth="1"/>
    <col min="11538" max="11538" width="14.140625" customWidth="1"/>
    <col min="11539" max="11539" width="15.140625" customWidth="1"/>
    <col min="11540" max="11541" width="14.140625" customWidth="1"/>
    <col min="11542" max="11543" width="14.5703125" customWidth="1"/>
    <col min="11544" max="11544" width="14.140625" customWidth="1"/>
    <col min="11545" max="11545" width="14.5703125" customWidth="1"/>
    <col min="11546" max="11546" width="21.42578125" customWidth="1"/>
    <col min="11547" max="11547" width="18" customWidth="1"/>
    <col min="11548" max="11548" width="16.28515625" customWidth="1"/>
    <col min="11549" max="11549" width="8.28515625" customWidth="1"/>
    <col min="11552" max="11552" width="9.42578125" bestFit="1" customWidth="1"/>
    <col min="11774" max="11774" width="0.7109375" customWidth="1"/>
    <col min="11775" max="11775" width="10.5703125" customWidth="1"/>
    <col min="11776" max="11776" width="46.42578125" customWidth="1"/>
    <col min="11777" max="11777" width="12.7109375" customWidth="1"/>
    <col min="11778" max="11786" width="0" hidden="1" customWidth="1"/>
    <col min="11787" max="11787" width="14.5703125" customWidth="1"/>
    <col min="11788" max="11788" width="19.140625" customWidth="1"/>
    <col min="11789" max="11790" width="14.5703125" customWidth="1"/>
    <col min="11791" max="11792" width="14.140625" customWidth="1"/>
    <col min="11793" max="11793" width="15.28515625" customWidth="1"/>
    <col min="11794" max="11794" width="14.140625" customWidth="1"/>
    <col min="11795" max="11795" width="15.140625" customWidth="1"/>
    <col min="11796" max="11797" width="14.140625" customWidth="1"/>
    <col min="11798" max="11799" width="14.5703125" customWidth="1"/>
    <col min="11800" max="11800" width="14.140625" customWidth="1"/>
    <col min="11801" max="11801" width="14.5703125" customWidth="1"/>
    <col min="11802" max="11802" width="21.42578125" customWidth="1"/>
    <col min="11803" max="11803" width="18" customWidth="1"/>
    <col min="11804" max="11804" width="16.28515625" customWidth="1"/>
    <col min="11805" max="11805" width="8.28515625" customWidth="1"/>
    <col min="11808" max="11808" width="9.42578125" bestFit="1" customWidth="1"/>
    <col min="12030" max="12030" width="0.7109375" customWidth="1"/>
    <col min="12031" max="12031" width="10.5703125" customWidth="1"/>
    <col min="12032" max="12032" width="46.42578125" customWidth="1"/>
    <col min="12033" max="12033" width="12.7109375" customWidth="1"/>
    <col min="12034" max="12042" width="0" hidden="1" customWidth="1"/>
    <col min="12043" max="12043" width="14.5703125" customWidth="1"/>
    <col min="12044" max="12044" width="19.140625" customWidth="1"/>
    <col min="12045" max="12046" width="14.5703125" customWidth="1"/>
    <col min="12047" max="12048" width="14.140625" customWidth="1"/>
    <col min="12049" max="12049" width="15.28515625" customWidth="1"/>
    <col min="12050" max="12050" width="14.140625" customWidth="1"/>
    <col min="12051" max="12051" width="15.140625" customWidth="1"/>
    <col min="12052" max="12053" width="14.140625" customWidth="1"/>
    <col min="12054" max="12055" width="14.5703125" customWidth="1"/>
    <col min="12056" max="12056" width="14.140625" customWidth="1"/>
    <col min="12057" max="12057" width="14.5703125" customWidth="1"/>
    <col min="12058" max="12058" width="21.42578125" customWidth="1"/>
    <col min="12059" max="12059" width="18" customWidth="1"/>
    <col min="12060" max="12060" width="16.28515625" customWidth="1"/>
    <col min="12061" max="12061" width="8.28515625" customWidth="1"/>
    <col min="12064" max="12064" width="9.42578125" bestFit="1" customWidth="1"/>
    <col min="12286" max="12286" width="0.7109375" customWidth="1"/>
    <col min="12287" max="12287" width="10.5703125" customWidth="1"/>
    <col min="12288" max="12288" width="46.42578125" customWidth="1"/>
    <col min="12289" max="12289" width="12.7109375" customWidth="1"/>
    <col min="12290" max="12298" width="0" hidden="1" customWidth="1"/>
    <col min="12299" max="12299" width="14.5703125" customWidth="1"/>
    <col min="12300" max="12300" width="19.140625" customWidth="1"/>
    <col min="12301" max="12302" width="14.5703125" customWidth="1"/>
    <col min="12303" max="12304" width="14.140625" customWidth="1"/>
    <col min="12305" max="12305" width="15.28515625" customWidth="1"/>
    <col min="12306" max="12306" width="14.140625" customWidth="1"/>
    <col min="12307" max="12307" width="15.140625" customWidth="1"/>
    <col min="12308" max="12309" width="14.140625" customWidth="1"/>
    <col min="12310" max="12311" width="14.5703125" customWidth="1"/>
    <col min="12312" max="12312" width="14.140625" customWidth="1"/>
    <col min="12313" max="12313" width="14.5703125" customWidth="1"/>
    <col min="12314" max="12314" width="21.42578125" customWidth="1"/>
    <col min="12315" max="12315" width="18" customWidth="1"/>
    <col min="12316" max="12316" width="16.28515625" customWidth="1"/>
    <col min="12317" max="12317" width="8.28515625" customWidth="1"/>
    <col min="12320" max="12320" width="9.42578125" bestFit="1" customWidth="1"/>
    <col min="12542" max="12542" width="0.7109375" customWidth="1"/>
    <col min="12543" max="12543" width="10.5703125" customWidth="1"/>
    <col min="12544" max="12544" width="46.42578125" customWidth="1"/>
    <col min="12545" max="12545" width="12.7109375" customWidth="1"/>
    <col min="12546" max="12554" width="0" hidden="1" customWidth="1"/>
    <col min="12555" max="12555" width="14.5703125" customWidth="1"/>
    <col min="12556" max="12556" width="19.140625" customWidth="1"/>
    <col min="12557" max="12558" width="14.5703125" customWidth="1"/>
    <col min="12559" max="12560" width="14.140625" customWidth="1"/>
    <col min="12561" max="12561" width="15.28515625" customWidth="1"/>
    <col min="12562" max="12562" width="14.140625" customWidth="1"/>
    <col min="12563" max="12563" width="15.140625" customWidth="1"/>
    <col min="12564" max="12565" width="14.140625" customWidth="1"/>
    <col min="12566" max="12567" width="14.5703125" customWidth="1"/>
    <col min="12568" max="12568" width="14.140625" customWidth="1"/>
    <col min="12569" max="12569" width="14.5703125" customWidth="1"/>
    <col min="12570" max="12570" width="21.42578125" customWidth="1"/>
    <col min="12571" max="12571" width="18" customWidth="1"/>
    <col min="12572" max="12572" width="16.28515625" customWidth="1"/>
    <col min="12573" max="12573" width="8.28515625" customWidth="1"/>
    <col min="12576" max="12576" width="9.42578125" bestFit="1" customWidth="1"/>
    <col min="12798" max="12798" width="0.7109375" customWidth="1"/>
    <col min="12799" max="12799" width="10.5703125" customWidth="1"/>
    <col min="12800" max="12800" width="46.42578125" customWidth="1"/>
    <col min="12801" max="12801" width="12.7109375" customWidth="1"/>
    <col min="12802" max="12810" width="0" hidden="1" customWidth="1"/>
    <col min="12811" max="12811" width="14.5703125" customWidth="1"/>
    <col min="12812" max="12812" width="19.140625" customWidth="1"/>
    <col min="12813" max="12814" width="14.5703125" customWidth="1"/>
    <col min="12815" max="12816" width="14.140625" customWidth="1"/>
    <col min="12817" max="12817" width="15.28515625" customWidth="1"/>
    <col min="12818" max="12818" width="14.140625" customWidth="1"/>
    <col min="12819" max="12819" width="15.140625" customWidth="1"/>
    <col min="12820" max="12821" width="14.140625" customWidth="1"/>
    <col min="12822" max="12823" width="14.5703125" customWidth="1"/>
    <col min="12824" max="12824" width="14.140625" customWidth="1"/>
    <col min="12825" max="12825" width="14.5703125" customWidth="1"/>
    <col min="12826" max="12826" width="21.42578125" customWidth="1"/>
    <col min="12827" max="12827" width="18" customWidth="1"/>
    <col min="12828" max="12828" width="16.28515625" customWidth="1"/>
    <col min="12829" max="12829" width="8.28515625" customWidth="1"/>
    <col min="12832" max="12832" width="9.42578125" bestFit="1" customWidth="1"/>
    <col min="13054" max="13054" width="0.7109375" customWidth="1"/>
    <col min="13055" max="13055" width="10.5703125" customWidth="1"/>
    <col min="13056" max="13056" width="46.42578125" customWidth="1"/>
    <col min="13057" max="13057" width="12.7109375" customWidth="1"/>
    <col min="13058" max="13066" width="0" hidden="1" customWidth="1"/>
    <col min="13067" max="13067" width="14.5703125" customWidth="1"/>
    <col min="13068" max="13068" width="19.140625" customWidth="1"/>
    <col min="13069" max="13070" width="14.5703125" customWidth="1"/>
    <col min="13071" max="13072" width="14.140625" customWidth="1"/>
    <col min="13073" max="13073" width="15.28515625" customWidth="1"/>
    <col min="13074" max="13074" width="14.140625" customWidth="1"/>
    <col min="13075" max="13075" width="15.140625" customWidth="1"/>
    <col min="13076" max="13077" width="14.140625" customWidth="1"/>
    <col min="13078" max="13079" width="14.5703125" customWidth="1"/>
    <col min="13080" max="13080" width="14.140625" customWidth="1"/>
    <col min="13081" max="13081" width="14.5703125" customWidth="1"/>
    <col min="13082" max="13082" width="21.42578125" customWidth="1"/>
    <col min="13083" max="13083" width="18" customWidth="1"/>
    <col min="13084" max="13084" width="16.28515625" customWidth="1"/>
    <col min="13085" max="13085" width="8.28515625" customWidth="1"/>
    <col min="13088" max="13088" width="9.42578125" bestFit="1" customWidth="1"/>
    <col min="13310" max="13310" width="0.7109375" customWidth="1"/>
    <col min="13311" max="13311" width="10.5703125" customWidth="1"/>
    <col min="13312" max="13312" width="46.42578125" customWidth="1"/>
    <col min="13313" max="13313" width="12.7109375" customWidth="1"/>
    <col min="13314" max="13322" width="0" hidden="1" customWidth="1"/>
    <col min="13323" max="13323" width="14.5703125" customWidth="1"/>
    <col min="13324" max="13324" width="19.140625" customWidth="1"/>
    <col min="13325" max="13326" width="14.5703125" customWidth="1"/>
    <col min="13327" max="13328" width="14.140625" customWidth="1"/>
    <col min="13329" max="13329" width="15.28515625" customWidth="1"/>
    <col min="13330" max="13330" width="14.140625" customWidth="1"/>
    <col min="13331" max="13331" width="15.140625" customWidth="1"/>
    <col min="13332" max="13333" width="14.140625" customWidth="1"/>
    <col min="13334" max="13335" width="14.5703125" customWidth="1"/>
    <col min="13336" max="13336" width="14.140625" customWidth="1"/>
    <col min="13337" max="13337" width="14.5703125" customWidth="1"/>
    <col min="13338" max="13338" width="21.42578125" customWidth="1"/>
    <col min="13339" max="13339" width="18" customWidth="1"/>
    <col min="13340" max="13340" width="16.28515625" customWidth="1"/>
    <col min="13341" max="13341" width="8.28515625" customWidth="1"/>
    <col min="13344" max="13344" width="9.42578125" bestFit="1" customWidth="1"/>
    <col min="13566" max="13566" width="0.7109375" customWidth="1"/>
    <col min="13567" max="13567" width="10.5703125" customWidth="1"/>
    <col min="13568" max="13568" width="46.42578125" customWidth="1"/>
    <col min="13569" max="13569" width="12.7109375" customWidth="1"/>
    <col min="13570" max="13578" width="0" hidden="1" customWidth="1"/>
    <col min="13579" max="13579" width="14.5703125" customWidth="1"/>
    <col min="13580" max="13580" width="19.140625" customWidth="1"/>
    <col min="13581" max="13582" width="14.5703125" customWidth="1"/>
    <col min="13583" max="13584" width="14.140625" customWidth="1"/>
    <col min="13585" max="13585" width="15.28515625" customWidth="1"/>
    <col min="13586" max="13586" width="14.140625" customWidth="1"/>
    <col min="13587" max="13587" width="15.140625" customWidth="1"/>
    <col min="13588" max="13589" width="14.140625" customWidth="1"/>
    <col min="13590" max="13591" width="14.5703125" customWidth="1"/>
    <col min="13592" max="13592" width="14.140625" customWidth="1"/>
    <col min="13593" max="13593" width="14.5703125" customWidth="1"/>
    <col min="13594" max="13594" width="21.42578125" customWidth="1"/>
    <col min="13595" max="13595" width="18" customWidth="1"/>
    <col min="13596" max="13596" width="16.28515625" customWidth="1"/>
    <col min="13597" max="13597" width="8.28515625" customWidth="1"/>
    <col min="13600" max="13600" width="9.42578125" bestFit="1" customWidth="1"/>
    <col min="13822" max="13822" width="0.7109375" customWidth="1"/>
    <col min="13823" max="13823" width="10.5703125" customWidth="1"/>
    <col min="13824" max="13824" width="46.42578125" customWidth="1"/>
    <col min="13825" max="13825" width="12.7109375" customWidth="1"/>
    <col min="13826" max="13834" width="0" hidden="1" customWidth="1"/>
    <col min="13835" max="13835" width="14.5703125" customWidth="1"/>
    <col min="13836" max="13836" width="19.140625" customWidth="1"/>
    <col min="13837" max="13838" width="14.5703125" customWidth="1"/>
    <col min="13839" max="13840" width="14.140625" customWidth="1"/>
    <col min="13841" max="13841" width="15.28515625" customWidth="1"/>
    <col min="13842" max="13842" width="14.140625" customWidth="1"/>
    <col min="13843" max="13843" width="15.140625" customWidth="1"/>
    <col min="13844" max="13845" width="14.140625" customWidth="1"/>
    <col min="13846" max="13847" width="14.5703125" customWidth="1"/>
    <col min="13848" max="13848" width="14.140625" customWidth="1"/>
    <col min="13849" max="13849" width="14.5703125" customWidth="1"/>
    <col min="13850" max="13850" width="21.42578125" customWidth="1"/>
    <col min="13851" max="13851" width="18" customWidth="1"/>
    <col min="13852" max="13852" width="16.28515625" customWidth="1"/>
    <col min="13853" max="13853" width="8.28515625" customWidth="1"/>
    <col min="13856" max="13856" width="9.42578125" bestFit="1" customWidth="1"/>
    <col min="14078" max="14078" width="0.7109375" customWidth="1"/>
    <col min="14079" max="14079" width="10.5703125" customWidth="1"/>
    <col min="14080" max="14080" width="46.42578125" customWidth="1"/>
    <col min="14081" max="14081" width="12.7109375" customWidth="1"/>
    <col min="14082" max="14090" width="0" hidden="1" customWidth="1"/>
    <col min="14091" max="14091" width="14.5703125" customWidth="1"/>
    <col min="14092" max="14092" width="19.140625" customWidth="1"/>
    <col min="14093" max="14094" width="14.5703125" customWidth="1"/>
    <col min="14095" max="14096" width="14.140625" customWidth="1"/>
    <col min="14097" max="14097" width="15.28515625" customWidth="1"/>
    <col min="14098" max="14098" width="14.140625" customWidth="1"/>
    <col min="14099" max="14099" width="15.140625" customWidth="1"/>
    <col min="14100" max="14101" width="14.140625" customWidth="1"/>
    <col min="14102" max="14103" width="14.5703125" customWidth="1"/>
    <col min="14104" max="14104" width="14.140625" customWidth="1"/>
    <col min="14105" max="14105" width="14.5703125" customWidth="1"/>
    <col min="14106" max="14106" width="21.42578125" customWidth="1"/>
    <col min="14107" max="14107" width="18" customWidth="1"/>
    <col min="14108" max="14108" width="16.28515625" customWidth="1"/>
    <col min="14109" max="14109" width="8.28515625" customWidth="1"/>
    <col min="14112" max="14112" width="9.42578125" bestFit="1" customWidth="1"/>
    <col min="14334" max="14334" width="0.7109375" customWidth="1"/>
    <col min="14335" max="14335" width="10.5703125" customWidth="1"/>
    <col min="14336" max="14336" width="46.42578125" customWidth="1"/>
    <col min="14337" max="14337" width="12.7109375" customWidth="1"/>
    <col min="14338" max="14346" width="0" hidden="1" customWidth="1"/>
    <col min="14347" max="14347" width="14.5703125" customWidth="1"/>
    <col min="14348" max="14348" width="19.140625" customWidth="1"/>
    <col min="14349" max="14350" width="14.5703125" customWidth="1"/>
    <col min="14351" max="14352" width="14.140625" customWidth="1"/>
    <col min="14353" max="14353" width="15.28515625" customWidth="1"/>
    <col min="14354" max="14354" width="14.140625" customWidth="1"/>
    <col min="14355" max="14355" width="15.140625" customWidth="1"/>
    <col min="14356" max="14357" width="14.140625" customWidth="1"/>
    <col min="14358" max="14359" width="14.5703125" customWidth="1"/>
    <col min="14360" max="14360" width="14.140625" customWidth="1"/>
    <col min="14361" max="14361" width="14.5703125" customWidth="1"/>
    <col min="14362" max="14362" width="21.42578125" customWidth="1"/>
    <col min="14363" max="14363" width="18" customWidth="1"/>
    <col min="14364" max="14364" width="16.28515625" customWidth="1"/>
    <col min="14365" max="14365" width="8.28515625" customWidth="1"/>
    <col min="14368" max="14368" width="9.42578125" bestFit="1" customWidth="1"/>
    <col min="14590" max="14590" width="0.7109375" customWidth="1"/>
    <col min="14591" max="14591" width="10.5703125" customWidth="1"/>
    <col min="14592" max="14592" width="46.42578125" customWidth="1"/>
    <col min="14593" max="14593" width="12.7109375" customWidth="1"/>
    <col min="14594" max="14602" width="0" hidden="1" customWidth="1"/>
    <col min="14603" max="14603" width="14.5703125" customWidth="1"/>
    <col min="14604" max="14604" width="19.140625" customWidth="1"/>
    <col min="14605" max="14606" width="14.5703125" customWidth="1"/>
    <col min="14607" max="14608" width="14.140625" customWidth="1"/>
    <col min="14609" max="14609" width="15.28515625" customWidth="1"/>
    <col min="14610" max="14610" width="14.140625" customWidth="1"/>
    <col min="14611" max="14611" width="15.140625" customWidth="1"/>
    <col min="14612" max="14613" width="14.140625" customWidth="1"/>
    <col min="14614" max="14615" width="14.5703125" customWidth="1"/>
    <col min="14616" max="14616" width="14.140625" customWidth="1"/>
    <col min="14617" max="14617" width="14.5703125" customWidth="1"/>
    <col min="14618" max="14618" width="21.42578125" customWidth="1"/>
    <col min="14619" max="14619" width="18" customWidth="1"/>
    <col min="14620" max="14620" width="16.28515625" customWidth="1"/>
    <col min="14621" max="14621" width="8.28515625" customWidth="1"/>
    <col min="14624" max="14624" width="9.42578125" bestFit="1" customWidth="1"/>
    <col min="14846" max="14846" width="0.7109375" customWidth="1"/>
    <col min="14847" max="14847" width="10.5703125" customWidth="1"/>
    <col min="14848" max="14848" width="46.42578125" customWidth="1"/>
    <col min="14849" max="14849" width="12.7109375" customWidth="1"/>
    <col min="14850" max="14858" width="0" hidden="1" customWidth="1"/>
    <col min="14859" max="14859" width="14.5703125" customWidth="1"/>
    <col min="14860" max="14860" width="19.140625" customWidth="1"/>
    <col min="14861" max="14862" width="14.5703125" customWidth="1"/>
    <col min="14863" max="14864" width="14.140625" customWidth="1"/>
    <col min="14865" max="14865" width="15.28515625" customWidth="1"/>
    <col min="14866" max="14866" width="14.140625" customWidth="1"/>
    <col min="14867" max="14867" width="15.140625" customWidth="1"/>
    <col min="14868" max="14869" width="14.140625" customWidth="1"/>
    <col min="14870" max="14871" width="14.5703125" customWidth="1"/>
    <col min="14872" max="14872" width="14.140625" customWidth="1"/>
    <col min="14873" max="14873" width="14.5703125" customWidth="1"/>
    <col min="14874" max="14874" width="21.42578125" customWidth="1"/>
    <col min="14875" max="14875" width="18" customWidth="1"/>
    <col min="14876" max="14876" width="16.28515625" customWidth="1"/>
    <col min="14877" max="14877" width="8.28515625" customWidth="1"/>
    <col min="14880" max="14880" width="9.42578125" bestFit="1" customWidth="1"/>
    <col min="15102" max="15102" width="0.7109375" customWidth="1"/>
    <col min="15103" max="15103" width="10.5703125" customWidth="1"/>
    <col min="15104" max="15104" width="46.42578125" customWidth="1"/>
    <col min="15105" max="15105" width="12.7109375" customWidth="1"/>
    <col min="15106" max="15114" width="0" hidden="1" customWidth="1"/>
    <col min="15115" max="15115" width="14.5703125" customWidth="1"/>
    <col min="15116" max="15116" width="19.140625" customWidth="1"/>
    <col min="15117" max="15118" width="14.5703125" customWidth="1"/>
    <col min="15119" max="15120" width="14.140625" customWidth="1"/>
    <col min="15121" max="15121" width="15.28515625" customWidth="1"/>
    <col min="15122" max="15122" width="14.140625" customWidth="1"/>
    <col min="15123" max="15123" width="15.140625" customWidth="1"/>
    <col min="15124" max="15125" width="14.140625" customWidth="1"/>
    <col min="15126" max="15127" width="14.5703125" customWidth="1"/>
    <col min="15128" max="15128" width="14.140625" customWidth="1"/>
    <col min="15129" max="15129" width="14.5703125" customWidth="1"/>
    <col min="15130" max="15130" width="21.42578125" customWidth="1"/>
    <col min="15131" max="15131" width="18" customWidth="1"/>
    <col min="15132" max="15132" width="16.28515625" customWidth="1"/>
    <col min="15133" max="15133" width="8.28515625" customWidth="1"/>
    <col min="15136" max="15136" width="9.42578125" bestFit="1" customWidth="1"/>
    <col min="15358" max="15358" width="0.7109375" customWidth="1"/>
    <col min="15359" max="15359" width="10.5703125" customWidth="1"/>
    <col min="15360" max="15360" width="46.42578125" customWidth="1"/>
    <col min="15361" max="15361" width="12.7109375" customWidth="1"/>
    <col min="15362" max="15370" width="0" hidden="1" customWidth="1"/>
    <col min="15371" max="15371" width="14.5703125" customWidth="1"/>
    <col min="15372" max="15372" width="19.140625" customWidth="1"/>
    <col min="15373" max="15374" width="14.5703125" customWidth="1"/>
    <col min="15375" max="15376" width="14.140625" customWidth="1"/>
    <col min="15377" max="15377" width="15.28515625" customWidth="1"/>
    <col min="15378" max="15378" width="14.140625" customWidth="1"/>
    <col min="15379" max="15379" width="15.140625" customWidth="1"/>
    <col min="15380" max="15381" width="14.140625" customWidth="1"/>
    <col min="15382" max="15383" width="14.5703125" customWidth="1"/>
    <col min="15384" max="15384" width="14.140625" customWidth="1"/>
    <col min="15385" max="15385" width="14.5703125" customWidth="1"/>
    <col min="15386" max="15386" width="21.42578125" customWidth="1"/>
    <col min="15387" max="15387" width="18" customWidth="1"/>
    <col min="15388" max="15388" width="16.28515625" customWidth="1"/>
    <col min="15389" max="15389" width="8.28515625" customWidth="1"/>
    <col min="15392" max="15392" width="9.42578125" bestFit="1" customWidth="1"/>
    <col min="15614" max="15614" width="0.7109375" customWidth="1"/>
    <col min="15615" max="15615" width="10.5703125" customWidth="1"/>
    <col min="15616" max="15616" width="46.42578125" customWidth="1"/>
    <col min="15617" max="15617" width="12.7109375" customWidth="1"/>
    <col min="15618" max="15626" width="0" hidden="1" customWidth="1"/>
    <col min="15627" max="15627" width="14.5703125" customWidth="1"/>
    <col min="15628" max="15628" width="19.140625" customWidth="1"/>
    <col min="15629" max="15630" width="14.5703125" customWidth="1"/>
    <col min="15631" max="15632" width="14.140625" customWidth="1"/>
    <col min="15633" max="15633" width="15.28515625" customWidth="1"/>
    <col min="15634" max="15634" width="14.140625" customWidth="1"/>
    <col min="15635" max="15635" width="15.140625" customWidth="1"/>
    <col min="15636" max="15637" width="14.140625" customWidth="1"/>
    <col min="15638" max="15639" width="14.5703125" customWidth="1"/>
    <col min="15640" max="15640" width="14.140625" customWidth="1"/>
    <col min="15641" max="15641" width="14.5703125" customWidth="1"/>
    <col min="15642" max="15642" width="21.42578125" customWidth="1"/>
    <col min="15643" max="15643" width="18" customWidth="1"/>
    <col min="15644" max="15644" width="16.28515625" customWidth="1"/>
    <col min="15645" max="15645" width="8.28515625" customWidth="1"/>
    <col min="15648" max="15648" width="9.42578125" bestFit="1" customWidth="1"/>
    <col min="15870" max="15870" width="0.7109375" customWidth="1"/>
    <col min="15871" max="15871" width="10.5703125" customWidth="1"/>
    <col min="15872" max="15872" width="46.42578125" customWidth="1"/>
    <col min="15873" max="15873" width="12.7109375" customWidth="1"/>
    <col min="15874" max="15882" width="0" hidden="1" customWidth="1"/>
    <col min="15883" max="15883" width="14.5703125" customWidth="1"/>
    <col min="15884" max="15884" width="19.140625" customWidth="1"/>
    <col min="15885" max="15886" width="14.5703125" customWidth="1"/>
    <col min="15887" max="15888" width="14.140625" customWidth="1"/>
    <col min="15889" max="15889" width="15.28515625" customWidth="1"/>
    <col min="15890" max="15890" width="14.140625" customWidth="1"/>
    <col min="15891" max="15891" width="15.140625" customWidth="1"/>
    <col min="15892" max="15893" width="14.140625" customWidth="1"/>
    <col min="15894" max="15895" width="14.5703125" customWidth="1"/>
    <col min="15896" max="15896" width="14.140625" customWidth="1"/>
    <col min="15897" max="15897" width="14.5703125" customWidth="1"/>
    <col min="15898" max="15898" width="21.42578125" customWidth="1"/>
    <col min="15899" max="15899" width="18" customWidth="1"/>
    <col min="15900" max="15900" width="16.28515625" customWidth="1"/>
    <col min="15901" max="15901" width="8.28515625" customWidth="1"/>
    <col min="15904" max="15904" width="9.42578125" bestFit="1" customWidth="1"/>
    <col min="16126" max="16126" width="0.7109375" customWidth="1"/>
    <col min="16127" max="16127" width="10.5703125" customWidth="1"/>
    <col min="16128" max="16128" width="46.42578125" customWidth="1"/>
    <col min="16129" max="16129" width="12.7109375" customWidth="1"/>
    <col min="16130" max="16138" width="0" hidden="1" customWidth="1"/>
    <col min="16139" max="16139" width="14.5703125" customWidth="1"/>
    <col min="16140" max="16140" width="19.140625" customWidth="1"/>
    <col min="16141" max="16142" width="14.5703125" customWidth="1"/>
    <col min="16143" max="16144" width="14.140625" customWidth="1"/>
    <col min="16145" max="16145" width="15.28515625" customWidth="1"/>
    <col min="16146" max="16146" width="14.140625" customWidth="1"/>
    <col min="16147" max="16147" width="15.140625" customWidth="1"/>
    <col min="16148" max="16149" width="14.140625" customWidth="1"/>
    <col min="16150" max="16151" width="14.5703125" customWidth="1"/>
    <col min="16152" max="16152" width="14.140625" customWidth="1"/>
    <col min="16153" max="16153" width="14.5703125" customWidth="1"/>
    <col min="16154" max="16154" width="21.42578125" customWidth="1"/>
    <col min="16155" max="16155" width="18" customWidth="1"/>
    <col min="16156" max="16156" width="16.28515625" customWidth="1"/>
    <col min="16157" max="16157" width="8.28515625" customWidth="1"/>
    <col min="16160" max="16160" width="9.42578125" bestFit="1" customWidth="1"/>
  </cols>
  <sheetData>
    <row r="1" spans="1:29" ht="33.75" customHeight="1" thickBot="1">
      <c r="C1" s="3470" t="s">
        <v>15230</v>
      </c>
      <c r="D1" s="3470"/>
      <c r="E1" s="3470"/>
      <c r="F1" s="3470"/>
      <c r="G1" s="3470"/>
      <c r="H1" s="3470"/>
      <c r="I1" s="3470"/>
      <c r="J1" s="3470"/>
      <c r="K1" s="3470"/>
      <c r="L1" s="3470"/>
      <c r="M1" s="3470"/>
      <c r="N1" s="3470"/>
      <c r="O1" s="3470"/>
      <c r="P1" s="3470"/>
      <c r="Q1" s="3470"/>
      <c r="R1" s="3470"/>
      <c r="S1" s="3470"/>
      <c r="T1" s="3470"/>
      <c r="U1" s="3470"/>
      <c r="V1" s="3470"/>
      <c r="W1" s="3470"/>
      <c r="X1" s="3470"/>
      <c r="Y1" s="3470"/>
      <c r="Z1" s="3470"/>
      <c r="AA1" s="3470"/>
      <c r="AB1" s="3470"/>
    </row>
    <row r="2" spans="1:29" ht="27.75" hidden="1" customHeight="1" outlineLevel="1" thickBot="1">
      <c r="A2" s="2220"/>
      <c r="B2" s="2221"/>
      <c r="C2" s="2222"/>
      <c r="D2" s="2496"/>
      <c r="E2" s="3335" t="s">
        <v>14964</v>
      </c>
      <c r="F2" s="3336"/>
      <c r="G2" s="3336"/>
      <c r="H2" s="3336"/>
      <c r="I2" s="3336"/>
      <c r="J2" s="3336"/>
      <c r="K2" s="3336"/>
      <c r="L2" s="3336"/>
      <c r="M2" s="3337"/>
      <c r="N2" s="3335" t="s">
        <v>15231</v>
      </c>
      <c r="O2" s="3336"/>
      <c r="P2" s="3336"/>
      <c r="Q2" s="3335" t="s">
        <v>14965</v>
      </c>
      <c r="R2" s="3336"/>
      <c r="S2" s="3337"/>
      <c r="T2" s="3336" t="s">
        <v>14965</v>
      </c>
      <c r="U2" s="3336"/>
      <c r="V2" s="3336"/>
      <c r="W2" s="3335" t="s">
        <v>14965</v>
      </c>
      <c r="X2" s="3336"/>
      <c r="Y2" s="3336"/>
      <c r="Z2" s="3335" t="s">
        <v>14965</v>
      </c>
      <c r="AA2" s="3336"/>
      <c r="AB2" s="3337"/>
    </row>
    <row r="3" spans="1:29" s="2218" customFormat="1" ht="23.25" customHeight="1" collapsed="1">
      <c r="B3" s="3338" t="s">
        <v>665</v>
      </c>
      <c r="C3" s="3340" t="s">
        <v>1306</v>
      </c>
      <c r="D3" s="3342" t="s">
        <v>1307</v>
      </c>
      <c r="E3" s="3460">
        <v>2020</v>
      </c>
      <c r="F3" s="3461"/>
      <c r="G3" s="3461"/>
      <c r="H3" s="3461">
        <v>2021</v>
      </c>
      <c r="I3" s="3461"/>
      <c r="J3" s="3461"/>
      <c r="K3" s="3461">
        <v>2022</v>
      </c>
      <c r="L3" s="3461"/>
      <c r="M3" s="3463"/>
      <c r="N3" s="3460">
        <v>2024</v>
      </c>
      <c r="O3" s="3461"/>
      <c r="P3" s="3462"/>
      <c r="Q3" s="3344">
        <v>2025</v>
      </c>
      <c r="R3" s="3345"/>
      <c r="S3" s="3347"/>
      <c r="T3" s="3464">
        <v>2026</v>
      </c>
      <c r="U3" s="3461"/>
      <c r="V3" s="3462"/>
      <c r="W3" s="3460">
        <v>2027</v>
      </c>
      <c r="X3" s="3461"/>
      <c r="Y3" s="3462"/>
      <c r="Z3" s="3460">
        <v>2028</v>
      </c>
      <c r="AA3" s="3461"/>
      <c r="AB3" s="3463"/>
    </row>
    <row r="4" spans="1:29" s="2218" customFormat="1" ht="29.25" customHeight="1" thickBot="1">
      <c r="B4" s="3467"/>
      <c r="C4" s="3468"/>
      <c r="D4" s="3469"/>
      <c r="E4" s="2223" t="s">
        <v>14966</v>
      </c>
      <c r="F4" s="2224" t="s">
        <v>14967</v>
      </c>
      <c r="G4" s="2225" t="s">
        <v>1310</v>
      </c>
      <c r="H4" s="2224" t="s">
        <v>14968</v>
      </c>
      <c r="I4" s="2224" t="s">
        <v>14969</v>
      </c>
      <c r="J4" s="2225" t="s">
        <v>1310</v>
      </c>
      <c r="K4" s="2224" t="s">
        <v>14970</v>
      </c>
      <c r="L4" s="2224" t="s">
        <v>14971</v>
      </c>
      <c r="M4" s="2227" t="s">
        <v>1310</v>
      </c>
      <c r="N4" s="2223" t="s">
        <v>14972</v>
      </c>
      <c r="O4" s="2224" t="s">
        <v>14973</v>
      </c>
      <c r="P4" s="2226" t="s">
        <v>1310</v>
      </c>
      <c r="Q4" s="2223" t="s">
        <v>14974</v>
      </c>
      <c r="R4" s="2224" t="s">
        <v>14975</v>
      </c>
      <c r="S4" s="2227" t="s">
        <v>1310</v>
      </c>
      <c r="T4" s="2228" t="s">
        <v>14976</v>
      </c>
      <c r="U4" s="2224" t="s">
        <v>14977</v>
      </c>
      <c r="V4" s="2226" t="s">
        <v>1310</v>
      </c>
      <c r="W4" s="2223" t="s">
        <v>14978</v>
      </c>
      <c r="X4" s="2224" t="s">
        <v>14979</v>
      </c>
      <c r="Y4" s="2226" t="s">
        <v>1310</v>
      </c>
      <c r="Z4" s="2223" t="s">
        <v>14980</v>
      </c>
      <c r="AA4" s="2224" t="s">
        <v>14981</v>
      </c>
      <c r="AB4" s="2475" t="s">
        <v>1310</v>
      </c>
    </row>
    <row r="5" spans="1:29" s="2218" customFormat="1" ht="11.25" hidden="1" customHeight="1" outlineLevel="1" thickBot="1">
      <c r="B5" s="2229"/>
      <c r="C5" s="2230"/>
      <c r="D5" s="2231"/>
      <c r="E5" s="2232"/>
      <c r="F5" s="2219"/>
      <c r="G5" s="2219"/>
      <c r="H5" s="2219"/>
      <c r="I5" s="2219"/>
      <c r="J5" s="2219"/>
      <c r="K5" s="2219"/>
      <c r="L5" s="2219"/>
      <c r="M5" s="2234"/>
      <c r="N5" s="2232"/>
      <c r="O5" s="2233"/>
      <c r="P5" s="2233"/>
      <c r="Q5" s="2232"/>
      <c r="R5" s="2233"/>
      <c r="S5" s="2234"/>
      <c r="T5" s="2233"/>
      <c r="U5" s="2233"/>
      <c r="V5" s="2233"/>
      <c r="W5" s="2232"/>
      <c r="X5" s="2233"/>
      <c r="Y5" s="2233"/>
      <c r="Z5" s="2232"/>
      <c r="AA5" s="2233"/>
      <c r="AB5" s="2476"/>
    </row>
    <row r="6" spans="1:29" s="2218" customFormat="1" ht="19.5" collapsed="1" thickBot="1">
      <c r="A6" s="2235">
        <v>1</v>
      </c>
      <c r="B6" s="2236"/>
      <c r="C6" s="2237" t="s">
        <v>1311</v>
      </c>
      <c r="D6" s="2497"/>
      <c r="E6" s="2239">
        <f>E7+E238+E271+E272</f>
        <v>175738.51399329212</v>
      </c>
      <c r="F6" s="2239">
        <f>F7+F238+F271+F272</f>
        <v>182331.2676547539</v>
      </c>
      <c r="G6" s="2240">
        <f t="shared" ref="G6:G69" si="0">E6/2+F6/2</f>
        <v>179034.89082402299</v>
      </c>
      <c r="H6" s="2239">
        <f>H7+H238+H271+H272</f>
        <v>186609.97648684072</v>
      </c>
      <c r="I6" s="2239">
        <f>I7+I238+I271+I272</f>
        <v>192978.71839264667</v>
      </c>
      <c r="J6" s="2240">
        <f t="shared" ref="J6:J69" si="1">H6/2+I6/2</f>
        <v>189794.34743974369</v>
      </c>
      <c r="K6" s="2239">
        <f>K7+K238+K271+K272</f>
        <v>209247.53602632365</v>
      </c>
      <c r="L6" s="2239">
        <f>L7+L238+L271+L272</f>
        <v>216671.27082674296</v>
      </c>
      <c r="M6" s="2240">
        <f t="shared" ref="M6:M69" si="2">K6/2+L6/2</f>
        <v>212959.4034265333</v>
      </c>
      <c r="N6" s="2239">
        <f>N7+N238+N271+N272</f>
        <v>228722.01722289665</v>
      </c>
      <c r="O6" s="2242">
        <f>O7+O238+O271+O272</f>
        <v>323168.67040512146</v>
      </c>
      <c r="P6" s="2241">
        <f t="shared" ref="P6:P69" si="3">N6/2+O6/2</f>
        <v>275945.34381400904</v>
      </c>
      <c r="Q6" s="2239">
        <f>Q7+Q238+Q271+Q272</f>
        <v>323168.66418281401</v>
      </c>
      <c r="R6" s="2242">
        <f>R7+R238+R271+R272</f>
        <v>373888.24486293254</v>
      </c>
      <c r="S6" s="2240">
        <f t="shared" ref="S6:S69" si="4">Q6/2+R6/2</f>
        <v>348528.45452287327</v>
      </c>
      <c r="T6" s="2239">
        <f>T7+T238+T271+T272</f>
        <v>373924.78610304923</v>
      </c>
      <c r="U6" s="2242">
        <f>U7+U238+U271+U272</f>
        <v>408464.95348955732</v>
      </c>
      <c r="V6" s="2241">
        <f t="shared" ref="V6:V69" si="5">T6/2+U6/2</f>
        <v>391194.86979630328</v>
      </c>
      <c r="W6" s="2239">
        <f>W7+W238+W271+W272</f>
        <v>408464.95348955732</v>
      </c>
      <c r="X6" s="2897">
        <f>X7+X238+X271+X272</f>
        <v>440038.10772021761</v>
      </c>
      <c r="Y6" s="2241">
        <f t="shared" ref="Y6:Y69" si="6">W6/2+X6/2</f>
        <v>424251.53060488746</v>
      </c>
      <c r="Z6" s="2239">
        <f>Z7+Z238+Z271+Z272</f>
        <v>440038.10772021761</v>
      </c>
      <c r="AA6" s="2242">
        <f>AA7+AA238+AA271+AA272</f>
        <v>444978.50106295187</v>
      </c>
      <c r="AB6" s="2240">
        <f t="shared" ref="AB6:AB69" si="7">Z6/2+AA6/2</f>
        <v>442508.30439158471</v>
      </c>
      <c r="AC6" s="2593">
        <f>T6-R6</f>
        <v>36.541240116697736</v>
      </c>
    </row>
    <row r="7" spans="1:29" s="2218" customFormat="1" ht="27" customHeight="1">
      <c r="A7" s="2235">
        <v>253</v>
      </c>
      <c r="B7" s="2243"/>
      <c r="C7" s="2244" t="s">
        <v>1312</v>
      </c>
      <c r="D7" s="2499" t="s">
        <v>1313</v>
      </c>
      <c r="E7" s="2246">
        <f>E8+E236</f>
        <v>175738.51399329212</v>
      </c>
      <c r="F7" s="2247">
        <f>F8+F236</f>
        <v>182331.2676547539</v>
      </c>
      <c r="G7" s="2248">
        <f t="shared" si="0"/>
        <v>179034.89082402299</v>
      </c>
      <c r="H7" s="2247">
        <f>H8+H236</f>
        <v>186609.97648684072</v>
      </c>
      <c r="I7" s="2247">
        <f>I8+I236</f>
        <v>192978.71839264667</v>
      </c>
      <c r="J7" s="2248">
        <f t="shared" si="1"/>
        <v>189794.34743974369</v>
      </c>
      <c r="K7" s="2247">
        <f>K8+K236</f>
        <v>205908.68479845431</v>
      </c>
      <c r="L7" s="2247">
        <f>L8+L236</f>
        <v>213332.41959887362</v>
      </c>
      <c r="M7" s="2250">
        <f t="shared" si="2"/>
        <v>209620.55219866397</v>
      </c>
      <c r="N7" s="2246">
        <f>N8+N236</f>
        <v>223601.21789307473</v>
      </c>
      <c r="O7" s="2247">
        <f>O8+O236</f>
        <v>355955.23911209195</v>
      </c>
      <c r="P7" s="2249">
        <f t="shared" si="3"/>
        <v>289778.22850258334</v>
      </c>
      <c r="Q7" s="2246">
        <f>Q8+Q236</f>
        <v>355955.2328897845</v>
      </c>
      <c r="R7" s="2247">
        <f>R8+R236</f>
        <v>372438.27631818189</v>
      </c>
      <c r="S7" s="2250">
        <f t="shared" si="4"/>
        <v>364196.75460398319</v>
      </c>
      <c r="T7" s="2246">
        <f>T8+T236</f>
        <v>372474.81755829859</v>
      </c>
      <c r="U7" s="2247">
        <f>U8+U236</f>
        <v>389768.9862030166</v>
      </c>
      <c r="V7" s="2249">
        <f t="shared" si="5"/>
        <v>381121.90188065759</v>
      </c>
      <c r="W7" s="2246">
        <f>W8+W236</f>
        <v>389768.9862030166</v>
      </c>
      <c r="X7" s="2247">
        <f>X8+X236</f>
        <v>407886.30174221529</v>
      </c>
      <c r="Y7" s="2249">
        <f t="shared" si="6"/>
        <v>398827.64397261594</v>
      </c>
      <c r="Z7" s="2246">
        <f>Z8+Z236</f>
        <v>407886.30174221529</v>
      </c>
      <c r="AA7" s="2247">
        <f>AA8+AA236</f>
        <v>426860.62284582946</v>
      </c>
      <c r="AB7" s="2250">
        <f t="shared" si="7"/>
        <v>417373.46229402238</v>
      </c>
      <c r="AC7" s="2593">
        <f t="shared" ref="AC7:AC70" si="8">T7-R7</f>
        <v>36.541240116697736</v>
      </c>
    </row>
    <row r="8" spans="1:29" s="2218" customFormat="1" ht="25.5" customHeight="1">
      <c r="A8" s="2235">
        <v>252</v>
      </c>
      <c r="B8" s="2252">
        <v>1</v>
      </c>
      <c r="C8" s="2253" t="s">
        <v>1314</v>
      </c>
      <c r="D8" s="2500" t="s">
        <v>1313</v>
      </c>
      <c r="E8" s="2255">
        <f>E9+E125+E175</f>
        <v>172365.5076335124</v>
      </c>
      <c r="F8" s="2256">
        <f>F9+F125+F175</f>
        <v>178958.26129497419</v>
      </c>
      <c r="G8" s="2257">
        <f t="shared" si="0"/>
        <v>175661.88446424331</v>
      </c>
      <c r="H8" s="2256">
        <f>H9+H125+H175</f>
        <v>182974.33942168509</v>
      </c>
      <c r="I8" s="2256">
        <f>I9+I125+I175</f>
        <v>189343.08132749103</v>
      </c>
      <c r="J8" s="2257">
        <f t="shared" si="1"/>
        <v>186158.71037458806</v>
      </c>
      <c r="K8" s="2256">
        <f>K9+K125+K175</f>
        <v>202753.93279397697</v>
      </c>
      <c r="L8" s="2256">
        <f>L9+L125+L175</f>
        <v>210177.66759439628</v>
      </c>
      <c r="M8" s="2259">
        <f t="shared" si="2"/>
        <v>206465.80019418662</v>
      </c>
      <c r="N8" s="2255">
        <f>N9+N125+N175</f>
        <v>221767.85645459636</v>
      </c>
      <c r="O8" s="2256">
        <f>O9+O125+O175</f>
        <v>355955.23911209195</v>
      </c>
      <c r="P8" s="2258">
        <f t="shared" si="3"/>
        <v>288861.54778334417</v>
      </c>
      <c r="Q8" s="2255">
        <f>Q9+Q125+Q175</f>
        <v>355955.2328897845</v>
      </c>
      <c r="R8" s="2256">
        <f>R9+R125+R175</f>
        <v>372438.27631818189</v>
      </c>
      <c r="S8" s="2259">
        <f t="shared" si="4"/>
        <v>364196.75460398319</v>
      </c>
      <c r="T8" s="2255">
        <f>T9+T125+T175</f>
        <v>372474.81755829859</v>
      </c>
      <c r="U8" s="2256">
        <f>U9+U125+U175</f>
        <v>389768.9862030166</v>
      </c>
      <c r="V8" s="2258">
        <f t="shared" si="5"/>
        <v>381121.90188065759</v>
      </c>
      <c r="W8" s="2255">
        <f>W9+W125+W175</f>
        <v>389768.9862030166</v>
      </c>
      <c r="X8" s="2256">
        <f>X9+X125+X175</f>
        <v>407886.30174221529</v>
      </c>
      <c r="Y8" s="2258">
        <f t="shared" si="6"/>
        <v>398827.64397261594</v>
      </c>
      <c r="Z8" s="2255">
        <f>Z9+Z125+Z175</f>
        <v>407886.30174221529</v>
      </c>
      <c r="AA8" s="2256">
        <f>AA9+AA125+AA175</f>
        <v>426860.62284582946</v>
      </c>
      <c r="AB8" s="2259">
        <f t="shared" si="7"/>
        <v>417373.46229402238</v>
      </c>
      <c r="AC8" s="2593">
        <f t="shared" si="8"/>
        <v>36.541240116697736</v>
      </c>
    </row>
    <row r="9" spans="1:29" s="2218" customFormat="1" ht="26.25" customHeight="1" thickBot="1">
      <c r="A9" s="2235">
        <v>254</v>
      </c>
      <c r="B9" s="2261" t="s">
        <v>25</v>
      </c>
      <c r="C9" s="2262" t="s">
        <v>1315</v>
      </c>
      <c r="D9" s="2501" t="s">
        <v>1313</v>
      </c>
      <c r="E9" s="2264">
        <f>E10+E54+E69+E96</f>
        <v>54750.559519278519</v>
      </c>
      <c r="F9" s="2265">
        <f>F10+F54+F69+F96</f>
        <v>56663.40680592334</v>
      </c>
      <c r="G9" s="2266">
        <f t="shared" si="0"/>
        <v>55706.983162600925</v>
      </c>
      <c r="H9" s="2265">
        <f>H10+H54+H69+H96</f>
        <v>56306.692445683831</v>
      </c>
      <c r="I9" s="2265">
        <f>I10+I54+I69+I96</f>
        <v>58116.384226999668</v>
      </c>
      <c r="J9" s="2266">
        <f t="shared" si="1"/>
        <v>57211.53833634175</v>
      </c>
      <c r="K9" s="2265">
        <f>K10+K54+K69+K96</f>
        <v>70667.730958958637</v>
      </c>
      <c r="L9" s="2265">
        <f>L10+L54+L69+L96</f>
        <v>74216.664470592368</v>
      </c>
      <c r="M9" s="2268">
        <f t="shared" si="2"/>
        <v>72442.19771477551</v>
      </c>
      <c r="N9" s="2264">
        <f>N10+N54+N69+N96</f>
        <v>66074.795766426178</v>
      </c>
      <c r="O9" s="2265">
        <f>O10+O54+O69+O96</f>
        <v>167235.77422200129</v>
      </c>
      <c r="P9" s="2267">
        <f t="shared" si="3"/>
        <v>116655.28499421373</v>
      </c>
      <c r="Q9" s="2264">
        <f>Q10+Q54+Q69+Q96</f>
        <v>167235.76799969393</v>
      </c>
      <c r="R9" s="2265">
        <f>R10+R54+R69+R96</f>
        <v>173925.19871968174</v>
      </c>
      <c r="S9" s="2268">
        <f t="shared" si="4"/>
        <v>170580.48335968785</v>
      </c>
      <c r="T9" s="2264">
        <f>T10+T54+T69+T96</f>
        <v>173925.19871968174</v>
      </c>
      <c r="U9" s="2265">
        <f>U10+U54+U69+U96</f>
        <v>180876.54816360434</v>
      </c>
      <c r="V9" s="2267">
        <f t="shared" si="5"/>
        <v>177400.87344164302</v>
      </c>
      <c r="W9" s="2264">
        <f>W10+W54+W69+W96</f>
        <v>180876.54816360434</v>
      </c>
      <c r="X9" s="2265">
        <f>X10+X54+X69+X96</f>
        <v>188111.61009014849</v>
      </c>
      <c r="Y9" s="2267">
        <f t="shared" si="6"/>
        <v>184494.07912687643</v>
      </c>
      <c r="Z9" s="2264">
        <f>Z10+Z54+Z69+Z96</f>
        <v>188111.61009014849</v>
      </c>
      <c r="AA9" s="2265">
        <f>AA10+AA54+AA69+AA96</f>
        <v>195636.07449375445</v>
      </c>
      <c r="AB9" s="2268">
        <f t="shared" si="7"/>
        <v>191873.84229195147</v>
      </c>
      <c r="AC9" s="2593">
        <f t="shared" si="8"/>
        <v>0</v>
      </c>
    </row>
    <row r="10" spans="1:29" s="2218" customFormat="1" ht="30" customHeight="1" thickBot="1">
      <c r="A10" s="2235">
        <v>3</v>
      </c>
      <c r="B10" s="2270" t="s">
        <v>1132</v>
      </c>
      <c r="C10" s="2271" t="s">
        <v>1316</v>
      </c>
      <c r="D10" s="2502" t="s">
        <v>1317</v>
      </c>
      <c r="E10" s="2273">
        <f>E11+E30+E31+E43+E44+E47</f>
        <v>18927.136641953097</v>
      </c>
      <c r="F10" s="2273">
        <f>F11+F30+F31+F43+F44+F47</f>
        <v>19503.297438288027</v>
      </c>
      <c r="G10" s="2274">
        <f t="shared" si="0"/>
        <v>19215.217040120562</v>
      </c>
      <c r="H10" s="2275">
        <f>H11+H30+H31+H43+H44+H47</f>
        <v>16477.205372238641</v>
      </c>
      <c r="I10" s="2275">
        <f>I11+I30+I31+I43+I44+I47</f>
        <v>17052.97454472163</v>
      </c>
      <c r="J10" s="2274">
        <f t="shared" si="1"/>
        <v>16765.089958480137</v>
      </c>
      <c r="K10" s="2275">
        <f>K11+K30+K31+K43+K44+K47</f>
        <v>14590.0162559212</v>
      </c>
      <c r="L10" s="2275">
        <f>L11+L30+L31+L43+L44+L47</f>
        <v>15239.223672923195</v>
      </c>
      <c r="M10" s="2274">
        <f t="shared" si="2"/>
        <v>14914.619964422198</v>
      </c>
      <c r="N10" s="2273">
        <f>N11+N30+N31+N43+N44+N47</f>
        <v>14214.4035840834</v>
      </c>
      <c r="O10" s="2275">
        <f>O11+O30+O31+O43+O44+O47</f>
        <v>60163.635380706117</v>
      </c>
      <c r="P10" s="2276">
        <f t="shared" si="3"/>
        <v>37189.01948239476</v>
      </c>
      <c r="Q10" s="2273">
        <f>Q11+Q30+Q31+Q43+Q44+Q47</f>
        <v>60163.629454240057</v>
      </c>
      <c r="R10" s="2275">
        <f>R11+R30+R31+R43+R44+R47</f>
        <v>62570.17463240966</v>
      </c>
      <c r="S10" s="2274">
        <f t="shared" si="4"/>
        <v>61366.902043324859</v>
      </c>
      <c r="T10" s="2273">
        <f>T11+T30+T31+T43+T44+T47</f>
        <v>62570.17463240966</v>
      </c>
      <c r="U10" s="2275">
        <f>U11+U30+U31+U43+U44+U47</f>
        <v>65072.981617706057</v>
      </c>
      <c r="V10" s="2276">
        <f t="shared" si="5"/>
        <v>63821.578125057858</v>
      </c>
      <c r="W10" s="2273">
        <f>W11+W30+W31+W43+W44+W47</f>
        <v>65072.981617706057</v>
      </c>
      <c r="X10" s="2275">
        <f>X11+X30+X31+X43+X44+X47</f>
        <v>67675.900882414295</v>
      </c>
      <c r="Y10" s="2276">
        <f t="shared" si="6"/>
        <v>66374.441250060176</v>
      </c>
      <c r="Z10" s="2273">
        <f>Z11+Z30+Z31+Z43+Z44+Z47</f>
        <v>67675.900882414295</v>
      </c>
      <c r="AA10" s="2275">
        <f>AA11+AA30+AA31+AA43+AA44+AA47</f>
        <v>70382.936917710875</v>
      </c>
      <c r="AB10" s="2274">
        <f t="shared" si="7"/>
        <v>69029.418900062592</v>
      </c>
      <c r="AC10" s="2593">
        <f t="shared" si="8"/>
        <v>0</v>
      </c>
    </row>
    <row r="11" spans="1:29" s="2218" customFormat="1" ht="38.25" customHeight="1">
      <c r="A11" s="2235">
        <v>4</v>
      </c>
      <c r="B11" s="2243" t="s">
        <v>1318</v>
      </c>
      <c r="C11" s="2278" t="s">
        <v>1319</v>
      </c>
      <c r="D11" s="2499" t="s">
        <v>1317</v>
      </c>
      <c r="E11" s="2465">
        <f>E12+E29</f>
        <v>3281.1440889228484</v>
      </c>
      <c r="F11" s="2466">
        <f>F12+F29</f>
        <v>3379.578411590534</v>
      </c>
      <c r="G11" s="2248">
        <f t="shared" si="0"/>
        <v>3330.3612502566912</v>
      </c>
      <c r="H11" s="2465">
        <f>H12+H29</f>
        <v>4040.1878494174889</v>
      </c>
      <c r="I11" s="2466">
        <f>I12+I29</f>
        <v>4185.6346119965183</v>
      </c>
      <c r="J11" s="2248">
        <f t="shared" si="1"/>
        <v>4112.9112307070036</v>
      </c>
      <c r="K11" s="2465">
        <f>K12+K29</f>
        <v>4097.5246756700626</v>
      </c>
      <c r="L11" s="2466">
        <f>L12+L29</f>
        <v>4273.7182367238747</v>
      </c>
      <c r="M11" s="2250">
        <f t="shared" si="2"/>
        <v>4185.6214561969682</v>
      </c>
      <c r="N11" s="2465">
        <v>4104.5059132593988</v>
      </c>
      <c r="O11" s="2466">
        <v>11073.572514486899</v>
      </c>
      <c r="P11" s="2249">
        <f t="shared" si="3"/>
        <v>7589.0392138731495</v>
      </c>
      <c r="Q11" s="2465">
        <f>Q12+Q29</f>
        <v>11073.572514486899</v>
      </c>
      <c r="R11" s="2466">
        <f>R12+R29</f>
        <v>11516.515415066377</v>
      </c>
      <c r="S11" s="2250">
        <f t="shared" si="4"/>
        <v>11295.043964776638</v>
      </c>
      <c r="T11" s="2465">
        <f>T12+T29</f>
        <v>11516.515415066377</v>
      </c>
      <c r="U11" s="2466">
        <f>U12+U29</f>
        <v>11977.176031669031</v>
      </c>
      <c r="V11" s="2249">
        <f t="shared" si="5"/>
        <v>11746.845723367704</v>
      </c>
      <c r="W11" s="2465">
        <f>W12+W29</f>
        <v>11977.176031669031</v>
      </c>
      <c r="X11" s="2466">
        <f>X12+X29</f>
        <v>12456.263072935792</v>
      </c>
      <c r="Y11" s="2249">
        <f t="shared" si="6"/>
        <v>12216.719552302411</v>
      </c>
      <c r="Z11" s="2465">
        <f>Z12+Z29</f>
        <v>12456.263072935792</v>
      </c>
      <c r="AA11" s="2466">
        <f>AA12+AA29</f>
        <v>12954.513595853225</v>
      </c>
      <c r="AB11" s="2250">
        <f t="shared" si="7"/>
        <v>12705.388334394509</v>
      </c>
      <c r="AC11" s="2593">
        <f t="shared" si="8"/>
        <v>0</v>
      </c>
    </row>
    <row r="12" spans="1:29" s="2218" customFormat="1" ht="25.5" customHeight="1">
      <c r="A12" s="2235">
        <v>317</v>
      </c>
      <c r="B12" s="2279" t="s">
        <v>1737</v>
      </c>
      <c r="C12" s="2280" t="s">
        <v>1738</v>
      </c>
      <c r="D12" s="2500"/>
      <c r="E12" s="2255">
        <f>E13+E16+E19+E22+E25+E28</f>
        <v>999.74162948590049</v>
      </c>
      <c r="F12" s="2256">
        <f>F13+F16+F19+F22+F25+F28</f>
        <v>1029.7338783704777</v>
      </c>
      <c r="G12" s="2257">
        <f t="shared" si="0"/>
        <v>1014.737753928189</v>
      </c>
      <c r="H12" s="2256">
        <f>H13+H16+H19+H22+H25+H28</f>
        <v>1060.0274818204757</v>
      </c>
      <c r="I12" s="2256">
        <f>I13+I16+I19+I22+I25+I28</f>
        <v>1098.1884711660125</v>
      </c>
      <c r="J12" s="2257">
        <f t="shared" si="1"/>
        <v>1079.1079764932442</v>
      </c>
      <c r="K12" s="2256">
        <f>K13+K16+K19+K22+K25+K28</f>
        <v>1334.9387434264463</v>
      </c>
      <c r="L12" s="2256">
        <f>L13+L16+L19+L22+L25+L28</f>
        <v>1392.3411093937834</v>
      </c>
      <c r="M12" s="2259">
        <f t="shared" si="2"/>
        <v>1363.6399264101149</v>
      </c>
      <c r="N12" s="2255">
        <v>1154.349783340223</v>
      </c>
      <c r="O12" s="2256">
        <v>4232.849944806816</v>
      </c>
      <c r="P12" s="2258">
        <f t="shared" si="3"/>
        <v>2693.5998640735197</v>
      </c>
      <c r="Q12" s="2255">
        <f>Q13+Q16+Q19+Q22+Q25+Q28</f>
        <v>4232.849944806816</v>
      </c>
      <c r="R12" s="2256">
        <f>R13+R16+R19+R22+R25+R28</f>
        <v>4402.1639425990888</v>
      </c>
      <c r="S12" s="2259">
        <f t="shared" si="4"/>
        <v>4317.5069437029524</v>
      </c>
      <c r="T12" s="2255">
        <f>T13+T16+T19+T22+T25+T28</f>
        <v>4402.1639425990888</v>
      </c>
      <c r="U12" s="2256">
        <f>U13+U16+U19+U22+U25+U28</f>
        <v>4578.2505003030528</v>
      </c>
      <c r="V12" s="2258">
        <f t="shared" si="5"/>
        <v>4490.2072214510708</v>
      </c>
      <c r="W12" s="2255">
        <f>W13+W16+W19+W22+W25+W28</f>
        <v>4578.2505003030528</v>
      </c>
      <c r="X12" s="2256">
        <f>X13+X16+X19+X22+X25+X28</f>
        <v>4761.3805203151733</v>
      </c>
      <c r="Y12" s="2258">
        <f t="shared" si="6"/>
        <v>4669.8155103091131</v>
      </c>
      <c r="Z12" s="2255">
        <f>Z13+Z16+Z19+Z22+Z25+Z28</f>
        <v>4761.3805203151733</v>
      </c>
      <c r="AA12" s="2256">
        <f>AA13+AA16+AA19+AA22+AA25+AA28</f>
        <v>4951.8357411277811</v>
      </c>
      <c r="AB12" s="2259">
        <f t="shared" si="7"/>
        <v>4856.6081307214772</v>
      </c>
      <c r="AC12" s="2593">
        <f t="shared" si="8"/>
        <v>0</v>
      </c>
    </row>
    <row r="13" spans="1:29" s="2218" customFormat="1" ht="28.5" hidden="1" customHeight="1" outlineLevel="1">
      <c r="A13" s="2235">
        <v>318</v>
      </c>
      <c r="B13" s="2279" t="s">
        <v>1739</v>
      </c>
      <c r="C13" s="2280" t="s">
        <v>1740</v>
      </c>
      <c r="D13" s="2500" t="s">
        <v>1317</v>
      </c>
      <c r="E13" s="2255">
        <f>E14*E15</f>
        <v>0</v>
      </c>
      <c r="F13" s="2256">
        <f>F14*F15</f>
        <v>0</v>
      </c>
      <c r="G13" s="2257">
        <f t="shared" si="0"/>
        <v>0</v>
      </c>
      <c r="H13" s="2256">
        <f>H14*H15</f>
        <v>0</v>
      </c>
      <c r="I13" s="2256">
        <f>I14*I15</f>
        <v>0</v>
      </c>
      <c r="J13" s="2257">
        <f t="shared" si="1"/>
        <v>0</v>
      </c>
      <c r="K13" s="2256">
        <f>K14*K15</f>
        <v>0</v>
      </c>
      <c r="L13" s="2256">
        <f>L14*L15</f>
        <v>0</v>
      </c>
      <c r="M13" s="2259">
        <f t="shared" si="2"/>
        <v>0</v>
      </c>
      <c r="N13" s="2255">
        <v>0</v>
      </c>
      <c r="O13" s="2256">
        <v>0</v>
      </c>
      <c r="P13" s="2258">
        <f t="shared" si="3"/>
        <v>0</v>
      </c>
      <c r="Q13" s="2255">
        <f>Q14*Q15</f>
        <v>0</v>
      </c>
      <c r="R13" s="2256">
        <f>R14*R15</f>
        <v>0</v>
      </c>
      <c r="S13" s="2259">
        <f t="shared" si="4"/>
        <v>0</v>
      </c>
      <c r="T13" s="2255">
        <f>T14*T15</f>
        <v>0</v>
      </c>
      <c r="U13" s="2256">
        <f>U14*U15</f>
        <v>0</v>
      </c>
      <c r="V13" s="2258">
        <f t="shared" si="5"/>
        <v>0</v>
      </c>
      <c r="W13" s="2255">
        <f>W14*W15</f>
        <v>0</v>
      </c>
      <c r="X13" s="2256">
        <f>X14*X15</f>
        <v>0</v>
      </c>
      <c r="Y13" s="2258">
        <f t="shared" si="6"/>
        <v>0</v>
      </c>
      <c r="Z13" s="2255">
        <f>Z14*Z15</f>
        <v>0</v>
      </c>
      <c r="AA13" s="2256">
        <f>AA14*AA15</f>
        <v>0</v>
      </c>
      <c r="AB13" s="2259">
        <f t="shared" si="7"/>
        <v>0</v>
      </c>
      <c r="AC13" s="2593">
        <f t="shared" si="8"/>
        <v>0</v>
      </c>
    </row>
    <row r="14" spans="1:29" s="2218" customFormat="1" ht="21.75" hidden="1" customHeight="1" outlineLevel="1">
      <c r="A14" s="2235">
        <v>319</v>
      </c>
      <c r="B14" s="2281" t="s">
        <v>1741</v>
      </c>
      <c r="C14" s="2282" t="s">
        <v>1327</v>
      </c>
      <c r="D14" s="2504" t="s">
        <v>1742</v>
      </c>
      <c r="E14" s="2284"/>
      <c r="F14" s="2285"/>
      <c r="G14" s="2257">
        <f t="shared" si="0"/>
        <v>0</v>
      </c>
      <c r="H14" s="2285"/>
      <c r="I14" s="2285"/>
      <c r="J14" s="2257">
        <f t="shared" si="1"/>
        <v>0</v>
      </c>
      <c r="K14" s="2285"/>
      <c r="L14" s="2285"/>
      <c r="M14" s="2259">
        <f t="shared" si="2"/>
        <v>0</v>
      </c>
      <c r="N14" s="2284">
        <v>0</v>
      </c>
      <c r="O14" s="2285">
        <v>0</v>
      </c>
      <c r="P14" s="2258">
        <f t="shared" si="3"/>
        <v>0</v>
      </c>
      <c r="Q14" s="2284"/>
      <c r="R14" s="2285"/>
      <c r="S14" s="2259">
        <f t="shared" si="4"/>
        <v>0</v>
      </c>
      <c r="T14" s="2284"/>
      <c r="U14" s="2285"/>
      <c r="V14" s="2258">
        <f t="shared" si="5"/>
        <v>0</v>
      </c>
      <c r="W14" s="2284"/>
      <c r="X14" s="2285"/>
      <c r="Y14" s="2258">
        <f t="shared" si="6"/>
        <v>0</v>
      </c>
      <c r="Z14" s="2284"/>
      <c r="AA14" s="2285"/>
      <c r="AB14" s="2259">
        <f t="shared" si="7"/>
        <v>0</v>
      </c>
      <c r="AC14" s="2593">
        <f t="shared" si="8"/>
        <v>0</v>
      </c>
    </row>
    <row r="15" spans="1:29" s="2218" customFormat="1" ht="21" hidden="1" customHeight="1" outlineLevel="1">
      <c r="A15" s="2235">
        <v>320</v>
      </c>
      <c r="B15" s="2281" t="s">
        <v>1743</v>
      </c>
      <c r="C15" s="2282" t="s">
        <v>1330</v>
      </c>
      <c r="D15" s="2504" t="s">
        <v>1744</v>
      </c>
      <c r="E15" s="2284"/>
      <c r="F15" s="2285"/>
      <c r="G15" s="2257">
        <f t="shared" si="0"/>
        <v>0</v>
      </c>
      <c r="H15" s="2285"/>
      <c r="I15" s="2285"/>
      <c r="J15" s="2257">
        <f t="shared" si="1"/>
        <v>0</v>
      </c>
      <c r="K15" s="2285"/>
      <c r="L15" s="2285"/>
      <c r="M15" s="2259">
        <f t="shared" si="2"/>
        <v>0</v>
      </c>
      <c r="N15" s="2284">
        <v>0</v>
      </c>
      <c r="O15" s="2285">
        <v>0</v>
      </c>
      <c r="P15" s="2258">
        <f t="shared" si="3"/>
        <v>0</v>
      </c>
      <c r="Q15" s="2284"/>
      <c r="R15" s="2285"/>
      <c r="S15" s="2259">
        <f t="shared" si="4"/>
        <v>0</v>
      </c>
      <c r="T15" s="2284"/>
      <c r="U15" s="2285"/>
      <c r="V15" s="2258">
        <f t="shared" si="5"/>
        <v>0</v>
      </c>
      <c r="W15" s="2284"/>
      <c r="X15" s="2285"/>
      <c r="Y15" s="2258">
        <f t="shared" si="6"/>
        <v>0</v>
      </c>
      <c r="Z15" s="2284"/>
      <c r="AA15" s="2285"/>
      <c r="AB15" s="2259">
        <f t="shared" si="7"/>
        <v>0</v>
      </c>
      <c r="AC15" s="2593">
        <f t="shared" si="8"/>
        <v>0</v>
      </c>
    </row>
    <row r="16" spans="1:29" s="2218" customFormat="1" ht="23.25" customHeight="1" collapsed="1">
      <c r="A16" s="2235">
        <v>322</v>
      </c>
      <c r="B16" s="2279" t="s">
        <v>1745</v>
      </c>
      <c r="C16" s="2280" t="s">
        <v>1746</v>
      </c>
      <c r="D16" s="2500" t="s">
        <v>1317</v>
      </c>
      <c r="E16" s="2255">
        <f>E17*E18</f>
        <v>220.74635589947309</v>
      </c>
      <c r="F16" s="2256">
        <f>F17*F18</f>
        <v>227.36874657645731</v>
      </c>
      <c r="G16" s="2257">
        <f t="shared" si="0"/>
        <v>224.05755123796519</v>
      </c>
      <c r="H16" s="2256">
        <f>H17*H18</f>
        <v>232.77405619360547</v>
      </c>
      <c r="I16" s="2256">
        <f>I17*I18</f>
        <v>241.1539222165753</v>
      </c>
      <c r="J16" s="2257">
        <f t="shared" si="1"/>
        <v>236.9639892050904</v>
      </c>
      <c r="K16" s="2256">
        <f>K17*K18</f>
        <v>165.35985902465262</v>
      </c>
      <c r="L16" s="2256">
        <f>L17*L18</f>
        <v>172.47033296271266</v>
      </c>
      <c r="M16" s="2259">
        <f t="shared" si="2"/>
        <v>168.91509599368266</v>
      </c>
      <c r="N16" s="2255">
        <v>142.98768306443688</v>
      </c>
      <c r="O16" s="2256">
        <v>883.6623190853245</v>
      </c>
      <c r="P16" s="2258">
        <f t="shared" si="3"/>
        <v>513.32500107488067</v>
      </c>
      <c r="Q16" s="2255">
        <f>Q17*Q18</f>
        <v>883.66231908532461</v>
      </c>
      <c r="R16" s="2256">
        <f>R17*R18</f>
        <v>919.00881184873765</v>
      </c>
      <c r="S16" s="2259">
        <f t="shared" si="4"/>
        <v>901.33556546703107</v>
      </c>
      <c r="T16" s="2255">
        <f>T17*T18</f>
        <v>919.00881184873765</v>
      </c>
      <c r="U16" s="2256">
        <f>U17*U18</f>
        <v>955.76916432268717</v>
      </c>
      <c r="V16" s="2258">
        <f t="shared" si="5"/>
        <v>937.38898808571241</v>
      </c>
      <c r="W16" s="2255">
        <f>W17*W18</f>
        <v>955.76916432268717</v>
      </c>
      <c r="X16" s="2256">
        <f>X17*X18</f>
        <v>993.99993089559473</v>
      </c>
      <c r="Y16" s="2258">
        <f t="shared" si="6"/>
        <v>974.88454760914101</v>
      </c>
      <c r="Z16" s="2255">
        <f>Z17*Z18</f>
        <v>993.99993089559473</v>
      </c>
      <c r="AA16" s="2256">
        <f>AA17*AA18</f>
        <v>1033.7599281314185</v>
      </c>
      <c r="AB16" s="2259">
        <f t="shared" si="7"/>
        <v>1013.8799295135066</v>
      </c>
      <c r="AC16" s="2593">
        <f t="shared" si="8"/>
        <v>0</v>
      </c>
    </row>
    <row r="17" spans="1:29" s="2218" customFormat="1" ht="21" customHeight="1">
      <c r="A17" s="2235">
        <v>321</v>
      </c>
      <c r="B17" s="2281" t="s">
        <v>1747</v>
      </c>
      <c r="C17" s="2282" t="s">
        <v>1327</v>
      </c>
      <c r="D17" s="2504" t="s">
        <v>1748</v>
      </c>
      <c r="E17" s="2284">
        <v>6.3876359793165705</v>
      </c>
      <c r="F17" s="2285">
        <v>6.3876359793165705</v>
      </c>
      <c r="G17" s="2257">
        <f t="shared" si="0"/>
        <v>6.3876359793165705</v>
      </c>
      <c r="H17" s="2285">
        <v>6.3812883089355203</v>
      </c>
      <c r="I17" s="2285">
        <v>6.3812883089355203</v>
      </c>
      <c r="J17" s="2257">
        <f t="shared" si="1"/>
        <v>6.3812883089355203</v>
      </c>
      <c r="K17" s="2285">
        <v>4.5038793622826807</v>
      </c>
      <c r="L17" s="2285">
        <v>4.5038793622826807</v>
      </c>
      <c r="M17" s="2259">
        <f t="shared" si="2"/>
        <v>4.5038793622826807</v>
      </c>
      <c r="N17" s="2284">
        <v>3.5226144417859833</v>
      </c>
      <c r="O17" s="2286">
        <v>20.057352964148116</v>
      </c>
      <c r="P17" s="2258">
        <f t="shared" si="3"/>
        <v>11.789983702967049</v>
      </c>
      <c r="Q17" s="2284">
        <f>O17</f>
        <v>20.057352964148116</v>
      </c>
      <c r="R17" s="2285">
        <f>Q17</f>
        <v>20.057352964148116</v>
      </c>
      <c r="S17" s="2259">
        <f t="shared" si="4"/>
        <v>20.057352964148116</v>
      </c>
      <c r="T17" s="2284">
        <f>R17</f>
        <v>20.057352964148116</v>
      </c>
      <c r="U17" s="2285">
        <f>T17</f>
        <v>20.057352964148116</v>
      </c>
      <c r="V17" s="2258">
        <f t="shared" si="5"/>
        <v>20.057352964148116</v>
      </c>
      <c r="W17" s="2284">
        <f>U17</f>
        <v>20.057352964148116</v>
      </c>
      <c r="X17" s="2285">
        <f>W17</f>
        <v>20.057352964148116</v>
      </c>
      <c r="Y17" s="2258">
        <f t="shared" si="6"/>
        <v>20.057352964148116</v>
      </c>
      <c r="Z17" s="2284">
        <f>X17</f>
        <v>20.057352964148116</v>
      </c>
      <c r="AA17" s="2285">
        <f>Z17</f>
        <v>20.057352964148116</v>
      </c>
      <c r="AB17" s="2259">
        <f t="shared" si="7"/>
        <v>20.057352964148116</v>
      </c>
      <c r="AC17" s="2593">
        <f t="shared" si="8"/>
        <v>0</v>
      </c>
    </row>
    <row r="18" spans="1:29" s="2218" customFormat="1" ht="21" customHeight="1">
      <c r="A18" s="2235">
        <v>323</v>
      </c>
      <c r="B18" s="2281" t="s">
        <v>1750</v>
      </c>
      <c r="C18" s="2282" t="s">
        <v>1330</v>
      </c>
      <c r="D18" s="2504" t="s">
        <v>1744</v>
      </c>
      <c r="E18" s="2284">
        <v>34.558380692678625</v>
      </c>
      <c r="F18" s="2285">
        <v>35.595132113458988</v>
      </c>
      <c r="G18" s="2257">
        <f t="shared" si="0"/>
        <v>35.076756403068806</v>
      </c>
      <c r="H18" s="2285">
        <v>36.477595890419053</v>
      </c>
      <c r="I18" s="2285">
        <v>37.790789342474142</v>
      </c>
      <c r="J18" s="2257">
        <f t="shared" si="1"/>
        <v>37.134192616446597</v>
      </c>
      <c r="K18" s="2285">
        <v>36.714984066723325</v>
      </c>
      <c r="L18" s="2285">
        <v>38.293728381592423</v>
      </c>
      <c r="M18" s="2259">
        <f t="shared" si="2"/>
        <v>37.504356224157874</v>
      </c>
      <c r="N18" s="2284">
        <v>40.591352084487966</v>
      </c>
      <c r="O18" s="2286">
        <v>44.05677661777419</v>
      </c>
      <c r="P18" s="2258">
        <f t="shared" si="3"/>
        <v>42.324064351131078</v>
      </c>
      <c r="Q18" s="2284">
        <f>O18</f>
        <v>44.05677661777419</v>
      </c>
      <c r="R18" s="2285">
        <f>Q18*1.04</f>
        <v>45.819047682485163</v>
      </c>
      <c r="S18" s="2259">
        <f t="shared" si="4"/>
        <v>44.937912150129677</v>
      </c>
      <c r="T18" s="2284">
        <f>R18</f>
        <v>45.819047682485163</v>
      </c>
      <c r="U18" s="2285">
        <f>T18*1.04</f>
        <v>47.65180958978457</v>
      </c>
      <c r="V18" s="2258">
        <f t="shared" si="5"/>
        <v>46.73542863613487</v>
      </c>
      <c r="W18" s="2284">
        <f>U18</f>
        <v>47.65180958978457</v>
      </c>
      <c r="X18" s="2285">
        <f>W18*1.04</f>
        <v>49.557881973375956</v>
      </c>
      <c r="Y18" s="2258">
        <f t="shared" si="6"/>
        <v>48.604845781580266</v>
      </c>
      <c r="Z18" s="2284">
        <f>X18</f>
        <v>49.557881973375956</v>
      </c>
      <c r="AA18" s="2285">
        <f>Z18*1.04</f>
        <v>51.540197252310996</v>
      </c>
      <c r="AB18" s="2259">
        <f t="shared" si="7"/>
        <v>50.549039612843472</v>
      </c>
      <c r="AC18" s="2593">
        <f t="shared" si="8"/>
        <v>0</v>
      </c>
    </row>
    <row r="19" spans="1:29" s="2218" customFormat="1" ht="17.25" customHeight="1">
      <c r="A19" s="2235">
        <v>324</v>
      </c>
      <c r="B19" s="2279" t="s">
        <v>1751</v>
      </c>
      <c r="C19" s="2280" t="s">
        <v>1752</v>
      </c>
      <c r="D19" s="2500" t="s">
        <v>1317</v>
      </c>
      <c r="E19" s="2255">
        <f>E20*E21</f>
        <v>47.507951808942956</v>
      </c>
      <c r="F19" s="2256">
        <f>F20*F21</f>
        <v>48.933190363211246</v>
      </c>
      <c r="G19" s="2257">
        <f t="shared" si="0"/>
        <v>48.220571086077101</v>
      </c>
      <c r="H19" s="2256">
        <f>H20*H21</f>
        <v>50.383521283528339</v>
      </c>
      <c r="I19" s="2256">
        <f>I20*I21</f>
        <v>52.197328049735361</v>
      </c>
      <c r="J19" s="2257">
        <f t="shared" si="1"/>
        <v>51.29042466663185</v>
      </c>
      <c r="K19" s="2256">
        <f>K20*K21</f>
        <v>79.335050965002935</v>
      </c>
      <c r="L19" s="2256">
        <f>L20*L21</f>
        <v>82.746458156498051</v>
      </c>
      <c r="M19" s="2259">
        <f t="shared" si="2"/>
        <v>81.040754560750486</v>
      </c>
      <c r="N19" s="2255">
        <v>68.601504562201995</v>
      </c>
      <c r="O19" s="2256">
        <v>202.16101143148464</v>
      </c>
      <c r="P19" s="2258">
        <f t="shared" si="3"/>
        <v>135.38125799684332</v>
      </c>
      <c r="Q19" s="2255">
        <f>Q20*Q21</f>
        <v>202.16101143148464</v>
      </c>
      <c r="R19" s="2256">
        <f>R20*R21</f>
        <v>210.24745188874402</v>
      </c>
      <c r="S19" s="2259">
        <f t="shared" si="4"/>
        <v>206.20423166011432</v>
      </c>
      <c r="T19" s="2255">
        <f>T20*T21</f>
        <v>210.24745188874402</v>
      </c>
      <c r="U19" s="2256">
        <f>U20*U21</f>
        <v>218.65734996429379</v>
      </c>
      <c r="V19" s="2258">
        <f t="shared" si="5"/>
        <v>214.45240092651892</v>
      </c>
      <c r="W19" s="2255">
        <f>W20*W21</f>
        <v>218.65734996429379</v>
      </c>
      <c r="X19" s="2256">
        <f>X20*X21</f>
        <v>227.40364396286554</v>
      </c>
      <c r="Y19" s="2258">
        <f t="shared" si="6"/>
        <v>223.03049696357965</v>
      </c>
      <c r="Z19" s="2255">
        <f>Z20*Z21</f>
        <v>227.40364396286554</v>
      </c>
      <c r="AA19" s="2256">
        <f>AA20*AA21</f>
        <v>236.49978972138018</v>
      </c>
      <c r="AB19" s="2259">
        <f t="shared" si="7"/>
        <v>231.95171684212286</v>
      </c>
      <c r="AC19" s="2593">
        <f t="shared" si="8"/>
        <v>0</v>
      </c>
    </row>
    <row r="20" spans="1:29" s="2218" customFormat="1" ht="21" customHeight="1">
      <c r="A20" s="2235">
        <v>327</v>
      </c>
      <c r="B20" s="2281" t="s">
        <v>1753</v>
      </c>
      <c r="C20" s="2282" t="s">
        <v>1327</v>
      </c>
      <c r="D20" s="2504" t="s">
        <v>1748</v>
      </c>
      <c r="E20" s="2284">
        <v>1.2975609312188301</v>
      </c>
      <c r="F20" s="2285">
        <v>1.2975609312188301</v>
      </c>
      <c r="G20" s="2257">
        <f t="shared" si="0"/>
        <v>1.2975609312188301</v>
      </c>
      <c r="H20" s="2285">
        <v>1.3013882456796499</v>
      </c>
      <c r="I20" s="2285">
        <v>1.3013882456796499</v>
      </c>
      <c r="J20" s="2257">
        <f t="shared" si="1"/>
        <v>1.3013882456796499</v>
      </c>
      <c r="K20" s="2285">
        <v>1.9999085990654977</v>
      </c>
      <c r="L20" s="2285">
        <v>1.9999085990654977</v>
      </c>
      <c r="M20" s="2259">
        <f t="shared" si="2"/>
        <v>1.9999085990654977</v>
      </c>
      <c r="N20" s="2284">
        <v>1.5641864150085842</v>
      </c>
      <c r="O20" s="2286">
        <v>4.305316099461332</v>
      </c>
      <c r="P20" s="2258">
        <f t="shared" si="3"/>
        <v>2.9347512572349581</v>
      </c>
      <c r="Q20" s="2284">
        <f>O20</f>
        <v>4.305316099461332</v>
      </c>
      <c r="R20" s="2285">
        <f>Q20</f>
        <v>4.305316099461332</v>
      </c>
      <c r="S20" s="2259">
        <f t="shared" si="4"/>
        <v>4.305316099461332</v>
      </c>
      <c r="T20" s="2284">
        <f>R20</f>
        <v>4.305316099461332</v>
      </c>
      <c r="U20" s="2285">
        <f>T20</f>
        <v>4.305316099461332</v>
      </c>
      <c r="V20" s="2258">
        <f t="shared" si="5"/>
        <v>4.305316099461332</v>
      </c>
      <c r="W20" s="2284">
        <f>U20</f>
        <v>4.305316099461332</v>
      </c>
      <c r="X20" s="2285">
        <f>W20</f>
        <v>4.305316099461332</v>
      </c>
      <c r="Y20" s="2258">
        <f t="shared" si="6"/>
        <v>4.305316099461332</v>
      </c>
      <c r="Z20" s="2284">
        <f>X20</f>
        <v>4.305316099461332</v>
      </c>
      <c r="AA20" s="2285">
        <f>Z20</f>
        <v>4.305316099461332</v>
      </c>
      <c r="AB20" s="2259">
        <f t="shared" si="7"/>
        <v>4.305316099461332</v>
      </c>
      <c r="AC20" s="2593">
        <f t="shared" si="8"/>
        <v>0</v>
      </c>
    </row>
    <row r="21" spans="1:29" s="2218" customFormat="1" ht="21" customHeight="1">
      <c r="A21" s="2235">
        <v>328</v>
      </c>
      <c r="B21" s="2281" t="s">
        <v>1755</v>
      </c>
      <c r="C21" s="2282" t="s">
        <v>1330</v>
      </c>
      <c r="D21" s="2504" t="s">
        <v>1744</v>
      </c>
      <c r="E21" s="2284">
        <v>36.613272383530841</v>
      </c>
      <c r="F21" s="2285">
        <v>37.711670555036768</v>
      </c>
      <c r="G21" s="2257">
        <f t="shared" si="0"/>
        <v>37.162471469283801</v>
      </c>
      <c r="H21" s="2285">
        <v>38.715211583316204</v>
      </c>
      <c r="I21" s="2285">
        <v>40.108959200315589</v>
      </c>
      <c r="J21" s="2257">
        <f t="shared" si="1"/>
        <v>39.412085391815893</v>
      </c>
      <c r="K21" s="2285">
        <v>39.669338389801425</v>
      </c>
      <c r="L21" s="2285">
        <v>41.375119940562882</v>
      </c>
      <c r="M21" s="2259">
        <f t="shared" si="2"/>
        <v>40.522229165182154</v>
      </c>
      <c r="N21" s="2284">
        <v>43.857627136996655</v>
      </c>
      <c r="O21" s="2286">
        <v>46.95613672983928</v>
      </c>
      <c r="P21" s="2258">
        <f t="shared" si="3"/>
        <v>45.406881933417964</v>
      </c>
      <c r="Q21" s="2284">
        <f>O21</f>
        <v>46.95613672983928</v>
      </c>
      <c r="R21" s="2285">
        <f>Q21*1.04</f>
        <v>48.834382199032852</v>
      </c>
      <c r="S21" s="2259">
        <f t="shared" si="4"/>
        <v>47.895259464436066</v>
      </c>
      <c r="T21" s="2284">
        <f>R21</f>
        <v>48.834382199032852</v>
      </c>
      <c r="U21" s="2285">
        <f>T21*1.04</f>
        <v>50.787757486994167</v>
      </c>
      <c r="V21" s="2258">
        <f t="shared" si="5"/>
        <v>49.811069843013513</v>
      </c>
      <c r="W21" s="2284">
        <f>U21</f>
        <v>50.787757486994167</v>
      </c>
      <c r="X21" s="2285">
        <f>W21*1.04</f>
        <v>52.819267786473937</v>
      </c>
      <c r="Y21" s="2258">
        <f t="shared" si="6"/>
        <v>51.803512636734055</v>
      </c>
      <c r="Z21" s="2284">
        <f>X21</f>
        <v>52.819267786473937</v>
      </c>
      <c r="AA21" s="2285">
        <f>Z21*1.04</f>
        <v>54.932038497932894</v>
      </c>
      <c r="AB21" s="2259">
        <f t="shared" si="7"/>
        <v>53.875653142203419</v>
      </c>
      <c r="AC21" s="2593">
        <f t="shared" si="8"/>
        <v>0</v>
      </c>
    </row>
    <row r="22" spans="1:29" s="2218" customFormat="1" ht="18.75" customHeight="1">
      <c r="A22" s="2235">
        <v>325</v>
      </c>
      <c r="B22" s="2279" t="s">
        <v>1756</v>
      </c>
      <c r="C22" s="2280" t="s">
        <v>1757</v>
      </c>
      <c r="D22" s="2500" t="s">
        <v>1317</v>
      </c>
      <c r="E22" s="2255">
        <f>E23*E24</f>
        <v>680.51761031107469</v>
      </c>
      <c r="F22" s="2256">
        <f>F23*F24</f>
        <v>700.93313862040702</v>
      </c>
      <c r="G22" s="2257">
        <f t="shared" si="0"/>
        <v>690.72537446574086</v>
      </c>
      <c r="H22" s="2256">
        <f>H23*H24</f>
        <v>710.46268681530148</v>
      </c>
      <c r="I22" s="2256">
        <f>I23*I24</f>
        <v>736.03934354065234</v>
      </c>
      <c r="J22" s="2257">
        <f t="shared" si="1"/>
        <v>723.25101517797691</v>
      </c>
      <c r="K22" s="2256">
        <f>K23*K24</f>
        <v>999.24671820876949</v>
      </c>
      <c r="L22" s="2256">
        <f>L23*L24</f>
        <v>1042.2143270917466</v>
      </c>
      <c r="M22" s="2259">
        <f t="shared" si="2"/>
        <v>1020.7305226502581</v>
      </c>
      <c r="N22" s="2255">
        <v>864.05475844722991</v>
      </c>
      <c r="O22" s="2260">
        <v>2842.2636935143123</v>
      </c>
      <c r="P22" s="2258">
        <f t="shared" si="3"/>
        <v>1853.1592259807712</v>
      </c>
      <c r="Q22" s="2255">
        <f>Q23*Q24</f>
        <v>2842.2636935143123</v>
      </c>
      <c r="R22" s="2256">
        <f>R23*R24</f>
        <v>2955.9542412548849</v>
      </c>
      <c r="S22" s="2259">
        <f t="shared" si="4"/>
        <v>2899.1089673845986</v>
      </c>
      <c r="T22" s="2255">
        <f>T23*T24</f>
        <v>2955.9542412548849</v>
      </c>
      <c r="U22" s="2256">
        <f>U23*U24</f>
        <v>3074.1924109050806</v>
      </c>
      <c r="V22" s="2258">
        <f t="shared" si="5"/>
        <v>3015.0733260799825</v>
      </c>
      <c r="W22" s="2255">
        <f>W23*W24</f>
        <v>3074.1924109050806</v>
      </c>
      <c r="X22" s="2256">
        <f>X23*X24</f>
        <v>3197.1601073412835</v>
      </c>
      <c r="Y22" s="2258">
        <f t="shared" si="6"/>
        <v>3135.6762591231818</v>
      </c>
      <c r="Z22" s="2255">
        <f>Z23*Z24</f>
        <v>3197.1601073412835</v>
      </c>
      <c r="AA22" s="2256">
        <f>AA23*AA24</f>
        <v>3325.0465116349351</v>
      </c>
      <c r="AB22" s="2259">
        <f t="shared" si="7"/>
        <v>3261.1033094881095</v>
      </c>
      <c r="AC22" s="2593">
        <f t="shared" si="8"/>
        <v>0</v>
      </c>
    </row>
    <row r="23" spans="1:29" s="2218" customFormat="1" ht="21" customHeight="1">
      <c r="A23" s="2235">
        <v>329</v>
      </c>
      <c r="B23" s="2281" t="s">
        <v>1758</v>
      </c>
      <c r="C23" s="2282" t="s">
        <v>1327</v>
      </c>
      <c r="D23" s="2504" t="s">
        <v>1748</v>
      </c>
      <c r="E23" s="2284">
        <v>17.370731642273299</v>
      </c>
      <c r="F23" s="2285">
        <v>17.370731642273299</v>
      </c>
      <c r="G23" s="2257">
        <f t="shared" si="0"/>
        <v>17.370731642273299</v>
      </c>
      <c r="H23" s="2285">
        <v>18.2762716187591</v>
      </c>
      <c r="I23" s="2285">
        <v>18.2762716187591</v>
      </c>
      <c r="J23" s="2257">
        <f t="shared" si="1"/>
        <v>18.2762716187591</v>
      </c>
      <c r="K23" s="2285">
        <v>23.993717509761687</v>
      </c>
      <c r="L23" s="2285">
        <v>23.993717509761687</v>
      </c>
      <c r="M23" s="2259">
        <f t="shared" si="2"/>
        <v>23.993717509761687</v>
      </c>
      <c r="N23" s="2284">
        <v>18.766181110406681</v>
      </c>
      <c r="O23" s="2286">
        <v>57.279175249216706</v>
      </c>
      <c r="P23" s="2258">
        <f t="shared" si="3"/>
        <v>38.022678179811692</v>
      </c>
      <c r="Q23" s="2284">
        <f>O23</f>
        <v>57.279175249216706</v>
      </c>
      <c r="R23" s="2285">
        <f>Q23</f>
        <v>57.279175249216706</v>
      </c>
      <c r="S23" s="2259">
        <f t="shared" si="4"/>
        <v>57.279175249216706</v>
      </c>
      <c r="T23" s="2284">
        <f>R23</f>
        <v>57.279175249216706</v>
      </c>
      <c r="U23" s="2285">
        <f>T23</f>
        <v>57.279175249216706</v>
      </c>
      <c r="V23" s="2258">
        <f t="shared" si="5"/>
        <v>57.279175249216706</v>
      </c>
      <c r="W23" s="2284">
        <f>U23</f>
        <v>57.279175249216706</v>
      </c>
      <c r="X23" s="2285">
        <f>W23</f>
        <v>57.279175249216706</v>
      </c>
      <c r="Y23" s="2258">
        <f t="shared" si="6"/>
        <v>57.279175249216706</v>
      </c>
      <c r="Z23" s="2284">
        <f>X23</f>
        <v>57.279175249216706</v>
      </c>
      <c r="AA23" s="2285">
        <f>Z23</f>
        <v>57.279175249216706</v>
      </c>
      <c r="AB23" s="2259">
        <f t="shared" si="7"/>
        <v>57.279175249216706</v>
      </c>
      <c r="AC23" s="2593">
        <f t="shared" si="8"/>
        <v>0</v>
      </c>
    </row>
    <row r="24" spans="1:29" s="2218" customFormat="1" ht="21" customHeight="1">
      <c r="A24" s="2235">
        <v>330</v>
      </c>
      <c r="B24" s="2281" t="s">
        <v>1760</v>
      </c>
      <c r="C24" s="2282" t="s">
        <v>1330</v>
      </c>
      <c r="D24" s="2504" t="s">
        <v>1744</v>
      </c>
      <c r="E24" s="2284">
        <v>39.176105205319708</v>
      </c>
      <c r="F24" s="2285">
        <v>40.351388361479302</v>
      </c>
      <c r="G24" s="2257">
        <f t="shared" si="0"/>
        <v>39.763746783399505</v>
      </c>
      <c r="H24" s="2285">
        <v>38.87350230044018</v>
      </c>
      <c r="I24" s="2285">
        <v>40.272948383256029</v>
      </c>
      <c r="J24" s="2257">
        <f t="shared" si="1"/>
        <v>39.573225341848101</v>
      </c>
      <c r="K24" s="2285">
        <v>41.646181664105718</v>
      </c>
      <c r="L24" s="2285">
        <v>43.436967475662264</v>
      </c>
      <c r="M24" s="2259">
        <f t="shared" si="2"/>
        <v>42.541574569883991</v>
      </c>
      <c r="N24" s="2284">
        <v>46.043185524202002</v>
      </c>
      <c r="O24" s="2286">
        <v>49.621239851095453</v>
      </c>
      <c r="P24" s="2258">
        <f t="shared" si="3"/>
        <v>47.832212687648727</v>
      </c>
      <c r="Q24" s="2284">
        <f>O24</f>
        <v>49.621239851095453</v>
      </c>
      <c r="R24" s="2285">
        <f>Q24*1.04</f>
        <v>51.606089445139276</v>
      </c>
      <c r="S24" s="2259">
        <f t="shared" si="4"/>
        <v>50.613664648117364</v>
      </c>
      <c r="T24" s="2284">
        <f>R24</f>
        <v>51.606089445139276</v>
      </c>
      <c r="U24" s="2285">
        <f>T24*1.04</f>
        <v>53.670333022944845</v>
      </c>
      <c r="V24" s="2258">
        <f t="shared" si="5"/>
        <v>52.63821123404206</v>
      </c>
      <c r="W24" s="2284">
        <f>U24</f>
        <v>53.670333022944845</v>
      </c>
      <c r="X24" s="2285">
        <f>W24*1.04</f>
        <v>55.817146343862639</v>
      </c>
      <c r="Y24" s="2258">
        <f t="shared" si="6"/>
        <v>54.743739683403746</v>
      </c>
      <c r="Z24" s="2284">
        <f>X24</f>
        <v>55.817146343862639</v>
      </c>
      <c r="AA24" s="2285">
        <f>Z24*1.04</f>
        <v>58.04983219761715</v>
      </c>
      <c r="AB24" s="2259">
        <f t="shared" si="7"/>
        <v>56.933489270739898</v>
      </c>
      <c r="AC24" s="2593">
        <f t="shared" si="8"/>
        <v>0</v>
      </c>
    </row>
    <row r="25" spans="1:29" s="2218" customFormat="1" ht="21" customHeight="1">
      <c r="A25" s="2235">
        <v>326</v>
      </c>
      <c r="B25" s="2279" t="s">
        <v>1761</v>
      </c>
      <c r="C25" s="2280" t="s">
        <v>1762</v>
      </c>
      <c r="D25" s="2500" t="s">
        <v>1317</v>
      </c>
      <c r="E25" s="2255">
        <f>E26*E27</f>
        <v>6.277176432998294</v>
      </c>
      <c r="F25" s="2256">
        <f>F26*F27</f>
        <v>6.4654917259882421</v>
      </c>
      <c r="G25" s="2257">
        <f t="shared" si="0"/>
        <v>6.371334079493268</v>
      </c>
      <c r="H25" s="2256">
        <f>H26*H27</f>
        <v>65.779152947522832</v>
      </c>
      <c r="I25" s="2256">
        <f>I26*I27</f>
        <v>68.147202453633653</v>
      </c>
      <c r="J25" s="2257">
        <f t="shared" si="1"/>
        <v>66.963177700578242</v>
      </c>
      <c r="K25" s="2256">
        <f>K26*K27</f>
        <v>90.176846034073151</v>
      </c>
      <c r="L25" s="2256">
        <f>L26*L27</f>
        <v>94.054450413538291</v>
      </c>
      <c r="M25" s="2259">
        <f t="shared" si="2"/>
        <v>92.115648223805721</v>
      </c>
      <c r="N25" s="2255">
        <v>77.976471173383445</v>
      </c>
      <c r="O25" s="2256">
        <v>272.00385958715361</v>
      </c>
      <c r="P25" s="2258">
        <f t="shared" si="3"/>
        <v>174.99016538026854</v>
      </c>
      <c r="Q25" s="2255">
        <f>Q26*Q27</f>
        <v>272.00385958715361</v>
      </c>
      <c r="R25" s="2256">
        <f>R26*R27</f>
        <v>282.88401397063978</v>
      </c>
      <c r="S25" s="2259">
        <f t="shared" si="4"/>
        <v>277.44393677889673</v>
      </c>
      <c r="T25" s="2255">
        <f>T26*T27</f>
        <v>282.88401397063978</v>
      </c>
      <c r="U25" s="2256">
        <f>U26*U27</f>
        <v>294.19937452946539</v>
      </c>
      <c r="V25" s="2258">
        <f t="shared" si="5"/>
        <v>288.54169425005261</v>
      </c>
      <c r="W25" s="2255">
        <f>W26*W27</f>
        <v>294.19937452946539</v>
      </c>
      <c r="X25" s="2256">
        <f>X26*X27</f>
        <v>305.967349510644</v>
      </c>
      <c r="Y25" s="2258">
        <f t="shared" si="6"/>
        <v>300.08336202005466</v>
      </c>
      <c r="Z25" s="2255">
        <f>Z26*Z27</f>
        <v>305.967349510644</v>
      </c>
      <c r="AA25" s="2256">
        <f>AA26*AA27</f>
        <v>318.20604349106975</v>
      </c>
      <c r="AB25" s="2259">
        <f t="shared" si="7"/>
        <v>312.08669650085687</v>
      </c>
      <c r="AC25" s="2593">
        <f t="shared" si="8"/>
        <v>0</v>
      </c>
    </row>
    <row r="26" spans="1:29" s="2218" customFormat="1" ht="21" customHeight="1">
      <c r="A26" s="2235">
        <v>331</v>
      </c>
      <c r="B26" s="2281" t="s">
        <v>1763</v>
      </c>
      <c r="C26" s="2282" t="s">
        <v>1327</v>
      </c>
      <c r="D26" s="2504" t="s">
        <v>1748</v>
      </c>
      <c r="E26" s="2284">
        <v>3.3205004462807206E-2</v>
      </c>
      <c r="F26" s="2285">
        <v>3.3205004462807206E-2</v>
      </c>
      <c r="G26" s="2257">
        <f t="shared" si="0"/>
        <v>3.3205004462807206E-2</v>
      </c>
      <c r="H26" s="2285">
        <v>0.54801648572711803</v>
      </c>
      <c r="I26" s="2285">
        <v>0.54801648572711803</v>
      </c>
      <c r="J26" s="2257">
        <f t="shared" si="1"/>
        <v>0.54801648572711803</v>
      </c>
      <c r="K26" s="2285">
        <v>0.51627471102665679</v>
      </c>
      <c r="L26" s="2285">
        <v>0.51627471102665679</v>
      </c>
      <c r="M26" s="2259">
        <f t="shared" si="2"/>
        <v>0.51627471102665679</v>
      </c>
      <c r="N26" s="2284">
        <v>0.40379339824716237</v>
      </c>
      <c r="O26" s="2286">
        <v>1.1614563500344535</v>
      </c>
      <c r="P26" s="2258">
        <f t="shared" si="3"/>
        <v>0.78262487414080795</v>
      </c>
      <c r="Q26" s="2284">
        <f>O26</f>
        <v>1.1614563500344535</v>
      </c>
      <c r="R26" s="2285">
        <f>Q26</f>
        <v>1.1614563500344535</v>
      </c>
      <c r="S26" s="2259">
        <f>Q26/2+R26/2</f>
        <v>1.1614563500344535</v>
      </c>
      <c r="T26" s="2284">
        <f>R26</f>
        <v>1.1614563500344535</v>
      </c>
      <c r="U26" s="2285">
        <f>T26</f>
        <v>1.1614563500344535</v>
      </c>
      <c r="V26" s="2258">
        <f>T26/2+U26/2</f>
        <v>1.1614563500344535</v>
      </c>
      <c r="W26" s="2284">
        <f>U26</f>
        <v>1.1614563500344535</v>
      </c>
      <c r="X26" s="2285">
        <f>W26</f>
        <v>1.1614563500344535</v>
      </c>
      <c r="Y26" s="2258">
        <f>W26/2+X26/2</f>
        <v>1.1614563500344535</v>
      </c>
      <c r="Z26" s="2284">
        <f>X26</f>
        <v>1.1614563500344535</v>
      </c>
      <c r="AA26" s="2285">
        <f>Z26</f>
        <v>1.1614563500344535</v>
      </c>
      <c r="AB26" s="2259">
        <f>Z26/2+AA26/2</f>
        <v>1.1614563500344535</v>
      </c>
      <c r="AC26" s="2593">
        <f t="shared" si="8"/>
        <v>0</v>
      </c>
    </row>
    <row r="27" spans="1:29" s="2218" customFormat="1" ht="21" customHeight="1">
      <c r="A27" s="2235">
        <v>332</v>
      </c>
      <c r="B27" s="2281" t="s">
        <v>1765</v>
      </c>
      <c r="C27" s="2282" t="s">
        <v>1330</v>
      </c>
      <c r="D27" s="2504" t="s">
        <v>1744</v>
      </c>
      <c r="E27" s="2284">
        <v>189.04308355173794</v>
      </c>
      <c r="F27" s="2285">
        <v>194.71437605829007</v>
      </c>
      <c r="G27" s="2257">
        <f t="shared" si="0"/>
        <v>191.87872980501402</v>
      </c>
      <c r="H27" s="2285">
        <v>120.03133967812279</v>
      </c>
      <c r="I27" s="2285">
        <v>124.35246790653521</v>
      </c>
      <c r="J27" s="2257">
        <f t="shared" si="1"/>
        <v>122.191903792329</v>
      </c>
      <c r="K27" s="2285">
        <v>174.66833859583926</v>
      </c>
      <c r="L27" s="2285">
        <v>182.17907715546033</v>
      </c>
      <c r="M27" s="2259">
        <f t="shared" si="2"/>
        <v>178.4237078756498</v>
      </c>
      <c r="N27" s="2284">
        <v>193.10982178478798</v>
      </c>
      <c r="O27" s="2286">
        <v>234.19206376467346</v>
      </c>
      <c r="P27" s="2258">
        <f t="shared" si="3"/>
        <v>213.65094277473071</v>
      </c>
      <c r="Q27" s="2284">
        <f>O27</f>
        <v>234.19206376467346</v>
      </c>
      <c r="R27" s="2285">
        <f>Q27*1.04</f>
        <v>243.55974631526041</v>
      </c>
      <c r="S27" s="2259">
        <f>Q27/2+R27/2</f>
        <v>238.87590503996694</v>
      </c>
      <c r="T27" s="2284">
        <f>R27</f>
        <v>243.55974631526041</v>
      </c>
      <c r="U27" s="2285">
        <f>T27*1.04</f>
        <v>253.30213616787083</v>
      </c>
      <c r="V27" s="2258">
        <f>T27/2+U27/2</f>
        <v>248.43094124156562</v>
      </c>
      <c r="W27" s="2284">
        <f>U27</f>
        <v>253.30213616787083</v>
      </c>
      <c r="X27" s="2285">
        <f>W27*1.04</f>
        <v>263.43422161458568</v>
      </c>
      <c r="Y27" s="2258">
        <f>W27/2+X27/2</f>
        <v>258.36817889122824</v>
      </c>
      <c r="Z27" s="2284">
        <f>X27</f>
        <v>263.43422161458568</v>
      </c>
      <c r="AA27" s="2285">
        <f>Z27*1.04</f>
        <v>273.97159047916909</v>
      </c>
      <c r="AB27" s="2259">
        <f>Z27/2+AA27/2</f>
        <v>268.70290604687739</v>
      </c>
      <c r="AC27" s="2593">
        <f t="shared" si="8"/>
        <v>0</v>
      </c>
    </row>
    <row r="28" spans="1:29" s="2218" customFormat="1" ht="21" customHeight="1">
      <c r="A28" s="2235">
        <v>6</v>
      </c>
      <c r="B28" s="2281" t="s">
        <v>1767</v>
      </c>
      <c r="C28" s="2282" t="s">
        <v>1768</v>
      </c>
      <c r="D28" s="2504" t="s">
        <v>1317</v>
      </c>
      <c r="E28" s="2284">
        <v>44.692535033411431</v>
      </c>
      <c r="F28" s="2285">
        <v>46.033311084413775</v>
      </c>
      <c r="G28" s="2257">
        <f t="shared" si="0"/>
        <v>45.3629230589126</v>
      </c>
      <c r="H28" s="2285">
        <v>0.62806458051751091</v>
      </c>
      <c r="I28" s="2285">
        <v>0.65067490541614137</v>
      </c>
      <c r="J28" s="2257">
        <f t="shared" si="1"/>
        <v>0.63936974296682614</v>
      </c>
      <c r="K28" s="2285">
        <v>0.82026919394824072</v>
      </c>
      <c r="L28" s="2285">
        <v>0.85554076928801503</v>
      </c>
      <c r="M28" s="2259">
        <f t="shared" si="2"/>
        <v>0.83790498161812788</v>
      </c>
      <c r="N28" s="2284">
        <v>0.72936609297068311</v>
      </c>
      <c r="O28" s="2286">
        <v>32.759061188540578</v>
      </c>
      <c r="P28" s="2258">
        <f t="shared" si="3"/>
        <v>16.744213640755632</v>
      </c>
      <c r="Q28" s="2284">
        <f>O28</f>
        <v>32.759061188540578</v>
      </c>
      <c r="R28" s="2285">
        <f>Q28*1.04</f>
        <v>34.069423636082199</v>
      </c>
      <c r="S28" s="2259">
        <f t="shared" si="4"/>
        <v>33.414242412311388</v>
      </c>
      <c r="T28" s="2284">
        <f>R28</f>
        <v>34.069423636082199</v>
      </c>
      <c r="U28" s="2285">
        <f>T28*1.04</f>
        <v>35.432200581525485</v>
      </c>
      <c r="V28" s="2258">
        <f t="shared" si="5"/>
        <v>34.750812108803842</v>
      </c>
      <c r="W28" s="2284">
        <f>U28</f>
        <v>35.432200581525485</v>
      </c>
      <c r="X28" s="2285">
        <f>W28*1.04</f>
        <v>36.849488604786508</v>
      </c>
      <c r="Y28" s="2258">
        <f t="shared" si="6"/>
        <v>36.140844593155997</v>
      </c>
      <c r="Z28" s="2284">
        <f>X28</f>
        <v>36.849488604786508</v>
      </c>
      <c r="AA28" s="2285">
        <f>Z28*1.04</f>
        <v>38.323468148977973</v>
      </c>
      <c r="AB28" s="2259">
        <f t="shared" si="7"/>
        <v>37.586478376882241</v>
      </c>
      <c r="AC28" s="2593">
        <f t="shared" si="8"/>
        <v>0</v>
      </c>
    </row>
    <row r="29" spans="1:29" s="2218" customFormat="1" ht="39" customHeight="1">
      <c r="A29" s="2235">
        <v>7</v>
      </c>
      <c r="B29" s="2287" t="s">
        <v>1770</v>
      </c>
      <c r="C29" s="2288" t="s">
        <v>1771</v>
      </c>
      <c r="D29" s="2505" t="s">
        <v>1317</v>
      </c>
      <c r="E29" s="2290">
        <v>2281.402459436948</v>
      </c>
      <c r="F29" s="2291">
        <v>2349.8445332200563</v>
      </c>
      <c r="G29" s="2257">
        <f t="shared" si="0"/>
        <v>2315.6234963285024</v>
      </c>
      <c r="H29" s="2291">
        <v>2980.1603675970132</v>
      </c>
      <c r="I29" s="2291">
        <v>3087.4461408305056</v>
      </c>
      <c r="J29" s="2257">
        <f t="shared" si="1"/>
        <v>3033.8032542137594</v>
      </c>
      <c r="K29" s="2291">
        <v>2762.5859322436163</v>
      </c>
      <c r="L29" s="2291">
        <v>2881.3771273300918</v>
      </c>
      <c r="M29" s="2259">
        <f t="shared" si="2"/>
        <v>2821.981529786854</v>
      </c>
      <c r="N29" s="2895">
        <v>2950.1561299191758</v>
      </c>
      <c r="O29" s="2896">
        <v>6840.7225696800833</v>
      </c>
      <c r="P29" s="2258">
        <f>N29/2+O29/2</f>
        <v>4895.4393497996298</v>
      </c>
      <c r="Q29" s="2895">
        <f>O29</f>
        <v>6840.7225696800833</v>
      </c>
      <c r="R29" s="2291">
        <f>Q29*1.04</f>
        <v>7114.3514724672868</v>
      </c>
      <c r="S29" s="2259">
        <f t="shared" si="4"/>
        <v>6977.5370210736855</v>
      </c>
      <c r="T29" s="2895">
        <f>R29</f>
        <v>7114.3514724672868</v>
      </c>
      <c r="U29" s="2291">
        <f>T29*1.04</f>
        <v>7398.9255313659787</v>
      </c>
      <c r="V29" s="2258">
        <f t="shared" si="5"/>
        <v>7256.6385019166328</v>
      </c>
      <c r="W29" s="2895">
        <f>U29</f>
        <v>7398.9255313659787</v>
      </c>
      <c r="X29" s="2291">
        <f>W29*1.04</f>
        <v>7694.8825526206183</v>
      </c>
      <c r="Y29" s="2258">
        <f t="shared" si="6"/>
        <v>7546.904041993299</v>
      </c>
      <c r="Z29" s="2895">
        <f>X29</f>
        <v>7694.8825526206183</v>
      </c>
      <c r="AA29" s="2291">
        <f>Z29*1.04</f>
        <v>8002.6778547254435</v>
      </c>
      <c r="AB29" s="2259">
        <f t="shared" si="7"/>
        <v>7848.7802036730309</v>
      </c>
      <c r="AC29" s="2593">
        <f t="shared" si="8"/>
        <v>0</v>
      </c>
    </row>
    <row r="30" spans="1:29" s="2218" customFormat="1" ht="100.5" hidden="1" customHeight="1" outlineLevel="1">
      <c r="A30" s="2235">
        <v>75</v>
      </c>
      <c r="B30" s="2281" t="s">
        <v>1773</v>
      </c>
      <c r="C30" s="2293" t="s">
        <v>1774</v>
      </c>
      <c r="D30" s="2504" t="s">
        <v>1317</v>
      </c>
      <c r="E30" s="2284"/>
      <c r="F30" s="2285"/>
      <c r="G30" s="2257">
        <f t="shared" si="0"/>
        <v>0</v>
      </c>
      <c r="H30" s="2285"/>
      <c r="I30" s="2285"/>
      <c r="J30" s="2257">
        <f t="shared" si="1"/>
        <v>0</v>
      </c>
      <c r="K30" s="2285">
        <v>264.93438477555134</v>
      </c>
      <c r="L30" s="2285">
        <v>276.32656332090005</v>
      </c>
      <c r="M30" s="2259">
        <f t="shared" si="2"/>
        <v>270.63047404822566</v>
      </c>
      <c r="N30" s="2294">
        <v>0</v>
      </c>
      <c r="O30" s="2285">
        <v>0</v>
      </c>
      <c r="P30" s="2258">
        <f t="shared" si="3"/>
        <v>0</v>
      </c>
      <c r="Q30" s="2284"/>
      <c r="R30" s="2285"/>
      <c r="S30" s="2259">
        <f t="shared" si="4"/>
        <v>0</v>
      </c>
      <c r="T30" s="2284"/>
      <c r="U30" s="2285"/>
      <c r="V30" s="2258">
        <f t="shared" si="5"/>
        <v>0</v>
      </c>
      <c r="W30" s="2284"/>
      <c r="X30" s="2285"/>
      <c r="Y30" s="2258">
        <f t="shared" si="6"/>
        <v>0</v>
      </c>
      <c r="Z30" s="2284"/>
      <c r="AA30" s="2285"/>
      <c r="AB30" s="2259">
        <f t="shared" si="7"/>
        <v>0</v>
      </c>
      <c r="AC30" s="2593">
        <f t="shared" si="8"/>
        <v>0</v>
      </c>
    </row>
    <row r="31" spans="1:29" s="2218" customFormat="1" ht="68.25" customHeight="1" collapsed="1">
      <c r="A31" s="2235">
        <v>76</v>
      </c>
      <c r="B31" s="2279" t="s">
        <v>1776</v>
      </c>
      <c r="C31" s="2295" t="s">
        <v>1777</v>
      </c>
      <c r="D31" s="2500" t="s">
        <v>1317</v>
      </c>
      <c r="E31" s="2255">
        <f>E32+E42</f>
        <v>3537.4658866287377</v>
      </c>
      <c r="F31" s="2256">
        <f>F32+F42</f>
        <v>3651.9365603039378</v>
      </c>
      <c r="G31" s="2257">
        <f t="shared" si="0"/>
        <v>3594.701223466338</v>
      </c>
      <c r="H31" s="2256">
        <f>H32+H42</f>
        <v>3922.3034678612116</v>
      </c>
      <c r="I31" s="2256">
        <f>I32+I42</f>
        <v>4046.0961717866144</v>
      </c>
      <c r="J31" s="2257">
        <f t="shared" si="1"/>
        <v>3984.199819823913</v>
      </c>
      <c r="K31" s="2256">
        <f>K32+K42</f>
        <v>4104.4593283628938</v>
      </c>
      <c r="L31" s="2256">
        <f>L32+L42</f>
        <v>4302.7877974798848</v>
      </c>
      <c r="M31" s="2259">
        <f t="shared" si="2"/>
        <v>4203.6235629213897</v>
      </c>
      <c r="N31" s="2255">
        <v>3588.6462235550321</v>
      </c>
      <c r="O31" s="2256">
        <v>38430.902406495676</v>
      </c>
      <c r="P31" s="2258">
        <f t="shared" si="3"/>
        <v>21009.774315025355</v>
      </c>
      <c r="Q31" s="2255">
        <f>Q32+Q42</f>
        <v>38430.896480029623</v>
      </c>
      <c r="R31" s="2256">
        <f>R32+R42</f>
        <v>39968.132339230811</v>
      </c>
      <c r="S31" s="2259">
        <f t="shared" si="4"/>
        <v>39199.514409630217</v>
      </c>
      <c r="T31" s="2255">
        <f>T32+T42</f>
        <v>39968.132339230811</v>
      </c>
      <c r="U31" s="2256">
        <f>U32+U42</f>
        <v>41566.857632800049</v>
      </c>
      <c r="V31" s="2258">
        <f t="shared" si="5"/>
        <v>40767.49498601543</v>
      </c>
      <c r="W31" s="2255">
        <f>W32+W42</f>
        <v>41566.857632800049</v>
      </c>
      <c r="X31" s="2256">
        <f>X32+X42</f>
        <v>43229.53193811205</v>
      </c>
      <c r="Y31" s="2258">
        <f t="shared" si="6"/>
        <v>42398.194785456049</v>
      </c>
      <c r="Z31" s="2255">
        <f>Z32+Z42</f>
        <v>43229.53193811205</v>
      </c>
      <c r="AA31" s="2256">
        <f>AA32+AA42</f>
        <v>44958.713215636533</v>
      </c>
      <c r="AB31" s="2259">
        <f t="shared" si="7"/>
        <v>44094.122576874288</v>
      </c>
      <c r="AC31" s="2593">
        <f t="shared" si="8"/>
        <v>0</v>
      </c>
    </row>
    <row r="32" spans="1:29" s="2218" customFormat="1" ht="38.25" customHeight="1">
      <c r="A32" s="2235">
        <v>77</v>
      </c>
      <c r="B32" s="2279" t="s">
        <v>1778</v>
      </c>
      <c r="C32" s="2280" t="s">
        <v>1779</v>
      </c>
      <c r="D32" s="2500" t="s">
        <v>1317</v>
      </c>
      <c r="E32" s="2255">
        <f>E33*E41*12/1000</f>
        <v>2720.5863496829247</v>
      </c>
      <c r="F32" s="2256">
        <f>F33*F41*12/1000</f>
        <v>2810.5506372497503</v>
      </c>
      <c r="G32" s="2257">
        <f t="shared" si="0"/>
        <v>2765.5684934663377</v>
      </c>
      <c r="H32" s="2256">
        <f>H33*H41*12/1000</f>
        <v>3032.9323283720173</v>
      </c>
      <c r="I32" s="2256">
        <f>I33*I41*12/1000</f>
        <v>3124.7076712758089</v>
      </c>
      <c r="J32" s="2257">
        <f t="shared" si="1"/>
        <v>3078.8199998239133</v>
      </c>
      <c r="K32" s="2256">
        <f>K33*K41*12/1000</f>
        <v>3166.570400315904</v>
      </c>
      <c r="L32" s="2256">
        <f>L33*L41*12/1000</f>
        <v>3324.5696455268749</v>
      </c>
      <c r="M32" s="2259">
        <f t="shared" si="2"/>
        <v>3245.5700229213894</v>
      </c>
      <c r="N32" s="2284">
        <f>N33*N41*12/1000</f>
        <v>2756.2567001190728</v>
      </c>
      <c r="O32" s="2286">
        <f>O33*O41*12/1000</f>
        <v>29516.81619833862</v>
      </c>
      <c r="P32" s="2258">
        <f t="shared" si="3"/>
        <v>16136.536449228846</v>
      </c>
      <c r="Q32" s="2284">
        <f>O32</f>
        <v>29516.81619833862</v>
      </c>
      <c r="R32" s="2256">
        <f>Q32*1.04</f>
        <v>30697.488846272165</v>
      </c>
      <c r="S32" s="2259">
        <f t="shared" si="4"/>
        <v>30107.15252230539</v>
      </c>
      <c r="T32" s="2284">
        <f>R32</f>
        <v>30697.488846272165</v>
      </c>
      <c r="U32" s="2256">
        <f>T32*1.04</f>
        <v>31925.388400123051</v>
      </c>
      <c r="V32" s="2258">
        <f t="shared" si="5"/>
        <v>31311.43862319761</v>
      </c>
      <c r="W32" s="2284">
        <f>U32</f>
        <v>31925.388400123051</v>
      </c>
      <c r="X32" s="2256">
        <f>W32*1.04</f>
        <v>33202.403936127972</v>
      </c>
      <c r="Y32" s="2258">
        <f t="shared" si="6"/>
        <v>32563.89616812551</v>
      </c>
      <c r="Z32" s="2284">
        <f>X32</f>
        <v>33202.403936127972</v>
      </c>
      <c r="AA32" s="2256">
        <f>Z32*1.04</f>
        <v>34530.500093573093</v>
      </c>
      <c r="AB32" s="2259">
        <f t="shared" si="7"/>
        <v>33866.452014850533</v>
      </c>
      <c r="AC32" s="2593">
        <f t="shared" si="8"/>
        <v>0</v>
      </c>
    </row>
    <row r="33" spans="1:29" s="2218" customFormat="1" ht="30.75" customHeight="1">
      <c r="A33" s="2235">
        <v>441</v>
      </c>
      <c r="B33" s="2279" t="s">
        <v>1780</v>
      </c>
      <c r="C33" s="2280" t="s">
        <v>1781</v>
      </c>
      <c r="D33" s="2500"/>
      <c r="E33" s="2255">
        <f>E34+E35+E38+E39+E40</f>
        <v>22671.552914024374</v>
      </c>
      <c r="F33" s="2256">
        <f>F34+F35+F38+F39+F40</f>
        <v>23421.255310414585</v>
      </c>
      <c r="G33" s="2257">
        <f t="shared" si="0"/>
        <v>23046.404112219479</v>
      </c>
      <c r="H33" s="2256">
        <f>H34+H35+H38+H39+H40</f>
        <v>22976.760063424372</v>
      </c>
      <c r="I33" s="2256">
        <f>I34+I35+I38+I39+I40</f>
        <v>23672.027812695524</v>
      </c>
      <c r="J33" s="2257">
        <f t="shared" si="1"/>
        <v>23324.393938059948</v>
      </c>
      <c r="K33" s="2256">
        <f>K34+K35+K38+K39+K40</f>
        <v>20298.528207153231</v>
      </c>
      <c r="L33" s="2256">
        <f>L34+L35+L38+L39+L40</f>
        <v>21311.343881582532</v>
      </c>
      <c r="M33" s="2259">
        <f t="shared" si="2"/>
        <v>20804.936044367882</v>
      </c>
      <c r="N33" s="2294">
        <f>N34+N35+N38+N39+N40</f>
        <v>22590.024514477485</v>
      </c>
      <c r="O33" s="2506">
        <f>O34+O35+O38+O39+O40</f>
        <v>24330.526279519865</v>
      </c>
      <c r="P33" s="2258">
        <f t="shared" si="3"/>
        <v>23460.275396998673</v>
      </c>
      <c r="Q33" s="2294">
        <f>Q34+Q35+Q38+Q39+Q40</f>
        <v>24330.526279519865</v>
      </c>
      <c r="R33" s="2256">
        <f>R34+R35+R38+R39+R40</f>
        <v>25303.747330700662</v>
      </c>
      <c r="S33" s="2259">
        <f t="shared" si="4"/>
        <v>24817.136805110262</v>
      </c>
      <c r="T33" s="2294">
        <f>T34+T35+T38+T39+T40</f>
        <v>25303.747330700662</v>
      </c>
      <c r="U33" s="2256">
        <f>U34+U35+U38+U39+U40</f>
        <v>26315.897223928689</v>
      </c>
      <c r="V33" s="2258">
        <f t="shared" si="5"/>
        <v>25809.822277314677</v>
      </c>
      <c r="W33" s="2294">
        <f>W34+W35+W38+W39+W40</f>
        <v>26315.897223928689</v>
      </c>
      <c r="X33" s="2256">
        <f>X34+X35+X38+X39+X40</f>
        <v>27368.533112885842</v>
      </c>
      <c r="Y33" s="2258">
        <f t="shared" si="6"/>
        <v>26842.215168407267</v>
      </c>
      <c r="Z33" s="2294">
        <f>Z34+Z35+Z38+Z39+Z40</f>
        <v>27368.533112885842</v>
      </c>
      <c r="AA33" s="2256">
        <f>AA34+AA35+AA38+AA39+AA40</f>
        <v>28463.274437401276</v>
      </c>
      <c r="AB33" s="2259">
        <f t="shared" si="7"/>
        <v>27915.903775143561</v>
      </c>
      <c r="AC33" s="2593">
        <f t="shared" si="8"/>
        <v>0</v>
      </c>
    </row>
    <row r="34" spans="1:29" s="2218" customFormat="1" ht="21" hidden="1" customHeight="1" outlineLevel="1">
      <c r="A34" s="2235">
        <v>304</v>
      </c>
      <c r="B34" s="2281" t="s">
        <v>1782</v>
      </c>
      <c r="C34" s="2282" t="s">
        <v>1783</v>
      </c>
      <c r="D34" s="2504" t="s">
        <v>1784</v>
      </c>
      <c r="E34" s="2284"/>
      <c r="F34" s="2285"/>
      <c r="G34" s="2257">
        <f t="shared" si="0"/>
        <v>0</v>
      </c>
      <c r="H34" s="2285"/>
      <c r="I34" s="2285"/>
      <c r="J34" s="2257">
        <f t="shared" si="1"/>
        <v>0</v>
      </c>
      <c r="K34" s="2285"/>
      <c r="L34" s="2285"/>
      <c r="M34" s="2259">
        <f t="shared" si="2"/>
        <v>0</v>
      </c>
      <c r="N34" s="2284">
        <v>0</v>
      </c>
      <c r="O34" s="2285">
        <v>0</v>
      </c>
      <c r="P34" s="2258">
        <f t="shared" si="3"/>
        <v>0</v>
      </c>
      <c r="Q34" s="2284"/>
      <c r="R34" s="2285"/>
      <c r="S34" s="2259">
        <f t="shared" si="4"/>
        <v>0</v>
      </c>
      <c r="T34" s="2284"/>
      <c r="U34" s="2285"/>
      <c r="V34" s="2258">
        <f t="shared" si="5"/>
        <v>0</v>
      </c>
      <c r="W34" s="2284"/>
      <c r="X34" s="2285"/>
      <c r="Y34" s="2258">
        <f t="shared" si="6"/>
        <v>0</v>
      </c>
      <c r="Z34" s="2284"/>
      <c r="AA34" s="2285"/>
      <c r="AB34" s="2259">
        <f t="shared" si="7"/>
        <v>0</v>
      </c>
      <c r="AC34" s="2593">
        <f t="shared" si="8"/>
        <v>0</v>
      </c>
    </row>
    <row r="35" spans="1:29" s="2218" customFormat="1" ht="21" customHeight="1" collapsed="1">
      <c r="A35" s="2235">
        <v>442</v>
      </c>
      <c r="B35" s="2279" t="s">
        <v>1785</v>
      </c>
      <c r="C35" s="2280" t="s">
        <v>1786</v>
      </c>
      <c r="D35" s="2500"/>
      <c r="E35" s="2255">
        <f>E36*E37</f>
        <v>8197.9789473684214</v>
      </c>
      <c r="F35" s="2256">
        <f>F36*F37</f>
        <v>8534.4631578947374</v>
      </c>
      <c r="G35" s="2257">
        <f t="shared" si="0"/>
        <v>8366.2210526315794</v>
      </c>
      <c r="H35" s="2256">
        <f>H36*H37</f>
        <v>8534.4631578947374</v>
      </c>
      <c r="I35" s="2256">
        <f>I36*I37</f>
        <v>8794.4736842105267</v>
      </c>
      <c r="J35" s="2257">
        <f t="shared" si="1"/>
        <v>8664.468421052632</v>
      </c>
      <c r="K35" s="2256">
        <f>K36*K37</f>
        <v>8794.4736842105267</v>
      </c>
      <c r="L35" s="2256">
        <f>L36*L37</f>
        <v>9238.0210526315786</v>
      </c>
      <c r="M35" s="2259">
        <f t="shared" si="2"/>
        <v>9016.2473684210527</v>
      </c>
      <c r="N35" s="2294">
        <f>N36*N37</f>
        <v>9792.302315789475</v>
      </c>
      <c r="O35" s="2506">
        <f>O36*O37</f>
        <v>10497.348082526318</v>
      </c>
      <c r="P35" s="2258">
        <f t="shared" si="3"/>
        <v>10144.825199157896</v>
      </c>
      <c r="Q35" s="2294">
        <f>Q36*Q37</f>
        <v>10497.348082526318</v>
      </c>
      <c r="R35" s="2256">
        <f>R36*R37</f>
        <v>10917.242005827369</v>
      </c>
      <c r="S35" s="2259">
        <f t="shared" si="4"/>
        <v>10707.295044176844</v>
      </c>
      <c r="T35" s="2294">
        <f>T36*T37</f>
        <v>10917.242005827369</v>
      </c>
      <c r="U35" s="2256">
        <f>U36*U37</f>
        <v>11353.931686060465</v>
      </c>
      <c r="V35" s="2258">
        <f t="shared" si="5"/>
        <v>11135.586845943917</v>
      </c>
      <c r="W35" s="2294">
        <f>W36*W37</f>
        <v>11353.931686060465</v>
      </c>
      <c r="X35" s="2256">
        <f>X36*X37</f>
        <v>11808.088953502884</v>
      </c>
      <c r="Y35" s="2258">
        <f t="shared" si="6"/>
        <v>11581.010319781675</v>
      </c>
      <c r="Z35" s="2294">
        <f>Z36*Z37</f>
        <v>11808.088953502884</v>
      </c>
      <c r="AA35" s="2256">
        <f>AA36*AA37</f>
        <v>12280.412511643</v>
      </c>
      <c r="AB35" s="2259">
        <f t="shared" si="7"/>
        <v>12044.250732572942</v>
      </c>
      <c r="AC35" s="2593">
        <f t="shared" si="8"/>
        <v>0</v>
      </c>
    </row>
    <row r="36" spans="1:29" s="2218" customFormat="1" ht="21" customHeight="1">
      <c r="A36" s="2235">
        <v>82</v>
      </c>
      <c r="B36" s="2281" t="s">
        <v>1787</v>
      </c>
      <c r="C36" s="2282" t="s">
        <v>1788</v>
      </c>
      <c r="D36" s="2504" t="s">
        <v>1784</v>
      </c>
      <c r="E36" s="2284">
        <v>5360</v>
      </c>
      <c r="F36" s="2285">
        <v>5580</v>
      </c>
      <c r="G36" s="2257">
        <f t="shared" si="0"/>
        <v>5470</v>
      </c>
      <c r="H36" s="2285">
        <v>5580</v>
      </c>
      <c r="I36" s="2285">
        <v>5750</v>
      </c>
      <c r="J36" s="2257">
        <f t="shared" si="1"/>
        <v>5665</v>
      </c>
      <c r="K36" s="2285">
        <v>5750</v>
      </c>
      <c r="L36" s="2285">
        <v>6040</v>
      </c>
      <c r="M36" s="2259">
        <f t="shared" si="2"/>
        <v>5895</v>
      </c>
      <c r="N36" s="2294">
        <v>6402.4000000000005</v>
      </c>
      <c r="O36" s="2296">
        <v>6863.372800000001</v>
      </c>
      <c r="P36" s="2258">
        <f t="shared" si="3"/>
        <v>6632.8864000000012</v>
      </c>
      <c r="Q36" s="2294">
        <f>O36</f>
        <v>6863.372800000001</v>
      </c>
      <c r="R36" s="2285">
        <f>Q36*1.04</f>
        <v>7137.9077120000011</v>
      </c>
      <c r="S36" s="2259">
        <f t="shared" si="4"/>
        <v>7000.6402560000006</v>
      </c>
      <c r="T36" s="2294">
        <f>R36</f>
        <v>7137.9077120000011</v>
      </c>
      <c r="U36" s="2285">
        <f>T36*1.04</f>
        <v>7423.4240204800017</v>
      </c>
      <c r="V36" s="2258">
        <f t="shared" si="5"/>
        <v>7280.6658662400014</v>
      </c>
      <c r="W36" s="2294">
        <f>U36</f>
        <v>7423.4240204800017</v>
      </c>
      <c r="X36" s="2285">
        <f>W36*1.04</f>
        <v>7720.3609812992017</v>
      </c>
      <c r="Y36" s="2258">
        <f t="shared" si="6"/>
        <v>7571.8925008896022</v>
      </c>
      <c r="Z36" s="2294">
        <f>X36</f>
        <v>7720.3609812992017</v>
      </c>
      <c r="AA36" s="2285">
        <f>Z36*1.04</f>
        <v>8029.1754205511697</v>
      </c>
      <c r="AB36" s="2259">
        <f t="shared" si="7"/>
        <v>7874.7682009251857</v>
      </c>
      <c r="AC36" s="2593">
        <f t="shared" si="8"/>
        <v>0</v>
      </c>
    </row>
    <row r="37" spans="1:29" s="2218" customFormat="1" ht="21" customHeight="1">
      <c r="A37" s="2235">
        <v>85</v>
      </c>
      <c r="B37" s="2281" t="s">
        <v>1789</v>
      </c>
      <c r="C37" s="2282" t="s">
        <v>1790</v>
      </c>
      <c r="D37" s="2504"/>
      <c r="E37" s="2284">
        <v>1.5294736842105263</v>
      </c>
      <c r="F37" s="2285">
        <v>1.5294736842105263</v>
      </c>
      <c r="G37" s="2257">
        <f t="shared" si="0"/>
        <v>1.5294736842105263</v>
      </c>
      <c r="H37" s="2285">
        <v>1.5294736842105263</v>
      </c>
      <c r="I37" s="2285">
        <v>1.5294736842105263</v>
      </c>
      <c r="J37" s="2257">
        <f t="shared" si="1"/>
        <v>1.5294736842105263</v>
      </c>
      <c r="K37" s="2285">
        <v>1.5294736842105263</v>
      </c>
      <c r="L37" s="2285">
        <v>1.5294736842105263</v>
      </c>
      <c r="M37" s="2259">
        <f t="shared" si="2"/>
        <v>1.5294736842105263</v>
      </c>
      <c r="N37" s="2294">
        <v>1.5294736842105263</v>
      </c>
      <c r="O37" s="2296">
        <v>1.5294736842105263</v>
      </c>
      <c r="P37" s="2258">
        <f t="shared" si="3"/>
        <v>1.5294736842105263</v>
      </c>
      <c r="Q37" s="2294">
        <f>O37</f>
        <v>1.5294736842105263</v>
      </c>
      <c r="R37" s="2285">
        <f>Q37</f>
        <v>1.5294736842105263</v>
      </c>
      <c r="S37" s="2259">
        <f t="shared" si="4"/>
        <v>1.5294736842105263</v>
      </c>
      <c r="T37" s="2294">
        <f>R37</f>
        <v>1.5294736842105263</v>
      </c>
      <c r="U37" s="2285">
        <f>T37</f>
        <v>1.5294736842105263</v>
      </c>
      <c r="V37" s="2258">
        <f t="shared" si="5"/>
        <v>1.5294736842105263</v>
      </c>
      <c r="W37" s="2294">
        <f>U37</f>
        <v>1.5294736842105263</v>
      </c>
      <c r="X37" s="2285">
        <f>W37</f>
        <v>1.5294736842105263</v>
      </c>
      <c r="Y37" s="2258">
        <f t="shared" si="6"/>
        <v>1.5294736842105263</v>
      </c>
      <c r="Z37" s="2294">
        <f>X37</f>
        <v>1.5294736842105263</v>
      </c>
      <c r="AA37" s="2285">
        <f>Z37</f>
        <v>1.5294736842105263</v>
      </c>
      <c r="AB37" s="2259">
        <f t="shared" si="7"/>
        <v>1.5294736842105263</v>
      </c>
      <c r="AC37" s="2593">
        <f t="shared" si="8"/>
        <v>0</v>
      </c>
    </row>
    <row r="38" spans="1:29" s="2218" customFormat="1" ht="37.5" customHeight="1">
      <c r="A38" s="2235">
        <v>457</v>
      </c>
      <c r="B38" s="2281" t="s">
        <v>1791</v>
      </c>
      <c r="C38" s="2282" t="s">
        <v>1792</v>
      </c>
      <c r="D38" s="2504" t="s">
        <v>1793</v>
      </c>
      <c r="E38" s="2284">
        <v>5738.5852631578937</v>
      </c>
      <c r="F38" s="2285">
        <v>5889.753787916844</v>
      </c>
      <c r="G38" s="2257">
        <f t="shared" si="0"/>
        <v>5814.1695255373688</v>
      </c>
      <c r="H38" s="2285">
        <v>4267.2315789473696</v>
      </c>
      <c r="I38" s="2285">
        <v>4397.2368421052633</v>
      </c>
      <c r="J38" s="2257">
        <f t="shared" si="1"/>
        <v>4332.234210526316</v>
      </c>
      <c r="K38" s="2285">
        <v>6161.8836805555557</v>
      </c>
      <c r="L38" s="2285">
        <v>6472.656944444444</v>
      </c>
      <c r="M38" s="2259">
        <f t="shared" si="2"/>
        <v>6317.2703124999998</v>
      </c>
      <c r="N38" s="2284">
        <v>6861.0163611111111</v>
      </c>
      <c r="O38" s="2286">
        <f>7355.00953911111+114.02</f>
        <v>7469.0295391111104</v>
      </c>
      <c r="P38" s="2258">
        <f t="shared" si="3"/>
        <v>7165.0229501111107</v>
      </c>
      <c r="Q38" s="2284">
        <f>O38</f>
        <v>7469.0295391111104</v>
      </c>
      <c r="R38" s="2285">
        <f>Q38*1.04</f>
        <v>7767.7907206755553</v>
      </c>
      <c r="S38" s="2259">
        <f t="shared" si="4"/>
        <v>7618.4101298933329</v>
      </c>
      <c r="T38" s="2284">
        <f>R38</f>
        <v>7767.7907206755553</v>
      </c>
      <c r="U38" s="2285">
        <f>T38*1.04</f>
        <v>8078.502349502578</v>
      </c>
      <c r="V38" s="2258">
        <f t="shared" si="5"/>
        <v>7923.1465350890667</v>
      </c>
      <c r="W38" s="2284">
        <f>U38</f>
        <v>8078.502349502578</v>
      </c>
      <c r="X38" s="2285">
        <f>W38*1.04</f>
        <v>8401.6424434826822</v>
      </c>
      <c r="Y38" s="2258">
        <f t="shared" si="6"/>
        <v>8240.0723964926292</v>
      </c>
      <c r="Z38" s="2284">
        <f>X38</f>
        <v>8401.6424434826822</v>
      </c>
      <c r="AA38" s="2285">
        <f>Z38*1.04</f>
        <v>8737.7081412219904</v>
      </c>
      <c r="AB38" s="2259">
        <f t="shared" si="7"/>
        <v>8569.6752923523363</v>
      </c>
      <c r="AC38" s="2593">
        <f t="shared" si="8"/>
        <v>0</v>
      </c>
    </row>
    <row r="39" spans="1:29" s="2218" customFormat="1" ht="21" customHeight="1">
      <c r="A39" s="2235">
        <v>458</v>
      </c>
      <c r="B39" s="2281" t="s">
        <v>1794</v>
      </c>
      <c r="C39" s="2282" t="s">
        <v>1795</v>
      </c>
      <c r="D39" s="2504" t="s">
        <v>1784</v>
      </c>
      <c r="E39" s="2284">
        <v>8734.9887034980602</v>
      </c>
      <c r="F39" s="2285">
        <v>8997.0383646030023</v>
      </c>
      <c r="G39" s="2257">
        <f t="shared" si="0"/>
        <v>8866.0135340505312</v>
      </c>
      <c r="H39" s="2285">
        <v>10175.065326582268</v>
      </c>
      <c r="I39" s="2285">
        <v>10480.317286379735</v>
      </c>
      <c r="J39" s="2257">
        <f t="shared" si="1"/>
        <v>10327.691306481001</v>
      </c>
      <c r="K39" s="2285">
        <v>5342.1708423871505</v>
      </c>
      <c r="L39" s="2285">
        <v>5600.6658845065103</v>
      </c>
      <c r="M39" s="2259">
        <f t="shared" si="2"/>
        <v>5471.41836344683</v>
      </c>
      <c r="N39" s="2284">
        <v>5936.7058375769011</v>
      </c>
      <c r="O39" s="2286">
        <v>6364.1486578824388</v>
      </c>
      <c r="P39" s="2258">
        <f t="shared" si="3"/>
        <v>6150.4272477296699</v>
      </c>
      <c r="Q39" s="2284">
        <f>O39</f>
        <v>6364.1486578824388</v>
      </c>
      <c r="R39" s="2285">
        <f>Q39*1.04</f>
        <v>6618.7146041977367</v>
      </c>
      <c r="S39" s="2259">
        <f t="shared" si="4"/>
        <v>6491.4316310400882</v>
      </c>
      <c r="T39" s="2284">
        <f>R39</f>
        <v>6618.7146041977367</v>
      </c>
      <c r="U39" s="2285">
        <f>T39*1.04</f>
        <v>6883.4631883656466</v>
      </c>
      <c r="V39" s="2258">
        <f t="shared" si="5"/>
        <v>6751.0888962816916</v>
      </c>
      <c r="W39" s="2284">
        <f>U39</f>
        <v>6883.4631883656466</v>
      </c>
      <c r="X39" s="2285">
        <f>W39*1.04</f>
        <v>7158.8017159002729</v>
      </c>
      <c r="Y39" s="2258">
        <f t="shared" si="6"/>
        <v>7021.1324521329598</v>
      </c>
      <c r="Z39" s="2284">
        <f>X39</f>
        <v>7158.8017159002729</v>
      </c>
      <c r="AA39" s="2285">
        <f>Z39*1.04</f>
        <v>7445.1537845362845</v>
      </c>
      <c r="AB39" s="2259">
        <f t="shared" si="7"/>
        <v>7301.9777502182787</v>
      </c>
      <c r="AC39" s="2593">
        <f t="shared" si="8"/>
        <v>0</v>
      </c>
    </row>
    <row r="40" spans="1:29" s="2218" customFormat="1" ht="30.75" hidden="1" customHeight="1" outlineLevel="1">
      <c r="A40" s="2235">
        <v>459</v>
      </c>
      <c r="B40" s="2281" t="s">
        <v>1796</v>
      </c>
      <c r="C40" s="2282" t="s">
        <v>1797</v>
      </c>
      <c r="D40" s="2504" t="s">
        <v>1784</v>
      </c>
      <c r="E40" s="2284"/>
      <c r="F40" s="2285"/>
      <c r="G40" s="2257">
        <f t="shared" si="0"/>
        <v>0</v>
      </c>
      <c r="H40" s="2285"/>
      <c r="I40" s="2285"/>
      <c r="J40" s="2257">
        <f t="shared" si="1"/>
        <v>0</v>
      </c>
      <c r="K40" s="2285">
        <v>0</v>
      </c>
      <c r="L40" s="2285">
        <v>0</v>
      </c>
      <c r="M40" s="2259">
        <f t="shared" si="2"/>
        <v>0</v>
      </c>
      <c r="N40" s="2284">
        <v>0</v>
      </c>
      <c r="O40" s="2285">
        <v>0</v>
      </c>
      <c r="P40" s="2258">
        <f t="shared" si="3"/>
        <v>0</v>
      </c>
      <c r="Q40" s="2284"/>
      <c r="R40" s="2285"/>
      <c r="S40" s="2259">
        <f t="shared" si="4"/>
        <v>0</v>
      </c>
      <c r="T40" s="2284"/>
      <c r="U40" s="2285"/>
      <c r="V40" s="2258">
        <f t="shared" si="5"/>
        <v>0</v>
      </c>
      <c r="W40" s="2284"/>
      <c r="X40" s="2285"/>
      <c r="Y40" s="2258">
        <f t="shared" si="6"/>
        <v>0</v>
      </c>
      <c r="Z40" s="2284"/>
      <c r="AA40" s="2285"/>
      <c r="AB40" s="2259">
        <f t="shared" si="7"/>
        <v>0</v>
      </c>
      <c r="AC40" s="2593">
        <f t="shared" si="8"/>
        <v>0</v>
      </c>
    </row>
    <row r="41" spans="1:29" s="2218" customFormat="1" ht="38.25" customHeight="1" collapsed="1">
      <c r="A41" s="2235">
        <v>78</v>
      </c>
      <c r="B41" s="2281" t="s">
        <v>1798</v>
      </c>
      <c r="C41" s="2282" t="s">
        <v>1799</v>
      </c>
      <c r="D41" s="2504" t="s">
        <v>1800</v>
      </c>
      <c r="E41" s="2284">
        <v>10</v>
      </c>
      <c r="F41" s="2285">
        <v>10</v>
      </c>
      <c r="G41" s="2257">
        <f t="shared" si="0"/>
        <v>10</v>
      </c>
      <c r="H41" s="2285">
        <v>11</v>
      </c>
      <c r="I41" s="2285">
        <v>11</v>
      </c>
      <c r="J41" s="2257">
        <f t="shared" si="1"/>
        <v>11</v>
      </c>
      <c r="K41" s="2285">
        <v>13</v>
      </c>
      <c r="L41" s="2285">
        <v>13</v>
      </c>
      <c r="M41" s="2259">
        <f t="shared" si="2"/>
        <v>13</v>
      </c>
      <c r="N41" s="2284">
        <v>10.167676365116543</v>
      </c>
      <c r="O41" s="2286">
        <v>101.09664932588647</v>
      </c>
      <c r="P41" s="2258">
        <f t="shared" si="3"/>
        <v>55.632162845501512</v>
      </c>
      <c r="Q41" s="2284">
        <f>O41</f>
        <v>101.09664932588647</v>
      </c>
      <c r="R41" s="2285">
        <f>Q41</f>
        <v>101.09664932588647</v>
      </c>
      <c r="S41" s="2259">
        <f t="shared" si="4"/>
        <v>101.09664932588647</v>
      </c>
      <c r="T41" s="2284">
        <f>R41</f>
        <v>101.09664932588647</v>
      </c>
      <c r="U41" s="2285">
        <f>T41</f>
        <v>101.09664932588647</v>
      </c>
      <c r="V41" s="2258">
        <f t="shared" si="5"/>
        <v>101.09664932588647</v>
      </c>
      <c r="W41" s="2284">
        <f>U41</f>
        <v>101.09664932588647</v>
      </c>
      <c r="X41" s="2285">
        <f>W41</f>
        <v>101.09664932588647</v>
      </c>
      <c r="Y41" s="2258">
        <f t="shared" si="6"/>
        <v>101.09664932588647</v>
      </c>
      <c r="Z41" s="2284">
        <f>X41</f>
        <v>101.09664932588647</v>
      </c>
      <c r="AA41" s="2285">
        <f>Z41</f>
        <v>101.09664932588647</v>
      </c>
      <c r="AB41" s="2259">
        <f t="shared" si="7"/>
        <v>101.09664932588647</v>
      </c>
      <c r="AC41" s="2593">
        <f t="shared" si="8"/>
        <v>0</v>
      </c>
    </row>
    <row r="42" spans="1:29" s="2218" customFormat="1" ht="56.25" customHeight="1">
      <c r="A42" s="2235">
        <v>88</v>
      </c>
      <c r="B42" s="2287" t="s">
        <v>1802</v>
      </c>
      <c r="C42" s="2288" t="s">
        <v>1803</v>
      </c>
      <c r="D42" s="2505" t="s">
        <v>1317</v>
      </c>
      <c r="E42" s="2290">
        <v>816.8795369458129</v>
      </c>
      <c r="F42" s="2291">
        <v>841.38592305418729</v>
      </c>
      <c r="G42" s="2257">
        <f t="shared" si="0"/>
        <v>829.13273000000004</v>
      </c>
      <c r="H42" s="2291">
        <v>889.37113948919443</v>
      </c>
      <c r="I42" s="2291">
        <v>921.38850051080544</v>
      </c>
      <c r="J42" s="2257">
        <f t="shared" si="1"/>
        <v>905.37981999999988</v>
      </c>
      <c r="K42" s="2291">
        <v>937.88892804698969</v>
      </c>
      <c r="L42" s="2291">
        <v>978.21815195301019</v>
      </c>
      <c r="M42" s="2259">
        <f t="shared" si="2"/>
        <v>958.05353999999988</v>
      </c>
      <c r="N42" s="2284">
        <v>832.38952343595975</v>
      </c>
      <c r="O42" s="2286">
        <v>8914.0802816910073</v>
      </c>
      <c r="P42" s="2258">
        <f t="shared" si="3"/>
        <v>4873.234902563483</v>
      </c>
      <c r="Q42" s="2284">
        <f>O42</f>
        <v>8914.0802816910073</v>
      </c>
      <c r="R42" s="2291">
        <f>Q42*1.04</f>
        <v>9270.6434929586485</v>
      </c>
      <c r="S42" s="2259">
        <f t="shared" si="4"/>
        <v>9092.361887324827</v>
      </c>
      <c r="T42" s="2284">
        <f>R42</f>
        <v>9270.6434929586485</v>
      </c>
      <c r="U42" s="2291">
        <f>T42*1.04</f>
        <v>9641.4692326769946</v>
      </c>
      <c r="V42" s="2258">
        <f t="shared" si="5"/>
        <v>9456.0563628178206</v>
      </c>
      <c r="W42" s="2284">
        <f>U42</f>
        <v>9641.4692326769946</v>
      </c>
      <c r="X42" s="2291">
        <f>W42*1.04</f>
        <v>10027.128001984074</v>
      </c>
      <c r="Y42" s="2258">
        <f t="shared" si="6"/>
        <v>9834.2986173305344</v>
      </c>
      <c r="Z42" s="2284">
        <f>X42</f>
        <v>10027.128001984074</v>
      </c>
      <c r="AA42" s="2291">
        <f>Z42*1.04</f>
        <v>10428.213122063438</v>
      </c>
      <c r="AB42" s="2259">
        <f t="shared" si="7"/>
        <v>10227.670562023755</v>
      </c>
      <c r="AC42" s="2593">
        <f t="shared" si="8"/>
        <v>0</v>
      </c>
    </row>
    <row r="43" spans="1:29" s="2218" customFormat="1" ht="33.75" hidden="1" customHeight="1" outlineLevel="1">
      <c r="A43" s="2235">
        <v>287</v>
      </c>
      <c r="B43" s="2281" t="s">
        <v>1805</v>
      </c>
      <c r="C43" s="2282" t="s">
        <v>1806</v>
      </c>
      <c r="D43" s="2504" t="s">
        <v>1313</v>
      </c>
      <c r="E43" s="2284"/>
      <c r="F43" s="2285"/>
      <c r="G43" s="2257">
        <f t="shared" si="0"/>
        <v>0</v>
      </c>
      <c r="H43" s="2285"/>
      <c r="I43" s="2285"/>
      <c r="J43" s="2257">
        <f t="shared" si="1"/>
        <v>0</v>
      </c>
      <c r="K43" s="2285"/>
      <c r="L43" s="2285"/>
      <c r="M43" s="2259">
        <f t="shared" si="2"/>
        <v>0</v>
      </c>
      <c r="N43" s="2284">
        <v>0</v>
      </c>
      <c r="O43" s="2285">
        <v>0</v>
      </c>
      <c r="P43" s="2258">
        <f t="shared" si="3"/>
        <v>0</v>
      </c>
      <c r="Q43" s="2284"/>
      <c r="R43" s="2285"/>
      <c r="S43" s="2259">
        <f t="shared" si="4"/>
        <v>0</v>
      </c>
      <c r="T43" s="2284"/>
      <c r="U43" s="2285"/>
      <c r="V43" s="2258">
        <f t="shared" si="5"/>
        <v>0</v>
      </c>
      <c r="W43" s="2284"/>
      <c r="X43" s="2285"/>
      <c r="Y43" s="2258">
        <f t="shared" si="6"/>
        <v>0</v>
      </c>
      <c r="Z43" s="2284"/>
      <c r="AA43" s="2285"/>
      <c r="AB43" s="2259">
        <f t="shared" si="7"/>
        <v>0</v>
      </c>
      <c r="AC43" s="2593">
        <f t="shared" si="8"/>
        <v>0</v>
      </c>
    </row>
    <row r="44" spans="1:29" s="2218" customFormat="1" ht="18" customHeight="1" collapsed="1">
      <c r="A44" s="2235">
        <v>8</v>
      </c>
      <c r="B44" s="2279" t="s">
        <v>1807</v>
      </c>
      <c r="C44" s="2295" t="s">
        <v>1808</v>
      </c>
      <c r="D44" s="2500" t="s">
        <v>1313</v>
      </c>
      <c r="E44" s="2255">
        <f>E45+E46</f>
        <v>10153.702691133754</v>
      </c>
      <c r="F44" s="2256">
        <f>F45+F46</f>
        <v>10458.313771867766</v>
      </c>
      <c r="G44" s="2257">
        <f t="shared" si="0"/>
        <v>10306.00823150076</v>
      </c>
      <c r="H44" s="2256">
        <f>H45+H46</f>
        <v>6223.2046271041672</v>
      </c>
      <c r="I44" s="2256">
        <f>I45+I46</f>
        <v>6447.2399936799175</v>
      </c>
      <c r="J44" s="2257">
        <f t="shared" si="1"/>
        <v>6335.2223103920423</v>
      </c>
      <c r="K44" s="2256">
        <f>K45+K46</f>
        <v>3584.8029365195484</v>
      </c>
      <c r="L44" s="2256">
        <f>L45+L46</f>
        <v>3738.949462789888</v>
      </c>
      <c r="M44" s="2259">
        <f t="shared" si="2"/>
        <v>3661.8761996547182</v>
      </c>
      <c r="N44" s="2255">
        <v>3099.8010590895674</v>
      </c>
      <c r="O44" s="2256">
        <v>4858.0982552370524</v>
      </c>
      <c r="P44" s="2258">
        <f t="shared" si="3"/>
        <v>3978.9496571633099</v>
      </c>
      <c r="Q44" s="2255">
        <f>Q45+Q46</f>
        <v>4858.0982552370524</v>
      </c>
      <c r="R44" s="2256">
        <f>R45+R46</f>
        <v>5052.4221854465341</v>
      </c>
      <c r="S44" s="2259">
        <f t="shared" si="4"/>
        <v>4955.2602203417937</v>
      </c>
      <c r="T44" s="2255">
        <f>T45+T46</f>
        <v>5052.4221854465341</v>
      </c>
      <c r="U44" s="2256">
        <f>U45+U46</f>
        <v>5254.5190728643956</v>
      </c>
      <c r="V44" s="2258">
        <f t="shared" si="5"/>
        <v>5153.4706291554648</v>
      </c>
      <c r="W44" s="2255">
        <f>W45+W46</f>
        <v>5254.5190728643956</v>
      </c>
      <c r="X44" s="2256">
        <f>X45+X46</f>
        <v>5464.6998357789726</v>
      </c>
      <c r="Y44" s="2258">
        <f t="shared" si="6"/>
        <v>5359.6094543216841</v>
      </c>
      <c r="Z44" s="2255">
        <f>Z45+Z46</f>
        <v>5464.6998357789726</v>
      </c>
      <c r="AA44" s="2256">
        <f>AA45+AA46</f>
        <v>5683.2878292101304</v>
      </c>
      <c r="AB44" s="2259">
        <f t="shared" si="7"/>
        <v>5573.9938324945515</v>
      </c>
      <c r="AC44" s="2593">
        <f t="shared" si="8"/>
        <v>0</v>
      </c>
    </row>
    <row r="45" spans="1:29" s="2218" customFormat="1" ht="20.25" customHeight="1">
      <c r="A45" s="2235">
        <v>99</v>
      </c>
      <c r="B45" s="2281" t="s">
        <v>1809</v>
      </c>
      <c r="C45" s="2282" t="s">
        <v>1810</v>
      </c>
      <c r="D45" s="2504" t="s">
        <v>1317</v>
      </c>
      <c r="E45" s="2284">
        <v>790.3468870769733</v>
      </c>
      <c r="F45" s="2285">
        <v>814.05729368928257</v>
      </c>
      <c r="G45" s="2257">
        <f t="shared" si="0"/>
        <v>802.20209038312794</v>
      </c>
      <c r="H45" s="2285">
        <v>971.11646410280014</v>
      </c>
      <c r="I45" s="2285">
        <v>1006.0766568105009</v>
      </c>
      <c r="J45" s="2257">
        <f t="shared" si="1"/>
        <v>988.59656045665054</v>
      </c>
      <c r="K45" s="2285">
        <v>798.38208538420304</v>
      </c>
      <c r="L45" s="2285">
        <v>832.7125150557232</v>
      </c>
      <c r="M45" s="2259">
        <f t="shared" si="2"/>
        <v>815.54730021996306</v>
      </c>
      <c r="N45" s="2284">
        <v>690.36587998191999</v>
      </c>
      <c r="O45" s="2286">
        <v>1893.2224959883426</v>
      </c>
      <c r="P45" s="2258">
        <f t="shared" si="3"/>
        <v>1291.7941879851314</v>
      </c>
      <c r="Q45" s="2284">
        <f>O45</f>
        <v>1893.2224959883426</v>
      </c>
      <c r="R45" s="2285">
        <f>Q45*1.04</f>
        <v>1968.9513958278765</v>
      </c>
      <c r="S45" s="2259">
        <f t="shared" si="4"/>
        <v>1931.0869459081096</v>
      </c>
      <c r="T45" s="2284">
        <f>R45</f>
        <v>1968.9513958278765</v>
      </c>
      <c r="U45" s="2285">
        <f>T45*1.04</f>
        <v>2047.7094516609916</v>
      </c>
      <c r="V45" s="2258">
        <f t="shared" si="5"/>
        <v>2008.330423744434</v>
      </c>
      <c r="W45" s="2284">
        <f>U45</f>
        <v>2047.7094516609916</v>
      </c>
      <c r="X45" s="2285">
        <f>W45*1.04</f>
        <v>2129.6178297274314</v>
      </c>
      <c r="Y45" s="2258">
        <f t="shared" si="6"/>
        <v>2088.6636406942116</v>
      </c>
      <c r="Z45" s="2284">
        <f>X45</f>
        <v>2129.6178297274314</v>
      </c>
      <c r="AA45" s="2285">
        <f>Z45*1.04</f>
        <v>2214.8025429165286</v>
      </c>
      <c r="AB45" s="2259">
        <f t="shared" si="7"/>
        <v>2172.21018632198</v>
      </c>
      <c r="AC45" s="2593">
        <f t="shared" si="8"/>
        <v>0</v>
      </c>
    </row>
    <row r="46" spans="1:29" s="2218" customFormat="1" ht="21.75" customHeight="1">
      <c r="A46" s="2235">
        <v>9</v>
      </c>
      <c r="B46" s="2281" t="s">
        <v>1812</v>
      </c>
      <c r="C46" s="2282" t="s">
        <v>1813</v>
      </c>
      <c r="D46" s="2504" t="s">
        <v>1313</v>
      </c>
      <c r="E46" s="2284">
        <v>9363.3558040567805</v>
      </c>
      <c r="F46" s="2285">
        <v>9644.256478178484</v>
      </c>
      <c r="G46" s="2257">
        <f t="shared" si="0"/>
        <v>9503.8061411176313</v>
      </c>
      <c r="H46" s="2285">
        <v>5252.0881630013673</v>
      </c>
      <c r="I46" s="2285">
        <v>5441.1633368694165</v>
      </c>
      <c r="J46" s="2257">
        <f t="shared" si="1"/>
        <v>5346.6257499353924</v>
      </c>
      <c r="K46" s="2285">
        <v>2786.4208511353454</v>
      </c>
      <c r="L46" s="2285">
        <v>2906.2369477341649</v>
      </c>
      <c r="M46" s="2259">
        <f t="shared" si="2"/>
        <v>2846.3288994347549</v>
      </c>
      <c r="N46" s="2284">
        <v>2409.4351791076474</v>
      </c>
      <c r="O46" s="2286">
        <v>2964.8757592487095</v>
      </c>
      <c r="P46" s="2258">
        <f t="shared" si="3"/>
        <v>2687.1554691781785</v>
      </c>
      <c r="Q46" s="2284">
        <f>O46</f>
        <v>2964.8757592487095</v>
      </c>
      <c r="R46" s="2285">
        <f>Q46*1.04</f>
        <v>3083.4707896186578</v>
      </c>
      <c r="S46" s="2259">
        <f t="shared" si="4"/>
        <v>3024.1732744336837</v>
      </c>
      <c r="T46" s="2284">
        <f>R46</f>
        <v>3083.4707896186578</v>
      </c>
      <c r="U46" s="2285">
        <f>T46*1.04</f>
        <v>3206.8096212034043</v>
      </c>
      <c r="V46" s="2258">
        <f t="shared" si="5"/>
        <v>3145.1402054110313</v>
      </c>
      <c r="W46" s="2284">
        <f>U46</f>
        <v>3206.8096212034043</v>
      </c>
      <c r="X46" s="2285">
        <f>W46*1.04</f>
        <v>3335.0820060515407</v>
      </c>
      <c r="Y46" s="2258">
        <f t="shared" si="6"/>
        <v>3270.9458136274725</v>
      </c>
      <c r="Z46" s="2284">
        <f>X46</f>
        <v>3335.0820060515407</v>
      </c>
      <c r="AA46" s="2285">
        <f>Z46*1.04</f>
        <v>3468.4852862936023</v>
      </c>
      <c r="AB46" s="2259">
        <f t="shared" si="7"/>
        <v>3401.7836461725715</v>
      </c>
      <c r="AC46" s="2593">
        <f t="shared" si="8"/>
        <v>0</v>
      </c>
    </row>
    <row r="47" spans="1:29" s="2218" customFormat="1" ht="21" customHeight="1">
      <c r="A47" s="2235">
        <v>91</v>
      </c>
      <c r="B47" s="2279" t="s">
        <v>1815</v>
      </c>
      <c r="C47" s="2295" t="s">
        <v>1816</v>
      </c>
      <c r="D47" s="2500" t="s">
        <v>1317</v>
      </c>
      <c r="E47" s="2255">
        <f>E48+E49+E50+E51+E52+E53</f>
        <v>1954.8239752677543</v>
      </c>
      <c r="F47" s="2256">
        <f>F48+F49+F50+F51+F52+F53</f>
        <v>2013.4686945257874</v>
      </c>
      <c r="G47" s="2257">
        <f t="shared" si="0"/>
        <v>1984.1463348967709</v>
      </c>
      <c r="H47" s="2256">
        <f>H48+H49+H50+H51+H52+H53</f>
        <v>2291.5094278557722</v>
      </c>
      <c r="I47" s="2256">
        <f>I48+I49+I50+I51+I52+I53</f>
        <v>2374.00376725858</v>
      </c>
      <c r="J47" s="2257">
        <f t="shared" si="1"/>
        <v>2332.7565975571761</v>
      </c>
      <c r="K47" s="2256">
        <f>K48+K49+K50+K51+K52+K53</f>
        <v>2538.2949305931434</v>
      </c>
      <c r="L47" s="2256">
        <f>L48+L49+L50+L51+L52+L53</f>
        <v>2647.4416126086485</v>
      </c>
      <c r="M47" s="2259">
        <f t="shared" si="2"/>
        <v>2592.8682716008962</v>
      </c>
      <c r="N47" s="2255">
        <v>3421.4503881794008</v>
      </c>
      <c r="O47" s="2256">
        <v>5801.0622044864849</v>
      </c>
      <c r="P47" s="2258">
        <f t="shared" si="3"/>
        <v>4611.2562963329428</v>
      </c>
      <c r="Q47" s="2255">
        <f>Q48+Q49+Q50+Q51+Q52+Q53</f>
        <v>5801.0622044864831</v>
      </c>
      <c r="R47" s="2256">
        <f>R48+R49+R50+R51+R52+R53</f>
        <v>6033.1046926659428</v>
      </c>
      <c r="S47" s="2259">
        <f t="shared" si="4"/>
        <v>5917.0834485762134</v>
      </c>
      <c r="T47" s="2255">
        <f>T48+T49+T50+T51+T52+T53</f>
        <v>6033.1046926659428</v>
      </c>
      <c r="U47" s="2256">
        <f>U48+U49+U50+U51+U52+U53</f>
        <v>6274.4288803725813</v>
      </c>
      <c r="V47" s="2258">
        <f t="shared" si="5"/>
        <v>6153.7667865192616</v>
      </c>
      <c r="W47" s="2255">
        <f>W48+W49+W50+W51+W52+W53</f>
        <v>6274.4288803725813</v>
      </c>
      <c r="X47" s="2256">
        <f>X48+X49+X50+X51+X52+X53</f>
        <v>6525.4060355874844</v>
      </c>
      <c r="Y47" s="2258">
        <f t="shared" si="6"/>
        <v>6399.9174579800329</v>
      </c>
      <c r="Z47" s="2255">
        <f>Z48+Z49+Z50+Z51+Z52+Z53</f>
        <v>6525.4060355874844</v>
      </c>
      <c r="AA47" s="2256">
        <f>AA48+AA49+AA50+AA51+AA52+AA53</f>
        <v>6786.4222770109836</v>
      </c>
      <c r="AB47" s="2259">
        <f t="shared" si="7"/>
        <v>6655.9141562992336</v>
      </c>
      <c r="AC47" s="2593">
        <f t="shared" si="8"/>
        <v>0</v>
      </c>
    </row>
    <row r="48" spans="1:29" s="2218" customFormat="1" ht="20.25" customHeight="1">
      <c r="A48" s="2235">
        <v>92</v>
      </c>
      <c r="B48" s="2281" t="s">
        <v>1817</v>
      </c>
      <c r="C48" s="2282" t="s">
        <v>1818</v>
      </c>
      <c r="D48" s="2504" t="s">
        <v>1317</v>
      </c>
      <c r="E48" s="2284">
        <v>1218.6119704433499</v>
      </c>
      <c r="F48" s="2285">
        <v>1255.1703295566506</v>
      </c>
      <c r="G48" s="2257">
        <f t="shared" si="0"/>
        <v>1236.8911500000004</v>
      </c>
      <c r="H48" s="2285">
        <v>1202.7685658153243</v>
      </c>
      <c r="I48" s="2285">
        <v>1246.0682341846762</v>
      </c>
      <c r="J48" s="2257">
        <f t="shared" si="1"/>
        <v>1224.4184000000002</v>
      </c>
      <c r="K48" s="2285">
        <v>1472.6803720019582</v>
      </c>
      <c r="L48" s="2285">
        <v>1536.0056279980422</v>
      </c>
      <c r="M48" s="2259">
        <f t="shared" si="2"/>
        <v>1504.3430000000003</v>
      </c>
      <c r="N48" s="2284">
        <v>2500.0069515956147</v>
      </c>
      <c r="O48" s="2286">
        <v>3447.1045072823194</v>
      </c>
      <c r="P48" s="2258">
        <f t="shared" si="3"/>
        <v>2973.5557294389673</v>
      </c>
      <c r="Q48" s="2284">
        <f>O48</f>
        <v>3447.1045072823194</v>
      </c>
      <c r="R48" s="2285">
        <f>Q48*1.04</f>
        <v>3584.9886875736124</v>
      </c>
      <c r="S48" s="2259">
        <f t="shared" si="4"/>
        <v>3516.0465974279659</v>
      </c>
      <c r="T48" s="2284">
        <f>R48</f>
        <v>3584.9886875736124</v>
      </c>
      <c r="U48" s="2285">
        <f>T48*1.04</f>
        <v>3728.3882350765571</v>
      </c>
      <c r="V48" s="2258">
        <f t="shared" si="5"/>
        <v>3656.688461325085</v>
      </c>
      <c r="W48" s="2284">
        <f>U48</f>
        <v>3728.3882350765571</v>
      </c>
      <c r="X48" s="2285">
        <f>W48*1.04</f>
        <v>3877.5237644796193</v>
      </c>
      <c r="Y48" s="2258">
        <f t="shared" si="6"/>
        <v>3802.955999778088</v>
      </c>
      <c r="Z48" s="2284">
        <f>X48</f>
        <v>3877.5237644796193</v>
      </c>
      <c r="AA48" s="2285">
        <f>Z48*1.04</f>
        <v>4032.6247150588042</v>
      </c>
      <c r="AB48" s="2259">
        <f t="shared" si="7"/>
        <v>3955.074239769212</v>
      </c>
      <c r="AC48" s="2593">
        <f t="shared" si="8"/>
        <v>0</v>
      </c>
    </row>
    <row r="49" spans="1:29" s="2218" customFormat="1" ht="38.25" hidden="1" customHeight="1" outlineLevel="1">
      <c r="A49" s="2235">
        <v>95</v>
      </c>
      <c r="B49" s="2281" t="s">
        <v>1820</v>
      </c>
      <c r="C49" s="2282" t="s">
        <v>1821</v>
      </c>
      <c r="D49" s="2504" t="s">
        <v>1317</v>
      </c>
      <c r="E49" s="2284"/>
      <c r="F49" s="2285"/>
      <c r="G49" s="2257">
        <f t="shared" si="0"/>
        <v>0</v>
      </c>
      <c r="H49" s="2285"/>
      <c r="I49" s="2285"/>
      <c r="J49" s="2257">
        <f t="shared" si="1"/>
        <v>0</v>
      </c>
      <c r="K49" s="2285"/>
      <c r="L49" s="2285"/>
      <c r="M49" s="2259">
        <f t="shared" si="2"/>
        <v>0</v>
      </c>
      <c r="N49" s="2284">
        <v>0</v>
      </c>
      <c r="O49" s="2286">
        <v>0</v>
      </c>
      <c r="P49" s="2258">
        <f t="shared" si="3"/>
        <v>0</v>
      </c>
      <c r="Q49" s="2284"/>
      <c r="R49" s="2285"/>
      <c r="S49" s="2259">
        <f t="shared" si="4"/>
        <v>0</v>
      </c>
      <c r="T49" s="2284"/>
      <c r="U49" s="2285"/>
      <c r="V49" s="2258">
        <f t="shared" si="5"/>
        <v>0</v>
      </c>
      <c r="W49" s="2284"/>
      <c r="X49" s="2285"/>
      <c r="Y49" s="2258">
        <f t="shared" si="6"/>
        <v>0</v>
      </c>
      <c r="Z49" s="2284"/>
      <c r="AA49" s="2285"/>
      <c r="AB49" s="2259">
        <f t="shared" si="7"/>
        <v>0</v>
      </c>
      <c r="AC49" s="2593">
        <f t="shared" si="8"/>
        <v>0</v>
      </c>
    </row>
    <row r="50" spans="1:29" s="2218" customFormat="1" ht="54.75" customHeight="1" collapsed="1">
      <c r="A50" s="2235">
        <v>266</v>
      </c>
      <c r="B50" s="2281" t="s">
        <v>1822</v>
      </c>
      <c r="C50" s="2282" t="s">
        <v>1823</v>
      </c>
      <c r="D50" s="2504" t="s">
        <v>1313</v>
      </c>
      <c r="E50" s="2284">
        <v>285.4681773399015</v>
      </c>
      <c r="F50" s="2285">
        <v>294.03222266009857</v>
      </c>
      <c r="G50" s="2257">
        <f t="shared" si="0"/>
        <v>289.75020000000006</v>
      </c>
      <c r="H50" s="2285">
        <v>527.92192534381138</v>
      </c>
      <c r="I50" s="2285">
        <v>546.92711465618856</v>
      </c>
      <c r="J50" s="2257">
        <f t="shared" si="1"/>
        <v>537.42452000000003</v>
      </c>
      <c r="K50" s="2285">
        <v>532.72200685266762</v>
      </c>
      <c r="L50" s="2285">
        <v>555.62905314733234</v>
      </c>
      <c r="M50" s="2259">
        <f t="shared" si="2"/>
        <v>544.17552999999998</v>
      </c>
      <c r="N50" s="2284">
        <v>460.64798268813132</v>
      </c>
      <c r="O50" s="2286">
        <v>1453.7866144617119</v>
      </c>
      <c r="P50" s="2258">
        <f t="shared" si="3"/>
        <v>957.21729857492164</v>
      </c>
      <c r="Q50" s="2284">
        <f>O50</f>
        <v>1453.7866144617119</v>
      </c>
      <c r="R50" s="2285">
        <f>Q50*1.04</f>
        <v>1511.9380790401804</v>
      </c>
      <c r="S50" s="2259">
        <f t="shared" si="4"/>
        <v>1482.862346750946</v>
      </c>
      <c r="T50" s="2284">
        <f>R50</f>
        <v>1511.9380790401804</v>
      </c>
      <c r="U50" s="2285">
        <f>T50*1.04</f>
        <v>1572.4156022017876</v>
      </c>
      <c r="V50" s="2258">
        <f t="shared" si="5"/>
        <v>1542.176840620984</v>
      </c>
      <c r="W50" s="2284">
        <f>U50</f>
        <v>1572.4156022017876</v>
      </c>
      <c r="X50" s="2285">
        <f>W50*1.04</f>
        <v>1635.3122262898592</v>
      </c>
      <c r="Y50" s="2258">
        <f t="shared" si="6"/>
        <v>1603.8639142458233</v>
      </c>
      <c r="Z50" s="2284">
        <f>X50</f>
        <v>1635.3122262898592</v>
      </c>
      <c r="AA50" s="2285">
        <f>Z50*1.04</f>
        <v>1700.7247153414535</v>
      </c>
      <c r="AB50" s="2259">
        <f t="shared" si="7"/>
        <v>1668.0184708156562</v>
      </c>
      <c r="AC50" s="2593">
        <f t="shared" si="8"/>
        <v>0</v>
      </c>
    </row>
    <row r="51" spans="1:29" s="2218" customFormat="1" ht="30.75" customHeight="1">
      <c r="A51" s="2235">
        <v>267</v>
      </c>
      <c r="B51" s="2281" t="s">
        <v>1825</v>
      </c>
      <c r="C51" s="2282" t="s">
        <v>1826</v>
      </c>
      <c r="D51" s="2504" t="s">
        <v>1128</v>
      </c>
      <c r="E51" s="2284">
        <v>329.46571441111894</v>
      </c>
      <c r="F51" s="2285">
        <v>339.34968584345251</v>
      </c>
      <c r="G51" s="2257">
        <f t="shared" si="0"/>
        <v>334.40770012728569</v>
      </c>
      <c r="H51" s="2285">
        <v>404.01337376742401</v>
      </c>
      <c r="I51" s="2285">
        <v>418.55785522305126</v>
      </c>
      <c r="J51" s="2257">
        <f t="shared" si="1"/>
        <v>411.28561449523761</v>
      </c>
      <c r="K51" s="2285">
        <v>452.47153181044638</v>
      </c>
      <c r="L51" s="2285">
        <v>471.92780767829555</v>
      </c>
      <c r="M51" s="2259">
        <f t="shared" si="2"/>
        <v>462.19966974437096</v>
      </c>
      <c r="N51" s="2284">
        <v>391.25490531862948</v>
      </c>
      <c r="O51" s="2286">
        <v>458.55288353672029</v>
      </c>
      <c r="P51" s="2258">
        <f t="shared" si="3"/>
        <v>424.90389442767491</v>
      </c>
      <c r="Q51" s="2284">
        <f>O51</f>
        <v>458.55288353672029</v>
      </c>
      <c r="R51" s="2285">
        <f>Q51*1.04</f>
        <v>476.89499887818914</v>
      </c>
      <c r="S51" s="2259">
        <f t="shared" si="4"/>
        <v>467.72394120745469</v>
      </c>
      <c r="T51" s="2284">
        <f>R51</f>
        <v>476.89499887818914</v>
      </c>
      <c r="U51" s="2285">
        <f>T51*1.04</f>
        <v>495.97079883331673</v>
      </c>
      <c r="V51" s="2258">
        <f t="shared" si="5"/>
        <v>486.43289885575291</v>
      </c>
      <c r="W51" s="2284">
        <f>U51</f>
        <v>495.97079883331673</v>
      </c>
      <c r="X51" s="2285">
        <f>W51*1.04</f>
        <v>515.80963078664945</v>
      </c>
      <c r="Y51" s="2258">
        <f t="shared" si="6"/>
        <v>505.89021480998309</v>
      </c>
      <c r="Z51" s="2284">
        <f>X51</f>
        <v>515.80963078664945</v>
      </c>
      <c r="AA51" s="2285">
        <f>Z51*1.04</f>
        <v>536.4420160181154</v>
      </c>
      <c r="AB51" s="2259">
        <f t="shared" si="7"/>
        <v>526.12582340238237</v>
      </c>
      <c r="AC51" s="2593">
        <f t="shared" si="8"/>
        <v>0</v>
      </c>
    </row>
    <row r="52" spans="1:29" s="2218" customFormat="1" ht="42.75" customHeight="1">
      <c r="A52" s="2235">
        <v>93</v>
      </c>
      <c r="B52" s="2281" t="s">
        <v>1828</v>
      </c>
      <c r="C52" s="2282" t="s">
        <v>1829</v>
      </c>
      <c r="D52" s="2504" t="s">
        <v>1317</v>
      </c>
      <c r="E52" s="2284">
        <v>121.27811307338412</v>
      </c>
      <c r="F52" s="2285">
        <v>124.91645646558564</v>
      </c>
      <c r="G52" s="2257">
        <f t="shared" si="0"/>
        <v>123.09728476948487</v>
      </c>
      <c r="H52" s="2285">
        <v>156.80556292921239</v>
      </c>
      <c r="I52" s="2285">
        <v>162.45056319466403</v>
      </c>
      <c r="J52" s="2257">
        <f t="shared" si="1"/>
        <v>159.62806306193821</v>
      </c>
      <c r="K52" s="2285">
        <v>80.421019928071146</v>
      </c>
      <c r="L52" s="2285">
        <v>83.879123784978205</v>
      </c>
      <c r="M52" s="2259">
        <f t="shared" si="2"/>
        <v>82.150071856524676</v>
      </c>
      <c r="N52" s="2284">
        <v>69.540548577024637</v>
      </c>
      <c r="O52" s="2286">
        <v>441.61819920573186</v>
      </c>
      <c r="P52" s="2258">
        <f t="shared" si="3"/>
        <v>255.57937389137825</v>
      </c>
      <c r="Q52" s="2284">
        <f>O52</f>
        <v>441.61819920573186</v>
      </c>
      <c r="R52" s="2285">
        <f>Q52*1.04</f>
        <v>459.28292717396113</v>
      </c>
      <c r="S52" s="2259">
        <f t="shared" si="4"/>
        <v>450.45056318984649</v>
      </c>
      <c r="T52" s="2284">
        <f>R52</f>
        <v>459.28292717396113</v>
      </c>
      <c r="U52" s="2285">
        <f>T52*1.04</f>
        <v>477.6542442609196</v>
      </c>
      <c r="V52" s="2258">
        <f t="shared" si="5"/>
        <v>468.46858571744036</v>
      </c>
      <c r="W52" s="2284">
        <f>U52</f>
        <v>477.6542442609196</v>
      </c>
      <c r="X52" s="2285">
        <f>W52*1.04</f>
        <v>496.76041403135639</v>
      </c>
      <c r="Y52" s="2258">
        <f t="shared" si="6"/>
        <v>487.20732914613802</v>
      </c>
      <c r="Z52" s="2284">
        <f>X52</f>
        <v>496.76041403135639</v>
      </c>
      <c r="AA52" s="2285">
        <f>Z52*1.04</f>
        <v>516.63083059261066</v>
      </c>
      <c r="AB52" s="2259">
        <f t="shared" si="7"/>
        <v>506.69562231198353</v>
      </c>
      <c r="AC52" s="2593">
        <f t="shared" si="8"/>
        <v>0</v>
      </c>
    </row>
    <row r="53" spans="1:29" s="2218" customFormat="1" ht="30.75" customHeight="1" thickBot="1">
      <c r="A53" s="2235">
        <v>94</v>
      </c>
      <c r="B53" s="2297" t="s">
        <v>1830</v>
      </c>
      <c r="C53" s="2298" t="s">
        <v>1831</v>
      </c>
      <c r="D53" s="2507" t="s">
        <v>1317</v>
      </c>
      <c r="E53" s="2300"/>
      <c r="F53" s="2301"/>
      <c r="G53" s="2266">
        <f t="shared" si="0"/>
        <v>0</v>
      </c>
      <c r="H53" s="2301"/>
      <c r="I53" s="2301"/>
      <c r="J53" s="2266">
        <f t="shared" si="1"/>
        <v>0</v>
      </c>
      <c r="K53" s="2301"/>
      <c r="L53" s="2301"/>
      <c r="M53" s="2268">
        <f t="shared" si="2"/>
        <v>0</v>
      </c>
      <c r="N53" s="2284">
        <v>0</v>
      </c>
      <c r="O53" s="2286">
        <v>0</v>
      </c>
      <c r="P53" s="2267">
        <f t="shared" si="3"/>
        <v>0</v>
      </c>
      <c r="Q53" s="2284"/>
      <c r="R53" s="2301"/>
      <c r="S53" s="2268">
        <f t="shared" si="4"/>
        <v>0</v>
      </c>
      <c r="T53" s="2284"/>
      <c r="U53" s="2301"/>
      <c r="V53" s="2267">
        <f t="shared" si="5"/>
        <v>0</v>
      </c>
      <c r="W53" s="2284"/>
      <c r="X53" s="2301"/>
      <c r="Y53" s="2267">
        <f t="shared" si="6"/>
        <v>0</v>
      </c>
      <c r="Z53" s="2284"/>
      <c r="AA53" s="2301"/>
      <c r="AB53" s="2268">
        <f t="shared" si="7"/>
        <v>0</v>
      </c>
      <c r="AC53" s="2593">
        <f t="shared" si="8"/>
        <v>0</v>
      </c>
    </row>
    <row r="54" spans="1:29" s="2218" customFormat="1" ht="24.75" customHeight="1" thickBot="1">
      <c r="A54" s="2235">
        <v>101</v>
      </c>
      <c r="B54" s="2270" t="s">
        <v>119</v>
      </c>
      <c r="C54" s="2271" t="s">
        <v>1832</v>
      </c>
      <c r="D54" s="2502" t="s">
        <v>1317</v>
      </c>
      <c r="E54" s="2273">
        <f>E55+E56+E57</f>
        <v>8181.0837249174201</v>
      </c>
      <c r="F54" s="2275">
        <f>F55+F56+F57</f>
        <v>8491.2860121944759</v>
      </c>
      <c r="G54" s="2303">
        <f t="shared" si="0"/>
        <v>8336.1848685559489</v>
      </c>
      <c r="H54" s="2275">
        <f>H55+H56+H57</f>
        <v>9211.1179221028451</v>
      </c>
      <c r="I54" s="2275">
        <f>I55+I56+I57</f>
        <v>9505.0505211039545</v>
      </c>
      <c r="J54" s="2303">
        <f t="shared" si="1"/>
        <v>9358.0842216033998</v>
      </c>
      <c r="K54" s="2275">
        <f>K55+K56+K57</f>
        <v>10105.363031644914</v>
      </c>
      <c r="L54" s="2275">
        <f>L55+L56+L57</f>
        <v>10807.289922160804</v>
      </c>
      <c r="M54" s="2303">
        <f t="shared" si="2"/>
        <v>10456.326476902859</v>
      </c>
      <c r="N54" s="2273">
        <f>N55+N56+N57</f>
        <v>8909.8733000010343</v>
      </c>
      <c r="O54" s="2275">
        <f>O55+O56+O57</f>
        <v>52454.186071800483</v>
      </c>
      <c r="P54" s="2304">
        <f t="shared" si="3"/>
        <v>30682.029685900758</v>
      </c>
      <c r="Q54" s="2273">
        <f>Q55+Q56+Q57</f>
        <v>52454.186071800475</v>
      </c>
      <c r="R54" s="2275">
        <f>R55+R56+R57</f>
        <v>54552.353514672497</v>
      </c>
      <c r="S54" s="2303">
        <f t="shared" si="4"/>
        <v>53503.269793236483</v>
      </c>
      <c r="T54" s="2273">
        <f>T55+T56+T57</f>
        <v>54552.353514672497</v>
      </c>
      <c r="U54" s="2275">
        <f>U55+U56+U57</f>
        <v>56734.447655259399</v>
      </c>
      <c r="V54" s="2304">
        <f t="shared" si="5"/>
        <v>55643.400584965944</v>
      </c>
      <c r="W54" s="2273">
        <f>W55+W56+W57</f>
        <v>56734.447655259399</v>
      </c>
      <c r="X54" s="2275">
        <f>X55+X56+X57</f>
        <v>59003.825561469785</v>
      </c>
      <c r="Y54" s="2304">
        <f t="shared" si="6"/>
        <v>57869.136608364592</v>
      </c>
      <c r="Z54" s="2273">
        <f>Z55+Z56+Z57</f>
        <v>59003.825561469785</v>
      </c>
      <c r="AA54" s="2275">
        <f>AA55+AA56+AA57</f>
        <v>61363.978583928583</v>
      </c>
      <c r="AB54" s="2303">
        <f t="shared" si="7"/>
        <v>60183.902072699188</v>
      </c>
      <c r="AC54" s="2593">
        <f t="shared" si="8"/>
        <v>0</v>
      </c>
    </row>
    <row r="55" spans="1:29" s="2218" customFormat="1" ht="68.25" customHeight="1">
      <c r="A55" s="2235">
        <v>102</v>
      </c>
      <c r="B55" s="2305" t="s">
        <v>1833</v>
      </c>
      <c r="C55" s="2306" t="s">
        <v>1834</v>
      </c>
      <c r="D55" s="2508" t="s">
        <v>1317</v>
      </c>
      <c r="E55" s="2308">
        <v>113.20791133004927</v>
      </c>
      <c r="F55" s="2309">
        <v>116.60414866995075</v>
      </c>
      <c r="G55" s="2248">
        <f t="shared" si="0"/>
        <v>114.90603000000002</v>
      </c>
      <c r="H55" s="2309">
        <v>73.573182711198427</v>
      </c>
      <c r="I55" s="2309">
        <v>76.221817288801574</v>
      </c>
      <c r="J55" s="2248">
        <f t="shared" si="1"/>
        <v>74.897500000000008</v>
      </c>
      <c r="K55" s="2309">
        <v>43.312980910425843</v>
      </c>
      <c r="L55" s="2309">
        <v>45.175439089574148</v>
      </c>
      <c r="M55" s="2250">
        <f t="shared" si="2"/>
        <v>44.244209999999995</v>
      </c>
      <c r="N55" s="2294">
        <v>0</v>
      </c>
      <c r="O55" s="2506">
        <v>1952.7888915714625</v>
      </c>
      <c r="P55" s="2249">
        <f t="shared" si="3"/>
        <v>976.39444578573125</v>
      </c>
      <c r="Q55" s="2284">
        <f>O55</f>
        <v>1952.7888915714625</v>
      </c>
      <c r="R55" s="2309">
        <f>Q55*1.04</f>
        <v>2030.9004472343211</v>
      </c>
      <c r="S55" s="2250">
        <f t="shared" si="4"/>
        <v>1991.8446694028917</v>
      </c>
      <c r="T55" s="2284">
        <f>R55</f>
        <v>2030.9004472343211</v>
      </c>
      <c r="U55" s="2309">
        <f>T55*1.04</f>
        <v>2112.1364651236941</v>
      </c>
      <c r="V55" s="2249">
        <f t="shared" si="5"/>
        <v>2071.5184561790074</v>
      </c>
      <c r="W55" s="2284">
        <f>U55</f>
        <v>2112.1364651236941</v>
      </c>
      <c r="X55" s="2309">
        <f>W55*1.04</f>
        <v>2196.6219237286418</v>
      </c>
      <c r="Y55" s="2249">
        <f t="shared" si="6"/>
        <v>2154.3791944261679</v>
      </c>
      <c r="Z55" s="2284">
        <f>X55</f>
        <v>2196.6219237286418</v>
      </c>
      <c r="AA55" s="2309">
        <f>Z55*1.04</f>
        <v>2284.4868006777874</v>
      </c>
      <c r="AB55" s="2250">
        <f t="shared" si="7"/>
        <v>2240.5543622032146</v>
      </c>
      <c r="AC55" s="2593">
        <f t="shared" si="8"/>
        <v>0</v>
      </c>
    </row>
    <row r="56" spans="1:29" s="2218" customFormat="1" ht="67.5" customHeight="1">
      <c r="A56" s="2235">
        <v>103</v>
      </c>
      <c r="B56" s="2281" t="s">
        <v>1836</v>
      </c>
      <c r="C56" s="2293" t="s">
        <v>1837</v>
      </c>
      <c r="D56" s="2504" t="s">
        <v>1317</v>
      </c>
      <c r="E56" s="2284">
        <v>367.26771522234407</v>
      </c>
      <c r="F56" s="2285">
        <v>378.28574667901438</v>
      </c>
      <c r="G56" s="2257">
        <f t="shared" si="0"/>
        <v>372.77673095067922</v>
      </c>
      <c r="H56" s="2285">
        <v>350.23604431569521</v>
      </c>
      <c r="I56" s="2285">
        <v>362.84454191106028</v>
      </c>
      <c r="J56" s="2257">
        <f t="shared" si="1"/>
        <v>356.54029311337774</v>
      </c>
      <c r="K56" s="2285">
        <v>97.903659551191552</v>
      </c>
      <c r="L56" s="2285">
        <v>102.11351691189279</v>
      </c>
      <c r="M56" s="2259">
        <f t="shared" si="2"/>
        <v>100.00858823154218</v>
      </c>
      <c r="N56" s="2294">
        <v>0</v>
      </c>
      <c r="O56" s="2506">
        <v>59.992136565015088</v>
      </c>
      <c r="P56" s="2258">
        <f t="shared" si="3"/>
        <v>29.996068282507544</v>
      </c>
      <c r="Q56" s="2284">
        <f>O56</f>
        <v>59.992136565015088</v>
      </c>
      <c r="R56" s="2309">
        <f>Q56*1.04</f>
        <v>62.391822027615696</v>
      </c>
      <c r="S56" s="2259">
        <f t="shared" si="4"/>
        <v>61.191979296315395</v>
      </c>
      <c r="T56" s="2284">
        <f>R56</f>
        <v>62.391822027615696</v>
      </c>
      <c r="U56" s="2309">
        <f>T56*1.04</f>
        <v>64.887494908720328</v>
      </c>
      <c r="V56" s="2258">
        <f t="shared" si="5"/>
        <v>63.639658468168008</v>
      </c>
      <c r="W56" s="2284">
        <f>U56</f>
        <v>64.887494908720328</v>
      </c>
      <c r="X56" s="2285">
        <f>W56*1.04</f>
        <v>67.482994705069146</v>
      </c>
      <c r="Y56" s="2258">
        <f t="shared" si="6"/>
        <v>66.18524480689473</v>
      </c>
      <c r="Z56" s="2284">
        <f>X56</f>
        <v>67.482994705069146</v>
      </c>
      <c r="AA56" s="2285">
        <f>Z56*1.04</f>
        <v>70.182314493271917</v>
      </c>
      <c r="AB56" s="2259">
        <f t="shared" si="7"/>
        <v>68.832654599170525</v>
      </c>
      <c r="AC56" s="2593">
        <f t="shared" si="8"/>
        <v>0</v>
      </c>
    </row>
    <row r="57" spans="1:29" s="2218" customFormat="1" ht="49.5" customHeight="1">
      <c r="A57" s="2235">
        <v>104</v>
      </c>
      <c r="B57" s="2279" t="s">
        <v>1839</v>
      </c>
      <c r="C57" s="2280" t="s">
        <v>1840</v>
      </c>
      <c r="D57" s="2500" t="s">
        <v>1317</v>
      </c>
      <c r="E57" s="2255">
        <f>E58+E68</f>
        <v>7700.6080983650263</v>
      </c>
      <c r="F57" s="2256">
        <f>F58+F68</f>
        <v>7996.3961168455116</v>
      </c>
      <c r="G57" s="2257">
        <f t="shared" si="0"/>
        <v>7848.502107605269</v>
      </c>
      <c r="H57" s="2256">
        <f>H58+H68</f>
        <v>8787.3086950759516</v>
      </c>
      <c r="I57" s="2256">
        <f>I58+I68</f>
        <v>9065.9841619040926</v>
      </c>
      <c r="J57" s="2257">
        <f t="shared" si="1"/>
        <v>8926.6464284900212</v>
      </c>
      <c r="K57" s="2256">
        <f>K58+K68</f>
        <v>9964.1463911832961</v>
      </c>
      <c r="L57" s="2256">
        <f>L58+L68</f>
        <v>10660.000966159338</v>
      </c>
      <c r="M57" s="2259">
        <f t="shared" si="2"/>
        <v>10312.073678671317</v>
      </c>
      <c r="N57" s="2255">
        <v>8909.8733000010343</v>
      </c>
      <c r="O57" s="2256">
        <v>50441.405043664003</v>
      </c>
      <c r="P57" s="2258">
        <f t="shared" si="3"/>
        <v>29675.639171832518</v>
      </c>
      <c r="Q57" s="2255">
        <f>Q58+Q68</f>
        <v>50441.405043663995</v>
      </c>
      <c r="R57" s="2256">
        <f>R58+R68</f>
        <v>52459.061245410558</v>
      </c>
      <c r="S57" s="2259">
        <f t="shared" si="4"/>
        <v>51450.233144537277</v>
      </c>
      <c r="T57" s="2255">
        <f>T58+T68</f>
        <v>52459.061245410558</v>
      </c>
      <c r="U57" s="2256">
        <f>U58+U68</f>
        <v>54557.423695226986</v>
      </c>
      <c r="V57" s="2258">
        <f t="shared" si="5"/>
        <v>53508.242470318772</v>
      </c>
      <c r="W57" s="2255">
        <f>W58+W68</f>
        <v>54557.423695226986</v>
      </c>
      <c r="X57" s="2256">
        <f>X58+X68</f>
        <v>56739.720643036075</v>
      </c>
      <c r="Y57" s="2258">
        <f t="shared" si="6"/>
        <v>55648.572169131527</v>
      </c>
      <c r="Z57" s="2255">
        <f>Z58+Z68</f>
        <v>56739.720643036075</v>
      </c>
      <c r="AA57" s="2256">
        <f>AA58+AA68</f>
        <v>59009.309468757521</v>
      </c>
      <c r="AB57" s="2259">
        <f t="shared" si="7"/>
        <v>57874.515055896802</v>
      </c>
      <c r="AC57" s="2593">
        <f t="shared" si="8"/>
        <v>0</v>
      </c>
    </row>
    <row r="58" spans="1:29" s="2218" customFormat="1" ht="42.75" customHeight="1">
      <c r="A58" s="2235">
        <v>105</v>
      </c>
      <c r="B58" s="2279" t="s">
        <v>1841</v>
      </c>
      <c r="C58" s="2280" t="s">
        <v>1842</v>
      </c>
      <c r="D58" s="2500" t="s">
        <v>1317</v>
      </c>
      <c r="E58" s="2255">
        <f>E59*E67*12/1000</f>
        <v>5929.3848471334986</v>
      </c>
      <c r="F58" s="2256">
        <f>F59*F67*12/1000</f>
        <v>6172.0361680770384</v>
      </c>
      <c r="G58" s="2257">
        <f t="shared" si="0"/>
        <v>6050.7105076052685</v>
      </c>
      <c r="H58" s="2256">
        <f>H59*H67*12/1000</f>
        <v>6779.932535940392</v>
      </c>
      <c r="I58" s="2256">
        <f>I59*I67*12/1000</f>
        <v>6986.3424610396532</v>
      </c>
      <c r="J58" s="2257">
        <f t="shared" si="1"/>
        <v>6883.1374984900231</v>
      </c>
      <c r="K58" s="2256">
        <f>K59*K67*12/1000</f>
        <v>7657.5541542767869</v>
      </c>
      <c r="L58" s="2256">
        <f>L59*L67*12/1000</f>
        <v>8254.2252630658477</v>
      </c>
      <c r="M58" s="2259">
        <f t="shared" si="2"/>
        <v>7955.8897086713168</v>
      </c>
      <c r="N58" s="2284">
        <v>6843.2206605230676</v>
      </c>
      <c r="O58" s="2286">
        <v>38741.478528159751</v>
      </c>
      <c r="P58" s="2258">
        <f t="shared" si="3"/>
        <v>22792.349594341409</v>
      </c>
      <c r="Q58" s="2284">
        <f>O58</f>
        <v>38741.478528159751</v>
      </c>
      <c r="R58" s="2256">
        <f>Q58*1.04</f>
        <v>40291.137669286145</v>
      </c>
      <c r="S58" s="2259">
        <f t="shared" si="4"/>
        <v>39516.308098722948</v>
      </c>
      <c r="T58" s="2284">
        <f>R58</f>
        <v>40291.137669286145</v>
      </c>
      <c r="U58" s="2256">
        <f>T58*1.04</f>
        <v>41902.783176057594</v>
      </c>
      <c r="V58" s="2258">
        <f t="shared" si="5"/>
        <v>41096.960422671866</v>
      </c>
      <c r="W58" s="2284">
        <f>U58</f>
        <v>41902.783176057594</v>
      </c>
      <c r="X58" s="2256">
        <f>W58*1.04</f>
        <v>43578.894503099902</v>
      </c>
      <c r="Y58" s="2258">
        <f t="shared" si="6"/>
        <v>42740.838839578748</v>
      </c>
      <c r="Z58" s="2284">
        <f>X58</f>
        <v>43578.894503099902</v>
      </c>
      <c r="AA58" s="2256">
        <f>Z58*1.04</f>
        <v>45322.0502832239</v>
      </c>
      <c r="AB58" s="2259">
        <f t="shared" si="7"/>
        <v>44450.472393161901</v>
      </c>
      <c r="AC58" s="2593">
        <f t="shared" si="8"/>
        <v>0</v>
      </c>
    </row>
    <row r="59" spans="1:29" s="2218" customFormat="1" ht="45" customHeight="1">
      <c r="A59" s="2235">
        <v>610</v>
      </c>
      <c r="B59" s="2279" t="s">
        <v>1843</v>
      </c>
      <c r="C59" s="2280" t="s">
        <v>1844</v>
      </c>
      <c r="D59" s="2500"/>
      <c r="E59" s="2255">
        <f>E60+E61+E64+E65+E66</f>
        <v>14532.805997876223</v>
      </c>
      <c r="F59" s="2256">
        <f>F60+F61+F64+F65+F66</f>
        <v>15127.539627639799</v>
      </c>
      <c r="G59" s="2257">
        <f t="shared" si="0"/>
        <v>14830.17281275801</v>
      </c>
      <c r="H59" s="2256">
        <f>H60+H61+H64+H65+H66</f>
        <v>15694.288277639798</v>
      </c>
      <c r="I59" s="2256">
        <f>I60+I61+I64+I65+I66</f>
        <v>16172.089030184381</v>
      </c>
      <c r="J59" s="2257">
        <f t="shared" si="1"/>
        <v>15933.18865391209</v>
      </c>
      <c r="K59" s="2256">
        <f>K60+K61+K64+K65+K66</f>
        <v>18232.271795897112</v>
      </c>
      <c r="L59" s="2256">
        <f>L60+L61+L64+L65+L66</f>
        <v>19652.917293013925</v>
      </c>
      <c r="M59" s="2259">
        <f t="shared" si="2"/>
        <v>18942.594544455518</v>
      </c>
      <c r="N59" s="2255">
        <f>N60+N61+N64+N65+N66</f>
        <v>20832.09585288704</v>
      </c>
      <c r="O59" s="2256">
        <f>O60+O61+O64+O65+O66</f>
        <v>34505.015612065952</v>
      </c>
      <c r="P59" s="2258">
        <f t="shared" si="3"/>
        <v>27668.555732476496</v>
      </c>
      <c r="Q59" s="2294">
        <f>Q60+Q61+Q64+Q65+Q66</f>
        <v>34505.015612065952</v>
      </c>
      <c r="R59" s="2256">
        <f>R60+R61+R64+R65+R66</f>
        <v>35885.216236548593</v>
      </c>
      <c r="S59" s="2259">
        <f t="shared" si="4"/>
        <v>35195.115924307276</v>
      </c>
      <c r="T59" s="2294">
        <f>T60+T61+T64+T65+T66</f>
        <v>35885.216236548593</v>
      </c>
      <c r="U59" s="2256">
        <f>U60+U61+U64+U65+U66</f>
        <v>37320.624886010541</v>
      </c>
      <c r="V59" s="2258">
        <f t="shared" si="5"/>
        <v>36602.920561279563</v>
      </c>
      <c r="W59" s="2294">
        <f>W60+W61+W64+W65+W66</f>
        <v>37320.624886010541</v>
      </c>
      <c r="X59" s="2256">
        <f>X60+X61+X64+X65+X66</f>
        <v>38813.449881450957</v>
      </c>
      <c r="Y59" s="2258">
        <f t="shared" si="6"/>
        <v>38067.037383730749</v>
      </c>
      <c r="Z59" s="2294">
        <f>Z60+Z61+Z64+Z65+Z66</f>
        <v>38813.449881450957</v>
      </c>
      <c r="AA59" s="2256">
        <f>AA60+AA61+AA64+AA65+AA66</f>
        <v>40365.987876708998</v>
      </c>
      <c r="AB59" s="2259">
        <f t="shared" si="7"/>
        <v>39589.718879079977</v>
      </c>
      <c r="AC59" s="2593">
        <f t="shared" si="8"/>
        <v>0</v>
      </c>
    </row>
    <row r="60" spans="1:29" s="2218" customFormat="1" ht="21" customHeight="1">
      <c r="A60" s="2235">
        <v>311</v>
      </c>
      <c r="B60" s="2281" t="s">
        <v>1845</v>
      </c>
      <c r="C60" s="2282" t="s">
        <v>1846</v>
      </c>
      <c r="D60" s="2504" t="s">
        <v>1847</v>
      </c>
      <c r="E60" s="2284"/>
      <c r="F60" s="2285"/>
      <c r="G60" s="2257">
        <f t="shared" si="0"/>
        <v>0</v>
      </c>
      <c r="H60" s="2285"/>
      <c r="I60" s="2285"/>
      <c r="J60" s="2257">
        <f t="shared" si="1"/>
        <v>0</v>
      </c>
      <c r="K60" s="2285"/>
      <c r="L60" s="2285"/>
      <c r="M60" s="2259">
        <f t="shared" si="2"/>
        <v>0</v>
      </c>
      <c r="N60" s="2284">
        <v>0</v>
      </c>
      <c r="O60" s="2285">
        <v>0</v>
      </c>
      <c r="P60" s="2258">
        <f t="shared" si="3"/>
        <v>0</v>
      </c>
      <c r="Q60" s="2284"/>
      <c r="R60" s="2285"/>
      <c r="S60" s="2259">
        <f t="shared" si="4"/>
        <v>0</v>
      </c>
      <c r="T60" s="2284"/>
      <c r="U60" s="2285"/>
      <c r="V60" s="2258">
        <f t="shared" si="5"/>
        <v>0</v>
      </c>
      <c r="W60" s="2284"/>
      <c r="X60" s="2285"/>
      <c r="Y60" s="2258">
        <f t="shared" si="6"/>
        <v>0</v>
      </c>
      <c r="Z60" s="2284"/>
      <c r="AA60" s="2285"/>
      <c r="AB60" s="2259">
        <f t="shared" si="7"/>
        <v>0</v>
      </c>
      <c r="AC60" s="2593">
        <f t="shared" si="8"/>
        <v>0</v>
      </c>
    </row>
    <row r="61" spans="1:29" s="2218" customFormat="1" ht="21" customHeight="1">
      <c r="A61" s="2235">
        <v>611</v>
      </c>
      <c r="B61" s="2279" t="s">
        <v>1848</v>
      </c>
      <c r="C61" s="2280" t="s">
        <v>1786</v>
      </c>
      <c r="D61" s="2500" t="s">
        <v>1849</v>
      </c>
      <c r="E61" s="2255">
        <f>E62*E63</f>
        <v>14373.260997876223</v>
      </c>
      <c r="F61" s="2256">
        <f>F62*F63</f>
        <v>14963.208277639798</v>
      </c>
      <c r="G61" s="2257">
        <f t="shared" si="0"/>
        <v>14668.234637758011</v>
      </c>
      <c r="H61" s="2256">
        <f>H62*H63</f>
        <v>14963.208277639798</v>
      </c>
      <c r="I61" s="2256">
        <f>I62*I63</f>
        <v>15419.076630184381</v>
      </c>
      <c r="J61" s="2257">
        <f t="shared" si="1"/>
        <v>15191.142453912089</v>
      </c>
      <c r="K61" s="2256">
        <f>K62*K63</f>
        <v>15149.886840522502</v>
      </c>
      <c r="L61" s="2256">
        <f>L62*L63</f>
        <v>15913.968089870594</v>
      </c>
      <c r="M61" s="2259">
        <f t="shared" si="2"/>
        <v>15531.927465196548</v>
      </c>
      <c r="N61" s="2255">
        <f>N62*N63</f>
        <v>16868.806175262831</v>
      </c>
      <c r="O61" s="2256">
        <f>O62*O63</f>
        <v>18083.360219881757</v>
      </c>
      <c r="P61" s="2258">
        <f t="shared" si="3"/>
        <v>17476.083197572294</v>
      </c>
      <c r="Q61" s="2255">
        <f>Q62*Q63</f>
        <v>18083.360219881757</v>
      </c>
      <c r="R61" s="2256">
        <f>R62*R63</f>
        <v>18806.694628677025</v>
      </c>
      <c r="S61" s="2259">
        <f t="shared" si="4"/>
        <v>18445.027424279389</v>
      </c>
      <c r="T61" s="2255">
        <f>T62*T63</f>
        <v>18806.694628677025</v>
      </c>
      <c r="U61" s="2256">
        <f>U62*U63</f>
        <v>19558.962413824109</v>
      </c>
      <c r="V61" s="2258">
        <f t="shared" si="5"/>
        <v>19182.828521250565</v>
      </c>
      <c r="W61" s="2255">
        <f>W62*W63</f>
        <v>19558.962413824109</v>
      </c>
      <c r="X61" s="2256">
        <f>X62*X63</f>
        <v>20341.320910377071</v>
      </c>
      <c r="Y61" s="2258">
        <f t="shared" si="6"/>
        <v>19950.141662100592</v>
      </c>
      <c r="Z61" s="2255">
        <f>Z62*Z63</f>
        <v>20341.320910377071</v>
      </c>
      <c r="AA61" s="2256">
        <f>AA62*AA63</f>
        <v>21154.973746792155</v>
      </c>
      <c r="AB61" s="2259">
        <f t="shared" si="7"/>
        <v>20748.147328584615</v>
      </c>
      <c r="AC61" s="2593">
        <f t="shared" si="8"/>
        <v>0</v>
      </c>
    </row>
    <row r="62" spans="1:29" s="2218" customFormat="1" ht="21" customHeight="1">
      <c r="A62" s="2235">
        <v>110</v>
      </c>
      <c r="B62" s="2281" t="s">
        <v>1850</v>
      </c>
      <c r="C62" s="2282" t="s">
        <v>1788</v>
      </c>
      <c r="D62" s="2504" t="s">
        <v>1784</v>
      </c>
      <c r="E62" s="2284">
        <v>5360</v>
      </c>
      <c r="F62" s="2285">
        <v>5580</v>
      </c>
      <c r="G62" s="2257">
        <f t="shared" si="0"/>
        <v>5470</v>
      </c>
      <c r="H62" s="2285">
        <v>5580</v>
      </c>
      <c r="I62" s="2285">
        <v>5750</v>
      </c>
      <c r="J62" s="2257">
        <f t="shared" si="1"/>
        <v>5665</v>
      </c>
      <c r="K62" s="2285">
        <v>5750</v>
      </c>
      <c r="L62" s="2285">
        <v>6040</v>
      </c>
      <c r="M62" s="2259">
        <f t="shared" si="2"/>
        <v>5895</v>
      </c>
      <c r="N62" s="2284">
        <v>6402.4000000000005</v>
      </c>
      <c r="O62" s="2285">
        <v>6863.372800000001</v>
      </c>
      <c r="P62" s="2258">
        <f t="shared" si="3"/>
        <v>6632.8864000000012</v>
      </c>
      <c r="Q62" s="2284">
        <f>O62</f>
        <v>6863.372800000001</v>
      </c>
      <c r="R62" s="2285">
        <f>Q62*1.04</f>
        <v>7137.9077120000011</v>
      </c>
      <c r="S62" s="2259">
        <f t="shared" si="4"/>
        <v>7000.6402560000006</v>
      </c>
      <c r="T62" s="2284">
        <f>R62</f>
        <v>7137.9077120000011</v>
      </c>
      <c r="U62" s="2285">
        <f>T62*1.04</f>
        <v>7423.4240204800017</v>
      </c>
      <c r="V62" s="2258">
        <f t="shared" si="5"/>
        <v>7280.6658662400014</v>
      </c>
      <c r="W62" s="2284">
        <f>U62</f>
        <v>7423.4240204800017</v>
      </c>
      <c r="X62" s="2285">
        <f>W62*1.04</f>
        <v>7720.3609812992017</v>
      </c>
      <c r="Y62" s="2258">
        <f t="shared" si="6"/>
        <v>7571.8925008896022</v>
      </c>
      <c r="Z62" s="2284">
        <f>X62</f>
        <v>7720.3609812992017</v>
      </c>
      <c r="AA62" s="2285">
        <f>Z62*1.04</f>
        <v>8029.1754205511697</v>
      </c>
      <c r="AB62" s="2259">
        <f t="shared" si="7"/>
        <v>7874.7682009251857</v>
      </c>
      <c r="AC62" s="2593">
        <f t="shared" si="8"/>
        <v>0</v>
      </c>
    </row>
    <row r="63" spans="1:29" s="2218" customFormat="1" ht="21" customHeight="1">
      <c r="A63" s="2235">
        <v>113</v>
      </c>
      <c r="B63" s="2281" t="s">
        <v>1851</v>
      </c>
      <c r="C63" s="2282" t="s">
        <v>1790</v>
      </c>
      <c r="D63" s="2504"/>
      <c r="E63" s="2284">
        <v>2.6815785443798923</v>
      </c>
      <c r="F63" s="2285">
        <v>2.6815785443798923</v>
      </c>
      <c r="G63" s="2257">
        <f t="shared" si="0"/>
        <v>2.6815785443798923</v>
      </c>
      <c r="H63" s="2285">
        <v>2.6815785443798923</v>
      </c>
      <c r="I63" s="2285">
        <v>2.6815785443798923</v>
      </c>
      <c r="J63" s="2257">
        <f t="shared" si="1"/>
        <v>2.6815785443798923</v>
      </c>
      <c r="K63" s="2285">
        <v>2.6347629287865222</v>
      </c>
      <c r="L63" s="2285">
        <v>2.6347629287865222</v>
      </c>
      <c r="M63" s="2259">
        <f t="shared" si="2"/>
        <v>2.6347629287865222</v>
      </c>
      <c r="N63" s="2284">
        <v>2.6347629287865222</v>
      </c>
      <c r="O63" s="2285">
        <v>2.6347629287865222</v>
      </c>
      <c r="P63" s="2258">
        <f t="shared" si="3"/>
        <v>2.6347629287865222</v>
      </c>
      <c r="Q63" s="2284">
        <f>O63</f>
        <v>2.6347629287865222</v>
      </c>
      <c r="R63" s="2285">
        <f>Q63</f>
        <v>2.6347629287865222</v>
      </c>
      <c r="S63" s="2259">
        <f t="shared" si="4"/>
        <v>2.6347629287865222</v>
      </c>
      <c r="T63" s="2284">
        <f>R63</f>
        <v>2.6347629287865222</v>
      </c>
      <c r="U63" s="2285">
        <f>T63</f>
        <v>2.6347629287865222</v>
      </c>
      <c r="V63" s="2258">
        <f t="shared" si="5"/>
        <v>2.6347629287865222</v>
      </c>
      <c r="W63" s="2284">
        <f>U63</f>
        <v>2.6347629287865222</v>
      </c>
      <c r="X63" s="2285">
        <f>W63</f>
        <v>2.6347629287865222</v>
      </c>
      <c r="Y63" s="2258">
        <f t="shared" si="6"/>
        <v>2.6347629287865222</v>
      </c>
      <c r="Z63" s="2284">
        <f>X63</f>
        <v>2.6347629287865222</v>
      </c>
      <c r="AA63" s="2285">
        <f>Z63</f>
        <v>2.6347629287865222</v>
      </c>
      <c r="AB63" s="2259">
        <f t="shared" si="7"/>
        <v>2.6347629287865222</v>
      </c>
      <c r="AC63" s="2593">
        <f t="shared" si="8"/>
        <v>0</v>
      </c>
    </row>
    <row r="64" spans="1:29" s="2218" customFormat="1" ht="30.75" customHeight="1">
      <c r="A64" s="2235">
        <v>612</v>
      </c>
      <c r="B64" s="2281" t="s">
        <v>1852</v>
      </c>
      <c r="C64" s="2282" t="s">
        <v>1853</v>
      </c>
      <c r="D64" s="2504" t="s">
        <v>1847</v>
      </c>
      <c r="E64" s="2284">
        <v>159.54499999999999</v>
      </c>
      <c r="F64" s="2285">
        <v>164.33134999999999</v>
      </c>
      <c r="G64" s="2257">
        <f t="shared" si="0"/>
        <v>161.938175</v>
      </c>
      <c r="H64" s="2285">
        <v>731.08</v>
      </c>
      <c r="I64" s="2285">
        <v>753.01240000000007</v>
      </c>
      <c r="J64" s="2257">
        <f t="shared" si="1"/>
        <v>742.0462</v>
      </c>
      <c r="K64" s="2285">
        <v>1331.5151303918801</v>
      </c>
      <c r="L64" s="2285">
        <v>1650.5358869114698</v>
      </c>
      <c r="M64" s="2259">
        <f t="shared" si="2"/>
        <v>1491.025508651675</v>
      </c>
      <c r="N64" s="2284">
        <v>1475.3766500082033</v>
      </c>
      <c r="O64" s="2286">
        <v>7477.5564947931534</v>
      </c>
      <c r="P64" s="2258">
        <f t="shared" si="3"/>
        <v>4476.4665724006782</v>
      </c>
      <c r="Q64" s="2284">
        <f>O64</f>
        <v>7477.5564947931534</v>
      </c>
      <c r="R64" s="2285">
        <f>Q64*1.04</f>
        <v>7776.6587545848797</v>
      </c>
      <c r="S64" s="2259">
        <f t="shared" si="4"/>
        <v>7627.107624689017</v>
      </c>
      <c r="T64" s="2284">
        <f>R64</f>
        <v>7776.6587545848797</v>
      </c>
      <c r="U64" s="2285">
        <f>T64*1.04</f>
        <v>8087.7251047682748</v>
      </c>
      <c r="V64" s="2258">
        <f t="shared" si="5"/>
        <v>7932.1919296765773</v>
      </c>
      <c r="W64" s="2284">
        <f>U64</f>
        <v>8087.7251047682748</v>
      </c>
      <c r="X64" s="2285">
        <f>W64*1.04</f>
        <v>8411.2341089590063</v>
      </c>
      <c r="Y64" s="2258">
        <f t="shared" si="6"/>
        <v>8249.4796068636406</v>
      </c>
      <c r="Z64" s="2284">
        <f>X64</f>
        <v>8411.2341089590063</v>
      </c>
      <c r="AA64" s="2285">
        <f>Z64*1.04</f>
        <v>8747.6834733173673</v>
      </c>
      <c r="AB64" s="2259">
        <f t="shared" si="7"/>
        <v>8579.4587911381859</v>
      </c>
      <c r="AC64" s="2593">
        <f t="shared" si="8"/>
        <v>0</v>
      </c>
    </row>
    <row r="65" spans="1:29" s="2218" customFormat="1" ht="21" customHeight="1">
      <c r="A65" s="2235">
        <v>613</v>
      </c>
      <c r="B65" s="2281" t="s">
        <v>1854</v>
      </c>
      <c r="C65" s="2282" t="s">
        <v>1795</v>
      </c>
      <c r="D65" s="2504" t="s">
        <v>1847</v>
      </c>
      <c r="E65" s="2284"/>
      <c r="F65" s="2285">
        <v>0</v>
      </c>
      <c r="G65" s="2257">
        <f t="shared" si="0"/>
        <v>0</v>
      </c>
      <c r="H65" s="2285"/>
      <c r="I65" s="2285"/>
      <c r="J65" s="2257">
        <f t="shared" si="1"/>
        <v>0</v>
      </c>
      <c r="K65" s="2285">
        <v>1750.8698249827303</v>
      </c>
      <c r="L65" s="2285">
        <v>2088.4133162318603</v>
      </c>
      <c r="M65" s="2259">
        <f t="shared" si="2"/>
        <v>1919.6415706072953</v>
      </c>
      <c r="N65" s="2284">
        <v>2487.9130276160049</v>
      </c>
      <c r="O65" s="2286">
        <v>8944.0988973910426</v>
      </c>
      <c r="P65" s="2258">
        <f t="shared" si="3"/>
        <v>5716.0059625035237</v>
      </c>
      <c r="Q65" s="2284">
        <f>O65</f>
        <v>8944.0988973910426</v>
      </c>
      <c r="R65" s="2285">
        <f>Q65*1.04</f>
        <v>9301.8628532866842</v>
      </c>
      <c r="S65" s="2259">
        <f t="shared" si="4"/>
        <v>9122.9808753388643</v>
      </c>
      <c r="T65" s="2284">
        <f>R65</f>
        <v>9301.8628532866842</v>
      </c>
      <c r="U65" s="2285">
        <f>T65*1.04</f>
        <v>9673.9373674181516</v>
      </c>
      <c r="V65" s="2258">
        <f t="shared" si="5"/>
        <v>9487.900110352417</v>
      </c>
      <c r="W65" s="2284">
        <f>U65</f>
        <v>9673.9373674181516</v>
      </c>
      <c r="X65" s="2285">
        <f>W65*1.04</f>
        <v>10060.894862114877</v>
      </c>
      <c r="Y65" s="2258">
        <f t="shared" si="6"/>
        <v>9867.4161147665145</v>
      </c>
      <c r="Z65" s="2284">
        <f>X65</f>
        <v>10060.894862114877</v>
      </c>
      <c r="AA65" s="2285">
        <f>Z65*1.04</f>
        <v>10463.330656599474</v>
      </c>
      <c r="AB65" s="2259">
        <f t="shared" si="7"/>
        <v>10262.112759357176</v>
      </c>
      <c r="AC65" s="2593">
        <f t="shared" si="8"/>
        <v>0</v>
      </c>
    </row>
    <row r="66" spans="1:29" s="2218" customFormat="1" ht="34.5" hidden="1" customHeight="1" outlineLevel="1">
      <c r="A66" s="2235">
        <v>614</v>
      </c>
      <c r="B66" s="2281" t="s">
        <v>1855</v>
      </c>
      <c r="C66" s="2282" t="s">
        <v>1856</v>
      </c>
      <c r="D66" s="2504" t="s">
        <v>1847</v>
      </c>
      <c r="E66" s="2284"/>
      <c r="F66" s="2285"/>
      <c r="G66" s="2257">
        <f t="shared" si="0"/>
        <v>0</v>
      </c>
      <c r="H66" s="2285"/>
      <c r="I66" s="2285"/>
      <c r="J66" s="2257">
        <f t="shared" si="1"/>
        <v>0</v>
      </c>
      <c r="K66" s="2285">
        <v>0</v>
      </c>
      <c r="L66" s="2285">
        <v>0</v>
      </c>
      <c r="M66" s="2259">
        <f t="shared" si="2"/>
        <v>0</v>
      </c>
      <c r="N66" s="2284">
        <v>0</v>
      </c>
      <c r="O66" s="2285">
        <v>0</v>
      </c>
      <c r="P66" s="2258">
        <f t="shared" si="3"/>
        <v>0</v>
      </c>
      <c r="Q66" s="2284"/>
      <c r="R66" s="2285"/>
      <c r="S66" s="2259">
        <f t="shared" si="4"/>
        <v>0</v>
      </c>
      <c r="T66" s="2284"/>
      <c r="U66" s="2285"/>
      <c r="V66" s="2258">
        <f t="shared" si="5"/>
        <v>0</v>
      </c>
      <c r="W66" s="2284"/>
      <c r="X66" s="2285"/>
      <c r="Y66" s="2258">
        <f t="shared" si="6"/>
        <v>0</v>
      </c>
      <c r="Z66" s="2284"/>
      <c r="AA66" s="2285"/>
      <c r="AB66" s="2259">
        <f t="shared" si="7"/>
        <v>0</v>
      </c>
      <c r="AC66" s="2593">
        <f t="shared" si="8"/>
        <v>0</v>
      </c>
    </row>
    <row r="67" spans="1:29" s="2218" customFormat="1" ht="42" customHeight="1" collapsed="1">
      <c r="A67" s="2235">
        <v>106</v>
      </c>
      <c r="B67" s="2281" t="s">
        <v>1857</v>
      </c>
      <c r="C67" s="2282" t="s">
        <v>1799</v>
      </c>
      <c r="D67" s="2504" t="s">
        <v>1800</v>
      </c>
      <c r="E67" s="2284">
        <v>34</v>
      </c>
      <c r="F67" s="2285">
        <v>34</v>
      </c>
      <c r="G67" s="2257">
        <f t="shared" si="0"/>
        <v>34</v>
      </c>
      <c r="H67" s="2285">
        <v>36</v>
      </c>
      <c r="I67" s="2285">
        <v>36</v>
      </c>
      <c r="J67" s="2257">
        <f t="shared" si="1"/>
        <v>36</v>
      </c>
      <c r="K67" s="2285">
        <v>35</v>
      </c>
      <c r="L67" s="2285">
        <v>35</v>
      </c>
      <c r="M67" s="2259">
        <f t="shared" si="2"/>
        <v>35</v>
      </c>
      <c r="N67" s="2284">
        <v>27.374513290698381</v>
      </c>
      <c r="O67" s="2286">
        <v>93.564849823120767</v>
      </c>
      <c r="P67" s="2258">
        <f t="shared" si="3"/>
        <v>60.469681556909578</v>
      </c>
      <c r="Q67" s="2284">
        <f>O67</f>
        <v>93.564849823120767</v>
      </c>
      <c r="R67" s="2285">
        <f>Q67</f>
        <v>93.564849823120767</v>
      </c>
      <c r="S67" s="2259">
        <f t="shared" si="4"/>
        <v>93.564849823120767</v>
      </c>
      <c r="T67" s="2284">
        <f>R67</f>
        <v>93.564849823120767</v>
      </c>
      <c r="U67" s="2285">
        <f>T67</f>
        <v>93.564849823120767</v>
      </c>
      <c r="V67" s="2258">
        <f t="shared" si="5"/>
        <v>93.564849823120767</v>
      </c>
      <c r="W67" s="2284">
        <f>U67</f>
        <v>93.564849823120767</v>
      </c>
      <c r="X67" s="2285">
        <f>W67</f>
        <v>93.564849823120767</v>
      </c>
      <c r="Y67" s="2258">
        <f t="shared" si="6"/>
        <v>93.564849823120767</v>
      </c>
      <c r="Z67" s="2284">
        <f>X67</f>
        <v>93.564849823120767</v>
      </c>
      <c r="AA67" s="2285">
        <f>Z67</f>
        <v>93.564849823120767</v>
      </c>
      <c r="AB67" s="2259">
        <f t="shared" si="7"/>
        <v>93.564849823120767</v>
      </c>
      <c r="AC67" s="2593">
        <f t="shared" si="8"/>
        <v>0</v>
      </c>
    </row>
    <row r="68" spans="1:29" s="2218" customFormat="1" ht="54" customHeight="1" thickBot="1">
      <c r="A68" s="2235">
        <v>116</v>
      </c>
      <c r="B68" s="2311" t="s">
        <v>1859</v>
      </c>
      <c r="C68" s="2312" t="s">
        <v>1860</v>
      </c>
      <c r="D68" s="2509" t="s">
        <v>1317</v>
      </c>
      <c r="E68" s="2314">
        <v>1771.2232512315272</v>
      </c>
      <c r="F68" s="2315">
        <v>1824.359948768473</v>
      </c>
      <c r="G68" s="2266">
        <f t="shared" si="0"/>
        <v>1797.7916</v>
      </c>
      <c r="H68" s="2315">
        <v>2007.3761591355601</v>
      </c>
      <c r="I68" s="2315">
        <v>2079.6417008644403</v>
      </c>
      <c r="J68" s="2266">
        <f t="shared" si="1"/>
        <v>2043.5089300000002</v>
      </c>
      <c r="K68" s="2315">
        <v>2306.5922369065097</v>
      </c>
      <c r="L68" s="2315">
        <v>2405.7757030934895</v>
      </c>
      <c r="M68" s="2268">
        <f t="shared" si="2"/>
        <v>2356.1839699999996</v>
      </c>
      <c r="N68" s="2284">
        <v>2066.6526394779662</v>
      </c>
      <c r="O68" s="2286">
        <v>11699.926515504245</v>
      </c>
      <c r="P68" s="2267">
        <f t="shared" si="3"/>
        <v>6883.2895774911058</v>
      </c>
      <c r="Q68" s="2284">
        <f>Q58*0.302</f>
        <v>11699.926515504245</v>
      </c>
      <c r="R68" s="2315">
        <f>R58*0.302</f>
        <v>12167.923576124416</v>
      </c>
      <c r="S68" s="2268">
        <f t="shared" si="4"/>
        <v>11933.925045814331</v>
      </c>
      <c r="T68" s="2284">
        <f>T58*0.302</f>
        <v>12167.923576124416</v>
      </c>
      <c r="U68" s="2315">
        <f>U58*0.302</f>
        <v>12654.640519169392</v>
      </c>
      <c r="V68" s="2267">
        <f t="shared" si="5"/>
        <v>12411.282047646904</v>
      </c>
      <c r="W68" s="2487">
        <f>W58*0.302</f>
        <v>12654.640519169392</v>
      </c>
      <c r="X68" s="2316">
        <f>X58*0.302</f>
        <v>13160.826139936171</v>
      </c>
      <c r="Y68" s="2267">
        <f t="shared" si="6"/>
        <v>12907.733329552782</v>
      </c>
      <c r="Z68" s="2487">
        <f>Z58*0.302</f>
        <v>13160.826139936171</v>
      </c>
      <c r="AA68" s="2316">
        <f>AA58*0.302</f>
        <v>13687.259185533618</v>
      </c>
      <c r="AB68" s="2268">
        <f t="shared" si="7"/>
        <v>13424.042662734893</v>
      </c>
      <c r="AC68" s="2593">
        <f t="shared" si="8"/>
        <v>0</v>
      </c>
    </row>
    <row r="69" spans="1:29" s="2218" customFormat="1" ht="24" customHeight="1" thickBot="1">
      <c r="A69" s="2235">
        <v>117</v>
      </c>
      <c r="B69" s="2317" t="s">
        <v>120</v>
      </c>
      <c r="C69" s="2318" t="s">
        <v>1862</v>
      </c>
      <c r="D69" s="2510" t="s">
        <v>1317</v>
      </c>
      <c r="E69" s="2320">
        <f>E70+E77+E90+E91+E92+E93+E89</f>
        <v>27642.339152408</v>
      </c>
      <c r="F69" s="2321">
        <f>F70+F77+F90+F91+F92+F93+F89</f>
        <v>28668.823355440833</v>
      </c>
      <c r="G69" s="2303">
        <f t="shared" si="0"/>
        <v>28155.581253924414</v>
      </c>
      <c r="H69" s="2321">
        <f>H70+H77+H90+H91+H92+H93+H89</f>
        <v>30618.369151342347</v>
      </c>
      <c r="I69" s="2321">
        <f>I70+I77+I90+I91+I92+I93+I89</f>
        <v>31558.359161174089</v>
      </c>
      <c r="J69" s="2303">
        <f t="shared" si="1"/>
        <v>31088.36415625822</v>
      </c>
      <c r="K69" s="2321">
        <f>K70+K77+K90+K91+K92+K93+K89</f>
        <v>30903.841711132009</v>
      </c>
      <c r="L69" s="2321">
        <f>L70+L77+L90+L91+L92+L93+L89</f>
        <v>32444.574436466075</v>
      </c>
      <c r="M69" s="2303">
        <f t="shared" si="2"/>
        <v>31674.20807379904</v>
      </c>
      <c r="N69" s="2320">
        <v>27116.212165447199</v>
      </c>
      <c r="O69" s="2321">
        <v>30094.398392180487</v>
      </c>
      <c r="P69" s="2304">
        <f t="shared" si="3"/>
        <v>28605.305278813845</v>
      </c>
      <c r="Q69" s="2320">
        <f>Q70+Q77+Q90+Q91+Q92+Q93+Q89</f>
        <v>30094.398392180487</v>
      </c>
      <c r="R69" s="2321">
        <f>R70+R77+R90+R91+R92+R93+R89</f>
        <v>31298.174327867706</v>
      </c>
      <c r="S69" s="2303">
        <f t="shared" si="4"/>
        <v>30696.286360024096</v>
      </c>
      <c r="T69" s="2320">
        <f>T70+T77+T90+T91+T92+T93+T89</f>
        <v>31298.174327867706</v>
      </c>
      <c r="U69" s="2321">
        <f>U70+U77+U90+U91+U92+U93+U89</f>
        <v>32550.101300982413</v>
      </c>
      <c r="V69" s="2304">
        <f t="shared" si="5"/>
        <v>31924.137814425059</v>
      </c>
      <c r="W69" s="2320">
        <f>W70+W77+W90+W91+W92+W93+W89</f>
        <v>32550.101300982413</v>
      </c>
      <c r="X69" s="2321">
        <f>X70+X77+X90+X91+X92+X93+X89</f>
        <v>33852.10535302171</v>
      </c>
      <c r="Y69" s="2304">
        <f t="shared" si="6"/>
        <v>33201.103327002063</v>
      </c>
      <c r="Z69" s="2320">
        <f>Z70+Z77+Z90+Z91+Z92+Z93+Z89</f>
        <v>33852.10535302171</v>
      </c>
      <c r="AA69" s="2321">
        <f>AA70+AA77+AA90+AA91+AA92+AA93+AA89</f>
        <v>35206.189567142581</v>
      </c>
      <c r="AB69" s="2303">
        <f t="shared" si="7"/>
        <v>34529.147460082146</v>
      </c>
      <c r="AC69" s="2593">
        <f t="shared" si="8"/>
        <v>0</v>
      </c>
    </row>
    <row r="70" spans="1:29" s="2218" customFormat="1" ht="37.5" customHeight="1">
      <c r="A70" s="2235">
        <v>118</v>
      </c>
      <c r="B70" s="2243" t="s">
        <v>1863</v>
      </c>
      <c r="C70" s="2278" t="s">
        <v>1864</v>
      </c>
      <c r="D70" s="2499" t="s">
        <v>1317</v>
      </c>
      <c r="E70" s="2246">
        <f>E71+E72+E73+E74+E75+E76</f>
        <v>1241.1246680322854</v>
      </c>
      <c r="F70" s="2247">
        <f>F71+F72+F73+F74+F75+F76</f>
        <v>1278.3584080732539</v>
      </c>
      <c r="G70" s="2248">
        <f t="shared" ref="G70:G133" si="9">E70/2+F70/2</f>
        <v>1259.7415380527696</v>
      </c>
      <c r="H70" s="2247">
        <f>H71+H72+H73+H74+H75+H76</f>
        <v>1249.308536256716</v>
      </c>
      <c r="I70" s="2247">
        <f>I71+I72+I73+I74+I75+I76</f>
        <v>1294.2836435619579</v>
      </c>
      <c r="J70" s="2248">
        <f t="shared" ref="J70:J133" si="10">H70/2+I70/2</f>
        <v>1271.7960899093368</v>
      </c>
      <c r="K70" s="2247">
        <f>K71+K72+K73+K74+K75+K76</f>
        <v>1246.2883344535237</v>
      </c>
      <c r="L70" s="2247">
        <f>L71+L72+L73+L74+L75+L76</f>
        <v>1300.0910310170605</v>
      </c>
      <c r="M70" s="2250">
        <f t="shared" ref="M70:M133" si="11">K70/2+L70/2</f>
        <v>1273.1896827352921</v>
      </c>
      <c r="N70" s="2246">
        <v>1077.8491645758838</v>
      </c>
      <c r="O70" s="2247">
        <v>1370.79474696024</v>
      </c>
      <c r="P70" s="2249">
        <f t="shared" ref="P70:P133" si="12">N70/2+O70/2</f>
        <v>1224.3219557680618</v>
      </c>
      <c r="Q70" s="2246">
        <f>Q71+Q72+Q73+Q74+Q75+Q76</f>
        <v>1370.7947469602398</v>
      </c>
      <c r="R70" s="2247">
        <f>R71+R72+R73+R74+R75+R76</f>
        <v>1425.6265368386491</v>
      </c>
      <c r="S70" s="2250">
        <f t="shared" ref="S70:S133" si="13">Q70/2+R70/2</f>
        <v>1398.2106418994445</v>
      </c>
      <c r="T70" s="2246">
        <f>T71+T72+T73+T74+T75+T76</f>
        <v>1425.6265368386491</v>
      </c>
      <c r="U70" s="2247">
        <f>U71+U72+U73+U74+U75+U76</f>
        <v>1482.6515983121951</v>
      </c>
      <c r="V70" s="2249">
        <f t="shared" ref="V70:V133" si="14">T70/2+U70/2</f>
        <v>1454.1390675754221</v>
      </c>
      <c r="W70" s="2246">
        <f>W71+W72+W73+W74+W75+W76</f>
        <v>1482.6515983121951</v>
      </c>
      <c r="X70" s="2247">
        <f>X71+X72+X73+X74+X75+X76</f>
        <v>1541.9576622446832</v>
      </c>
      <c r="Y70" s="2249">
        <f t="shared" ref="Y70:Y133" si="15">W70/2+X70/2</f>
        <v>1512.3046302784392</v>
      </c>
      <c r="Z70" s="2246">
        <f>Z71+Z72+Z73+Z74+Z75+Z76</f>
        <v>1541.9576622446832</v>
      </c>
      <c r="AA70" s="2247">
        <f>AA71+AA72+AA73+AA74+AA75+AA76</f>
        <v>1603.6359687344705</v>
      </c>
      <c r="AB70" s="2250">
        <f t="shared" ref="AB70:AB133" si="16">Z70/2+AA70/2</f>
        <v>1572.7968154895768</v>
      </c>
      <c r="AC70" s="2593">
        <f t="shared" si="8"/>
        <v>0</v>
      </c>
    </row>
    <row r="71" spans="1:29" s="2218" customFormat="1" ht="27" customHeight="1">
      <c r="A71" s="2235">
        <v>119</v>
      </c>
      <c r="B71" s="2281" t="s">
        <v>1865</v>
      </c>
      <c r="C71" s="2282" t="s">
        <v>1866</v>
      </c>
      <c r="D71" s="2504" t="s">
        <v>1317</v>
      </c>
      <c r="E71" s="2284">
        <v>808.38868497114697</v>
      </c>
      <c r="F71" s="2285">
        <v>832.64034552028136</v>
      </c>
      <c r="G71" s="2257">
        <f t="shared" si="9"/>
        <v>820.51451524571416</v>
      </c>
      <c r="H71" s="2285">
        <v>965.60241423054151</v>
      </c>
      <c r="I71" s="2285">
        <v>1000.364101142841</v>
      </c>
      <c r="J71" s="2257">
        <f t="shared" si="10"/>
        <v>982.98325768669133</v>
      </c>
      <c r="K71" s="2285">
        <v>1160.0069445000388</v>
      </c>
      <c r="L71" s="2285">
        <v>1209.8872431135403</v>
      </c>
      <c r="M71" s="2259">
        <f t="shared" si="11"/>
        <v>1184.9470938067896</v>
      </c>
      <c r="N71" s="2284">
        <v>1003.0651109105578</v>
      </c>
      <c r="O71" s="2286">
        <v>1075.2857988961177</v>
      </c>
      <c r="P71" s="2258">
        <f t="shared" si="12"/>
        <v>1039.1754549033378</v>
      </c>
      <c r="Q71" s="2284">
        <f t="shared" ref="Q71:Q76" si="17">O71</f>
        <v>1075.2857988961177</v>
      </c>
      <c r="R71" s="2285">
        <f t="shared" ref="R71:R76" si="18">Q71*1.04</f>
        <v>1118.2972308519625</v>
      </c>
      <c r="S71" s="2259">
        <f t="shared" si="13"/>
        <v>1096.7915148740401</v>
      </c>
      <c r="T71" s="2284">
        <f t="shared" ref="T71:T76" si="19">R71</f>
        <v>1118.2972308519625</v>
      </c>
      <c r="U71" s="2285">
        <f t="shared" ref="U71:U76" si="20">T71*1.04</f>
        <v>1163.0291200860411</v>
      </c>
      <c r="V71" s="2258">
        <f t="shared" si="14"/>
        <v>1140.6631754690018</v>
      </c>
      <c r="W71" s="2284">
        <f t="shared" ref="W71:W76" si="21">U71</f>
        <v>1163.0291200860411</v>
      </c>
      <c r="X71" s="2285">
        <f t="shared" ref="X71:X76" si="22">W71*1.04</f>
        <v>1209.5502848894828</v>
      </c>
      <c r="Y71" s="2258">
        <f t="shared" si="15"/>
        <v>1186.289702487762</v>
      </c>
      <c r="Z71" s="2284">
        <f t="shared" ref="Z71:Z76" si="23">X71</f>
        <v>1209.5502848894828</v>
      </c>
      <c r="AA71" s="2285">
        <f t="shared" ref="AA71:AA76" si="24">Z71*1.04</f>
        <v>1257.9322962850622</v>
      </c>
      <c r="AB71" s="2259">
        <f t="shared" si="16"/>
        <v>1233.7412905872725</v>
      </c>
      <c r="AC71" s="2593">
        <f t="shared" ref="AC71:AC134" si="25">T71-R71</f>
        <v>0</v>
      </c>
    </row>
    <row r="72" spans="1:29" s="2218" customFormat="1" ht="21.75" customHeight="1">
      <c r="A72" s="2235">
        <v>120</v>
      </c>
      <c r="B72" s="2281" t="s">
        <v>1868</v>
      </c>
      <c r="C72" s="2282" t="s">
        <v>1869</v>
      </c>
      <c r="D72" s="2504" t="s">
        <v>1317</v>
      </c>
      <c r="E72" s="2284">
        <v>57.543483428957344</v>
      </c>
      <c r="F72" s="2285">
        <v>59.269787931826066</v>
      </c>
      <c r="G72" s="2257">
        <f t="shared" si="9"/>
        <v>58.406635680391702</v>
      </c>
      <c r="H72" s="2285">
        <v>71.402629015548811</v>
      </c>
      <c r="I72" s="2285">
        <v>73.97312366010857</v>
      </c>
      <c r="J72" s="2257">
        <f t="shared" si="10"/>
        <v>72.687876337828698</v>
      </c>
      <c r="K72" s="2285">
        <v>0</v>
      </c>
      <c r="L72" s="2285">
        <v>0</v>
      </c>
      <c r="M72" s="2259">
        <f t="shared" si="11"/>
        <v>0</v>
      </c>
      <c r="N72" s="2284">
        <v>0</v>
      </c>
      <c r="O72" s="2286">
        <v>0</v>
      </c>
      <c r="P72" s="2258">
        <f t="shared" si="12"/>
        <v>0</v>
      </c>
      <c r="Q72" s="2284">
        <f t="shared" si="17"/>
        <v>0</v>
      </c>
      <c r="R72" s="2285">
        <f t="shared" si="18"/>
        <v>0</v>
      </c>
      <c r="S72" s="2259">
        <f t="shared" si="13"/>
        <v>0</v>
      </c>
      <c r="T72" s="2284">
        <f t="shared" si="19"/>
        <v>0</v>
      </c>
      <c r="U72" s="2285">
        <f t="shared" si="20"/>
        <v>0</v>
      </c>
      <c r="V72" s="2258">
        <f t="shared" si="14"/>
        <v>0</v>
      </c>
      <c r="W72" s="2284">
        <f t="shared" si="21"/>
        <v>0</v>
      </c>
      <c r="X72" s="2285">
        <f t="shared" si="22"/>
        <v>0</v>
      </c>
      <c r="Y72" s="2258">
        <f t="shared" si="15"/>
        <v>0</v>
      </c>
      <c r="Z72" s="2284">
        <f t="shared" si="23"/>
        <v>0</v>
      </c>
      <c r="AA72" s="2285">
        <f t="shared" si="24"/>
        <v>0</v>
      </c>
      <c r="AB72" s="2259">
        <f t="shared" si="16"/>
        <v>0</v>
      </c>
      <c r="AC72" s="2593">
        <f t="shared" si="25"/>
        <v>0</v>
      </c>
    </row>
    <row r="73" spans="1:29" s="2218" customFormat="1" ht="22.5" customHeight="1">
      <c r="A73" s="2235">
        <v>121</v>
      </c>
      <c r="B73" s="2281" t="s">
        <v>1870</v>
      </c>
      <c r="C73" s="2282" t="s">
        <v>1871</v>
      </c>
      <c r="D73" s="2504" t="s">
        <v>1317</v>
      </c>
      <c r="E73" s="2284">
        <v>92.418321870749764</v>
      </c>
      <c r="F73" s="2285">
        <v>95.190871526872257</v>
      </c>
      <c r="G73" s="2257">
        <f t="shared" si="9"/>
        <v>93.804596698811011</v>
      </c>
      <c r="H73" s="2285">
        <v>9.9993308268662755</v>
      </c>
      <c r="I73" s="2285">
        <v>10.359306736633462</v>
      </c>
      <c r="J73" s="2257">
        <f t="shared" si="10"/>
        <v>10.179318781749869</v>
      </c>
      <c r="K73" s="2285">
        <v>9.0510339023213522</v>
      </c>
      <c r="L73" s="2285">
        <v>9.4402283601211696</v>
      </c>
      <c r="M73" s="2259">
        <f t="shared" si="11"/>
        <v>9.2456311312212609</v>
      </c>
      <c r="N73" s="2284">
        <v>7.8264844604013337</v>
      </c>
      <c r="O73" s="2286">
        <v>8.3899913415502301</v>
      </c>
      <c r="P73" s="2258">
        <f t="shared" si="12"/>
        <v>8.1082379009757819</v>
      </c>
      <c r="Q73" s="2284">
        <f t="shared" si="17"/>
        <v>8.3899913415502301</v>
      </c>
      <c r="R73" s="2285">
        <f t="shared" si="18"/>
        <v>8.7255909952122401</v>
      </c>
      <c r="S73" s="2259">
        <f t="shared" si="13"/>
        <v>8.557791168381236</v>
      </c>
      <c r="T73" s="2284">
        <f t="shared" si="19"/>
        <v>8.7255909952122401</v>
      </c>
      <c r="U73" s="2285">
        <f t="shared" si="20"/>
        <v>9.0746146350207297</v>
      </c>
      <c r="V73" s="2258">
        <f t="shared" si="14"/>
        <v>8.9001028151164849</v>
      </c>
      <c r="W73" s="2284">
        <f t="shared" si="21"/>
        <v>9.0746146350207297</v>
      </c>
      <c r="X73" s="2285">
        <f t="shared" si="22"/>
        <v>9.4375992204215589</v>
      </c>
      <c r="Y73" s="2258">
        <f t="shared" si="15"/>
        <v>9.2561069277211452</v>
      </c>
      <c r="Z73" s="2284">
        <f t="shared" si="23"/>
        <v>9.4375992204215589</v>
      </c>
      <c r="AA73" s="2285">
        <f t="shared" si="24"/>
        <v>9.8151031892384211</v>
      </c>
      <c r="AB73" s="2259">
        <f t="shared" si="16"/>
        <v>9.6263512048299908</v>
      </c>
      <c r="AC73" s="2593">
        <f t="shared" si="25"/>
        <v>0</v>
      </c>
    </row>
    <row r="74" spans="1:29" s="2218" customFormat="1" ht="22.5" customHeight="1">
      <c r="A74" s="2235">
        <v>122</v>
      </c>
      <c r="B74" s="2281" t="s">
        <v>1873</v>
      </c>
      <c r="C74" s="2282" t="s">
        <v>1874</v>
      </c>
      <c r="D74" s="2504" t="s">
        <v>1317</v>
      </c>
      <c r="E74" s="2284">
        <v>8.8058967065525735</v>
      </c>
      <c r="F74" s="2285">
        <v>9.0700736077491513</v>
      </c>
      <c r="G74" s="2257">
        <f t="shared" si="9"/>
        <v>8.9379851571508624</v>
      </c>
      <c r="H74" s="2285">
        <v>3.798264331864464</v>
      </c>
      <c r="I74" s="2285">
        <v>3.9350018478115847</v>
      </c>
      <c r="J74" s="2257">
        <f t="shared" si="10"/>
        <v>3.8666330898380243</v>
      </c>
      <c r="K74" s="2285">
        <v>9.9561372925534872</v>
      </c>
      <c r="L74" s="2285">
        <v>10.384251196133286</v>
      </c>
      <c r="M74" s="2259">
        <f t="shared" si="11"/>
        <v>10.170194244343387</v>
      </c>
      <c r="N74" s="2284">
        <v>8.6091329064414666</v>
      </c>
      <c r="O74" s="2286">
        <v>9.2289904757052543</v>
      </c>
      <c r="P74" s="2258">
        <f t="shared" si="12"/>
        <v>8.9190616910733596</v>
      </c>
      <c r="Q74" s="2284">
        <f t="shared" si="17"/>
        <v>9.2289904757052543</v>
      </c>
      <c r="R74" s="2285">
        <f t="shared" si="18"/>
        <v>9.5981500947334641</v>
      </c>
      <c r="S74" s="2259">
        <f t="shared" si="13"/>
        <v>9.4135702852193592</v>
      </c>
      <c r="T74" s="2284">
        <f t="shared" si="19"/>
        <v>9.5981500947334641</v>
      </c>
      <c r="U74" s="2285">
        <f t="shared" si="20"/>
        <v>9.9820760985228034</v>
      </c>
      <c r="V74" s="2258">
        <f t="shared" si="14"/>
        <v>9.7901130966281329</v>
      </c>
      <c r="W74" s="2284">
        <f t="shared" si="21"/>
        <v>9.9820760985228034</v>
      </c>
      <c r="X74" s="2285">
        <f t="shared" si="22"/>
        <v>10.381359142463715</v>
      </c>
      <c r="Y74" s="2258">
        <f t="shared" si="15"/>
        <v>10.181717620493259</v>
      </c>
      <c r="Z74" s="2284">
        <f t="shared" si="23"/>
        <v>10.381359142463715</v>
      </c>
      <c r="AA74" s="2285">
        <f t="shared" si="24"/>
        <v>10.796613508162265</v>
      </c>
      <c r="AB74" s="2259">
        <f t="shared" si="16"/>
        <v>10.588986325312991</v>
      </c>
      <c r="AC74" s="2593">
        <f t="shared" si="25"/>
        <v>0</v>
      </c>
    </row>
    <row r="75" spans="1:29" s="2218" customFormat="1" ht="42" customHeight="1">
      <c r="A75" s="2235">
        <v>123</v>
      </c>
      <c r="B75" s="2281" t="s">
        <v>1876</v>
      </c>
      <c r="C75" s="2282" t="s">
        <v>1877</v>
      </c>
      <c r="D75" s="2504" t="s">
        <v>1317</v>
      </c>
      <c r="E75" s="2284">
        <v>152.15262244585321</v>
      </c>
      <c r="F75" s="2285">
        <v>156.7172011192288</v>
      </c>
      <c r="G75" s="2257">
        <f t="shared" si="9"/>
        <v>154.43491178254101</v>
      </c>
      <c r="H75" s="2285">
        <v>78.107246997168161</v>
      </c>
      <c r="I75" s="2285">
        <v>80.919107889066211</v>
      </c>
      <c r="J75" s="2257">
        <f t="shared" si="10"/>
        <v>79.513177443117186</v>
      </c>
      <c r="K75" s="2285">
        <f>68.6656686999609-4.93716702407215</f>
        <v>63.728501675888751</v>
      </c>
      <c r="L75" s="2285">
        <f>71.6182924540592-4.93716702407215</f>
        <v>66.681125429987048</v>
      </c>
      <c r="M75" s="2259">
        <f t="shared" si="11"/>
        <v>65.204813552937907</v>
      </c>
      <c r="N75" s="2284">
        <v>55.282433016606305</v>
      </c>
      <c r="O75" s="2286">
        <v>274.60321072869391</v>
      </c>
      <c r="P75" s="2258">
        <f t="shared" si="12"/>
        <v>164.94282187265011</v>
      </c>
      <c r="Q75" s="2284">
        <f t="shared" si="17"/>
        <v>274.60321072869391</v>
      </c>
      <c r="R75" s="2285">
        <f t="shared" si="18"/>
        <v>285.58733915784165</v>
      </c>
      <c r="S75" s="2259">
        <f t="shared" si="13"/>
        <v>280.09527494326778</v>
      </c>
      <c r="T75" s="2284">
        <f t="shared" si="19"/>
        <v>285.58733915784165</v>
      </c>
      <c r="U75" s="2285">
        <f t="shared" si="20"/>
        <v>297.01083272415531</v>
      </c>
      <c r="V75" s="2258">
        <f t="shared" si="14"/>
        <v>291.29908594099845</v>
      </c>
      <c r="W75" s="2284">
        <f t="shared" si="21"/>
        <v>297.01083272415531</v>
      </c>
      <c r="X75" s="2285">
        <f t="shared" si="22"/>
        <v>308.89126603312155</v>
      </c>
      <c r="Y75" s="2258">
        <f t="shared" si="15"/>
        <v>302.95104937863846</v>
      </c>
      <c r="Z75" s="2284">
        <f t="shared" si="23"/>
        <v>308.89126603312155</v>
      </c>
      <c r="AA75" s="2285">
        <f t="shared" si="24"/>
        <v>321.24691667444642</v>
      </c>
      <c r="AB75" s="2259">
        <f t="shared" si="16"/>
        <v>315.06909135378396</v>
      </c>
      <c r="AC75" s="2593">
        <f t="shared" si="25"/>
        <v>0</v>
      </c>
    </row>
    <row r="76" spans="1:29" s="2218" customFormat="1" ht="18.75" customHeight="1">
      <c r="A76" s="2235">
        <v>124</v>
      </c>
      <c r="B76" s="2281" t="s">
        <v>1879</v>
      </c>
      <c r="C76" s="2282" t="s">
        <v>1880</v>
      </c>
      <c r="D76" s="2504" t="s">
        <v>1317</v>
      </c>
      <c r="E76" s="2284">
        <v>121.81565860902562</v>
      </c>
      <c r="F76" s="2285">
        <v>125.4701283672964</v>
      </c>
      <c r="G76" s="2257">
        <f t="shared" si="9"/>
        <v>123.64289348816101</v>
      </c>
      <c r="H76" s="2285">
        <v>120.39865085472685</v>
      </c>
      <c r="I76" s="2285">
        <v>124.73300228549702</v>
      </c>
      <c r="J76" s="2257">
        <f t="shared" si="10"/>
        <v>122.56582657011194</v>
      </c>
      <c r="K76" s="2285">
        <v>3.5457170827214877</v>
      </c>
      <c r="L76" s="2285">
        <v>3.6981829172785115</v>
      </c>
      <c r="M76" s="2259">
        <f t="shared" si="11"/>
        <v>3.6219499999999996</v>
      </c>
      <c r="N76" s="2284">
        <v>3.0660032818772232</v>
      </c>
      <c r="O76" s="2286">
        <v>3.2867555181723827</v>
      </c>
      <c r="P76" s="2258">
        <f t="shared" si="12"/>
        <v>3.1763794000248029</v>
      </c>
      <c r="Q76" s="2284">
        <f t="shared" si="17"/>
        <v>3.2867555181723827</v>
      </c>
      <c r="R76" s="2285">
        <f t="shared" si="18"/>
        <v>3.4182257388992783</v>
      </c>
      <c r="S76" s="2259">
        <f t="shared" si="13"/>
        <v>3.3524906285358305</v>
      </c>
      <c r="T76" s="2284">
        <f t="shared" si="19"/>
        <v>3.4182257388992783</v>
      </c>
      <c r="U76" s="2285">
        <f t="shared" si="20"/>
        <v>3.5549547684552496</v>
      </c>
      <c r="V76" s="2258">
        <f t="shared" si="14"/>
        <v>3.4865902536772637</v>
      </c>
      <c r="W76" s="2284">
        <f t="shared" si="21"/>
        <v>3.5549547684552496</v>
      </c>
      <c r="X76" s="2285">
        <f t="shared" si="22"/>
        <v>3.6971529591934598</v>
      </c>
      <c r="Y76" s="2258">
        <f t="shared" si="15"/>
        <v>3.6260538638243549</v>
      </c>
      <c r="Z76" s="2284">
        <f t="shared" si="23"/>
        <v>3.6971529591934598</v>
      </c>
      <c r="AA76" s="2285">
        <f t="shared" si="24"/>
        <v>3.8450390775611982</v>
      </c>
      <c r="AB76" s="2259">
        <f t="shared" si="16"/>
        <v>3.771096018377329</v>
      </c>
      <c r="AC76" s="2593">
        <f t="shared" si="25"/>
        <v>0</v>
      </c>
    </row>
    <row r="77" spans="1:29" s="2218" customFormat="1" ht="47.25">
      <c r="A77" s="2235">
        <v>125</v>
      </c>
      <c r="B77" s="2279" t="s">
        <v>1882</v>
      </c>
      <c r="C77" s="2295" t="s">
        <v>1883</v>
      </c>
      <c r="D77" s="2500" t="s">
        <v>1317</v>
      </c>
      <c r="E77" s="2255">
        <f>E78+E88</f>
        <v>25877.473087849961</v>
      </c>
      <c r="F77" s="2256">
        <f>F78+F88</f>
        <v>26851.01130894605</v>
      </c>
      <c r="G77" s="2257">
        <f t="shared" si="9"/>
        <v>26364.242198398006</v>
      </c>
      <c r="H77" s="2256">
        <f>H78+H88</f>
        <v>28709.687809738083</v>
      </c>
      <c r="I77" s="2256">
        <f>I78+I88</f>
        <v>29580.96529127207</v>
      </c>
      <c r="J77" s="2257">
        <f t="shared" si="10"/>
        <v>29145.326550505077</v>
      </c>
      <c r="K77" s="2256">
        <f>K78+K88</f>
        <v>29129.229459548991</v>
      </c>
      <c r="L77" s="2256">
        <f>L78+L88</f>
        <v>30593.441559882955</v>
      </c>
      <c r="M77" s="2259">
        <f t="shared" si="11"/>
        <v>29861.335509715973</v>
      </c>
      <c r="N77" s="2377">
        <v>25581.518073308751</v>
      </c>
      <c r="O77" s="2890">
        <v>27423.387374586982</v>
      </c>
      <c r="P77" s="2258">
        <f t="shared" si="12"/>
        <v>26502.452723947867</v>
      </c>
      <c r="Q77" s="2255">
        <f>Q78+Q88</f>
        <v>27423.387374586986</v>
      </c>
      <c r="R77" s="2256">
        <f>R78+R88</f>
        <v>28520.322869570464</v>
      </c>
      <c r="S77" s="2259">
        <f t="shared" si="13"/>
        <v>27971.855122078727</v>
      </c>
      <c r="T77" s="2255">
        <f>T78+T88</f>
        <v>28520.322869570464</v>
      </c>
      <c r="U77" s="2256">
        <f>U78+U88</f>
        <v>29661.135784353282</v>
      </c>
      <c r="V77" s="2258">
        <f t="shared" si="14"/>
        <v>29090.729326961875</v>
      </c>
      <c r="W77" s="2255">
        <f>W78+W88</f>
        <v>29661.135784353282</v>
      </c>
      <c r="X77" s="2256">
        <f>X78+X88</f>
        <v>30847.581215727416</v>
      </c>
      <c r="Y77" s="2258">
        <f t="shared" si="15"/>
        <v>30254.358500040347</v>
      </c>
      <c r="Z77" s="2255">
        <f>Z78+Z88</f>
        <v>30847.581215727416</v>
      </c>
      <c r="AA77" s="2256">
        <f>AA78+AA88</f>
        <v>32081.484464356512</v>
      </c>
      <c r="AB77" s="2259">
        <f t="shared" si="16"/>
        <v>31464.532840041964</v>
      </c>
      <c r="AC77" s="2593">
        <f t="shared" si="25"/>
        <v>0</v>
      </c>
    </row>
    <row r="78" spans="1:29" s="2218" customFormat="1" ht="30.75" customHeight="1">
      <c r="A78" s="2235">
        <v>126</v>
      </c>
      <c r="B78" s="2279" t="s">
        <v>1884</v>
      </c>
      <c r="C78" s="2280" t="s">
        <v>1885</v>
      </c>
      <c r="D78" s="2500" t="s">
        <v>1317</v>
      </c>
      <c r="E78" s="2255">
        <f>E79*E87*12/1000</f>
        <v>20004.673074329832</v>
      </c>
      <c r="F78" s="2256">
        <f>F79*F87*12/1000</f>
        <v>20802.027295020318</v>
      </c>
      <c r="G78" s="2257">
        <f t="shared" si="9"/>
        <v>20403.350184675073</v>
      </c>
      <c r="H78" s="2256">
        <f>H79*H87*12/1000</f>
        <v>22241.16206755169</v>
      </c>
      <c r="I78" s="2256">
        <f>I79*I87*12/1000</f>
        <v>22916.133659058607</v>
      </c>
      <c r="J78" s="2257">
        <f t="shared" si="10"/>
        <v>22578.647863305148</v>
      </c>
      <c r="K78" s="2256">
        <f>K79*K87*12/1000</f>
        <v>22564.814270707633</v>
      </c>
      <c r="L78" s="2256">
        <f>L79*L87*12/1000</f>
        <v>23699.058969587841</v>
      </c>
      <c r="M78" s="2259">
        <f t="shared" si="11"/>
        <v>23131.936620147739</v>
      </c>
      <c r="N78" s="2357">
        <f>N79*N87*12/1000</f>
        <v>19647.863343555109</v>
      </c>
      <c r="O78" s="2357">
        <f>O79*O87*12/1000</f>
        <v>21062.50950429108</v>
      </c>
      <c r="P78" s="2258">
        <f t="shared" si="12"/>
        <v>20355.186423923093</v>
      </c>
      <c r="Q78" s="2284">
        <f>Q79*Q87*12/1000</f>
        <v>21062.50950429108</v>
      </c>
      <c r="R78" s="2256">
        <f>R79*R87*12/1000</f>
        <v>21905.009884462721</v>
      </c>
      <c r="S78" s="2259">
        <f t="shared" si="13"/>
        <v>21483.759694376902</v>
      </c>
      <c r="T78" s="2284">
        <f>T79*T87*12/1000</f>
        <v>21905.009884462721</v>
      </c>
      <c r="U78" s="2256">
        <f>U79*U87*12/1000</f>
        <v>22781.210279841231</v>
      </c>
      <c r="V78" s="2258">
        <f t="shared" si="14"/>
        <v>22343.110082151976</v>
      </c>
      <c r="W78" s="2284">
        <f>W79*W87*12/1000</f>
        <v>22781.210279841231</v>
      </c>
      <c r="X78" s="2256">
        <f>X79*X87*12/1000</f>
        <v>23692.458691034881</v>
      </c>
      <c r="Y78" s="2258">
        <f t="shared" si="15"/>
        <v>23236.834485438056</v>
      </c>
      <c r="Z78" s="2284">
        <f>Z79*Z87*12/1000</f>
        <v>23692.458691034881</v>
      </c>
      <c r="AA78" s="2256">
        <f>AA79*AA87*12/1000</f>
        <v>24640.157038676276</v>
      </c>
      <c r="AB78" s="2259">
        <f t="shared" si="16"/>
        <v>24166.307864855578</v>
      </c>
      <c r="AC78" s="2593">
        <f t="shared" si="25"/>
        <v>0</v>
      </c>
    </row>
    <row r="79" spans="1:29" s="2218" customFormat="1" ht="30.75" customHeight="1">
      <c r="A79" s="2235">
        <v>617</v>
      </c>
      <c r="B79" s="2279" t="s">
        <v>1886</v>
      </c>
      <c r="C79" s="2280" t="s">
        <v>1887</v>
      </c>
      <c r="D79" s="2500" t="s">
        <v>1888</v>
      </c>
      <c r="E79" s="2255">
        <f>E80+E81+E82+E85+E86</f>
        <v>36624.348713520019</v>
      </c>
      <c r="F79" s="2256">
        <f>F80+F81+F82+F85+F86</f>
        <v>38084.136579997998</v>
      </c>
      <c r="G79" s="2257">
        <f t="shared" si="9"/>
        <v>37354.242646759012</v>
      </c>
      <c r="H79" s="2256">
        <f>H80+H81+H82+H85+H86</f>
        <v>37068.603445919485</v>
      </c>
      <c r="I79" s="2256">
        <f>I80+I81+I82+I85+I86</f>
        <v>38193.556098431014</v>
      </c>
      <c r="J79" s="2257">
        <f t="shared" si="10"/>
        <v>37631.079772175246</v>
      </c>
      <c r="K79" s="2256">
        <f>K80+K81+K82+K85+K86</f>
        <v>52233.366367378781</v>
      </c>
      <c r="L79" s="2256">
        <f>L80+L81+L82+L85+L86</f>
        <v>54858.932799971852</v>
      </c>
      <c r="M79" s="2259">
        <f t="shared" si="11"/>
        <v>53546.149583675317</v>
      </c>
      <c r="N79" s="2891">
        <f>N80+N81+N82+N85+N86</f>
        <v>58150.468767970175</v>
      </c>
      <c r="O79" s="2887">
        <f>O80+O81+O82+O85+O86</f>
        <v>62337.302519264034</v>
      </c>
      <c r="P79" s="2258">
        <f t="shared" si="12"/>
        <v>60243.885643617105</v>
      </c>
      <c r="Q79" s="2294">
        <f>Q80+Q81+Q82+Q85+Q86</f>
        <v>62337.302519264034</v>
      </c>
      <c r="R79" s="2256">
        <f>R80+R81+R82+R85+R86</f>
        <v>64830.794620034605</v>
      </c>
      <c r="S79" s="2259">
        <f t="shared" si="13"/>
        <v>63584.04856964932</v>
      </c>
      <c r="T79" s="2294">
        <f>T80+T81+T82+T85+T86</f>
        <v>64830.794620034605</v>
      </c>
      <c r="U79" s="2256">
        <f>U80+U81+U82+U85+U86</f>
        <v>67424.026404835982</v>
      </c>
      <c r="V79" s="2258">
        <f t="shared" si="14"/>
        <v>66127.410512435294</v>
      </c>
      <c r="W79" s="2294">
        <f>W80+W81+W82+W85+W86</f>
        <v>67424.026404835982</v>
      </c>
      <c r="X79" s="2256">
        <f>X80+X81+X82+X85+X86</f>
        <v>70120.987461029421</v>
      </c>
      <c r="Y79" s="2258">
        <f t="shared" si="15"/>
        <v>68772.506932932709</v>
      </c>
      <c r="Z79" s="2294">
        <f>Z80+Z81+Z82+Z85+Z86</f>
        <v>70120.987461029421</v>
      </c>
      <c r="AA79" s="2256">
        <f>AA80+AA81+AA82+AA85+AA86</f>
        <v>72925.826959470607</v>
      </c>
      <c r="AB79" s="2259">
        <f t="shared" si="16"/>
        <v>71523.407210250007</v>
      </c>
      <c r="AC79" s="2593">
        <f t="shared" si="25"/>
        <v>0</v>
      </c>
    </row>
    <row r="80" spans="1:29" s="2218" customFormat="1" ht="30.75" customHeight="1">
      <c r="A80" s="2235">
        <v>288</v>
      </c>
      <c r="B80" s="2281" t="s">
        <v>1889</v>
      </c>
      <c r="C80" s="2282" t="s">
        <v>1890</v>
      </c>
      <c r="D80" s="2504" t="s">
        <v>1793</v>
      </c>
      <c r="E80" s="2284">
        <v>8574.3791121335707</v>
      </c>
      <c r="F80" s="2285">
        <v>8882.8622561665834</v>
      </c>
      <c r="G80" s="2257">
        <f t="shared" si="9"/>
        <v>8728.6206841500771</v>
      </c>
      <c r="H80" s="2285">
        <v>12714.936911085451</v>
      </c>
      <c r="I80" s="2285">
        <v>13102.30954099307</v>
      </c>
      <c r="J80" s="2257">
        <f t="shared" si="10"/>
        <v>12908.623226039261</v>
      </c>
      <c r="K80" s="2285">
        <v>15982.831357758625</v>
      </c>
      <c r="L80" s="2285">
        <v>16788.921982758624</v>
      </c>
      <c r="M80" s="2259">
        <f t="shared" si="11"/>
        <v>16385.876670258625</v>
      </c>
      <c r="N80" s="2468">
        <v>22710.982435169764</v>
      </c>
      <c r="O80" s="2296">
        <v>24346.173170501992</v>
      </c>
      <c r="P80" s="2258">
        <f t="shared" si="12"/>
        <v>23528.577802835876</v>
      </c>
      <c r="Q80" s="2284">
        <f>O80</f>
        <v>24346.173170501992</v>
      </c>
      <c r="R80" s="2285">
        <f>Q80*1.04</f>
        <v>25320.020097322071</v>
      </c>
      <c r="S80" s="2259">
        <f t="shared" si="13"/>
        <v>24833.096633912031</v>
      </c>
      <c r="T80" s="2284">
        <f>R80</f>
        <v>25320.020097322071</v>
      </c>
      <c r="U80" s="2285">
        <f>T80*1.04</f>
        <v>26332.820901214953</v>
      </c>
      <c r="V80" s="2258">
        <f t="shared" si="14"/>
        <v>25826.420499268512</v>
      </c>
      <c r="W80" s="2284">
        <f>U80</f>
        <v>26332.820901214953</v>
      </c>
      <c r="X80" s="2285">
        <f>W80*1.04</f>
        <v>27386.133737263553</v>
      </c>
      <c r="Y80" s="2258">
        <f t="shared" si="15"/>
        <v>26859.477319239253</v>
      </c>
      <c r="Z80" s="2284">
        <f>X80</f>
        <v>27386.133737263553</v>
      </c>
      <c r="AA80" s="2285">
        <f>Z80*1.04</f>
        <v>28481.579086754096</v>
      </c>
      <c r="AB80" s="2259">
        <f t="shared" si="16"/>
        <v>27933.856412008827</v>
      </c>
      <c r="AC80" s="2593">
        <f t="shared" si="25"/>
        <v>0</v>
      </c>
    </row>
    <row r="81" spans="1:29" s="2218" customFormat="1" ht="21" hidden="1" customHeight="1" outlineLevel="1">
      <c r="A81" s="2235">
        <v>297</v>
      </c>
      <c r="B81" s="2281" t="s">
        <v>1891</v>
      </c>
      <c r="C81" s="2282" t="s">
        <v>1846</v>
      </c>
      <c r="D81" s="2504" t="s">
        <v>1784</v>
      </c>
      <c r="E81" s="2284"/>
      <c r="F81" s="2285"/>
      <c r="G81" s="2257">
        <f t="shared" si="9"/>
        <v>0</v>
      </c>
      <c r="H81" s="2285"/>
      <c r="I81" s="2285"/>
      <c r="J81" s="2257">
        <f t="shared" si="10"/>
        <v>0</v>
      </c>
      <c r="K81" s="2285"/>
      <c r="L81" s="2285"/>
      <c r="M81" s="2259">
        <f t="shared" si="11"/>
        <v>0</v>
      </c>
      <c r="N81" s="2294">
        <v>0</v>
      </c>
      <c r="O81" s="2296">
        <v>0</v>
      </c>
      <c r="P81" s="2258">
        <f t="shared" si="12"/>
        <v>0</v>
      </c>
      <c r="Q81" s="2284"/>
      <c r="R81" s="2285"/>
      <c r="S81" s="2259">
        <f t="shared" si="13"/>
        <v>0</v>
      </c>
      <c r="T81" s="2284"/>
      <c r="U81" s="2285"/>
      <c r="V81" s="2258">
        <f t="shared" si="14"/>
        <v>0</v>
      </c>
      <c r="W81" s="2284"/>
      <c r="X81" s="2285"/>
      <c r="Y81" s="2258">
        <f t="shared" si="15"/>
        <v>0</v>
      </c>
      <c r="Z81" s="2284"/>
      <c r="AA81" s="2285"/>
      <c r="AB81" s="2259">
        <f t="shared" si="16"/>
        <v>0</v>
      </c>
      <c r="AC81" s="2593">
        <f t="shared" si="25"/>
        <v>0</v>
      </c>
    </row>
    <row r="82" spans="1:29" s="2218" customFormat="1" ht="21" customHeight="1" collapsed="1">
      <c r="A82" s="2235">
        <v>615</v>
      </c>
      <c r="B82" s="2279" t="s">
        <v>1892</v>
      </c>
      <c r="C82" s="2280" t="s">
        <v>1786</v>
      </c>
      <c r="D82" s="2500" t="s">
        <v>1893</v>
      </c>
      <c r="E82" s="2255">
        <f>E83*E84</f>
        <v>15333.295980210269</v>
      </c>
      <c r="F82" s="2256">
        <f>F83*F84</f>
        <v>15962.647680890541</v>
      </c>
      <c r="G82" s="2257">
        <f t="shared" si="9"/>
        <v>15647.971830550405</v>
      </c>
      <c r="H82" s="2256">
        <f>H83*H84</f>
        <v>14958.749307159354</v>
      </c>
      <c r="I82" s="2256">
        <f>I83*I84</f>
        <v>15414.481812933025</v>
      </c>
      <c r="J82" s="2257">
        <f t="shared" si="10"/>
        <v>15186.61556004619</v>
      </c>
      <c r="K82" s="2256">
        <f>K83*K84</f>
        <v>15982.831357758625</v>
      </c>
      <c r="L82" s="2256">
        <f>L83*L84</f>
        <v>16788.921982758624</v>
      </c>
      <c r="M82" s="2259">
        <f t="shared" si="11"/>
        <v>16385.876670258625</v>
      </c>
      <c r="N82" s="2255">
        <f>N83*N84</f>
        <v>17796.257301724145</v>
      </c>
      <c r="O82" s="2256">
        <f>O83*O84</f>
        <v>19077.587827448282</v>
      </c>
      <c r="P82" s="2258">
        <f t="shared" si="12"/>
        <v>18436.922564586213</v>
      </c>
      <c r="Q82" s="2255">
        <f>Q83*Q84</f>
        <v>19077.587827448282</v>
      </c>
      <c r="R82" s="2256">
        <f>R83*R84</f>
        <v>19840.691340546215</v>
      </c>
      <c r="S82" s="2259">
        <f t="shared" si="13"/>
        <v>19459.139583997247</v>
      </c>
      <c r="T82" s="2255">
        <f>T83*T84</f>
        <v>19840.691340546215</v>
      </c>
      <c r="U82" s="2256">
        <f>U83*U84</f>
        <v>20634.318994168065</v>
      </c>
      <c r="V82" s="2258">
        <f t="shared" si="14"/>
        <v>20237.50516735714</v>
      </c>
      <c r="W82" s="2255">
        <f>W83*W84</f>
        <v>20634.318994168065</v>
      </c>
      <c r="X82" s="2256">
        <f>X83*X84</f>
        <v>21459.691753934785</v>
      </c>
      <c r="Y82" s="2258">
        <f t="shared" si="15"/>
        <v>21047.005374051427</v>
      </c>
      <c r="Z82" s="2255">
        <f>Z83*Z84</f>
        <v>21459.691753934785</v>
      </c>
      <c r="AA82" s="2256">
        <f>AA83*AA84</f>
        <v>22318.079424092179</v>
      </c>
      <c r="AB82" s="2259">
        <f t="shared" si="16"/>
        <v>21888.88558901348</v>
      </c>
      <c r="AC82" s="2593">
        <f t="shared" si="25"/>
        <v>0</v>
      </c>
    </row>
    <row r="83" spans="1:29" s="2218" customFormat="1" ht="21" customHeight="1">
      <c r="A83" s="2235">
        <v>131</v>
      </c>
      <c r="B83" s="2281" t="s">
        <v>1894</v>
      </c>
      <c r="C83" s="2282" t="s">
        <v>1788</v>
      </c>
      <c r="D83" s="2504" t="s">
        <v>1784</v>
      </c>
      <c r="E83" s="2284">
        <v>5360</v>
      </c>
      <c r="F83" s="2285">
        <v>5580</v>
      </c>
      <c r="G83" s="2257">
        <f t="shared" si="9"/>
        <v>5470</v>
      </c>
      <c r="H83" s="2285">
        <v>5580</v>
      </c>
      <c r="I83" s="2285">
        <v>5750</v>
      </c>
      <c r="J83" s="2257">
        <f t="shared" si="10"/>
        <v>5665</v>
      </c>
      <c r="K83" s="2285">
        <v>5750</v>
      </c>
      <c r="L83" s="2285">
        <v>6040</v>
      </c>
      <c r="M83" s="2259">
        <f t="shared" si="11"/>
        <v>5895</v>
      </c>
      <c r="N83" s="2284">
        <v>6402.4000000000005</v>
      </c>
      <c r="O83" s="2285">
        <v>6863.372800000001</v>
      </c>
      <c r="P83" s="2258">
        <f t="shared" si="12"/>
        <v>6632.8864000000012</v>
      </c>
      <c r="Q83" s="2284">
        <f>O83</f>
        <v>6863.372800000001</v>
      </c>
      <c r="R83" s="2285">
        <f>Q83*1.04</f>
        <v>7137.9077120000011</v>
      </c>
      <c r="S83" s="2259">
        <f t="shared" si="13"/>
        <v>7000.6402560000006</v>
      </c>
      <c r="T83" s="2284">
        <f>R83</f>
        <v>7137.9077120000011</v>
      </c>
      <c r="U83" s="2285">
        <f>T83*1.04</f>
        <v>7423.4240204800017</v>
      </c>
      <c r="V83" s="2258">
        <f t="shared" si="14"/>
        <v>7280.6658662400014</v>
      </c>
      <c r="W83" s="2284">
        <f>U83</f>
        <v>7423.4240204800017</v>
      </c>
      <c r="X83" s="2285">
        <f>W83*1.04</f>
        <v>7720.3609812992017</v>
      </c>
      <c r="Y83" s="2258">
        <f t="shared" si="15"/>
        <v>7571.8925008896022</v>
      </c>
      <c r="Z83" s="2284">
        <f>X83</f>
        <v>7720.3609812992017</v>
      </c>
      <c r="AA83" s="2285">
        <f>Z83*1.04</f>
        <v>8029.1754205511697</v>
      </c>
      <c r="AB83" s="2259">
        <f t="shared" si="16"/>
        <v>7874.7682009251857</v>
      </c>
      <c r="AC83" s="2593">
        <f t="shared" si="25"/>
        <v>0</v>
      </c>
    </row>
    <row r="84" spans="1:29" s="2218" customFormat="1" ht="21" customHeight="1">
      <c r="A84" s="2235">
        <v>134</v>
      </c>
      <c r="B84" s="2281" t="s">
        <v>1895</v>
      </c>
      <c r="C84" s="2282" t="s">
        <v>1790</v>
      </c>
      <c r="D84" s="2504"/>
      <c r="E84" s="2284">
        <v>2.8606895485466919</v>
      </c>
      <c r="F84" s="2285">
        <v>2.8606895485466919</v>
      </c>
      <c r="G84" s="2257">
        <f t="shared" si="9"/>
        <v>2.8606895485466919</v>
      </c>
      <c r="H84" s="2285">
        <v>2.6807794457274827</v>
      </c>
      <c r="I84" s="2285">
        <v>2.6807794457274827</v>
      </c>
      <c r="J84" s="2257">
        <f t="shared" si="10"/>
        <v>2.6807794457274827</v>
      </c>
      <c r="K84" s="2285">
        <v>2.7796228448275868</v>
      </c>
      <c r="L84" s="2285">
        <v>2.7796228448275868</v>
      </c>
      <c r="M84" s="2259">
        <f t="shared" si="11"/>
        <v>2.7796228448275868</v>
      </c>
      <c r="N84" s="2294">
        <v>2.7796228448275868</v>
      </c>
      <c r="O84" s="2296">
        <v>2.7796228448275868</v>
      </c>
      <c r="P84" s="2258">
        <f t="shared" si="12"/>
        <v>2.7796228448275868</v>
      </c>
      <c r="Q84" s="2284">
        <f>O84</f>
        <v>2.7796228448275868</v>
      </c>
      <c r="R84" s="2285">
        <f>Q84</f>
        <v>2.7796228448275868</v>
      </c>
      <c r="S84" s="2259">
        <f t="shared" si="13"/>
        <v>2.7796228448275868</v>
      </c>
      <c r="T84" s="2284">
        <f>R84</f>
        <v>2.7796228448275868</v>
      </c>
      <c r="U84" s="2285">
        <f>T84</f>
        <v>2.7796228448275868</v>
      </c>
      <c r="V84" s="2258">
        <f t="shared" si="14"/>
        <v>2.7796228448275868</v>
      </c>
      <c r="W84" s="2284">
        <f>U84</f>
        <v>2.7796228448275868</v>
      </c>
      <c r="X84" s="2285">
        <f>W84</f>
        <v>2.7796228448275868</v>
      </c>
      <c r="Y84" s="2258">
        <f t="shared" si="15"/>
        <v>2.7796228448275868</v>
      </c>
      <c r="Z84" s="2284">
        <f>X84</f>
        <v>2.7796228448275868</v>
      </c>
      <c r="AA84" s="2285">
        <f>Z84</f>
        <v>2.7796228448275868</v>
      </c>
      <c r="AB84" s="2259">
        <f t="shared" si="16"/>
        <v>2.7796228448275868</v>
      </c>
      <c r="AC84" s="2593">
        <f t="shared" si="25"/>
        <v>0</v>
      </c>
    </row>
    <row r="85" spans="1:29" s="2218" customFormat="1" ht="21" customHeight="1">
      <c r="A85" s="2235">
        <v>618</v>
      </c>
      <c r="B85" s="2281" t="s">
        <v>1896</v>
      </c>
      <c r="C85" s="2282" t="s">
        <v>1795</v>
      </c>
      <c r="D85" s="2504" t="s">
        <v>1784</v>
      </c>
      <c r="E85" s="2284">
        <v>12716.67362117618</v>
      </c>
      <c r="F85" s="2285">
        <v>13238.626642940873</v>
      </c>
      <c r="G85" s="2257">
        <f t="shared" si="9"/>
        <v>12977.650132058527</v>
      </c>
      <c r="H85" s="2285">
        <v>9394.9172276746813</v>
      </c>
      <c r="I85" s="2285">
        <v>9676.7647445049224</v>
      </c>
      <c r="J85" s="2257">
        <f t="shared" si="10"/>
        <v>9535.8409860898028</v>
      </c>
      <c r="K85" s="2285">
        <v>20267.703651861531</v>
      </c>
      <c r="L85" s="2285">
        <v>21281.088834454607</v>
      </c>
      <c r="M85" s="2259">
        <f t="shared" si="11"/>
        <v>20774.396243158069</v>
      </c>
      <c r="N85" s="2294">
        <v>17643.229031076266</v>
      </c>
      <c r="O85" s="2296">
        <v>18913.54152131376</v>
      </c>
      <c r="P85" s="2258">
        <f t="shared" si="12"/>
        <v>18278.385276195011</v>
      </c>
      <c r="Q85" s="2284">
        <f>O85</f>
        <v>18913.54152131376</v>
      </c>
      <c r="R85" s="2285">
        <f>Q85*1.04</f>
        <v>19670.083182166312</v>
      </c>
      <c r="S85" s="2259">
        <f t="shared" si="13"/>
        <v>19291.812351740038</v>
      </c>
      <c r="T85" s="2284">
        <f>R85</f>
        <v>19670.083182166312</v>
      </c>
      <c r="U85" s="2285">
        <f>T85*1.04</f>
        <v>20456.886509452965</v>
      </c>
      <c r="V85" s="2258">
        <f t="shared" si="14"/>
        <v>20063.484845809639</v>
      </c>
      <c r="W85" s="2284">
        <f>U85</f>
        <v>20456.886509452965</v>
      </c>
      <c r="X85" s="2285">
        <f>W85*1.04</f>
        <v>21275.161969831082</v>
      </c>
      <c r="Y85" s="2258">
        <f t="shared" si="15"/>
        <v>20866.024239642022</v>
      </c>
      <c r="Z85" s="2284">
        <f>X85</f>
        <v>21275.161969831082</v>
      </c>
      <c r="AA85" s="2285">
        <f>Z85*1.04</f>
        <v>22126.168448624325</v>
      </c>
      <c r="AB85" s="2259">
        <f t="shared" si="16"/>
        <v>21700.665209227704</v>
      </c>
      <c r="AC85" s="2593">
        <f t="shared" si="25"/>
        <v>0</v>
      </c>
    </row>
    <row r="86" spans="1:29" s="2218" customFormat="1" ht="33" hidden="1" customHeight="1" outlineLevel="1">
      <c r="A86" s="2235">
        <v>619</v>
      </c>
      <c r="B86" s="2281" t="s">
        <v>1897</v>
      </c>
      <c r="C86" s="2282" t="s">
        <v>1898</v>
      </c>
      <c r="D86" s="2504" t="s">
        <v>1784</v>
      </c>
      <c r="E86" s="2284"/>
      <c r="F86" s="2285"/>
      <c r="G86" s="2257">
        <f t="shared" si="9"/>
        <v>0</v>
      </c>
      <c r="H86" s="2285"/>
      <c r="I86" s="2285"/>
      <c r="J86" s="2257">
        <f t="shared" si="10"/>
        <v>0</v>
      </c>
      <c r="K86" s="2285">
        <v>0</v>
      </c>
      <c r="L86" s="2285">
        <v>0</v>
      </c>
      <c r="M86" s="2259">
        <f t="shared" si="11"/>
        <v>0</v>
      </c>
      <c r="N86" s="2294">
        <v>0</v>
      </c>
      <c r="O86" s="2296">
        <v>0</v>
      </c>
      <c r="P86" s="2258">
        <f t="shared" si="12"/>
        <v>0</v>
      </c>
      <c r="Q86" s="2284"/>
      <c r="R86" s="2285"/>
      <c r="S86" s="2259">
        <f t="shared" si="13"/>
        <v>0</v>
      </c>
      <c r="T86" s="2284"/>
      <c r="U86" s="2285"/>
      <c r="V86" s="2258">
        <f t="shared" si="14"/>
        <v>0</v>
      </c>
      <c r="W86" s="2284"/>
      <c r="X86" s="2285"/>
      <c r="Y86" s="2258">
        <f t="shared" si="15"/>
        <v>0</v>
      </c>
      <c r="Z86" s="2284"/>
      <c r="AA86" s="2285"/>
      <c r="AB86" s="2259">
        <f t="shared" si="16"/>
        <v>0</v>
      </c>
      <c r="AC86" s="2593">
        <f t="shared" si="25"/>
        <v>0</v>
      </c>
    </row>
    <row r="87" spans="1:29" s="2218" customFormat="1" ht="42.75" customHeight="1" collapsed="1">
      <c r="A87" s="2235">
        <v>127</v>
      </c>
      <c r="B87" s="2281" t="s">
        <v>1899</v>
      </c>
      <c r="C87" s="2282" t="s">
        <v>1799</v>
      </c>
      <c r="D87" s="2504" t="s">
        <v>1800</v>
      </c>
      <c r="E87" s="2284">
        <v>45.517699237941279</v>
      </c>
      <c r="F87" s="2285">
        <v>45.517699237941279</v>
      </c>
      <c r="G87" s="2257">
        <f t="shared" si="9"/>
        <v>45.517699237941279</v>
      </c>
      <c r="H87" s="2285">
        <v>50</v>
      </c>
      <c r="I87" s="2285">
        <v>50</v>
      </c>
      <c r="J87" s="2257">
        <f t="shared" si="10"/>
        <v>50</v>
      </c>
      <c r="K87" s="2285">
        <v>36</v>
      </c>
      <c r="L87" s="2285">
        <v>36</v>
      </c>
      <c r="M87" s="2259">
        <f t="shared" si="11"/>
        <v>36</v>
      </c>
      <c r="N87" s="2888">
        <v>28.156642241861192</v>
      </c>
      <c r="O87" s="2889">
        <v>28.156642241861192</v>
      </c>
      <c r="P87" s="2258">
        <f t="shared" si="12"/>
        <v>28.156642241861192</v>
      </c>
      <c r="Q87" s="2284">
        <f t="shared" ref="Q87:Q92" si="26">O87</f>
        <v>28.156642241861192</v>
      </c>
      <c r="R87" s="2285">
        <f>Q87</f>
        <v>28.156642241861192</v>
      </c>
      <c r="S87" s="2259">
        <f t="shared" si="13"/>
        <v>28.156642241861192</v>
      </c>
      <c r="T87" s="2284">
        <f t="shared" ref="T87:T92" si="27">R87</f>
        <v>28.156642241861192</v>
      </c>
      <c r="U87" s="2285">
        <f>T87</f>
        <v>28.156642241861192</v>
      </c>
      <c r="V87" s="2258">
        <f t="shared" si="14"/>
        <v>28.156642241861192</v>
      </c>
      <c r="W87" s="2284">
        <f t="shared" ref="W87:W92" si="28">U87</f>
        <v>28.156642241861192</v>
      </c>
      <c r="X87" s="2285">
        <f>W87</f>
        <v>28.156642241861192</v>
      </c>
      <c r="Y87" s="2258">
        <f t="shared" si="15"/>
        <v>28.156642241861192</v>
      </c>
      <c r="Z87" s="2284">
        <f t="shared" ref="Z87:Z92" si="29">X87</f>
        <v>28.156642241861192</v>
      </c>
      <c r="AA87" s="2285">
        <f>Z87</f>
        <v>28.156642241861192</v>
      </c>
      <c r="AB87" s="2259">
        <f t="shared" si="16"/>
        <v>28.156642241861192</v>
      </c>
      <c r="AC87" s="2593">
        <f t="shared" si="25"/>
        <v>0</v>
      </c>
    </row>
    <row r="88" spans="1:29" s="2218" customFormat="1" ht="50.25" customHeight="1">
      <c r="A88" s="2235">
        <v>137</v>
      </c>
      <c r="B88" s="2287" t="s">
        <v>1901</v>
      </c>
      <c r="C88" s="2288" t="s">
        <v>1902</v>
      </c>
      <c r="D88" s="2505" t="s">
        <v>1317</v>
      </c>
      <c r="E88" s="2290">
        <v>5872.8000135201291</v>
      </c>
      <c r="F88" s="2291">
        <v>6048.9840139257331</v>
      </c>
      <c r="G88" s="2257">
        <f t="shared" si="9"/>
        <v>5960.8920137229306</v>
      </c>
      <c r="H88" s="2291">
        <v>6468.5257421863935</v>
      </c>
      <c r="I88" s="2291">
        <v>6664.8316322134624</v>
      </c>
      <c r="J88" s="2257">
        <f t="shared" si="10"/>
        <v>6566.6786871999284</v>
      </c>
      <c r="K88" s="2291">
        <v>6564.415188841358</v>
      </c>
      <c r="L88" s="2291">
        <v>6894.3825902951148</v>
      </c>
      <c r="M88" s="2259">
        <f t="shared" si="11"/>
        <v>6729.398889568236</v>
      </c>
      <c r="N88" s="2886">
        <v>5933.6547297536426</v>
      </c>
      <c r="O88" s="2887">
        <v>6360.8778702959053</v>
      </c>
      <c r="P88" s="2258">
        <f t="shared" si="12"/>
        <v>6147.266300024774</v>
      </c>
      <c r="Q88" s="2284">
        <f t="shared" si="26"/>
        <v>6360.8778702959053</v>
      </c>
      <c r="R88" s="2291">
        <f>Q88*1.04</f>
        <v>6615.312985107742</v>
      </c>
      <c r="S88" s="2259">
        <f t="shared" si="13"/>
        <v>6488.0954277018236</v>
      </c>
      <c r="T88" s="2284">
        <f t="shared" si="27"/>
        <v>6615.312985107742</v>
      </c>
      <c r="U88" s="2291">
        <f>T88*1.04</f>
        <v>6879.9255045120517</v>
      </c>
      <c r="V88" s="2258">
        <f t="shared" si="14"/>
        <v>6747.6192448098973</v>
      </c>
      <c r="W88" s="2284">
        <f t="shared" si="28"/>
        <v>6879.9255045120517</v>
      </c>
      <c r="X88" s="2291">
        <f>W88*1.04</f>
        <v>7155.1225246925342</v>
      </c>
      <c r="Y88" s="2258">
        <f t="shared" si="15"/>
        <v>7017.5240146022934</v>
      </c>
      <c r="Z88" s="2284">
        <f t="shared" si="29"/>
        <v>7155.1225246925342</v>
      </c>
      <c r="AA88" s="2291">
        <f>Z88*1.04</f>
        <v>7441.327425680236</v>
      </c>
      <c r="AB88" s="2259">
        <f t="shared" si="16"/>
        <v>7298.2249751863856</v>
      </c>
      <c r="AC88" s="2593">
        <f t="shared" si="25"/>
        <v>0</v>
      </c>
    </row>
    <row r="89" spans="1:29" s="2218" customFormat="1" ht="85.5" customHeight="1">
      <c r="A89" s="2235">
        <v>138</v>
      </c>
      <c r="B89" s="2281" t="s">
        <v>1904</v>
      </c>
      <c r="C89" s="2293" t="s">
        <v>1905</v>
      </c>
      <c r="D89" s="2504" t="s">
        <v>1317</v>
      </c>
      <c r="E89" s="2284"/>
      <c r="F89" s="2285"/>
      <c r="G89" s="2257">
        <f t="shared" si="9"/>
        <v>0</v>
      </c>
      <c r="H89" s="2285">
        <v>1.2029076620825145</v>
      </c>
      <c r="I89" s="2285">
        <v>1.2462123379174852</v>
      </c>
      <c r="J89" s="2257">
        <f t="shared" si="10"/>
        <v>1.2245599999999999</v>
      </c>
      <c r="K89" s="2285">
        <v>4.5824180127263823</v>
      </c>
      <c r="L89" s="2285">
        <v>4.7794619872736162</v>
      </c>
      <c r="M89" s="2259">
        <f t="shared" si="11"/>
        <v>4.6809399999999997</v>
      </c>
      <c r="N89" s="2888">
        <v>3.9624449267025676</v>
      </c>
      <c r="O89" s="2889">
        <v>648.58620105154989</v>
      </c>
      <c r="P89" s="2258">
        <f>N89/2+O89/2</f>
        <v>326.27432298912623</v>
      </c>
      <c r="Q89" s="2284">
        <f t="shared" si="26"/>
        <v>648.58620105154989</v>
      </c>
      <c r="R89" s="2285">
        <f>Q89*1.04</f>
        <v>674.52964909361197</v>
      </c>
      <c r="S89" s="2259">
        <f>Q89/2+R89/2</f>
        <v>661.55792507258093</v>
      </c>
      <c r="T89" s="2284">
        <f t="shared" si="27"/>
        <v>674.52964909361197</v>
      </c>
      <c r="U89" s="2285">
        <f>T89*1.04</f>
        <v>701.51083505735642</v>
      </c>
      <c r="V89" s="2258">
        <f>T89/2+U89/2</f>
        <v>688.02024207548425</v>
      </c>
      <c r="W89" s="2284">
        <f t="shared" si="28"/>
        <v>701.51083505735642</v>
      </c>
      <c r="X89" s="2285">
        <f>W89*1.04</f>
        <v>729.5712684596507</v>
      </c>
      <c r="Y89" s="2258">
        <f>W89/2+X89/2</f>
        <v>715.5410517585035</v>
      </c>
      <c r="Z89" s="2284">
        <f t="shared" si="29"/>
        <v>729.5712684596507</v>
      </c>
      <c r="AA89" s="2285">
        <f>Z89*1.04</f>
        <v>758.75411919803673</v>
      </c>
      <c r="AB89" s="2259">
        <f t="shared" si="16"/>
        <v>744.16269382884366</v>
      </c>
      <c r="AC89" s="2593">
        <f t="shared" si="25"/>
        <v>0</v>
      </c>
    </row>
    <row r="90" spans="1:29" s="2218" customFormat="1" ht="23.25" customHeight="1">
      <c r="A90" s="2235">
        <v>139</v>
      </c>
      <c r="B90" s="2281" t="s">
        <v>1907</v>
      </c>
      <c r="C90" s="2293" t="s">
        <v>1908</v>
      </c>
      <c r="D90" s="2504" t="s">
        <v>1317</v>
      </c>
      <c r="E90" s="2284">
        <v>226.05700917939171</v>
      </c>
      <c r="F90" s="2285">
        <v>232.83871945477347</v>
      </c>
      <c r="G90" s="2257">
        <f t="shared" si="9"/>
        <v>229.44786431708258</v>
      </c>
      <c r="H90" s="2285">
        <v>185.03250166421466</v>
      </c>
      <c r="I90" s="2285">
        <v>191.6936717241264</v>
      </c>
      <c r="J90" s="2257">
        <f t="shared" si="10"/>
        <v>188.36308669417053</v>
      </c>
      <c r="K90" s="2285">
        <v>217.73775557265921</v>
      </c>
      <c r="L90" s="2285">
        <v>227.10047906228354</v>
      </c>
      <c r="M90" s="2259">
        <f t="shared" si="11"/>
        <v>222.41911731747138</v>
      </c>
      <c r="N90" s="2888">
        <v>188.2791710674091</v>
      </c>
      <c r="O90" s="2889">
        <v>352.02195250350275</v>
      </c>
      <c r="P90" s="2258">
        <f t="shared" si="12"/>
        <v>270.15056178545592</v>
      </c>
      <c r="Q90" s="2284">
        <f t="shared" si="26"/>
        <v>352.02195250350275</v>
      </c>
      <c r="R90" s="2285">
        <f>Q90*1.04</f>
        <v>366.10283060364287</v>
      </c>
      <c r="S90" s="2259">
        <f t="shared" si="13"/>
        <v>359.06239155357281</v>
      </c>
      <c r="T90" s="2284">
        <f t="shared" si="27"/>
        <v>366.10283060364287</v>
      </c>
      <c r="U90" s="2285">
        <f>T90*1.04</f>
        <v>380.74694382778858</v>
      </c>
      <c r="V90" s="2258">
        <f t="shared" si="14"/>
        <v>373.42488721571573</v>
      </c>
      <c r="W90" s="2284">
        <f t="shared" si="28"/>
        <v>380.74694382778858</v>
      </c>
      <c r="X90" s="2285">
        <f>W90*1.04</f>
        <v>395.97682158090015</v>
      </c>
      <c r="Y90" s="2258">
        <f t="shared" si="15"/>
        <v>388.36188270434434</v>
      </c>
      <c r="Z90" s="2284">
        <f t="shared" si="29"/>
        <v>395.97682158090015</v>
      </c>
      <c r="AA90" s="2285">
        <f>Z90*1.04</f>
        <v>411.81589444413618</v>
      </c>
      <c r="AB90" s="2259">
        <f t="shared" si="16"/>
        <v>403.89635801251814</v>
      </c>
      <c r="AC90" s="2593">
        <f t="shared" si="25"/>
        <v>0</v>
      </c>
    </row>
    <row r="91" spans="1:29" s="2218" customFormat="1" ht="24" customHeight="1">
      <c r="A91" s="2235">
        <v>140</v>
      </c>
      <c r="B91" s="2281" t="s">
        <v>1909</v>
      </c>
      <c r="C91" s="2293" t="s">
        <v>1910</v>
      </c>
      <c r="D91" s="2504" t="s">
        <v>1317</v>
      </c>
      <c r="E91" s="2284">
        <v>178.05700130454386</v>
      </c>
      <c r="F91" s="2285">
        <v>183.39871134368019</v>
      </c>
      <c r="G91" s="2257">
        <f t="shared" si="9"/>
        <v>180.72785632411203</v>
      </c>
      <c r="H91" s="2285">
        <v>362.03249806253859</v>
      </c>
      <c r="I91" s="2285">
        <v>375.06566799279</v>
      </c>
      <c r="J91" s="2257">
        <f t="shared" si="10"/>
        <v>368.54908302766432</v>
      </c>
      <c r="K91" s="2285">
        <v>239.476424497236</v>
      </c>
      <c r="L91" s="2285">
        <v>249.77391075061712</v>
      </c>
      <c r="M91" s="2259">
        <f t="shared" si="11"/>
        <v>244.62516762392656</v>
      </c>
      <c r="N91" s="2888">
        <v>207.07673125380654</v>
      </c>
      <c r="O91" s="2889">
        <v>221.98625590408065</v>
      </c>
      <c r="P91" s="2258">
        <f t="shared" si="12"/>
        <v>214.53149357894358</v>
      </c>
      <c r="Q91" s="2284">
        <f t="shared" si="26"/>
        <v>221.98625590408065</v>
      </c>
      <c r="R91" s="2285">
        <f>Q91*1.04</f>
        <v>230.86570614024387</v>
      </c>
      <c r="S91" s="2259">
        <f t="shared" si="13"/>
        <v>226.42598102216226</v>
      </c>
      <c r="T91" s="2284">
        <f t="shared" si="27"/>
        <v>230.86570614024387</v>
      </c>
      <c r="U91" s="2285">
        <f>T91*1.04</f>
        <v>240.10033438585364</v>
      </c>
      <c r="V91" s="2258">
        <f t="shared" si="14"/>
        <v>235.48302026304876</v>
      </c>
      <c r="W91" s="2284">
        <f t="shared" si="28"/>
        <v>240.10033438585364</v>
      </c>
      <c r="X91" s="2285">
        <f>W91*1.04</f>
        <v>249.70434776128781</v>
      </c>
      <c r="Y91" s="2258">
        <f t="shared" si="15"/>
        <v>244.90234107357071</v>
      </c>
      <c r="Z91" s="2284">
        <f t="shared" si="29"/>
        <v>249.70434776128781</v>
      </c>
      <c r="AA91" s="2285">
        <f>Z91*1.04</f>
        <v>259.69252167173931</v>
      </c>
      <c r="AB91" s="2259">
        <f t="shared" si="16"/>
        <v>254.69843471651356</v>
      </c>
      <c r="AC91" s="2593">
        <f t="shared" si="25"/>
        <v>0</v>
      </c>
    </row>
    <row r="92" spans="1:29" s="2218" customFormat="1" ht="21" customHeight="1" thickBot="1">
      <c r="A92" s="2235">
        <v>141</v>
      </c>
      <c r="B92" s="2281" t="s">
        <v>1912</v>
      </c>
      <c r="C92" s="2293" t="s">
        <v>1913</v>
      </c>
      <c r="D92" s="2504" t="s">
        <v>1317</v>
      </c>
      <c r="E92" s="2284">
        <v>119.62738604181826</v>
      </c>
      <c r="F92" s="2285">
        <v>123.2162076230728</v>
      </c>
      <c r="G92" s="2257">
        <f t="shared" si="9"/>
        <v>121.42179683244552</v>
      </c>
      <c r="H92" s="2285">
        <v>111.1048979587129</v>
      </c>
      <c r="I92" s="2285">
        <v>115.10467428522657</v>
      </c>
      <c r="J92" s="2257">
        <f t="shared" si="10"/>
        <v>113.10478612196974</v>
      </c>
      <c r="K92" s="2285">
        <v>66.527319046870858</v>
      </c>
      <c r="L92" s="2285">
        <v>69.387993765886293</v>
      </c>
      <c r="M92" s="2259">
        <f t="shared" si="11"/>
        <v>67.957656406378575</v>
      </c>
      <c r="N92" s="2888">
        <v>57.526580314648569</v>
      </c>
      <c r="O92" s="2889">
        <v>77.62186117412827</v>
      </c>
      <c r="P92" s="2258">
        <f t="shared" si="12"/>
        <v>67.574220744388413</v>
      </c>
      <c r="Q92" s="2284">
        <f t="shared" si="26"/>
        <v>77.62186117412827</v>
      </c>
      <c r="R92" s="2285">
        <f>Q92*1.04</f>
        <v>80.726735621093397</v>
      </c>
      <c r="S92" s="2259">
        <f t="shared" si="13"/>
        <v>79.174298397610841</v>
      </c>
      <c r="T92" s="2284">
        <f t="shared" si="27"/>
        <v>80.726735621093397</v>
      </c>
      <c r="U92" s="2285">
        <f>T92*1.04</f>
        <v>83.95580504593714</v>
      </c>
      <c r="V92" s="2258">
        <f t="shared" si="14"/>
        <v>82.341270333515268</v>
      </c>
      <c r="W92" s="2284">
        <f t="shared" si="28"/>
        <v>83.95580504593714</v>
      </c>
      <c r="X92" s="2285">
        <f>W92*1.04</f>
        <v>87.314037247774635</v>
      </c>
      <c r="Y92" s="2258">
        <f t="shared" si="15"/>
        <v>85.634921146855888</v>
      </c>
      <c r="Z92" s="2284">
        <f t="shared" si="29"/>
        <v>87.314037247774635</v>
      </c>
      <c r="AA92" s="2285">
        <f>Z92*1.04</f>
        <v>90.806598737685619</v>
      </c>
      <c r="AB92" s="2259">
        <f t="shared" si="16"/>
        <v>89.06031799273012</v>
      </c>
      <c r="AC92" s="2593">
        <f t="shared" si="25"/>
        <v>0</v>
      </c>
    </row>
    <row r="93" spans="1:29" s="2218" customFormat="1" ht="21" hidden="1" customHeight="1" outlineLevel="1">
      <c r="A93" s="2235">
        <v>142</v>
      </c>
      <c r="B93" s="2279" t="s">
        <v>1915</v>
      </c>
      <c r="C93" s="2295" t="s">
        <v>1916</v>
      </c>
      <c r="D93" s="2500" t="s">
        <v>1317</v>
      </c>
      <c r="E93" s="2255">
        <f>E94+E95</f>
        <v>0</v>
      </c>
      <c r="F93" s="2256">
        <f>F94+F95</f>
        <v>0</v>
      </c>
      <c r="G93" s="2257">
        <f t="shared" si="9"/>
        <v>0</v>
      </c>
      <c r="H93" s="2256">
        <f>H94+H95</f>
        <v>0</v>
      </c>
      <c r="I93" s="2256">
        <f>I94+I95</f>
        <v>0</v>
      </c>
      <c r="J93" s="2257">
        <f t="shared" si="10"/>
        <v>0</v>
      </c>
      <c r="K93" s="2256">
        <f>K94+K95</f>
        <v>0</v>
      </c>
      <c r="L93" s="2256">
        <f>L94+L95</f>
        <v>0</v>
      </c>
      <c r="M93" s="2259">
        <f t="shared" si="11"/>
        <v>0</v>
      </c>
      <c r="N93" s="2255">
        <v>0</v>
      </c>
      <c r="O93" s="2256">
        <v>0</v>
      </c>
      <c r="P93" s="2258">
        <f t="shared" si="12"/>
        <v>0</v>
      </c>
      <c r="Q93" s="2255">
        <f>Q94+Q95</f>
        <v>0</v>
      </c>
      <c r="R93" s="2256">
        <f>R94+R95</f>
        <v>0</v>
      </c>
      <c r="S93" s="2259">
        <f t="shared" si="13"/>
        <v>0</v>
      </c>
      <c r="T93" s="2255">
        <f>T94+T95</f>
        <v>0</v>
      </c>
      <c r="U93" s="2256">
        <f>U94+U95</f>
        <v>0</v>
      </c>
      <c r="V93" s="2258">
        <f t="shared" si="14"/>
        <v>0</v>
      </c>
      <c r="W93" s="2255">
        <f>W94+W95</f>
        <v>0</v>
      </c>
      <c r="X93" s="2256">
        <f>X94+X95</f>
        <v>0</v>
      </c>
      <c r="Y93" s="2258">
        <f t="shared" si="15"/>
        <v>0</v>
      </c>
      <c r="Z93" s="2255">
        <f>Z94+Z95</f>
        <v>0</v>
      </c>
      <c r="AA93" s="2256">
        <f>AA94+AA95</f>
        <v>0</v>
      </c>
      <c r="AB93" s="2259">
        <f t="shared" si="16"/>
        <v>0</v>
      </c>
      <c r="AC93" s="2593">
        <f t="shared" si="25"/>
        <v>0</v>
      </c>
    </row>
    <row r="94" spans="1:29" s="2218" customFormat="1" ht="44.25" hidden="1" customHeight="1" outlineLevel="1">
      <c r="A94" s="2235">
        <v>143</v>
      </c>
      <c r="B94" s="2281" t="s">
        <v>1917</v>
      </c>
      <c r="C94" s="2282" t="s">
        <v>1918</v>
      </c>
      <c r="D94" s="2504" t="s">
        <v>1317</v>
      </c>
      <c r="E94" s="2284"/>
      <c r="F94" s="2285"/>
      <c r="G94" s="2257">
        <f t="shared" si="9"/>
        <v>0</v>
      </c>
      <c r="H94" s="2285"/>
      <c r="I94" s="2285"/>
      <c r="J94" s="2257">
        <f t="shared" si="10"/>
        <v>0</v>
      </c>
      <c r="K94" s="2285"/>
      <c r="L94" s="2285"/>
      <c r="M94" s="2259">
        <f t="shared" si="11"/>
        <v>0</v>
      </c>
      <c r="N94" s="2284">
        <v>0</v>
      </c>
      <c r="O94" s="2285">
        <v>0</v>
      </c>
      <c r="P94" s="2258">
        <f t="shared" si="12"/>
        <v>0</v>
      </c>
      <c r="Q94" s="2284"/>
      <c r="R94" s="2285"/>
      <c r="S94" s="2259">
        <f t="shared" si="13"/>
        <v>0</v>
      </c>
      <c r="T94" s="2284"/>
      <c r="U94" s="2285"/>
      <c r="V94" s="2258">
        <f t="shared" si="14"/>
        <v>0</v>
      </c>
      <c r="W94" s="2284"/>
      <c r="X94" s="2285"/>
      <c r="Y94" s="2258">
        <f t="shared" si="15"/>
        <v>0</v>
      </c>
      <c r="Z94" s="2284"/>
      <c r="AA94" s="2285"/>
      <c r="AB94" s="2259">
        <f t="shared" si="16"/>
        <v>0</v>
      </c>
      <c r="AC94" s="2593">
        <f t="shared" si="25"/>
        <v>0</v>
      </c>
    </row>
    <row r="95" spans="1:29" s="2218" customFormat="1" ht="20.25" hidden="1" customHeight="1" outlineLevel="1" thickBot="1">
      <c r="A95" s="2235">
        <v>144</v>
      </c>
      <c r="B95" s="2297" t="s">
        <v>1919</v>
      </c>
      <c r="C95" s="2298" t="s">
        <v>1920</v>
      </c>
      <c r="D95" s="2507" t="s">
        <v>1317</v>
      </c>
      <c r="E95" s="2300"/>
      <c r="F95" s="2301"/>
      <c r="G95" s="2266">
        <f t="shared" si="9"/>
        <v>0</v>
      </c>
      <c r="H95" s="2301"/>
      <c r="I95" s="2301"/>
      <c r="J95" s="2266">
        <f t="shared" si="10"/>
        <v>0</v>
      </c>
      <c r="K95" s="2301"/>
      <c r="L95" s="2301"/>
      <c r="M95" s="2268">
        <f t="shared" si="11"/>
        <v>0</v>
      </c>
      <c r="N95" s="2300">
        <v>0</v>
      </c>
      <c r="O95" s="2301">
        <v>0</v>
      </c>
      <c r="P95" s="2267">
        <f t="shared" si="12"/>
        <v>0</v>
      </c>
      <c r="Q95" s="2300"/>
      <c r="R95" s="2301"/>
      <c r="S95" s="2268">
        <f t="shared" si="13"/>
        <v>0</v>
      </c>
      <c r="T95" s="2300"/>
      <c r="U95" s="2301"/>
      <c r="V95" s="2267">
        <f t="shared" si="14"/>
        <v>0</v>
      </c>
      <c r="W95" s="2300"/>
      <c r="X95" s="2301"/>
      <c r="Y95" s="2267">
        <f t="shared" si="15"/>
        <v>0</v>
      </c>
      <c r="Z95" s="2300"/>
      <c r="AA95" s="2301"/>
      <c r="AB95" s="2268">
        <f t="shared" si="16"/>
        <v>0</v>
      </c>
      <c r="AC95" s="2593">
        <f t="shared" si="25"/>
        <v>0</v>
      </c>
    </row>
    <row r="96" spans="1:29" s="2218" customFormat="1" ht="18.75" collapsed="1">
      <c r="A96" s="2235">
        <v>5</v>
      </c>
      <c r="B96" s="2323" t="s">
        <v>85</v>
      </c>
      <c r="C96" s="2324" t="s">
        <v>1921</v>
      </c>
      <c r="D96" s="2511" t="s">
        <v>1313</v>
      </c>
      <c r="E96" s="2325">
        <f>E97+E98+E102+E103+E104+E105</f>
        <v>0</v>
      </c>
      <c r="F96" s="2325">
        <f>F97+F98+F102+F103+F104+F105</f>
        <v>0</v>
      </c>
      <c r="G96" s="2326">
        <f t="shared" si="9"/>
        <v>0</v>
      </c>
      <c r="H96" s="2326">
        <f>H97+H98+H102+H103+H104+H105</f>
        <v>0</v>
      </c>
      <c r="I96" s="2477">
        <f>I97+I98+I102+I103+I104+I105</f>
        <v>0</v>
      </c>
      <c r="J96" s="2478">
        <f t="shared" si="10"/>
        <v>0</v>
      </c>
      <c r="K96" s="2326">
        <f>K97+K98+K102+K103+K104+K105+K113</f>
        <v>15068.509960260511</v>
      </c>
      <c r="L96" s="2479">
        <f>L97+L98+L102+L103+L104+L105+L113</f>
        <v>15725.576439042305</v>
      </c>
      <c r="M96" s="2512">
        <f t="shared" si="11"/>
        <v>15397.043199651409</v>
      </c>
      <c r="N96" s="2513">
        <v>15834.30671689454</v>
      </c>
      <c r="O96" s="2514">
        <v>24523.554377314191</v>
      </c>
      <c r="P96" s="2515">
        <f t="shared" si="12"/>
        <v>20178.930547104366</v>
      </c>
      <c r="Q96" s="2513">
        <f>Q97+Q98+Q102+Q103+Q104+Q105+Q113</f>
        <v>24523.554081472932</v>
      </c>
      <c r="R96" s="2479">
        <f>R97+R98+R102+R103+R104+R105+R113</f>
        <v>25504.49624473185</v>
      </c>
      <c r="S96" s="2516">
        <f t="shared" si="13"/>
        <v>25014.025163102393</v>
      </c>
      <c r="T96" s="2513">
        <f>T97+T98+T102+T103+T104+T105+T113</f>
        <v>25504.49624473185</v>
      </c>
      <c r="U96" s="2479">
        <f>U97+U98+U102+U103+U104+U105+U113</f>
        <v>26519.017589656451</v>
      </c>
      <c r="V96" s="2517">
        <f t="shared" si="14"/>
        <v>26011.75691719415</v>
      </c>
      <c r="W96" s="2513">
        <f>W97+W98+W102+W103+W104+W105+W113</f>
        <v>26519.017589656451</v>
      </c>
      <c r="X96" s="2325">
        <f>X97+X98+X102+X103+X104+X105+X113</f>
        <v>27579.778293242707</v>
      </c>
      <c r="Y96" s="2517">
        <f t="shared" si="15"/>
        <v>27049.397941449577</v>
      </c>
      <c r="Z96" s="2513">
        <f>Z97+Z98+Z102+Z103+Z104+Z105+Z113</f>
        <v>27579.778293242707</v>
      </c>
      <c r="AA96" s="2325">
        <f>AA97+AA98+AA102+AA103+AA104+AA105+AA113</f>
        <v>28682.969424972416</v>
      </c>
      <c r="AB96" s="2665">
        <f t="shared" si="16"/>
        <v>28131.37385910756</v>
      </c>
      <c r="AC96" s="2593">
        <f t="shared" si="25"/>
        <v>0</v>
      </c>
    </row>
    <row r="97" spans="1:29" s="2218" customFormat="1" ht="47.25">
      <c r="A97" s="2235"/>
      <c r="B97" s="2328" t="s">
        <v>14982</v>
      </c>
      <c r="C97" s="2329" t="s">
        <v>14983</v>
      </c>
      <c r="D97" s="2518" t="s">
        <v>1317</v>
      </c>
      <c r="E97" s="2331"/>
      <c r="F97" s="2331"/>
      <c r="G97" s="2332">
        <f t="shared" si="9"/>
        <v>0</v>
      </c>
      <c r="H97" s="2331"/>
      <c r="I97" s="2331"/>
      <c r="J97" s="2332">
        <f t="shared" si="10"/>
        <v>0</v>
      </c>
      <c r="K97" s="2472">
        <v>30.550969954807975</v>
      </c>
      <c r="L97" s="2472">
        <v>31.864661662864716</v>
      </c>
      <c r="M97" s="2332">
        <f t="shared" si="11"/>
        <v>31.207815808836344</v>
      </c>
      <c r="N97" s="2284">
        <v>26.417610869866266</v>
      </c>
      <c r="O97" s="2286">
        <v>28.319678852496644</v>
      </c>
      <c r="P97" s="2332">
        <f t="shared" si="12"/>
        <v>27.368644861181455</v>
      </c>
      <c r="Q97" s="2284">
        <f>O97</f>
        <v>28.319678852496644</v>
      </c>
      <c r="R97" s="2472">
        <f>Q97*1.04</f>
        <v>29.452466006596509</v>
      </c>
      <c r="S97" s="2334">
        <f t="shared" si="13"/>
        <v>28.886072429546577</v>
      </c>
      <c r="T97" s="2284">
        <f>R97</f>
        <v>29.452466006596509</v>
      </c>
      <c r="U97" s="2472">
        <f>T97*1.04</f>
        <v>30.630564646860371</v>
      </c>
      <c r="V97" s="2332">
        <f t="shared" si="14"/>
        <v>30.04151532672844</v>
      </c>
      <c r="W97" s="2284">
        <f>U97</f>
        <v>30.630564646860371</v>
      </c>
      <c r="X97" s="2331">
        <f>W97*1.04</f>
        <v>31.855787232734787</v>
      </c>
      <c r="Y97" s="2332">
        <f t="shared" si="15"/>
        <v>31.243175939797581</v>
      </c>
      <c r="Z97" s="2284">
        <f>X97</f>
        <v>31.855787232734787</v>
      </c>
      <c r="AA97" s="2331">
        <f>Z97*1.04</f>
        <v>33.130018722044177</v>
      </c>
      <c r="AB97" s="2334">
        <f t="shared" si="16"/>
        <v>32.492902977389484</v>
      </c>
      <c r="AC97" s="2593">
        <f t="shared" si="25"/>
        <v>0</v>
      </c>
    </row>
    <row r="98" spans="1:29" s="2218" customFormat="1" ht="31.5">
      <c r="A98" s="2235"/>
      <c r="B98" s="2328" t="s">
        <v>14984</v>
      </c>
      <c r="C98" s="2336" t="s">
        <v>14985</v>
      </c>
      <c r="D98" s="2520" t="s">
        <v>1128</v>
      </c>
      <c r="E98" s="2331">
        <f>E99+E100+E101</f>
        <v>0</v>
      </c>
      <c r="F98" s="2331">
        <f>F99+F100+F101</f>
        <v>0</v>
      </c>
      <c r="G98" s="2332">
        <f t="shared" si="9"/>
        <v>0</v>
      </c>
      <c r="H98" s="2331">
        <f>H99+H100+H101</f>
        <v>0</v>
      </c>
      <c r="I98" s="2331">
        <f>I99+I100+I101</f>
        <v>0</v>
      </c>
      <c r="J98" s="2332">
        <f t="shared" si="10"/>
        <v>0</v>
      </c>
      <c r="K98" s="2331">
        <f>K99+K100+K101</f>
        <v>56.064736078840802</v>
      </c>
      <c r="L98" s="2331">
        <f>L99+L100+L101</f>
        <v>58.47551973023095</v>
      </c>
      <c r="M98" s="2332">
        <f t="shared" si="11"/>
        <v>57.270127904535876</v>
      </c>
      <c r="N98" s="2284">
        <v>48.479520730224138</v>
      </c>
      <c r="O98" s="2286">
        <v>51.970046222800285</v>
      </c>
      <c r="P98" s="2332">
        <f t="shared" si="12"/>
        <v>50.224783476512215</v>
      </c>
      <c r="Q98" s="2284">
        <f>Q99+Q100+Q101</f>
        <v>51.970046222800278</v>
      </c>
      <c r="R98" s="2472">
        <f>R99+R100+R101</f>
        <v>54.048848071712293</v>
      </c>
      <c r="S98" s="2521">
        <f t="shared" si="13"/>
        <v>53.009447147256282</v>
      </c>
      <c r="T98" s="2284">
        <f>T99+T100+T101</f>
        <v>54.048848071712293</v>
      </c>
      <c r="U98" s="2331">
        <f>U99+U100+U101</f>
        <v>56.210801994580791</v>
      </c>
      <c r="V98" s="2332">
        <f t="shared" si="14"/>
        <v>55.129825033146545</v>
      </c>
      <c r="W98" s="2284">
        <f>W99+W100+W101</f>
        <v>56.210801994580791</v>
      </c>
      <c r="X98" s="2331">
        <f>X99+X100+X101</f>
        <v>58.459234074364026</v>
      </c>
      <c r="Y98" s="2522">
        <f t="shared" si="15"/>
        <v>57.335018034472412</v>
      </c>
      <c r="Z98" s="2284">
        <f>Z99+Z100+Z101</f>
        <v>58.459234074364026</v>
      </c>
      <c r="AA98" s="2331">
        <f>AA99+AA100+AA101</f>
        <v>60.797603437338587</v>
      </c>
      <c r="AB98" s="2521">
        <f t="shared" si="16"/>
        <v>59.628418755851307</v>
      </c>
      <c r="AC98" s="2593">
        <f t="shared" si="25"/>
        <v>0</v>
      </c>
    </row>
    <row r="99" spans="1:29" s="2218" customFormat="1">
      <c r="A99" s="2235"/>
      <c r="B99" s="2338" t="s">
        <v>14986</v>
      </c>
      <c r="C99" s="2329" t="s">
        <v>14987</v>
      </c>
      <c r="D99" s="2518" t="s">
        <v>1317</v>
      </c>
      <c r="E99" s="2331"/>
      <c r="F99" s="2331"/>
      <c r="G99" s="2332">
        <f t="shared" si="9"/>
        <v>0</v>
      </c>
      <c r="H99" s="2331"/>
      <c r="I99" s="2331"/>
      <c r="J99" s="2332">
        <f t="shared" si="10"/>
        <v>0</v>
      </c>
      <c r="K99" s="2331"/>
      <c r="L99" s="2331"/>
      <c r="M99" s="2332">
        <f t="shared" si="11"/>
        <v>0</v>
      </c>
      <c r="N99" s="2284">
        <v>0</v>
      </c>
      <c r="O99" s="2286">
        <v>0</v>
      </c>
      <c r="P99" s="2332">
        <f t="shared" si="12"/>
        <v>0</v>
      </c>
      <c r="Q99" s="2284">
        <f t="shared" ref="Q99:Q112" si="30">O99</f>
        <v>0</v>
      </c>
      <c r="R99" s="2472">
        <f t="shared" ref="R99:R112" si="31">Q99*1.04</f>
        <v>0</v>
      </c>
      <c r="S99" s="2334">
        <f t="shared" si="13"/>
        <v>0</v>
      </c>
      <c r="T99" s="2284">
        <f t="shared" ref="T99:T104" si="32">R99</f>
        <v>0</v>
      </c>
      <c r="U99" s="2331">
        <f t="shared" ref="U99:U104" si="33">T99*1.04</f>
        <v>0</v>
      </c>
      <c r="V99" s="2332">
        <f t="shared" si="14"/>
        <v>0</v>
      </c>
      <c r="W99" s="2284">
        <f t="shared" ref="W99:W104" si="34">U99</f>
        <v>0</v>
      </c>
      <c r="X99" s="2331">
        <f t="shared" ref="X99:X104" si="35">W99*1.04</f>
        <v>0</v>
      </c>
      <c r="Y99" s="2522">
        <f t="shared" si="15"/>
        <v>0</v>
      </c>
      <c r="Z99" s="2284">
        <f t="shared" ref="Z99:Z104" si="36">X99</f>
        <v>0</v>
      </c>
      <c r="AA99" s="2331">
        <f t="shared" ref="AA99:AA104" si="37">Z99*1.04</f>
        <v>0</v>
      </c>
      <c r="AB99" s="2334">
        <f t="shared" si="16"/>
        <v>0</v>
      </c>
      <c r="AC99" s="2593">
        <f t="shared" si="25"/>
        <v>0</v>
      </c>
    </row>
    <row r="100" spans="1:29" s="2218" customFormat="1" ht="47.25">
      <c r="A100" s="2235"/>
      <c r="B100" s="2338" t="s">
        <v>14988</v>
      </c>
      <c r="C100" s="2329" t="s">
        <v>14989</v>
      </c>
      <c r="D100" s="2518" t="s">
        <v>1317</v>
      </c>
      <c r="E100" s="2331"/>
      <c r="F100" s="2331"/>
      <c r="G100" s="2332">
        <f t="shared" si="9"/>
        <v>0</v>
      </c>
      <c r="H100" s="2331"/>
      <c r="I100" s="2331"/>
      <c r="J100" s="2332">
        <f t="shared" si="10"/>
        <v>0</v>
      </c>
      <c r="K100" s="2472">
        <v>51.231483975001204</v>
      </c>
      <c r="L100" s="2472">
        <v>53.434437785926249</v>
      </c>
      <c r="M100" s="2332">
        <f t="shared" si="11"/>
        <v>52.33296088046373</v>
      </c>
      <c r="N100" s="2284">
        <v>44.300178028369835</v>
      </c>
      <c r="O100" s="2286">
        <v>47.489790846412461</v>
      </c>
      <c r="P100" s="2332">
        <f t="shared" si="12"/>
        <v>45.894984437391145</v>
      </c>
      <c r="Q100" s="2284">
        <f t="shared" si="30"/>
        <v>47.489790846412461</v>
      </c>
      <c r="R100" s="2472">
        <f t="shared" si="31"/>
        <v>49.389382480268964</v>
      </c>
      <c r="S100" s="2334">
        <f t="shared" si="13"/>
        <v>48.439586663340712</v>
      </c>
      <c r="T100" s="2284">
        <f t="shared" si="32"/>
        <v>49.389382480268964</v>
      </c>
      <c r="U100" s="2472">
        <f t="shared" si="33"/>
        <v>51.364957779479724</v>
      </c>
      <c r="V100" s="2332">
        <f t="shared" si="14"/>
        <v>50.377170129874344</v>
      </c>
      <c r="W100" s="2284">
        <f t="shared" si="34"/>
        <v>51.364957779479724</v>
      </c>
      <c r="X100" s="2331">
        <f t="shared" si="35"/>
        <v>53.419556090658915</v>
      </c>
      <c r="Y100" s="2522">
        <f t="shared" si="15"/>
        <v>52.392256935069319</v>
      </c>
      <c r="Z100" s="2284">
        <f t="shared" si="36"/>
        <v>53.419556090658915</v>
      </c>
      <c r="AA100" s="2331">
        <f t="shared" si="37"/>
        <v>55.556338334285272</v>
      </c>
      <c r="AB100" s="2334">
        <f t="shared" si="16"/>
        <v>54.487947212472093</v>
      </c>
      <c r="AC100" s="2593">
        <f t="shared" si="25"/>
        <v>0</v>
      </c>
    </row>
    <row r="101" spans="1:29" s="2218" customFormat="1" ht="47.25">
      <c r="A101" s="2235"/>
      <c r="B101" s="2338" t="s">
        <v>14990</v>
      </c>
      <c r="C101" s="2329" t="s">
        <v>14991</v>
      </c>
      <c r="D101" s="2518" t="s">
        <v>1317</v>
      </c>
      <c r="E101" s="2339"/>
      <c r="F101" s="2339"/>
      <c r="G101" s="2332">
        <f t="shared" si="9"/>
        <v>0</v>
      </c>
      <c r="H101" s="2339"/>
      <c r="I101" s="2339"/>
      <c r="J101" s="2332">
        <f t="shared" si="10"/>
        <v>0</v>
      </c>
      <c r="K101" s="2340">
        <f>4.93716702407215/1.0215</f>
        <v>4.8332521038395981</v>
      </c>
      <c r="L101" s="2340">
        <f>K101*1.043</f>
        <v>5.0410819443047004</v>
      </c>
      <c r="M101" s="2332">
        <f t="shared" si="11"/>
        <v>4.9371670240721492</v>
      </c>
      <c r="N101" s="2284">
        <v>4.1793427018543081</v>
      </c>
      <c r="O101" s="2286">
        <v>4.4802553763878183</v>
      </c>
      <c r="P101" s="2332">
        <f t="shared" si="12"/>
        <v>4.3297990391210632</v>
      </c>
      <c r="Q101" s="2284">
        <f t="shared" si="30"/>
        <v>4.4802553763878183</v>
      </c>
      <c r="R101" s="2340">
        <f t="shared" si="31"/>
        <v>4.6594655914433316</v>
      </c>
      <c r="S101" s="2524">
        <f t="shared" si="13"/>
        <v>4.5698604839155745</v>
      </c>
      <c r="T101" s="2284">
        <f t="shared" si="32"/>
        <v>4.6594655914433316</v>
      </c>
      <c r="U101" s="2340">
        <f t="shared" si="33"/>
        <v>4.8458442151010654</v>
      </c>
      <c r="V101" s="2332">
        <f t="shared" si="14"/>
        <v>4.7526549032721981</v>
      </c>
      <c r="W101" s="2284">
        <f t="shared" si="34"/>
        <v>4.8458442151010654</v>
      </c>
      <c r="X101" s="2331">
        <f t="shared" si="35"/>
        <v>5.0396779837051087</v>
      </c>
      <c r="Y101" s="2522">
        <f t="shared" si="15"/>
        <v>4.9427610994030875</v>
      </c>
      <c r="Z101" s="2284">
        <f t="shared" si="36"/>
        <v>5.0396779837051087</v>
      </c>
      <c r="AA101" s="2331">
        <f t="shared" si="37"/>
        <v>5.2412651030533128</v>
      </c>
      <c r="AB101" s="2524">
        <f t="shared" si="16"/>
        <v>5.1404715433792108</v>
      </c>
      <c r="AC101" s="2593">
        <f t="shared" si="25"/>
        <v>0</v>
      </c>
    </row>
    <row r="102" spans="1:29" s="2218" customFormat="1" ht="31.5">
      <c r="A102" s="2235"/>
      <c r="B102" s="2328" t="s">
        <v>14992</v>
      </c>
      <c r="C102" s="2338" t="s">
        <v>14993</v>
      </c>
      <c r="D102" s="2525" t="s">
        <v>1317</v>
      </c>
      <c r="E102" s="2331"/>
      <c r="F102" s="2331"/>
      <c r="G102" s="2332">
        <f t="shared" si="9"/>
        <v>0</v>
      </c>
      <c r="H102" s="2331"/>
      <c r="I102" s="2331"/>
      <c r="J102" s="2332">
        <f t="shared" si="10"/>
        <v>0</v>
      </c>
      <c r="K102" s="2331"/>
      <c r="L102" s="2331"/>
      <c r="M102" s="2332">
        <f t="shared" si="11"/>
        <v>0</v>
      </c>
      <c r="N102" s="2284">
        <v>0</v>
      </c>
      <c r="O102" s="2286">
        <v>0</v>
      </c>
      <c r="P102" s="2332">
        <f t="shared" si="12"/>
        <v>0</v>
      </c>
      <c r="Q102" s="2284">
        <f t="shared" si="30"/>
        <v>0</v>
      </c>
      <c r="R102" s="2331">
        <f t="shared" si="31"/>
        <v>0</v>
      </c>
      <c r="S102" s="2526">
        <f t="shared" si="13"/>
        <v>0</v>
      </c>
      <c r="T102" s="2284">
        <f t="shared" si="32"/>
        <v>0</v>
      </c>
      <c r="U102" s="2331">
        <f t="shared" si="33"/>
        <v>0</v>
      </c>
      <c r="V102" s="2332">
        <f t="shared" si="14"/>
        <v>0</v>
      </c>
      <c r="W102" s="2284">
        <f t="shared" si="34"/>
        <v>0</v>
      </c>
      <c r="X102" s="2331">
        <f t="shared" si="35"/>
        <v>0</v>
      </c>
      <c r="Y102" s="2332">
        <f t="shared" si="15"/>
        <v>0</v>
      </c>
      <c r="Z102" s="2284">
        <f t="shared" si="36"/>
        <v>0</v>
      </c>
      <c r="AA102" s="2331">
        <f t="shared" si="37"/>
        <v>0</v>
      </c>
      <c r="AB102" s="2526">
        <f t="shared" si="16"/>
        <v>0</v>
      </c>
      <c r="AC102" s="2593">
        <f t="shared" si="25"/>
        <v>0</v>
      </c>
    </row>
    <row r="103" spans="1:29" s="2218" customFormat="1" ht="31.5">
      <c r="A103" s="2235"/>
      <c r="B103" s="2343" t="s">
        <v>14994</v>
      </c>
      <c r="C103" s="2329" t="s">
        <v>14995</v>
      </c>
      <c r="D103" s="2527" t="s">
        <v>1317</v>
      </c>
      <c r="E103" s="2331"/>
      <c r="F103" s="2331"/>
      <c r="G103" s="2332">
        <f t="shared" si="9"/>
        <v>0</v>
      </c>
      <c r="H103" s="2331"/>
      <c r="I103" s="2331"/>
      <c r="J103" s="2332">
        <f t="shared" si="10"/>
        <v>0</v>
      </c>
      <c r="K103" s="2331"/>
      <c r="L103" s="2331"/>
      <c r="M103" s="2332">
        <f t="shared" si="11"/>
        <v>0</v>
      </c>
      <c r="N103" s="2284">
        <v>0</v>
      </c>
      <c r="O103" s="2286">
        <v>0</v>
      </c>
      <c r="P103" s="2332">
        <f t="shared" si="12"/>
        <v>0</v>
      </c>
      <c r="Q103" s="2284">
        <f t="shared" si="30"/>
        <v>0</v>
      </c>
      <c r="R103" s="2331">
        <f t="shared" si="31"/>
        <v>0</v>
      </c>
      <c r="S103" s="2334">
        <f t="shared" si="13"/>
        <v>0</v>
      </c>
      <c r="T103" s="2284">
        <f t="shared" si="32"/>
        <v>0</v>
      </c>
      <c r="U103" s="2331">
        <f t="shared" si="33"/>
        <v>0</v>
      </c>
      <c r="V103" s="2332">
        <f t="shared" si="14"/>
        <v>0</v>
      </c>
      <c r="W103" s="2284">
        <f t="shared" si="34"/>
        <v>0</v>
      </c>
      <c r="X103" s="2331">
        <f t="shared" si="35"/>
        <v>0</v>
      </c>
      <c r="Y103" s="2332">
        <f t="shared" si="15"/>
        <v>0</v>
      </c>
      <c r="Z103" s="2284">
        <f t="shared" si="36"/>
        <v>0</v>
      </c>
      <c r="AA103" s="2331">
        <f t="shared" si="37"/>
        <v>0</v>
      </c>
      <c r="AB103" s="2334">
        <f t="shared" si="16"/>
        <v>0</v>
      </c>
      <c r="AC103" s="2593">
        <f t="shared" si="25"/>
        <v>0</v>
      </c>
    </row>
    <row r="104" spans="1:29" s="2218" customFormat="1" ht="77.25" customHeight="1">
      <c r="A104" s="2235"/>
      <c r="B104" s="2344" t="s">
        <v>14996</v>
      </c>
      <c r="C104" s="2345" t="s">
        <v>14997</v>
      </c>
      <c r="D104" s="2527" t="s">
        <v>1317</v>
      </c>
      <c r="E104" s="2346"/>
      <c r="F104" s="2346"/>
      <c r="G104" s="2332">
        <f t="shared" si="9"/>
        <v>0</v>
      </c>
      <c r="H104" s="2346"/>
      <c r="I104" s="2346"/>
      <c r="J104" s="2332">
        <f t="shared" si="10"/>
        <v>0</v>
      </c>
      <c r="K104" s="2346"/>
      <c r="L104" s="2346"/>
      <c r="M104" s="2332">
        <f t="shared" si="11"/>
        <v>0</v>
      </c>
      <c r="N104" s="2284">
        <v>0</v>
      </c>
      <c r="O104" s="2286">
        <v>0</v>
      </c>
      <c r="P104" s="2332">
        <f t="shared" si="12"/>
        <v>0</v>
      </c>
      <c r="Q104" s="2284">
        <f t="shared" si="30"/>
        <v>0</v>
      </c>
      <c r="R104" s="2346">
        <f t="shared" si="31"/>
        <v>0</v>
      </c>
      <c r="S104" s="2334">
        <f t="shared" si="13"/>
        <v>0</v>
      </c>
      <c r="T104" s="2284">
        <f t="shared" si="32"/>
        <v>0</v>
      </c>
      <c r="U104" s="2346">
        <f t="shared" si="33"/>
        <v>0</v>
      </c>
      <c r="V104" s="2332">
        <f t="shared" si="14"/>
        <v>0</v>
      </c>
      <c r="W104" s="2284">
        <f t="shared" si="34"/>
        <v>0</v>
      </c>
      <c r="X104" s="2346">
        <f t="shared" si="35"/>
        <v>0</v>
      </c>
      <c r="Y104" s="2332">
        <f t="shared" si="15"/>
        <v>0</v>
      </c>
      <c r="Z104" s="2284">
        <f t="shared" si="36"/>
        <v>0</v>
      </c>
      <c r="AA104" s="2346">
        <f t="shared" si="37"/>
        <v>0</v>
      </c>
      <c r="AB104" s="2334">
        <f t="shared" si="16"/>
        <v>0</v>
      </c>
      <c r="AC104" s="2593">
        <f t="shared" si="25"/>
        <v>0</v>
      </c>
    </row>
    <row r="105" spans="1:29" s="2218" customFormat="1" ht="47.25">
      <c r="A105" s="2235"/>
      <c r="B105" s="2349" t="s">
        <v>14998</v>
      </c>
      <c r="C105" s="2336" t="s">
        <v>14999</v>
      </c>
      <c r="D105" s="2528" t="s">
        <v>1128</v>
      </c>
      <c r="E105" s="2346">
        <f>E106+E107+E108+E109+E110+E111+E112</f>
        <v>0</v>
      </c>
      <c r="F105" s="2346"/>
      <c r="G105" s="2332">
        <f t="shared" si="9"/>
        <v>0</v>
      </c>
      <c r="H105" s="2346">
        <f>H106+H107+H108+H109+H110+H111+H112</f>
        <v>0</v>
      </c>
      <c r="I105" s="2346"/>
      <c r="J105" s="2332">
        <f t="shared" si="10"/>
        <v>0</v>
      </c>
      <c r="K105" s="2346">
        <f>K106+K107+K108+K109+K110+K111+K112</f>
        <v>10367.541806931245</v>
      </c>
      <c r="L105" s="2346">
        <f>L106+L107+L108+L109+L110+L111+L112</f>
        <v>10813.34611864929</v>
      </c>
      <c r="M105" s="2332">
        <f t="shared" si="11"/>
        <v>10590.443962790268</v>
      </c>
      <c r="N105" s="2284">
        <v>11750.927848178697</v>
      </c>
      <c r="O105" s="2286">
        <v>16740.454613150618</v>
      </c>
      <c r="P105" s="2332">
        <f t="shared" si="12"/>
        <v>14245.691230664657</v>
      </c>
      <c r="Q105" s="2284">
        <f>Q106+Q107+Q108+Q109+Q110+Q111+Q112</f>
        <v>16740.454613150614</v>
      </c>
      <c r="R105" s="2346">
        <f>R106+R107+R108+R109+R110+R111+R112</f>
        <v>17410.072797676639</v>
      </c>
      <c r="S105" s="2334">
        <f t="shared" si="13"/>
        <v>17075.263705413628</v>
      </c>
      <c r="T105" s="2284">
        <f>T106+T107+T108+T109+T110+T111+T112</f>
        <v>17410.072797676639</v>
      </c>
      <c r="U105" s="2346">
        <f>U106+U107+U108+U109+U110+U111+U112</f>
        <v>18106.475709583709</v>
      </c>
      <c r="V105" s="2529">
        <f t="shared" si="14"/>
        <v>17758.274253630174</v>
      </c>
      <c r="W105" s="2284">
        <f>W106+W107+W108+W109+W110+W111+W112</f>
        <v>18106.475709583709</v>
      </c>
      <c r="X105" s="2346">
        <f>X106+X107+X108+X109+X110+X111+X112</f>
        <v>18830.734737967054</v>
      </c>
      <c r="Y105" s="2529">
        <f t="shared" si="15"/>
        <v>18468.605223775383</v>
      </c>
      <c r="Z105" s="2284">
        <f>Z106+Z107+Z108+Z109+Z110+Z111+Z112</f>
        <v>18830.734737967054</v>
      </c>
      <c r="AA105" s="2346">
        <f>AA106+AA107+AA108+AA109+AA110+AA111+AA112</f>
        <v>19583.964127485739</v>
      </c>
      <c r="AB105" s="2334">
        <f t="shared" si="16"/>
        <v>19207.349432726398</v>
      </c>
      <c r="AC105" s="2593">
        <f t="shared" si="25"/>
        <v>0</v>
      </c>
    </row>
    <row r="106" spans="1:29" s="2218" customFormat="1">
      <c r="A106" s="2235"/>
      <c r="B106" s="2350" t="s">
        <v>15000</v>
      </c>
      <c r="C106" s="2329" t="s">
        <v>15001</v>
      </c>
      <c r="D106" s="2527" t="s">
        <v>1317</v>
      </c>
      <c r="E106" s="2346"/>
      <c r="F106" s="2346"/>
      <c r="G106" s="2332">
        <f t="shared" si="9"/>
        <v>0</v>
      </c>
      <c r="H106" s="2346"/>
      <c r="I106" s="2346"/>
      <c r="J106" s="2332">
        <f t="shared" si="10"/>
        <v>0</v>
      </c>
      <c r="K106" s="2346">
        <f>5.80774+1708.36417</f>
        <v>1714.17191</v>
      </c>
      <c r="L106" s="2346">
        <f>6.057479+1781.82383</f>
        <v>1787.8813090000001</v>
      </c>
      <c r="M106" s="2332">
        <f t="shared" si="11"/>
        <v>1751.0266095000002</v>
      </c>
      <c r="N106" s="2284">
        <v>1482.2549569924695</v>
      </c>
      <c r="O106" s="2286">
        <v>1588.9773138959276</v>
      </c>
      <c r="P106" s="2332">
        <f t="shared" si="12"/>
        <v>1535.6161354441986</v>
      </c>
      <c r="Q106" s="2284">
        <f t="shared" si="30"/>
        <v>1588.9773138959276</v>
      </c>
      <c r="R106" s="2346">
        <f t="shared" si="31"/>
        <v>1652.5364064517648</v>
      </c>
      <c r="S106" s="2524">
        <f t="shared" si="13"/>
        <v>1620.7568601738462</v>
      </c>
      <c r="T106" s="2284">
        <f t="shared" ref="T106:T112" si="38">R106</f>
        <v>1652.5364064517648</v>
      </c>
      <c r="U106" s="2346">
        <f t="shared" ref="U106:U112" si="39">T106*1.04</f>
        <v>1718.6378627098354</v>
      </c>
      <c r="V106" s="2332">
        <f t="shared" si="14"/>
        <v>1685.5871345808</v>
      </c>
      <c r="W106" s="2284">
        <f t="shared" ref="W106:W112" si="40">U106</f>
        <v>1718.6378627098354</v>
      </c>
      <c r="X106" s="2346">
        <f t="shared" ref="X106:X112" si="41">W106*1.04</f>
        <v>1787.3833772182288</v>
      </c>
      <c r="Y106" s="2522">
        <f t="shared" si="15"/>
        <v>1753.0106199640322</v>
      </c>
      <c r="Z106" s="2284">
        <f t="shared" ref="Z106:Z112" si="42">X106</f>
        <v>1787.3833772182288</v>
      </c>
      <c r="AA106" s="2346">
        <f t="shared" ref="AA106:AA112" si="43">Z106*1.04</f>
        <v>1858.8787123069581</v>
      </c>
      <c r="AB106" s="2524">
        <f t="shared" si="16"/>
        <v>1823.1310447625933</v>
      </c>
      <c r="AC106" s="2593">
        <f t="shared" si="25"/>
        <v>0</v>
      </c>
    </row>
    <row r="107" spans="1:29" s="2218" customFormat="1">
      <c r="A107" s="2235"/>
      <c r="B107" s="2350" t="s">
        <v>15002</v>
      </c>
      <c r="C107" s="2329" t="s">
        <v>15003</v>
      </c>
      <c r="D107" s="2527" t="s">
        <v>1317</v>
      </c>
      <c r="E107" s="2346"/>
      <c r="F107" s="2346"/>
      <c r="G107" s="2332">
        <f t="shared" si="9"/>
        <v>0</v>
      </c>
      <c r="H107" s="2346"/>
      <c r="I107" s="2346"/>
      <c r="J107" s="2332">
        <f t="shared" si="10"/>
        <v>0</v>
      </c>
      <c r="K107" s="2346"/>
      <c r="L107" s="2346"/>
      <c r="M107" s="2332">
        <f t="shared" si="11"/>
        <v>0</v>
      </c>
      <c r="N107" s="2284">
        <v>0</v>
      </c>
      <c r="O107" s="2286">
        <v>0</v>
      </c>
      <c r="P107" s="2332">
        <f t="shared" si="12"/>
        <v>0</v>
      </c>
      <c r="Q107" s="2284">
        <f t="shared" si="30"/>
        <v>0</v>
      </c>
      <c r="R107" s="2346">
        <f t="shared" si="31"/>
        <v>0</v>
      </c>
      <c r="S107" s="2334">
        <f t="shared" si="13"/>
        <v>0</v>
      </c>
      <c r="T107" s="2284">
        <f t="shared" si="38"/>
        <v>0</v>
      </c>
      <c r="U107" s="2346">
        <f t="shared" si="39"/>
        <v>0</v>
      </c>
      <c r="V107" s="2332">
        <f t="shared" si="14"/>
        <v>0</v>
      </c>
      <c r="W107" s="2284">
        <f t="shared" si="40"/>
        <v>0</v>
      </c>
      <c r="X107" s="2346">
        <f t="shared" si="41"/>
        <v>0</v>
      </c>
      <c r="Y107" s="2332">
        <f t="shared" si="15"/>
        <v>0</v>
      </c>
      <c r="Z107" s="2284">
        <f t="shared" si="42"/>
        <v>0</v>
      </c>
      <c r="AA107" s="2346">
        <f t="shared" si="43"/>
        <v>0</v>
      </c>
      <c r="AB107" s="2334">
        <f t="shared" si="16"/>
        <v>0</v>
      </c>
      <c r="AC107" s="2593">
        <f t="shared" si="25"/>
        <v>0</v>
      </c>
    </row>
    <row r="108" spans="1:29" s="2218" customFormat="1">
      <c r="A108" s="2235"/>
      <c r="B108" s="2350" t="s">
        <v>15004</v>
      </c>
      <c r="C108" s="2329" t="s">
        <v>15005</v>
      </c>
      <c r="D108" s="2527" t="s">
        <v>1317</v>
      </c>
      <c r="E108" s="2346"/>
      <c r="F108" s="2346"/>
      <c r="G108" s="2332">
        <f t="shared" si="9"/>
        <v>0</v>
      </c>
      <c r="H108" s="2346"/>
      <c r="I108" s="2346"/>
      <c r="J108" s="2332">
        <f t="shared" si="10"/>
        <v>0</v>
      </c>
      <c r="K108" s="2346">
        <v>32.583722048356869</v>
      </c>
      <c r="L108" s="2346">
        <v>33.984822096436211</v>
      </c>
      <c r="M108" s="2332">
        <f t="shared" si="11"/>
        <v>33.28427207239654</v>
      </c>
      <c r="N108" s="2284">
        <v>28.175344057444796</v>
      </c>
      <c r="O108" s="2286">
        <v>30.20396882958082</v>
      </c>
      <c r="P108" s="2332">
        <f t="shared" si="12"/>
        <v>29.18965644351281</v>
      </c>
      <c r="Q108" s="2284">
        <f t="shared" si="30"/>
        <v>30.20396882958082</v>
      </c>
      <c r="R108" s="2346">
        <f t="shared" si="31"/>
        <v>31.412127582764054</v>
      </c>
      <c r="S108" s="2524">
        <f t="shared" si="13"/>
        <v>30.808048206172437</v>
      </c>
      <c r="T108" s="2284">
        <f t="shared" si="38"/>
        <v>31.412127582764054</v>
      </c>
      <c r="U108" s="2346">
        <f t="shared" si="39"/>
        <v>32.668612686074617</v>
      </c>
      <c r="V108" s="2332">
        <f t="shared" si="14"/>
        <v>32.040370134419334</v>
      </c>
      <c r="W108" s="2284">
        <f t="shared" si="40"/>
        <v>32.668612686074617</v>
      </c>
      <c r="X108" s="2346">
        <f t="shared" si="41"/>
        <v>33.975357193517603</v>
      </c>
      <c r="Y108" s="2522">
        <f t="shared" si="15"/>
        <v>33.32198493979611</v>
      </c>
      <c r="Z108" s="2284">
        <f t="shared" si="42"/>
        <v>33.975357193517603</v>
      </c>
      <c r="AA108" s="2346">
        <f t="shared" si="43"/>
        <v>35.334371481258309</v>
      </c>
      <c r="AB108" s="2524">
        <f t="shared" si="16"/>
        <v>34.654864337387956</v>
      </c>
      <c r="AC108" s="2593">
        <f t="shared" si="25"/>
        <v>0</v>
      </c>
    </row>
    <row r="109" spans="1:29" s="2218" customFormat="1">
      <c r="A109" s="2235"/>
      <c r="B109" s="2350" t="s">
        <v>15006</v>
      </c>
      <c r="C109" s="2329" t="s">
        <v>15007</v>
      </c>
      <c r="D109" s="2527" t="s">
        <v>1317</v>
      </c>
      <c r="E109" s="2346"/>
      <c r="F109" s="2346"/>
      <c r="G109" s="2332">
        <f t="shared" si="9"/>
        <v>0</v>
      </c>
      <c r="H109" s="2346"/>
      <c r="I109" s="2346"/>
      <c r="J109" s="2332">
        <f t="shared" si="10"/>
        <v>0</v>
      </c>
      <c r="K109" s="2346">
        <v>9.5428308804378847</v>
      </c>
      <c r="L109" s="2346">
        <v>9.9531726082967129</v>
      </c>
      <c r="M109" s="2332">
        <f t="shared" si="11"/>
        <v>9.7480017443672988</v>
      </c>
      <c r="N109" s="2284">
        <v>8.2517443200417002</v>
      </c>
      <c r="O109" s="2286">
        <v>8.8458699110847032</v>
      </c>
      <c r="P109" s="2332">
        <f t="shared" si="12"/>
        <v>8.5488071155632017</v>
      </c>
      <c r="Q109" s="2284">
        <f t="shared" si="30"/>
        <v>8.8458699110847032</v>
      </c>
      <c r="R109" s="2346">
        <f t="shared" si="31"/>
        <v>9.1997047075280918</v>
      </c>
      <c r="S109" s="2524">
        <f t="shared" si="13"/>
        <v>9.0227873093063984</v>
      </c>
      <c r="T109" s="2284">
        <f t="shared" si="38"/>
        <v>9.1997047075280918</v>
      </c>
      <c r="U109" s="2346">
        <f t="shared" si="39"/>
        <v>9.5676928958292162</v>
      </c>
      <c r="V109" s="2332">
        <f t="shared" si="14"/>
        <v>9.3836988016786549</v>
      </c>
      <c r="W109" s="2284">
        <f t="shared" si="40"/>
        <v>9.5676928958292162</v>
      </c>
      <c r="X109" s="2346">
        <f t="shared" si="41"/>
        <v>9.9504006116623849</v>
      </c>
      <c r="Y109" s="2522">
        <f t="shared" si="15"/>
        <v>9.7590467537457997</v>
      </c>
      <c r="Z109" s="2284">
        <f t="shared" si="42"/>
        <v>9.9504006116623849</v>
      </c>
      <c r="AA109" s="2346">
        <f t="shared" si="43"/>
        <v>10.348416636128881</v>
      </c>
      <c r="AB109" s="2524">
        <f t="shared" si="16"/>
        <v>10.149408623895633</v>
      </c>
      <c r="AC109" s="2593">
        <f t="shared" si="25"/>
        <v>0</v>
      </c>
    </row>
    <row r="110" spans="1:29" s="2218" customFormat="1" ht="31.5">
      <c r="A110" s="2235"/>
      <c r="B110" s="2350" t="s">
        <v>15008</v>
      </c>
      <c r="C110" s="2329" t="s">
        <v>15009</v>
      </c>
      <c r="D110" s="2527" t="s">
        <v>1317</v>
      </c>
      <c r="E110" s="2346"/>
      <c r="F110" s="2346"/>
      <c r="G110" s="2332">
        <f t="shared" si="9"/>
        <v>0</v>
      </c>
      <c r="H110" s="2346"/>
      <c r="I110" s="2346"/>
      <c r="J110" s="2332">
        <f t="shared" si="10"/>
        <v>0</v>
      </c>
      <c r="K110" s="2346"/>
      <c r="L110" s="2346"/>
      <c r="M110" s="2332">
        <f t="shared" si="11"/>
        <v>0</v>
      </c>
      <c r="N110" s="2284">
        <v>0</v>
      </c>
      <c r="O110" s="2286">
        <v>0</v>
      </c>
      <c r="P110" s="2332">
        <f t="shared" si="12"/>
        <v>0</v>
      </c>
      <c r="Q110" s="2284">
        <f t="shared" si="30"/>
        <v>0</v>
      </c>
      <c r="R110" s="2346">
        <f t="shared" si="31"/>
        <v>0</v>
      </c>
      <c r="S110" s="2334">
        <f t="shared" si="13"/>
        <v>0</v>
      </c>
      <c r="T110" s="2284">
        <f t="shared" si="38"/>
        <v>0</v>
      </c>
      <c r="U110" s="2346">
        <f t="shared" si="39"/>
        <v>0</v>
      </c>
      <c r="V110" s="2332">
        <f t="shared" si="14"/>
        <v>0</v>
      </c>
      <c r="W110" s="2284">
        <f t="shared" si="40"/>
        <v>0</v>
      </c>
      <c r="X110" s="2346">
        <f t="shared" si="41"/>
        <v>0</v>
      </c>
      <c r="Y110" s="2332">
        <f t="shared" si="15"/>
        <v>0</v>
      </c>
      <c r="Z110" s="2284">
        <f t="shared" si="42"/>
        <v>0</v>
      </c>
      <c r="AA110" s="2346">
        <f t="shared" si="43"/>
        <v>0</v>
      </c>
      <c r="AB110" s="2334">
        <f t="shared" si="16"/>
        <v>0</v>
      </c>
      <c r="AC110" s="2593">
        <f t="shared" si="25"/>
        <v>0</v>
      </c>
    </row>
    <row r="111" spans="1:29" s="2218" customFormat="1" ht="63">
      <c r="A111" s="2235"/>
      <c r="B111" s="2351" t="s">
        <v>15010</v>
      </c>
      <c r="C111" s="2345" t="s">
        <v>15011</v>
      </c>
      <c r="D111" s="2530" t="s">
        <v>1317</v>
      </c>
      <c r="E111" s="2352"/>
      <c r="F111" s="2346"/>
      <c r="G111" s="2332">
        <f t="shared" si="9"/>
        <v>0</v>
      </c>
      <c r="H111" s="2352"/>
      <c r="I111" s="2346"/>
      <c r="J111" s="2332">
        <f t="shared" si="10"/>
        <v>0</v>
      </c>
      <c r="K111" s="2352">
        <f>2746.92592087305+2625.76539+3222.35956</f>
        <v>8595.0508708730486</v>
      </c>
      <c r="L111" s="2346">
        <f>2865.04373547059+2738.67331+3360.92102</f>
        <v>8964.6380654705899</v>
      </c>
      <c r="M111" s="2332">
        <f t="shared" si="11"/>
        <v>8779.8444681718192</v>
      </c>
      <c r="N111" s="2284">
        <v>7433.7289737479141</v>
      </c>
      <c r="O111" s="2286">
        <v>12112.417419760817</v>
      </c>
      <c r="P111" s="2332">
        <f t="shared" si="12"/>
        <v>9773.0731967543652</v>
      </c>
      <c r="Q111" s="2284">
        <f t="shared" si="30"/>
        <v>12112.417419760817</v>
      </c>
      <c r="R111" s="2346">
        <f t="shared" si="31"/>
        <v>12596.91411655125</v>
      </c>
      <c r="S111" s="2524">
        <f t="shared" si="13"/>
        <v>12354.665768156034</v>
      </c>
      <c r="T111" s="2284">
        <f t="shared" si="38"/>
        <v>12596.91411655125</v>
      </c>
      <c r="U111" s="2346">
        <f t="shared" si="39"/>
        <v>13100.790681213301</v>
      </c>
      <c r="V111" s="2332">
        <f t="shared" si="14"/>
        <v>12848.852398882274</v>
      </c>
      <c r="W111" s="2284">
        <f t="shared" si="40"/>
        <v>13100.790681213301</v>
      </c>
      <c r="X111" s="2346">
        <f t="shared" si="41"/>
        <v>13624.822308461833</v>
      </c>
      <c r="Y111" s="2522">
        <f t="shared" si="15"/>
        <v>13362.806494837567</v>
      </c>
      <c r="Z111" s="2284">
        <f t="shared" si="42"/>
        <v>13624.822308461833</v>
      </c>
      <c r="AA111" s="2346">
        <f t="shared" si="43"/>
        <v>14169.815200800307</v>
      </c>
      <c r="AB111" s="2524">
        <f t="shared" si="16"/>
        <v>13897.318754631069</v>
      </c>
      <c r="AC111" s="2593">
        <f t="shared" si="25"/>
        <v>0</v>
      </c>
    </row>
    <row r="112" spans="1:29" s="2218" customFormat="1" ht="31.5">
      <c r="A112" s="2235"/>
      <c r="B112" s="2353" t="s">
        <v>15012</v>
      </c>
      <c r="C112" s="2354" t="s">
        <v>15013</v>
      </c>
      <c r="D112" s="2531" t="s">
        <v>1317</v>
      </c>
      <c r="E112" s="2346"/>
      <c r="F112" s="2346"/>
      <c r="G112" s="2332">
        <f t="shared" si="9"/>
        <v>0</v>
      </c>
      <c r="H112" s="2346"/>
      <c r="I112" s="2346"/>
      <c r="J112" s="2332">
        <f t="shared" si="10"/>
        <v>0</v>
      </c>
      <c r="K112" s="2346">
        <v>16.192473129402693</v>
      </c>
      <c r="L112" s="2346">
        <v>16.888749473967007</v>
      </c>
      <c r="M112" s="2332">
        <f t="shared" si="11"/>
        <v>16.540611301684848</v>
      </c>
      <c r="N112" s="2284">
        <v>2798.5168290608262</v>
      </c>
      <c r="O112" s="2286">
        <v>3000.0100407532059</v>
      </c>
      <c r="P112" s="2332">
        <f t="shared" si="12"/>
        <v>2899.2634349070158</v>
      </c>
      <c r="Q112" s="2284">
        <f t="shared" si="30"/>
        <v>3000.0100407532059</v>
      </c>
      <c r="R112" s="2346">
        <f t="shared" si="31"/>
        <v>3120.0104423833341</v>
      </c>
      <c r="S112" s="2524">
        <f t="shared" si="13"/>
        <v>3060.01024156827</v>
      </c>
      <c r="T112" s="2284">
        <f t="shared" si="38"/>
        <v>3120.0104423833341</v>
      </c>
      <c r="U112" s="2346">
        <f t="shared" si="39"/>
        <v>3244.8108600786677</v>
      </c>
      <c r="V112" s="2332">
        <f t="shared" si="14"/>
        <v>3182.4106512310009</v>
      </c>
      <c r="W112" s="2284">
        <f t="shared" si="40"/>
        <v>3244.8108600786677</v>
      </c>
      <c r="X112" s="2346">
        <f t="shared" si="41"/>
        <v>3374.6032944818144</v>
      </c>
      <c r="Y112" s="2522">
        <f t="shared" si="15"/>
        <v>3309.7070772802408</v>
      </c>
      <c r="Z112" s="2284">
        <f t="shared" si="42"/>
        <v>3374.6032944818144</v>
      </c>
      <c r="AA112" s="2346">
        <f t="shared" si="43"/>
        <v>3509.5874262610869</v>
      </c>
      <c r="AB112" s="2524">
        <f t="shared" si="16"/>
        <v>3442.0953603714506</v>
      </c>
      <c r="AC112" s="2593">
        <f t="shared" si="25"/>
        <v>0</v>
      </c>
    </row>
    <row r="113" spans="1:32" s="2218" customFormat="1" ht="31.5">
      <c r="A113" s="2235"/>
      <c r="B113" s="2349" t="s">
        <v>15014</v>
      </c>
      <c r="C113" s="2355" t="s">
        <v>15015</v>
      </c>
      <c r="D113" s="2532" t="s">
        <v>1317</v>
      </c>
      <c r="E113" s="2357">
        <f>E114+E124</f>
        <v>0</v>
      </c>
      <c r="F113" s="2357">
        <f>F114+F124</f>
        <v>0</v>
      </c>
      <c r="G113" s="2358">
        <f t="shared" si="9"/>
        <v>0</v>
      </c>
      <c r="H113" s="2357">
        <f>H114+H124</f>
        <v>0</v>
      </c>
      <c r="I113" s="2357">
        <f>I114+I124</f>
        <v>0</v>
      </c>
      <c r="J113" s="2358">
        <f t="shared" si="10"/>
        <v>0</v>
      </c>
      <c r="K113" s="2357">
        <f>K114+K124</f>
        <v>4614.3524472956187</v>
      </c>
      <c r="L113" s="2357">
        <f>L114+L124</f>
        <v>4821.8901389999191</v>
      </c>
      <c r="M113" s="2358">
        <f t="shared" si="11"/>
        <v>4718.1212931477694</v>
      </c>
      <c r="N113" s="2359">
        <v>4008.4817371157555</v>
      </c>
      <c r="O113" s="2357">
        <v>7702.8100390882828</v>
      </c>
      <c r="P113" s="2358">
        <f t="shared" si="12"/>
        <v>5855.6458881020189</v>
      </c>
      <c r="Q113" s="2359">
        <f>Q114+Q124</f>
        <v>7702.8097432470222</v>
      </c>
      <c r="R113" s="2357">
        <f>R114+R124</f>
        <v>8010.9221329769034</v>
      </c>
      <c r="S113" s="2360">
        <f t="shared" si="13"/>
        <v>7856.8659381119633</v>
      </c>
      <c r="T113" s="2359">
        <f>T114+T124</f>
        <v>8010.9221329769034</v>
      </c>
      <c r="U113" s="2357">
        <f>U114+U124</f>
        <v>8325.7005134313004</v>
      </c>
      <c r="V113" s="2358">
        <f t="shared" si="14"/>
        <v>8168.3113232041014</v>
      </c>
      <c r="W113" s="2359">
        <f>W114+W124</f>
        <v>8325.7005134313004</v>
      </c>
      <c r="X113" s="2357">
        <f>X114+X124</f>
        <v>8658.7285339685532</v>
      </c>
      <c r="Y113" s="2358">
        <f t="shared" si="15"/>
        <v>8492.2145236999277</v>
      </c>
      <c r="Z113" s="2359">
        <f>Z114+Z124</f>
        <v>8658.7285339685532</v>
      </c>
      <c r="AA113" s="2357">
        <f>AA114+AA124</f>
        <v>9005.0776753272949</v>
      </c>
      <c r="AB113" s="2360">
        <f t="shared" si="16"/>
        <v>8831.9031046479249</v>
      </c>
      <c r="AC113" s="2593">
        <f t="shared" si="25"/>
        <v>0</v>
      </c>
    </row>
    <row r="114" spans="1:32" s="2218" customFormat="1">
      <c r="A114" s="2235"/>
      <c r="B114" s="2349" t="s">
        <v>15016</v>
      </c>
      <c r="C114" s="2356" t="s">
        <v>15017</v>
      </c>
      <c r="D114" s="2532" t="s">
        <v>1317</v>
      </c>
      <c r="E114" s="2357">
        <f>E115*E123*12/1000</f>
        <v>0</v>
      </c>
      <c r="F114" s="2357">
        <f>F115*F123*12/1000</f>
        <v>0</v>
      </c>
      <c r="G114" s="2358">
        <f t="shared" si="9"/>
        <v>0</v>
      </c>
      <c r="H114" s="2357">
        <f>H115*H123*12/1000</f>
        <v>0</v>
      </c>
      <c r="I114" s="2357">
        <f>I115*I123*12/1000</f>
        <v>0</v>
      </c>
      <c r="J114" s="2358">
        <f t="shared" si="10"/>
        <v>0</v>
      </c>
      <c r="K114" s="2357">
        <f>K115*K123*12/1000</f>
        <v>3557.1461291401906</v>
      </c>
      <c r="L114" s="2357">
        <f>L115*L123*12/1000</f>
        <v>3719.2239491638074</v>
      </c>
      <c r="M114" s="2358">
        <f t="shared" si="11"/>
        <v>3638.1850391519993</v>
      </c>
      <c r="N114" s="2284">
        <f>N115*N123*12/1000</f>
        <v>3083.4474900890423</v>
      </c>
      <c r="O114" s="2286">
        <f>O115*O123*12/1000</f>
        <v>5921.2139518599943</v>
      </c>
      <c r="P114" s="2533">
        <f t="shared" si="12"/>
        <v>4502.330720974518</v>
      </c>
      <c r="Q114" s="2284">
        <f>O114</f>
        <v>5921.2139518599943</v>
      </c>
      <c r="R114" s="2357">
        <f>Q114*1.04</f>
        <v>6158.0625099343943</v>
      </c>
      <c r="S114" s="2534">
        <f t="shared" si="13"/>
        <v>6039.6382308971943</v>
      </c>
      <c r="T114" s="2284">
        <f>R114</f>
        <v>6158.0625099343943</v>
      </c>
      <c r="U114" s="2357">
        <f>T114*1.04</f>
        <v>6404.38501033177</v>
      </c>
      <c r="V114" s="2533">
        <f t="shared" si="14"/>
        <v>6281.2237601330817</v>
      </c>
      <c r="W114" s="2284">
        <f>U114</f>
        <v>6404.38501033177</v>
      </c>
      <c r="X114" s="2357">
        <f>W114*1.04</f>
        <v>6660.5604107450408</v>
      </c>
      <c r="Y114" s="2533">
        <f t="shared" si="15"/>
        <v>6532.4727105384054</v>
      </c>
      <c r="Z114" s="2284">
        <f>X114</f>
        <v>6660.5604107450408</v>
      </c>
      <c r="AA114" s="2357">
        <f>Z114*1.04</f>
        <v>6926.9828271748429</v>
      </c>
      <c r="AB114" s="2360">
        <f t="shared" si="16"/>
        <v>6793.7716189599414</v>
      </c>
      <c r="AC114" s="2593">
        <f t="shared" si="25"/>
        <v>0</v>
      </c>
    </row>
    <row r="115" spans="1:32" s="2218" customFormat="1">
      <c r="A115" s="2235"/>
      <c r="B115" s="2336" t="s">
        <v>15018</v>
      </c>
      <c r="C115" s="2356" t="s">
        <v>15019</v>
      </c>
      <c r="D115" s="2532" t="s">
        <v>1888</v>
      </c>
      <c r="E115" s="2357">
        <f>E116+E117+E118+E121+E122</f>
        <v>0</v>
      </c>
      <c r="F115" s="2357">
        <f>F116+F117+F118+F121+F122</f>
        <v>0</v>
      </c>
      <c r="G115" s="2358">
        <f t="shared" si="9"/>
        <v>0</v>
      </c>
      <c r="H115" s="2357">
        <f>H116+H117+H118+H121+H122</f>
        <v>0</v>
      </c>
      <c r="I115" s="2357">
        <f>I116+I117+I118+I121+I122</f>
        <v>0</v>
      </c>
      <c r="J115" s="2358">
        <f t="shared" si="10"/>
        <v>0</v>
      </c>
      <c r="K115" s="2357">
        <f>K116+K117+K118+K121+K122</f>
        <v>37053.605511876987</v>
      </c>
      <c r="L115" s="2357">
        <f>L116+L117+L118+L121+L122</f>
        <v>38741.916137122993</v>
      </c>
      <c r="M115" s="2358">
        <f t="shared" si="11"/>
        <v>37897.760824499986</v>
      </c>
      <c r="N115" s="2359">
        <f>N116+N117+N118+N121+N122</f>
        <v>41066.431105350377</v>
      </c>
      <c r="O115" s="2357">
        <f>O116+O117+O118+O121+O122</f>
        <v>35096.744144935583</v>
      </c>
      <c r="P115" s="2358">
        <f t="shared" si="12"/>
        <v>38081.58762514298</v>
      </c>
      <c r="Q115" s="2359">
        <f>Q116+Q117+Q118+Q121+Q122</f>
        <v>35096.744144935583</v>
      </c>
      <c r="R115" s="2357">
        <f>R116+R117+R118+R121+R122</f>
        <v>35378.278312653012</v>
      </c>
      <c r="S115" s="2360">
        <f t="shared" si="13"/>
        <v>35237.511228794297</v>
      </c>
      <c r="T115" s="2359">
        <f>T116+T117+T118+T121+T122</f>
        <v>35378.278312653012</v>
      </c>
      <c r="U115" s="2357">
        <f>U116+U117+U118+U121+U122</f>
        <v>36459.895925648547</v>
      </c>
      <c r="V115" s="2358">
        <f t="shared" si="14"/>
        <v>35919.087119150776</v>
      </c>
      <c r="W115" s="2359">
        <f>W116+W117+W118+W121+W122</f>
        <v>36459.895925648547</v>
      </c>
      <c r="X115" s="2357">
        <f>X116+X117+X118+X121+X122</f>
        <v>37190.367203879192</v>
      </c>
      <c r="Y115" s="2358">
        <f t="shared" si="15"/>
        <v>36825.131564763869</v>
      </c>
      <c r="Z115" s="2359">
        <f>Z116+Z117+Z118+Z121+Z122</f>
        <v>37190.367203879192</v>
      </c>
      <c r="AA115" s="2357">
        <f>AA116+AA117+AA118+AA121+AA122</f>
        <v>38147.262852881417</v>
      </c>
      <c r="AB115" s="2360">
        <f t="shared" si="16"/>
        <v>37668.815028380304</v>
      </c>
      <c r="AC115" s="2593">
        <f t="shared" si="25"/>
        <v>0</v>
      </c>
      <c r="AF115" s="2362"/>
    </row>
    <row r="116" spans="1:32" s="2218" customFormat="1" ht="31.5">
      <c r="A116" s="2235"/>
      <c r="B116" s="2329" t="s">
        <v>15020</v>
      </c>
      <c r="C116" s="2363" t="s">
        <v>1890</v>
      </c>
      <c r="D116" s="2535" t="s">
        <v>15021</v>
      </c>
      <c r="E116" s="2364"/>
      <c r="F116" s="2364"/>
      <c r="G116" s="2358">
        <f t="shared" si="9"/>
        <v>0</v>
      </c>
      <c r="H116" s="2364"/>
      <c r="I116" s="2364"/>
      <c r="J116" s="2358">
        <f t="shared" si="10"/>
        <v>0</v>
      </c>
      <c r="K116" s="2364">
        <v>8977.5226742679388</v>
      </c>
      <c r="L116" s="2364">
        <v>9363.5561492614597</v>
      </c>
      <c r="M116" s="2358">
        <f t="shared" si="11"/>
        <v>9170.5394117646993</v>
      </c>
      <c r="N116" s="2284">
        <v>9925.3695182171487</v>
      </c>
      <c r="O116" s="2286">
        <v>6639.9961235287992</v>
      </c>
      <c r="P116" s="2358">
        <f t="shared" si="12"/>
        <v>8282.6828208729748</v>
      </c>
      <c r="Q116" s="2284">
        <f>O116</f>
        <v>6639.9961235287992</v>
      </c>
      <c r="R116" s="2364">
        <f>Q116*1.04</f>
        <v>6905.595968469951</v>
      </c>
      <c r="S116" s="2360">
        <f t="shared" si="13"/>
        <v>6772.7960459993756</v>
      </c>
      <c r="T116" s="2284">
        <f>R116</f>
        <v>6905.595968469951</v>
      </c>
      <c r="U116" s="2364">
        <f>T116*1.04</f>
        <v>7181.8198072087489</v>
      </c>
      <c r="V116" s="2358">
        <f t="shared" si="14"/>
        <v>7043.7078878393495</v>
      </c>
      <c r="W116" s="2284">
        <f>U116</f>
        <v>7181.8198072087489</v>
      </c>
      <c r="X116" s="2364">
        <f>W116*1.04</f>
        <v>7469.0925994970994</v>
      </c>
      <c r="Y116" s="2358">
        <f t="shared" si="15"/>
        <v>7325.4562033529237</v>
      </c>
      <c r="Z116" s="2284">
        <f>X116</f>
        <v>7469.0925994970994</v>
      </c>
      <c r="AA116" s="2364">
        <f>Z116*1.04</f>
        <v>7767.8563034769841</v>
      </c>
      <c r="AB116" s="2360">
        <f t="shared" si="16"/>
        <v>7618.4744514870417</v>
      </c>
      <c r="AC116" s="2593">
        <f t="shared" si="25"/>
        <v>0</v>
      </c>
    </row>
    <row r="117" spans="1:32" s="2218" customFormat="1">
      <c r="A117" s="2235"/>
      <c r="B117" s="2329" t="s">
        <v>15022</v>
      </c>
      <c r="C117" s="2363" t="s">
        <v>1846</v>
      </c>
      <c r="D117" s="2535" t="s">
        <v>15021</v>
      </c>
      <c r="E117" s="2364"/>
      <c r="F117" s="2364"/>
      <c r="G117" s="2358">
        <f t="shared" si="9"/>
        <v>0</v>
      </c>
      <c r="H117" s="2364"/>
      <c r="I117" s="2364"/>
      <c r="J117" s="2358">
        <f t="shared" si="10"/>
        <v>0</v>
      </c>
      <c r="K117" s="2364"/>
      <c r="L117" s="2364"/>
      <c r="M117" s="2358">
        <f t="shared" si="11"/>
        <v>0</v>
      </c>
      <c r="N117" s="2365">
        <v>0</v>
      </c>
      <c r="O117" s="2364">
        <v>0</v>
      </c>
      <c r="P117" s="2358">
        <f t="shared" si="12"/>
        <v>0</v>
      </c>
      <c r="Q117" s="2365"/>
      <c r="R117" s="2364"/>
      <c r="S117" s="2360">
        <f t="shared" si="13"/>
        <v>0</v>
      </c>
      <c r="T117" s="2365"/>
      <c r="U117" s="2364"/>
      <c r="V117" s="2358">
        <f t="shared" si="14"/>
        <v>0</v>
      </c>
      <c r="W117" s="2365"/>
      <c r="X117" s="2364"/>
      <c r="Y117" s="2358">
        <f t="shared" si="15"/>
        <v>0</v>
      </c>
      <c r="Z117" s="2365"/>
      <c r="AA117" s="2364"/>
      <c r="AB117" s="2360">
        <f t="shared" si="16"/>
        <v>0</v>
      </c>
      <c r="AC117" s="2593">
        <f t="shared" si="25"/>
        <v>0</v>
      </c>
    </row>
    <row r="118" spans="1:32" s="2218" customFormat="1">
      <c r="A118" s="2235"/>
      <c r="B118" s="2336" t="s">
        <v>15023</v>
      </c>
      <c r="C118" s="2356" t="s">
        <v>1786</v>
      </c>
      <c r="D118" s="2536" t="s">
        <v>15021</v>
      </c>
      <c r="E118" s="2357">
        <f>E119*E120</f>
        <v>0</v>
      </c>
      <c r="F118" s="2357">
        <f>F119*F120</f>
        <v>0</v>
      </c>
      <c r="G118" s="2358">
        <f t="shared" si="9"/>
        <v>0</v>
      </c>
      <c r="H118" s="2357">
        <f>H119*H120</f>
        <v>0</v>
      </c>
      <c r="I118" s="2357">
        <f>I119*I120</f>
        <v>0</v>
      </c>
      <c r="J118" s="2358">
        <f t="shared" si="10"/>
        <v>0</v>
      </c>
      <c r="K118" s="2357">
        <f>K119*K120</f>
        <v>12778.529411764704</v>
      </c>
      <c r="L118" s="2357">
        <f>L119*L120</f>
        <v>13423.011764705881</v>
      </c>
      <c r="M118" s="2358">
        <f t="shared" si="11"/>
        <v>13100.770588235293</v>
      </c>
      <c r="N118" s="2359">
        <f>N119*N120</f>
        <v>14228.392470588235</v>
      </c>
      <c r="O118" s="2357">
        <f>O119*O120</f>
        <v>15252.836728470589</v>
      </c>
      <c r="P118" s="2358">
        <f t="shared" si="12"/>
        <v>14740.614599529412</v>
      </c>
      <c r="Q118" s="2359">
        <f>Q119*Q120</f>
        <v>15252.836728470589</v>
      </c>
      <c r="R118" s="2357">
        <f>R119*R120</f>
        <v>14740.614599529414</v>
      </c>
      <c r="S118" s="2360">
        <f t="shared" si="13"/>
        <v>14996.725664000001</v>
      </c>
      <c r="T118" s="2359">
        <f>T119*T120</f>
        <v>14740.614599529414</v>
      </c>
      <c r="U118" s="2357">
        <f>U119*U120</f>
        <v>14996.725664000001</v>
      </c>
      <c r="V118" s="2358">
        <f t="shared" si="14"/>
        <v>14868.670131764708</v>
      </c>
      <c r="W118" s="2359">
        <f>W119*W120</f>
        <v>14996.725664000001</v>
      </c>
      <c r="X118" s="2357">
        <f>X119*X120</f>
        <v>14868.670131764708</v>
      </c>
      <c r="Y118" s="2358">
        <f t="shared" si="15"/>
        <v>14932.697897882354</v>
      </c>
      <c r="Z118" s="2359">
        <f>Z119*Z120</f>
        <v>14868.670131764708</v>
      </c>
      <c r="AA118" s="2357">
        <f>AA119*AA120</f>
        <v>14932.697897882354</v>
      </c>
      <c r="AB118" s="2360">
        <f t="shared" si="16"/>
        <v>14900.684014823531</v>
      </c>
      <c r="AC118" s="2593">
        <f t="shared" si="25"/>
        <v>0</v>
      </c>
    </row>
    <row r="119" spans="1:32" s="2218" customFormat="1">
      <c r="A119" s="2235"/>
      <c r="B119" s="2329" t="s">
        <v>15024</v>
      </c>
      <c r="C119" s="2363" t="s">
        <v>1788</v>
      </c>
      <c r="D119" s="2535" t="s">
        <v>15021</v>
      </c>
      <c r="E119" s="2364"/>
      <c r="F119" s="2364"/>
      <c r="G119" s="2358">
        <f t="shared" si="9"/>
        <v>0</v>
      </c>
      <c r="H119" s="2364"/>
      <c r="I119" s="2364"/>
      <c r="J119" s="2358">
        <f t="shared" si="10"/>
        <v>0</v>
      </c>
      <c r="K119" s="2364">
        <v>5750</v>
      </c>
      <c r="L119" s="2364">
        <v>6040</v>
      </c>
      <c r="M119" s="2358">
        <f t="shared" si="11"/>
        <v>5895</v>
      </c>
      <c r="N119" s="2365">
        <v>6402.4000000000005</v>
      </c>
      <c r="O119" s="2364">
        <v>6863.372800000001</v>
      </c>
      <c r="P119" s="2358">
        <f t="shared" si="12"/>
        <v>6632.8864000000012</v>
      </c>
      <c r="Q119" s="2365">
        <f>O119</f>
        <v>6863.372800000001</v>
      </c>
      <c r="R119" s="2364">
        <f>P119</f>
        <v>6632.8864000000012</v>
      </c>
      <c r="S119" s="2360">
        <f t="shared" si="13"/>
        <v>6748.1296000000011</v>
      </c>
      <c r="T119" s="2365">
        <f>R119</f>
        <v>6632.8864000000012</v>
      </c>
      <c r="U119" s="2364">
        <f>S119</f>
        <v>6748.1296000000011</v>
      </c>
      <c r="V119" s="2358">
        <f t="shared" si="14"/>
        <v>6690.5080000000016</v>
      </c>
      <c r="W119" s="2365">
        <f>U119</f>
        <v>6748.1296000000011</v>
      </c>
      <c r="X119" s="2364">
        <f>V119</f>
        <v>6690.5080000000016</v>
      </c>
      <c r="Y119" s="2358">
        <f t="shared" si="15"/>
        <v>6719.3188000000009</v>
      </c>
      <c r="Z119" s="2365">
        <f>X119</f>
        <v>6690.5080000000016</v>
      </c>
      <c r="AA119" s="2364">
        <f>Y119</f>
        <v>6719.3188000000009</v>
      </c>
      <c r="AB119" s="2360">
        <f t="shared" si="16"/>
        <v>6704.9134000000013</v>
      </c>
      <c r="AC119" s="2593">
        <f t="shared" si="25"/>
        <v>0</v>
      </c>
    </row>
    <row r="120" spans="1:32" s="2218" customFormat="1">
      <c r="A120" s="2235"/>
      <c r="B120" s="2329" t="s">
        <v>15025</v>
      </c>
      <c r="C120" s="2363" t="s">
        <v>1790</v>
      </c>
      <c r="D120" s="2535"/>
      <c r="E120" s="2364"/>
      <c r="F120" s="2364"/>
      <c r="G120" s="2358">
        <f t="shared" si="9"/>
        <v>0</v>
      </c>
      <c r="H120" s="2364"/>
      <c r="I120" s="2364"/>
      <c r="J120" s="2358">
        <f t="shared" si="10"/>
        <v>0</v>
      </c>
      <c r="K120" s="2364">
        <v>2.2223529411764704</v>
      </c>
      <c r="L120" s="2364">
        <v>2.2223529411764704</v>
      </c>
      <c r="M120" s="2358">
        <f t="shared" si="11"/>
        <v>2.2223529411764704</v>
      </c>
      <c r="N120" s="2365">
        <v>2.2223529411764704</v>
      </c>
      <c r="O120" s="2364">
        <v>2.2223529411764704</v>
      </c>
      <c r="P120" s="2358">
        <f t="shared" si="12"/>
        <v>2.2223529411764704</v>
      </c>
      <c r="Q120" s="2365">
        <f>O120</f>
        <v>2.2223529411764704</v>
      </c>
      <c r="R120" s="2364">
        <f>Q120</f>
        <v>2.2223529411764704</v>
      </c>
      <c r="S120" s="2360">
        <f t="shared" si="13"/>
        <v>2.2223529411764704</v>
      </c>
      <c r="T120" s="2365">
        <f>R120</f>
        <v>2.2223529411764704</v>
      </c>
      <c r="U120" s="2364">
        <f>T120</f>
        <v>2.2223529411764704</v>
      </c>
      <c r="V120" s="2358">
        <f t="shared" si="14"/>
        <v>2.2223529411764704</v>
      </c>
      <c r="W120" s="2365">
        <f>U120</f>
        <v>2.2223529411764704</v>
      </c>
      <c r="X120" s="2364">
        <f>W120</f>
        <v>2.2223529411764704</v>
      </c>
      <c r="Y120" s="2358">
        <f t="shared" si="15"/>
        <v>2.2223529411764704</v>
      </c>
      <c r="Z120" s="2365">
        <f>X120</f>
        <v>2.2223529411764704</v>
      </c>
      <c r="AA120" s="2364">
        <f>Z120</f>
        <v>2.2223529411764704</v>
      </c>
      <c r="AB120" s="2360">
        <f t="shared" si="16"/>
        <v>2.2223529411764704</v>
      </c>
      <c r="AC120" s="2593">
        <f t="shared" si="25"/>
        <v>0</v>
      </c>
    </row>
    <row r="121" spans="1:32" s="2218" customFormat="1">
      <c r="A121" s="2235"/>
      <c r="B121" s="2336" t="s">
        <v>15026</v>
      </c>
      <c r="C121" s="2363" t="s">
        <v>1795</v>
      </c>
      <c r="D121" s="2535" t="s">
        <v>15021</v>
      </c>
      <c r="E121" s="2364"/>
      <c r="F121" s="2364"/>
      <c r="G121" s="2358">
        <f t="shared" si="9"/>
        <v>0</v>
      </c>
      <c r="H121" s="2364"/>
      <c r="I121" s="2364"/>
      <c r="J121" s="2358">
        <f t="shared" si="10"/>
        <v>0</v>
      </c>
      <c r="K121" s="2364">
        <v>15297.553425844346</v>
      </c>
      <c r="L121" s="2364">
        <v>15955.348223155652</v>
      </c>
      <c r="M121" s="2358">
        <f t="shared" si="11"/>
        <v>15626.4508245</v>
      </c>
      <c r="N121" s="2284">
        <v>16912.669116544992</v>
      </c>
      <c r="O121" s="2286">
        <v>13203.911292936198</v>
      </c>
      <c r="P121" s="2358">
        <f t="shared" si="12"/>
        <v>15058.290204740595</v>
      </c>
      <c r="Q121" s="2284">
        <f>O121</f>
        <v>13203.911292936198</v>
      </c>
      <c r="R121" s="2364">
        <f>Q121*1.04</f>
        <v>13732.067744653647</v>
      </c>
      <c r="S121" s="2360">
        <f t="shared" si="13"/>
        <v>13467.989518794922</v>
      </c>
      <c r="T121" s="2284">
        <f>R121</f>
        <v>13732.067744653647</v>
      </c>
      <c r="U121" s="2364">
        <f>T121*1.04</f>
        <v>14281.350454439793</v>
      </c>
      <c r="V121" s="2358">
        <f t="shared" si="14"/>
        <v>14006.709099546719</v>
      </c>
      <c r="W121" s="2284">
        <f>U121</f>
        <v>14281.350454439793</v>
      </c>
      <c r="X121" s="2364">
        <f>W121*1.04</f>
        <v>14852.604472617386</v>
      </c>
      <c r="Y121" s="2358">
        <f t="shared" si="15"/>
        <v>14566.97746352859</v>
      </c>
      <c r="Z121" s="2284">
        <f>X121</f>
        <v>14852.604472617386</v>
      </c>
      <c r="AA121" s="2364">
        <f>Z121*1.04</f>
        <v>15446.708651522082</v>
      </c>
      <c r="AB121" s="2360">
        <f t="shared" si="16"/>
        <v>15149.656562069733</v>
      </c>
      <c r="AC121" s="2593">
        <f t="shared" si="25"/>
        <v>0</v>
      </c>
    </row>
    <row r="122" spans="1:32" s="2218" customFormat="1">
      <c r="A122" s="2235"/>
      <c r="B122" s="2336" t="s">
        <v>15027</v>
      </c>
      <c r="C122" s="2363" t="s">
        <v>1898</v>
      </c>
      <c r="D122" s="2535" t="s">
        <v>15021</v>
      </c>
      <c r="E122" s="2364"/>
      <c r="F122" s="2364"/>
      <c r="G122" s="2358">
        <f>E122/2+F122/2</f>
        <v>0</v>
      </c>
      <c r="H122" s="2364"/>
      <c r="I122" s="2364"/>
      <c r="J122" s="2358">
        <f>H122/2+I122/2</f>
        <v>0</v>
      </c>
      <c r="K122" s="2364"/>
      <c r="L122" s="2364"/>
      <c r="M122" s="2358">
        <f>K122/2+L122/2</f>
        <v>0</v>
      </c>
      <c r="N122" s="2365">
        <v>0</v>
      </c>
      <c r="O122" s="2364">
        <v>0</v>
      </c>
      <c r="P122" s="2358">
        <f>N122/2+O122/2</f>
        <v>0</v>
      </c>
      <c r="Q122" s="2365"/>
      <c r="R122" s="2364"/>
      <c r="S122" s="2360">
        <f>Q122/2+R122/2</f>
        <v>0</v>
      </c>
      <c r="T122" s="2365"/>
      <c r="U122" s="2364"/>
      <c r="V122" s="2358">
        <f>T122/2+U122/2</f>
        <v>0</v>
      </c>
      <c r="W122" s="2365"/>
      <c r="X122" s="2364"/>
      <c r="Y122" s="2358">
        <f>W122/2+X122/2</f>
        <v>0</v>
      </c>
      <c r="Z122" s="2365"/>
      <c r="AA122" s="2364"/>
      <c r="AB122" s="2360">
        <f>Z122/2+AA122/2</f>
        <v>0</v>
      </c>
      <c r="AC122" s="2593">
        <f t="shared" si="25"/>
        <v>0</v>
      </c>
    </row>
    <row r="123" spans="1:32" s="2218" customFormat="1">
      <c r="A123" s="2235"/>
      <c r="B123" s="2329" t="s">
        <v>15028</v>
      </c>
      <c r="C123" s="2363" t="s">
        <v>1799</v>
      </c>
      <c r="D123" s="2535" t="s">
        <v>1800</v>
      </c>
      <c r="E123" s="2364"/>
      <c r="F123" s="2364"/>
      <c r="G123" s="2358">
        <f>E123/2+F123/2</f>
        <v>0</v>
      </c>
      <c r="H123" s="2364"/>
      <c r="I123" s="2364"/>
      <c r="J123" s="2358">
        <f>H123/2+I123/2</f>
        <v>0</v>
      </c>
      <c r="K123" s="2364">
        <v>8</v>
      </c>
      <c r="L123" s="2364">
        <v>8</v>
      </c>
      <c r="M123" s="2358">
        <f>K123/2+L123/2</f>
        <v>8</v>
      </c>
      <c r="N123" s="2284">
        <v>6.2570316093024871</v>
      </c>
      <c r="O123" s="2286">
        <v>14.059266977889596</v>
      </c>
      <c r="P123" s="2358">
        <f>N123/2+O123/2</f>
        <v>10.158149293596042</v>
      </c>
      <c r="Q123" s="2284">
        <f>O123</f>
        <v>14.059266977889596</v>
      </c>
      <c r="R123" s="2364">
        <f>Q123</f>
        <v>14.059266977889596</v>
      </c>
      <c r="S123" s="2360">
        <f>Q123/2+R123/2</f>
        <v>14.059266977889596</v>
      </c>
      <c r="T123" s="2284">
        <f>R123</f>
        <v>14.059266977889596</v>
      </c>
      <c r="U123" s="2364">
        <f>T123</f>
        <v>14.059266977889596</v>
      </c>
      <c r="V123" s="2358">
        <f>T123/2+U123/2</f>
        <v>14.059266977889596</v>
      </c>
      <c r="W123" s="2284">
        <f>U123</f>
        <v>14.059266977889596</v>
      </c>
      <c r="X123" s="2364">
        <f>W123</f>
        <v>14.059266977889596</v>
      </c>
      <c r="Y123" s="2358">
        <f>W123/2+X123/2</f>
        <v>14.059266977889596</v>
      </c>
      <c r="Z123" s="2284">
        <f>X123</f>
        <v>14.059266977889596</v>
      </c>
      <c r="AA123" s="2364">
        <f>Z123</f>
        <v>14.059266977889596</v>
      </c>
      <c r="AB123" s="2360">
        <f>Z123/2+AA123/2</f>
        <v>14.059266977889596</v>
      </c>
      <c r="AC123" s="2593">
        <f t="shared" si="25"/>
        <v>0</v>
      </c>
    </row>
    <row r="124" spans="1:32" s="2218" customFormat="1" ht="32.25" thickBot="1">
      <c r="A124" s="2235"/>
      <c r="B124" s="2368" t="s">
        <v>15029</v>
      </c>
      <c r="C124" s="2369" t="s">
        <v>15030</v>
      </c>
      <c r="D124" s="2537" t="s">
        <v>1317</v>
      </c>
      <c r="E124" s="2370"/>
      <c r="F124" s="2370"/>
      <c r="G124" s="2358">
        <f>E124/2+F124/2</f>
        <v>0</v>
      </c>
      <c r="H124" s="2370"/>
      <c r="I124" s="2370"/>
      <c r="J124" s="2358">
        <f>H124/2+I124/2</f>
        <v>0</v>
      </c>
      <c r="K124" s="2370">
        <v>1057.2063181554281</v>
      </c>
      <c r="L124" s="2370">
        <v>1102.6661898361115</v>
      </c>
      <c r="M124" s="2358">
        <f>K124/2+L124/2</f>
        <v>1079.9362539957697</v>
      </c>
      <c r="N124" s="2284">
        <v>925.03424702671259</v>
      </c>
      <c r="O124" s="2286">
        <v>1781.5957913870282</v>
      </c>
      <c r="P124" s="2538">
        <f>N124/2+O124/2</f>
        <v>1353.3150192068704</v>
      </c>
      <c r="Q124" s="2284">
        <f>O124</f>
        <v>1781.5957913870282</v>
      </c>
      <c r="R124" s="2370">
        <f>Q124*1.04</f>
        <v>1852.8596230425094</v>
      </c>
      <c r="S124" s="2539">
        <f>Q124/2+R124/2</f>
        <v>1817.2277072147688</v>
      </c>
      <c r="T124" s="2284">
        <f>R124</f>
        <v>1852.8596230425094</v>
      </c>
      <c r="U124" s="2370">
        <f>U114*0.3</f>
        <v>1921.3155030995308</v>
      </c>
      <c r="V124" s="2538">
        <f>T124/2+U124/2</f>
        <v>1887.0875630710202</v>
      </c>
      <c r="W124" s="2284">
        <f>W114*0.3</f>
        <v>1921.3155030995308</v>
      </c>
      <c r="X124" s="2370">
        <f>X114*0.3</f>
        <v>1998.1681232235121</v>
      </c>
      <c r="Y124" s="2538">
        <f>W124/2+X124/2</f>
        <v>1959.7418131615213</v>
      </c>
      <c r="Z124" s="2284">
        <f>Z114*0.3</f>
        <v>1998.1681232235121</v>
      </c>
      <c r="AA124" s="2370">
        <f>AA114*0.3</f>
        <v>2078.0948481524529</v>
      </c>
      <c r="AB124" s="2540">
        <f>Z124/2+AA124/2</f>
        <v>2038.1314856879826</v>
      </c>
      <c r="AC124" s="2593">
        <f t="shared" si="25"/>
        <v>0</v>
      </c>
    </row>
    <row r="125" spans="1:32" s="2218" customFormat="1" ht="21" customHeight="1" thickBot="1">
      <c r="A125" s="2235">
        <v>9</v>
      </c>
      <c r="B125" s="1260" t="s">
        <v>1175</v>
      </c>
      <c r="C125" s="2318" t="s">
        <v>1924</v>
      </c>
      <c r="D125" s="2541" t="s">
        <v>1317</v>
      </c>
      <c r="E125" s="2372">
        <f>E126+E142</f>
        <v>842.75812285670668</v>
      </c>
      <c r="F125" s="2373">
        <f>F126+F142</f>
        <v>883.59971473668315</v>
      </c>
      <c r="G125" s="2374">
        <f t="shared" si="9"/>
        <v>863.17891879669492</v>
      </c>
      <c r="H125" s="2373">
        <f>H126+H142</f>
        <v>1127.1642023346303</v>
      </c>
      <c r="I125" s="2373">
        <f>I126+I142</f>
        <v>1190.2853976653698</v>
      </c>
      <c r="J125" s="2374">
        <f t="shared" si="10"/>
        <v>1158.7248</v>
      </c>
      <c r="K125" s="2373">
        <f>K126+K142</f>
        <v>1199.8853287738154</v>
      </c>
      <c r="L125" s="2373">
        <f>L126+L142</f>
        <v>1256.2799392261848</v>
      </c>
      <c r="M125" s="2374">
        <f t="shared" si="11"/>
        <v>1228.0826340000001</v>
      </c>
      <c r="N125" s="2372">
        <v>50433.418880863959</v>
      </c>
      <c r="O125" s="2373">
        <v>54972.42658014172</v>
      </c>
      <c r="P125" s="2375">
        <f t="shared" si="12"/>
        <v>52702.92273050284</v>
      </c>
      <c r="Q125" s="2372">
        <f>Q126+Q142</f>
        <v>54972.42658014172</v>
      </c>
      <c r="R125" s="2373">
        <f>R126+R142</f>
        <v>57721.047909148809</v>
      </c>
      <c r="S125" s="2374">
        <f t="shared" si="13"/>
        <v>56346.737244645265</v>
      </c>
      <c r="T125" s="2372">
        <f>T126+T142</f>
        <v>57721.047909148809</v>
      </c>
      <c r="U125" s="2373">
        <f>U126+U142</f>
        <v>60607.100304606254</v>
      </c>
      <c r="V125" s="2375">
        <f t="shared" si="14"/>
        <v>59164.074106877531</v>
      </c>
      <c r="W125" s="2372">
        <f>W126+W142</f>
        <v>60607.100304606254</v>
      </c>
      <c r="X125" s="2373">
        <f>X126+X142</f>
        <v>63637.455319836568</v>
      </c>
      <c r="Y125" s="2375">
        <f t="shared" si="15"/>
        <v>62122.277812221408</v>
      </c>
      <c r="Z125" s="2372">
        <f>Z126+Z142</f>
        <v>63637.455319836568</v>
      </c>
      <c r="AA125" s="2373">
        <f>AA126+AA142</f>
        <v>66819.328085828398</v>
      </c>
      <c r="AB125" s="2374">
        <f t="shared" si="16"/>
        <v>65228.391702832479</v>
      </c>
      <c r="AC125" s="2593">
        <f t="shared" si="25"/>
        <v>0</v>
      </c>
    </row>
    <row r="126" spans="1:32" s="2218" customFormat="1" ht="30.75" customHeight="1">
      <c r="A126" s="2235">
        <v>198</v>
      </c>
      <c r="B126" s="2243"/>
      <c r="C126" s="2278" t="s">
        <v>1925</v>
      </c>
      <c r="D126" s="2499" t="s">
        <v>1926</v>
      </c>
      <c r="E126" s="2246">
        <f>E127+E130+E133+E136+E139</f>
        <v>842.75812285670668</v>
      </c>
      <c r="F126" s="2247">
        <f>F127+F130+F133+F136+F139</f>
        <v>883.59971473668315</v>
      </c>
      <c r="G126" s="2248">
        <f t="shared" si="9"/>
        <v>863.17891879669492</v>
      </c>
      <c r="H126" s="2247">
        <f>H127+H130+H133+H136+H139</f>
        <v>1127.1642023346303</v>
      </c>
      <c r="I126" s="2247">
        <f>I127+I130+I133+I136+I139</f>
        <v>1190.2853976653698</v>
      </c>
      <c r="J126" s="2248">
        <f t="shared" si="10"/>
        <v>1158.7248</v>
      </c>
      <c r="K126" s="2247">
        <f>K127+K130+K133+K136+K139</f>
        <v>1199.8853287738154</v>
      </c>
      <c r="L126" s="2247">
        <f>L127+L130+L133+L136+L139</f>
        <v>1256.2799392261848</v>
      </c>
      <c r="M126" s="2250">
        <f t="shared" si="11"/>
        <v>1228.0826340000001</v>
      </c>
      <c r="N126" s="2246">
        <v>50433.418880863959</v>
      </c>
      <c r="O126" s="2247">
        <v>54972.42658014172</v>
      </c>
      <c r="P126" s="2249">
        <f t="shared" si="12"/>
        <v>52702.92273050284</v>
      </c>
      <c r="Q126" s="2246">
        <f>Q127+Q130+Q133+Q136+Q139</f>
        <v>54972.42658014172</v>
      </c>
      <c r="R126" s="2247">
        <f>R127+R130+R133+R136+R139</f>
        <v>57721.047909148809</v>
      </c>
      <c r="S126" s="2250">
        <f t="shared" si="13"/>
        <v>56346.737244645265</v>
      </c>
      <c r="T126" s="2246">
        <f>T127+T130+T133+T136+T139</f>
        <v>57721.047909148809</v>
      </c>
      <c r="U126" s="2247">
        <f>U127+U130+U133+U136+U139</f>
        <v>60607.100304606254</v>
      </c>
      <c r="V126" s="2249">
        <f t="shared" si="14"/>
        <v>59164.074106877531</v>
      </c>
      <c r="W126" s="2246">
        <f>W127+W130+W133+W136+W139</f>
        <v>60607.100304606254</v>
      </c>
      <c r="X126" s="2247">
        <f>X127+X130+X133+X136+X139</f>
        <v>63637.455319836568</v>
      </c>
      <c r="Y126" s="2249">
        <f t="shared" si="15"/>
        <v>62122.277812221408</v>
      </c>
      <c r="Z126" s="2246">
        <f>Z127+Z130+Z133+Z136+Z139</f>
        <v>63637.455319836568</v>
      </c>
      <c r="AA126" s="2247">
        <f>AA127+AA130+AA133+AA136+AA139</f>
        <v>66819.328085828398</v>
      </c>
      <c r="AB126" s="2250">
        <f t="shared" si="16"/>
        <v>65228.391702832479</v>
      </c>
      <c r="AC126" s="2593">
        <f t="shared" si="25"/>
        <v>0</v>
      </c>
    </row>
    <row r="127" spans="1:32" s="2218" customFormat="1" ht="18.75" customHeight="1">
      <c r="A127" s="2235">
        <v>201</v>
      </c>
      <c r="B127" s="2279"/>
      <c r="C127" s="2280" t="s">
        <v>1927</v>
      </c>
      <c r="D127" s="2500" t="s">
        <v>1317</v>
      </c>
      <c r="E127" s="2255">
        <f>E128*E129</f>
        <v>0</v>
      </c>
      <c r="F127" s="2256">
        <f>F128*F129</f>
        <v>0</v>
      </c>
      <c r="G127" s="2257">
        <f t="shared" si="9"/>
        <v>0</v>
      </c>
      <c r="H127" s="2256">
        <f>H128*H129</f>
        <v>0</v>
      </c>
      <c r="I127" s="2256">
        <f>I128*I129</f>
        <v>0</v>
      </c>
      <c r="J127" s="2257">
        <f t="shared" si="10"/>
        <v>0</v>
      </c>
      <c r="K127" s="2256">
        <f>K128*K129</f>
        <v>0</v>
      </c>
      <c r="L127" s="2256">
        <f>L128*L129</f>
        <v>0</v>
      </c>
      <c r="M127" s="2259">
        <f t="shared" si="11"/>
        <v>0</v>
      </c>
      <c r="N127" s="2255">
        <v>21230.943339670248</v>
      </c>
      <c r="O127" s="2256">
        <v>23141.728240240573</v>
      </c>
      <c r="P127" s="2258">
        <f t="shared" si="12"/>
        <v>22186.33578995541</v>
      </c>
      <c r="Q127" s="2255">
        <f>Q128*Q129</f>
        <v>23141.728240240573</v>
      </c>
      <c r="R127" s="2256">
        <f>R128*R129</f>
        <v>24298.814652252604</v>
      </c>
      <c r="S127" s="2259">
        <f t="shared" si="13"/>
        <v>23720.271446246588</v>
      </c>
      <c r="T127" s="2255">
        <f>T128*T129</f>
        <v>24298.814652252604</v>
      </c>
      <c r="U127" s="2256">
        <f>U128*U129</f>
        <v>25513.755384865235</v>
      </c>
      <c r="V127" s="2258">
        <f t="shared" si="14"/>
        <v>24906.28501855892</v>
      </c>
      <c r="W127" s="2255">
        <f>W128*W129</f>
        <v>25513.755384865235</v>
      </c>
      <c r="X127" s="2256">
        <f>X128*X129</f>
        <v>26789.4431541085</v>
      </c>
      <c r="Y127" s="2258">
        <f t="shared" si="15"/>
        <v>26151.599269486869</v>
      </c>
      <c r="Z127" s="2255">
        <f>Z128*Z129</f>
        <v>26789.4431541085</v>
      </c>
      <c r="AA127" s="2256">
        <f>AA128*AA129</f>
        <v>28128.915311813922</v>
      </c>
      <c r="AB127" s="2259">
        <f t="shared" si="16"/>
        <v>27459.179232961211</v>
      </c>
      <c r="AC127" s="2593">
        <f t="shared" si="25"/>
        <v>0</v>
      </c>
    </row>
    <row r="128" spans="1:32" s="2218" customFormat="1" ht="21" customHeight="1">
      <c r="A128" s="2235">
        <v>206</v>
      </c>
      <c r="B128" s="2281" t="s">
        <v>1928</v>
      </c>
      <c r="C128" s="2282" t="s">
        <v>1929</v>
      </c>
      <c r="D128" s="2504" t="s">
        <v>1930</v>
      </c>
      <c r="E128" s="2284"/>
      <c r="F128" s="2285"/>
      <c r="G128" s="2257">
        <f t="shared" si="9"/>
        <v>0</v>
      </c>
      <c r="H128" s="2285"/>
      <c r="I128" s="2285"/>
      <c r="J128" s="2257">
        <f t="shared" si="10"/>
        <v>0</v>
      </c>
      <c r="K128" s="2285"/>
      <c r="L128" s="2285"/>
      <c r="M128" s="2259">
        <f t="shared" si="11"/>
        <v>0</v>
      </c>
      <c r="N128" s="2284">
        <v>2979.9113039303097</v>
      </c>
      <c r="O128" s="2285">
        <v>2979.9113039303097</v>
      </c>
      <c r="P128" s="2258">
        <f t="shared" si="12"/>
        <v>2979.9113039303097</v>
      </c>
      <c r="Q128" s="2284">
        <f>O128</f>
        <v>2979.9113039303097</v>
      </c>
      <c r="R128" s="2285">
        <f>Q128</f>
        <v>2979.9113039303097</v>
      </c>
      <c r="S128" s="2259">
        <f t="shared" si="13"/>
        <v>2979.9113039303097</v>
      </c>
      <c r="T128" s="2284">
        <f>R128</f>
        <v>2979.9113039303097</v>
      </c>
      <c r="U128" s="2285">
        <f>T128</f>
        <v>2979.9113039303097</v>
      </c>
      <c r="V128" s="2258">
        <f t="shared" si="14"/>
        <v>2979.9113039303097</v>
      </c>
      <c r="W128" s="2284">
        <f>U128</f>
        <v>2979.9113039303097</v>
      </c>
      <c r="X128" s="2285">
        <f>W128</f>
        <v>2979.9113039303097</v>
      </c>
      <c r="Y128" s="2258">
        <f t="shared" si="15"/>
        <v>2979.9113039303097</v>
      </c>
      <c r="Z128" s="2284">
        <f>X128</f>
        <v>2979.9113039303097</v>
      </c>
      <c r="AA128" s="2285">
        <f>Z128</f>
        <v>2979.9113039303097</v>
      </c>
      <c r="AB128" s="2259">
        <f t="shared" si="16"/>
        <v>2979.9113039303097</v>
      </c>
      <c r="AC128" s="2593">
        <f t="shared" si="25"/>
        <v>0</v>
      </c>
    </row>
    <row r="129" spans="1:29" s="2218" customFormat="1" ht="18.75" customHeight="1">
      <c r="A129" s="2235">
        <v>207</v>
      </c>
      <c r="B129" s="2281" t="s">
        <v>1932</v>
      </c>
      <c r="C129" s="2282" t="s">
        <v>1933</v>
      </c>
      <c r="D129" s="2504" t="s">
        <v>1934</v>
      </c>
      <c r="E129" s="2284"/>
      <c r="F129" s="2285"/>
      <c r="G129" s="2257">
        <f t="shared" si="9"/>
        <v>0</v>
      </c>
      <c r="H129" s="2285"/>
      <c r="I129" s="2285"/>
      <c r="J129" s="2257">
        <f t="shared" si="10"/>
        <v>0</v>
      </c>
      <c r="K129" s="2285"/>
      <c r="L129" s="2285"/>
      <c r="M129" s="2259">
        <f t="shared" si="11"/>
        <v>0</v>
      </c>
      <c r="N129" s="2284">
        <v>7.1246896884709319</v>
      </c>
      <c r="O129" s="2285">
        <v>7.7659117604333172</v>
      </c>
      <c r="P129" s="2258">
        <f t="shared" si="12"/>
        <v>7.4453007244521245</v>
      </c>
      <c r="Q129" s="2284">
        <f>O129</f>
        <v>7.7659117604333172</v>
      </c>
      <c r="R129" s="2285">
        <f>Q129*1.05</f>
        <v>8.1542073484549835</v>
      </c>
      <c r="S129" s="2259">
        <f t="shared" si="13"/>
        <v>7.9600595544441504</v>
      </c>
      <c r="T129" s="2284">
        <f>R129</f>
        <v>8.1542073484549835</v>
      </c>
      <c r="U129" s="2285">
        <f>T129*1.05</f>
        <v>8.5619177158777333</v>
      </c>
      <c r="V129" s="2258">
        <f t="shared" si="14"/>
        <v>8.3580625321663575</v>
      </c>
      <c r="W129" s="2284">
        <f>U129</f>
        <v>8.5619177158777333</v>
      </c>
      <c r="X129" s="2285">
        <f>W129*1.05</f>
        <v>8.9900136016716203</v>
      </c>
      <c r="Y129" s="2258">
        <f t="shared" si="15"/>
        <v>8.7759656587746768</v>
      </c>
      <c r="Z129" s="2284">
        <f>X129</f>
        <v>8.9900136016716203</v>
      </c>
      <c r="AA129" s="2285">
        <f>Z129*1.05</f>
        <v>9.4395142817552014</v>
      </c>
      <c r="AB129" s="2259">
        <f t="shared" si="16"/>
        <v>9.2147639417134108</v>
      </c>
      <c r="AC129" s="2593">
        <f t="shared" si="25"/>
        <v>0</v>
      </c>
    </row>
    <row r="130" spans="1:29" s="2218" customFormat="1" ht="19.5" hidden="1" customHeight="1" outlineLevel="1">
      <c r="A130" s="2235">
        <v>202</v>
      </c>
      <c r="B130" s="2279"/>
      <c r="C130" s="2280" t="s">
        <v>1936</v>
      </c>
      <c r="D130" s="2500" t="s">
        <v>1317</v>
      </c>
      <c r="E130" s="2255">
        <f>E131*E132</f>
        <v>0</v>
      </c>
      <c r="F130" s="2256">
        <f>F131*F132</f>
        <v>0</v>
      </c>
      <c r="G130" s="2257">
        <f t="shared" si="9"/>
        <v>0</v>
      </c>
      <c r="H130" s="2256">
        <f>H131*H132</f>
        <v>0</v>
      </c>
      <c r="I130" s="2256">
        <f>I131*I132</f>
        <v>0</v>
      </c>
      <c r="J130" s="2257">
        <f t="shared" si="10"/>
        <v>0</v>
      </c>
      <c r="K130" s="2256">
        <f>K131*K132</f>
        <v>0</v>
      </c>
      <c r="L130" s="2256">
        <f>L131*L132</f>
        <v>0</v>
      </c>
      <c r="M130" s="2259">
        <f t="shared" si="11"/>
        <v>0</v>
      </c>
      <c r="N130" s="2255">
        <v>0</v>
      </c>
      <c r="O130" s="2256">
        <v>0</v>
      </c>
      <c r="P130" s="2258">
        <f t="shared" si="12"/>
        <v>0</v>
      </c>
      <c r="Q130" s="2284">
        <f>Q131*Q132</f>
        <v>0</v>
      </c>
      <c r="R130" s="2256">
        <f>R131*R132</f>
        <v>0</v>
      </c>
      <c r="S130" s="2259">
        <f t="shared" si="13"/>
        <v>0</v>
      </c>
      <c r="T130" s="2284">
        <f>T131*T132</f>
        <v>0</v>
      </c>
      <c r="U130" s="2256">
        <f>U131*U132</f>
        <v>0</v>
      </c>
      <c r="V130" s="2258">
        <f t="shared" si="14"/>
        <v>0</v>
      </c>
      <c r="W130" s="2284">
        <f>W131*W132</f>
        <v>0</v>
      </c>
      <c r="X130" s="2256">
        <f>X131*X132</f>
        <v>0</v>
      </c>
      <c r="Y130" s="2258">
        <f t="shared" si="15"/>
        <v>0</v>
      </c>
      <c r="Z130" s="2284">
        <f>Z131*Z132</f>
        <v>0</v>
      </c>
      <c r="AA130" s="2256">
        <f>AA131*AA132</f>
        <v>0</v>
      </c>
      <c r="AB130" s="2259">
        <f t="shared" si="16"/>
        <v>0</v>
      </c>
      <c r="AC130" s="2593">
        <f t="shared" si="25"/>
        <v>0</v>
      </c>
    </row>
    <row r="131" spans="1:29" s="2218" customFormat="1" ht="21" hidden="1" customHeight="1" outlineLevel="1">
      <c r="A131" s="2235">
        <v>208</v>
      </c>
      <c r="B131" s="2281" t="s">
        <v>1937</v>
      </c>
      <c r="C131" s="2282" t="s">
        <v>1929</v>
      </c>
      <c r="D131" s="2504" t="s">
        <v>1930</v>
      </c>
      <c r="E131" s="2284"/>
      <c r="F131" s="2285"/>
      <c r="G131" s="2257">
        <f t="shared" si="9"/>
        <v>0</v>
      </c>
      <c r="H131" s="2285"/>
      <c r="I131" s="2285"/>
      <c r="J131" s="2257">
        <f t="shared" si="10"/>
        <v>0</v>
      </c>
      <c r="K131" s="2285"/>
      <c r="L131" s="2285"/>
      <c r="M131" s="2259">
        <f t="shared" si="11"/>
        <v>0</v>
      </c>
      <c r="N131" s="2284">
        <v>0</v>
      </c>
      <c r="O131" s="2285">
        <v>0</v>
      </c>
      <c r="P131" s="2258">
        <f t="shared" si="12"/>
        <v>0</v>
      </c>
      <c r="Q131" s="2284"/>
      <c r="R131" s="2285"/>
      <c r="S131" s="2259">
        <f t="shared" si="13"/>
        <v>0</v>
      </c>
      <c r="T131" s="2284"/>
      <c r="U131" s="2285"/>
      <c r="V131" s="2258">
        <f t="shared" si="14"/>
        <v>0</v>
      </c>
      <c r="W131" s="2284"/>
      <c r="X131" s="2285"/>
      <c r="Y131" s="2258">
        <f t="shared" si="15"/>
        <v>0</v>
      </c>
      <c r="Z131" s="2284"/>
      <c r="AA131" s="2285"/>
      <c r="AB131" s="2259">
        <f t="shared" si="16"/>
        <v>0</v>
      </c>
      <c r="AC131" s="2593">
        <f t="shared" si="25"/>
        <v>0</v>
      </c>
    </row>
    <row r="132" spans="1:29" s="2218" customFormat="1" ht="18" hidden="1" customHeight="1" outlineLevel="1">
      <c r="A132" s="2235">
        <v>209</v>
      </c>
      <c r="B132" s="2281" t="s">
        <v>1938</v>
      </c>
      <c r="C132" s="2282" t="s">
        <v>1933</v>
      </c>
      <c r="D132" s="2504" t="s">
        <v>1934</v>
      </c>
      <c r="E132" s="2284"/>
      <c r="F132" s="2285"/>
      <c r="G132" s="2257">
        <f t="shared" si="9"/>
        <v>0</v>
      </c>
      <c r="H132" s="2285"/>
      <c r="I132" s="2285"/>
      <c r="J132" s="2257">
        <f t="shared" si="10"/>
        <v>0</v>
      </c>
      <c r="K132" s="2285"/>
      <c r="L132" s="2285"/>
      <c r="M132" s="2259">
        <f t="shared" si="11"/>
        <v>0</v>
      </c>
      <c r="N132" s="2284">
        <v>0</v>
      </c>
      <c r="O132" s="2285">
        <v>0</v>
      </c>
      <c r="P132" s="2258">
        <f t="shared" si="12"/>
        <v>0</v>
      </c>
      <c r="Q132" s="2284"/>
      <c r="R132" s="2285"/>
      <c r="S132" s="2259">
        <f t="shared" si="13"/>
        <v>0</v>
      </c>
      <c r="T132" s="2284"/>
      <c r="U132" s="2285"/>
      <c r="V132" s="2258">
        <f t="shared" si="14"/>
        <v>0</v>
      </c>
      <c r="W132" s="2284"/>
      <c r="X132" s="2285"/>
      <c r="Y132" s="2258">
        <f t="shared" si="15"/>
        <v>0</v>
      </c>
      <c r="Z132" s="2284"/>
      <c r="AA132" s="2285"/>
      <c r="AB132" s="2259">
        <f t="shared" si="16"/>
        <v>0</v>
      </c>
      <c r="AC132" s="2593">
        <f t="shared" si="25"/>
        <v>0</v>
      </c>
    </row>
    <row r="133" spans="1:29" s="2218" customFormat="1" ht="17.25" customHeight="1" collapsed="1">
      <c r="A133" s="2235">
        <v>203</v>
      </c>
      <c r="B133" s="2279"/>
      <c r="C133" s="2280" t="s">
        <v>1939</v>
      </c>
      <c r="D133" s="2500" t="s">
        <v>1317</v>
      </c>
      <c r="E133" s="2255">
        <f>E134*E135</f>
        <v>842.75812285670668</v>
      </c>
      <c r="F133" s="2256">
        <f>F134*F135</f>
        <v>883.59971473668315</v>
      </c>
      <c r="G133" s="2257">
        <f t="shared" si="9"/>
        <v>863.17891879669492</v>
      </c>
      <c r="H133" s="2256">
        <f>H134*H135</f>
        <v>1127.1642023346303</v>
      </c>
      <c r="I133" s="2256">
        <f>I134*I135</f>
        <v>1190.2853976653698</v>
      </c>
      <c r="J133" s="2257">
        <f t="shared" si="10"/>
        <v>1158.7248</v>
      </c>
      <c r="K133" s="2256">
        <f>K134*K135</f>
        <v>1199.8853287738154</v>
      </c>
      <c r="L133" s="2256">
        <f>L134*L135</f>
        <v>1256.2799392261848</v>
      </c>
      <c r="M133" s="2259">
        <f t="shared" si="11"/>
        <v>1228.0826340000001</v>
      </c>
      <c r="N133" s="2284">
        <v>29202.475541193711</v>
      </c>
      <c r="O133" s="2286">
        <v>31830.698339901144</v>
      </c>
      <c r="P133" s="2258">
        <f t="shared" si="12"/>
        <v>30516.58694054743</v>
      </c>
      <c r="Q133" s="2284">
        <f>Q134*Q135</f>
        <v>31830.698339901144</v>
      </c>
      <c r="R133" s="2256">
        <f>R134*R135</f>
        <v>33422.233256896201</v>
      </c>
      <c r="S133" s="2259">
        <f t="shared" si="13"/>
        <v>32626.465798398673</v>
      </c>
      <c r="T133" s="2284">
        <f>T134*T135</f>
        <v>33422.233256896201</v>
      </c>
      <c r="U133" s="2256">
        <f>U134*U135</f>
        <v>35093.344919741015</v>
      </c>
      <c r="V133" s="2258">
        <f t="shared" si="14"/>
        <v>34257.789088318605</v>
      </c>
      <c r="W133" s="2284">
        <f>W134*W135</f>
        <v>35093.344919741015</v>
      </c>
      <c r="X133" s="2256">
        <f>X134*X135</f>
        <v>36848.012165728069</v>
      </c>
      <c r="Y133" s="2258">
        <f t="shared" si="15"/>
        <v>35970.678542734546</v>
      </c>
      <c r="Z133" s="2284">
        <f>Z134*Z135</f>
        <v>36848.012165728069</v>
      </c>
      <c r="AA133" s="2256">
        <f>AA134*AA135</f>
        <v>38690.412774014476</v>
      </c>
      <c r="AB133" s="2259">
        <f t="shared" si="16"/>
        <v>37769.212469871272</v>
      </c>
      <c r="AC133" s="2593">
        <f t="shared" si="25"/>
        <v>0</v>
      </c>
    </row>
    <row r="134" spans="1:29" s="2218" customFormat="1" ht="21" customHeight="1">
      <c r="A134" s="2235">
        <v>210</v>
      </c>
      <c r="B134" s="2281" t="s">
        <v>1940</v>
      </c>
      <c r="C134" s="2282" t="s">
        <v>1929</v>
      </c>
      <c r="D134" s="2504" t="s">
        <v>1930</v>
      </c>
      <c r="E134" s="2284">
        <v>133.1</v>
      </c>
      <c r="F134" s="2285">
        <v>133.1</v>
      </c>
      <c r="G134" s="2257">
        <f t="shared" ref="G134:G224" si="44">E134/2+F134/2</f>
        <v>133.1</v>
      </c>
      <c r="H134" s="2285">
        <v>160.80000000000001</v>
      </c>
      <c r="I134" s="2285">
        <v>160.80000000000001</v>
      </c>
      <c r="J134" s="2257">
        <f t="shared" ref="J134:J224" si="45">H134/2+I134/2</f>
        <v>160.80000000000001</v>
      </c>
      <c r="K134" s="2285">
        <v>177.3</v>
      </c>
      <c r="L134" s="2285">
        <v>177.3</v>
      </c>
      <c r="M134" s="2259">
        <f t="shared" ref="M134:M224" si="46">K134/2+L134/2</f>
        <v>177.3</v>
      </c>
      <c r="N134" s="2284">
        <v>4201.7547970699225</v>
      </c>
      <c r="O134" s="2286">
        <v>4201.7547970699225</v>
      </c>
      <c r="P134" s="2258">
        <f t="shared" ref="P134:P224" si="47">N134/2+O134/2</f>
        <v>4201.7547970699225</v>
      </c>
      <c r="Q134" s="2284">
        <f>O134</f>
        <v>4201.7547970699225</v>
      </c>
      <c r="R134" s="2285">
        <f>Q134</f>
        <v>4201.7547970699225</v>
      </c>
      <c r="S134" s="2259">
        <f t="shared" ref="S134:S224" si="48">Q134/2+R134/2</f>
        <v>4201.7547970699225</v>
      </c>
      <c r="T134" s="2284">
        <f>R134</f>
        <v>4201.7547970699225</v>
      </c>
      <c r="U134" s="2285">
        <f>T134</f>
        <v>4201.7547970699225</v>
      </c>
      <c r="V134" s="2258">
        <f t="shared" ref="V134:V224" si="49">T134/2+U134/2</f>
        <v>4201.7547970699225</v>
      </c>
      <c r="W134" s="2284">
        <f>U134</f>
        <v>4201.7547970699225</v>
      </c>
      <c r="X134" s="2285">
        <f>W134</f>
        <v>4201.7547970699225</v>
      </c>
      <c r="Y134" s="2258">
        <f t="shared" ref="Y134:Y224" si="50">W134/2+X134/2</f>
        <v>4201.7547970699225</v>
      </c>
      <c r="Z134" s="2284">
        <f>X134</f>
        <v>4201.7547970699225</v>
      </c>
      <c r="AA134" s="2285">
        <f>Z134</f>
        <v>4201.7547970699225</v>
      </c>
      <c r="AB134" s="2259">
        <f t="shared" ref="AB134:AB224" si="51">Z134/2+AA134/2</f>
        <v>4201.7547970699225</v>
      </c>
      <c r="AC134" s="2593">
        <f t="shared" si="25"/>
        <v>0</v>
      </c>
    </row>
    <row r="135" spans="1:29" s="2218" customFormat="1" ht="18" customHeight="1" thickBot="1">
      <c r="A135" s="2235">
        <v>211</v>
      </c>
      <c r="B135" s="2281" t="s">
        <v>1941</v>
      </c>
      <c r="C135" s="2282" t="s">
        <v>1933</v>
      </c>
      <c r="D135" s="2504" t="s">
        <v>1934</v>
      </c>
      <c r="E135" s="2284">
        <v>6.3317665128227398</v>
      </c>
      <c r="F135" s="2285">
        <v>6.6386154375408202</v>
      </c>
      <c r="G135" s="2257">
        <f t="shared" si="44"/>
        <v>6.48519097518178</v>
      </c>
      <c r="H135" s="2285">
        <v>7.0097276264591439</v>
      </c>
      <c r="I135" s="2285">
        <v>7.402272373540856</v>
      </c>
      <c r="J135" s="2257">
        <f t="shared" si="45"/>
        <v>7.2059999999999995</v>
      </c>
      <c r="K135" s="2285">
        <v>6.7675427454811921</v>
      </c>
      <c r="L135" s="2285">
        <v>7.0856172545188079</v>
      </c>
      <c r="M135" s="2259">
        <f t="shared" si="46"/>
        <v>6.9265799999999995</v>
      </c>
      <c r="N135" s="2284">
        <v>6.9500665677963749</v>
      </c>
      <c r="O135" s="2286">
        <v>7.5755725588980489</v>
      </c>
      <c r="P135" s="2258">
        <f t="shared" si="47"/>
        <v>7.2628195633472119</v>
      </c>
      <c r="Q135" s="2284">
        <f>O135</f>
        <v>7.5755725588980489</v>
      </c>
      <c r="R135" s="2285">
        <f>Q135*1.05</f>
        <v>7.9543511868429517</v>
      </c>
      <c r="S135" s="2259">
        <f t="shared" si="48"/>
        <v>7.7649618728705008</v>
      </c>
      <c r="T135" s="2284">
        <f>R135</f>
        <v>7.9543511868429517</v>
      </c>
      <c r="U135" s="2285">
        <f>T135*1.05</f>
        <v>8.3520687461851004</v>
      </c>
      <c r="V135" s="2258">
        <f t="shared" si="49"/>
        <v>8.1532099665140265</v>
      </c>
      <c r="W135" s="2284">
        <f>U135</f>
        <v>8.3520687461851004</v>
      </c>
      <c r="X135" s="2285">
        <f>W135*1.05</f>
        <v>8.7696721834943556</v>
      </c>
      <c r="Y135" s="2258">
        <f t="shared" si="50"/>
        <v>8.5608704648397271</v>
      </c>
      <c r="Z135" s="2284">
        <f>X135</f>
        <v>8.7696721834943556</v>
      </c>
      <c r="AA135" s="2285">
        <f>Z135*1.05</f>
        <v>9.2081557926690731</v>
      </c>
      <c r="AB135" s="2259">
        <f t="shared" si="51"/>
        <v>8.9889139880817144</v>
      </c>
      <c r="AC135" s="2593">
        <f t="shared" ref="AC135:AC198" si="52">T135-R135</f>
        <v>0</v>
      </c>
    </row>
    <row r="136" spans="1:29" s="2218" customFormat="1" ht="18" hidden="1" customHeight="1" outlineLevel="1">
      <c r="A136" s="2235">
        <v>204</v>
      </c>
      <c r="B136" s="2279"/>
      <c r="C136" s="2280" t="s">
        <v>1942</v>
      </c>
      <c r="D136" s="2500" t="s">
        <v>1317</v>
      </c>
      <c r="E136" s="2255">
        <f>E137*E138</f>
        <v>0</v>
      </c>
      <c r="F136" s="2256">
        <f>F137*F138</f>
        <v>0</v>
      </c>
      <c r="G136" s="2257">
        <f t="shared" si="44"/>
        <v>0</v>
      </c>
      <c r="H136" s="2256">
        <f>H137*H138</f>
        <v>0</v>
      </c>
      <c r="I136" s="2256">
        <f>I137*I138</f>
        <v>0</v>
      </c>
      <c r="J136" s="2257">
        <f t="shared" si="45"/>
        <v>0</v>
      </c>
      <c r="K136" s="2256">
        <f>K137*K138</f>
        <v>0</v>
      </c>
      <c r="L136" s="2256">
        <f>L137*L138</f>
        <v>0</v>
      </c>
      <c r="M136" s="2259">
        <f t="shared" si="46"/>
        <v>0</v>
      </c>
      <c r="N136" s="2255">
        <v>0</v>
      </c>
      <c r="O136" s="2256">
        <v>0</v>
      </c>
      <c r="P136" s="2258">
        <f t="shared" si="47"/>
        <v>0</v>
      </c>
      <c r="Q136" s="2255">
        <f>Q137*Q138</f>
        <v>0</v>
      </c>
      <c r="R136" s="2256">
        <f>R137*R138</f>
        <v>0</v>
      </c>
      <c r="S136" s="2259">
        <f t="shared" si="48"/>
        <v>0</v>
      </c>
      <c r="T136" s="2255">
        <f>T137*T138</f>
        <v>0</v>
      </c>
      <c r="U136" s="2256">
        <f>U137*U138</f>
        <v>0</v>
      </c>
      <c r="V136" s="2258">
        <f t="shared" si="49"/>
        <v>0</v>
      </c>
      <c r="W136" s="2255">
        <f>W137*W138</f>
        <v>0</v>
      </c>
      <c r="X136" s="2256">
        <f>X137*X138</f>
        <v>0</v>
      </c>
      <c r="Y136" s="2258">
        <f t="shared" si="50"/>
        <v>0</v>
      </c>
      <c r="Z136" s="2255">
        <f>Z137*Z138</f>
        <v>0</v>
      </c>
      <c r="AA136" s="2256">
        <f>AA137*AA138</f>
        <v>0</v>
      </c>
      <c r="AB136" s="2259">
        <f t="shared" si="51"/>
        <v>0</v>
      </c>
      <c r="AC136" s="2593">
        <f t="shared" si="52"/>
        <v>0</v>
      </c>
    </row>
    <row r="137" spans="1:29" s="2218" customFormat="1" ht="21" hidden="1" customHeight="1" outlineLevel="1">
      <c r="A137" s="2235">
        <v>212</v>
      </c>
      <c r="B137" s="2281" t="s">
        <v>1943</v>
      </c>
      <c r="C137" s="2282" t="s">
        <v>1929</v>
      </c>
      <c r="D137" s="2504" t="s">
        <v>1930</v>
      </c>
      <c r="E137" s="2284"/>
      <c r="F137" s="2285"/>
      <c r="G137" s="2257">
        <f t="shared" si="44"/>
        <v>0</v>
      </c>
      <c r="H137" s="2285"/>
      <c r="I137" s="2285"/>
      <c r="J137" s="2257">
        <f t="shared" si="45"/>
        <v>0</v>
      </c>
      <c r="K137" s="2285"/>
      <c r="L137" s="2285"/>
      <c r="M137" s="2259">
        <f t="shared" si="46"/>
        <v>0</v>
      </c>
      <c r="N137" s="2284">
        <v>0</v>
      </c>
      <c r="O137" s="2285">
        <v>0</v>
      </c>
      <c r="P137" s="2258">
        <f t="shared" si="47"/>
        <v>0</v>
      </c>
      <c r="Q137" s="2284"/>
      <c r="R137" s="2285"/>
      <c r="S137" s="2259">
        <f t="shared" si="48"/>
        <v>0</v>
      </c>
      <c r="T137" s="2284"/>
      <c r="U137" s="2285"/>
      <c r="V137" s="2258">
        <f t="shared" si="49"/>
        <v>0</v>
      </c>
      <c r="W137" s="2284"/>
      <c r="X137" s="2285"/>
      <c r="Y137" s="2258">
        <f t="shared" si="50"/>
        <v>0</v>
      </c>
      <c r="Z137" s="2284"/>
      <c r="AA137" s="2285"/>
      <c r="AB137" s="2259">
        <f t="shared" si="51"/>
        <v>0</v>
      </c>
      <c r="AC137" s="2593">
        <f t="shared" si="52"/>
        <v>0</v>
      </c>
    </row>
    <row r="138" spans="1:29" s="2218" customFormat="1" ht="21.75" hidden="1" customHeight="1" outlineLevel="1">
      <c r="A138" s="2235">
        <v>213</v>
      </c>
      <c r="B138" s="2281" t="s">
        <v>1944</v>
      </c>
      <c r="C138" s="2282" t="s">
        <v>1933</v>
      </c>
      <c r="D138" s="2504" t="s">
        <v>1934</v>
      </c>
      <c r="E138" s="2284"/>
      <c r="F138" s="2285"/>
      <c r="G138" s="2257">
        <f t="shared" si="44"/>
        <v>0</v>
      </c>
      <c r="H138" s="2285"/>
      <c r="I138" s="2285"/>
      <c r="J138" s="2257">
        <f t="shared" si="45"/>
        <v>0</v>
      </c>
      <c r="K138" s="2285"/>
      <c r="L138" s="2285"/>
      <c r="M138" s="2259">
        <f t="shared" si="46"/>
        <v>0</v>
      </c>
      <c r="N138" s="2284">
        <v>0</v>
      </c>
      <c r="O138" s="2285">
        <v>0</v>
      </c>
      <c r="P138" s="2258">
        <f t="shared" si="47"/>
        <v>0</v>
      </c>
      <c r="Q138" s="2284"/>
      <c r="R138" s="2285"/>
      <c r="S138" s="2259">
        <f t="shared" si="48"/>
        <v>0</v>
      </c>
      <c r="T138" s="2284"/>
      <c r="U138" s="2285"/>
      <c r="V138" s="2258">
        <f t="shared" si="49"/>
        <v>0</v>
      </c>
      <c r="W138" s="2284"/>
      <c r="X138" s="2285"/>
      <c r="Y138" s="2258">
        <f t="shared" si="50"/>
        <v>0</v>
      </c>
      <c r="Z138" s="2284"/>
      <c r="AA138" s="2285"/>
      <c r="AB138" s="2259">
        <f t="shared" si="51"/>
        <v>0</v>
      </c>
      <c r="AC138" s="2593">
        <f t="shared" si="52"/>
        <v>0</v>
      </c>
    </row>
    <row r="139" spans="1:29" s="2218" customFormat="1" ht="11.25" hidden="1" customHeight="1" outlineLevel="1">
      <c r="A139" s="2235">
        <v>205</v>
      </c>
      <c r="B139" s="2279"/>
      <c r="C139" s="2280" t="s">
        <v>1945</v>
      </c>
      <c r="D139" s="2500" t="s">
        <v>1317</v>
      </c>
      <c r="E139" s="2255">
        <f>E140*E141</f>
        <v>0</v>
      </c>
      <c r="F139" s="2256">
        <f>F140*F141</f>
        <v>0</v>
      </c>
      <c r="G139" s="2257">
        <f t="shared" si="44"/>
        <v>0</v>
      </c>
      <c r="H139" s="2256">
        <f>H140*H141</f>
        <v>0</v>
      </c>
      <c r="I139" s="2256">
        <f>I140*I141</f>
        <v>0</v>
      </c>
      <c r="J139" s="2257">
        <f t="shared" si="45"/>
        <v>0</v>
      </c>
      <c r="K139" s="2256">
        <f>K140*K141</f>
        <v>0</v>
      </c>
      <c r="L139" s="2256">
        <f>L140*L141</f>
        <v>0</v>
      </c>
      <c r="M139" s="2259">
        <f t="shared" si="46"/>
        <v>0</v>
      </c>
      <c r="N139" s="2255">
        <v>0</v>
      </c>
      <c r="O139" s="2256">
        <v>0</v>
      </c>
      <c r="P139" s="2258">
        <f t="shared" si="47"/>
        <v>0</v>
      </c>
      <c r="Q139" s="2255">
        <f>Q140*Q141</f>
        <v>0</v>
      </c>
      <c r="R139" s="2256">
        <f>R140*R141</f>
        <v>0</v>
      </c>
      <c r="S139" s="2259">
        <f t="shared" si="48"/>
        <v>0</v>
      </c>
      <c r="T139" s="2255">
        <f>T140*T141</f>
        <v>0</v>
      </c>
      <c r="U139" s="2256">
        <f>U140*U141</f>
        <v>0</v>
      </c>
      <c r="V139" s="2258">
        <f t="shared" si="49"/>
        <v>0</v>
      </c>
      <c r="W139" s="2255">
        <f>W140*W141</f>
        <v>0</v>
      </c>
      <c r="X139" s="2256">
        <f>X140*X141</f>
        <v>0</v>
      </c>
      <c r="Y139" s="2258">
        <f t="shared" si="50"/>
        <v>0</v>
      </c>
      <c r="Z139" s="2255">
        <f>Z140*Z141</f>
        <v>0</v>
      </c>
      <c r="AA139" s="2256">
        <f>AA140*AA141</f>
        <v>0</v>
      </c>
      <c r="AB139" s="2259">
        <f t="shared" si="51"/>
        <v>0</v>
      </c>
      <c r="AC139" s="2593">
        <f t="shared" si="52"/>
        <v>0</v>
      </c>
    </row>
    <row r="140" spans="1:29" s="2218" customFormat="1" ht="21" hidden="1" customHeight="1" outlineLevel="1">
      <c r="A140" s="2235">
        <v>214</v>
      </c>
      <c r="B140" s="2281" t="s">
        <v>1946</v>
      </c>
      <c r="C140" s="2282" t="s">
        <v>1929</v>
      </c>
      <c r="D140" s="2504" t="s">
        <v>1930</v>
      </c>
      <c r="E140" s="2284"/>
      <c r="F140" s="2285"/>
      <c r="G140" s="2257">
        <f t="shared" si="44"/>
        <v>0</v>
      </c>
      <c r="H140" s="2285"/>
      <c r="I140" s="2285"/>
      <c r="J140" s="2257">
        <f t="shared" si="45"/>
        <v>0</v>
      </c>
      <c r="K140" s="2285"/>
      <c r="L140" s="2285"/>
      <c r="M140" s="2259">
        <f t="shared" si="46"/>
        <v>0</v>
      </c>
      <c r="N140" s="2284">
        <v>0</v>
      </c>
      <c r="O140" s="2285">
        <v>0</v>
      </c>
      <c r="P140" s="2258">
        <f t="shared" si="47"/>
        <v>0</v>
      </c>
      <c r="Q140" s="2284"/>
      <c r="R140" s="2285"/>
      <c r="S140" s="2259">
        <f t="shared" si="48"/>
        <v>0</v>
      </c>
      <c r="T140" s="2284"/>
      <c r="U140" s="2285"/>
      <c r="V140" s="2258">
        <f t="shared" si="49"/>
        <v>0</v>
      </c>
      <c r="W140" s="2284"/>
      <c r="X140" s="2285"/>
      <c r="Y140" s="2258">
        <f t="shared" si="50"/>
        <v>0</v>
      </c>
      <c r="Z140" s="2284"/>
      <c r="AA140" s="2285"/>
      <c r="AB140" s="2259">
        <f t="shared" si="51"/>
        <v>0</v>
      </c>
      <c r="AC140" s="2593">
        <f t="shared" si="52"/>
        <v>0</v>
      </c>
    </row>
    <row r="141" spans="1:29" s="2218" customFormat="1" ht="18.75" hidden="1" customHeight="1" outlineLevel="1">
      <c r="A141" s="2235">
        <v>215</v>
      </c>
      <c r="B141" s="2281" t="s">
        <v>1947</v>
      </c>
      <c r="C141" s="2282" t="s">
        <v>1933</v>
      </c>
      <c r="D141" s="2504" t="s">
        <v>1317</v>
      </c>
      <c r="E141" s="2284"/>
      <c r="F141" s="2285"/>
      <c r="G141" s="2257">
        <f t="shared" si="44"/>
        <v>0</v>
      </c>
      <c r="H141" s="2285"/>
      <c r="I141" s="2285"/>
      <c r="J141" s="2257">
        <f t="shared" si="45"/>
        <v>0</v>
      </c>
      <c r="K141" s="2285"/>
      <c r="L141" s="2285"/>
      <c r="M141" s="2259">
        <f t="shared" si="46"/>
        <v>0</v>
      </c>
      <c r="N141" s="2284">
        <v>0</v>
      </c>
      <c r="O141" s="2285">
        <v>0</v>
      </c>
      <c r="P141" s="2258">
        <f t="shared" si="47"/>
        <v>0</v>
      </c>
      <c r="Q141" s="2284"/>
      <c r="R141" s="2285"/>
      <c r="S141" s="2259">
        <f t="shared" si="48"/>
        <v>0</v>
      </c>
      <c r="T141" s="2284"/>
      <c r="U141" s="2285"/>
      <c r="V141" s="2258">
        <f t="shared" si="49"/>
        <v>0</v>
      </c>
      <c r="W141" s="2284"/>
      <c r="X141" s="2285"/>
      <c r="Y141" s="2258">
        <f t="shared" si="50"/>
        <v>0</v>
      </c>
      <c r="Z141" s="2284"/>
      <c r="AA141" s="2285"/>
      <c r="AB141" s="2259">
        <f t="shared" si="51"/>
        <v>0</v>
      </c>
      <c r="AC141" s="2593">
        <f t="shared" si="52"/>
        <v>0</v>
      </c>
    </row>
    <row r="142" spans="1:29" s="2218" customFormat="1" ht="30.75" hidden="1" customHeight="1" outlineLevel="1">
      <c r="A142" s="2235">
        <v>200</v>
      </c>
      <c r="B142" s="2279"/>
      <c r="C142" s="2295" t="s">
        <v>1948</v>
      </c>
      <c r="D142" s="2500" t="s">
        <v>1317</v>
      </c>
      <c r="E142" s="2255">
        <f>E143+E159</f>
        <v>0</v>
      </c>
      <c r="F142" s="2256">
        <f>F143+F159</f>
        <v>0</v>
      </c>
      <c r="G142" s="2257">
        <f t="shared" si="44"/>
        <v>0</v>
      </c>
      <c r="H142" s="2256">
        <f>H143+H159</f>
        <v>0</v>
      </c>
      <c r="I142" s="2256">
        <f>I143+I159</f>
        <v>0</v>
      </c>
      <c r="J142" s="2257">
        <f t="shared" si="45"/>
        <v>0</v>
      </c>
      <c r="K142" s="2256">
        <f>K143+K159</f>
        <v>0</v>
      </c>
      <c r="L142" s="2256">
        <f>L143+L159</f>
        <v>0</v>
      </c>
      <c r="M142" s="2259">
        <f t="shared" si="46"/>
        <v>0</v>
      </c>
      <c r="N142" s="2255">
        <v>0</v>
      </c>
      <c r="O142" s="2256">
        <v>0</v>
      </c>
      <c r="P142" s="2258">
        <f t="shared" si="47"/>
        <v>0</v>
      </c>
      <c r="Q142" s="2255">
        <f>Q143+Q159</f>
        <v>0</v>
      </c>
      <c r="R142" s="2256">
        <f>R143+R159</f>
        <v>0</v>
      </c>
      <c r="S142" s="2259">
        <f t="shared" si="48"/>
        <v>0</v>
      </c>
      <c r="T142" s="2255">
        <f>T143+T159</f>
        <v>0</v>
      </c>
      <c r="U142" s="2256">
        <f>U143+U159</f>
        <v>0</v>
      </c>
      <c r="V142" s="2258">
        <f t="shared" si="49"/>
        <v>0</v>
      </c>
      <c r="W142" s="2255">
        <f>W143+W159</f>
        <v>0</v>
      </c>
      <c r="X142" s="2256">
        <f>X143+X159</f>
        <v>0</v>
      </c>
      <c r="Y142" s="2258">
        <f t="shared" si="50"/>
        <v>0</v>
      </c>
      <c r="Z142" s="2255">
        <f>Z143+Z159</f>
        <v>0</v>
      </c>
      <c r="AA142" s="2256">
        <f>AA143+AA159</f>
        <v>0</v>
      </c>
      <c r="AB142" s="2259">
        <f t="shared" si="51"/>
        <v>0</v>
      </c>
      <c r="AC142" s="2593">
        <f t="shared" si="52"/>
        <v>0</v>
      </c>
    </row>
    <row r="143" spans="1:29" s="2218" customFormat="1" ht="22.5" hidden="1" customHeight="1" outlineLevel="1">
      <c r="A143" s="2235">
        <v>216</v>
      </c>
      <c r="B143" s="2279"/>
      <c r="C143" s="2280" t="s">
        <v>1949</v>
      </c>
      <c r="D143" s="2500" t="s">
        <v>1317</v>
      </c>
      <c r="E143" s="2255">
        <f>E144+E147+E150+E153+E156</f>
        <v>0</v>
      </c>
      <c r="F143" s="2256">
        <f>F144+F147+F150+F153+F156</f>
        <v>0</v>
      </c>
      <c r="G143" s="2257">
        <f t="shared" si="44"/>
        <v>0</v>
      </c>
      <c r="H143" s="2256">
        <f>H144+H147+H150+H153+H156</f>
        <v>0</v>
      </c>
      <c r="I143" s="2256">
        <f>I144+I147+I150+I153+I156</f>
        <v>0</v>
      </c>
      <c r="J143" s="2257">
        <f t="shared" si="45"/>
        <v>0</v>
      </c>
      <c r="K143" s="2256">
        <f>K144+K147+K150+K153+K156</f>
        <v>0</v>
      </c>
      <c r="L143" s="2256">
        <f>L144+L147+L150+L153+L156</f>
        <v>0</v>
      </c>
      <c r="M143" s="2259">
        <f t="shared" si="46"/>
        <v>0</v>
      </c>
      <c r="N143" s="2255">
        <v>0</v>
      </c>
      <c r="O143" s="2256">
        <v>0</v>
      </c>
      <c r="P143" s="2258">
        <f t="shared" si="47"/>
        <v>0</v>
      </c>
      <c r="Q143" s="2255">
        <f>Q144+Q147+Q150+Q153+Q156</f>
        <v>0</v>
      </c>
      <c r="R143" s="2256">
        <f>R144+R147+R150+R153+R156</f>
        <v>0</v>
      </c>
      <c r="S143" s="2259">
        <f t="shared" si="48"/>
        <v>0</v>
      </c>
      <c r="T143" s="2255">
        <f>T144+T147+T150+T153+T156</f>
        <v>0</v>
      </c>
      <c r="U143" s="2256">
        <f>U144+U147+U150+U153+U156</f>
        <v>0</v>
      </c>
      <c r="V143" s="2258">
        <f t="shared" si="49"/>
        <v>0</v>
      </c>
      <c r="W143" s="2255">
        <f>W144+W147+W150+W153+W156</f>
        <v>0</v>
      </c>
      <c r="X143" s="2256">
        <f>X144+X147+X150+X153+X156</f>
        <v>0</v>
      </c>
      <c r="Y143" s="2258">
        <f t="shared" si="50"/>
        <v>0</v>
      </c>
      <c r="Z143" s="2255">
        <f>Z144+Z147+Z150+Z153+Z156</f>
        <v>0</v>
      </c>
      <c r="AA143" s="2256">
        <f>AA144+AA147+AA150+AA153+AA156</f>
        <v>0</v>
      </c>
      <c r="AB143" s="2259">
        <f t="shared" si="51"/>
        <v>0</v>
      </c>
      <c r="AC143" s="2593">
        <f t="shared" si="52"/>
        <v>0</v>
      </c>
    </row>
    <row r="144" spans="1:29" s="2218" customFormat="1" ht="17.25" hidden="1" customHeight="1" outlineLevel="1" thickBot="1">
      <c r="A144" s="2235">
        <v>218</v>
      </c>
      <c r="B144" s="2279"/>
      <c r="C144" s="2280" t="s">
        <v>1927</v>
      </c>
      <c r="D144" s="2500" t="s">
        <v>1317</v>
      </c>
      <c r="E144" s="2255">
        <f>E145*E146</f>
        <v>0</v>
      </c>
      <c r="F144" s="2256">
        <f>F145*F146</f>
        <v>0</v>
      </c>
      <c r="G144" s="2257">
        <f t="shared" si="44"/>
        <v>0</v>
      </c>
      <c r="H144" s="2256">
        <f>H145*H146</f>
        <v>0</v>
      </c>
      <c r="I144" s="2256">
        <f>I145*I146</f>
        <v>0</v>
      </c>
      <c r="J144" s="2257">
        <f t="shared" si="45"/>
        <v>0</v>
      </c>
      <c r="K144" s="2256">
        <f>K145*K146</f>
        <v>0</v>
      </c>
      <c r="L144" s="2256">
        <f>L145*L146</f>
        <v>0</v>
      </c>
      <c r="M144" s="2259">
        <f t="shared" si="46"/>
        <v>0</v>
      </c>
      <c r="N144" s="2255">
        <v>0</v>
      </c>
      <c r="O144" s="2256">
        <v>0</v>
      </c>
      <c r="P144" s="2258">
        <f t="shared" si="47"/>
        <v>0</v>
      </c>
      <c r="Q144" s="2255">
        <f>Q145*Q146</f>
        <v>0</v>
      </c>
      <c r="R144" s="2256">
        <f>R145*R146</f>
        <v>0</v>
      </c>
      <c r="S144" s="2259">
        <f t="shared" si="48"/>
        <v>0</v>
      </c>
      <c r="T144" s="2255">
        <f>T145*T146</f>
        <v>0</v>
      </c>
      <c r="U144" s="2256">
        <f>U145*U146</f>
        <v>0</v>
      </c>
      <c r="V144" s="2258">
        <f t="shared" si="49"/>
        <v>0</v>
      </c>
      <c r="W144" s="2255">
        <f>W145*W146</f>
        <v>0</v>
      </c>
      <c r="X144" s="2256">
        <f>X145*X146</f>
        <v>0</v>
      </c>
      <c r="Y144" s="2258">
        <f t="shared" si="50"/>
        <v>0</v>
      </c>
      <c r="Z144" s="2255">
        <f>Z145*Z146</f>
        <v>0</v>
      </c>
      <c r="AA144" s="2256">
        <f>AA145*AA146</f>
        <v>0</v>
      </c>
      <c r="AB144" s="2259">
        <f t="shared" si="51"/>
        <v>0</v>
      </c>
      <c r="AC144" s="2593">
        <f t="shared" si="52"/>
        <v>0</v>
      </c>
    </row>
    <row r="145" spans="1:29" s="2218" customFormat="1" ht="24.75" hidden="1" customHeight="1" collapsed="1">
      <c r="A145" s="2235">
        <v>223</v>
      </c>
      <c r="B145" s="2281" t="s">
        <v>1950</v>
      </c>
      <c r="C145" s="2282" t="s">
        <v>1929</v>
      </c>
      <c r="D145" s="2504" t="s">
        <v>1951</v>
      </c>
      <c r="E145" s="2284"/>
      <c r="F145" s="2285"/>
      <c r="G145" s="2257">
        <f t="shared" si="44"/>
        <v>0</v>
      </c>
      <c r="H145" s="2285"/>
      <c r="I145" s="2285"/>
      <c r="J145" s="2257">
        <f t="shared" si="45"/>
        <v>0</v>
      </c>
      <c r="K145" s="2285"/>
      <c r="L145" s="2285"/>
      <c r="M145" s="2259">
        <f t="shared" si="46"/>
        <v>0</v>
      </c>
      <c r="N145" s="2284">
        <v>0</v>
      </c>
      <c r="O145" s="2285">
        <v>0</v>
      </c>
      <c r="P145" s="2258">
        <f t="shared" si="47"/>
        <v>0</v>
      </c>
      <c r="Q145" s="2284"/>
      <c r="R145" s="2285"/>
      <c r="S145" s="2259">
        <f t="shared" si="48"/>
        <v>0</v>
      </c>
      <c r="T145" s="2284"/>
      <c r="U145" s="2285"/>
      <c r="V145" s="2258">
        <f t="shared" si="49"/>
        <v>0</v>
      </c>
      <c r="W145" s="2284"/>
      <c r="X145" s="2285"/>
      <c r="Y145" s="2258">
        <f t="shared" si="50"/>
        <v>0</v>
      </c>
      <c r="Z145" s="2284"/>
      <c r="AA145" s="2285"/>
      <c r="AB145" s="2259">
        <f t="shared" si="51"/>
        <v>0</v>
      </c>
      <c r="AC145" s="2593">
        <f t="shared" si="52"/>
        <v>0</v>
      </c>
    </row>
    <row r="146" spans="1:29" s="2218" customFormat="1" ht="21" hidden="1" customHeight="1">
      <c r="A146" s="2235">
        <v>224</v>
      </c>
      <c r="B146" s="2281" t="s">
        <v>1952</v>
      </c>
      <c r="C146" s="2282" t="s">
        <v>1953</v>
      </c>
      <c r="D146" s="2504" t="s">
        <v>1954</v>
      </c>
      <c r="E146" s="2284"/>
      <c r="F146" s="2285"/>
      <c r="G146" s="2257">
        <f t="shared" si="44"/>
        <v>0</v>
      </c>
      <c r="H146" s="2285"/>
      <c r="I146" s="2285"/>
      <c r="J146" s="2257">
        <f t="shared" si="45"/>
        <v>0</v>
      </c>
      <c r="K146" s="2285"/>
      <c r="L146" s="2285"/>
      <c r="M146" s="2259">
        <f t="shared" si="46"/>
        <v>0</v>
      </c>
      <c r="N146" s="2284" t="e">
        <v>#DIV/0!</v>
      </c>
      <c r="O146" s="2285" t="e">
        <v>#DIV/0!</v>
      </c>
      <c r="P146" s="2258" t="e">
        <f t="shared" si="47"/>
        <v>#DIV/0!</v>
      </c>
      <c r="Q146" s="2284"/>
      <c r="R146" s="2285"/>
      <c r="S146" s="2259">
        <f t="shared" si="48"/>
        <v>0</v>
      </c>
      <c r="T146" s="2284"/>
      <c r="U146" s="2285"/>
      <c r="V146" s="2258">
        <f t="shared" si="49"/>
        <v>0</v>
      </c>
      <c r="W146" s="2284"/>
      <c r="X146" s="2285"/>
      <c r="Y146" s="2258">
        <f t="shared" si="50"/>
        <v>0</v>
      </c>
      <c r="Z146" s="2284"/>
      <c r="AA146" s="2285"/>
      <c r="AB146" s="2259">
        <f t="shared" si="51"/>
        <v>0</v>
      </c>
      <c r="AC146" s="2593">
        <f t="shared" si="52"/>
        <v>0</v>
      </c>
    </row>
    <row r="147" spans="1:29" s="2218" customFormat="1" ht="11.25" hidden="1" customHeight="1">
      <c r="A147" s="2235">
        <v>219</v>
      </c>
      <c r="B147" s="2279"/>
      <c r="C147" s="2280" t="s">
        <v>1936</v>
      </c>
      <c r="D147" s="2500" t="s">
        <v>1317</v>
      </c>
      <c r="E147" s="2255">
        <f>E148*E149</f>
        <v>0</v>
      </c>
      <c r="F147" s="2256">
        <f>F148*F149</f>
        <v>0</v>
      </c>
      <c r="G147" s="2257">
        <f t="shared" si="44"/>
        <v>0</v>
      </c>
      <c r="H147" s="2256">
        <f>H148*H149</f>
        <v>0</v>
      </c>
      <c r="I147" s="2256">
        <f>I148*I149</f>
        <v>0</v>
      </c>
      <c r="J147" s="2257">
        <f t="shared" si="45"/>
        <v>0</v>
      </c>
      <c r="K147" s="2256">
        <f>K148*K149</f>
        <v>0</v>
      </c>
      <c r="L147" s="2256">
        <f>L148*L149</f>
        <v>0</v>
      </c>
      <c r="M147" s="2259">
        <f t="shared" si="46"/>
        <v>0</v>
      </c>
      <c r="N147" s="2255">
        <v>0</v>
      </c>
      <c r="O147" s="2256">
        <v>0</v>
      </c>
      <c r="P147" s="2258">
        <f t="shared" si="47"/>
        <v>0</v>
      </c>
      <c r="Q147" s="2255">
        <f>Q148*Q149</f>
        <v>0</v>
      </c>
      <c r="R147" s="2256">
        <f>R148*R149</f>
        <v>0</v>
      </c>
      <c r="S147" s="2259">
        <f t="shared" si="48"/>
        <v>0</v>
      </c>
      <c r="T147" s="2255">
        <f>T148*T149</f>
        <v>0</v>
      </c>
      <c r="U147" s="2256">
        <f>U148*U149</f>
        <v>0</v>
      </c>
      <c r="V147" s="2258">
        <f t="shared" si="49"/>
        <v>0</v>
      </c>
      <c r="W147" s="2255">
        <f>W148*W149</f>
        <v>0</v>
      </c>
      <c r="X147" s="2256">
        <f>X148*X149</f>
        <v>0</v>
      </c>
      <c r="Y147" s="2258">
        <f t="shared" si="50"/>
        <v>0</v>
      </c>
      <c r="Z147" s="2255">
        <f>Z148*Z149</f>
        <v>0</v>
      </c>
      <c r="AA147" s="2256">
        <f>AA148*AA149</f>
        <v>0</v>
      </c>
      <c r="AB147" s="2259">
        <f t="shared" si="51"/>
        <v>0</v>
      </c>
      <c r="AC147" s="2593">
        <f t="shared" si="52"/>
        <v>0</v>
      </c>
    </row>
    <row r="148" spans="1:29" s="2218" customFormat="1" ht="21" hidden="1" customHeight="1">
      <c r="A148" s="2235">
        <v>225</v>
      </c>
      <c r="B148" s="2281" t="s">
        <v>1955</v>
      </c>
      <c r="C148" s="2282" t="s">
        <v>1929</v>
      </c>
      <c r="D148" s="2504" t="s">
        <v>1951</v>
      </c>
      <c r="E148" s="2284"/>
      <c r="F148" s="2285"/>
      <c r="G148" s="2257">
        <f t="shared" si="44"/>
        <v>0</v>
      </c>
      <c r="H148" s="2285"/>
      <c r="I148" s="2285"/>
      <c r="J148" s="2257">
        <f t="shared" si="45"/>
        <v>0</v>
      </c>
      <c r="K148" s="2285"/>
      <c r="L148" s="2285"/>
      <c r="M148" s="2259">
        <f t="shared" si="46"/>
        <v>0</v>
      </c>
      <c r="N148" s="2284">
        <v>0</v>
      </c>
      <c r="O148" s="2285">
        <v>0</v>
      </c>
      <c r="P148" s="2258">
        <f t="shared" si="47"/>
        <v>0</v>
      </c>
      <c r="Q148" s="2284"/>
      <c r="R148" s="2285"/>
      <c r="S148" s="2259">
        <f t="shared" si="48"/>
        <v>0</v>
      </c>
      <c r="T148" s="2284"/>
      <c r="U148" s="2285"/>
      <c r="V148" s="2258">
        <f t="shared" si="49"/>
        <v>0</v>
      </c>
      <c r="W148" s="2284"/>
      <c r="X148" s="2285"/>
      <c r="Y148" s="2258">
        <f t="shared" si="50"/>
        <v>0</v>
      </c>
      <c r="Z148" s="2284"/>
      <c r="AA148" s="2285"/>
      <c r="AB148" s="2259">
        <f t="shared" si="51"/>
        <v>0</v>
      </c>
      <c r="AC148" s="2593">
        <f t="shared" si="52"/>
        <v>0</v>
      </c>
    </row>
    <row r="149" spans="1:29" s="2218" customFormat="1" ht="21" hidden="1" customHeight="1">
      <c r="A149" s="2235">
        <v>226</v>
      </c>
      <c r="B149" s="2281" t="s">
        <v>1956</v>
      </c>
      <c r="C149" s="2282" t="s">
        <v>1953</v>
      </c>
      <c r="D149" s="2504" t="s">
        <v>1954</v>
      </c>
      <c r="E149" s="2284"/>
      <c r="F149" s="2285"/>
      <c r="G149" s="2257">
        <f t="shared" si="44"/>
        <v>0</v>
      </c>
      <c r="H149" s="2285"/>
      <c r="I149" s="2285"/>
      <c r="J149" s="2257">
        <f t="shared" si="45"/>
        <v>0</v>
      </c>
      <c r="K149" s="2285"/>
      <c r="L149" s="2285"/>
      <c r="M149" s="2259">
        <f t="shared" si="46"/>
        <v>0</v>
      </c>
      <c r="N149" s="2284" t="e">
        <v>#DIV/0!</v>
      </c>
      <c r="O149" s="2285" t="e">
        <v>#DIV/0!</v>
      </c>
      <c r="P149" s="2258" t="e">
        <f t="shared" si="47"/>
        <v>#DIV/0!</v>
      </c>
      <c r="Q149" s="2284"/>
      <c r="R149" s="2285"/>
      <c r="S149" s="2259">
        <f t="shared" si="48"/>
        <v>0</v>
      </c>
      <c r="T149" s="2284"/>
      <c r="U149" s="2285"/>
      <c r="V149" s="2258">
        <f t="shared" si="49"/>
        <v>0</v>
      </c>
      <c r="W149" s="2284"/>
      <c r="X149" s="2285"/>
      <c r="Y149" s="2258">
        <f t="shared" si="50"/>
        <v>0</v>
      </c>
      <c r="Z149" s="2284"/>
      <c r="AA149" s="2285"/>
      <c r="AB149" s="2259">
        <f t="shared" si="51"/>
        <v>0</v>
      </c>
      <c r="AC149" s="2593">
        <f t="shared" si="52"/>
        <v>0</v>
      </c>
    </row>
    <row r="150" spans="1:29" s="2218" customFormat="1" ht="15.75" hidden="1" customHeight="1">
      <c r="A150" s="2235">
        <v>220</v>
      </c>
      <c r="B150" s="2279"/>
      <c r="C150" s="2280" t="s">
        <v>1939</v>
      </c>
      <c r="D150" s="2500" t="s">
        <v>1317</v>
      </c>
      <c r="E150" s="2255">
        <f>E151*E152</f>
        <v>0</v>
      </c>
      <c r="F150" s="2256">
        <f>F151*F152</f>
        <v>0</v>
      </c>
      <c r="G150" s="2257">
        <f t="shared" si="44"/>
        <v>0</v>
      </c>
      <c r="H150" s="2256">
        <f>H151*H152</f>
        <v>0</v>
      </c>
      <c r="I150" s="2256">
        <f>I151*I152</f>
        <v>0</v>
      </c>
      <c r="J150" s="2257">
        <f t="shared" si="45"/>
        <v>0</v>
      </c>
      <c r="K150" s="2256">
        <f>K151*K152</f>
        <v>0</v>
      </c>
      <c r="L150" s="2256">
        <f>L151*L152</f>
        <v>0</v>
      </c>
      <c r="M150" s="2259">
        <f t="shared" si="46"/>
        <v>0</v>
      </c>
      <c r="N150" s="2255">
        <v>0</v>
      </c>
      <c r="O150" s="2256">
        <v>0</v>
      </c>
      <c r="P150" s="2258">
        <f t="shared" si="47"/>
        <v>0</v>
      </c>
      <c r="Q150" s="2255">
        <f>Q151*Q152</f>
        <v>0</v>
      </c>
      <c r="R150" s="2256">
        <f>R151*R152</f>
        <v>0</v>
      </c>
      <c r="S150" s="2259">
        <f t="shared" si="48"/>
        <v>0</v>
      </c>
      <c r="T150" s="2255">
        <f>T151*T152</f>
        <v>0</v>
      </c>
      <c r="U150" s="2256">
        <f>U151*U152</f>
        <v>0</v>
      </c>
      <c r="V150" s="2258">
        <f t="shared" si="49"/>
        <v>0</v>
      </c>
      <c r="W150" s="2255">
        <f>W151*W152</f>
        <v>0</v>
      </c>
      <c r="X150" s="2256">
        <f>X151*X152</f>
        <v>0</v>
      </c>
      <c r="Y150" s="2258">
        <f t="shared" si="50"/>
        <v>0</v>
      </c>
      <c r="Z150" s="2255">
        <f>Z151*Z152</f>
        <v>0</v>
      </c>
      <c r="AA150" s="2256">
        <f>AA151*AA152</f>
        <v>0</v>
      </c>
      <c r="AB150" s="2259">
        <f t="shared" si="51"/>
        <v>0</v>
      </c>
      <c r="AC150" s="2593">
        <f t="shared" si="52"/>
        <v>0</v>
      </c>
    </row>
    <row r="151" spans="1:29" s="2218" customFormat="1" ht="21" hidden="1" customHeight="1">
      <c r="A151" s="2235">
        <v>227</v>
      </c>
      <c r="B151" s="2281" t="s">
        <v>1957</v>
      </c>
      <c r="C151" s="2282" t="s">
        <v>1929</v>
      </c>
      <c r="D151" s="2504" t="s">
        <v>1951</v>
      </c>
      <c r="E151" s="2284"/>
      <c r="F151" s="2285"/>
      <c r="G151" s="2257">
        <f t="shared" si="44"/>
        <v>0</v>
      </c>
      <c r="H151" s="2285"/>
      <c r="I151" s="2285"/>
      <c r="J151" s="2257">
        <f t="shared" si="45"/>
        <v>0</v>
      </c>
      <c r="K151" s="2285"/>
      <c r="L151" s="2285"/>
      <c r="M151" s="2259">
        <f t="shared" si="46"/>
        <v>0</v>
      </c>
      <c r="N151" s="2284">
        <v>0</v>
      </c>
      <c r="O151" s="2285">
        <v>0</v>
      </c>
      <c r="P151" s="2258">
        <f t="shared" si="47"/>
        <v>0</v>
      </c>
      <c r="Q151" s="2284"/>
      <c r="R151" s="2285"/>
      <c r="S151" s="2259">
        <f t="shared" si="48"/>
        <v>0</v>
      </c>
      <c r="T151" s="2284"/>
      <c r="U151" s="2285"/>
      <c r="V151" s="2258">
        <f t="shared" si="49"/>
        <v>0</v>
      </c>
      <c r="W151" s="2284"/>
      <c r="X151" s="2285"/>
      <c r="Y151" s="2258">
        <f t="shared" si="50"/>
        <v>0</v>
      </c>
      <c r="Z151" s="2284"/>
      <c r="AA151" s="2285"/>
      <c r="AB151" s="2259">
        <f t="shared" si="51"/>
        <v>0</v>
      </c>
      <c r="AC151" s="2593">
        <f t="shared" si="52"/>
        <v>0</v>
      </c>
    </row>
    <row r="152" spans="1:29" s="2218" customFormat="1" ht="21" hidden="1" customHeight="1">
      <c r="A152" s="2235">
        <v>228</v>
      </c>
      <c r="B152" s="2281" t="s">
        <v>1958</v>
      </c>
      <c r="C152" s="2282" t="s">
        <v>1953</v>
      </c>
      <c r="D152" s="2504" t="s">
        <v>1954</v>
      </c>
      <c r="E152" s="2284"/>
      <c r="F152" s="2285"/>
      <c r="G152" s="2257">
        <f t="shared" si="44"/>
        <v>0</v>
      </c>
      <c r="H152" s="2285"/>
      <c r="I152" s="2285"/>
      <c r="J152" s="2257">
        <f t="shared" si="45"/>
        <v>0</v>
      </c>
      <c r="K152" s="2285"/>
      <c r="L152" s="2285"/>
      <c r="M152" s="2259">
        <f t="shared" si="46"/>
        <v>0</v>
      </c>
      <c r="N152" s="2284" t="e">
        <v>#DIV/0!</v>
      </c>
      <c r="O152" s="2285" t="e">
        <v>#DIV/0!</v>
      </c>
      <c r="P152" s="2258" t="e">
        <f t="shared" si="47"/>
        <v>#DIV/0!</v>
      </c>
      <c r="Q152" s="2284"/>
      <c r="R152" s="2285"/>
      <c r="S152" s="2259">
        <f t="shared" si="48"/>
        <v>0</v>
      </c>
      <c r="T152" s="2284"/>
      <c r="U152" s="2285"/>
      <c r="V152" s="2258">
        <f t="shared" si="49"/>
        <v>0</v>
      </c>
      <c r="W152" s="2284"/>
      <c r="X152" s="2285"/>
      <c r="Y152" s="2258">
        <f t="shared" si="50"/>
        <v>0</v>
      </c>
      <c r="Z152" s="2284"/>
      <c r="AA152" s="2285"/>
      <c r="AB152" s="2259">
        <f t="shared" si="51"/>
        <v>0</v>
      </c>
      <c r="AC152" s="2593">
        <f t="shared" si="52"/>
        <v>0</v>
      </c>
    </row>
    <row r="153" spans="1:29" s="2218" customFormat="1" ht="18" hidden="1" customHeight="1">
      <c r="A153" s="2235">
        <v>221</v>
      </c>
      <c r="B153" s="2279"/>
      <c r="C153" s="2280" t="s">
        <v>1942</v>
      </c>
      <c r="D153" s="2500" t="s">
        <v>1317</v>
      </c>
      <c r="E153" s="2255">
        <f>E154*E155</f>
        <v>0</v>
      </c>
      <c r="F153" s="2256">
        <f>F154*F155</f>
        <v>0</v>
      </c>
      <c r="G153" s="2257">
        <f t="shared" si="44"/>
        <v>0</v>
      </c>
      <c r="H153" s="2256">
        <f>H154*H155</f>
        <v>0</v>
      </c>
      <c r="I153" s="2256">
        <f>I154*I155</f>
        <v>0</v>
      </c>
      <c r="J153" s="2257">
        <f t="shared" si="45"/>
        <v>0</v>
      </c>
      <c r="K153" s="2256">
        <f>K154*K155</f>
        <v>0</v>
      </c>
      <c r="L153" s="2256">
        <f>L154*L155</f>
        <v>0</v>
      </c>
      <c r="M153" s="2259">
        <f t="shared" si="46"/>
        <v>0</v>
      </c>
      <c r="N153" s="2284">
        <v>0</v>
      </c>
      <c r="O153" s="2286">
        <v>0</v>
      </c>
      <c r="P153" s="2258">
        <f t="shared" si="47"/>
        <v>0</v>
      </c>
      <c r="Q153" s="2284">
        <f>Q154*Q155</f>
        <v>0</v>
      </c>
      <c r="R153" s="2256">
        <f>R154*R155</f>
        <v>0</v>
      </c>
      <c r="S153" s="2259">
        <f t="shared" si="48"/>
        <v>0</v>
      </c>
      <c r="T153" s="2284">
        <f>T154*T155</f>
        <v>0</v>
      </c>
      <c r="U153" s="2256">
        <f>U154*U155</f>
        <v>0</v>
      </c>
      <c r="V153" s="2258">
        <f t="shared" si="49"/>
        <v>0</v>
      </c>
      <c r="W153" s="2284">
        <f>W154*W155</f>
        <v>0</v>
      </c>
      <c r="X153" s="2256">
        <f>X154*X155</f>
        <v>0</v>
      </c>
      <c r="Y153" s="2258">
        <f t="shared" si="50"/>
        <v>0</v>
      </c>
      <c r="Z153" s="2284">
        <f>Z154*Z155</f>
        <v>0</v>
      </c>
      <c r="AA153" s="2256">
        <f>AA154*AA155</f>
        <v>0</v>
      </c>
      <c r="AB153" s="2259">
        <f t="shared" si="51"/>
        <v>0</v>
      </c>
      <c r="AC153" s="2593">
        <f t="shared" si="52"/>
        <v>0</v>
      </c>
    </row>
    <row r="154" spans="1:29" s="2218" customFormat="1" ht="21" hidden="1" customHeight="1">
      <c r="A154" s="2235">
        <v>229</v>
      </c>
      <c r="B154" s="2281" t="s">
        <v>1959</v>
      </c>
      <c r="C154" s="2282" t="s">
        <v>1929</v>
      </c>
      <c r="D154" s="2504" t="s">
        <v>1951</v>
      </c>
      <c r="E154" s="2284"/>
      <c r="F154" s="2285"/>
      <c r="G154" s="2257">
        <f t="shared" si="44"/>
        <v>0</v>
      </c>
      <c r="H154" s="2285"/>
      <c r="I154" s="2285"/>
      <c r="J154" s="2257">
        <f t="shared" si="45"/>
        <v>0</v>
      </c>
      <c r="K154" s="2285"/>
      <c r="L154" s="2285"/>
      <c r="M154" s="2259">
        <f t="shared" si="46"/>
        <v>0</v>
      </c>
      <c r="N154" s="2284">
        <v>0</v>
      </c>
      <c r="O154" s="2286">
        <v>0</v>
      </c>
      <c r="P154" s="2258">
        <f t="shared" si="47"/>
        <v>0</v>
      </c>
      <c r="Q154" s="2284"/>
      <c r="R154" s="2285"/>
      <c r="S154" s="2259">
        <f t="shared" si="48"/>
        <v>0</v>
      </c>
      <c r="T154" s="2284"/>
      <c r="U154" s="2285"/>
      <c r="V154" s="2258">
        <f t="shared" si="49"/>
        <v>0</v>
      </c>
      <c r="W154" s="2284"/>
      <c r="X154" s="2285"/>
      <c r="Y154" s="2258">
        <f t="shared" si="50"/>
        <v>0</v>
      </c>
      <c r="Z154" s="2284"/>
      <c r="AA154" s="2285"/>
      <c r="AB154" s="2259">
        <f t="shared" si="51"/>
        <v>0</v>
      </c>
      <c r="AC154" s="2593">
        <f t="shared" si="52"/>
        <v>0</v>
      </c>
    </row>
    <row r="155" spans="1:29" s="2218" customFormat="1" ht="21" hidden="1" customHeight="1">
      <c r="A155" s="2235">
        <v>230</v>
      </c>
      <c r="B155" s="2281" t="s">
        <v>1960</v>
      </c>
      <c r="C155" s="2282" t="s">
        <v>1953</v>
      </c>
      <c r="D155" s="2504" t="s">
        <v>1954</v>
      </c>
      <c r="E155" s="2284"/>
      <c r="F155" s="2285"/>
      <c r="G155" s="2257">
        <f t="shared" si="44"/>
        <v>0</v>
      </c>
      <c r="H155" s="2285"/>
      <c r="I155" s="2285"/>
      <c r="J155" s="2257">
        <f t="shared" si="45"/>
        <v>0</v>
      </c>
      <c r="K155" s="2285"/>
      <c r="L155" s="2285"/>
      <c r="M155" s="2259">
        <f t="shared" si="46"/>
        <v>0</v>
      </c>
      <c r="N155" s="2284" t="e">
        <v>#DIV/0!</v>
      </c>
      <c r="O155" s="2286" t="e">
        <v>#DIV/0!</v>
      </c>
      <c r="P155" s="2258" t="e">
        <f t="shared" si="47"/>
        <v>#DIV/0!</v>
      </c>
      <c r="Q155" s="2284"/>
      <c r="R155" s="2285"/>
      <c r="S155" s="2259">
        <f t="shared" si="48"/>
        <v>0</v>
      </c>
      <c r="T155" s="2284"/>
      <c r="U155" s="2285"/>
      <c r="V155" s="2258">
        <f t="shared" si="49"/>
        <v>0</v>
      </c>
      <c r="W155" s="2284"/>
      <c r="X155" s="2285"/>
      <c r="Y155" s="2258">
        <f t="shared" si="50"/>
        <v>0</v>
      </c>
      <c r="Z155" s="2284"/>
      <c r="AA155" s="2285"/>
      <c r="AB155" s="2259">
        <f t="shared" si="51"/>
        <v>0</v>
      </c>
      <c r="AC155" s="2593">
        <f t="shared" si="52"/>
        <v>0</v>
      </c>
    </row>
    <row r="156" spans="1:29" s="2218" customFormat="1" ht="17.25" hidden="1" customHeight="1">
      <c r="A156" s="2235">
        <v>222</v>
      </c>
      <c r="B156" s="2279"/>
      <c r="C156" s="2280" t="s">
        <v>1961</v>
      </c>
      <c r="D156" s="2500" t="s">
        <v>1317</v>
      </c>
      <c r="E156" s="2255">
        <f>E157*E158</f>
        <v>0</v>
      </c>
      <c r="F156" s="2256">
        <f>F157*F158</f>
        <v>0</v>
      </c>
      <c r="G156" s="2257">
        <f t="shared" si="44"/>
        <v>0</v>
      </c>
      <c r="H156" s="2256">
        <f>H157*H158</f>
        <v>0</v>
      </c>
      <c r="I156" s="2256">
        <f>I157*I158</f>
        <v>0</v>
      </c>
      <c r="J156" s="2257">
        <f t="shared" si="45"/>
        <v>0</v>
      </c>
      <c r="K156" s="2256">
        <f>K157*K158</f>
        <v>0</v>
      </c>
      <c r="L156" s="2256">
        <f>L157*L158</f>
        <v>0</v>
      </c>
      <c r="M156" s="2259">
        <f t="shared" si="46"/>
        <v>0</v>
      </c>
      <c r="N156" s="2255">
        <v>0</v>
      </c>
      <c r="O156" s="2256">
        <v>0</v>
      </c>
      <c r="P156" s="2258">
        <f t="shared" si="47"/>
        <v>0</v>
      </c>
      <c r="Q156" s="2255">
        <f>Q157*Q158</f>
        <v>0</v>
      </c>
      <c r="R156" s="2256">
        <f>R157*R158</f>
        <v>0</v>
      </c>
      <c r="S156" s="2259">
        <f t="shared" si="48"/>
        <v>0</v>
      </c>
      <c r="T156" s="2255">
        <f>T157*T158</f>
        <v>0</v>
      </c>
      <c r="U156" s="2256">
        <f>U157*U158</f>
        <v>0</v>
      </c>
      <c r="V156" s="2258">
        <f t="shared" si="49"/>
        <v>0</v>
      </c>
      <c r="W156" s="2255">
        <f>W157*W158</f>
        <v>0</v>
      </c>
      <c r="X156" s="2256">
        <f>X157*X158</f>
        <v>0</v>
      </c>
      <c r="Y156" s="2258">
        <f t="shared" si="50"/>
        <v>0</v>
      </c>
      <c r="Z156" s="2255">
        <f>Z157*Z158</f>
        <v>0</v>
      </c>
      <c r="AA156" s="2256">
        <f>AA157*AA158</f>
        <v>0</v>
      </c>
      <c r="AB156" s="2259">
        <f t="shared" si="51"/>
        <v>0</v>
      </c>
      <c r="AC156" s="2593">
        <f t="shared" si="52"/>
        <v>0</v>
      </c>
    </row>
    <row r="157" spans="1:29" s="2218" customFormat="1" ht="21" hidden="1" customHeight="1">
      <c r="A157" s="2235">
        <v>231</v>
      </c>
      <c r="B157" s="2281" t="s">
        <v>1962</v>
      </c>
      <c r="C157" s="2282" t="s">
        <v>1929</v>
      </c>
      <c r="D157" s="2504" t="s">
        <v>1951</v>
      </c>
      <c r="E157" s="2284"/>
      <c r="F157" s="2285"/>
      <c r="G157" s="2257">
        <f t="shared" si="44"/>
        <v>0</v>
      </c>
      <c r="H157" s="2285"/>
      <c r="I157" s="2285"/>
      <c r="J157" s="2257">
        <f t="shared" si="45"/>
        <v>0</v>
      </c>
      <c r="K157" s="2285"/>
      <c r="L157" s="2285"/>
      <c r="M157" s="2259">
        <f t="shared" si="46"/>
        <v>0</v>
      </c>
      <c r="N157" s="2284">
        <v>0</v>
      </c>
      <c r="O157" s="2285">
        <v>0</v>
      </c>
      <c r="P157" s="2258">
        <f t="shared" si="47"/>
        <v>0</v>
      </c>
      <c r="Q157" s="2284"/>
      <c r="R157" s="2285"/>
      <c r="S157" s="2259">
        <f t="shared" si="48"/>
        <v>0</v>
      </c>
      <c r="T157" s="2284"/>
      <c r="U157" s="2285"/>
      <c r="V157" s="2258">
        <f t="shared" si="49"/>
        <v>0</v>
      </c>
      <c r="W157" s="2284"/>
      <c r="X157" s="2285"/>
      <c r="Y157" s="2258">
        <f t="shared" si="50"/>
        <v>0</v>
      </c>
      <c r="Z157" s="2284"/>
      <c r="AA157" s="2285"/>
      <c r="AB157" s="2259">
        <f t="shared" si="51"/>
        <v>0</v>
      </c>
      <c r="AC157" s="2593">
        <f t="shared" si="52"/>
        <v>0</v>
      </c>
    </row>
    <row r="158" spans="1:29" s="2218" customFormat="1" ht="21" hidden="1" customHeight="1">
      <c r="A158" s="2235">
        <v>232</v>
      </c>
      <c r="B158" s="2281" t="s">
        <v>1963</v>
      </c>
      <c r="C158" s="2282" t="s">
        <v>1953</v>
      </c>
      <c r="D158" s="2504" t="s">
        <v>1954</v>
      </c>
      <c r="E158" s="2284"/>
      <c r="F158" s="2285"/>
      <c r="G158" s="2257">
        <f t="shared" si="44"/>
        <v>0</v>
      </c>
      <c r="H158" s="2285"/>
      <c r="I158" s="2285"/>
      <c r="J158" s="2257">
        <f t="shared" si="45"/>
        <v>0</v>
      </c>
      <c r="K158" s="2285"/>
      <c r="L158" s="2285"/>
      <c r="M158" s="2259">
        <f t="shared" si="46"/>
        <v>0</v>
      </c>
      <c r="N158" s="2284" t="e">
        <v>#DIV/0!</v>
      </c>
      <c r="O158" s="2285" t="e">
        <v>#DIV/0!</v>
      </c>
      <c r="P158" s="2258" t="e">
        <f t="shared" si="47"/>
        <v>#DIV/0!</v>
      </c>
      <c r="Q158" s="2284"/>
      <c r="R158" s="2285"/>
      <c r="S158" s="2259">
        <f t="shared" si="48"/>
        <v>0</v>
      </c>
      <c r="T158" s="2284"/>
      <c r="U158" s="2285"/>
      <c r="V158" s="2258">
        <f t="shared" si="49"/>
        <v>0</v>
      </c>
      <c r="W158" s="2284"/>
      <c r="X158" s="2285"/>
      <c r="Y158" s="2258">
        <f t="shared" si="50"/>
        <v>0</v>
      </c>
      <c r="Z158" s="2284"/>
      <c r="AA158" s="2285"/>
      <c r="AB158" s="2259">
        <f t="shared" si="51"/>
        <v>0</v>
      </c>
      <c r="AC158" s="2593">
        <f t="shared" si="52"/>
        <v>0</v>
      </c>
    </row>
    <row r="159" spans="1:29" s="2218" customFormat="1" ht="16.5" hidden="1" customHeight="1">
      <c r="A159" s="2235">
        <v>217</v>
      </c>
      <c r="B159" s="2279"/>
      <c r="C159" s="2280" t="s">
        <v>1964</v>
      </c>
      <c r="D159" s="2500" t="s">
        <v>1317</v>
      </c>
      <c r="E159" s="2255">
        <f>E160+E163+E166+E169+E172</f>
        <v>0</v>
      </c>
      <c r="F159" s="2256"/>
      <c r="G159" s="2257">
        <f t="shared" si="44"/>
        <v>0</v>
      </c>
      <c r="H159" s="2256">
        <f>H160+H163+H166+H169+H172</f>
        <v>0</v>
      </c>
      <c r="I159" s="2256"/>
      <c r="J159" s="2257">
        <f t="shared" si="45"/>
        <v>0</v>
      </c>
      <c r="K159" s="2256">
        <f>K160+K163+K166+K169+K172</f>
        <v>0</v>
      </c>
      <c r="L159" s="2256"/>
      <c r="M159" s="2259">
        <f t="shared" si="46"/>
        <v>0</v>
      </c>
      <c r="N159" s="2255">
        <v>0</v>
      </c>
      <c r="O159" s="2260">
        <v>0</v>
      </c>
      <c r="P159" s="2258">
        <f t="shared" si="47"/>
        <v>0</v>
      </c>
      <c r="Q159" s="2255">
        <f>Q160+Q163+Q166+Q169+Q172</f>
        <v>0</v>
      </c>
      <c r="R159" s="2256"/>
      <c r="S159" s="2259">
        <f t="shared" si="48"/>
        <v>0</v>
      </c>
      <c r="T159" s="2255">
        <f>T160+T163+T166+T169+T172</f>
        <v>0</v>
      </c>
      <c r="U159" s="2256"/>
      <c r="V159" s="2258">
        <f t="shared" si="49"/>
        <v>0</v>
      </c>
      <c r="W159" s="2255">
        <f>W160+W163+W166+W169+W172</f>
        <v>0</v>
      </c>
      <c r="X159" s="2256"/>
      <c r="Y159" s="2258">
        <f t="shared" si="50"/>
        <v>0</v>
      </c>
      <c r="Z159" s="2255">
        <f>Z160+Z163+Z166+Z169+Z172</f>
        <v>0</v>
      </c>
      <c r="AA159" s="2256"/>
      <c r="AB159" s="2259">
        <f t="shared" si="51"/>
        <v>0</v>
      </c>
      <c r="AC159" s="2593">
        <f t="shared" si="52"/>
        <v>0</v>
      </c>
    </row>
    <row r="160" spans="1:29" s="2218" customFormat="1" ht="17.25" hidden="1" customHeight="1">
      <c r="A160" s="2235">
        <v>233</v>
      </c>
      <c r="B160" s="2279"/>
      <c r="C160" s="2280" t="s">
        <v>1927</v>
      </c>
      <c r="D160" s="2500" t="s">
        <v>1317</v>
      </c>
      <c r="E160" s="2255">
        <f>E161*E162</f>
        <v>0</v>
      </c>
      <c r="F160" s="2256">
        <f>F161*F162</f>
        <v>0</v>
      </c>
      <c r="G160" s="2257">
        <f t="shared" si="44"/>
        <v>0</v>
      </c>
      <c r="H160" s="2256">
        <f>H161*H162</f>
        <v>0</v>
      </c>
      <c r="I160" s="2256">
        <f>I161*I162</f>
        <v>0</v>
      </c>
      <c r="J160" s="2257">
        <f t="shared" si="45"/>
        <v>0</v>
      </c>
      <c r="K160" s="2256">
        <f>K161*K162</f>
        <v>0</v>
      </c>
      <c r="L160" s="2256">
        <f>L161*L162</f>
        <v>0</v>
      </c>
      <c r="M160" s="2259">
        <f t="shared" si="46"/>
        <v>0</v>
      </c>
      <c r="N160" s="2255">
        <v>0</v>
      </c>
      <c r="O160" s="2256">
        <v>0</v>
      </c>
      <c r="P160" s="2258">
        <f t="shared" si="47"/>
        <v>0</v>
      </c>
      <c r="Q160" s="2255">
        <f>Q161*Q162</f>
        <v>0</v>
      </c>
      <c r="R160" s="2256">
        <f>R161*R162</f>
        <v>0</v>
      </c>
      <c r="S160" s="2259">
        <f t="shared" si="48"/>
        <v>0</v>
      </c>
      <c r="T160" s="2255">
        <f>T161*T162</f>
        <v>0</v>
      </c>
      <c r="U160" s="2256">
        <f>U161*U162</f>
        <v>0</v>
      </c>
      <c r="V160" s="2258">
        <f t="shared" si="49"/>
        <v>0</v>
      </c>
      <c r="W160" s="2255">
        <f>W161*W162</f>
        <v>0</v>
      </c>
      <c r="X160" s="2256">
        <f>X161*X162</f>
        <v>0</v>
      </c>
      <c r="Y160" s="2258">
        <f t="shared" si="50"/>
        <v>0</v>
      </c>
      <c r="Z160" s="2255">
        <f>Z161*Z162</f>
        <v>0</v>
      </c>
      <c r="AA160" s="2256">
        <f>AA161*AA162</f>
        <v>0</v>
      </c>
      <c r="AB160" s="2259">
        <f t="shared" si="51"/>
        <v>0</v>
      </c>
      <c r="AC160" s="2593">
        <f t="shared" si="52"/>
        <v>0</v>
      </c>
    </row>
    <row r="161" spans="1:29" s="2218" customFormat="1" ht="21" hidden="1" customHeight="1">
      <c r="A161" s="2235">
        <v>242</v>
      </c>
      <c r="B161" s="2281" t="s">
        <v>1965</v>
      </c>
      <c r="C161" s="2282" t="s">
        <v>1929</v>
      </c>
      <c r="D161" s="2504" t="s">
        <v>1951</v>
      </c>
      <c r="E161" s="2284"/>
      <c r="F161" s="2285"/>
      <c r="G161" s="2257">
        <f t="shared" si="44"/>
        <v>0</v>
      </c>
      <c r="H161" s="2285"/>
      <c r="I161" s="2285"/>
      <c r="J161" s="2257">
        <f t="shared" si="45"/>
        <v>0</v>
      </c>
      <c r="K161" s="2285"/>
      <c r="L161" s="2285"/>
      <c r="M161" s="2259">
        <f t="shared" si="46"/>
        <v>0</v>
      </c>
      <c r="N161" s="2284">
        <v>0</v>
      </c>
      <c r="O161" s="2285">
        <v>0</v>
      </c>
      <c r="P161" s="2258">
        <f t="shared" si="47"/>
        <v>0</v>
      </c>
      <c r="Q161" s="2284"/>
      <c r="R161" s="2285"/>
      <c r="S161" s="2259">
        <f t="shared" si="48"/>
        <v>0</v>
      </c>
      <c r="T161" s="2284"/>
      <c r="U161" s="2285"/>
      <c r="V161" s="2258">
        <f t="shared" si="49"/>
        <v>0</v>
      </c>
      <c r="W161" s="2284"/>
      <c r="X161" s="2285"/>
      <c r="Y161" s="2258">
        <f t="shared" si="50"/>
        <v>0</v>
      </c>
      <c r="Z161" s="2284"/>
      <c r="AA161" s="2285"/>
      <c r="AB161" s="2259">
        <f t="shared" si="51"/>
        <v>0</v>
      </c>
      <c r="AC161" s="2593">
        <f t="shared" si="52"/>
        <v>0</v>
      </c>
    </row>
    <row r="162" spans="1:29" s="2218" customFormat="1" ht="21" hidden="1" customHeight="1">
      <c r="A162" s="2235">
        <v>243</v>
      </c>
      <c r="B162" s="2281" t="s">
        <v>1966</v>
      </c>
      <c r="C162" s="2282" t="s">
        <v>1967</v>
      </c>
      <c r="D162" s="2504" t="s">
        <v>1954</v>
      </c>
      <c r="E162" s="2284"/>
      <c r="F162" s="2285"/>
      <c r="G162" s="2257">
        <f t="shared" si="44"/>
        <v>0</v>
      </c>
      <c r="H162" s="2285"/>
      <c r="I162" s="2285"/>
      <c r="J162" s="2257">
        <f t="shared" si="45"/>
        <v>0</v>
      </c>
      <c r="K162" s="2285"/>
      <c r="L162" s="2285"/>
      <c r="M162" s="2259">
        <f t="shared" si="46"/>
        <v>0</v>
      </c>
      <c r="N162" s="2284" t="e">
        <v>#DIV/0!</v>
      </c>
      <c r="O162" s="2285" t="e">
        <v>#DIV/0!</v>
      </c>
      <c r="P162" s="2258" t="e">
        <f t="shared" si="47"/>
        <v>#DIV/0!</v>
      </c>
      <c r="Q162" s="2284"/>
      <c r="R162" s="2285"/>
      <c r="S162" s="2259">
        <f t="shared" si="48"/>
        <v>0</v>
      </c>
      <c r="T162" s="2284"/>
      <c r="U162" s="2285"/>
      <c r="V162" s="2258">
        <f t="shared" si="49"/>
        <v>0</v>
      </c>
      <c r="W162" s="2284"/>
      <c r="X162" s="2285"/>
      <c r="Y162" s="2258">
        <f t="shared" si="50"/>
        <v>0</v>
      </c>
      <c r="Z162" s="2284"/>
      <c r="AA162" s="2285"/>
      <c r="AB162" s="2259">
        <f t="shared" si="51"/>
        <v>0</v>
      </c>
      <c r="AC162" s="2593">
        <f t="shared" si="52"/>
        <v>0</v>
      </c>
    </row>
    <row r="163" spans="1:29" s="2218" customFormat="1" ht="18.75" hidden="1" customHeight="1">
      <c r="A163" s="2235">
        <v>234</v>
      </c>
      <c r="B163" s="2279"/>
      <c r="C163" s="2280" t="s">
        <v>1936</v>
      </c>
      <c r="D163" s="2500" t="s">
        <v>1317</v>
      </c>
      <c r="E163" s="2255">
        <f>E164*E165</f>
        <v>0</v>
      </c>
      <c r="F163" s="2256">
        <f>F164*F165</f>
        <v>0</v>
      </c>
      <c r="G163" s="2257">
        <f t="shared" si="44"/>
        <v>0</v>
      </c>
      <c r="H163" s="2256">
        <f>H164*H165</f>
        <v>0</v>
      </c>
      <c r="I163" s="2256">
        <f>I164*I165</f>
        <v>0</v>
      </c>
      <c r="J163" s="2257">
        <f t="shared" si="45"/>
        <v>0</v>
      </c>
      <c r="K163" s="2256">
        <f>K164*K165</f>
        <v>0</v>
      </c>
      <c r="L163" s="2256">
        <f>L164*L165</f>
        <v>0</v>
      </c>
      <c r="M163" s="2259">
        <f t="shared" si="46"/>
        <v>0</v>
      </c>
      <c r="N163" s="2255">
        <v>0</v>
      </c>
      <c r="O163" s="2256">
        <v>0</v>
      </c>
      <c r="P163" s="2258">
        <f t="shared" si="47"/>
        <v>0</v>
      </c>
      <c r="Q163" s="2255">
        <f>Q164*Q165</f>
        <v>0</v>
      </c>
      <c r="R163" s="2256">
        <f>R164*R165</f>
        <v>0</v>
      </c>
      <c r="S163" s="2259">
        <f t="shared" si="48"/>
        <v>0</v>
      </c>
      <c r="T163" s="2255">
        <f>T164*T165</f>
        <v>0</v>
      </c>
      <c r="U163" s="2256">
        <f>U164*U165</f>
        <v>0</v>
      </c>
      <c r="V163" s="2258">
        <f t="shared" si="49"/>
        <v>0</v>
      </c>
      <c r="W163" s="2255">
        <f>W164*W165</f>
        <v>0</v>
      </c>
      <c r="X163" s="2256">
        <f>X164*X165</f>
        <v>0</v>
      </c>
      <c r="Y163" s="2258">
        <f t="shared" si="50"/>
        <v>0</v>
      </c>
      <c r="Z163" s="2255">
        <f>Z164*Z165</f>
        <v>0</v>
      </c>
      <c r="AA163" s="2256">
        <f>AA164*AA165</f>
        <v>0</v>
      </c>
      <c r="AB163" s="2259">
        <f t="shared" si="51"/>
        <v>0</v>
      </c>
      <c r="AC163" s="2593">
        <f t="shared" si="52"/>
        <v>0</v>
      </c>
    </row>
    <row r="164" spans="1:29" s="2218" customFormat="1" ht="21" hidden="1" customHeight="1">
      <c r="A164" s="2235">
        <v>244</v>
      </c>
      <c r="B164" s="2281" t="s">
        <v>1968</v>
      </c>
      <c r="C164" s="2282" t="s">
        <v>1929</v>
      </c>
      <c r="D164" s="2504" t="s">
        <v>1951</v>
      </c>
      <c r="E164" s="2284"/>
      <c r="F164" s="2285"/>
      <c r="G164" s="2257">
        <f t="shared" si="44"/>
        <v>0</v>
      </c>
      <c r="H164" s="2285"/>
      <c r="I164" s="2285"/>
      <c r="J164" s="2257">
        <f t="shared" si="45"/>
        <v>0</v>
      </c>
      <c r="K164" s="2285"/>
      <c r="L164" s="2285"/>
      <c r="M164" s="2259">
        <f t="shared" si="46"/>
        <v>0</v>
      </c>
      <c r="N164" s="2284">
        <v>0</v>
      </c>
      <c r="O164" s="2285">
        <v>0</v>
      </c>
      <c r="P164" s="2258">
        <f t="shared" si="47"/>
        <v>0</v>
      </c>
      <c r="Q164" s="2284"/>
      <c r="R164" s="2285"/>
      <c r="S164" s="2259">
        <f t="shared" si="48"/>
        <v>0</v>
      </c>
      <c r="T164" s="2284"/>
      <c r="U164" s="2285"/>
      <c r="V164" s="2258">
        <f t="shared" si="49"/>
        <v>0</v>
      </c>
      <c r="W164" s="2284"/>
      <c r="X164" s="2285"/>
      <c r="Y164" s="2258">
        <f t="shared" si="50"/>
        <v>0</v>
      </c>
      <c r="Z164" s="2284"/>
      <c r="AA164" s="2285"/>
      <c r="AB164" s="2259">
        <f t="shared" si="51"/>
        <v>0</v>
      </c>
      <c r="AC164" s="2593">
        <f t="shared" si="52"/>
        <v>0</v>
      </c>
    </row>
    <row r="165" spans="1:29" s="2218" customFormat="1" ht="21" hidden="1" customHeight="1">
      <c r="A165" s="2235">
        <v>245</v>
      </c>
      <c r="B165" s="2281" t="s">
        <v>1969</v>
      </c>
      <c r="C165" s="2282" t="s">
        <v>1967</v>
      </c>
      <c r="D165" s="2504" t="s">
        <v>1954</v>
      </c>
      <c r="E165" s="2284"/>
      <c r="F165" s="2285"/>
      <c r="G165" s="2257">
        <f t="shared" si="44"/>
        <v>0</v>
      </c>
      <c r="H165" s="2285"/>
      <c r="I165" s="2285"/>
      <c r="J165" s="2257">
        <f t="shared" si="45"/>
        <v>0</v>
      </c>
      <c r="K165" s="2285"/>
      <c r="L165" s="2285"/>
      <c r="M165" s="2259">
        <f t="shared" si="46"/>
        <v>0</v>
      </c>
      <c r="N165" s="2284" t="e">
        <v>#DIV/0!</v>
      </c>
      <c r="O165" s="2285" t="e">
        <v>#DIV/0!</v>
      </c>
      <c r="P165" s="2258" t="e">
        <f t="shared" si="47"/>
        <v>#DIV/0!</v>
      </c>
      <c r="Q165" s="2284"/>
      <c r="R165" s="2285"/>
      <c r="S165" s="2259">
        <f t="shared" si="48"/>
        <v>0</v>
      </c>
      <c r="T165" s="2284"/>
      <c r="U165" s="2285"/>
      <c r="V165" s="2258">
        <f t="shared" si="49"/>
        <v>0</v>
      </c>
      <c r="W165" s="2284"/>
      <c r="X165" s="2285"/>
      <c r="Y165" s="2258">
        <f t="shared" si="50"/>
        <v>0</v>
      </c>
      <c r="Z165" s="2284"/>
      <c r="AA165" s="2285"/>
      <c r="AB165" s="2259">
        <f t="shared" si="51"/>
        <v>0</v>
      </c>
      <c r="AC165" s="2593">
        <f t="shared" si="52"/>
        <v>0</v>
      </c>
    </row>
    <row r="166" spans="1:29" s="2218" customFormat="1" ht="15.75" hidden="1" customHeight="1">
      <c r="A166" s="2235">
        <v>235</v>
      </c>
      <c r="B166" s="2279"/>
      <c r="C166" s="2280" t="s">
        <v>1939</v>
      </c>
      <c r="D166" s="2500" t="s">
        <v>1317</v>
      </c>
      <c r="E166" s="2255">
        <f>E167*E168</f>
        <v>0</v>
      </c>
      <c r="F166" s="2256">
        <f>F167*F168</f>
        <v>0</v>
      </c>
      <c r="G166" s="2257">
        <f t="shared" si="44"/>
        <v>0</v>
      </c>
      <c r="H166" s="2256">
        <f>H167*H168</f>
        <v>0</v>
      </c>
      <c r="I166" s="2256">
        <f>I167*I168</f>
        <v>0</v>
      </c>
      <c r="J166" s="2257">
        <f t="shared" si="45"/>
        <v>0</v>
      </c>
      <c r="K166" s="2256">
        <f>K167*K168</f>
        <v>0</v>
      </c>
      <c r="L166" s="2256">
        <f>L167*L168</f>
        <v>0</v>
      </c>
      <c r="M166" s="2259">
        <f t="shared" si="46"/>
        <v>0</v>
      </c>
      <c r="N166" s="2255">
        <v>0</v>
      </c>
      <c r="O166" s="2256">
        <v>0</v>
      </c>
      <c r="P166" s="2258">
        <f t="shared" si="47"/>
        <v>0</v>
      </c>
      <c r="Q166" s="2255">
        <f>Q167*Q168</f>
        <v>0</v>
      </c>
      <c r="R166" s="2256">
        <f>R167*R168</f>
        <v>0</v>
      </c>
      <c r="S166" s="2259">
        <f t="shared" si="48"/>
        <v>0</v>
      </c>
      <c r="T166" s="2255">
        <f>T167*T168</f>
        <v>0</v>
      </c>
      <c r="U166" s="2256">
        <f>U167*U168</f>
        <v>0</v>
      </c>
      <c r="V166" s="2258">
        <f t="shared" si="49"/>
        <v>0</v>
      </c>
      <c r="W166" s="2255">
        <f>W167*W168</f>
        <v>0</v>
      </c>
      <c r="X166" s="2256">
        <f>X167*X168</f>
        <v>0</v>
      </c>
      <c r="Y166" s="2258">
        <f t="shared" si="50"/>
        <v>0</v>
      </c>
      <c r="Z166" s="2255">
        <f>Z167*Z168</f>
        <v>0</v>
      </c>
      <c r="AA166" s="2256">
        <f>AA167*AA168</f>
        <v>0</v>
      </c>
      <c r="AB166" s="2259">
        <f t="shared" si="51"/>
        <v>0</v>
      </c>
      <c r="AC166" s="2593">
        <f t="shared" si="52"/>
        <v>0</v>
      </c>
    </row>
    <row r="167" spans="1:29" s="2218" customFormat="1" ht="21" hidden="1" customHeight="1">
      <c r="A167" s="2235">
        <v>246</v>
      </c>
      <c r="B167" s="2281" t="s">
        <v>1970</v>
      </c>
      <c r="C167" s="2282" t="s">
        <v>1929</v>
      </c>
      <c r="D167" s="2504" t="s">
        <v>1951</v>
      </c>
      <c r="E167" s="2284"/>
      <c r="F167" s="2285"/>
      <c r="G167" s="2257">
        <f t="shared" si="44"/>
        <v>0</v>
      </c>
      <c r="H167" s="2285"/>
      <c r="I167" s="2285"/>
      <c r="J167" s="2257">
        <f t="shared" si="45"/>
        <v>0</v>
      </c>
      <c r="K167" s="2285"/>
      <c r="L167" s="2285"/>
      <c r="M167" s="2259">
        <f t="shared" si="46"/>
        <v>0</v>
      </c>
      <c r="N167" s="2284">
        <v>0</v>
      </c>
      <c r="O167" s="2285">
        <v>0</v>
      </c>
      <c r="P167" s="2258">
        <f t="shared" si="47"/>
        <v>0</v>
      </c>
      <c r="Q167" s="2284"/>
      <c r="R167" s="2285"/>
      <c r="S167" s="2259">
        <f t="shared" si="48"/>
        <v>0</v>
      </c>
      <c r="T167" s="2284"/>
      <c r="U167" s="2285"/>
      <c r="V167" s="2258">
        <f t="shared" si="49"/>
        <v>0</v>
      </c>
      <c r="W167" s="2284"/>
      <c r="X167" s="2285"/>
      <c r="Y167" s="2258">
        <f t="shared" si="50"/>
        <v>0</v>
      </c>
      <c r="Z167" s="2284"/>
      <c r="AA167" s="2285"/>
      <c r="AB167" s="2259">
        <f t="shared" si="51"/>
        <v>0</v>
      </c>
      <c r="AC167" s="2593">
        <f t="shared" si="52"/>
        <v>0</v>
      </c>
    </row>
    <row r="168" spans="1:29" s="2218" customFormat="1" ht="21" hidden="1" customHeight="1">
      <c r="A168" s="2235">
        <v>247</v>
      </c>
      <c r="B168" s="2281" t="s">
        <v>1971</v>
      </c>
      <c r="C168" s="2282" t="s">
        <v>1967</v>
      </c>
      <c r="D168" s="2504" t="s">
        <v>1954</v>
      </c>
      <c r="E168" s="2284"/>
      <c r="F168" s="2285"/>
      <c r="G168" s="2257">
        <f t="shared" si="44"/>
        <v>0</v>
      </c>
      <c r="H168" s="2285"/>
      <c r="I168" s="2285"/>
      <c r="J168" s="2257">
        <f t="shared" si="45"/>
        <v>0</v>
      </c>
      <c r="K168" s="2285"/>
      <c r="L168" s="2285"/>
      <c r="M168" s="2259">
        <f t="shared" si="46"/>
        <v>0</v>
      </c>
      <c r="N168" s="2284" t="e">
        <v>#DIV/0!</v>
      </c>
      <c r="O168" s="2285" t="e">
        <v>#DIV/0!</v>
      </c>
      <c r="P168" s="2258" t="e">
        <f t="shared" si="47"/>
        <v>#DIV/0!</v>
      </c>
      <c r="Q168" s="2284"/>
      <c r="R168" s="2285"/>
      <c r="S168" s="2259">
        <f t="shared" si="48"/>
        <v>0</v>
      </c>
      <c r="T168" s="2284"/>
      <c r="U168" s="2285"/>
      <c r="V168" s="2258">
        <f t="shared" si="49"/>
        <v>0</v>
      </c>
      <c r="W168" s="2284"/>
      <c r="X168" s="2285"/>
      <c r="Y168" s="2258">
        <f t="shared" si="50"/>
        <v>0</v>
      </c>
      <c r="Z168" s="2284"/>
      <c r="AA168" s="2285"/>
      <c r="AB168" s="2259">
        <f t="shared" si="51"/>
        <v>0</v>
      </c>
      <c r="AC168" s="2593">
        <f t="shared" si="52"/>
        <v>0</v>
      </c>
    </row>
    <row r="169" spans="1:29" s="2218" customFormat="1" ht="19.5" hidden="1" customHeight="1">
      <c r="A169" s="2235">
        <v>236</v>
      </c>
      <c r="B169" s="2279"/>
      <c r="C169" s="2280" t="s">
        <v>1942</v>
      </c>
      <c r="D169" s="2500" t="s">
        <v>1317</v>
      </c>
      <c r="E169" s="2255">
        <f>E170*E171</f>
        <v>0</v>
      </c>
      <c r="F169" s="2256">
        <f>F170*F171</f>
        <v>0</v>
      </c>
      <c r="G169" s="2257">
        <f t="shared" si="44"/>
        <v>0</v>
      </c>
      <c r="H169" s="2256">
        <f>H170*H171</f>
        <v>0</v>
      </c>
      <c r="I169" s="2256">
        <f>I170*I171</f>
        <v>0</v>
      </c>
      <c r="J169" s="2257">
        <f t="shared" si="45"/>
        <v>0</v>
      </c>
      <c r="K169" s="2256">
        <f>K170*K171</f>
        <v>0</v>
      </c>
      <c r="L169" s="2256">
        <f>L170*L171</f>
        <v>0</v>
      </c>
      <c r="M169" s="2259">
        <f t="shared" si="46"/>
        <v>0</v>
      </c>
      <c r="N169" s="2284">
        <v>0</v>
      </c>
      <c r="O169" s="2286">
        <v>0</v>
      </c>
      <c r="P169" s="2258">
        <f t="shared" si="47"/>
        <v>0</v>
      </c>
      <c r="Q169" s="2284">
        <f>Q170*Q171</f>
        <v>0</v>
      </c>
      <c r="R169" s="2256">
        <f>R170*R171</f>
        <v>0</v>
      </c>
      <c r="S169" s="2259">
        <f t="shared" si="48"/>
        <v>0</v>
      </c>
      <c r="T169" s="2284">
        <f>T170*T171</f>
        <v>0</v>
      </c>
      <c r="U169" s="2256">
        <f>U170*U171</f>
        <v>0</v>
      </c>
      <c r="V169" s="2258">
        <f t="shared" si="49"/>
        <v>0</v>
      </c>
      <c r="W169" s="2284">
        <f>W170*W171</f>
        <v>0</v>
      </c>
      <c r="X169" s="2256">
        <f>X170*X171</f>
        <v>0</v>
      </c>
      <c r="Y169" s="2258">
        <f t="shared" si="50"/>
        <v>0</v>
      </c>
      <c r="Z169" s="2284">
        <f>Z170*Z171</f>
        <v>0</v>
      </c>
      <c r="AA169" s="2256">
        <f>AA170*AA171</f>
        <v>0</v>
      </c>
      <c r="AB169" s="2259">
        <f t="shared" si="51"/>
        <v>0</v>
      </c>
      <c r="AC169" s="2593">
        <f t="shared" si="52"/>
        <v>0</v>
      </c>
    </row>
    <row r="170" spans="1:29" s="2218" customFormat="1" ht="21" hidden="1" customHeight="1">
      <c r="A170" s="2235">
        <v>238</v>
      </c>
      <c r="B170" s="2281" t="s">
        <v>1972</v>
      </c>
      <c r="C170" s="2282" t="s">
        <v>1929</v>
      </c>
      <c r="D170" s="2504" t="s">
        <v>1951</v>
      </c>
      <c r="E170" s="2284"/>
      <c r="F170" s="2285"/>
      <c r="G170" s="2257">
        <f t="shared" si="44"/>
        <v>0</v>
      </c>
      <c r="H170" s="2285"/>
      <c r="I170" s="2285"/>
      <c r="J170" s="2257">
        <f t="shared" si="45"/>
        <v>0</v>
      </c>
      <c r="K170" s="2285"/>
      <c r="L170" s="2285"/>
      <c r="M170" s="2259">
        <f t="shared" si="46"/>
        <v>0</v>
      </c>
      <c r="N170" s="2284">
        <v>0</v>
      </c>
      <c r="O170" s="2286">
        <v>0</v>
      </c>
      <c r="P170" s="2258">
        <f t="shared" si="47"/>
        <v>0</v>
      </c>
      <c r="Q170" s="2284"/>
      <c r="R170" s="2285"/>
      <c r="S170" s="2259">
        <f t="shared" si="48"/>
        <v>0</v>
      </c>
      <c r="T170" s="2284"/>
      <c r="U170" s="2285"/>
      <c r="V170" s="2258">
        <f t="shared" si="49"/>
        <v>0</v>
      </c>
      <c r="W170" s="2284"/>
      <c r="X170" s="2285"/>
      <c r="Y170" s="2258">
        <f t="shared" si="50"/>
        <v>0</v>
      </c>
      <c r="Z170" s="2284"/>
      <c r="AA170" s="2285"/>
      <c r="AB170" s="2259">
        <f t="shared" si="51"/>
        <v>0</v>
      </c>
      <c r="AC170" s="2593">
        <f t="shared" si="52"/>
        <v>0</v>
      </c>
    </row>
    <row r="171" spans="1:29" s="2218" customFormat="1" ht="21" hidden="1" customHeight="1">
      <c r="A171" s="2235">
        <v>239</v>
      </c>
      <c r="B171" s="2281" t="s">
        <v>1973</v>
      </c>
      <c r="C171" s="2282" t="s">
        <v>1967</v>
      </c>
      <c r="D171" s="2504" t="s">
        <v>1954</v>
      </c>
      <c r="E171" s="2284"/>
      <c r="F171" s="2285"/>
      <c r="G171" s="2257">
        <f t="shared" si="44"/>
        <v>0</v>
      </c>
      <c r="H171" s="2285"/>
      <c r="I171" s="2285"/>
      <c r="J171" s="2257">
        <f t="shared" si="45"/>
        <v>0</v>
      </c>
      <c r="K171" s="2285"/>
      <c r="L171" s="2285"/>
      <c r="M171" s="2259">
        <f t="shared" si="46"/>
        <v>0</v>
      </c>
      <c r="N171" s="2284" t="e">
        <v>#DIV/0!</v>
      </c>
      <c r="O171" s="2286" t="e">
        <v>#DIV/0!</v>
      </c>
      <c r="P171" s="2258" t="e">
        <f t="shared" si="47"/>
        <v>#DIV/0!</v>
      </c>
      <c r="Q171" s="2284"/>
      <c r="R171" s="2285"/>
      <c r="S171" s="2259">
        <f t="shared" si="48"/>
        <v>0</v>
      </c>
      <c r="T171" s="2284"/>
      <c r="U171" s="2285"/>
      <c r="V171" s="2258">
        <f t="shared" si="49"/>
        <v>0</v>
      </c>
      <c r="W171" s="2284"/>
      <c r="X171" s="2285"/>
      <c r="Y171" s="2258">
        <f t="shared" si="50"/>
        <v>0</v>
      </c>
      <c r="Z171" s="2284"/>
      <c r="AA171" s="2285"/>
      <c r="AB171" s="2259">
        <f t="shared" si="51"/>
        <v>0</v>
      </c>
      <c r="AC171" s="2593">
        <f t="shared" si="52"/>
        <v>0</v>
      </c>
    </row>
    <row r="172" spans="1:29" s="2218" customFormat="1" ht="18.75" hidden="1" customHeight="1">
      <c r="A172" s="2235">
        <v>237</v>
      </c>
      <c r="B172" s="2279"/>
      <c r="C172" s="2280" t="s">
        <v>1961</v>
      </c>
      <c r="D172" s="2500" t="s">
        <v>1317</v>
      </c>
      <c r="E172" s="2255">
        <f>E173*E174</f>
        <v>0</v>
      </c>
      <c r="F172" s="2256">
        <f>F173*F174</f>
        <v>0</v>
      </c>
      <c r="G172" s="2257">
        <f t="shared" si="44"/>
        <v>0</v>
      </c>
      <c r="H172" s="2256">
        <f>H173*H174</f>
        <v>0</v>
      </c>
      <c r="I172" s="2256">
        <f>I173*I174</f>
        <v>0</v>
      </c>
      <c r="J172" s="2257">
        <f t="shared" si="45"/>
        <v>0</v>
      </c>
      <c r="K172" s="2256">
        <f>K173*K174</f>
        <v>0</v>
      </c>
      <c r="L172" s="2256">
        <f>L173*L174</f>
        <v>0</v>
      </c>
      <c r="M172" s="2259">
        <f t="shared" si="46"/>
        <v>0</v>
      </c>
      <c r="N172" s="2255">
        <v>0</v>
      </c>
      <c r="O172" s="2256">
        <v>0</v>
      </c>
      <c r="P172" s="2258">
        <f t="shared" si="47"/>
        <v>0</v>
      </c>
      <c r="Q172" s="2255">
        <f>Q173*Q174</f>
        <v>0</v>
      </c>
      <c r="R172" s="2256">
        <f>R173*R174</f>
        <v>0</v>
      </c>
      <c r="S172" s="2259">
        <f t="shared" si="48"/>
        <v>0</v>
      </c>
      <c r="T172" s="2255">
        <f>T173*T174</f>
        <v>0</v>
      </c>
      <c r="U172" s="2256">
        <f>U173*U174</f>
        <v>0</v>
      </c>
      <c r="V172" s="2258">
        <f t="shared" si="49"/>
        <v>0</v>
      </c>
      <c r="W172" s="2255">
        <f>W173*W174</f>
        <v>0</v>
      </c>
      <c r="X172" s="2256">
        <f>X173*X174</f>
        <v>0</v>
      </c>
      <c r="Y172" s="2258">
        <f t="shared" si="50"/>
        <v>0</v>
      </c>
      <c r="Z172" s="2255">
        <f>Z173*Z174</f>
        <v>0</v>
      </c>
      <c r="AA172" s="2256">
        <f>AA173*AA174</f>
        <v>0</v>
      </c>
      <c r="AB172" s="2259">
        <f t="shared" si="51"/>
        <v>0</v>
      </c>
      <c r="AC172" s="2593">
        <f t="shared" si="52"/>
        <v>0</v>
      </c>
    </row>
    <row r="173" spans="1:29" s="2218" customFormat="1" ht="21" hidden="1" customHeight="1">
      <c r="A173" s="2235">
        <v>248</v>
      </c>
      <c r="B173" s="2281" t="s">
        <v>1974</v>
      </c>
      <c r="C173" s="2282" t="s">
        <v>1929</v>
      </c>
      <c r="D173" s="2504" t="s">
        <v>1951</v>
      </c>
      <c r="E173" s="2284"/>
      <c r="F173" s="2285"/>
      <c r="G173" s="2257">
        <f t="shared" si="44"/>
        <v>0</v>
      </c>
      <c r="H173" s="2285"/>
      <c r="I173" s="2285"/>
      <c r="J173" s="2257">
        <f t="shared" si="45"/>
        <v>0</v>
      </c>
      <c r="K173" s="2285"/>
      <c r="L173" s="2285"/>
      <c r="M173" s="2259">
        <f t="shared" si="46"/>
        <v>0</v>
      </c>
      <c r="N173" s="2284">
        <v>0</v>
      </c>
      <c r="O173" s="2285">
        <v>0</v>
      </c>
      <c r="P173" s="2258">
        <f t="shared" si="47"/>
        <v>0</v>
      </c>
      <c r="Q173" s="2284"/>
      <c r="R173" s="2285"/>
      <c r="S173" s="2259">
        <f t="shared" si="48"/>
        <v>0</v>
      </c>
      <c r="T173" s="2284"/>
      <c r="U173" s="2285"/>
      <c r="V173" s="2258">
        <f t="shared" si="49"/>
        <v>0</v>
      </c>
      <c r="W173" s="2284"/>
      <c r="X173" s="2285"/>
      <c r="Y173" s="2258">
        <f t="shared" si="50"/>
        <v>0</v>
      </c>
      <c r="Z173" s="2284"/>
      <c r="AA173" s="2285"/>
      <c r="AB173" s="2259">
        <f t="shared" si="51"/>
        <v>0</v>
      </c>
      <c r="AC173" s="2593">
        <f t="shared" si="52"/>
        <v>0</v>
      </c>
    </row>
    <row r="174" spans="1:29" s="2218" customFormat="1" ht="21" hidden="1" customHeight="1" thickBot="1">
      <c r="A174" s="2235">
        <v>249</v>
      </c>
      <c r="B174" s="2297" t="s">
        <v>1975</v>
      </c>
      <c r="C174" s="2298" t="s">
        <v>1967</v>
      </c>
      <c r="D174" s="2507" t="s">
        <v>1954</v>
      </c>
      <c r="E174" s="2300"/>
      <c r="F174" s="2301"/>
      <c r="G174" s="2266">
        <f t="shared" si="44"/>
        <v>0</v>
      </c>
      <c r="H174" s="2301"/>
      <c r="I174" s="2301"/>
      <c r="J174" s="2266">
        <f t="shared" si="45"/>
        <v>0</v>
      </c>
      <c r="K174" s="2301"/>
      <c r="L174" s="2301"/>
      <c r="M174" s="2268">
        <f t="shared" si="46"/>
        <v>0</v>
      </c>
      <c r="N174" s="2300" t="e">
        <v>#DIV/0!</v>
      </c>
      <c r="O174" s="2301" t="e">
        <v>#DIV/0!</v>
      </c>
      <c r="P174" s="2267" t="e">
        <f t="shared" si="47"/>
        <v>#DIV/0!</v>
      </c>
      <c r="Q174" s="2300"/>
      <c r="R174" s="2301"/>
      <c r="S174" s="2268">
        <f t="shared" si="48"/>
        <v>0</v>
      </c>
      <c r="T174" s="2300"/>
      <c r="U174" s="2301"/>
      <c r="V174" s="2267">
        <f t="shared" si="49"/>
        <v>0</v>
      </c>
      <c r="W174" s="2300"/>
      <c r="X174" s="2301"/>
      <c r="Y174" s="2267">
        <f t="shared" si="50"/>
        <v>0</v>
      </c>
      <c r="Z174" s="2300"/>
      <c r="AA174" s="2301"/>
      <c r="AB174" s="2268">
        <f t="shared" si="51"/>
        <v>0</v>
      </c>
      <c r="AC174" s="2593">
        <f t="shared" si="52"/>
        <v>0</v>
      </c>
    </row>
    <row r="175" spans="1:29" s="2218" customFormat="1" ht="28.5" customHeight="1" thickBot="1">
      <c r="A175" s="2235">
        <v>255</v>
      </c>
      <c r="B175" s="2378" t="s">
        <v>1181</v>
      </c>
      <c r="C175" s="2318" t="s">
        <v>1976</v>
      </c>
      <c r="D175" s="2542" t="s">
        <v>1313</v>
      </c>
      <c r="E175" s="2070">
        <f>E176+E208+E218+E224+E225+E226+E230+E207+E233+E234+E235</f>
        <v>116772.18999137718</v>
      </c>
      <c r="F175" s="2070">
        <f>F176+F208+F218+F224+F225+F226+F230+F207+F233+F234+F235</f>
        <v>121411.25477431418</v>
      </c>
      <c r="G175" s="2071">
        <f t="shared" si="44"/>
        <v>119091.72238284568</v>
      </c>
      <c r="H175" s="2070">
        <f>H176+H208+H218+H224+H225+H226+H230+H207+H233+H234+H235</f>
        <v>125540.48277366663</v>
      </c>
      <c r="I175" s="2070">
        <f>I176+I208+I218+I224+I225+I226+I230+I207+I233+I234+I235</f>
        <v>130036.41170282599</v>
      </c>
      <c r="J175" s="2071">
        <f t="shared" si="45"/>
        <v>127788.44723824631</v>
      </c>
      <c r="K175" s="2070">
        <f>K176+K208+K218+K224+K225+K226+K230+K207+K233+K234+K235</f>
        <v>130886.3165062445</v>
      </c>
      <c r="L175" s="2070">
        <f>L176+L208+L218+L224+L225+L226+L230+L207+L233+L234+L235</f>
        <v>134704.72318457771</v>
      </c>
      <c r="M175" s="2071">
        <f t="shared" si="46"/>
        <v>132795.51984541112</v>
      </c>
      <c r="N175" s="2070">
        <v>105259.64180730622</v>
      </c>
      <c r="O175" s="2380">
        <v>133747.0383099489</v>
      </c>
      <c r="P175" s="2080">
        <f t="shared" si="47"/>
        <v>119503.34005862757</v>
      </c>
      <c r="Q175" s="2473">
        <f>Q176+Q208+Q218+Q224+Q225+Q226+Q230+Q207+Q233+Q234+Q235</f>
        <v>133747.0383099489</v>
      </c>
      <c r="R175" s="2413">
        <f>R176+R208+R218+R224+R225+R226+R230+R207+R233+R234+R235</f>
        <v>140792.0296893513</v>
      </c>
      <c r="S175" s="2071">
        <f t="shared" si="48"/>
        <v>137269.5339996501</v>
      </c>
      <c r="T175" s="2070">
        <f>T176+T208+T218+T224+T225+T226+T230+T207+T233+T234+T235</f>
        <v>140828.57092946803</v>
      </c>
      <c r="U175" s="2380">
        <f>U176+U208+U218+U224+U225+U226+U230+U207+U233+U234+U235</f>
        <v>148285.33773480603</v>
      </c>
      <c r="V175" s="2080">
        <f t="shared" si="49"/>
        <v>144556.95433213701</v>
      </c>
      <c r="W175" s="2070">
        <f>W176+W208+W218+W224+W225+W226+W230+W207+W233+W234+W235</f>
        <v>148285.33773480603</v>
      </c>
      <c r="X175" s="2380">
        <f>X176+X208+X218+X224+X225+X226+X230+X207+X233+X234+X235</f>
        <v>156137.23633223027</v>
      </c>
      <c r="Y175" s="2080">
        <f t="shared" si="50"/>
        <v>152211.28703351814</v>
      </c>
      <c r="Z175" s="2070">
        <f>Z176+Z208+Z218+Z224+Z225+Z226+Z230+Z207+Z233+Z234+Z235</f>
        <v>156137.23633223027</v>
      </c>
      <c r="AA175" s="2380">
        <f>AA176+AA208+AA218+AA224+AA225+AA226+AA230+AA207+AA233+AA234+AA235</f>
        <v>164405.22026624656</v>
      </c>
      <c r="AB175" s="2071">
        <f t="shared" si="51"/>
        <v>160271.22829923843</v>
      </c>
      <c r="AC175" s="2593">
        <f t="shared" si="52"/>
        <v>36.54124011672684</v>
      </c>
    </row>
    <row r="176" spans="1:29" s="2218" customFormat="1" ht="99.75" customHeight="1">
      <c r="A176" s="2235">
        <v>256</v>
      </c>
      <c r="B176" s="2243" t="s">
        <v>1977</v>
      </c>
      <c r="C176" s="2278" t="s">
        <v>1774</v>
      </c>
      <c r="D176" s="2499" t="s">
        <v>1313</v>
      </c>
      <c r="E176" s="2246">
        <f>E177+E188+E192+E195+E198+E199+E200+E201+E204+E191</f>
        <v>116038.93600312287</v>
      </c>
      <c r="F176" s="2246">
        <f>F177+F188+F192+F195+F198+F199+F200+F201+F204+F191</f>
        <v>120676.23790921258</v>
      </c>
      <c r="G176" s="2248">
        <f t="shared" si="44"/>
        <v>118357.58695616772</v>
      </c>
      <c r="H176" s="2246">
        <f>H177+H188+H192+H195+H198+H199+H200+H201+H204+H191</f>
        <v>124819.54600535432</v>
      </c>
      <c r="I176" s="2246">
        <f>I177+I188+I192+I195+I198+I199+I200+I201+I204+I191</f>
        <v>129313.04966154709</v>
      </c>
      <c r="J176" s="2248">
        <f t="shared" si="45"/>
        <v>127066.29783345071</v>
      </c>
      <c r="K176" s="2246">
        <f>K177+K188+K192+K195+K198+K199+K200+K201+K204+K191</f>
        <v>127069.85653821666</v>
      </c>
      <c r="L176" s="2246">
        <f>L177+L188+L192+L195+L198+L199+L200+L201+L204+L191</f>
        <v>130888.26321654987</v>
      </c>
      <c r="M176" s="2250">
        <f t="shared" si="46"/>
        <v>128979.05987738326</v>
      </c>
      <c r="N176" s="2246">
        <v>105007.00751984291</v>
      </c>
      <c r="O176" s="2251">
        <v>132702.97228947788</v>
      </c>
      <c r="P176" s="2249">
        <f t="shared" si="47"/>
        <v>118854.9899046604</v>
      </c>
      <c r="Q176" s="2465">
        <f>Q177+Q188+Q192+Q195+Q198+Q199+Q200+Q201+Q204+Q191</f>
        <v>132702.97228947788</v>
      </c>
      <c r="R176" s="2247">
        <f>R177+R188+R192+R195+R198+R199+R200+R201+R204+R191</f>
        <v>139742.74226817818</v>
      </c>
      <c r="S176" s="2250">
        <f t="shared" si="48"/>
        <v>136222.85727882804</v>
      </c>
      <c r="T176" s="2246">
        <f>T177+T188+T192+T195+T198+T199+T200+T201+T204+T191</f>
        <v>139742.74226817818</v>
      </c>
      <c r="U176" s="2251">
        <f>U177+U188+U192+U195+U198+U199+U200+U201+U204+U191</f>
        <v>147156.07592706461</v>
      </c>
      <c r="V176" s="2249">
        <f t="shared" si="49"/>
        <v>143449.40909762139</v>
      </c>
      <c r="W176" s="2246">
        <f>W177+W188+W192+W195+W198+W199+W200+W201+W204+W191</f>
        <v>147156.07592706461</v>
      </c>
      <c r="X176" s="2466">
        <f>X177+X188+X192+X195+X198+X199+X200+X201+X204+X191</f>
        <v>154962.80405217916</v>
      </c>
      <c r="Y176" s="2249">
        <f t="shared" si="50"/>
        <v>151059.43998962187</v>
      </c>
      <c r="Z176" s="2246">
        <f>Z177+Z188+Z192+Z195+Z198+Z199+Z200+Z201+Z204+Z191</f>
        <v>154962.80405217916</v>
      </c>
      <c r="AA176" s="2466">
        <f>AA177+AA188+AA192+AA195+AA198+AA199+AA200+AA201+AA204+AA191</f>
        <v>163183.81069499339</v>
      </c>
      <c r="AB176" s="2250">
        <f t="shared" si="51"/>
        <v>159073.30737358629</v>
      </c>
      <c r="AC176" s="2593">
        <f t="shared" si="52"/>
        <v>0</v>
      </c>
    </row>
    <row r="177" spans="1:29" s="2218" customFormat="1" ht="16.5" customHeight="1">
      <c r="A177" s="2235">
        <v>333</v>
      </c>
      <c r="B177" s="2279" t="s">
        <v>1978</v>
      </c>
      <c r="C177" s="2280" t="s">
        <v>1979</v>
      </c>
      <c r="D177" s="2500"/>
      <c r="E177" s="2255">
        <f>E178+E181+E184+E187</f>
        <v>0</v>
      </c>
      <c r="F177" s="2256">
        <f>F178+F181+F184+F187</f>
        <v>0</v>
      </c>
      <c r="G177" s="2257">
        <f t="shared" si="44"/>
        <v>0</v>
      </c>
      <c r="H177" s="2256">
        <f>H178+H181+H184+H187</f>
        <v>0</v>
      </c>
      <c r="I177" s="2256">
        <f>I178+I181+I184+I187</f>
        <v>0</v>
      </c>
      <c r="J177" s="2257">
        <f t="shared" si="45"/>
        <v>0</v>
      </c>
      <c r="K177" s="2256">
        <f>K178+K181+K184+K187</f>
        <v>166.71715332031258</v>
      </c>
      <c r="L177" s="2256">
        <f>L178+L181+L184+L187</f>
        <v>174.71957667968758</v>
      </c>
      <c r="M177" s="2259">
        <f t="shared" si="46"/>
        <v>170.71836500000006</v>
      </c>
      <c r="N177" s="2255">
        <v>344.50102401419025</v>
      </c>
      <c r="O177" s="2256">
        <v>383.08513870377953</v>
      </c>
      <c r="P177" s="2258">
        <f t="shared" si="47"/>
        <v>363.79308135898486</v>
      </c>
      <c r="Q177" s="2255">
        <f>Q178+Q181+Q184+Q187</f>
        <v>383.08513870377953</v>
      </c>
      <c r="R177" s="2256">
        <f>R178+R181+R184+R187</f>
        <v>409.90109841304411</v>
      </c>
      <c r="S177" s="2259">
        <f t="shared" si="48"/>
        <v>396.49311855841182</v>
      </c>
      <c r="T177" s="2255">
        <f>T178+T181+T184+T187</f>
        <v>409.90109841304411</v>
      </c>
      <c r="U177" s="2260">
        <f>U178+U181+U184+U187</f>
        <v>438.59417530195719</v>
      </c>
      <c r="V177" s="2258">
        <f t="shared" si="49"/>
        <v>424.24763685750065</v>
      </c>
      <c r="W177" s="2255">
        <f>W178+W181+W184+W187</f>
        <v>438.59417530195719</v>
      </c>
      <c r="X177" s="2256">
        <f>X178+X181+X184+X187</f>
        <v>469.29576757309422</v>
      </c>
      <c r="Y177" s="2258">
        <f t="shared" si="50"/>
        <v>453.94497143752574</v>
      </c>
      <c r="Z177" s="2255">
        <f>Z178+Z181+Z184+Z187</f>
        <v>469.29576757309422</v>
      </c>
      <c r="AA177" s="2256">
        <f>AA178+AA181+AA184+AA187</f>
        <v>502.14647130321083</v>
      </c>
      <c r="AB177" s="2259">
        <f t="shared" si="51"/>
        <v>485.72111943815253</v>
      </c>
      <c r="AC177" s="2593">
        <f t="shared" si="52"/>
        <v>0</v>
      </c>
    </row>
    <row r="178" spans="1:29" s="2218" customFormat="1" ht="22.5" customHeight="1">
      <c r="A178" s="2235">
        <v>334</v>
      </c>
      <c r="B178" s="2279" t="s">
        <v>1980</v>
      </c>
      <c r="C178" s="2280" t="s">
        <v>1981</v>
      </c>
      <c r="D178" s="2500"/>
      <c r="E178" s="2255">
        <f>E179*E180</f>
        <v>0</v>
      </c>
      <c r="F178" s="2256">
        <f>F179*F180</f>
        <v>0</v>
      </c>
      <c r="G178" s="2257">
        <f t="shared" si="44"/>
        <v>0</v>
      </c>
      <c r="H178" s="2256">
        <f>H179*H180</f>
        <v>0</v>
      </c>
      <c r="I178" s="2256">
        <f>I179*I180</f>
        <v>0</v>
      </c>
      <c r="J178" s="2257">
        <f t="shared" si="45"/>
        <v>0</v>
      </c>
      <c r="K178" s="2256">
        <f>K179*K180</f>
        <v>166.71715332031258</v>
      </c>
      <c r="L178" s="2256">
        <f>L179*L180</f>
        <v>174.71957667968758</v>
      </c>
      <c r="M178" s="2259">
        <f t="shared" si="46"/>
        <v>170.71836500000006</v>
      </c>
      <c r="N178" s="2255">
        <v>344.50102401419025</v>
      </c>
      <c r="O178" s="2256">
        <v>383.08513870377953</v>
      </c>
      <c r="P178" s="2258">
        <f t="shared" si="47"/>
        <v>363.79308135898486</v>
      </c>
      <c r="Q178" s="2255">
        <f>Q179*Q180</f>
        <v>383.08513870377953</v>
      </c>
      <c r="R178" s="2256">
        <f>R179*R180</f>
        <v>409.90109841304411</v>
      </c>
      <c r="S178" s="2259">
        <f t="shared" si="48"/>
        <v>396.49311855841182</v>
      </c>
      <c r="T178" s="2255">
        <f>T179*T180</f>
        <v>409.90109841304411</v>
      </c>
      <c r="U178" s="2260">
        <f>U179*U180</f>
        <v>438.59417530195719</v>
      </c>
      <c r="V178" s="2258">
        <f t="shared" si="49"/>
        <v>424.24763685750065</v>
      </c>
      <c r="W178" s="2255">
        <f>W179*W180</f>
        <v>438.59417530195719</v>
      </c>
      <c r="X178" s="2256">
        <f>X179*X180</f>
        <v>469.29576757309422</v>
      </c>
      <c r="Y178" s="2258">
        <f t="shared" si="50"/>
        <v>453.94497143752574</v>
      </c>
      <c r="Z178" s="2255">
        <f>Z179*Z180</f>
        <v>469.29576757309422</v>
      </c>
      <c r="AA178" s="2256">
        <f>AA179*AA180</f>
        <v>502.14647130321083</v>
      </c>
      <c r="AB178" s="2259">
        <f t="shared" si="51"/>
        <v>485.72111943815253</v>
      </c>
      <c r="AC178" s="2593">
        <f t="shared" si="52"/>
        <v>0</v>
      </c>
    </row>
    <row r="179" spans="1:29" s="2218" customFormat="1" ht="25.5" customHeight="1">
      <c r="A179" s="2235">
        <v>337</v>
      </c>
      <c r="B179" s="2281" t="s">
        <v>1982</v>
      </c>
      <c r="C179" s="2282" t="s">
        <v>1327</v>
      </c>
      <c r="D179" s="2504" t="s">
        <v>1983</v>
      </c>
      <c r="E179" s="2284"/>
      <c r="F179" s="2285"/>
      <c r="G179" s="2257">
        <f t="shared" si="44"/>
        <v>0</v>
      </c>
      <c r="H179" s="2285"/>
      <c r="I179" s="2285"/>
      <c r="J179" s="2257">
        <f t="shared" si="45"/>
        <v>0</v>
      </c>
      <c r="K179" s="2296">
        <v>22.855046128213612</v>
      </c>
      <c r="L179" s="2296">
        <v>22.855046128213612</v>
      </c>
      <c r="M179" s="2259">
        <f t="shared" si="46"/>
        <v>22.855046128213612</v>
      </c>
      <c r="N179" s="2284">
        <v>43.390842412745926</v>
      </c>
      <c r="O179" s="2286">
        <v>43.390842412745926</v>
      </c>
      <c r="P179" s="2258">
        <f t="shared" si="47"/>
        <v>43.390842412745926</v>
      </c>
      <c r="Q179" s="2284">
        <f>O179</f>
        <v>43.390842412745926</v>
      </c>
      <c r="R179" s="2285">
        <f>Q179</f>
        <v>43.390842412745926</v>
      </c>
      <c r="S179" s="2259">
        <f t="shared" si="48"/>
        <v>43.390842412745926</v>
      </c>
      <c r="T179" s="2284">
        <f>R179</f>
        <v>43.390842412745926</v>
      </c>
      <c r="U179" s="2286">
        <f>T179</f>
        <v>43.390842412745926</v>
      </c>
      <c r="V179" s="2258">
        <f t="shared" si="49"/>
        <v>43.390842412745926</v>
      </c>
      <c r="W179" s="2284">
        <f>U179</f>
        <v>43.390842412745926</v>
      </c>
      <c r="X179" s="2285">
        <f>W179</f>
        <v>43.390842412745926</v>
      </c>
      <c r="Y179" s="2258">
        <f t="shared" si="50"/>
        <v>43.390842412745926</v>
      </c>
      <c r="Z179" s="2284">
        <f>X179</f>
        <v>43.390842412745926</v>
      </c>
      <c r="AA179" s="2285">
        <f>Z179</f>
        <v>43.390842412745926</v>
      </c>
      <c r="AB179" s="2259">
        <f t="shared" si="51"/>
        <v>43.390842412745926</v>
      </c>
      <c r="AC179" s="2593">
        <f t="shared" si="52"/>
        <v>0</v>
      </c>
    </row>
    <row r="180" spans="1:29" s="2218" customFormat="1" ht="24" customHeight="1">
      <c r="A180" s="2235">
        <v>338</v>
      </c>
      <c r="B180" s="2281" t="s">
        <v>1985</v>
      </c>
      <c r="C180" s="2282" t="s">
        <v>1330</v>
      </c>
      <c r="D180" s="2504" t="s">
        <v>1986</v>
      </c>
      <c r="E180" s="2284"/>
      <c r="F180" s="2285"/>
      <c r="G180" s="2257">
        <f t="shared" si="44"/>
        <v>0</v>
      </c>
      <c r="H180" s="2285"/>
      <c r="I180" s="2285"/>
      <c r="J180" s="2257">
        <f t="shared" si="45"/>
        <v>0</v>
      </c>
      <c r="K180" s="2285">
        <v>7.2945446001313083</v>
      </c>
      <c r="L180" s="2285">
        <v>7.6446827409376112</v>
      </c>
      <c r="M180" s="2259">
        <f t="shared" si="46"/>
        <v>7.4696136705344598</v>
      </c>
      <c r="N180" s="2284">
        <v>7.9394868792174949</v>
      </c>
      <c r="O180" s="2286">
        <v>8.8287094096898535</v>
      </c>
      <c r="P180" s="2258">
        <f t="shared" si="47"/>
        <v>8.3840981444536737</v>
      </c>
      <c r="Q180" s="2284">
        <f>O180</f>
        <v>8.8287094096898535</v>
      </c>
      <c r="R180" s="2285">
        <f>Q180*1.07</f>
        <v>9.446719068368143</v>
      </c>
      <c r="S180" s="2259">
        <f t="shared" si="48"/>
        <v>9.1377142390289983</v>
      </c>
      <c r="T180" s="2284">
        <f>R180</f>
        <v>9.446719068368143</v>
      </c>
      <c r="U180" s="2286">
        <f>T180*1.07</f>
        <v>10.107989403153914</v>
      </c>
      <c r="V180" s="2258">
        <f t="shared" si="49"/>
        <v>9.7773542357610275</v>
      </c>
      <c r="W180" s="2284">
        <f>U180</f>
        <v>10.107989403153914</v>
      </c>
      <c r="X180" s="2285">
        <f>W180*1.07</f>
        <v>10.815548661374688</v>
      </c>
      <c r="Y180" s="2258">
        <f t="shared" si="50"/>
        <v>10.4617690322643</v>
      </c>
      <c r="Z180" s="2284">
        <f>X180</f>
        <v>10.815548661374688</v>
      </c>
      <c r="AA180" s="2285">
        <f>Z180*1.07</f>
        <v>11.572637067670916</v>
      </c>
      <c r="AB180" s="2259">
        <f t="shared" si="51"/>
        <v>11.194092864522801</v>
      </c>
      <c r="AC180" s="2593">
        <f t="shared" si="52"/>
        <v>0</v>
      </c>
    </row>
    <row r="181" spans="1:29" s="2218" customFormat="1" ht="29.25" hidden="1" customHeight="1" outlineLevel="1">
      <c r="A181" s="2235">
        <v>335</v>
      </c>
      <c r="B181" s="2279" t="s">
        <v>1988</v>
      </c>
      <c r="C181" s="2280" t="s">
        <v>1989</v>
      </c>
      <c r="D181" s="2500"/>
      <c r="E181" s="2255">
        <f>E182*E183</f>
        <v>0</v>
      </c>
      <c r="F181" s="2256">
        <f>F182*F183</f>
        <v>0</v>
      </c>
      <c r="G181" s="2257">
        <f t="shared" si="44"/>
        <v>0</v>
      </c>
      <c r="H181" s="2256">
        <f>H182*H183</f>
        <v>0</v>
      </c>
      <c r="I181" s="2256">
        <f>I182*I183</f>
        <v>0</v>
      </c>
      <c r="J181" s="2257">
        <f t="shared" si="45"/>
        <v>0</v>
      </c>
      <c r="K181" s="2256">
        <f>K182*K183</f>
        <v>0</v>
      </c>
      <c r="L181" s="2256">
        <f>L182*L183</f>
        <v>0</v>
      </c>
      <c r="M181" s="2259">
        <f t="shared" si="46"/>
        <v>0</v>
      </c>
      <c r="N181" s="2255">
        <v>0</v>
      </c>
      <c r="O181" s="2256">
        <v>0</v>
      </c>
      <c r="P181" s="2258">
        <f t="shared" si="47"/>
        <v>0</v>
      </c>
      <c r="Q181" s="2255">
        <f>Q182*Q183</f>
        <v>0</v>
      </c>
      <c r="R181" s="2256">
        <f>R182*R183</f>
        <v>0</v>
      </c>
      <c r="S181" s="2259">
        <f t="shared" si="48"/>
        <v>0</v>
      </c>
      <c r="T181" s="2255">
        <f>T182*T183</f>
        <v>0</v>
      </c>
      <c r="U181" s="2260">
        <f>U182*U183</f>
        <v>0</v>
      </c>
      <c r="V181" s="2258">
        <f t="shared" si="49"/>
        <v>0</v>
      </c>
      <c r="W181" s="2255">
        <f>W182*W183</f>
        <v>0</v>
      </c>
      <c r="X181" s="2256">
        <f>X182*X183</f>
        <v>0</v>
      </c>
      <c r="Y181" s="2258">
        <f t="shared" si="50"/>
        <v>0</v>
      </c>
      <c r="Z181" s="2255">
        <f>Z182*Z183</f>
        <v>0</v>
      </c>
      <c r="AA181" s="2256">
        <f>AA182*AA183</f>
        <v>0</v>
      </c>
      <c r="AB181" s="2259">
        <f t="shared" si="51"/>
        <v>0</v>
      </c>
      <c r="AC181" s="2593">
        <f t="shared" si="52"/>
        <v>0</v>
      </c>
    </row>
    <row r="182" spans="1:29" s="2218" customFormat="1" ht="24" hidden="1" customHeight="1" outlineLevel="1">
      <c r="A182" s="2235">
        <v>339</v>
      </c>
      <c r="B182" s="2281" t="s">
        <v>1990</v>
      </c>
      <c r="C182" s="2282" t="s">
        <v>1327</v>
      </c>
      <c r="D182" s="2504" t="s">
        <v>1991</v>
      </c>
      <c r="E182" s="2284"/>
      <c r="F182" s="2285"/>
      <c r="G182" s="2257">
        <f t="shared" si="44"/>
        <v>0</v>
      </c>
      <c r="H182" s="2285"/>
      <c r="I182" s="2285"/>
      <c r="J182" s="2257">
        <f t="shared" si="45"/>
        <v>0</v>
      </c>
      <c r="K182" s="2285"/>
      <c r="L182" s="2285"/>
      <c r="M182" s="2259">
        <f t="shared" si="46"/>
        <v>0</v>
      </c>
      <c r="N182" s="2284">
        <v>0</v>
      </c>
      <c r="O182" s="2285">
        <v>0</v>
      </c>
      <c r="P182" s="2258">
        <f t="shared" si="47"/>
        <v>0</v>
      </c>
      <c r="Q182" s="2284"/>
      <c r="R182" s="2285"/>
      <c r="S182" s="2259">
        <f t="shared" si="48"/>
        <v>0</v>
      </c>
      <c r="T182" s="2284"/>
      <c r="U182" s="2286"/>
      <c r="V182" s="2258">
        <f t="shared" si="49"/>
        <v>0</v>
      </c>
      <c r="W182" s="2284"/>
      <c r="X182" s="2285"/>
      <c r="Y182" s="2258">
        <f t="shared" si="50"/>
        <v>0</v>
      </c>
      <c r="Z182" s="2284"/>
      <c r="AA182" s="2285"/>
      <c r="AB182" s="2259">
        <f t="shared" si="51"/>
        <v>0</v>
      </c>
      <c r="AC182" s="2593">
        <f t="shared" si="52"/>
        <v>0</v>
      </c>
    </row>
    <row r="183" spans="1:29" s="2218" customFormat="1" ht="26.25" hidden="1" customHeight="1" outlineLevel="1">
      <c r="A183" s="2235">
        <v>340</v>
      </c>
      <c r="B183" s="2281" t="s">
        <v>1992</v>
      </c>
      <c r="C183" s="2282" t="s">
        <v>1330</v>
      </c>
      <c r="D183" s="2504" t="s">
        <v>1993</v>
      </c>
      <c r="E183" s="2284"/>
      <c r="F183" s="2285"/>
      <c r="G183" s="2257">
        <f t="shared" si="44"/>
        <v>0</v>
      </c>
      <c r="H183" s="2285"/>
      <c r="I183" s="2285"/>
      <c r="J183" s="2257">
        <f t="shared" si="45"/>
        <v>0</v>
      </c>
      <c r="K183" s="2285"/>
      <c r="L183" s="2285"/>
      <c r="M183" s="2259">
        <f t="shared" si="46"/>
        <v>0</v>
      </c>
      <c r="N183" s="2284"/>
      <c r="O183" s="2285"/>
      <c r="P183" s="2258">
        <f t="shared" si="47"/>
        <v>0</v>
      </c>
      <c r="Q183" s="2284"/>
      <c r="R183" s="2285"/>
      <c r="S183" s="2259">
        <f t="shared" si="48"/>
        <v>0</v>
      </c>
      <c r="T183" s="2284"/>
      <c r="U183" s="2286"/>
      <c r="V183" s="2258">
        <f t="shared" si="49"/>
        <v>0</v>
      </c>
      <c r="W183" s="2284"/>
      <c r="X183" s="2285"/>
      <c r="Y183" s="2258">
        <f t="shared" si="50"/>
        <v>0</v>
      </c>
      <c r="Z183" s="2284"/>
      <c r="AA183" s="2285"/>
      <c r="AB183" s="2259">
        <f t="shared" si="51"/>
        <v>0</v>
      </c>
      <c r="AC183" s="2593">
        <f t="shared" si="52"/>
        <v>0</v>
      </c>
    </row>
    <row r="184" spans="1:29" s="2218" customFormat="1" ht="25.5" hidden="1" customHeight="1" outlineLevel="1">
      <c r="A184" s="2235">
        <v>336</v>
      </c>
      <c r="B184" s="2279" t="s">
        <v>1994</v>
      </c>
      <c r="C184" s="2280" t="s">
        <v>1995</v>
      </c>
      <c r="D184" s="2500"/>
      <c r="E184" s="2255">
        <f>E185*E186</f>
        <v>0</v>
      </c>
      <c r="F184" s="2256">
        <f>F185*F186</f>
        <v>0</v>
      </c>
      <c r="G184" s="2257">
        <f t="shared" si="44"/>
        <v>0</v>
      </c>
      <c r="H184" s="2256">
        <f>H185*H186</f>
        <v>0</v>
      </c>
      <c r="I184" s="2256">
        <f>I185*I186</f>
        <v>0</v>
      </c>
      <c r="J184" s="2257">
        <f t="shared" si="45"/>
        <v>0</v>
      </c>
      <c r="K184" s="2256">
        <f>K185*K186</f>
        <v>0</v>
      </c>
      <c r="L184" s="2256">
        <f>L185*L186</f>
        <v>0</v>
      </c>
      <c r="M184" s="2259">
        <f t="shared" si="46"/>
        <v>0</v>
      </c>
      <c r="N184" s="2255">
        <v>0</v>
      </c>
      <c r="O184" s="2256">
        <v>0</v>
      </c>
      <c r="P184" s="2258">
        <f t="shared" si="47"/>
        <v>0</v>
      </c>
      <c r="Q184" s="2255">
        <f>Q185*Q186</f>
        <v>0</v>
      </c>
      <c r="R184" s="2256">
        <f>R185*R186</f>
        <v>0</v>
      </c>
      <c r="S184" s="2259">
        <f t="shared" si="48"/>
        <v>0</v>
      </c>
      <c r="T184" s="2255">
        <f>T185*T186</f>
        <v>0</v>
      </c>
      <c r="U184" s="2260">
        <f>U185*U186</f>
        <v>0</v>
      </c>
      <c r="V184" s="2258">
        <f t="shared" si="49"/>
        <v>0</v>
      </c>
      <c r="W184" s="2255">
        <f>W185*W186</f>
        <v>0</v>
      </c>
      <c r="X184" s="2256">
        <f>X185*X186</f>
        <v>0</v>
      </c>
      <c r="Y184" s="2258">
        <f t="shared" si="50"/>
        <v>0</v>
      </c>
      <c r="Z184" s="2255">
        <f>Z185*Z186</f>
        <v>0</v>
      </c>
      <c r="AA184" s="2256">
        <f>AA185*AA186</f>
        <v>0</v>
      </c>
      <c r="AB184" s="2259">
        <f t="shared" si="51"/>
        <v>0</v>
      </c>
      <c r="AC184" s="2593">
        <f t="shared" si="52"/>
        <v>0</v>
      </c>
    </row>
    <row r="185" spans="1:29" s="2218" customFormat="1" ht="21.75" hidden="1" customHeight="1" outlineLevel="1">
      <c r="A185" s="2235">
        <v>341</v>
      </c>
      <c r="B185" s="2281" t="s">
        <v>1996</v>
      </c>
      <c r="C185" s="2282" t="s">
        <v>1327</v>
      </c>
      <c r="D185" s="2504" t="s">
        <v>1991</v>
      </c>
      <c r="E185" s="2284"/>
      <c r="F185" s="2285"/>
      <c r="G185" s="2257">
        <f t="shared" si="44"/>
        <v>0</v>
      </c>
      <c r="H185" s="2285"/>
      <c r="I185" s="2285"/>
      <c r="J185" s="2257">
        <f t="shared" si="45"/>
        <v>0</v>
      </c>
      <c r="K185" s="2285"/>
      <c r="L185" s="2285"/>
      <c r="M185" s="2259">
        <f t="shared" si="46"/>
        <v>0</v>
      </c>
      <c r="N185" s="2284">
        <v>0</v>
      </c>
      <c r="O185" s="2285">
        <v>0</v>
      </c>
      <c r="P185" s="2258">
        <f t="shared" si="47"/>
        <v>0</v>
      </c>
      <c r="Q185" s="2284"/>
      <c r="R185" s="2285"/>
      <c r="S185" s="2259">
        <f t="shared" si="48"/>
        <v>0</v>
      </c>
      <c r="T185" s="2284"/>
      <c r="U185" s="2286"/>
      <c r="V185" s="2258">
        <f t="shared" si="49"/>
        <v>0</v>
      </c>
      <c r="W185" s="2284"/>
      <c r="X185" s="2285"/>
      <c r="Y185" s="2258">
        <f t="shared" si="50"/>
        <v>0</v>
      </c>
      <c r="Z185" s="2284"/>
      <c r="AA185" s="2285"/>
      <c r="AB185" s="2259">
        <f t="shared" si="51"/>
        <v>0</v>
      </c>
      <c r="AC185" s="2593">
        <f t="shared" si="52"/>
        <v>0</v>
      </c>
    </row>
    <row r="186" spans="1:29" s="2218" customFormat="1" ht="20.25" hidden="1" customHeight="1" outlineLevel="1">
      <c r="A186" s="2235">
        <v>342</v>
      </c>
      <c r="B186" s="2281" t="s">
        <v>1997</v>
      </c>
      <c r="C186" s="2282" t="s">
        <v>1330</v>
      </c>
      <c r="D186" s="2504" t="s">
        <v>1993</v>
      </c>
      <c r="E186" s="2284"/>
      <c r="F186" s="2285"/>
      <c r="G186" s="2257">
        <f t="shared" si="44"/>
        <v>0</v>
      </c>
      <c r="H186" s="2285"/>
      <c r="I186" s="2285"/>
      <c r="J186" s="2257">
        <f t="shared" si="45"/>
        <v>0</v>
      </c>
      <c r="K186" s="2285"/>
      <c r="L186" s="2285"/>
      <c r="M186" s="2259">
        <f t="shared" si="46"/>
        <v>0</v>
      </c>
      <c r="N186" s="2284">
        <v>0</v>
      </c>
      <c r="O186" s="2285">
        <v>0</v>
      </c>
      <c r="P186" s="2258">
        <f t="shared" si="47"/>
        <v>0</v>
      </c>
      <c r="Q186" s="2284"/>
      <c r="R186" s="2285"/>
      <c r="S186" s="2259">
        <f t="shared" si="48"/>
        <v>0</v>
      </c>
      <c r="T186" s="2284"/>
      <c r="U186" s="2286"/>
      <c r="V186" s="2258">
        <f t="shared" si="49"/>
        <v>0</v>
      </c>
      <c r="W186" s="2284"/>
      <c r="X186" s="2285"/>
      <c r="Y186" s="2258">
        <f t="shared" si="50"/>
        <v>0</v>
      </c>
      <c r="Z186" s="2284"/>
      <c r="AA186" s="2285"/>
      <c r="AB186" s="2259">
        <f t="shared" si="51"/>
        <v>0</v>
      </c>
      <c r="AC186" s="2593">
        <f t="shared" si="52"/>
        <v>0</v>
      </c>
    </row>
    <row r="187" spans="1:29" s="2218" customFormat="1" ht="24" hidden="1" customHeight="1" outlineLevel="1">
      <c r="A187" s="2235">
        <v>71</v>
      </c>
      <c r="B187" s="2281" t="s">
        <v>1998</v>
      </c>
      <c r="C187" s="2282" t="s">
        <v>1999</v>
      </c>
      <c r="D187" s="2504" t="s">
        <v>1317</v>
      </c>
      <c r="E187" s="2284"/>
      <c r="F187" s="2285"/>
      <c r="G187" s="2257">
        <f t="shared" si="44"/>
        <v>0</v>
      </c>
      <c r="H187" s="2285"/>
      <c r="I187" s="2285"/>
      <c r="J187" s="2257">
        <f t="shared" si="45"/>
        <v>0</v>
      </c>
      <c r="K187" s="2285"/>
      <c r="L187" s="2285"/>
      <c r="M187" s="2259">
        <f t="shared" si="46"/>
        <v>0</v>
      </c>
      <c r="N187" s="2284">
        <v>0</v>
      </c>
      <c r="O187" s="2285">
        <v>0</v>
      </c>
      <c r="P187" s="2258">
        <f t="shared" si="47"/>
        <v>0</v>
      </c>
      <c r="Q187" s="2284"/>
      <c r="R187" s="2285"/>
      <c r="S187" s="2259">
        <f t="shared" si="48"/>
        <v>0</v>
      </c>
      <c r="T187" s="2284"/>
      <c r="U187" s="2286"/>
      <c r="V187" s="2258">
        <f t="shared" si="49"/>
        <v>0</v>
      </c>
      <c r="W187" s="2284"/>
      <c r="X187" s="2285"/>
      <c r="Y187" s="2258">
        <f t="shared" si="50"/>
        <v>0</v>
      </c>
      <c r="Z187" s="2284"/>
      <c r="AA187" s="2285"/>
      <c r="AB187" s="2259">
        <f t="shared" si="51"/>
        <v>0</v>
      </c>
      <c r="AC187" s="2593">
        <f t="shared" si="52"/>
        <v>0</v>
      </c>
    </row>
    <row r="188" spans="1:29" s="2218" customFormat="1" ht="20.25" customHeight="1" collapsed="1">
      <c r="A188" s="2235">
        <v>270</v>
      </c>
      <c r="B188" s="2279" t="s">
        <v>2000</v>
      </c>
      <c r="C188" s="2280" t="s">
        <v>2001</v>
      </c>
      <c r="D188" s="2500" t="s">
        <v>1313</v>
      </c>
      <c r="E188" s="2255">
        <f>E189*E190+E191</f>
        <v>851.10680704444655</v>
      </c>
      <c r="F188" s="2256">
        <f>F189*F190+F191</f>
        <v>880.89554529100212</v>
      </c>
      <c r="G188" s="2257">
        <f t="shared" si="44"/>
        <v>866.00117616772434</v>
      </c>
      <c r="H188" s="2256">
        <f>H189*H190+H191</f>
        <v>967.47766547220624</v>
      </c>
      <c r="I188" s="2256">
        <f>I189*I190+I191</f>
        <v>1002.3068614292057</v>
      </c>
      <c r="J188" s="2257">
        <f t="shared" si="45"/>
        <v>984.89226345070597</v>
      </c>
      <c r="K188" s="2256">
        <f>K189*K190+K191</f>
        <v>662.0146853890468</v>
      </c>
      <c r="L188" s="2256">
        <f>L189*L190+L191</f>
        <v>685.18519937766337</v>
      </c>
      <c r="M188" s="2259">
        <f t="shared" si="46"/>
        <v>673.59994238335503</v>
      </c>
      <c r="N188" s="2255">
        <v>640.50772298318896</v>
      </c>
      <c r="O188" s="2256">
        <v>680.85970953112985</v>
      </c>
      <c r="P188" s="2258">
        <f t="shared" si="47"/>
        <v>660.6837162571594</v>
      </c>
      <c r="Q188" s="2255">
        <f>Q189*Q190+Q191</f>
        <v>680.85970953112985</v>
      </c>
      <c r="R188" s="2256">
        <f>R189*R190+R191</f>
        <v>716.94527413627964</v>
      </c>
      <c r="S188" s="2259">
        <f t="shared" si="48"/>
        <v>698.90249183370474</v>
      </c>
      <c r="T188" s="2255">
        <f>T189*T190+T191</f>
        <v>716.94527413627964</v>
      </c>
      <c r="U188" s="2260">
        <f>U189*U190+U191</f>
        <v>754.94337366550235</v>
      </c>
      <c r="V188" s="2258">
        <f t="shared" si="49"/>
        <v>735.94432390089105</v>
      </c>
      <c r="W188" s="2255">
        <f>W189*W190+W191</f>
        <v>754.94337366550235</v>
      </c>
      <c r="X188" s="2256">
        <f>X189*X190+X191</f>
        <v>794.95537246977392</v>
      </c>
      <c r="Y188" s="2258">
        <f t="shared" si="50"/>
        <v>774.94937306763813</v>
      </c>
      <c r="Z188" s="2255">
        <f>Z189*Z190+Z191</f>
        <v>794.95537246977392</v>
      </c>
      <c r="AA188" s="2256">
        <f>AA189*AA190+AA191</f>
        <v>837.08800721067189</v>
      </c>
      <c r="AB188" s="2259">
        <f t="shared" si="51"/>
        <v>816.02168984022296</v>
      </c>
      <c r="AC188" s="2593">
        <f t="shared" si="52"/>
        <v>0</v>
      </c>
    </row>
    <row r="189" spans="1:29" s="2218" customFormat="1">
      <c r="A189" s="2235">
        <v>271</v>
      </c>
      <c r="B189" s="2281" t="s">
        <v>2002</v>
      </c>
      <c r="C189" s="2282" t="s">
        <v>1505</v>
      </c>
      <c r="D189" s="2504"/>
      <c r="E189" s="2284">
        <v>0.48416609363747298</v>
      </c>
      <c r="F189" s="2285">
        <v>0.48416609363747298</v>
      </c>
      <c r="G189" s="2257">
        <f t="shared" si="44"/>
        <v>0.48416609363747298</v>
      </c>
      <c r="H189" s="2285">
        <v>0.52879973166001515</v>
      </c>
      <c r="I189" s="2285">
        <v>0.53188011844638416</v>
      </c>
      <c r="J189" s="2257">
        <f t="shared" si="45"/>
        <v>0.53033992505319971</v>
      </c>
      <c r="K189" s="2285">
        <v>0.35619957654886703</v>
      </c>
      <c r="L189" s="2285">
        <v>0.35619957654886703</v>
      </c>
      <c r="M189" s="2259">
        <f t="shared" si="46"/>
        <v>0.35619957654886703</v>
      </c>
      <c r="N189" s="2284">
        <v>0.27707564948318902</v>
      </c>
      <c r="O189" s="2286">
        <v>0.27707564948318902</v>
      </c>
      <c r="P189" s="2258">
        <f t="shared" si="47"/>
        <v>0.27707564948318902</v>
      </c>
      <c r="Q189" s="2284">
        <f>O189</f>
        <v>0.27707564948318902</v>
      </c>
      <c r="R189" s="2285">
        <f>Q189</f>
        <v>0.27707564948318902</v>
      </c>
      <c r="S189" s="2259">
        <f t="shared" si="48"/>
        <v>0.27707564948318902</v>
      </c>
      <c r="T189" s="2284">
        <f>R189</f>
        <v>0.27707564948318902</v>
      </c>
      <c r="U189" s="2285">
        <f>T189</f>
        <v>0.27707564948318902</v>
      </c>
      <c r="V189" s="2258">
        <f t="shared" si="49"/>
        <v>0.27707564948318902</v>
      </c>
      <c r="W189" s="2284">
        <f>U189</f>
        <v>0.27707564948318902</v>
      </c>
      <c r="X189" s="2285">
        <f>W189</f>
        <v>0.27707564948318902</v>
      </c>
      <c r="Y189" s="2258">
        <f t="shared" si="50"/>
        <v>0.27707564948318902</v>
      </c>
      <c r="Z189" s="2284">
        <f>X189</f>
        <v>0.27707564948318902</v>
      </c>
      <c r="AA189" s="2285">
        <f>Z189</f>
        <v>0.27707564948318902</v>
      </c>
      <c r="AB189" s="2259">
        <f t="shared" si="51"/>
        <v>0.27707564948318902</v>
      </c>
      <c r="AC189" s="2593">
        <f t="shared" si="52"/>
        <v>0</v>
      </c>
    </row>
    <row r="190" spans="1:29" s="2218" customFormat="1">
      <c r="A190" s="2235">
        <v>272</v>
      </c>
      <c r="B190" s="2281" t="s">
        <v>2004</v>
      </c>
      <c r="C190" s="2282" t="s">
        <v>2005</v>
      </c>
      <c r="D190" s="2504" t="s">
        <v>1934</v>
      </c>
      <c r="E190" s="2284">
        <v>1757.8818885275477</v>
      </c>
      <c r="F190" s="2285">
        <v>1819.4077546260119</v>
      </c>
      <c r="G190" s="2257">
        <f t="shared" si="44"/>
        <v>1788.6448215767798</v>
      </c>
      <c r="H190" s="2285">
        <v>1829.5729130479842</v>
      </c>
      <c r="I190" s="2285">
        <v>1884.4601004394237</v>
      </c>
      <c r="J190" s="2257">
        <f t="shared" si="45"/>
        <v>1857.016506743704</v>
      </c>
      <c r="K190" s="2285">
        <v>1858.5498944247763</v>
      </c>
      <c r="L190" s="2285">
        <v>1923.5991407296433</v>
      </c>
      <c r="M190" s="2259">
        <f t="shared" si="46"/>
        <v>1891.0745175772099</v>
      </c>
      <c r="N190" s="2284">
        <v>2311.6709251711072</v>
      </c>
      <c r="O190" s="2286">
        <v>2457.3061934568868</v>
      </c>
      <c r="P190" s="2258">
        <f t="shared" si="47"/>
        <v>2384.488559313997</v>
      </c>
      <c r="Q190" s="2284">
        <f>O190</f>
        <v>2457.3061934568868</v>
      </c>
      <c r="R190" s="2285">
        <f>Q190*1.053</f>
        <v>2587.5434217101015</v>
      </c>
      <c r="S190" s="2259">
        <f t="shared" si="48"/>
        <v>2522.4248075834939</v>
      </c>
      <c r="T190" s="2284">
        <f>R190</f>
        <v>2587.5434217101015</v>
      </c>
      <c r="U190" s="2285">
        <f>T190*1.053</f>
        <v>2724.6832230607365</v>
      </c>
      <c r="V190" s="2258">
        <f t="shared" si="49"/>
        <v>2656.113322385419</v>
      </c>
      <c r="W190" s="2284">
        <f>U190</f>
        <v>2724.6832230607365</v>
      </c>
      <c r="X190" s="2285">
        <f>W190*1.053</f>
        <v>2869.0914338829552</v>
      </c>
      <c r="Y190" s="2258">
        <f t="shared" si="50"/>
        <v>2796.8873284718456</v>
      </c>
      <c r="Z190" s="2284">
        <f>X190</f>
        <v>2869.0914338829552</v>
      </c>
      <c r="AA190" s="2285">
        <f>Z190*1.053</f>
        <v>3021.1532798787516</v>
      </c>
      <c r="AB190" s="2259">
        <f t="shared" si="51"/>
        <v>2945.1223568808537</v>
      </c>
      <c r="AC190" s="2593">
        <f t="shared" si="52"/>
        <v>0</v>
      </c>
    </row>
    <row r="191" spans="1:29" s="2218" customFormat="1" ht="19.5" hidden="1" customHeight="1" outlineLevel="1">
      <c r="A191" s="2235">
        <v>70</v>
      </c>
      <c r="B191" s="2281" t="s">
        <v>2007</v>
      </c>
      <c r="C191" s="2282" t="s">
        <v>2008</v>
      </c>
      <c r="D191" s="2504" t="s">
        <v>1317</v>
      </c>
      <c r="E191" s="2284"/>
      <c r="F191" s="2285"/>
      <c r="G191" s="2257">
        <f t="shared" si="44"/>
        <v>0</v>
      </c>
      <c r="H191" s="2285"/>
      <c r="I191" s="2285"/>
      <c r="J191" s="2257">
        <f t="shared" si="45"/>
        <v>0</v>
      </c>
      <c r="K191" s="2285"/>
      <c r="L191" s="2285"/>
      <c r="M191" s="2259">
        <f t="shared" si="46"/>
        <v>0</v>
      </c>
      <c r="N191" s="2284">
        <v>0</v>
      </c>
      <c r="O191" s="2285">
        <v>0</v>
      </c>
      <c r="P191" s="2258">
        <f t="shared" si="47"/>
        <v>0</v>
      </c>
      <c r="Q191" s="2284"/>
      <c r="R191" s="2285"/>
      <c r="S191" s="2259">
        <f t="shared" si="48"/>
        <v>0</v>
      </c>
      <c r="T191" s="2284"/>
      <c r="U191" s="2285"/>
      <c r="V191" s="2258">
        <f t="shared" si="49"/>
        <v>0</v>
      </c>
      <c r="W191" s="2284"/>
      <c r="X191" s="2285"/>
      <c r="Y191" s="2258">
        <f t="shared" si="50"/>
        <v>0</v>
      </c>
      <c r="Z191" s="2284"/>
      <c r="AA191" s="2285"/>
      <c r="AB191" s="2259">
        <f t="shared" si="51"/>
        <v>0</v>
      </c>
      <c r="AC191" s="2593">
        <f t="shared" si="52"/>
        <v>0</v>
      </c>
    </row>
    <row r="192" spans="1:29" s="2218" customFormat="1" ht="24" hidden="1" customHeight="1" outlineLevel="1">
      <c r="A192" s="2235">
        <v>273</v>
      </c>
      <c r="B192" s="2279" t="s">
        <v>2009</v>
      </c>
      <c r="C192" s="2280" t="s">
        <v>2010</v>
      </c>
      <c r="D192" s="2500" t="s">
        <v>1313</v>
      </c>
      <c r="E192" s="2255">
        <f>E193*E194</f>
        <v>0</v>
      </c>
      <c r="F192" s="2256">
        <f>F193*F194</f>
        <v>0</v>
      </c>
      <c r="G192" s="2257">
        <f t="shared" si="44"/>
        <v>0</v>
      </c>
      <c r="H192" s="2256">
        <f>H193*H194</f>
        <v>0</v>
      </c>
      <c r="I192" s="2256">
        <f>I193*I194</f>
        <v>0</v>
      </c>
      <c r="J192" s="2257">
        <f t="shared" si="45"/>
        <v>0</v>
      </c>
      <c r="K192" s="2256">
        <f>K193*K194</f>
        <v>0</v>
      </c>
      <c r="L192" s="2256">
        <f>L193*L194</f>
        <v>0</v>
      </c>
      <c r="M192" s="2259">
        <f t="shared" si="46"/>
        <v>0</v>
      </c>
      <c r="N192" s="2255">
        <v>0</v>
      </c>
      <c r="O192" s="2256">
        <v>0</v>
      </c>
      <c r="P192" s="2258">
        <f t="shared" si="47"/>
        <v>0</v>
      </c>
      <c r="Q192" s="2255">
        <f>Q193*Q194</f>
        <v>0</v>
      </c>
      <c r="R192" s="2256">
        <f>R193*R194</f>
        <v>0</v>
      </c>
      <c r="S192" s="2259">
        <f t="shared" si="48"/>
        <v>0</v>
      </c>
      <c r="T192" s="2255">
        <f>T193*T194</f>
        <v>0</v>
      </c>
      <c r="U192" s="2256">
        <f>U193*U194</f>
        <v>0</v>
      </c>
      <c r="V192" s="2258">
        <f t="shared" si="49"/>
        <v>0</v>
      </c>
      <c r="W192" s="2255">
        <f>W193*W194</f>
        <v>0</v>
      </c>
      <c r="X192" s="2256">
        <f>X193*X194</f>
        <v>0</v>
      </c>
      <c r="Y192" s="2258">
        <f t="shared" si="50"/>
        <v>0</v>
      </c>
      <c r="Z192" s="2255">
        <f>Z193*Z194</f>
        <v>0</v>
      </c>
      <c r="AA192" s="2256">
        <f>AA193*AA194</f>
        <v>0</v>
      </c>
      <c r="AB192" s="2259">
        <f t="shared" si="51"/>
        <v>0</v>
      </c>
      <c r="AC192" s="2593">
        <f t="shared" si="52"/>
        <v>0</v>
      </c>
    </row>
    <row r="193" spans="1:29" s="2218" customFormat="1" ht="24" hidden="1" customHeight="1" outlineLevel="1">
      <c r="A193" s="2235">
        <v>274</v>
      </c>
      <c r="B193" s="2281" t="s">
        <v>2011</v>
      </c>
      <c r="C193" s="2282" t="s">
        <v>1505</v>
      </c>
      <c r="D193" s="2504" t="s">
        <v>2012</v>
      </c>
      <c r="E193" s="2284"/>
      <c r="F193" s="2285"/>
      <c r="G193" s="2257">
        <f t="shared" si="44"/>
        <v>0</v>
      </c>
      <c r="H193" s="2285"/>
      <c r="I193" s="2285"/>
      <c r="J193" s="2257">
        <f t="shared" si="45"/>
        <v>0</v>
      </c>
      <c r="K193" s="2285"/>
      <c r="L193" s="2285"/>
      <c r="M193" s="2259">
        <f t="shared" si="46"/>
        <v>0</v>
      </c>
      <c r="N193" s="2284">
        <v>0</v>
      </c>
      <c r="O193" s="2285">
        <v>0</v>
      </c>
      <c r="P193" s="2258">
        <f t="shared" si="47"/>
        <v>0</v>
      </c>
      <c r="Q193" s="2284"/>
      <c r="R193" s="2285"/>
      <c r="S193" s="2259">
        <f t="shared" si="48"/>
        <v>0</v>
      </c>
      <c r="T193" s="2284"/>
      <c r="U193" s="2285"/>
      <c r="V193" s="2258">
        <f t="shared" si="49"/>
        <v>0</v>
      </c>
      <c r="W193" s="2284"/>
      <c r="X193" s="2285"/>
      <c r="Y193" s="2258">
        <f t="shared" si="50"/>
        <v>0</v>
      </c>
      <c r="Z193" s="2284"/>
      <c r="AA193" s="2285"/>
      <c r="AB193" s="2259">
        <f t="shared" si="51"/>
        <v>0</v>
      </c>
      <c r="AC193" s="2593">
        <f t="shared" si="52"/>
        <v>0</v>
      </c>
    </row>
    <row r="194" spans="1:29" s="2218" customFormat="1" ht="24" hidden="1" customHeight="1" outlineLevel="1">
      <c r="A194" s="2235">
        <v>275</v>
      </c>
      <c r="B194" s="2281" t="s">
        <v>2014</v>
      </c>
      <c r="C194" s="2282" t="s">
        <v>2005</v>
      </c>
      <c r="D194" s="2504" t="s">
        <v>1934</v>
      </c>
      <c r="E194" s="2284"/>
      <c r="F194" s="2285"/>
      <c r="G194" s="2257">
        <f t="shared" si="44"/>
        <v>0</v>
      </c>
      <c r="H194" s="2285"/>
      <c r="I194" s="2285"/>
      <c r="J194" s="2257">
        <f t="shared" si="45"/>
        <v>0</v>
      </c>
      <c r="K194" s="2285"/>
      <c r="L194" s="2285"/>
      <c r="M194" s="2259">
        <f t="shared" si="46"/>
        <v>0</v>
      </c>
      <c r="N194" s="2284" t="e">
        <v>#DIV/0!</v>
      </c>
      <c r="O194" s="2285" t="e">
        <v>#DIV/0!</v>
      </c>
      <c r="P194" s="2258" t="e">
        <f t="shared" si="47"/>
        <v>#DIV/0!</v>
      </c>
      <c r="Q194" s="2284"/>
      <c r="R194" s="2285"/>
      <c r="S194" s="2259">
        <f t="shared" si="48"/>
        <v>0</v>
      </c>
      <c r="T194" s="2284"/>
      <c r="U194" s="2285"/>
      <c r="V194" s="2258">
        <f t="shared" si="49"/>
        <v>0</v>
      </c>
      <c r="W194" s="2284"/>
      <c r="X194" s="2285"/>
      <c r="Y194" s="2258">
        <f t="shared" si="50"/>
        <v>0</v>
      </c>
      <c r="Z194" s="2284"/>
      <c r="AA194" s="2285"/>
      <c r="AB194" s="2259">
        <f t="shared" si="51"/>
        <v>0</v>
      </c>
      <c r="AC194" s="2593">
        <f t="shared" si="52"/>
        <v>0</v>
      </c>
    </row>
    <row r="195" spans="1:29" s="2218" customFormat="1" ht="20.25" hidden="1" customHeight="1" outlineLevel="1">
      <c r="A195" s="2235">
        <v>72</v>
      </c>
      <c r="B195" s="2279" t="s">
        <v>2015</v>
      </c>
      <c r="C195" s="2280" t="s">
        <v>2016</v>
      </c>
      <c r="D195" s="2500" t="s">
        <v>1317</v>
      </c>
      <c r="E195" s="2255">
        <f>E196*E197</f>
        <v>0</v>
      </c>
      <c r="F195" s="2256">
        <f>F196*F197</f>
        <v>0</v>
      </c>
      <c r="G195" s="2257">
        <f t="shared" si="44"/>
        <v>0</v>
      </c>
      <c r="H195" s="2256">
        <f>H196*H197</f>
        <v>0</v>
      </c>
      <c r="I195" s="2256">
        <f>I196*I197</f>
        <v>0</v>
      </c>
      <c r="J195" s="2257">
        <f t="shared" si="45"/>
        <v>0</v>
      </c>
      <c r="K195" s="2256">
        <f>K196*K197</f>
        <v>0</v>
      </c>
      <c r="L195" s="2256">
        <f>L196*L197</f>
        <v>0</v>
      </c>
      <c r="M195" s="2259">
        <f t="shared" si="46"/>
        <v>0</v>
      </c>
      <c r="N195" s="2255">
        <v>0</v>
      </c>
      <c r="O195" s="2256">
        <v>0</v>
      </c>
      <c r="P195" s="2258">
        <f t="shared" si="47"/>
        <v>0</v>
      </c>
      <c r="Q195" s="2255">
        <f>Q196*Q197</f>
        <v>0</v>
      </c>
      <c r="R195" s="2256">
        <f>R196*R197</f>
        <v>0</v>
      </c>
      <c r="S195" s="2259">
        <f t="shared" si="48"/>
        <v>0</v>
      </c>
      <c r="T195" s="2255">
        <f>T196*T197</f>
        <v>0</v>
      </c>
      <c r="U195" s="2256">
        <f>U196*U197</f>
        <v>0</v>
      </c>
      <c r="V195" s="2258">
        <f t="shared" si="49"/>
        <v>0</v>
      </c>
      <c r="W195" s="2255">
        <f>W196*W197</f>
        <v>0</v>
      </c>
      <c r="X195" s="2256">
        <f>X196*X197</f>
        <v>0</v>
      </c>
      <c r="Y195" s="2258">
        <f t="shared" si="50"/>
        <v>0</v>
      </c>
      <c r="Z195" s="2255">
        <f>Z196*Z197</f>
        <v>0</v>
      </c>
      <c r="AA195" s="2256">
        <f>AA196*AA197</f>
        <v>0</v>
      </c>
      <c r="AB195" s="2259">
        <f t="shared" si="51"/>
        <v>0</v>
      </c>
      <c r="AC195" s="2593">
        <f t="shared" si="52"/>
        <v>0</v>
      </c>
    </row>
    <row r="196" spans="1:29" s="2218" customFormat="1" ht="24" hidden="1" customHeight="1" outlineLevel="1">
      <c r="A196" s="2235">
        <v>74</v>
      </c>
      <c r="B196" s="2281" t="s">
        <v>2017</v>
      </c>
      <c r="C196" s="2282" t="s">
        <v>2018</v>
      </c>
      <c r="D196" s="2504" t="s">
        <v>1983</v>
      </c>
      <c r="E196" s="2284"/>
      <c r="F196" s="2285"/>
      <c r="G196" s="2257">
        <f t="shared" si="44"/>
        <v>0</v>
      </c>
      <c r="H196" s="2285"/>
      <c r="I196" s="2285"/>
      <c r="J196" s="2257">
        <f t="shared" si="45"/>
        <v>0</v>
      </c>
      <c r="K196" s="2285"/>
      <c r="L196" s="2285"/>
      <c r="M196" s="2259">
        <f t="shared" si="46"/>
        <v>0</v>
      </c>
      <c r="N196" s="2284">
        <v>0</v>
      </c>
      <c r="O196" s="2285">
        <v>0</v>
      </c>
      <c r="P196" s="2258">
        <f t="shared" si="47"/>
        <v>0</v>
      </c>
      <c r="Q196" s="2284"/>
      <c r="R196" s="2285"/>
      <c r="S196" s="2259">
        <f t="shared" si="48"/>
        <v>0</v>
      </c>
      <c r="T196" s="2284"/>
      <c r="U196" s="2285"/>
      <c r="V196" s="2258">
        <f t="shared" si="49"/>
        <v>0</v>
      </c>
      <c r="W196" s="2284"/>
      <c r="X196" s="2285"/>
      <c r="Y196" s="2258">
        <f t="shared" si="50"/>
        <v>0</v>
      </c>
      <c r="Z196" s="2284"/>
      <c r="AA196" s="2285"/>
      <c r="AB196" s="2259">
        <f t="shared" si="51"/>
        <v>0</v>
      </c>
      <c r="AC196" s="2593">
        <f t="shared" si="52"/>
        <v>0</v>
      </c>
    </row>
    <row r="197" spans="1:29" s="2218" customFormat="1" ht="18.75" hidden="1" customHeight="1" outlineLevel="1">
      <c r="A197" s="2235">
        <v>73</v>
      </c>
      <c r="B197" s="2281" t="s">
        <v>2020</v>
      </c>
      <c r="C197" s="2282" t="s">
        <v>2005</v>
      </c>
      <c r="D197" s="2504" t="s">
        <v>1986</v>
      </c>
      <c r="E197" s="2284"/>
      <c r="F197" s="2285"/>
      <c r="G197" s="2257">
        <f t="shared" si="44"/>
        <v>0</v>
      </c>
      <c r="H197" s="2285"/>
      <c r="I197" s="2285"/>
      <c r="J197" s="2257">
        <f t="shared" si="45"/>
        <v>0</v>
      </c>
      <c r="K197" s="2285"/>
      <c r="L197" s="2285"/>
      <c r="M197" s="2259">
        <f t="shared" si="46"/>
        <v>0</v>
      </c>
      <c r="N197" s="2284" t="e">
        <v>#DIV/0!</v>
      </c>
      <c r="O197" s="2285" t="e">
        <v>#DIV/0!</v>
      </c>
      <c r="P197" s="2258" t="e">
        <f t="shared" si="47"/>
        <v>#DIV/0!</v>
      </c>
      <c r="Q197" s="2284"/>
      <c r="R197" s="2285"/>
      <c r="S197" s="2259">
        <f t="shared" si="48"/>
        <v>0</v>
      </c>
      <c r="T197" s="2284"/>
      <c r="U197" s="2285"/>
      <c r="V197" s="2258">
        <f t="shared" si="49"/>
        <v>0</v>
      </c>
      <c r="W197" s="2284"/>
      <c r="X197" s="2285"/>
      <c r="Y197" s="2258">
        <f t="shared" si="50"/>
        <v>0</v>
      </c>
      <c r="Z197" s="2284"/>
      <c r="AA197" s="2285"/>
      <c r="AB197" s="2259">
        <f t="shared" si="51"/>
        <v>0</v>
      </c>
      <c r="AC197" s="2593">
        <f t="shared" si="52"/>
        <v>0</v>
      </c>
    </row>
    <row r="198" spans="1:29" s="2218" customFormat="1" ht="22.5" hidden="1" customHeight="1" outlineLevel="1">
      <c r="A198" s="2235">
        <v>260</v>
      </c>
      <c r="B198" s="2281" t="s">
        <v>2021</v>
      </c>
      <c r="C198" s="2282" t="s">
        <v>2022</v>
      </c>
      <c r="D198" s="2504" t="s">
        <v>1313</v>
      </c>
      <c r="E198" s="2284"/>
      <c r="F198" s="2285"/>
      <c r="G198" s="2257">
        <f t="shared" si="44"/>
        <v>0</v>
      </c>
      <c r="H198" s="2285"/>
      <c r="I198" s="2285"/>
      <c r="J198" s="2257">
        <f t="shared" si="45"/>
        <v>0</v>
      </c>
      <c r="K198" s="2285"/>
      <c r="L198" s="2285"/>
      <c r="M198" s="2259">
        <f t="shared" si="46"/>
        <v>0</v>
      </c>
      <c r="N198" s="2284">
        <v>0</v>
      </c>
      <c r="O198" s="2285">
        <v>0</v>
      </c>
      <c r="P198" s="2258">
        <f t="shared" si="47"/>
        <v>0</v>
      </c>
      <c r="Q198" s="2284"/>
      <c r="R198" s="2285"/>
      <c r="S198" s="2259">
        <f t="shared" si="48"/>
        <v>0</v>
      </c>
      <c r="T198" s="2284"/>
      <c r="U198" s="2285"/>
      <c r="V198" s="2258">
        <f t="shared" si="49"/>
        <v>0</v>
      </c>
      <c r="W198" s="2284"/>
      <c r="X198" s="2285"/>
      <c r="Y198" s="2258">
        <f t="shared" si="50"/>
        <v>0</v>
      </c>
      <c r="Z198" s="2284"/>
      <c r="AA198" s="2285"/>
      <c r="AB198" s="2259">
        <f t="shared" si="51"/>
        <v>0</v>
      </c>
      <c r="AC198" s="2593">
        <f t="shared" si="52"/>
        <v>0</v>
      </c>
    </row>
    <row r="199" spans="1:29" s="2218" customFormat="1" ht="30.75" hidden="1" customHeight="1" outlineLevel="1">
      <c r="A199" s="2235">
        <v>261</v>
      </c>
      <c r="B199" s="2281" t="s">
        <v>2023</v>
      </c>
      <c r="C199" s="2282" t="s">
        <v>2024</v>
      </c>
      <c r="D199" s="2504" t="s">
        <v>1313</v>
      </c>
      <c r="E199" s="2284"/>
      <c r="F199" s="2285"/>
      <c r="G199" s="2257">
        <f t="shared" si="44"/>
        <v>0</v>
      </c>
      <c r="H199" s="2285"/>
      <c r="I199" s="2285"/>
      <c r="J199" s="2257">
        <f t="shared" si="45"/>
        <v>0</v>
      </c>
      <c r="K199" s="2285"/>
      <c r="L199" s="2285"/>
      <c r="M199" s="2259">
        <f t="shared" si="46"/>
        <v>0</v>
      </c>
      <c r="N199" s="2284">
        <v>0</v>
      </c>
      <c r="O199" s="2285">
        <v>0</v>
      </c>
      <c r="P199" s="2258">
        <f t="shared" si="47"/>
        <v>0</v>
      </c>
      <c r="Q199" s="2284"/>
      <c r="R199" s="2285"/>
      <c r="S199" s="2259">
        <f t="shared" si="48"/>
        <v>0</v>
      </c>
      <c r="T199" s="2284"/>
      <c r="U199" s="2285"/>
      <c r="V199" s="2258">
        <f t="shared" si="49"/>
        <v>0</v>
      </c>
      <c r="W199" s="2284"/>
      <c r="X199" s="2285"/>
      <c r="Y199" s="2258">
        <f t="shared" si="50"/>
        <v>0</v>
      </c>
      <c r="Z199" s="2284"/>
      <c r="AA199" s="2285"/>
      <c r="AB199" s="2259">
        <f t="shared" si="51"/>
        <v>0</v>
      </c>
      <c r="AC199" s="2593">
        <f t="shared" ref="AC199:AC262" si="53">T199-R199</f>
        <v>0</v>
      </c>
    </row>
    <row r="200" spans="1:29" s="2218" customFormat="1" ht="21" hidden="1" customHeight="1" outlineLevel="1">
      <c r="A200" s="2235">
        <v>262</v>
      </c>
      <c r="B200" s="2281" t="s">
        <v>2025</v>
      </c>
      <c r="C200" s="2282" t="s">
        <v>2026</v>
      </c>
      <c r="D200" s="2504" t="s">
        <v>1313</v>
      </c>
      <c r="E200" s="2284"/>
      <c r="F200" s="2285"/>
      <c r="G200" s="2257">
        <f t="shared" si="44"/>
        <v>0</v>
      </c>
      <c r="H200" s="2285"/>
      <c r="I200" s="2285"/>
      <c r="J200" s="2257">
        <f t="shared" si="45"/>
        <v>0</v>
      </c>
      <c r="K200" s="2285"/>
      <c r="L200" s="2285"/>
      <c r="M200" s="2259">
        <f t="shared" si="46"/>
        <v>0</v>
      </c>
      <c r="N200" s="2284">
        <v>0</v>
      </c>
      <c r="O200" s="2285">
        <v>0</v>
      </c>
      <c r="P200" s="2258">
        <f t="shared" si="47"/>
        <v>0</v>
      </c>
      <c r="Q200" s="2284"/>
      <c r="R200" s="2285"/>
      <c r="S200" s="2259">
        <f t="shared" si="48"/>
        <v>0</v>
      </c>
      <c r="T200" s="2284"/>
      <c r="U200" s="2285"/>
      <c r="V200" s="2258">
        <f t="shared" si="49"/>
        <v>0</v>
      </c>
      <c r="W200" s="2284"/>
      <c r="X200" s="2285"/>
      <c r="Y200" s="2258">
        <f t="shared" si="50"/>
        <v>0</v>
      </c>
      <c r="Z200" s="2284"/>
      <c r="AA200" s="2285"/>
      <c r="AB200" s="2259">
        <f t="shared" si="51"/>
        <v>0</v>
      </c>
      <c r="AC200" s="2593">
        <f t="shared" si="53"/>
        <v>0</v>
      </c>
    </row>
    <row r="201" spans="1:29" s="2218" customFormat="1" ht="35.25" customHeight="1" collapsed="1">
      <c r="A201" s="2235">
        <v>279</v>
      </c>
      <c r="B201" s="2279" t="s">
        <v>2027</v>
      </c>
      <c r="C201" s="2280" t="s">
        <v>2028</v>
      </c>
      <c r="D201" s="2500" t="s">
        <v>1313</v>
      </c>
      <c r="E201" s="2255">
        <f>E202*E203</f>
        <v>115187.82919607843</v>
      </c>
      <c r="F201" s="2256">
        <f>F202*F203</f>
        <v>119795.34236392158</v>
      </c>
      <c r="G201" s="2257">
        <f t="shared" si="44"/>
        <v>117491.58577999999</v>
      </c>
      <c r="H201" s="2256">
        <f>H202*H203</f>
        <v>123852.06833988211</v>
      </c>
      <c r="I201" s="2256">
        <f>I202*I203</f>
        <v>128310.74280011789</v>
      </c>
      <c r="J201" s="2257">
        <f t="shared" si="45"/>
        <v>126081.40557</v>
      </c>
      <c r="K201" s="2256">
        <f>K202*K203</f>
        <v>126241.1246995073</v>
      </c>
      <c r="L201" s="2256">
        <f>L202*L203</f>
        <v>130028.35844049252</v>
      </c>
      <c r="M201" s="2259">
        <f t="shared" si="46"/>
        <v>128134.74156999991</v>
      </c>
      <c r="N201" s="2255">
        <v>104021.99877284553</v>
      </c>
      <c r="O201" s="2256">
        <v>131639.02744124297</v>
      </c>
      <c r="P201" s="2258">
        <f t="shared" si="47"/>
        <v>117830.51310704424</v>
      </c>
      <c r="Q201" s="2255">
        <f>Q202*Q203</f>
        <v>131639.02744124297</v>
      </c>
      <c r="R201" s="2256">
        <f>R202*R203</f>
        <v>138615.89589562884</v>
      </c>
      <c r="S201" s="2259">
        <f t="shared" si="48"/>
        <v>135127.46166843589</v>
      </c>
      <c r="T201" s="2255">
        <f>T202*T203</f>
        <v>138615.89589562884</v>
      </c>
      <c r="U201" s="2256">
        <f>U202*U203</f>
        <v>145962.53837809715</v>
      </c>
      <c r="V201" s="2258">
        <f t="shared" si="49"/>
        <v>142289.21713686298</v>
      </c>
      <c r="W201" s="2255">
        <f>W202*W203</f>
        <v>145962.53837809715</v>
      </c>
      <c r="X201" s="2256">
        <f>X202*X203</f>
        <v>153698.55291213628</v>
      </c>
      <c r="Y201" s="2258">
        <f t="shared" si="50"/>
        <v>149830.54564511671</v>
      </c>
      <c r="Z201" s="2255">
        <f>Z202*Z203</f>
        <v>153698.55291213628</v>
      </c>
      <c r="AA201" s="2256">
        <f>AA202*AA203</f>
        <v>161844.5762164795</v>
      </c>
      <c r="AB201" s="2259">
        <f t="shared" si="51"/>
        <v>157771.56456430789</v>
      </c>
      <c r="AC201" s="2593">
        <f t="shared" si="53"/>
        <v>0</v>
      </c>
    </row>
    <row r="202" spans="1:29" s="2218" customFormat="1" ht="17.25" customHeight="1">
      <c r="A202" s="2235">
        <v>280</v>
      </c>
      <c r="B202" s="2281" t="s">
        <v>2029</v>
      </c>
      <c r="C202" s="2282" t="s">
        <v>1505</v>
      </c>
      <c r="D202" s="2504" t="s">
        <v>2012</v>
      </c>
      <c r="E202" s="2284">
        <v>36020.826241268645</v>
      </c>
      <c r="F202" s="2285">
        <v>36020.826241268645</v>
      </c>
      <c r="G202" s="2257">
        <f t="shared" si="44"/>
        <v>36020.826241268645</v>
      </c>
      <c r="H202" s="2285">
        <v>34590.393976108964</v>
      </c>
      <c r="I202" s="2285">
        <v>34590.393976108971</v>
      </c>
      <c r="J202" s="2257">
        <f t="shared" si="45"/>
        <v>34590.393976108971</v>
      </c>
      <c r="K202" s="2285">
        <v>40504.863000000005</v>
      </c>
      <c r="L202" s="2285">
        <v>40504.863000000005</v>
      </c>
      <c r="M202" s="2259">
        <f t="shared" si="46"/>
        <v>40504.863000000005</v>
      </c>
      <c r="N202" s="2284">
        <v>31426.585731977502</v>
      </c>
      <c r="O202" s="2286">
        <v>32701.402698497757</v>
      </c>
      <c r="P202" s="2258">
        <f t="shared" si="47"/>
        <v>32063.994215237632</v>
      </c>
      <c r="Q202" s="2284">
        <f>O202</f>
        <v>32701.402698497757</v>
      </c>
      <c r="R202" s="2285">
        <f>Q202</f>
        <v>32701.402698497757</v>
      </c>
      <c r="S202" s="2259">
        <f t="shared" si="48"/>
        <v>32701.402698497757</v>
      </c>
      <c r="T202" s="2284">
        <f>R202</f>
        <v>32701.402698497757</v>
      </c>
      <c r="U202" s="2285">
        <f>T202</f>
        <v>32701.402698497757</v>
      </c>
      <c r="V202" s="2258">
        <f t="shared" si="49"/>
        <v>32701.402698497757</v>
      </c>
      <c r="W202" s="2284">
        <f>U202</f>
        <v>32701.402698497757</v>
      </c>
      <c r="X202" s="2285">
        <f>W202</f>
        <v>32701.402698497757</v>
      </c>
      <c r="Y202" s="2258">
        <f t="shared" si="50"/>
        <v>32701.402698497757</v>
      </c>
      <c r="Z202" s="2284">
        <f>X202</f>
        <v>32701.402698497757</v>
      </c>
      <c r="AA202" s="2285">
        <f>Z202</f>
        <v>32701.402698497757</v>
      </c>
      <c r="AB202" s="2259">
        <f t="shared" si="51"/>
        <v>32701.402698497757</v>
      </c>
      <c r="AC202" s="2593">
        <f t="shared" si="53"/>
        <v>0</v>
      </c>
    </row>
    <row r="203" spans="1:29" s="2218" customFormat="1" ht="18.75" customHeight="1">
      <c r="A203" s="2235">
        <v>281</v>
      </c>
      <c r="B203" s="2281" t="s">
        <v>2030</v>
      </c>
      <c r="C203" s="2282" t="s">
        <v>2005</v>
      </c>
      <c r="D203" s="2504" t="s">
        <v>1934</v>
      </c>
      <c r="E203" s="2284">
        <v>3.197811966459255</v>
      </c>
      <c r="F203" s="2285">
        <v>3.3257244451176255</v>
      </c>
      <c r="G203" s="2257">
        <f t="shared" si="44"/>
        <v>3.2617682057884405</v>
      </c>
      <c r="H203" s="2285">
        <v>3.5805336136218848</v>
      </c>
      <c r="I203" s="2285">
        <v>3.7094328237122727</v>
      </c>
      <c r="J203" s="2257">
        <f t="shared" si="45"/>
        <v>3.644983218667079</v>
      </c>
      <c r="K203" s="2285">
        <v>3.116690573660434</v>
      </c>
      <c r="L203" s="2285">
        <v>3.210191290870247</v>
      </c>
      <c r="M203" s="2259">
        <f t="shared" si="46"/>
        <v>3.1634409322653405</v>
      </c>
      <c r="N203" s="2284">
        <v>3.31</v>
      </c>
      <c r="O203" s="2286">
        <v>4.0254856543902999</v>
      </c>
      <c r="P203" s="2258">
        <f t="shared" si="47"/>
        <v>3.6677428271951502</v>
      </c>
      <c r="Q203" s="2284">
        <f>O203</f>
        <v>4.0254856543902999</v>
      </c>
      <c r="R203" s="2285">
        <f>Q203*1.053</f>
        <v>4.2388363940729858</v>
      </c>
      <c r="S203" s="2259">
        <f t="shared" si="48"/>
        <v>4.1321610242316424</v>
      </c>
      <c r="T203" s="2284">
        <f>R203</f>
        <v>4.2388363940729858</v>
      </c>
      <c r="U203" s="2285">
        <f>T203*1.053</f>
        <v>4.4634947229588535</v>
      </c>
      <c r="V203" s="2258">
        <f t="shared" si="49"/>
        <v>4.3511655585159197</v>
      </c>
      <c r="W203" s="2284">
        <f>U203</f>
        <v>4.4634947229588535</v>
      </c>
      <c r="X203" s="2285">
        <f>W203*1.053</f>
        <v>4.7000599432756722</v>
      </c>
      <c r="Y203" s="2258">
        <f t="shared" si="50"/>
        <v>4.5817773331172624</v>
      </c>
      <c r="Z203" s="2284">
        <f>X203</f>
        <v>4.7000599432756722</v>
      </c>
      <c r="AA203" s="2285">
        <f>Z203*1.053</f>
        <v>4.949163120269283</v>
      </c>
      <c r="AB203" s="2259">
        <f t="shared" si="51"/>
        <v>4.8246115317724776</v>
      </c>
      <c r="AC203" s="2593">
        <f t="shared" si="53"/>
        <v>0</v>
      </c>
    </row>
    <row r="204" spans="1:29" s="2218" customFormat="1" ht="21" hidden="1" customHeight="1" outlineLevel="1">
      <c r="A204" s="2235">
        <v>276</v>
      </c>
      <c r="B204" s="2279" t="s">
        <v>2031</v>
      </c>
      <c r="C204" s="2280" t="s">
        <v>2032</v>
      </c>
      <c r="D204" s="2500" t="s">
        <v>1313</v>
      </c>
      <c r="E204" s="2255">
        <f>E205*E206</f>
        <v>0</v>
      </c>
      <c r="F204" s="2256">
        <f>F205*F206</f>
        <v>0</v>
      </c>
      <c r="G204" s="2257">
        <f t="shared" si="44"/>
        <v>0</v>
      </c>
      <c r="H204" s="2256">
        <f>H205*H206</f>
        <v>0</v>
      </c>
      <c r="I204" s="2256">
        <f>I205*I206</f>
        <v>0</v>
      </c>
      <c r="J204" s="2257">
        <f t="shared" si="45"/>
        <v>0</v>
      </c>
      <c r="K204" s="2256">
        <f>K205*K206</f>
        <v>0</v>
      </c>
      <c r="L204" s="2256">
        <f>L205*L206</f>
        <v>0</v>
      </c>
      <c r="M204" s="2259">
        <f t="shared" si="46"/>
        <v>0</v>
      </c>
      <c r="N204" s="2255">
        <v>0</v>
      </c>
      <c r="O204" s="2256">
        <v>0</v>
      </c>
      <c r="P204" s="2258">
        <f t="shared" si="47"/>
        <v>0</v>
      </c>
      <c r="Q204" s="2255">
        <f>Q205*Q206</f>
        <v>0</v>
      </c>
      <c r="R204" s="2256">
        <f>R205*R206</f>
        <v>0</v>
      </c>
      <c r="S204" s="2259">
        <f t="shared" si="48"/>
        <v>0</v>
      </c>
      <c r="T204" s="2255">
        <f>T205*T206</f>
        <v>0</v>
      </c>
      <c r="U204" s="2256">
        <f>U205*U206</f>
        <v>0</v>
      </c>
      <c r="V204" s="2258">
        <f t="shared" si="49"/>
        <v>0</v>
      </c>
      <c r="W204" s="2255">
        <f>W205*W206</f>
        <v>0</v>
      </c>
      <c r="X204" s="2256">
        <f>X205*X206</f>
        <v>0</v>
      </c>
      <c r="Y204" s="2258">
        <f t="shared" si="50"/>
        <v>0</v>
      </c>
      <c r="Z204" s="2255">
        <f>Z205*Z206</f>
        <v>0</v>
      </c>
      <c r="AA204" s="2256">
        <f>AA205*AA206</f>
        <v>0</v>
      </c>
      <c r="AB204" s="2259">
        <f t="shared" si="51"/>
        <v>0</v>
      </c>
      <c r="AC204" s="2593">
        <f t="shared" si="53"/>
        <v>0</v>
      </c>
    </row>
    <row r="205" spans="1:29" s="2218" customFormat="1" ht="17.25" hidden="1" customHeight="1" outlineLevel="1">
      <c r="A205" s="2235">
        <v>277</v>
      </c>
      <c r="B205" s="2281" t="s">
        <v>2033</v>
      </c>
      <c r="C205" s="2282" t="s">
        <v>1505</v>
      </c>
      <c r="D205" s="2504" t="s">
        <v>2012</v>
      </c>
      <c r="E205" s="2284"/>
      <c r="F205" s="2285"/>
      <c r="G205" s="2257">
        <f t="shared" si="44"/>
        <v>0</v>
      </c>
      <c r="H205" s="2285"/>
      <c r="I205" s="2285"/>
      <c r="J205" s="2257">
        <f t="shared" si="45"/>
        <v>0</v>
      </c>
      <c r="K205" s="2285"/>
      <c r="L205" s="2285"/>
      <c r="M205" s="2259">
        <f t="shared" si="46"/>
        <v>0</v>
      </c>
      <c r="N205" s="2284">
        <v>0</v>
      </c>
      <c r="O205" s="2286">
        <v>0</v>
      </c>
      <c r="P205" s="2258">
        <f t="shared" si="47"/>
        <v>0</v>
      </c>
      <c r="Q205" s="2284"/>
      <c r="R205" s="2285"/>
      <c r="S205" s="2259">
        <f t="shared" si="48"/>
        <v>0</v>
      </c>
      <c r="T205" s="2284"/>
      <c r="U205" s="2285"/>
      <c r="V205" s="2258">
        <f t="shared" si="49"/>
        <v>0</v>
      </c>
      <c r="W205" s="2284"/>
      <c r="X205" s="2285"/>
      <c r="Y205" s="2258">
        <f t="shared" si="50"/>
        <v>0</v>
      </c>
      <c r="Z205" s="2284"/>
      <c r="AA205" s="2285"/>
      <c r="AB205" s="2259">
        <f t="shared" si="51"/>
        <v>0</v>
      </c>
      <c r="AC205" s="2593">
        <f t="shared" si="53"/>
        <v>0</v>
      </c>
    </row>
    <row r="206" spans="1:29" s="2218" customFormat="1" ht="18" hidden="1" customHeight="1" outlineLevel="1">
      <c r="A206" s="2235">
        <v>278</v>
      </c>
      <c r="B206" s="2281" t="s">
        <v>2034</v>
      </c>
      <c r="C206" s="2282" t="s">
        <v>2005</v>
      </c>
      <c r="D206" s="2504" t="s">
        <v>1934</v>
      </c>
      <c r="E206" s="2284"/>
      <c r="F206" s="2285"/>
      <c r="G206" s="2257">
        <f t="shared" si="44"/>
        <v>0</v>
      </c>
      <c r="H206" s="2285"/>
      <c r="I206" s="2285"/>
      <c r="J206" s="2257">
        <f t="shared" si="45"/>
        <v>0</v>
      </c>
      <c r="K206" s="2285"/>
      <c r="L206" s="2285"/>
      <c r="M206" s="2259">
        <f t="shared" si="46"/>
        <v>0</v>
      </c>
      <c r="N206" s="2284"/>
      <c r="O206" s="2286"/>
      <c r="P206" s="2258">
        <f t="shared" si="47"/>
        <v>0</v>
      </c>
      <c r="Q206" s="2284"/>
      <c r="R206" s="2285"/>
      <c r="S206" s="2259">
        <f t="shared" si="48"/>
        <v>0</v>
      </c>
      <c r="T206" s="2284"/>
      <c r="U206" s="2285"/>
      <c r="V206" s="2258">
        <f t="shared" si="49"/>
        <v>0</v>
      </c>
      <c r="W206" s="2284"/>
      <c r="X206" s="2285"/>
      <c r="Y206" s="2258">
        <f t="shared" si="50"/>
        <v>0</v>
      </c>
      <c r="Z206" s="2284"/>
      <c r="AA206" s="2285"/>
      <c r="AB206" s="2259">
        <f t="shared" si="51"/>
        <v>0</v>
      </c>
      <c r="AC206" s="2593">
        <f t="shared" si="53"/>
        <v>0</v>
      </c>
    </row>
    <row r="207" spans="1:29" s="2218" customFormat="1" ht="18" hidden="1" customHeight="1" outlineLevel="1">
      <c r="A207" s="2235"/>
      <c r="B207" s="2383" t="s">
        <v>141</v>
      </c>
      <c r="C207" s="2293" t="s">
        <v>2035</v>
      </c>
      <c r="D207" s="2543" t="s">
        <v>1313</v>
      </c>
      <c r="E207" s="2284">
        <f>[12]Химреагенты!D5</f>
        <v>58.762561576354685</v>
      </c>
      <c r="F207" s="2284">
        <f>[12]Химреагенты!E5</f>
        <v>60.525438423645326</v>
      </c>
      <c r="G207" s="2257">
        <f>[15]Химреагенты!F5</f>
        <v>0</v>
      </c>
      <c r="H207" s="2385">
        <f>[12]Химреагенты!G5</f>
        <v>67.368693516699366</v>
      </c>
      <c r="I207" s="2481">
        <f>[12]Химреагенты!H5</f>
        <v>69.793966483300551</v>
      </c>
      <c r="J207" s="2257">
        <f>[15]Химреагенты!I5</f>
        <v>0</v>
      </c>
      <c r="K207" s="2385">
        <f>[12]Химреагенты!J5</f>
        <v>0</v>
      </c>
      <c r="L207" s="2481">
        <f>[12]Химреагенты!K5</f>
        <v>0</v>
      </c>
      <c r="M207" s="2259">
        <f>[15]Химреагенты!L5</f>
        <v>0</v>
      </c>
      <c r="N207" s="2284">
        <v>0</v>
      </c>
      <c r="O207" s="2286">
        <v>35.135807804549593</v>
      </c>
      <c r="P207" s="2258">
        <f>[15]Химреагенты!O5</f>
        <v>0</v>
      </c>
      <c r="Q207" s="2284">
        <f>O207</f>
        <v>35.135807804549593</v>
      </c>
      <c r="R207" s="2833"/>
      <c r="S207" s="2259">
        <f>[15]Химреагенты!R5</f>
        <v>0</v>
      </c>
      <c r="T207" s="2284">
        <f>[12]Химреагенты!S5</f>
        <v>36.541240116731579</v>
      </c>
      <c r="U207" s="2284">
        <f>[12]Химреагенты!T5</f>
        <v>38.002889721400841</v>
      </c>
      <c r="V207" s="2258">
        <f>[15]Химреагенты!U5</f>
        <v>0</v>
      </c>
      <c r="W207" s="2284">
        <f>[12]Химреагенты!V5</f>
        <v>38.002889721400841</v>
      </c>
      <c r="X207" s="2284">
        <f>[12]Химреагенты!W5</f>
        <v>39.523005310256877</v>
      </c>
      <c r="Y207" s="2258">
        <f>[15]Химреагенты!X5</f>
        <v>0</v>
      </c>
      <c r="Z207" s="2284">
        <f>[12]Химреагенты!Y5</f>
        <v>39.523005310256877</v>
      </c>
      <c r="AA207" s="2284">
        <f>[12]Химреагенты!Z5</f>
        <v>41.103925522667154</v>
      </c>
      <c r="AB207" s="2259">
        <f t="shared" si="51"/>
        <v>40.313465416462016</v>
      </c>
      <c r="AC207" s="2593">
        <f t="shared" si="53"/>
        <v>36.541240116731579</v>
      </c>
    </row>
    <row r="208" spans="1:29" s="2218" customFormat="1" ht="33.75" customHeight="1" collapsed="1">
      <c r="A208" s="2235">
        <v>155</v>
      </c>
      <c r="B208" s="2279" t="s">
        <v>134</v>
      </c>
      <c r="C208" s="2295" t="s">
        <v>2036</v>
      </c>
      <c r="D208" s="2500" t="s">
        <v>1313</v>
      </c>
      <c r="E208" s="2255">
        <f>E209+E210+E211+E212+E215+E216+E217</f>
        <v>42.902105724408685</v>
      </c>
      <c r="F208" s="2256">
        <f>F209+F210+F211+F212+F215+F216+F217</f>
        <v>42.902105724408685</v>
      </c>
      <c r="G208" s="2257">
        <f t="shared" si="44"/>
        <v>42.902105724408685</v>
      </c>
      <c r="H208" s="2256">
        <f>H209+H210+H211+H212+H215+H216+H217</f>
        <v>46.429049943943554</v>
      </c>
      <c r="I208" s="2256">
        <f>I209+I210+I211+I212+I215+I216+I217</f>
        <v>46.429049943943554</v>
      </c>
      <c r="J208" s="2257">
        <f t="shared" si="45"/>
        <v>46.429049943943554</v>
      </c>
      <c r="K208" s="2256">
        <f>K209+K210+K211+K212+K215+K216+K217</f>
        <v>49.720407811788824</v>
      </c>
      <c r="L208" s="2256">
        <f>L209+L210+L211+L212+L215+L216+L217</f>
        <v>49.720407811788824</v>
      </c>
      <c r="M208" s="2259">
        <f t="shared" si="46"/>
        <v>49.720407811788824</v>
      </c>
      <c r="N208" s="2255">
        <v>41.284160549985209</v>
      </c>
      <c r="O208" s="2256">
        <v>87.3286831126713</v>
      </c>
      <c r="P208" s="2258">
        <f t="shared" si="47"/>
        <v>64.306421831328251</v>
      </c>
      <c r="Q208" s="2255">
        <f>Q209+Q210+Q211+Q212+Q215+Q216+Q217</f>
        <v>87.328683112671285</v>
      </c>
      <c r="R208" s="2256">
        <f>R209+R210+R211+R212+R215+R216+R217</f>
        <v>90.82183043717815</v>
      </c>
      <c r="S208" s="2259">
        <f t="shared" si="48"/>
        <v>89.075256774924725</v>
      </c>
      <c r="T208" s="2255">
        <f>T209+T210+T211+T212+T215+T216+T217</f>
        <v>90.82183043717815</v>
      </c>
      <c r="U208" s="2256">
        <f>U209+U210+U211+U212+U215+U216+U217</f>
        <v>94.454703654665281</v>
      </c>
      <c r="V208" s="2258">
        <f t="shared" si="49"/>
        <v>92.638267045921708</v>
      </c>
      <c r="W208" s="2255">
        <f>W209+W210+W211+W212+W215+W216+W217</f>
        <v>94.454703654665281</v>
      </c>
      <c r="X208" s="2256">
        <f>X209+X210+X211+X212+X215+X216+X217</f>
        <v>98.232891800851888</v>
      </c>
      <c r="Y208" s="2258">
        <f t="shared" si="50"/>
        <v>96.343797727758584</v>
      </c>
      <c r="Z208" s="2255">
        <f>Z209+Z210+Z211+Z212+Z215+Z216+Z217</f>
        <v>98.232891800851888</v>
      </c>
      <c r="AA208" s="2256">
        <f>AA209+AA210+AA211+AA212+AA215+AA216+AA217</f>
        <v>102.16220747288597</v>
      </c>
      <c r="AB208" s="2259">
        <f t="shared" si="51"/>
        <v>100.19754963686893</v>
      </c>
      <c r="AC208" s="2593">
        <f t="shared" si="53"/>
        <v>0</v>
      </c>
    </row>
    <row r="209" spans="1:29" s="2218" customFormat="1" ht="18" hidden="1" customHeight="1" outlineLevel="1">
      <c r="A209" s="2235">
        <v>156</v>
      </c>
      <c r="B209" s="2281" t="s">
        <v>2037</v>
      </c>
      <c r="C209" s="2282" t="s">
        <v>1182</v>
      </c>
      <c r="D209" s="2504" t="s">
        <v>1317</v>
      </c>
      <c r="E209" s="2284"/>
      <c r="F209" s="2285"/>
      <c r="G209" s="2257">
        <f t="shared" si="44"/>
        <v>0</v>
      </c>
      <c r="H209" s="2285"/>
      <c r="I209" s="2285"/>
      <c r="J209" s="2257">
        <f t="shared" si="45"/>
        <v>0</v>
      </c>
      <c r="K209" s="2285"/>
      <c r="L209" s="2285"/>
      <c r="M209" s="2259">
        <f t="shared" si="46"/>
        <v>0</v>
      </c>
      <c r="N209" s="2284">
        <v>0</v>
      </c>
      <c r="O209" s="2286">
        <v>0</v>
      </c>
      <c r="P209" s="2258">
        <f t="shared" si="47"/>
        <v>0</v>
      </c>
      <c r="Q209" s="2284"/>
      <c r="R209" s="2285"/>
      <c r="S209" s="2259">
        <f t="shared" si="48"/>
        <v>0</v>
      </c>
      <c r="T209" s="2284"/>
      <c r="U209" s="2285"/>
      <c r="V209" s="2258">
        <f t="shared" si="49"/>
        <v>0</v>
      </c>
      <c r="W209" s="2284"/>
      <c r="X209" s="2285"/>
      <c r="Y209" s="2258">
        <f t="shared" si="50"/>
        <v>0</v>
      </c>
      <c r="Z209" s="2284"/>
      <c r="AA209" s="2285"/>
      <c r="AB209" s="2259">
        <f t="shared" si="51"/>
        <v>0</v>
      </c>
      <c r="AC209" s="2593">
        <f t="shared" si="53"/>
        <v>0</v>
      </c>
    </row>
    <row r="210" spans="1:29" s="2218" customFormat="1" ht="21" hidden="1" customHeight="1" outlineLevel="1">
      <c r="A210" s="2235">
        <v>157</v>
      </c>
      <c r="B210" s="2281" t="s">
        <v>2038</v>
      </c>
      <c r="C210" s="2282" t="s">
        <v>2039</v>
      </c>
      <c r="D210" s="2504" t="s">
        <v>1317</v>
      </c>
      <c r="E210" s="2284"/>
      <c r="F210" s="2285"/>
      <c r="G210" s="2257">
        <f t="shared" si="44"/>
        <v>0</v>
      </c>
      <c r="H210" s="2285"/>
      <c r="I210" s="2285"/>
      <c r="J210" s="2257">
        <f t="shared" si="45"/>
        <v>0</v>
      </c>
      <c r="K210" s="2285"/>
      <c r="L210" s="2285"/>
      <c r="M210" s="2259">
        <f t="shared" si="46"/>
        <v>0</v>
      </c>
      <c r="N210" s="2284">
        <v>0</v>
      </c>
      <c r="O210" s="2286">
        <v>0</v>
      </c>
      <c r="P210" s="2258">
        <f t="shared" si="47"/>
        <v>0</v>
      </c>
      <c r="Q210" s="2284"/>
      <c r="R210" s="2285"/>
      <c r="S210" s="2259">
        <f t="shared" si="48"/>
        <v>0</v>
      </c>
      <c r="T210" s="2284"/>
      <c r="U210" s="2285"/>
      <c r="V210" s="2258">
        <f t="shared" si="49"/>
        <v>0</v>
      </c>
      <c r="W210" s="2284"/>
      <c r="X210" s="2285"/>
      <c r="Y210" s="2258">
        <f t="shared" si="50"/>
        <v>0</v>
      </c>
      <c r="Z210" s="2284"/>
      <c r="AA210" s="2285"/>
      <c r="AB210" s="2259">
        <f t="shared" si="51"/>
        <v>0</v>
      </c>
      <c r="AC210" s="2593">
        <f t="shared" si="53"/>
        <v>0</v>
      </c>
    </row>
    <row r="211" spans="1:29" s="2218" customFormat="1" ht="21.75" customHeight="1" collapsed="1">
      <c r="A211" s="2235">
        <v>160</v>
      </c>
      <c r="B211" s="2281" t="s">
        <v>2040</v>
      </c>
      <c r="C211" s="2282" t="s">
        <v>2041</v>
      </c>
      <c r="D211" s="2504" t="s">
        <v>1317</v>
      </c>
      <c r="E211" s="2284">
        <v>0.81062076440867237</v>
      </c>
      <c r="F211" s="2285">
        <v>0.81062076440867237</v>
      </c>
      <c r="G211" s="2257">
        <f t="shared" si="44"/>
        <v>0.81062076440867237</v>
      </c>
      <c r="H211" s="2285">
        <v>0.46281969394356071</v>
      </c>
      <c r="I211" s="2285">
        <v>0.46281969394356071</v>
      </c>
      <c r="J211" s="2257">
        <f t="shared" si="45"/>
        <v>0.46281969394356071</v>
      </c>
      <c r="K211" s="2285">
        <v>0.37968725178881979</v>
      </c>
      <c r="L211" s="2285">
        <v>0.37968725178881979</v>
      </c>
      <c r="M211" s="2259">
        <f t="shared" si="46"/>
        <v>0.37968725178881979</v>
      </c>
      <c r="N211" s="2284">
        <v>0.31478225553216854</v>
      </c>
      <c r="O211" s="2286">
        <v>25.075968783321141</v>
      </c>
      <c r="P211" s="2258">
        <f t="shared" si="47"/>
        <v>12.695375519426655</v>
      </c>
      <c r="Q211" s="2284">
        <f>O211</f>
        <v>25.075968783321141</v>
      </c>
      <c r="R211" s="2285">
        <f>Q211*1.04</f>
        <v>26.079007534653986</v>
      </c>
      <c r="S211" s="2259">
        <f t="shared" si="48"/>
        <v>25.577488158987563</v>
      </c>
      <c r="T211" s="2284">
        <f>R211</f>
        <v>26.079007534653986</v>
      </c>
      <c r="U211" s="2285">
        <f>T211*1.04</f>
        <v>27.122167836040145</v>
      </c>
      <c r="V211" s="2258">
        <f t="shared" si="49"/>
        <v>26.600587685347065</v>
      </c>
      <c r="W211" s="2284">
        <f>U211</f>
        <v>27.122167836040145</v>
      </c>
      <c r="X211" s="2285">
        <f>W211*1.04</f>
        <v>28.20705454948175</v>
      </c>
      <c r="Y211" s="2258">
        <f t="shared" si="50"/>
        <v>27.664611192760947</v>
      </c>
      <c r="Z211" s="2284">
        <f>X211</f>
        <v>28.20705454948175</v>
      </c>
      <c r="AA211" s="2285">
        <f>Z211*1.04</f>
        <v>29.33533673146102</v>
      </c>
      <c r="AB211" s="2259">
        <f t="shared" si="51"/>
        <v>28.771195640471383</v>
      </c>
      <c r="AC211" s="2593">
        <f t="shared" si="53"/>
        <v>0</v>
      </c>
    </row>
    <row r="212" spans="1:29" s="2218" customFormat="1" ht="30.75" hidden="1" customHeight="1">
      <c r="A212" s="2235">
        <v>10</v>
      </c>
      <c r="B212" s="2279" t="s">
        <v>2043</v>
      </c>
      <c r="C212" s="2280" t="s">
        <v>2044</v>
      </c>
      <c r="D212" s="2500" t="s">
        <v>1313</v>
      </c>
      <c r="E212" s="2255">
        <f>E213+E214</f>
        <v>0</v>
      </c>
      <c r="F212" s="2256">
        <f>F213+F214</f>
        <v>0</v>
      </c>
      <c r="G212" s="2257">
        <f t="shared" si="44"/>
        <v>0</v>
      </c>
      <c r="H212" s="2256">
        <f>H213+H214</f>
        <v>0</v>
      </c>
      <c r="I212" s="2256">
        <f>I213+I214</f>
        <v>0</v>
      </c>
      <c r="J212" s="2257">
        <f t="shared" si="45"/>
        <v>0</v>
      </c>
      <c r="K212" s="2256">
        <f>K213+K214</f>
        <v>0</v>
      </c>
      <c r="L212" s="2256">
        <f>L213+L214</f>
        <v>0</v>
      </c>
      <c r="M212" s="2259">
        <f t="shared" si="46"/>
        <v>0</v>
      </c>
      <c r="N212" s="2255">
        <v>0</v>
      </c>
      <c r="O212" s="2256">
        <v>0</v>
      </c>
      <c r="P212" s="2258">
        <f t="shared" si="47"/>
        <v>0</v>
      </c>
      <c r="Q212" s="2255">
        <f>Q213+Q214</f>
        <v>0</v>
      </c>
      <c r="R212" s="2256">
        <f>R213+R214</f>
        <v>0</v>
      </c>
      <c r="S212" s="2259">
        <f t="shared" si="48"/>
        <v>0</v>
      </c>
      <c r="T212" s="2255">
        <f>T213+T214</f>
        <v>0</v>
      </c>
      <c r="U212" s="2256">
        <f>U213+U214</f>
        <v>0</v>
      </c>
      <c r="V212" s="2258">
        <f t="shared" si="49"/>
        <v>0</v>
      </c>
      <c r="W212" s="2255">
        <f>W213+W214</f>
        <v>0</v>
      </c>
      <c r="X212" s="2256">
        <f>X213+X214</f>
        <v>0</v>
      </c>
      <c r="Y212" s="2258">
        <f t="shared" si="50"/>
        <v>0</v>
      </c>
      <c r="Z212" s="2255">
        <f>Z213+Z214</f>
        <v>0</v>
      </c>
      <c r="AA212" s="2256">
        <f>AA213+AA214</f>
        <v>0</v>
      </c>
      <c r="AB212" s="2259">
        <f t="shared" si="51"/>
        <v>0</v>
      </c>
      <c r="AC212" s="2593">
        <f t="shared" si="53"/>
        <v>0</v>
      </c>
    </row>
    <row r="213" spans="1:29" s="2218" customFormat="1" ht="15" hidden="1" customHeight="1" outlineLevel="1">
      <c r="A213" s="2235">
        <v>11</v>
      </c>
      <c r="B213" s="2281" t="s">
        <v>2045</v>
      </c>
      <c r="C213" s="2282" t="s">
        <v>2046</v>
      </c>
      <c r="D213" s="2504" t="s">
        <v>1317</v>
      </c>
      <c r="E213" s="2284"/>
      <c r="F213" s="2285"/>
      <c r="G213" s="2257">
        <f t="shared" si="44"/>
        <v>0</v>
      </c>
      <c r="H213" s="2285"/>
      <c r="I213" s="2285"/>
      <c r="J213" s="2257">
        <f t="shared" si="45"/>
        <v>0</v>
      </c>
      <c r="K213" s="2285"/>
      <c r="L213" s="2285"/>
      <c r="M213" s="2259">
        <f t="shared" si="46"/>
        <v>0</v>
      </c>
      <c r="N213" s="2284">
        <v>0</v>
      </c>
      <c r="O213" s="2286">
        <v>0</v>
      </c>
      <c r="P213" s="2258">
        <f t="shared" si="47"/>
        <v>0</v>
      </c>
      <c r="Q213" s="2284"/>
      <c r="R213" s="2285"/>
      <c r="S213" s="2259">
        <f t="shared" si="48"/>
        <v>0</v>
      </c>
      <c r="T213" s="2284"/>
      <c r="U213" s="2285"/>
      <c r="V213" s="2258">
        <f t="shared" si="49"/>
        <v>0</v>
      </c>
      <c r="W213" s="2284"/>
      <c r="X213" s="2285"/>
      <c r="Y213" s="2258">
        <f t="shared" si="50"/>
        <v>0</v>
      </c>
      <c r="Z213" s="2284"/>
      <c r="AA213" s="2285"/>
      <c r="AB213" s="2259">
        <f t="shared" si="51"/>
        <v>0</v>
      </c>
      <c r="AC213" s="2593">
        <f t="shared" si="53"/>
        <v>0</v>
      </c>
    </row>
    <row r="214" spans="1:29" s="2218" customFormat="1" ht="21" hidden="1" customHeight="1" outlineLevel="1">
      <c r="A214" s="2235">
        <v>159</v>
      </c>
      <c r="B214" s="2281" t="s">
        <v>2048</v>
      </c>
      <c r="C214" s="2282" t="s">
        <v>2049</v>
      </c>
      <c r="D214" s="2504" t="s">
        <v>1317</v>
      </c>
      <c r="E214" s="2284"/>
      <c r="F214" s="2285"/>
      <c r="G214" s="2257">
        <f t="shared" si="44"/>
        <v>0</v>
      </c>
      <c r="H214" s="2285"/>
      <c r="I214" s="2285"/>
      <c r="J214" s="2257">
        <f t="shared" si="45"/>
        <v>0</v>
      </c>
      <c r="K214" s="2285"/>
      <c r="L214" s="2285"/>
      <c r="M214" s="2259">
        <f t="shared" si="46"/>
        <v>0</v>
      </c>
      <c r="N214" s="2284">
        <v>0</v>
      </c>
      <c r="O214" s="2286">
        <v>0</v>
      </c>
      <c r="P214" s="2258">
        <f t="shared" si="47"/>
        <v>0</v>
      </c>
      <c r="Q214" s="2284"/>
      <c r="R214" s="2285"/>
      <c r="S214" s="2259">
        <f t="shared" si="48"/>
        <v>0</v>
      </c>
      <c r="T214" s="2284"/>
      <c r="U214" s="2285"/>
      <c r="V214" s="2258">
        <f t="shared" si="49"/>
        <v>0</v>
      </c>
      <c r="W214" s="2284"/>
      <c r="X214" s="2285"/>
      <c r="Y214" s="2258">
        <f t="shared" si="50"/>
        <v>0</v>
      </c>
      <c r="Z214" s="2284"/>
      <c r="AA214" s="2285"/>
      <c r="AB214" s="2259">
        <f t="shared" si="51"/>
        <v>0</v>
      </c>
      <c r="AC214" s="2593">
        <f t="shared" si="53"/>
        <v>0</v>
      </c>
    </row>
    <row r="215" spans="1:29" s="2218" customFormat="1" ht="17.25" customHeight="1" collapsed="1">
      <c r="A215" s="2235">
        <v>161</v>
      </c>
      <c r="B215" s="2281" t="s">
        <v>2051</v>
      </c>
      <c r="C215" s="2282" t="s">
        <v>2052</v>
      </c>
      <c r="D215" s="2504" t="s">
        <v>1317</v>
      </c>
      <c r="E215" s="2284">
        <v>41.560370000000006</v>
      </c>
      <c r="F215" s="2285">
        <v>41.560370000000006</v>
      </c>
      <c r="G215" s="2257">
        <f t="shared" si="44"/>
        <v>41.560370000000006</v>
      </c>
      <c r="H215" s="2285">
        <v>45.627209999999998</v>
      </c>
      <c r="I215" s="2285">
        <v>45.627209999999998</v>
      </c>
      <c r="J215" s="2257">
        <f t="shared" si="45"/>
        <v>45.627209999999998</v>
      </c>
      <c r="K215" s="2285">
        <v>48.951430000000002</v>
      </c>
      <c r="L215" s="2285">
        <v>48.951430000000002</v>
      </c>
      <c r="M215" s="2259">
        <f t="shared" si="46"/>
        <v>48.951430000000002</v>
      </c>
      <c r="N215" s="2284">
        <v>40.583510440048947</v>
      </c>
      <c r="O215" s="2286">
        <v>57.022903168343881</v>
      </c>
      <c r="P215" s="2258">
        <f t="shared" si="47"/>
        <v>48.803206804196414</v>
      </c>
      <c r="Q215" s="2284">
        <f>O215</f>
        <v>57.022903168343881</v>
      </c>
      <c r="R215" s="2285">
        <f>Q215*1.04</f>
        <v>59.303819295077638</v>
      </c>
      <c r="S215" s="2259">
        <f t="shared" si="48"/>
        <v>58.163361231710759</v>
      </c>
      <c r="T215" s="2284">
        <f>R215</f>
        <v>59.303819295077638</v>
      </c>
      <c r="U215" s="2285">
        <f>T215*1.04</f>
        <v>61.675972066880746</v>
      </c>
      <c r="V215" s="2258">
        <f t="shared" si="49"/>
        <v>60.489895680979188</v>
      </c>
      <c r="W215" s="2284">
        <f>U215</f>
        <v>61.675972066880746</v>
      </c>
      <c r="X215" s="2285">
        <f>W215*1.04</f>
        <v>64.143010949555972</v>
      </c>
      <c r="Y215" s="2258">
        <f t="shared" si="50"/>
        <v>62.909491508218359</v>
      </c>
      <c r="Z215" s="2284">
        <f>X215</f>
        <v>64.143010949555972</v>
      </c>
      <c r="AA215" s="2285">
        <f>Z215*1.04</f>
        <v>66.708731387538208</v>
      </c>
      <c r="AB215" s="2259">
        <f t="shared" si="51"/>
        <v>65.42587116854709</v>
      </c>
      <c r="AC215" s="2593">
        <f t="shared" si="53"/>
        <v>0</v>
      </c>
    </row>
    <row r="216" spans="1:29" s="2218" customFormat="1" ht="30.75" customHeight="1">
      <c r="A216" s="2235">
        <v>158</v>
      </c>
      <c r="B216" s="2281" t="s">
        <v>2054</v>
      </c>
      <c r="C216" s="2282" t="s">
        <v>2055</v>
      </c>
      <c r="D216" s="2504" t="s">
        <v>1317</v>
      </c>
      <c r="E216" s="2386">
        <f>177.03832*3/1000</f>
        <v>0.53111496000000002</v>
      </c>
      <c r="F216" s="2387">
        <f>E216</f>
        <v>0.53111496000000002</v>
      </c>
      <c r="G216" s="2257">
        <f t="shared" si="44"/>
        <v>0.53111496000000002</v>
      </c>
      <c r="H216" s="2387">
        <f>113.00675*3/1000</f>
        <v>0.33902024999999997</v>
      </c>
      <c r="I216" s="2387">
        <f>H216</f>
        <v>0.33902024999999997</v>
      </c>
      <c r="J216" s="2257">
        <f t="shared" si="45"/>
        <v>0.33902024999999997</v>
      </c>
      <c r="K216" s="2387">
        <f>129.76352*3/1000</f>
        <v>0.38929056000000001</v>
      </c>
      <c r="L216" s="2387">
        <f>K216</f>
        <v>0.38929056000000001</v>
      </c>
      <c r="M216" s="2259">
        <f t="shared" si="46"/>
        <v>0.38929056000000001</v>
      </c>
      <c r="N216" s="2284">
        <v>0.38586785440408949</v>
      </c>
      <c r="O216" s="2286">
        <v>5.229811161006273</v>
      </c>
      <c r="P216" s="2544">
        <f t="shared" si="47"/>
        <v>2.8078395077051814</v>
      </c>
      <c r="Q216" s="2284">
        <f>O216</f>
        <v>5.229811161006273</v>
      </c>
      <c r="R216" s="2285">
        <f>Q216*1.04</f>
        <v>5.4390036074465238</v>
      </c>
      <c r="S216" s="2259">
        <f t="shared" si="48"/>
        <v>5.3344073842263988</v>
      </c>
      <c r="T216" s="2284">
        <f>R216</f>
        <v>5.4390036074465238</v>
      </c>
      <c r="U216" s="2285">
        <f>T216*1.04</f>
        <v>5.6565637517443852</v>
      </c>
      <c r="V216" s="2258">
        <f t="shared" si="49"/>
        <v>5.5477836795954545</v>
      </c>
      <c r="W216" s="2284">
        <f>U216</f>
        <v>5.6565637517443852</v>
      </c>
      <c r="X216" s="2285">
        <f>W216*1.04</f>
        <v>5.8828263018141609</v>
      </c>
      <c r="Y216" s="2258">
        <f t="shared" si="50"/>
        <v>5.7696950267792726</v>
      </c>
      <c r="Z216" s="2284">
        <f>X216</f>
        <v>5.8828263018141609</v>
      </c>
      <c r="AA216" s="2285">
        <f>Z216*1.04</f>
        <v>6.1181393538867272</v>
      </c>
      <c r="AB216" s="2259">
        <f t="shared" si="51"/>
        <v>6.0004828278504441</v>
      </c>
      <c r="AC216" s="2593">
        <f t="shared" si="53"/>
        <v>0</v>
      </c>
    </row>
    <row r="217" spans="1:29" s="2218" customFormat="1" ht="56.25" hidden="1" customHeight="1" outlineLevel="1">
      <c r="A217" s="2235">
        <v>162</v>
      </c>
      <c r="B217" s="2281" t="s">
        <v>2056</v>
      </c>
      <c r="C217" s="2282" t="s">
        <v>2057</v>
      </c>
      <c r="D217" s="2504" t="s">
        <v>1317</v>
      </c>
      <c r="E217" s="2284"/>
      <c r="F217" s="2285"/>
      <c r="G217" s="2257">
        <f t="shared" si="44"/>
        <v>0</v>
      </c>
      <c r="H217" s="2285"/>
      <c r="I217" s="2285"/>
      <c r="J217" s="2257">
        <f t="shared" si="45"/>
        <v>0</v>
      </c>
      <c r="K217" s="2285"/>
      <c r="L217" s="2285"/>
      <c r="M217" s="2259">
        <f t="shared" si="46"/>
        <v>0</v>
      </c>
      <c r="N217" s="2284">
        <v>0</v>
      </c>
      <c r="O217" s="2286">
        <v>0</v>
      </c>
      <c r="P217" s="2258">
        <f t="shared" si="47"/>
        <v>0</v>
      </c>
      <c r="Q217" s="2284"/>
      <c r="R217" s="2285"/>
      <c r="S217" s="2259">
        <f t="shared" si="48"/>
        <v>0</v>
      </c>
      <c r="T217" s="2284"/>
      <c r="U217" s="2285"/>
      <c r="V217" s="2258">
        <f t="shared" si="49"/>
        <v>0</v>
      </c>
      <c r="W217" s="2284"/>
      <c r="X217" s="2285"/>
      <c r="Y217" s="2258">
        <f t="shared" si="50"/>
        <v>0</v>
      </c>
      <c r="Z217" s="2284"/>
      <c r="AA217" s="2285"/>
      <c r="AB217" s="2259">
        <f t="shared" si="51"/>
        <v>0</v>
      </c>
      <c r="AC217" s="2593">
        <f t="shared" si="53"/>
        <v>0</v>
      </c>
    </row>
    <row r="218" spans="1:29" s="2218" customFormat="1" ht="50.25" customHeight="1" collapsed="1">
      <c r="A218" s="2235">
        <v>149</v>
      </c>
      <c r="B218" s="2388">
        <v>2</v>
      </c>
      <c r="C218" s="2295" t="s">
        <v>2058</v>
      </c>
      <c r="D218" s="2500" t="s">
        <v>1313</v>
      </c>
      <c r="E218" s="2255">
        <f>E219+E220+E221+E222+E223</f>
        <v>631.58932095353862</v>
      </c>
      <c r="F218" s="2256">
        <f>F219+F220+F221+F222+F223</f>
        <v>631.58932095353862</v>
      </c>
      <c r="G218" s="2257">
        <f t="shared" si="44"/>
        <v>631.58932095353862</v>
      </c>
      <c r="H218" s="2256">
        <f>H219+H220+H221+H222+H223</f>
        <v>607.13902485167034</v>
      </c>
      <c r="I218" s="2256">
        <f>I219+I220+I221+I222+I223</f>
        <v>607.13902485167034</v>
      </c>
      <c r="J218" s="2257">
        <f t="shared" si="45"/>
        <v>607.13902485167034</v>
      </c>
      <c r="K218" s="2256">
        <f>K219+K220+K221+K222+K223</f>
        <v>254.92843844479</v>
      </c>
      <c r="L218" s="2256">
        <f>L219+L220+L221+L222+L223</f>
        <v>254.92843844479</v>
      </c>
      <c r="M218" s="2259">
        <f t="shared" si="46"/>
        <v>254.92843844479</v>
      </c>
      <c r="N218" s="2255">
        <v>211.35012691334063</v>
      </c>
      <c r="O218" s="2256">
        <v>921.60152955379522</v>
      </c>
      <c r="P218" s="2258">
        <f t="shared" si="47"/>
        <v>566.47582823356788</v>
      </c>
      <c r="Q218" s="2255">
        <f>Q219+Q220+Q221+Q222+Q223</f>
        <v>921.60152955379522</v>
      </c>
      <c r="R218" s="2256">
        <f>R219+R220+R221+R222+R223</f>
        <v>958.4655907359471</v>
      </c>
      <c r="S218" s="2259">
        <f t="shared" si="48"/>
        <v>940.03356014487122</v>
      </c>
      <c r="T218" s="2255">
        <f>T219+T220+T221+T222+T223</f>
        <v>958.4655907359471</v>
      </c>
      <c r="U218" s="2256">
        <f>U219+U220+U221+U222+U223</f>
        <v>996.80421436538506</v>
      </c>
      <c r="V218" s="2258">
        <f t="shared" si="49"/>
        <v>977.63490255066608</v>
      </c>
      <c r="W218" s="2255">
        <f>W219+W220+W221+W222+W223</f>
        <v>996.80421436538506</v>
      </c>
      <c r="X218" s="2256">
        <f>X219+X220+X221+X222+X223</f>
        <v>1036.6763829400004</v>
      </c>
      <c r="Y218" s="2258">
        <f t="shared" si="50"/>
        <v>1016.7402986526927</v>
      </c>
      <c r="Z218" s="2255">
        <f>Z219+Z220+Z221+Z222+Z223</f>
        <v>1036.6763829400004</v>
      </c>
      <c r="AA218" s="2256">
        <f>AA219+AA220+AA221+AA222+AA223</f>
        <v>1078.1434382576003</v>
      </c>
      <c r="AB218" s="2259">
        <f t="shared" si="51"/>
        <v>1057.4099105988003</v>
      </c>
      <c r="AC218" s="2593">
        <f t="shared" si="53"/>
        <v>0</v>
      </c>
    </row>
    <row r="219" spans="1:29" s="2218" customFormat="1" ht="24" hidden="1" customHeight="1">
      <c r="A219" s="2235">
        <v>150</v>
      </c>
      <c r="B219" s="2281" t="s">
        <v>135</v>
      </c>
      <c r="C219" s="2282" t="s">
        <v>2059</v>
      </c>
      <c r="D219" s="2504" t="s">
        <v>1317</v>
      </c>
      <c r="E219" s="2284"/>
      <c r="F219" s="2285"/>
      <c r="G219" s="2257">
        <f t="shared" si="44"/>
        <v>0</v>
      </c>
      <c r="H219" s="2285"/>
      <c r="I219" s="2285"/>
      <c r="J219" s="2257">
        <f t="shared" si="45"/>
        <v>0</v>
      </c>
      <c r="K219" s="2285"/>
      <c r="L219" s="2285"/>
      <c r="M219" s="2259">
        <f t="shared" si="46"/>
        <v>0</v>
      </c>
      <c r="N219" s="2284">
        <v>0</v>
      </c>
      <c r="O219" s="2286">
        <v>0</v>
      </c>
      <c r="P219" s="2258">
        <f t="shared" si="47"/>
        <v>0</v>
      </c>
      <c r="Q219" s="2284"/>
      <c r="R219" s="2285"/>
      <c r="S219" s="2259">
        <f t="shared" si="48"/>
        <v>0</v>
      </c>
      <c r="T219" s="2284"/>
      <c r="U219" s="2285"/>
      <c r="V219" s="2258">
        <f t="shared" si="49"/>
        <v>0</v>
      </c>
      <c r="W219" s="2284"/>
      <c r="X219" s="2285"/>
      <c r="Y219" s="2258">
        <f t="shared" si="50"/>
        <v>0</v>
      </c>
      <c r="Z219" s="2284"/>
      <c r="AA219" s="2285"/>
      <c r="AB219" s="2259">
        <f t="shared" si="51"/>
        <v>0</v>
      </c>
      <c r="AC219" s="2593">
        <f t="shared" si="53"/>
        <v>0</v>
      </c>
    </row>
    <row r="220" spans="1:29" s="2218" customFormat="1" hidden="1">
      <c r="A220" s="2235">
        <v>151</v>
      </c>
      <c r="B220" s="2281" t="s">
        <v>2060</v>
      </c>
      <c r="C220" s="2282" t="s">
        <v>2061</v>
      </c>
      <c r="D220" s="2504" t="s">
        <v>1317</v>
      </c>
      <c r="E220" s="2284"/>
      <c r="F220" s="2285"/>
      <c r="G220" s="2257">
        <f t="shared" si="44"/>
        <v>0</v>
      </c>
      <c r="H220" s="2285"/>
      <c r="I220" s="2285"/>
      <c r="J220" s="2257">
        <f t="shared" si="45"/>
        <v>0</v>
      </c>
      <c r="K220" s="2285"/>
      <c r="L220" s="2285"/>
      <c r="M220" s="2259">
        <f t="shared" si="46"/>
        <v>0</v>
      </c>
      <c r="N220" s="2284">
        <v>0</v>
      </c>
      <c r="O220" s="2286">
        <v>0</v>
      </c>
      <c r="P220" s="2258">
        <f t="shared" si="47"/>
        <v>0</v>
      </c>
      <c r="Q220" s="2284">
        <f>O220</f>
        <v>0</v>
      </c>
      <c r="R220" s="2285">
        <f>Q220*1.04</f>
        <v>0</v>
      </c>
      <c r="S220" s="2259">
        <f t="shared" si="48"/>
        <v>0</v>
      </c>
      <c r="T220" s="2284">
        <f>R220</f>
        <v>0</v>
      </c>
      <c r="U220" s="2285">
        <f>T220*1.04</f>
        <v>0</v>
      </c>
      <c r="V220" s="2258">
        <f t="shared" si="49"/>
        <v>0</v>
      </c>
      <c r="W220" s="2284">
        <f>U220</f>
        <v>0</v>
      </c>
      <c r="X220" s="2285">
        <f>W220*1.04</f>
        <v>0</v>
      </c>
      <c r="Y220" s="2258">
        <f t="shared" si="50"/>
        <v>0</v>
      </c>
      <c r="Z220" s="2284">
        <f>X220</f>
        <v>0</v>
      </c>
      <c r="AA220" s="2285">
        <f>Z220*1.04</f>
        <v>0</v>
      </c>
      <c r="AB220" s="2259">
        <f t="shared" si="51"/>
        <v>0</v>
      </c>
      <c r="AC220" s="2593">
        <f t="shared" si="53"/>
        <v>0</v>
      </c>
    </row>
    <row r="221" spans="1:29" s="2218" customFormat="1" ht="22.5" hidden="1" customHeight="1">
      <c r="A221" s="2235">
        <v>152</v>
      </c>
      <c r="B221" s="2281" t="s">
        <v>2062</v>
      </c>
      <c r="C221" s="2282" t="s">
        <v>2063</v>
      </c>
      <c r="D221" s="2504" t="s">
        <v>1317</v>
      </c>
      <c r="E221" s="2284"/>
      <c r="F221" s="2285"/>
      <c r="G221" s="2257">
        <f t="shared" si="44"/>
        <v>0</v>
      </c>
      <c r="H221" s="2285"/>
      <c r="I221" s="2285"/>
      <c r="J221" s="2257">
        <f t="shared" si="45"/>
        <v>0</v>
      </c>
      <c r="K221" s="2285"/>
      <c r="L221" s="2285"/>
      <c r="M221" s="2259">
        <f t="shared" si="46"/>
        <v>0</v>
      </c>
      <c r="N221" s="2284">
        <v>0</v>
      </c>
      <c r="O221" s="2286">
        <v>0</v>
      </c>
      <c r="P221" s="2258">
        <f t="shared" si="47"/>
        <v>0</v>
      </c>
      <c r="Q221" s="2284">
        <f>O221</f>
        <v>0</v>
      </c>
      <c r="R221" s="2285">
        <f>Q221*1.04</f>
        <v>0</v>
      </c>
      <c r="S221" s="2259">
        <f t="shared" si="48"/>
        <v>0</v>
      </c>
      <c r="T221" s="2284">
        <f>R221</f>
        <v>0</v>
      </c>
      <c r="U221" s="2285">
        <f>T221*1.04</f>
        <v>0</v>
      </c>
      <c r="V221" s="2258">
        <f t="shared" si="49"/>
        <v>0</v>
      </c>
      <c r="W221" s="2284">
        <f>U221</f>
        <v>0</v>
      </c>
      <c r="X221" s="2285">
        <f>W221*1.04</f>
        <v>0</v>
      </c>
      <c r="Y221" s="2258">
        <f t="shared" si="50"/>
        <v>0</v>
      </c>
      <c r="Z221" s="2284">
        <f>X221</f>
        <v>0</v>
      </c>
      <c r="AA221" s="2285">
        <f>Z221*1.04</f>
        <v>0</v>
      </c>
      <c r="AB221" s="2259">
        <f t="shared" si="51"/>
        <v>0</v>
      </c>
      <c r="AC221" s="2593">
        <f t="shared" si="53"/>
        <v>0</v>
      </c>
    </row>
    <row r="222" spans="1:29" s="2218" customFormat="1" ht="19.5" customHeight="1">
      <c r="A222" s="2235">
        <v>153</v>
      </c>
      <c r="B222" s="2281" t="s">
        <v>2064</v>
      </c>
      <c r="C222" s="2282" t="s">
        <v>2065</v>
      </c>
      <c r="D222" s="2504" t="s">
        <v>1317</v>
      </c>
      <c r="E222" s="2284">
        <v>631.58932095353862</v>
      </c>
      <c r="F222" s="2285">
        <v>631.58932095353862</v>
      </c>
      <c r="G222" s="2257">
        <f t="shared" si="44"/>
        <v>631.58932095353862</v>
      </c>
      <c r="H222" s="2285">
        <v>607.13902485167034</v>
      </c>
      <c r="I222" s="2285">
        <v>607.13902485167034</v>
      </c>
      <c r="J222" s="2257">
        <f t="shared" si="45"/>
        <v>607.13902485167034</v>
      </c>
      <c r="K222" s="2285">
        <f>254928.43844479/1000</f>
        <v>254.92843844479</v>
      </c>
      <c r="L222" s="2285">
        <f>K222</f>
        <v>254.92843844479</v>
      </c>
      <c r="M222" s="2259">
        <f t="shared" si="46"/>
        <v>254.92843844479</v>
      </c>
      <c r="N222" s="2284">
        <v>211.35012691334063</v>
      </c>
      <c r="O222" s="2286">
        <v>921.60152955379522</v>
      </c>
      <c r="P222" s="2258">
        <f t="shared" si="47"/>
        <v>566.47582823356788</v>
      </c>
      <c r="Q222" s="2284">
        <f>O222</f>
        <v>921.60152955379522</v>
      </c>
      <c r="R222" s="2285">
        <f>Q222*1.04</f>
        <v>958.4655907359471</v>
      </c>
      <c r="S222" s="2259">
        <f t="shared" si="48"/>
        <v>940.03356014487122</v>
      </c>
      <c r="T222" s="2284">
        <f>R222</f>
        <v>958.4655907359471</v>
      </c>
      <c r="U222" s="2285">
        <f>T222*1.04</f>
        <v>996.80421436538506</v>
      </c>
      <c r="V222" s="2258">
        <f t="shared" si="49"/>
        <v>977.63490255066608</v>
      </c>
      <c r="W222" s="2284">
        <f>U222</f>
        <v>996.80421436538506</v>
      </c>
      <c r="X222" s="2285">
        <f>W222*1.04</f>
        <v>1036.6763829400004</v>
      </c>
      <c r="Y222" s="2258">
        <f t="shared" si="50"/>
        <v>1016.7402986526927</v>
      </c>
      <c r="Z222" s="2284">
        <f>X222</f>
        <v>1036.6763829400004</v>
      </c>
      <c r="AA222" s="2285">
        <f>Z222*1.04</f>
        <v>1078.1434382576003</v>
      </c>
      <c r="AB222" s="2259">
        <f t="shared" si="51"/>
        <v>1057.4099105988003</v>
      </c>
      <c r="AC222" s="2593">
        <f t="shared" si="53"/>
        <v>0</v>
      </c>
    </row>
    <row r="223" spans="1:29" s="2218" customFormat="1" ht="22.5" customHeight="1">
      <c r="A223" s="2235">
        <v>154</v>
      </c>
      <c r="B223" s="2281" t="s">
        <v>2067</v>
      </c>
      <c r="C223" s="2282" t="s">
        <v>2068</v>
      </c>
      <c r="D223" s="2504" t="s">
        <v>1317</v>
      </c>
      <c r="E223" s="2284"/>
      <c r="F223" s="2285"/>
      <c r="G223" s="2257">
        <f t="shared" si="44"/>
        <v>0</v>
      </c>
      <c r="H223" s="2285"/>
      <c r="I223" s="2285"/>
      <c r="J223" s="2257">
        <f t="shared" si="45"/>
        <v>0</v>
      </c>
      <c r="K223" s="2285"/>
      <c r="L223" s="2285"/>
      <c r="M223" s="2259">
        <f t="shared" si="46"/>
        <v>0</v>
      </c>
      <c r="N223" s="2284">
        <v>0</v>
      </c>
      <c r="O223" s="2286">
        <v>0</v>
      </c>
      <c r="P223" s="2258">
        <f t="shared" si="47"/>
        <v>0</v>
      </c>
      <c r="Q223" s="2284"/>
      <c r="R223" s="2285"/>
      <c r="S223" s="2259">
        <f t="shared" si="48"/>
        <v>0</v>
      </c>
      <c r="T223" s="2284"/>
      <c r="U223" s="2285"/>
      <c r="V223" s="2258">
        <f t="shared" si="49"/>
        <v>0</v>
      </c>
      <c r="W223" s="2284"/>
      <c r="X223" s="2285"/>
      <c r="Y223" s="2258">
        <f t="shared" si="50"/>
        <v>0</v>
      </c>
      <c r="Z223" s="2284"/>
      <c r="AA223" s="2285"/>
      <c r="AB223" s="2259">
        <f t="shared" si="51"/>
        <v>0</v>
      </c>
      <c r="AC223" s="2593">
        <f t="shared" si="53"/>
        <v>0</v>
      </c>
    </row>
    <row r="224" spans="1:29" s="2218" customFormat="1" ht="43.5" hidden="1" customHeight="1" outlineLevel="1">
      <c r="A224" s="2235">
        <v>169</v>
      </c>
      <c r="B224" s="2389">
        <v>13</v>
      </c>
      <c r="C224" s="2390" t="s">
        <v>2071</v>
      </c>
      <c r="D224" s="2505" t="s">
        <v>1317</v>
      </c>
      <c r="E224" s="2290"/>
      <c r="F224" s="2291"/>
      <c r="G224" s="2257">
        <f t="shared" si="44"/>
        <v>0</v>
      </c>
      <c r="H224" s="2291"/>
      <c r="I224" s="2291"/>
      <c r="J224" s="2257">
        <f t="shared" si="45"/>
        <v>0</v>
      </c>
      <c r="K224" s="2291"/>
      <c r="L224" s="2291"/>
      <c r="M224" s="2259">
        <f t="shared" si="46"/>
        <v>0</v>
      </c>
      <c r="N224" s="2290">
        <v>0</v>
      </c>
      <c r="O224" s="2291">
        <v>0</v>
      </c>
      <c r="P224" s="2258">
        <f t="shared" si="47"/>
        <v>0</v>
      </c>
      <c r="Q224" s="2290"/>
      <c r="R224" s="2291"/>
      <c r="S224" s="2259">
        <f t="shared" si="48"/>
        <v>0</v>
      </c>
      <c r="T224" s="2290"/>
      <c r="U224" s="2291"/>
      <c r="V224" s="2258">
        <f t="shared" si="49"/>
        <v>0</v>
      </c>
      <c r="W224" s="2290"/>
      <c r="X224" s="2291"/>
      <c r="Y224" s="2258">
        <f t="shared" si="50"/>
        <v>0</v>
      </c>
      <c r="Z224" s="2290"/>
      <c r="AA224" s="2291"/>
      <c r="AB224" s="2259">
        <f t="shared" si="51"/>
        <v>0</v>
      </c>
      <c r="AC224" s="2593">
        <f t="shared" si="53"/>
        <v>0</v>
      </c>
    </row>
    <row r="225" spans="1:29" s="2218" customFormat="1" ht="41.25" hidden="1" customHeight="1" outlineLevel="1">
      <c r="A225" s="2235">
        <v>164</v>
      </c>
      <c r="B225" s="2287" t="s">
        <v>140</v>
      </c>
      <c r="C225" s="2390" t="s">
        <v>2072</v>
      </c>
      <c r="D225" s="2505" t="s">
        <v>1317</v>
      </c>
      <c r="E225" s="2290"/>
      <c r="F225" s="2291"/>
      <c r="G225" s="2257">
        <f t="shared" ref="G225:G273" si="54">E225/2+F225/2</f>
        <v>0</v>
      </c>
      <c r="H225" s="2291"/>
      <c r="I225" s="2291"/>
      <c r="J225" s="2257">
        <f t="shared" ref="J225:J269" si="55">H225/2+I225/2</f>
        <v>0</v>
      </c>
      <c r="K225" s="2291"/>
      <c r="L225" s="2291"/>
      <c r="M225" s="2259">
        <f t="shared" ref="M225:M269" si="56">K225/2+L225/2</f>
        <v>0</v>
      </c>
      <c r="N225" s="2290">
        <v>0</v>
      </c>
      <c r="O225" s="2291">
        <v>0</v>
      </c>
      <c r="P225" s="2258">
        <f t="shared" ref="P225:P269" si="57">N225/2+O225/2</f>
        <v>0</v>
      </c>
      <c r="Q225" s="2290"/>
      <c r="R225" s="2291"/>
      <c r="S225" s="2259">
        <f t="shared" ref="S225:S269" si="58">Q225/2+R225/2</f>
        <v>0</v>
      </c>
      <c r="T225" s="2290"/>
      <c r="U225" s="2291"/>
      <c r="V225" s="2258">
        <f t="shared" ref="V225:V269" si="59">T225/2+U225/2</f>
        <v>0</v>
      </c>
      <c r="W225" s="2290"/>
      <c r="X225" s="2291"/>
      <c r="Y225" s="2258">
        <f t="shared" ref="Y225:Y269" si="60">W225/2+X225/2</f>
        <v>0</v>
      </c>
      <c r="Z225" s="2290"/>
      <c r="AA225" s="2291"/>
      <c r="AB225" s="2259">
        <f t="shared" ref="AB225:AB269" si="61">Z225/2+AA225/2</f>
        <v>0</v>
      </c>
      <c r="AC225" s="2593">
        <f t="shared" si="53"/>
        <v>0</v>
      </c>
    </row>
    <row r="226" spans="1:29" s="2218" customFormat="1" ht="30.75" hidden="1" customHeight="1" outlineLevel="1">
      <c r="A226" s="2235">
        <v>12</v>
      </c>
      <c r="B226" s="2388">
        <v>12</v>
      </c>
      <c r="C226" s="2295" t="s">
        <v>2073</v>
      </c>
      <c r="D226" s="2500" t="s">
        <v>1313</v>
      </c>
      <c r="E226" s="2255">
        <f>E227+E228+E229</f>
        <v>0</v>
      </c>
      <c r="F226" s="2256">
        <f>F227+F228+F229</f>
        <v>0</v>
      </c>
      <c r="G226" s="2257">
        <f t="shared" si="54"/>
        <v>0</v>
      </c>
      <c r="H226" s="2256">
        <f>H227+H228+H229</f>
        <v>0</v>
      </c>
      <c r="I226" s="2256">
        <f>I227+I228+I229</f>
        <v>0</v>
      </c>
      <c r="J226" s="2257">
        <f t="shared" si="55"/>
        <v>0</v>
      </c>
      <c r="K226" s="2256">
        <f>K227+K228+K229</f>
        <v>0</v>
      </c>
      <c r="L226" s="2256">
        <f>L227+L228+L229</f>
        <v>0</v>
      </c>
      <c r="M226" s="2259">
        <f t="shared" si="56"/>
        <v>0</v>
      </c>
      <c r="N226" s="2255">
        <v>0</v>
      </c>
      <c r="O226" s="2256">
        <v>0</v>
      </c>
      <c r="P226" s="2258">
        <f t="shared" si="57"/>
        <v>0</v>
      </c>
      <c r="Q226" s="2255">
        <f>Q227+Q228+Q229</f>
        <v>0</v>
      </c>
      <c r="R226" s="2256">
        <f>R227+R228+R229</f>
        <v>0</v>
      </c>
      <c r="S226" s="2259">
        <f t="shared" si="58"/>
        <v>0</v>
      </c>
      <c r="T226" s="2255">
        <f>T227+T228+T229</f>
        <v>0</v>
      </c>
      <c r="U226" s="2256">
        <f>U227+U228+U229</f>
        <v>0</v>
      </c>
      <c r="V226" s="2258">
        <f t="shared" si="59"/>
        <v>0</v>
      </c>
      <c r="W226" s="2255">
        <f>W227+W228+W229</f>
        <v>0</v>
      </c>
      <c r="X226" s="2256">
        <f>X227+X228+X229</f>
        <v>0</v>
      </c>
      <c r="Y226" s="2258">
        <f t="shared" si="60"/>
        <v>0</v>
      </c>
      <c r="Z226" s="2255">
        <f>Z227+Z228+Z229</f>
        <v>0</v>
      </c>
      <c r="AA226" s="2256">
        <f>AA227+AA228+AA229</f>
        <v>0</v>
      </c>
      <c r="AB226" s="2259">
        <f t="shared" si="61"/>
        <v>0</v>
      </c>
      <c r="AC226" s="2593">
        <f t="shared" si="53"/>
        <v>0</v>
      </c>
    </row>
    <row r="227" spans="1:29" s="2218" customFormat="1" ht="60" hidden="1" customHeight="1" outlineLevel="1">
      <c r="A227" s="2235">
        <v>166</v>
      </c>
      <c r="B227" s="2281" t="s">
        <v>2074</v>
      </c>
      <c r="C227" s="2282" t="s">
        <v>2075</v>
      </c>
      <c r="D227" s="2504" t="s">
        <v>1317</v>
      </c>
      <c r="E227" s="2284"/>
      <c r="F227" s="2285"/>
      <c r="G227" s="2257">
        <f t="shared" si="54"/>
        <v>0</v>
      </c>
      <c r="H227" s="2285"/>
      <c r="I227" s="2285"/>
      <c r="J227" s="2257">
        <f t="shared" si="55"/>
        <v>0</v>
      </c>
      <c r="K227" s="2285"/>
      <c r="L227" s="2285"/>
      <c r="M227" s="2259">
        <f t="shared" si="56"/>
        <v>0</v>
      </c>
      <c r="N227" s="2284">
        <v>0</v>
      </c>
      <c r="O227" s="2285">
        <v>0</v>
      </c>
      <c r="P227" s="2258">
        <f t="shared" si="57"/>
        <v>0</v>
      </c>
      <c r="Q227" s="2284"/>
      <c r="R227" s="2285"/>
      <c r="S227" s="2259">
        <f t="shared" si="58"/>
        <v>0</v>
      </c>
      <c r="T227" s="2284"/>
      <c r="U227" s="2285"/>
      <c r="V227" s="2258">
        <f t="shared" si="59"/>
        <v>0</v>
      </c>
      <c r="W227" s="2284"/>
      <c r="X227" s="2285"/>
      <c r="Y227" s="2258">
        <f t="shared" si="60"/>
        <v>0</v>
      </c>
      <c r="Z227" s="2284"/>
      <c r="AA227" s="2285"/>
      <c r="AB227" s="2259">
        <f t="shared" si="61"/>
        <v>0</v>
      </c>
      <c r="AC227" s="2593">
        <f t="shared" si="53"/>
        <v>0</v>
      </c>
    </row>
    <row r="228" spans="1:29" s="2218" customFormat="1" ht="30.75" hidden="1" customHeight="1" outlineLevel="1">
      <c r="A228" s="2235">
        <v>167</v>
      </c>
      <c r="B228" s="2281" t="s">
        <v>2076</v>
      </c>
      <c r="C228" s="2282" t="s">
        <v>2077</v>
      </c>
      <c r="D228" s="2504" t="s">
        <v>1317</v>
      </c>
      <c r="E228" s="2284"/>
      <c r="F228" s="2285"/>
      <c r="G228" s="2257">
        <f t="shared" si="54"/>
        <v>0</v>
      </c>
      <c r="H228" s="2285"/>
      <c r="I228" s="2285"/>
      <c r="J228" s="2257">
        <f t="shared" si="55"/>
        <v>0</v>
      </c>
      <c r="K228" s="2285"/>
      <c r="L228" s="2285"/>
      <c r="M228" s="2259">
        <f t="shared" si="56"/>
        <v>0</v>
      </c>
      <c r="N228" s="2284">
        <v>0</v>
      </c>
      <c r="O228" s="2285">
        <v>0</v>
      </c>
      <c r="P228" s="2258">
        <f t="shared" si="57"/>
        <v>0</v>
      </c>
      <c r="Q228" s="2284"/>
      <c r="R228" s="2285"/>
      <c r="S228" s="2259">
        <f t="shared" si="58"/>
        <v>0</v>
      </c>
      <c r="T228" s="2284"/>
      <c r="U228" s="2285"/>
      <c r="V228" s="2258">
        <f t="shared" si="59"/>
        <v>0</v>
      </c>
      <c r="W228" s="2284"/>
      <c r="X228" s="2285"/>
      <c r="Y228" s="2258">
        <f t="shared" si="60"/>
        <v>0</v>
      </c>
      <c r="Z228" s="2284"/>
      <c r="AA228" s="2285"/>
      <c r="AB228" s="2259">
        <f t="shared" si="61"/>
        <v>0</v>
      </c>
      <c r="AC228" s="2593">
        <f t="shared" si="53"/>
        <v>0</v>
      </c>
    </row>
    <row r="229" spans="1:29" s="2218" customFormat="1" ht="47.25" hidden="1" outlineLevel="1">
      <c r="A229" s="2235">
        <v>168</v>
      </c>
      <c r="B229" s="2281" t="s">
        <v>2078</v>
      </c>
      <c r="C229" s="2282" t="s">
        <v>2079</v>
      </c>
      <c r="D229" s="2504" t="s">
        <v>1317</v>
      </c>
      <c r="E229" s="2284"/>
      <c r="F229" s="2285"/>
      <c r="G229" s="2257">
        <f t="shared" si="54"/>
        <v>0</v>
      </c>
      <c r="H229" s="2285"/>
      <c r="I229" s="2285"/>
      <c r="J229" s="2257">
        <f t="shared" si="55"/>
        <v>0</v>
      </c>
      <c r="K229" s="2285"/>
      <c r="L229" s="2285"/>
      <c r="M229" s="2259">
        <f t="shared" si="56"/>
        <v>0</v>
      </c>
      <c r="N229" s="2284">
        <v>0</v>
      </c>
      <c r="O229" s="2285">
        <v>0</v>
      </c>
      <c r="P229" s="2258">
        <f t="shared" si="57"/>
        <v>0</v>
      </c>
      <c r="Q229" s="2284"/>
      <c r="R229" s="2285"/>
      <c r="S229" s="2259">
        <f t="shared" si="58"/>
        <v>0</v>
      </c>
      <c r="T229" s="2284"/>
      <c r="U229" s="2285"/>
      <c r="V229" s="2258">
        <f t="shared" si="59"/>
        <v>0</v>
      </c>
      <c r="W229" s="2284"/>
      <c r="X229" s="2285"/>
      <c r="Y229" s="2258">
        <f t="shared" si="60"/>
        <v>0</v>
      </c>
      <c r="Z229" s="2284"/>
      <c r="AA229" s="2285"/>
      <c r="AB229" s="2259">
        <f t="shared" si="61"/>
        <v>0</v>
      </c>
      <c r="AC229" s="2593">
        <f t="shared" si="53"/>
        <v>0</v>
      </c>
    </row>
    <row r="230" spans="1:29" s="2218" customFormat="1" ht="31.5" hidden="1" customHeight="1" outlineLevel="1">
      <c r="A230" s="2235">
        <v>13</v>
      </c>
      <c r="B230" s="2279" t="s">
        <v>142</v>
      </c>
      <c r="C230" s="2295" t="s">
        <v>2080</v>
      </c>
      <c r="D230" s="2500" t="s">
        <v>1313</v>
      </c>
      <c r="E230" s="2255">
        <f>E231+E232</f>
        <v>0</v>
      </c>
      <c r="F230" s="2256">
        <f>F231+F232</f>
        <v>0</v>
      </c>
      <c r="G230" s="2257">
        <f t="shared" si="54"/>
        <v>0</v>
      </c>
      <c r="H230" s="2256">
        <f>H231+H232</f>
        <v>0</v>
      </c>
      <c r="I230" s="2256">
        <f>I231+I232</f>
        <v>0</v>
      </c>
      <c r="J230" s="2257">
        <f t="shared" si="55"/>
        <v>0</v>
      </c>
      <c r="K230" s="2256">
        <f>K231+K232</f>
        <v>312.97684422088781</v>
      </c>
      <c r="L230" s="2256">
        <f>L231+L232</f>
        <v>312.97684422088781</v>
      </c>
      <c r="M230" s="2259">
        <f t="shared" si="56"/>
        <v>312.97684422088781</v>
      </c>
      <c r="N230" s="2255">
        <v>0</v>
      </c>
      <c r="O230" s="2256">
        <v>0</v>
      </c>
      <c r="P230" s="2258">
        <f t="shared" si="57"/>
        <v>0</v>
      </c>
      <c r="Q230" s="2255">
        <f>Q231+Q232</f>
        <v>0</v>
      </c>
      <c r="R230" s="2256">
        <f>R231+R232</f>
        <v>0</v>
      </c>
      <c r="S230" s="2259">
        <f t="shared" si="58"/>
        <v>0</v>
      </c>
      <c r="T230" s="2255">
        <f>T231+T232</f>
        <v>0</v>
      </c>
      <c r="U230" s="2256">
        <f>U231+U232</f>
        <v>0</v>
      </c>
      <c r="V230" s="2258">
        <f t="shared" si="59"/>
        <v>0</v>
      </c>
      <c r="W230" s="2255">
        <f>W231+W232</f>
        <v>0</v>
      </c>
      <c r="X230" s="2256">
        <f>X231+X232</f>
        <v>0</v>
      </c>
      <c r="Y230" s="2258">
        <f t="shared" si="60"/>
        <v>0</v>
      </c>
      <c r="Z230" s="2255">
        <f>Z231+Z232</f>
        <v>0</v>
      </c>
      <c r="AA230" s="2256">
        <f>AA231+AA232</f>
        <v>0</v>
      </c>
      <c r="AB230" s="2259">
        <f t="shared" si="61"/>
        <v>0</v>
      </c>
      <c r="AC230" s="2593">
        <f t="shared" si="53"/>
        <v>0</v>
      </c>
    </row>
    <row r="231" spans="1:29" s="2218" customFormat="1" ht="20.25" hidden="1" customHeight="1" outlineLevel="1">
      <c r="A231" s="2235">
        <v>14</v>
      </c>
      <c r="B231" s="2281" t="s">
        <v>2081</v>
      </c>
      <c r="C231" s="2282" t="s">
        <v>2082</v>
      </c>
      <c r="D231" s="2504" t="s">
        <v>1313</v>
      </c>
      <c r="E231" s="2284"/>
      <c r="F231" s="2285"/>
      <c r="G231" s="2257">
        <f t="shared" si="54"/>
        <v>0</v>
      </c>
      <c r="H231" s="2285"/>
      <c r="I231" s="2285"/>
      <c r="J231" s="2257">
        <f t="shared" si="55"/>
        <v>0</v>
      </c>
      <c r="K231" s="2285"/>
      <c r="L231" s="2285"/>
      <c r="M231" s="2259">
        <f t="shared" si="56"/>
        <v>0</v>
      </c>
      <c r="N231" s="2284">
        <v>0</v>
      </c>
      <c r="O231" s="2285">
        <v>0</v>
      </c>
      <c r="P231" s="2258">
        <f t="shared" si="57"/>
        <v>0</v>
      </c>
      <c r="Q231" s="2284"/>
      <c r="R231" s="2285"/>
      <c r="S231" s="2259">
        <f t="shared" si="58"/>
        <v>0</v>
      </c>
      <c r="T231" s="2284"/>
      <c r="U231" s="2285"/>
      <c r="V231" s="2258">
        <f t="shared" si="59"/>
        <v>0</v>
      </c>
      <c r="W231" s="2284"/>
      <c r="X231" s="2285"/>
      <c r="Y231" s="2258">
        <f t="shared" si="60"/>
        <v>0</v>
      </c>
      <c r="Z231" s="2284"/>
      <c r="AA231" s="2285"/>
      <c r="AB231" s="2259">
        <f t="shared" si="61"/>
        <v>0</v>
      </c>
      <c r="AC231" s="2593">
        <f t="shared" si="53"/>
        <v>0</v>
      </c>
    </row>
    <row r="232" spans="1:29" s="2218" customFormat="1" hidden="1" outlineLevel="1">
      <c r="A232" s="2235">
        <v>89</v>
      </c>
      <c r="B232" s="2297" t="s">
        <v>2083</v>
      </c>
      <c r="C232" s="2298" t="s">
        <v>1806</v>
      </c>
      <c r="D232" s="2507" t="s">
        <v>1313</v>
      </c>
      <c r="E232" s="2300"/>
      <c r="F232" s="2301"/>
      <c r="G232" s="2266">
        <f t="shared" si="54"/>
        <v>0</v>
      </c>
      <c r="H232" s="2301"/>
      <c r="I232" s="2301"/>
      <c r="J232" s="2266">
        <f t="shared" si="55"/>
        <v>0</v>
      </c>
      <c r="K232" s="2301">
        <v>312.97684422088781</v>
      </c>
      <c r="L232" s="2301">
        <v>312.97684422088781</v>
      </c>
      <c r="M232" s="2268">
        <f t="shared" si="56"/>
        <v>312.97684422088781</v>
      </c>
      <c r="N232" s="2300">
        <v>0</v>
      </c>
      <c r="O232" s="2301">
        <v>0</v>
      </c>
      <c r="P232" s="2267">
        <f>N232/2+O232/2</f>
        <v>0</v>
      </c>
      <c r="Q232" s="2300">
        <f>O232</f>
        <v>0</v>
      </c>
      <c r="R232" s="2301">
        <f>Q232*1.04</f>
        <v>0</v>
      </c>
      <c r="S232" s="2268">
        <f>Q232/2+R232/2</f>
        <v>0</v>
      </c>
      <c r="T232" s="2300">
        <f>R232</f>
        <v>0</v>
      </c>
      <c r="U232" s="2301">
        <f>T232*1.04</f>
        <v>0</v>
      </c>
      <c r="V232" s="2267">
        <f>T232/2+U232/2</f>
        <v>0</v>
      </c>
      <c r="W232" s="2300">
        <f>U232</f>
        <v>0</v>
      </c>
      <c r="X232" s="2301">
        <f>W232*1.04</f>
        <v>0</v>
      </c>
      <c r="Y232" s="2267">
        <f>W232/2+X232/2</f>
        <v>0</v>
      </c>
      <c r="Z232" s="2300">
        <f>X232</f>
        <v>0</v>
      </c>
      <c r="AA232" s="2301">
        <f>Z232*1.04</f>
        <v>0</v>
      </c>
      <c r="AB232" s="2268">
        <f t="shared" si="61"/>
        <v>0</v>
      </c>
      <c r="AC232" s="2593">
        <f t="shared" si="53"/>
        <v>0</v>
      </c>
    </row>
    <row r="233" spans="1:29" s="2218" customFormat="1" ht="94.5" hidden="1" outlineLevel="1">
      <c r="A233" s="2235"/>
      <c r="B233" s="2391" t="s">
        <v>137</v>
      </c>
      <c r="C233" s="2392" t="s">
        <v>15031</v>
      </c>
      <c r="D233" s="2507" t="s">
        <v>1313</v>
      </c>
      <c r="E233" s="2301"/>
      <c r="F233" s="2301"/>
      <c r="G233" s="2266">
        <f t="shared" si="54"/>
        <v>0</v>
      </c>
      <c r="H233" s="2301"/>
      <c r="I233" s="2301"/>
      <c r="J233" s="2266">
        <f t="shared" si="55"/>
        <v>0</v>
      </c>
      <c r="K233" s="2301">
        <v>3198.8342775503697</v>
      </c>
      <c r="L233" s="2301">
        <v>3198.8342775503697</v>
      </c>
      <c r="M233" s="2268">
        <f t="shared" si="56"/>
        <v>3198.8342775503697</v>
      </c>
      <c r="N233" s="2301">
        <v>0</v>
      </c>
      <c r="O233" s="2301">
        <v>0</v>
      </c>
      <c r="P233" s="2267">
        <f t="shared" si="57"/>
        <v>0</v>
      </c>
      <c r="Q233" s="2300">
        <f>O233</f>
        <v>0</v>
      </c>
      <c r="R233" s="2301">
        <f>Q233*1.04</f>
        <v>0</v>
      </c>
      <c r="S233" s="2268">
        <f t="shared" si="58"/>
        <v>0</v>
      </c>
      <c r="T233" s="2300">
        <f>R233</f>
        <v>0</v>
      </c>
      <c r="U233" s="2301">
        <f>T233*1.04</f>
        <v>0</v>
      </c>
      <c r="V233" s="2267">
        <f t="shared" si="59"/>
        <v>0</v>
      </c>
      <c r="W233" s="2300">
        <f>U233</f>
        <v>0</v>
      </c>
      <c r="X233" s="2301">
        <f>W233*1.04</f>
        <v>0</v>
      </c>
      <c r="Y233" s="2267">
        <f t="shared" si="60"/>
        <v>0</v>
      </c>
      <c r="Z233" s="2300">
        <f>X233</f>
        <v>0</v>
      </c>
      <c r="AA233" s="2301">
        <f>Z233*1.04</f>
        <v>0</v>
      </c>
      <c r="AB233" s="2268">
        <f t="shared" si="61"/>
        <v>0</v>
      </c>
      <c r="AC233" s="2593">
        <f t="shared" si="53"/>
        <v>0</v>
      </c>
    </row>
    <row r="234" spans="1:29" s="2218" customFormat="1" ht="31.5" hidden="1" outlineLevel="1">
      <c r="A234" s="2235"/>
      <c r="B234" s="2393" t="s">
        <v>15032</v>
      </c>
      <c r="C234" s="2293" t="s">
        <v>15033</v>
      </c>
      <c r="D234" s="2507" t="s">
        <v>1313</v>
      </c>
      <c r="E234" s="2285"/>
      <c r="F234" s="2285"/>
      <c r="G234" s="2257"/>
      <c r="H234" s="2285"/>
      <c r="I234" s="2285"/>
      <c r="J234" s="2257"/>
      <c r="K234" s="2285"/>
      <c r="L234" s="2285"/>
      <c r="M234" s="2257"/>
      <c r="N234" s="2285">
        <v>0</v>
      </c>
      <c r="O234" s="2285">
        <v>0</v>
      </c>
      <c r="P234" s="2258"/>
      <c r="Q234" s="2284"/>
      <c r="R234" s="2285"/>
      <c r="S234" s="2259"/>
      <c r="T234" s="2284"/>
      <c r="U234" s="2285"/>
      <c r="V234" s="2258"/>
      <c r="W234" s="2284"/>
      <c r="X234" s="2285"/>
      <c r="Y234" s="2258"/>
      <c r="Z234" s="2284"/>
      <c r="AA234" s="2285"/>
      <c r="AB234" s="2259"/>
      <c r="AC234" s="2593">
        <f t="shared" si="53"/>
        <v>0</v>
      </c>
    </row>
    <row r="235" spans="1:29" s="2218" customFormat="1" ht="64.5" hidden="1" customHeight="1" outlineLevel="1">
      <c r="A235" s="2235"/>
      <c r="B235" s="2393" t="s">
        <v>15034</v>
      </c>
      <c r="C235" s="2293" t="s">
        <v>15035</v>
      </c>
      <c r="D235" s="2507" t="s">
        <v>1313</v>
      </c>
      <c r="E235" s="2285"/>
      <c r="F235" s="2285"/>
      <c r="G235" s="2257"/>
      <c r="H235" s="2285"/>
      <c r="I235" s="2285"/>
      <c r="J235" s="2257"/>
      <c r="K235" s="2285"/>
      <c r="L235" s="2285"/>
      <c r="M235" s="2257"/>
      <c r="N235" s="2285">
        <v>0</v>
      </c>
      <c r="O235" s="2285">
        <v>0</v>
      </c>
      <c r="P235" s="2258"/>
      <c r="Q235" s="2284"/>
      <c r="R235" s="2285"/>
      <c r="S235" s="2259"/>
      <c r="T235" s="2284"/>
      <c r="U235" s="2285"/>
      <c r="V235" s="2258"/>
      <c r="W235" s="2284"/>
      <c r="X235" s="2285"/>
      <c r="Y235" s="2258"/>
      <c r="Z235" s="2284"/>
      <c r="AA235" s="2285"/>
      <c r="AB235" s="2259"/>
      <c r="AC235" s="2593">
        <f t="shared" si="53"/>
        <v>0</v>
      </c>
    </row>
    <row r="236" spans="1:29" s="2218" customFormat="1" ht="30" customHeight="1" collapsed="1" thickBot="1">
      <c r="A236" s="2235">
        <v>147</v>
      </c>
      <c r="B236" s="2394">
        <v>2</v>
      </c>
      <c r="C236" s="2395" t="s">
        <v>2084</v>
      </c>
      <c r="D236" s="2545" t="s">
        <v>1317</v>
      </c>
      <c r="E236" s="2397">
        <f>E237</f>
        <v>3373.0063597797139</v>
      </c>
      <c r="F236" s="2398">
        <f>F237</f>
        <v>3373.0063597797139</v>
      </c>
      <c r="G236" s="2399">
        <f t="shared" si="54"/>
        <v>3373.0063597797139</v>
      </c>
      <c r="H236" s="2398">
        <f>H237</f>
        <v>3635.6370651556263</v>
      </c>
      <c r="I236" s="2398">
        <f>I237</f>
        <v>3635.6370651556263</v>
      </c>
      <c r="J236" s="2399">
        <f t="shared" si="55"/>
        <v>3635.6370651556263</v>
      </c>
      <c r="K236" s="2398">
        <f>K237</f>
        <v>3154.752004477346</v>
      </c>
      <c r="L236" s="2398">
        <f>L237</f>
        <v>3154.752004477346</v>
      </c>
      <c r="M236" s="2399">
        <f t="shared" si="56"/>
        <v>3154.752004477346</v>
      </c>
      <c r="N236" s="2397">
        <v>1833.3614384783782</v>
      </c>
      <c r="O236" s="2398">
        <v>0</v>
      </c>
      <c r="P236" s="2400">
        <f t="shared" si="57"/>
        <v>916.6807192391891</v>
      </c>
      <c r="Q236" s="2397">
        <f>Q237</f>
        <v>0</v>
      </c>
      <c r="R236" s="2398">
        <f>R237</f>
        <v>0</v>
      </c>
      <c r="S236" s="2399">
        <f t="shared" si="58"/>
        <v>0</v>
      </c>
      <c r="T236" s="2397">
        <f>T237</f>
        <v>0</v>
      </c>
      <c r="U236" s="2398">
        <f>U237</f>
        <v>0</v>
      </c>
      <c r="V236" s="2400">
        <f t="shared" si="59"/>
        <v>0</v>
      </c>
      <c r="W236" s="2397">
        <f>W237</f>
        <v>0</v>
      </c>
      <c r="X236" s="2398">
        <f>X237</f>
        <v>0</v>
      </c>
      <c r="Y236" s="2400">
        <f t="shared" si="60"/>
        <v>0</v>
      </c>
      <c r="Z236" s="2397">
        <f>Z237</f>
        <v>0</v>
      </c>
      <c r="AA236" s="2398">
        <f>AA237</f>
        <v>0</v>
      </c>
      <c r="AB236" s="2399">
        <f t="shared" si="61"/>
        <v>0</v>
      </c>
      <c r="AC236" s="2593">
        <f t="shared" si="53"/>
        <v>0</v>
      </c>
    </row>
    <row r="237" spans="1:29" s="2218" customFormat="1" ht="48" thickBot="1">
      <c r="A237" s="2235">
        <v>148</v>
      </c>
      <c r="B237" s="2402" t="s">
        <v>1224</v>
      </c>
      <c r="C237" s="2403" t="s">
        <v>2085</v>
      </c>
      <c r="D237" s="2546" t="s">
        <v>1317</v>
      </c>
      <c r="E237" s="2405">
        <v>3373.0063597797139</v>
      </c>
      <c r="F237" s="2406">
        <v>3373.0063597797139</v>
      </c>
      <c r="G237" s="2407">
        <f t="shared" si="54"/>
        <v>3373.0063597797139</v>
      </c>
      <c r="H237" s="2406">
        <v>3635.6370651556263</v>
      </c>
      <c r="I237" s="2406">
        <v>3635.6370651556263</v>
      </c>
      <c r="J237" s="2407">
        <f t="shared" si="55"/>
        <v>3635.6370651556263</v>
      </c>
      <c r="K237" s="2406">
        <v>3154.752004477346</v>
      </c>
      <c r="L237" s="2406">
        <v>3154.752004477346</v>
      </c>
      <c r="M237" s="2410">
        <f t="shared" si="56"/>
        <v>3154.752004477346</v>
      </c>
      <c r="N237" s="2284">
        <v>1833.3614384783782</v>
      </c>
      <c r="O237" s="2286"/>
      <c r="P237" s="2409">
        <f t="shared" si="57"/>
        <v>916.6807192391891</v>
      </c>
      <c r="Q237" s="2284">
        <f>O237</f>
        <v>0</v>
      </c>
      <c r="R237" s="2406">
        <f>Q237</f>
        <v>0</v>
      </c>
      <c r="S237" s="2410">
        <f t="shared" si="58"/>
        <v>0</v>
      </c>
      <c r="T237" s="2284">
        <f>R237</f>
        <v>0</v>
      </c>
      <c r="U237" s="2406">
        <f>T237</f>
        <v>0</v>
      </c>
      <c r="V237" s="2409">
        <f t="shared" si="59"/>
        <v>0</v>
      </c>
      <c r="W237" s="2284">
        <f>U237</f>
        <v>0</v>
      </c>
      <c r="X237" s="2406">
        <f>W237</f>
        <v>0</v>
      </c>
      <c r="Y237" s="2409">
        <f t="shared" si="60"/>
        <v>0</v>
      </c>
      <c r="Z237" s="2284">
        <f>X237</f>
        <v>0</v>
      </c>
      <c r="AA237" s="2406">
        <f>Z237</f>
        <v>0</v>
      </c>
      <c r="AB237" s="2410">
        <f t="shared" si="61"/>
        <v>0</v>
      </c>
      <c r="AC237" s="2593">
        <f t="shared" si="53"/>
        <v>0</v>
      </c>
    </row>
    <row r="238" spans="1:29" s="2218" customFormat="1" ht="35.25" customHeight="1" thickBot="1">
      <c r="A238" s="2235">
        <v>171</v>
      </c>
      <c r="B238" s="2412">
        <v>15</v>
      </c>
      <c r="C238" s="2318" t="s">
        <v>2088</v>
      </c>
      <c r="D238" s="2542" t="s">
        <v>1128</v>
      </c>
      <c r="E238" s="2070">
        <f>E239+E270</f>
        <v>0</v>
      </c>
      <c r="F238" s="2413">
        <f>F239+F270</f>
        <v>0</v>
      </c>
      <c r="G238" s="2071">
        <f t="shared" si="54"/>
        <v>0</v>
      </c>
      <c r="H238" s="2413">
        <f>H239+H270</f>
        <v>0</v>
      </c>
      <c r="I238" s="2413">
        <f>I239+I270</f>
        <v>0</v>
      </c>
      <c r="J238" s="2071">
        <f t="shared" si="55"/>
        <v>0</v>
      </c>
      <c r="K238" s="2413">
        <f>K239+K270</f>
        <v>3338.8512278693306</v>
      </c>
      <c r="L238" s="2413">
        <f>L239+L270</f>
        <v>3338.8512278693306</v>
      </c>
      <c r="M238" s="2071">
        <f t="shared" si="56"/>
        <v>3338.8512278693306</v>
      </c>
      <c r="N238" s="2070">
        <v>5120.7993298219117</v>
      </c>
      <c r="O238" s="2413">
        <v>5913.4312930294891</v>
      </c>
      <c r="P238" s="2080">
        <f t="shared" si="57"/>
        <v>5517.1153114257004</v>
      </c>
      <c r="Q238" s="2070">
        <f>Q239+Q270</f>
        <v>5913.4312930294891</v>
      </c>
      <c r="R238" s="2413">
        <f>R239+R270</f>
        <v>6149.968544750669</v>
      </c>
      <c r="S238" s="2071">
        <f t="shared" si="58"/>
        <v>6031.6999188900791</v>
      </c>
      <c r="T238" s="2070">
        <f>T239+T270</f>
        <v>6149.968544750669</v>
      </c>
      <c r="U238" s="2413">
        <f>U239+U270</f>
        <v>6395.9672865406956</v>
      </c>
      <c r="V238" s="2080">
        <f t="shared" si="59"/>
        <v>6272.9679156456823</v>
      </c>
      <c r="W238" s="2070">
        <f>W239+W270</f>
        <v>6395.9672865406956</v>
      </c>
      <c r="X238" s="2413">
        <f>X239+X270</f>
        <v>6651.8059780023232</v>
      </c>
      <c r="Y238" s="2080">
        <f t="shared" si="60"/>
        <v>6523.8866322715094</v>
      </c>
      <c r="Z238" s="2070">
        <f>Z239+Z270</f>
        <v>6651.8059780023232</v>
      </c>
      <c r="AA238" s="2413">
        <f>AA239+AA270</f>
        <v>6917.8782171224166</v>
      </c>
      <c r="AB238" s="2071">
        <f t="shared" si="61"/>
        <v>6784.8420975623703</v>
      </c>
      <c r="AC238" s="2593">
        <f t="shared" si="53"/>
        <v>0</v>
      </c>
    </row>
    <row r="239" spans="1:29" s="2218" customFormat="1" ht="25.5" customHeight="1">
      <c r="A239" s="2235">
        <v>172</v>
      </c>
      <c r="B239" s="2243" t="s">
        <v>2089</v>
      </c>
      <c r="C239" s="2414" t="s">
        <v>105</v>
      </c>
      <c r="D239" s="2499" t="s">
        <v>1128</v>
      </c>
      <c r="E239" s="2246">
        <f>E240+E241+E242</f>
        <v>0</v>
      </c>
      <c r="F239" s="2247">
        <f>F240+F241+F242</f>
        <v>0</v>
      </c>
      <c r="G239" s="2248">
        <f t="shared" si="54"/>
        <v>0</v>
      </c>
      <c r="H239" s="2247">
        <f>H240+H241+H242</f>
        <v>0</v>
      </c>
      <c r="I239" s="2247">
        <f>I240+I241+I242</f>
        <v>0</v>
      </c>
      <c r="J239" s="2248">
        <f t="shared" si="55"/>
        <v>0</v>
      </c>
      <c r="K239" s="2247">
        <f>K240+K241+K242</f>
        <v>3338.8512278693306</v>
      </c>
      <c r="L239" s="2247">
        <f>L240+L241+L242</f>
        <v>3338.8512278693306</v>
      </c>
      <c r="M239" s="2250">
        <f t="shared" si="56"/>
        <v>3338.8512278693306</v>
      </c>
      <c r="N239" s="2246">
        <v>5120.7993298219117</v>
      </c>
      <c r="O239" s="2247">
        <v>5913.4312930294891</v>
      </c>
      <c r="P239" s="2249">
        <f t="shared" si="57"/>
        <v>5517.1153114257004</v>
      </c>
      <c r="Q239" s="2246">
        <f>Q240+Q241+Q242</f>
        <v>5913.4312930294891</v>
      </c>
      <c r="R239" s="2247">
        <f>R240+R241+R242</f>
        <v>6149.968544750669</v>
      </c>
      <c r="S239" s="2250">
        <f t="shared" si="58"/>
        <v>6031.6999188900791</v>
      </c>
      <c r="T239" s="2246">
        <f>T240+T241+T242</f>
        <v>6149.968544750669</v>
      </c>
      <c r="U239" s="2247">
        <f>U240+U241+U242</f>
        <v>6395.9672865406956</v>
      </c>
      <c r="V239" s="2249">
        <f t="shared" si="59"/>
        <v>6272.9679156456823</v>
      </c>
      <c r="W239" s="2246">
        <f>W240+W241+W242</f>
        <v>6395.9672865406956</v>
      </c>
      <c r="X239" s="2247">
        <f>X240+X241+X242</f>
        <v>6651.8059780023232</v>
      </c>
      <c r="Y239" s="2249">
        <f t="shared" si="60"/>
        <v>6523.8866322715094</v>
      </c>
      <c r="Z239" s="2246">
        <f>Z240+Z241+Z242</f>
        <v>6651.8059780023232</v>
      </c>
      <c r="AA239" s="2247">
        <f>AA240+AA241+AA242</f>
        <v>6917.8782171224166</v>
      </c>
      <c r="AB239" s="2250">
        <f t="shared" si="61"/>
        <v>6784.8420975623703</v>
      </c>
      <c r="AC239" s="2593">
        <f t="shared" si="53"/>
        <v>0</v>
      </c>
    </row>
    <row r="240" spans="1:29" s="2218" customFormat="1" ht="47.25">
      <c r="A240" s="2235">
        <v>196</v>
      </c>
      <c r="B240" s="2281" t="s">
        <v>2090</v>
      </c>
      <c r="C240" s="2282" t="s">
        <v>2091</v>
      </c>
      <c r="D240" s="2504" t="s">
        <v>1128</v>
      </c>
      <c r="E240" s="2284"/>
      <c r="F240" s="2285"/>
      <c r="G240" s="2257">
        <f t="shared" si="54"/>
        <v>0</v>
      </c>
      <c r="H240" s="2285"/>
      <c r="I240" s="2285"/>
      <c r="J240" s="2257">
        <f t="shared" si="55"/>
        <v>0</v>
      </c>
      <c r="K240" s="2285">
        <v>3338.8512278693306</v>
      </c>
      <c r="L240" s="2285">
        <v>3338.8512278693306</v>
      </c>
      <c r="M240" s="2259">
        <f t="shared" si="56"/>
        <v>3338.8512278693306</v>
      </c>
      <c r="N240" s="2284">
        <v>5120.7993298219117</v>
      </c>
      <c r="O240" s="2286">
        <v>5913.4312930294891</v>
      </c>
      <c r="P240" s="2258">
        <f t="shared" si="57"/>
        <v>5517.1153114257004</v>
      </c>
      <c r="Q240" s="2284">
        <f>O240</f>
        <v>5913.4312930294891</v>
      </c>
      <c r="R240" s="2285">
        <f>Q240*1.04</f>
        <v>6149.968544750669</v>
      </c>
      <c r="S240" s="2259">
        <f>Q240/2+R240/2</f>
        <v>6031.6999188900791</v>
      </c>
      <c r="T240" s="2284">
        <f>R240</f>
        <v>6149.968544750669</v>
      </c>
      <c r="U240" s="2285">
        <f>T240*1.04</f>
        <v>6395.9672865406956</v>
      </c>
      <c r="V240" s="2258">
        <f>T240/2+U240/2</f>
        <v>6272.9679156456823</v>
      </c>
      <c r="W240" s="2284">
        <f>U240</f>
        <v>6395.9672865406956</v>
      </c>
      <c r="X240" s="2285">
        <f>W240*1.04</f>
        <v>6651.8059780023232</v>
      </c>
      <c r="Y240" s="2258">
        <f>W240/2+X240/2</f>
        <v>6523.8866322715094</v>
      </c>
      <c r="Z240" s="2284">
        <f>X240</f>
        <v>6651.8059780023232</v>
      </c>
      <c r="AA240" s="2285">
        <f>Z240*1.04</f>
        <v>6917.8782171224166</v>
      </c>
      <c r="AB240" s="2259">
        <f t="shared" si="61"/>
        <v>6784.8420975623703</v>
      </c>
      <c r="AC240" s="2593">
        <f t="shared" si="53"/>
        <v>0</v>
      </c>
    </row>
    <row r="241" spans="1:29" s="2218" customFormat="1" hidden="1" outlineLevel="1">
      <c r="A241" s="2235">
        <v>15</v>
      </c>
      <c r="B241" s="2281" t="s">
        <v>2093</v>
      </c>
      <c r="C241" s="2282" t="s">
        <v>2094</v>
      </c>
      <c r="D241" s="2504" t="s">
        <v>1128</v>
      </c>
      <c r="E241" s="2284"/>
      <c r="F241" s="2285"/>
      <c r="G241" s="2257">
        <f t="shared" si="54"/>
        <v>0</v>
      </c>
      <c r="H241" s="2285"/>
      <c r="I241" s="2285"/>
      <c r="J241" s="2257">
        <f t="shared" si="55"/>
        <v>0</v>
      </c>
      <c r="K241" s="2285"/>
      <c r="L241" s="2285"/>
      <c r="M241" s="2259">
        <f t="shared" si="56"/>
        <v>0</v>
      </c>
      <c r="N241" s="2284">
        <v>0</v>
      </c>
      <c r="O241" s="2286">
        <v>0</v>
      </c>
      <c r="P241" s="2258">
        <f t="shared" si="57"/>
        <v>0</v>
      </c>
      <c r="Q241" s="2284"/>
      <c r="R241" s="2285"/>
      <c r="S241" s="2259">
        <f t="shared" si="58"/>
        <v>0</v>
      </c>
      <c r="T241" s="2284"/>
      <c r="U241" s="2286"/>
      <c r="V241" s="2258">
        <f t="shared" si="59"/>
        <v>0</v>
      </c>
      <c r="W241" s="2284"/>
      <c r="X241" s="2286"/>
      <c r="Y241" s="2258">
        <f t="shared" si="60"/>
        <v>0</v>
      </c>
      <c r="Z241" s="2284"/>
      <c r="AA241" s="2286"/>
      <c r="AB241" s="2259">
        <f t="shared" si="61"/>
        <v>0</v>
      </c>
      <c r="AC241" s="2593">
        <f t="shared" si="53"/>
        <v>0</v>
      </c>
    </row>
    <row r="242" spans="1:29" s="2218" customFormat="1" ht="21" customHeight="1" collapsed="1" thickBot="1">
      <c r="A242" s="2235">
        <v>16</v>
      </c>
      <c r="B242" s="2415" t="s">
        <v>2095</v>
      </c>
      <c r="C242" s="2416" t="s">
        <v>2096</v>
      </c>
      <c r="D242" s="2547" t="s">
        <v>1128</v>
      </c>
      <c r="E242" s="2482">
        <f>E243</f>
        <v>0</v>
      </c>
      <c r="F242" s="2483">
        <f>F243</f>
        <v>0</v>
      </c>
      <c r="G242" s="2266">
        <f t="shared" si="54"/>
        <v>0</v>
      </c>
      <c r="H242" s="2483">
        <f>H243</f>
        <v>0</v>
      </c>
      <c r="I242" s="2483">
        <f>I243</f>
        <v>0</v>
      </c>
      <c r="J242" s="2266">
        <f t="shared" si="55"/>
        <v>0</v>
      </c>
      <c r="K242" s="2483">
        <f>K243</f>
        <v>0</v>
      </c>
      <c r="L242" s="2483">
        <f>L243</f>
        <v>0</v>
      </c>
      <c r="M242" s="2268">
        <f t="shared" si="56"/>
        <v>0</v>
      </c>
      <c r="N242" s="2284">
        <v>0</v>
      </c>
      <c r="O242" s="2286">
        <v>0</v>
      </c>
      <c r="P242" s="2267">
        <f t="shared" si="57"/>
        <v>0</v>
      </c>
      <c r="Q242" s="2284">
        <f>Q243</f>
        <v>0</v>
      </c>
      <c r="R242" s="2286">
        <f>R243</f>
        <v>0</v>
      </c>
      <c r="S242" s="2268">
        <f t="shared" si="58"/>
        <v>0</v>
      </c>
      <c r="T242" s="2284">
        <f>T243</f>
        <v>0</v>
      </c>
      <c r="U242" s="2286">
        <f>U243</f>
        <v>0</v>
      </c>
      <c r="V242" s="2267">
        <f t="shared" si="59"/>
        <v>0</v>
      </c>
      <c r="W242" s="2284">
        <f>W243</f>
        <v>0</v>
      </c>
      <c r="X242" s="2286">
        <f>X243</f>
        <v>0</v>
      </c>
      <c r="Y242" s="2267">
        <f t="shared" si="60"/>
        <v>0</v>
      </c>
      <c r="Z242" s="2284">
        <f>Z243</f>
        <v>0</v>
      </c>
      <c r="AA242" s="2286">
        <f>AA243</f>
        <v>0</v>
      </c>
      <c r="AB242" s="2268">
        <f t="shared" si="61"/>
        <v>0</v>
      </c>
      <c r="AC242" s="2593">
        <f t="shared" si="53"/>
        <v>0</v>
      </c>
    </row>
    <row r="243" spans="1:29" s="2218" customFormat="1" ht="26.25" customHeight="1">
      <c r="A243" s="2235">
        <v>17</v>
      </c>
      <c r="B243" s="2420" t="s">
        <v>2097</v>
      </c>
      <c r="C243" s="2421" t="s">
        <v>2098</v>
      </c>
      <c r="D243" s="2549" t="s">
        <v>1313</v>
      </c>
      <c r="E243" s="2484">
        <f>E244+E245+E246+E247+E248+E249+E250+E251</f>
        <v>0</v>
      </c>
      <c r="F243" s="2466">
        <f>F244+F245+F246+F247+F248+F249+F250+F251</f>
        <v>0</v>
      </c>
      <c r="G243" s="2485">
        <f t="shared" si="54"/>
        <v>0</v>
      </c>
      <c r="H243" s="2466">
        <f>H244+H245+H246+H247+H248+H249+H250+H251</f>
        <v>0</v>
      </c>
      <c r="I243" s="2466">
        <f>I244+I245+I246+I247+I248+I249+I250+I251</f>
        <v>0</v>
      </c>
      <c r="J243" s="2485">
        <f t="shared" si="55"/>
        <v>0</v>
      </c>
      <c r="K243" s="2466">
        <f>K244+K245+K246+K247+K248+K249+K250+K251</f>
        <v>0</v>
      </c>
      <c r="L243" s="2466">
        <f>L244+L245+L246+L247+L248+L249+L250+L251</f>
        <v>0</v>
      </c>
      <c r="M243" s="2486">
        <f t="shared" si="56"/>
        <v>0</v>
      </c>
      <c r="N243" s="2484">
        <v>0</v>
      </c>
      <c r="O243" s="2466">
        <v>0</v>
      </c>
      <c r="P243" s="2550">
        <f t="shared" si="57"/>
        <v>0</v>
      </c>
      <c r="Q243" s="2484">
        <f>Q244+Q245+Q246+Q247+Q248+Q249+Q250+Q251</f>
        <v>0</v>
      </c>
      <c r="R243" s="2466">
        <f>R244+R245+R246+R247+R248+R249+R250+R251</f>
        <v>0</v>
      </c>
      <c r="S243" s="2486">
        <f t="shared" si="58"/>
        <v>0</v>
      </c>
      <c r="T243" s="2551">
        <f>T244+T245+T246+T247+T248+T249+T250+T251</f>
        <v>0</v>
      </c>
      <c r="U243" s="2466">
        <f>U244+U245+U246+U247+U248+U249+U250+U251</f>
        <v>0</v>
      </c>
      <c r="V243" s="2550">
        <f t="shared" si="59"/>
        <v>0</v>
      </c>
      <c r="W243" s="2484">
        <f>W244+W245+W246+W247+W248+W249+W250+W251</f>
        <v>0</v>
      </c>
      <c r="X243" s="2466">
        <f>X244+X245+X246+X247+X248+X249+X250+X251</f>
        <v>0</v>
      </c>
      <c r="Y243" s="2550">
        <f t="shared" si="60"/>
        <v>0</v>
      </c>
      <c r="Z243" s="2484">
        <f>Z244+Z245+Z246+Z247+Z248+Z249+Z250+Z251</f>
        <v>0</v>
      </c>
      <c r="AA243" s="2466">
        <f>AA244+AA245+AA246+AA247+AA248+AA249+AA250+AA251</f>
        <v>0</v>
      </c>
      <c r="AB243" s="2486">
        <f t="shared" si="61"/>
        <v>0</v>
      </c>
      <c r="AC243" s="2593">
        <f t="shared" si="53"/>
        <v>0</v>
      </c>
    </row>
    <row r="244" spans="1:29" s="2218" customFormat="1" ht="26.25" hidden="1" customHeight="1">
      <c r="A244" s="2235">
        <v>18</v>
      </c>
      <c r="B244" s="2423" t="s">
        <v>2099</v>
      </c>
      <c r="C244" s="2424" t="s">
        <v>2100</v>
      </c>
      <c r="D244" s="2552" t="s">
        <v>1128</v>
      </c>
      <c r="E244" s="2284"/>
      <c r="F244" s="2285"/>
      <c r="G244" s="2257">
        <f t="shared" si="54"/>
        <v>0</v>
      </c>
      <c r="H244" s="2285"/>
      <c r="I244" s="2285"/>
      <c r="J244" s="2257">
        <f t="shared" si="55"/>
        <v>0</v>
      </c>
      <c r="K244" s="2285"/>
      <c r="L244" s="2285"/>
      <c r="M244" s="2259">
        <f t="shared" si="56"/>
        <v>0</v>
      </c>
      <c r="N244" s="2284">
        <v>0</v>
      </c>
      <c r="O244" s="2285">
        <v>0</v>
      </c>
      <c r="P244" s="2258">
        <f t="shared" si="57"/>
        <v>0</v>
      </c>
      <c r="Q244" s="2284"/>
      <c r="R244" s="2285"/>
      <c r="S244" s="2259">
        <f t="shared" si="58"/>
        <v>0</v>
      </c>
      <c r="T244" s="2286"/>
      <c r="U244" s="2285"/>
      <c r="V244" s="2258">
        <f t="shared" si="59"/>
        <v>0</v>
      </c>
      <c r="W244" s="2284"/>
      <c r="X244" s="2285"/>
      <c r="Y244" s="2258">
        <f t="shared" si="60"/>
        <v>0</v>
      </c>
      <c r="Z244" s="2284"/>
      <c r="AA244" s="2285"/>
      <c r="AB244" s="2259">
        <f t="shared" si="61"/>
        <v>0</v>
      </c>
      <c r="AC244" s="2593">
        <f t="shared" si="53"/>
        <v>0</v>
      </c>
    </row>
    <row r="245" spans="1:29" s="2218" customFormat="1" ht="24" hidden="1" customHeight="1">
      <c r="A245" s="2235">
        <v>19</v>
      </c>
      <c r="B245" s="2423" t="s">
        <v>2101</v>
      </c>
      <c r="C245" s="2424" t="s">
        <v>2102</v>
      </c>
      <c r="D245" s="2552" t="s">
        <v>1313</v>
      </c>
      <c r="E245" s="2284"/>
      <c r="F245" s="2285"/>
      <c r="G245" s="2257">
        <f t="shared" si="54"/>
        <v>0</v>
      </c>
      <c r="H245" s="2285"/>
      <c r="I245" s="2285"/>
      <c r="J245" s="2257">
        <f t="shared" si="55"/>
        <v>0</v>
      </c>
      <c r="K245" s="2285"/>
      <c r="L245" s="2285"/>
      <c r="M245" s="2259">
        <f t="shared" si="56"/>
        <v>0</v>
      </c>
      <c r="N245" s="2284">
        <v>0</v>
      </c>
      <c r="O245" s="2285">
        <v>0</v>
      </c>
      <c r="P245" s="2258">
        <f t="shared" si="57"/>
        <v>0</v>
      </c>
      <c r="Q245" s="2284"/>
      <c r="R245" s="2285"/>
      <c r="S245" s="2259">
        <f t="shared" si="58"/>
        <v>0</v>
      </c>
      <c r="T245" s="2286"/>
      <c r="U245" s="2285"/>
      <c r="V245" s="2258">
        <f t="shared" si="59"/>
        <v>0</v>
      </c>
      <c r="W245" s="2284"/>
      <c r="X245" s="2285"/>
      <c r="Y245" s="2258">
        <f t="shared" si="60"/>
        <v>0</v>
      </c>
      <c r="Z245" s="2284"/>
      <c r="AA245" s="2285"/>
      <c r="AB245" s="2259">
        <f t="shared" si="61"/>
        <v>0</v>
      </c>
      <c r="AC245" s="2593">
        <f t="shared" si="53"/>
        <v>0</v>
      </c>
    </row>
    <row r="246" spans="1:29" s="2218" customFormat="1" ht="16.5" hidden="1" customHeight="1">
      <c r="A246" s="2235">
        <v>20</v>
      </c>
      <c r="B246" s="2423" t="s">
        <v>2103</v>
      </c>
      <c r="C246" s="2424" t="s">
        <v>2104</v>
      </c>
      <c r="D246" s="2552" t="s">
        <v>1128</v>
      </c>
      <c r="E246" s="2284"/>
      <c r="F246" s="2285"/>
      <c r="G246" s="2257">
        <f t="shared" si="54"/>
        <v>0</v>
      </c>
      <c r="H246" s="2285"/>
      <c r="I246" s="2285"/>
      <c r="J246" s="2257">
        <f t="shared" si="55"/>
        <v>0</v>
      </c>
      <c r="K246" s="2285"/>
      <c r="L246" s="2285"/>
      <c r="M246" s="2259">
        <f t="shared" si="56"/>
        <v>0</v>
      </c>
      <c r="N246" s="2284">
        <v>0</v>
      </c>
      <c r="O246" s="2285">
        <v>0</v>
      </c>
      <c r="P246" s="2258">
        <f t="shared" si="57"/>
        <v>0</v>
      </c>
      <c r="Q246" s="2284"/>
      <c r="R246" s="2285"/>
      <c r="S246" s="2259">
        <f t="shared" si="58"/>
        <v>0</v>
      </c>
      <c r="T246" s="2286"/>
      <c r="U246" s="2285"/>
      <c r="V246" s="2258">
        <f t="shared" si="59"/>
        <v>0</v>
      </c>
      <c r="W246" s="2284"/>
      <c r="X246" s="2285"/>
      <c r="Y246" s="2258">
        <f t="shared" si="60"/>
        <v>0</v>
      </c>
      <c r="Z246" s="2284"/>
      <c r="AA246" s="2285"/>
      <c r="AB246" s="2259">
        <f t="shared" si="61"/>
        <v>0</v>
      </c>
      <c r="AC246" s="2593">
        <f t="shared" si="53"/>
        <v>0</v>
      </c>
    </row>
    <row r="247" spans="1:29" s="2218" customFormat="1" ht="18" hidden="1" customHeight="1">
      <c r="A247" s="2235">
        <v>21</v>
      </c>
      <c r="B247" s="2423" t="s">
        <v>2105</v>
      </c>
      <c r="C247" s="2424" t="s">
        <v>2106</v>
      </c>
      <c r="D247" s="2552" t="s">
        <v>1128</v>
      </c>
      <c r="E247" s="2284"/>
      <c r="F247" s="2285"/>
      <c r="G247" s="2257">
        <f t="shared" si="54"/>
        <v>0</v>
      </c>
      <c r="H247" s="2285"/>
      <c r="I247" s="2285"/>
      <c r="J247" s="2257">
        <f t="shared" si="55"/>
        <v>0</v>
      </c>
      <c r="K247" s="2285"/>
      <c r="L247" s="2285"/>
      <c r="M247" s="2259">
        <f t="shared" si="56"/>
        <v>0</v>
      </c>
      <c r="N247" s="2284">
        <v>0</v>
      </c>
      <c r="O247" s="2285">
        <v>0</v>
      </c>
      <c r="P247" s="2258">
        <f t="shared" si="57"/>
        <v>0</v>
      </c>
      <c r="Q247" s="2284"/>
      <c r="R247" s="2285"/>
      <c r="S247" s="2259">
        <f t="shared" si="58"/>
        <v>0</v>
      </c>
      <c r="T247" s="2286"/>
      <c r="U247" s="2285"/>
      <c r="V247" s="2258">
        <f t="shared" si="59"/>
        <v>0</v>
      </c>
      <c r="W247" s="2284"/>
      <c r="X247" s="2285"/>
      <c r="Y247" s="2258">
        <f t="shared" si="60"/>
        <v>0</v>
      </c>
      <c r="Z247" s="2284"/>
      <c r="AA247" s="2285"/>
      <c r="AB247" s="2259">
        <f t="shared" si="61"/>
        <v>0</v>
      </c>
      <c r="AC247" s="2593">
        <f t="shared" si="53"/>
        <v>0</v>
      </c>
    </row>
    <row r="248" spans="1:29" s="2218" customFormat="1" ht="18" hidden="1" customHeight="1">
      <c r="A248" s="2235">
        <v>40</v>
      </c>
      <c r="B248" s="2423" t="s">
        <v>2107</v>
      </c>
      <c r="C248" s="2424" t="s">
        <v>2108</v>
      </c>
      <c r="D248" s="2552" t="s">
        <v>1128</v>
      </c>
      <c r="E248" s="2284"/>
      <c r="F248" s="2285"/>
      <c r="G248" s="2257">
        <f t="shared" si="54"/>
        <v>0</v>
      </c>
      <c r="H248" s="2285"/>
      <c r="I248" s="2285"/>
      <c r="J248" s="2257">
        <f t="shared" si="55"/>
        <v>0</v>
      </c>
      <c r="K248" s="2285"/>
      <c r="L248" s="2285"/>
      <c r="M248" s="2259">
        <f t="shared" si="56"/>
        <v>0</v>
      </c>
      <c r="N248" s="2284">
        <v>0</v>
      </c>
      <c r="O248" s="2286">
        <v>0</v>
      </c>
      <c r="P248" s="2258">
        <f t="shared" si="57"/>
        <v>0</v>
      </c>
      <c r="Q248" s="2284"/>
      <c r="R248" s="2286"/>
      <c r="S248" s="2259">
        <f t="shared" si="58"/>
        <v>0</v>
      </c>
      <c r="T248" s="2284"/>
      <c r="U248" s="2286"/>
      <c r="V248" s="2258">
        <f t="shared" si="59"/>
        <v>0</v>
      </c>
      <c r="W248" s="2284"/>
      <c r="X248" s="2286"/>
      <c r="Y248" s="2258">
        <f t="shared" si="60"/>
        <v>0</v>
      </c>
      <c r="Z248" s="2284"/>
      <c r="AA248" s="2286"/>
      <c r="AB248" s="2259">
        <f t="shared" si="61"/>
        <v>0</v>
      </c>
      <c r="AC248" s="2593">
        <f t="shared" si="53"/>
        <v>0</v>
      </c>
    </row>
    <row r="249" spans="1:29" s="2218" customFormat="1" ht="22.5" hidden="1" customHeight="1">
      <c r="A249" s="2235">
        <v>41</v>
      </c>
      <c r="B249" s="2423" t="s">
        <v>2109</v>
      </c>
      <c r="C249" s="2424" t="s">
        <v>2110</v>
      </c>
      <c r="D249" s="2552" t="s">
        <v>1128</v>
      </c>
      <c r="E249" s="2284"/>
      <c r="F249" s="2285"/>
      <c r="G249" s="2257">
        <f t="shared" si="54"/>
        <v>0</v>
      </c>
      <c r="H249" s="2285"/>
      <c r="I249" s="2285"/>
      <c r="J249" s="2257">
        <f t="shared" si="55"/>
        <v>0</v>
      </c>
      <c r="K249" s="2285"/>
      <c r="L249" s="2285"/>
      <c r="M249" s="2259">
        <f t="shared" si="56"/>
        <v>0</v>
      </c>
      <c r="N249" s="2284">
        <v>0</v>
      </c>
      <c r="O249" s="2285">
        <v>0</v>
      </c>
      <c r="P249" s="2258">
        <f t="shared" si="57"/>
        <v>0</v>
      </c>
      <c r="Q249" s="2284"/>
      <c r="R249" s="2285"/>
      <c r="S249" s="2259">
        <f t="shared" si="58"/>
        <v>0</v>
      </c>
      <c r="T249" s="2286"/>
      <c r="U249" s="2285"/>
      <c r="V249" s="2258">
        <f t="shared" si="59"/>
        <v>0</v>
      </c>
      <c r="W249" s="2284"/>
      <c r="X249" s="2285"/>
      <c r="Y249" s="2258">
        <f t="shared" si="60"/>
        <v>0</v>
      </c>
      <c r="Z249" s="2284"/>
      <c r="AA249" s="2285"/>
      <c r="AB249" s="2259">
        <f t="shared" si="61"/>
        <v>0</v>
      </c>
      <c r="AC249" s="2593">
        <f t="shared" si="53"/>
        <v>0</v>
      </c>
    </row>
    <row r="250" spans="1:29" s="2218" customFormat="1" ht="18.75" hidden="1" customHeight="1">
      <c r="A250" s="2235">
        <v>42</v>
      </c>
      <c r="B250" s="2423" t="s">
        <v>2111</v>
      </c>
      <c r="C250" s="2424" t="s">
        <v>2112</v>
      </c>
      <c r="D250" s="2552" t="s">
        <v>1128</v>
      </c>
      <c r="E250" s="2284"/>
      <c r="F250" s="2285"/>
      <c r="G250" s="2257">
        <f t="shared" si="54"/>
        <v>0</v>
      </c>
      <c r="H250" s="2285"/>
      <c r="I250" s="2285"/>
      <c r="J250" s="2257">
        <f t="shared" si="55"/>
        <v>0</v>
      </c>
      <c r="K250" s="2285"/>
      <c r="L250" s="2285"/>
      <c r="M250" s="2259">
        <f t="shared" si="56"/>
        <v>0</v>
      </c>
      <c r="N250" s="2284">
        <v>0</v>
      </c>
      <c r="O250" s="2285">
        <v>0</v>
      </c>
      <c r="P250" s="2258">
        <f t="shared" si="57"/>
        <v>0</v>
      </c>
      <c r="Q250" s="2284"/>
      <c r="R250" s="2285"/>
      <c r="S250" s="2259">
        <f t="shared" si="58"/>
        <v>0</v>
      </c>
      <c r="T250" s="2286"/>
      <c r="U250" s="2285"/>
      <c r="V250" s="2258">
        <f t="shared" si="59"/>
        <v>0</v>
      </c>
      <c r="W250" s="2284"/>
      <c r="X250" s="2285"/>
      <c r="Y250" s="2258">
        <f t="shared" si="60"/>
        <v>0</v>
      </c>
      <c r="Z250" s="2284"/>
      <c r="AA250" s="2285"/>
      <c r="AB250" s="2259">
        <f t="shared" si="61"/>
        <v>0</v>
      </c>
      <c r="AC250" s="2593">
        <f t="shared" si="53"/>
        <v>0</v>
      </c>
    </row>
    <row r="251" spans="1:29" s="2218" customFormat="1" ht="18.75" hidden="1" customHeight="1">
      <c r="A251" s="2235">
        <v>43</v>
      </c>
      <c r="B251" s="2423" t="s">
        <v>2113</v>
      </c>
      <c r="C251" s="2424" t="s">
        <v>2106</v>
      </c>
      <c r="D251" s="2552" t="s">
        <v>1128</v>
      </c>
      <c r="E251" s="2284"/>
      <c r="F251" s="2285"/>
      <c r="G251" s="2257">
        <f t="shared" si="54"/>
        <v>0</v>
      </c>
      <c r="H251" s="2285"/>
      <c r="I251" s="2285"/>
      <c r="J251" s="2257">
        <f t="shared" si="55"/>
        <v>0</v>
      </c>
      <c r="K251" s="2285"/>
      <c r="L251" s="2285"/>
      <c r="M251" s="2259">
        <f t="shared" si="56"/>
        <v>0</v>
      </c>
      <c r="N251" s="2284">
        <v>0</v>
      </c>
      <c r="O251" s="2285">
        <v>0</v>
      </c>
      <c r="P251" s="2258">
        <f t="shared" si="57"/>
        <v>0</v>
      </c>
      <c r="Q251" s="2284"/>
      <c r="R251" s="2285"/>
      <c r="S251" s="2259">
        <f t="shared" si="58"/>
        <v>0</v>
      </c>
      <c r="T251" s="2286"/>
      <c r="U251" s="2285"/>
      <c r="V251" s="2258">
        <f t="shared" si="59"/>
        <v>0</v>
      </c>
      <c r="W251" s="2284"/>
      <c r="X251" s="2285"/>
      <c r="Y251" s="2258">
        <f t="shared" si="60"/>
        <v>0</v>
      </c>
      <c r="Z251" s="2284"/>
      <c r="AA251" s="2285"/>
      <c r="AB251" s="2259">
        <f t="shared" si="61"/>
        <v>0</v>
      </c>
      <c r="AC251" s="2593">
        <f t="shared" si="53"/>
        <v>0</v>
      </c>
    </row>
    <row r="252" spans="1:29" s="2218" customFormat="1" ht="32.25" hidden="1" customHeight="1">
      <c r="A252" s="2235">
        <v>22</v>
      </c>
      <c r="B252" s="2423" t="s">
        <v>2114</v>
      </c>
      <c r="C252" s="2426" t="s">
        <v>2115</v>
      </c>
      <c r="D252" s="2552" t="s">
        <v>1128</v>
      </c>
      <c r="E252" s="2255">
        <f>E253+E256+E260</f>
        <v>0</v>
      </c>
      <c r="F252" s="2256">
        <f>F253+F256+F260</f>
        <v>0</v>
      </c>
      <c r="G252" s="2257">
        <f t="shared" si="54"/>
        <v>0</v>
      </c>
      <c r="H252" s="2256">
        <f>H253+H256+H260</f>
        <v>0</v>
      </c>
      <c r="I252" s="2256">
        <f>I253+I256+I260</f>
        <v>0</v>
      </c>
      <c r="J252" s="2257">
        <f t="shared" si="55"/>
        <v>0</v>
      </c>
      <c r="K252" s="2256">
        <f>K253+K256+K260</f>
        <v>0</v>
      </c>
      <c r="L252" s="2256">
        <f>L253+L256+L260</f>
        <v>0</v>
      </c>
      <c r="M252" s="2259">
        <f t="shared" si="56"/>
        <v>0</v>
      </c>
      <c r="N252" s="2255">
        <v>0</v>
      </c>
      <c r="O252" s="2256">
        <v>0</v>
      </c>
      <c r="P252" s="2258">
        <f t="shared" si="57"/>
        <v>0</v>
      </c>
      <c r="Q252" s="2255">
        <f>Q253+Q256+Q260</f>
        <v>0</v>
      </c>
      <c r="R252" s="2256">
        <f>R253+R256+R260</f>
        <v>0</v>
      </c>
      <c r="S252" s="2259">
        <f t="shared" si="58"/>
        <v>0</v>
      </c>
      <c r="T252" s="2260">
        <f>T253+T256+T260</f>
        <v>0</v>
      </c>
      <c r="U252" s="2256">
        <f>U253+U256+U260</f>
        <v>0</v>
      </c>
      <c r="V252" s="2258">
        <f t="shared" si="59"/>
        <v>0</v>
      </c>
      <c r="W252" s="2255">
        <f>W253+W256+W260</f>
        <v>0</v>
      </c>
      <c r="X252" s="2256">
        <f>X253+X256+X260</f>
        <v>0</v>
      </c>
      <c r="Y252" s="2258">
        <f t="shared" si="60"/>
        <v>0</v>
      </c>
      <c r="Z252" s="2255">
        <f>Z253+Z256+Z260</f>
        <v>0</v>
      </c>
      <c r="AA252" s="2256">
        <f>AA253+AA256+AA260</f>
        <v>0</v>
      </c>
      <c r="AB252" s="2259">
        <f t="shared" si="61"/>
        <v>0</v>
      </c>
      <c r="AC252" s="2593">
        <f t="shared" si="53"/>
        <v>0</v>
      </c>
    </row>
    <row r="253" spans="1:29" s="2218" customFormat="1" ht="24" hidden="1" customHeight="1">
      <c r="A253" s="2235">
        <v>23</v>
      </c>
      <c r="B253" s="2423" t="s">
        <v>2116</v>
      </c>
      <c r="C253" s="2427" t="s">
        <v>2084</v>
      </c>
      <c r="D253" s="2552" t="s">
        <v>1128</v>
      </c>
      <c r="E253" s="2255">
        <f>E254+E255</f>
        <v>0</v>
      </c>
      <c r="F253" s="2256">
        <f>F254+F255</f>
        <v>0</v>
      </c>
      <c r="G253" s="2257">
        <f t="shared" si="54"/>
        <v>0</v>
      </c>
      <c r="H253" s="2256">
        <f>H254+H255</f>
        <v>0</v>
      </c>
      <c r="I253" s="2256">
        <f>I254+I255</f>
        <v>0</v>
      </c>
      <c r="J253" s="2257">
        <f t="shared" si="55"/>
        <v>0</v>
      </c>
      <c r="K253" s="2256">
        <f>K254+K255</f>
        <v>0</v>
      </c>
      <c r="L253" s="2256">
        <f>L254+L255</f>
        <v>0</v>
      </c>
      <c r="M253" s="2259">
        <f t="shared" si="56"/>
        <v>0</v>
      </c>
      <c r="N253" s="2255">
        <v>0</v>
      </c>
      <c r="O253" s="2256">
        <v>0</v>
      </c>
      <c r="P253" s="2258">
        <f t="shared" si="57"/>
        <v>0</v>
      </c>
      <c r="Q253" s="2255">
        <f>Q254+Q255</f>
        <v>0</v>
      </c>
      <c r="R253" s="2256">
        <f>R254+R255</f>
        <v>0</v>
      </c>
      <c r="S253" s="2259">
        <f t="shared" si="58"/>
        <v>0</v>
      </c>
      <c r="T253" s="2260">
        <f>T254+T255</f>
        <v>0</v>
      </c>
      <c r="U253" s="2256">
        <f>U254+U255</f>
        <v>0</v>
      </c>
      <c r="V253" s="2258">
        <f t="shared" si="59"/>
        <v>0</v>
      </c>
      <c r="W253" s="2255">
        <f>W254+W255</f>
        <v>0</v>
      </c>
      <c r="X253" s="2256">
        <f>X254+X255</f>
        <v>0</v>
      </c>
      <c r="Y253" s="2258">
        <f t="shared" si="60"/>
        <v>0</v>
      </c>
      <c r="Z253" s="2255">
        <f>Z254+Z255</f>
        <v>0</v>
      </c>
      <c r="AA253" s="2256">
        <f>AA254+AA255</f>
        <v>0</v>
      </c>
      <c r="AB253" s="2259">
        <f t="shared" si="61"/>
        <v>0</v>
      </c>
      <c r="AC253" s="2593">
        <f t="shared" si="53"/>
        <v>0</v>
      </c>
    </row>
    <row r="254" spans="1:29" s="2218" customFormat="1" ht="25.5" hidden="1" customHeight="1">
      <c r="A254" s="2235">
        <v>24</v>
      </c>
      <c r="B254" s="2423" t="s">
        <v>2117</v>
      </c>
      <c r="C254" s="2424" t="s">
        <v>2118</v>
      </c>
      <c r="D254" s="2552" t="s">
        <v>1128</v>
      </c>
      <c r="E254" s="2284"/>
      <c r="F254" s="2285"/>
      <c r="G254" s="2257">
        <f t="shared" si="54"/>
        <v>0</v>
      </c>
      <c r="H254" s="2285"/>
      <c r="I254" s="2285"/>
      <c r="J254" s="2257">
        <f t="shared" si="55"/>
        <v>0</v>
      </c>
      <c r="K254" s="2285"/>
      <c r="L254" s="2285"/>
      <c r="M254" s="2259">
        <f t="shared" si="56"/>
        <v>0</v>
      </c>
      <c r="N254" s="2284">
        <v>0</v>
      </c>
      <c r="O254" s="2285">
        <v>0</v>
      </c>
      <c r="P254" s="2258">
        <f t="shared" si="57"/>
        <v>0</v>
      </c>
      <c r="Q254" s="2284"/>
      <c r="R254" s="2285"/>
      <c r="S254" s="2259">
        <f t="shared" si="58"/>
        <v>0</v>
      </c>
      <c r="T254" s="2286"/>
      <c r="U254" s="2285"/>
      <c r="V254" s="2258">
        <f t="shared" si="59"/>
        <v>0</v>
      </c>
      <c r="W254" s="2284"/>
      <c r="X254" s="2285"/>
      <c r="Y254" s="2258">
        <f t="shared" si="60"/>
        <v>0</v>
      </c>
      <c r="Z254" s="2284"/>
      <c r="AA254" s="2285"/>
      <c r="AB254" s="2259">
        <f t="shared" si="61"/>
        <v>0</v>
      </c>
      <c r="AC254" s="2593">
        <f t="shared" si="53"/>
        <v>0</v>
      </c>
    </row>
    <row r="255" spans="1:29" s="2218" customFormat="1" ht="16.5" hidden="1" customHeight="1" thickBot="1">
      <c r="A255" s="2235">
        <v>38</v>
      </c>
      <c r="B255" s="2423"/>
      <c r="C255" s="2424" t="s">
        <v>2119</v>
      </c>
      <c r="D255" s="2552" t="s">
        <v>1128</v>
      </c>
      <c r="E255" s="2284"/>
      <c r="F255" s="2285"/>
      <c r="G255" s="2257">
        <f t="shared" si="54"/>
        <v>0</v>
      </c>
      <c r="H255" s="2285"/>
      <c r="I255" s="2285"/>
      <c r="J255" s="2257">
        <f t="shared" si="55"/>
        <v>0</v>
      </c>
      <c r="K255" s="2285"/>
      <c r="L255" s="2285"/>
      <c r="M255" s="2259">
        <f t="shared" si="56"/>
        <v>0</v>
      </c>
      <c r="N255" s="2284">
        <v>0</v>
      </c>
      <c r="O255" s="2285">
        <v>0</v>
      </c>
      <c r="P255" s="2258">
        <f t="shared" si="57"/>
        <v>0</v>
      </c>
      <c r="Q255" s="2284"/>
      <c r="R255" s="2285"/>
      <c r="S255" s="2259">
        <f t="shared" si="58"/>
        <v>0</v>
      </c>
      <c r="T255" s="2286"/>
      <c r="U255" s="2285"/>
      <c r="V255" s="2258">
        <f t="shared" si="59"/>
        <v>0</v>
      </c>
      <c r="W255" s="2284"/>
      <c r="X255" s="2285"/>
      <c r="Y255" s="2258">
        <f t="shared" si="60"/>
        <v>0</v>
      </c>
      <c r="Z255" s="2284"/>
      <c r="AA255" s="2285"/>
      <c r="AB255" s="2259">
        <f t="shared" si="61"/>
        <v>0</v>
      </c>
      <c r="AC255" s="2593">
        <f t="shared" si="53"/>
        <v>0</v>
      </c>
    </row>
    <row r="256" spans="1:29" s="2218" customFormat="1" ht="22.5" hidden="1" customHeight="1">
      <c r="A256" s="2235">
        <v>25</v>
      </c>
      <c r="B256" s="2423" t="s">
        <v>2120</v>
      </c>
      <c r="C256" s="2427" t="s">
        <v>2088</v>
      </c>
      <c r="D256" s="2552" t="s">
        <v>1128</v>
      </c>
      <c r="E256" s="2255">
        <f>E257+E258+E259</f>
        <v>0</v>
      </c>
      <c r="F256" s="2256">
        <f>F257+F258+F259</f>
        <v>0</v>
      </c>
      <c r="G256" s="2257">
        <f t="shared" si="54"/>
        <v>0</v>
      </c>
      <c r="H256" s="2256">
        <f>H257+H258+H259</f>
        <v>0</v>
      </c>
      <c r="I256" s="2256">
        <f>I257+I258+I259</f>
        <v>0</v>
      </c>
      <c r="J256" s="2257">
        <f t="shared" si="55"/>
        <v>0</v>
      </c>
      <c r="K256" s="2256">
        <f>K257+K258+K259</f>
        <v>0</v>
      </c>
      <c r="L256" s="2256">
        <f>L257+L258+L259</f>
        <v>0</v>
      </c>
      <c r="M256" s="2259">
        <f t="shared" si="56"/>
        <v>0</v>
      </c>
      <c r="N256" s="2255">
        <v>0</v>
      </c>
      <c r="O256" s="2256">
        <v>0</v>
      </c>
      <c r="P256" s="2258">
        <f t="shared" si="57"/>
        <v>0</v>
      </c>
      <c r="Q256" s="2255">
        <f>Q257+Q258+Q259</f>
        <v>0</v>
      </c>
      <c r="R256" s="2256">
        <f>R257+R258+R259</f>
        <v>0</v>
      </c>
      <c r="S256" s="2259">
        <f t="shared" si="58"/>
        <v>0</v>
      </c>
      <c r="T256" s="2260">
        <f>T257+T258+T259</f>
        <v>0</v>
      </c>
      <c r="U256" s="2256">
        <f>U257+U258+U259</f>
        <v>0</v>
      </c>
      <c r="V256" s="2258">
        <f t="shared" si="59"/>
        <v>0</v>
      </c>
      <c r="W256" s="2255">
        <f>W257+W258+W259</f>
        <v>0</v>
      </c>
      <c r="X256" s="2256">
        <f>X257+X258+X259</f>
        <v>0</v>
      </c>
      <c r="Y256" s="2258">
        <f t="shared" si="60"/>
        <v>0</v>
      </c>
      <c r="Z256" s="2255">
        <f>Z257+Z258+Z259</f>
        <v>0</v>
      </c>
      <c r="AA256" s="2256">
        <f>AA257+AA258+AA259</f>
        <v>0</v>
      </c>
      <c r="AB256" s="2259">
        <f t="shared" si="61"/>
        <v>0</v>
      </c>
      <c r="AC256" s="2593">
        <f t="shared" si="53"/>
        <v>0</v>
      </c>
    </row>
    <row r="257" spans="1:30" s="2218" customFormat="1" ht="18" hidden="1" customHeight="1">
      <c r="A257" s="2235">
        <v>26</v>
      </c>
      <c r="B257" s="2423" t="s">
        <v>2121</v>
      </c>
      <c r="C257" s="2424" t="s">
        <v>2122</v>
      </c>
      <c r="D257" s="2552" t="s">
        <v>1128</v>
      </c>
      <c r="E257" s="2284"/>
      <c r="F257" s="2285"/>
      <c r="G257" s="2257">
        <f t="shared" si="54"/>
        <v>0</v>
      </c>
      <c r="H257" s="2285"/>
      <c r="I257" s="2285"/>
      <c r="J257" s="2257">
        <f t="shared" si="55"/>
        <v>0</v>
      </c>
      <c r="K257" s="2285"/>
      <c r="L257" s="2285"/>
      <c r="M257" s="2259">
        <f t="shared" si="56"/>
        <v>0</v>
      </c>
      <c r="N257" s="2284">
        <v>0</v>
      </c>
      <c r="O257" s="2285">
        <v>0</v>
      </c>
      <c r="P257" s="2258">
        <f t="shared" si="57"/>
        <v>0</v>
      </c>
      <c r="Q257" s="2284"/>
      <c r="R257" s="2285"/>
      <c r="S257" s="2259">
        <f t="shared" si="58"/>
        <v>0</v>
      </c>
      <c r="T257" s="2286"/>
      <c r="U257" s="2285"/>
      <c r="V257" s="2258">
        <f t="shared" si="59"/>
        <v>0</v>
      </c>
      <c r="W257" s="2284"/>
      <c r="X257" s="2285"/>
      <c r="Y257" s="2258">
        <f t="shared" si="60"/>
        <v>0</v>
      </c>
      <c r="Z257" s="2284"/>
      <c r="AA257" s="2285"/>
      <c r="AB257" s="2259">
        <f t="shared" si="61"/>
        <v>0</v>
      </c>
      <c r="AC257" s="2593">
        <f t="shared" si="53"/>
        <v>0</v>
      </c>
    </row>
    <row r="258" spans="1:30" s="2218" customFormat="1" ht="16.5" hidden="1" customHeight="1" thickBot="1">
      <c r="A258" s="2235">
        <v>39</v>
      </c>
      <c r="B258" s="2423"/>
      <c r="C258" s="2424" t="s">
        <v>2123</v>
      </c>
      <c r="D258" s="2552" t="s">
        <v>1128</v>
      </c>
      <c r="E258" s="2284"/>
      <c r="F258" s="2285"/>
      <c r="G258" s="2257">
        <f t="shared" si="54"/>
        <v>0</v>
      </c>
      <c r="H258" s="2285"/>
      <c r="I258" s="2285"/>
      <c r="J258" s="2257">
        <f t="shared" si="55"/>
        <v>0</v>
      </c>
      <c r="K258" s="2285"/>
      <c r="L258" s="2285"/>
      <c r="M258" s="2259">
        <f t="shared" si="56"/>
        <v>0</v>
      </c>
      <c r="N258" s="2284">
        <v>0</v>
      </c>
      <c r="O258" s="2285">
        <v>0</v>
      </c>
      <c r="P258" s="2258">
        <f t="shared" si="57"/>
        <v>0</v>
      </c>
      <c r="Q258" s="2284"/>
      <c r="R258" s="2285"/>
      <c r="S258" s="2259">
        <f t="shared" si="58"/>
        <v>0</v>
      </c>
      <c r="T258" s="2286"/>
      <c r="U258" s="2285"/>
      <c r="V258" s="2258">
        <f t="shared" si="59"/>
        <v>0</v>
      </c>
      <c r="W258" s="2284"/>
      <c r="X258" s="2285"/>
      <c r="Y258" s="2258">
        <f t="shared" si="60"/>
        <v>0</v>
      </c>
      <c r="Z258" s="2284"/>
      <c r="AA258" s="2285"/>
      <c r="AB258" s="2259">
        <f t="shared" si="61"/>
        <v>0</v>
      </c>
      <c r="AC258" s="2593">
        <f t="shared" si="53"/>
        <v>0</v>
      </c>
    </row>
    <row r="259" spans="1:30" s="2218" customFormat="1" ht="20.25" hidden="1" customHeight="1">
      <c r="A259" s="2235">
        <v>27</v>
      </c>
      <c r="B259" s="2423" t="s">
        <v>2124</v>
      </c>
      <c r="C259" s="2424" t="s">
        <v>2125</v>
      </c>
      <c r="D259" s="2552" t="s">
        <v>1128</v>
      </c>
      <c r="E259" s="2284"/>
      <c r="F259" s="2285"/>
      <c r="G259" s="2257">
        <f t="shared" si="54"/>
        <v>0</v>
      </c>
      <c r="H259" s="2285"/>
      <c r="I259" s="2285"/>
      <c r="J259" s="2257">
        <f t="shared" si="55"/>
        <v>0</v>
      </c>
      <c r="K259" s="2285"/>
      <c r="L259" s="2285"/>
      <c r="M259" s="2259">
        <f t="shared" si="56"/>
        <v>0</v>
      </c>
      <c r="N259" s="2284">
        <v>0</v>
      </c>
      <c r="O259" s="2285">
        <v>0</v>
      </c>
      <c r="P259" s="2258">
        <f t="shared" si="57"/>
        <v>0</v>
      </c>
      <c r="Q259" s="2284"/>
      <c r="R259" s="2285"/>
      <c r="S259" s="2259">
        <f t="shared" si="58"/>
        <v>0</v>
      </c>
      <c r="T259" s="2286"/>
      <c r="U259" s="2285"/>
      <c r="V259" s="2258">
        <f t="shared" si="59"/>
        <v>0</v>
      </c>
      <c r="W259" s="2284"/>
      <c r="X259" s="2285"/>
      <c r="Y259" s="2258">
        <f t="shared" si="60"/>
        <v>0</v>
      </c>
      <c r="Z259" s="2284"/>
      <c r="AA259" s="2285"/>
      <c r="AB259" s="2259">
        <f t="shared" si="61"/>
        <v>0</v>
      </c>
      <c r="AC259" s="2593">
        <f t="shared" si="53"/>
        <v>0</v>
      </c>
    </row>
    <row r="260" spans="1:30" s="2218" customFormat="1" ht="22.5" hidden="1" customHeight="1">
      <c r="A260" s="2235">
        <v>28</v>
      </c>
      <c r="B260" s="2423" t="s">
        <v>2126</v>
      </c>
      <c r="C260" s="2427" t="s">
        <v>2127</v>
      </c>
      <c r="D260" s="2552" t="s">
        <v>1128</v>
      </c>
      <c r="E260" s="2255">
        <f>E261+E262+E263+E264+E265</f>
        <v>0</v>
      </c>
      <c r="F260" s="2256">
        <f>F261+F262+F263+F264+F265</f>
        <v>0</v>
      </c>
      <c r="G260" s="2257">
        <f t="shared" si="54"/>
        <v>0</v>
      </c>
      <c r="H260" s="2256">
        <f>H261+H262+H263+H264+H265</f>
        <v>0</v>
      </c>
      <c r="I260" s="2256">
        <f>I261+I262+I263+I264+I265</f>
        <v>0</v>
      </c>
      <c r="J260" s="2257">
        <f t="shared" si="55"/>
        <v>0</v>
      </c>
      <c r="K260" s="2256">
        <f>K261+K262+K263+K264+K265</f>
        <v>0</v>
      </c>
      <c r="L260" s="2256">
        <f>L261+L262+L263+L264+L265</f>
        <v>0</v>
      </c>
      <c r="M260" s="2259">
        <f t="shared" si="56"/>
        <v>0</v>
      </c>
      <c r="N260" s="2255">
        <v>0</v>
      </c>
      <c r="O260" s="2256">
        <v>0</v>
      </c>
      <c r="P260" s="2258">
        <f t="shared" si="57"/>
        <v>0</v>
      </c>
      <c r="Q260" s="2255">
        <f>Q261+Q262+Q263+Q264+Q265</f>
        <v>0</v>
      </c>
      <c r="R260" s="2256">
        <f>R261+R262+R263+R264+R265</f>
        <v>0</v>
      </c>
      <c r="S260" s="2259">
        <f t="shared" si="58"/>
        <v>0</v>
      </c>
      <c r="T260" s="2260">
        <f>T261+T262+T263+T264+T265</f>
        <v>0</v>
      </c>
      <c r="U260" s="2256">
        <f>U261+U262+U263+U264+U265</f>
        <v>0</v>
      </c>
      <c r="V260" s="2258">
        <f t="shared" si="59"/>
        <v>0</v>
      </c>
      <c r="W260" s="2255">
        <f>W261+W262+W263+W264+W265</f>
        <v>0</v>
      </c>
      <c r="X260" s="2256">
        <f>X261+X262+X263+X264+X265</f>
        <v>0</v>
      </c>
      <c r="Y260" s="2258">
        <f t="shared" si="60"/>
        <v>0</v>
      </c>
      <c r="Z260" s="2255">
        <f>Z261+Z262+Z263+Z264+Z265</f>
        <v>0</v>
      </c>
      <c r="AA260" s="2256">
        <f>AA261+AA262+AA263+AA264+AA265</f>
        <v>0</v>
      </c>
      <c r="AB260" s="2259">
        <f t="shared" si="61"/>
        <v>0</v>
      </c>
      <c r="AC260" s="2593">
        <f t="shared" si="53"/>
        <v>0</v>
      </c>
    </row>
    <row r="261" spans="1:30" s="2218" customFormat="1" ht="24" hidden="1" customHeight="1">
      <c r="A261" s="2235">
        <v>29</v>
      </c>
      <c r="B261" s="2423" t="s">
        <v>2128</v>
      </c>
      <c r="C261" s="2424" t="s">
        <v>2129</v>
      </c>
      <c r="D261" s="2552" t="s">
        <v>1128</v>
      </c>
      <c r="E261" s="2284"/>
      <c r="F261" s="2285"/>
      <c r="G261" s="2257">
        <f t="shared" si="54"/>
        <v>0</v>
      </c>
      <c r="H261" s="2285"/>
      <c r="I261" s="2285"/>
      <c r="J261" s="2257">
        <f t="shared" si="55"/>
        <v>0</v>
      </c>
      <c r="K261" s="2285"/>
      <c r="L261" s="2285"/>
      <c r="M261" s="2259">
        <f t="shared" si="56"/>
        <v>0</v>
      </c>
      <c r="N261" s="2284">
        <v>0</v>
      </c>
      <c r="O261" s="2285">
        <v>0</v>
      </c>
      <c r="P261" s="2258">
        <f t="shared" si="57"/>
        <v>0</v>
      </c>
      <c r="Q261" s="2284"/>
      <c r="R261" s="2285"/>
      <c r="S261" s="2259">
        <f t="shared" si="58"/>
        <v>0</v>
      </c>
      <c r="T261" s="2286"/>
      <c r="U261" s="2285"/>
      <c r="V261" s="2258">
        <f t="shared" si="59"/>
        <v>0</v>
      </c>
      <c r="W261" s="2284"/>
      <c r="X261" s="2285"/>
      <c r="Y261" s="2258">
        <f t="shared" si="60"/>
        <v>0</v>
      </c>
      <c r="Z261" s="2284"/>
      <c r="AA261" s="2285"/>
      <c r="AB261" s="2259">
        <f t="shared" si="61"/>
        <v>0</v>
      </c>
      <c r="AC261" s="2593">
        <f t="shared" si="53"/>
        <v>0</v>
      </c>
    </row>
    <row r="262" spans="1:30" s="2218" customFormat="1" ht="22.5" hidden="1" customHeight="1">
      <c r="A262" s="2235">
        <v>30</v>
      </c>
      <c r="B262" s="2423" t="s">
        <v>2130</v>
      </c>
      <c r="C262" s="2424" t="s">
        <v>2131</v>
      </c>
      <c r="D262" s="2552" t="s">
        <v>1128</v>
      </c>
      <c r="E262" s="2284"/>
      <c r="F262" s="2285"/>
      <c r="G262" s="2257">
        <f t="shared" si="54"/>
        <v>0</v>
      </c>
      <c r="H262" s="2285"/>
      <c r="I262" s="2285"/>
      <c r="J262" s="2257">
        <f t="shared" si="55"/>
        <v>0</v>
      </c>
      <c r="K262" s="2285"/>
      <c r="L262" s="2285"/>
      <c r="M262" s="2259">
        <f t="shared" si="56"/>
        <v>0</v>
      </c>
      <c r="N262" s="2284">
        <v>0</v>
      </c>
      <c r="O262" s="2285">
        <v>0</v>
      </c>
      <c r="P262" s="2258">
        <f t="shared" si="57"/>
        <v>0</v>
      </c>
      <c r="Q262" s="2284"/>
      <c r="R262" s="2285"/>
      <c r="S262" s="2259">
        <f t="shared" si="58"/>
        <v>0</v>
      </c>
      <c r="T262" s="2286"/>
      <c r="U262" s="2285"/>
      <c r="V262" s="2258">
        <f t="shared" si="59"/>
        <v>0</v>
      </c>
      <c r="W262" s="2284"/>
      <c r="X262" s="2285"/>
      <c r="Y262" s="2258">
        <f t="shared" si="60"/>
        <v>0</v>
      </c>
      <c r="Z262" s="2284"/>
      <c r="AA262" s="2285"/>
      <c r="AB262" s="2259">
        <f t="shared" si="61"/>
        <v>0</v>
      </c>
      <c r="AC262" s="2593">
        <f t="shared" si="53"/>
        <v>0</v>
      </c>
    </row>
    <row r="263" spans="1:30" s="2218" customFormat="1" ht="24" hidden="1" customHeight="1">
      <c r="A263" s="2235">
        <v>31</v>
      </c>
      <c r="B263" s="2423" t="s">
        <v>2132</v>
      </c>
      <c r="C263" s="2424" t="s">
        <v>2133</v>
      </c>
      <c r="D263" s="2552" t="s">
        <v>1128</v>
      </c>
      <c r="E263" s="2284"/>
      <c r="F263" s="2285"/>
      <c r="G263" s="2257">
        <f t="shared" si="54"/>
        <v>0</v>
      </c>
      <c r="H263" s="2285"/>
      <c r="I263" s="2285"/>
      <c r="J263" s="2257">
        <f t="shared" si="55"/>
        <v>0</v>
      </c>
      <c r="K263" s="2285"/>
      <c r="L263" s="2285"/>
      <c r="M263" s="2259">
        <f t="shared" si="56"/>
        <v>0</v>
      </c>
      <c r="N263" s="2284">
        <v>0</v>
      </c>
      <c r="O263" s="2285">
        <v>0</v>
      </c>
      <c r="P263" s="2258">
        <f t="shared" si="57"/>
        <v>0</v>
      </c>
      <c r="Q263" s="2284"/>
      <c r="R263" s="2285"/>
      <c r="S263" s="2259">
        <f t="shared" si="58"/>
        <v>0</v>
      </c>
      <c r="T263" s="2286"/>
      <c r="U263" s="2285"/>
      <c r="V263" s="2258">
        <f t="shared" si="59"/>
        <v>0</v>
      </c>
      <c r="W263" s="2284"/>
      <c r="X263" s="2285"/>
      <c r="Y263" s="2258">
        <f t="shared" si="60"/>
        <v>0</v>
      </c>
      <c r="Z263" s="2284"/>
      <c r="AA263" s="2285"/>
      <c r="AB263" s="2259">
        <f t="shared" si="61"/>
        <v>0</v>
      </c>
      <c r="AC263" s="2593">
        <f t="shared" ref="AC263:AC274" si="62">T263-R263</f>
        <v>0</v>
      </c>
    </row>
    <row r="264" spans="1:30" s="2218" customFormat="1" ht="24" hidden="1" customHeight="1">
      <c r="A264" s="2235">
        <v>32</v>
      </c>
      <c r="B264" s="2423" t="s">
        <v>2134</v>
      </c>
      <c r="C264" s="2424" t="s">
        <v>2135</v>
      </c>
      <c r="D264" s="2552" t="s">
        <v>1128</v>
      </c>
      <c r="E264" s="2284"/>
      <c r="F264" s="2285"/>
      <c r="G264" s="2257">
        <f t="shared" si="54"/>
        <v>0</v>
      </c>
      <c r="H264" s="2285"/>
      <c r="I264" s="2285"/>
      <c r="J264" s="2257">
        <f t="shared" si="55"/>
        <v>0</v>
      </c>
      <c r="K264" s="2285"/>
      <c r="L264" s="2285"/>
      <c r="M264" s="2259">
        <f t="shared" si="56"/>
        <v>0</v>
      </c>
      <c r="N264" s="2284">
        <v>0</v>
      </c>
      <c r="O264" s="2285">
        <v>0</v>
      </c>
      <c r="P264" s="2258">
        <f t="shared" si="57"/>
        <v>0</v>
      </c>
      <c r="Q264" s="2284"/>
      <c r="R264" s="2285"/>
      <c r="S264" s="2259">
        <f t="shared" si="58"/>
        <v>0</v>
      </c>
      <c r="T264" s="2286"/>
      <c r="U264" s="2285"/>
      <c r="V264" s="2258">
        <f t="shared" si="59"/>
        <v>0</v>
      </c>
      <c r="W264" s="2284"/>
      <c r="X264" s="2285"/>
      <c r="Y264" s="2258">
        <f t="shared" si="60"/>
        <v>0</v>
      </c>
      <c r="Z264" s="2284"/>
      <c r="AA264" s="2285"/>
      <c r="AB264" s="2259">
        <f t="shared" si="61"/>
        <v>0</v>
      </c>
      <c r="AC264" s="2593">
        <f t="shared" si="62"/>
        <v>0</v>
      </c>
    </row>
    <row r="265" spans="1:30" s="2218" customFormat="1" ht="23.25" hidden="1" customHeight="1">
      <c r="A265" s="2235">
        <v>33</v>
      </c>
      <c r="B265" s="2423" t="s">
        <v>2136</v>
      </c>
      <c r="C265" s="2424" t="s">
        <v>2137</v>
      </c>
      <c r="D265" s="2552" t="s">
        <v>1128</v>
      </c>
      <c r="E265" s="2284"/>
      <c r="F265" s="2285"/>
      <c r="G265" s="2257">
        <f t="shared" si="54"/>
        <v>0</v>
      </c>
      <c r="H265" s="2285"/>
      <c r="I265" s="2285"/>
      <c r="J265" s="2257">
        <f t="shared" si="55"/>
        <v>0</v>
      </c>
      <c r="K265" s="2285"/>
      <c r="L265" s="2285"/>
      <c r="M265" s="2259">
        <f t="shared" si="56"/>
        <v>0</v>
      </c>
      <c r="N265" s="2284">
        <v>0</v>
      </c>
      <c r="O265" s="2285">
        <v>0</v>
      </c>
      <c r="P265" s="2258">
        <f t="shared" si="57"/>
        <v>0</v>
      </c>
      <c r="Q265" s="2284"/>
      <c r="R265" s="2285"/>
      <c r="S265" s="2259">
        <f t="shared" si="58"/>
        <v>0</v>
      </c>
      <c r="T265" s="2286"/>
      <c r="U265" s="2285"/>
      <c r="V265" s="2258">
        <f t="shared" si="59"/>
        <v>0</v>
      </c>
      <c r="W265" s="2284"/>
      <c r="X265" s="2285"/>
      <c r="Y265" s="2258">
        <f t="shared" si="60"/>
        <v>0</v>
      </c>
      <c r="Z265" s="2284"/>
      <c r="AA265" s="2285"/>
      <c r="AB265" s="2259">
        <f t="shared" si="61"/>
        <v>0</v>
      </c>
      <c r="AC265" s="2593">
        <f t="shared" si="62"/>
        <v>0</v>
      </c>
    </row>
    <row r="266" spans="1:30" s="2218" customFormat="1" ht="22.5" hidden="1" customHeight="1">
      <c r="A266" s="2235">
        <v>34</v>
      </c>
      <c r="B266" s="2423" t="s">
        <v>2138</v>
      </c>
      <c r="C266" s="2424" t="s">
        <v>2139</v>
      </c>
      <c r="D266" s="2552" t="s">
        <v>1313</v>
      </c>
      <c r="E266" s="2255">
        <f>E267+E268</f>
        <v>0</v>
      </c>
      <c r="F266" s="2256">
        <f>F267+F268</f>
        <v>0</v>
      </c>
      <c r="G266" s="2257">
        <f t="shared" si="54"/>
        <v>0</v>
      </c>
      <c r="H266" s="2256">
        <f>H267+H268</f>
        <v>0</v>
      </c>
      <c r="I266" s="2256">
        <f>I267+I268</f>
        <v>0</v>
      </c>
      <c r="J266" s="2257">
        <f t="shared" si="55"/>
        <v>0</v>
      </c>
      <c r="K266" s="2256">
        <f>K267+K268</f>
        <v>0</v>
      </c>
      <c r="L266" s="2256">
        <f>L267+L268</f>
        <v>0</v>
      </c>
      <c r="M266" s="2259">
        <f t="shared" si="56"/>
        <v>0</v>
      </c>
      <c r="N266" s="2255">
        <v>0</v>
      </c>
      <c r="O266" s="2256">
        <v>0</v>
      </c>
      <c r="P266" s="2258">
        <f t="shared" si="57"/>
        <v>0</v>
      </c>
      <c r="Q266" s="2255">
        <f>Q267+Q268</f>
        <v>0</v>
      </c>
      <c r="R266" s="2256">
        <f>R267+R268</f>
        <v>0</v>
      </c>
      <c r="S266" s="2259">
        <f t="shared" si="58"/>
        <v>0</v>
      </c>
      <c r="T266" s="2260">
        <f>T267+T268</f>
        <v>0</v>
      </c>
      <c r="U266" s="2256">
        <f>U267+U268</f>
        <v>0</v>
      </c>
      <c r="V266" s="2258">
        <f t="shared" si="59"/>
        <v>0</v>
      </c>
      <c r="W266" s="2255">
        <f>W267+W268</f>
        <v>0</v>
      </c>
      <c r="X266" s="2256">
        <f>X267+X268</f>
        <v>0</v>
      </c>
      <c r="Y266" s="2258">
        <f t="shared" si="60"/>
        <v>0</v>
      </c>
      <c r="Z266" s="2255">
        <f>Z267+Z268</f>
        <v>0</v>
      </c>
      <c r="AA266" s="2256">
        <f>AA267+AA268</f>
        <v>0</v>
      </c>
      <c r="AB266" s="2259">
        <f t="shared" si="61"/>
        <v>0</v>
      </c>
      <c r="AC266" s="2593">
        <f t="shared" si="62"/>
        <v>0</v>
      </c>
    </row>
    <row r="267" spans="1:30" s="2218" customFormat="1" ht="25.5" hidden="1" customHeight="1">
      <c r="A267" s="2235">
        <v>35</v>
      </c>
      <c r="B267" s="2423" t="s">
        <v>2140</v>
      </c>
      <c r="C267" s="2424" t="s">
        <v>2084</v>
      </c>
      <c r="D267" s="2552" t="s">
        <v>1128</v>
      </c>
      <c r="E267" s="2284"/>
      <c r="F267" s="2285"/>
      <c r="G267" s="2257">
        <f t="shared" si="54"/>
        <v>0</v>
      </c>
      <c r="H267" s="2285"/>
      <c r="I267" s="2285"/>
      <c r="J267" s="2257">
        <f t="shared" si="55"/>
        <v>0</v>
      </c>
      <c r="K267" s="2285"/>
      <c r="L267" s="2285"/>
      <c r="M267" s="2259">
        <f t="shared" si="56"/>
        <v>0</v>
      </c>
      <c r="N267" s="2284">
        <v>0</v>
      </c>
      <c r="O267" s="2285">
        <v>0</v>
      </c>
      <c r="P267" s="2258">
        <f t="shared" si="57"/>
        <v>0</v>
      </c>
      <c r="Q267" s="2284"/>
      <c r="R267" s="2285"/>
      <c r="S267" s="2259">
        <f t="shared" si="58"/>
        <v>0</v>
      </c>
      <c r="T267" s="2286"/>
      <c r="U267" s="2285"/>
      <c r="V267" s="2258">
        <f t="shared" si="59"/>
        <v>0</v>
      </c>
      <c r="W267" s="2284"/>
      <c r="X267" s="2285"/>
      <c r="Y267" s="2258">
        <f t="shared" si="60"/>
        <v>0</v>
      </c>
      <c r="Z267" s="2284"/>
      <c r="AA267" s="2285"/>
      <c r="AB267" s="2259">
        <f t="shared" si="61"/>
        <v>0</v>
      </c>
      <c r="AC267" s="2593">
        <f t="shared" si="62"/>
        <v>0</v>
      </c>
    </row>
    <row r="268" spans="1:30" s="2218" customFormat="1" ht="23.25" hidden="1" customHeight="1">
      <c r="A268" s="2235">
        <v>36</v>
      </c>
      <c r="B268" s="2423" t="s">
        <v>2141</v>
      </c>
      <c r="C268" s="2424" t="s">
        <v>2088</v>
      </c>
      <c r="D268" s="2552" t="s">
        <v>1128</v>
      </c>
      <c r="E268" s="2284"/>
      <c r="F268" s="2285"/>
      <c r="G268" s="2257">
        <f t="shared" si="54"/>
        <v>0</v>
      </c>
      <c r="H268" s="2285"/>
      <c r="I268" s="2285"/>
      <c r="J268" s="2257">
        <f t="shared" si="55"/>
        <v>0</v>
      </c>
      <c r="K268" s="2285"/>
      <c r="L268" s="2285"/>
      <c r="M268" s="2259">
        <f t="shared" si="56"/>
        <v>0</v>
      </c>
      <c r="N268" s="2284">
        <v>0</v>
      </c>
      <c r="O268" s="2285">
        <v>0</v>
      </c>
      <c r="P268" s="2258">
        <f t="shared" si="57"/>
        <v>0</v>
      </c>
      <c r="Q268" s="2284"/>
      <c r="R268" s="2285"/>
      <c r="S268" s="2259">
        <f t="shared" si="58"/>
        <v>0</v>
      </c>
      <c r="T268" s="2286"/>
      <c r="U268" s="2285"/>
      <c r="V268" s="2258">
        <f t="shared" si="59"/>
        <v>0</v>
      </c>
      <c r="W268" s="2284"/>
      <c r="X268" s="2285"/>
      <c r="Y268" s="2258">
        <f t="shared" si="60"/>
        <v>0</v>
      </c>
      <c r="Z268" s="2284"/>
      <c r="AA268" s="2285"/>
      <c r="AB268" s="2259">
        <f t="shared" si="61"/>
        <v>0</v>
      </c>
      <c r="AC268" s="2593">
        <f t="shared" si="62"/>
        <v>0</v>
      </c>
    </row>
    <row r="269" spans="1:30" s="2218" customFormat="1" ht="20.25" hidden="1" customHeight="1" thickBot="1">
      <c r="A269" s="2235">
        <v>37</v>
      </c>
      <c r="B269" s="2428" t="s">
        <v>2142</v>
      </c>
      <c r="C269" s="2429" t="s">
        <v>2143</v>
      </c>
      <c r="D269" s="2553" t="s">
        <v>1128</v>
      </c>
      <c r="E269" s="2487"/>
      <c r="F269" s="2488"/>
      <c r="G269" s="2489">
        <f t="shared" si="54"/>
        <v>0</v>
      </c>
      <c r="H269" s="2488"/>
      <c r="I269" s="2488"/>
      <c r="J269" s="2489">
        <f t="shared" si="55"/>
        <v>0</v>
      </c>
      <c r="K269" s="2488"/>
      <c r="L269" s="2488"/>
      <c r="M269" s="2490">
        <f t="shared" si="56"/>
        <v>0</v>
      </c>
      <c r="N269" s="2487">
        <v>0</v>
      </c>
      <c r="O269" s="2488">
        <v>0</v>
      </c>
      <c r="P269" s="2554">
        <f t="shared" si="57"/>
        <v>0</v>
      </c>
      <c r="Q269" s="2487"/>
      <c r="R269" s="2488"/>
      <c r="S269" s="2490">
        <f t="shared" si="58"/>
        <v>0</v>
      </c>
      <c r="T269" s="2555"/>
      <c r="U269" s="2488"/>
      <c r="V269" s="2554">
        <f t="shared" si="59"/>
        <v>0</v>
      </c>
      <c r="W269" s="2487"/>
      <c r="X269" s="2488"/>
      <c r="Y269" s="2554">
        <f t="shared" si="60"/>
        <v>0</v>
      </c>
      <c r="Z269" s="2487"/>
      <c r="AA269" s="2488"/>
      <c r="AB269" s="2490">
        <f t="shared" si="61"/>
        <v>0</v>
      </c>
      <c r="AC269" s="2593">
        <f t="shared" si="62"/>
        <v>0</v>
      </c>
    </row>
    <row r="270" spans="1:30" s="2218" customFormat="1" ht="38.25" hidden="1" thickBot="1">
      <c r="A270" s="2235">
        <v>197</v>
      </c>
      <c r="B270" s="2317" t="s">
        <v>2144</v>
      </c>
      <c r="C270" s="2318" t="s">
        <v>2145</v>
      </c>
      <c r="D270" s="2510" t="s">
        <v>1317</v>
      </c>
      <c r="E270" s="2431"/>
      <c r="F270" s="2432"/>
      <c r="G270" s="2374">
        <f>E270/2+F270/2</f>
        <v>0</v>
      </c>
      <c r="H270" s="2432"/>
      <c r="I270" s="2432"/>
      <c r="J270" s="2374">
        <f>H270/2+I270/2</f>
        <v>0</v>
      </c>
      <c r="K270" s="2432"/>
      <c r="L270" s="2432"/>
      <c r="M270" s="2374">
        <f>K270/2+L270/2</f>
        <v>0</v>
      </c>
      <c r="N270" s="2431">
        <v>0</v>
      </c>
      <c r="O270" s="2432">
        <v>0</v>
      </c>
      <c r="P270" s="2375">
        <f>N270/2+O270/2</f>
        <v>0</v>
      </c>
      <c r="Q270" s="2431"/>
      <c r="R270" s="2432"/>
      <c r="S270" s="2374">
        <f>Q270/2+R270/2</f>
        <v>0</v>
      </c>
      <c r="T270" s="2433"/>
      <c r="U270" s="2432"/>
      <c r="V270" s="2375">
        <f>T270/2+U270/2</f>
        <v>0</v>
      </c>
      <c r="W270" s="2431"/>
      <c r="X270" s="2432"/>
      <c r="Y270" s="2375">
        <f>W270/2+X270/2</f>
        <v>0</v>
      </c>
      <c r="Z270" s="2431"/>
      <c r="AA270" s="2432"/>
      <c r="AB270" s="2374">
        <f>Z270/2+AA270/2</f>
        <v>0</v>
      </c>
      <c r="AC270" s="2593">
        <f t="shared" si="62"/>
        <v>0</v>
      </c>
      <c r="AD270" s="2593"/>
    </row>
    <row r="271" spans="1:30" ht="78.75" hidden="1" outlineLevel="1">
      <c r="B271" s="2434"/>
      <c r="C271" s="2435" t="s">
        <v>2146</v>
      </c>
      <c r="D271" s="2508" t="s">
        <v>1317</v>
      </c>
      <c r="E271" s="2436"/>
      <c r="F271" s="2437"/>
      <c r="G271" s="2438">
        <f t="shared" si="54"/>
        <v>0</v>
      </c>
      <c r="H271" s="2437"/>
      <c r="I271" s="2437"/>
      <c r="J271" s="2438">
        <f>H271/2+I271/2</f>
        <v>0</v>
      </c>
      <c r="K271" s="2437"/>
      <c r="L271" s="2437"/>
      <c r="M271" s="2440">
        <f>K271/2+L271/2</f>
        <v>0</v>
      </c>
      <c r="N271" s="2436">
        <v>0</v>
      </c>
      <c r="O271" s="2437">
        <v>0</v>
      </c>
      <c r="P271" s="2439">
        <f>N271/2+O271/2</f>
        <v>0</v>
      </c>
      <c r="Q271" s="2436"/>
      <c r="R271" s="2437"/>
      <c r="S271" s="2440">
        <f>Q271/2+R271/2</f>
        <v>0</v>
      </c>
      <c r="T271" s="2441"/>
      <c r="U271" s="2437"/>
      <c r="V271" s="2439">
        <f>T271/2+U271/2</f>
        <v>0</v>
      </c>
      <c r="W271" s="2436"/>
      <c r="X271" s="2437"/>
      <c r="Y271" s="2439">
        <f>W271/2+X271/2</f>
        <v>0</v>
      </c>
      <c r="Z271" s="2436"/>
      <c r="AA271" s="2437"/>
      <c r="AB271" s="2440">
        <f>Z271/2+AA271/2</f>
        <v>0</v>
      </c>
      <c r="AC271" s="2593">
        <f t="shared" si="62"/>
        <v>0</v>
      </c>
    </row>
    <row r="272" spans="1:30" collapsed="1">
      <c r="B272" s="2442" t="s">
        <v>15036</v>
      </c>
      <c r="C272" s="2435" t="s">
        <v>15037</v>
      </c>
      <c r="D272" s="2508" t="s">
        <v>1317</v>
      </c>
      <c r="E272" s="2436"/>
      <c r="F272" s="2437"/>
      <c r="G272" s="2438"/>
      <c r="H272" s="2437"/>
      <c r="I272" s="2437"/>
      <c r="J272" s="2438"/>
      <c r="K272" s="2437"/>
      <c r="L272" s="2437"/>
      <c r="M272" s="2440"/>
      <c r="N272" s="3051">
        <v>0</v>
      </c>
      <c r="O272" s="3052">
        <v>-38700</v>
      </c>
      <c r="P272" s="2440">
        <f>N272/2+O272/2</f>
        <v>-19350</v>
      </c>
      <c r="Q272" s="3051">
        <f>O272</f>
        <v>-38700</v>
      </c>
      <c r="R272" s="3052">
        <f>Q272+34000</f>
        <v>-4700</v>
      </c>
      <c r="S272" s="2440">
        <f>Q272/2+R272/2</f>
        <v>-21700</v>
      </c>
      <c r="T272" s="3051">
        <f>R272</f>
        <v>-4700</v>
      </c>
      <c r="U272" s="3052">
        <f>T272+17000</f>
        <v>12300</v>
      </c>
      <c r="V272" s="2440">
        <f>T272/2+U272/2</f>
        <v>3800</v>
      </c>
      <c r="W272" s="3051">
        <f>U272</f>
        <v>12300</v>
      </c>
      <c r="X272" s="3052">
        <f>W272+13200</f>
        <v>25500</v>
      </c>
      <c r="Y272" s="2440">
        <f>W272/2+X272/2</f>
        <v>18900</v>
      </c>
      <c r="Z272" s="3051">
        <f>X272</f>
        <v>25500</v>
      </c>
      <c r="AA272" s="3052">
        <v>11200</v>
      </c>
      <c r="AB272" s="2440">
        <f>Z272/2+AA272/2</f>
        <v>18350</v>
      </c>
      <c r="AC272" s="2593">
        <f t="shared" si="62"/>
        <v>0</v>
      </c>
      <c r="AD272" s="2600"/>
    </row>
    <row r="273" spans="1:29" ht="18.75" hidden="1">
      <c r="B273" s="2443"/>
      <c r="C273" s="2444" t="s">
        <v>2147</v>
      </c>
      <c r="D273" s="2556" t="s">
        <v>1983</v>
      </c>
      <c r="E273" s="2446">
        <v>27828.11</v>
      </c>
      <c r="F273" s="2447">
        <v>27828.11</v>
      </c>
      <c r="G273" s="2448">
        <f t="shared" si="54"/>
        <v>27828.11</v>
      </c>
      <c r="H273" s="2447">
        <v>28319.680279999997</v>
      </c>
      <c r="I273" s="2447">
        <v>28319.680279999997</v>
      </c>
      <c r="J273" s="2448">
        <f>H273/2+I273/2</f>
        <v>28319.680279999997</v>
      </c>
      <c r="K273" s="2447">
        <v>28270.953293000006</v>
      </c>
      <c r="L273" s="2447">
        <f>K273</f>
        <v>28270.953293000006</v>
      </c>
      <c r="M273" s="2450">
        <f>K273/2+L273/2</f>
        <v>28270.953293000006</v>
      </c>
      <c r="N273" s="2557">
        <v>28291.572</v>
      </c>
      <c r="O273" s="2558">
        <v>28291.572</v>
      </c>
      <c r="P273" s="2449">
        <f>N273/2+O273/2</f>
        <v>28291.572</v>
      </c>
      <c r="Q273" s="2557">
        <f>O273</f>
        <v>28291.572</v>
      </c>
      <c r="R273" s="2558">
        <f>Q273</f>
        <v>28291.572</v>
      </c>
      <c r="S273" s="2450">
        <f>Q273/2+R273/2</f>
        <v>28291.572</v>
      </c>
      <c r="T273" s="2559">
        <f>R273</f>
        <v>28291.572</v>
      </c>
      <c r="U273" s="2558">
        <f>T273</f>
        <v>28291.572</v>
      </c>
      <c r="V273" s="2449">
        <f>T273/2+U273/2</f>
        <v>28291.572</v>
      </c>
      <c r="W273" s="2557">
        <f>U273</f>
        <v>28291.572</v>
      </c>
      <c r="X273" s="2558">
        <f>W273</f>
        <v>28291.572</v>
      </c>
      <c r="Y273" s="2449">
        <f>W273/2+X273/2</f>
        <v>28291.572</v>
      </c>
      <c r="Z273" s="2557">
        <f>X273</f>
        <v>28291.572</v>
      </c>
      <c r="AA273" s="2558">
        <f>Z273</f>
        <v>28291.572</v>
      </c>
      <c r="AB273" s="2450">
        <f>Z273/2+AA273/2</f>
        <v>28291.572</v>
      </c>
      <c r="AC273" s="2593">
        <f t="shared" si="62"/>
        <v>0</v>
      </c>
    </row>
    <row r="274" spans="1:29" ht="19.5" hidden="1" thickBot="1">
      <c r="B274" s="2451"/>
      <c r="C274" s="2452" t="s">
        <v>2148</v>
      </c>
      <c r="D274" s="2560" t="s">
        <v>1986</v>
      </c>
      <c r="E274" s="2454">
        <f>E6/E273</f>
        <v>6.3151437159509616</v>
      </c>
      <c r="F274" s="2455">
        <f>F6/F273</f>
        <v>6.5520535765725336</v>
      </c>
      <c r="G274" s="2455"/>
      <c r="H274" s="2455">
        <f>H6/H273</f>
        <v>6.5894097193826351</v>
      </c>
      <c r="I274" s="2455">
        <f>I6/I273</f>
        <v>6.8142972125618462</v>
      </c>
      <c r="J274" s="2455"/>
      <c r="K274" s="2455">
        <f>K6/K273</f>
        <v>7.4015026609709027</v>
      </c>
      <c r="L274" s="2455">
        <f>L6/L273</f>
        <v>7.6640949663480775</v>
      </c>
      <c r="M274" s="2456"/>
      <c r="N274" s="2561">
        <f>N6/N273</f>
        <v>8.0844577043261037</v>
      </c>
      <c r="O274" s="2562">
        <f>O6/O273</f>
        <v>11.422789458469168</v>
      </c>
      <c r="P274" s="2563"/>
      <c r="Q274" s="2561">
        <f>Q6/Q273</f>
        <v>11.422789238534147</v>
      </c>
      <c r="R274" s="2562">
        <f>R6/R273</f>
        <v>13.215534465986286</v>
      </c>
      <c r="S274" s="2564"/>
      <c r="T274" s="2565">
        <f>T6/T273</f>
        <v>13.216826060533124</v>
      </c>
      <c r="U274" s="2562">
        <f>U6/U273</f>
        <v>14.437690259472232</v>
      </c>
      <c r="V274" s="2563"/>
      <c r="W274" s="2561">
        <f>W6/W273</f>
        <v>14.437690259472232</v>
      </c>
      <c r="X274" s="2562">
        <f>X6/X273</f>
        <v>15.553681772091618</v>
      </c>
      <c r="Y274" s="2563"/>
      <c r="Z274" s="2561">
        <f>Z6/Z273</f>
        <v>15.553681772091618</v>
      </c>
      <c r="AA274" s="2562">
        <f>AA6/AA273</f>
        <v>15.728305979708439</v>
      </c>
      <c r="AB274" s="2564"/>
      <c r="AC274" s="2593">
        <f t="shared" si="62"/>
        <v>1.2915945468385814E-3</v>
      </c>
    </row>
    <row r="275" spans="1:29" ht="14.25" hidden="1" customHeight="1" outlineLevel="1">
      <c r="B275" s="3471"/>
      <c r="C275" s="3472"/>
      <c r="D275" s="3472"/>
      <c r="E275" s="3472"/>
      <c r="F275" s="3472"/>
      <c r="G275" s="3472"/>
      <c r="H275" s="3472"/>
      <c r="I275" s="3472"/>
      <c r="J275" s="3472"/>
      <c r="K275" s="3472"/>
      <c r="L275" s="3472"/>
      <c r="M275" s="2893"/>
      <c r="N275" s="2900"/>
      <c r="O275" s="2900"/>
      <c r="P275" s="2900"/>
      <c r="Q275" s="2900"/>
      <c r="R275" s="2900"/>
      <c r="S275" s="2900"/>
      <c r="T275" s="2900"/>
      <c r="U275" s="2900"/>
      <c r="V275" s="2900"/>
      <c r="W275" s="2900"/>
      <c r="X275" s="2900"/>
      <c r="Y275" s="2899"/>
      <c r="Z275" s="2899"/>
      <c r="AA275" s="2899"/>
      <c r="AB275" s="2894"/>
    </row>
    <row r="276" spans="1:29" hidden="1" outlineLevel="1">
      <c r="B276" s="2113"/>
      <c r="C276" s="2492"/>
      <c r="D276" s="2566"/>
      <c r="E276" s="2492"/>
      <c r="F276" s="2492"/>
      <c r="G276" s="2492"/>
      <c r="H276" s="2492"/>
      <c r="I276" s="2492"/>
      <c r="J276" s="2492"/>
      <c r="K276" s="2492"/>
      <c r="L276" s="2492"/>
      <c r="M276" s="2492"/>
      <c r="N276" s="2493"/>
      <c r="O276" s="2567"/>
      <c r="P276" s="2568"/>
      <c r="Q276" s="2568"/>
      <c r="R276" s="2898"/>
      <c r="S276" s="2569"/>
      <c r="T276" s="2569"/>
      <c r="U276" s="2898"/>
      <c r="V276" s="2569"/>
      <c r="W276" s="2569"/>
      <c r="X276" s="2898"/>
      <c r="Y276" s="2569"/>
      <c r="Z276" s="2569"/>
      <c r="AA276" s="2898"/>
      <c r="AB276" s="2569"/>
    </row>
    <row r="277" spans="1:29" hidden="1" outlineLevel="1">
      <c r="B277" s="2113"/>
      <c r="C277" s="2492"/>
      <c r="D277" s="2566"/>
      <c r="E277" s="2492" t="s">
        <v>15038</v>
      </c>
      <c r="F277" s="2492"/>
      <c r="G277" s="2492"/>
      <c r="H277" s="2492"/>
      <c r="I277" s="2492"/>
      <c r="J277" s="2492"/>
      <c r="K277" s="2492"/>
      <c r="L277" s="2492"/>
      <c r="M277" s="2492"/>
      <c r="N277" s="2493"/>
      <c r="O277" s="2494"/>
      <c r="P277" s="2492"/>
      <c r="Q277" s="2492"/>
      <c r="R277" s="2661"/>
      <c r="S277" s="2495"/>
      <c r="T277" s="2495"/>
      <c r="U277" s="2661"/>
      <c r="V277" s="2495"/>
      <c r="W277" s="2495"/>
      <c r="X277" s="2661"/>
      <c r="Y277" s="2495"/>
      <c r="Z277" s="2495"/>
      <c r="AA277" s="2661"/>
      <c r="AB277" s="2495"/>
    </row>
    <row r="278" spans="1:29" hidden="1" outlineLevel="1">
      <c r="B278" s="2113"/>
      <c r="C278" s="2570"/>
      <c r="D278" s="2571"/>
      <c r="E278" s="2570" t="s">
        <v>15039</v>
      </c>
      <c r="F278" s="2570"/>
      <c r="G278" s="2570"/>
      <c r="H278" s="2570"/>
      <c r="I278" s="2570"/>
      <c r="J278" s="2570"/>
      <c r="K278" s="2570"/>
      <c r="L278" s="2570"/>
      <c r="M278" s="2570"/>
      <c r="N278" s="2572"/>
      <c r="O278" s="2573"/>
      <c r="P278" s="2495"/>
      <c r="Q278" s="2492"/>
      <c r="R278" s="2494"/>
      <c r="S278" s="2492"/>
      <c r="T278" s="2492"/>
      <c r="U278" s="2494"/>
      <c r="V278" s="2492"/>
      <c r="W278" s="2492"/>
      <c r="X278" s="2494"/>
      <c r="Y278" s="2492"/>
      <c r="Z278" s="2492"/>
      <c r="AA278" s="2494"/>
      <c r="AB278" s="2495"/>
    </row>
    <row r="279" spans="1:29" hidden="1" outlineLevel="1">
      <c r="B279" s="2113"/>
      <c r="C279" s="2570"/>
      <c r="D279" s="2571"/>
      <c r="E279" s="2570"/>
      <c r="F279" s="2570"/>
      <c r="G279" s="2570"/>
      <c r="H279" s="2570"/>
      <c r="I279" s="2570"/>
      <c r="J279" s="2570"/>
      <c r="K279" s="2570"/>
      <c r="L279" s="2570"/>
      <c r="M279" s="2570"/>
      <c r="N279" s="2572"/>
      <c r="O279" s="2573"/>
      <c r="P279" s="2492"/>
      <c r="Q279" s="2492"/>
      <c r="R279" s="2494"/>
      <c r="S279" s="2492"/>
      <c r="T279" s="2492"/>
      <c r="U279" s="2494"/>
      <c r="V279" s="2492"/>
      <c r="W279" s="2492"/>
      <c r="X279" s="2494"/>
      <c r="Y279" s="2492"/>
      <c r="Z279" s="2492"/>
      <c r="AA279" s="2494"/>
      <c r="AB279" s="2495"/>
    </row>
    <row r="280" spans="1:29" ht="16.5" collapsed="1" thickBot="1">
      <c r="B280" s="2113"/>
      <c r="C280" s="2492"/>
      <c r="D280" s="2566"/>
      <c r="E280" s="2492"/>
      <c r="F280" s="2492"/>
      <c r="G280" s="2492"/>
      <c r="H280" s="2492"/>
      <c r="I280" s="2492"/>
      <c r="J280" s="2492"/>
      <c r="K280" s="2492"/>
      <c r="L280" s="2492"/>
      <c r="M280" s="2492"/>
      <c r="N280" s="2493"/>
      <c r="O280" s="2493"/>
      <c r="P280" s="2492"/>
      <c r="Q280" s="2492"/>
      <c r="R280" s="2494"/>
      <c r="S280" s="2492"/>
      <c r="T280" s="2492"/>
      <c r="U280" s="2494"/>
      <c r="V280" s="2492"/>
      <c r="W280" s="2492"/>
      <c r="X280" s="2661"/>
      <c r="Y280" s="2492"/>
      <c r="Z280" s="2492"/>
      <c r="AA280" s="2661"/>
      <c r="AB280" s="2495"/>
    </row>
    <row r="281" spans="1:29" s="2116" customFormat="1" ht="18" thickBot="1">
      <c r="A281" s="2113"/>
      <c r="B281" s="1377"/>
      <c r="C281" s="1378" t="s">
        <v>15042</v>
      </c>
      <c r="D281" s="1472" t="s">
        <v>1983</v>
      </c>
      <c r="E281" s="2492"/>
      <c r="F281" s="2492"/>
      <c r="G281" s="2492"/>
      <c r="H281" s="2492"/>
      <c r="I281" s="2492"/>
      <c r="J281" s="2492"/>
      <c r="K281" s="2492"/>
      <c r="L281" s="2492"/>
      <c r="M281" s="2492"/>
      <c r="N281" s="2574">
        <f>N273</f>
        <v>28291.572</v>
      </c>
      <c r="O281" s="2575">
        <f>N281</f>
        <v>28291.572</v>
      </c>
      <c r="P281" s="1439">
        <f>N281/2+O281/2</f>
        <v>28291.572</v>
      </c>
      <c r="Q281" s="2574">
        <f>N281</f>
        <v>28291.572</v>
      </c>
      <c r="R281" s="2575">
        <f>O281</f>
        <v>28291.572</v>
      </c>
      <c r="S281" s="1439">
        <f>Q281/2+R281/2</f>
        <v>28291.572</v>
      </c>
      <c r="T281" s="2574">
        <f>Q281</f>
        <v>28291.572</v>
      </c>
      <c r="U281" s="2575">
        <f>R281</f>
        <v>28291.572</v>
      </c>
      <c r="V281" s="1439">
        <f>T281/2+U281/2</f>
        <v>28291.572</v>
      </c>
      <c r="W281" s="2574">
        <f>T281</f>
        <v>28291.572</v>
      </c>
      <c r="X281" s="2575">
        <f>U281</f>
        <v>28291.572</v>
      </c>
      <c r="Y281" s="2108">
        <f>W281/2+X281/2</f>
        <v>28291.572</v>
      </c>
      <c r="Z281" s="2574">
        <f>W281</f>
        <v>28291.572</v>
      </c>
      <c r="AA281" s="2575">
        <f>X281</f>
        <v>28291.572</v>
      </c>
      <c r="AB281" s="1439">
        <f>Z281/2+AA281/2</f>
        <v>28291.572</v>
      </c>
    </row>
    <row r="282" spans="1:29" s="2116" customFormat="1" ht="17.25" hidden="1" outlineLevel="1">
      <c r="A282" s="2113"/>
      <c r="B282" s="1382"/>
      <c r="C282" s="1383" t="s">
        <v>2163</v>
      </c>
      <c r="D282" s="1473" t="s">
        <v>14927</v>
      </c>
      <c r="E282" s="2492"/>
      <c r="F282" s="2492"/>
      <c r="G282" s="2492"/>
      <c r="H282" s="2492"/>
      <c r="I282" s="2492"/>
      <c r="J282" s="2492"/>
      <c r="K282" s="2492"/>
      <c r="L282" s="2492"/>
      <c r="M282" s="2492"/>
      <c r="N282" s="2576">
        <f>N6-N242</f>
        <v>228722.01722289665</v>
      </c>
      <c r="O282" s="2577">
        <f>O6-O242</f>
        <v>323168.67040512146</v>
      </c>
      <c r="P282" s="1440">
        <f>N282/2+O282/2</f>
        <v>275945.34381400904</v>
      </c>
      <c r="Q282" s="2576">
        <f>Q6-Q242</f>
        <v>323168.66418281401</v>
      </c>
      <c r="R282" s="2577">
        <f>R6-R242</f>
        <v>373888.24486293254</v>
      </c>
      <c r="S282" s="1440">
        <f>Q282/2+R282/2</f>
        <v>348528.45452287327</v>
      </c>
      <c r="T282" s="2576">
        <f>T6-T242</f>
        <v>373924.78610304923</v>
      </c>
      <c r="U282" s="2577">
        <f>U6-U242</f>
        <v>408464.95348955732</v>
      </c>
      <c r="V282" s="1440">
        <f>T282/2+U282/2</f>
        <v>391194.86979630328</v>
      </c>
      <c r="W282" s="2576">
        <f>W6-W242</f>
        <v>408464.95348955732</v>
      </c>
      <c r="X282" s="2577">
        <f>X6-X242</f>
        <v>440038.10772021761</v>
      </c>
      <c r="Y282" s="1450">
        <f>W282/2+X282/2</f>
        <v>424251.53060488746</v>
      </c>
      <c r="Z282" s="2576">
        <f>Z6-Z242</f>
        <v>440038.10772021761</v>
      </c>
      <c r="AA282" s="2577">
        <f>AA6-AA242</f>
        <v>444978.50106295187</v>
      </c>
      <c r="AB282" s="1440">
        <f>Z282/2+AA282/2</f>
        <v>442508.30439158471</v>
      </c>
    </row>
    <row r="283" spans="1:29" s="2116" customFormat="1" ht="17.25" hidden="1" outlineLevel="1">
      <c r="A283" s="2113"/>
      <c r="B283" s="1382"/>
      <c r="C283" s="1383" t="s">
        <v>15232</v>
      </c>
      <c r="D283" s="1474" t="s">
        <v>14928</v>
      </c>
      <c r="E283" s="2492"/>
      <c r="F283" s="2492"/>
      <c r="G283" s="2492"/>
      <c r="H283" s="2492"/>
      <c r="I283" s="2492"/>
      <c r="J283" s="2492"/>
      <c r="K283" s="2492"/>
      <c r="L283" s="2492"/>
      <c r="M283" s="2492"/>
      <c r="N283" s="2576">
        <f>8.08</f>
        <v>8.08</v>
      </c>
      <c r="O283" s="2578">
        <f>O282/O281</f>
        <v>11.422789458469168</v>
      </c>
      <c r="P283" s="1440"/>
      <c r="Q283" s="2576">
        <f>O283</f>
        <v>11.422789458469168</v>
      </c>
      <c r="R283" s="2578">
        <f>R282/R281</f>
        <v>13.215534465986286</v>
      </c>
      <c r="S283" s="1440"/>
      <c r="T283" s="2576">
        <f>R283</f>
        <v>13.215534465986286</v>
      </c>
      <c r="U283" s="2578">
        <f>U282/U281</f>
        <v>14.437690259472232</v>
      </c>
      <c r="V283" s="1440"/>
      <c r="W283" s="2576">
        <f>U283</f>
        <v>14.437690259472232</v>
      </c>
      <c r="X283" s="2578">
        <f>X282/X281</f>
        <v>15.553681772091618</v>
      </c>
      <c r="Y283" s="1450"/>
      <c r="Z283" s="2576">
        <f>X283</f>
        <v>15.553681772091618</v>
      </c>
      <c r="AA283" s="2578">
        <f>AA282/AA281</f>
        <v>15.728305979708439</v>
      </c>
      <c r="AB283" s="1440"/>
    </row>
    <row r="284" spans="1:29" s="2116" customFormat="1" ht="21.75" hidden="1" outlineLevel="1" thickBot="1">
      <c r="A284" s="2113"/>
      <c r="B284" s="1387"/>
      <c r="C284" s="1386" t="s">
        <v>2152</v>
      </c>
      <c r="D284" s="1475" t="s">
        <v>1165</v>
      </c>
      <c r="E284" s="2492"/>
      <c r="F284" s="2492"/>
      <c r="G284" s="2492"/>
      <c r="H284" s="2492"/>
      <c r="I284" s="2492"/>
      <c r="J284" s="2492"/>
      <c r="K284" s="2492"/>
      <c r="L284" s="2492"/>
      <c r="M284" s="2492"/>
      <c r="N284" s="2579"/>
      <c r="O284" s="1481">
        <f>O283/N283</f>
        <v>1.4137115666422237</v>
      </c>
      <c r="P284" s="1442"/>
      <c r="Q284" s="2579">
        <f>Q283/O283</f>
        <v>1</v>
      </c>
      <c r="R284" s="1481">
        <f>R283/Q283</f>
        <v>1.1569445899388373</v>
      </c>
      <c r="S284" s="1442"/>
      <c r="T284" s="2579">
        <f>T283/R283</f>
        <v>1</v>
      </c>
      <c r="U284" s="1481">
        <f>U283/T283</f>
        <v>1.0924787262014632</v>
      </c>
      <c r="V284" s="1442"/>
      <c r="W284" s="2579">
        <f>W283/U283</f>
        <v>1</v>
      </c>
      <c r="X284" s="1481">
        <f>X283/W283</f>
        <v>1.0772970947958389</v>
      </c>
      <c r="Y284" s="2109"/>
      <c r="Z284" s="2579">
        <f>Z283/X283</f>
        <v>1</v>
      </c>
      <c r="AA284" s="1481">
        <f>AA283/Z283</f>
        <v>1.0112271943180779</v>
      </c>
      <c r="AB284" s="1442"/>
    </row>
    <row r="285" spans="1:29" s="2116" customFormat="1" ht="17.25" collapsed="1">
      <c r="A285" s="2113"/>
      <c r="B285" s="1377"/>
      <c r="C285" s="1378" t="s">
        <v>2154</v>
      </c>
      <c r="D285" s="1472" t="s">
        <v>14927</v>
      </c>
      <c r="E285" s="2492"/>
      <c r="F285" s="2492"/>
      <c r="G285" s="2492"/>
      <c r="H285" s="2492"/>
      <c r="I285" s="2492"/>
      <c r="J285" s="2492"/>
      <c r="K285" s="2492"/>
      <c r="L285" s="2492"/>
      <c r="M285" s="2492"/>
      <c r="N285" s="2574">
        <f>N282</f>
        <v>228722.01722289665</v>
      </c>
      <c r="O285" s="2575">
        <f>O282+O288</f>
        <v>323168.67040512146</v>
      </c>
      <c r="P285" s="1440">
        <f>N285/2+O285/2</f>
        <v>275945.34381400904</v>
      </c>
      <c r="Q285" s="2574">
        <f>Q286*Q281</f>
        <v>323168.67040512146</v>
      </c>
      <c r="R285" s="2575">
        <f>R282+R288</f>
        <v>373888.24486293254</v>
      </c>
      <c r="S285" s="1440">
        <f>Q285/2+R285/2</f>
        <v>348528.457634027</v>
      </c>
      <c r="T285" s="2574">
        <f>T286*T281</f>
        <v>373888.24486293254</v>
      </c>
      <c r="U285" s="2575">
        <f>U282+U288</f>
        <v>408464.95348955732</v>
      </c>
      <c r="V285" s="1440">
        <f>T285/2+U285/2</f>
        <v>391176.59917624493</v>
      </c>
      <c r="W285" s="2574">
        <f>W286*W281</f>
        <v>408464.95348955732</v>
      </c>
      <c r="X285" s="2575">
        <f>X282+X288</f>
        <v>440038.10772021761</v>
      </c>
      <c r="Y285" s="1450">
        <f>W285/2+X285/2</f>
        <v>424251.53060488746</v>
      </c>
      <c r="Z285" s="2574">
        <f>Z286*Z281</f>
        <v>440038.10772021761</v>
      </c>
      <c r="AA285" s="2575">
        <f>AA282+AA288</f>
        <v>444978.50106295187</v>
      </c>
      <c r="AB285" s="1440">
        <f>Z285/2+AA285/2</f>
        <v>442508.30439158471</v>
      </c>
    </row>
    <row r="286" spans="1:29" s="2116" customFormat="1" ht="34.5">
      <c r="A286" s="2113"/>
      <c r="B286" s="1382"/>
      <c r="C286" s="1383" t="s">
        <v>15160</v>
      </c>
      <c r="D286" s="1474" t="s">
        <v>14907</v>
      </c>
      <c r="E286" s="2492"/>
      <c r="F286" s="2492"/>
      <c r="G286" s="2492"/>
      <c r="H286" s="2492"/>
      <c r="I286" s="2492"/>
      <c r="J286" s="2492"/>
      <c r="K286" s="2492"/>
      <c r="L286" s="2492"/>
      <c r="M286" s="2492"/>
      <c r="N286" s="2576">
        <v>8.08</v>
      </c>
      <c r="O286" s="2578">
        <f>O285/O281</f>
        <v>11.422789458469168</v>
      </c>
      <c r="P286" s="1440"/>
      <c r="Q286" s="2576">
        <f>O286</f>
        <v>11.422789458469168</v>
      </c>
      <c r="R286" s="2578">
        <f>R285/R281</f>
        <v>13.215534465986286</v>
      </c>
      <c r="S286" s="1440"/>
      <c r="T286" s="2576">
        <f>R286</f>
        <v>13.215534465986286</v>
      </c>
      <c r="U286" s="2578">
        <f>U285/U281</f>
        <v>14.437690259472232</v>
      </c>
      <c r="V286" s="1440"/>
      <c r="W286" s="2576">
        <f>U286</f>
        <v>14.437690259472232</v>
      </c>
      <c r="X286" s="2578">
        <f>X285/X281</f>
        <v>15.553681772091618</v>
      </c>
      <c r="Y286" s="1450"/>
      <c r="Z286" s="2576">
        <f>X286</f>
        <v>15.553681772091618</v>
      </c>
      <c r="AA286" s="2578">
        <f>AA285/AA281</f>
        <v>15.728305979708439</v>
      </c>
      <c r="AB286" s="1440"/>
    </row>
    <row r="287" spans="1:29" ht="21.75" thickBot="1">
      <c r="B287" s="1387"/>
      <c r="C287" s="1386" t="s">
        <v>2153</v>
      </c>
      <c r="D287" s="1475" t="s">
        <v>1165</v>
      </c>
      <c r="E287" s="2457"/>
      <c r="F287" s="2457"/>
      <c r="G287" s="2457"/>
      <c r="H287" s="2457"/>
      <c r="I287" s="2458"/>
      <c r="J287" s="2459"/>
      <c r="K287" s="2459"/>
      <c r="L287" s="2459"/>
      <c r="M287" s="2459"/>
      <c r="N287" s="2579"/>
      <c r="O287" s="1481">
        <f>O286/N286</f>
        <v>1.4137115666422237</v>
      </c>
      <c r="P287" s="1442"/>
      <c r="Q287" s="2579">
        <f>Q286/O286</f>
        <v>1</v>
      </c>
      <c r="R287" s="1481">
        <f>R286/Q286</f>
        <v>1.1569445899388373</v>
      </c>
      <c r="S287" s="1442"/>
      <c r="T287" s="2579">
        <f>T286/R286</f>
        <v>1</v>
      </c>
      <c r="U287" s="1481">
        <f>U286/T286</f>
        <v>1.0924787262014632</v>
      </c>
      <c r="V287" s="1442"/>
      <c r="W287" s="2579">
        <f>W286/U286</f>
        <v>1</v>
      </c>
      <c r="X287" s="1481">
        <f>X286/W286</f>
        <v>1.0772970947958389</v>
      </c>
      <c r="Y287" s="2109"/>
      <c r="Z287" s="2579">
        <f>Z286/X286</f>
        <v>1</v>
      </c>
      <c r="AA287" s="1481">
        <f>AA286/Z286</f>
        <v>1.0112271943180779</v>
      </c>
      <c r="AB287" s="1442"/>
    </row>
    <row r="288" spans="1:29" ht="35.25" thickBot="1">
      <c r="B288" s="1390"/>
      <c r="C288" s="1391" t="s">
        <v>2096</v>
      </c>
      <c r="D288" s="1476" t="s">
        <v>14929</v>
      </c>
      <c r="E288" s="2460"/>
      <c r="F288" s="2460"/>
      <c r="G288" s="2460"/>
      <c r="H288" s="2460"/>
      <c r="I288" s="2460"/>
      <c r="J288" s="2460"/>
      <c r="K288" s="2460"/>
      <c r="L288"/>
      <c r="M288"/>
      <c r="N288" s="2580"/>
      <c r="O288" s="2581">
        <v>0</v>
      </c>
      <c r="P288" s="1443">
        <f>N288/2+O288/2</f>
        <v>0</v>
      </c>
      <c r="Q288" s="2580">
        <v>0</v>
      </c>
      <c r="R288" s="2581">
        <v>0</v>
      </c>
      <c r="S288" s="1443">
        <f>Q288/2+R288/2</f>
        <v>0</v>
      </c>
      <c r="T288" s="2580">
        <v>0</v>
      </c>
      <c r="U288" s="2581">
        <v>0</v>
      </c>
      <c r="V288" s="1443">
        <f>T288/2+U288/2</f>
        <v>0</v>
      </c>
      <c r="W288" s="2580">
        <v>0</v>
      </c>
      <c r="X288" s="2581">
        <v>0</v>
      </c>
      <c r="Y288" s="2110">
        <f>W288/2+X288/2</f>
        <v>0</v>
      </c>
      <c r="Z288" s="2580">
        <v>0</v>
      </c>
      <c r="AA288" s="2581">
        <v>0</v>
      </c>
      <c r="AB288" s="1443">
        <f>Z288/2+AA288/2</f>
        <v>0</v>
      </c>
    </row>
    <row r="292" spans="15:27">
      <c r="O292" s="2464"/>
      <c r="P292" s="2464"/>
      <c r="Q292" s="2464"/>
      <c r="R292" s="2464"/>
      <c r="S292" s="2464"/>
      <c r="T292" s="2464"/>
      <c r="U292" s="2464"/>
      <c r="V292" s="2464"/>
      <c r="W292" s="2464"/>
      <c r="X292" s="2464"/>
      <c r="Y292" s="2464"/>
      <c r="Z292" s="2464"/>
      <c r="AA292" s="2464"/>
    </row>
  </sheetData>
  <mergeCells count="19">
    <mergeCell ref="N2:P2"/>
    <mergeCell ref="Q2:S2"/>
    <mergeCell ref="T2:V2"/>
    <mergeCell ref="W2:Y2"/>
    <mergeCell ref="W3:Y3"/>
    <mergeCell ref="Z3:AB3"/>
    <mergeCell ref="B275:L275"/>
    <mergeCell ref="C1:AB1"/>
    <mergeCell ref="Z2:AB2"/>
    <mergeCell ref="B3:B4"/>
    <mergeCell ref="C3:C4"/>
    <mergeCell ref="D3:D4"/>
    <mergeCell ref="E3:G3"/>
    <mergeCell ref="H3:J3"/>
    <mergeCell ref="K3:M3"/>
    <mergeCell ref="N3:P3"/>
    <mergeCell ref="Q3:S3"/>
    <mergeCell ref="T3:V3"/>
    <mergeCell ref="E2:M2"/>
  </mergeCells>
  <printOptions horizontalCentered="1"/>
  <pageMargins left="0.25" right="0.25" top="0.75" bottom="0.75" header="0.3" footer="0.3"/>
  <pageSetup paperSize="9" scale="40" fitToHeight="0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"/>
  <dimension ref="A1:H38"/>
  <sheetViews>
    <sheetView view="pageBreakPreview" topLeftCell="A2" zoomScale="60" zoomScaleNormal="90" workbookViewId="0">
      <pane xSplit="4" ySplit="9" topLeftCell="E11" activePane="bottomRight" state="frozen"/>
      <selection activeCell="A7" sqref="A7"/>
      <selection pane="topRight" activeCell="E7" sqref="E7"/>
      <selection pane="bottomLeft" activeCell="A11" sqref="A11"/>
      <selection pane="bottomRight" activeCell="E40" sqref="E40"/>
    </sheetView>
  </sheetViews>
  <sheetFormatPr defaultRowHeight="15.75"/>
  <cols>
    <col min="1" max="1" width="7" style="1009" customWidth="1"/>
    <col min="2" max="2" width="75" style="3" customWidth="1"/>
    <col min="3" max="3" width="53.5703125" style="557" customWidth="1"/>
    <col min="4" max="4" width="51.28515625" style="3" customWidth="1"/>
    <col min="5" max="6" width="22" style="3" customWidth="1"/>
    <col min="7" max="7" width="20.42578125" style="1009" customWidth="1"/>
    <col min="8" max="16384" width="9.140625" style="3"/>
  </cols>
  <sheetData>
    <row r="1" spans="1:7">
      <c r="E1" s="408" t="s">
        <v>154</v>
      </c>
    </row>
    <row r="2" spans="1:7">
      <c r="E2" s="3" t="s">
        <v>155</v>
      </c>
    </row>
    <row r="3" spans="1:7">
      <c r="E3" s="3" t="s">
        <v>156</v>
      </c>
    </row>
    <row r="4" spans="1:7">
      <c r="E4" s="3" t="s">
        <v>157</v>
      </c>
    </row>
    <row r="5" spans="1:7">
      <c r="E5" s="3" t="s">
        <v>158</v>
      </c>
    </row>
    <row r="6" spans="1:7">
      <c r="E6" s="3" t="s">
        <v>159</v>
      </c>
    </row>
    <row r="7" spans="1:7" ht="55.5" customHeight="1">
      <c r="A7" s="3473" t="s">
        <v>910</v>
      </c>
      <c r="B7" s="3473"/>
      <c r="C7" s="3473"/>
      <c r="D7" s="3473"/>
      <c r="E7" s="3473"/>
      <c r="F7" s="3473"/>
      <c r="G7" s="3473"/>
    </row>
    <row r="9" spans="1:7" s="408" customFormat="1" ht="42" customHeight="1">
      <c r="A9" s="3477" t="s">
        <v>150</v>
      </c>
      <c r="B9" s="3477" t="s">
        <v>151</v>
      </c>
      <c r="C9" s="3474" t="s">
        <v>160</v>
      </c>
      <c r="D9" s="3475" t="s">
        <v>169</v>
      </c>
      <c r="E9" s="3477" t="s">
        <v>152</v>
      </c>
      <c r="F9" s="3477"/>
      <c r="G9" s="3475" t="s">
        <v>153</v>
      </c>
    </row>
    <row r="10" spans="1:7" s="408" customFormat="1" ht="30.75" customHeight="1">
      <c r="A10" s="3477"/>
      <c r="B10" s="3477"/>
      <c r="C10" s="3474"/>
      <c r="D10" s="3476"/>
      <c r="E10" s="805" t="s">
        <v>22</v>
      </c>
      <c r="F10" s="805" t="s">
        <v>23</v>
      </c>
      <c r="G10" s="3476"/>
    </row>
    <row r="11" spans="1:7" s="413" customFormat="1" ht="31.5">
      <c r="A11" s="11">
        <v>1</v>
      </c>
      <c r="B11" s="558" t="s">
        <v>838</v>
      </c>
      <c r="C11" s="558" t="s">
        <v>654</v>
      </c>
      <c r="D11" s="778" t="str">
        <f>Мероприятия_и_источники!E20</f>
        <v>Заявители, величина подключаемой нагрузки которых не превышает 40 куб.м.в сутки</v>
      </c>
      <c r="E11" s="1945">
        <f>'Заявители до 40 куб.Калуга'!I140*5</f>
        <v>2042.4900000000007</v>
      </c>
      <c r="F11" s="1945">
        <f>'Заявители до 40 куб.Калуга'!O140*5</f>
        <v>1165.1899999999998</v>
      </c>
      <c r="G11" s="1629" t="s">
        <v>286</v>
      </c>
    </row>
    <row r="12" spans="1:7" s="413" customFormat="1" ht="31.5">
      <c r="A12" s="11">
        <v>2</v>
      </c>
      <c r="B12" s="558" t="s">
        <v>840</v>
      </c>
      <c r="C12" s="559" t="s">
        <v>294</v>
      </c>
      <c r="D12" s="779" t="str">
        <f>Мероприятия_и_источники!E24</f>
        <v>ООО Совместное предприятие "Минскстройэкспорт"</v>
      </c>
      <c r="E12" s="1945">
        <v>576.9</v>
      </c>
      <c r="F12" s="1945">
        <v>576.9</v>
      </c>
      <c r="G12" s="11" t="s">
        <v>542</v>
      </c>
    </row>
    <row r="13" spans="1:7" s="413" customFormat="1" ht="31.5">
      <c r="A13" s="11">
        <v>3</v>
      </c>
      <c r="B13" s="780" t="s">
        <v>841</v>
      </c>
      <c r="C13" s="780" t="s">
        <v>296</v>
      </c>
      <c r="D13" s="559" t="s">
        <v>295</v>
      </c>
      <c r="E13" s="1945">
        <v>345.6</v>
      </c>
      <c r="F13" s="1945">
        <v>336</v>
      </c>
      <c r="G13" s="11" t="s">
        <v>541</v>
      </c>
    </row>
    <row r="14" spans="1:7" s="413" customFormat="1" ht="31.5">
      <c r="A14" s="11">
        <v>4</v>
      </c>
      <c r="B14" s="559" t="s">
        <v>842</v>
      </c>
      <c r="C14" s="559" t="s">
        <v>297</v>
      </c>
      <c r="D14" s="559" t="s">
        <v>298</v>
      </c>
      <c r="E14" s="1945">
        <v>135.6</v>
      </c>
      <c r="F14" s="1945">
        <v>93</v>
      </c>
      <c r="G14" s="11" t="s">
        <v>542</v>
      </c>
    </row>
    <row r="15" spans="1:7" s="413" customFormat="1" ht="31.5">
      <c r="A15" s="11">
        <v>5</v>
      </c>
      <c r="B15" s="559" t="s">
        <v>291</v>
      </c>
      <c r="C15" s="559" t="s">
        <v>290</v>
      </c>
      <c r="D15" s="559" t="s">
        <v>289</v>
      </c>
      <c r="E15" s="1945">
        <v>560</v>
      </c>
      <c r="F15" s="1945">
        <v>530</v>
      </c>
      <c r="G15" s="11" t="s">
        <v>542</v>
      </c>
    </row>
    <row r="16" spans="1:7" s="413" customFormat="1" ht="31.5">
      <c r="A16" s="11">
        <v>6</v>
      </c>
      <c r="B16" s="781" t="s">
        <v>293</v>
      </c>
      <c r="C16" s="559" t="s">
        <v>292</v>
      </c>
      <c r="D16" s="559" t="s">
        <v>52</v>
      </c>
      <c r="E16" s="1945">
        <v>1220</v>
      </c>
      <c r="F16" s="1945">
        <v>1131</v>
      </c>
      <c r="G16" s="11" t="s">
        <v>761</v>
      </c>
    </row>
    <row r="17" spans="1:8" s="413" customFormat="1" ht="31.5">
      <c r="A17" s="11">
        <v>7</v>
      </c>
      <c r="B17" s="559" t="s">
        <v>1103</v>
      </c>
      <c r="C17" s="559" t="s">
        <v>168</v>
      </c>
      <c r="D17" s="559" t="s">
        <v>143</v>
      </c>
      <c r="E17" s="1945">
        <v>2000</v>
      </c>
      <c r="F17" s="1945">
        <v>2000</v>
      </c>
      <c r="G17" s="1630" t="s">
        <v>542</v>
      </c>
    </row>
    <row r="18" spans="1:8" s="413" customFormat="1">
      <c r="A18" s="11">
        <v>8</v>
      </c>
      <c r="B18" s="559" t="s">
        <v>1104</v>
      </c>
      <c r="C18" s="559" t="s">
        <v>171</v>
      </c>
      <c r="D18" s="559" t="s">
        <v>170</v>
      </c>
      <c r="E18" s="1945">
        <v>146.24</v>
      </c>
      <c r="F18" s="1945">
        <v>140.28</v>
      </c>
      <c r="G18" s="11" t="s">
        <v>541</v>
      </c>
    </row>
    <row r="19" spans="1:8" s="413" customFormat="1" ht="47.25">
      <c r="A19" s="11">
        <v>9</v>
      </c>
      <c r="B19" s="559" t="s">
        <v>299</v>
      </c>
      <c r="C19" s="559" t="s">
        <v>300</v>
      </c>
      <c r="D19" s="559" t="s">
        <v>1276</v>
      </c>
      <c r="E19" s="1945">
        <v>64.430000000000007</v>
      </c>
      <c r="F19" s="1945">
        <v>64.430000000000007</v>
      </c>
      <c r="G19" s="11" t="s">
        <v>541</v>
      </c>
    </row>
    <row r="20" spans="1:8" s="413" customFormat="1">
      <c r="A20" s="1010" t="s">
        <v>162</v>
      </c>
      <c r="B20" s="780" t="s">
        <v>174</v>
      </c>
      <c r="C20" s="780" t="s">
        <v>173</v>
      </c>
      <c r="D20" s="780" t="s">
        <v>172</v>
      </c>
      <c r="E20" s="1946">
        <v>351</v>
      </c>
      <c r="F20" s="1946">
        <v>351</v>
      </c>
      <c r="G20" s="1630" t="s">
        <v>541</v>
      </c>
    </row>
    <row r="21" spans="1:8" s="413" customFormat="1">
      <c r="A21" s="1010" t="s">
        <v>163</v>
      </c>
      <c r="B21" s="559" t="s">
        <v>177</v>
      </c>
      <c r="C21" s="559" t="s">
        <v>176</v>
      </c>
      <c r="D21" s="559" t="s">
        <v>175</v>
      </c>
      <c r="E21" s="1945">
        <v>52.98</v>
      </c>
      <c r="F21" s="1945">
        <v>52.98</v>
      </c>
      <c r="G21" s="11" t="s">
        <v>541</v>
      </c>
    </row>
    <row r="22" spans="1:8" s="413" customFormat="1" ht="31.5">
      <c r="A22" s="1010" t="s">
        <v>164</v>
      </c>
      <c r="B22" s="559" t="s">
        <v>1079</v>
      </c>
      <c r="C22" s="559" t="s">
        <v>179</v>
      </c>
      <c r="D22" s="559" t="s">
        <v>298</v>
      </c>
      <c r="E22" s="1945">
        <v>66.552000000000007</v>
      </c>
      <c r="F22" s="1945">
        <v>45.156799999999997</v>
      </c>
      <c r="G22" s="11" t="s">
        <v>542</v>
      </c>
      <c r="H22" s="413" t="s">
        <v>15163</v>
      </c>
    </row>
    <row r="23" spans="1:8" s="413" customFormat="1">
      <c r="A23" s="1010" t="s">
        <v>165</v>
      </c>
      <c r="B23" s="559" t="s">
        <v>1105</v>
      </c>
      <c r="C23" s="559" t="s">
        <v>243</v>
      </c>
      <c r="D23" s="559" t="s">
        <v>242</v>
      </c>
      <c r="E23" s="1945">
        <v>58.405999999999999</v>
      </c>
      <c r="F23" s="1945">
        <v>57.436</v>
      </c>
      <c r="G23" s="11" t="s">
        <v>541</v>
      </c>
    </row>
    <row r="24" spans="1:8" s="413" customFormat="1" ht="31.5">
      <c r="A24" s="1010" t="s">
        <v>166</v>
      </c>
      <c r="B24" s="559" t="s">
        <v>245</v>
      </c>
      <c r="C24" s="559" t="s">
        <v>246</v>
      </c>
      <c r="D24" s="559" t="s">
        <v>244</v>
      </c>
      <c r="E24" s="1945">
        <v>169.62</v>
      </c>
      <c r="F24" s="1945">
        <v>119.38</v>
      </c>
      <c r="G24" s="11" t="s">
        <v>542</v>
      </c>
    </row>
    <row r="25" spans="1:8" s="981" customFormat="1">
      <c r="A25" s="1011" t="s">
        <v>167</v>
      </c>
      <c r="B25" s="780" t="s">
        <v>307</v>
      </c>
      <c r="C25" s="780" t="s">
        <v>308</v>
      </c>
      <c r="D25" s="780" t="s">
        <v>309</v>
      </c>
      <c r="E25" s="1946">
        <v>73.27</v>
      </c>
      <c r="F25" s="1946">
        <v>73.27</v>
      </c>
      <c r="G25" s="1630" t="s">
        <v>542</v>
      </c>
      <c r="H25" s="981" t="s">
        <v>1280</v>
      </c>
    </row>
    <row r="26" spans="1:8" s="981" customFormat="1" ht="31.5">
      <c r="A26" s="1011" t="s">
        <v>204</v>
      </c>
      <c r="B26" s="780" t="s">
        <v>310</v>
      </c>
      <c r="C26" s="780" t="s">
        <v>306</v>
      </c>
      <c r="D26" s="780" t="s">
        <v>172</v>
      </c>
      <c r="E26" s="1946">
        <v>1463.404</v>
      </c>
      <c r="F26" s="1946">
        <v>1370.2439999999999</v>
      </c>
      <c r="G26" s="1630" t="s">
        <v>542</v>
      </c>
      <c r="H26" s="981" t="s">
        <v>14838</v>
      </c>
    </row>
    <row r="27" spans="1:8" s="981" customFormat="1" ht="31.5">
      <c r="A27" s="1011" t="s">
        <v>205</v>
      </c>
      <c r="B27" s="780" t="s">
        <v>302</v>
      </c>
      <c r="C27" s="780" t="s">
        <v>1258</v>
      </c>
      <c r="D27" s="780" t="s">
        <v>14888</v>
      </c>
      <c r="E27" s="1946">
        <v>65.459999999999994</v>
      </c>
      <c r="F27" s="1946"/>
      <c r="G27" s="1630" t="s">
        <v>541</v>
      </c>
      <c r="H27" s="981" t="s">
        <v>2169</v>
      </c>
    </row>
    <row r="28" spans="1:8" s="981" customFormat="1" ht="31.5">
      <c r="A28" s="1011" t="s">
        <v>206</v>
      </c>
      <c r="B28" s="780" t="s">
        <v>303</v>
      </c>
      <c r="C28" s="780" t="s">
        <v>304</v>
      </c>
      <c r="D28" s="780" t="s">
        <v>305</v>
      </c>
      <c r="E28" s="1946">
        <v>1079.17</v>
      </c>
      <c r="F28" s="1946">
        <v>1012.7329999999999</v>
      </c>
      <c r="G28" s="1630" t="s">
        <v>542</v>
      </c>
      <c r="H28" s="981" t="s">
        <v>14926</v>
      </c>
    </row>
    <row r="29" spans="1:8" s="981" customFormat="1" ht="31.5">
      <c r="A29" s="1011" t="s">
        <v>207</v>
      </c>
      <c r="B29" s="1589" t="s">
        <v>1282</v>
      </c>
      <c r="C29" s="780" t="s">
        <v>1281</v>
      </c>
      <c r="D29" s="780" t="s">
        <v>660</v>
      </c>
      <c r="E29" s="1946">
        <v>1637.85</v>
      </c>
      <c r="F29" s="1946">
        <v>1637.85</v>
      </c>
      <c r="G29" s="1630" t="s">
        <v>542</v>
      </c>
    </row>
    <row r="30" spans="1:8" s="451" customFormat="1">
      <c r="A30" s="1012"/>
      <c r="B30" s="782" t="s">
        <v>24</v>
      </c>
      <c r="C30" s="783"/>
      <c r="D30" s="783"/>
      <c r="E30" s="1947">
        <f>SUM(E11:E29)</f>
        <v>12108.972</v>
      </c>
      <c r="F30" s="1947">
        <f>SUM(F11:F29)</f>
        <v>10756.8498</v>
      </c>
      <c r="G30" s="1631"/>
    </row>
    <row r="38" ht="13.5" customHeight="1"/>
  </sheetData>
  <autoFilter ref="A10:H31"/>
  <mergeCells count="7">
    <mergeCell ref="A7:G7"/>
    <mergeCell ref="C9:C10"/>
    <mergeCell ref="D9:D10"/>
    <mergeCell ref="G9:G10"/>
    <mergeCell ref="B9:B10"/>
    <mergeCell ref="A9:A10"/>
    <mergeCell ref="E9:F9"/>
  </mergeCells>
  <printOptions horizontalCentered="1"/>
  <pageMargins left="0" right="0" top="0.39370078740157483" bottom="0.39370078740157483" header="0.31496062992125984" footer="0.31496062992125984"/>
  <pageSetup paperSize="9" scale="55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V190"/>
  <sheetViews>
    <sheetView view="pageBreakPreview" zoomScale="60" zoomScaleNormal="75" workbookViewId="0">
      <pane xSplit="2" ySplit="10" topLeftCell="C98" activePane="bottomRight" state="frozen"/>
      <selection pane="topRight" activeCell="C1" sqref="C1"/>
      <selection pane="bottomLeft" activeCell="A11" sqref="A11"/>
      <selection pane="bottomRight" activeCell="D100" sqref="D100"/>
    </sheetView>
  </sheetViews>
  <sheetFormatPr defaultRowHeight="15.75" outlineLevelRow="1" outlineLevelCol="1"/>
  <cols>
    <col min="1" max="1" width="12.5703125" style="412" bestFit="1" customWidth="1"/>
    <col min="2" max="2" width="125.5703125" style="413" customWidth="1"/>
    <col min="3" max="3" width="22.28515625" style="761" customWidth="1"/>
    <col min="4" max="4" width="74.7109375" style="414" customWidth="1"/>
    <col min="5" max="5" width="46.85546875" style="497" customWidth="1"/>
    <col min="6" max="6" width="19.85546875" style="416" customWidth="1"/>
    <col min="7" max="7" width="16.85546875" style="417" customWidth="1" outlineLevel="1"/>
    <col min="8" max="8" width="18.7109375" style="417" customWidth="1" outlineLevel="1"/>
    <col min="9" max="9" width="18" style="417" bestFit="1" customWidth="1" outlineLevel="1"/>
    <col min="10" max="10" width="15.85546875" style="417" customWidth="1" outlineLevel="1"/>
    <col min="11" max="11" width="16.140625" style="417" customWidth="1" outlineLevel="1"/>
    <col min="12" max="12" width="20.140625" style="418" customWidth="1"/>
    <col min="13" max="13" width="23.42578125" style="414" hidden="1" customWidth="1"/>
    <col min="14" max="14" width="18.7109375" style="413" bestFit="1" customWidth="1"/>
    <col min="15" max="15" width="27.5703125" style="413" customWidth="1"/>
    <col min="16" max="16" width="13.28515625" style="413" bestFit="1" customWidth="1"/>
    <col min="17" max="18" width="10.140625" style="413" bestFit="1" customWidth="1"/>
    <col min="19" max="19" width="13.28515625" style="413" bestFit="1" customWidth="1"/>
    <col min="20" max="16384" width="9.140625" style="413"/>
  </cols>
  <sheetData>
    <row r="1" spans="1:18" outlineLevel="1">
      <c r="E1" s="415" t="s">
        <v>905</v>
      </c>
    </row>
    <row r="2" spans="1:18" outlineLevel="1">
      <c r="E2" s="3" t="s">
        <v>155</v>
      </c>
      <c r="F2" s="419"/>
    </row>
    <row r="3" spans="1:18" outlineLevel="1">
      <c r="E3" s="3" t="s">
        <v>156</v>
      </c>
      <c r="F3" s="419"/>
    </row>
    <row r="4" spans="1:18" outlineLevel="1">
      <c r="E4" s="3" t="s">
        <v>911</v>
      </c>
      <c r="F4" s="419"/>
    </row>
    <row r="5" spans="1:18" outlineLevel="1">
      <c r="D5" s="413"/>
      <c r="E5" s="3" t="s">
        <v>158</v>
      </c>
      <c r="F5" s="419"/>
    </row>
    <row r="6" spans="1:18" outlineLevel="1">
      <c r="E6" s="3" t="s">
        <v>159</v>
      </c>
      <c r="F6" s="419"/>
    </row>
    <row r="7" spans="1:18">
      <c r="E7" s="420"/>
    </row>
    <row r="8" spans="1:18" ht="36" customHeight="1" thickBot="1">
      <c r="A8" s="1671" t="s">
        <v>772</v>
      </c>
      <c r="B8" s="408"/>
      <c r="C8" s="762"/>
      <c r="D8" s="408"/>
      <c r="E8" s="408"/>
      <c r="F8" s="757"/>
      <c r="L8" s="417"/>
      <c r="M8" s="421"/>
    </row>
    <row r="9" spans="1:18" ht="16.5" thickTop="1">
      <c r="E9" s="422"/>
      <c r="G9" s="3478" t="s">
        <v>107</v>
      </c>
      <c r="H9" s="3478"/>
      <c r="I9" s="3478"/>
      <c r="J9" s="3478"/>
      <c r="K9" s="3478"/>
    </row>
    <row r="10" spans="1:18" s="430" customFormat="1" ht="31.5">
      <c r="A10" s="423" t="s">
        <v>21</v>
      </c>
      <c r="B10" s="424" t="s">
        <v>7</v>
      </c>
      <c r="C10" s="424" t="s">
        <v>432</v>
      </c>
      <c r="D10" s="424" t="str">
        <f>Мероприятия_и_источники!D4</f>
        <v xml:space="preserve">Наименование и местонахождение объекта капитального строительства </v>
      </c>
      <c r="E10" s="424" t="str">
        <f>Мероприятия_и_источники!E4</f>
        <v>Абонент объекта капитального строительства</v>
      </c>
      <c r="F10" s="425" t="str">
        <f>Мероприятия_и_источники!F4</f>
        <v>Нагрузка, куб. м. в сутки</v>
      </c>
      <c r="G10" s="426" t="s">
        <v>272</v>
      </c>
      <c r="H10" s="427" t="s">
        <v>269</v>
      </c>
      <c r="I10" s="427" t="s">
        <v>539</v>
      </c>
      <c r="J10" s="427" t="s">
        <v>537</v>
      </c>
      <c r="K10" s="427" t="s">
        <v>538</v>
      </c>
      <c r="L10" s="428" t="s">
        <v>843</v>
      </c>
      <c r="M10" s="429" t="str">
        <f>Мероприятия_и_источники!O4</f>
        <v>Источник финансирования</v>
      </c>
    </row>
    <row r="11" spans="1:18" s="430" customFormat="1">
      <c r="A11" s="423"/>
      <c r="B11" s="429" t="s">
        <v>5</v>
      </c>
      <c r="C11" s="776">
        <f>C12+C52+C61+C70+C96+C99+C104</f>
        <v>36486.5</v>
      </c>
      <c r="D11" s="776">
        <f t="shared" ref="D11:K11" si="0">D12+D52+D61+D70+D96+D99+D104</f>
        <v>0</v>
      </c>
      <c r="E11" s="776">
        <f t="shared" si="0"/>
        <v>0</v>
      </c>
      <c r="F11" s="776">
        <f t="shared" si="0"/>
        <v>12108.972</v>
      </c>
      <c r="G11" s="776">
        <f t="shared" si="0"/>
        <v>311771.47487940447</v>
      </c>
      <c r="H11" s="776">
        <f t="shared" si="0"/>
        <v>455428.89617962943</v>
      </c>
      <c r="I11" s="776">
        <f t="shared" si="0"/>
        <v>359004.51098377601</v>
      </c>
      <c r="J11" s="776">
        <f t="shared" si="0"/>
        <v>510191.56602938904</v>
      </c>
      <c r="K11" s="776">
        <f t="shared" si="0"/>
        <v>630483.09440385748</v>
      </c>
      <c r="L11" s="428"/>
      <c r="M11" s="429"/>
    </row>
    <row r="12" spans="1:18" s="434" customFormat="1" ht="39.75" customHeight="1">
      <c r="A12" s="431" t="s">
        <v>281</v>
      </c>
      <c r="B12" s="760" t="s">
        <v>65</v>
      </c>
      <c r="C12" s="775">
        <f>C13+C35+C40+C48</f>
        <v>25362</v>
      </c>
      <c r="D12" s="760"/>
      <c r="E12" s="760"/>
      <c r="F12" s="791">
        <f t="shared" ref="F12:K12" si="1">SUM(F13,F35,F40,F48)</f>
        <v>12108.972</v>
      </c>
      <c r="G12" s="791">
        <f t="shared" si="1"/>
        <v>78550.159815837862</v>
      </c>
      <c r="H12" s="791">
        <f t="shared" si="1"/>
        <v>289835.87271601555</v>
      </c>
      <c r="I12" s="791">
        <f t="shared" si="1"/>
        <v>55180.703553856001</v>
      </c>
      <c r="J12" s="791">
        <f t="shared" si="1"/>
        <v>44948.434288010249</v>
      </c>
      <c r="K12" s="792">
        <f t="shared" si="1"/>
        <v>46746.371659530661</v>
      </c>
      <c r="L12" s="432"/>
      <c r="M12" s="433"/>
    </row>
    <row r="13" spans="1:18" s="443" customFormat="1">
      <c r="A13" s="435" t="str">
        <f>Мероприятия_и_источники!A16</f>
        <v>1.1.</v>
      </c>
      <c r="B13" s="436" t="s">
        <v>64</v>
      </c>
      <c r="C13" s="438">
        <f>SUM(C14:C34)</f>
        <v>17328</v>
      </c>
      <c r="D13" s="438"/>
      <c r="E13" s="438"/>
      <c r="F13" s="438">
        <f t="shared" ref="F13:K13" si="2">SUM(F14:F34)</f>
        <v>8471.1219999999994</v>
      </c>
      <c r="G13" s="793">
        <f t="shared" si="2"/>
        <v>58863.35291183785</v>
      </c>
      <c r="H13" s="793">
        <f t="shared" si="2"/>
        <v>81634.618462759317</v>
      </c>
      <c r="I13" s="793">
        <f t="shared" si="2"/>
        <v>49673.885553856002</v>
      </c>
      <c r="J13" s="793">
        <f t="shared" si="2"/>
        <v>44948.434288010249</v>
      </c>
      <c r="K13" s="793">
        <f t="shared" si="2"/>
        <v>46746.371659530661</v>
      </c>
      <c r="L13" s="439"/>
      <c r="M13" s="440">
        <f>SUM(M14:M33)</f>
        <v>0</v>
      </c>
      <c r="N13" s="441"/>
      <c r="O13" s="441"/>
      <c r="P13" s="442"/>
      <c r="Q13" s="442"/>
      <c r="R13" s="442"/>
    </row>
    <row r="14" spans="1:18" ht="36" customHeight="1" outlineLevel="1">
      <c r="A14" s="444" t="str">
        <f>Мероприятия_и_источники!A20</f>
        <v>1.1.1.</v>
      </c>
      <c r="B14" s="445" t="s">
        <v>540</v>
      </c>
      <c r="C14" s="990">
        <f>'Заявители до 40 куб.Калуга'!F140*5</f>
        <v>13925</v>
      </c>
      <c r="D14" s="445" t="str">
        <f>Мероприятия_и_источники!D20</f>
        <v>Жилые дома, нежилые здания и помещения на территории г.Калуга</v>
      </c>
      <c r="E14" s="445" t="str">
        <f>Мероприятия_и_источники!E20</f>
        <v>Заявители, величина подключаемой нагрузки которых не превышает 40 куб.м.в сутки</v>
      </c>
      <c r="F14" s="449">
        <f>'Заявители до 40 куб.Калуга'!I140*5</f>
        <v>2042.4900000000007</v>
      </c>
      <c r="G14" s="449">
        <f>Мероприятия_и_источники!I20</f>
        <v>39958.994410000007</v>
      </c>
      <c r="H14" s="449">
        <f>Мероприятия_и_источники!J20</f>
        <v>41557.354186400007</v>
      </c>
      <c r="I14" s="449">
        <f>Мероприятия_и_источники!K20</f>
        <v>43219.648353856006</v>
      </c>
      <c r="J14" s="449">
        <f>Мероприятия_и_источники!L20</f>
        <v>44948.434288010249</v>
      </c>
      <c r="K14" s="800">
        <f>Мероприятия_и_источники!M20</f>
        <v>46746.371659530661</v>
      </c>
      <c r="L14" s="446"/>
      <c r="M14" s="447" t="s">
        <v>273</v>
      </c>
      <c r="N14" s="448"/>
      <c r="O14" s="448"/>
    </row>
    <row r="15" spans="1:18" ht="31.5" outlineLevel="1">
      <c r="A15" s="444" t="str">
        <f>Мероприятия_и_источники!A24</f>
        <v>1.1.2</v>
      </c>
      <c r="B15" s="445" t="str">
        <f>Мероприятия_и_источники!B24</f>
        <v>Строительство водовода Д=225 мм протяженностью 48,5 п.м. и Д=160 мм протяженностью 204 п.м. от границы земельного участка до водопровода диаметром 225 мм</v>
      </c>
      <c r="C15" s="763">
        <f>Мероприятия_и_источники!C24</f>
        <v>252.5</v>
      </c>
      <c r="D15" s="445" t="str">
        <f>Мероприятия_и_источники!D24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15" s="445" t="str">
        <f>'Прил.1 Перечень по подключению'!D12</f>
        <v>ООО Совместное предприятие "Минскстройэкспорт"</v>
      </c>
      <c r="F15" s="449">
        <f>'Прил.1 Перечень по подключению'!E12</f>
        <v>576.9</v>
      </c>
      <c r="G15" s="449">
        <f>Мероприятия_и_источники!I24</f>
        <v>0</v>
      </c>
      <c r="H15" s="449">
        <f>Мероприятия_и_источники!J24</f>
        <v>1018.6368</v>
      </c>
      <c r="I15" s="449">
        <f>Мероприятия_и_источники!K24</f>
        <v>0</v>
      </c>
      <c r="J15" s="449">
        <f>Мероприятия_и_источники!L24</f>
        <v>0</v>
      </c>
      <c r="K15" s="800">
        <f>Мероприятия_и_источники!M24</f>
        <v>0</v>
      </c>
      <c r="L15" s="446"/>
      <c r="M15" s="447"/>
      <c r="N15" s="448"/>
      <c r="O15" s="448"/>
    </row>
    <row r="16" spans="1:18" ht="63" outlineLevel="1">
      <c r="A16" s="444" t="str">
        <f>Мероприятия_и_источники!A28</f>
        <v>1.1.3</v>
      </c>
      <c r="B16" s="445" t="str">
        <f>Мероприятия_и_источники!B28</f>
        <v>Строительство водовода  Д=200 мм.  протяженностью 50 п.м. при прокладке трубопровода выполнить строительство 2 в/колодцев диаметром 1,5м  с установкой запорной арматуры Д=200мм – 2 шт., а также учесть переход под а/дорогой  ул. Анненки с обустройством футляра диаметром не менее 400 мм протяженностью 50 п.м.</v>
      </c>
      <c r="C16" s="763">
        <f>Мероприятия_и_источники!C28</f>
        <v>50</v>
      </c>
      <c r="D16" s="445" t="str">
        <f>Мероприятия_и_источники!D28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16" s="445" t="str">
        <f>Мероприятия_и_источники!E28</f>
        <v>ООО Совместное предприятие "Минскстройэкспорт"</v>
      </c>
      <c r="F16" s="449">
        <f>'Прил.1 Перечень по подключению'!E13</f>
        <v>345.6</v>
      </c>
      <c r="G16" s="449">
        <f>Мероприятия_и_источники!I28</f>
        <v>1620.6479999999999</v>
      </c>
      <c r="H16" s="449">
        <f>Мероприятия_и_источники!J28</f>
        <v>0</v>
      </c>
      <c r="I16" s="449">
        <f>Мероприятия_и_источники!K28</f>
        <v>0</v>
      </c>
      <c r="J16" s="449">
        <f>Мероприятия_и_источники!L28</f>
        <v>0</v>
      </c>
      <c r="K16" s="800">
        <f>Мероприятия_и_источники!M28</f>
        <v>0</v>
      </c>
      <c r="L16" s="446"/>
      <c r="M16" s="447"/>
      <c r="N16" s="448"/>
      <c r="O16" s="448"/>
    </row>
    <row r="17" spans="1:15" ht="94.5" outlineLevel="1">
      <c r="A17" s="444" t="str">
        <f>Мероприятия_и_источники!A32</f>
        <v>1.1.4</v>
      </c>
      <c r="B17" s="991" t="str">
        <f>Мероприятия_и_источники!B32</f>
        <v>Строительство водовода Дн=110 мм.  от площадки застройки (границы земельного участка) до ВК1  протяженностью 20 п.м. с обустройством смотровых в/колодцев диметром 1м – 2 шт.
При строительстве водовода под а/дорогой предусмотреть устройство футляров внутренним диаметром не менее 300мм, протяженностью 20 п.м.
В точке подключения ВК1 - подключение к существующему водоводу Ду=200мм с установкой задвижек:  Ду=200мм – 1 шт., Ду=100 мм. – 1 шт.; а также ПГ (h=1750м) – 1 шт.</v>
      </c>
      <c r="C17" s="763">
        <f>Мероприятия_и_источники!C32</f>
        <v>20</v>
      </c>
      <c r="D17" s="445" t="str">
        <f>Мероприятия_и_источники!D32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17" s="445" t="str">
        <f>Мероприятия_и_источники!E32</f>
        <v xml:space="preserve"> ГКУ КО "Управление капитального строительства"</v>
      </c>
      <c r="F17" s="449">
        <f>'Прил.1 Перечень по подключению'!E14</f>
        <v>135.6</v>
      </c>
      <c r="G17" s="449">
        <f>Мероприятия_и_источники!I32</f>
        <v>0</v>
      </c>
      <c r="H17" s="449">
        <f>Мероприятия_и_источники!J32</f>
        <v>755.73479999999995</v>
      </c>
      <c r="I17" s="449">
        <f>Мероприятия_и_источники!K32</f>
        <v>0</v>
      </c>
      <c r="J17" s="449">
        <f>Мероприятия_и_источники!L32</f>
        <v>0</v>
      </c>
      <c r="K17" s="800">
        <f>Мероприятия_и_источники!M32</f>
        <v>0</v>
      </c>
      <c r="L17" s="992"/>
      <c r="M17" s="447"/>
      <c r="N17" s="448"/>
    </row>
    <row r="18" spans="1:15" ht="64.5" customHeight="1" outlineLevel="1">
      <c r="A18" s="444" t="str">
        <f>Мероприятия_и_источники!A36</f>
        <v>1.1.5</v>
      </c>
      <c r="B18" s="991" t="str">
        <f>Мероприятия_и_источники!B36</f>
        <v xml:space="preserve">Строительство  водовода Д=160 мм от границ застройки до точки подключения к водоводу Д=500 мм общей протяженностью 3 п.м. Строительство водовода Д=160 мм от границ застройки до точки подключения к водоводу Д=315 мм общей протяженностью 5 п.м.  </v>
      </c>
      <c r="C18" s="763">
        <f>Мероприятия_и_источники!C36</f>
        <v>8</v>
      </c>
      <c r="D18" s="445" t="str">
        <f>Мероприятия_и_источники!D36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18" s="445" t="str">
        <f>Мероприятия_и_источники!E36</f>
        <v>ЗАО Строительная компания "Правый берег" (ЗАО СК Правый берег)</v>
      </c>
      <c r="F18" s="449">
        <f>'Прил.1 Перечень по подключению'!E15</f>
        <v>560</v>
      </c>
      <c r="G18" s="449">
        <f>Мероприятия_и_источники!I36</f>
        <v>0</v>
      </c>
      <c r="H18" s="449">
        <f>Мероприятия_и_источники!J36</f>
        <v>247.51920000000001</v>
      </c>
      <c r="I18" s="449">
        <f>Мероприятия_и_источники!K36</f>
        <v>0</v>
      </c>
      <c r="J18" s="449">
        <f>Мероприятия_и_источники!L36</f>
        <v>0</v>
      </c>
      <c r="K18" s="800">
        <f>Мероприятия_и_источники!M36</f>
        <v>0</v>
      </c>
      <c r="L18" s="446"/>
      <c r="M18" s="447"/>
      <c r="N18" s="448"/>
      <c r="O18" s="448"/>
    </row>
    <row r="19" spans="1:15" ht="87.75" customHeight="1" outlineLevel="1">
      <c r="A19" s="444" t="str">
        <f>Мероприятия_и_источники!A40</f>
        <v>1.1.6</v>
      </c>
      <c r="B19" s="445" t="str">
        <f>Мероприятия_и_источники!B40</f>
        <v>Строительство отдельного водовода  Д=225 мм от водовода Д=300 мм по ул. Ленина 39 протяженностью 345 п.м. в точке подключения выполнить строительство водопроводной камеры из ж/б плит размером 2*2,5 м., выполнить перемычку Д=225мм с существующим трубопроводом Д=200 мм, установить задвижки: Д=200 мм. - 5 шт.,  строительство трубопровода Д=225 мм. от в/камеры  до запрашиваемых границ участка, протяженностью 25 п.м.</v>
      </c>
      <c r="C19" s="763">
        <f>Мероприятия_и_источники!C40</f>
        <v>370</v>
      </c>
      <c r="D19" s="445" t="str">
        <f>Мероприятия_и_источники!D40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19" s="445" t="str">
        <f>Мероприятия_и_источники!E40</f>
        <v>ООО "СтройСервис" (АО ЦентрСпецСтрой)</v>
      </c>
      <c r="F19" s="449">
        <f>'Прил.1 Перечень по подключению'!E16</f>
        <v>1220</v>
      </c>
      <c r="G19" s="449">
        <f>Мероприятия_и_источники!I40</f>
        <v>0</v>
      </c>
      <c r="H19" s="449">
        <f>Мероприятия_и_источники!J40</f>
        <v>0</v>
      </c>
      <c r="I19" s="449">
        <f>Мероприятия_и_источники!K40</f>
        <v>6454.2371999999996</v>
      </c>
      <c r="J19" s="449">
        <f>Мероприятия_и_источники!L40</f>
        <v>0</v>
      </c>
      <c r="K19" s="800">
        <f>Мероприятия_и_источники!M40</f>
        <v>0</v>
      </c>
      <c r="L19" s="446"/>
      <c r="M19" s="447"/>
      <c r="N19" s="448"/>
      <c r="O19" s="448"/>
    </row>
    <row r="20" spans="1:15" ht="81" customHeight="1" outlineLevel="1">
      <c r="A20" s="444" t="str">
        <f>Мероприятия_и_источники!A44</f>
        <v>1.1.7</v>
      </c>
      <c r="B20" s="991" t="str">
        <f>Мероприятия_и_источники!B44</f>
        <v>Строительство водопровода Д-160 мм от площадки застройки до существующего водопровода по пер.Баррикад протяженностью 6 п.м, закрытым способом, 
Выполнить подключение водопровода Ду-160 мм, по ул. Грабцевское шоссе в существующей камере и Ду-200  по ул. В. Андриановой к реконструированному трубопроводу Ду-200 мм</v>
      </c>
      <c r="C20" s="763">
        <f>Мероприятия_и_источники!C44</f>
        <v>6</v>
      </c>
      <c r="D20" s="445" t="str">
        <f>Мероприятия_и_источники!D44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20" s="445" t="str">
        <f>Мероприятия_и_источники!E44</f>
        <v>ООО «КалугаЭлитДевелопмент»</v>
      </c>
      <c r="F20" s="449">
        <f>'Прил.1 Перечень по подключению'!E18</f>
        <v>146.24</v>
      </c>
      <c r="G20" s="449">
        <f>Мероприятия_и_источники!I44</f>
        <v>234.31049999999999</v>
      </c>
      <c r="H20" s="449">
        <f>Мероприятия_и_источники!J44</f>
        <v>0</v>
      </c>
      <c r="I20" s="449">
        <f>Мероприятия_и_источники!K44</f>
        <v>0</v>
      </c>
      <c r="J20" s="449">
        <f>Мероприятия_и_источники!L44</f>
        <v>0</v>
      </c>
      <c r="K20" s="800">
        <f>Мероприятия_и_источники!M44</f>
        <v>0</v>
      </c>
      <c r="L20" s="446"/>
      <c r="M20" s="447"/>
      <c r="N20" s="448"/>
      <c r="O20" s="448"/>
    </row>
    <row r="21" spans="1:15" ht="63" outlineLevel="1">
      <c r="A21" s="444" t="str">
        <f>Мероприятия_и_источники!A48</f>
        <v>1.1.8</v>
      </c>
      <c r="B21" s="991" t="str">
        <f>Мероприятия_и_источники!B48</f>
        <v>Строительство водопровода Д-110 мм  от границы земельного участка  до существующего водопровода Д-200 мм  по ул.Знаменская  открытым способом, протяженностью 17,5 п.м.в месте врезки построить новый колодец диаметром 1,5 м, глубиной 2,0 м. в точке подключения  произвести врезку с установкой на ввод  задвижки Д=110 мм. - 1 шт.</v>
      </c>
      <c r="C21" s="763">
        <f>Мероприятия_и_источники!C48</f>
        <v>17.5</v>
      </c>
      <c r="D21" s="445" t="str">
        <f>Мероприятия_и_источники!D48</f>
        <v>Многоквартирный жилой дом со встроенными административными помещениями» 8 этажей, высота 25 метров расположенному по адресу :г. Калуга, в районе, ограниченном улицами: Салтыкова – Щедрина, Беляева, Знаменской, Луначарского</v>
      </c>
      <c r="E21" s="445" t="str">
        <f>Мероприятия_и_источники!E48</f>
        <v>ООО Совместное предприятие "Минскстройэкспорт" (уступка права ООО Драйвер)</v>
      </c>
      <c r="F21" s="449">
        <f>'Прил.1 Перечень по подключению'!E19</f>
        <v>64.430000000000007</v>
      </c>
      <c r="G21" s="449">
        <f>Мероприятия_и_источники!I48</f>
        <v>180.3741</v>
      </c>
      <c r="H21" s="449">
        <f>Мероприятия_и_источники!J48</f>
        <v>0</v>
      </c>
      <c r="I21" s="449">
        <f>Мероприятия_и_источники!K48</f>
        <v>0</v>
      </c>
      <c r="J21" s="449">
        <f>Мероприятия_и_источники!L48</f>
        <v>0</v>
      </c>
      <c r="K21" s="800">
        <f>Мероприятия_и_источники!M48</f>
        <v>0</v>
      </c>
      <c r="L21" s="446"/>
      <c r="M21" s="447"/>
      <c r="N21" s="448"/>
      <c r="O21" s="448"/>
    </row>
    <row r="22" spans="1:15" ht="47.25" outlineLevel="1">
      <c r="A22" s="444" t="str">
        <f>Мероприятия_и_источники!A52</f>
        <v>1.1.9</v>
      </c>
      <c r="B22" s="445" t="str">
        <f>Мероприятия_и_источники!OLE_LINK1</f>
        <v>Врезка в точке подключения (существующая ж/бетонная камера размером 3*3 м) с установкой запорной арматуры.</v>
      </c>
      <c r="C22" s="763"/>
      <c r="D22" s="445" t="str">
        <f>Мероприятия_и_источники!D52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22" s="445" t="str">
        <f>Мероприятия_и_источники!E52</f>
        <v>АО СЗ КОШЕЛЕВ-ПРОЕКТ</v>
      </c>
      <c r="F22" s="449">
        <f>'Прил.1 Перечень по подключению'!E20</f>
        <v>351</v>
      </c>
      <c r="G22" s="449">
        <f>Мероприятия_и_источники!I52</f>
        <v>49.460999999999999</v>
      </c>
      <c r="H22" s="449">
        <f>Мероприятия_и_источники!J52</f>
        <v>0</v>
      </c>
      <c r="I22" s="449">
        <f>Мероприятия_и_источники!K52</f>
        <v>0</v>
      </c>
      <c r="J22" s="449">
        <f>Мероприятия_и_источники!L52</f>
        <v>0</v>
      </c>
      <c r="K22" s="800">
        <f>Мероприятия_и_источники!M52</f>
        <v>0</v>
      </c>
      <c r="L22" s="446"/>
      <c r="M22" s="447"/>
      <c r="N22" s="448"/>
      <c r="O22" s="448"/>
    </row>
    <row r="23" spans="1:15" ht="93" customHeight="1" outlineLevel="1">
      <c r="A23" s="444" t="str">
        <f>Мероприятия_и_источники!A56</f>
        <v>1.1.10</v>
      </c>
      <c r="B23" s="445" t="str">
        <f>Мероприятия_и_источники!B56</f>
        <v>Строительство двух трубопроводов ПЭ 100 Ду=100 мм  от границы участка , протяженностью 100 п.м. каждый, открытым способом,произвести строительство двух футляров  диаметром Ду=300 мм, протяженностью 35 п.м., закрытым методом.В точке врезеи выполнить строительство ж/б колодца Д=1,5 м , глубиной не менее 2,0 м, с установкой задвижки клиновая  Ду=100 мм - 2 шт.;</v>
      </c>
      <c r="C23" s="763">
        <f>Мероприятия_и_источники!C56</f>
        <v>100</v>
      </c>
      <c r="D23" s="445" t="str">
        <f>Мероприятия_и_источники!D56</f>
        <v>Жилой дом, 17 этажей, 119 квартирный,расположенного по адресу: г. Калуга, ул. Серафима Туликова</v>
      </c>
      <c r="E23" s="445" t="str">
        <f>Мероприятия_и_источники!E56</f>
        <v>ООО КОМЕТА</v>
      </c>
      <c r="F23" s="449">
        <f>'Прил.1 Перечень по подключению'!E21</f>
        <v>52.98</v>
      </c>
      <c r="G23" s="449">
        <f>Мероприятия_и_источники!I56</f>
        <v>5710.3784999999989</v>
      </c>
      <c r="H23" s="449">
        <f>Мероприятия_и_источники!J56</f>
        <v>0</v>
      </c>
      <c r="I23" s="449">
        <f>Мероприятия_и_источники!K56</f>
        <v>0</v>
      </c>
      <c r="J23" s="449">
        <f>Мероприятия_и_источники!L56</f>
        <v>0</v>
      </c>
      <c r="K23" s="800">
        <f>Мероприятия_и_источники!M56</f>
        <v>0</v>
      </c>
      <c r="L23" s="446"/>
      <c r="M23" s="447"/>
      <c r="N23" s="448"/>
      <c r="O23" s="448"/>
    </row>
    <row r="24" spans="1:15" ht="173.25" outlineLevel="1">
      <c r="A24" s="444" t="str">
        <f>Мероприятия_и_источники!A60</f>
        <v>1.1.11</v>
      </c>
      <c r="B24" s="993" t="str">
        <f>Мероприятия_и_источники!B60</f>
        <v>Строительство футляра Д=560 мм от ВК-1 до ВК-1- 34 п.м. закрытым методом. Протаскивание трубопровода Д=315 в футляр Д=560 мм - 34 п.м. Строительство трубопровода Д=315 - 94 п.м. отрытым методом. Строительство трубопровода Д=315 до существующей камеры ВК (сущ.) - 52 п.м. закрытым методом. Строительство трубопровода 2хД=110 мм от границы земельного участка до проектируемого водовода Д=315мм. (ВК-2) - 4 п.м. каждый открытым способом. Строительство в/камеры ВК-1 2х2,5м глубиной 3 м с установкой арматуры: крест фланцевый Д=200х200 мм – 1 шт.; переходник фланцевый Д=200х300 мм – 1 шт.; переходник фланцевый Д=200х100 мм – 1 шт.; фланец Systems Д=300 мм – 1 шт.; фланец Systems Д=200 – 2 шт.; задвижка Hawle (4000Е1+) Д=300мм – 1 шт.; задвижка Hawle (4000Е1+) Д=100 мм – 1 шт.; ПГ Hawle Duo – Gost (2500 мм) – 1 шт. Строительство в/камеры (ВК-2) 2х2,5 м глубиной 3 м с установкой запорной арматуры: тройник фланцевый Д=300-100 мм – 2 шт.; задвижка Hawle (4000Е1+) Д=100мм – 2 шт.; Ф=фланец Systems Д=100 – 2 шт.; фланец Systems Д=300 – 2 шт. В существующей камере (ВКсущ.) 2х2,5 м глубиной 3 м с установкой запорной арматуры: тройник фланцевый Д=300х300 мм, Systems 300 – 3 шт., Hawle 4000A Д=300мм – 1 шт.</v>
      </c>
      <c r="C24" s="763">
        <f>Мероприятия_и_источники!C60</f>
        <v>184</v>
      </c>
      <c r="D24" s="445" t="str">
        <f>Мероприятия_и_источники!D60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24" s="445" t="str">
        <f>Мероприятия_и_источники!E60</f>
        <v xml:space="preserve"> ГКУ КО "Управление капитального строительства"</v>
      </c>
      <c r="F24" s="449">
        <f>'Прил.1 Перечень по подключению'!E22</f>
        <v>66.552000000000007</v>
      </c>
      <c r="G24" s="449">
        <f>Мероприятия_и_источники!I60</f>
        <v>9031.7704870707366</v>
      </c>
      <c r="H24" s="449">
        <f>Мероприятия_и_источники!J60</f>
        <v>4540.5510967656155</v>
      </c>
      <c r="I24" s="449">
        <f>Мероприятия_и_источники!K60</f>
        <v>0</v>
      </c>
      <c r="J24" s="449">
        <f>Мероприятия_и_источники!L60</f>
        <v>0</v>
      </c>
      <c r="K24" s="800">
        <f>Мероприятия_и_источники!M60</f>
        <v>0</v>
      </c>
      <c r="L24" s="446"/>
      <c r="M24" s="447"/>
      <c r="N24" s="448"/>
      <c r="O24" s="448"/>
    </row>
    <row r="25" spans="1:15" ht="63" outlineLevel="1">
      <c r="A25" s="444" t="str">
        <f>Мероприятия_и_источники!A64</f>
        <v>1.1.12</v>
      </c>
      <c r="B25" s="445" t="str">
        <f>Мероприятия_и_источники!B64</f>
        <v>Строительство водопровода Д=160 мм от границ земельного участка  до существующего водовода Ду = 300 мм, протяженностью 15 п.м., открытым способом, в точке подключения выполнить строительство ж/б колодца диаметром 1,5 м, глубиной не менее 2 м, с установкой арматуры.Строительство водопровода Д=160 мм от границ земельного участка  до существующего водовода Ду = 200 мм, протяженностью 10 п.м., открытым способом.</v>
      </c>
      <c r="C25" s="763">
        <f>Мероприятия_и_источники!C64</f>
        <v>25</v>
      </c>
      <c r="D25" s="445" t="str">
        <f>Мероприятия_и_источники!D64</f>
        <v>Общеобразовательная школа на 1125 мест, размещение которого предусмотрено ул. Байконурская.</v>
      </c>
      <c r="E25" s="445" t="str">
        <f>Мероприятия_и_источники!E64</f>
        <v>ООО «ПроШкола№2»</v>
      </c>
      <c r="F25" s="449">
        <f>'Прил.1 Перечень по подключению'!E23</f>
        <v>58.405999999999999</v>
      </c>
      <c r="G25" s="449">
        <f>Мероприятия_и_источники!I64</f>
        <v>141.7029</v>
      </c>
      <c r="H25" s="449">
        <f>Мероприятия_и_источники!J64</f>
        <v>0</v>
      </c>
      <c r="I25" s="449">
        <f>Мероприятия_и_источники!K64</f>
        <v>0</v>
      </c>
      <c r="J25" s="449">
        <f>Мероприятия_и_источники!L64</f>
        <v>0</v>
      </c>
      <c r="K25" s="800">
        <f>Мероприятия_и_источники!M64</f>
        <v>0</v>
      </c>
      <c r="L25" s="446"/>
      <c r="M25" s="447"/>
      <c r="N25" s="448"/>
      <c r="O25" s="448"/>
    </row>
    <row r="26" spans="1:15" ht="86.25" customHeight="1" outlineLevel="1">
      <c r="A26" s="444" t="str">
        <f>Мероприятия_и_источники!A68</f>
        <v>1.1.13</v>
      </c>
      <c r="B26" s="445" t="str">
        <f>Мероприятия_и_источники!B68</f>
        <v>Строительство водопровода Д=225 мм от границ земельного участка до существующего водовода Ду = 250 мм, протяженностью 435 п.м., из которых 10 п.м. методом ГНБ; В точке подключения  выполнить строительство ж/б колодца диаметром 1,5 м, глубиной не менее 2 м, с установкой задвижкиДу=200 мм - 1 шт. и фланца DN200/225 – 2 шт.</v>
      </c>
      <c r="C26" s="763">
        <f>Мероприятия_и_источники!C68</f>
        <v>435</v>
      </c>
      <c r="D26" s="445" t="str">
        <f>Мероприятия_и_источники!D68</f>
        <v xml:space="preserve">Нежилое здание для реализации общеобразовательных программ в г. Калуге на 1300 мест ул. Ермоловская </v>
      </c>
      <c r="E26" s="445" t="str">
        <f>Мероприятия_и_источники!E68</f>
        <v>ЗАО Калугагазстрой</v>
      </c>
      <c r="F26" s="449">
        <f>'Прил.1 Перечень по подключению'!E24</f>
        <v>169.62</v>
      </c>
      <c r="G26" s="449">
        <f>Мероприятия_и_источники!I68</f>
        <v>0</v>
      </c>
      <c r="H26" s="449">
        <f>Мероприятия_и_источники!J68</f>
        <v>3380.5135499999997</v>
      </c>
      <c r="I26" s="449">
        <f>Мероприятия_и_источники!K68</f>
        <v>0</v>
      </c>
      <c r="J26" s="449">
        <f>Мероприятия_и_источники!L68</f>
        <v>0</v>
      </c>
      <c r="K26" s="800">
        <f>Мероприятия_и_источники!M68</f>
        <v>0</v>
      </c>
      <c r="L26" s="446"/>
      <c r="M26" s="447"/>
      <c r="N26" s="448"/>
      <c r="O26" s="448"/>
    </row>
    <row r="27" spans="1:15" ht="63.75" customHeight="1" outlineLevel="1">
      <c r="A27" s="444" t="str">
        <f>Мероприятия_и_источники!A72</f>
        <v>1.1.14</v>
      </c>
      <c r="B27" s="445" t="str">
        <f>Мероприятия_и_источники!B72</f>
        <v>Строительство двух трубопроводов ПЭ 100 Ду=250 мм от границы участка  протяженностью 15 п.м. каждый, открытым способом.В точке присоединения выполнить строительство ж/б колодца Д=2 м  глубиной не менее 2,0 м, с установкой запорной арматуры.</v>
      </c>
      <c r="C27" s="763">
        <f>Мероприятия_и_источники!C72</f>
        <v>15</v>
      </c>
      <c r="D27" s="445" t="str">
        <f>Мероприятия_и_источники!D72</f>
        <v>Здание жилое многоквартирное со встроенными помещениями,г. Калуга, 3-Академический проезд, д.1</v>
      </c>
      <c r="E27" s="445" t="str">
        <f>Мероприятия_и_источники!E72</f>
        <v>ООО «Строительная компания «Азимут-Калуга»</v>
      </c>
      <c r="F27" s="449">
        <f>'Прил.1 Перечень по подключению'!E25</f>
        <v>73.27</v>
      </c>
      <c r="G27" s="449">
        <f>Мероприятия_и_источники!I72</f>
        <v>0</v>
      </c>
      <c r="H27" s="449">
        <f>Мероприятия_и_источники!J72</f>
        <v>1803.5900137257997</v>
      </c>
      <c r="I27" s="449">
        <f>Мероприятия_и_источники!K72</f>
        <v>0</v>
      </c>
      <c r="J27" s="449">
        <f>Мероприятия_и_источники!L72</f>
        <v>0</v>
      </c>
      <c r="K27" s="800">
        <f>Мероприятия_и_источники!M72</f>
        <v>0</v>
      </c>
      <c r="L27" s="446"/>
      <c r="M27" s="482"/>
      <c r="N27" s="448"/>
      <c r="O27" s="448"/>
    </row>
    <row r="28" spans="1:15" ht="66" customHeight="1" outlineLevel="1">
      <c r="A28" s="444" t="str">
        <f>Мероприятия_и_источники!A76</f>
        <v>1.1.15</v>
      </c>
      <c r="B28" s="445" t="str">
        <f>Мероприятия_и_источники!B76</f>
        <v xml:space="preserve">Строительство сетей водоснабжения Ду=300мм, протяженностью около 1000 п.м, строительство сетей водоснабженияДу=300мм, подключение  к водоводу Ду 500 в районе ОСК, протяженностью около 250 п.м.
</v>
      </c>
      <c r="C28" s="763">
        <f>Мероприятия_и_источники!C76</f>
        <v>1250</v>
      </c>
      <c r="D28" s="445" t="str">
        <f>Мероприятия_и_источники!D76</f>
        <v>Комплексное освоение территории, в рамках которого предусматривается жилищное строительство, г. Калуга, ул. 40 лет Октября</v>
      </c>
      <c r="E28" s="445" t="str">
        <f>Мероприятия_и_источники!E76</f>
        <v>АО СЗ КОШЕЛЕВ-ПРОЕКТ</v>
      </c>
      <c r="F28" s="449">
        <f>'Прил.1 Перечень по подключению'!E26</f>
        <v>1463.404</v>
      </c>
      <c r="G28" s="449">
        <f>Мероприятия_и_источники!I76</f>
        <v>1785.6534744000001</v>
      </c>
      <c r="H28" s="449">
        <f>Мероприятия_и_источники!J76</f>
        <v>14356.669156617887</v>
      </c>
      <c r="I28" s="449">
        <f>Мероприятия_и_источники!K76</f>
        <v>0</v>
      </c>
      <c r="J28" s="449">
        <f>Мероприятия_и_источники!L76</f>
        <v>0</v>
      </c>
      <c r="K28" s="800">
        <f>Мероприятия_и_источники!M76</f>
        <v>0</v>
      </c>
      <c r="L28" s="446"/>
      <c r="M28" s="482"/>
      <c r="N28" s="448"/>
      <c r="O28" s="448"/>
    </row>
    <row r="29" spans="1:15" ht="47.25" outlineLevel="1">
      <c r="A29" s="444" t="str">
        <f>Мероприятия_и_источники!A80</f>
        <v>1.1.16</v>
      </c>
      <c r="B29" s="445" t="str">
        <f>Мероприятия_и_источники!B80</f>
        <v>Строительство водопровод Д=110 мм от границ площадки застройки (границ земельного участка 40:26:000384:12390) до ВК1 (существующие водовод Ду = 315 мм), протяженностью 15 п.м. открытым способом</v>
      </c>
      <c r="C29" s="763">
        <f>Мероприятия_и_источники!C80</f>
        <v>15</v>
      </c>
      <c r="D29" s="445" t="str">
        <f>Мероприятия_и_источники!D80</f>
        <v>Отдельно стоящая котельная для теплоснабжения жилого комплекса с объектами соцкультбыта. г.Калуга,район Правобережья ,ограниченной улицами Минская,Фомушина,Академика Потехина</v>
      </c>
      <c r="E29" s="445" t="str">
        <f>'Прил.1 Перечень по подключению'!D27</f>
        <v>ООО СЗ "Лидер-Бетон"</v>
      </c>
      <c r="F29" s="449">
        <f>'Прил.1 Перечень по подключению'!E27</f>
        <v>65.459999999999994</v>
      </c>
      <c r="G29" s="449">
        <f>Мероприятия_и_источники!I80</f>
        <v>150.0595403671</v>
      </c>
      <c r="H29" s="449">
        <f>Мероприятия_и_источники!J80</f>
        <v>0</v>
      </c>
      <c r="I29" s="449">
        <f>Мероприятия_и_источники!K80</f>
        <v>0</v>
      </c>
      <c r="J29" s="449">
        <f>Мероприятия_и_источники!L80</f>
        <v>0</v>
      </c>
      <c r="K29" s="449">
        <f>Мероприятия_и_источники!M80</f>
        <v>0</v>
      </c>
      <c r="L29" s="446"/>
      <c r="M29" s="447"/>
      <c r="N29" s="448"/>
      <c r="O29" s="448"/>
    </row>
    <row r="30" spans="1:15" ht="47.25" outlineLevel="1">
      <c r="A30" s="444" t="str">
        <f>Мероприятия_и_источники!A84</f>
        <v>1.1.17</v>
      </c>
      <c r="B30" s="445" t="str">
        <f>Мероприятия_и_источники!B84</f>
        <v>Строительство двух линий водопровода Д=315 мм от границ земельного участка  до существующего водовода Ду = 500 мм, протяженностью 655 п.м. каждый, открытым способом</v>
      </c>
      <c r="C30" s="763">
        <f>Мероприятия_и_источники!C84</f>
        <v>655</v>
      </c>
      <c r="D30" s="445" t="str">
        <f>Мероприятия_и_источники!D84</f>
        <v>Комплекс многоквартирных жилых домов со встроенно-пристроенными торговыми помещениями,детский сад на 300 мест,школа на 1100 мест,г.Калуга,р-он с.Некрасово,уч.2</v>
      </c>
      <c r="E30" s="445" t="str">
        <f>Мероприятия_и_источники!E84</f>
        <v>ООО Специализированный застройщик "УАЙТ ГРУПП-КАЛУГА"</v>
      </c>
      <c r="F30" s="449">
        <f>'Прил.1 Перечень по подключению'!E28</f>
        <v>1079.17</v>
      </c>
      <c r="G30" s="449">
        <f>Мероприятия_и_источники!I84</f>
        <v>0</v>
      </c>
      <c r="H30" s="449">
        <f>Мероприятия_и_источники!J84</f>
        <v>13974.049659249995</v>
      </c>
      <c r="I30" s="449">
        <f>Мероприятия_и_источники!K84</f>
        <v>0</v>
      </c>
      <c r="J30" s="449">
        <f>Мероприятия_и_источники!L84</f>
        <v>0</v>
      </c>
      <c r="K30" s="449">
        <f>Мероприятия_и_источники!M84</f>
        <v>0</v>
      </c>
      <c r="L30" s="446"/>
      <c r="M30" s="482"/>
      <c r="N30" s="448"/>
      <c r="O30" s="448"/>
    </row>
    <row r="31" spans="1:15" outlineLevel="1">
      <c r="A31" s="444"/>
      <c r="B31" s="445"/>
      <c r="C31" s="763"/>
      <c r="D31" s="445"/>
      <c r="E31" s="445"/>
      <c r="F31" s="449"/>
      <c r="G31" s="449"/>
      <c r="H31" s="449"/>
      <c r="I31" s="449"/>
      <c r="J31" s="449"/>
      <c r="K31" s="449"/>
      <c r="L31" s="446"/>
      <c r="M31" s="447"/>
      <c r="N31" s="750"/>
      <c r="O31" s="448"/>
    </row>
    <row r="32" spans="1:15" outlineLevel="1">
      <c r="A32" s="444"/>
      <c r="B32" s="445"/>
      <c r="C32" s="763"/>
      <c r="D32" s="445"/>
      <c r="E32" s="445"/>
      <c r="F32" s="449"/>
      <c r="G32" s="449"/>
      <c r="H32" s="449"/>
      <c r="I32" s="449"/>
      <c r="J32" s="449"/>
      <c r="K32" s="449"/>
      <c r="L32" s="446"/>
      <c r="M32" s="447"/>
      <c r="N32" s="750"/>
      <c r="O32" s="448"/>
    </row>
    <row r="33" spans="1:22" outlineLevel="1">
      <c r="A33" s="444"/>
      <c r="B33" s="445"/>
      <c r="C33" s="763"/>
      <c r="D33" s="445"/>
      <c r="E33" s="445"/>
      <c r="F33" s="449"/>
      <c r="G33" s="449"/>
      <c r="H33" s="449"/>
      <c r="I33" s="449"/>
      <c r="J33" s="449"/>
      <c r="K33" s="449"/>
      <c r="L33" s="446"/>
      <c r="M33" s="447"/>
      <c r="N33" s="750"/>
      <c r="O33" s="448"/>
    </row>
    <row r="34" spans="1:22" outlineLevel="1">
      <c r="A34" s="444"/>
      <c r="B34" s="445"/>
      <c r="C34" s="763"/>
      <c r="D34" s="445"/>
      <c r="E34" s="445"/>
      <c r="F34" s="763"/>
      <c r="G34" s="449"/>
      <c r="H34" s="449"/>
      <c r="I34" s="449"/>
      <c r="J34" s="449"/>
      <c r="K34" s="449"/>
      <c r="L34" s="446"/>
      <c r="M34" s="447"/>
      <c r="N34" s="750"/>
      <c r="O34" s="448"/>
    </row>
    <row r="35" spans="1:22" s="443" customFormat="1">
      <c r="A35" s="435" t="str">
        <f>Мероприятия_и_источники!A92</f>
        <v>1.2.</v>
      </c>
      <c r="B35" s="436" t="s">
        <v>66</v>
      </c>
      <c r="C35" s="438">
        <f>SUM(C36:C36)</f>
        <v>0</v>
      </c>
      <c r="D35" s="437">
        <f>SUM(D36:D36)</f>
        <v>0</v>
      </c>
      <c r="E35" s="437">
        <f>SUM(E36:E36)</f>
        <v>0</v>
      </c>
      <c r="F35" s="793">
        <f t="shared" ref="F35:K35" si="3">SUM(F36:F39)</f>
        <v>0</v>
      </c>
      <c r="G35" s="793">
        <f t="shared" si="3"/>
        <v>0</v>
      </c>
      <c r="H35" s="793">
        <f t="shared" si="3"/>
        <v>27175.4172</v>
      </c>
      <c r="I35" s="793">
        <f t="shared" si="3"/>
        <v>0</v>
      </c>
      <c r="J35" s="793">
        <f t="shared" si="3"/>
        <v>0</v>
      </c>
      <c r="K35" s="793">
        <f t="shared" si="3"/>
        <v>0</v>
      </c>
      <c r="L35" s="439"/>
      <c r="M35" s="440">
        <f>SUM(M36:M36)</f>
        <v>0</v>
      </c>
      <c r="N35" s="450"/>
      <c r="O35" s="450"/>
      <c r="P35" s="451"/>
      <c r="Q35" s="451"/>
      <c r="R35" s="451"/>
      <c r="S35" s="451"/>
      <c r="T35" s="451"/>
      <c r="U35" s="451"/>
      <c r="V35" s="451"/>
    </row>
    <row r="36" spans="1:22" ht="63" outlineLevel="1">
      <c r="A36" s="444" t="str">
        <f>Мероприятия_и_источники!A96</f>
        <v>1.2.1.</v>
      </c>
      <c r="B36" s="445" t="str">
        <f>Мероприятия_и_источники!B96</f>
        <v>Строительство станции водоочистки производительностью 32 м³/час на территории насосной станции водозабора «Малинники».Реконструкция артезианской скважины на земельном участке водопроводной башни «Малинники», расположенной на ул. Тарутинская - пер. Луговой, производительностью 400 м3/сут (инв.№25934) с выполненинм обвязки устья скважины с установкой насосного оборудования и обустройством павильона.</v>
      </c>
      <c r="C36" s="763"/>
      <c r="D36" s="445" t="str">
        <f>Мероприятия_и_источники!D96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36" s="445" t="str">
        <f>Мероприятия_и_источники!E96</f>
        <v>ООО Совместное предприятие "Минскстройэкспорт"</v>
      </c>
      <c r="F36" s="449">
        <f>Мероприятия_и_источники!F96</f>
        <v>0</v>
      </c>
      <c r="G36" s="449">
        <f>Мероприятия_и_источники!I96</f>
        <v>0</v>
      </c>
      <c r="H36" s="449">
        <f>Мероприятия_и_источники!J96</f>
        <v>27175.4172</v>
      </c>
      <c r="I36" s="449">
        <f>Мероприятия_и_источники!K96</f>
        <v>0</v>
      </c>
      <c r="J36" s="449">
        <f>Мероприятия_и_источники!L96</f>
        <v>0</v>
      </c>
      <c r="K36" s="800">
        <f>Мероприятия_и_источники!M96</f>
        <v>0</v>
      </c>
      <c r="L36" s="446"/>
      <c r="M36" s="447"/>
      <c r="N36" s="448"/>
      <c r="O36" s="448"/>
    </row>
    <row r="37" spans="1:22" outlineLevel="1">
      <c r="A37" s="444"/>
      <c r="B37" s="445"/>
      <c r="C37" s="763"/>
      <c r="D37" s="445"/>
      <c r="E37" s="445"/>
      <c r="F37" s="449"/>
      <c r="G37" s="449"/>
      <c r="H37" s="449"/>
      <c r="I37" s="449"/>
      <c r="J37" s="449"/>
      <c r="K37" s="449"/>
      <c r="L37" s="446"/>
      <c r="M37" s="447"/>
      <c r="N37" s="448"/>
      <c r="O37" s="448"/>
    </row>
    <row r="38" spans="1:22" outlineLevel="1">
      <c r="A38" s="444"/>
      <c r="B38" s="445"/>
      <c r="C38" s="763"/>
      <c r="D38" s="445"/>
      <c r="E38" s="445"/>
      <c r="F38" s="449"/>
      <c r="G38" s="449"/>
      <c r="H38" s="449"/>
      <c r="I38" s="449"/>
      <c r="J38" s="449"/>
      <c r="K38" s="449"/>
      <c r="L38" s="446"/>
      <c r="M38" s="447"/>
      <c r="N38" s="448"/>
      <c r="O38" s="448"/>
    </row>
    <row r="39" spans="1:22" outlineLevel="1">
      <c r="A39" s="444"/>
      <c r="B39" s="445"/>
      <c r="C39" s="763"/>
      <c r="D39" s="445"/>
      <c r="E39" s="445"/>
      <c r="F39" s="449"/>
      <c r="G39" s="449"/>
      <c r="H39" s="449"/>
      <c r="I39" s="449"/>
      <c r="J39" s="449"/>
      <c r="K39" s="449"/>
      <c r="L39" s="446"/>
      <c r="M39" s="447"/>
      <c r="N39" s="448"/>
      <c r="O39" s="448"/>
    </row>
    <row r="40" spans="1:22" s="443" customFormat="1" ht="43.5" customHeight="1">
      <c r="A40" s="435" t="str">
        <f>Мероприятия_и_источники!A100</f>
        <v>1.3.</v>
      </c>
      <c r="B40" s="436" t="s">
        <v>67</v>
      </c>
      <c r="C40" s="438">
        <f>SUM(C41:C47)</f>
        <v>8034</v>
      </c>
      <c r="D40" s="437"/>
      <c r="E40" s="437"/>
      <c r="F40" s="438">
        <f t="shared" ref="F40:K40" si="4">SUM(F41:F47)</f>
        <v>3637.85</v>
      </c>
      <c r="G40" s="793">
        <f t="shared" si="4"/>
        <v>17546.342903999997</v>
      </c>
      <c r="H40" s="793">
        <f t="shared" si="4"/>
        <v>134003.55171243643</v>
      </c>
      <c r="I40" s="793">
        <f t="shared" si="4"/>
        <v>5506.8180000000002</v>
      </c>
      <c r="J40" s="793">
        <f t="shared" si="4"/>
        <v>0</v>
      </c>
      <c r="K40" s="793">
        <f t="shared" si="4"/>
        <v>0</v>
      </c>
      <c r="L40" s="439"/>
      <c r="M40" s="440">
        <f>SUM(M41:M47)</f>
        <v>0</v>
      </c>
      <c r="N40" s="450"/>
      <c r="O40" s="450"/>
      <c r="P40" s="452"/>
      <c r="Q40" s="452"/>
      <c r="R40" s="452"/>
      <c r="S40" s="452"/>
      <c r="T40" s="452"/>
      <c r="U40" s="451"/>
      <c r="V40" s="451"/>
    </row>
    <row r="41" spans="1:22" ht="63" outlineLevel="1">
      <c r="A41" s="444" t="str">
        <f>Мероприятия_и_источники!A104</f>
        <v>1.3.1.</v>
      </c>
      <c r="B41" s="445" t="str">
        <f>Мероприятия_и_источники!B104</f>
        <v>Строительство водовода Дн=315 мм от ул.Гурьянова до ул.Анненки  протяженностью 5799 п.м. (в том числе 147 п.м. методом ГНБ) с обустройством смотровых в/колодцев диметром 1,5м – 29 шт.</v>
      </c>
      <c r="C41" s="763">
        <f>Мероприятия_и_источники!C104</f>
        <v>5799</v>
      </c>
      <c r="D41" s="445" t="str">
        <f>Мероприятия_и_источники!D104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41" s="445" t="str">
        <f>Мероприятия_и_источники!E104</f>
        <v xml:space="preserve"> ГКУ КО "Управление капитального строительства"</v>
      </c>
      <c r="F41" s="763"/>
      <c r="G41" s="449">
        <f>Мероприятия_и_источники!I104</f>
        <v>0</v>
      </c>
      <c r="H41" s="449">
        <f>Мероприятия_и_источники!J104</f>
        <v>59028.639999999999</v>
      </c>
      <c r="I41" s="449">
        <f>Мероприятия_и_источники!K104</f>
        <v>0</v>
      </c>
      <c r="J41" s="449">
        <f>Мероприятия_и_источники!L104</f>
        <v>0</v>
      </c>
      <c r="K41" s="800">
        <f>Мероприятия_и_источники!M104</f>
        <v>0</v>
      </c>
      <c r="L41" s="446"/>
      <c r="M41" s="447"/>
      <c r="N41" s="448"/>
      <c r="O41" s="448"/>
    </row>
    <row r="42" spans="1:22" ht="58.5" customHeight="1" outlineLevel="1">
      <c r="A42" s="444" t="str">
        <f>Мероприятия_и_источники!A108</f>
        <v>1.3.2</v>
      </c>
      <c r="B42" s="991" t="str">
        <f>Мероприятия_и_источники!B108</f>
        <v xml:space="preserve">Строительство  кольцевой водопроводной сети   Д=225 мм. от камеры переключения вдоль ул. К. Либкнехта, ул. Грабцевское шоссе до ул. Константиновых, д.9,  протяженностью 435 п.м. </v>
      </c>
      <c r="C42" s="763">
        <f>Мероприятия_и_источники!C108</f>
        <v>435</v>
      </c>
      <c r="D42" s="445" t="str">
        <f>Мероприятия_и_источники!D108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42" s="445" t="str">
        <f>Мероприятия_и_источники!E108</f>
        <v>ООО "СтройСервис" (АО ЦентрСпецСтрой)</v>
      </c>
      <c r="F42" s="763"/>
      <c r="G42" s="763">
        <f>Мероприятия_и_источники!I108</f>
        <v>0</v>
      </c>
      <c r="H42" s="763">
        <f>Мероприятия_и_источники!J108</f>
        <v>0</v>
      </c>
      <c r="I42" s="763">
        <f>Мероприятия_и_источники!K108</f>
        <v>5506.8180000000002</v>
      </c>
      <c r="J42" s="763">
        <f>Мероприятия_и_источники!L108</f>
        <v>0</v>
      </c>
      <c r="K42" s="994">
        <f>Мероприятия_и_источники!M108</f>
        <v>0</v>
      </c>
      <c r="L42" s="444"/>
      <c r="M42" s="447"/>
      <c r="N42" s="448"/>
      <c r="O42" s="448"/>
    </row>
    <row r="43" spans="1:22" ht="63.75" customHeight="1" outlineLevel="1">
      <c r="A43" s="444" t="str">
        <f>Мероприятия_и_источники!A112</f>
        <v>1.3.3</v>
      </c>
      <c r="B43" s="447" t="str">
        <f>Мероприятия_и_источники!B112</f>
        <v>Реконструкция существующего участка чугунного водовода Ду=500 мм на ПЭ Д=560 SDR 17 от точки в районе границ земельного участка до камеры, протяженностью 185 м.</v>
      </c>
      <c r="C43" s="763"/>
      <c r="D43" s="447" t="str">
        <f>Мероприятия_и_источники!D112</f>
        <v>Индустриальный парк «Грабцево» (с целью увеличения мощности системы (2 этажа)), расположенный по адресу: г. Калуга, Индустриальный парк «Грабцево»</v>
      </c>
      <c r="E43" s="447" t="str">
        <f>Мероприятия_и_источники!E112</f>
        <v>Акционерное общество «Корпорация развития Калужской области»</v>
      </c>
      <c r="F43" s="763">
        <v>2000</v>
      </c>
      <c r="G43" s="763">
        <f>Мероприятия_и_источники!I112</f>
        <v>0</v>
      </c>
      <c r="H43" s="763">
        <f>Мероприятия_и_источники!J112</f>
        <v>3576.3554999999997</v>
      </c>
      <c r="I43" s="763">
        <f>Мероприятия_и_источники!K112</f>
        <v>0</v>
      </c>
      <c r="J43" s="763">
        <f>Мероприятия_и_источники!L112</f>
        <v>0</v>
      </c>
      <c r="K43" s="994">
        <f>Мероприятия_и_источники!M112</f>
        <v>0</v>
      </c>
      <c r="L43" s="444"/>
      <c r="M43" s="447"/>
      <c r="N43" s="448"/>
      <c r="O43" s="448"/>
    </row>
    <row r="44" spans="1:22" ht="58.5" customHeight="1" outlineLevel="1">
      <c r="A44" s="444" t="str">
        <f>Мероприятия_и_источники!A116</f>
        <v>1.3.4</v>
      </c>
      <c r="B44" s="447" t="str">
        <f>Мероприятия_и_источники!B116</f>
        <v>Реконструкция существующего водопровода Ду-100 мм (чуг.) по пер.Баррикад от водопровода по ул. В. Андриановой. до водопровода по ул. Грабцевское шоссе с увеличением диаметра до Ду-200 мм (ПНД SDR 13,6), протяженностью 605 п.м, прокладку выполнить закрытым методом.</v>
      </c>
      <c r="C44" s="763"/>
      <c r="D44" s="447" t="str">
        <f>Мероприятия_и_источники!D116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44" s="447" t="str">
        <f>Мероприятия_и_источники!E116</f>
        <v>ООО «КалугаЭлитДевелопмент»</v>
      </c>
      <c r="F44" s="763"/>
      <c r="G44" s="449">
        <f>Мероприятия_и_источники!I116</f>
        <v>13517.139299999999</v>
      </c>
      <c r="H44" s="449">
        <f>Мероприятия_и_источники!J116</f>
        <v>0</v>
      </c>
      <c r="I44" s="449">
        <f>Мероприятия_и_источники!K116</f>
        <v>0</v>
      </c>
      <c r="J44" s="449">
        <f>Мероприятия_и_источники!L116</f>
        <v>0</v>
      </c>
      <c r="K44" s="800">
        <f>Мероприятия_и_источники!M116</f>
        <v>0</v>
      </c>
      <c r="L44" s="446"/>
      <c r="M44" s="447"/>
      <c r="N44" s="448"/>
      <c r="O44" s="448"/>
    </row>
    <row r="45" spans="1:22" ht="56.25" customHeight="1" outlineLevel="1">
      <c r="A45" s="444" t="str">
        <f>Мероприятия_и_источники!A120</f>
        <v>1.3.5</v>
      </c>
      <c r="B45" s="447" t="str">
        <f>Мероприятия_и_источники!B120</f>
        <v>Строительство водовода Д=500 от 3 подъема ст.Турынино до ул. Тульская (в одну нитку) протяженностью 1800 п.м.</v>
      </c>
      <c r="C45" s="763">
        <f>Мероприятия_и_источники!C120</f>
        <v>1800</v>
      </c>
      <c r="D45" s="447" t="str">
        <f>Мероприятия_и_источники!D120</f>
        <v>Комплексное освоение территории, в рамках которого предусматривается жилищное строительство, г. Калуга, ул. 40 лет Октября</v>
      </c>
      <c r="E45" s="447" t="str">
        <f>Мероприятия_и_источники!E120</f>
        <v>АО СЗ КОШЕЛЕВ-ПРОЕКТ</v>
      </c>
      <c r="F45" s="763"/>
      <c r="G45" s="449">
        <f>Мероприятия_и_источники!I120</f>
        <v>4029.2036039999994</v>
      </c>
      <c r="H45" s="449">
        <f>Мероприятия_и_источники!J120</f>
        <v>60825.435818631639</v>
      </c>
      <c r="I45" s="449">
        <f>Мероприятия_и_источники!K120</f>
        <v>0</v>
      </c>
      <c r="J45" s="449">
        <f>Мероприятия_и_источники!L120</f>
        <v>0</v>
      </c>
      <c r="K45" s="800">
        <f>Мероприятия_и_источники!M120</f>
        <v>0</v>
      </c>
      <c r="L45" s="446"/>
      <c r="M45" s="447"/>
      <c r="N45" s="448"/>
      <c r="O45" s="448"/>
    </row>
    <row r="46" spans="1:22" ht="46.5" customHeight="1" outlineLevel="1">
      <c r="A46" s="444" t="str">
        <f>Мероприятия_и_источники!A124</f>
        <v>1.3.6</v>
      </c>
      <c r="B46" s="447" t="str">
        <f>Мероприятия_и_источники!B124</f>
        <v>Реконструкция существующих водоводов (стеклопластик) Ду-400 в г. Калуга,  протяженностью 290 п.м. каждый (580 п.м. общая) мкрн.Байконур</v>
      </c>
      <c r="C46" s="763"/>
      <c r="D46" s="447" t="str">
        <f>Мероприятия_и_источники!D124</f>
        <v>Проект планировки и проект межевания территории жилого квартала, г.Калуга мкр.Кубяка,Байконур</v>
      </c>
      <c r="E46" s="447" t="str">
        <f>Мероприятия_и_источники!E124</f>
        <v>Заявитель</v>
      </c>
      <c r="F46" s="763">
        <f>Мероприятия_и_источники!F124</f>
        <v>1637.85</v>
      </c>
      <c r="G46" s="449">
        <f>Мероприятия_и_источники!I124</f>
        <v>0</v>
      </c>
      <c r="H46" s="449">
        <f>Мероприятия_и_источники!J124</f>
        <v>10573.1203938048</v>
      </c>
      <c r="I46" s="449">
        <f>Мероприятия_и_источники!K124</f>
        <v>0</v>
      </c>
      <c r="J46" s="449">
        <f>Мероприятия_и_источники!L124</f>
        <v>0</v>
      </c>
      <c r="K46" s="449">
        <f>Мероприятия_и_источники!M124</f>
        <v>0</v>
      </c>
      <c r="L46" s="446"/>
      <c r="M46" s="447"/>
      <c r="N46" s="448"/>
      <c r="O46" s="448"/>
    </row>
    <row r="47" spans="1:22" outlineLevel="1">
      <c r="A47" s="444"/>
      <c r="B47" s="445"/>
      <c r="C47" s="763"/>
      <c r="D47" s="445"/>
      <c r="E47" s="445"/>
      <c r="F47" s="763"/>
      <c r="G47" s="449"/>
      <c r="H47" s="449"/>
      <c r="I47" s="449"/>
      <c r="J47" s="449"/>
      <c r="K47" s="449"/>
      <c r="L47" s="446"/>
      <c r="M47" s="447"/>
      <c r="N47" s="448"/>
      <c r="O47" s="448"/>
    </row>
    <row r="48" spans="1:22" s="443" customFormat="1" ht="43.5" customHeight="1">
      <c r="A48" s="435" t="str">
        <f>Мероприятия_и_источники!A128</f>
        <v>1.4.</v>
      </c>
      <c r="B48" s="436" t="s">
        <v>68</v>
      </c>
      <c r="C48" s="438">
        <f>SUM(C49:C50)</f>
        <v>0</v>
      </c>
      <c r="D48" s="437"/>
      <c r="E48" s="437"/>
      <c r="F48" s="438">
        <f t="shared" ref="F48:K48" si="5">SUM(F49:F51)</f>
        <v>0</v>
      </c>
      <c r="G48" s="438">
        <f t="shared" si="5"/>
        <v>2140.4639999999999</v>
      </c>
      <c r="H48" s="438">
        <f t="shared" si="5"/>
        <v>47022.28534081977</v>
      </c>
      <c r="I48" s="438">
        <f t="shared" si="5"/>
        <v>0</v>
      </c>
      <c r="J48" s="438">
        <f t="shared" si="5"/>
        <v>0</v>
      </c>
      <c r="K48" s="438">
        <f t="shared" si="5"/>
        <v>0</v>
      </c>
      <c r="L48" s="439"/>
      <c r="M48" s="440"/>
      <c r="N48" s="450"/>
      <c r="O48" s="450"/>
      <c r="P48" s="452"/>
      <c r="Q48" s="452"/>
      <c r="R48" s="452"/>
      <c r="S48" s="452"/>
      <c r="T48" s="452"/>
      <c r="U48" s="451"/>
      <c r="V48" s="451"/>
    </row>
    <row r="49" spans="1:22" s="451" customFormat="1" ht="47.25" outlineLevel="1">
      <c r="A49" s="444" t="str">
        <f>Мероприятия_и_источники!A132</f>
        <v>1.4.1.</v>
      </c>
      <c r="B49" s="447" t="str">
        <f>Мероприятия_и_источники!B132</f>
        <v>Замена существующего насосного оборудования на НС I-го подъема Q=346 м3 с увеличением подачи до Q=400 м3.</v>
      </c>
      <c r="C49" s="763"/>
      <c r="D49" s="447" t="str">
        <f>Мероприятия_и_источники!D132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49" s="447" t="str">
        <f>Мероприятия_и_источники!E132</f>
        <v>АО СЗ КОШЕЛЕВ-ПРОЕКТ</v>
      </c>
      <c r="F49" s="765"/>
      <c r="G49" s="449">
        <f>Мероприятия_и_источники!I132</f>
        <v>2140.4639999999999</v>
      </c>
      <c r="H49" s="449">
        <f>Мероприятия_и_источники!J132</f>
        <v>0</v>
      </c>
      <c r="I49" s="449">
        <f>Мероприятия_и_источники!K132</f>
        <v>0</v>
      </c>
      <c r="J49" s="449">
        <f>Мероприятия_и_источники!L132</f>
        <v>0</v>
      </c>
      <c r="K49" s="800">
        <f>Мероприятия_и_источники!M132</f>
        <v>0</v>
      </c>
      <c r="L49" s="455"/>
      <c r="M49" s="771"/>
      <c r="N49" s="450"/>
      <c r="O49" s="450"/>
    </row>
    <row r="50" spans="1:22" s="451" customFormat="1" ht="31.5" outlineLevel="1">
      <c r="A50" s="444" t="str">
        <f>Мероприятия_и_источники!A136</f>
        <v>1.4.2.</v>
      </c>
      <c r="B50" s="447" t="str">
        <f>Мероприятия_и_источники!B136</f>
        <v>Реконструкция насосной станции 2-го подъема Окского водозабора с 1 800 м куб. в час до 2300 куб. м. в час</v>
      </c>
      <c r="C50" s="763"/>
      <c r="D50" s="447" t="str">
        <f>Мероприятия_и_источники!D136</f>
        <v>Комплекс многоквартирных жилых домов со встроенно-пристроенными торговыми помещениями,детский сад на 300 мест,школа на 1100 мест</v>
      </c>
      <c r="E50" s="447" t="str">
        <f>Мероприятия_и_источники!E136</f>
        <v>ООО Специализированный застройщик "УАЙТ ГРУПП-КАЛУГА"</v>
      </c>
      <c r="F50" s="989"/>
      <c r="G50" s="796">
        <f>Мероприятия_и_источники!I136</f>
        <v>0</v>
      </c>
      <c r="H50" s="449">
        <f>Мероприятия_и_источники!J136</f>
        <v>17691.54710067825</v>
      </c>
      <c r="I50" s="796">
        <f>Мероприятия_и_источники!K136</f>
        <v>0</v>
      </c>
      <c r="J50" s="796">
        <f>Мероприятия_и_источники!L136</f>
        <v>0</v>
      </c>
      <c r="K50" s="796">
        <f>Мероприятия_и_источники!M136</f>
        <v>0</v>
      </c>
      <c r="L50" s="455"/>
      <c r="M50" s="771"/>
      <c r="N50" s="450"/>
      <c r="O50" s="450"/>
    </row>
    <row r="51" spans="1:22" s="451" customFormat="1" ht="31.5" outlineLevel="1">
      <c r="A51" s="444" t="str">
        <f>Мероприятия_и_источники!A140</f>
        <v>1.4.3.</v>
      </c>
      <c r="B51" s="447" t="str">
        <f>Мероприятия_и_источники!B140</f>
        <v xml:space="preserve">Реконструкция скорых фильтров станции  "Северного водозабора" </v>
      </c>
      <c r="C51" s="763"/>
      <c r="D51" s="447" t="str">
        <f>Мероприятия_и_источники!D140</f>
        <v>Проект планировки и проект межевания территории жилого квартала, г.Калуга мкр.Кубяка,Байконур</v>
      </c>
      <c r="E51" s="447" t="str">
        <f>Мероприятия_и_источники!E140</f>
        <v>Заявитель</v>
      </c>
      <c r="F51" s="989"/>
      <c r="G51" s="796">
        <f>Мероприятия_и_источники!I140</f>
        <v>0</v>
      </c>
      <c r="H51" s="796">
        <f>Мероприятия_и_источники!J140</f>
        <v>29330.73824014152</v>
      </c>
      <c r="I51" s="796">
        <f>Мероприятия_и_источники!K140</f>
        <v>0</v>
      </c>
      <c r="J51" s="796">
        <f>Мероприятия_и_источники!L140</f>
        <v>0</v>
      </c>
      <c r="K51" s="796">
        <f>Мероприятия_и_источники!M140</f>
        <v>0</v>
      </c>
      <c r="L51" s="785"/>
      <c r="M51" s="453"/>
      <c r="N51" s="450"/>
      <c r="O51" s="450"/>
    </row>
    <row r="52" spans="1:22" s="460" customFormat="1" ht="39.75" customHeight="1">
      <c r="A52" s="456" t="str">
        <f>Мероприятия_и_источники!A144</f>
        <v>2</v>
      </c>
      <c r="B52" s="756" t="str">
        <f>Мероприятия_и_источники!B144</f>
        <v>Строительство новых объектов централизованных систем водоснабжения, не связанных с подключением новых объектов капитального строительства</v>
      </c>
      <c r="C52" s="764">
        <f>C53+C58</f>
        <v>11124.5</v>
      </c>
      <c r="D52" s="756"/>
      <c r="E52" s="756"/>
      <c r="F52" s="764">
        <f t="shared" ref="F52:K52" si="6">F53+F58</f>
        <v>0</v>
      </c>
      <c r="G52" s="764">
        <f t="shared" si="6"/>
        <v>0</v>
      </c>
      <c r="H52" s="764">
        <f t="shared" si="6"/>
        <v>10618.274920275358</v>
      </c>
      <c r="I52" s="764">
        <f t="shared" si="6"/>
        <v>145687.56044166302</v>
      </c>
      <c r="J52" s="764">
        <f t="shared" si="6"/>
        <v>256629.92056131459</v>
      </c>
      <c r="K52" s="794">
        <f t="shared" si="6"/>
        <v>431565.03753473767</v>
      </c>
      <c r="L52" s="457"/>
      <c r="M52" s="458"/>
      <c r="N52" s="459"/>
      <c r="O52" s="459"/>
    </row>
    <row r="53" spans="1:22" s="443" customFormat="1" ht="42.75" customHeight="1">
      <c r="A53" s="435" t="str">
        <f>Мероприятия_и_источники!A148</f>
        <v>2.1.</v>
      </c>
      <c r="B53" s="436" t="s">
        <v>33</v>
      </c>
      <c r="C53" s="438">
        <f>SUM(C54:C57)</f>
        <v>11124.5</v>
      </c>
      <c r="D53" s="437"/>
      <c r="E53" s="437"/>
      <c r="F53" s="793"/>
      <c r="G53" s="793">
        <f>SUM(G54:G57,)</f>
        <v>0</v>
      </c>
      <c r="H53" s="793">
        <f>SUM(H54:H57,)</f>
        <v>10618.274920275358</v>
      </c>
      <c r="I53" s="793">
        <f>SUM(I54:I57,)</f>
        <v>145687.56044166302</v>
      </c>
      <c r="J53" s="793">
        <f>SUM(J54:J57,)</f>
        <v>256629.92056131459</v>
      </c>
      <c r="K53" s="795">
        <f>SUM(K54:K57,)</f>
        <v>431565.03753473767</v>
      </c>
      <c r="L53" s="439"/>
      <c r="M53" s="440"/>
      <c r="N53" s="450"/>
      <c r="O53" s="450"/>
      <c r="P53" s="451"/>
      <c r="Q53" s="451"/>
      <c r="R53" s="451"/>
      <c r="S53" s="451"/>
      <c r="T53" s="451"/>
      <c r="U53" s="451"/>
      <c r="V53" s="451"/>
    </row>
    <row r="54" spans="1:22" s="451" customFormat="1" ht="73.5" customHeight="1" outlineLevel="1">
      <c r="A54" s="444" t="str">
        <f>Мероприятия_и_источники!A152</f>
        <v>2.1.1.</v>
      </c>
      <c r="B54" s="447" t="str">
        <f>Мероприятия_и_источники!B152</f>
        <v>Строительство водопровода Д-110 мм, протяженностью 474,8 п.м, открытым способом; 
Строительство водопровода Д-110 мм, протяженностью 162,9 п.м, закрытым способом; 
Строительство водопровода Д-63 мм, протяженностью 186,8 п.м, открытым способом; 
При прокладке водовода учесть переход под а/дорогой с обустройством футляра из трубы Ду = 225 мм, протяженностью не менее 92,6 п.м., и из трубы Ду = 315 мм, протяженностью 55,3 п.м.</v>
      </c>
      <c r="C54" s="763">
        <f>Мероприятия_и_источники!C152</f>
        <v>824.5</v>
      </c>
      <c r="D54" s="447" t="str">
        <f>Мероприятия_и_источники!D152</f>
        <v>Проектирование и строительство систем водоснабжения по адресам:  г. Калуга, д. Мстихино, ул. Центральная, в районе д.д.1,1а,1б; г.Калуга, пер. Прудный, в районе д.д.1,1а,2,3,4,8</v>
      </c>
      <c r="E54" s="444"/>
      <c r="F54" s="796"/>
      <c r="G54" s="797">
        <f>Мероприятия_и_источники!I152</f>
        <v>0</v>
      </c>
      <c r="H54" s="797">
        <f>Мероприятия_и_источники!J152</f>
        <v>0</v>
      </c>
      <c r="I54" s="797">
        <f>Мероприятия_и_источники!K152</f>
        <v>0</v>
      </c>
      <c r="J54" s="797">
        <f>Мероприятия_и_источники!L152</f>
        <v>9235.9499999999989</v>
      </c>
      <c r="K54" s="797">
        <f>Мероприятия_и_источники!M152</f>
        <v>0</v>
      </c>
      <c r="L54" s="455"/>
      <c r="M54" s="453"/>
      <c r="N54" s="450"/>
      <c r="O54" s="450"/>
    </row>
    <row r="55" spans="1:22" s="451" customFormat="1" ht="43.5" customHeight="1" outlineLevel="1">
      <c r="A55" s="444" t="str">
        <f>Мероприятия_и_источники!A156</f>
        <v>2.1.2.</v>
      </c>
      <c r="B55" s="447" t="str">
        <f>Мероприятия_и_источники!B156</f>
        <v>Строительство водовода "Турынино" Д-800 L = 10 км - прокладка дублирующей нитки Ду 800 мм от насосной ст. I подъема до водоочистной станции протяженностью 10 000 п.м.</v>
      </c>
      <c r="C55" s="763">
        <f>Мероприятия_и_источники!C156</f>
        <v>10000</v>
      </c>
      <c r="D55" s="447" t="str">
        <f>Мероприятия_и_источники!D156</f>
        <v>Проектирование и строительство сетей водоснабжения г.Калуга</v>
      </c>
      <c r="E55" s="444"/>
      <c r="F55" s="796"/>
      <c r="G55" s="797">
        <f>Мероприятия_и_источники!I156</f>
        <v>0</v>
      </c>
      <c r="H55" s="797">
        <f>Мероприятия_и_источники!J156</f>
        <v>0</v>
      </c>
      <c r="I55" s="797">
        <f>Мероприятия_и_источники!K156</f>
        <v>145687.56044166302</v>
      </c>
      <c r="J55" s="797">
        <f>Мероприятия_и_источники!L156</f>
        <v>247393.97056131458</v>
      </c>
      <c r="K55" s="797">
        <f>Мероприятия_и_источники!M156</f>
        <v>431565.03753473767</v>
      </c>
      <c r="L55" s="455"/>
      <c r="M55" s="453"/>
      <c r="N55" s="450"/>
      <c r="O55" s="450"/>
    </row>
    <row r="56" spans="1:22" s="451" customFormat="1" ht="45" customHeight="1" outlineLevel="1">
      <c r="A56" s="444" t="str">
        <f>Мероприятия_и_источники!A160</f>
        <v>2.1.3.</v>
      </c>
      <c r="B56" s="447" t="str">
        <f>Мероприятия_и_источники!B160</f>
        <v>Строительство водопровода Д=150 мм от ул. Чапаева, по пл.Маяковского, до ул.Грабцевское Шоссе с устройством закольцовки протяженностью 300 п.м.</v>
      </c>
      <c r="C56" s="763">
        <f>Мероприятия_и_источники!C160</f>
        <v>300</v>
      </c>
      <c r="D56" s="447" t="str">
        <f>Мероприятия_и_источники!D160</f>
        <v>Проектирование и строительство сетей водоснабжения г.Калуга</v>
      </c>
      <c r="E56" s="444"/>
      <c r="F56" s="796"/>
      <c r="G56" s="797">
        <f>Мероприятия_и_источники!I160</f>
        <v>0</v>
      </c>
      <c r="H56" s="797">
        <f>Мероприятия_и_источники!J160</f>
        <v>10618.274920275358</v>
      </c>
      <c r="I56" s="797">
        <f>Мероприятия_и_источники!K160</f>
        <v>0</v>
      </c>
      <c r="J56" s="797">
        <f>Мероприятия_и_источники!L160</f>
        <v>0</v>
      </c>
      <c r="K56" s="797">
        <f>Мероприятия_и_источники!M160</f>
        <v>0</v>
      </c>
      <c r="L56" s="455"/>
      <c r="M56" s="453"/>
      <c r="N56" s="450"/>
      <c r="O56" s="450"/>
    </row>
    <row r="57" spans="1:22" s="451" customFormat="1" outlineLevel="1">
      <c r="A57" s="461"/>
      <c r="B57" s="462"/>
      <c r="C57" s="765"/>
      <c r="D57" s="463"/>
      <c r="E57" s="463"/>
      <c r="F57" s="796"/>
      <c r="G57" s="797"/>
      <c r="H57" s="796"/>
      <c r="I57" s="796"/>
      <c r="J57" s="796"/>
      <c r="K57" s="796"/>
      <c r="L57" s="455"/>
      <c r="M57" s="453"/>
      <c r="N57" s="450"/>
      <c r="O57" s="450"/>
    </row>
    <row r="58" spans="1:22" s="443" customFormat="1" ht="47.25" customHeight="1">
      <c r="A58" s="435" t="str">
        <f>Мероприятия_и_источники!A164</f>
        <v>2.2.</v>
      </c>
      <c r="B58" s="436" t="s">
        <v>34</v>
      </c>
      <c r="C58" s="438"/>
      <c r="D58" s="437"/>
      <c r="E58" s="437"/>
      <c r="F58" s="793">
        <f>SUM(F59:F60)</f>
        <v>0</v>
      </c>
      <c r="G58" s="795">
        <f>Мероприятия_и_источники!I164</f>
        <v>0</v>
      </c>
      <c r="H58" s="793">
        <f>Мероприятия_и_источники!J164</f>
        <v>0</v>
      </c>
      <c r="I58" s="793">
        <f>Мероприятия_и_источники!L164</f>
        <v>0</v>
      </c>
      <c r="J58" s="793"/>
      <c r="K58" s="793">
        <f>Мероприятия_и_источники!M164</f>
        <v>0</v>
      </c>
      <c r="L58" s="439"/>
      <c r="M58" s="440"/>
      <c r="N58" s="464"/>
      <c r="O58" s="464"/>
      <c r="P58" s="451"/>
      <c r="Q58" s="451"/>
      <c r="R58" s="451"/>
      <c r="S58" s="451"/>
      <c r="T58" s="451"/>
      <c r="U58" s="451"/>
      <c r="V58" s="451"/>
    </row>
    <row r="59" spans="1:22" s="451" customFormat="1" outlineLevel="1">
      <c r="A59" s="461"/>
      <c r="B59" s="462"/>
      <c r="C59" s="765"/>
      <c r="D59" s="463"/>
      <c r="E59" s="463"/>
      <c r="F59" s="796"/>
      <c r="G59" s="797"/>
      <c r="H59" s="796"/>
      <c r="I59" s="796"/>
      <c r="J59" s="796"/>
      <c r="K59" s="796"/>
      <c r="L59" s="455"/>
      <c r="M59" s="453"/>
      <c r="N59" s="464"/>
      <c r="O59" s="464"/>
    </row>
    <row r="60" spans="1:22" s="451" customFormat="1" outlineLevel="1">
      <c r="A60" s="461"/>
      <c r="B60" s="462"/>
      <c r="C60" s="765"/>
      <c r="D60" s="463"/>
      <c r="E60" s="463"/>
      <c r="F60" s="796"/>
      <c r="G60" s="797"/>
      <c r="H60" s="796"/>
      <c r="I60" s="796"/>
      <c r="J60" s="796"/>
      <c r="K60" s="796"/>
      <c r="L60" s="455"/>
      <c r="M60" s="453"/>
      <c r="N60" s="464"/>
      <c r="O60" s="464"/>
    </row>
    <row r="61" spans="1:22" s="460" customFormat="1" ht="37.5" customHeight="1">
      <c r="A61" s="456" t="str">
        <f>Мероприятия_и_источники!A168</f>
        <v>3</v>
      </c>
      <c r="B61" s="756" t="str">
        <f>Мероприятия_и_источники!B168</f>
        <v>Модернизация или реконструкция существующих объектов централизованных систем водоснабжения в целях снижения уровня износа существующих объектов</v>
      </c>
      <c r="C61" s="764">
        <f>C62+C67</f>
        <v>0</v>
      </c>
      <c r="D61" s="756"/>
      <c r="E61" s="756"/>
      <c r="F61" s="764">
        <f t="shared" ref="F61:K61" si="7">F62+F67</f>
        <v>0</v>
      </c>
      <c r="G61" s="764">
        <f t="shared" si="7"/>
        <v>0</v>
      </c>
      <c r="H61" s="764">
        <f t="shared" si="7"/>
        <v>0</v>
      </c>
      <c r="I61" s="764">
        <f t="shared" si="7"/>
        <v>0</v>
      </c>
      <c r="J61" s="764">
        <f t="shared" si="7"/>
        <v>0</v>
      </c>
      <c r="K61" s="764">
        <f t="shared" si="7"/>
        <v>0</v>
      </c>
      <c r="L61" s="457"/>
      <c r="M61" s="456" t="e">
        <f>Мероприятия_и_источники!#REF!</f>
        <v>#REF!</v>
      </c>
      <c r="N61" s="465"/>
      <c r="O61" s="465"/>
    </row>
    <row r="62" spans="1:22" s="443" customFormat="1" ht="31.5">
      <c r="A62" s="435" t="str">
        <f>Мероприятия_и_источники!A172</f>
        <v>3.1.</v>
      </c>
      <c r="B62" s="436" t="s">
        <v>558</v>
      </c>
      <c r="C62" s="438"/>
      <c r="D62" s="437"/>
      <c r="E62" s="437"/>
      <c r="F62" s="793">
        <f t="shared" ref="F62:K62" si="8">SUM(F63:F66)</f>
        <v>0</v>
      </c>
      <c r="G62" s="793">
        <f t="shared" si="8"/>
        <v>0</v>
      </c>
      <c r="H62" s="793">
        <f t="shared" si="8"/>
        <v>0</v>
      </c>
      <c r="I62" s="793">
        <f t="shared" si="8"/>
        <v>0</v>
      </c>
      <c r="J62" s="793">
        <f t="shared" si="8"/>
        <v>0</v>
      </c>
      <c r="K62" s="793">
        <f t="shared" si="8"/>
        <v>0</v>
      </c>
      <c r="L62" s="439"/>
      <c r="M62" s="440"/>
      <c r="N62" s="464"/>
      <c r="O62" s="464"/>
      <c r="P62" s="451"/>
      <c r="Q62" s="451"/>
      <c r="R62" s="451"/>
      <c r="S62" s="451"/>
      <c r="T62" s="451"/>
      <c r="U62" s="451"/>
      <c r="V62" s="451"/>
    </row>
    <row r="63" spans="1:22" s="451" customFormat="1" outlineLevel="1">
      <c r="A63" s="444">
        <f>Мероприятия_и_источники!A176</f>
        <v>0</v>
      </c>
      <c r="B63" s="462"/>
      <c r="C63" s="765"/>
      <c r="D63" s="463"/>
      <c r="E63" s="463"/>
      <c r="F63" s="796"/>
      <c r="G63" s="797"/>
      <c r="H63" s="796"/>
      <c r="I63" s="796"/>
      <c r="J63" s="796"/>
      <c r="K63" s="796"/>
      <c r="L63" s="455"/>
      <c r="M63" s="453"/>
      <c r="N63" s="464"/>
      <c r="O63" s="464"/>
    </row>
    <row r="64" spans="1:22" s="451" customFormat="1" outlineLevel="1">
      <c r="A64" s="444"/>
      <c r="B64" s="462"/>
      <c r="C64" s="765"/>
      <c r="D64" s="463"/>
      <c r="E64" s="463"/>
      <c r="F64" s="796"/>
      <c r="G64" s="797"/>
      <c r="H64" s="796"/>
      <c r="I64" s="796"/>
      <c r="J64" s="796"/>
      <c r="K64" s="796"/>
      <c r="L64" s="455"/>
      <c r="M64" s="453"/>
      <c r="N64" s="464"/>
      <c r="O64" s="464"/>
    </row>
    <row r="65" spans="1:22" s="451" customFormat="1" outlineLevel="1">
      <c r="A65" s="444"/>
      <c r="B65" s="462"/>
      <c r="C65" s="765"/>
      <c r="D65" s="463"/>
      <c r="E65" s="463"/>
      <c r="F65" s="796"/>
      <c r="G65" s="797"/>
      <c r="H65" s="796"/>
      <c r="I65" s="796"/>
      <c r="J65" s="796"/>
      <c r="K65" s="796"/>
      <c r="L65" s="455"/>
      <c r="M65" s="453"/>
      <c r="N65" s="464"/>
      <c r="O65" s="464"/>
    </row>
    <row r="66" spans="1:22" s="451" customFormat="1" outlineLevel="1">
      <c r="A66" s="444"/>
      <c r="B66" s="462"/>
      <c r="C66" s="765"/>
      <c r="D66" s="463"/>
      <c r="E66" s="463"/>
      <c r="F66" s="796"/>
      <c r="G66" s="797"/>
      <c r="H66" s="796"/>
      <c r="I66" s="796"/>
      <c r="J66" s="796"/>
      <c r="K66" s="796"/>
      <c r="L66" s="455"/>
      <c r="M66" s="453"/>
      <c r="N66" s="464"/>
      <c r="O66" s="464"/>
    </row>
    <row r="67" spans="1:22" s="443" customFormat="1" ht="31.5">
      <c r="A67" s="435" t="str">
        <f>Мероприятия_и_источники!A180</f>
        <v>3.2.</v>
      </c>
      <c r="B67" s="436" t="s">
        <v>37</v>
      </c>
      <c r="C67" s="438"/>
      <c r="D67" s="437"/>
      <c r="E67" s="437"/>
      <c r="F67" s="793">
        <f t="shared" ref="F67:K67" si="9">SUM(F68:F69)</f>
        <v>0</v>
      </c>
      <c r="G67" s="793">
        <f t="shared" si="9"/>
        <v>0</v>
      </c>
      <c r="H67" s="793">
        <f t="shared" si="9"/>
        <v>0</v>
      </c>
      <c r="I67" s="793">
        <f t="shared" si="9"/>
        <v>0</v>
      </c>
      <c r="J67" s="793">
        <f t="shared" si="9"/>
        <v>0</v>
      </c>
      <c r="K67" s="793">
        <f t="shared" si="9"/>
        <v>0</v>
      </c>
      <c r="L67" s="439"/>
      <c r="M67" s="440"/>
      <c r="N67" s="464"/>
      <c r="O67" s="464"/>
      <c r="P67" s="451"/>
      <c r="Q67" s="451"/>
      <c r="R67" s="451"/>
      <c r="S67" s="451"/>
      <c r="T67" s="451"/>
      <c r="U67" s="451"/>
      <c r="V67" s="451"/>
    </row>
    <row r="68" spans="1:22" s="451" customFormat="1" outlineLevel="1">
      <c r="A68" s="444" t="s">
        <v>274</v>
      </c>
      <c r="B68" s="462"/>
      <c r="C68" s="765"/>
      <c r="D68" s="463"/>
      <c r="E68" s="463"/>
      <c r="F68" s="796"/>
      <c r="G68" s="797"/>
      <c r="H68" s="796"/>
      <c r="I68" s="796"/>
      <c r="J68" s="796"/>
      <c r="K68" s="796"/>
      <c r="L68" s="455"/>
      <c r="M68" s="453"/>
      <c r="N68" s="464"/>
      <c r="O68" s="464"/>
    </row>
    <row r="69" spans="1:22" s="451" customFormat="1" outlineLevel="1">
      <c r="A69" s="444" t="s">
        <v>276</v>
      </c>
      <c r="B69" s="462"/>
      <c r="C69" s="765"/>
      <c r="D69" s="463"/>
      <c r="E69" s="463"/>
      <c r="F69" s="796"/>
      <c r="G69" s="797"/>
      <c r="H69" s="796"/>
      <c r="I69" s="796"/>
      <c r="J69" s="796"/>
      <c r="K69" s="796"/>
      <c r="L69" s="455"/>
      <c r="M69" s="453"/>
      <c r="N69" s="464"/>
      <c r="O69" s="464"/>
    </row>
    <row r="70" spans="1:22" s="443" customFormat="1" ht="56.25" customHeight="1">
      <c r="A70" s="456" t="str">
        <f>Мероприятия_и_источники!A184</f>
        <v>4</v>
      </c>
      <c r="B70" s="758" t="s">
        <v>71</v>
      </c>
      <c r="C70" s="764"/>
      <c r="D70" s="756"/>
      <c r="E70" s="457"/>
      <c r="F70" s="798">
        <f t="shared" ref="F70:K70" si="10">SUM(F71:F95)</f>
        <v>0</v>
      </c>
      <c r="G70" s="799">
        <f t="shared" si="10"/>
        <v>187415.48056356664</v>
      </c>
      <c r="H70" s="799">
        <f t="shared" si="10"/>
        <v>59997.341774476081</v>
      </c>
      <c r="I70" s="799">
        <f t="shared" si="10"/>
        <v>68002.902719394508</v>
      </c>
      <c r="J70" s="799">
        <f t="shared" si="10"/>
        <v>133101.2671800642</v>
      </c>
      <c r="K70" s="799">
        <f t="shared" si="10"/>
        <v>76659.74120958928</v>
      </c>
      <c r="L70" s="466"/>
      <c r="M70" s="440"/>
      <c r="N70" s="450"/>
      <c r="O70" s="450"/>
      <c r="P70" s="451"/>
      <c r="Q70" s="451"/>
      <c r="R70" s="451"/>
      <c r="S70" s="451"/>
      <c r="T70" s="451"/>
      <c r="U70" s="451"/>
      <c r="V70" s="451"/>
    </row>
    <row r="71" spans="1:22" ht="22.5" customHeight="1" outlineLevel="1">
      <c r="A71" s="444" t="str">
        <f>Мероприятия_и_источники!A188</f>
        <v>4.1.</v>
      </c>
      <c r="B71" s="447" t="str">
        <f>Мероприятия_и_источники!B188</f>
        <v>Строительство (проектирование) станции водоочистки  д. Косарево  ГО Калуга 10 м3/час</v>
      </c>
      <c r="C71" s="763" t="s">
        <v>870</v>
      </c>
      <c r="D71" s="447" t="str">
        <f>Мероприятия_и_источники!D188</f>
        <v>г.Калуга.д.Косарево</v>
      </c>
      <c r="E71" s="454"/>
      <c r="F71" s="449"/>
      <c r="G71" s="800">
        <f>Мероприятия_и_источники!I188</f>
        <v>8376.6767568066698</v>
      </c>
      <c r="H71" s="800">
        <f>Мероприятия_и_источники!J188</f>
        <v>0</v>
      </c>
      <c r="I71" s="800">
        <f>Мероприятия_и_источники!K188</f>
        <v>0</v>
      </c>
      <c r="J71" s="800">
        <f>Мероприятия_и_источники!L188</f>
        <v>0</v>
      </c>
      <c r="K71" s="800">
        <f>Мероприятия_и_источники!M188</f>
        <v>0</v>
      </c>
      <c r="L71" s="446"/>
      <c r="M71" s="467"/>
      <c r="N71" s="448"/>
      <c r="O71" s="448"/>
    </row>
    <row r="72" spans="1:22" ht="26.25" customHeight="1" outlineLevel="1">
      <c r="A72" s="444" t="str">
        <f>Мероприятия_и_источники!A192</f>
        <v>4.2.</v>
      </c>
      <c r="B72" s="447" t="str">
        <f>Мероприятия_и_источники!B192</f>
        <v>Строительство (проектирование) станции водоочистки  с. Козлово  ГО Калуга 5 м3/час</v>
      </c>
      <c r="C72" s="763" t="s">
        <v>871</v>
      </c>
      <c r="D72" s="447" t="str">
        <f>Мероприятия_и_источники!D192</f>
        <v>г.Калуга.с.Козлово</v>
      </c>
      <c r="E72" s="454"/>
      <c r="F72" s="449"/>
      <c r="G72" s="800">
        <f>Мероприятия_и_источники!I192</f>
        <v>4120.6946526000002</v>
      </c>
      <c r="H72" s="800">
        <f>Мероприятия_и_источники!J192</f>
        <v>0</v>
      </c>
      <c r="I72" s="800">
        <f>Мероприятия_и_источники!K192</f>
        <v>0</v>
      </c>
      <c r="J72" s="800">
        <f>Мероприятия_и_источники!L192</f>
        <v>0</v>
      </c>
      <c r="K72" s="800">
        <f>Мероприятия_и_источники!M192</f>
        <v>0</v>
      </c>
      <c r="L72" s="446"/>
      <c r="M72" s="467"/>
      <c r="N72" s="448"/>
      <c r="O72" s="448"/>
    </row>
    <row r="73" spans="1:22" ht="24" customHeight="1" outlineLevel="1">
      <c r="A73" s="444" t="str">
        <f>Мероприятия_и_источники!A196</f>
        <v>4.3.</v>
      </c>
      <c r="B73" s="447" t="str">
        <f>Мероприятия_и_источники!B196</f>
        <v>Строительство (проектирование) станции водоочистки  д. Починки  ГО Калуга 5 м3/час</v>
      </c>
      <c r="C73" s="763" t="s">
        <v>871</v>
      </c>
      <c r="D73" s="447" t="str">
        <f>Мероприятия_и_источники!D196</f>
        <v>г.Калуга.д.Починки</v>
      </c>
      <c r="E73" s="454"/>
      <c r="F73" s="449"/>
      <c r="G73" s="800">
        <f>Мероприятия_и_источники!I196</f>
        <v>4120.6946526000002</v>
      </c>
      <c r="H73" s="800">
        <f>Мероприятия_и_источники!J196</f>
        <v>0</v>
      </c>
      <c r="I73" s="800">
        <f>Мероприятия_и_источники!K196</f>
        <v>0</v>
      </c>
      <c r="J73" s="800">
        <f>Мероприятия_и_источники!L196</f>
        <v>0</v>
      </c>
      <c r="K73" s="800">
        <f>Мероприятия_и_источники!M196</f>
        <v>0</v>
      </c>
      <c r="L73" s="446"/>
      <c r="M73" s="467"/>
      <c r="N73" s="448"/>
      <c r="O73" s="448"/>
    </row>
    <row r="74" spans="1:22" ht="37.5" customHeight="1" outlineLevel="1">
      <c r="A74" s="444" t="str">
        <f>Мероприятия_и_источники!A200</f>
        <v>4.4.</v>
      </c>
      <c r="B74" s="447" t="str">
        <f>Мероприятия_и_источники!B200</f>
        <v>Корректировка Проектной документации на объект капитального строительства: «Андреевский водозабор подземных вод МО "Город Калуга"»</v>
      </c>
      <c r="C74" s="763"/>
      <c r="D74" s="447" t="str">
        <f>Мероприятия_и_источники!D200</f>
        <v>г.Калуга</v>
      </c>
      <c r="E74" s="454"/>
      <c r="F74" s="449"/>
      <c r="G74" s="800">
        <f>Мероприятия_и_источники!I200</f>
        <v>163200</v>
      </c>
      <c r="H74" s="800">
        <f>Мероприятия_и_источники!J200</f>
        <v>0</v>
      </c>
      <c r="I74" s="800">
        <f>Мероприятия_и_источники!K200</f>
        <v>0</v>
      </c>
      <c r="J74" s="800">
        <f>Мероприятия_и_источники!L200</f>
        <v>0</v>
      </c>
      <c r="K74" s="800">
        <f>Мероприятия_и_источники!M200</f>
        <v>0</v>
      </c>
      <c r="L74" s="446"/>
      <c r="M74" s="467"/>
      <c r="N74" s="448"/>
      <c r="O74" s="448"/>
    </row>
    <row r="75" spans="1:22" outlineLevel="1">
      <c r="A75" s="444" t="str">
        <f>Мероприятия_и_источники!A204</f>
        <v>4.5.</v>
      </c>
      <c r="B75" s="447" t="str">
        <f>Мероприятия_и_источники!B204</f>
        <v>Реконструкция водовода по пер.Хуторской д.22 до детской колонии, Д-400 мм протяженностью 800 п.м.</v>
      </c>
      <c r="C75" s="763"/>
      <c r="D75" s="447" t="str">
        <f>Мероприятия_и_источники!D204</f>
        <v>г.Калуга, пер.Хуторской</v>
      </c>
      <c r="E75" s="454"/>
      <c r="F75" s="449"/>
      <c r="G75" s="800">
        <f>Мероприятия_и_источники!I204</f>
        <v>0</v>
      </c>
      <c r="H75" s="800">
        <f>Мероприятия_и_источники!J204</f>
        <v>12199.584346279198</v>
      </c>
      <c r="I75" s="800">
        <f>Мероприятия_и_источники!K204</f>
        <v>0</v>
      </c>
      <c r="J75" s="800">
        <f>Мероприятия_и_источники!L204</f>
        <v>0</v>
      </c>
      <c r="K75" s="800">
        <f>Мероприятия_и_источники!M204</f>
        <v>0</v>
      </c>
      <c r="L75" s="446"/>
      <c r="M75" s="467"/>
      <c r="N75" s="448"/>
      <c r="O75" s="448">
        <f>C75-N75</f>
        <v>0</v>
      </c>
    </row>
    <row r="76" spans="1:22" outlineLevel="1">
      <c r="A76" s="444" t="str">
        <f>Мероприятия_и_источники!A208</f>
        <v>4.6.</v>
      </c>
      <c r="B76" s="447" t="str">
        <f>Мероприятия_и_источники!B208</f>
        <v xml:space="preserve">Реконструкция водовода  по ул.Суворова от ул.Вооруженного восстания д.1 до д.65  Д-225 мм протяженностью 170 п.м  </v>
      </c>
      <c r="C76" s="763"/>
      <c r="D76" s="447" t="str">
        <f>Мероприятия_и_источники!D208</f>
        <v>г.Калуга ул.Суворова</v>
      </c>
      <c r="E76" s="454"/>
      <c r="F76" s="449"/>
      <c r="G76" s="800">
        <f>Мероприятия_и_источники!I208</f>
        <v>0</v>
      </c>
      <c r="H76" s="800">
        <f>Мероприятия_и_источники!J208</f>
        <v>4390.9798803249596</v>
      </c>
      <c r="I76" s="800">
        <f>Мероприятия_и_источники!K208</f>
        <v>0</v>
      </c>
      <c r="J76" s="800">
        <f>Мероприятия_и_источники!L208</f>
        <v>0</v>
      </c>
      <c r="K76" s="800">
        <f>Мероприятия_и_источники!M208</f>
        <v>0</v>
      </c>
      <c r="L76" s="446"/>
      <c r="M76" s="467"/>
      <c r="N76" s="448"/>
      <c r="O76" s="448">
        <f t="shared" ref="O76:O95" si="11">C76-N76</f>
        <v>0</v>
      </c>
    </row>
    <row r="77" spans="1:22" ht="31.5" outlineLevel="1">
      <c r="A77" s="444" t="str">
        <f>Мероприятия_и_источники!A212</f>
        <v>4.7.</v>
      </c>
      <c r="B77" s="447" t="str">
        <f>Мероприятия_и_источники!B212</f>
        <v>Реконструкция водовода от ул.Плеханова д.26 через территорию лицея №36 до ул.Герцена д.14а, Д-300 мм протяженностью 370 п.м.</v>
      </c>
      <c r="C77" s="763"/>
      <c r="D77" s="447" t="str">
        <f>Мероприятия_и_источники!D212</f>
        <v>г.Калуга, ул.Плеханова</v>
      </c>
      <c r="E77" s="454"/>
      <c r="F77" s="449"/>
      <c r="G77" s="800">
        <f>Мероприятия_и_источники!I212</f>
        <v>0</v>
      </c>
      <c r="H77" s="800">
        <f>Мероприятия_и_источники!J212</f>
        <v>5710.0569927523193</v>
      </c>
      <c r="I77" s="800">
        <f>Мероприятия_и_источники!K212</f>
        <v>0</v>
      </c>
      <c r="J77" s="800">
        <f>Мероприятия_и_источники!L212</f>
        <v>0</v>
      </c>
      <c r="K77" s="800">
        <f>Мероприятия_и_источники!M212</f>
        <v>0</v>
      </c>
      <c r="L77" s="446"/>
      <c r="M77" s="467"/>
      <c r="N77" s="448"/>
      <c r="O77" s="448">
        <f t="shared" si="11"/>
        <v>0</v>
      </c>
    </row>
    <row r="78" spans="1:22" outlineLevel="1">
      <c r="A78" s="444" t="str">
        <f>Мероприятия_и_источники!A216</f>
        <v>4.8.</v>
      </c>
      <c r="B78" s="447" t="str">
        <f>Мероприятия_и_источники!B216</f>
        <v>Реконструкция водовода по ул.Родниковая - от ул.Советская до дома №28, Д-200 мм протяженностью 600 п.м.</v>
      </c>
      <c r="C78" s="763"/>
      <c r="D78" s="447" t="str">
        <f>Мероприятия_и_источники!D216</f>
        <v>г.Калуга, ул.Родниковая</v>
      </c>
      <c r="E78" s="454"/>
      <c r="F78" s="449"/>
      <c r="G78" s="800">
        <f>Мероприятия_и_источники!I216</f>
        <v>0</v>
      </c>
      <c r="H78" s="800">
        <f>Мероприятия_и_источники!J216</f>
        <v>4837.1610493907992</v>
      </c>
      <c r="I78" s="800">
        <f>Мероприятия_и_источники!K216</f>
        <v>0</v>
      </c>
      <c r="J78" s="800">
        <f>Мероприятия_и_источники!L216</f>
        <v>0</v>
      </c>
      <c r="K78" s="800">
        <f>Мероприятия_и_источники!M216</f>
        <v>0</v>
      </c>
      <c r="L78" s="446"/>
      <c r="M78" s="467"/>
      <c r="N78" s="448"/>
      <c r="O78" s="448">
        <f t="shared" si="11"/>
        <v>0</v>
      </c>
    </row>
    <row r="79" spans="1:22" ht="31.5" outlineLevel="1">
      <c r="A79" s="444" t="str">
        <f>Мероприятия_и_источники!A220</f>
        <v>4.9.</v>
      </c>
      <c r="B79" s="447" t="str">
        <f>Мероприятия_и_источники!B220</f>
        <v>Реконструкция водовода  по ул.Грабцевское Шоссе от поворота на д.Кукареки до поворота на Аэропорт, Д-500 мм протяженностью 725 п.м.</v>
      </c>
      <c r="C79" s="763"/>
      <c r="D79" s="447" t="str">
        <f>Мероприятия_и_источники!D220</f>
        <v>г.Калуга,ул.Грабцевское шоссе</v>
      </c>
      <c r="E79" s="454"/>
      <c r="F79" s="449"/>
      <c r="G79" s="800">
        <f>Мероприятия_и_источники!I220</f>
        <v>0</v>
      </c>
      <c r="H79" s="800">
        <f>Мероприятия_и_источники!J220</f>
        <v>0</v>
      </c>
      <c r="I79" s="800">
        <f>Мероприятия_и_источники!K220</f>
        <v>30247.367248013157</v>
      </c>
      <c r="J79" s="800">
        <f>Мероприятия_и_источники!L220</f>
        <v>0</v>
      </c>
      <c r="K79" s="800">
        <f>Мероприятия_и_источники!M220</f>
        <v>0</v>
      </c>
      <c r="L79" s="446"/>
      <c r="M79" s="467"/>
      <c r="N79" s="448"/>
      <c r="O79" s="448">
        <f t="shared" si="11"/>
        <v>0</v>
      </c>
    </row>
    <row r="80" spans="1:22" ht="28.5" customHeight="1" outlineLevel="1">
      <c r="A80" s="444" t="str">
        <f>Мероприятия_и_источники!A224</f>
        <v>4.10.</v>
      </c>
      <c r="B80" s="447" t="str">
        <f>Мероприятия_и_источники!B224</f>
        <v>Реконструкция Болдинского водовода  (вокруг ОСК), Д-500 мм протяженностью 1301 п.м.</v>
      </c>
      <c r="C80" s="763"/>
      <c r="D80" s="447" t="str">
        <f>Мероприятия_и_источники!D224</f>
        <v>г.Калуга ул.40 лет Октября</v>
      </c>
      <c r="E80" s="454"/>
      <c r="F80" s="449"/>
      <c r="G80" s="800">
        <f>Мероприятия_и_источники!I224</f>
        <v>0</v>
      </c>
      <c r="H80" s="800">
        <f>Мероприятия_и_источники!J224</f>
        <v>0</v>
      </c>
      <c r="I80" s="800">
        <f>Мероприятия_и_источники!K224</f>
        <v>35466.805366006512</v>
      </c>
      <c r="J80" s="800">
        <f>Мероприятия_и_источники!L224</f>
        <v>0</v>
      </c>
      <c r="K80" s="800">
        <f>Мероприятия_и_источники!M224</f>
        <v>0</v>
      </c>
      <c r="L80" s="446"/>
      <c r="M80" s="467"/>
      <c r="N80" s="448"/>
      <c r="O80" s="448">
        <f t="shared" si="11"/>
        <v>0</v>
      </c>
    </row>
    <row r="81" spans="1:15" ht="24.75" customHeight="1" outlineLevel="1">
      <c r="A81" s="444" t="str">
        <f>Мероприятия_и_источники!A228</f>
        <v>4.11.</v>
      </c>
      <c r="B81" s="447" t="str">
        <f>Мероприятия_и_источники!B228</f>
        <v>Реконструкция водовода по ул.Мелиораторов, Д-300 мм протяженностью 150 п.м.</v>
      </c>
      <c r="C81" s="763"/>
      <c r="D81" s="447" t="str">
        <f>Мероприятия_и_источники!D228</f>
        <v>г.Калуга,ул.Мелиораторов</v>
      </c>
      <c r="E81" s="454"/>
      <c r="F81" s="449"/>
      <c r="G81" s="800">
        <f>Мероприятия_и_источники!I228</f>
        <v>1778.0655157200001</v>
      </c>
      <c r="H81" s="800">
        <f>Мероприятия_и_источники!J228</f>
        <v>0</v>
      </c>
      <c r="I81" s="800">
        <f>Мероприятия_и_источники!K228</f>
        <v>0</v>
      </c>
      <c r="J81" s="800">
        <f>Мероприятия_и_источники!L228</f>
        <v>0</v>
      </c>
      <c r="K81" s="800">
        <f>Мероприятия_и_источники!M228</f>
        <v>0</v>
      </c>
      <c r="L81" s="446"/>
      <c r="M81" s="467"/>
      <c r="N81" s="448"/>
      <c r="O81" s="448">
        <f t="shared" si="11"/>
        <v>0</v>
      </c>
    </row>
    <row r="82" spans="1:15" ht="24.75" customHeight="1" outlineLevel="1">
      <c r="A82" s="444" t="str">
        <f>Мероприятия_и_источники!A232</f>
        <v>4.12.</v>
      </c>
      <c r="B82" s="447" t="str">
        <f>Мероприятия_и_источники!B232</f>
        <v>Реконструкция водовода пер.Малинники  (на ПРМЗ), Д-500 мм протяженностью 220 п.м.</v>
      </c>
      <c r="C82" s="763"/>
      <c r="D82" s="447" t="str">
        <f>Мероприятия_и_источники!D232</f>
        <v>г.Калуга пер.Малинники</v>
      </c>
      <c r="E82" s="454"/>
      <c r="F82" s="449"/>
      <c r="G82" s="800">
        <f>Мероприятия_и_источники!I232</f>
        <v>0</v>
      </c>
      <c r="H82" s="800">
        <f>Мероприятия_и_источники!J232</f>
        <v>5220.7313474347193</v>
      </c>
      <c r="I82" s="800">
        <f>Мероприятия_и_источники!K232</f>
        <v>0</v>
      </c>
      <c r="J82" s="800">
        <f>Мероприятия_и_источники!L232</f>
        <v>0</v>
      </c>
      <c r="K82" s="800">
        <f>Мероприятия_и_источники!M232</f>
        <v>0</v>
      </c>
      <c r="L82" s="446"/>
      <c r="M82" s="467"/>
      <c r="N82" s="448"/>
      <c r="O82" s="448">
        <f t="shared" si="11"/>
        <v>0</v>
      </c>
    </row>
    <row r="83" spans="1:15" outlineLevel="1">
      <c r="A83" s="444" t="str">
        <f>Мероприятия_и_источники!A236</f>
        <v>4.13.</v>
      </c>
      <c r="B83" s="447" t="str">
        <f>Мероприятия_и_источники!B236</f>
        <v>Реконструкция водовода ул.Азаровская в сторону п.Силикатный с проколом под ж/д, Д-200 мм протяженностью 100 п.м.</v>
      </c>
      <c r="C83" s="763"/>
      <c r="D83" s="447" t="str">
        <f>Мероприятия_и_источники!D236</f>
        <v>г.Калуга,ул.Азаровская</v>
      </c>
      <c r="E83" s="454"/>
      <c r="F83" s="449"/>
      <c r="G83" s="800">
        <f>Мероприятия_и_источники!I236</f>
        <v>0</v>
      </c>
      <c r="H83" s="800">
        <f>Мероприятия_и_источники!J236</f>
        <v>6005.4586166203198</v>
      </c>
      <c r="I83" s="800">
        <f>Мероприятия_и_источники!K236</f>
        <v>0</v>
      </c>
      <c r="J83" s="800">
        <f>Мероприятия_и_источники!L236</f>
        <v>0</v>
      </c>
      <c r="K83" s="800">
        <f>Мероприятия_и_источники!M236</f>
        <v>0</v>
      </c>
      <c r="L83" s="446"/>
      <c r="M83" s="467"/>
      <c r="N83" s="448"/>
      <c r="O83" s="448">
        <f t="shared" si="11"/>
        <v>0</v>
      </c>
    </row>
    <row r="84" spans="1:15" ht="26.25" customHeight="1" outlineLevel="1">
      <c r="A84" s="444" t="str">
        <f>Мероприятия_и_источники!A240</f>
        <v>4.14.</v>
      </c>
      <c r="B84" s="445" t="str">
        <f>Мероприятия_и_источники!B240</f>
        <v>Реконструкция водовода по ул.Московская в районе д.334, Д-400 мм протяженностью 120 п.м.</v>
      </c>
      <c r="C84" s="763"/>
      <c r="D84" s="447" t="str">
        <f>Мероприятия_и_источники!D240</f>
        <v>г.Калуга,ул.Московская</v>
      </c>
      <c r="E84" s="454"/>
      <c r="F84" s="449"/>
      <c r="G84" s="800">
        <f>Мероприятия_и_источники!I240</f>
        <v>0</v>
      </c>
      <c r="H84" s="800">
        <f>Мероприятия_и_источники!J240</f>
        <v>0</v>
      </c>
      <c r="I84" s="800">
        <f>Мероприятия_и_источники!K240</f>
        <v>2288.7301053748433</v>
      </c>
      <c r="J84" s="800">
        <f>Мероприятия_и_источники!L240</f>
        <v>0</v>
      </c>
      <c r="K84" s="800">
        <f>Мероприятия_и_источники!M240</f>
        <v>0</v>
      </c>
      <c r="L84" s="446"/>
      <c r="M84" s="467"/>
      <c r="N84" s="448"/>
      <c r="O84" s="448">
        <f t="shared" si="11"/>
        <v>0</v>
      </c>
    </row>
    <row r="85" spans="1:15" ht="28.5" customHeight="1" outlineLevel="1">
      <c r="A85" s="444" t="str">
        <f>Мероприятия_и_источники!A244</f>
        <v>4.15.</v>
      </c>
      <c r="B85" s="445" t="str">
        <f>Мероприятия_и_источники!B244</f>
        <v>Реконструкция водовода микрорайона Калуга-2 с проколом под ж/д, Д-100 мм протяженностью 310 п.м.</v>
      </c>
      <c r="C85" s="763"/>
      <c r="D85" s="447" t="str">
        <f>Мероприятия_и_источники!D244</f>
        <v>г.Калуга,ул. Привокзальная</v>
      </c>
      <c r="E85" s="454"/>
      <c r="F85" s="449"/>
      <c r="G85" s="800">
        <f>Мероприятия_и_источники!I244</f>
        <v>0</v>
      </c>
      <c r="H85" s="800">
        <f>Мероприятия_и_источники!J244</f>
        <v>10741.28286477168</v>
      </c>
      <c r="I85" s="800">
        <f>Мероприятия_и_источники!K244</f>
        <v>0</v>
      </c>
      <c r="J85" s="800">
        <f>Мероприятия_и_источники!L244</f>
        <v>0</v>
      </c>
      <c r="K85" s="800">
        <f>Мероприятия_и_источники!M244</f>
        <v>0</v>
      </c>
      <c r="L85" s="446"/>
      <c r="M85" s="467"/>
      <c r="N85" s="448"/>
      <c r="O85" s="448">
        <f t="shared" si="11"/>
        <v>0</v>
      </c>
    </row>
    <row r="86" spans="1:15" ht="24" customHeight="1" outlineLevel="1">
      <c r="A86" s="444" t="str">
        <f>Мероприятия_и_источники!A248</f>
        <v>4.16.</v>
      </c>
      <c r="B86" s="445" t="str">
        <f>Мероприятия_и_источники!B248</f>
        <v>Реконструкция водовода по ул.Звездная, Д-300 мм протяженностью 670 п.м.</v>
      </c>
      <c r="C86" s="763"/>
      <c r="D86" s="447" t="str">
        <f>Мероприятия_и_источники!D248</f>
        <v>г.Калуга,ул.Звездная</v>
      </c>
      <c r="E86" s="454"/>
      <c r="F86" s="449"/>
      <c r="G86" s="800">
        <f>Мероприятия_и_источники!I248</f>
        <v>0</v>
      </c>
      <c r="H86" s="800">
        <f>Мероприятия_и_источники!J248</f>
        <v>7068.8687077195191</v>
      </c>
      <c r="I86" s="800">
        <f>Мероприятия_и_источники!K248</f>
        <v>0</v>
      </c>
      <c r="J86" s="800">
        <f>Мероприятия_и_источники!L248</f>
        <v>0</v>
      </c>
      <c r="K86" s="800">
        <f>Мероприятия_и_источники!M248</f>
        <v>0</v>
      </c>
      <c r="L86" s="446"/>
      <c r="M86" s="467"/>
      <c r="N86" s="448"/>
      <c r="O86" s="448">
        <f t="shared" si="11"/>
        <v>0</v>
      </c>
    </row>
    <row r="87" spans="1:15" ht="24.75" customHeight="1" outlineLevel="1">
      <c r="A87" s="444" t="str">
        <f>Мероприятия_и_источники!A252</f>
        <v>4.17.</v>
      </c>
      <c r="B87" s="445" t="str">
        <f>Мероприятия_и_источники!B252</f>
        <v>Реконструкция водопровода по ул.Азаровская (от ул.Московская до СТО) Д-600 мм - 600 п.м.</v>
      </c>
      <c r="C87" s="763"/>
      <c r="D87" s="447" t="str">
        <f>Мероприятия_и_источники!D252</f>
        <v>г.Калуга, от ул.Московская по ул.Азаровская</v>
      </c>
      <c r="E87" s="454"/>
      <c r="F87" s="449"/>
      <c r="G87" s="800">
        <f>Мероприятия_и_источники!I252</f>
        <v>0</v>
      </c>
      <c r="H87" s="800">
        <f>Мероприятия_и_источники!J252</f>
        <v>0</v>
      </c>
      <c r="I87" s="800">
        <f>Мероприятия_и_источники!K252</f>
        <v>0</v>
      </c>
      <c r="J87" s="800">
        <f>Мероприятия_и_источники!L252</f>
        <v>83864.413090195783</v>
      </c>
      <c r="K87" s="800">
        <f>Мероприятия_и_источники!M252</f>
        <v>0</v>
      </c>
      <c r="L87" s="446"/>
      <c r="M87" s="467"/>
      <c r="N87" s="448"/>
      <c r="O87" s="448">
        <f t="shared" si="11"/>
        <v>0</v>
      </c>
    </row>
    <row r="88" spans="1:15" outlineLevel="1">
      <c r="A88" s="444" t="str">
        <f>Мероприятия_и_источники!A256</f>
        <v>4.18.</v>
      </c>
      <c r="B88" s="445" t="str">
        <f>Мероприятия_и_источники!B256</f>
        <v>Реконструкция водопровода по ул.Родниковая по дамбе до микрорайона Турынино-3, Д-300 мм протяженностью 350 п.м.</v>
      </c>
      <c r="C88" s="763"/>
      <c r="D88" s="447" t="str">
        <f>Мероприятия_и_источники!D256</f>
        <v>г.Калуга,  по ул.Родниковая до мкр.Турынино</v>
      </c>
      <c r="E88" s="454"/>
      <c r="F88" s="449"/>
      <c r="G88" s="800">
        <f>Мероприятия_и_источники!I256</f>
        <v>0</v>
      </c>
      <c r="H88" s="800">
        <f>Мероприятия_и_источники!J256</f>
        <v>3823.21796918256</v>
      </c>
      <c r="I88" s="800">
        <f>Мероприятия_и_источники!K256</f>
        <v>0</v>
      </c>
      <c r="J88" s="800">
        <f>Мероприятия_и_источники!L256</f>
        <v>0</v>
      </c>
      <c r="K88" s="800">
        <f>Мероприятия_и_источники!M256</f>
        <v>0</v>
      </c>
      <c r="L88" s="446"/>
      <c r="M88" s="467"/>
      <c r="N88" s="448"/>
      <c r="O88" s="448">
        <f t="shared" si="11"/>
        <v>0</v>
      </c>
    </row>
    <row r="89" spans="1:15" ht="31.5" outlineLevel="1">
      <c r="A89" s="444" t="str">
        <f>Мероприятия_и_источники!A260</f>
        <v>4.19.</v>
      </c>
      <c r="B89" s="445" t="str">
        <f>Мероприятия_и_источники!B260</f>
        <v>Реконструкция водовода питьевой воды по ул.Салтыкова-Щедрина (от ул.Степана Разина до дома 80) Д-225 мм протяженностью 1217 п.м  в г.Калуга</v>
      </c>
      <c r="C89" s="763"/>
      <c r="D89" s="447" t="str">
        <f>Мероприятия_и_источники!D260</f>
        <v xml:space="preserve">г.Калуга от ул.Степана Разина по ул.Салтыкова-Щедрина </v>
      </c>
      <c r="E89" s="454"/>
      <c r="F89" s="449"/>
      <c r="G89" s="800">
        <f>Мероприятия_и_источники!I260</f>
        <v>0</v>
      </c>
      <c r="H89" s="800">
        <f>Мероприятия_и_источники!J260</f>
        <v>0</v>
      </c>
      <c r="I89" s="800">
        <f>Мероприятия_и_источники!K260</f>
        <v>0</v>
      </c>
      <c r="J89" s="800">
        <f>Мероприятия_и_источники!L260</f>
        <v>33734.116034155901</v>
      </c>
      <c r="K89" s="800">
        <f>Мероприятия_и_источники!M260</f>
        <v>0</v>
      </c>
      <c r="L89" s="446"/>
      <c r="M89" s="467"/>
      <c r="N89" s="448"/>
      <c r="O89" s="448">
        <f t="shared" si="11"/>
        <v>0</v>
      </c>
    </row>
    <row r="90" spans="1:15" outlineLevel="1">
      <c r="A90" s="444" t="str">
        <f>Мероприятия_и_источники!A264</f>
        <v>4.20.</v>
      </c>
      <c r="B90" s="445" t="str">
        <f>Мероприятия_и_источники!B264</f>
        <v>Реконструкция водопровода в с.Росва, ул.Мира д.8 - ул.Московская д.5, Д-100 мм протяженностью 460 п.м.</v>
      </c>
      <c r="C90" s="763"/>
      <c r="D90" s="447" t="str">
        <f>Мероприятия_и_источники!D264</f>
        <v>г.Калуга , с.Росва, ул.Мира д.8 - ул.Московская д.5</v>
      </c>
      <c r="E90" s="454"/>
      <c r="F90" s="449"/>
      <c r="G90" s="800">
        <f>Мероприятия_и_источники!I264</f>
        <v>2404.5999786899997</v>
      </c>
      <c r="H90" s="800">
        <f>Мероприятия_и_источники!J264</f>
        <v>0</v>
      </c>
      <c r="I90" s="800">
        <f>Мероприятия_и_источники!K264</f>
        <v>0</v>
      </c>
      <c r="J90" s="800">
        <f>Мероприятия_и_источники!L264</f>
        <v>0</v>
      </c>
      <c r="K90" s="800">
        <f>Мероприятия_и_источники!M264</f>
        <v>0</v>
      </c>
      <c r="L90" s="446"/>
      <c r="M90" s="467"/>
      <c r="N90" s="448"/>
      <c r="O90" s="448">
        <f t="shared" si="11"/>
        <v>0</v>
      </c>
    </row>
    <row r="91" spans="1:15" outlineLevel="1">
      <c r="A91" s="444" t="str">
        <f>Мероприятия_и_источники!A268</f>
        <v>4.21.</v>
      </c>
      <c r="B91" s="445" t="str">
        <f>Мероприятия_и_источники!B268</f>
        <v>Реконструкция водопровода в с.Спас  г.Калуга, Д-40 мм протяженностью 326 п.м.</v>
      </c>
      <c r="C91" s="763"/>
      <c r="D91" s="447" t="str">
        <f>Мероприятия_и_источники!D268</f>
        <v>г.Калуга,  с.Спас</v>
      </c>
      <c r="E91" s="454"/>
      <c r="F91" s="449"/>
      <c r="G91" s="800">
        <f>Мероприятия_и_источники!I268</f>
        <v>1216.9044412199999</v>
      </c>
      <c r="H91" s="800">
        <f>Мероприятия_и_источники!J268</f>
        <v>0</v>
      </c>
      <c r="I91" s="800">
        <f>Мероприятия_и_источники!K268</f>
        <v>0</v>
      </c>
      <c r="J91" s="800">
        <f>Мероприятия_и_источники!L268</f>
        <v>0</v>
      </c>
      <c r="K91" s="800">
        <f>Мероприятия_и_источники!M268</f>
        <v>0</v>
      </c>
      <c r="L91" s="446"/>
      <c r="M91" s="467"/>
      <c r="N91" s="448"/>
      <c r="O91" s="448">
        <f t="shared" si="11"/>
        <v>0</v>
      </c>
    </row>
    <row r="92" spans="1:15" outlineLevel="1">
      <c r="A92" s="444" t="str">
        <f>Мероприятия_и_источники!A272</f>
        <v>4.22.</v>
      </c>
      <c r="B92" s="445" t="str">
        <f>Мероприятия_и_источники!B272</f>
        <v>Реконструкция водопровода  от ул.Глаголева по товарному двору до ул.Ленина, Д-250-300 мм,  протяженностью 960 п.м.</v>
      </c>
      <c r="C92" s="763"/>
      <c r="D92" s="447" t="str">
        <f>Мероприятия_и_источники!D272</f>
        <v>г.Калуга от ул. Глаголева до ул.Ленина</v>
      </c>
      <c r="E92" s="454"/>
      <c r="F92" s="449"/>
      <c r="G92" s="800">
        <f>Мероприятия_и_источники!I272</f>
        <v>0</v>
      </c>
      <c r="H92" s="800">
        <f>Мероприятия_и_источники!J272</f>
        <v>0</v>
      </c>
      <c r="I92" s="800">
        <f>Мероприятия_и_источники!K272</f>
        <v>0</v>
      </c>
      <c r="J92" s="800">
        <f>Мероприятия_и_источники!L272</f>
        <v>15502.73805571252</v>
      </c>
      <c r="K92" s="800">
        <f>Мероприятия_и_источники!M272</f>
        <v>0</v>
      </c>
      <c r="L92" s="446"/>
      <c r="M92" s="467"/>
      <c r="N92" s="448"/>
      <c r="O92" s="448">
        <f t="shared" si="11"/>
        <v>0</v>
      </c>
    </row>
    <row r="93" spans="1:15" ht="34.5" customHeight="1" outlineLevel="1">
      <c r="A93" s="444" t="str">
        <f>Мероприятия_и_источники!A276</f>
        <v>4.23.</v>
      </c>
      <c r="B93" s="445" t="str">
        <f>Мероприятия_и_источники!B276</f>
        <v>Реконструкция водовода от ГНС до С.-Щедрина Д=500 мм протяженностью 1100 п.м</v>
      </c>
      <c r="C93" s="763"/>
      <c r="D93" s="447" t="str">
        <f>Мероприятия_и_источники!D276</f>
        <v>г.Калуга, от ул.Зеленый Крупец по ул.С.-Щедрина, ул.Краснопивцева</v>
      </c>
      <c r="E93" s="454"/>
      <c r="F93" s="449"/>
      <c r="G93" s="800">
        <f>Мероприятия_и_источники!I276</f>
        <v>0</v>
      </c>
      <c r="H93" s="800">
        <f>Мероприятия_и_источники!J276</f>
        <v>0</v>
      </c>
      <c r="I93" s="800">
        <f>Мероприятия_и_источники!K276</f>
        <v>0</v>
      </c>
      <c r="J93" s="800">
        <f>Мероприятия_и_источники!L276</f>
        <v>0</v>
      </c>
      <c r="K93" s="800">
        <f>Мероприятия_и_источники!M276</f>
        <v>44597.797513998506</v>
      </c>
      <c r="L93" s="446"/>
      <c r="M93" s="467"/>
      <c r="N93" s="448"/>
      <c r="O93" s="448">
        <f t="shared" si="11"/>
        <v>0</v>
      </c>
    </row>
    <row r="94" spans="1:15" ht="26.25" customHeight="1" outlineLevel="1">
      <c r="A94" s="444" t="str">
        <f>Мероприятия_и_источники!A280</f>
        <v>4.24.</v>
      </c>
      <c r="B94" s="445" t="str">
        <f>Мероприятия_и_источники!B280</f>
        <v>Реконструкция  водовода от Южного водозабора до ул.Комарова  Д=500 мм протяженностью 350 п.м.</v>
      </c>
      <c r="C94" s="763"/>
      <c r="D94" s="447" t="str">
        <f>Мероприятия_и_источники!D280</f>
        <v>г.Калуга,от ул.Октябрьский проезд до ул.Комарова</v>
      </c>
      <c r="E94" s="454"/>
      <c r="F94" s="449"/>
      <c r="G94" s="800">
        <f>Мероприятия_и_источники!I280</f>
        <v>0</v>
      </c>
      <c r="H94" s="800">
        <f>Мероприятия_и_источники!J280</f>
        <v>0</v>
      </c>
      <c r="I94" s="800">
        <f>Мероприятия_и_источники!K280</f>
        <v>0</v>
      </c>
      <c r="J94" s="800">
        <f>Мероприятия_и_источники!L280</f>
        <v>0</v>
      </c>
      <c r="K94" s="800">
        <f>Мероприятия_и_источники!M280</f>
        <v>32061.943695590769</v>
      </c>
      <c r="L94" s="446"/>
      <c r="M94" s="467"/>
      <c r="N94" s="448"/>
      <c r="O94" s="448">
        <f t="shared" si="11"/>
        <v>0</v>
      </c>
    </row>
    <row r="95" spans="1:15" ht="38.25" customHeight="1" outlineLevel="1">
      <c r="A95" s="444" t="str">
        <f>Мероприятия_и_источники!A284</f>
        <v>4.25.</v>
      </c>
      <c r="B95" s="445" t="str">
        <f>Мероприятия_и_источники!B284</f>
        <v>Реконструкция водопровода по проезду 2-ой Загородный, Д-100 мм протяженностью 385 п.м.</v>
      </c>
      <c r="C95" s="763"/>
      <c r="D95" s="447" t="str">
        <f>Мероприятия_и_источники!D284</f>
        <v>г.Калуга, 2-ой Загородный проезд</v>
      </c>
      <c r="E95" s="454"/>
      <c r="F95" s="449"/>
      <c r="G95" s="800">
        <f>Мероприятия_и_источники!I284</f>
        <v>2197.84456593</v>
      </c>
      <c r="H95" s="800">
        <f>Мероприятия_и_источники!J284</f>
        <v>0</v>
      </c>
      <c r="I95" s="800">
        <f>Мероприятия_и_источники!K284</f>
        <v>0</v>
      </c>
      <c r="J95" s="800">
        <f>Мероприятия_и_источники!L284</f>
        <v>0</v>
      </c>
      <c r="K95" s="800">
        <f>Мероприятия_и_источники!M284</f>
        <v>0</v>
      </c>
      <c r="L95" s="446"/>
      <c r="M95" s="467"/>
      <c r="N95" s="448"/>
      <c r="O95" s="448">
        <f t="shared" si="11"/>
        <v>0</v>
      </c>
    </row>
    <row r="96" spans="1:15" ht="38.25" customHeight="1">
      <c r="A96" s="456" t="s">
        <v>877</v>
      </c>
      <c r="B96" s="756" t="s">
        <v>72</v>
      </c>
      <c r="C96" s="764">
        <f>C97+C98</f>
        <v>0</v>
      </c>
      <c r="D96" s="756"/>
      <c r="E96" s="756"/>
      <c r="F96" s="798">
        <f t="shared" ref="F96:K96" si="12">SUM(F97,F98)</f>
        <v>0</v>
      </c>
      <c r="G96" s="799">
        <f t="shared" si="12"/>
        <v>0</v>
      </c>
      <c r="H96" s="799">
        <f t="shared" si="12"/>
        <v>0</v>
      </c>
      <c r="I96" s="799">
        <f t="shared" si="12"/>
        <v>0</v>
      </c>
      <c r="J96" s="799">
        <f t="shared" si="12"/>
        <v>0</v>
      </c>
      <c r="K96" s="799">
        <f t="shared" si="12"/>
        <v>0</v>
      </c>
      <c r="L96" s="457"/>
      <c r="M96" s="467"/>
      <c r="N96" s="448"/>
      <c r="O96" s="448"/>
    </row>
    <row r="97" spans="1:22" ht="38.25" customHeight="1">
      <c r="A97" s="435" t="s">
        <v>30</v>
      </c>
      <c r="B97" s="436" t="s">
        <v>40</v>
      </c>
      <c r="C97" s="766"/>
      <c r="D97" s="468"/>
      <c r="E97" s="437"/>
      <c r="F97" s="793"/>
      <c r="G97" s="795"/>
      <c r="H97" s="793"/>
      <c r="I97" s="793"/>
      <c r="J97" s="793"/>
      <c r="K97" s="793"/>
      <c r="L97" s="439"/>
      <c r="M97" s="467"/>
      <c r="N97" s="448"/>
      <c r="O97" s="448"/>
    </row>
    <row r="98" spans="1:22" ht="38.25" customHeight="1">
      <c r="A98" s="435" t="s">
        <v>31</v>
      </c>
      <c r="B98" s="436" t="s">
        <v>41</v>
      </c>
      <c r="C98" s="766"/>
      <c r="D98" s="468"/>
      <c r="E98" s="437"/>
      <c r="F98" s="793"/>
      <c r="G98" s="795"/>
      <c r="H98" s="793"/>
      <c r="I98" s="793"/>
      <c r="J98" s="793"/>
      <c r="K98" s="793"/>
      <c r="L98" s="439"/>
      <c r="M98" s="467"/>
      <c r="N98" s="448"/>
      <c r="O98" s="448"/>
    </row>
    <row r="99" spans="1:22" ht="92.25" customHeight="1">
      <c r="A99" s="469" t="s">
        <v>161</v>
      </c>
      <c r="B99" s="759" t="str">
        <f>Мероприятия_и_источники!B300</f>
        <v xml:space="preserve">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холодного водоснабжения с использованием централизованных систем водоснабжения </v>
      </c>
      <c r="C99" s="767">
        <f>C100+C101+C102+C103</f>
        <v>0</v>
      </c>
      <c r="D99" s="759"/>
      <c r="E99" s="759"/>
      <c r="F99" s="798">
        <f t="shared" ref="F99:K99" si="13">SUM(F100:F103)</f>
        <v>0</v>
      </c>
      <c r="G99" s="798">
        <f t="shared" si="13"/>
        <v>42318.433597199997</v>
      </c>
      <c r="H99" s="798">
        <f t="shared" si="13"/>
        <v>94785.64272486241</v>
      </c>
      <c r="I99" s="799">
        <f t="shared" si="13"/>
        <v>89941.58022486241</v>
      </c>
      <c r="J99" s="799">
        <f t="shared" si="13"/>
        <v>75320.179956000007</v>
      </c>
      <c r="K99" s="799">
        <f t="shared" si="13"/>
        <v>75320.179956000007</v>
      </c>
      <c r="L99" s="470"/>
      <c r="M99" s="471"/>
      <c r="N99" s="448"/>
      <c r="O99" s="448"/>
    </row>
    <row r="100" spans="1:22" ht="35.25" customHeight="1" outlineLevel="1">
      <c r="A100" s="444"/>
      <c r="B100" s="447"/>
      <c r="C100" s="763"/>
      <c r="D100" s="447"/>
      <c r="E100" s="454"/>
      <c r="F100" s="449"/>
      <c r="G100" s="800"/>
      <c r="H100" s="449"/>
      <c r="I100" s="449"/>
      <c r="J100" s="449"/>
      <c r="K100" s="449"/>
      <c r="L100" s="446"/>
      <c r="M100" s="467"/>
      <c r="N100" s="448"/>
      <c r="O100" s="448"/>
    </row>
    <row r="101" spans="1:22" ht="63" customHeight="1" outlineLevel="1">
      <c r="A101" s="444" t="str">
        <f>Мероприятия_и_источники!A304</f>
        <v>6.1.</v>
      </c>
      <c r="B101" s="447" t="str">
        <f>Мероприятия_и_источники!B304</f>
        <v>Корректировка Проектной документации на объект капитального строительства: «Строительство сетей водоснабжения  микрорайонов «Кошелев-проект, Ташир, кварталов № 5-19, 22, 23 в районе д. Верховая, д. Квань, г. Калуга»</v>
      </c>
      <c r="C101" s="763"/>
      <c r="D101" s="447" t="str">
        <f>Мероприятия_и_источники!D304</f>
        <v xml:space="preserve">г.Калуга, в районе д. Верховая, д. Квань </v>
      </c>
      <c r="E101" s="454"/>
      <c r="F101" s="449"/>
      <c r="G101" s="800">
        <f>Мероприятия_и_источники!I304</f>
        <v>0</v>
      </c>
      <c r="H101" s="800">
        <f>Мероприятия_и_источники!J304</f>
        <v>14621.4002688624</v>
      </c>
      <c r="I101" s="800">
        <f>Мероприятия_и_источники!K304</f>
        <v>14621.4002688624</v>
      </c>
      <c r="J101" s="800">
        <f>Мероприятия_и_источники!L304</f>
        <v>0</v>
      </c>
      <c r="K101" s="800">
        <f>Мероприятия_и_источники!M304</f>
        <v>0</v>
      </c>
      <c r="L101" s="446"/>
      <c r="M101" s="467"/>
      <c r="N101" s="448"/>
      <c r="O101" s="448"/>
    </row>
    <row r="102" spans="1:22" ht="50.25" customHeight="1" outlineLevel="1">
      <c r="A102" s="444" t="str">
        <f>Мероприятия_и_источники!A308</f>
        <v>6.2.</v>
      </c>
      <c r="B102" s="447" t="str">
        <f>Мероприятия_и_источники!B308</f>
        <v>Внедрение модуля программного обеспечения "Расчеты с абонентами","Промышленный документооборот","Разработка личного кабинета"</v>
      </c>
      <c r="C102" s="763"/>
      <c r="D102" s="447" t="str">
        <f>Мероприятия_и_источники!D308</f>
        <v>г.Калуга</v>
      </c>
      <c r="E102" s="454"/>
      <c r="F102" s="449"/>
      <c r="G102" s="800">
        <f>Мероприятия_и_источники!I308</f>
        <v>4844.0625</v>
      </c>
      <c r="H102" s="800">
        <f>Мероприятия_и_источники!J308</f>
        <v>4844.0625</v>
      </c>
      <c r="I102" s="800">
        <f>Мероприятия_и_источники!K308</f>
        <v>0</v>
      </c>
      <c r="J102" s="800">
        <f>Мероприятия_и_источники!L308</f>
        <v>0</v>
      </c>
      <c r="K102" s="800">
        <f>Мероприятия_и_источники!M308</f>
        <v>0</v>
      </c>
      <c r="L102" s="446"/>
      <c r="M102" s="467"/>
      <c r="N102" s="448"/>
      <c r="O102" s="448"/>
    </row>
    <row r="103" spans="1:22" ht="57.75" customHeight="1" outlineLevel="1">
      <c r="A103" s="444" t="str">
        <f>Мероприятия_и_источники!A312</f>
        <v>6.3.</v>
      </c>
      <c r="B103" s="447" t="str">
        <f>Мероприятия_и_источники!B312</f>
        <v>Выполнение работ по установке (внедрению) автоматизированной информационно-измерительной системы учета водоснабжения (АИИСУВ)</v>
      </c>
      <c r="C103" s="763"/>
      <c r="D103" s="447" t="str">
        <f>Мероприятия_и_источники!D312</f>
        <v>г.Калуга</v>
      </c>
      <c r="E103" s="454"/>
      <c r="F103" s="449"/>
      <c r="G103" s="800">
        <f>Мероприятия_и_источники!I312</f>
        <v>37474.371097199997</v>
      </c>
      <c r="H103" s="800">
        <f>Мероприятия_и_источники!J312</f>
        <v>75320.179956000007</v>
      </c>
      <c r="I103" s="800">
        <f>Мероприятия_и_источники!K312</f>
        <v>75320.179956000007</v>
      </c>
      <c r="J103" s="800">
        <f>Мероприятия_и_источники!L312</f>
        <v>75320.179956000007</v>
      </c>
      <c r="K103" s="800">
        <f>Мероприятия_и_источники!M312</f>
        <v>75320.179956000007</v>
      </c>
      <c r="L103" s="446"/>
      <c r="M103" s="467"/>
      <c r="N103" s="448"/>
      <c r="O103" s="448"/>
    </row>
    <row r="104" spans="1:22" ht="31.5">
      <c r="A104" s="469" t="s">
        <v>2197</v>
      </c>
      <c r="B104" s="759" t="s">
        <v>2198</v>
      </c>
      <c r="C104" s="767"/>
      <c r="D104" s="759"/>
      <c r="E104" s="759"/>
      <c r="F104" s="798"/>
      <c r="G104" s="798">
        <f>Мероприятия_и_источники!I316</f>
        <v>3487.4009027999996</v>
      </c>
      <c r="H104" s="798">
        <f>Мероприятия_и_источники!J316</f>
        <v>191.76404399999998</v>
      </c>
      <c r="I104" s="798">
        <f>Мероприятия_и_источники!K316</f>
        <v>191.76404399999998</v>
      </c>
      <c r="J104" s="798">
        <f>Мероприятия_и_источники!L316</f>
        <v>191.76404399999998</v>
      </c>
      <c r="K104" s="798">
        <f>Мероприятия_и_источники!M316</f>
        <v>191.76404399999998</v>
      </c>
      <c r="L104" s="470"/>
      <c r="M104" s="471"/>
      <c r="N104" s="448"/>
      <c r="O104" s="448"/>
    </row>
    <row r="105" spans="1:22" s="430" customFormat="1">
      <c r="A105" s="423"/>
      <c r="B105" s="429" t="s">
        <v>0</v>
      </c>
      <c r="C105" s="768">
        <f t="shared" ref="C105:K105" si="14">C106+C143+C150+C161+C179+C182+C186</f>
        <v>11714.73</v>
      </c>
      <c r="D105" s="768">
        <f t="shared" si="14"/>
        <v>0</v>
      </c>
      <c r="E105" s="768">
        <f t="shared" si="14"/>
        <v>0</v>
      </c>
      <c r="F105" s="768">
        <f t="shared" si="14"/>
        <v>10756.8498</v>
      </c>
      <c r="G105" s="768">
        <f t="shared" si="14"/>
        <v>53478.216690111236</v>
      </c>
      <c r="H105" s="768">
        <f t="shared" si="14"/>
        <v>364858.83947762713</v>
      </c>
      <c r="I105" s="768">
        <f t="shared" si="14"/>
        <v>173764.84020344503</v>
      </c>
      <c r="J105" s="768">
        <f t="shared" si="14"/>
        <v>181291.16995753287</v>
      </c>
      <c r="K105" s="768">
        <f t="shared" si="14"/>
        <v>277112.52661096404</v>
      </c>
      <c r="L105" s="428"/>
      <c r="M105" s="472">
        <f>SUM(M107,M124,M128,M138,M144,M147,M151,M158,M161,M180,M181)</f>
        <v>0</v>
      </c>
      <c r="N105" s="473"/>
      <c r="O105" s="473"/>
      <c r="P105" s="474"/>
    </row>
    <row r="106" spans="1:22" s="430" customFormat="1" ht="39.75" customHeight="1">
      <c r="A106" s="475">
        <f>Мероприятия_и_источники!A325</f>
        <v>1</v>
      </c>
      <c r="B106" s="788" t="str">
        <f>Мероприятия_и_источники!B325</f>
        <v xml:space="preserve">Строительство, модернизация и реконструкция объектов централизованных систем водоотведения в целях подключения объектов капитального строительства </v>
      </c>
      <c r="C106" s="789">
        <f>C107+C124+C128+C138</f>
        <v>7184.73</v>
      </c>
      <c r="D106" s="790"/>
      <c r="E106" s="790"/>
      <c r="F106" s="789">
        <f t="shared" ref="F106:K106" si="15">F107+F124+F128+F138</f>
        <v>10756.8498</v>
      </c>
      <c r="G106" s="789">
        <f t="shared" si="15"/>
        <v>31003.76781674123</v>
      </c>
      <c r="H106" s="789">
        <f t="shared" si="15"/>
        <v>317170.2804015656</v>
      </c>
      <c r="I106" s="789">
        <f t="shared" si="15"/>
        <v>54135.141120977831</v>
      </c>
      <c r="J106" s="789">
        <f t="shared" si="15"/>
        <v>18596.262525434879</v>
      </c>
      <c r="K106" s="789">
        <f t="shared" si="15"/>
        <v>19340.113026452276</v>
      </c>
      <c r="L106" s="476"/>
      <c r="M106" s="423" t="e">
        <f>Мероприятия_и_источники!#REF!</f>
        <v>#REF!</v>
      </c>
      <c r="N106" s="473"/>
      <c r="O106" s="473"/>
      <c r="P106" s="474"/>
    </row>
    <row r="107" spans="1:22" s="481" customFormat="1">
      <c r="A107" s="477" t="str">
        <f>Мероприятия_и_источники!A329</f>
        <v>1.1.</v>
      </c>
      <c r="B107" s="478" t="s">
        <v>74</v>
      </c>
      <c r="C107" s="769">
        <f>SUM(C108:C122)</f>
        <v>6398</v>
      </c>
      <c r="D107" s="479"/>
      <c r="E107" s="479"/>
      <c r="F107" s="769">
        <f t="shared" ref="F107:K107" si="16">SUM(F108:F123)</f>
        <v>6782.9997999999996</v>
      </c>
      <c r="G107" s="769">
        <f t="shared" si="16"/>
        <v>30604.727016741232</v>
      </c>
      <c r="H107" s="769">
        <f t="shared" si="16"/>
        <v>39766.273565874704</v>
      </c>
      <c r="I107" s="769">
        <f t="shared" si="16"/>
        <v>38625.012459071993</v>
      </c>
      <c r="J107" s="769">
        <f t="shared" si="16"/>
        <v>18596.262525434879</v>
      </c>
      <c r="K107" s="769">
        <f t="shared" si="16"/>
        <v>19340.113026452276</v>
      </c>
      <c r="L107" s="784"/>
      <c r="M107" s="480">
        <f>SUM(M108:M122)</f>
        <v>0</v>
      </c>
      <c r="N107" s="450"/>
      <c r="O107" s="450"/>
      <c r="P107" s="452"/>
      <c r="Q107" s="452"/>
      <c r="R107" s="452"/>
      <c r="S107" s="452"/>
      <c r="T107" s="452"/>
      <c r="U107" s="452"/>
      <c r="V107" s="451"/>
    </row>
    <row r="108" spans="1:22" ht="60.75" customHeight="1" outlineLevel="1">
      <c r="A108" s="444" t="str">
        <f>Мероприятия_и_источники!A333</f>
        <v>1.1.1.</v>
      </c>
      <c r="B108" s="1487" t="s">
        <v>277</v>
      </c>
      <c r="C108" s="763">
        <f>Мероприятия_и_источники!C333</f>
        <v>2490</v>
      </c>
      <c r="D108" s="447" t="str">
        <f>Мероприятия_и_источники!D333</f>
        <v>Жилые дома, нежилые здания и помещения на территории г.Калуга</v>
      </c>
      <c r="E108" s="447" t="str">
        <f>Мероприятия_и_источники!E333</f>
        <v>Заявители, величина подключаемой нагрузки которых не превышает 40 куб.м.в сутки</v>
      </c>
      <c r="F108" s="763">
        <f>Мероприятия_и_источники!F333</f>
        <v>1165.1899999999998</v>
      </c>
      <c r="G108" s="449">
        <f>Мероприятия_и_источники!I333</f>
        <v>16532.009669999996</v>
      </c>
      <c r="H108" s="449">
        <f>Мероприятия_и_источники!J333</f>
        <v>17193.290056799997</v>
      </c>
      <c r="I108" s="449">
        <f>Мероприятия_и_источники!K333</f>
        <v>17881.021659071997</v>
      </c>
      <c r="J108" s="449">
        <f>Мероприятия_и_источники!L333</f>
        <v>18596.262525434879</v>
      </c>
      <c r="K108" s="449">
        <f>Мероприятия_и_источники!M333</f>
        <v>19340.113026452276</v>
      </c>
      <c r="L108" s="787"/>
      <c r="M108" s="447"/>
      <c r="N108" s="448"/>
      <c r="O108" s="448"/>
    </row>
    <row r="109" spans="1:22" ht="47.25" outlineLevel="1">
      <c r="A109" s="444" t="str">
        <f>Мероприятия_и_источники!A337</f>
        <v>1.1.2.</v>
      </c>
      <c r="B109" s="445" t="str">
        <f>Мероприятия_и_источники!B337</f>
        <v xml:space="preserve">Строительство самотечного канализационного  коллектора  Ду 200 мм протяженностью 85,5 п.м. и диаметром 160 мм протяженностью 155 п.м.  
</v>
      </c>
      <c r="C109" s="763">
        <f>Мероприятия_и_источники!C337</f>
        <v>240.5</v>
      </c>
      <c r="D109" s="444" t="str">
        <f>Мероприятия_и_источники!D337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109" s="447" t="str">
        <f>Мероприятия_и_источники!E337</f>
        <v>ООО Совместное предприятие "Минскстройэкспорт"</v>
      </c>
      <c r="F109" s="763"/>
      <c r="G109" s="449">
        <f>Мероприятия_и_источники!I337</f>
        <v>0</v>
      </c>
      <c r="H109" s="449">
        <f>Мероприятия_и_источники!J337</f>
        <v>329.92320000000001</v>
      </c>
      <c r="I109" s="449">
        <f>Мероприятия_и_источники!K337</f>
        <v>0</v>
      </c>
      <c r="J109" s="449">
        <f>Мероприятия_и_источники!L337</f>
        <v>0</v>
      </c>
      <c r="K109" s="449">
        <f>Мероприятия_и_источники!M337</f>
        <v>0</v>
      </c>
      <c r="L109" s="787"/>
      <c r="M109" s="447"/>
      <c r="N109" s="448"/>
      <c r="O109" s="448"/>
    </row>
    <row r="110" spans="1:22" ht="31.5" outlineLevel="1">
      <c r="A110" s="444" t="str">
        <f>Мероприятия_и_источники!A341</f>
        <v>1.1.3.</v>
      </c>
      <c r="B110" s="445" t="str">
        <f>Мероприятия_и_источники!B341</f>
        <v>Строительство самотечного канализационного коллектора Ду300мм. Протяженностью 151 п.м. со строительством смотровых канализационных колодцев диаметром 1500 мм - 3 шт. от пер.Дорожного до КНС "Ольговка"</v>
      </c>
      <c r="C110" s="763">
        <f>Мероприятия_и_источники!C341</f>
        <v>151</v>
      </c>
      <c r="D110" s="444" t="str">
        <f>Мероприятия_и_источники!D341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E110" s="447" t="str">
        <f>Мероприятия_и_источники!E341</f>
        <v>ООО Совместное предприятие "Минскстройэкспорт"</v>
      </c>
      <c r="F110" s="763">
        <f>Мероприятия_и_источники!F341</f>
        <v>576.9</v>
      </c>
      <c r="G110" s="449">
        <f>Мероприятия_и_источники!I341</f>
        <v>0</v>
      </c>
      <c r="H110" s="449">
        <f>Мероприятия_и_источники!J341</f>
        <v>1374.5855999999999</v>
      </c>
      <c r="I110" s="449">
        <f>Мероприятия_и_источники!K341</f>
        <v>0</v>
      </c>
      <c r="J110" s="449">
        <f>Мероприятия_и_источники!L341</f>
        <v>0</v>
      </c>
      <c r="K110" s="449">
        <f>Мероприятия_и_источники!M341</f>
        <v>0</v>
      </c>
      <c r="L110" s="787"/>
      <c r="M110" s="447"/>
      <c r="N110" s="448"/>
      <c r="O110" s="448"/>
    </row>
    <row r="111" spans="1:22" ht="78.75" outlineLevel="1">
      <c r="A111" s="444" t="str">
        <f>Мероприятия_и_источники!A345</f>
        <v>1.1.4.</v>
      </c>
      <c r="B111" s="445" t="str">
        <f>Мероприятия_и_источники!B345</f>
        <v>Строительство  самотечного канализационного  коллектора    Ду=200 мм. от площадки застройки (границы земельного участка)  до точки подключения КК1 (существующий канализационный коллектор Ду=500мм) протяженностью 86 п.м. с обустройством смотровых к/колодцев диаметром 2м – 2 шт.
При строительстве коллектора под а/дорогой предусмотреть устройство футляра внутренним диаметром не менее 400мм, протяженностью 28 п.м.</v>
      </c>
      <c r="C111" s="763">
        <f>Мероприятия_и_источники!C345</f>
        <v>86</v>
      </c>
      <c r="D111" s="447" t="str">
        <f>Мероприятия_и_источники!D345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111" s="445" t="str">
        <f>Мероприятия_и_источники!E345</f>
        <v xml:space="preserve"> ГКУ КО "Управление капитального строительства"</v>
      </c>
      <c r="F111" s="449">
        <f>Мероприятия_и_источники!F345</f>
        <v>93</v>
      </c>
      <c r="G111" s="449">
        <f>Мероприятия_и_источники!I345</f>
        <v>0</v>
      </c>
      <c r="H111" s="449">
        <f>Мероприятия_и_источники!J345</f>
        <v>2120.3087999999998</v>
      </c>
      <c r="I111" s="449">
        <f>Мероприятия_и_источники!K345</f>
        <v>0</v>
      </c>
      <c r="J111" s="449">
        <f>Мероприятия_и_источники!L345</f>
        <v>0</v>
      </c>
      <c r="K111" s="449">
        <f>Мероприятия_и_источники!M345</f>
        <v>0</v>
      </c>
      <c r="L111" s="787"/>
      <c r="M111" s="447"/>
      <c r="N111" s="448"/>
      <c r="O111" s="448"/>
    </row>
    <row r="112" spans="1:22" ht="63" outlineLevel="1">
      <c r="A112" s="444" t="str">
        <f>Мероприятия_и_источники!A349</f>
        <v>1.1.5.</v>
      </c>
      <c r="B112" s="445" t="str">
        <f>Мероприятия_и_источники!B349</f>
        <v>Строительство запроектированного канализационного коллектора Д=315 мм  протяженностью 608,5 п.м. (открытым способом)
Строительство запроектированного канализационного коллектора Д=400 мм протяженностью 180 п.м. (методом ГНБ). Для труб использовать материал ПЭ.</v>
      </c>
      <c r="C112" s="763">
        <f>Мероприятия_и_источники!C349</f>
        <v>788.5</v>
      </c>
      <c r="D112" s="445" t="str">
        <f>Мероприятия_и_источники!D349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E112" s="445" t="str">
        <f>Мероприятия_и_источники!E349</f>
        <v>ЗАО Строительная компания "Правый берег" (ЗАО СК Правый берег)</v>
      </c>
      <c r="F112" s="449">
        <f>Мероприятия_и_источники!F349</f>
        <v>530</v>
      </c>
      <c r="G112" s="449">
        <f>Мероприятия_и_источники!I349</f>
        <v>0</v>
      </c>
      <c r="H112" s="449">
        <f>Мероприятия_и_источники!J349</f>
        <v>7831.3655999999992</v>
      </c>
      <c r="I112" s="449">
        <f>Мероприятия_и_источники!K349</f>
        <v>0</v>
      </c>
      <c r="J112" s="449">
        <f>Мероприятия_и_источники!L349</f>
        <v>0</v>
      </c>
      <c r="K112" s="449">
        <f>Мероприятия_и_источники!M349</f>
        <v>0</v>
      </c>
      <c r="L112" s="787"/>
      <c r="M112" s="447"/>
      <c r="N112" s="448"/>
      <c r="O112" s="448"/>
    </row>
    <row r="113" spans="1:22" ht="58.5" customHeight="1" outlineLevel="1">
      <c r="A113" s="444" t="str">
        <f>Мероприятия_и_источники!A353</f>
        <v>1.1.6.</v>
      </c>
      <c r="B113" s="991" t="str">
        <f>Мероприятия_и_источники!B353</f>
        <v>Строительство  напорного  коллектора    2Д=160 мм. в две линии (резерв) протяженностью по 864 п.м. каждая</v>
      </c>
      <c r="C113" s="763">
        <f>Мероприятия_и_источники!C353</f>
        <v>1728</v>
      </c>
      <c r="D113" s="993" t="str">
        <f>Мероприятия_и_источники!D353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113" s="447" t="str">
        <f>Мероприятия_и_источники!E353</f>
        <v>ООО "СтройСервис" (АО ЦентрСпецСтрой)</v>
      </c>
      <c r="F113" s="449">
        <f>Мероприятия_и_источники!F353</f>
        <v>1131</v>
      </c>
      <c r="G113" s="449">
        <f>Мероприятия_и_источники!I353</f>
        <v>0</v>
      </c>
      <c r="H113" s="449">
        <f>Мероприятия_и_источники!J353</f>
        <v>0</v>
      </c>
      <c r="I113" s="449">
        <f>Мероприятия_и_источники!K353</f>
        <v>20743.9908</v>
      </c>
      <c r="J113" s="449">
        <f>Мероприятия_и_источники!L353</f>
        <v>0</v>
      </c>
      <c r="K113" s="449">
        <f>Мероприятия_и_источники!M353</f>
        <v>0</v>
      </c>
      <c r="L113" s="787"/>
      <c r="M113" s="447"/>
      <c r="N113" s="448"/>
      <c r="O113" s="448"/>
    </row>
    <row r="114" spans="1:22" ht="75.75" customHeight="1" outlineLevel="1">
      <c r="A114" s="444" t="str">
        <f>Мероприятия_и_источники!A357</f>
        <v>1.1.7.</v>
      </c>
      <c r="B114" s="991" t="str">
        <f>Мероприятия_и_источники!B357</f>
        <v xml:space="preserve">Строительство самотечного канализационного коллектора Д=200 мм, с уклоном не менее 1000i=8, от площадки застройки  до существующего колодца по ул. Грабцевское шоссе и пер. Баррикад, протяженностью 90 м, закрытым способом.На коллекторе установить ж/б колодцы диаметром 1,0 м, через каждые 35 м.
</v>
      </c>
      <c r="C114" s="763">
        <f>Мероприятия_и_источники!C357</f>
        <v>90</v>
      </c>
      <c r="D114" s="445" t="str">
        <f>Мероприятия_и_источники!D357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E114" s="445" t="str">
        <f>Мероприятия_и_источники!E357</f>
        <v>ООО «КалугаЭлитДевелопмент»</v>
      </c>
      <c r="F114" s="449">
        <f>Мероприятия_и_источники!F357</f>
        <v>140.28</v>
      </c>
      <c r="G114" s="449">
        <f>Мероприятия_и_источники!I357</f>
        <v>3752.4499500000002</v>
      </c>
      <c r="H114" s="449">
        <f>Мероприятия_и_источники!J357</f>
        <v>0</v>
      </c>
      <c r="I114" s="449">
        <f>Мероприятия_и_источники!K357</f>
        <v>0</v>
      </c>
      <c r="J114" s="449">
        <f>Мероприятия_и_источники!L357</f>
        <v>0</v>
      </c>
      <c r="K114" s="449">
        <f>Мероприятия_и_источники!M357</f>
        <v>0</v>
      </c>
      <c r="L114" s="787"/>
      <c r="M114" s="447"/>
      <c r="N114" s="448"/>
      <c r="O114" s="448"/>
    </row>
    <row r="115" spans="1:22" ht="80.25" customHeight="1" outlineLevel="1">
      <c r="A115" s="444" t="str">
        <f>Мероприятия_и_источники!A361</f>
        <v>1.1.8.</v>
      </c>
      <c r="B115" s="445" t="str">
        <f>Мероприятия_и_источники!B361</f>
        <v xml:space="preserve">Строительство самотечного канализационного коллектора Д=150мм, с уклоном не менее 1000i=6, от площадки застройки до самотечного канализационного коллектора по ул. Знаменская, к существующему колодцу К1 открытым способом,  протяженностью 10 п.м.; </v>
      </c>
      <c r="C115" s="763">
        <f>Мероприятия_и_источники!C361</f>
        <v>10</v>
      </c>
      <c r="D115" s="447" t="str">
        <f>Мероприятия_и_источники!D361</f>
        <v>Многоквартирный жилой дом со встроенными административными помещениями  8 этажей, высота 25 м, расположенный по адресу: г.Калуга, в районе, ограниченном улицами С-Щедрина, Беляева, Знаменской, Луначарского</v>
      </c>
      <c r="E115" s="447" t="str">
        <f>Мероприятия_и_источники!E361</f>
        <v>ООО Совместное предприятие "Минскстройэкспорт" (уступка права ООО Драйвер)</v>
      </c>
      <c r="F115" s="763">
        <f>Мероприятия_и_источники!F361</f>
        <v>64.430000000000007</v>
      </c>
      <c r="G115" s="449">
        <f>Мероприятия_и_источники!I361</f>
        <v>71.647199999999998</v>
      </c>
      <c r="H115" s="449">
        <f>Мероприятия_и_источники!J361</f>
        <v>0</v>
      </c>
      <c r="I115" s="449">
        <f>Мероприятия_и_источники!K361</f>
        <v>0</v>
      </c>
      <c r="J115" s="449">
        <f>Мероприятия_и_источники!L361</f>
        <v>0</v>
      </c>
      <c r="K115" s="449">
        <f>Мероприятия_и_источники!M361</f>
        <v>0</v>
      </c>
      <c r="L115" s="787"/>
      <c r="M115" s="447"/>
      <c r="N115" s="448"/>
      <c r="O115" s="448"/>
    </row>
    <row r="116" spans="1:22" ht="72.75" customHeight="1" outlineLevel="1">
      <c r="A116" s="444" t="str">
        <f>Мероприятия_и_источники!A365</f>
        <v>1.1.9.</v>
      </c>
      <c r="B116" s="445" t="str">
        <f>Мероприятия_и_источники!B365</f>
        <v>В точке врезки существующий канализационный коллектор Ду = 400 мм строительство ж/б колодца диаметром 1000 мм глубиной 2 метра.</v>
      </c>
      <c r="C116" s="763">
        <f>Мероприятия_и_источники!C365</f>
        <v>0</v>
      </c>
      <c r="D116" s="445" t="str">
        <f>Мероприятия_и_источники!D365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E116" s="445" t="str">
        <f>Мероприятия_и_источники!E365</f>
        <v>АО СЗ КОШЕЛЕВ-ПРОЕКТ</v>
      </c>
      <c r="F116" s="763">
        <f>Мероприятия_и_источники!F365</f>
        <v>351</v>
      </c>
      <c r="G116" s="449">
        <f>Мероприятия_и_источники!I365</f>
        <v>34.714500000000001</v>
      </c>
      <c r="H116" s="449">
        <f>Мероприятия_и_источники!J365</f>
        <v>0</v>
      </c>
      <c r="I116" s="449">
        <f>Мероприятия_и_источники!K365</f>
        <v>0</v>
      </c>
      <c r="J116" s="449">
        <f>Мероприятия_и_источники!L365</f>
        <v>0</v>
      </c>
      <c r="K116" s="449">
        <f>Мероприятия_и_источники!M365</f>
        <v>0</v>
      </c>
      <c r="L116" s="787"/>
      <c r="M116" s="447"/>
      <c r="N116" s="448"/>
      <c r="O116" s="448"/>
    </row>
    <row r="117" spans="1:22" ht="106.5" customHeight="1" outlineLevel="1">
      <c r="A117" s="444" t="str">
        <f>Мероприятия_и_источники!A369</f>
        <v>1.1.10.</v>
      </c>
      <c r="B117" s="447" t="str">
        <f>Мероприятия_и_источники!B369</f>
        <v>Строительство футляра Ду-350 мм на границе земельного участка до существующего самотечного канализационного коллектора, протяженностью 45 п.м., закрытым методом. 
Протаскивание самотечного канализационного коллектора Ду-150 в футляр Ду-350 мм с уклоном i=0,007, протяженностью 50 п.м.В точке врезки существующий канализационный коллектор Ду = 500 мм выполнить строительство ж/б колодца диаметром 1000 мм глубиной 2 метра.</v>
      </c>
      <c r="C117" s="763">
        <f>Мероприятия_и_источники!C369</f>
        <v>45</v>
      </c>
      <c r="D117" s="447" t="str">
        <f>Мероприятия_и_источники!D369</f>
        <v>Жилой дом, 17 этажей, 119 квартирный,расположенного по адресу: г. Калуга, ул. Серафима Туликова</v>
      </c>
      <c r="E117" s="447" t="str">
        <f>Мероприятия_и_источники!E369</f>
        <v>ООО КОМЕТА</v>
      </c>
      <c r="F117" s="763">
        <f>Мероприятия_и_источники!F369</f>
        <v>52.98</v>
      </c>
      <c r="G117" s="449">
        <f>Мероприятия_и_источники!I369</f>
        <v>4276.4549999999999</v>
      </c>
      <c r="H117" s="449">
        <f>Мероприятия_и_источники!J369</f>
        <v>0</v>
      </c>
      <c r="I117" s="449">
        <f>Мероприятия_и_источники!K369</f>
        <v>0</v>
      </c>
      <c r="J117" s="449">
        <f>Мероприятия_и_источники!L369</f>
        <v>0</v>
      </c>
      <c r="K117" s="449">
        <f>Мероприятия_и_источники!M369</f>
        <v>0</v>
      </c>
      <c r="L117" s="995"/>
      <c r="M117" s="447"/>
      <c r="N117" s="448"/>
      <c r="O117" s="448"/>
    </row>
    <row r="118" spans="1:22" ht="81" customHeight="1" outlineLevel="1">
      <c r="A118" s="444" t="str">
        <f>Мероприятия_и_источники!A373</f>
        <v>1.1.11.</v>
      </c>
      <c r="B118" s="993" t="str">
        <f>Мероприятия_и_источники!B373</f>
        <v>Строительство футляра Д=400 мм от КК (внутр.пл.) до КК-1, протяженностью 30 п.м. закрытым методом; протаскивание самотечного канализационного коллектора Д=225 в футляр Д=400 мм, протяженностью 30 п.м. Строительство самотечного канализационного коллектора  от КК-1 до КК (сущ.), протяженностью 134 п.м. закрытым методом; строительство ж/б колодцев Д-1,0 м, глубиной до 2 м – 3 шт.</v>
      </c>
      <c r="C118" s="763">
        <f>Мероприятия_и_источники!C373</f>
        <v>164</v>
      </c>
      <c r="D118" s="447" t="str">
        <f>Мероприятия_и_источники!D373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E118" s="445" t="str">
        <f>Мероприятия_и_источники!E373</f>
        <v xml:space="preserve"> ГКУ КО "Управление капитального строительства"</v>
      </c>
      <c r="F118" s="763">
        <f>Мероприятия_и_источники!F373</f>
        <v>45.156799999999997</v>
      </c>
      <c r="G118" s="449">
        <f>Мероприятия_и_источники!I373</f>
        <v>5706.944196741244</v>
      </c>
      <c r="H118" s="449">
        <f>Мероприятия_и_источники!J373</f>
        <v>2812.8328561858052</v>
      </c>
      <c r="I118" s="449">
        <f>Мероприятия_и_источники!K373</f>
        <v>0</v>
      </c>
      <c r="J118" s="449">
        <f>Мероприятия_и_источники!L373</f>
        <v>0</v>
      </c>
      <c r="K118" s="449">
        <f>Мероприятия_и_источники!M373</f>
        <v>0</v>
      </c>
      <c r="L118" s="787"/>
      <c r="M118" s="447"/>
      <c r="N118" s="448"/>
      <c r="O118" s="448"/>
    </row>
    <row r="119" spans="1:22" ht="76.5" customHeight="1" outlineLevel="1">
      <c r="A119" s="444" t="str">
        <f>Мероприятия_и_источники!A377</f>
        <v>1.1.12.</v>
      </c>
      <c r="B119" s="447" t="str">
        <f>Мероприятия_и_источники!B377</f>
        <v>Строительство самотечного канализационного коллектора Ду-200 мм с уклоном не менее 1000i=8, от площадки застройки   протяженностью 50 п.м., открытым способом;в точке подключения КК2 выполнить строительство ж/б колодца Ду=1,5 м;</v>
      </c>
      <c r="C119" s="763">
        <f>Мероприятия_и_источники!C377</f>
        <v>50</v>
      </c>
      <c r="D119" s="447" t="str">
        <f>Мероприятия_и_источники!D377</f>
        <v xml:space="preserve">«Объект образования: общеобразовательная школа на 1125 мест,г. Калуга, ул. Байконурская. </v>
      </c>
      <c r="E119" s="447" t="str">
        <f>Мероприятия_и_источники!E377</f>
        <v>ООО «ПроШкола№2»</v>
      </c>
      <c r="F119" s="763">
        <f>Мероприятия_и_источники!F377</f>
        <v>57.436</v>
      </c>
      <c r="G119" s="449">
        <f>Мероприятия_и_источники!I377</f>
        <v>230.50649999999996</v>
      </c>
      <c r="H119" s="449">
        <f>Мероприятия_и_источники!J377</f>
        <v>0</v>
      </c>
      <c r="I119" s="449">
        <f>Мероприятия_и_источники!K377</f>
        <v>0</v>
      </c>
      <c r="J119" s="449">
        <f>Мероприятия_и_источники!L377</f>
        <v>0</v>
      </c>
      <c r="K119" s="449">
        <f>Мероприятия_и_источники!M377</f>
        <v>0</v>
      </c>
      <c r="L119" s="787"/>
      <c r="M119" s="447"/>
      <c r="N119" s="448"/>
      <c r="O119" s="448"/>
    </row>
    <row r="120" spans="1:22" ht="153.75" customHeight="1" outlineLevel="1">
      <c r="A120" s="444" t="str">
        <f>Мероприятия_и_источники!A381</f>
        <v>1.1.13.</v>
      </c>
      <c r="B120" s="993" t="str">
        <f>Мероприятия_и_источники!B381</f>
        <v>Строительство напорных канализационных коллекторов 2хДу-160 мм от площадки застройки  до колодца гасителя, диаметром 2 м протяженностью 450 п.м. каждый. Строительство трубопровода методом ГНБ протяженностью 25 п.м. (12,5 п.м. каждый). Монтаж колодца гасителя, диаметром 2 м; строительство самотечного канализационного коллектора Ду=250 мм от колодца гасителя КК1 до КК2 (существующий канализационный коллектор Ду = 300 мм) протяженностью 5 п.м. открытым способом.</v>
      </c>
      <c r="C120" s="763">
        <f>Мероприятия_и_источники!C381</f>
        <v>450</v>
      </c>
      <c r="D120" s="447" t="str">
        <f>Мероприятия_и_источники!D381</f>
        <v xml:space="preserve">Нежилое здание для реализации общеобразовательных программ в г. Калуге на 1300 мест ул. Ермоловская </v>
      </c>
      <c r="E120" s="447" t="str">
        <f>Мероприятия_и_источники!E381</f>
        <v>ЗАО Калугагазстрой</v>
      </c>
      <c r="F120" s="763">
        <f>Мероприятия_и_источники!F381</f>
        <v>119.38</v>
      </c>
      <c r="G120" s="449">
        <f>Мероприятия_и_источники!I381</f>
        <v>0</v>
      </c>
      <c r="H120" s="449">
        <f>Мероприятия_и_источники!J381</f>
        <v>4465.7226000000001</v>
      </c>
      <c r="I120" s="449">
        <f>Мероприятия_и_источники!K381</f>
        <v>0</v>
      </c>
      <c r="J120" s="449">
        <f>Мероприятия_и_источники!L381</f>
        <v>0</v>
      </c>
      <c r="K120" s="449">
        <f>Мероприятия_и_источники!M381</f>
        <v>0</v>
      </c>
      <c r="L120" s="787"/>
      <c r="M120" s="447"/>
      <c r="N120" s="448"/>
      <c r="O120" s="448"/>
    </row>
    <row r="121" spans="1:22" ht="82.5" customHeight="1" outlineLevel="1">
      <c r="A121" s="444" t="str">
        <f>Мероприятия_и_источники!A385</f>
        <v>1.1.14.</v>
      </c>
      <c r="B121" s="447" t="str">
        <f>Мероприятия_и_источники!B385</f>
        <v>Строительство самотечного канализационного коллектора DN/ID-200 от границ земельного участка до точки на существующем самотечном канализационном коллекторе, протяженностью 20 п.м., открытым способом.</v>
      </c>
      <c r="C121" s="763">
        <f>Мероприятия_и_источники!C385</f>
        <v>20</v>
      </c>
      <c r="D121" s="447" t="str">
        <f>Мероприятия_и_источники!D385</f>
        <v>Здание жилое многоквартирное со встроенными помещениями,почтовый адрес ориентира: г. Калуга, 3-Академический проезд, д.1".</v>
      </c>
      <c r="E121" s="447" t="str">
        <f>Мероприятия_и_источники!E385</f>
        <v>ООО «Строительная компания «Азимут-Калуга»</v>
      </c>
      <c r="F121" s="763">
        <f>Мероприятия_и_источники!F385</f>
        <v>73.27</v>
      </c>
      <c r="G121" s="449">
        <f>Мероприятия_и_источники!I385</f>
        <v>0</v>
      </c>
      <c r="H121" s="449">
        <f>Мероприятия_и_источники!J385</f>
        <v>342.94156435139996</v>
      </c>
      <c r="I121" s="449">
        <f>Мероприятия_и_источники!K385</f>
        <v>0</v>
      </c>
      <c r="J121" s="449">
        <f>Мероприятия_и_источники!L385</f>
        <v>0</v>
      </c>
      <c r="K121" s="449">
        <f>Мероприятия_и_источники!M385</f>
        <v>0</v>
      </c>
      <c r="L121" s="787"/>
      <c r="M121" s="482"/>
      <c r="N121" s="448"/>
      <c r="O121" s="448"/>
    </row>
    <row r="122" spans="1:22" ht="84.75" customHeight="1" outlineLevel="1">
      <c r="A122" s="444" t="str">
        <f>Мероприятия_и_источники!A389</f>
        <v>1.1.15.</v>
      </c>
      <c r="B122" s="445" t="str">
        <f>Мероприятия_и_источники!B389</f>
        <v>Строительство двух напорных канализационных коллекторов Ду-315 мм от площадки застройки протяженностью 80 п.м. каждый, открытым способом; 
строительство самотечного канализационного коллектора Ду-450 с уклоном 1000i-5  протяженностью 5 п.м.</v>
      </c>
      <c r="C122" s="763">
        <f>Мероприятия_и_источники!C389</f>
        <v>85</v>
      </c>
      <c r="D122" s="445" t="str">
        <f>Мероприятия_и_источники!D389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122" s="445" t="str">
        <f>Мероприятия_и_источники!E389</f>
        <v>ООО Специализированный застройщик "УАЙТ ГРУПП-КАЛУГА"</v>
      </c>
      <c r="F122" s="449">
        <f>Мероприятия_и_источники!F389</f>
        <v>1012.7329999999999</v>
      </c>
      <c r="G122" s="449">
        <f>Мероприятия_и_источники!I389</f>
        <v>0</v>
      </c>
      <c r="H122" s="449">
        <f>Мероприятия_и_источники!J389</f>
        <v>3295.3032885375001</v>
      </c>
      <c r="I122" s="449">
        <f>Мероприятия_и_источники!K389</f>
        <v>0</v>
      </c>
      <c r="J122" s="449">
        <f>Мероприятия_и_источники!L389</f>
        <v>0</v>
      </c>
      <c r="K122" s="449">
        <f>Мероприятия_и_источники!M389</f>
        <v>0</v>
      </c>
      <c r="L122" s="787"/>
      <c r="M122" s="482"/>
      <c r="N122" s="448"/>
      <c r="O122" s="448"/>
    </row>
    <row r="123" spans="1:22" outlineLevel="1">
      <c r="A123" s="1958" t="s">
        <v>148</v>
      </c>
      <c r="B123" s="1957">
        <f>Мероприятия_и_источники!B393</f>
        <v>0</v>
      </c>
      <c r="C123" s="763"/>
      <c r="D123" s="1957">
        <f>Мероприятия_и_источники!D393</f>
        <v>0</v>
      </c>
      <c r="E123" s="445"/>
      <c r="F123" s="1956">
        <f>'Прил.1 Перечень по подключению'!F26</f>
        <v>1370.2439999999999</v>
      </c>
      <c r="G123" s="449">
        <f>Мероприятия_и_источники!I393</f>
        <v>0</v>
      </c>
      <c r="H123" s="449">
        <f>Мероприятия_и_источники!J393</f>
        <v>0</v>
      </c>
      <c r="I123" s="449">
        <f>Мероприятия_и_источники!K393</f>
        <v>0</v>
      </c>
      <c r="J123" s="449">
        <f>Мероприятия_и_источники!L393</f>
        <v>0</v>
      </c>
      <c r="K123" s="449">
        <f>Мероприятия_и_источники!M393</f>
        <v>0</v>
      </c>
      <c r="L123" s="787"/>
      <c r="M123" s="482"/>
      <c r="N123" s="448"/>
      <c r="O123" s="448"/>
    </row>
    <row r="124" spans="1:22" s="481" customFormat="1">
      <c r="A124" s="477" t="str">
        <f>Мероприятия_и_источники!A401</f>
        <v>1.2.</v>
      </c>
      <c r="B124" s="478" t="s">
        <v>1084</v>
      </c>
      <c r="C124" s="769"/>
      <c r="D124" s="479"/>
      <c r="E124" s="479"/>
      <c r="F124" s="801"/>
      <c r="G124" s="801"/>
      <c r="H124" s="801"/>
      <c r="I124" s="801"/>
      <c r="J124" s="801"/>
      <c r="K124" s="801"/>
      <c r="L124" s="784"/>
      <c r="M124" s="480"/>
      <c r="N124" s="450"/>
      <c r="O124" s="450"/>
      <c r="P124" s="451"/>
      <c r="Q124" s="451"/>
      <c r="R124" s="451"/>
      <c r="S124" s="451"/>
      <c r="T124" s="451"/>
      <c r="U124" s="451"/>
      <c r="V124" s="451"/>
    </row>
    <row r="125" spans="1:22" s="451" customFormat="1" outlineLevel="1">
      <c r="A125" s="461"/>
      <c r="B125" s="462"/>
      <c r="C125" s="765"/>
      <c r="D125" s="463"/>
      <c r="E125" s="463"/>
      <c r="F125" s="796"/>
      <c r="G125" s="796"/>
      <c r="H125" s="796"/>
      <c r="I125" s="796"/>
      <c r="J125" s="796"/>
      <c r="K125" s="796"/>
      <c r="L125" s="785"/>
      <c r="M125" s="453"/>
      <c r="N125" s="450"/>
      <c r="O125" s="450"/>
    </row>
    <row r="126" spans="1:22" s="451" customFormat="1" outlineLevel="1">
      <c r="A126" s="461"/>
      <c r="B126" s="462"/>
      <c r="C126" s="765"/>
      <c r="D126" s="463"/>
      <c r="E126" s="463"/>
      <c r="F126" s="796"/>
      <c r="G126" s="796"/>
      <c r="H126" s="796"/>
      <c r="I126" s="796"/>
      <c r="J126" s="796"/>
      <c r="K126" s="796"/>
      <c r="L126" s="785"/>
      <c r="M126" s="453"/>
      <c r="N126" s="450"/>
      <c r="O126" s="450"/>
    </row>
    <row r="127" spans="1:22" s="451" customFormat="1" outlineLevel="1">
      <c r="A127" s="461"/>
      <c r="B127" s="462"/>
      <c r="C127" s="765"/>
      <c r="D127" s="463"/>
      <c r="E127" s="463"/>
      <c r="F127" s="796"/>
      <c r="G127" s="796"/>
      <c r="H127" s="796"/>
      <c r="I127" s="796"/>
      <c r="J127" s="796"/>
      <c r="K127" s="796"/>
      <c r="L127" s="785"/>
      <c r="M127" s="453"/>
      <c r="N127" s="450"/>
      <c r="O127" s="450"/>
    </row>
    <row r="128" spans="1:22" s="481" customFormat="1" ht="31.5">
      <c r="A128" s="477" t="str">
        <f>Мероприятия_и_источники!A405</f>
        <v>1.3.</v>
      </c>
      <c r="B128" s="478" t="s">
        <v>76</v>
      </c>
      <c r="C128" s="769">
        <f t="shared" ref="C128:I128" si="17">SUM(C129:C137)</f>
        <v>786.73</v>
      </c>
      <c r="D128" s="479">
        <f t="shared" si="17"/>
        <v>0</v>
      </c>
      <c r="E128" s="479">
        <f t="shared" si="17"/>
        <v>0</v>
      </c>
      <c r="F128" s="769">
        <f>SUM(F129:F137)</f>
        <v>3973.85</v>
      </c>
      <c r="G128" s="801">
        <f>SUM(G129:G137)</f>
        <v>399.04079999999999</v>
      </c>
      <c r="H128" s="801">
        <f>SUM(H129:H137)</f>
        <v>201357.48388851836</v>
      </c>
      <c r="I128" s="801">
        <f t="shared" si="17"/>
        <v>15510.128661905834</v>
      </c>
      <c r="J128" s="801"/>
      <c r="K128" s="801">
        <f>SUM(K129:K137)</f>
        <v>0</v>
      </c>
      <c r="L128" s="786"/>
      <c r="M128" s="480">
        <f>SUM(M129:M137)</f>
        <v>0</v>
      </c>
      <c r="N128" s="450"/>
      <c r="O128" s="450"/>
      <c r="P128" s="452"/>
      <c r="Q128" s="452"/>
      <c r="R128" s="452"/>
      <c r="S128" s="452"/>
      <c r="T128" s="451"/>
      <c r="U128" s="451"/>
      <c r="V128" s="451"/>
    </row>
    <row r="129" spans="1:22" ht="90" customHeight="1" outlineLevel="1">
      <c r="A129" s="444" t="str">
        <f>Мероприятия_и_источники!A409</f>
        <v>1.3.1.</v>
      </c>
      <c r="B129" s="445" t="str">
        <f>Мероприятия_и_источники!B409</f>
        <v>Реконструкция участка самотечного канализационного коллектора Ду500 мм,  протяженностью 22,73 п.м.</v>
      </c>
      <c r="C129" s="763">
        <f>Мероприятия_и_источники!C409</f>
        <v>22.73</v>
      </c>
      <c r="D129" s="445" t="str">
        <f>Мероприятия_и_источники!D409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E129" s="445" t="str">
        <f>Мероприятия_и_источники!E409</f>
        <v>ООО Совместное предприятие "Минскстройэкспорт"</v>
      </c>
      <c r="F129" s="763">
        <f>Мероприятия_и_источники!F409</f>
        <v>336</v>
      </c>
      <c r="G129" s="449">
        <f>Мероприятия_и_источники!I409</f>
        <v>399.04079999999999</v>
      </c>
      <c r="H129" s="449">
        <f>Мероприятия_и_источники!J409</f>
        <v>0</v>
      </c>
      <c r="I129" s="449">
        <f>Мероприятия_и_источники!K409</f>
        <v>0</v>
      </c>
      <c r="J129" s="449">
        <f>Мероприятия_и_источники!L409</f>
        <v>0</v>
      </c>
      <c r="K129" s="449">
        <f>Мероприятия_и_источники!M409</f>
        <v>0</v>
      </c>
      <c r="L129" s="787"/>
      <c r="M129" s="447"/>
    </row>
    <row r="130" spans="1:22" ht="56.25" customHeight="1" outlineLevel="1">
      <c r="A130" s="444" t="str">
        <f>Мероприятия_и_источники!A413</f>
        <v>1.3.2.</v>
      </c>
      <c r="B130" s="447" t="str">
        <f>Мероприятия_и_источники!B413</f>
        <v>Реконструкция существующего самотечного канализационного коллектора (от ул. Грабцевское шоссе д. 22а до ул. Стекольная д. 4, согласно схемы),  с увеличением диаметра с Ду=800 мм. на ПЭ Ду=1000 мм, общей  протяженностью 260  п.м.</v>
      </c>
      <c r="C130" s="763">
        <f>Мероприятия_и_источники!C413</f>
        <v>260</v>
      </c>
      <c r="D130" s="445" t="str">
        <f>Мероприятия_и_источники!D413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E130" s="445" t="str">
        <f>Мероприятия_и_источники!E413</f>
        <v>ООО "СтройСервис" (АО ЦентрСпецСтрой)</v>
      </c>
      <c r="F130" s="763"/>
      <c r="G130" s="449">
        <f>Мероприятия_и_источники!I413</f>
        <v>0</v>
      </c>
      <c r="H130" s="449">
        <f>Мероприятия_и_источники!J413</f>
        <v>0</v>
      </c>
      <c r="I130" s="449">
        <f>Мероприятия_и_источники!K413</f>
        <v>15510.128661905834</v>
      </c>
      <c r="J130" s="449">
        <f>Мероприятия_и_источники!L413</f>
        <v>0</v>
      </c>
      <c r="K130" s="449">
        <f>Мероприятия_и_источники!M413</f>
        <v>0</v>
      </c>
      <c r="L130" s="787"/>
      <c r="M130" s="447"/>
    </row>
    <row r="131" spans="1:22" ht="125.25" customHeight="1" outlineLevel="1">
      <c r="A131" s="444" t="str">
        <f>Мероприятия_и_источники!A417</f>
        <v>1.3.3.</v>
      </c>
      <c r="B131" s="993" t="str">
        <f>Мероприятия_и_источники!B417</f>
        <v xml:space="preserve">Реконструкция существующего самотечного канализационного коллектора Д=600 мм. (сталь) по ул. Прончищева,  протяженностью  130 п.м.,  на эстакаде высотой до 2 м. с заменой на стальной трубопровод диаметром 820х16мм.
Реконструкция существующего самотечного канализационного коллектора Д=800 мм. (ж/б) в районе мкр. Дубрава,   протяженностью  374 п.м.,  с заменой на трубопровод Корсис Про DN/OD 1000мм. 
Реконструкция 12 ж/б колодцев, диаметром 1,5м, глубина залегания до 3м
</v>
      </c>
      <c r="C131" s="763">
        <f>Мероприятия_и_источники!C417</f>
        <v>504</v>
      </c>
      <c r="D131" s="447" t="str">
        <f>Мероприятия_и_источники!D417</f>
        <v>Индустриальный парк «Грабцево» (с целью увеличения мощности системы (2 этажа)), расположенный по адресу: г. Калуга, Индустриальный парк «Грабцево»</v>
      </c>
      <c r="E131" s="447" t="str">
        <f>Мероприятия_и_источники!E417</f>
        <v>Акционерное общество «Корпорация развития Калужской области»</v>
      </c>
      <c r="F131" s="763">
        <f>Мероприятия_и_источники!F417</f>
        <v>2000</v>
      </c>
      <c r="G131" s="449">
        <f>Мероприятия_и_источники!I417</f>
        <v>0</v>
      </c>
      <c r="H131" s="449">
        <f>Мероприятия_и_источники!J417</f>
        <v>37423.491599999994</v>
      </c>
      <c r="I131" s="449">
        <f>Мероприятия_и_источники!K417</f>
        <v>0</v>
      </c>
      <c r="J131" s="449">
        <f>Мероприятия_и_источники!L417</f>
        <v>0</v>
      </c>
      <c r="K131" s="449">
        <f>Мероприятия_и_источники!M417</f>
        <v>0</v>
      </c>
      <c r="L131" s="787"/>
      <c r="M131" s="447"/>
    </row>
    <row r="132" spans="1:22" ht="48.75" customHeight="1" outlineLevel="1">
      <c r="A132" s="444" t="str">
        <f>Мероприятия_и_источники!A421</f>
        <v>1.3.4.</v>
      </c>
      <c r="B132" s="447" t="str">
        <f>Мероприятия_и_источники!B421</f>
        <v xml:space="preserve">Реконструкция самотечного канализационного коллектора Д=500-600 мм от дома 319 по ул. Московская до КНС "Терепец", протяженностью 3500 п.м. </v>
      </c>
      <c r="C132" s="763"/>
      <c r="D132" s="447" t="str">
        <f>Мероприятия_и_источники!D421</f>
        <v>Проект планировки и проект межевания территории жилого квартала, г.Калуга мкр.Кубяка,Байконур</v>
      </c>
      <c r="E132" s="447" t="str">
        <f>Мероприятия_и_источники!E421</f>
        <v>Заявитель</v>
      </c>
      <c r="F132" s="763">
        <f>Мероприятия_и_источники!F421</f>
        <v>1637.85</v>
      </c>
      <c r="G132" s="449">
        <f>Мероприятия_и_источники!I421</f>
        <v>0</v>
      </c>
      <c r="H132" s="449">
        <f>Мероприятия_и_источники!J421</f>
        <v>163933.99228851838</v>
      </c>
      <c r="I132" s="449">
        <f>Мероприятия_и_источники!K421</f>
        <v>0</v>
      </c>
      <c r="J132" s="449">
        <f>Мероприятия_и_источники!L421</f>
        <v>0</v>
      </c>
      <c r="K132" s="449">
        <f>Мероприятия_и_источники!M421</f>
        <v>0</v>
      </c>
      <c r="L132" s="787"/>
      <c r="M132" s="447"/>
    </row>
    <row r="133" spans="1:22" outlineLevel="1">
      <c r="A133" s="444" t="e">
        <f>Мероприятия_и_источники!#REF!</f>
        <v>#REF!</v>
      </c>
      <c r="B133" s="444"/>
      <c r="C133" s="763"/>
      <c r="D133" s="444"/>
      <c r="E133" s="444"/>
      <c r="F133" s="763"/>
      <c r="G133" s="449"/>
      <c r="H133" s="449"/>
      <c r="I133" s="449"/>
      <c r="J133" s="449"/>
      <c r="K133" s="449"/>
      <c r="L133" s="787"/>
      <c r="M133" s="447"/>
    </row>
    <row r="134" spans="1:22" outlineLevel="1">
      <c r="A134" s="444" t="e">
        <f>Мероприятия_и_источники!#REF!</f>
        <v>#REF!</v>
      </c>
      <c r="B134" s="445"/>
      <c r="C134" s="763"/>
      <c r="D134" s="445"/>
      <c r="E134" s="445"/>
      <c r="F134" s="763"/>
      <c r="G134" s="449"/>
      <c r="H134" s="449"/>
      <c r="I134" s="449"/>
      <c r="J134" s="449"/>
      <c r="K134" s="449"/>
      <c r="L134" s="787"/>
      <c r="M134" s="447"/>
    </row>
    <row r="135" spans="1:22" outlineLevel="1">
      <c r="A135" s="444" t="e">
        <f>Мероприятия_и_источники!#REF!</f>
        <v>#REF!</v>
      </c>
      <c r="B135" s="445"/>
      <c r="C135" s="763"/>
      <c r="D135" s="445"/>
      <c r="E135" s="445"/>
      <c r="F135" s="449"/>
      <c r="G135" s="449"/>
      <c r="H135" s="449"/>
      <c r="I135" s="449"/>
      <c r="J135" s="449"/>
      <c r="K135" s="449"/>
      <c r="L135" s="787"/>
      <c r="M135" s="447"/>
    </row>
    <row r="136" spans="1:22" outlineLevel="1">
      <c r="A136" s="444" t="e">
        <f>Мероприятия_и_источники!#REF!</f>
        <v>#REF!</v>
      </c>
      <c r="B136" s="445"/>
      <c r="C136" s="763"/>
      <c r="D136" s="445"/>
      <c r="E136" s="445"/>
      <c r="F136" s="763"/>
      <c r="G136" s="449"/>
      <c r="H136" s="449"/>
      <c r="I136" s="449"/>
      <c r="J136" s="449"/>
      <c r="K136" s="449"/>
      <c r="L136" s="787"/>
      <c r="M136" s="447"/>
    </row>
    <row r="137" spans="1:22" outlineLevel="1">
      <c r="A137" s="444"/>
      <c r="B137" s="445"/>
      <c r="C137" s="763"/>
      <c r="D137" s="445"/>
      <c r="E137" s="445"/>
      <c r="F137" s="763"/>
      <c r="G137" s="449"/>
      <c r="H137" s="449"/>
      <c r="I137" s="449"/>
      <c r="J137" s="449"/>
      <c r="K137" s="449"/>
      <c r="L137" s="787"/>
      <c r="M137" s="447"/>
    </row>
    <row r="138" spans="1:22" s="481" customFormat="1" ht="31.5">
      <c r="A138" s="477" t="str">
        <f>Мероприятия_и_источники!A425</f>
        <v>1.4.</v>
      </c>
      <c r="B138" s="478" t="s">
        <v>77</v>
      </c>
      <c r="C138" s="769"/>
      <c r="D138" s="479"/>
      <c r="E138" s="479"/>
      <c r="F138" s="801">
        <f t="shared" ref="F138:K138" si="18">F139+F140+F141</f>
        <v>0</v>
      </c>
      <c r="G138" s="801">
        <f t="shared" si="18"/>
        <v>0</v>
      </c>
      <c r="H138" s="801">
        <f t="shared" si="18"/>
        <v>76046.522947172547</v>
      </c>
      <c r="I138" s="801">
        <f t="shared" si="18"/>
        <v>0</v>
      </c>
      <c r="J138" s="801">
        <f t="shared" si="18"/>
        <v>0</v>
      </c>
      <c r="K138" s="801">
        <f t="shared" si="18"/>
        <v>0</v>
      </c>
      <c r="L138" s="784"/>
      <c r="M138" s="480"/>
      <c r="N138" s="451"/>
      <c r="O138" s="451"/>
      <c r="P138" s="451"/>
      <c r="Q138" s="451"/>
      <c r="R138" s="451"/>
      <c r="S138" s="451"/>
      <c r="T138" s="451"/>
      <c r="U138" s="451"/>
      <c r="V138" s="451"/>
    </row>
    <row r="139" spans="1:22" ht="84" customHeight="1" outlineLevel="1">
      <c r="A139" s="444" t="str">
        <f>Мероприятия_и_источники!A429</f>
        <v>1.4.1.</v>
      </c>
      <c r="B139" s="447" t="str">
        <f>Мероприятия_и_источники!B429</f>
        <v xml:space="preserve">В связи с недостаточной мощностью насосного оборудования на КНС «Анненки» (один насосный агрегат в работе) и для нормального функционирования КНС при приеме дополнительного объема стоков, в том числе в период паводка: 
монтаж энергооборудования шкаф управления ОНИКС МК3-210-П-GPRS-IP54-У3.1 – 1 шт.
монтаж  насосного  оборудования  марки WILO FA 15.98D  + FK 34.1-4/42 – 1 шт. 
</v>
      </c>
      <c r="C139" s="763">
        <f>Мероприятия_и_источники!C429</f>
        <v>0</v>
      </c>
      <c r="D139" s="447" t="str">
        <f>Мероприятия_и_источники!D429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E139" s="445" t="str">
        <f>Мероприятия_и_источники!E429</f>
        <v xml:space="preserve"> ГКУ КО "Управление капитального строительства"</v>
      </c>
      <c r="F139" s="763"/>
      <c r="G139" s="449">
        <f>Мероприятия_и_источники!I429</f>
        <v>0</v>
      </c>
      <c r="H139" s="449">
        <f>Мероприятия_и_источники!J429</f>
        <v>4699.0691999999999</v>
      </c>
      <c r="I139" s="449">
        <f>Мероприятия_и_источники!K429</f>
        <v>0</v>
      </c>
      <c r="J139" s="449">
        <f>Мероприятия_и_источники!L429</f>
        <v>0</v>
      </c>
      <c r="K139" s="449">
        <f>Мероприятия_и_источники!M429</f>
        <v>0</v>
      </c>
      <c r="L139" s="787"/>
      <c r="M139" s="447"/>
    </row>
    <row r="140" spans="1:22" ht="75" customHeight="1" outlineLevel="1">
      <c r="A140" s="444" t="str">
        <f>Мероприятия_и_источники!A433</f>
        <v>1.4.2.</v>
      </c>
      <c r="B140" s="447" t="str">
        <f>Мероприятия_и_источники!B433</f>
        <v>Замена существующего насосного оборудования на канализационной насосной станции в районе Пучковского моста</v>
      </c>
      <c r="C140" s="763"/>
      <c r="D140" s="447" t="str">
        <f>Мероприятия_и_источники!D433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E140" s="447" t="str">
        <f>Мероприятия_и_источники!E433</f>
        <v>ООО Специализированный застройщик "УАЙТ ГРУПП-КАЛУГА"</v>
      </c>
      <c r="F140" s="763"/>
      <c r="G140" s="449">
        <f>Мероприятия_и_источники!I433</f>
        <v>0</v>
      </c>
      <c r="H140" s="449">
        <f>Мероприятия_и_источники!J433</f>
        <v>916.32642376166677</v>
      </c>
      <c r="I140" s="449">
        <f>Мероприятия_и_источники!K433</f>
        <v>0</v>
      </c>
      <c r="J140" s="449">
        <f>Мероприятия_и_источники!L433</f>
        <v>0</v>
      </c>
      <c r="K140" s="449">
        <f>Мероприятия_и_источники!M433</f>
        <v>0</v>
      </c>
      <c r="L140" s="787"/>
      <c r="M140" s="482"/>
    </row>
    <row r="141" spans="1:22" ht="35.25" customHeight="1" outlineLevel="1">
      <c r="A141" s="444" t="str">
        <f>Мероприятия_и_источники!A437</f>
        <v>1.4.3.</v>
      </c>
      <c r="B141" s="447" t="str">
        <f>Мероприятия_и_источники!B437</f>
        <v xml:space="preserve">Реконструкция канализационной насосной станции "Терепец" район ул.Панорамная </v>
      </c>
      <c r="C141" s="763"/>
      <c r="D141" s="447" t="str">
        <f>Мероприятия_и_источники!D437</f>
        <v>Проект планировки и проект межевания территории жилого квартала, г.Калуга мкр.Кубяка,Байконур</v>
      </c>
      <c r="E141" s="447" t="str">
        <f>Мероприятия_и_источники!E437</f>
        <v>Заявитель</v>
      </c>
      <c r="F141" s="763"/>
      <c r="G141" s="449">
        <f>Мероприятия_и_источники!I437</f>
        <v>0</v>
      </c>
      <c r="H141" s="449">
        <f>Мероприятия_и_источники!J437</f>
        <v>70431.127323410881</v>
      </c>
      <c r="I141" s="449">
        <f>Мероприятия_и_источники!K437</f>
        <v>0</v>
      </c>
      <c r="J141" s="449">
        <f>Мероприятия_и_источники!L437</f>
        <v>0</v>
      </c>
      <c r="K141" s="449">
        <f>Мероприятия_и_источники!M437</f>
        <v>0</v>
      </c>
      <c r="L141" s="787"/>
      <c r="M141" s="447"/>
    </row>
    <row r="142" spans="1:22" outlineLevel="1">
      <c r="A142" s="444" t="e">
        <f>Мероприятия_и_источники!#REF!</f>
        <v>#REF!</v>
      </c>
      <c r="B142" s="444"/>
      <c r="C142" s="763"/>
      <c r="D142" s="445"/>
      <c r="E142" s="445"/>
      <c r="F142" s="763"/>
      <c r="G142" s="449"/>
      <c r="H142" s="449"/>
      <c r="I142" s="449"/>
      <c r="J142" s="449"/>
      <c r="K142" s="449"/>
      <c r="L142" s="787"/>
      <c r="M142" s="447"/>
    </row>
    <row r="143" spans="1:22" ht="46.5" customHeight="1">
      <c r="A143" s="483" t="str">
        <f>Мероприятия_и_источники!A441</f>
        <v>2</v>
      </c>
      <c r="B143" s="773" t="str">
        <f>Мероприятия_и_источники!B441</f>
        <v>Строительство новых объектов централизованных систем водоотведения, не связанных с подключением новых объектов капитального строительства</v>
      </c>
      <c r="C143" s="773">
        <f>C144+C147</f>
        <v>1030</v>
      </c>
      <c r="D143" s="773"/>
      <c r="E143" s="773"/>
      <c r="F143" s="802">
        <f t="shared" ref="F143:K143" si="19">F144+F147</f>
        <v>0</v>
      </c>
      <c r="G143" s="802">
        <f t="shared" si="19"/>
        <v>0</v>
      </c>
      <c r="H143" s="802">
        <f t="shared" si="19"/>
        <v>0</v>
      </c>
      <c r="I143" s="802">
        <f t="shared" si="19"/>
        <v>0</v>
      </c>
      <c r="J143" s="802">
        <f t="shared" si="19"/>
        <v>6250.5120000000006</v>
      </c>
      <c r="K143" s="802">
        <f t="shared" si="19"/>
        <v>9021.9</v>
      </c>
      <c r="L143" s="484"/>
      <c r="M143" s="447"/>
    </row>
    <row r="144" spans="1:22" s="481" customFormat="1" ht="31.5">
      <c r="A144" s="477" t="str">
        <f>Мероприятия_и_источники!A445</f>
        <v>2.1.</v>
      </c>
      <c r="B144" s="478" t="s">
        <v>42</v>
      </c>
      <c r="C144" s="769">
        <f>C145+C146</f>
        <v>1030</v>
      </c>
      <c r="D144" s="479"/>
      <c r="E144" s="479"/>
      <c r="F144" s="769">
        <f t="shared" ref="F144:K144" si="20">F145+F146</f>
        <v>0</v>
      </c>
      <c r="G144" s="769">
        <f t="shared" si="20"/>
        <v>0</v>
      </c>
      <c r="H144" s="769">
        <f t="shared" si="20"/>
        <v>0</v>
      </c>
      <c r="I144" s="769">
        <f t="shared" si="20"/>
        <v>0</v>
      </c>
      <c r="J144" s="769">
        <f t="shared" si="20"/>
        <v>6250.5120000000006</v>
      </c>
      <c r="K144" s="769">
        <f t="shared" si="20"/>
        <v>9021.9</v>
      </c>
      <c r="L144" s="784"/>
      <c r="M144" s="480"/>
      <c r="N144" s="451"/>
      <c r="O144" s="451"/>
      <c r="P144" s="451"/>
      <c r="Q144" s="451"/>
      <c r="R144" s="451"/>
      <c r="S144" s="451"/>
      <c r="T144" s="451"/>
      <c r="U144" s="451"/>
      <c r="V144" s="451"/>
    </row>
    <row r="145" spans="1:22" s="451" customFormat="1" ht="45" customHeight="1" outlineLevel="1">
      <c r="A145" s="444" t="str">
        <f>Мероприятия_и_источники!A449</f>
        <v>2.1.1.</v>
      </c>
      <c r="B145" s="447" t="str">
        <f>Мероприятия_и_источники!B449</f>
        <v>Строительство самотечного канализационного коллектора Ду=200 мм, протяженностью 230 п.м.</v>
      </c>
      <c r="C145" s="763">
        <f>Мероприятия_и_источники!C449</f>
        <v>230</v>
      </c>
      <c r="D145" s="447" t="str">
        <f>Мероприятия_и_источники!D449</f>
        <v>Проектирование и строительство систем водоотведения по адресу: г.Калуга, переулок 2-й Стекольный</v>
      </c>
      <c r="E145" s="444"/>
      <c r="F145" s="796"/>
      <c r="G145" s="796">
        <f>Мероприятия_и_источники!I449</f>
        <v>0</v>
      </c>
      <c r="H145" s="796">
        <f>Мероприятия_и_источники!J449</f>
        <v>0</v>
      </c>
      <c r="I145" s="796">
        <f>Мероприятия_и_источники!K449</f>
        <v>0</v>
      </c>
      <c r="J145" s="796">
        <f>Мероприятия_и_источники!L449</f>
        <v>6250.5120000000006</v>
      </c>
      <c r="K145" s="796">
        <f>Мероприятия_и_источники!M449</f>
        <v>0</v>
      </c>
      <c r="L145" s="785"/>
      <c r="M145" s="453"/>
    </row>
    <row r="146" spans="1:22" s="451" customFormat="1" ht="51" customHeight="1" outlineLevel="1">
      <c r="A146" s="444" t="str">
        <f>Мероприятия_и_источники!A453</f>
        <v>2.1.2.</v>
      </c>
      <c r="B146" s="447" t="str">
        <f>Мероприятия_и_источники!B453</f>
        <v>Строительство самотечного канализационного коллектора Д=200 мм, протяженность 600 п.м.; Установка КНС на 100 м3/сут.; Строительство напорного коллектора 2хД=63 мм, протяженностью 200 п.м. каждая.</v>
      </c>
      <c r="C146" s="763">
        <f>Мероприятия_и_источники!C453</f>
        <v>800</v>
      </c>
      <c r="D146" s="447" t="str">
        <f>Мероприятия_и_источники!D453</f>
        <v>Строительство системы водоотведения по адресу: г.Калуга, ул. Овражная</v>
      </c>
      <c r="E146" s="444"/>
      <c r="F146" s="796"/>
      <c r="G146" s="796">
        <f>Мероприятия_и_источники!I453</f>
        <v>0</v>
      </c>
      <c r="H146" s="796">
        <f>Мероприятия_и_источники!J453</f>
        <v>0</v>
      </c>
      <c r="I146" s="796">
        <f>Мероприятия_и_источники!K453</f>
        <v>0</v>
      </c>
      <c r="J146" s="796">
        <f>Мероприятия_и_источники!L453</f>
        <v>0</v>
      </c>
      <c r="K146" s="796">
        <f>Мероприятия_и_источники!M453</f>
        <v>9021.9</v>
      </c>
      <c r="L146" s="785"/>
      <c r="M146" s="453"/>
    </row>
    <row r="147" spans="1:22" s="481" customFormat="1" ht="31.5">
      <c r="A147" s="477" t="s">
        <v>27</v>
      </c>
      <c r="B147" s="478" t="s">
        <v>43</v>
      </c>
      <c r="C147" s="769"/>
      <c r="D147" s="479"/>
      <c r="E147" s="479"/>
      <c r="F147" s="801"/>
      <c r="G147" s="801"/>
      <c r="H147" s="801"/>
      <c r="I147" s="801"/>
      <c r="J147" s="801"/>
      <c r="K147" s="801"/>
      <c r="L147" s="784"/>
      <c r="M147" s="480"/>
      <c r="N147" s="451"/>
      <c r="O147" s="451"/>
      <c r="P147" s="451"/>
      <c r="Q147" s="451"/>
      <c r="R147" s="451"/>
      <c r="S147" s="451"/>
      <c r="T147" s="451"/>
      <c r="U147" s="451"/>
      <c r="V147" s="451"/>
    </row>
    <row r="148" spans="1:22" s="451" customFormat="1" outlineLevel="1">
      <c r="A148" s="461"/>
      <c r="B148" s="462"/>
      <c r="C148" s="765"/>
      <c r="D148" s="463"/>
      <c r="E148" s="463"/>
      <c r="F148" s="796"/>
      <c r="G148" s="796"/>
      <c r="H148" s="796"/>
      <c r="I148" s="796"/>
      <c r="J148" s="796"/>
      <c r="K148" s="796"/>
      <c r="L148" s="785"/>
      <c r="M148" s="453"/>
    </row>
    <row r="149" spans="1:22" s="451" customFormat="1" outlineLevel="1">
      <c r="A149" s="461"/>
      <c r="B149" s="462"/>
      <c r="C149" s="765"/>
      <c r="D149" s="463"/>
      <c r="E149" s="463"/>
      <c r="F149" s="796"/>
      <c r="G149" s="796"/>
      <c r="H149" s="796"/>
      <c r="I149" s="796"/>
      <c r="J149" s="796"/>
      <c r="K149" s="796"/>
      <c r="L149" s="785"/>
      <c r="M149" s="453"/>
    </row>
    <row r="150" spans="1:22" s="451" customFormat="1" ht="37.5" customHeight="1">
      <c r="A150" s="483" t="str">
        <f>Мероприятия_и_источники!A457</f>
        <v>3</v>
      </c>
      <c r="B150" s="773" t="str">
        <f>Мероприятия_и_источники!B457</f>
        <v>Модернизация или реконструкция существующих объектов централизованных систем водоотведения в целях снижения уровня износа существующих объектов</v>
      </c>
      <c r="C150" s="773">
        <f>C151+C158</f>
        <v>0</v>
      </c>
      <c r="D150" s="773"/>
      <c r="E150" s="773"/>
      <c r="F150" s="802"/>
      <c r="G150" s="802"/>
      <c r="H150" s="802"/>
      <c r="I150" s="802"/>
      <c r="J150" s="802"/>
      <c r="K150" s="802"/>
      <c r="L150" s="484"/>
      <c r="M150" s="453"/>
    </row>
    <row r="151" spans="1:22" s="481" customFormat="1" ht="31.5">
      <c r="A151" s="477" t="str">
        <f>Мероприятия_и_источники!A461</f>
        <v>3.1.</v>
      </c>
      <c r="B151" s="478" t="s">
        <v>44</v>
      </c>
      <c r="C151" s="769"/>
      <c r="D151" s="479"/>
      <c r="E151" s="479"/>
      <c r="F151" s="801"/>
      <c r="G151" s="801"/>
      <c r="H151" s="801"/>
      <c r="I151" s="801"/>
      <c r="J151" s="801"/>
      <c r="K151" s="801"/>
      <c r="L151" s="784"/>
      <c r="M151" s="480"/>
      <c r="N151" s="451"/>
      <c r="O151" s="451"/>
      <c r="P151" s="451"/>
      <c r="Q151" s="451"/>
      <c r="R151" s="451"/>
      <c r="S151" s="451"/>
      <c r="T151" s="451"/>
      <c r="U151" s="451"/>
      <c r="V151" s="451"/>
    </row>
    <row r="152" spans="1:22" s="451" customFormat="1" outlineLevel="1">
      <c r="A152" s="461"/>
      <c r="B152" s="462"/>
      <c r="C152" s="765"/>
      <c r="D152" s="463"/>
      <c r="E152" s="463"/>
      <c r="F152" s="796"/>
      <c r="G152" s="796"/>
      <c r="H152" s="796"/>
      <c r="I152" s="796"/>
      <c r="J152" s="796"/>
      <c r="K152" s="796"/>
      <c r="L152" s="785"/>
      <c r="M152" s="453"/>
    </row>
    <row r="153" spans="1:22" s="451" customFormat="1" outlineLevel="1">
      <c r="A153" s="461"/>
      <c r="B153" s="462"/>
      <c r="C153" s="765"/>
      <c r="D153" s="463"/>
      <c r="E153" s="463"/>
      <c r="F153" s="796"/>
      <c r="G153" s="796"/>
      <c r="H153" s="796"/>
      <c r="I153" s="796"/>
      <c r="J153" s="796"/>
      <c r="K153" s="796"/>
      <c r="L153" s="785"/>
      <c r="M153" s="453"/>
    </row>
    <row r="154" spans="1:22" s="451" customFormat="1" outlineLevel="1">
      <c r="A154" s="461"/>
      <c r="B154" s="462"/>
      <c r="C154" s="765"/>
      <c r="D154" s="463"/>
      <c r="E154" s="463"/>
      <c r="F154" s="796"/>
      <c r="G154" s="796"/>
      <c r="H154" s="796"/>
      <c r="I154" s="796"/>
      <c r="J154" s="796"/>
      <c r="K154" s="796"/>
      <c r="L154" s="785"/>
      <c r="M154" s="453"/>
    </row>
    <row r="155" spans="1:22" s="451" customFormat="1" outlineLevel="1">
      <c r="A155" s="461"/>
      <c r="B155" s="462"/>
      <c r="C155" s="765"/>
      <c r="D155" s="463"/>
      <c r="E155" s="463"/>
      <c r="F155" s="796"/>
      <c r="G155" s="796"/>
      <c r="H155" s="796"/>
      <c r="I155" s="796"/>
      <c r="J155" s="796"/>
      <c r="K155" s="796"/>
      <c r="L155" s="785"/>
      <c r="M155" s="453"/>
    </row>
    <row r="156" spans="1:22" s="451" customFormat="1" outlineLevel="1">
      <c r="A156" s="461"/>
      <c r="B156" s="462"/>
      <c r="C156" s="765"/>
      <c r="D156" s="463"/>
      <c r="E156" s="463"/>
      <c r="F156" s="796"/>
      <c r="G156" s="796"/>
      <c r="H156" s="796"/>
      <c r="I156" s="796"/>
      <c r="J156" s="796"/>
      <c r="K156" s="796"/>
      <c r="L156" s="785"/>
      <c r="M156" s="453"/>
    </row>
    <row r="157" spans="1:22" s="451" customFormat="1" outlineLevel="1">
      <c r="A157" s="461"/>
      <c r="B157" s="462"/>
      <c r="C157" s="765"/>
      <c r="D157" s="463"/>
      <c r="E157" s="463"/>
      <c r="F157" s="796"/>
      <c r="G157" s="796"/>
      <c r="H157" s="796"/>
      <c r="I157" s="796"/>
      <c r="J157" s="796"/>
      <c r="K157" s="796"/>
      <c r="L157" s="785"/>
      <c r="M157" s="453"/>
    </row>
    <row r="158" spans="1:22" s="481" customFormat="1" ht="31.5">
      <c r="A158" s="477" t="str">
        <f>Мероприятия_и_источники!A465</f>
        <v>3.2.</v>
      </c>
      <c r="B158" s="478" t="s">
        <v>45</v>
      </c>
      <c r="C158" s="769"/>
      <c r="D158" s="479"/>
      <c r="E158" s="479"/>
      <c r="F158" s="801"/>
      <c r="G158" s="801"/>
      <c r="H158" s="801"/>
      <c r="I158" s="801"/>
      <c r="J158" s="801"/>
      <c r="K158" s="801"/>
      <c r="L158" s="784"/>
      <c r="M158" s="480"/>
      <c r="N158" s="451"/>
      <c r="O158" s="451"/>
      <c r="P158" s="451"/>
      <c r="Q158" s="451"/>
      <c r="R158" s="451"/>
      <c r="S158" s="451"/>
      <c r="T158" s="451"/>
      <c r="U158" s="451"/>
      <c r="V158" s="451"/>
    </row>
    <row r="159" spans="1:22" s="451" customFormat="1" outlineLevel="1">
      <c r="A159" s="461"/>
      <c r="B159" s="462"/>
      <c r="C159" s="765"/>
      <c r="D159" s="463"/>
      <c r="E159" s="463"/>
      <c r="F159" s="796"/>
      <c r="G159" s="796"/>
      <c r="H159" s="796"/>
      <c r="I159" s="796"/>
      <c r="J159" s="796"/>
      <c r="K159" s="796"/>
      <c r="L159" s="785"/>
      <c r="M159" s="453"/>
    </row>
    <row r="160" spans="1:22" s="451" customFormat="1" outlineLevel="1">
      <c r="A160" s="461"/>
      <c r="B160" s="462"/>
      <c r="C160" s="765"/>
      <c r="D160" s="463"/>
      <c r="E160" s="463"/>
      <c r="F160" s="796"/>
      <c r="G160" s="796"/>
      <c r="H160" s="796"/>
      <c r="I160" s="796"/>
      <c r="J160" s="796"/>
      <c r="K160" s="796"/>
      <c r="L160" s="785"/>
      <c r="M160" s="453"/>
    </row>
    <row r="161" spans="1:22" s="481" customFormat="1" ht="66" customHeight="1">
      <c r="A161" s="483" t="str">
        <f>Мероприятия_и_источники!A469</f>
        <v>4</v>
      </c>
      <c r="B161" s="773" t="s">
        <v>14837</v>
      </c>
      <c r="C161" s="773"/>
      <c r="D161" s="773"/>
      <c r="E161" s="773"/>
      <c r="F161" s="802">
        <f t="shared" ref="F161:K161" si="21">SUM(F162:F178)</f>
        <v>0</v>
      </c>
      <c r="G161" s="802">
        <f t="shared" si="21"/>
        <v>22474.448873370002</v>
      </c>
      <c r="H161" s="802">
        <f t="shared" si="21"/>
        <v>28080.684226672747</v>
      </c>
      <c r="I161" s="802">
        <f t="shared" si="21"/>
        <v>100021.82423307837</v>
      </c>
      <c r="J161" s="802">
        <f t="shared" si="21"/>
        <v>100045.73640872314</v>
      </c>
      <c r="K161" s="802">
        <f t="shared" si="21"/>
        <v>180955.52010005733</v>
      </c>
      <c r="L161" s="484"/>
      <c r="M161" s="480"/>
      <c r="N161" s="451"/>
      <c r="O161" s="451"/>
      <c r="P161" s="451"/>
      <c r="Q161" s="451"/>
      <c r="R161" s="451"/>
      <c r="S161" s="451"/>
      <c r="T161" s="451"/>
      <c r="U161" s="451"/>
      <c r="V161" s="451"/>
    </row>
    <row r="162" spans="1:22" s="451" customFormat="1" ht="33.75" customHeight="1" outlineLevel="1">
      <c r="A162" s="444" t="str">
        <f>Мероприятия_и_источники!A473</f>
        <v>4.1.</v>
      </c>
      <c r="B162" s="447" t="str">
        <f>Мероприятия_и_источники!B473</f>
        <v>Реконструкция очистных сооружений канализации п.Муратовского Щебзавода</v>
      </c>
      <c r="C162" s="763"/>
      <c r="D162" s="447" t="str">
        <f>Мероприятия_и_источники!D473</f>
        <v>г.Калуга, п.Муратовский Щебзавод</v>
      </c>
      <c r="E162" s="444"/>
      <c r="F162" s="796"/>
      <c r="G162" s="796">
        <f>Мероприятия_и_источники!I473</f>
        <v>4171.62741138</v>
      </c>
      <c r="H162" s="796">
        <f>Мероприятия_и_источники!J473</f>
        <v>0</v>
      </c>
      <c r="I162" s="796">
        <f>Мероприятия_и_источники!K473</f>
        <v>0</v>
      </c>
      <c r="J162" s="796">
        <f>Мероприятия_и_источники!L473</f>
        <v>0</v>
      </c>
      <c r="K162" s="796">
        <f>Мероприятия_и_источники!M473</f>
        <v>0</v>
      </c>
      <c r="L162" s="785"/>
      <c r="M162" s="453"/>
    </row>
    <row r="163" spans="1:22" s="451" customFormat="1" ht="31.5" outlineLevel="1">
      <c r="A163" s="444" t="str">
        <f>Мероприятия_и_источники!A477</f>
        <v>4.2.</v>
      </c>
      <c r="B163" s="447" t="str">
        <f>Мероприятия_и_источники!B477</f>
        <v>Реконструкция самотечного канализационного коллектора Д-150мм, керамика, протяженностью 193 п.м, по пер. Воскресенский от д. 3а до ул. Луначарского.</v>
      </c>
      <c r="C163" s="763"/>
      <c r="D163" s="445" t="str">
        <f>Мероприятия_и_источники!D477</f>
        <v xml:space="preserve">г.Калуга, пер. Воскресенский от д. 3а до ул. Луначарского </v>
      </c>
      <c r="E163" s="444"/>
      <c r="F163" s="796"/>
      <c r="G163" s="796">
        <f>Мероприятия_и_источники!I477</f>
        <v>0</v>
      </c>
      <c r="H163" s="796">
        <f>Мероприятия_и_источники!J477</f>
        <v>0</v>
      </c>
      <c r="I163" s="796">
        <f>Мероприятия_и_источники!K477</f>
        <v>0</v>
      </c>
      <c r="J163" s="796">
        <f>Мероприятия_и_источники!L477</f>
        <v>9698.3785827647152</v>
      </c>
      <c r="K163" s="796">
        <f>Мероприятия_и_источники!M477</f>
        <v>0</v>
      </c>
      <c r="L163" s="785"/>
      <c r="M163" s="453"/>
    </row>
    <row r="164" spans="1:22" s="451" customFormat="1" ht="31.5" outlineLevel="1">
      <c r="A164" s="444" t="str">
        <f>Мероприятия_и_источники!A481</f>
        <v>4.3.</v>
      </c>
      <c r="B164" s="447" t="str">
        <f>Мероприятия_и_источники!B481</f>
        <v>Реконструкция самотечного канализационного коллектора Д-200мм, керамика, протяженностью 197 п.м, по ул. Поле Свободы от д.30 до ул К. Либкнехта.</v>
      </c>
      <c r="C164" s="763"/>
      <c r="D164" s="445" t="str">
        <f>Мероприятия_и_источники!D481</f>
        <v>г.Калуга по ул. Поле Свободы от д.30 до ул К. Либкнехта.</v>
      </c>
      <c r="E164" s="444"/>
      <c r="F164" s="796"/>
      <c r="G164" s="796">
        <f>Мероприятия_и_источники!I481</f>
        <v>0</v>
      </c>
      <c r="H164" s="796">
        <f>Мероприятия_и_источники!J481</f>
        <v>0</v>
      </c>
      <c r="I164" s="796">
        <f>Мероприятия_и_источники!K481</f>
        <v>0</v>
      </c>
      <c r="J164" s="796">
        <f>Мероприятия_и_источники!L481</f>
        <v>6943.073294970437</v>
      </c>
      <c r="K164" s="796">
        <f>Мероприятия_и_источники!M481</f>
        <v>0</v>
      </c>
      <c r="L164" s="785"/>
      <c r="M164" s="453"/>
    </row>
    <row r="165" spans="1:22" s="451" customFormat="1" ht="31.5" outlineLevel="1">
      <c r="A165" s="444" t="str">
        <f>Мероприятия_и_источники!A485</f>
        <v>4.4.</v>
      </c>
      <c r="B165" s="447" t="str">
        <f>Мероприятия_и_источники!B485</f>
        <v>Реконструкция двух участков самотечного канализационного коллектора Д-500-600мм, ж/б, а/ц, общей протяженностью 1046 п.м: ул. Промышленная от КК№33 до КК№37;  ул. В. Никитиной от д.№29 до ул. Зерновая</v>
      </c>
      <c r="C165" s="763"/>
      <c r="D165" s="445" t="str">
        <f>Мероприятия_и_источники!D485</f>
        <v>г.Калуга ул. Промышленная ;  ул. В. Никитиной от д.№29 до ул. Зерновая</v>
      </c>
      <c r="E165" s="444"/>
      <c r="F165" s="796"/>
      <c r="G165" s="796">
        <f>Мероприятия_и_источники!I485</f>
        <v>0</v>
      </c>
      <c r="H165" s="796">
        <f>Мероприятия_и_источники!J485</f>
        <v>0</v>
      </c>
      <c r="I165" s="796">
        <f>Мероприятия_и_источники!K485</f>
        <v>0</v>
      </c>
      <c r="J165" s="796">
        <f>Мероприятия_и_источники!L485</f>
        <v>17007.535958665481</v>
      </c>
      <c r="K165" s="796">
        <f>Мероприятия_и_источники!M485</f>
        <v>68030.143834661925</v>
      </c>
      <c r="L165" s="785"/>
      <c r="M165" s="453"/>
    </row>
    <row r="166" spans="1:22" s="451" customFormat="1" ht="31.5" outlineLevel="1">
      <c r="A166" s="444" t="str">
        <f>Мероприятия_и_источники!A489</f>
        <v>4.5.</v>
      </c>
      <c r="B166" s="447" t="str">
        <f>Мероприятия_и_источники!B489</f>
        <v>Реконструкция самотечного канализационного коллектора Д-600мм, ж/б, протяженностью 230 п.м, по ул. Карла Либкнехта от ул. Московская в р-не д. 178 до д. 16 по ул. К. Либкнехта</v>
      </c>
      <c r="C166" s="763"/>
      <c r="D166" s="445" t="str">
        <f>Мероприятия_и_источники!D489</f>
        <v>г.Калуга, по ул. Карла Либкнехта от ул. Московская в р-не д. 178 до д. 16 по ул. К. Либкнехта</v>
      </c>
      <c r="E166" s="444"/>
      <c r="F166" s="796"/>
      <c r="G166" s="796">
        <f>Мероприятия_и_источники!I489</f>
        <v>0</v>
      </c>
      <c r="H166" s="796"/>
      <c r="I166" s="796"/>
      <c r="J166" s="796"/>
      <c r="K166" s="796"/>
      <c r="L166" s="785"/>
      <c r="M166" s="453"/>
    </row>
    <row r="167" spans="1:22" s="451" customFormat="1" ht="31.5" outlineLevel="1">
      <c r="A167" s="444" t="str">
        <f>Мероприятия_и_источники!A493</f>
        <v>4.6.</v>
      </c>
      <c r="B167" s="447" t="str">
        <f>Мероприятия_и_источники!B493</f>
        <v>Реконструкция самотечного канализационного коллектора Д-200мм, керамика, протяженностью  500п.м, по ул. Ленина от д.8 до д. 22.</v>
      </c>
      <c r="C167" s="763"/>
      <c r="D167" s="445" t="str">
        <f>Мероприятия_и_источники!D493</f>
        <v>г.Калуга по ул. Ленина от д.8 до д. 22.</v>
      </c>
      <c r="E167" s="463"/>
      <c r="F167" s="796"/>
      <c r="G167" s="796">
        <f>Мероприятия_и_источники!I493</f>
        <v>0</v>
      </c>
      <c r="H167" s="796">
        <f>Мероприятия_и_источники!J493</f>
        <v>0</v>
      </c>
      <c r="I167" s="796">
        <f>Мероприятия_и_источники!K493</f>
        <v>0</v>
      </c>
      <c r="J167" s="796">
        <f>Мероприятия_и_источники!L493</f>
        <v>18196.955229838848</v>
      </c>
      <c r="K167" s="796">
        <f>Мероприятия_и_источники!M493</f>
        <v>0</v>
      </c>
      <c r="L167" s="785"/>
      <c r="M167" s="453"/>
    </row>
    <row r="168" spans="1:22" s="451" customFormat="1" ht="31.5" outlineLevel="1">
      <c r="A168" s="444" t="str">
        <f>Мероприятия_и_источники!A497</f>
        <v>4.7.</v>
      </c>
      <c r="B168" s="447" t="str">
        <f>Мероприятия_и_источники!B497</f>
        <v>Реконструкция самотечного коллектора на эстакаде  Д-300мм, сталь в д. Анненки, ул. Ипподромная  в районе КСШОР,  протяженностью  70 п.м.</v>
      </c>
      <c r="C168" s="763"/>
      <c r="D168" s="445" t="str">
        <f>Мероприятия_и_источники!D497</f>
        <v>г.Калуга  д. Анненки, ул. Ипподромная  в районе КСШОР</v>
      </c>
      <c r="E168" s="463"/>
      <c r="F168" s="796"/>
      <c r="G168" s="796">
        <f>Мероприятия_и_источники!I497</f>
        <v>697.18800410999995</v>
      </c>
      <c r="H168" s="796">
        <f>Мероприятия_и_источники!J497</f>
        <v>0</v>
      </c>
      <c r="I168" s="796">
        <f>Мероприятия_и_источники!K497</f>
        <v>0</v>
      </c>
      <c r="J168" s="796">
        <f>Мероприятия_и_источники!L497</f>
        <v>0</v>
      </c>
      <c r="K168" s="796">
        <f>Мероприятия_и_источники!M497</f>
        <v>0</v>
      </c>
      <c r="L168" s="785"/>
      <c r="M168" s="453"/>
    </row>
    <row r="169" spans="1:22" s="451" customFormat="1" ht="31.5" outlineLevel="1">
      <c r="A169" s="444" t="str">
        <f>Мероприятия_и_источники!A501</f>
        <v>4.8.</v>
      </c>
      <c r="B169" s="447" t="str">
        <f>Мероприятия_и_источники!B501</f>
        <v>Реконструкция самотечного канализационного коллектора  Д-150мм, кер., протяженностью 314 п.м, в д. Канищево от территории гаражей до КНС</v>
      </c>
      <c r="C169" s="763"/>
      <c r="D169" s="445" t="str">
        <f>Мероприятия_и_источники!D501</f>
        <v>г.Калуга,д.Канищево от территории гаражей до КНС</v>
      </c>
      <c r="E169" s="463"/>
      <c r="F169" s="796"/>
      <c r="G169" s="796">
        <f>Мероприятия_и_источники!I501</f>
        <v>0</v>
      </c>
      <c r="H169" s="796">
        <f>Мероприятия_и_источники!J501</f>
        <v>0</v>
      </c>
      <c r="I169" s="796">
        <f>Мероприятия_и_источники!K501</f>
        <v>0</v>
      </c>
      <c r="J169" s="796">
        <f>Мероприятия_и_источники!L501</f>
        <v>0</v>
      </c>
      <c r="K169" s="796">
        <f>Мероприятия_и_источники!M501</f>
        <v>5881.9695516445136</v>
      </c>
      <c r="L169" s="785"/>
      <c r="M169" s="453"/>
    </row>
    <row r="170" spans="1:22" s="451" customFormat="1" ht="31.5" outlineLevel="1">
      <c r="A170" s="444" t="str">
        <f>Мероприятия_и_источники!A505</f>
        <v>4.9.</v>
      </c>
      <c r="B170" s="447" t="str">
        <f>Мероприятия_и_источники!B505</f>
        <v xml:space="preserve">Реконструкция самотечного канализационного коллектора Д-250-500мм, ж/б, протяженностью 810 п.м, по ул. Степана Разина от д.57 до ул. Салтыкова - Щедрина </v>
      </c>
      <c r="C170" s="763"/>
      <c r="D170" s="445" t="str">
        <f>Мероприятия_и_источники!D505</f>
        <v xml:space="preserve">г.Калуга по ул. Степана Разина от д.57 до ул. Салтыкова - Щедрина </v>
      </c>
      <c r="E170" s="463"/>
      <c r="F170" s="796"/>
      <c r="G170" s="796">
        <f>Мероприятия_и_источники!I505</f>
        <v>0</v>
      </c>
      <c r="H170" s="796">
        <f>Мероприятия_и_источники!J505</f>
        <v>28080.684226672747</v>
      </c>
      <c r="I170" s="796">
        <f>Мероприятия_и_источники!K505</f>
        <v>33696.821072007297</v>
      </c>
      <c r="J170" s="796">
        <f>Мероприятия_и_источники!L505</f>
        <v>11232.273690669099</v>
      </c>
      <c r="K170" s="796">
        <f>Мероприятия_и_источники!M505</f>
        <v>1872.0456151115166</v>
      </c>
      <c r="L170" s="785"/>
      <c r="M170" s="453"/>
    </row>
    <row r="171" spans="1:22" s="451" customFormat="1" ht="31.5" outlineLevel="1">
      <c r="A171" s="444" t="str">
        <f>Мероприятия_и_источники!A509</f>
        <v>4.10.</v>
      </c>
      <c r="B171" s="447" t="str">
        <f>Мероприятия_и_источники!B509</f>
        <v>Реконструкция самотечного канализационного коллектора Д-500мм, кер., протяженностью 300 п.м, от ул. Ленина д.58  до ул. Веры Андриановой</v>
      </c>
      <c r="C171" s="763"/>
      <c r="D171" s="447" t="str">
        <f>Мероприятия_и_источники!D509</f>
        <v>г.Калуга от ул. Ленина д.58  до ул. Веры Андриановой</v>
      </c>
      <c r="E171" s="463"/>
      <c r="F171" s="796"/>
      <c r="G171" s="796">
        <f>Мероприятия_и_источники!I509</f>
        <v>7589.6467206299994</v>
      </c>
      <c r="H171" s="796">
        <f>Мероприятия_и_источники!J509</f>
        <v>0</v>
      </c>
      <c r="I171" s="796">
        <f>Мероприятия_и_источники!K509</f>
        <v>0</v>
      </c>
      <c r="J171" s="796">
        <f>Мероприятия_и_источники!L509</f>
        <v>0</v>
      </c>
      <c r="K171" s="796">
        <f>Мероприятия_и_источники!M509</f>
        <v>0</v>
      </c>
      <c r="L171" s="785"/>
      <c r="M171" s="453"/>
    </row>
    <row r="172" spans="1:22" s="451" customFormat="1" ht="31.5" outlineLevel="1">
      <c r="A172" s="444" t="str">
        <f>Мероприятия_и_источники!A513</f>
        <v>4.11.</v>
      </c>
      <c r="B172" s="447" t="str">
        <f>Мероприятия_и_источники!B513</f>
        <v>Реконструкция напорного коллектора, Д-100мм, сталь, протяженностью 420 п.м,  от КНС Канищево до площадки коттеджного поселка Швейцарская деревня</v>
      </c>
      <c r="C172" s="763"/>
      <c r="D172" s="445" t="str">
        <f>Мероприятия_и_источники!D513</f>
        <v>г.Калуга от КНС Канищево до площадки коттеджного поселка Швейцарская деревня</v>
      </c>
      <c r="E172" s="463"/>
      <c r="F172" s="796"/>
      <c r="G172" s="796">
        <f>Мероприятия_и_источники!I513</f>
        <v>5605.62548247</v>
      </c>
      <c r="H172" s="796">
        <f>Мероприятия_и_источники!J513</f>
        <v>0</v>
      </c>
      <c r="I172" s="796">
        <f>Мероприятия_и_источники!K513</f>
        <v>0</v>
      </c>
      <c r="J172" s="796">
        <f>Мероприятия_и_источники!L513</f>
        <v>0</v>
      </c>
      <c r="K172" s="796">
        <f>Мероприятия_и_источники!M513</f>
        <v>0</v>
      </c>
      <c r="L172" s="785"/>
      <c r="M172" s="453"/>
    </row>
    <row r="173" spans="1:22" s="451" customFormat="1" ht="31.5" outlineLevel="1">
      <c r="A173" s="444" t="str">
        <f>Мероприятия_и_источники!A517</f>
        <v>4.12.</v>
      </c>
      <c r="B173" s="447" t="str">
        <f>Мероприятия_и_источники!B517</f>
        <v>Реконструкция напорного коллектора, Д-200мм, сталь, протяженностью 3920 п.м,  от КНС "Шопино" №13 до камеры гашения в районе ул. Хорошая</v>
      </c>
      <c r="C173" s="763"/>
      <c r="D173" s="445" t="str">
        <f>Мероприятия_и_источники!D517</f>
        <v>г.Калуга от КНС "Шопино" №13 до камеры гашения в районе ул. Хорошая</v>
      </c>
      <c r="E173" s="463"/>
      <c r="F173" s="796"/>
      <c r="G173" s="796">
        <f>Мероприятия_и_источники!I517</f>
        <v>0</v>
      </c>
      <c r="H173" s="796">
        <f>Мероприятия_и_источники!J517</f>
        <v>0</v>
      </c>
      <c r="I173" s="796">
        <f>Мероприятия_и_источники!K517</f>
        <v>36967.51965181456</v>
      </c>
      <c r="J173" s="796">
        <f>Мероприятия_и_источники!L517</f>
        <v>36967.51965181456</v>
      </c>
      <c r="K173" s="796">
        <f>Мероприятия_и_источники!M517</f>
        <v>58091.816595708602</v>
      </c>
      <c r="L173" s="785"/>
      <c r="M173" s="453"/>
    </row>
    <row r="174" spans="1:22" s="451" customFormat="1" ht="48" customHeight="1" outlineLevel="1">
      <c r="A174" s="444" t="str">
        <f>Мероприятия_и_источники!A521</f>
        <v>4.13.</v>
      </c>
      <c r="B174" s="447" t="str">
        <f>Мероприятия_и_источники!B521</f>
        <v>Реконструкция напорного коллектора, Д-150мм, чугун, две нитки общей протяженностью 2800 п.м,  от КНС Аэропорт докамеры гашения</v>
      </c>
      <c r="C174" s="763"/>
      <c r="D174" s="447" t="str">
        <f>Мероприятия_и_источники!D521</f>
        <v>г.Калуга от КНС Аэропорт до камеры гашения</v>
      </c>
      <c r="E174" s="463"/>
      <c r="F174" s="796"/>
      <c r="G174" s="796">
        <f>Мероприятия_и_источники!I521</f>
        <v>0</v>
      </c>
      <c r="H174" s="796">
        <f>Мероприятия_и_источники!J521</f>
        <v>0</v>
      </c>
      <c r="I174" s="796">
        <f>Мероприятия_и_источники!K521</f>
        <v>29357.483509256497</v>
      </c>
      <c r="J174" s="796">
        <f>Мероприятия_и_источники!L521</f>
        <v>0</v>
      </c>
      <c r="K174" s="796">
        <f>Мероприятия_и_источники!M521</f>
        <v>0</v>
      </c>
      <c r="L174" s="785"/>
      <c r="M174" s="453"/>
    </row>
    <row r="175" spans="1:22" s="451" customFormat="1" outlineLevel="1">
      <c r="A175" s="444" t="str">
        <f>Мероприятия_и_источники!A525</f>
        <v>4.14.</v>
      </c>
      <c r="B175" s="447" t="str">
        <f>Мероприятия_и_источники!B525</f>
        <v>Реконструкция напорного коллектора, 2Д-250мм, чугун, протяженностью 454 п.м, от КНС "Подгорная" до камеры гашения.</v>
      </c>
      <c r="C175" s="447"/>
      <c r="D175" s="447" t="str">
        <f>Мероприятия_и_источники!D525</f>
        <v>г.Калуга от КНС "Подгорная" до камеры гашения.</v>
      </c>
      <c r="E175" s="463"/>
      <c r="F175" s="796"/>
      <c r="G175" s="796">
        <f>Мероприятия_и_источники!I525</f>
        <v>0</v>
      </c>
      <c r="H175" s="796">
        <f>Мероприятия_и_источники!J525</f>
        <v>0</v>
      </c>
      <c r="I175" s="796">
        <f>Мероприятия_и_источники!K525</f>
        <v>0</v>
      </c>
      <c r="J175" s="796">
        <f>Мероприятия_и_источники!L525</f>
        <v>0</v>
      </c>
      <c r="K175" s="796">
        <f>Мероприятия_и_источники!M525</f>
        <v>40124.852374263028</v>
      </c>
      <c r="L175" s="785"/>
      <c r="M175" s="453"/>
    </row>
    <row r="176" spans="1:22" s="451" customFormat="1" ht="31.5" outlineLevel="1">
      <c r="A176" s="444" t="str">
        <f>Мероприятия_и_источники!A529</f>
        <v>4.15.</v>
      </c>
      <c r="B176" s="447" t="str">
        <f>Мероприятия_и_источники!B529</f>
        <v>Реконструкция напорного коллектора Д-400мм, чугун по ул. Ипподромная (от КНС№7 до КНС№6) протяженностью 200 п.м.</v>
      </c>
      <c r="C176" s="447"/>
      <c r="D176" s="447" t="str">
        <f>Мероприятия_и_источники!D529</f>
        <v>г.Калуга ,ул.Ипподромная</v>
      </c>
      <c r="E176" s="463"/>
      <c r="F176" s="796"/>
      <c r="G176" s="796">
        <f>Мероприятия_и_источники!I529</f>
        <v>0</v>
      </c>
      <c r="H176" s="796">
        <f>Мероприятия_и_источники!J529</f>
        <v>0</v>
      </c>
      <c r="I176" s="796">
        <f>Мероприятия_и_источники!K529</f>
        <v>0</v>
      </c>
      <c r="J176" s="796">
        <f>Мероприятия_и_источники!L529</f>
        <v>0</v>
      </c>
      <c r="K176" s="796">
        <f>Мероприятия_и_источники!M529</f>
        <v>6954.692128667738</v>
      </c>
      <c r="L176" s="785"/>
      <c r="M176" s="453"/>
    </row>
    <row r="177" spans="1:22" s="451" customFormat="1" outlineLevel="1">
      <c r="A177" s="444" t="str">
        <f>Мероприятия_и_источники!A533</f>
        <v>4.16.</v>
      </c>
      <c r="B177" s="447" t="str">
        <f>Мероприятия_и_источники!B533</f>
        <v>Реконструкция коллектора Калуга-Бор (вдоль бора) протяженностью 294 п.м.</v>
      </c>
      <c r="C177" s="447"/>
      <c r="D177" s="447" t="str">
        <f>Мероприятия_и_источники!D533</f>
        <v>г.Калуга</v>
      </c>
      <c r="E177" s="463"/>
      <c r="F177" s="796"/>
      <c r="G177" s="796">
        <f>Мероприятия_и_источники!I533</f>
        <v>4410.3612547800003</v>
      </c>
      <c r="H177" s="796">
        <f>Мероприятия_и_источники!J533</f>
        <v>0</v>
      </c>
      <c r="I177" s="796">
        <f>Мероприятия_и_источники!K533</f>
        <v>0</v>
      </c>
      <c r="J177" s="796">
        <f>Мероприятия_и_источники!L533</f>
        <v>0</v>
      </c>
      <c r="K177" s="796">
        <f>Мероприятия_и_источники!M533</f>
        <v>0</v>
      </c>
      <c r="L177" s="785"/>
      <c r="M177" s="453"/>
    </row>
    <row r="178" spans="1:22" s="451" customFormat="1" outlineLevel="1">
      <c r="A178" s="461"/>
      <c r="B178" s="447"/>
      <c r="C178" s="765"/>
      <c r="D178" s="463"/>
      <c r="E178" s="463"/>
      <c r="F178" s="796"/>
      <c r="G178" s="796"/>
      <c r="H178" s="796"/>
      <c r="I178" s="796"/>
      <c r="J178" s="796"/>
      <c r="K178" s="796"/>
      <c r="L178" s="785"/>
      <c r="M178" s="453"/>
    </row>
    <row r="179" spans="1:22" s="451" customFormat="1">
      <c r="A179" s="483" t="str">
        <f>Мероприятия_и_источники!A537</f>
        <v>5</v>
      </c>
      <c r="B179" s="773" t="str">
        <f>Мероприятия_и_источники!B537</f>
        <v>Вывод из эксплуатации, консервация и демонтаж объектов централизованных систем водоотведения</v>
      </c>
      <c r="C179" s="773">
        <f>C180+C181</f>
        <v>0</v>
      </c>
      <c r="D179" s="773"/>
      <c r="E179" s="773"/>
      <c r="F179" s="802"/>
      <c r="G179" s="802"/>
      <c r="H179" s="802"/>
      <c r="I179" s="802"/>
      <c r="J179" s="802"/>
      <c r="K179" s="802"/>
      <c r="L179" s="484"/>
      <c r="M179" s="453"/>
    </row>
    <row r="180" spans="1:22" s="481" customFormat="1" ht="28.5" customHeight="1">
      <c r="A180" s="477" t="str">
        <f>Мероприятия_и_источники!A541</f>
        <v>5.1.</v>
      </c>
      <c r="B180" s="485" t="s">
        <v>46</v>
      </c>
      <c r="C180" s="769"/>
      <c r="D180" s="480"/>
      <c r="E180" s="480"/>
      <c r="F180" s="801"/>
      <c r="G180" s="801"/>
      <c r="H180" s="801"/>
      <c r="I180" s="801"/>
      <c r="J180" s="801"/>
      <c r="K180" s="801"/>
      <c r="L180" s="784"/>
      <c r="M180" s="480"/>
      <c r="N180" s="451"/>
      <c r="O180" s="451"/>
      <c r="P180" s="451"/>
      <c r="Q180" s="451"/>
      <c r="R180" s="451"/>
      <c r="S180" s="451"/>
      <c r="T180" s="451"/>
      <c r="U180" s="451"/>
      <c r="V180" s="451"/>
    </row>
    <row r="181" spans="1:22" s="481" customFormat="1" ht="31.5">
      <c r="A181" s="477" t="str">
        <f>Мероприятия_и_источники!A545</f>
        <v>5.2.</v>
      </c>
      <c r="B181" s="485" t="s">
        <v>47</v>
      </c>
      <c r="C181" s="769"/>
      <c r="D181" s="480"/>
      <c r="E181" s="480"/>
      <c r="F181" s="801"/>
      <c r="G181" s="801"/>
      <c r="H181" s="801"/>
      <c r="I181" s="801"/>
      <c r="J181" s="801"/>
      <c r="K181" s="801"/>
      <c r="L181" s="784"/>
      <c r="M181" s="480"/>
      <c r="N181" s="451"/>
      <c r="O181" s="451"/>
      <c r="P181" s="451"/>
      <c r="Q181" s="451"/>
      <c r="R181" s="451"/>
      <c r="S181" s="451"/>
      <c r="T181" s="451"/>
      <c r="U181" s="451"/>
      <c r="V181" s="451"/>
    </row>
    <row r="182" spans="1:22" s="405" customFormat="1" ht="89.25" customHeight="1">
      <c r="A182" s="486" t="str">
        <f>Мероприятия_и_источники!A549</f>
        <v>6</v>
      </c>
      <c r="B182" s="772" t="str">
        <f>Мероприятия_и_источники!B549</f>
        <v>Реализация мероприятий, предусматривающих капитальные вложения в объекты основных средств и нематериальные активы организации, обусловленные необходимостью соблюдения регулируемыми организациями обязательных требований, установленных законодательством Российской Федерации и связанных с обеспечением деятельности в сфере  водоотведения с использованием централизованных систем водоотведения</v>
      </c>
      <c r="C182" s="1181">
        <f>SUM(C183:C185,)</f>
        <v>3500</v>
      </c>
      <c r="D182" s="772"/>
      <c r="E182" s="772"/>
      <c r="F182" s="803"/>
      <c r="G182" s="1180">
        <f>SUM(G183:G185,)</f>
        <v>0</v>
      </c>
      <c r="H182" s="1180">
        <f>SUM(H183:H185)</f>
        <v>19607.874849388802</v>
      </c>
      <c r="I182" s="1180">
        <f>SUM(I183:I185)</f>
        <v>19607.874849388802</v>
      </c>
      <c r="J182" s="1180">
        <f>SUM(J183:J185)</f>
        <v>56398.659023374836</v>
      </c>
      <c r="K182" s="1180">
        <f>SUM(K183:K185)</f>
        <v>67794.993484454433</v>
      </c>
      <c r="L182" s="487"/>
      <c r="M182" s="488"/>
    </row>
    <row r="183" spans="1:22" ht="54" customHeight="1" outlineLevel="1">
      <c r="A183" s="489" t="str">
        <f>Мероприятия_и_источники!A553</f>
        <v>6.1.</v>
      </c>
      <c r="B183" s="490" t="str">
        <f>Мероприятия_и_источники!B553</f>
        <v>Корректировка Проектной документации на объект капитального строительства: «Строительство сетей водоотведения микрорайонов «Кошелев-проект, Ташир, кварталов № 5-19, 22, 23 в районе д. Верховая, д. Квань, г. Калуга»</v>
      </c>
      <c r="C183" s="492"/>
      <c r="D183" s="490" t="str">
        <f>Мероприятия_и_источники!D553</f>
        <v xml:space="preserve">г.Калуга, в районе д. Верховая, д. Квань </v>
      </c>
      <c r="E183" s="491"/>
      <c r="F183" s="1554"/>
      <c r="G183" s="449">
        <f>Мероприятия_и_источники!I553</f>
        <v>0</v>
      </c>
      <c r="H183" s="449">
        <f>Мероприятия_и_источники!J553</f>
        <v>19607.874849388802</v>
      </c>
      <c r="I183" s="449">
        <f>Мероприятия_и_источники!K553</f>
        <v>19607.874849388802</v>
      </c>
      <c r="J183" s="449">
        <f>Мероприятия_и_источники!L553</f>
        <v>0</v>
      </c>
      <c r="K183" s="449">
        <f>Мероприятия_и_источники!M553</f>
        <v>0</v>
      </c>
      <c r="L183" s="491"/>
    </row>
    <row r="184" spans="1:22" ht="31.5" outlineLevel="1">
      <c r="A184" s="489" t="str">
        <f>Мероприятия_и_источники!A557</f>
        <v>6.2.</v>
      </c>
      <c r="B184" s="490" t="str">
        <f>Мероприятия_и_источники!B557</f>
        <v>Строительство напорной линии канализации от КНС до камеры гашения (район развлекательного комплекса "Ёлки-палки")  протяженностью 1000 п.м., восстановление КНС</v>
      </c>
      <c r="C184" s="492">
        <f>Мероприятия_и_источники!C557</f>
        <v>1000</v>
      </c>
      <c r="D184" s="490" t="str">
        <f>Мероприятия_и_источники!D557</f>
        <v xml:space="preserve">г.Калуга ,район развлекательного комплекса "Ёлки - палки" </v>
      </c>
      <c r="E184" s="491"/>
      <c r="F184" s="1554"/>
      <c r="G184" s="449">
        <f>Мероприятия_и_источники!I557</f>
        <v>0</v>
      </c>
      <c r="H184" s="449">
        <f>Мероприятия_и_источники!J557</f>
        <v>0</v>
      </c>
      <c r="I184" s="449">
        <f>Мероприятия_и_источники!K557</f>
        <v>0</v>
      </c>
      <c r="J184" s="449">
        <f>Мероприятия_и_источники!L557</f>
        <v>54416.912320112686</v>
      </c>
      <c r="K184" s="449">
        <f>Мероприятия_и_источники!M557</f>
        <v>0</v>
      </c>
      <c r="L184" s="491"/>
      <c r="M184" s="493" t="e">
        <f>Мероприятия_и_источники!#REF!</f>
        <v>#REF!</v>
      </c>
    </row>
    <row r="185" spans="1:22" ht="37.5" customHeight="1" outlineLevel="1">
      <c r="A185" s="494" t="str">
        <f>Мероприятия_и_источники!A561</f>
        <v>6.3.</v>
      </c>
      <c r="B185" s="495" t="str">
        <f>Мероприятия_и_источники!B561</f>
        <v>Строительство напорной канализации в 2 нитки Ду200 до КНС "Росва" протяженностью 2500 п.м. (д. Яглово)</v>
      </c>
      <c r="C185" s="770">
        <f>Мероприятия_и_источники!C561</f>
        <v>2500</v>
      </c>
      <c r="D185" s="495" t="str">
        <f>Мероприятия_и_источники!D561</f>
        <v>г.Калуга, д. Яглово</v>
      </c>
      <c r="E185" s="496"/>
      <c r="F185" s="1555"/>
      <c r="G185" s="449">
        <f>Мероприятия_и_источники!I561</f>
        <v>0</v>
      </c>
      <c r="H185" s="449">
        <f>Мероприятия_и_источники!J561</f>
        <v>0</v>
      </c>
      <c r="I185" s="449">
        <f>Мероприятия_и_источники!K561</f>
        <v>0</v>
      </c>
      <c r="J185" s="449">
        <f>Мероприятия_и_источники!L561</f>
        <v>1981.746703262153</v>
      </c>
      <c r="K185" s="449">
        <f>Мероприятия_и_источники!M561</f>
        <v>67794.993484454433</v>
      </c>
      <c r="L185" s="496"/>
    </row>
    <row r="186" spans="1:22" s="405" customFormat="1" ht="31.5">
      <c r="A186" s="486">
        <v>7</v>
      </c>
      <c r="B186" s="772" t="s">
        <v>2199</v>
      </c>
      <c r="C186" s="1181"/>
      <c r="D186" s="772"/>
      <c r="E186" s="772"/>
      <c r="F186" s="803"/>
      <c r="G186" s="1552">
        <f>Мероприятия_и_источники!I565</f>
        <v>0</v>
      </c>
      <c r="H186" s="1552">
        <f>Мероприятия_и_источники!J565</f>
        <v>0</v>
      </c>
      <c r="I186" s="1552">
        <f>Мероприятия_и_источники!K565</f>
        <v>0</v>
      </c>
      <c r="J186" s="1552">
        <f>Мероприятия_и_источники!L565</f>
        <v>0</v>
      </c>
      <c r="K186" s="1552">
        <f>Мероприятия_и_источники!M565</f>
        <v>0</v>
      </c>
      <c r="L186" s="487"/>
      <c r="M186" s="488"/>
    </row>
    <row r="188" spans="1:22">
      <c r="C188" s="416">
        <f t="shared" ref="C188:K188" si="22">C11+C105</f>
        <v>48201.229999999996</v>
      </c>
      <c r="D188" s="416">
        <f t="shared" si="22"/>
        <v>0</v>
      </c>
      <c r="E188" s="416">
        <f t="shared" si="22"/>
        <v>0</v>
      </c>
      <c r="F188" s="416">
        <f t="shared" si="22"/>
        <v>22865.821799999998</v>
      </c>
      <c r="G188" s="416">
        <f t="shared" si="22"/>
        <v>365249.69156951574</v>
      </c>
      <c r="H188" s="416">
        <f t="shared" si="22"/>
        <v>820287.73565725656</v>
      </c>
      <c r="I188" s="416">
        <f t="shared" si="22"/>
        <v>532769.35118722101</v>
      </c>
      <c r="J188" s="416">
        <f t="shared" si="22"/>
        <v>691482.73598692194</v>
      </c>
      <c r="K188" s="416">
        <f t="shared" si="22"/>
        <v>907595.62101482158</v>
      </c>
      <c r="L188" s="804">
        <f>SUM(G188:K188)</f>
        <v>3317385.1354157366</v>
      </c>
    </row>
    <row r="189" spans="1:22">
      <c r="C189" s="774">
        <f>Мероприятия_и_источники!C569</f>
        <v>48201.229999999996</v>
      </c>
      <c r="F189" s="416">
        <f>Мероприятия_и_источники!F569</f>
        <v>22865.821799999998</v>
      </c>
      <c r="G189" s="417">
        <f>Мероприятия_и_источники!I569</f>
        <v>365249.69156951574</v>
      </c>
      <c r="H189" s="417">
        <f>Мероприятия_и_источники!J569</f>
        <v>820287.73565725656</v>
      </c>
      <c r="I189" s="417">
        <f>Мероприятия_и_источники!K569</f>
        <v>532769.35118722101</v>
      </c>
      <c r="J189" s="417">
        <f>Мероприятия_и_источники!L569</f>
        <v>728397.47004162113</v>
      </c>
      <c r="K189" s="417">
        <f>Мероприятия_и_источники!M569</f>
        <v>907595.62101482158</v>
      </c>
    </row>
    <row r="190" spans="1:22">
      <c r="C190" s="416">
        <f>C188-C189</f>
        <v>0</v>
      </c>
      <c r="D190" s="416">
        <f t="shared" ref="D190:K190" si="23">D188-D189</f>
        <v>0</v>
      </c>
      <c r="E190" s="416" t="s">
        <v>1085</v>
      </c>
      <c r="F190" s="416">
        <f t="shared" si="23"/>
        <v>0</v>
      </c>
      <c r="G190" s="416">
        <f t="shared" si="23"/>
        <v>0</v>
      </c>
      <c r="H190" s="416">
        <f t="shared" si="23"/>
        <v>0</v>
      </c>
      <c r="I190" s="416">
        <f t="shared" si="23"/>
        <v>0</v>
      </c>
      <c r="J190" s="416">
        <f t="shared" si="23"/>
        <v>-36914.734054699191</v>
      </c>
      <c r="K190" s="416">
        <f t="shared" si="23"/>
        <v>0</v>
      </c>
    </row>
  </sheetData>
  <autoFilter ref="E1:E190"/>
  <mergeCells count="1">
    <mergeCell ref="G9:K9"/>
  </mergeCells>
  <pageMargins left="0.25" right="0.25" top="0.75" bottom="0.75" header="0.3" footer="0.3"/>
  <pageSetup paperSize="9" scale="36" fitToHeight="0" orientation="landscape" r:id="rId1"/>
  <rowBreaks count="1" manualBreakCount="1">
    <brk id="29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AO76"/>
  <sheetViews>
    <sheetView view="pageBreakPreview" zoomScale="60" zoomScaleNormal="70" workbookViewId="0">
      <pane ySplit="4" topLeftCell="A5" activePane="bottomLeft" state="frozen"/>
      <selection pane="bottomLeft" activeCell="P10" sqref="P10"/>
    </sheetView>
  </sheetViews>
  <sheetFormatPr defaultRowHeight="15.75" outlineLevelCol="1"/>
  <cols>
    <col min="1" max="1" width="8.140625" style="498" customWidth="1"/>
    <col min="2" max="2" width="53.7109375" style="499" customWidth="1"/>
    <col min="3" max="3" width="41.28515625" style="500" hidden="1" customWidth="1"/>
    <col min="4" max="4" width="12" style="498" customWidth="1"/>
    <col min="5" max="5" width="13.5703125" style="498" customWidth="1"/>
    <col min="6" max="6" width="12.28515625" style="498" hidden="1" customWidth="1"/>
    <col min="7" max="7" width="14.5703125" style="498" customWidth="1"/>
    <col min="8" max="8" width="18.140625" style="498" customWidth="1"/>
    <col min="9" max="9" width="26.28515625" style="498" bestFit="1" customWidth="1"/>
    <col min="10" max="10" width="22.7109375" style="498" customWidth="1"/>
    <col min="11" max="11" width="25.85546875" style="501" customWidth="1"/>
    <col min="12" max="12" width="18.85546875" style="498" hidden="1" customWidth="1"/>
    <col min="13" max="13" width="18.28515625" style="498" hidden="1" customWidth="1"/>
    <col min="14" max="14" width="20.42578125" style="498" bestFit="1" customWidth="1"/>
    <col min="15" max="15" width="21.5703125" style="498" bestFit="1" customWidth="1"/>
    <col min="16" max="16" width="19.7109375" style="498" customWidth="1"/>
    <col min="17" max="17" width="20.140625" style="498" bestFit="1" customWidth="1"/>
    <col min="18" max="18" width="21.5703125" style="498" bestFit="1" customWidth="1"/>
    <col min="19" max="23" width="14.42578125" style="498" hidden="1" customWidth="1" outlineLevel="1"/>
    <col min="24" max="24" width="17.42578125" style="498" customWidth="1" collapsed="1"/>
    <col min="25" max="25" width="103.140625" style="1173" customWidth="1"/>
    <col min="26" max="41" width="9.140625" style="522"/>
    <col min="42" max="241" width="9.140625" style="498"/>
    <col min="242" max="242" width="4.85546875" style="498" customWidth="1"/>
    <col min="243" max="243" width="11" style="498" customWidth="1"/>
    <col min="244" max="244" width="41.28515625" style="498" customWidth="1"/>
    <col min="245" max="245" width="21" style="498" customWidth="1"/>
    <col min="246" max="246" width="21.85546875" style="498" customWidth="1"/>
    <col min="247" max="247" width="21.5703125" style="498" customWidth="1"/>
    <col min="248" max="248" width="25.7109375" style="498" customWidth="1"/>
    <col min="249" max="249" width="20.5703125" style="498" customWidth="1"/>
    <col min="250" max="253" width="25.7109375" style="498" customWidth="1"/>
    <col min="254" max="497" width="9.140625" style="498"/>
    <col min="498" max="498" width="4.85546875" style="498" customWidth="1"/>
    <col min="499" max="499" width="11" style="498" customWidth="1"/>
    <col min="500" max="500" width="41.28515625" style="498" customWidth="1"/>
    <col min="501" max="501" width="21" style="498" customWidth="1"/>
    <col min="502" max="502" width="21.85546875" style="498" customWidth="1"/>
    <col min="503" max="503" width="21.5703125" style="498" customWidth="1"/>
    <col min="504" max="504" width="25.7109375" style="498" customWidth="1"/>
    <col min="505" max="505" width="20.5703125" style="498" customWidth="1"/>
    <col min="506" max="509" width="25.7109375" style="498" customWidth="1"/>
    <col min="510" max="753" width="9.140625" style="498"/>
    <col min="754" max="754" width="4.85546875" style="498" customWidth="1"/>
    <col min="755" max="755" width="11" style="498" customWidth="1"/>
    <col min="756" max="756" width="41.28515625" style="498" customWidth="1"/>
    <col min="757" max="757" width="21" style="498" customWidth="1"/>
    <col min="758" max="758" width="21.85546875" style="498" customWidth="1"/>
    <col min="759" max="759" width="21.5703125" style="498" customWidth="1"/>
    <col min="760" max="760" width="25.7109375" style="498" customWidth="1"/>
    <col min="761" max="761" width="20.5703125" style="498" customWidth="1"/>
    <col min="762" max="765" width="25.7109375" style="498" customWidth="1"/>
    <col min="766" max="1009" width="9.140625" style="498"/>
    <col min="1010" max="1010" width="4.85546875" style="498" customWidth="1"/>
    <col min="1011" max="1011" width="11" style="498" customWidth="1"/>
    <col min="1012" max="1012" width="41.28515625" style="498" customWidth="1"/>
    <col min="1013" max="1013" width="21" style="498" customWidth="1"/>
    <col min="1014" max="1014" width="21.85546875" style="498" customWidth="1"/>
    <col min="1015" max="1015" width="21.5703125" style="498" customWidth="1"/>
    <col min="1016" max="1016" width="25.7109375" style="498" customWidth="1"/>
    <col min="1017" max="1017" width="20.5703125" style="498" customWidth="1"/>
    <col min="1018" max="1021" width="25.7109375" style="498" customWidth="1"/>
    <col min="1022" max="1265" width="9.140625" style="498"/>
    <col min="1266" max="1266" width="4.85546875" style="498" customWidth="1"/>
    <col min="1267" max="1267" width="11" style="498" customWidth="1"/>
    <col min="1268" max="1268" width="41.28515625" style="498" customWidth="1"/>
    <col min="1269" max="1269" width="21" style="498" customWidth="1"/>
    <col min="1270" max="1270" width="21.85546875" style="498" customWidth="1"/>
    <col min="1271" max="1271" width="21.5703125" style="498" customWidth="1"/>
    <col min="1272" max="1272" width="25.7109375" style="498" customWidth="1"/>
    <col min="1273" max="1273" width="20.5703125" style="498" customWidth="1"/>
    <col min="1274" max="1277" width="25.7109375" style="498" customWidth="1"/>
    <col min="1278" max="1521" width="9.140625" style="498"/>
    <col min="1522" max="1522" width="4.85546875" style="498" customWidth="1"/>
    <col min="1523" max="1523" width="11" style="498" customWidth="1"/>
    <col min="1524" max="1524" width="41.28515625" style="498" customWidth="1"/>
    <col min="1525" max="1525" width="21" style="498" customWidth="1"/>
    <col min="1526" max="1526" width="21.85546875" style="498" customWidth="1"/>
    <col min="1527" max="1527" width="21.5703125" style="498" customWidth="1"/>
    <col min="1528" max="1528" width="25.7109375" style="498" customWidth="1"/>
    <col min="1529" max="1529" width="20.5703125" style="498" customWidth="1"/>
    <col min="1530" max="1533" width="25.7109375" style="498" customWidth="1"/>
    <col min="1534" max="1777" width="9.140625" style="498"/>
    <col min="1778" max="1778" width="4.85546875" style="498" customWidth="1"/>
    <col min="1779" max="1779" width="11" style="498" customWidth="1"/>
    <col min="1780" max="1780" width="41.28515625" style="498" customWidth="1"/>
    <col min="1781" max="1781" width="21" style="498" customWidth="1"/>
    <col min="1782" max="1782" width="21.85546875" style="498" customWidth="1"/>
    <col min="1783" max="1783" width="21.5703125" style="498" customWidth="1"/>
    <col min="1784" max="1784" width="25.7109375" style="498" customWidth="1"/>
    <col min="1785" max="1785" width="20.5703125" style="498" customWidth="1"/>
    <col min="1786" max="1789" width="25.7109375" style="498" customWidth="1"/>
    <col min="1790" max="2033" width="9.140625" style="498"/>
    <col min="2034" max="2034" width="4.85546875" style="498" customWidth="1"/>
    <col min="2035" max="2035" width="11" style="498" customWidth="1"/>
    <col min="2036" max="2036" width="41.28515625" style="498" customWidth="1"/>
    <col min="2037" max="2037" width="21" style="498" customWidth="1"/>
    <col min="2038" max="2038" width="21.85546875" style="498" customWidth="1"/>
    <col min="2039" max="2039" width="21.5703125" style="498" customWidth="1"/>
    <col min="2040" max="2040" width="25.7109375" style="498" customWidth="1"/>
    <col min="2041" max="2041" width="20.5703125" style="498" customWidth="1"/>
    <col min="2042" max="2045" width="25.7109375" style="498" customWidth="1"/>
    <col min="2046" max="2289" width="9.140625" style="498"/>
    <col min="2290" max="2290" width="4.85546875" style="498" customWidth="1"/>
    <col min="2291" max="2291" width="11" style="498" customWidth="1"/>
    <col min="2292" max="2292" width="41.28515625" style="498" customWidth="1"/>
    <col min="2293" max="2293" width="21" style="498" customWidth="1"/>
    <col min="2294" max="2294" width="21.85546875" style="498" customWidth="1"/>
    <col min="2295" max="2295" width="21.5703125" style="498" customWidth="1"/>
    <col min="2296" max="2296" width="25.7109375" style="498" customWidth="1"/>
    <col min="2297" max="2297" width="20.5703125" style="498" customWidth="1"/>
    <col min="2298" max="2301" width="25.7109375" style="498" customWidth="1"/>
    <col min="2302" max="2545" width="9.140625" style="498"/>
    <col min="2546" max="2546" width="4.85546875" style="498" customWidth="1"/>
    <col min="2547" max="2547" width="11" style="498" customWidth="1"/>
    <col min="2548" max="2548" width="41.28515625" style="498" customWidth="1"/>
    <col min="2549" max="2549" width="21" style="498" customWidth="1"/>
    <col min="2550" max="2550" width="21.85546875" style="498" customWidth="1"/>
    <col min="2551" max="2551" width="21.5703125" style="498" customWidth="1"/>
    <col min="2552" max="2552" width="25.7109375" style="498" customWidth="1"/>
    <col min="2553" max="2553" width="20.5703125" style="498" customWidth="1"/>
    <col min="2554" max="2557" width="25.7109375" style="498" customWidth="1"/>
    <col min="2558" max="2801" width="9.140625" style="498"/>
    <col min="2802" max="2802" width="4.85546875" style="498" customWidth="1"/>
    <col min="2803" max="2803" width="11" style="498" customWidth="1"/>
    <col min="2804" max="2804" width="41.28515625" style="498" customWidth="1"/>
    <col min="2805" max="2805" width="21" style="498" customWidth="1"/>
    <col min="2806" max="2806" width="21.85546875" style="498" customWidth="1"/>
    <col min="2807" max="2807" width="21.5703125" style="498" customWidth="1"/>
    <col min="2808" max="2808" width="25.7109375" style="498" customWidth="1"/>
    <col min="2809" max="2809" width="20.5703125" style="498" customWidth="1"/>
    <col min="2810" max="2813" width="25.7109375" style="498" customWidth="1"/>
    <col min="2814" max="3057" width="9.140625" style="498"/>
    <col min="3058" max="3058" width="4.85546875" style="498" customWidth="1"/>
    <col min="3059" max="3059" width="11" style="498" customWidth="1"/>
    <col min="3060" max="3060" width="41.28515625" style="498" customWidth="1"/>
    <col min="3061" max="3061" width="21" style="498" customWidth="1"/>
    <col min="3062" max="3062" width="21.85546875" style="498" customWidth="1"/>
    <col min="3063" max="3063" width="21.5703125" style="498" customWidth="1"/>
    <col min="3064" max="3064" width="25.7109375" style="498" customWidth="1"/>
    <col min="3065" max="3065" width="20.5703125" style="498" customWidth="1"/>
    <col min="3066" max="3069" width="25.7109375" style="498" customWidth="1"/>
    <col min="3070" max="3313" width="9.140625" style="498"/>
    <col min="3314" max="3314" width="4.85546875" style="498" customWidth="1"/>
    <col min="3315" max="3315" width="11" style="498" customWidth="1"/>
    <col min="3316" max="3316" width="41.28515625" style="498" customWidth="1"/>
    <col min="3317" max="3317" width="21" style="498" customWidth="1"/>
    <col min="3318" max="3318" width="21.85546875" style="498" customWidth="1"/>
    <col min="3319" max="3319" width="21.5703125" style="498" customWidth="1"/>
    <col min="3320" max="3320" width="25.7109375" style="498" customWidth="1"/>
    <col min="3321" max="3321" width="20.5703125" style="498" customWidth="1"/>
    <col min="3322" max="3325" width="25.7109375" style="498" customWidth="1"/>
    <col min="3326" max="3569" width="9.140625" style="498"/>
    <col min="3570" max="3570" width="4.85546875" style="498" customWidth="1"/>
    <col min="3571" max="3571" width="11" style="498" customWidth="1"/>
    <col min="3572" max="3572" width="41.28515625" style="498" customWidth="1"/>
    <col min="3573" max="3573" width="21" style="498" customWidth="1"/>
    <col min="3574" max="3574" width="21.85546875" style="498" customWidth="1"/>
    <col min="3575" max="3575" width="21.5703125" style="498" customWidth="1"/>
    <col min="3576" max="3576" width="25.7109375" style="498" customWidth="1"/>
    <col min="3577" max="3577" width="20.5703125" style="498" customWidth="1"/>
    <col min="3578" max="3581" width="25.7109375" style="498" customWidth="1"/>
    <col min="3582" max="3825" width="9.140625" style="498"/>
    <col min="3826" max="3826" width="4.85546875" style="498" customWidth="1"/>
    <col min="3827" max="3827" width="11" style="498" customWidth="1"/>
    <col min="3828" max="3828" width="41.28515625" style="498" customWidth="1"/>
    <col min="3829" max="3829" width="21" style="498" customWidth="1"/>
    <col min="3830" max="3830" width="21.85546875" style="498" customWidth="1"/>
    <col min="3831" max="3831" width="21.5703125" style="498" customWidth="1"/>
    <col min="3832" max="3832" width="25.7109375" style="498" customWidth="1"/>
    <col min="3833" max="3833" width="20.5703125" style="498" customWidth="1"/>
    <col min="3834" max="3837" width="25.7109375" style="498" customWidth="1"/>
    <col min="3838" max="4081" width="9.140625" style="498"/>
    <col min="4082" max="4082" width="4.85546875" style="498" customWidth="1"/>
    <col min="4083" max="4083" width="11" style="498" customWidth="1"/>
    <col min="4084" max="4084" width="41.28515625" style="498" customWidth="1"/>
    <col min="4085" max="4085" width="21" style="498" customWidth="1"/>
    <col min="4086" max="4086" width="21.85546875" style="498" customWidth="1"/>
    <col min="4087" max="4087" width="21.5703125" style="498" customWidth="1"/>
    <col min="4088" max="4088" width="25.7109375" style="498" customWidth="1"/>
    <col min="4089" max="4089" width="20.5703125" style="498" customWidth="1"/>
    <col min="4090" max="4093" width="25.7109375" style="498" customWidth="1"/>
    <col min="4094" max="4337" width="9.140625" style="498"/>
    <col min="4338" max="4338" width="4.85546875" style="498" customWidth="1"/>
    <col min="4339" max="4339" width="11" style="498" customWidth="1"/>
    <col min="4340" max="4340" width="41.28515625" style="498" customWidth="1"/>
    <col min="4341" max="4341" width="21" style="498" customWidth="1"/>
    <col min="4342" max="4342" width="21.85546875" style="498" customWidth="1"/>
    <col min="4343" max="4343" width="21.5703125" style="498" customWidth="1"/>
    <col min="4344" max="4344" width="25.7109375" style="498" customWidth="1"/>
    <col min="4345" max="4345" width="20.5703125" style="498" customWidth="1"/>
    <col min="4346" max="4349" width="25.7109375" style="498" customWidth="1"/>
    <col min="4350" max="4593" width="9.140625" style="498"/>
    <col min="4594" max="4594" width="4.85546875" style="498" customWidth="1"/>
    <col min="4595" max="4595" width="11" style="498" customWidth="1"/>
    <col min="4596" max="4596" width="41.28515625" style="498" customWidth="1"/>
    <col min="4597" max="4597" width="21" style="498" customWidth="1"/>
    <col min="4598" max="4598" width="21.85546875" style="498" customWidth="1"/>
    <col min="4599" max="4599" width="21.5703125" style="498" customWidth="1"/>
    <col min="4600" max="4600" width="25.7109375" style="498" customWidth="1"/>
    <col min="4601" max="4601" width="20.5703125" style="498" customWidth="1"/>
    <col min="4602" max="4605" width="25.7109375" style="498" customWidth="1"/>
    <col min="4606" max="4849" width="9.140625" style="498"/>
    <col min="4850" max="4850" width="4.85546875" style="498" customWidth="1"/>
    <col min="4851" max="4851" width="11" style="498" customWidth="1"/>
    <col min="4852" max="4852" width="41.28515625" style="498" customWidth="1"/>
    <col min="4853" max="4853" width="21" style="498" customWidth="1"/>
    <col min="4854" max="4854" width="21.85546875" style="498" customWidth="1"/>
    <col min="4855" max="4855" width="21.5703125" style="498" customWidth="1"/>
    <col min="4856" max="4856" width="25.7109375" style="498" customWidth="1"/>
    <col min="4857" max="4857" width="20.5703125" style="498" customWidth="1"/>
    <col min="4858" max="4861" width="25.7109375" style="498" customWidth="1"/>
    <col min="4862" max="5105" width="9.140625" style="498"/>
    <col min="5106" max="5106" width="4.85546875" style="498" customWidth="1"/>
    <col min="5107" max="5107" width="11" style="498" customWidth="1"/>
    <col min="5108" max="5108" width="41.28515625" style="498" customWidth="1"/>
    <col min="5109" max="5109" width="21" style="498" customWidth="1"/>
    <col min="5110" max="5110" width="21.85546875" style="498" customWidth="1"/>
    <col min="5111" max="5111" width="21.5703125" style="498" customWidth="1"/>
    <col min="5112" max="5112" width="25.7109375" style="498" customWidth="1"/>
    <col min="5113" max="5113" width="20.5703125" style="498" customWidth="1"/>
    <col min="5114" max="5117" width="25.7109375" style="498" customWidth="1"/>
    <col min="5118" max="5361" width="9.140625" style="498"/>
    <col min="5362" max="5362" width="4.85546875" style="498" customWidth="1"/>
    <col min="5363" max="5363" width="11" style="498" customWidth="1"/>
    <col min="5364" max="5364" width="41.28515625" style="498" customWidth="1"/>
    <col min="5365" max="5365" width="21" style="498" customWidth="1"/>
    <col min="5366" max="5366" width="21.85546875" style="498" customWidth="1"/>
    <col min="5367" max="5367" width="21.5703125" style="498" customWidth="1"/>
    <col min="5368" max="5368" width="25.7109375" style="498" customWidth="1"/>
    <col min="5369" max="5369" width="20.5703125" style="498" customWidth="1"/>
    <col min="5370" max="5373" width="25.7109375" style="498" customWidth="1"/>
    <col min="5374" max="5617" width="9.140625" style="498"/>
    <col min="5618" max="5618" width="4.85546875" style="498" customWidth="1"/>
    <col min="5619" max="5619" width="11" style="498" customWidth="1"/>
    <col min="5620" max="5620" width="41.28515625" style="498" customWidth="1"/>
    <col min="5621" max="5621" width="21" style="498" customWidth="1"/>
    <col min="5622" max="5622" width="21.85546875" style="498" customWidth="1"/>
    <col min="5623" max="5623" width="21.5703125" style="498" customWidth="1"/>
    <col min="5624" max="5624" width="25.7109375" style="498" customWidth="1"/>
    <col min="5625" max="5625" width="20.5703125" style="498" customWidth="1"/>
    <col min="5626" max="5629" width="25.7109375" style="498" customWidth="1"/>
    <col min="5630" max="5873" width="9.140625" style="498"/>
    <col min="5874" max="5874" width="4.85546875" style="498" customWidth="1"/>
    <col min="5875" max="5875" width="11" style="498" customWidth="1"/>
    <col min="5876" max="5876" width="41.28515625" style="498" customWidth="1"/>
    <col min="5877" max="5877" width="21" style="498" customWidth="1"/>
    <col min="5878" max="5878" width="21.85546875" style="498" customWidth="1"/>
    <col min="5879" max="5879" width="21.5703125" style="498" customWidth="1"/>
    <col min="5880" max="5880" width="25.7109375" style="498" customWidth="1"/>
    <col min="5881" max="5881" width="20.5703125" style="498" customWidth="1"/>
    <col min="5882" max="5885" width="25.7109375" style="498" customWidth="1"/>
    <col min="5886" max="6129" width="9.140625" style="498"/>
    <col min="6130" max="6130" width="4.85546875" style="498" customWidth="1"/>
    <col min="6131" max="6131" width="11" style="498" customWidth="1"/>
    <col min="6132" max="6132" width="41.28515625" style="498" customWidth="1"/>
    <col min="6133" max="6133" width="21" style="498" customWidth="1"/>
    <col min="6134" max="6134" width="21.85546875" style="498" customWidth="1"/>
    <col min="6135" max="6135" width="21.5703125" style="498" customWidth="1"/>
    <col min="6136" max="6136" width="25.7109375" style="498" customWidth="1"/>
    <col min="6137" max="6137" width="20.5703125" style="498" customWidth="1"/>
    <col min="6138" max="6141" width="25.7109375" style="498" customWidth="1"/>
    <col min="6142" max="6385" width="9.140625" style="498"/>
    <col min="6386" max="6386" width="4.85546875" style="498" customWidth="1"/>
    <col min="6387" max="6387" width="11" style="498" customWidth="1"/>
    <col min="6388" max="6388" width="41.28515625" style="498" customWidth="1"/>
    <col min="6389" max="6389" width="21" style="498" customWidth="1"/>
    <col min="6390" max="6390" width="21.85546875" style="498" customWidth="1"/>
    <col min="6391" max="6391" width="21.5703125" style="498" customWidth="1"/>
    <col min="6392" max="6392" width="25.7109375" style="498" customWidth="1"/>
    <col min="6393" max="6393" width="20.5703125" style="498" customWidth="1"/>
    <col min="6394" max="6397" width="25.7109375" style="498" customWidth="1"/>
    <col min="6398" max="6641" width="9.140625" style="498"/>
    <col min="6642" max="6642" width="4.85546875" style="498" customWidth="1"/>
    <col min="6643" max="6643" width="11" style="498" customWidth="1"/>
    <col min="6644" max="6644" width="41.28515625" style="498" customWidth="1"/>
    <col min="6645" max="6645" width="21" style="498" customWidth="1"/>
    <col min="6646" max="6646" width="21.85546875" style="498" customWidth="1"/>
    <col min="6647" max="6647" width="21.5703125" style="498" customWidth="1"/>
    <col min="6648" max="6648" width="25.7109375" style="498" customWidth="1"/>
    <col min="6649" max="6649" width="20.5703125" style="498" customWidth="1"/>
    <col min="6650" max="6653" width="25.7109375" style="498" customWidth="1"/>
    <col min="6654" max="6897" width="9.140625" style="498"/>
    <col min="6898" max="6898" width="4.85546875" style="498" customWidth="1"/>
    <col min="6899" max="6899" width="11" style="498" customWidth="1"/>
    <col min="6900" max="6900" width="41.28515625" style="498" customWidth="1"/>
    <col min="6901" max="6901" width="21" style="498" customWidth="1"/>
    <col min="6902" max="6902" width="21.85546875" style="498" customWidth="1"/>
    <col min="6903" max="6903" width="21.5703125" style="498" customWidth="1"/>
    <col min="6904" max="6904" width="25.7109375" style="498" customWidth="1"/>
    <col min="6905" max="6905" width="20.5703125" style="498" customWidth="1"/>
    <col min="6906" max="6909" width="25.7109375" style="498" customWidth="1"/>
    <col min="6910" max="7153" width="9.140625" style="498"/>
    <col min="7154" max="7154" width="4.85546875" style="498" customWidth="1"/>
    <col min="7155" max="7155" width="11" style="498" customWidth="1"/>
    <col min="7156" max="7156" width="41.28515625" style="498" customWidth="1"/>
    <col min="7157" max="7157" width="21" style="498" customWidth="1"/>
    <col min="7158" max="7158" width="21.85546875" style="498" customWidth="1"/>
    <col min="7159" max="7159" width="21.5703125" style="498" customWidth="1"/>
    <col min="7160" max="7160" width="25.7109375" style="498" customWidth="1"/>
    <col min="7161" max="7161" width="20.5703125" style="498" customWidth="1"/>
    <col min="7162" max="7165" width="25.7109375" style="498" customWidth="1"/>
    <col min="7166" max="7409" width="9.140625" style="498"/>
    <col min="7410" max="7410" width="4.85546875" style="498" customWidth="1"/>
    <col min="7411" max="7411" width="11" style="498" customWidth="1"/>
    <col min="7412" max="7412" width="41.28515625" style="498" customWidth="1"/>
    <col min="7413" max="7413" width="21" style="498" customWidth="1"/>
    <col min="7414" max="7414" width="21.85546875" style="498" customWidth="1"/>
    <col min="7415" max="7415" width="21.5703125" style="498" customWidth="1"/>
    <col min="7416" max="7416" width="25.7109375" style="498" customWidth="1"/>
    <col min="7417" max="7417" width="20.5703125" style="498" customWidth="1"/>
    <col min="7418" max="7421" width="25.7109375" style="498" customWidth="1"/>
    <col min="7422" max="7665" width="9.140625" style="498"/>
    <col min="7666" max="7666" width="4.85546875" style="498" customWidth="1"/>
    <col min="7667" max="7667" width="11" style="498" customWidth="1"/>
    <col min="7668" max="7668" width="41.28515625" style="498" customWidth="1"/>
    <col min="7669" max="7669" width="21" style="498" customWidth="1"/>
    <col min="7670" max="7670" width="21.85546875" style="498" customWidth="1"/>
    <col min="7671" max="7671" width="21.5703125" style="498" customWidth="1"/>
    <col min="7672" max="7672" width="25.7109375" style="498" customWidth="1"/>
    <col min="7673" max="7673" width="20.5703125" style="498" customWidth="1"/>
    <col min="7674" max="7677" width="25.7109375" style="498" customWidth="1"/>
    <col min="7678" max="7921" width="9.140625" style="498"/>
    <col min="7922" max="7922" width="4.85546875" style="498" customWidth="1"/>
    <col min="7923" max="7923" width="11" style="498" customWidth="1"/>
    <col min="7924" max="7924" width="41.28515625" style="498" customWidth="1"/>
    <col min="7925" max="7925" width="21" style="498" customWidth="1"/>
    <col min="7926" max="7926" width="21.85546875" style="498" customWidth="1"/>
    <col min="7927" max="7927" width="21.5703125" style="498" customWidth="1"/>
    <col min="7928" max="7928" width="25.7109375" style="498" customWidth="1"/>
    <col min="7929" max="7929" width="20.5703125" style="498" customWidth="1"/>
    <col min="7930" max="7933" width="25.7109375" style="498" customWidth="1"/>
    <col min="7934" max="8177" width="9.140625" style="498"/>
    <col min="8178" max="8178" width="4.85546875" style="498" customWidth="1"/>
    <col min="8179" max="8179" width="11" style="498" customWidth="1"/>
    <col min="8180" max="8180" width="41.28515625" style="498" customWidth="1"/>
    <col min="8181" max="8181" width="21" style="498" customWidth="1"/>
    <col min="8182" max="8182" width="21.85546875" style="498" customWidth="1"/>
    <col min="8183" max="8183" width="21.5703125" style="498" customWidth="1"/>
    <col min="8184" max="8184" width="25.7109375" style="498" customWidth="1"/>
    <col min="8185" max="8185" width="20.5703125" style="498" customWidth="1"/>
    <col min="8186" max="8189" width="25.7109375" style="498" customWidth="1"/>
    <col min="8190" max="8433" width="9.140625" style="498"/>
    <col min="8434" max="8434" width="4.85546875" style="498" customWidth="1"/>
    <col min="8435" max="8435" width="11" style="498" customWidth="1"/>
    <col min="8436" max="8436" width="41.28515625" style="498" customWidth="1"/>
    <col min="8437" max="8437" width="21" style="498" customWidth="1"/>
    <col min="8438" max="8438" width="21.85546875" style="498" customWidth="1"/>
    <col min="8439" max="8439" width="21.5703125" style="498" customWidth="1"/>
    <col min="8440" max="8440" width="25.7109375" style="498" customWidth="1"/>
    <col min="8441" max="8441" width="20.5703125" style="498" customWidth="1"/>
    <col min="8442" max="8445" width="25.7109375" style="498" customWidth="1"/>
    <col min="8446" max="8689" width="9.140625" style="498"/>
    <col min="8690" max="8690" width="4.85546875" style="498" customWidth="1"/>
    <col min="8691" max="8691" width="11" style="498" customWidth="1"/>
    <col min="8692" max="8692" width="41.28515625" style="498" customWidth="1"/>
    <col min="8693" max="8693" width="21" style="498" customWidth="1"/>
    <col min="8694" max="8694" width="21.85546875" style="498" customWidth="1"/>
    <col min="8695" max="8695" width="21.5703125" style="498" customWidth="1"/>
    <col min="8696" max="8696" width="25.7109375" style="498" customWidth="1"/>
    <col min="8697" max="8697" width="20.5703125" style="498" customWidth="1"/>
    <col min="8698" max="8701" width="25.7109375" style="498" customWidth="1"/>
    <col min="8702" max="8945" width="9.140625" style="498"/>
    <col min="8946" max="8946" width="4.85546875" style="498" customWidth="1"/>
    <col min="8947" max="8947" width="11" style="498" customWidth="1"/>
    <col min="8948" max="8948" width="41.28515625" style="498" customWidth="1"/>
    <col min="8949" max="8949" width="21" style="498" customWidth="1"/>
    <col min="8950" max="8950" width="21.85546875" style="498" customWidth="1"/>
    <col min="8951" max="8951" width="21.5703125" style="498" customWidth="1"/>
    <col min="8952" max="8952" width="25.7109375" style="498" customWidth="1"/>
    <col min="8953" max="8953" width="20.5703125" style="498" customWidth="1"/>
    <col min="8954" max="8957" width="25.7109375" style="498" customWidth="1"/>
    <col min="8958" max="9201" width="9.140625" style="498"/>
    <col min="9202" max="9202" width="4.85546875" style="498" customWidth="1"/>
    <col min="9203" max="9203" width="11" style="498" customWidth="1"/>
    <col min="9204" max="9204" width="41.28515625" style="498" customWidth="1"/>
    <col min="9205" max="9205" width="21" style="498" customWidth="1"/>
    <col min="9206" max="9206" width="21.85546875" style="498" customWidth="1"/>
    <col min="9207" max="9207" width="21.5703125" style="498" customWidth="1"/>
    <col min="9208" max="9208" width="25.7109375" style="498" customWidth="1"/>
    <col min="9209" max="9209" width="20.5703125" style="498" customWidth="1"/>
    <col min="9210" max="9213" width="25.7109375" style="498" customWidth="1"/>
    <col min="9214" max="9457" width="9.140625" style="498"/>
    <col min="9458" max="9458" width="4.85546875" style="498" customWidth="1"/>
    <col min="9459" max="9459" width="11" style="498" customWidth="1"/>
    <col min="9460" max="9460" width="41.28515625" style="498" customWidth="1"/>
    <col min="9461" max="9461" width="21" style="498" customWidth="1"/>
    <col min="9462" max="9462" width="21.85546875" style="498" customWidth="1"/>
    <col min="9463" max="9463" width="21.5703125" style="498" customWidth="1"/>
    <col min="9464" max="9464" width="25.7109375" style="498" customWidth="1"/>
    <col min="9465" max="9465" width="20.5703125" style="498" customWidth="1"/>
    <col min="9466" max="9469" width="25.7109375" style="498" customWidth="1"/>
    <col min="9470" max="9713" width="9.140625" style="498"/>
    <col min="9714" max="9714" width="4.85546875" style="498" customWidth="1"/>
    <col min="9715" max="9715" width="11" style="498" customWidth="1"/>
    <col min="9716" max="9716" width="41.28515625" style="498" customWidth="1"/>
    <col min="9717" max="9717" width="21" style="498" customWidth="1"/>
    <col min="9718" max="9718" width="21.85546875" style="498" customWidth="1"/>
    <col min="9719" max="9719" width="21.5703125" style="498" customWidth="1"/>
    <col min="9720" max="9720" width="25.7109375" style="498" customWidth="1"/>
    <col min="9721" max="9721" width="20.5703125" style="498" customWidth="1"/>
    <col min="9722" max="9725" width="25.7109375" style="498" customWidth="1"/>
    <col min="9726" max="9969" width="9.140625" style="498"/>
    <col min="9970" max="9970" width="4.85546875" style="498" customWidth="1"/>
    <col min="9971" max="9971" width="11" style="498" customWidth="1"/>
    <col min="9972" max="9972" width="41.28515625" style="498" customWidth="1"/>
    <col min="9973" max="9973" width="21" style="498" customWidth="1"/>
    <col min="9974" max="9974" width="21.85546875" style="498" customWidth="1"/>
    <col min="9975" max="9975" width="21.5703125" style="498" customWidth="1"/>
    <col min="9976" max="9976" width="25.7109375" style="498" customWidth="1"/>
    <col min="9977" max="9977" width="20.5703125" style="498" customWidth="1"/>
    <col min="9978" max="9981" width="25.7109375" style="498" customWidth="1"/>
    <col min="9982" max="10225" width="9.140625" style="498"/>
    <col min="10226" max="10226" width="4.85546875" style="498" customWidth="1"/>
    <col min="10227" max="10227" width="11" style="498" customWidth="1"/>
    <col min="10228" max="10228" width="41.28515625" style="498" customWidth="1"/>
    <col min="10229" max="10229" width="21" style="498" customWidth="1"/>
    <col min="10230" max="10230" width="21.85546875" style="498" customWidth="1"/>
    <col min="10231" max="10231" width="21.5703125" style="498" customWidth="1"/>
    <col min="10232" max="10232" width="25.7109375" style="498" customWidth="1"/>
    <col min="10233" max="10233" width="20.5703125" style="498" customWidth="1"/>
    <col min="10234" max="10237" width="25.7109375" style="498" customWidth="1"/>
    <col min="10238" max="10481" width="9.140625" style="498"/>
    <col min="10482" max="10482" width="4.85546875" style="498" customWidth="1"/>
    <col min="10483" max="10483" width="11" style="498" customWidth="1"/>
    <col min="10484" max="10484" width="41.28515625" style="498" customWidth="1"/>
    <col min="10485" max="10485" width="21" style="498" customWidth="1"/>
    <col min="10486" max="10486" width="21.85546875" style="498" customWidth="1"/>
    <col min="10487" max="10487" width="21.5703125" style="498" customWidth="1"/>
    <col min="10488" max="10488" width="25.7109375" style="498" customWidth="1"/>
    <col min="10489" max="10489" width="20.5703125" style="498" customWidth="1"/>
    <col min="10490" max="10493" width="25.7109375" style="498" customWidth="1"/>
    <col min="10494" max="10737" width="9.140625" style="498"/>
    <col min="10738" max="10738" width="4.85546875" style="498" customWidth="1"/>
    <col min="10739" max="10739" width="11" style="498" customWidth="1"/>
    <col min="10740" max="10740" width="41.28515625" style="498" customWidth="1"/>
    <col min="10741" max="10741" width="21" style="498" customWidth="1"/>
    <col min="10742" max="10742" width="21.85546875" style="498" customWidth="1"/>
    <col min="10743" max="10743" width="21.5703125" style="498" customWidth="1"/>
    <col min="10744" max="10744" width="25.7109375" style="498" customWidth="1"/>
    <col min="10745" max="10745" width="20.5703125" style="498" customWidth="1"/>
    <col min="10746" max="10749" width="25.7109375" style="498" customWidth="1"/>
    <col min="10750" max="10993" width="9.140625" style="498"/>
    <col min="10994" max="10994" width="4.85546875" style="498" customWidth="1"/>
    <col min="10995" max="10995" width="11" style="498" customWidth="1"/>
    <col min="10996" max="10996" width="41.28515625" style="498" customWidth="1"/>
    <col min="10997" max="10997" width="21" style="498" customWidth="1"/>
    <col min="10998" max="10998" width="21.85546875" style="498" customWidth="1"/>
    <col min="10999" max="10999" width="21.5703125" style="498" customWidth="1"/>
    <col min="11000" max="11000" width="25.7109375" style="498" customWidth="1"/>
    <col min="11001" max="11001" width="20.5703125" style="498" customWidth="1"/>
    <col min="11002" max="11005" width="25.7109375" style="498" customWidth="1"/>
    <col min="11006" max="11249" width="9.140625" style="498"/>
    <col min="11250" max="11250" width="4.85546875" style="498" customWidth="1"/>
    <col min="11251" max="11251" width="11" style="498" customWidth="1"/>
    <col min="11252" max="11252" width="41.28515625" style="498" customWidth="1"/>
    <col min="11253" max="11253" width="21" style="498" customWidth="1"/>
    <col min="11254" max="11254" width="21.85546875" style="498" customWidth="1"/>
    <col min="11255" max="11255" width="21.5703125" style="498" customWidth="1"/>
    <col min="11256" max="11256" width="25.7109375" style="498" customWidth="1"/>
    <col min="11257" max="11257" width="20.5703125" style="498" customWidth="1"/>
    <col min="11258" max="11261" width="25.7109375" style="498" customWidth="1"/>
    <col min="11262" max="11505" width="9.140625" style="498"/>
    <col min="11506" max="11506" width="4.85546875" style="498" customWidth="1"/>
    <col min="11507" max="11507" width="11" style="498" customWidth="1"/>
    <col min="11508" max="11508" width="41.28515625" style="498" customWidth="1"/>
    <col min="11509" max="11509" width="21" style="498" customWidth="1"/>
    <col min="11510" max="11510" width="21.85546875" style="498" customWidth="1"/>
    <col min="11511" max="11511" width="21.5703125" style="498" customWidth="1"/>
    <col min="11512" max="11512" width="25.7109375" style="498" customWidth="1"/>
    <col min="11513" max="11513" width="20.5703125" style="498" customWidth="1"/>
    <col min="11514" max="11517" width="25.7109375" style="498" customWidth="1"/>
    <col min="11518" max="11761" width="9.140625" style="498"/>
    <col min="11762" max="11762" width="4.85546875" style="498" customWidth="1"/>
    <col min="11763" max="11763" width="11" style="498" customWidth="1"/>
    <col min="11764" max="11764" width="41.28515625" style="498" customWidth="1"/>
    <col min="11765" max="11765" width="21" style="498" customWidth="1"/>
    <col min="11766" max="11766" width="21.85546875" style="498" customWidth="1"/>
    <col min="11767" max="11767" width="21.5703125" style="498" customWidth="1"/>
    <col min="11768" max="11768" width="25.7109375" style="498" customWidth="1"/>
    <col min="11769" max="11769" width="20.5703125" style="498" customWidth="1"/>
    <col min="11770" max="11773" width="25.7109375" style="498" customWidth="1"/>
    <col min="11774" max="12017" width="9.140625" style="498"/>
    <col min="12018" max="12018" width="4.85546875" style="498" customWidth="1"/>
    <col min="12019" max="12019" width="11" style="498" customWidth="1"/>
    <col min="12020" max="12020" width="41.28515625" style="498" customWidth="1"/>
    <col min="12021" max="12021" width="21" style="498" customWidth="1"/>
    <col min="12022" max="12022" width="21.85546875" style="498" customWidth="1"/>
    <col min="12023" max="12023" width="21.5703125" style="498" customWidth="1"/>
    <col min="12024" max="12024" width="25.7109375" style="498" customWidth="1"/>
    <col min="12025" max="12025" width="20.5703125" style="498" customWidth="1"/>
    <col min="12026" max="12029" width="25.7109375" style="498" customWidth="1"/>
    <col min="12030" max="12273" width="9.140625" style="498"/>
    <col min="12274" max="12274" width="4.85546875" style="498" customWidth="1"/>
    <col min="12275" max="12275" width="11" style="498" customWidth="1"/>
    <col min="12276" max="12276" width="41.28515625" style="498" customWidth="1"/>
    <col min="12277" max="12277" width="21" style="498" customWidth="1"/>
    <col min="12278" max="12278" width="21.85546875" style="498" customWidth="1"/>
    <col min="12279" max="12279" width="21.5703125" style="498" customWidth="1"/>
    <col min="12280" max="12280" width="25.7109375" style="498" customWidth="1"/>
    <col min="12281" max="12281" width="20.5703125" style="498" customWidth="1"/>
    <col min="12282" max="12285" width="25.7109375" style="498" customWidth="1"/>
    <col min="12286" max="12529" width="9.140625" style="498"/>
    <col min="12530" max="12530" width="4.85546875" style="498" customWidth="1"/>
    <col min="12531" max="12531" width="11" style="498" customWidth="1"/>
    <col min="12532" max="12532" width="41.28515625" style="498" customWidth="1"/>
    <col min="12533" max="12533" width="21" style="498" customWidth="1"/>
    <col min="12534" max="12534" width="21.85546875" style="498" customWidth="1"/>
    <col min="12535" max="12535" width="21.5703125" style="498" customWidth="1"/>
    <col min="12536" max="12536" width="25.7109375" style="498" customWidth="1"/>
    <col min="12537" max="12537" width="20.5703125" style="498" customWidth="1"/>
    <col min="12538" max="12541" width="25.7109375" style="498" customWidth="1"/>
    <col min="12542" max="12785" width="9.140625" style="498"/>
    <col min="12786" max="12786" width="4.85546875" style="498" customWidth="1"/>
    <col min="12787" max="12787" width="11" style="498" customWidth="1"/>
    <col min="12788" max="12788" width="41.28515625" style="498" customWidth="1"/>
    <col min="12789" max="12789" width="21" style="498" customWidth="1"/>
    <col min="12790" max="12790" width="21.85546875" style="498" customWidth="1"/>
    <col min="12791" max="12791" width="21.5703125" style="498" customWidth="1"/>
    <col min="12792" max="12792" width="25.7109375" style="498" customWidth="1"/>
    <col min="12793" max="12793" width="20.5703125" style="498" customWidth="1"/>
    <col min="12794" max="12797" width="25.7109375" style="498" customWidth="1"/>
    <col min="12798" max="13041" width="9.140625" style="498"/>
    <col min="13042" max="13042" width="4.85546875" style="498" customWidth="1"/>
    <col min="13043" max="13043" width="11" style="498" customWidth="1"/>
    <col min="13044" max="13044" width="41.28515625" style="498" customWidth="1"/>
    <col min="13045" max="13045" width="21" style="498" customWidth="1"/>
    <col min="13046" max="13046" width="21.85546875" style="498" customWidth="1"/>
    <col min="13047" max="13047" width="21.5703125" style="498" customWidth="1"/>
    <col min="13048" max="13048" width="25.7109375" style="498" customWidth="1"/>
    <col min="13049" max="13049" width="20.5703125" style="498" customWidth="1"/>
    <col min="13050" max="13053" width="25.7109375" style="498" customWidth="1"/>
    <col min="13054" max="13297" width="9.140625" style="498"/>
    <col min="13298" max="13298" width="4.85546875" style="498" customWidth="1"/>
    <col min="13299" max="13299" width="11" style="498" customWidth="1"/>
    <col min="13300" max="13300" width="41.28515625" style="498" customWidth="1"/>
    <col min="13301" max="13301" width="21" style="498" customWidth="1"/>
    <col min="13302" max="13302" width="21.85546875" style="498" customWidth="1"/>
    <col min="13303" max="13303" width="21.5703125" style="498" customWidth="1"/>
    <col min="13304" max="13304" width="25.7109375" style="498" customWidth="1"/>
    <col min="13305" max="13305" width="20.5703125" style="498" customWidth="1"/>
    <col min="13306" max="13309" width="25.7109375" style="498" customWidth="1"/>
    <col min="13310" max="13553" width="9.140625" style="498"/>
    <col min="13554" max="13554" width="4.85546875" style="498" customWidth="1"/>
    <col min="13555" max="13555" width="11" style="498" customWidth="1"/>
    <col min="13556" max="13556" width="41.28515625" style="498" customWidth="1"/>
    <col min="13557" max="13557" width="21" style="498" customWidth="1"/>
    <col min="13558" max="13558" width="21.85546875" style="498" customWidth="1"/>
    <col min="13559" max="13559" width="21.5703125" style="498" customWidth="1"/>
    <col min="13560" max="13560" width="25.7109375" style="498" customWidth="1"/>
    <col min="13561" max="13561" width="20.5703125" style="498" customWidth="1"/>
    <col min="13562" max="13565" width="25.7109375" style="498" customWidth="1"/>
    <col min="13566" max="13809" width="9.140625" style="498"/>
    <col min="13810" max="13810" width="4.85546875" style="498" customWidth="1"/>
    <col min="13811" max="13811" width="11" style="498" customWidth="1"/>
    <col min="13812" max="13812" width="41.28515625" style="498" customWidth="1"/>
    <col min="13813" max="13813" width="21" style="498" customWidth="1"/>
    <col min="13814" max="13814" width="21.85546875" style="498" customWidth="1"/>
    <col min="13815" max="13815" width="21.5703125" style="498" customWidth="1"/>
    <col min="13816" max="13816" width="25.7109375" style="498" customWidth="1"/>
    <col min="13817" max="13817" width="20.5703125" style="498" customWidth="1"/>
    <col min="13818" max="13821" width="25.7109375" style="498" customWidth="1"/>
    <col min="13822" max="14065" width="9.140625" style="498"/>
    <col min="14066" max="14066" width="4.85546875" style="498" customWidth="1"/>
    <col min="14067" max="14067" width="11" style="498" customWidth="1"/>
    <col min="14068" max="14068" width="41.28515625" style="498" customWidth="1"/>
    <col min="14069" max="14069" width="21" style="498" customWidth="1"/>
    <col min="14070" max="14070" width="21.85546875" style="498" customWidth="1"/>
    <col min="14071" max="14071" width="21.5703125" style="498" customWidth="1"/>
    <col min="14072" max="14072" width="25.7109375" style="498" customWidth="1"/>
    <col min="14073" max="14073" width="20.5703125" style="498" customWidth="1"/>
    <col min="14074" max="14077" width="25.7109375" style="498" customWidth="1"/>
    <col min="14078" max="14321" width="9.140625" style="498"/>
    <col min="14322" max="14322" width="4.85546875" style="498" customWidth="1"/>
    <col min="14323" max="14323" width="11" style="498" customWidth="1"/>
    <col min="14324" max="14324" width="41.28515625" style="498" customWidth="1"/>
    <col min="14325" max="14325" width="21" style="498" customWidth="1"/>
    <col min="14326" max="14326" width="21.85546875" style="498" customWidth="1"/>
    <col min="14327" max="14327" width="21.5703125" style="498" customWidth="1"/>
    <col min="14328" max="14328" width="25.7109375" style="498" customWidth="1"/>
    <col min="14329" max="14329" width="20.5703125" style="498" customWidth="1"/>
    <col min="14330" max="14333" width="25.7109375" style="498" customWidth="1"/>
    <col min="14334" max="14577" width="9.140625" style="498"/>
    <col min="14578" max="14578" width="4.85546875" style="498" customWidth="1"/>
    <col min="14579" max="14579" width="11" style="498" customWidth="1"/>
    <col min="14580" max="14580" width="41.28515625" style="498" customWidth="1"/>
    <col min="14581" max="14581" width="21" style="498" customWidth="1"/>
    <col min="14582" max="14582" width="21.85546875" style="498" customWidth="1"/>
    <col min="14583" max="14583" width="21.5703125" style="498" customWidth="1"/>
    <col min="14584" max="14584" width="25.7109375" style="498" customWidth="1"/>
    <col min="14585" max="14585" width="20.5703125" style="498" customWidth="1"/>
    <col min="14586" max="14589" width="25.7109375" style="498" customWidth="1"/>
    <col min="14590" max="14833" width="9.140625" style="498"/>
    <col min="14834" max="14834" width="4.85546875" style="498" customWidth="1"/>
    <col min="14835" max="14835" width="11" style="498" customWidth="1"/>
    <col min="14836" max="14836" width="41.28515625" style="498" customWidth="1"/>
    <col min="14837" max="14837" width="21" style="498" customWidth="1"/>
    <col min="14838" max="14838" width="21.85546875" style="498" customWidth="1"/>
    <col min="14839" max="14839" width="21.5703125" style="498" customWidth="1"/>
    <col min="14840" max="14840" width="25.7109375" style="498" customWidth="1"/>
    <col min="14841" max="14841" width="20.5703125" style="498" customWidth="1"/>
    <col min="14842" max="14845" width="25.7109375" style="498" customWidth="1"/>
    <col min="14846" max="15089" width="9.140625" style="498"/>
    <col min="15090" max="15090" width="4.85546875" style="498" customWidth="1"/>
    <col min="15091" max="15091" width="11" style="498" customWidth="1"/>
    <col min="15092" max="15092" width="41.28515625" style="498" customWidth="1"/>
    <col min="15093" max="15093" width="21" style="498" customWidth="1"/>
    <col min="15094" max="15094" width="21.85546875" style="498" customWidth="1"/>
    <col min="15095" max="15095" width="21.5703125" style="498" customWidth="1"/>
    <col min="15096" max="15096" width="25.7109375" style="498" customWidth="1"/>
    <col min="15097" max="15097" width="20.5703125" style="498" customWidth="1"/>
    <col min="15098" max="15101" width="25.7109375" style="498" customWidth="1"/>
    <col min="15102" max="15345" width="9.140625" style="498"/>
    <col min="15346" max="15346" width="4.85546875" style="498" customWidth="1"/>
    <col min="15347" max="15347" width="11" style="498" customWidth="1"/>
    <col min="15348" max="15348" width="41.28515625" style="498" customWidth="1"/>
    <col min="15349" max="15349" width="21" style="498" customWidth="1"/>
    <col min="15350" max="15350" width="21.85546875" style="498" customWidth="1"/>
    <col min="15351" max="15351" width="21.5703125" style="498" customWidth="1"/>
    <col min="15352" max="15352" width="25.7109375" style="498" customWidth="1"/>
    <col min="15353" max="15353" width="20.5703125" style="498" customWidth="1"/>
    <col min="15354" max="15357" width="25.7109375" style="498" customWidth="1"/>
    <col min="15358" max="15601" width="9.140625" style="498"/>
    <col min="15602" max="15602" width="4.85546875" style="498" customWidth="1"/>
    <col min="15603" max="15603" width="11" style="498" customWidth="1"/>
    <col min="15604" max="15604" width="41.28515625" style="498" customWidth="1"/>
    <col min="15605" max="15605" width="21" style="498" customWidth="1"/>
    <col min="15606" max="15606" width="21.85546875" style="498" customWidth="1"/>
    <col min="15607" max="15607" width="21.5703125" style="498" customWidth="1"/>
    <col min="15608" max="15608" width="25.7109375" style="498" customWidth="1"/>
    <col min="15609" max="15609" width="20.5703125" style="498" customWidth="1"/>
    <col min="15610" max="15613" width="25.7109375" style="498" customWidth="1"/>
    <col min="15614" max="15857" width="9.140625" style="498"/>
    <col min="15858" max="15858" width="4.85546875" style="498" customWidth="1"/>
    <col min="15859" max="15859" width="11" style="498" customWidth="1"/>
    <col min="15860" max="15860" width="41.28515625" style="498" customWidth="1"/>
    <col min="15861" max="15861" width="21" style="498" customWidth="1"/>
    <col min="15862" max="15862" width="21.85546875" style="498" customWidth="1"/>
    <col min="15863" max="15863" width="21.5703125" style="498" customWidth="1"/>
    <col min="15864" max="15864" width="25.7109375" style="498" customWidth="1"/>
    <col min="15865" max="15865" width="20.5703125" style="498" customWidth="1"/>
    <col min="15866" max="15869" width="25.7109375" style="498" customWidth="1"/>
    <col min="15870" max="16113" width="9.140625" style="498"/>
    <col min="16114" max="16114" width="4.85546875" style="498" customWidth="1"/>
    <col min="16115" max="16115" width="11" style="498" customWidth="1"/>
    <col min="16116" max="16116" width="41.28515625" style="498" customWidth="1"/>
    <col min="16117" max="16117" width="21" style="498" customWidth="1"/>
    <col min="16118" max="16118" width="21.85546875" style="498" customWidth="1"/>
    <col min="16119" max="16119" width="21.5703125" style="498" customWidth="1"/>
    <col min="16120" max="16120" width="25.7109375" style="498" customWidth="1"/>
    <col min="16121" max="16121" width="20.5703125" style="498" customWidth="1"/>
    <col min="16122" max="16125" width="25.7109375" style="498" customWidth="1"/>
    <col min="16126" max="16384" width="9.140625" style="498"/>
  </cols>
  <sheetData>
    <row r="1" spans="1:41">
      <c r="N1" s="498">
        <v>1</v>
      </c>
      <c r="O1" s="498">
        <v>2</v>
      </c>
      <c r="P1" s="498">
        <v>3</v>
      </c>
      <c r="Q1" s="498">
        <v>4</v>
      </c>
      <c r="R1" s="498">
        <v>5</v>
      </c>
      <c r="S1" s="498">
        <v>6</v>
      </c>
      <c r="T1" s="498">
        <v>7</v>
      </c>
      <c r="U1" s="498">
        <v>8</v>
      </c>
      <c r="V1" s="498">
        <v>9</v>
      </c>
      <c r="W1" s="498">
        <v>10</v>
      </c>
      <c r="Y1" s="1169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</row>
    <row r="2" spans="1:41">
      <c r="I2" s="1188"/>
      <c r="J2" s="1188"/>
      <c r="K2" s="1188" t="s">
        <v>1303</v>
      </c>
      <c r="L2" s="1188"/>
      <c r="M2" s="1188"/>
      <c r="N2" s="1188">
        <v>105.3</v>
      </c>
      <c r="O2" s="1188">
        <v>104.8</v>
      </c>
      <c r="P2" s="1188">
        <v>104.8</v>
      </c>
      <c r="Q2" s="1188">
        <f>P2</f>
        <v>104.8</v>
      </c>
      <c r="R2" s="1188">
        <f>Q2</f>
        <v>104.8</v>
      </c>
      <c r="Y2" s="1169"/>
      <c r="Z2" s="498"/>
      <c r="AA2" s="498"/>
      <c r="AB2" s="498"/>
      <c r="AC2" s="498"/>
      <c r="AD2" s="498"/>
      <c r="AE2" s="498"/>
      <c r="AF2" s="498"/>
      <c r="AG2" s="498"/>
      <c r="AH2" s="498"/>
      <c r="AI2" s="498"/>
      <c r="AJ2" s="498"/>
      <c r="AK2" s="498"/>
      <c r="AL2" s="498"/>
      <c r="AM2" s="498"/>
      <c r="AN2" s="498"/>
      <c r="AO2" s="498"/>
    </row>
    <row r="3" spans="1:41">
      <c r="A3" s="3479" t="s">
        <v>914</v>
      </c>
      <c r="B3" s="3480"/>
      <c r="C3" s="3480"/>
      <c r="D3" s="3480"/>
      <c r="E3" s="3480"/>
      <c r="F3" s="3480"/>
      <c r="G3" s="3480"/>
      <c r="H3" s="3480"/>
      <c r="I3" s="3480"/>
      <c r="J3" s="3480"/>
      <c r="K3" s="3480"/>
      <c r="L3" s="3480"/>
      <c r="M3" s="3481"/>
      <c r="N3" s="3479" t="s">
        <v>664</v>
      </c>
      <c r="O3" s="3480"/>
      <c r="P3" s="3480"/>
      <c r="Q3" s="3480"/>
      <c r="R3" s="3480"/>
      <c r="S3" s="523"/>
      <c r="T3" s="523"/>
      <c r="U3" s="523"/>
      <c r="V3" s="523"/>
      <c r="W3" s="524"/>
      <c r="X3" s="502"/>
      <c r="Y3" s="1169">
        <f>11054914.3</f>
        <v>11054914.300000001</v>
      </c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8"/>
      <c r="AK3" s="498"/>
      <c r="AL3" s="498"/>
      <c r="AM3" s="498"/>
      <c r="AN3" s="498"/>
      <c r="AO3" s="498"/>
    </row>
    <row r="4" spans="1:41" s="506" customFormat="1" ht="60" customHeight="1">
      <c r="A4" s="503" t="s">
        <v>665</v>
      </c>
      <c r="B4" s="504" t="s">
        <v>666</v>
      </c>
      <c r="C4" s="406" t="s">
        <v>667</v>
      </c>
      <c r="D4" s="503" t="s">
        <v>669</v>
      </c>
      <c r="E4" s="503" t="s">
        <v>670</v>
      </c>
      <c r="F4" s="503" t="s">
        <v>671</v>
      </c>
      <c r="G4" s="503" t="s">
        <v>672</v>
      </c>
      <c r="H4" s="503" t="s">
        <v>673</v>
      </c>
      <c r="I4" s="503" t="s">
        <v>674</v>
      </c>
      <c r="J4" s="503" t="s">
        <v>675</v>
      </c>
      <c r="K4" s="503" t="s">
        <v>1304</v>
      </c>
      <c r="L4" s="503" t="s">
        <v>676</v>
      </c>
      <c r="M4" s="503" t="s">
        <v>677</v>
      </c>
      <c r="N4" s="1189" t="s">
        <v>272</v>
      </c>
      <c r="O4" s="1189" t="s">
        <v>269</v>
      </c>
      <c r="P4" s="1189" t="s">
        <v>539</v>
      </c>
      <c r="Q4" s="1189" t="s">
        <v>678</v>
      </c>
      <c r="R4" s="1189" t="s">
        <v>538</v>
      </c>
      <c r="S4" s="505" t="s">
        <v>679</v>
      </c>
      <c r="T4" s="505" t="s">
        <v>680</v>
      </c>
      <c r="U4" s="505" t="s">
        <v>681</v>
      </c>
      <c r="V4" s="505" t="s">
        <v>682</v>
      </c>
      <c r="W4" s="505" t="s">
        <v>683</v>
      </c>
      <c r="X4" s="505" t="s">
        <v>913</v>
      </c>
      <c r="Y4" s="1170">
        <f>Y3*105.9/1000</f>
        <v>1170715.4243700001</v>
      </c>
    </row>
    <row r="5" spans="1:41" s="534" customFormat="1" ht="47.25">
      <c r="A5" s="529">
        <v>1</v>
      </c>
      <c r="B5" s="504" t="s">
        <v>737</v>
      </c>
      <c r="C5" s="996" t="s">
        <v>685</v>
      </c>
      <c r="D5" s="529">
        <v>400</v>
      </c>
      <c r="E5" s="997">
        <v>800</v>
      </c>
      <c r="F5" s="531" t="s">
        <v>684</v>
      </c>
      <c r="G5" s="531">
        <v>2</v>
      </c>
      <c r="H5" s="532"/>
      <c r="I5" s="998">
        <f>E5*H5</f>
        <v>0</v>
      </c>
      <c r="J5" s="999">
        <f>22626.71*1.2*1.061</f>
        <v>28808.327171999998</v>
      </c>
      <c r="K5" s="1000">
        <v>11054914.300000001</v>
      </c>
      <c r="L5" s="999">
        <f>5985*1.2</f>
        <v>7182</v>
      </c>
      <c r="M5" s="1001">
        <f t="shared" ref="M5:M26" si="0">(L5*E5)/K5</f>
        <v>0.51973265862404738</v>
      </c>
      <c r="N5" s="1002"/>
      <c r="O5" s="1002">
        <f>IF(($G5)*2,($K5),"")*N2/100*O2/100</f>
        <v>12199584.346279198</v>
      </c>
      <c r="P5" s="1002"/>
      <c r="Q5" s="1002"/>
      <c r="R5" s="1002"/>
      <c r="S5" s="533" t="str">
        <f t="shared" ref="S5:S25" si="1">IF(($K5)=6,($O5),"")</f>
        <v/>
      </c>
      <c r="T5" s="533" t="str">
        <f t="shared" ref="T5:T25" si="2">IF(($K5)=7,($O5),"")</f>
        <v/>
      </c>
      <c r="U5" s="533" t="str">
        <f t="shared" ref="U5:U25" si="3">IF(($K5)=8,($O5),"")</f>
        <v/>
      </c>
      <c r="V5" s="533" t="str">
        <f t="shared" ref="V5:V25" si="4">IF(($K5)=9,($O5),"")</f>
        <v/>
      </c>
      <c r="W5" s="533" t="str">
        <f t="shared" ref="W5:W25" si="5">IF(($K5)=10,($O5),"")</f>
        <v/>
      </c>
      <c r="X5" s="536" t="s">
        <v>912</v>
      </c>
      <c r="Y5" s="1171" t="s">
        <v>275</v>
      </c>
    </row>
    <row r="6" spans="1:41" s="534" customFormat="1" ht="47.25">
      <c r="A6" s="529">
        <f t="shared" ref="A6:A11" si="6">1+A5</f>
        <v>2</v>
      </c>
      <c r="B6" s="504" t="s">
        <v>768</v>
      </c>
      <c r="C6" s="996" t="s">
        <v>685</v>
      </c>
      <c r="D6" s="529">
        <v>225</v>
      </c>
      <c r="E6" s="997">
        <v>170</v>
      </c>
      <c r="F6" s="531" t="s">
        <v>684</v>
      </c>
      <c r="G6" s="531">
        <v>2</v>
      </c>
      <c r="H6" s="1003">
        <f>8486.03*0.79*1.2</f>
        <v>8044.756440000001</v>
      </c>
      <c r="I6" s="998">
        <f t="shared" ref="I6:I26" si="7">E6*H6</f>
        <v>1367608.5948000001</v>
      </c>
      <c r="J6" s="999">
        <f>16080.28*1.2</f>
        <v>19296.335999999999</v>
      </c>
      <c r="K6" s="1000">
        <v>3978980.34</v>
      </c>
      <c r="L6" s="999">
        <f>1498.75*1.2</f>
        <v>1798.5</v>
      </c>
      <c r="M6" s="1001">
        <f t="shared" si="0"/>
        <v>7.6840037867590971E-2</v>
      </c>
      <c r="N6" s="1002"/>
      <c r="O6" s="1002">
        <f>IF(($G6)=2,($K6),"")*$N$2/100*$O$2/100</f>
        <v>4390979.8803249598</v>
      </c>
      <c r="P6" s="1002"/>
      <c r="Q6" s="1002" t="str">
        <f t="shared" ref="Q6:Q26" si="8">IF(($G6)=4,($K6),"")</f>
        <v/>
      </c>
      <c r="R6" s="1002" t="str">
        <f t="shared" ref="R6:R26" si="9">IF(($G6)=5,($K6),"")</f>
        <v/>
      </c>
      <c r="S6" s="533" t="str">
        <f t="shared" si="1"/>
        <v/>
      </c>
      <c r="T6" s="533" t="str">
        <f t="shared" si="2"/>
        <v/>
      </c>
      <c r="U6" s="533" t="str">
        <f t="shared" si="3"/>
        <v/>
      </c>
      <c r="V6" s="533" t="str">
        <f t="shared" si="4"/>
        <v/>
      </c>
      <c r="W6" s="533" t="str">
        <f t="shared" si="5"/>
        <v/>
      </c>
      <c r="X6" s="536" t="s">
        <v>912</v>
      </c>
      <c r="Y6" s="1171" t="s">
        <v>275</v>
      </c>
    </row>
    <row r="7" spans="1:41" s="534" customFormat="1" ht="47.25">
      <c r="A7" s="529">
        <f t="shared" si="6"/>
        <v>3</v>
      </c>
      <c r="B7" s="504" t="s">
        <v>769</v>
      </c>
      <c r="C7" s="407" t="s">
        <v>685</v>
      </c>
      <c r="D7" s="529">
        <v>300</v>
      </c>
      <c r="E7" s="997">
        <v>370</v>
      </c>
      <c r="F7" s="531" t="s">
        <v>684</v>
      </c>
      <c r="G7" s="1004">
        <v>2</v>
      </c>
      <c r="H7" s="1003">
        <f>11575.02*0.79*1.2</f>
        <v>10973.118960000002</v>
      </c>
      <c r="I7" s="998">
        <f t="shared" si="7"/>
        <v>4060054.0152000007</v>
      </c>
      <c r="J7" s="999">
        <f>7615948.9/338*1.2*1.061</f>
        <v>28688.243016213015</v>
      </c>
      <c r="K7" s="1000">
        <f>5174290.28</f>
        <v>5174290.28</v>
      </c>
      <c r="L7" s="999">
        <f>3727.5*1.2</f>
        <v>4473</v>
      </c>
      <c r="M7" s="1001">
        <f t="shared" si="0"/>
        <v>0.31985256149950675</v>
      </c>
      <c r="N7" s="1002" t="str">
        <f t="shared" ref="N7:N24" si="10">IF(($G7)=1,($K7),"")</f>
        <v/>
      </c>
      <c r="O7" s="1002">
        <f>IF(($G7)=2,($K7),"")*N2/100*O2/100</f>
        <v>5710056.9927523192</v>
      </c>
      <c r="P7" s="1002"/>
      <c r="Q7" s="1002"/>
      <c r="R7" s="1002" t="str">
        <f t="shared" si="9"/>
        <v/>
      </c>
      <c r="S7" s="533" t="str">
        <f t="shared" si="1"/>
        <v/>
      </c>
      <c r="T7" s="533" t="str">
        <f t="shared" si="2"/>
        <v/>
      </c>
      <c r="U7" s="533" t="str">
        <f t="shared" si="3"/>
        <v/>
      </c>
      <c r="V7" s="533" t="str">
        <f t="shared" si="4"/>
        <v/>
      </c>
      <c r="W7" s="533" t="str">
        <f t="shared" si="5"/>
        <v/>
      </c>
      <c r="X7" s="536" t="s">
        <v>912</v>
      </c>
      <c r="Y7" s="1171" t="s">
        <v>275</v>
      </c>
    </row>
    <row r="8" spans="1:41" s="534" customFormat="1" ht="47.25">
      <c r="A8" s="529">
        <f t="shared" si="6"/>
        <v>4</v>
      </c>
      <c r="B8" s="504" t="s">
        <v>738</v>
      </c>
      <c r="C8" s="996" t="s">
        <v>685</v>
      </c>
      <c r="D8" s="529">
        <v>200</v>
      </c>
      <c r="E8" s="997">
        <v>600</v>
      </c>
      <c r="F8" s="531" t="s">
        <v>684</v>
      </c>
      <c r="G8" s="531">
        <v>2</v>
      </c>
      <c r="H8" s="1003">
        <f>H6</f>
        <v>8044.756440000001</v>
      </c>
      <c r="I8" s="998">
        <f t="shared" si="7"/>
        <v>4826853.864000001</v>
      </c>
      <c r="J8" s="999">
        <f>16080.28*1.2</f>
        <v>19296.335999999999</v>
      </c>
      <c r="K8" s="1000">
        <v>4383296.95</v>
      </c>
      <c r="L8" s="999">
        <f>1498.75*1.2</f>
        <v>1798.5</v>
      </c>
      <c r="M8" s="1001">
        <f t="shared" si="0"/>
        <v>0.24618455293109903</v>
      </c>
      <c r="N8" s="1002" t="str">
        <f t="shared" si="10"/>
        <v/>
      </c>
      <c r="O8" s="1002">
        <f>IF(($G8)=2,($K8),"")*$N$2/100*$O$2/100</f>
        <v>4837161.0493907994</v>
      </c>
      <c r="P8" s="1002"/>
      <c r="Q8" s="1002" t="str">
        <f t="shared" si="8"/>
        <v/>
      </c>
      <c r="R8" s="1002" t="str">
        <f t="shared" si="9"/>
        <v/>
      </c>
      <c r="S8" s="533" t="str">
        <f t="shared" si="1"/>
        <v/>
      </c>
      <c r="T8" s="533" t="str">
        <f t="shared" si="2"/>
        <v/>
      </c>
      <c r="U8" s="533" t="str">
        <f t="shared" si="3"/>
        <v/>
      </c>
      <c r="V8" s="533" t="str">
        <f t="shared" si="4"/>
        <v/>
      </c>
      <c r="W8" s="533" t="str">
        <f t="shared" si="5"/>
        <v/>
      </c>
      <c r="X8" s="536" t="s">
        <v>912</v>
      </c>
      <c r="Y8" s="1171" t="s">
        <v>275</v>
      </c>
    </row>
    <row r="9" spans="1:41" s="534" customFormat="1" ht="47.25">
      <c r="A9" s="529">
        <f t="shared" si="6"/>
        <v>5</v>
      </c>
      <c r="B9" s="504" t="s">
        <v>735</v>
      </c>
      <c r="C9" s="996" t="s">
        <v>685</v>
      </c>
      <c r="D9" s="529">
        <v>500</v>
      </c>
      <c r="E9" s="997">
        <v>725</v>
      </c>
      <c r="F9" s="531" t="s">
        <v>684</v>
      </c>
      <c r="G9" s="1005">
        <v>3</v>
      </c>
      <c r="H9" s="1003">
        <f>20817*0.79*1.2</f>
        <v>19734.516</v>
      </c>
      <c r="I9" s="998">
        <f t="shared" si="7"/>
        <v>14307524.1</v>
      </c>
      <c r="J9" s="999">
        <v>25436.853253999998</v>
      </c>
      <c r="K9" s="1000">
        <v>26153911.079999998</v>
      </c>
      <c r="L9" s="999">
        <f>9363*1.2</f>
        <v>11235.6</v>
      </c>
      <c r="M9" s="1001">
        <f t="shared" si="0"/>
        <v>0.31145666799445282</v>
      </c>
      <c r="N9" s="1002"/>
      <c r="O9" s="1002"/>
      <c r="P9" s="1002">
        <f>IF(($G9)=3,($K9),"")*N2/100*O2/100*P2/100</f>
        <v>30247367.248013157</v>
      </c>
      <c r="Q9" s="1002" t="str">
        <f t="shared" si="8"/>
        <v/>
      </c>
      <c r="R9" s="1002" t="str">
        <f t="shared" si="9"/>
        <v/>
      </c>
      <c r="S9" s="533" t="str">
        <f t="shared" si="1"/>
        <v/>
      </c>
      <c r="T9" s="533" t="str">
        <f t="shared" si="2"/>
        <v/>
      </c>
      <c r="U9" s="533" t="str">
        <f t="shared" si="3"/>
        <v/>
      </c>
      <c r="V9" s="533" t="str">
        <f t="shared" si="4"/>
        <v/>
      </c>
      <c r="W9" s="533" t="str">
        <f t="shared" si="5"/>
        <v/>
      </c>
      <c r="X9" s="536" t="s">
        <v>912</v>
      </c>
      <c r="Y9" s="1171" t="s">
        <v>275</v>
      </c>
    </row>
    <row r="10" spans="1:41" s="534" customFormat="1" ht="47.25">
      <c r="A10" s="529">
        <f t="shared" si="6"/>
        <v>6</v>
      </c>
      <c r="B10" s="504" t="s">
        <v>734</v>
      </c>
      <c r="C10" s="996" t="s">
        <v>685</v>
      </c>
      <c r="D10" s="529">
        <v>500</v>
      </c>
      <c r="E10" s="997">
        <v>1301</v>
      </c>
      <c r="F10" s="531" t="s">
        <v>684</v>
      </c>
      <c r="G10" s="531">
        <v>3</v>
      </c>
      <c r="H10" s="1003">
        <f>20817*0.79*1.2</f>
        <v>19734.516</v>
      </c>
      <c r="I10" s="998">
        <f t="shared" si="7"/>
        <v>25674605.316</v>
      </c>
      <c r="J10" s="999">
        <f>J9</f>
        <v>25436.853253999998</v>
      </c>
      <c r="K10" s="1000">
        <v>30666988.84</v>
      </c>
      <c r="L10" s="999">
        <f>9363*1.2</f>
        <v>11235.6</v>
      </c>
      <c r="M10" s="1001">
        <f>(L10*E10)/K10</f>
        <v>0.47665310983952475</v>
      </c>
      <c r="N10" s="1002" t="str">
        <f t="shared" si="10"/>
        <v/>
      </c>
      <c r="O10" s="1002" t="str">
        <f>IF(($G10)=2,($K10),"")</f>
        <v/>
      </c>
      <c r="P10" s="1002">
        <f>IF(($G10)=3,($K10),"")*N2/100*O2/100*P2/100</f>
        <v>35466805.366006516</v>
      </c>
      <c r="Q10" s="1002"/>
      <c r="R10" s="1002" t="str">
        <f t="shared" si="9"/>
        <v/>
      </c>
      <c r="S10" s="533" t="str">
        <f t="shared" si="1"/>
        <v/>
      </c>
      <c r="T10" s="533" t="str">
        <f t="shared" si="2"/>
        <v/>
      </c>
      <c r="U10" s="533" t="str">
        <f t="shared" si="3"/>
        <v/>
      </c>
      <c r="V10" s="533" t="str">
        <f t="shared" si="4"/>
        <v/>
      </c>
      <c r="W10" s="533" t="str">
        <f t="shared" si="5"/>
        <v/>
      </c>
      <c r="X10" s="536" t="s">
        <v>912</v>
      </c>
      <c r="Y10" s="1171" t="s">
        <v>275</v>
      </c>
    </row>
    <row r="11" spans="1:41" s="534" customFormat="1" ht="47.25">
      <c r="A11" s="529">
        <f t="shared" si="6"/>
        <v>7</v>
      </c>
      <c r="B11" s="504" t="s">
        <v>741</v>
      </c>
      <c r="C11" s="996" t="s">
        <v>685</v>
      </c>
      <c r="D11" s="529">
        <v>300</v>
      </c>
      <c r="E11" s="997">
        <v>150</v>
      </c>
      <c r="F11" s="531" t="s">
        <v>684</v>
      </c>
      <c r="G11" s="531">
        <v>1</v>
      </c>
      <c r="H11" s="1003">
        <f>11575.02*0.79*1.2</f>
        <v>10973.118960000002</v>
      </c>
      <c r="I11" s="998">
        <f t="shared" si="7"/>
        <v>1645967.8440000003</v>
      </c>
      <c r="J11" s="999">
        <f>J7</f>
        <v>28688.243016213015</v>
      </c>
      <c r="K11" s="1000">
        <v>1688571.24</v>
      </c>
      <c r="L11" s="999">
        <f>3727.5*1.2</f>
        <v>4473</v>
      </c>
      <c r="M11" s="1001">
        <f t="shared" si="0"/>
        <v>0.39734776010990214</v>
      </c>
      <c r="N11" s="1002">
        <f>IF(($G11)=1,($K11),"")*N2/100</f>
        <v>1778065.51572</v>
      </c>
      <c r="O11" s="1002"/>
      <c r="P11" s="1002"/>
      <c r="Q11" s="1002" t="str">
        <f t="shared" si="8"/>
        <v/>
      </c>
      <c r="R11" s="1002" t="str">
        <f t="shared" si="9"/>
        <v/>
      </c>
      <c r="S11" s="533" t="str">
        <f t="shared" si="1"/>
        <v/>
      </c>
      <c r="T11" s="533" t="str">
        <f t="shared" si="2"/>
        <v/>
      </c>
      <c r="U11" s="533" t="str">
        <f t="shared" si="3"/>
        <v/>
      </c>
      <c r="V11" s="533" t="str">
        <f t="shared" si="4"/>
        <v/>
      </c>
      <c r="W11" s="533" t="str">
        <f t="shared" si="5"/>
        <v/>
      </c>
      <c r="X11" s="536" t="s">
        <v>912</v>
      </c>
      <c r="Y11" s="1171" t="s">
        <v>275</v>
      </c>
    </row>
    <row r="12" spans="1:41" s="534" customFormat="1" ht="47.25">
      <c r="A12" s="529">
        <f>1+A11</f>
        <v>8</v>
      </c>
      <c r="B12" s="504" t="s">
        <v>736</v>
      </c>
      <c r="C12" s="996" t="s">
        <v>685</v>
      </c>
      <c r="D12" s="529">
        <v>500</v>
      </c>
      <c r="E12" s="997">
        <v>220</v>
      </c>
      <c r="F12" s="531" t="s">
        <v>684</v>
      </c>
      <c r="G12" s="531">
        <v>2</v>
      </c>
      <c r="H12" s="1003">
        <f>20817*0.79*1.2</f>
        <v>19734.516</v>
      </c>
      <c r="I12" s="998">
        <f t="shared" si="7"/>
        <v>4341593.5199999996</v>
      </c>
      <c r="J12" s="999">
        <v>25436.853253999998</v>
      </c>
      <c r="K12" s="1000">
        <v>4730877.38</v>
      </c>
      <c r="L12" s="999">
        <f>9363*1.2</f>
        <v>11235.6</v>
      </c>
      <c r="M12" s="1001">
        <f t="shared" si="0"/>
        <v>0.52248912864446295</v>
      </c>
      <c r="N12" s="1002"/>
      <c r="O12" s="1002">
        <f>IF(($G12)=2,($K12),"")*$N$2/100*$O$2/100</f>
        <v>5220731.3474347191</v>
      </c>
      <c r="P12" s="1002"/>
      <c r="Q12" s="1002" t="str">
        <f t="shared" si="8"/>
        <v/>
      </c>
      <c r="R12" s="1002" t="str">
        <f t="shared" si="9"/>
        <v/>
      </c>
      <c r="S12" s="533" t="str">
        <f t="shared" si="1"/>
        <v/>
      </c>
      <c r="T12" s="533" t="str">
        <f t="shared" si="2"/>
        <v/>
      </c>
      <c r="U12" s="533" t="str">
        <f t="shared" si="3"/>
        <v/>
      </c>
      <c r="V12" s="533" t="str">
        <f t="shared" si="4"/>
        <v/>
      </c>
      <c r="W12" s="533" t="str">
        <f t="shared" si="5"/>
        <v/>
      </c>
      <c r="X12" s="536" t="s">
        <v>912</v>
      </c>
      <c r="Y12" s="1171" t="s">
        <v>275</v>
      </c>
    </row>
    <row r="13" spans="1:41" s="1521" customFormat="1" ht="86.25" customHeight="1">
      <c r="A13" s="1505"/>
      <c r="B13" s="1506" t="s">
        <v>686</v>
      </c>
      <c r="C13" s="1507" t="s">
        <v>687</v>
      </c>
      <c r="D13" s="1508">
        <v>400</v>
      </c>
      <c r="E13" s="1509">
        <v>580</v>
      </c>
      <c r="F13" s="1510" t="s">
        <v>688</v>
      </c>
      <c r="G13" s="1511">
        <v>2</v>
      </c>
      <c r="H13" s="1512">
        <f>H12</f>
        <v>19734.516</v>
      </c>
      <c r="I13" s="1513">
        <f t="shared" si="7"/>
        <v>11446019.279999999</v>
      </c>
      <c r="J13" s="1514" t="s">
        <v>689</v>
      </c>
      <c r="K13" s="1514">
        <f>949039.2+8632020</f>
        <v>9581059.1999999993</v>
      </c>
      <c r="L13" s="1515"/>
      <c r="M13" s="1516"/>
      <c r="N13" s="1517" t="str">
        <f t="shared" si="10"/>
        <v/>
      </c>
      <c r="O13" s="1517">
        <f>IF(($G13)=2,($K13),"")*N2/100*O2/100</f>
        <v>10573120.393804798</v>
      </c>
      <c r="P13" s="1517" t="str">
        <f t="shared" ref="P13:P26" si="11">IF(($G13)=3,($K13),"")</f>
        <v/>
      </c>
      <c r="Q13" s="1517" t="str">
        <f t="shared" si="8"/>
        <v/>
      </c>
      <c r="R13" s="1517" t="str">
        <f t="shared" si="9"/>
        <v/>
      </c>
      <c r="S13" s="1518" t="str">
        <f t="shared" si="1"/>
        <v/>
      </c>
      <c r="T13" s="1518" t="str">
        <f t="shared" si="2"/>
        <v/>
      </c>
      <c r="U13" s="1518" t="str">
        <f t="shared" si="3"/>
        <v/>
      </c>
      <c r="V13" s="1518" t="str">
        <f t="shared" si="4"/>
        <v/>
      </c>
      <c r="W13" s="1518" t="str">
        <f t="shared" si="5"/>
        <v/>
      </c>
      <c r="X13" s="1519" t="s">
        <v>912</v>
      </c>
      <c r="Y13" s="1520" t="s">
        <v>1283</v>
      </c>
    </row>
    <row r="14" spans="1:41" s="534" customFormat="1" ht="47.25">
      <c r="A14" s="531">
        <v>9</v>
      </c>
      <c r="B14" s="504" t="s">
        <v>739</v>
      </c>
      <c r="C14" s="996" t="s">
        <v>685</v>
      </c>
      <c r="D14" s="531">
        <v>200</v>
      </c>
      <c r="E14" s="1006">
        <v>100</v>
      </c>
      <c r="F14" s="531" t="s">
        <v>684</v>
      </c>
      <c r="G14" s="531">
        <v>2</v>
      </c>
      <c r="H14" s="532">
        <f>8486.03*0.79*1.2</f>
        <v>8044.756440000001</v>
      </c>
      <c r="I14" s="998">
        <f t="shared" si="7"/>
        <v>804475.64400000009</v>
      </c>
      <c r="J14" s="999">
        <f>16080.28*1.2</f>
        <v>19296.335999999999</v>
      </c>
      <c r="K14" s="1000">
        <v>5441974.7800000003</v>
      </c>
      <c r="L14" s="999">
        <f>1498.75*1.2</f>
        <v>1798.5</v>
      </c>
      <c r="M14" s="1001">
        <f t="shared" si="0"/>
        <v>3.3048664734899778E-2</v>
      </c>
      <c r="N14" s="1002"/>
      <c r="O14" s="1002">
        <f>IF(($G14)=2,($K14),"")*$N$2/100*$O$2/100</f>
        <v>6005458.6166203199</v>
      </c>
      <c r="P14" s="1002"/>
      <c r="Q14" s="1002" t="str">
        <f t="shared" si="8"/>
        <v/>
      </c>
      <c r="R14" s="1002" t="str">
        <f t="shared" si="9"/>
        <v/>
      </c>
      <c r="S14" s="533" t="str">
        <f t="shared" si="1"/>
        <v/>
      </c>
      <c r="T14" s="533" t="str">
        <f t="shared" si="2"/>
        <v/>
      </c>
      <c r="U14" s="533" t="str">
        <f t="shared" si="3"/>
        <v/>
      </c>
      <c r="V14" s="533" t="str">
        <f t="shared" si="4"/>
        <v/>
      </c>
      <c r="W14" s="533" t="str">
        <f t="shared" si="5"/>
        <v/>
      </c>
      <c r="X14" s="536" t="s">
        <v>912</v>
      </c>
      <c r="Y14" s="1171" t="s">
        <v>275</v>
      </c>
    </row>
    <row r="15" spans="1:41" s="534" customFormat="1" ht="47.25">
      <c r="A15" s="531">
        <v>10</v>
      </c>
      <c r="B15" s="504" t="s">
        <v>742</v>
      </c>
      <c r="C15" s="996" t="s">
        <v>685</v>
      </c>
      <c r="D15" s="531">
        <v>400</v>
      </c>
      <c r="E15" s="1006">
        <v>120</v>
      </c>
      <c r="F15" s="531" t="s">
        <v>684</v>
      </c>
      <c r="G15" s="531">
        <v>3</v>
      </c>
      <c r="H15" s="532">
        <f>15264.67*0.79*1.2</f>
        <v>14470.907160000001</v>
      </c>
      <c r="I15" s="998">
        <f t="shared" si="7"/>
        <v>1736508.8592000001</v>
      </c>
      <c r="J15" s="999">
        <f>22626.71*1.2*1.061</f>
        <v>28808.327171999998</v>
      </c>
      <c r="K15" s="1000">
        <v>1978990.21</v>
      </c>
      <c r="L15" s="999">
        <f>5985*1.2</f>
        <v>7182</v>
      </c>
      <c r="M15" s="1001">
        <f t="shared" si="0"/>
        <v>0.43549482743525042</v>
      </c>
      <c r="N15" s="1002" t="str">
        <f t="shared" si="10"/>
        <v/>
      </c>
      <c r="O15" s="1002"/>
      <c r="P15" s="1002">
        <f>IF(($G15)=3,($K15),"")*N2/100*O2/100*P2/100</f>
        <v>2288730.1053748433</v>
      </c>
      <c r="Q15" s="1002" t="str">
        <f t="shared" si="8"/>
        <v/>
      </c>
      <c r="R15" s="1002" t="str">
        <f t="shared" si="9"/>
        <v/>
      </c>
      <c r="S15" s="533" t="str">
        <f t="shared" si="1"/>
        <v/>
      </c>
      <c r="T15" s="533" t="str">
        <f t="shared" si="2"/>
        <v/>
      </c>
      <c r="U15" s="533" t="str">
        <f t="shared" si="3"/>
        <v/>
      </c>
      <c r="V15" s="533" t="str">
        <f t="shared" si="4"/>
        <v/>
      </c>
      <c r="W15" s="533" t="str">
        <f t="shared" si="5"/>
        <v/>
      </c>
      <c r="X15" s="536" t="s">
        <v>912</v>
      </c>
      <c r="Y15" s="1171" t="s">
        <v>275</v>
      </c>
    </row>
    <row r="16" spans="1:41" s="534" customFormat="1" ht="47.25">
      <c r="A16" s="531">
        <v>11</v>
      </c>
      <c r="B16" s="504" t="s">
        <v>746</v>
      </c>
      <c r="C16" s="996" t="s">
        <v>685</v>
      </c>
      <c r="D16" s="531">
        <v>100</v>
      </c>
      <c r="E16" s="1006">
        <v>310</v>
      </c>
      <c r="F16" s="531" t="s">
        <v>684</v>
      </c>
      <c r="G16" s="531">
        <v>2</v>
      </c>
      <c r="H16" s="1003">
        <f>3008.67*1.2</f>
        <v>3610.404</v>
      </c>
      <c r="I16" s="998">
        <f t="shared" si="7"/>
        <v>1119225.24</v>
      </c>
      <c r="J16" s="999">
        <f>J21</f>
        <v>6376.8359999999993</v>
      </c>
      <c r="K16" s="1000">
        <v>9733443.2200000007</v>
      </c>
      <c r="L16" s="999" t="e">
        <f>#REF!</f>
        <v>#REF!</v>
      </c>
      <c r="M16" s="1001" t="e">
        <f t="shared" si="0"/>
        <v>#REF!</v>
      </c>
      <c r="N16" s="1002"/>
      <c r="O16" s="1002">
        <f>IF(($G16)=2,($K16),"")*$N$2/100*$O$2/100</f>
        <v>10741282.864771679</v>
      </c>
      <c r="P16" s="1002" t="str">
        <f t="shared" si="11"/>
        <v/>
      </c>
      <c r="Q16" s="1002" t="str">
        <f t="shared" si="8"/>
        <v/>
      </c>
      <c r="R16" s="1002" t="str">
        <f t="shared" si="9"/>
        <v/>
      </c>
      <c r="S16" s="533" t="str">
        <f t="shared" si="1"/>
        <v/>
      </c>
      <c r="T16" s="533" t="str">
        <f t="shared" si="2"/>
        <v/>
      </c>
      <c r="U16" s="533" t="str">
        <f t="shared" si="3"/>
        <v/>
      </c>
      <c r="V16" s="533" t="str">
        <f t="shared" si="4"/>
        <v/>
      </c>
      <c r="W16" s="533" t="str">
        <f t="shared" si="5"/>
        <v/>
      </c>
      <c r="X16" s="536" t="s">
        <v>912</v>
      </c>
      <c r="Y16" s="1171" t="s">
        <v>275</v>
      </c>
    </row>
    <row r="17" spans="1:41" s="534" customFormat="1" ht="47.25">
      <c r="A17" s="531">
        <f t="shared" ref="A17:A26" si="12">1+A16</f>
        <v>12</v>
      </c>
      <c r="B17" s="504" t="s">
        <v>740</v>
      </c>
      <c r="C17" s="996" t="s">
        <v>685</v>
      </c>
      <c r="D17" s="531">
        <v>300</v>
      </c>
      <c r="E17" s="1006">
        <v>670</v>
      </c>
      <c r="F17" s="531" t="s">
        <v>684</v>
      </c>
      <c r="G17" s="531">
        <v>2</v>
      </c>
      <c r="H17" s="1003">
        <f>11575.02*0.79*1.2</f>
        <v>10973.118960000002</v>
      </c>
      <c r="I17" s="998">
        <f t="shared" si="7"/>
        <v>7351989.7032000013</v>
      </c>
      <c r="J17" s="999">
        <f>J19</f>
        <v>28688.243016213015</v>
      </c>
      <c r="K17" s="1000">
        <v>6405606.5800000001</v>
      </c>
      <c r="L17" s="999">
        <f>3727.5*1.2</f>
        <v>4473</v>
      </c>
      <c r="M17" s="1001">
        <f t="shared" si="0"/>
        <v>0.46785733131927687</v>
      </c>
      <c r="N17" s="1002" t="str">
        <f t="shared" si="10"/>
        <v/>
      </c>
      <c r="O17" s="1002">
        <f>IF(($G17)=2,($K17),"")*N2/100*O2/100</f>
        <v>7068868.7077195188</v>
      </c>
      <c r="P17" s="1002" t="str">
        <f t="shared" si="11"/>
        <v/>
      </c>
      <c r="Q17" s="1002" t="str">
        <f t="shared" si="8"/>
        <v/>
      </c>
      <c r="R17" s="1002" t="str">
        <f t="shared" si="9"/>
        <v/>
      </c>
      <c r="S17" s="533" t="str">
        <f t="shared" si="1"/>
        <v/>
      </c>
      <c r="T17" s="533" t="str">
        <f t="shared" si="2"/>
        <v/>
      </c>
      <c r="U17" s="533" t="str">
        <f t="shared" si="3"/>
        <v/>
      </c>
      <c r="V17" s="533" t="str">
        <f t="shared" si="4"/>
        <v/>
      </c>
      <c r="W17" s="533" t="str">
        <f t="shared" si="5"/>
        <v/>
      </c>
      <c r="X17" s="536" t="s">
        <v>912</v>
      </c>
      <c r="Y17" s="1171" t="s">
        <v>275</v>
      </c>
    </row>
    <row r="18" spans="1:41" s="534" customFormat="1" ht="47.25">
      <c r="A18" s="531">
        <v>13</v>
      </c>
      <c r="B18" s="504" t="s">
        <v>751</v>
      </c>
      <c r="C18" s="996" t="s">
        <v>685</v>
      </c>
      <c r="D18" s="531">
        <v>600</v>
      </c>
      <c r="E18" s="1006">
        <v>600</v>
      </c>
      <c r="F18" s="531" t="s">
        <v>684</v>
      </c>
      <c r="G18" s="531">
        <v>4</v>
      </c>
      <c r="H18" s="1003">
        <f>32601.31*0.79*1.2</f>
        <v>30906.041880000001</v>
      </c>
      <c r="I18" s="998">
        <f t="shared" si="7"/>
        <v>18543625.127999999</v>
      </c>
      <c r="J18" s="999">
        <f>H18*2</f>
        <v>61812.083760000001</v>
      </c>
      <c r="K18" s="1000">
        <v>69193530.890000001</v>
      </c>
      <c r="L18" s="999">
        <v>12903</v>
      </c>
      <c r="M18" s="1001">
        <f t="shared" si="0"/>
        <v>0.11188618213901354</v>
      </c>
      <c r="N18" s="1002"/>
      <c r="O18" s="1002"/>
      <c r="P18" s="1002"/>
      <c r="Q18" s="1002">
        <f>IF(($G18)=4,($K18),"")*N2/100*O2/100*P2/100*Q2/100</f>
        <v>83864413.09019579</v>
      </c>
      <c r="R18" s="1002" t="str">
        <f t="shared" si="9"/>
        <v/>
      </c>
      <c r="S18" s="533" t="str">
        <f t="shared" si="1"/>
        <v/>
      </c>
      <c r="T18" s="533" t="str">
        <f t="shared" si="2"/>
        <v/>
      </c>
      <c r="U18" s="533" t="str">
        <f t="shared" si="3"/>
        <v/>
      </c>
      <c r="V18" s="533" t="str">
        <f t="shared" si="4"/>
        <v/>
      </c>
      <c r="W18" s="533" t="str">
        <f t="shared" si="5"/>
        <v/>
      </c>
      <c r="X18" s="536" t="s">
        <v>912</v>
      </c>
      <c r="Y18" s="1171" t="s">
        <v>275</v>
      </c>
    </row>
    <row r="19" spans="1:41" s="534" customFormat="1" ht="47.25">
      <c r="A19" s="531">
        <f t="shared" si="12"/>
        <v>14</v>
      </c>
      <c r="B19" s="504" t="s">
        <v>748</v>
      </c>
      <c r="C19" s="996" t="s">
        <v>685</v>
      </c>
      <c r="D19" s="531">
        <v>300</v>
      </c>
      <c r="E19" s="1006">
        <v>350</v>
      </c>
      <c r="F19" s="531" t="s">
        <v>684</v>
      </c>
      <c r="G19" s="531">
        <v>2</v>
      </c>
      <c r="H19" s="1003">
        <f>11575.02*0.79*1.2</f>
        <v>10973.118960000002</v>
      </c>
      <c r="I19" s="998">
        <f t="shared" si="7"/>
        <v>3840591.6360000004</v>
      </c>
      <c r="J19" s="999">
        <f>J7</f>
        <v>28688.243016213015</v>
      </c>
      <c r="K19" s="1000">
        <v>3464490.74</v>
      </c>
      <c r="L19" s="999">
        <f>3727.5*1.2</f>
        <v>4473</v>
      </c>
      <c r="M19" s="1001">
        <f t="shared" si="0"/>
        <v>0.45188459646452972</v>
      </c>
      <c r="N19" s="1002" t="str">
        <f t="shared" si="10"/>
        <v/>
      </c>
      <c r="O19" s="1002">
        <f>IF(($G19)=2,($K19),"")*N2/100*O2/100</f>
        <v>3823217.9691825598</v>
      </c>
      <c r="P19" s="1002" t="str">
        <f t="shared" si="11"/>
        <v/>
      </c>
      <c r="Q19" s="1002" t="str">
        <f t="shared" si="8"/>
        <v/>
      </c>
      <c r="R19" s="1002" t="str">
        <f t="shared" si="9"/>
        <v/>
      </c>
      <c r="S19" s="533" t="str">
        <f t="shared" si="1"/>
        <v/>
      </c>
      <c r="T19" s="533" t="str">
        <f t="shared" si="2"/>
        <v/>
      </c>
      <c r="U19" s="533" t="str">
        <f t="shared" si="3"/>
        <v/>
      </c>
      <c r="V19" s="533" t="str">
        <f t="shared" si="4"/>
        <v/>
      </c>
      <c r="W19" s="533" t="str">
        <f t="shared" si="5"/>
        <v/>
      </c>
      <c r="X19" s="536" t="s">
        <v>912</v>
      </c>
      <c r="Y19" s="1171" t="s">
        <v>275</v>
      </c>
    </row>
    <row r="20" spans="1:41" s="534" customFormat="1" ht="63">
      <c r="A20" s="531">
        <f t="shared" si="12"/>
        <v>15</v>
      </c>
      <c r="B20" s="504" t="s">
        <v>752</v>
      </c>
      <c r="C20" s="996" t="s">
        <v>685</v>
      </c>
      <c r="D20" s="531">
        <v>225</v>
      </c>
      <c r="E20" s="1006">
        <v>1217</v>
      </c>
      <c r="F20" s="531" t="s">
        <v>684</v>
      </c>
      <c r="G20" s="531">
        <v>4</v>
      </c>
      <c r="H20" s="1003">
        <f>11575.02*0.79*1.2</f>
        <v>10973.118960000002</v>
      </c>
      <c r="I20" s="998">
        <f t="shared" si="7"/>
        <v>13354285.774320003</v>
      </c>
      <c r="J20" s="999">
        <f>J19</f>
        <v>28688.243016213015</v>
      </c>
      <c r="K20" s="1000">
        <v>27832813.870000001</v>
      </c>
      <c r="L20" s="999">
        <f>3727.5*1.2</f>
        <v>4473</v>
      </c>
      <c r="M20" s="1001">
        <f t="shared" si="0"/>
        <v>0.19558356641286301</v>
      </c>
      <c r="N20" s="1002" t="str">
        <f t="shared" si="10"/>
        <v/>
      </c>
      <c r="O20" s="1002"/>
      <c r="P20" s="1002" t="str">
        <f t="shared" si="11"/>
        <v/>
      </c>
      <c r="Q20" s="1002">
        <f>IF(($G20)=4,($K20),"")*N2/100*O2/100*P2/100*Q2/100</f>
        <v>33734116.034155898</v>
      </c>
      <c r="R20" s="1002"/>
      <c r="S20" s="533" t="str">
        <f t="shared" si="1"/>
        <v/>
      </c>
      <c r="T20" s="533" t="str">
        <f t="shared" si="2"/>
        <v/>
      </c>
      <c r="U20" s="533" t="str">
        <f t="shared" si="3"/>
        <v/>
      </c>
      <c r="V20" s="533" t="str">
        <f t="shared" si="4"/>
        <v/>
      </c>
      <c r="W20" s="533" t="str">
        <f t="shared" si="5"/>
        <v/>
      </c>
      <c r="X20" s="536" t="s">
        <v>912</v>
      </c>
      <c r="Y20" s="1171" t="s">
        <v>275</v>
      </c>
    </row>
    <row r="21" spans="1:41" s="534" customFormat="1" ht="47.25">
      <c r="A21" s="531">
        <v>16</v>
      </c>
      <c r="B21" s="504" t="s">
        <v>749</v>
      </c>
      <c r="C21" s="996" t="s">
        <v>685</v>
      </c>
      <c r="D21" s="531">
        <v>100</v>
      </c>
      <c r="E21" s="1006">
        <v>460</v>
      </c>
      <c r="F21" s="531" t="s">
        <v>684</v>
      </c>
      <c r="G21" s="531">
        <v>1</v>
      </c>
      <c r="H21" s="1003">
        <f>3328.0646*1.2</f>
        <v>3993.6775200000002</v>
      </c>
      <c r="I21" s="998">
        <f t="shared" si="7"/>
        <v>1837091.6592000001</v>
      </c>
      <c r="J21" s="999">
        <f>5314.03*1.2</f>
        <v>6376.8359999999993</v>
      </c>
      <c r="K21" s="1000">
        <v>2283570.73</v>
      </c>
      <c r="L21" s="999">
        <f>456.31</f>
        <v>456.31</v>
      </c>
      <c r="M21" s="1001">
        <f t="shared" si="0"/>
        <v>9.1918589270059525E-2</v>
      </c>
      <c r="N21" s="1002">
        <f>IF(($G21)=1,($K21),"")*N2/100</f>
        <v>2404599.9786899998</v>
      </c>
      <c r="O21" s="1002"/>
      <c r="P21" s="1002"/>
      <c r="Q21" s="1002"/>
      <c r="R21" s="1002" t="str">
        <f t="shared" si="9"/>
        <v/>
      </c>
      <c r="S21" s="533" t="str">
        <f t="shared" si="1"/>
        <v/>
      </c>
      <c r="T21" s="533" t="str">
        <f t="shared" si="2"/>
        <v/>
      </c>
      <c r="U21" s="533" t="str">
        <f t="shared" si="3"/>
        <v/>
      </c>
      <c r="V21" s="533" t="str">
        <f t="shared" si="4"/>
        <v/>
      </c>
      <c r="W21" s="533" t="str">
        <f t="shared" si="5"/>
        <v/>
      </c>
      <c r="X21" s="536" t="s">
        <v>912</v>
      </c>
      <c r="Y21" s="1171" t="s">
        <v>275</v>
      </c>
    </row>
    <row r="22" spans="1:41" s="534" customFormat="1" ht="47.25">
      <c r="A22" s="531">
        <v>17</v>
      </c>
      <c r="B22" s="504" t="s">
        <v>750</v>
      </c>
      <c r="C22" s="996" t="s">
        <v>685</v>
      </c>
      <c r="D22" s="531">
        <v>40</v>
      </c>
      <c r="E22" s="1006">
        <v>326</v>
      </c>
      <c r="F22" s="531" t="s">
        <v>684</v>
      </c>
      <c r="G22" s="531">
        <v>1</v>
      </c>
      <c r="H22" s="1003">
        <f>3328.0646*1.2</f>
        <v>3993.6775200000002</v>
      </c>
      <c r="I22" s="998">
        <f t="shared" si="7"/>
        <v>1301938.87152</v>
      </c>
      <c r="J22" s="999">
        <v>3025.8611999999998</v>
      </c>
      <c r="K22" s="1000">
        <v>1155654.74</v>
      </c>
      <c r="L22" s="999"/>
      <c r="M22" s="1001">
        <f t="shared" si="0"/>
        <v>0</v>
      </c>
      <c r="N22" s="1002">
        <f>IF(($G22)=1,($K22),"")*N2/100</f>
        <v>1216904.4412199999</v>
      </c>
      <c r="O22" s="1002"/>
      <c r="P22" s="1002"/>
      <c r="Q22" s="1002"/>
      <c r="R22" s="1002" t="str">
        <f t="shared" si="9"/>
        <v/>
      </c>
      <c r="S22" s="533" t="str">
        <f t="shared" si="1"/>
        <v/>
      </c>
      <c r="T22" s="533" t="str">
        <f t="shared" si="2"/>
        <v/>
      </c>
      <c r="U22" s="533" t="str">
        <f t="shared" si="3"/>
        <v/>
      </c>
      <c r="V22" s="533" t="str">
        <f t="shared" si="4"/>
        <v/>
      </c>
      <c r="W22" s="533" t="str">
        <f t="shared" si="5"/>
        <v/>
      </c>
      <c r="X22" s="536" t="s">
        <v>912</v>
      </c>
      <c r="Y22" s="1171" t="s">
        <v>275</v>
      </c>
    </row>
    <row r="23" spans="1:41" s="534" customFormat="1" ht="47.25">
      <c r="A23" s="531">
        <v>18</v>
      </c>
      <c r="B23" s="504" t="s">
        <v>747</v>
      </c>
      <c r="C23" s="996" t="s">
        <v>685</v>
      </c>
      <c r="D23" s="529" t="s">
        <v>691</v>
      </c>
      <c r="E23" s="997">
        <v>960</v>
      </c>
      <c r="F23" s="531" t="s">
        <v>684</v>
      </c>
      <c r="G23" s="531">
        <v>4</v>
      </c>
      <c r="H23" s="1003">
        <f>11575.02*0.79*1.2</f>
        <v>10973.118960000002</v>
      </c>
      <c r="I23" s="998">
        <f t="shared" si="7"/>
        <v>10534194.201600002</v>
      </c>
      <c r="J23" s="998">
        <f>J20</f>
        <v>28688.243016213015</v>
      </c>
      <c r="K23" s="1000">
        <v>12790755.279999999</v>
      </c>
      <c r="L23" s="998">
        <f>3727.5*1.2</f>
        <v>4473</v>
      </c>
      <c r="M23" s="1008">
        <f t="shared" si="0"/>
        <v>0.33571746984436091</v>
      </c>
      <c r="N23" s="1007" t="str">
        <f t="shared" si="10"/>
        <v/>
      </c>
      <c r="O23" s="1007" t="str">
        <f>IF(($G23)=2,($K23),"")</f>
        <v/>
      </c>
      <c r="P23" s="1002"/>
      <c r="Q23" s="1002">
        <f>IF(($G23)=4,($K23),"")*N2/100*O2/100*P2/100*Q2/100</f>
        <v>15502738.055712519</v>
      </c>
      <c r="R23" s="1002"/>
      <c r="S23" s="533" t="str">
        <f t="shared" si="1"/>
        <v/>
      </c>
      <c r="T23" s="533" t="str">
        <f t="shared" si="2"/>
        <v/>
      </c>
      <c r="U23" s="533" t="str">
        <f t="shared" si="3"/>
        <v/>
      </c>
      <c r="V23" s="533" t="str">
        <f t="shared" si="4"/>
        <v/>
      </c>
      <c r="W23" s="533" t="str">
        <f t="shared" si="5"/>
        <v/>
      </c>
      <c r="X23" s="536" t="s">
        <v>912</v>
      </c>
      <c r="Y23" s="1171" t="s">
        <v>275</v>
      </c>
    </row>
    <row r="24" spans="1:41" s="534" customFormat="1" ht="47.25">
      <c r="A24" s="531">
        <f t="shared" si="12"/>
        <v>19</v>
      </c>
      <c r="B24" s="504" t="s">
        <v>743</v>
      </c>
      <c r="C24" s="996" t="s">
        <v>685</v>
      </c>
      <c r="D24" s="529">
        <v>500</v>
      </c>
      <c r="E24" s="997">
        <v>1100</v>
      </c>
      <c r="F24" s="531" t="s">
        <v>684</v>
      </c>
      <c r="G24" s="531">
        <v>5</v>
      </c>
      <c r="H24" s="1003">
        <f>20817*0.79*1.2</f>
        <v>19734.516</v>
      </c>
      <c r="I24" s="998">
        <f t="shared" si="7"/>
        <v>21707967.599999998</v>
      </c>
      <c r="J24" s="998">
        <v>25436.853253999998</v>
      </c>
      <c r="K24" s="1000">
        <v>35110734.079999998</v>
      </c>
      <c r="L24" s="998">
        <f>9363*1.2</f>
        <v>11235.6</v>
      </c>
      <c r="M24" s="1008">
        <f t="shared" si="0"/>
        <v>0.35200517231680734</v>
      </c>
      <c r="N24" s="1007" t="str">
        <f t="shared" si="10"/>
        <v/>
      </c>
      <c r="O24" s="1007" t="str">
        <f>IF(($G24)=2,($K24),"")</f>
        <v/>
      </c>
      <c r="P24" s="1002"/>
      <c r="Q24" s="1002"/>
      <c r="R24" s="1002">
        <f>IF(($G24)=5,($K24),"")*$N$2/100*$O$2/100*$P$2/100*$Q$2/100*$R$2/100</f>
        <v>44597797.513998508</v>
      </c>
      <c r="S24" s="533" t="str">
        <f t="shared" si="1"/>
        <v/>
      </c>
      <c r="T24" s="533" t="str">
        <f t="shared" si="2"/>
        <v/>
      </c>
      <c r="U24" s="533" t="str">
        <f t="shared" si="3"/>
        <v/>
      </c>
      <c r="V24" s="533" t="str">
        <f t="shared" si="4"/>
        <v/>
      </c>
      <c r="W24" s="533" t="str">
        <f t="shared" si="5"/>
        <v/>
      </c>
      <c r="X24" s="536" t="s">
        <v>912</v>
      </c>
      <c r="Y24" s="1171" t="s">
        <v>275</v>
      </c>
    </row>
    <row r="25" spans="1:41" s="534" customFormat="1" ht="47.25">
      <c r="A25" s="531">
        <v>20</v>
      </c>
      <c r="B25" s="504" t="s">
        <v>744</v>
      </c>
      <c r="C25" s="996" t="s">
        <v>685</v>
      </c>
      <c r="D25" s="531">
        <v>500</v>
      </c>
      <c r="E25" s="1006">
        <v>350</v>
      </c>
      <c r="F25" s="531" t="s">
        <v>684</v>
      </c>
      <c r="G25" s="531">
        <v>5</v>
      </c>
      <c r="H25" s="1003">
        <f>20817*0.79*1.2</f>
        <v>19734.516</v>
      </c>
      <c r="I25" s="998">
        <f t="shared" si="7"/>
        <v>6907080.5999999996</v>
      </c>
      <c r="J25" s="999">
        <f>23974.414*1.061</f>
        <v>25436.853253999998</v>
      </c>
      <c r="K25" s="1000">
        <v>25241568.91</v>
      </c>
      <c r="L25" s="999">
        <f>783.8*1.2</f>
        <v>940.56</v>
      </c>
      <c r="M25" s="1001">
        <f t="shared" si="0"/>
        <v>1.3041820069654299E-2</v>
      </c>
      <c r="N25" s="2657"/>
      <c r="O25" s="1648"/>
      <c r="P25" s="1002"/>
      <c r="Q25" s="1002"/>
      <c r="R25" s="1002">
        <f>IF(($G25)=5,($K25),"")*$N$2/100*$O$2/100*$P$2/100*$Q$2/100*$R$2/100</f>
        <v>32061943.695590768</v>
      </c>
      <c r="S25" s="533" t="str">
        <f t="shared" si="1"/>
        <v/>
      </c>
      <c r="T25" s="533" t="str">
        <f t="shared" si="2"/>
        <v/>
      </c>
      <c r="U25" s="533" t="str">
        <f t="shared" si="3"/>
        <v/>
      </c>
      <c r="V25" s="533" t="str">
        <f t="shared" si="4"/>
        <v/>
      </c>
      <c r="W25" s="533" t="str">
        <f t="shared" si="5"/>
        <v/>
      </c>
      <c r="X25" s="536" t="s">
        <v>912</v>
      </c>
      <c r="Y25" s="1171" t="s">
        <v>275</v>
      </c>
    </row>
    <row r="26" spans="1:41" s="534" customFormat="1" ht="47.25">
      <c r="A26" s="531">
        <f t="shared" si="12"/>
        <v>21</v>
      </c>
      <c r="B26" s="504" t="s">
        <v>745</v>
      </c>
      <c r="C26" s="996" t="s">
        <v>685</v>
      </c>
      <c r="D26" s="531">
        <v>100</v>
      </c>
      <c r="E26" s="1006">
        <v>385</v>
      </c>
      <c r="F26" s="531" t="s">
        <v>684</v>
      </c>
      <c r="G26" s="531">
        <v>1</v>
      </c>
      <c r="H26" s="1003"/>
      <c r="I26" s="998">
        <f t="shared" si="7"/>
        <v>0</v>
      </c>
      <c r="J26" s="999">
        <f>5314.03*1.2</f>
        <v>6376.8359999999993</v>
      </c>
      <c r="K26" s="1000">
        <v>2087221.81</v>
      </c>
      <c r="L26" s="999"/>
      <c r="M26" s="1001">
        <f t="shared" si="0"/>
        <v>0</v>
      </c>
      <c r="N26" s="1002">
        <f>IF(($G26)=1,($K26),"")*N2/100</f>
        <v>2197844.56593</v>
      </c>
      <c r="O26" s="1002"/>
      <c r="P26" s="1002" t="str">
        <f t="shared" si="11"/>
        <v/>
      </c>
      <c r="Q26" s="1002" t="str">
        <f t="shared" si="8"/>
        <v/>
      </c>
      <c r="R26" s="1002" t="str">
        <f t="shared" si="9"/>
        <v/>
      </c>
      <c r="S26" s="533"/>
      <c r="T26" s="533"/>
      <c r="U26" s="533"/>
      <c r="V26" s="533"/>
      <c r="W26" s="533"/>
      <c r="X26" s="536" t="s">
        <v>912</v>
      </c>
      <c r="Y26" s="1171" t="s">
        <v>275</v>
      </c>
    </row>
    <row r="27" spans="1:41">
      <c r="A27" s="507"/>
      <c r="B27" s="508" t="s">
        <v>24</v>
      </c>
      <c r="C27" s="509"/>
      <c r="D27" s="507"/>
      <c r="E27" s="560">
        <f>SUM(E5:E26)</f>
        <v>11864</v>
      </c>
      <c r="F27" s="510"/>
      <c r="G27" s="510"/>
      <c r="H27" s="511"/>
      <c r="I27" s="555">
        <f>SUM(I5:I25)</f>
        <v>156709201.45104</v>
      </c>
      <c r="J27" s="556"/>
      <c r="K27" s="555">
        <f>SUM(K5:K26)</f>
        <v>300133245.45000005</v>
      </c>
      <c r="L27" s="555"/>
      <c r="M27" s="555"/>
      <c r="N27" s="555">
        <f>SUM(N5:N26)</f>
        <v>7597414.5015599988</v>
      </c>
      <c r="O27" s="555">
        <f t="shared" ref="O27:W27" si="13">SUM(O5:O26)</f>
        <v>70570462.16828087</v>
      </c>
      <c r="P27" s="555">
        <f t="shared" si="13"/>
        <v>68002902.71939452</v>
      </c>
      <c r="Q27" s="555">
        <f t="shared" si="13"/>
        <v>133101267.1800642</v>
      </c>
      <c r="R27" s="555">
        <f t="shared" si="13"/>
        <v>76659741.209589273</v>
      </c>
      <c r="S27" s="511">
        <f t="shared" si="13"/>
        <v>0</v>
      </c>
      <c r="T27" s="511">
        <f t="shared" si="13"/>
        <v>0</v>
      </c>
      <c r="U27" s="511">
        <f t="shared" si="13"/>
        <v>0</v>
      </c>
      <c r="V27" s="511">
        <f t="shared" si="13"/>
        <v>0</v>
      </c>
      <c r="W27" s="511">
        <f t="shared" si="13"/>
        <v>0</v>
      </c>
      <c r="X27" s="512"/>
      <c r="Y27" s="1169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  <c r="AL27" s="498"/>
      <c r="AM27" s="498"/>
      <c r="AN27" s="498"/>
      <c r="AO27" s="498"/>
    </row>
    <row r="28" spans="1:41">
      <c r="A28" s="513"/>
      <c r="B28" s="514"/>
      <c r="C28" s="515"/>
      <c r="D28" s="513"/>
      <c r="E28" s="516"/>
      <c r="F28" s="513"/>
      <c r="G28" s="513"/>
      <c r="H28" s="513"/>
      <c r="K28" s="517"/>
      <c r="Y28" s="1169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  <c r="AL28" s="498"/>
      <c r="AM28" s="498"/>
      <c r="AN28" s="498"/>
      <c r="AO28" s="498"/>
    </row>
    <row r="29" spans="1:41">
      <c r="A29" s="513"/>
      <c r="B29" s="514"/>
      <c r="C29" s="515"/>
      <c r="D29" s="513"/>
      <c r="E29" s="516">
        <f>E27-E13</f>
        <v>11284</v>
      </c>
      <c r="F29" s="513"/>
      <c r="G29" s="513"/>
      <c r="H29" s="513"/>
      <c r="K29" s="517">
        <f>N29+O29+P29</f>
        <v>315415725.05743724</v>
      </c>
      <c r="N29" s="1187">
        <f>Мероприятия_и_источники!I184*1000</f>
        <v>187415480.56356665</v>
      </c>
      <c r="O29" s="1187">
        <f>Мероприятия_и_источники!J184*1000</f>
        <v>59997341.774476081</v>
      </c>
      <c r="P29" s="1187">
        <f>Мероприятия_и_источники!K184*1000</f>
        <v>68002902.719394505</v>
      </c>
      <c r="Y29" s="1169"/>
      <c r="Z29" s="498"/>
      <c r="AA29" s="498"/>
      <c r="AB29" s="498"/>
      <c r="AC29" s="498"/>
      <c r="AD29" s="498"/>
      <c r="AE29" s="498"/>
      <c r="AF29" s="498"/>
      <c r="AG29" s="498"/>
      <c r="AH29" s="498"/>
      <c r="AI29" s="498"/>
      <c r="AJ29" s="498"/>
      <c r="AK29" s="498"/>
      <c r="AL29" s="498"/>
      <c r="AM29" s="498"/>
      <c r="AN29" s="498"/>
      <c r="AO29" s="498"/>
    </row>
    <row r="30" spans="1:41">
      <c r="H30" s="513"/>
      <c r="K30" s="517">
        <f>K29/1.2</f>
        <v>262846437.54786438</v>
      </c>
      <c r="Y30" s="1169"/>
      <c r="Z30" s="498"/>
      <c r="AA30" s="498"/>
      <c r="AB30" s="498"/>
      <c r="AC30" s="498"/>
      <c r="AD30" s="498"/>
      <c r="AE30" s="498"/>
      <c r="AF30" s="498"/>
      <c r="AG30" s="498"/>
      <c r="AH30" s="498"/>
      <c r="AI30" s="498"/>
      <c r="AJ30" s="498"/>
      <c r="AK30" s="498"/>
      <c r="AL30" s="498"/>
      <c r="AM30" s="498"/>
      <c r="AN30" s="498"/>
      <c r="AO30" s="498"/>
    </row>
    <row r="31" spans="1:41">
      <c r="E31" s="1013"/>
      <c r="H31" s="513"/>
      <c r="Y31" s="1169"/>
      <c r="Z31" s="498"/>
      <c r="AA31" s="498"/>
      <c r="AB31" s="498"/>
      <c r="AC31" s="498"/>
      <c r="AD31" s="498"/>
      <c r="AE31" s="498"/>
      <c r="AF31" s="498"/>
      <c r="AG31" s="498"/>
      <c r="AH31" s="498"/>
      <c r="AI31" s="498"/>
      <c r="AJ31" s="498"/>
      <c r="AK31" s="498"/>
      <c r="AL31" s="498"/>
      <c r="AM31" s="498"/>
      <c r="AN31" s="498"/>
      <c r="AO31" s="498"/>
    </row>
    <row r="32" spans="1:41">
      <c r="Y32" s="1169"/>
      <c r="Z32" s="498"/>
      <c r="AA32" s="498"/>
      <c r="AB32" s="498"/>
      <c r="AC32" s="498"/>
      <c r="AD32" s="498"/>
      <c r="AE32" s="498"/>
      <c r="AF32" s="498"/>
      <c r="AG32" s="498"/>
      <c r="AH32" s="498"/>
      <c r="AI32" s="498"/>
      <c r="AJ32" s="498"/>
      <c r="AK32" s="498"/>
      <c r="AL32" s="498"/>
      <c r="AM32" s="498"/>
      <c r="AN32" s="498"/>
      <c r="AO32" s="498"/>
    </row>
    <row r="33" spans="1:41">
      <c r="Y33" s="1169"/>
      <c r="Z33" s="498"/>
      <c r="AA33" s="498"/>
      <c r="AB33" s="498"/>
      <c r="AC33" s="498"/>
      <c r="AD33" s="498"/>
      <c r="AE33" s="498"/>
      <c r="AF33" s="498"/>
      <c r="AG33" s="498"/>
      <c r="AH33" s="498"/>
      <c r="AI33" s="498"/>
      <c r="AJ33" s="498"/>
      <c r="AK33" s="498"/>
      <c r="AL33" s="498"/>
      <c r="AM33" s="498"/>
      <c r="AN33" s="498"/>
      <c r="AO33" s="498"/>
    </row>
    <row r="36" spans="1:41">
      <c r="Y36" s="1169"/>
      <c r="Z36" s="498"/>
      <c r="AA36" s="498"/>
      <c r="AB36" s="498"/>
      <c r="AC36" s="498"/>
      <c r="AD36" s="498"/>
      <c r="AE36" s="498"/>
      <c r="AF36" s="498"/>
      <c r="AG36" s="498"/>
      <c r="AH36" s="498"/>
      <c r="AI36" s="498"/>
      <c r="AJ36" s="498"/>
      <c r="AK36" s="498"/>
      <c r="AL36" s="498"/>
      <c r="AM36" s="498"/>
      <c r="AN36" s="498"/>
      <c r="AO36" s="498"/>
    </row>
    <row r="37" spans="1:41">
      <c r="Y37" s="1169"/>
      <c r="Z37" s="498"/>
      <c r="AA37" s="498"/>
      <c r="AB37" s="498"/>
      <c r="AC37" s="498"/>
      <c r="AD37" s="498"/>
      <c r="AE37" s="498"/>
      <c r="AF37" s="498"/>
      <c r="AG37" s="498"/>
      <c r="AH37" s="498"/>
      <c r="AI37" s="498"/>
      <c r="AJ37" s="498"/>
      <c r="AK37" s="498"/>
      <c r="AL37" s="498"/>
      <c r="AM37" s="498"/>
      <c r="AN37" s="498"/>
      <c r="AO37" s="498"/>
    </row>
    <row r="42" spans="1:41">
      <c r="Y42" s="1169"/>
      <c r="Z42" s="498"/>
      <c r="AA42" s="498"/>
      <c r="AB42" s="498"/>
      <c r="AC42" s="498"/>
      <c r="AD42" s="498"/>
      <c r="AE42" s="498"/>
      <c r="AF42" s="498"/>
      <c r="AG42" s="498"/>
      <c r="AH42" s="498"/>
      <c r="AI42" s="498"/>
      <c r="AJ42" s="498"/>
      <c r="AK42" s="498"/>
      <c r="AL42" s="498"/>
      <c r="AM42" s="498"/>
      <c r="AN42" s="498"/>
      <c r="AO42" s="498"/>
    </row>
    <row r="44" spans="1:41">
      <c r="Y44" s="1169"/>
      <c r="Z44" s="498"/>
      <c r="AA44" s="498"/>
      <c r="AB44" s="498"/>
      <c r="AC44" s="498"/>
      <c r="AD44" s="498"/>
      <c r="AE44" s="498"/>
      <c r="AF44" s="498"/>
      <c r="AG44" s="498"/>
      <c r="AH44" s="498"/>
      <c r="AI44" s="498"/>
      <c r="AJ44" s="498"/>
      <c r="AK44" s="498"/>
      <c r="AL44" s="498"/>
      <c r="AM44" s="498"/>
      <c r="AN44" s="498"/>
      <c r="AO44" s="498"/>
    </row>
    <row r="45" spans="1:41" ht="25.5" customHeight="1">
      <c r="Y45" s="1169"/>
      <c r="Z45" s="498"/>
      <c r="AA45" s="498"/>
      <c r="AB45" s="498"/>
      <c r="AC45" s="498"/>
      <c r="AD45" s="498"/>
      <c r="AE45" s="498"/>
      <c r="AF45" s="498"/>
      <c r="AG45" s="498"/>
      <c r="AH45" s="498"/>
      <c r="AI45" s="498"/>
      <c r="AJ45" s="498"/>
      <c r="AK45" s="498"/>
      <c r="AL45" s="498"/>
      <c r="AM45" s="498"/>
      <c r="AN45" s="498"/>
      <c r="AO45" s="498"/>
    </row>
    <row r="47" spans="1:41">
      <c r="A47" s="518"/>
      <c r="B47" s="519"/>
      <c r="C47" s="520"/>
      <c r="D47" s="518"/>
      <c r="Y47" s="1169"/>
      <c r="Z47" s="498"/>
      <c r="AA47" s="498"/>
      <c r="AB47" s="498"/>
      <c r="AC47" s="498"/>
      <c r="AD47" s="498"/>
      <c r="AE47" s="498"/>
      <c r="AF47" s="498"/>
      <c r="AG47" s="498"/>
      <c r="AH47" s="498"/>
      <c r="AI47" s="498"/>
      <c r="AJ47" s="498"/>
      <c r="AK47" s="498"/>
      <c r="AL47" s="498"/>
      <c r="AM47" s="498"/>
      <c r="AN47" s="498"/>
      <c r="AO47" s="498"/>
    </row>
    <row r="48" spans="1:41" ht="67.5" customHeight="1">
      <c r="A48" s="518"/>
      <c r="B48" s="519"/>
      <c r="C48" s="520"/>
      <c r="D48" s="518"/>
      <c r="Y48" s="1169"/>
      <c r="Z48" s="498"/>
      <c r="AA48" s="498"/>
      <c r="AB48" s="498"/>
      <c r="AC48" s="498"/>
      <c r="AD48" s="498"/>
      <c r="AE48" s="498"/>
      <c r="AF48" s="498"/>
      <c r="AG48" s="498"/>
      <c r="AH48" s="498"/>
      <c r="AI48" s="498"/>
      <c r="AJ48" s="498"/>
      <c r="AK48" s="498"/>
      <c r="AL48" s="498"/>
      <c r="AM48" s="498"/>
      <c r="AN48" s="498"/>
      <c r="AO48" s="498"/>
    </row>
    <row r="49" spans="1:41" ht="90.75" customHeight="1">
      <c r="A49" s="518"/>
      <c r="B49" s="519"/>
      <c r="C49" s="520"/>
      <c r="D49" s="518"/>
      <c r="Y49" s="1169"/>
      <c r="Z49" s="498"/>
      <c r="AA49" s="498"/>
      <c r="AB49" s="498"/>
      <c r="AC49" s="498"/>
      <c r="AD49" s="498"/>
      <c r="AE49" s="498"/>
      <c r="AF49" s="498"/>
      <c r="AG49" s="498"/>
      <c r="AH49" s="498"/>
      <c r="AI49" s="498"/>
      <c r="AJ49" s="498"/>
      <c r="AK49" s="498"/>
      <c r="AL49" s="498"/>
      <c r="AM49" s="498"/>
      <c r="AN49" s="498"/>
      <c r="AO49" s="498"/>
    </row>
    <row r="50" spans="1:41" ht="35.25" customHeight="1">
      <c r="A50" s="518"/>
      <c r="B50" s="519"/>
      <c r="C50" s="520"/>
      <c r="D50" s="518"/>
      <c r="E50" s="518"/>
      <c r="F50" s="518"/>
      <c r="G50" s="518"/>
      <c r="Y50" s="1169"/>
      <c r="Z50" s="498"/>
      <c r="AA50" s="498"/>
      <c r="AB50" s="498"/>
      <c r="AC50" s="498"/>
      <c r="AD50" s="498"/>
      <c r="AE50" s="498"/>
      <c r="AF50" s="498"/>
      <c r="AG50" s="498"/>
      <c r="AH50" s="498"/>
      <c r="AI50" s="498"/>
      <c r="AJ50" s="498"/>
      <c r="AK50" s="498"/>
      <c r="AL50" s="498"/>
      <c r="AM50" s="498"/>
      <c r="AN50" s="498"/>
      <c r="AO50" s="498"/>
    </row>
    <row r="51" spans="1:41" ht="30.75" customHeight="1">
      <c r="A51" s="518"/>
      <c r="B51" s="519"/>
      <c r="C51" s="520"/>
      <c r="D51" s="518"/>
      <c r="E51" s="518"/>
      <c r="F51" s="518"/>
      <c r="G51" s="518"/>
      <c r="Y51" s="1169"/>
      <c r="Z51" s="498"/>
      <c r="AA51" s="498"/>
      <c r="AB51" s="498"/>
      <c r="AC51" s="498"/>
      <c r="AD51" s="498"/>
      <c r="AE51" s="498"/>
      <c r="AF51" s="498"/>
      <c r="AG51" s="498"/>
      <c r="AH51" s="498"/>
      <c r="AI51" s="498"/>
      <c r="AJ51" s="498"/>
      <c r="AK51" s="498"/>
      <c r="AL51" s="498"/>
      <c r="AM51" s="498"/>
      <c r="AN51" s="498"/>
      <c r="AO51" s="498"/>
    </row>
    <row r="52" spans="1:41" s="518" customFormat="1" ht="30" customHeight="1">
      <c r="B52" s="519"/>
      <c r="C52" s="520"/>
      <c r="K52" s="521"/>
      <c r="Y52" s="1172"/>
    </row>
    <row r="53" spans="1:41" s="518" customFormat="1" ht="30" customHeight="1">
      <c r="B53" s="519"/>
      <c r="C53" s="520"/>
      <c r="K53" s="521"/>
      <c r="Y53" s="1172"/>
    </row>
    <row r="54" spans="1:41" s="518" customFormat="1" ht="30" customHeight="1">
      <c r="B54" s="519"/>
      <c r="C54" s="520"/>
      <c r="K54" s="521"/>
      <c r="Y54" s="1172"/>
    </row>
    <row r="55" spans="1:41" s="518" customFormat="1" ht="30" customHeight="1">
      <c r="B55" s="519"/>
      <c r="C55" s="520"/>
      <c r="K55" s="521"/>
      <c r="Y55" s="1172"/>
    </row>
    <row r="56" spans="1:41" s="518" customFormat="1" ht="30" customHeight="1">
      <c r="B56" s="519"/>
      <c r="C56" s="520"/>
      <c r="K56" s="521"/>
      <c r="Y56" s="1172"/>
    </row>
    <row r="57" spans="1:41" s="518" customFormat="1" ht="30" customHeight="1">
      <c r="B57" s="519"/>
      <c r="C57" s="520"/>
      <c r="K57" s="521"/>
      <c r="Y57" s="1172"/>
    </row>
    <row r="58" spans="1:41" s="518" customFormat="1" ht="48.75" customHeight="1">
      <c r="B58" s="519"/>
      <c r="C58" s="520"/>
      <c r="K58" s="521"/>
      <c r="Y58" s="1172"/>
    </row>
    <row r="59" spans="1:41" s="518" customFormat="1" ht="48" customHeight="1">
      <c r="B59" s="519"/>
      <c r="C59" s="520"/>
      <c r="K59" s="521"/>
      <c r="Y59" s="1172"/>
    </row>
    <row r="60" spans="1:41" s="518" customFormat="1" ht="30" customHeight="1">
      <c r="B60" s="519"/>
      <c r="C60" s="520"/>
      <c r="K60" s="521"/>
      <c r="Y60" s="1172"/>
    </row>
    <row r="61" spans="1:41" s="518" customFormat="1" ht="30" customHeight="1">
      <c r="B61" s="519"/>
      <c r="C61" s="520"/>
      <c r="K61" s="521"/>
      <c r="Y61" s="1172"/>
    </row>
    <row r="62" spans="1:41" s="518" customFormat="1" ht="30" customHeight="1">
      <c r="B62" s="519"/>
      <c r="C62" s="520"/>
      <c r="K62" s="521"/>
      <c r="Y62" s="1172"/>
    </row>
    <row r="63" spans="1:41" s="518" customFormat="1" ht="30" customHeight="1">
      <c r="B63" s="519"/>
      <c r="C63" s="520"/>
      <c r="K63" s="521"/>
      <c r="Y63" s="1172"/>
    </row>
    <row r="64" spans="1:41" s="518" customFormat="1" ht="30" customHeight="1">
      <c r="B64" s="519"/>
      <c r="C64" s="520"/>
      <c r="K64" s="521"/>
      <c r="Y64" s="1172"/>
    </row>
    <row r="65" spans="1:25" s="518" customFormat="1" ht="30" customHeight="1">
      <c r="B65" s="519"/>
      <c r="C65" s="520"/>
      <c r="K65" s="521"/>
      <c r="Y65" s="1172"/>
    </row>
    <row r="66" spans="1:25" s="518" customFormat="1" ht="30" customHeight="1">
      <c r="B66" s="519"/>
      <c r="C66" s="520"/>
      <c r="K66" s="521"/>
      <c r="Y66" s="1172"/>
    </row>
    <row r="67" spans="1:25" s="518" customFormat="1" ht="30" customHeight="1">
      <c r="B67" s="519"/>
      <c r="C67" s="520"/>
      <c r="K67" s="521"/>
      <c r="Y67" s="1172"/>
    </row>
    <row r="68" spans="1:25" s="518" customFormat="1" ht="30" customHeight="1">
      <c r="B68" s="519"/>
      <c r="C68" s="520"/>
      <c r="K68" s="521"/>
      <c r="Y68" s="1172"/>
    </row>
    <row r="69" spans="1:25" s="518" customFormat="1" ht="30" customHeight="1">
      <c r="B69" s="519"/>
      <c r="C69" s="520"/>
      <c r="K69" s="521"/>
      <c r="Y69" s="1172"/>
    </row>
    <row r="70" spans="1:25" s="518" customFormat="1" ht="30" customHeight="1">
      <c r="B70" s="519"/>
      <c r="C70" s="520"/>
      <c r="K70" s="521"/>
      <c r="Y70" s="1172"/>
    </row>
    <row r="71" spans="1:25" s="518" customFormat="1" ht="34.5" customHeight="1">
      <c r="B71" s="519"/>
      <c r="C71" s="520"/>
      <c r="K71" s="521"/>
      <c r="Y71" s="1172"/>
    </row>
    <row r="72" spans="1:25" s="518" customFormat="1" ht="30" customHeight="1">
      <c r="A72" s="498"/>
      <c r="B72" s="499"/>
      <c r="C72" s="500"/>
      <c r="D72" s="498"/>
      <c r="K72" s="521"/>
      <c r="Y72" s="1172"/>
    </row>
    <row r="73" spans="1:25" s="518" customFormat="1" ht="30" customHeight="1">
      <c r="A73" s="498"/>
      <c r="B73" s="499"/>
      <c r="C73" s="500"/>
      <c r="D73" s="498"/>
      <c r="K73" s="521"/>
      <c r="Y73" s="1172"/>
    </row>
    <row r="74" spans="1:25" s="518" customFormat="1" ht="30" customHeight="1">
      <c r="A74" s="498"/>
      <c r="B74" s="499"/>
      <c r="C74" s="500"/>
      <c r="D74" s="498"/>
      <c r="K74" s="521"/>
      <c r="Y74" s="1172"/>
    </row>
    <row r="75" spans="1:25" s="518" customFormat="1" ht="30" customHeight="1">
      <c r="A75" s="498"/>
      <c r="B75" s="499"/>
      <c r="C75" s="500"/>
      <c r="D75" s="498"/>
      <c r="E75" s="498"/>
      <c r="F75" s="498"/>
      <c r="G75" s="498"/>
      <c r="K75" s="521"/>
      <c r="Y75" s="1172"/>
    </row>
    <row r="76" spans="1:25" s="518" customFormat="1" ht="30" customHeight="1">
      <c r="A76" s="498"/>
      <c r="B76" s="499"/>
      <c r="C76" s="500"/>
      <c r="D76" s="498"/>
      <c r="E76" s="498"/>
      <c r="F76" s="498"/>
      <c r="G76" s="498"/>
      <c r="K76" s="521"/>
      <c r="Y76" s="1172"/>
    </row>
  </sheetData>
  <autoFilter ref="D1:D76"/>
  <mergeCells count="2">
    <mergeCell ref="A3:M3"/>
    <mergeCell ref="N3:R3"/>
  </mergeCells>
  <pageMargins left="0.39370078740157483" right="0.39370078740157483" top="0.39370078740157483" bottom="0.39370078740157483" header="0" footer="0"/>
  <pageSetup paperSize="9" scale="44" fitToHeight="5" orientation="landscape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C30"/>
  <sheetViews>
    <sheetView view="pageBreakPreview" zoomScale="60" zoomScaleNormal="70" workbookViewId="0">
      <pane xSplit="3" ySplit="4" topLeftCell="E5" activePane="bottomRight" state="frozen"/>
      <selection pane="topRight" activeCell="D1" sqref="D1"/>
      <selection pane="bottomLeft" activeCell="A4" sqref="A4"/>
      <selection pane="bottomRight" activeCell="U7" sqref="U7"/>
    </sheetView>
  </sheetViews>
  <sheetFormatPr defaultRowHeight="15.75"/>
  <cols>
    <col min="1" max="1" width="7.42578125" style="551" customWidth="1"/>
    <col min="2" max="2" width="66.5703125" style="500" customWidth="1"/>
    <col min="3" max="3" width="49.140625" style="500" hidden="1" customWidth="1"/>
    <col min="4" max="4" width="15.85546875" style="498" customWidth="1"/>
    <col min="5" max="5" width="14.42578125" style="498" customWidth="1"/>
    <col min="6" max="7" width="12.85546875" style="498" customWidth="1"/>
    <col min="8" max="8" width="29.28515625" style="500" customWidth="1"/>
    <col min="9" max="9" width="18.85546875" style="500" hidden="1" customWidth="1"/>
    <col min="10" max="10" width="13.7109375" style="500" customWidth="1"/>
    <col min="11" max="11" width="11.85546875" style="500" hidden="1" customWidth="1"/>
    <col min="12" max="12" width="15.42578125" style="498" customWidth="1"/>
    <col min="13" max="13" width="17" style="552" customWidth="1"/>
    <col min="14" max="14" width="17.140625" style="498" hidden="1" customWidth="1"/>
    <col min="15" max="15" width="19.85546875" style="498" hidden="1" customWidth="1"/>
    <col min="16" max="16" width="18.7109375" style="498" customWidth="1"/>
    <col min="17" max="17" width="21.140625" style="526" customWidth="1"/>
    <col min="18" max="18" width="18.7109375" style="526" customWidth="1"/>
    <col min="19" max="19" width="23.42578125" style="526" bestFit="1" customWidth="1"/>
    <col min="20" max="20" width="19.7109375" style="526" bestFit="1" customWidth="1"/>
    <col min="21" max="21" width="18.7109375" style="526" customWidth="1"/>
    <col min="22" max="22" width="19" style="526" customWidth="1"/>
    <col min="23" max="23" width="15.140625" style="526" hidden="1" customWidth="1"/>
    <col min="24" max="24" width="17.5703125" style="498" hidden="1" customWidth="1"/>
    <col min="25" max="25" width="18" style="498" hidden="1" customWidth="1"/>
    <col min="26" max="26" width="14.5703125" style="498" hidden="1" customWidth="1"/>
    <col min="27" max="27" width="16.5703125" style="498" hidden="1" customWidth="1"/>
    <col min="28" max="28" width="21.28515625" style="526" customWidth="1"/>
    <col min="29" max="29" width="85.42578125" style="498" customWidth="1"/>
    <col min="30" max="248" width="9.140625" style="498"/>
    <col min="249" max="249" width="3.85546875" style="498" customWidth="1"/>
    <col min="250" max="250" width="45" style="498" customWidth="1"/>
    <col min="251" max="252" width="15.85546875" style="498" customWidth="1"/>
    <col min="253" max="253" width="14" style="498" customWidth="1"/>
    <col min="254" max="254" width="20.5703125" style="498" customWidth="1"/>
    <col min="255" max="255" width="30.140625" style="498" customWidth="1"/>
    <col min="256" max="260" width="0" style="498" hidden="1" customWidth="1"/>
    <col min="261" max="261" width="17.140625" style="498" customWidth="1"/>
    <col min="262" max="262" width="16.28515625" style="498" customWidth="1"/>
    <col min="263" max="263" width="16.140625" style="498" customWidth="1"/>
    <col min="264" max="265" width="9.140625" style="498"/>
    <col min="266" max="266" width="25.7109375" style="498" customWidth="1"/>
    <col min="267" max="504" width="9.140625" style="498"/>
    <col min="505" max="505" width="3.85546875" style="498" customWidth="1"/>
    <col min="506" max="506" width="45" style="498" customWidth="1"/>
    <col min="507" max="508" width="15.85546875" style="498" customWidth="1"/>
    <col min="509" max="509" width="14" style="498" customWidth="1"/>
    <col min="510" max="510" width="20.5703125" style="498" customWidth="1"/>
    <col min="511" max="511" width="30.140625" style="498" customWidth="1"/>
    <col min="512" max="516" width="0" style="498" hidden="1" customWidth="1"/>
    <col min="517" max="517" width="17.140625" style="498" customWidth="1"/>
    <col min="518" max="518" width="16.28515625" style="498" customWidth="1"/>
    <col min="519" max="519" width="16.140625" style="498" customWidth="1"/>
    <col min="520" max="521" width="9.140625" style="498"/>
    <col min="522" max="522" width="25.7109375" style="498" customWidth="1"/>
    <col min="523" max="760" width="9.140625" style="498"/>
    <col min="761" max="761" width="3.85546875" style="498" customWidth="1"/>
    <col min="762" max="762" width="45" style="498" customWidth="1"/>
    <col min="763" max="764" width="15.85546875" style="498" customWidth="1"/>
    <col min="765" max="765" width="14" style="498" customWidth="1"/>
    <col min="766" max="766" width="20.5703125" style="498" customWidth="1"/>
    <col min="767" max="767" width="30.140625" style="498" customWidth="1"/>
    <col min="768" max="772" width="0" style="498" hidden="1" customWidth="1"/>
    <col min="773" max="773" width="17.140625" style="498" customWidth="1"/>
    <col min="774" max="774" width="16.28515625" style="498" customWidth="1"/>
    <col min="775" max="775" width="16.140625" style="498" customWidth="1"/>
    <col min="776" max="777" width="9.140625" style="498"/>
    <col min="778" max="778" width="25.7109375" style="498" customWidth="1"/>
    <col min="779" max="1016" width="9.140625" style="498"/>
    <col min="1017" max="1017" width="3.85546875" style="498" customWidth="1"/>
    <col min="1018" max="1018" width="45" style="498" customWidth="1"/>
    <col min="1019" max="1020" width="15.85546875" style="498" customWidth="1"/>
    <col min="1021" max="1021" width="14" style="498" customWidth="1"/>
    <col min="1022" max="1022" width="20.5703125" style="498" customWidth="1"/>
    <col min="1023" max="1023" width="30.140625" style="498" customWidth="1"/>
    <col min="1024" max="1028" width="0" style="498" hidden="1" customWidth="1"/>
    <col min="1029" max="1029" width="17.140625" style="498" customWidth="1"/>
    <col min="1030" max="1030" width="16.28515625" style="498" customWidth="1"/>
    <col min="1031" max="1031" width="16.140625" style="498" customWidth="1"/>
    <col min="1032" max="1033" width="9.140625" style="498"/>
    <col min="1034" max="1034" width="25.7109375" style="498" customWidth="1"/>
    <col min="1035" max="1272" width="9.140625" style="498"/>
    <col min="1273" max="1273" width="3.85546875" style="498" customWidth="1"/>
    <col min="1274" max="1274" width="45" style="498" customWidth="1"/>
    <col min="1275" max="1276" width="15.85546875" style="498" customWidth="1"/>
    <col min="1277" max="1277" width="14" style="498" customWidth="1"/>
    <col min="1278" max="1278" width="20.5703125" style="498" customWidth="1"/>
    <col min="1279" max="1279" width="30.140625" style="498" customWidth="1"/>
    <col min="1280" max="1284" width="0" style="498" hidden="1" customWidth="1"/>
    <col min="1285" max="1285" width="17.140625" style="498" customWidth="1"/>
    <col min="1286" max="1286" width="16.28515625" style="498" customWidth="1"/>
    <col min="1287" max="1287" width="16.140625" style="498" customWidth="1"/>
    <col min="1288" max="1289" width="9.140625" style="498"/>
    <col min="1290" max="1290" width="25.7109375" style="498" customWidth="1"/>
    <col min="1291" max="1528" width="9.140625" style="498"/>
    <col min="1529" max="1529" width="3.85546875" style="498" customWidth="1"/>
    <col min="1530" max="1530" width="45" style="498" customWidth="1"/>
    <col min="1531" max="1532" width="15.85546875" style="498" customWidth="1"/>
    <col min="1533" max="1533" width="14" style="498" customWidth="1"/>
    <col min="1534" max="1534" width="20.5703125" style="498" customWidth="1"/>
    <col min="1535" max="1535" width="30.140625" style="498" customWidth="1"/>
    <col min="1536" max="1540" width="0" style="498" hidden="1" customWidth="1"/>
    <col min="1541" max="1541" width="17.140625" style="498" customWidth="1"/>
    <col min="1542" max="1542" width="16.28515625" style="498" customWidth="1"/>
    <col min="1543" max="1543" width="16.140625" style="498" customWidth="1"/>
    <col min="1544" max="1545" width="9.140625" style="498"/>
    <col min="1546" max="1546" width="25.7109375" style="498" customWidth="1"/>
    <col min="1547" max="1784" width="9.140625" style="498"/>
    <col min="1785" max="1785" width="3.85546875" style="498" customWidth="1"/>
    <col min="1786" max="1786" width="45" style="498" customWidth="1"/>
    <col min="1787" max="1788" width="15.85546875" style="498" customWidth="1"/>
    <col min="1789" max="1789" width="14" style="498" customWidth="1"/>
    <col min="1790" max="1790" width="20.5703125" style="498" customWidth="1"/>
    <col min="1791" max="1791" width="30.140625" style="498" customWidth="1"/>
    <col min="1792" max="1796" width="0" style="498" hidden="1" customWidth="1"/>
    <col min="1797" max="1797" width="17.140625" style="498" customWidth="1"/>
    <col min="1798" max="1798" width="16.28515625" style="498" customWidth="1"/>
    <col min="1799" max="1799" width="16.140625" style="498" customWidth="1"/>
    <col min="1800" max="1801" width="9.140625" style="498"/>
    <col min="1802" max="1802" width="25.7109375" style="498" customWidth="1"/>
    <col min="1803" max="2040" width="9.140625" style="498"/>
    <col min="2041" max="2041" width="3.85546875" style="498" customWidth="1"/>
    <col min="2042" max="2042" width="45" style="498" customWidth="1"/>
    <col min="2043" max="2044" width="15.85546875" style="498" customWidth="1"/>
    <col min="2045" max="2045" width="14" style="498" customWidth="1"/>
    <col min="2046" max="2046" width="20.5703125" style="498" customWidth="1"/>
    <col min="2047" max="2047" width="30.140625" style="498" customWidth="1"/>
    <col min="2048" max="2052" width="0" style="498" hidden="1" customWidth="1"/>
    <col min="2053" max="2053" width="17.140625" style="498" customWidth="1"/>
    <col min="2054" max="2054" width="16.28515625" style="498" customWidth="1"/>
    <col min="2055" max="2055" width="16.140625" style="498" customWidth="1"/>
    <col min="2056" max="2057" width="9.140625" style="498"/>
    <col min="2058" max="2058" width="25.7109375" style="498" customWidth="1"/>
    <col min="2059" max="2296" width="9.140625" style="498"/>
    <col min="2297" max="2297" width="3.85546875" style="498" customWidth="1"/>
    <col min="2298" max="2298" width="45" style="498" customWidth="1"/>
    <col min="2299" max="2300" width="15.85546875" style="498" customWidth="1"/>
    <col min="2301" max="2301" width="14" style="498" customWidth="1"/>
    <col min="2302" max="2302" width="20.5703125" style="498" customWidth="1"/>
    <col min="2303" max="2303" width="30.140625" style="498" customWidth="1"/>
    <col min="2304" max="2308" width="0" style="498" hidden="1" customWidth="1"/>
    <col min="2309" max="2309" width="17.140625" style="498" customWidth="1"/>
    <col min="2310" max="2310" width="16.28515625" style="498" customWidth="1"/>
    <col min="2311" max="2311" width="16.140625" style="498" customWidth="1"/>
    <col min="2312" max="2313" width="9.140625" style="498"/>
    <col min="2314" max="2314" width="25.7109375" style="498" customWidth="1"/>
    <col min="2315" max="2552" width="9.140625" style="498"/>
    <col min="2553" max="2553" width="3.85546875" style="498" customWidth="1"/>
    <col min="2554" max="2554" width="45" style="498" customWidth="1"/>
    <col min="2555" max="2556" width="15.85546875" style="498" customWidth="1"/>
    <col min="2557" max="2557" width="14" style="498" customWidth="1"/>
    <col min="2558" max="2558" width="20.5703125" style="498" customWidth="1"/>
    <col min="2559" max="2559" width="30.140625" style="498" customWidth="1"/>
    <col min="2560" max="2564" width="0" style="498" hidden="1" customWidth="1"/>
    <col min="2565" max="2565" width="17.140625" style="498" customWidth="1"/>
    <col min="2566" max="2566" width="16.28515625" style="498" customWidth="1"/>
    <col min="2567" max="2567" width="16.140625" style="498" customWidth="1"/>
    <col min="2568" max="2569" width="9.140625" style="498"/>
    <col min="2570" max="2570" width="25.7109375" style="498" customWidth="1"/>
    <col min="2571" max="2808" width="9.140625" style="498"/>
    <col min="2809" max="2809" width="3.85546875" style="498" customWidth="1"/>
    <col min="2810" max="2810" width="45" style="498" customWidth="1"/>
    <col min="2811" max="2812" width="15.85546875" style="498" customWidth="1"/>
    <col min="2813" max="2813" width="14" style="498" customWidth="1"/>
    <col min="2814" max="2814" width="20.5703125" style="498" customWidth="1"/>
    <col min="2815" max="2815" width="30.140625" style="498" customWidth="1"/>
    <col min="2816" max="2820" width="0" style="498" hidden="1" customWidth="1"/>
    <col min="2821" max="2821" width="17.140625" style="498" customWidth="1"/>
    <col min="2822" max="2822" width="16.28515625" style="498" customWidth="1"/>
    <col min="2823" max="2823" width="16.140625" style="498" customWidth="1"/>
    <col min="2824" max="2825" width="9.140625" style="498"/>
    <col min="2826" max="2826" width="25.7109375" style="498" customWidth="1"/>
    <col min="2827" max="3064" width="9.140625" style="498"/>
    <col min="3065" max="3065" width="3.85546875" style="498" customWidth="1"/>
    <col min="3066" max="3066" width="45" style="498" customWidth="1"/>
    <col min="3067" max="3068" width="15.85546875" style="498" customWidth="1"/>
    <col min="3069" max="3069" width="14" style="498" customWidth="1"/>
    <col min="3070" max="3070" width="20.5703125" style="498" customWidth="1"/>
    <col min="3071" max="3071" width="30.140625" style="498" customWidth="1"/>
    <col min="3072" max="3076" width="0" style="498" hidden="1" customWidth="1"/>
    <col min="3077" max="3077" width="17.140625" style="498" customWidth="1"/>
    <col min="3078" max="3078" width="16.28515625" style="498" customWidth="1"/>
    <col min="3079" max="3079" width="16.140625" style="498" customWidth="1"/>
    <col min="3080" max="3081" width="9.140625" style="498"/>
    <col min="3082" max="3082" width="25.7109375" style="498" customWidth="1"/>
    <col min="3083" max="3320" width="9.140625" style="498"/>
    <col min="3321" max="3321" width="3.85546875" style="498" customWidth="1"/>
    <col min="3322" max="3322" width="45" style="498" customWidth="1"/>
    <col min="3323" max="3324" width="15.85546875" style="498" customWidth="1"/>
    <col min="3325" max="3325" width="14" style="498" customWidth="1"/>
    <col min="3326" max="3326" width="20.5703125" style="498" customWidth="1"/>
    <col min="3327" max="3327" width="30.140625" style="498" customWidth="1"/>
    <col min="3328" max="3332" width="0" style="498" hidden="1" customWidth="1"/>
    <col min="3333" max="3333" width="17.140625" style="498" customWidth="1"/>
    <col min="3334" max="3334" width="16.28515625" style="498" customWidth="1"/>
    <col min="3335" max="3335" width="16.140625" style="498" customWidth="1"/>
    <col min="3336" max="3337" width="9.140625" style="498"/>
    <col min="3338" max="3338" width="25.7109375" style="498" customWidth="1"/>
    <col min="3339" max="3576" width="9.140625" style="498"/>
    <col min="3577" max="3577" width="3.85546875" style="498" customWidth="1"/>
    <col min="3578" max="3578" width="45" style="498" customWidth="1"/>
    <col min="3579" max="3580" width="15.85546875" style="498" customWidth="1"/>
    <col min="3581" max="3581" width="14" style="498" customWidth="1"/>
    <col min="3582" max="3582" width="20.5703125" style="498" customWidth="1"/>
    <col min="3583" max="3583" width="30.140625" style="498" customWidth="1"/>
    <col min="3584" max="3588" width="0" style="498" hidden="1" customWidth="1"/>
    <col min="3589" max="3589" width="17.140625" style="498" customWidth="1"/>
    <col min="3590" max="3590" width="16.28515625" style="498" customWidth="1"/>
    <col min="3591" max="3591" width="16.140625" style="498" customWidth="1"/>
    <col min="3592" max="3593" width="9.140625" style="498"/>
    <col min="3594" max="3594" width="25.7109375" style="498" customWidth="1"/>
    <col min="3595" max="3832" width="9.140625" style="498"/>
    <col min="3833" max="3833" width="3.85546875" style="498" customWidth="1"/>
    <col min="3834" max="3834" width="45" style="498" customWidth="1"/>
    <col min="3835" max="3836" width="15.85546875" style="498" customWidth="1"/>
    <col min="3837" max="3837" width="14" style="498" customWidth="1"/>
    <col min="3838" max="3838" width="20.5703125" style="498" customWidth="1"/>
    <col min="3839" max="3839" width="30.140625" style="498" customWidth="1"/>
    <col min="3840" max="3844" width="0" style="498" hidden="1" customWidth="1"/>
    <col min="3845" max="3845" width="17.140625" style="498" customWidth="1"/>
    <col min="3846" max="3846" width="16.28515625" style="498" customWidth="1"/>
    <col min="3847" max="3847" width="16.140625" style="498" customWidth="1"/>
    <col min="3848" max="3849" width="9.140625" style="498"/>
    <col min="3850" max="3850" width="25.7109375" style="498" customWidth="1"/>
    <col min="3851" max="4088" width="9.140625" style="498"/>
    <col min="4089" max="4089" width="3.85546875" style="498" customWidth="1"/>
    <col min="4090" max="4090" width="45" style="498" customWidth="1"/>
    <col min="4091" max="4092" width="15.85546875" style="498" customWidth="1"/>
    <col min="4093" max="4093" width="14" style="498" customWidth="1"/>
    <col min="4094" max="4094" width="20.5703125" style="498" customWidth="1"/>
    <col min="4095" max="4095" width="30.140625" style="498" customWidth="1"/>
    <col min="4096" max="4100" width="0" style="498" hidden="1" customWidth="1"/>
    <col min="4101" max="4101" width="17.140625" style="498" customWidth="1"/>
    <col min="4102" max="4102" width="16.28515625" style="498" customWidth="1"/>
    <col min="4103" max="4103" width="16.140625" style="498" customWidth="1"/>
    <col min="4104" max="4105" width="9.140625" style="498"/>
    <col min="4106" max="4106" width="25.7109375" style="498" customWidth="1"/>
    <col min="4107" max="4344" width="9.140625" style="498"/>
    <col min="4345" max="4345" width="3.85546875" style="498" customWidth="1"/>
    <col min="4346" max="4346" width="45" style="498" customWidth="1"/>
    <col min="4347" max="4348" width="15.85546875" style="498" customWidth="1"/>
    <col min="4349" max="4349" width="14" style="498" customWidth="1"/>
    <col min="4350" max="4350" width="20.5703125" style="498" customWidth="1"/>
    <col min="4351" max="4351" width="30.140625" style="498" customWidth="1"/>
    <col min="4352" max="4356" width="0" style="498" hidden="1" customWidth="1"/>
    <col min="4357" max="4357" width="17.140625" style="498" customWidth="1"/>
    <col min="4358" max="4358" width="16.28515625" style="498" customWidth="1"/>
    <col min="4359" max="4359" width="16.140625" style="498" customWidth="1"/>
    <col min="4360" max="4361" width="9.140625" style="498"/>
    <col min="4362" max="4362" width="25.7109375" style="498" customWidth="1"/>
    <col min="4363" max="4600" width="9.140625" style="498"/>
    <col min="4601" max="4601" width="3.85546875" style="498" customWidth="1"/>
    <col min="4602" max="4602" width="45" style="498" customWidth="1"/>
    <col min="4603" max="4604" width="15.85546875" style="498" customWidth="1"/>
    <col min="4605" max="4605" width="14" style="498" customWidth="1"/>
    <col min="4606" max="4606" width="20.5703125" style="498" customWidth="1"/>
    <col min="4607" max="4607" width="30.140625" style="498" customWidth="1"/>
    <col min="4608" max="4612" width="0" style="498" hidden="1" customWidth="1"/>
    <col min="4613" max="4613" width="17.140625" style="498" customWidth="1"/>
    <col min="4614" max="4614" width="16.28515625" style="498" customWidth="1"/>
    <col min="4615" max="4615" width="16.140625" style="498" customWidth="1"/>
    <col min="4616" max="4617" width="9.140625" style="498"/>
    <col min="4618" max="4618" width="25.7109375" style="498" customWidth="1"/>
    <col min="4619" max="4856" width="9.140625" style="498"/>
    <col min="4857" max="4857" width="3.85546875" style="498" customWidth="1"/>
    <col min="4858" max="4858" width="45" style="498" customWidth="1"/>
    <col min="4859" max="4860" width="15.85546875" style="498" customWidth="1"/>
    <col min="4861" max="4861" width="14" style="498" customWidth="1"/>
    <col min="4862" max="4862" width="20.5703125" style="498" customWidth="1"/>
    <col min="4863" max="4863" width="30.140625" style="498" customWidth="1"/>
    <col min="4864" max="4868" width="0" style="498" hidden="1" customWidth="1"/>
    <col min="4869" max="4869" width="17.140625" style="498" customWidth="1"/>
    <col min="4870" max="4870" width="16.28515625" style="498" customWidth="1"/>
    <col min="4871" max="4871" width="16.140625" style="498" customWidth="1"/>
    <col min="4872" max="4873" width="9.140625" style="498"/>
    <col min="4874" max="4874" width="25.7109375" style="498" customWidth="1"/>
    <col min="4875" max="5112" width="9.140625" style="498"/>
    <col min="5113" max="5113" width="3.85546875" style="498" customWidth="1"/>
    <col min="5114" max="5114" width="45" style="498" customWidth="1"/>
    <col min="5115" max="5116" width="15.85546875" style="498" customWidth="1"/>
    <col min="5117" max="5117" width="14" style="498" customWidth="1"/>
    <col min="5118" max="5118" width="20.5703125" style="498" customWidth="1"/>
    <col min="5119" max="5119" width="30.140625" style="498" customWidth="1"/>
    <col min="5120" max="5124" width="0" style="498" hidden="1" customWidth="1"/>
    <col min="5125" max="5125" width="17.140625" style="498" customWidth="1"/>
    <col min="5126" max="5126" width="16.28515625" style="498" customWidth="1"/>
    <col min="5127" max="5127" width="16.140625" style="498" customWidth="1"/>
    <col min="5128" max="5129" width="9.140625" style="498"/>
    <col min="5130" max="5130" width="25.7109375" style="498" customWidth="1"/>
    <col min="5131" max="5368" width="9.140625" style="498"/>
    <col min="5369" max="5369" width="3.85546875" style="498" customWidth="1"/>
    <col min="5370" max="5370" width="45" style="498" customWidth="1"/>
    <col min="5371" max="5372" width="15.85546875" style="498" customWidth="1"/>
    <col min="5373" max="5373" width="14" style="498" customWidth="1"/>
    <col min="5374" max="5374" width="20.5703125" style="498" customWidth="1"/>
    <col min="5375" max="5375" width="30.140625" style="498" customWidth="1"/>
    <col min="5376" max="5380" width="0" style="498" hidden="1" customWidth="1"/>
    <col min="5381" max="5381" width="17.140625" style="498" customWidth="1"/>
    <col min="5382" max="5382" width="16.28515625" style="498" customWidth="1"/>
    <col min="5383" max="5383" width="16.140625" style="498" customWidth="1"/>
    <col min="5384" max="5385" width="9.140625" style="498"/>
    <col min="5386" max="5386" width="25.7109375" style="498" customWidth="1"/>
    <col min="5387" max="5624" width="9.140625" style="498"/>
    <col min="5625" max="5625" width="3.85546875" style="498" customWidth="1"/>
    <col min="5626" max="5626" width="45" style="498" customWidth="1"/>
    <col min="5627" max="5628" width="15.85546875" style="498" customWidth="1"/>
    <col min="5629" max="5629" width="14" style="498" customWidth="1"/>
    <col min="5630" max="5630" width="20.5703125" style="498" customWidth="1"/>
    <col min="5631" max="5631" width="30.140625" style="498" customWidth="1"/>
    <col min="5632" max="5636" width="0" style="498" hidden="1" customWidth="1"/>
    <col min="5637" max="5637" width="17.140625" style="498" customWidth="1"/>
    <col min="5638" max="5638" width="16.28515625" style="498" customWidth="1"/>
    <col min="5639" max="5639" width="16.140625" style="498" customWidth="1"/>
    <col min="5640" max="5641" width="9.140625" style="498"/>
    <col min="5642" max="5642" width="25.7109375" style="498" customWidth="1"/>
    <col min="5643" max="5880" width="9.140625" style="498"/>
    <col min="5881" max="5881" width="3.85546875" style="498" customWidth="1"/>
    <col min="5882" max="5882" width="45" style="498" customWidth="1"/>
    <col min="5883" max="5884" width="15.85546875" style="498" customWidth="1"/>
    <col min="5885" max="5885" width="14" style="498" customWidth="1"/>
    <col min="5886" max="5886" width="20.5703125" style="498" customWidth="1"/>
    <col min="5887" max="5887" width="30.140625" style="498" customWidth="1"/>
    <col min="5888" max="5892" width="0" style="498" hidden="1" customWidth="1"/>
    <col min="5893" max="5893" width="17.140625" style="498" customWidth="1"/>
    <col min="5894" max="5894" width="16.28515625" style="498" customWidth="1"/>
    <col min="5895" max="5895" width="16.140625" style="498" customWidth="1"/>
    <col min="5896" max="5897" width="9.140625" style="498"/>
    <col min="5898" max="5898" width="25.7109375" style="498" customWidth="1"/>
    <col min="5899" max="6136" width="9.140625" style="498"/>
    <col min="6137" max="6137" width="3.85546875" style="498" customWidth="1"/>
    <col min="6138" max="6138" width="45" style="498" customWidth="1"/>
    <col min="6139" max="6140" width="15.85546875" style="498" customWidth="1"/>
    <col min="6141" max="6141" width="14" style="498" customWidth="1"/>
    <col min="6142" max="6142" width="20.5703125" style="498" customWidth="1"/>
    <col min="6143" max="6143" width="30.140625" style="498" customWidth="1"/>
    <col min="6144" max="6148" width="0" style="498" hidden="1" customWidth="1"/>
    <col min="6149" max="6149" width="17.140625" style="498" customWidth="1"/>
    <col min="6150" max="6150" width="16.28515625" style="498" customWidth="1"/>
    <col min="6151" max="6151" width="16.140625" style="498" customWidth="1"/>
    <col min="6152" max="6153" width="9.140625" style="498"/>
    <col min="6154" max="6154" width="25.7109375" style="498" customWidth="1"/>
    <col min="6155" max="6392" width="9.140625" style="498"/>
    <col min="6393" max="6393" width="3.85546875" style="498" customWidth="1"/>
    <col min="6394" max="6394" width="45" style="498" customWidth="1"/>
    <col min="6395" max="6396" width="15.85546875" style="498" customWidth="1"/>
    <col min="6397" max="6397" width="14" style="498" customWidth="1"/>
    <col min="6398" max="6398" width="20.5703125" style="498" customWidth="1"/>
    <col min="6399" max="6399" width="30.140625" style="498" customWidth="1"/>
    <col min="6400" max="6404" width="0" style="498" hidden="1" customWidth="1"/>
    <col min="6405" max="6405" width="17.140625" style="498" customWidth="1"/>
    <col min="6406" max="6406" width="16.28515625" style="498" customWidth="1"/>
    <col min="6407" max="6407" width="16.140625" style="498" customWidth="1"/>
    <col min="6408" max="6409" width="9.140625" style="498"/>
    <col min="6410" max="6410" width="25.7109375" style="498" customWidth="1"/>
    <col min="6411" max="6648" width="9.140625" style="498"/>
    <col min="6649" max="6649" width="3.85546875" style="498" customWidth="1"/>
    <col min="6650" max="6650" width="45" style="498" customWidth="1"/>
    <col min="6651" max="6652" width="15.85546875" style="498" customWidth="1"/>
    <col min="6653" max="6653" width="14" style="498" customWidth="1"/>
    <col min="6654" max="6654" width="20.5703125" style="498" customWidth="1"/>
    <col min="6655" max="6655" width="30.140625" style="498" customWidth="1"/>
    <col min="6656" max="6660" width="0" style="498" hidden="1" customWidth="1"/>
    <col min="6661" max="6661" width="17.140625" style="498" customWidth="1"/>
    <col min="6662" max="6662" width="16.28515625" style="498" customWidth="1"/>
    <col min="6663" max="6663" width="16.140625" style="498" customWidth="1"/>
    <col min="6664" max="6665" width="9.140625" style="498"/>
    <col min="6666" max="6666" width="25.7109375" style="498" customWidth="1"/>
    <col min="6667" max="6904" width="9.140625" style="498"/>
    <col min="6905" max="6905" width="3.85546875" style="498" customWidth="1"/>
    <col min="6906" max="6906" width="45" style="498" customWidth="1"/>
    <col min="6907" max="6908" width="15.85546875" style="498" customWidth="1"/>
    <col min="6909" max="6909" width="14" style="498" customWidth="1"/>
    <col min="6910" max="6910" width="20.5703125" style="498" customWidth="1"/>
    <col min="6911" max="6911" width="30.140625" style="498" customWidth="1"/>
    <col min="6912" max="6916" width="0" style="498" hidden="1" customWidth="1"/>
    <col min="6917" max="6917" width="17.140625" style="498" customWidth="1"/>
    <col min="6918" max="6918" width="16.28515625" style="498" customWidth="1"/>
    <col min="6919" max="6919" width="16.140625" style="498" customWidth="1"/>
    <col min="6920" max="6921" width="9.140625" style="498"/>
    <col min="6922" max="6922" width="25.7109375" style="498" customWidth="1"/>
    <col min="6923" max="7160" width="9.140625" style="498"/>
    <col min="7161" max="7161" width="3.85546875" style="498" customWidth="1"/>
    <col min="7162" max="7162" width="45" style="498" customWidth="1"/>
    <col min="7163" max="7164" width="15.85546875" style="498" customWidth="1"/>
    <col min="7165" max="7165" width="14" style="498" customWidth="1"/>
    <col min="7166" max="7166" width="20.5703125" style="498" customWidth="1"/>
    <col min="7167" max="7167" width="30.140625" style="498" customWidth="1"/>
    <col min="7168" max="7172" width="0" style="498" hidden="1" customWidth="1"/>
    <col min="7173" max="7173" width="17.140625" style="498" customWidth="1"/>
    <col min="7174" max="7174" width="16.28515625" style="498" customWidth="1"/>
    <col min="7175" max="7175" width="16.140625" style="498" customWidth="1"/>
    <col min="7176" max="7177" width="9.140625" style="498"/>
    <col min="7178" max="7178" width="25.7109375" style="498" customWidth="1"/>
    <col min="7179" max="7416" width="9.140625" style="498"/>
    <col min="7417" max="7417" width="3.85546875" style="498" customWidth="1"/>
    <col min="7418" max="7418" width="45" style="498" customWidth="1"/>
    <col min="7419" max="7420" width="15.85546875" style="498" customWidth="1"/>
    <col min="7421" max="7421" width="14" style="498" customWidth="1"/>
    <col min="7422" max="7422" width="20.5703125" style="498" customWidth="1"/>
    <col min="7423" max="7423" width="30.140625" style="498" customWidth="1"/>
    <col min="7424" max="7428" width="0" style="498" hidden="1" customWidth="1"/>
    <col min="7429" max="7429" width="17.140625" style="498" customWidth="1"/>
    <col min="7430" max="7430" width="16.28515625" style="498" customWidth="1"/>
    <col min="7431" max="7431" width="16.140625" style="498" customWidth="1"/>
    <col min="7432" max="7433" width="9.140625" style="498"/>
    <col min="7434" max="7434" width="25.7109375" style="498" customWidth="1"/>
    <col min="7435" max="7672" width="9.140625" style="498"/>
    <col min="7673" max="7673" width="3.85546875" style="498" customWidth="1"/>
    <col min="7674" max="7674" width="45" style="498" customWidth="1"/>
    <col min="7675" max="7676" width="15.85546875" style="498" customWidth="1"/>
    <col min="7677" max="7677" width="14" style="498" customWidth="1"/>
    <col min="7678" max="7678" width="20.5703125" style="498" customWidth="1"/>
    <col min="7679" max="7679" width="30.140625" style="498" customWidth="1"/>
    <col min="7680" max="7684" width="0" style="498" hidden="1" customWidth="1"/>
    <col min="7685" max="7685" width="17.140625" style="498" customWidth="1"/>
    <col min="7686" max="7686" width="16.28515625" style="498" customWidth="1"/>
    <col min="7687" max="7687" width="16.140625" style="498" customWidth="1"/>
    <col min="7688" max="7689" width="9.140625" style="498"/>
    <col min="7690" max="7690" width="25.7109375" style="498" customWidth="1"/>
    <col min="7691" max="7928" width="9.140625" style="498"/>
    <col min="7929" max="7929" width="3.85546875" style="498" customWidth="1"/>
    <col min="7930" max="7930" width="45" style="498" customWidth="1"/>
    <col min="7931" max="7932" width="15.85546875" style="498" customWidth="1"/>
    <col min="7933" max="7933" width="14" style="498" customWidth="1"/>
    <col min="7934" max="7934" width="20.5703125" style="498" customWidth="1"/>
    <col min="7935" max="7935" width="30.140625" style="498" customWidth="1"/>
    <col min="7936" max="7940" width="0" style="498" hidden="1" customWidth="1"/>
    <col min="7941" max="7941" width="17.140625" style="498" customWidth="1"/>
    <col min="7942" max="7942" width="16.28515625" style="498" customWidth="1"/>
    <col min="7943" max="7943" width="16.140625" style="498" customWidth="1"/>
    <col min="7944" max="7945" width="9.140625" style="498"/>
    <col min="7946" max="7946" width="25.7109375" style="498" customWidth="1"/>
    <col min="7947" max="8184" width="9.140625" style="498"/>
    <col min="8185" max="8185" width="3.85546875" style="498" customWidth="1"/>
    <col min="8186" max="8186" width="45" style="498" customWidth="1"/>
    <col min="8187" max="8188" width="15.85546875" style="498" customWidth="1"/>
    <col min="8189" max="8189" width="14" style="498" customWidth="1"/>
    <col min="8190" max="8190" width="20.5703125" style="498" customWidth="1"/>
    <col min="8191" max="8191" width="30.140625" style="498" customWidth="1"/>
    <col min="8192" max="8196" width="0" style="498" hidden="1" customWidth="1"/>
    <col min="8197" max="8197" width="17.140625" style="498" customWidth="1"/>
    <col min="8198" max="8198" width="16.28515625" style="498" customWidth="1"/>
    <col min="8199" max="8199" width="16.140625" style="498" customWidth="1"/>
    <col min="8200" max="8201" width="9.140625" style="498"/>
    <col min="8202" max="8202" width="25.7109375" style="498" customWidth="1"/>
    <col min="8203" max="8440" width="9.140625" style="498"/>
    <col min="8441" max="8441" width="3.85546875" style="498" customWidth="1"/>
    <col min="8442" max="8442" width="45" style="498" customWidth="1"/>
    <col min="8443" max="8444" width="15.85546875" style="498" customWidth="1"/>
    <col min="8445" max="8445" width="14" style="498" customWidth="1"/>
    <col min="8446" max="8446" width="20.5703125" style="498" customWidth="1"/>
    <col min="8447" max="8447" width="30.140625" style="498" customWidth="1"/>
    <col min="8448" max="8452" width="0" style="498" hidden="1" customWidth="1"/>
    <col min="8453" max="8453" width="17.140625" style="498" customWidth="1"/>
    <col min="8454" max="8454" width="16.28515625" style="498" customWidth="1"/>
    <col min="8455" max="8455" width="16.140625" style="498" customWidth="1"/>
    <col min="8456" max="8457" width="9.140625" style="498"/>
    <col min="8458" max="8458" width="25.7109375" style="498" customWidth="1"/>
    <col min="8459" max="8696" width="9.140625" style="498"/>
    <col min="8697" max="8697" width="3.85546875" style="498" customWidth="1"/>
    <col min="8698" max="8698" width="45" style="498" customWidth="1"/>
    <col min="8699" max="8700" width="15.85546875" style="498" customWidth="1"/>
    <col min="8701" max="8701" width="14" style="498" customWidth="1"/>
    <col min="8702" max="8702" width="20.5703125" style="498" customWidth="1"/>
    <col min="8703" max="8703" width="30.140625" style="498" customWidth="1"/>
    <col min="8704" max="8708" width="0" style="498" hidden="1" customWidth="1"/>
    <col min="8709" max="8709" width="17.140625" style="498" customWidth="1"/>
    <col min="8710" max="8710" width="16.28515625" style="498" customWidth="1"/>
    <col min="8711" max="8711" width="16.140625" style="498" customWidth="1"/>
    <col min="8712" max="8713" width="9.140625" style="498"/>
    <col min="8714" max="8714" width="25.7109375" style="498" customWidth="1"/>
    <col min="8715" max="8952" width="9.140625" style="498"/>
    <col min="8953" max="8953" width="3.85546875" style="498" customWidth="1"/>
    <col min="8954" max="8954" width="45" style="498" customWidth="1"/>
    <col min="8955" max="8956" width="15.85546875" style="498" customWidth="1"/>
    <col min="8957" max="8957" width="14" style="498" customWidth="1"/>
    <col min="8958" max="8958" width="20.5703125" style="498" customWidth="1"/>
    <col min="8959" max="8959" width="30.140625" style="498" customWidth="1"/>
    <col min="8960" max="8964" width="0" style="498" hidden="1" customWidth="1"/>
    <col min="8965" max="8965" width="17.140625" style="498" customWidth="1"/>
    <col min="8966" max="8966" width="16.28515625" style="498" customWidth="1"/>
    <col min="8967" max="8967" width="16.140625" style="498" customWidth="1"/>
    <col min="8968" max="8969" width="9.140625" style="498"/>
    <col min="8970" max="8970" width="25.7109375" style="498" customWidth="1"/>
    <col min="8971" max="9208" width="9.140625" style="498"/>
    <col min="9209" max="9209" width="3.85546875" style="498" customWidth="1"/>
    <col min="9210" max="9210" width="45" style="498" customWidth="1"/>
    <col min="9211" max="9212" width="15.85546875" style="498" customWidth="1"/>
    <col min="9213" max="9213" width="14" style="498" customWidth="1"/>
    <col min="9214" max="9214" width="20.5703125" style="498" customWidth="1"/>
    <col min="9215" max="9215" width="30.140625" style="498" customWidth="1"/>
    <col min="9216" max="9220" width="0" style="498" hidden="1" customWidth="1"/>
    <col min="9221" max="9221" width="17.140625" style="498" customWidth="1"/>
    <col min="9222" max="9222" width="16.28515625" style="498" customWidth="1"/>
    <col min="9223" max="9223" width="16.140625" style="498" customWidth="1"/>
    <col min="9224" max="9225" width="9.140625" style="498"/>
    <col min="9226" max="9226" width="25.7109375" style="498" customWidth="1"/>
    <col min="9227" max="9464" width="9.140625" style="498"/>
    <col min="9465" max="9465" width="3.85546875" style="498" customWidth="1"/>
    <col min="9466" max="9466" width="45" style="498" customWidth="1"/>
    <col min="9467" max="9468" width="15.85546875" style="498" customWidth="1"/>
    <col min="9469" max="9469" width="14" style="498" customWidth="1"/>
    <col min="9470" max="9470" width="20.5703125" style="498" customWidth="1"/>
    <col min="9471" max="9471" width="30.140625" style="498" customWidth="1"/>
    <col min="9472" max="9476" width="0" style="498" hidden="1" customWidth="1"/>
    <col min="9477" max="9477" width="17.140625" style="498" customWidth="1"/>
    <col min="9478" max="9478" width="16.28515625" style="498" customWidth="1"/>
    <col min="9479" max="9479" width="16.140625" style="498" customWidth="1"/>
    <col min="9480" max="9481" width="9.140625" style="498"/>
    <col min="9482" max="9482" width="25.7109375" style="498" customWidth="1"/>
    <col min="9483" max="9720" width="9.140625" style="498"/>
    <col min="9721" max="9721" width="3.85546875" style="498" customWidth="1"/>
    <col min="9722" max="9722" width="45" style="498" customWidth="1"/>
    <col min="9723" max="9724" width="15.85546875" style="498" customWidth="1"/>
    <col min="9725" max="9725" width="14" style="498" customWidth="1"/>
    <col min="9726" max="9726" width="20.5703125" style="498" customWidth="1"/>
    <col min="9727" max="9727" width="30.140625" style="498" customWidth="1"/>
    <col min="9728" max="9732" width="0" style="498" hidden="1" customWidth="1"/>
    <col min="9733" max="9733" width="17.140625" style="498" customWidth="1"/>
    <col min="9734" max="9734" width="16.28515625" style="498" customWidth="1"/>
    <col min="9735" max="9735" width="16.140625" style="498" customWidth="1"/>
    <col min="9736" max="9737" width="9.140625" style="498"/>
    <col min="9738" max="9738" width="25.7109375" style="498" customWidth="1"/>
    <col min="9739" max="9976" width="9.140625" style="498"/>
    <col min="9977" max="9977" width="3.85546875" style="498" customWidth="1"/>
    <col min="9978" max="9978" width="45" style="498" customWidth="1"/>
    <col min="9979" max="9980" width="15.85546875" style="498" customWidth="1"/>
    <col min="9981" max="9981" width="14" style="498" customWidth="1"/>
    <col min="9982" max="9982" width="20.5703125" style="498" customWidth="1"/>
    <col min="9983" max="9983" width="30.140625" style="498" customWidth="1"/>
    <col min="9984" max="9988" width="0" style="498" hidden="1" customWidth="1"/>
    <col min="9989" max="9989" width="17.140625" style="498" customWidth="1"/>
    <col min="9990" max="9990" width="16.28515625" style="498" customWidth="1"/>
    <col min="9991" max="9991" width="16.140625" style="498" customWidth="1"/>
    <col min="9992" max="9993" width="9.140625" style="498"/>
    <col min="9994" max="9994" width="25.7109375" style="498" customWidth="1"/>
    <col min="9995" max="10232" width="9.140625" style="498"/>
    <col min="10233" max="10233" width="3.85546875" style="498" customWidth="1"/>
    <col min="10234" max="10234" width="45" style="498" customWidth="1"/>
    <col min="10235" max="10236" width="15.85546875" style="498" customWidth="1"/>
    <col min="10237" max="10237" width="14" style="498" customWidth="1"/>
    <col min="10238" max="10238" width="20.5703125" style="498" customWidth="1"/>
    <col min="10239" max="10239" width="30.140625" style="498" customWidth="1"/>
    <col min="10240" max="10244" width="0" style="498" hidden="1" customWidth="1"/>
    <col min="10245" max="10245" width="17.140625" style="498" customWidth="1"/>
    <col min="10246" max="10246" width="16.28515625" style="498" customWidth="1"/>
    <col min="10247" max="10247" width="16.140625" style="498" customWidth="1"/>
    <col min="10248" max="10249" width="9.140625" style="498"/>
    <col min="10250" max="10250" width="25.7109375" style="498" customWidth="1"/>
    <col min="10251" max="10488" width="9.140625" style="498"/>
    <col min="10489" max="10489" width="3.85546875" style="498" customWidth="1"/>
    <col min="10490" max="10490" width="45" style="498" customWidth="1"/>
    <col min="10491" max="10492" width="15.85546875" style="498" customWidth="1"/>
    <col min="10493" max="10493" width="14" style="498" customWidth="1"/>
    <col min="10494" max="10494" width="20.5703125" style="498" customWidth="1"/>
    <col min="10495" max="10495" width="30.140625" style="498" customWidth="1"/>
    <col min="10496" max="10500" width="0" style="498" hidden="1" customWidth="1"/>
    <col min="10501" max="10501" width="17.140625" style="498" customWidth="1"/>
    <col min="10502" max="10502" width="16.28515625" style="498" customWidth="1"/>
    <col min="10503" max="10503" width="16.140625" style="498" customWidth="1"/>
    <col min="10504" max="10505" width="9.140625" style="498"/>
    <col min="10506" max="10506" width="25.7109375" style="498" customWidth="1"/>
    <col min="10507" max="10744" width="9.140625" style="498"/>
    <col min="10745" max="10745" width="3.85546875" style="498" customWidth="1"/>
    <col min="10746" max="10746" width="45" style="498" customWidth="1"/>
    <col min="10747" max="10748" width="15.85546875" style="498" customWidth="1"/>
    <col min="10749" max="10749" width="14" style="498" customWidth="1"/>
    <col min="10750" max="10750" width="20.5703125" style="498" customWidth="1"/>
    <col min="10751" max="10751" width="30.140625" style="498" customWidth="1"/>
    <col min="10752" max="10756" width="0" style="498" hidden="1" customWidth="1"/>
    <col min="10757" max="10757" width="17.140625" style="498" customWidth="1"/>
    <col min="10758" max="10758" width="16.28515625" style="498" customWidth="1"/>
    <col min="10759" max="10759" width="16.140625" style="498" customWidth="1"/>
    <col min="10760" max="10761" width="9.140625" style="498"/>
    <col min="10762" max="10762" width="25.7109375" style="498" customWidth="1"/>
    <col min="10763" max="11000" width="9.140625" style="498"/>
    <col min="11001" max="11001" width="3.85546875" style="498" customWidth="1"/>
    <col min="11002" max="11002" width="45" style="498" customWidth="1"/>
    <col min="11003" max="11004" width="15.85546875" style="498" customWidth="1"/>
    <col min="11005" max="11005" width="14" style="498" customWidth="1"/>
    <col min="11006" max="11006" width="20.5703125" style="498" customWidth="1"/>
    <col min="11007" max="11007" width="30.140625" style="498" customWidth="1"/>
    <col min="11008" max="11012" width="0" style="498" hidden="1" customWidth="1"/>
    <col min="11013" max="11013" width="17.140625" style="498" customWidth="1"/>
    <col min="11014" max="11014" width="16.28515625" style="498" customWidth="1"/>
    <col min="11015" max="11015" width="16.140625" style="498" customWidth="1"/>
    <col min="11016" max="11017" width="9.140625" style="498"/>
    <col min="11018" max="11018" width="25.7109375" style="498" customWidth="1"/>
    <col min="11019" max="11256" width="9.140625" style="498"/>
    <col min="11257" max="11257" width="3.85546875" style="498" customWidth="1"/>
    <col min="11258" max="11258" width="45" style="498" customWidth="1"/>
    <col min="11259" max="11260" width="15.85546875" style="498" customWidth="1"/>
    <col min="11261" max="11261" width="14" style="498" customWidth="1"/>
    <col min="11262" max="11262" width="20.5703125" style="498" customWidth="1"/>
    <col min="11263" max="11263" width="30.140625" style="498" customWidth="1"/>
    <col min="11264" max="11268" width="0" style="498" hidden="1" customWidth="1"/>
    <col min="11269" max="11269" width="17.140625" style="498" customWidth="1"/>
    <col min="11270" max="11270" width="16.28515625" style="498" customWidth="1"/>
    <col min="11271" max="11271" width="16.140625" style="498" customWidth="1"/>
    <col min="11272" max="11273" width="9.140625" style="498"/>
    <col min="11274" max="11274" width="25.7109375" style="498" customWidth="1"/>
    <col min="11275" max="11512" width="9.140625" style="498"/>
    <col min="11513" max="11513" width="3.85546875" style="498" customWidth="1"/>
    <col min="11514" max="11514" width="45" style="498" customWidth="1"/>
    <col min="11515" max="11516" width="15.85546875" style="498" customWidth="1"/>
    <col min="11517" max="11517" width="14" style="498" customWidth="1"/>
    <col min="11518" max="11518" width="20.5703125" style="498" customWidth="1"/>
    <col min="11519" max="11519" width="30.140625" style="498" customWidth="1"/>
    <col min="11520" max="11524" width="0" style="498" hidden="1" customWidth="1"/>
    <col min="11525" max="11525" width="17.140625" style="498" customWidth="1"/>
    <col min="11526" max="11526" width="16.28515625" style="498" customWidth="1"/>
    <col min="11527" max="11527" width="16.140625" style="498" customWidth="1"/>
    <col min="11528" max="11529" width="9.140625" style="498"/>
    <col min="11530" max="11530" width="25.7109375" style="498" customWidth="1"/>
    <col min="11531" max="11768" width="9.140625" style="498"/>
    <col min="11769" max="11769" width="3.85546875" style="498" customWidth="1"/>
    <col min="11770" max="11770" width="45" style="498" customWidth="1"/>
    <col min="11771" max="11772" width="15.85546875" style="498" customWidth="1"/>
    <col min="11773" max="11773" width="14" style="498" customWidth="1"/>
    <col min="11774" max="11774" width="20.5703125" style="498" customWidth="1"/>
    <col min="11775" max="11775" width="30.140625" style="498" customWidth="1"/>
    <col min="11776" max="11780" width="0" style="498" hidden="1" customWidth="1"/>
    <col min="11781" max="11781" width="17.140625" style="498" customWidth="1"/>
    <col min="11782" max="11782" width="16.28515625" style="498" customWidth="1"/>
    <col min="11783" max="11783" width="16.140625" style="498" customWidth="1"/>
    <col min="11784" max="11785" width="9.140625" style="498"/>
    <col min="11786" max="11786" width="25.7109375" style="498" customWidth="1"/>
    <col min="11787" max="12024" width="9.140625" style="498"/>
    <col min="12025" max="12025" width="3.85546875" style="498" customWidth="1"/>
    <col min="12026" max="12026" width="45" style="498" customWidth="1"/>
    <col min="12027" max="12028" width="15.85546875" style="498" customWidth="1"/>
    <col min="12029" max="12029" width="14" style="498" customWidth="1"/>
    <col min="12030" max="12030" width="20.5703125" style="498" customWidth="1"/>
    <col min="12031" max="12031" width="30.140625" style="498" customWidth="1"/>
    <col min="12032" max="12036" width="0" style="498" hidden="1" customWidth="1"/>
    <col min="12037" max="12037" width="17.140625" style="498" customWidth="1"/>
    <col min="12038" max="12038" width="16.28515625" style="498" customWidth="1"/>
    <col min="12039" max="12039" width="16.140625" style="498" customWidth="1"/>
    <col min="12040" max="12041" width="9.140625" style="498"/>
    <col min="12042" max="12042" width="25.7109375" style="498" customWidth="1"/>
    <col min="12043" max="12280" width="9.140625" style="498"/>
    <col min="12281" max="12281" width="3.85546875" style="498" customWidth="1"/>
    <col min="12282" max="12282" width="45" style="498" customWidth="1"/>
    <col min="12283" max="12284" width="15.85546875" style="498" customWidth="1"/>
    <col min="12285" max="12285" width="14" style="498" customWidth="1"/>
    <col min="12286" max="12286" width="20.5703125" style="498" customWidth="1"/>
    <col min="12287" max="12287" width="30.140625" style="498" customWidth="1"/>
    <col min="12288" max="12292" width="0" style="498" hidden="1" customWidth="1"/>
    <col min="12293" max="12293" width="17.140625" style="498" customWidth="1"/>
    <col min="12294" max="12294" width="16.28515625" style="498" customWidth="1"/>
    <col min="12295" max="12295" width="16.140625" style="498" customWidth="1"/>
    <col min="12296" max="12297" width="9.140625" style="498"/>
    <col min="12298" max="12298" width="25.7109375" style="498" customWidth="1"/>
    <col min="12299" max="12536" width="9.140625" style="498"/>
    <col min="12537" max="12537" width="3.85546875" style="498" customWidth="1"/>
    <col min="12538" max="12538" width="45" style="498" customWidth="1"/>
    <col min="12539" max="12540" width="15.85546875" style="498" customWidth="1"/>
    <col min="12541" max="12541" width="14" style="498" customWidth="1"/>
    <col min="12542" max="12542" width="20.5703125" style="498" customWidth="1"/>
    <col min="12543" max="12543" width="30.140625" style="498" customWidth="1"/>
    <col min="12544" max="12548" width="0" style="498" hidden="1" customWidth="1"/>
    <col min="12549" max="12549" width="17.140625" style="498" customWidth="1"/>
    <col min="12550" max="12550" width="16.28515625" style="498" customWidth="1"/>
    <col min="12551" max="12551" width="16.140625" style="498" customWidth="1"/>
    <col min="12552" max="12553" width="9.140625" style="498"/>
    <col min="12554" max="12554" width="25.7109375" style="498" customWidth="1"/>
    <col min="12555" max="12792" width="9.140625" style="498"/>
    <col min="12793" max="12793" width="3.85546875" style="498" customWidth="1"/>
    <col min="12794" max="12794" width="45" style="498" customWidth="1"/>
    <col min="12795" max="12796" width="15.85546875" style="498" customWidth="1"/>
    <col min="12797" max="12797" width="14" style="498" customWidth="1"/>
    <col min="12798" max="12798" width="20.5703125" style="498" customWidth="1"/>
    <col min="12799" max="12799" width="30.140625" style="498" customWidth="1"/>
    <col min="12800" max="12804" width="0" style="498" hidden="1" customWidth="1"/>
    <col min="12805" max="12805" width="17.140625" style="498" customWidth="1"/>
    <col min="12806" max="12806" width="16.28515625" style="498" customWidth="1"/>
    <col min="12807" max="12807" width="16.140625" style="498" customWidth="1"/>
    <col min="12808" max="12809" width="9.140625" style="498"/>
    <col min="12810" max="12810" width="25.7109375" style="498" customWidth="1"/>
    <col min="12811" max="13048" width="9.140625" style="498"/>
    <col min="13049" max="13049" width="3.85546875" style="498" customWidth="1"/>
    <col min="13050" max="13050" width="45" style="498" customWidth="1"/>
    <col min="13051" max="13052" width="15.85546875" style="498" customWidth="1"/>
    <col min="13053" max="13053" width="14" style="498" customWidth="1"/>
    <col min="13054" max="13054" width="20.5703125" style="498" customWidth="1"/>
    <col min="13055" max="13055" width="30.140625" style="498" customWidth="1"/>
    <col min="13056" max="13060" width="0" style="498" hidden="1" customWidth="1"/>
    <col min="13061" max="13061" width="17.140625" style="498" customWidth="1"/>
    <col min="13062" max="13062" width="16.28515625" style="498" customWidth="1"/>
    <col min="13063" max="13063" width="16.140625" style="498" customWidth="1"/>
    <col min="13064" max="13065" width="9.140625" style="498"/>
    <col min="13066" max="13066" width="25.7109375" style="498" customWidth="1"/>
    <col min="13067" max="13304" width="9.140625" style="498"/>
    <col min="13305" max="13305" width="3.85546875" style="498" customWidth="1"/>
    <col min="13306" max="13306" width="45" style="498" customWidth="1"/>
    <col min="13307" max="13308" width="15.85546875" style="498" customWidth="1"/>
    <col min="13309" max="13309" width="14" style="498" customWidth="1"/>
    <col min="13310" max="13310" width="20.5703125" style="498" customWidth="1"/>
    <col min="13311" max="13311" width="30.140625" style="498" customWidth="1"/>
    <col min="13312" max="13316" width="0" style="498" hidden="1" customWidth="1"/>
    <col min="13317" max="13317" width="17.140625" style="498" customWidth="1"/>
    <col min="13318" max="13318" width="16.28515625" style="498" customWidth="1"/>
    <col min="13319" max="13319" width="16.140625" style="498" customWidth="1"/>
    <col min="13320" max="13321" width="9.140625" style="498"/>
    <col min="13322" max="13322" width="25.7109375" style="498" customWidth="1"/>
    <col min="13323" max="13560" width="9.140625" style="498"/>
    <col min="13561" max="13561" width="3.85546875" style="498" customWidth="1"/>
    <col min="13562" max="13562" width="45" style="498" customWidth="1"/>
    <col min="13563" max="13564" width="15.85546875" style="498" customWidth="1"/>
    <col min="13565" max="13565" width="14" style="498" customWidth="1"/>
    <col min="13566" max="13566" width="20.5703125" style="498" customWidth="1"/>
    <col min="13567" max="13567" width="30.140625" style="498" customWidth="1"/>
    <col min="13568" max="13572" width="0" style="498" hidden="1" customWidth="1"/>
    <col min="13573" max="13573" width="17.140625" style="498" customWidth="1"/>
    <col min="13574" max="13574" width="16.28515625" style="498" customWidth="1"/>
    <col min="13575" max="13575" width="16.140625" style="498" customWidth="1"/>
    <col min="13576" max="13577" width="9.140625" style="498"/>
    <col min="13578" max="13578" width="25.7109375" style="498" customWidth="1"/>
    <col min="13579" max="13816" width="9.140625" style="498"/>
    <col min="13817" max="13817" width="3.85546875" style="498" customWidth="1"/>
    <col min="13818" max="13818" width="45" style="498" customWidth="1"/>
    <col min="13819" max="13820" width="15.85546875" style="498" customWidth="1"/>
    <col min="13821" max="13821" width="14" style="498" customWidth="1"/>
    <col min="13822" max="13822" width="20.5703125" style="498" customWidth="1"/>
    <col min="13823" max="13823" width="30.140625" style="498" customWidth="1"/>
    <col min="13824" max="13828" width="0" style="498" hidden="1" customWidth="1"/>
    <col min="13829" max="13829" width="17.140625" style="498" customWidth="1"/>
    <col min="13830" max="13830" width="16.28515625" style="498" customWidth="1"/>
    <col min="13831" max="13831" width="16.140625" style="498" customWidth="1"/>
    <col min="13832" max="13833" width="9.140625" style="498"/>
    <col min="13834" max="13834" width="25.7109375" style="498" customWidth="1"/>
    <col min="13835" max="14072" width="9.140625" style="498"/>
    <col min="14073" max="14073" width="3.85546875" style="498" customWidth="1"/>
    <col min="14074" max="14074" width="45" style="498" customWidth="1"/>
    <col min="14075" max="14076" width="15.85546875" style="498" customWidth="1"/>
    <col min="14077" max="14077" width="14" style="498" customWidth="1"/>
    <col min="14078" max="14078" width="20.5703125" style="498" customWidth="1"/>
    <col min="14079" max="14079" width="30.140625" style="498" customWidth="1"/>
    <col min="14080" max="14084" width="0" style="498" hidden="1" customWidth="1"/>
    <col min="14085" max="14085" width="17.140625" style="498" customWidth="1"/>
    <col min="14086" max="14086" width="16.28515625" style="498" customWidth="1"/>
    <col min="14087" max="14087" width="16.140625" style="498" customWidth="1"/>
    <col min="14088" max="14089" width="9.140625" style="498"/>
    <col min="14090" max="14090" width="25.7109375" style="498" customWidth="1"/>
    <col min="14091" max="14328" width="9.140625" style="498"/>
    <col min="14329" max="14329" width="3.85546875" style="498" customWidth="1"/>
    <col min="14330" max="14330" width="45" style="498" customWidth="1"/>
    <col min="14331" max="14332" width="15.85546875" style="498" customWidth="1"/>
    <col min="14333" max="14333" width="14" style="498" customWidth="1"/>
    <col min="14334" max="14334" width="20.5703125" style="498" customWidth="1"/>
    <col min="14335" max="14335" width="30.140625" style="498" customWidth="1"/>
    <col min="14336" max="14340" width="0" style="498" hidden="1" customWidth="1"/>
    <col min="14341" max="14341" width="17.140625" style="498" customWidth="1"/>
    <col min="14342" max="14342" width="16.28515625" style="498" customWidth="1"/>
    <col min="14343" max="14343" width="16.140625" style="498" customWidth="1"/>
    <col min="14344" max="14345" width="9.140625" style="498"/>
    <col min="14346" max="14346" width="25.7109375" style="498" customWidth="1"/>
    <col min="14347" max="14584" width="9.140625" style="498"/>
    <col min="14585" max="14585" width="3.85546875" style="498" customWidth="1"/>
    <col min="14586" max="14586" width="45" style="498" customWidth="1"/>
    <col min="14587" max="14588" width="15.85546875" style="498" customWidth="1"/>
    <col min="14589" max="14589" width="14" style="498" customWidth="1"/>
    <col min="14590" max="14590" width="20.5703125" style="498" customWidth="1"/>
    <col min="14591" max="14591" width="30.140625" style="498" customWidth="1"/>
    <col min="14592" max="14596" width="0" style="498" hidden="1" customWidth="1"/>
    <col min="14597" max="14597" width="17.140625" style="498" customWidth="1"/>
    <col min="14598" max="14598" width="16.28515625" style="498" customWidth="1"/>
    <col min="14599" max="14599" width="16.140625" style="498" customWidth="1"/>
    <col min="14600" max="14601" width="9.140625" style="498"/>
    <col min="14602" max="14602" width="25.7109375" style="498" customWidth="1"/>
    <col min="14603" max="14840" width="9.140625" style="498"/>
    <col min="14841" max="14841" width="3.85546875" style="498" customWidth="1"/>
    <col min="14842" max="14842" width="45" style="498" customWidth="1"/>
    <col min="14843" max="14844" width="15.85546875" style="498" customWidth="1"/>
    <col min="14845" max="14845" width="14" style="498" customWidth="1"/>
    <col min="14846" max="14846" width="20.5703125" style="498" customWidth="1"/>
    <col min="14847" max="14847" width="30.140625" style="498" customWidth="1"/>
    <col min="14848" max="14852" width="0" style="498" hidden="1" customWidth="1"/>
    <col min="14853" max="14853" width="17.140625" style="498" customWidth="1"/>
    <col min="14854" max="14854" width="16.28515625" style="498" customWidth="1"/>
    <col min="14855" max="14855" width="16.140625" style="498" customWidth="1"/>
    <col min="14856" max="14857" width="9.140625" style="498"/>
    <col min="14858" max="14858" width="25.7109375" style="498" customWidth="1"/>
    <col min="14859" max="15096" width="9.140625" style="498"/>
    <col min="15097" max="15097" width="3.85546875" style="498" customWidth="1"/>
    <col min="15098" max="15098" width="45" style="498" customWidth="1"/>
    <col min="15099" max="15100" width="15.85546875" style="498" customWidth="1"/>
    <col min="15101" max="15101" width="14" style="498" customWidth="1"/>
    <col min="15102" max="15102" width="20.5703125" style="498" customWidth="1"/>
    <col min="15103" max="15103" width="30.140625" style="498" customWidth="1"/>
    <col min="15104" max="15108" width="0" style="498" hidden="1" customWidth="1"/>
    <col min="15109" max="15109" width="17.140625" style="498" customWidth="1"/>
    <col min="15110" max="15110" width="16.28515625" style="498" customWidth="1"/>
    <col min="15111" max="15111" width="16.140625" style="498" customWidth="1"/>
    <col min="15112" max="15113" width="9.140625" style="498"/>
    <col min="15114" max="15114" width="25.7109375" style="498" customWidth="1"/>
    <col min="15115" max="15352" width="9.140625" style="498"/>
    <col min="15353" max="15353" width="3.85546875" style="498" customWidth="1"/>
    <col min="15354" max="15354" width="45" style="498" customWidth="1"/>
    <col min="15355" max="15356" width="15.85546875" style="498" customWidth="1"/>
    <col min="15357" max="15357" width="14" style="498" customWidth="1"/>
    <col min="15358" max="15358" width="20.5703125" style="498" customWidth="1"/>
    <col min="15359" max="15359" width="30.140625" style="498" customWidth="1"/>
    <col min="15360" max="15364" width="0" style="498" hidden="1" customWidth="1"/>
    <col min="15365" max="15365" width="17.140625" style="498" customWidth="1"/>
    <col min="15366" max="15366" width="16.28515625" style="498" customWidth="1"/>
    <col min="15367" max="15367" width="16.140625" style="498" customWidth="1"/>
    <col min="15368" max="15369" width="9.140625" style="498"/>
    <col min="15370" max="15370" width="25.7109375" style="498" customWidth="1"/>
    <col min="15371" max="15608" width="9.140625" style="498"/>
    <col min="15609" max="15609" width="3.85546875" style="498" customWidth="1"/>
    <col min="15610" max="15610" width="45" style="498" customWidth="1"/>
    <col min="15611" max="15612" width="15.85546875" style="498" customWidth="1"/>
    <col min="15613" max="15613" width="14" style="498" customWidth="1"/>
    <col min="15614" max="15614" width="20.5703125" style="498" customWidth="1"/>
    <col min="15615" max="15615" width="30.140625" style="498" customWidth="1"/>
    <col min="15616" max="15620" width="0" style="498" hidden="1" customWidth="1"/>
    <col min="15621" max="15621" width="17.140625" style="498" customWidth="1"/>
    <col min="15622" max="15622" width="16.28515625" style="498" customWidth="1"/>
    <col min="15623" max="15623" width="16.140625" style="498" customWidth="1"/>
    <col min="15624" max="15625" width="9.140625" style="498"/>
    <col min="15626" max="15626" width="25.7109375" style="498" customWidth="1"/>
    <col min="15627" max="15864" width="9.140625" style="498"/>
    <col min="15865" max="15865" width="3.85546875" style="498" customWidth="1"/>
    <col min="15866" max="15866" width="45" style="498" customWidth="1"/>
    <col min="15867" max="15868" width="15.85546875" style="498" customWidth="1"/>
    <col min="15869" max="15869" width="14" style="498" customWidth="1"/>
    <col min="15870" max="15870" width="20.5703125" style="498" customWidth="1"/>
    <col min="15871" max="15871" width="30.140625" style="498" customWidth="1"/>
    <col min="15872" max="15876" width="0" style="498" hidden="1" customWidth="1"/>
    <col min="15877" max="15877" width="17.140625" style="498" customWidth="1"/>
    <col min="15878" max="15878" width="16.28515625" style="498" customWidth="1"/>
    <col min="15879" max="15879" width="16.140625" style="498" customWidth="1"/>
    <col min="15880" max="15881" width="9.140625" style="498"/>
    <col min="15882" max="15882" width="25.7109375" style="498" customWidth="1"/>
    <col min="15883" max="16120" width="9.140625" style="498"/>
    <col min="16121" max="16121" width="3.85546875" style="498" customWidth="1"/>
    <col min="16122" max="16122" width="45" style="498" customWidth="1"/>
    <col min="16123" max="16124" width="15.85546875" style="498" customWidth="1"/>
    <col min="16125" max="16125" width="14" style="498" customWidth="1"/>
    <col min="16126" max="16126" width="20.5703125" style="498" customWidth="1"/>
    <col min="16127" max="16127" width="30.140625" style="498" customWidth="1"/>
    <col min="16128" max="16132" width="0" style="498" hidden="1" customWidth="1"/>
    <col min="16133" max="16133" width="17.140625" style="498" customWidth="1"/>
    <col min="16134" max="16134" width="16.28515625" style="498" customWidth="1"/>
    <col min="16135" max="16135" width="16.140625" style="498" customWidth="1"/>
    <col min="16136" max="16137" width="9.140625" style="498"/>
    <col min="16138" max="16138" width="25.7109375" style="498" customWidth="1"/>
    <col min="16139" max="16384" width="9.140625" style="498"/>
  </cols>
  <sheetData>
    <row r="1" spans="1:29">
      <c r="A1" s="525"/>
      <c r="B1" s="520"/>
      <c r="C1" s="520"/>
      <c r="D1" s="518"/>
      <c r="E1" s="518"/>
      <c r="F1" s="518"/>
      <c r="G1" s="518"/>
      <c r="H1" s="520"/>
      <c r="I1" s="520"/>
      <c r="J1" s="520"/>
      <c r="K1" s="520"/>
      <c r="M1" s="498"/>
      <c r="R1" s="526">
        <v>1</v>
      </c>
      <c r="S1" s="526">
        <v>2</v>
      </c>
      <c r="T1" s="526">
        <v>3</v>
      </c>
      <c r="U1" s="526">
        <v>4</v>
      </c>
      <c r="V1" s="526">
        <v>5</v>
      </c>
      <c r="W1" s="526">
        <v>6</v>
      </c>
      <c r="X1" s="498">
        <v>7</v>
      </c>
      <c r="Y1" s="498">
        <v>8</v>
      </c>
      <c r="Z1" s="498">
        <v>9</v>
      </c>
      <c r="AA1" s="498">
        <v>10</v>
      </c>
    </row>
    <row r="2" spans="1:29">
      <c r="A2" s="525"/>
      <c r="B2" s="520"/>
      <c r="C2" s="520"/>
      <c r="D2" s="518"/>
      <c r="E2" s="518"/>
      <c r="F2" s="518"/>
      <c r="G2" s="518"/>
      <c r="H2" s="520"/>
      <c r="I2" s="520"/>
      <c r="J2" s="520"/>
      <c r="K2" s="520"/>
      <c r="L2" s="1188"/>
      <c r="M2" s="1188"/>
      <c r="N2" s="1188"/>
      <c r="O2" s="1188"/>
      <c r="P2" s="1188"/>
      <c r="Q2" s="1188" t="s">
        <v>1303</v>
      </c>
      <c r="R2" s="1188">
        <v>105.3</v>
      </c>
      <c r="S2" s="1188">
        <v>104.8</v>
      </c>
      <c r="T2" s="1188">
        <v>104.8</v>
      </c>
      <c r="U2" s="1188">
        <f>T2</f>
        <v>104.8</v>
      </c>
      <c r="V2" s="1188">
        <f>U2</f>
        <v>104.8</v>
      </c>
      <c r="AC2" s="498">
        <f>4-1.5-1.8-0.6-0.1</f>
        <v>0</v>
      </c>
    </row>
    <row r="3" spans="1:29" s="501" customFormat="1">
      <c r="A3" s="3482" t="s">
        <v>915</v>
      </c>
      <c r="B3" s="3482"/>
      <c r="C3" s="3482"/>
      <c r="D3" s="3482"/>
      <c r="E3" s="3482"/>
      <c r="F3" s="3482"/>
      <c r="G3" s="3482"/>
      <c r="H3" s="3482"/>
      <c r="I3" s="3482"/>
      <c r="J3" s="3482"/>
      <c r="K3" s="3482"/>
      <c r="L3" s="3482"/>
      <c r="M3" s="3482"/>
      <c r="N3" s="3482"/>
      <c r="O3" s="3482"/>
      <c r="P3" s="3482"/>
      <c r="Q3" s="3482"/>
      <c r="R3" s="3479" t="s">
        <v>664</v>
      </c>
      <c r="S3" s="3480"/>
      <c r="T3" s="3480"/>
      <c r="U3" s="3480"/>
      <c r="V3" s="3480"/>
      <c r="W3" s="3480"/>
      <c r="X3" s="3480"/>
      <c r="Y3" s="3480"/>
      <c r="Z3" s="3480"/>
      <c r="AA3" s="3481"/>
      <c r="AB3" s="527">
        <f>3-0.05</f>
        <v>2.95</v>
      </c>
    </row>
    <row r="4" spans="1:29" s="506" customFormat="1" ht="101.25" customHeight="1">
      <c r="A4" s="528" t="s">
        <v>665</v>
      </c>
      <c r="B4" s="503" t="s">
        <v>693</v>
      </c>
      <c r="C4" s="406" t="s">
        <v>667</v>
      </c>
      <c r="D4" s="503" t="s">
        <v>694</v>
      </c>
      <c r="E4" s="503" t="s">
        <v>668</v>
      </c>
      <c r="F4" s="503" t="s">
        <v>431</v>
      </c>
      <c r="G4" s="503" t="s">
        <v>670</v>
      </c>
      <c r="H4" s="503" t="s">
        <v>671</v>
      </c>
      <c r="I4" s="503" t="s">
        <v>695</v>
      </c>
      <c r="J4" s="503" t="s">
        <v>696</v>
      </c>
      <c r="K4" s="503" t="s">
        <v>697</v>
      </c>
      <c r="L4" s="503" t="s">
        <v>698</v>
      </c>
      <c r="M4" s="503" t="s">
        <v>672</v>
      </c>
      <c r="N4" s="503" t="s">
        <v>699</v>
      </c>
      <c r="O4" s="503" t="s">
        <v>674</v>
      </c>
      <c r="P4" s="503" t="s">
        <v>675</v>
      </c>
      <c r="Q4" s="503" t="s">
        <v>1305</v>
      </c>
      <c r="R4" s="1191" t="s">
        <v>272</v>
      </c>
      <c r="S4" s="1191" t="s">
        <v>269</v>
      </c>
      <c r="T4" s="1191" t="s">
        <v>539</v>
      </c>
      <c r="U4" s="1191" t="s">
        <v>678</v>
      </c>
      <c r="V4" s="1191" t="s">
        <v>538</v>
      </c>
      <c r="W4" s="505" t="s">
        <v>679</v>
      </c>
      <c r="X4" s="505" t="s">
        <v>680</v>
      </c>
      <c r="Y4" s="505" t="s">
        <v>681</v>
      </c>
      <c r="Z4" s="505" t="s">
        <v>682</v>
      </c>
      <c r="AA4" s="505" t="s">
        <v>683</v>
      </c>
      <c r="AB4" s="505" t="s">
        <v>913</v>
      </c>
      <c r="AC4" s="1923"/>
    </row>
    <row r="5" spans="1:29" s="534" customFormat="1" ht="63">
      <c r="A5" s="529">
        <v>1</v>
      </c>
      <c r="B5" s="504" t="s">
        <v>754</v>
      </c>
      <c r="C5" s="1924" t="s">
        <v>685</v>
      </c>
      <c r="D5" s="504" t="s">
        <v>700</v>
      </c>
      <c r="E5" s="504" t="s">
        <v>701</v>
      </c>
      <c r="F5" s="504" t="s">
        <v>702</v>
      </c>
      <c r="G5" s="531">
        <v>193</v>
      </c>
      <c r="H5" s="504" t="s">
        <v>684</v>
      </c>
      <c r="I5" s="530"/>
      <c r="J5" s="530" t="str">
        <f t="shared" ref="J5:J20" si="0">F5</f>
        <v>150 мм</v>
      </c>
      <c r="K5" s="530" t="s">
        <v>703</v>
      </c>
      <c r="L5" s="530" t="s">
        <v>704</v>
      </c>
      <c r="M5" s="531">
        <v>4</v>
      </c>
      <c r="N5" s="532">
        <f>7162.1*0.79*1.2</f>
        <v>6789.6707999999999</v>
      </c>
      <c r="O5" s="532">
        <f t="shared" ref="O5:O21" si="1">G5*N5</f>
        <v>1310406.4643999999</v>
      </c>
      <c r="P5" s="532">
        <f>7748.26*1.2</f>
        <v>9297.9120000000003</v>
      </c>
      <c r="Q5" s="1925">
        <v>8001785.6600000001</v>
      </c>
      <c r="R5" s="533" t="str">
        <f>IF(($M5)=1,($Q5),"")</f>
        <v/>
      </c>
      <c r="S5" s="533"/>
      <c r="T5" s="533" t="str">
        <f>IF(($M5)=3,($Q5),"")</f>
        <v/>
      </c>
      <c r="U5" s="533">
        <f>Q5*$R$2/100*$S$2/100*$T$2/100*$U$2/100</f>
        <v>9698378.582764715</v>
      </c>
      <c r="V5" s="533"/>
      <c r="W5" s="533" t="str">
        <f t="shared" ref="W5:W21" si="2">IF(($M5)=6,($Q5),"")</f>
        <v/>
      </c>
      <c r="X5" s="533" t="str">
        <f t="shared" ref="X5:X21" si="3">IF(($M5)=7,($Q5),"")</f>
        <v/>
      </c>
      <c r="Y5" s="533" t="str">
        <f t="shared" ref="Y5:Y21" si="4">IF(($M5)=8,($Q5),"")</f>
        <v/>
      </c>
      <c r="Z5" s="533" t="str">
        <f t="shared" ref="Z5:Z21" si="5">IF(($M5)=9,($Q5),"")</f>
        <v/>
      </c>
      <c r="AA5" s="533" t="str">
        <f t="shared" ref="AA5:AA21" si="6">IF(($M5)=10,($Q5),"")</f>
        <v/>
      </c>
      <c r="AB5" s="533" t="s">
        <v>912</v>
      </c>
      <c r="AC5" s="1190" t="s">
        <v>80</v>
      </c>
    </row>
    <row r="6" spans="1:29" s="534" customFormat="1" ht="63">
      <c r="A6" s="529">
        <v>2</v>
      </c>
      <c r="B6" s="504" t="s">
        <v>756</v>
      </c>
      <c r="C6" s="407" t="s">
        <v>685</v>
      </c>
      <c r="D6" s="504" t="s">
        <v>700</v>
      </c>
      <c r="E6" s="504" t="s">
        <v>701</v>
      </c>
      <c r="F6" s="504" t="s">
        <v>706</v>
      </c>
      <c r="G6" s="531">
        <v>197</v>
      </c>
      <c r="H6" s="504" t="s">
        <v>684</v>
      </c>
      <c r="I6" s="530"/>
      <c r="J6" s="530" t="str">
        <f t="shared" si="0"/>
        <v>200 мм</v>
      </c>
      <c r="K6" s="530" t="s">
        <v>703</v>
      </c>
      <c r="L6" s="530" t="s">
        <v>704</v>
      </c>
      <c r="M6" s="531">
        <v>6</v>
      </c>
      <c r="N6" s="532">
        <f>6910.25*0.79*1.2</f>
        <v>6550.9169999999995</v>
      </c>
      <c r="O6" s="532">
        <f t="shared" si="1"/>
        <v>1290530.649</v>
      </c>
      <c r="P6" s="532">
        <v>10254</v>
      </c>
      <c r="Q6" s="1925">
        <v>5728481.71</v>
      </c>
      <c r="R6" s="533" t="str">
        <f>IF(($M6)=1,($Q6),"")</f>
        <v/>
      </c>
      <c r="S6" s="533"/>
      <c r="T6" s="533" t="str">
        <f>IF(($M6)=3,($Q6),"")</f>
        <v/>
      </c>
      <c r="U6" s="533">
        <f>$Q$6*$R$2/100*$S$2/100*$T$2/100*$U$2/100</f>
        <v>6943073.294970437</v>
      </c>
      <c r="V6" s="533"/>
      <c r="W6" s="533">
        <f t="shared" si="2"/>
        <v>5728481.71</v>
      </c>
      <c r="X6" s="533" t="str">
        <f t="shared" si="3"/>
        <v/>
      </c>
      <c r="Y6" s="533" t="str">
        <f t="shared" si="4"/>
        <v/>
      </c>
      <c r="Z6" s="533" t="str">
        <f t="shared" si="5"/>
        <v/>
      </c>
      <c r="AA6" s="533" t="str">
        <f t="shared" si="6"/>
        <v/>
      </c>
      <c r="AB6" s="533" t="s">
        <v>912</v>
      </c>
      <c r="AC6" s="1190" t="s">
        <v>80</v>
      </c>
    </row>
    <row r="7" spans="1:29" s="534" customFormat="1" ht="63">
      <c r="A7" s="529">
        <v>3</v>
      </c>
      <c r="B7" s="504" t="s">
        <v>1288</v>
      </c>
      <c r="C7" s="407" t="s">
        <v>685</v>
      </c>
      <c r="D7" s="504" t="s">
        <v>700</v>
      </c>
      <c r="E7" s="504" t="s">
        <v>705</v>
      </c>
      <c r="F7" s="504" t="s">
        <v>729</v>
      </c>
      <c r="G7" s="531">
        <v>1046</v>
      </c>
      <c r="H7" s="504" t="s">
        <v>708</v>
      </c>
      <c r="I7" s="530"/>
      <c r="J7" s="530" t="str">
        <f t="shared" si="0"/>
        <v>500-600мм</v>
      </c>
      <c r="K7" s="530" t="s">
        <v>703</v>
      </c>
      <c r="L7" s="530" t="s">
        <v>704</v>
      </c>
      <c r="M7" s="531">
        <v>4</v>
      </c>
      <c r="N7" s="532">
        <f>25655.92*0.79*1.2</f>
        <v>24321.812160000001</v>
      </c>
      <c r="O7" s="532">
        <f t="shared" si="1"/>
        <v>25440615.519360002</v>
      </c>
      <c r="P7" s="532">
        <f>35314270.98/787*1.2*1.06</f>
        <v>57077.195281524779</v>
      </c>
      <c r="Q7" s="1925">
        <v>66948045.159999996</v>
      </c>
      <c r="R7" s="533"/>
      <c r="S7" s="533"/>
      <c r="T7" s="533"/>
      <c r="U7" s="533">
        <f>$Q$7*$R$2/100*$S$2/100*$T$2/100*$U$2/100*$U$2/100/2*0.4</f>
        <v>17007535.958665483</v>
      </c>
      <c r="V7" s="533">
        <f>$Q$7*$R$2/100*$S$2/100*$T$2/100*$U$2/100*$U$2/100/2*1.6</f>
        <v>68030143.834661931</v>
      </c>
      <c r="W7" s="533" t="str">
        <f t="shared" si="2"/>
        <v/>
      </c>
      <c r="X7" s="533" t="str">
        <f t="shared" si="3"/>
        <v/>
      </c>
      <c r="Y7" s="533" t="str">
        <f t="shared" si="4"/>
        <v/>
      </c>
      <c r="Z7" s="533" t="str">
        <f t="shared" si="5"/>
        <v/>
      </c>
      <c r="AA7" s="533" t="str">
        <f t="shared" si="6"/>
        <v/>
      </c>
      <c r="AB7" s="533" t="s">
        <v>912</v>
      </c>
      <c r="AC7" s="1190" t="s">
        <v>80</v>
      </c>
    </row>
    <row r="8" spans="1:29" s="1539" customFormat="1" ht="63">
      <c r="A8" s="1531">
        <v>4</v>
      </c>
      <c r="B8" s="1532" t="s">
        <v>1287</v>
      </c>
      <c r="C8" s="1533" t="s">
        <v>685</v>
      </c>
      <c r="D8" s="1532" t="s">
        <v>700</v>
      </c>
      <c r="E8" s="1532" t="s">
        <v>705</v>
      </c>
      <c r="F8" s="1532" t="s">
        <v>707</v>
      </c>
      <c r="G8" s="1534">
        <v>230</v>
      </c>
      <c r="H8" s="1532" t="s">
        <v>709</v>
      </c>
      <c r="I8" s="1224"/>
      <c r="J8" s="1224" t="str">
        <f t="shared" si="0"/>
        <v>600 мм</v>
      </c>
      <c r="K8" s="1224"/>
      <c r="L8" s="1224" t="s">
        <v>710</v>
      </c>
      <c r="M8" s="1534">
        <v>4</v>
      </c>
      <c r="N8" s="1535">
        <f>N7</f>
        <v>24321.812160000001</v>
      </c>
      <c r="O8" s="1535">
        <f t="shared" si="1"/>
        <v>5594016.7968000006</v>
      </c>
      <c r="P8" s="1535">
        <f>35314270.98/787*1.2*1.06</f>
        <v>57077.195281524779</v>
      </c>
      <c r="Q8" s="1225">
        <v>30457028.16</v>
      </c>
      <c r="R8" s="1537"/>
      <c r="S8" s="1537"/>
      <c r="T8" s="1537"/>
      <c r="U8" s="1537">
        <f>IF(($M8)=4,($Q8),"")*R2/100*S2/100*T2/100*U2/100</f>
        <v>36914734.05469922</v>
      </c>
      <c r="V8" s="1537" t="str">
        <f>IF(($M8)=5,($Q8),"")</f>
        <v/>
      </c>
      <c r="W8" s="1537" t="str">
        <f t="shared" si="2"/>
        <v/>
      </c>
      <c r="X8" s="1537" t="str">
        <f t="shared" si="3"/>
        <v/>
      </c>
      <c r="Y8" s="1537" t="str">
        <f t="shared" si="4"/>
        <v/>
      </c>
      <c r="Z8" s="1537" t="str">
        <f t="shared" si="5"/>
        <v/>
      </c>
      <c r="AA8" s="1537" t="str">
        <f t="shared" si="6"/>
        <v/>
      </c>
      <c r="AB8" s="1537" t="s">
        <v>916</v>
      </c>
      <c r="AC8" s="1538" t="s">
        <v>80</v>
      </c>
    </row>
    <row r="9" spans="1:29" s="1539" customFormat="1">
      <c r="A9" s="1531"/>
      <c r="B9" s="1532"/>
      <c r="C9" s="1533"/>
      <c r="D9" s="1532"/>
      <c r="E9" s="1532"/>
      <c r="F9" s="1532"/>
      <c r="G9" s="1534"/>
      <c r="H9" s="1532"/>
      <c r="I9" s="1224"/>
      <c r="J9" s="1224"/>
      <c r="K9" s="1224"/>
      <c r="L9" s="1224"/>
      <c r="M9" s="1534"/>
      <c r="N9" s="1535"/>
      <c r="O9" s="1535"/>
      <c r="P9" s="1535"/>
      <c r="Q9" s="1225"/>
      <c r="R9" s="1537"/>
      <c r="S9" s="1537"/>
      <c r="T9" s="1537"/>
      <c r="U9" s="1537"/>
      <c r="V9" s="1537"/>
      <c r="W9" s="1537"/>
      <c r="X9" s="1537"/>
      <c r="Y9" s="1537"/>
      <c r="Z9" s="1537"/>
      <c r="AA9" s="1537"/>
      <c r="AB9" s="1537"/>
      <c r="AC9" s="1538"/>
    </row>
    <row r="10" spans="1:29" s="534" customFormat="1" ht="63">
      <c r="A10" s="529">
        <v>6</v>
      </c>
      <c r="B10" s="504" t="s">
        <v>1286</v>
      </c>
      <c r="C10" s="407" t="s">
        <v>685</v>
      </c>
      <c r="D10" s="504" t="s">
        <v>700</v>
      </c>
      <c r="E10" s="504" t="s">
        <v>705</v>
      </c>
      <c r="F10" s="504" t="s">
        <v>706</v>
      </c>
      <c r="G10" s="531">
        <v>500</v>
      </c>
      <c r="H10" s="504" t="s">
        <v>684</v>
      </c>
      <c r="I10" s="530"/>
      <c r="J10" s="530" t="str">
        <f t="shared" si="0"/>
        <v>200 мм</v>
      </c>
      <c r="K10" s="530"/>
      <c r="L10" s="530" t="s">
        <v>710</v>
      </c>
      <c r="M10" s="531">
        <v>6</v>
      </c>
      <c r="N10" s="532">
        <f>6910.25*0.79*1.2</f>
        <v>6550.9169999999995</v>
      </c>
      <c r="O10" s="532">
        <f t="shared" si="1"/>
        <v>3275458.4999999995</v>
      </c>
      <c r="P10" s="532">
        <f>P6</f>
        <v>10254</v>
      </c>
      <c r="Q10" s="535">
        <v>15013657.609999999</v>
      </c>
      <c r="R10" s="533"/>
      <c r="S10" s="533"/>
      <c r="T10" s="533"/>
      <c r="U10" s="533">
        <f>$Q$10*$R$2/100*$S$2/100*$T$2/100*$U$2/100</f>
        <v>18196955.229838848</v>
      </c>
      <c r="V10" s="533"/>
      <c r="W10" s="533">
        <f t="shared" si="2"/>
        <v>15013657.609999999</v>
      </c>
      <c r="X10" s="533" t="str">
        <f t="shared" si="3"/>
        <v/>
      </c>
      <c r="Y10" s="533" t="str">
        <f t="shared" si="4"/>
        <v/>
      </c>
      <c r="Z10" s="533" t="str">
        <f t="shared" si="5"/>
        <v/>
      </c>
      <c r="AA10" s="533" t="str">
        <f t="shared" si="6"/>
        <v/>
      </c>
      <c r="AB10" s="533" t="s">
        <v>912</v>
      </c>
      <c r="AC10" s="1190" t="s">
        <v>80</v>
      </c>
    </row>
    <row r="11" spans="1:29" s="534" customFormat="1" ht="63">
      <c r="A11" s="529">
        <v>7</v>
      </c>
      <c r="B11" s="504" t="s">
        <v>887</v>
      </c>
      <c r="C11" s="407" t="s">
        <v>685</v>
      </c>
      <c r="D11" s="504" t="s">
        <v>700</v>
      </c>
      <c r="E11" s="504" t="s">
        <v>690</v>
      </c>
      <c r="F11" s="504" t="s">
        <v>711</v>
      </c>
      <c r="G11" s="531">
        <v>70</v>
      </c>
      <c r="H11" s="504" t="s">
        <v>712</v>
      </c>
      <c r="I11" s="530" t="s">
        <v>713</v>
      </c>
      <c r="J11" s="530" t="str">
        <f t="shared" si="0"/>
        <v>300 мм</v>
      </c>
      <c r="K11" s="530" t="s">
        <v>690</v>
      </c>
      <c r="L11" s="530" t="s">
        <v>704</v>
      </c>
      <c r="M11" s="531">
        <v>1</v>
      </c>
      <c r="N11" s="532">
        <f>9621.255*1.2</f>
        <v>11545.505999999999</v>
      </c>
      <c r="O11" s="532">
        <f t="shared" si="1"/>
        <v>808185.41999999993</v>
      </c>
      <c r="P11" s="532">
        <f>P17</f>
        <v>23795.868534275618</v>
      </c>
      <c r="Q11" s="535">
        <v>662096.87</v>
      </c>
      <c r="R11" s="533">
        <f>IF(($M11)=1,($Q11),"")*R2/100</f>
        <v>697188.00410999998</v>
      </c>
      <c r="S11" s="533" t="str">
        <f t="shared" ref="S11:S21" si="7">IF(($M11)=2,($Q11),"")</f>
        <v/>
      </c>
      <c r="T11" s="533"/>
      <c r="U11" s="533" t="str">
        <f t="shared" ref="U11:U21" si="8">IF(($M11)=4,($Q11),"")</f>
        <v/>
      </c>
      <c r="V11" s="533"/>
      <c r="W11" s="533" t="str">
        <f t="shared" si="2"/>
        <v/>
      </c>
      <c r="X11" s="533" t="str">
        <f t="shared" si="3"/>
        <v/>
      </c>
      <c r="Y11" s="533" t="str">
        <f t="shared" si="4"/>
        <v/>
      </c>
      <c r="Z11" s="533" t="str">
        <f t="shared" si="5"/>
        <v/>
      </c>
      <c r="AA11" s="533" t="str">
        <f t="shared" si="6"/>
        <v/>
      </c>
      <c r="AB11" s="533" t="s">
        <v>912</v>
      </c>
      <c r="AC11" s="1190" t="s">
        <v>80</v>
      </c>
    </row>
    <row r="12" spans="1:29" s="534" customFormat="1" ht="63">
      <c r="A12" s="529">
        <v>8</v>
      </c>
      <c r="B12" s="504" t="s">
        <v>757</v>
      </c>
      <c r="C12" s="407" t="s">
        <v>685</v>
      </c>
      <c r="D12" s="504" t="s">
        <v>700</v>
      </c>
      <c r="E12" s="504" t="s">
        <v>701</v>
      </c>
      <c r="F12" s="504" t="s">
        <v>706</v>
      </c>
      <c r="G12" s="531">
        <v>314</v>
      </c>
      <c r="H12" s="504" t="s">
        <v>709</v>
      </c>
      <c r="I12" s="530"/>
      <c r="J12" s="530" t="str">
        <f t="shared" si="0"/>
        <v>200 мм</v>
      </c>
      <c r="K12" s="530" t="s">
        <v>703</v>
      </c>
      <c r="L12" s="530" t="s">
        <v>704</v>
      </c>
      <c r="M12" s="531">
        <v>5</v>
      </c>
      <c r="N12" s="532">
        <f>6910.25*0.79*1.2</f>
        <v>6550.9169999999995</v>
      </c>
      <c r="O12" s="532">
        <f t="shared" si="1"/>
        <v>2056987.9379999998</v>
      </c>
      <c r="P12" s="532">
        <f>P10</f>
        <v>10254</v>
      </c>
      <c r="Q12" s="535">
        <v>4630727.9800000004</v>
      </c>
      <c r="R12" s="533" t="str">
        <f>IF(($M12)=1,($Q12),"")</f>
        <v/>
      </c>
      <c r="S12" s="533"/>
      <c r="T12" s="533" t="str">
        <f>IF(($M12)=3,($Q12),"")</f>
        <v/>
      </c>
      <c r="U12" s="533" t="str">
        <f t="shared" si="8"/>
        <v/>
      </c>
      <c r="V12" s="533">
        <f>IF(($M12)=5,($Q12),"")*R2/100*S2/100*T2/100*U2/100*V2/100</f>
        <v>5881969.5516445134</v>
      </c>
      <c r="W12" s="533" t="str">
        <f t="shared" si="2"/>
        <v/>
      </c>
      <c r="X12" s="533" t="str">
        <f t="shared" si="3"/>
        <v/>
      </c>
      <c r="Y12" s="533" t="str">
        <f t="shared" si="4"/>
        <v/>
      </c>
      <c r="Z12" s="533" t="str">
        <f t="shared" si="5"/>
        <v/>
      </c>
      <c r="AA12" s="533" t="str">
        <f t="shared" si="6"/>
        <v/>
      </c>
      <c r="AB12" s="533" t="s">
        <v>912</v>
      </c>
      <c r="AC12" s="1190" t="s">
        <v>80</v>
      </c>
    </row>
    <row r="13" spans="1:29" s="1539" customFormat="1" ht="63">
      <c r="A13" s="1531">
        <v>9</v>
      </c>
      <c r="B13" s="1532" t="s">
        <v>889</v>
      </c>
      <c r="C13" s="1533" t="s">
        <v>685</v>
      </c>
      <c r="D13" s="1532" t="s">
        <v>700</v>
      </c>
      <c r="E13" s="1532" t="s">
        <v>705</v>
      </c>
      <c r="F13" s="1532" t="s">
        <v>753</v>
      </c>
      <c r="G13" s="1534">
        <v>810</v>
      </c>
      <c r="H13" s="1532" t="s">
        <v>709</v>
      </c>
      <c r="I13" s="1224"/>
      <c r="J13" s="1224" t="str">
        <f t="shared" si="0"/>
        <v>250-500 мм</v>
      </c>
      <c r="K13" s="1224"/>
      <c r="L13" s="1224" t="s">
        <v>714</v>
      </c>
      <c r="M13" s="1534">
        <v>2</v>
      </c>
      <c r="N13" s="1535">
        <f>10540.81*0.79*1.2</f>
        <v>9992.6878799999995</v>
      </c>
      <c r="O13" s="1535">
        <f t="shared" si="1"/>
        <v>8094077.1827999996</v>
      </c>
      <c r="P13" s="1535">
        <f>P7</f>
        <v>57077.195281524779</v>
      </c>
      <c r="Q13" s="1536">
        <f>67855767.06</f>
        <v>67855767.060000002</v>
      </c>
      <c r="R13" s="1537"/>
      <c r="S13" s="1537">
        <f>((IF(($M13)=2,($Q13),""))*$R$2/100*$S$2/100/4*1.5)</f>
        <v>28080684.226672746</v>
      </c>
      <c r="T13" s="1537">
        <f>((IF(($M13)=2,($Q13),""))*$R$2/100*$S$2/100/4*1.8)</f>
        <v>33696821.072007298</v>
      </c>
      <c r="U13" s="1537">
        <f>((IF(($M13)=2,($Q13),""))*$R$2/100*$S$2/100/4*0.6)</f>
        <v>11232273.690669099</v>
      </c>
      <c r="V13" s="1537">
        <f>((IF(($M13)=2,($Q13),""))*$R$2/100*$S$2/100/4*0.1)</f>
        <v>1872045.6151115166</v>
      </c>
      <c r="W13" s="1537" t="str">
        <f t="shared" si="2"/>
        <v/>
      </c>
      <c r="X13" s="1537" t="str">
        <f t="shared" si="3"/>
        <v/>
      </c>
      <c r="Y13" s="1537" t="str">
        <f t="shared" si="4"/>
        <v/>
      </c>
      <c r="Z13" s="1537" t="str">
        <f t="shared" si="5"/>
        <v/>
      </c>
      <c r="AA13" s="1537" t="str">
        <f t="shared" si="6"/>
        <v/>
      </c>
      <c r="AB13" s="1537" t="s">
        <v>912</v>
      </c>
      <c r="AC13" s="1538" t="s">
        <v>80</v>
      </c>
    </row>
    <row r="14" spans="1:29" s="1539" customFormat="1" ht="63">
      <c r="A14" s="1531">
        <v>10</v>
      </c>
      <c r="B14" s="1532" t="s">
        <v>1289</v>
      </c>
      <c r="C14" s="1533" t="s">
        <v>685</v>
      </c>
      <c r="D14" s="1532" t="s">
        <v>700</v>
      </c>
      <c r="E14" s="1532" t="s">
        <v>705</v>
      </c>
      <c r="F14" s="1532" t="s">
        <v>715</v>
      </c>
      <c r="G14" s="1534">
        <v>300</v>
      </c>
      <c r="H14" s="1532" t="s">
        <v>709</v>
      </c>
      <c r="I14" s="1224"/>
      <c r="J14" s="1224" t="str">
        <f t="shared" si="0"/>
        <v>500 мм</v>
      </c>
      <c r="K14" s="1224" t="s">
        <v>703</v>
      </c>
      <c r="L14" s="1224" t="s">
        <v>704</v>
      </c>
      <c r="M14" s="1534">
        <v>1</v>
      </c>
      <c r="N14" s="1535">
        <f>N13</f>
        <v>9992.6878799999995</v>
      </c>
      <c r="O14" s="1535">
        <f t="shared" si="1"/>
        <v>2997806.3640000001</v>
      </c>
      <c r="P14" s="1535">
        <f>P13</f>
        <v>57077.195281524779</v>
      </c>
      <c r="Q14" s="1536">
        <v>7207641.71</v>
      </c>
      <c r="R14" s="1537">
        <f>IF(($M14)=1,($Q14),"")*R2/100</f>
        <v>7589646.7206299994</v>
      </c>
      <c r="S14" s="1537" t="str">
        <f t="shared" si="7"/>
        <v/>
      </c>
      <c r="T14" s="1537" t="str">
        <f>IF(($M14)=3,($Q14),"")</f>
        <v/>
      </c>
      <c r="U14" s="1537" t="str">
        <f t="shared" si="8"/>
        <v/>
      </c>
      <c r="V14" s="1537" t="str">
        <f>IF(($M14)=5,($Q14),"")</f>
        <v/>
      </c>
      <c r="W14" s="1537" t="str">
        <f t="shared" si="2"/>
        <v/>
      </c>
      <c r="X14" s="1537" t="str">
        <f t="shared" si="3"/>
        <v/>
      </c>
      <c r="Y14" s="1537" t="str">
        <f t="shared" si="4"/>
        <v/>
      </c>
      <c r="Z14" s="1537" t="str">
        <f t="shared" si="5"/>
        <v/>
      </c>
      <c r="AA14" s="1537" t="str">
        <f t="shared" si="6"/>
        <v/>
      </c>
      <c r="AB14" s="1537" t="s">
        <v>912</v>
      </c>
      <c r="AC14" s="1538" t="s">
        <v>80</v>
      </c>
    </row>
    <row r="15" spans="1:29" s="1539" customFormat="1">
      <c r="A15" s="1531"/>
      <c r="B15" s="1532"/>
      <c r="C15" s="1533"/>
      <c r="D15" s="1532"/>
      <c r="E15" s="1532"/>
      <c r="F15" s="1532"/>
      <c r="G15" s="1534"/>
      <c r="H15" s="1532"/>
      <c r="I15" s="1224"/>
      <c r="J15" s="1224"/>
      <c r="K15" s="1224"/>
      <c r="L15" s="1224"/>
      <c r="M15" s="1534"/>
      <c r="N15" s="1535"/>
      <c r="O15" s="1535"/>
      <c r="P15" s="1535"/>
      <c r="Q15" s="1536"/>
      <c r="R15" s="1537"/>
      <c r="S15" s="1537"/>
      <c r="T15" s="533"/>
      <c r="U15" s="1240"/>
      <c r="V15" s="533"/>
      <c r="W15" s="1537"/>
      <c r="X15" s="1537"/>
      <c r="Y15" s="1537"/>
      <c r="Z15" s="1537"/>
      <c r="AA15" s="1537"/>
      <c r="AB15" s="1240"/>
      <c r="AC15" s="1538"/>
    </row>
    <row r="16" spans="1:29" s="534" customFormat="1" ht="63">
      <c r="A16" s="529">
        <v>12</v>
      </c>
      <c r="B16" s="504" t="s">
        <v>1285</v>
      </c>
      <c r="C16" s="407" t="s">
        <v>685</v>
      </c>
      <c r="D16" s="504" t="s">
        <v>716</v>
      </c>
      <c r="E16" s="504" t="s">
        <v>690</v>
      </c>
      <c r="F16" s="504" t="s">
        <v>718</v>
      </c>
      <c r="G16" s="531">
        <v>420</v>
      </c>
      <c r="H16" s="504" t="s">
        <v>712</v>
      </c>
      <c r="I16" s="530" t="s">
        <v>719</v>
      </c>
      <c r="J16" s="530" t="s">
        <v>702</v>
      </c>
      <c r="K16" s="530" t="s">
        <v>717</v>
      </c>
      <c r="L16" s="530"/>
      <c r="M16" s="531">
        <v>1</v>
      </c>
      <c r="N16" s="532">
        <f>3076.584*1.2</f>
        <v>3691.9007999999994</v>
      </c>
      <c r="O16" s="532">
        <f t="shared" si="1"/>
        <v>1550598.3359999997</v>
      </c>
      <c r="P16" s="532">
        <f>P5</f>
        <v>9297.9120000000003</v>
      </c>
      <c r="Q16" s="535">
        <v>5323480.99</v>
      </c>
      <c r="R16" s="533">
        <f>IF(($M16)=1,($Q16),"")*R2/100</f>
        <v>5605625.4824700002</v>
      </c>
      <c r="S16" s="533"/>
      <c r="T16" s="533"/>
      <c r="U16" s="533" t="str">
        <f t="shared" si="8"/>
        <v/>
      </c>
      <c r="V16" s="533"/>
      <c r="W16" s="533" t="str">
        <f t="shared" si="2"/>
        <v/>
      </c>
      <c r="X16" s="533" t="str">
        <f t="shared" si="3"/>
        <v/>
      </c>
      <c r="Y16" s="533" t="str">
        <f t="shared" si="4"/>
        <v/>
      </c>
      <c r="Z16" s="533" t="str">
        <f t="shared" si="5"/>
        <v/>
      </c>
      <c r="AA16" s="533" t="str">
        <f t="shared" si="6"/>
        <v/>
      </c>
      <c r="AB16" s="533" t="s">
        <v>912</v>
      </c>
      <c r="AC16" s="1190" t="s">
        <v>80</v>
      </c>
    </row>
    <row r="17" spans="1:29" s="534" customFormat="1" ht="63">
      <c r="A17" s="529">
        <v>13</v>
      </c>
      <c r="B17" s="504" t="s">
        <v>1290</v>
      </c>
      <c r="C17" s="407" t="s">
        <v>685</v>
      </c>
      <c r="D17" s="504" t="s">
        <v>716</v>
      </c>
      <c r="E17" s="504" t="s">
        <v>690</v>
      </c>
      <c r="F17" s="504" t="s">
        <v>720</v>
      </c>
      <c r="G17" s="531">
        <v>3920</v>
      </c>
      <c r="H17" s="504" t="s">
        <v>712</v>
      </c>
      <c r="I17" s="530" t="s">
        <v>719</v>
      </c>
      <c r="J17" s="530" t="s">
        <v>721</v>
      </c>
      <c r="K17" s="530" t="s">
        <v>717</v>
      </c>
      <c r="L17" s="530"/>
      <c r="M17" s="531">
        <v>3</v>
      </c>
      <c r="N17" s="532">
        <f>6910.25*0.79*1.2</f>
        <v>6550.9169999999995</v>
      </c>
      <c r="O17" s="532">
        <f t="shared" si="1"/>
        <v>25679594.639999997</v>
      </c>
      <c r="P17" s="532">
        <f>28059294.98/1415*1.2</f>
        <v>23795.868534275618</v>
      </c>
      <c r="Q17" s="535">
        <v>114159312.48</v>
      </c>
      <c r="R17" s="533" t="str">
        <f>IF(($M17)=1,($Q17),"")</f>
        <v/>
      </c>
      <c r="S17" s="533" t="str">
        <f t="shared" si="7"/>
        <v/>
      </c>
      <c r="T17" s="533">
        <f>(IF(($M17)=3,($Q17),"")*R2/100*S2/100*T2/100)/3*0.84</f>
        <v>36967519.651814558</v>
      </c>
      <c r="U17" s="533">
        <f>$Q$17*$R$2/100*$S$2/100*$T$2/100/3*0.84</f>
        <v>36967519.651814558</v>
      </c>
      <c r="V17" s="533">
        <f>$Q$17*$R$2/100*$S$2/100*$T$2/100/3*(3-0.84-0.84)</f>
        <v>58091816.595708601</v>
      </c>
      <c r="W17" s="533" t="str">
        <f t="shared" si="2"/>
        <v/>
      </c>
      <c r="X17" s="533" t="str">
        <f t="shared" si="3"/>
        <v/>
      </c>
      <c r="Y17" s="533" t="str">
        <f t="shared" si="4"/>
        <v/>
      </c>
      <c r="Z17" s="533" t="str">
        <f t="shared" si="5"/>
        <v/>
      </c>
      <c r="AA17" s="533" t="str">
        <f t="shared" si="6"/>
        <v/>
      </c>
      <c r="AB17" s="533" t="s">
        <v>912</v>
      </c>
      <c r="AC17" s="1190" t="s">
        <v>80</v>
      </c>
    </row>
    <row r="18" spans="1:29" s="534" customFormat="1" ht="63">
      <c r="A18" s="529">
        <v>14</v>
      </c>
      <c r="B18" s="504" t="s">
        <v>755</v>
      </c>
      <c r="C18" s="407" t="s">
        <v>685</v>
      </c>
      <c r="D18" s="504" t="s">
        <v>716</v>
      </c>
      <c r="E18" s="504" t="s">
        <v>690</v>
      </c>
      <c r="F18" s="504" t="s">
        <v>702</v>
      </c>
      <c r="G18" s="531">
        <v>2800</v>
      </c>
      <c r="H18" s="504" t="s">
        <v>722</v>
      </c>
      <c r="I18" s="530"/>
      <c r="J18" s="530" t="s">
        <v>723</v>
      </c>
      <c r="K18" s="530" t="s">
        <v>717</v>
      </c>
      <c r="L18" s="530"/>
      <c r="M18" s="531">
        <v>3</v>
      </c>
      <c r="N18" s="532">
        <f>7162.1*0.79*1.2</f>
        <v>6789.6707999999999</v>
      </c>
      <c r="O18" s="532">
        <f t="shared" si="1"/>
        <v>19011078.239999998</v>
      </c>
      <c r="P18" s="532">
        <f>7748.26*1.2</f>
        <v>9297.9120000000003</v>
      </c>
      <c r="Q18" s="535">
        <v>25384457.66</v>
      </c>
      <c r="R18" s="533" t="str">
        <f>IF(($M18)=1,($Q18),"")</f>
        <v/>
      </c>
      <c r="S18" s="533"/>
      <c r="T18" s="533">
        <f>IF(($M18)=3,($Q18),"")*$R$2/100*$S$2/100*$T$2/100</f>
        <v>29357483.509256497</v>
      </c>
      <c r="U18" s="533"/>
      <c r="V18" s="533" t="str">
        <f>IF(($M18)=5,($Q18),"")</f>
        <v/>
      </c>
      <c r="W18" s="533" t="str">
        <f t="shared" si="2"/>
        <v/>
      </c>
      <c r="X18" s="533" t="str">
        <f t="shared" si="3"/>
        <v/>
      </c>
      <c r="Y18" s="533" t="str">
        <f t="shared" si="4"/>
        <v/>
      </c>
      <c r="Z18" s="533" t="str">
        <f t="shared" si="5"/>
        <v/>
      </c>
      <c r="AA18" s="533" t="str">
        <f t="shared" si="6"/>
        <v/>
      </c>
      <c r="AB18" s="533" t="s">
        <v>912</v>
      </c>
      <c r="AC18" s="1190" t="s">
        <v>80</v>
      </c>
    </row>
    <row r="19" spans="1:29" s="534" customFormat="1" ht="63">
      <c r="A19" s="529">
        <v>15</v>
      </c>
      <c r="B19" s="504" t="s">
        <v>898</v>
      </c>
      <c r="C19" s="407" t="s">
        <v>685</v>
      </c>
      <c r="D19" s="504" t="s">
        <v>716</v>
      </c>
      <c r="E19" s="504" t="s">
        <v>690</v>
      </c>
      <c r="F19" s="504" t="s">
        <v>702</v>
      </c>
      <c r="G19" s="531">
        <v>454</v>
      </c>
      <c r="H19" s="504" t="s">
        <v>712</v>
      </c>
      <c r="I19" s="530"/>
      <c r="J19" s="530" t="str">
        <f t="shared" si="0"/>
        <v>150 мм</v>
      </c>
      <c r="K19" s="530" t="s">
        <v>717</v>
      </c>
      <c r="L19" s="530"/>
      <c r="M19" s="531">
        <v>4</v>
      </c>
      <c r="N19" s="532">
        <f>7162.1*0.79*1.2</f>
        <v>6789.6707999999999</v>
      </c>
      <c r="O19" s="532">
        <f t="shared" si="1"/>
        <v>3082510.5431999997</v>
      </c>
      <c r="P19" s="532">
        <f>7748.26*1.2</f>
        <v>9297.9120000000003</v>
      </c>
      <c r="Q19" s="535">
        <v>31589295.890000001</v>
      </c>
      <c r="R19" s="533" t="str">
        <f>IF(($M19)=1,($Q19),"")</f>
        <v/>
      </c>
      <c r="S19" s="533"/>
      <c r="T19" s="533"/>
      <c r="U19" s="533"/>
      <c r="V19" s="533">
        <f>$Q$19*$R$2/100*$S$2/100*$T$2/100*$U$2/100*$V$2/100</f>
        <v>40124852.374263026</v>
      </c>
      <c r="W19" s="533" t="str">
        <f t="shared" si="2"/>
        <v/>
      </c>
      <c r="X19" s="533" t="str">
        <f t="shared" si="3"/>
        <v/>
      </c>
      <c r="Y19" s="533" t="str">
        <f t="shared" si="4"/>
        <v/>
      </c>
      <c r="Z19" s="533" t="str">
        <f t="shared" si="5"/>
        <v/>
      </c>
      <c r="AA19" s="533" t="str">
        <f t="shared" si="6"/>
        <v/>
      </c>
      <c r="AB19" s="533" t="s">
        <v>912</v>
      </c>
      <c r="AC19" s="1190" t="s">
        <v>80</v>
      </c>
    </row>
    <row r="20" spans="1:29" s="534" customFormat="1" ht="63">
      <c r="A20" s="529">
        <v>16</v>
      </c>
      <c r="B20" s="504" t="s">
        <v>1106</v>
      </c>
      <c r="C20" s="407" t="s">
        <v>685</v>
      </c>
      <c r="D20" s="504" t="s">
        <v>716</v>
      </c>
      <c r="E20" s="504" t="s">
        <v>724</v>
      </c>
      <c r="F20" s="504" t="s">
        <v>725</v>
      </c>
      <c r="G20" s="531">
        <v>200</v>
      </c>
      <c r="H20" s="504" t="s">
        <v>684</v>
      </c>
      <c r="I20" s="530"/>
      <c r="J20" s="530" t="str">
        <f t="shared" si="0"/>
        <v>400мм</v>
      </c>
      <c r="K20" s="530" t="s">
        <v>717</v>
      </c>
      <c r="L20" s="530"/>
      <c r="M20" s="531">
        <v>5</v>
      </c>
      <c r="N20" s="532" t="e">
        <f>#REF!</f>
        <v>#REF!</v>
      </c>
      <c r="O20" s="532" t="e">
        <f t="shared" si="1"/>
        <v>#REF!</v>
      </c>
      <c r="P20" s="532">
        <f>35314270.98/787*1.2*1.06</f>
        <v>57077.195281524779</v>
      </c>
      <c r="Q20" s="535">
        <v>5475255.7199999997</v>
      </c>
      <c r="R20" s="533" t="str">
        <f>IF(($M20)=1,($Q20),"")</f>
        <v/>
      </c>
      <c r="S20" s="533" t="str">
        <f t="shared" si="7"/>
        <v/>
      </c>
      <c r="T20" s="533"/>
      <c r="U20" s="533" t="str">
        <f t="shared" si="8"/>
        <v/>
      </c>
      <c r="V20" s="533">
        <f>IF(($M20)=5,($Q20),"")*R2/100*S2/100*T2/100*U2/100*V2/100</f>
        <v>6954692.1286677383</v>
      </c>
      <c r="W20" s="533" t="str">
        <f t="shared" si="2"/>
        <v/>
      </c>
      <c r="X20" s="533" t="str">
        <f t="shared" si="3"/>
        <v/>
      </c>
      <c r="Y20" s="533" t="str">
        <f t="shared" si="4"/>
        <v/>
      </c>
      <c r="Z20" s="533" t="str">
        <f t="shared" si="5"/>
        <v/>
      </c>
      <c r="AA20" s="533" t="str">
        <f t="shared" si="6"/>
        <v/>
      </c>
      <c r="AB20" s="533" t="s">
        <v>912</v>
      </c>
      <c r="AC20" s="1190" t="s">
        <v>80</v>
      </c>
    </row>
    <row r="21" spans="1:29" s="534" customFormat="1" ht="63">
      <c r="A21" s="529">
        <v>17</v>
      </c>
      <c r="B21" s="504" t="s">
        <v>1107</v>
      </c>
      <c r="C21" s="407" t="s">
        <v>685</v>
      </c>
      <c r="D21" s="504" t="s">
        <v>700</v>
      </c>
      <c r="E21" s="504" t="s">
        <v>690</v>
      </c>
      <c r="F21" s="504" t="s">
        <v>726</v>
      </c>
      <c r="G21" s="531">
        <v>294</v>
      </c>
      <c r="H21" s="504" t="s">
        <v>712</v>
      </c>
      <c r="I21" s="530" t="s">
        <v>727</v>
      </c>
      <c r="J21" s="530" t="s">
        <v>726</v>
      </c>
      <c r="K21" s="530" t="s">
        <v>690</v>
      </c>
      <c r="L21" s="530"/>
      <c r="M21" s="531">
        <v>1</v>
      </c>
      <c r="N21" s="532" t="e">
        <f>#REF!</f>
        <v>#REF!</v>
      </c>
      <c r="O21" s="532" t="e">
        <f t="shared" si="1"/>
        <v>#REF!</v>
      </c>
      <c r="P21" s="532">
        <f>P11</f>
        <v>23795.868534275618</v>
      </c>
      <c r="Q21" s="535">
        <f>'[16]Рек. самотечн. коллектора Калуг'!$N$407</f>
        <v>4188377.26</v>
      </c>
      <c r="R21" s="533">
        <f>IF(($M21)=1,($Q21),"")*R2/100</f>
        <v>4410361.2547800001</v>
      </c>
      <c r="S21" s="533" t="str">
        <f t="shared" si="7"/>
        <v/>
      </c>
      <c r="T21" s="533" t="str">
        <f>IF(($M21)=3,($Q21),"")</f>
        <v/>
      </c>
      <c r="U21" s="533" t="str">
        <f t="shared" si="8"/>
        <v/>
      </c>
      <c r="V21" s="533" t="str">
        <f>IF(($M21)=5,($Q21),"")</f>
        <v/>
      </c>
      <c r="W21" s="533" t="str">
        <f t="shared" si="2"/>
        <v/>
      </c>
      <c r="X21" s="533" t="str">
        <f t="shared" si="3"/>
        <v/>
      </c>
      <c r="Y21" s="533" t="str">
        <f t="shared" si="4"/>
        <v/>
      </c>
      <c r="Z21" s="533" t="str">
        <f t="shared" si="5"/>
        <v/>
      </c>
      <c r="AA21" s="533" t="str">
        <f t="shared" si="6"/>
        <v/>
      </c>
      <c r="AB21" s="533" t="s">
        <v>912</v>
      </c>
      <c r="AC21" s="1190" t="s">
        <v>80</v>
      </c>
    </row>
    <row r="22" spans="1:29" s="534" customFormat="1">
      <c r="A22" s="529"/>
      <c r="B22" s="504"/>
      <c r="C22" s="407"/>
      <c r="D22" s="504"/>
      <c r="E22" s="504"/>
      <c r="F22" s="504"/>
      <c r="G22" s="531"/>
      <c r="H22" s="504"/>
      <c r="I22" s="530"/>
      <c r="J22" s="530"/>
      <c r="K22" s="530"/>
      <c r="L22" s="530"/>
      <c r="M22" s="531"/>
      <c r="N22" s="532"/>
      <c r="O22" s="532"/>
      <c r="P22" s="532"/>
      <c r="Q22" s="535"/>
      <c r="R22" s="533"/>
      <c r="S22" s="533"/>
      <c r="T22" s="533"/>
      <c r="U22" s="533"/>
      <c r="V22" s="533"/>
      <c r="W22" s="533"/>
      <c r="X22" s="533"/>
      <c r="Y22" s="533"/>
      <c r="Z22" s="533"/>
      <c r="AA22" s="533"/>
      <c r="AB22" s="533"/>
      <c r="AC22" s="1190"/>
    </row>
    <row r="23" spans="1:29" s="1504" customFormat="1" ht="63">
      <c r="A23" s="1494"/>
      <c r="B23" s="1495" t="s">
        <v>728</v>
      </c>
      <c r="C23" s="1496" t="s">
        <v>687</v>
      </c>
      <c r="D23" s="1497" t="s">
        <v>700</v>
      </c>
      <c r="E23" s="1497" t="s">
        <v>692</v>
      </c>
      <c r="F23" s="1497" t="s">
        <v>729</v>
      </c>
      <c r="G23" s="1498">
        <v>3500</v>
      </c>
      <c r="H23" s="1497" t="s">
        <v>730</v>
      </c>
      <c r="I23" s="1499"/>
      <c r="J23" s="1498">
        <v>800</v>
      </c>
      <c r="K23" s="1499" t="s">
        <v>731</v>
      </c>
      <c r="L23" s="1499" t="s">
        <v>704</v>
      </c>
      <c r="M23" s="1498" t="s">
        <v>732</v>
      </c>
      <c r="N23" s="1500" t="e">
        <f>#REF!</f>
        <v>#REF!</v>
      </c>
      <c r="O23" s="1500" t="e">
        <f>G23*N23</f>
        <v>#REF!</v>
      </c>
      <c r="P23" s="1500"/>
      <c r="Q23" s="1501">
        <f>8491867.2+140060426.4</f>
        <v>148552293.59999999</v>
      </c>
      <c r="R23" s="1502" t="str">
        <f>IF(($M23)=1,($Q23),"")</f>
        <v/>
      </c>
      <c r="S23" s="1502">
        <f>Q23*R2/100*S2/100</f>
        <v>163933992.28851837</v>
      </c>
      <c r="T23" s="1502" t="str">
        <f>IF(($M23)=3,($Q23),"")</f>
        <v/>
      </c>
      <c r="U23" s="1502" t="str">
        <f>IF(($M23)=4,($Q23),"")</f>
        <v/>
      </c>
      <c r="V23" s="1502" t="str">
        <f>IF(($M23)=5,($Q23),"")</f>
        <v/>
      </c>
      <c r="W23" s="1502" t="str">
        <f>IF(($M23)=6,($Q23),"")</f>
        <v/>
      </c>
      <c r="X23" s="1502" t="str">
        <f>IF(($M23)=7,($Q23),"")</f>
        <v/>
      </c>
      <c r="Y23" s="1502" t="str">
        <f>IF(($M23)=8,($Q23),"")</f>
        <v/>
      </c>
      <c r="Z23" s="1502" t="str">
        <f>IF(($M23)=9,($Q23),"")</f>
        <v/>
      </c>
      <c r="AA23" s="1502" t="str">
        <f>IF(($M23)=10,($Q23),"")</f>
        <v/>
      </c>
      <c r="AB23" s="1502" t="s">
        <v>912</v>
      </c>
      <c r="AC23" s="1503" t="s">
        <v>1284</v>
      </c>
    </row>
    <row r="24" spans="1:29" s="541" customFormat="1" ht="24.75" customHeight="1">
      <c r="A24" s="528"/>
      <c r="B24" s="537" t="s">
        <v>24</v>
      </c>
      <c r="C24" s="537"/>
      <c r="D24" s="537"/>
      <c r="E24" s="554"/>
      <c r="F24" s="554"/>
      <c r="G24" s="539">
        <f>SUM(G5:G23)</f>
        <v>15248</v>
      </c>
      <c r="H24" s="538"/>
      <c r="I24" s="538"/>
      <c r="J24" s="538"/>
      <c r="K24" s="538"/>
      <c r="L24" s="538"/>
      <c r="M24" s="538"/>
      <c r="N24" s="503" t="s">
        <v>733</v>
      </c>
      <c r="O24" s="539" t="e">
        <f>SUM(O5:O23)</f>
        <v>#REF!</v>
      </c>
      <c r="P24" s="539"/>
      <c r="Q24" s="540">
        <f>SUM(Q5:Q23)</f>
        <v>541177705.5200001</v>
      </c>
      <c r="R24" s="505">
        <f t="shared" ref="R24:AA24" si="9">SUM(R5:R23)</f>
        <v>18302821.461989999</v>
      </c>
      <c r="S24" s="505">
        <f t="shared" si="9"/>
        <v>192014676.51519111</v>
      </c>
      <c r="T24" s="505">
        <f t="shared" si="9"/>
        <v>100021824.23307835</v>
      </c>
      <c r="U24" s="505">
        <f t="shared" si="9"/>
        <v>136960470.46342236</v>
      </c>
      <c r="V24" s="505">
        <f t="shared" si="9"/>
        <v>180955520.10005733</v>
      </c>
      <c r="W24" s="505">
        <f t="shared" si="9"/>
        <v>20742139.32</v>
      </c>
      <c r="X24" s="505">
        <f t="shared" si="9"/>
        <v>0</v>
      </c>
      <c r="Y24" s="505">
        <f t="shared" si="9"/>
        <v>0</v>
      </c>
      <c r="Z24" s="505">
        <f t="shared" si="9"/>
        <v>0</v>
      </c>
      <c r="AA24" s="505">
        <f t="shared" si="9"/>
        <v>0</v>
      </c>
      <c r="AB24" s="505"/>
    </row>
    <row r="25" spans="1:29" ht="48.75" customHeight="1">
      <c r="A25" s="542"/>
      <c r="B25" s="520"/>
      <c r="C25" s="520"/>
      <c r="D25" s="520"/>
      <c r="E25" s="520"/>
      <c r="F25" s="520"/>
      <c r="G25" s="520"/>
      <c r="H25" s="520"/>
      <c r="I25" s="520"/>
      <c r="J25" s="520"/>
      <c r="K25" s="520"/>
      <c r="L25" s="543"/>
      <c r="M25" s="544"/>
      <c r="N25" s="545"/>
      <c r="O25" s="546"/>
      <c r="P25" s="546"/>
      <c r="Q25" s="547">
        <f>Мероприятия_и_источники!H469*1000</f>
        <v>468492947.89660084</v>
      </c>
      <c r="R25" s="548">
        <f>Мероприятия_и_источники!I469*1000</f>
        <v>22474448.873370003</v>
      </c>
      <c r="S25" s="548">
        <f>Мероприятия_и_источники!J469*1000</f>
        <v>28080684.226672746</v>
      </c>
      <c r="T25" s="548">
        <f>Мероприятия_и_источники!K469*1000</f>
        <v>100021824.23307838</v>
      </c>
      <c r="U25" s="548">
        <f>Мероприятия_и_источники!L469*1000</f>
        <v>136960470.46342236</v>
      </c>
      <c r="V25" s="548">
        <f>Мероприятия_и_источники!M469*1000</f>
        <v>180955520.10005733</v>
      </c>
      <c r="W25" s="548"/>
      <c r="X25" s="548"/>
      <c r="Y25" s="548"/>
      <c r="Z25" s="548"/>
      <c r="AA25" s="548"/>
      <c r="AB25" s="548"/>
    </row>
    <row r="26" spans="1:29" ht="48.75" customHeight="1">
      <c r="A26" s="542"/>
      <c r="B26" s="520"/>
      <c r="C26" s="520"/>
      <c r="D26" s="520"/>
      <c r="E26" s="520"/>
      <c r="F26" s="520"/>
      <c r="G26" s="520"/>
      <c r="H26" s="520"/>
      <c r="I26" s="520"/>
      <c r="J26" s="520"/>
      <c r="K26" s="520"/>
      <c r="L26" s="543"/>
      <c r="M26" s="544"/>
      <c r="N26" s="545"/>
      <c r="O26" s="546"/>
      <c r="P26" s="546"/>
      <c r="Q26" s="547">
        <f t="shared" ref="Q26:V26" si="10">Q24-Q25</f>
        <v>72684757.623399258</v>
      </c>
      <c r="R26" s="547">
        <f t="shared" si="10"/>
        <v>-4171627.4113800041</v>
      </c>
      <c r="S26" s="547">
        <f t="shared" si="10"/>
        <v>163933992.28851837</v>
      </c>
      <c r="T26" s="547">
        <f t="shared" si="10"/>
        <v>0</v>
      </c>
      <c r="U26" s="547">
        <f t="shared" si="10"/>
        <v>0</v>
      </c>
      <c r="V26" s="547">
        <f t="shared" si="10"/>
        <v>0</v>
      </c>
      <c r="W26" s="548"/>
      <c r="X26" s="548"/>
      <c r="Y26" s="548"/>
      <c r="Z26" s="548"/>
      <c r="AA26" s="548"/>
      <c r="AB26" s="548"/>
    </row>
    <row r="27" spans="1:29" ht="48.75" customHeight="1">
      <c r="A27" s="542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43"/>
      <c r="M27" s="544"/>
      <c r="N27" s="545"/>
      <c r="O27" s="546"/>
      <c r="P27" s="546"/>
      <c r="Q27" s="547"/>
      <c r="R27" s="548"/>
      <c r="S27" s="548"/>
      <c r="T27" s="548"/>
      <c r="U27" s="548"/>
      <c r="V27" s="548"/>
      <c r="W27" s="548"/>
      <c r="X27" s="548"/>
      <c r="Y27" s="548"/>
      <c r="Z27" s="548"/>
      <c r="AA27" s="548"/>
      <c r="AB27" s="548"/>
    </row>
    <row r="28" spans="1:29" ht="35.25" customHeight="1">
      <c r="A28" s="542"/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5"/>
      <c r="M28" s="549"/>
      <c r="Q28" s="550"/>
    </row>
    <row r="30" spans="1:29">
      <c r="R30" s="553"/>
    </row>
  </sheetData>
  <mergeCells count="2">
    <mergeCell ref="A3:Q3"/>
    <mergeCell ref="R3:AA3"/>
  </mergeCells>
  <pageMargins left="0.39370078740157483" right="0.39370078740157483" top="0.39370078740157483" bottom="0.39370078740157483" header="0" footer="0"/>
  <pageSetup paperSize="9" scale="37" fitToHeight="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K299"/>
  <sheetViews>
    <sheetView zoomScale="70" zoomScaleNormal="70" workbookViewId="0">
      <pane xSplit="4" ySplit="3" topLeftCell="E27" activePane="bottomRight" state="frozen"/>
      <selection pane="topRight" activeCell="E1" sqref="E1"/>
      <selection pane="bottomLeft" activeCell="A4" sqref="A4"/>
      <selection pane="bottomRight" activeCell="Z35" sqref="Z35"/>
    </sheetView>
  </sheetViews>
  <sheetFormatPr defaultColWidth="8.28515625" defaultRowHeight="15.75" outlineLevelRow="1" outlineLevelCol="1"/>
  <cols>
    <col min="1" max="1" width="0.7109375" style="2218" customWidth="1"/>
    <col min="2" max="2" width="10.5703125" style="2218" customWidth="1"/>
    <col min="3" max="3" width="46.42578125" style="2219" customWidth="1"/>
    <col min="4" max="4" width="12.7109375" style="2219" customWidth="1"/>
    <col min="5" max="5" width="15.28515625" style="2219" hidden="1" customWidth="1" outlineLevel="1"/>
    <col min="6" max="6" width="14.85546875" style="2219" hidden="1" customWidth="1" outlineLevel="1"/>
    <col min="7" max="7" width="15" style="2219" hidden="1" customWidth="1" outlineLevel="1"/>
    <col min="8" max="8" width="14.5703125" style="2219" hidden="1" customWidth="1" outlineLevel="1"/>
    <col min="9" max="10" width="14.140625" style="2219" hidden="1" customWidth="1" outlineLevel="1"/>
    <col min="11" max="11" width="14.5703125" style="2219" hidden="1" customWidth="1" outlineLevel="1"/>
    <col min="12" max="12" width="14.140625" style="2219" hidden="1" customWidth="1" outlineLevel="1"/>
    <col min="13" max="13" width="14.42578125" style="2219" hidden="1" customWidth="1" outlineLevel="1"/>
    <col min="14" max="14" width="14.5703125" style="2219" hidden="1" customWidth="1" collapsed="1"/>
    <col min="15" max="15" width="14.140625" style="2219" hidden="1" customWidth="1"/>
    <col min="16" max="16" width="14.28515625" style="2219" hidden="1" customWidth="1"/>
    <col min="17" max="17" width="14.85546875" hidden="1" customWidth="1"/>
    <col min="18" max="18" width="14.28515625" hidden="1" customWidth="1"/>
    <col min="19" max="25" width="14.28515625" style="2219" hidden="1" customWidth="1"/>
    <col min="26" max="28" width="14.28515625" style="2219" customWidth="1"/>
    <col min="29" max="29" width="16" customWidth="1"/>
    <col min="30" max="30" width="11.28515625" customWidth="1"/>
    <col min="31" max="31" width="13.42578125" customWidth="1"/>
    <col min="32" max="34" width="13.28515625" bestFit="1" customWidth="1"/>
    <col min="35" max="35" width="12.85546875" bestFit="1" customWidth="1"/>
    <col min="257" max="257" width="0.7109375" customWidth="1"/>
    <col min="258" max="258" width="10.5703125" customWidth="1"/>
    <col min="259" max="259" width="46.42578125" customWidth="1"/>
    <col min="260" max="260" width="12.7109375" customWidth="1"/>
    <col min="261" max="269" width="0" hidden="1" customWidth="1"/>
    <col min="270" max="270" width="14.5703125" customWidth="1"/>
    <col min="271" max="271" width="14.140625" customWidth="1"/>
    <col min="272" max="272" width="14.28515625" customWidth="1"/>
    <col min="273" max="273" width="14.85546875" customWidth="1"/>
    <col min="274" max="284" width="14.28515625" customWidth="1"/>
    <col min="285" max="285" width="16" customWidth="1"/>
    <col min="286" max="286" width="11.28515625" customWidth="1"/>
    <col min="287" max="287" width="13.42578125" customWidth="1"/>
    <col min="288" max="290" width="13.28515625" bestFit="1" customWidth="1"/>
    <col min="291" max="291" width="12.85546875" bestFit="1" customWidth="1"/>
    <col min="513" max="513" width="0.7109375" customWidth="1"/>
    <col min="514" max="514" width="10.5703125" customWidth="1"/>
    <col min="515" max="515" width="46.42578125" customWidth="1"/>
    <col min="516" max="516" width="12.7109375" customWidth="1"/>
    <col min="517" max="525" width="0" hidden="1" customWidth="1"/>
    <col min="526" max="526" width="14.5703125" customWidth="1"/>
    <col min="527" max="527" width="14.140625" customWidth="1"/>
    <col min="528" max="528" width="14.28515625" customWidth="1"/>
    <col min="529" max="529" width="14.85546875" customWidth="1"/>
    <col min="530" max="540" width="14.28515625" customWidth="1"/>
    <col min="541" max="541" width="16" customWidth="1"/>
    <col min="542" max="542" width="11.28515625" customWidth="1"/>
    <col min="543" max="543" width="13.42578125" customWidth="1"/>
    <col min="544" max="546" width="13.28515625" bestFit="1" customWidth="1"/>
    <col min="547" max="547" width="12.85546875" bestFit="1" customWidth="1"/>
    <col min="769" max="769" width="0.7109375" customWidth="1"/>
    <col min="770" max="770" width="10.5703125" customWidth="1"/>
    <col min="771" max="771" width="46.42578125" customWidth="1"/>
    <col min="772" max="772" width="12.7109375" customWidth="1"/>
    <col min="773" max="781" width="0" hidden="1" customWidth="1"/>
    <col min="782" max="782" width="14.5703125" customWidth="1"/>
    <col min="783" max="783" width="14.140625" customWidth="1"/>
    <col min="784" max="784" width="14.28515625" customWidth="1"/>
    <col min="785" max="785" width="14.85546875" customWidth="1"/>
    <col min="786" max="796" width="14.28515625" customWidth="1"/>
    <col min="797" max="797" width="16" customWidth="1"/>
    <col min="798" max="798" width="11.28515625" customWidth="1"/>
    <col min="799" max="799" width="13.42578125" customWidth="1"/>
    <col min="800" max="802" width="13.28515625" bestFit="1" customWidth="1"/>
    <col min="803" max="803" width="12.85546875" bestFit="1" customWidth="1"/>
    <col min="1025" max="1025" width="0.7109375" customWidth="1"/>
    <col min="1026" max="1026" width="10.5703125" customWidth="1"/>
    <col min="1027" max="1027" width="46.42578125" customWidth="1"/>
    <col min="1028" max="1028" width="12.7109375" customWidth="1"/>
    <col min="1029" max="1037" width="0" hidden="1" customWidth="1"/>
    <col min="1038" max="1038" width="14.5703125" customWidth="1"/>
    <col min="1039" max="1039" width="14.140625" customWidth="1"/>
    <col min="1040" max="1040" width="14.28515625" customWidth="1"/>
    <col min="1041" max="1041" width="14.85546875" customWidth="1"/>
    <col min="1042" max="1052" width="14.28515625" customWidth="1"/>
    <col min="1053" max="1053" width="16" customWidth="1"/>
    <col min="1054" max="1054" width="11.28515625" customWidth="1"/>
    <col min="1055" max="1055" width="13.42578125" customWidth="1"/>
    <col min="1056" max="1058" width="13.28515625" bestFit="1" customWidth="1"/>
    <col min="1059" max="1059" width="12.85546875" bestFit="1" customWidth="1"/>
    <col min="1281" max="1281" width="0.7109375" customWidth="1"/>
    <col min="1282" max="1282" width="10.5703125" customWidth="1"/>
    <col min="1283" max="1283" width="46.42578125" customWidth="1"/>
    <col min="1284" max="1284" width="12.7109375" customWidth="1"/>
    <col min="1285" max="1293" width="0" hidden="1" customWidth="1"/>
    <col min="1294" max="1294" width="14.5703125" customWidth="1"/>
    <col min="1295" max="1295" width="14.140625" customWidth="1"/>
    <col min="1296" max="1296" width="14.28515625" customWidth="1"/>
    <col min="1297" max="1297" width="14.85546875" customWidth="1"/>
    <col min="1298" max="1308" width="14.28515625" customWidth="1"/>
    <col min="1309" max="1309" width="16" customWidth="1"/>
    <col min="1310" max="1310" width="11.28515625" customWidth="1"/>
    <col min="1311" max="1311" width="13.42578125" customWidth="1"/>
    <col min="1312" max="1314" width="13.28515625" bestFit="1" customWidth="1"/>
    <col min="1315" max="1315" width="12.85546875" bestFit="1" customWidth="1"/>
    <col min="1537" max="1537" width="0.7109375" customWidth="1"/>
    <col min="1538" max="1538" width="10.5703125" customWidth="1"/>
    <col min="1539" max="1539" width="46.42578125" customWidth="1"/>
    <col min="1540" max="1540" width="12.7109375" customWidth="1"/>
    <col min="1541" max="1549" width="0" hidden="1" customWidth="1"/>
    <col min="1550" max="1550" width="14.5703125" customWidth="1"/>
    <col min="1551" max="1551" width="14.140625" customWidth="1"/>
    <col min="1552" max="1552" width="14.28515625" customWidth="1"/>
    <col min="1553" max="1553" width="14.85546875" customWidth="1"/>
    <col min="1554" max="1564" width="14.28515625" customWidth="1"/>
    <col min="1565" max="1565" width="16" customWidth="1"/>
    <col min="1566" max="1566" width="11.28515625" customWidth="1"/>
    <col min="1567" max="1567" width="13.42578125" customWidth="1"/>
    <col min="1568" max="1570" width="13.28515625" bestFit="1" customWidth="1"/>
    <col min="1571" max="1571" width="12.85546875" bestFit="1" customWidth="1"/>
    <col min="1793" max="1793" width="0.7109375" customWidth="1"/>
    <col min="1794" max="1794" width="10.5703125" customWidth="1"/>
    <col min="1795" max="1795" width="46.42578125" customWidth="1"/>
    <col min="1796" max="1796" width="12.7109375" customWidth="1"/>
    <col min="1797" max="1805" width="0" hidden="1" customWidth="1"/>
    <col min="1806" max="1806" width="14.5703125" customWidth="1"/>
    <col min="1807" max="1807" width="14.140625" customWidth="1"/>
    <col min="1808" max="1808" width="14.28515625" customWidth="1"/>
    <col min="1809" max="1809" width="14.85546875" customWidth="1"/>
    <col min="1810" max="1820" width="14.28515625" customWidth="1"/>
    <col min="1821" max="1821" width="16" customWidth="1"/>
    <col min="1822" max="1822" width="11.28515625" customWidth="1"/>
    <col min="1823" max="1823" width="13.42578125" customWidth="1"/>
    <col min="1824" max="1826" width="13.28515625" bestFit="1" customWidth="1"/>
    <col min="1827" max="1827" width="12.85546875" bestFit="1" customWidth="1"/>
    <col min="2049" max="2049" width="0.7109375" customWidth="1"/>
    <col min="2050" max="2050" width="10.5703125" customWidth="1"/>
    <col min="2051" max="2051" width="46.42578125" customWidth="1"/>
    <col min="2052" max="2052" width="12.7109375" customWidth="1"/>
    <col min="2053" max="2061" width="0" hidden="1" customWidth="1"/>
    <col min="2062" max="2062" width="14.5703125" customWidth="1"/>
    <col min="2063" max="2063" width="14.140625" customWidth="1"/>
    <col min="2064" max="2064" width="14.28515625" customWidth="1"/>
    <col min="2065" max="2065" width="14.85546875" customWidth="1"/>
    <col min="2066" max="2076" width="14.28515625" customWidth="1"/>
    <col min="2077" max="2077" width="16" customWidth="1"/>
    <col min="2078" max="2078" width="11.28515625" customWidth="1"/>
    <col min="2079" max="2079" width="13.42578125" customWidth="1"/>
    <col min="2080" max="2082" width="13.28515625" bestFit="1" customWidth="1"/>
    <col min="2083" max="2083" width="12.85546875" bestFit="1" customWidth="1"/>
    <col min="2305" max="2305" width="0.7109375" customWidth="1"/>
    <col min="2306" max="2306" width="10.5703125" customWidth="1"/>
    <col min="2307" max="2307" width="46.42578125" customWidth="1"/>
    <col min="2308" max="2308" width="12.7109375" customWidth="1"/>
    <col min="2309" max="2317" width="0" hidden="1" customWidth="1"/>
    <col min="2318" max="2318" width="14.5703125" customWidth="1"/>
    <col min="2319" max="2319" width="14.140625" customWidth="1"/>
    <col min="2320" max="2320" width="14.28515625" customWidth="1"/>
    <col min="2321" max="2321" width="14.85546875" customWidth="1"/>
    <col min="2322" max="2332" width="14.28515625" customWidth="1"/>
    <col min="2333" max="2333" width="16" customWidth="1"/>
    <col min="2334" max="2334" width="11.28515625" customWidth="1"/>
    <col min="2335" max="2335" width="13.42578125" customWidth="1"/>
    <col min="2336" max="2338" width="13.28515625" bestFit="1" customWidth="1"/>
    <col min="2339" max="2339" width="12.85546875" bestFit="1" customWidth="1"/>
    <col min="2561" max="2561" width="0.7109375" customWidth="1"/>
    <col min="2562" max="2562" width="10.5703125" customWidth="1"/>
    <col min="2563" max="2563" width="46.42578125" customWidth="1"/>
    <col min="2564" max="2564" width="12.7109375" customWidth="1"/>
    <col min="2565" max="2573" width="0" hidden="1" customWidth="1"/>
    <col min="2574" max="2574" width="14.5703125" customWidth="1"/>
    <col min="2575" max="2575" width="14.140625" customWidth="1"/>
    <col min="2576" max="2576" width="14.28515625" customWidth="1"/>
    <col min="2577" max="2577" width="14.85546875" customWidth="1"/>
    <col min="2578" max="2588" width="14.28515625" customWidth="1"/>
    <col min="2589" max="2589" width="16" customWidth="1"/>
    <col min="2590" max="2590" width="11.28515625" customWidth="1"/>
    <col min="2591" max="2591" width="13.42578125" customWidth="1"/>
    <col min="2592" max="2594" width="13.28515625" bestFit="1" customWidth="1"/>
    <col min="2595" max="2595" width="12.85546875" bestFit="1" customWidth="1"/>
    <col min="2817" max="2817" width="0.7109375" customWidth="1"/>
    <col min="2818" max="2818" width="10.5703125" customWidth="1"/>
    <col min="2819" max="2819" width="46.42578125" customWidth="1"/>
    <col min="2820" max="2820" width="12.7109375" customWidth="1"/>
    <col min="2821" max="2829" width="0" hidden="1" customWidth="1"/>
    <col min="2830" max="2830" width="14.5703125" customWidth="1"/>
    <col min="2831" max="2831" width="14.140625" customWidth="1"/>
    <col min="2832" max="2832" width="14.28515625" customWidth="1"/>
    <col min="2833" max="2833" width="14.85546875" customWidth="1"/>
    <col min="2834" max="2844" width="14.28515625" customWidth="1"/>
    <col min="2845" max="2845" width="16" customWidth="1"/>
    <col min="2846" max="2846" width="11.28515625" customWidth="1"/>
    <col min="2847" max="2847" width="13.42578125" customWidth="1"/>
    <col min="2848" max="2850" width="13.28515625" bestFit="1" customWidth="1"/>
    <col min="2851" max="2851" width="12.85546875" bestFit="1" customWidth="1"/>
    <col min="3073" max="3073" width="0.7109375" customWidth="1"/>
    <col min="3074" max="3074" width="10.5703125" customWidth="1"/>
    <col min="3075" max="3075" width="46.42578125" customWidth="1"/>
    <col min="3076" max="3076" width="12.7109375" customWidth="1"/>
    <col min="3077" max="3085" width="0" hidden="1" customWidth="1"/>
    <col min="3086" max="3086" width="14.5703125" customWidth="1"/>
    <col min="3087" max="3087" width="14.140625" customWidth="1"/>
    <col min="3088" max="3088" width="14.28515625" customWidth="1"/>
    <col min="3089" max="3089" width="14.85546875" customWidth="1"/>
    <col min="3090" max="3100" width="14.28515625" customWidth="1"/>
    <col min="3101" max="3101" width="16" customWidth="1"/>
    <col min="3102" max="3102" width="11.28515625" customWidth="1"/>
    <col min="3103" max="3103" width="13.42578125" customWidth="1"/>
    <col min="3104" max="3106" width="13.28515625" bestFit="1" customWidth="1"/>
    <col min="3107" max="3107" width="12.85546875" bestFit="1" customWidth="1"/>
    <col min="3329" max="3329" width="0.7109375" customWidth="1"/>
    <col min="3330" max="3330" width="10.5703125" customWidth="1"/>
    <col min="3331" max="3331" width="46.42578125" customWidth="1"/>
    <col min="3332" max="3332" width="12.7109375" customWidth="1"/>
    <col min="3333" max="3341" width="0" hidden="1" customWidth="1"/>
    <col min="3342" max="3342" width="14.5703125" customWidth="1"/>
    <col min="3343" max="3343" width="14.140625" customWidth="1"/>
    <col min="3344" max="3344" width="14.28515625" customWidth="1"/>
    <col min="3345" max="3345" width="14.85546875" customWidth="1"/>
    <col min="3346" max="3356" width="14.28515625" customWidth="1"/>
    <col min="3357" max="3357" width="16" customWidth="1"/>
    <col min="3358" max="3358" width="11.28515625" customWidth="1"/>
    <col min="3359" max="3359" width="13.42578125" customWidth="1"/>
    <col min="3360" max="3362" width="13.28515625" bestFit="1" customWidth="1"/>
    <col min="3363" max="3363" width="12.85546875" bestFit="1" customWidth="1"/>
    <col min="3585" max="3585" width="0.7109375" customWidth="1"/>
    <col min="3586" max="3586" width="10.5703125" customWidth="1"/>
    <col min="3587" max="3587" width="46.42578125" customWidth="1"/>
    <col min="3588" max="3588" width="12.7109375" customWidth="1"/>
    <col min="3589" max="3597" width="0" hidden="1" customWidth="1"/>
    <col min="3598" max="3598" width="14.5703125" customWidth="1"/>
    <col min="3599" max="3599" width="14.140625" customWidth="1"/>
    <col min="3600" max="3600" width="14.28515625" customWidth="1"/>
    <col min="3601" max="3601" width="14.85546875" customWidth="1"/>
    <col min="3602" max="3612" width="14.28515625" customWidth="1"/>
    <col min="3613" max="3613" width="16" customWidth="1"/>
    <col min="3614" max="3614" width="11.28515625" customWidth="1"/>
    <col min="3615" max="3615" width="13.42578125" customWidth="1"/>
    <col min="3616" max="3618" width="13.28515625" bestFit="1" customWidth="1"/>
    <col min="3619" max="3619" width="12.85546875" bestFit="1" customWidth="1"/>
    <col min="3841" max="3841" width="0.7109375" customWidth="1"/>
    <col min="3842" max="3842" width="10.5703125" customWidth="1"/>
    <col min="3843" max="3843" width="46.42578125" customWidth="1"/>
    <col min="3844" max="3844" width="12.7109375" customWidth="1"/>
    <col min="3845" max="3853" width="0" hidden="1" customWidth="1"/>
    <col min="3854" max="3854" width="14.5703125" customWidth="1"/>
    <col min="3855" max="3855" width="14.140625" customWidth="1"/>
    <col min="3856" max="3856" width="14.28515625" customWidth="1"/>
    <col min="3857" max="3857" width="14.85546875" customWidth="1"/>
    <col min="3858" max="3868" width="14.28515625" customWidth="1"/>
    <col min="3869" max="3869" width="16" customWidth="1"/>
    <col min="3870" max="3870" width="11.28515625" customWidth="1"/>
    <col min="3871" max="3871" width="13.42578125" customWidth="1"/>
    <col min="3872" max="3874" width="13.28515625" bestFit="1" customWidth="1"/>
    <col min="3875" max="3875" width="12.85546875" bestFit="1" customWidth="1"/>
    <col min="4097" max="4097" width="0.7109375" customWidth="1"/>
    <col min="4098" max="4098" width="10.5703125" customWidth="1"/>
    <col min="4099" max="4099" width="46.42578125" customWidth="1"/>
    <col min="4100" max="4100" width="12.7109375" customWidth="1"/>
    <col min="4101" max="4109" width="0" hidden="1" customWidth="1"/>
    <col min="4110" max="4110" width="14.5703125" customWidth="1"/>
    <col min="4111" max="4111" width="14.140625" customWidth="1"/>
    <col min="4112" max="4112" width="14.28515625" customWidth="1"/>
    <col min="4113" max="4113" width="14.85546875" customWidth="1"/>
    <col min="4114" max="4124" width="14.28515625" customWidth="1"/>
    <col min="4125" max="4125" width="16" customWidth="1"/>
    <col min="4126" max="4126" width="11.28515625" customWidth="1"/>
    <col min="4127" max="4127" width="13.42578125" customWidth="1"/>
    <col min="4128" max="4130" width="13.28515625" bestFit="1" customWidth="1"/>
    <col min="4131" max="4131" width="12.85546875" bestFit="1" customWidth="1"/>
    <col min="4353" max="4353" width="0.7109375" customWidth="1"/>
    <col min="4354" max="4354" width="10.5703125" customWidth="1"/>
    <col min="4355" max="4355" width="46.42578125" customWidth="1"/>
    <col min="4356" max="4356" width="12.7109375" customWidth="1"/>
    <col min="4357" max="4365" width="0" hidden="1" customWidth="1"/>
    <col min="4366" max="4366" width="14.5703125" customWidth="1"/>
    <col min="4367" max="4367" width="14.140625" customWidth="1"/>
    <col min="4368" max="4368" width="14.28515625" customWidth="1"/>
    <col min="4369" max="4369" width="14.85546875" customWidth="1"/>
    <col min="4370" max="4380" width="14.28515625" customWidth="1"/>
    <col min="4381" max="4381" width="16" customWidth="1"/>
    <col min="4382" max="4382" width="11.28515625" customWidth="1"/>
    <col min="4383" max="4383" width="13.42578125" customWidth="1"/>
    <col min="4384" max="4386" width="13.28515625" bestFit="1" customWidth="1"/>
    <col min="4387" max="4387" width="12.85546875" bestFit="1" customWidth="1"/>
    <col min="4609" max="4609" width="0.7109375" customWidth="1"/>
    <col min="4610" max="4610" width="10.5703125" customWidth="1"/>
    <col min="4611" max="4611" width="46.42578125" customWidth="1"/>
    <col min="4612" max="4612" width="12.7109375" customWidth="1"/>
    <col min="4613" max="4621" width="0" hidden="1" customWidth="1"/>
    <col min="4622" max="4622" width="14.5703125" customWidth="1"/>
    <col min="4623" max="4623" width="14.140625" customWidth="1"/>
    <col min="4624" max="4624" width="14.28515625" customWidth="1"/>
    <col min="4625" max="4625" width="14.85546875" customWidth="1"/>
    <col min="4626" max="4636" width="14.28515625" customWidth="1"/>
    <col min="4637" max="4637" width="16" customWidth="1"/>
    <col min="4638" max="4638" width="11.28515625" customWidth="1"/>
    <col min="4639" max="4639" width="13.42578125" customWidth="1"/>
    <col min="4640" max="4642" width="13.28515625" bestFit="1" customWidth="1"/>
    <col min="4643" max="4643" width="12.85546875" bestFit="1" customWidth="1"/>
    <col min="4865" max="4865" width="0.7109375" customWidth="1"/>
    <col min="4866" max="4866" width="10.5703125" customWidth="1"/>
    <col min="4867" max="4867" width="46.42578125" customWidth="1"/>
    <col min="4868" max="4868" width="12.7109375" customWidth="1"/>
    <col min="4869" max="4877" width="0" hidden="1" customWidth="1"/>
    <col min="4878" max="4878" width="14.5703125" customWidth="1"/>
    <col min="4879" max="4879" width="14.140625" customWidth="1"/>
    <col min="4880" max="4880" width="14.28515625" customWidth="1"/>
    <col min="4881" max="4881" width="14.85546875" customWidth="1"/>
    <col min="4882" max="4892" width="14.28515625" customWidth="1"/>
    <col min="4893" max="4893" width="16" customWidth="1"/>
    <col min="4894" max="4894" width="11.28515625" customWidth="1"/>
    <col min="4895" max="4895" width="13.42578125" customWidth="1"/>
    <col min="4896" max="4898" width="13.28515625" bestFit="1" customWidth="1"/>
    <col min="4899" max="4899" width="12.85546875" bestFit="1" customWidth="1"/>
    <col min="5121" max="5121" width="0.7109375" customWidth="1"/>
    <col min="5122" max="5122" width="10.5703125" customWidth="1"/>
    <col min="5123" max="5123" width="46.42578125" customWidth="1"/>
    <col min="5124" max="5124" width="12.7109375" customWidth="1"/>
    <col min="5125" max="5133" width="0" hidden="1" customWidth="1"/>
    <col min="5134" max="5134" width="14.5703125" customWidth="1"/>
    <col min="5135" max="5135" width="14.140625" customWidth="1"/>
    <col min="5136" max="5136" width="14.28515625" customWidth="1"/>
    <col min="5137" max="5137" width="14.85546875" customWidth="1"/>
    <col min="5138" max="5148" width="14.28515625" customWidth="1"/>
    <col min="5149" max="5149" width="16" customWidth="1"/>
    <col min="5150" max="5150" width="11.28515625" customWidth="1"/>
    <col min="5151" max="5151" width="13.42578125" customWidth="1"/>
    <col min="5152" max="5154" width="13.28515625" bestFit="1" customWidth="1"/>
    <col min="5155" max="5155" width="12.85546875" bestFit="1" customWidth="1"/>
    <col min="5377" max="5377" width="0.7109375" customWidth="1"/>
    <col min="5378" max="5378" width="10.5703125" customWidth="1"/>
    <col min="5379" max="5379" width="46.42578125" customWidth="1"/>
    <col min="5380" max="5380" width="12.7109375" customWidth="1"/>
    <col min="5381" max="5389" width="0" hidden="1" customWidth="1"/>
    <col min="5390" max="5390" width="14.5703125" customWidth="1"/>
    <col min="5391" max="5391" width="14.140625" customWidth="1"/>
    <col min="5392" max="5392" width="14.28515625" customWidth="1"/>
    <col min="5393" max="5393" width="14.85546875" customWidth="1"/>
    <col min="5394" max="5404" width="14.28515625" customWidth="1"/>
    <col min="5405" max="5405" width="16" customWidth="1"/>
    <col min="5406" max="5406" width="11.28515625" customWidth="1"/>
    <col min="5407" max="5407" width="13.42578125" customWidth="1"/>
    <col min="5408" max="5410" width="13.28515625" bestFit="1" customWidth="1"/>
    <col min="5411" max="5411" width="12.85546875" bestFit="1" customWidth="1"/>
    <col min="5633" max="5633" width="0.7109375" customWidth="1"/>
    <col min="5634" max="5634" width="10.5703125" customWidth="1"/>
    <col min="5635" max="5635" width="46.42578125" customWidth="1"/>
    <col min="5636" max="5636" width="12.7109375" customWidth="1"/>
    <col min="5637" max="5645" width="0" hidden="1" customWidth="1"/>
    <col min="5646" max="5646" width="14.5703125" customWidth="1"/>
    <col min="5647" max="5647" width="14.140625" customWidth="1"/>
    <col min="5648" max="5648" width="14.28515625" customWidth="1"/>
    <col min="5649" max="5649" width="14.85546875" customWidth="1"/>
    <col min="5650" max="5660" width="14.28515625" customWidth="1"/>
    <col min="5661" max="5661" width="16" customWidth="1"/>
    <col min="5662" max="5662" width="11.28515625" customWidth="1"/>
    <col min="5663" max="5663" width="13.42578125" customWidth="1"/>
    <col min="5664" max="5666" width="13.28515625" bestFit="1" customWidth="1"/>
    <col min="5667" max="5667" width="12.85546875" bestFit="1" customWidth="1"/>
    <col min="5889" max="5889" width="0.7109375" customWidth="1"/>
    <col min="5890" max="5890" width="10.5703125" customWidth="1"/>
    <col min="5891" max="5891" width="46.42578125" customWidth="1"/>
    <col min="5892" max="5892" width="12.7109375" customWidth="1"/>
    <col min="5893" max="5901" width="0" hidden="1" customWidth="1"/>
    <col min="5902" max="5902" width="14.5703125" customWidth="1"/>
    <col min="5903" max="5903" width="14.140625" customWidth="1"/>
    <col min="5904" max="5904" width="14.28515625" customWidth="1"/>
    <col min="5905" max="5905" width="14.85546875" customWidth="1"/>
    <col min="5906" max="5916" width="14.28515625" customWidth="1"/>
    <col min="5917" max="5917" width="16" customWidth="1"/>
    <col min="5918" max="5918" width="11.28515625" customWidth="1"/>
    <col min="5919" max="5919" width="13.42578125" customWidth="1"/>
    <col min="5920" max="5922" width="13.28515625" bestFit="1" customWidth="1"/>
    <col min="5923" max="5923" width="12.85546875" bestFit="1" customWidth="1"/>
    <col min="6145" max="6145" width="0.7109375" customWidth="1"/>
    <col min="6146" max="6146" width="10.5703125" customWidth="1"/>
    <col min="6147" max="6147" width="46.42578125" customWidth="1"/>
    <col min="6148" max="6148" width="12.7109375" customWidth="1"/>
    <col min="6149" max="6157" width="0" hidden="1" customWidth="1"/>
    <col min="6158" max="6158" width="14.5703125" customWidth="1"/>
    <col min="6159" max="6159" width="14.140625" customWidth="1"/>
    <col min="6160" max="6160" width="14.28515625" customWidth="1"/>
    <col min="6161" max="6161" width="14.85546875" customWidth="1"/>
    <col min="6162" max="6172" width="14.28515625" customWidth="1"/>
    <col min="6173" max="6173" width="16" customWidth="1"/>
    <col min="6174" max="6174" width="11.28515625" customWidth="1"/>
    <col min="6175" max="6175" width="13.42578125" customWidth="1"/>
    <col min="6176" max="6178" width="13.28515625" bestFit="1" customWidth="1"/>
    <col min="6179" max="6179" width="12.85546875" bestFit="1" customWidth="1"/>
    <col min="6401" max="6401" width="0.7109375" customWidth="1"/>
    <col min="6402" max="6402" width="10.5703125" customWidth="1"/>
    <col min="6403" max="6403" width="46.42578125" customWidth="1"/>
    <col min="6404" max="6404" width="12.7109375" customWidth="1"/>
    <col min="6405" max="6413" width="0" hidden="1" customWidth="1"/>
    <col min="6414" max="6414" width="14.5703125" customWidth="1"/>
    <col min="6415" max="6415" width="14.140625" customWidth="1"/>
    <col min="6416" max="6416" width="14.28515625" customWidth="1"/>
    <col min="6417" max="6417" width="14.85546875" customWidth="1"/>
    <col min="6418" max="6428" width="14.28515625" customWidth="1"/>
    <col min="6429" max="6429" width="16" customWidth="1"/>
    <col min="6430" max="6430" width="11.28515625" customWidth="1"/>
    <col min="6431" max="6431" width="13.42578125" customWidth="1"/>
    <col min="6432" max="6434" width="13.28515625" bestFit="1" customWidth="1"/>
    <col min="6435" max="6435" width="12.85546875" bestFit="1" customWidth="1"/>
    <col min="6657" max="6657" width="0.7109375" customWidth="1"/>
    <col min="6658" max="6658" width="10.5703125" customWidth="1"/>
    <col min="6659" max="6659" width="46.42578125" customWidth="1"/>
    <col min="6660" max="6660" width="12.7109375" customWidth="1"/>
    <col min="6661" max="6669" width="0" hidden="1" customWidth="1"/>
    <col min="6670" max="6670" width="14.5703125" customWidth="1"/>
    <col min="6671" max="6671" width="14.140625" customWidth="1"/>
    <col min="6672" max="6672" width="14.28515625" customWidth="1"/>
    <col min="6673" max="6673" width="14.85546875" customWidth="1"/>
    <col min="6674" max="6684" width="14.28515625" customWidth="1"/>
    <col min="6685" max="6685" width="16" customWidth="1"/>
    <col min="6686" max="6686" width="11.28515625" customWidth="1"/>
    <col min="6687" max="6687" width="13.42578125" customWidth="1"/>
    <col min="6688" max="6690" width="13.28515625" bestFit="1" customWidth="1"/>
    <col min="6691" max="6691" width="12.85546875" bestFit="1" customWidth="1"/>
    <col min="6913" max="6913" width="0.7109375" customWidth="1"/>
    <col min="6914" max="6914" width="10.5703125" customWidth="1"/>
    <col min="6915" max="6915" width="46.42578125" customWidth="1"/>
    <col min="6916" max="6916" width="12.7109375" customWidth="1"/>
    <col min="6917" max="6925" width="0" hidden="1" customWidth="1"/>
    <col min="6926" max="6926" width="14.5703125" customWidth="1"/>
    <col min="6927" max="6927" width="14.140625" customWidth="1"/>
    <col min="6928" max="6928" width="14.28515625" customWidth="1"/>
    <col min="6929" max="6929" width="14.85546875" customWidth="1"/>
    <col min="6930" max="6940" width="14.28515625" customWidth="1"/>
    <col min="6941" max="6941" width="16" customWidth="1"/>
    <col min="6942" max="6942" width="11.28515625" customWidth="1"/>
    <col min="6943" max="6943" width="13.42578125" customWidth="1"/>
    <col min="6944" max="6946" width="13.28515625" bestFit="1" customWidth="1"/>
    <col min="6947" max="6947" width="12.85546875" bestFit="1" customWidth="1"/>
    <col min="7169" max="7169" width="0.7109375" customWidth="1"/>
    <col min="7170" max="7170" width="10.5703125" customWidth="1"/>
    <col min="7171" max="7171" width="46.42578125" customWidth="1"/>
    <col min="7172" max="7172" width="12.7109375" customWidth="1"/>
    <col min="7173" max="7181" width="0" hidden="1" customWidth="1"/>
    <col min="7182" max="7182" width="14.5703125" customWidth="1"/>
    <col min="7183" max="7183" width="14.140625" customWidth="1"/>
    <col min="7184" max="7184" width="14.28515625" customWidth="1"/>
    <col min="7185" max="7185" width="14.85546875" customWidth="1"/>
    <col min="7186" max="7196" width="14.28515625" customWidth="1"/>
    <col min="7197" max="7197" width="16" customWidth="1"/>
    <col min="7198" max="7198" width="11.28515625" customWidth="1"/>
    <col min="7199" max="7199" width="13.42578125" customWidth="1"/>
    <col min="7200" max="7202" width="13.28515625" bestFit="1" customWidth="1"/>
    <col min="7203" max="7203" width="12.85546875" bestFit="1" customWidth="1"/>
    <col min="7425" max="7425" width="0.7109375" customWidth="1"/>
    <col min="7426" max="7426" width="10.5703125" customWidth="1"/>
    <col min="7427" max="7427" width="46.42578125" customWidth="1"/>
    <col min="7428" max="7428" width="12.7109375" customWidth="1"/>
    <col min="7429" max="7437" width="0" hidden="1" customWidth="1"/>
    <col min="7438" max="7438" width="14.5703125" customWidth="1"/>
    <col min="7439" max="7439" width="14.140625" customWidth="1"/>
    <col min="7440" max="7440" width="14.28515625" customWidth="1"/>
    <col min="7441" max="7441" width="14.85546875" customWidth="1"/>
    <col min="7442" max="7452" width="14.28515625" customWidth="1"/>
    <col min="7453" max="7453" width="16" customWidth="1"/>
    <col min="7454" max="7454" width="11.28515625" customWidth="1"/>
    <col min="7455" max="7455" width="13.42578125" customWidth="1"/>
    <col min="7456" max="7458" width="13.28515625" bestFit="1" customWidth="1"/>
    <col min="7459" max="7459" width="12.85546875" bestFit="1" customWidth="1"/>
    <col min="7681" max="7681" width="0.7109375" customWidth="1"/>
    <col min="7682" max="7682" width="10.5703125" customWidth="1"/>
    <col min="7683" max="7683" width="46.42578125" customWidth="1"/>
    <col min="7684" max="7684" width="12.7109375" customWidth="1"/>
    <col min="7685" max="7693" width="0" hidden="1" customWidth="1"/>
    <col min="7694" max="7694" width="14.5703125" customWidth="1"/>
    <col min="7695" max="7695" width="14.140625" customWidth="1"/>
    <col min="7696" max="7696" width="14.28515625" customWidth="1"/>
    <col min="7697" max="7697" width="14.85546875" customWidth="1"/>
    <col min="7698" max="7708" width="14.28515625" customWidth="1"/>
    <col min="7709" max="7709" width="16" customWidth="1"/>
    <col min="7710" max="7710" width="11.28515625" customWidth="1"/>
    <col min="7711" max="7711" width="13.42578125" customWidth="1"/>
    <col min="7712" max="7714" width="13.28515625" bestFit="1" customWidth="1"/>
    <col min="7715" max="7715" width="12.85546875" bestFit="1" customWidth="1"/>
    <col min="7937" max="7937" width="0.7109375" customWidth="1"/>
    <col min="7938" max="7938" width="10.5703125" customWidth="1"/>
    <col min="7939" max="7939" width="46.42578125" customWidth="1"/>
    <col min="7940" max="7940" width="12.7109375" customWidth="1"/>
    <col min="7941" max="7949" width="0" hidden="1" customWidth="1"/>
    <col min="7950" max="7950" width="14.5703125" customWidth="1"/>
    <col min="7951" max="7951" width="14.140625" customWidth="1"/>
    <col min="7952" max="7952" width="14.28515625" customWidth="1"/>
    <col min="7953" max="7953" width="14.85546875" customWidth="1"/>
    <col min="7954" max="7964" width="14.28515625" customWidth="1"/>
    <col min="7965" max="7965" width="16" customWidth="1"/>
    <col min="7966" max="7966" width="11.28515625" customWidth="1"/>
    <col min="7967" max="7967" width="13.42578125" customWidth="1"/>
    <col min="7968" max="7970" width="13.28515625" bestFit="1" customWidth="1"/>
    <col min="7971" max="7971" width="12.85546875" bestFit="1" customWidth="1"/>
    <col min="8193" max="8193" width="0.7109375" customWidth="1"/>
    <col min="8194" max="8194" width="10.5703125" customWidth="1"/>
    <col min="8195" max="8195" width="46.42578125" customWidth="1"/>
    <col min="8196" max="8196" width="12.7109375" customWidth="1"/>
    <col min="8197" max="8205" width="0" hidden="1" customWidth="1"/>
    <col min="8206" max="8206" width="14.5703125" customWidth="1"/>
    <col min="8207" max="8207" width="14.140625" customWidth="1"/>
    <col min="8208" max="8208" width="14.28515625" customWidth="1"/>
    <col min="8209" max="8209" width="14.85546875" customWidth="1"/>
    <col min="8210" max="8220" width="14.28515625" customWidth="1"/>
    <col min="8221" max="8221" width="16" customWidth="1"/>
    <col min="8222" max="8222" width="11.28515625" customWidth="1"/>
    <col min="8223" max="8223" width="13.42578125" customWidth="1"/>
    <col min="8224" max="8226" width="13.28515625" bestFit="1" customWidth="1"/>
    <col min="8227" max="8227" width="12.85546875" bestFit="1" customWidth="1"/>
    <col min="8449" max="8449" width="0.7109375" customWidth="1"/>
    <col min="8450" max="8450" width="10.5703125" customWidth="1"/>
    <col min="8451" max="8451" width="46.42578125" customWidth="1"/>
    <col min="8452" max="8452" width="12.7109375" customWidth="1"/>
    <col min="8453" max="8461" width="0" hidden="1" customWidth="1"/>
    <col min="8462" max="8462" width="14.5703125" customWidth="1"/>
    <col min="8463" max="8463" width="14.140625" customWidth="1"/>
    <col min="8464" max="8464" width="14.28515625" customWidth="1"/>
    <col min="8465" max="8465" width="14.85546875" customWidth="1"/>
    <col min="8466" max="8476" width="14.28515625" customWidth="1"/>
    <col min="8477" max="8477" width="16" customWidth="1"/>
    <col min="8478" max="8478" width="11.28515625" customWidth="1"/>
    <col min="8479" max="8479" width="13.42578125" customWidth="1"/>
    <col min="8480" max="8482" width="13.28515625" bestFit="1" customWidth="1"/>
    <col min="8483" max="8483" width="12.85546875" bestFit="1" customWidth="1"/>
    <col min="8705" max="8705" width="0.7109375" customWidth="1"/>
    <col min="8706" max="8706" width="10.5703125" customWidth="1"/>
    <col min="8707" max="8707" width="46.42578125" customWidth="1"/>
    <col min="8708" max="8708" width="12.7109375" customWidth="1"/>
    <col min="8709" max="8717" width="0" hidden="1" customWidth="1"/>
    <col min="8718" max="8718" width="14.5703125" customWidth="1"/>
    <col min="8719" max="8719" width="14.140625" customWidth="1"/>
    <col min="8720" max="8720" width="14.28515625" customWidth="1"/>
    <col min="8721" max="8721" width="14.85546875" customWidth="1"/>
    <col min="8722" max="8732" width="14.28515625" customWidth="1"/>
    <col min="8733" max="8733" width="16" customWidth="1"/>
    <col min="8734" max="8734" width="11.28515625" customWidth="1"/>
    <col min="8735" max="8735" width="13.42578125" customWidth="1"/>
    <col min="8736" max="8738" width="13.28515625" bestFit="1" customWidth="1"/>
    <col min="8739" max="8739" width="12.85546875" bestFit="1" customWidth="1"/>
    <col min="8961" max="8961" width="0.7109375" customWidth="1"/>
    <col min="8962" max="8962" width="10.5703125" customWidth="1"/>
    <col min="8963" max="8963" width="46.42578125" customWidth="1"/>
    <col min="8964" max="8964" width="12.7109375" customWidth="1"/>
    <col min="8965" max="8973" width="0" hidden="1" customWidth="1"/>
    <col min="8974" max="8974" width="14.5703125" customWidth="1"/>
    <col min="8975" max="8975" width="14.140625" customWidth="1"/>
    <col min="8976" max="8976" width="14.28515625" customWidth="1"/>
    <col min="8977" max="8977" width="14.85546875" customWidth="1"/>
    <col min="8978" max="8988" width="14.28515625" customWidth="1"/>
    <col min="8989" max="8989" width="16" customWidth="1"/>
    <col min="8990" max="8990" width="11.28515625" customWidth="1"/>
    <col min="8991" max="8991" width="13.42578125" customWidth="1"/>
    <col min="8992" max="8994" width="13.28515625" bestFit="1" customWidth="1"/>
    <col min="8995" max="8995" width="12.85546875" bestFit="1" customWidth="1"/>
    <col min="9217" max="9217" width="0.7109375" customWidth="1"/>
    <col min="9218" max="9218" width="10.5703125" customWidth="1"/>
    <col min="9219" max="9219" width="46.42578125" customWidth="1"/>
    <col min="9220" max="9220" width="12.7109375" customWidth="1"/>
    <col min="9221" max="9229" width="0" hidden="1" customWidth="1"/>
    <col min="9230" max="9230" width="14.5703125" customWidth="1"/>
    <col min="9231" max="9231" width="14.140625" customWidth="1"/>
    <col min="9232" max="9232" width="14.28515625" customWidth="1"/>
    <col min="9233" max="9233" width="14.85546875" customWidth="1"/>
    <col min="9234" max="9244" width="14.28515625" customWidth="1"/>
    <col min="9245" max="9245" width="16" customWidth="1"/>
    <col min="9246" max="9246" width="11.28515625" customWidth="1"/>
    <col min="9247" max="9247" width="13.42578125" customWidth="1"/>
    <col min="9248" max="9250" width="13.28515625" bestFit="1" customWidth="1"/>
    <col min="9251" max="9251" width="12.85546875" bestFit="1" customWidth="1"/>
    <col min="9473" max="9473" width="0.7109375" customWidth="1"/>
    <col min="9474" max="9474" width="10.5703125" customWidth="1"/>
    <col min="9475" max="9475" width="46.42578125" customWidth="1"/>
    <col min="9476" max="9476" width="12.7109375" customWidth="1"/>
    <col min="9477" max="9485" width="0" hidden="1" customWidth="1"/>
    <col min="9486" max="9486" width="14.5703125" customWidth="1"/>
    <col min="9487" max="9487" width="14.140625" customWidth="1"/>
    <col min="9488" max="9488" width="14.28515625" customWidth="1"/>
    <col min="9489" max="9489" width="14.85546875" customWidth="1"/>
    <col min="9490" max="9500" width="14.28515625" customWidth="1"/>
    <col min="9501" max="9501" width="16" customWidth="1"/>
    <col min="9502" max="9502" width="11.28515625" customWidth="1"/>
    <col min="9503" max="9503" width="13.42578125" customWidth="1"/>
    <col min="9504" max="9506" width="13.28515625" bestFit="1" customWidth="1"/>
    <col min="9507" max="9507" width="12.85546875" bestFit="1" customWidth="1"/>
    <col min="9729" max="9729" width="0.7109375" customWidth="1"/>
    <col min="9730" max="9730" width="10.5703125" customWidth="1"/>
    <col min="9731" max="9731" width="46.42578125" customWidth="1"/>
    <col min="9732" max="9732" width="12.7109375" customWidth="1"/>
    <col min="9733" max="9741" width="0" hidden="1" customWidth="1"/>
    <col min="9742" max="9742" width="14.5703125" customWidth="1"/>
    <col min="9743" max="9743" width="14.140625" customWidth="1"/>
    <col min="9744" max="9744" width="14.28515625" customWidth="1"/>
    <col min="9745" max="9745" width="14.85546875" customWidth="1"/>
    <col min="9746" max="9756" width="14.28515625" customWidth="1"/>
    <col min="9757" max="9757" width="16" customWidth="1"/>
    <col min="9758" max="9758" width="11.28515625" customWidth="1"/>
    <col min="9759" max="9759" width="13.42578125" customWidth="1"/>
    <col min="9760" max="9762" width="13.28515625" bestFit="1" customWidth="1"/>
    <col min="9763" max="9763" width="12.85546875" bestFit="1" customWidth="1"/>
    <col min="9985" max="9985" width="0.7109375" customWidth="1"/>
    <col min="9986" max="9986" width="10.5703125" customWidth="1"/>
    <col min="9987" max="9987" width="46.42578125" customWidth="1"/>
    <col min="9988" max="9988" width="12.7109375" customWidth="1"/>
    <col min="9989" max="9997" width="0" hidden="1" customWidth="1"/>
    <col min="9998" max="9998" width="14.5703125" customWidth="1"/>
    <col min="9999" max="9999" width="14.140625" customWidth="1"/>
    <col min="10000" max="10000" width="14.28515625" customWidth="1"/>
    <col min="10001" max="10001" width="14.85546875" customWidth="1"/>
    <col min="10002" max="10012" width="14.28515625" customWidth="1"/>
    <col min="10013" max="10013" width="16" customWidth="1"/>
    <col min="10014" max="10014" width="11.28515625" customWidth="1"/>
    <col min="10015" max="10015" width="13.42578125" customWidth="1"/>
    <col min="10016" max="10018" width="13.28515625" bestFit="1" customWidth="1"/>
    <col min="10019" max="10019" width="12.85546875" bestFit="1" customWidth="1"/>
    <col min="10241" max="10241" width="0.7109375" customWidth="1"/>
    <col min="10242" max="10242" width="10.5703125" customWidth="1"/>
    <col min="10243" max="10243" width="46.42578125" customWidth="1"/>
    <col min="10244" max="10244" width="12.7109375" customWidth="1"/>
    <col min="10245" max="10253" width="0" hidden="1" customWidth="1"/>
    <col min="10254" max="10254" width="14.5703125" customWidth="1"/>
    <col min="10255" max="10255" width="14.140625" customWidth="1"/>
    <col min="10256" max="10256" width="14.28515625" customWidth="1"/>
    <col min="10257" max="10257" width="14.85546875" customWidth="1"/>
    <col min="10258" max="10268" width="14.28515625" customWidth="1"/>
    <col min="10269" max="10269" width="16" customWidth="1"/>
    <col min="10270" max="10270" width="11.28515625" customWidth="1"/>
    <col min="10271" max="10271" width="13.42578125" customWidth="1"/>
    <col min="10272" max="10274" width="13.28515625" bestFit="1" customWidth="1"/>
    <col min="10275" max="10275" width="12.85546875" bestFit="1" customWidth="1"/>
    <col min="10497" max="10497" width="0.7109375" customWidth="1"/>
    <col min="10498" max="10498" width="10.5703125" customWidth="1"/>
    <col min="10499" max="10499" width="46.42578125" customWidth="1"/>
    <col min="10500" max="10500" width="12.7109375" customWidth="1"/>
    <col min="10501" max="10509" width="0" hidden="1" customWidth="1"/>
    <col min="10510" max="10510" width="14.5703125" customWidth="1"/>
    <col min="10511" max="10511" width="14.140625" customWidth="1"/>
    <col min="10512" max="10512" width="14.28515625" customWidth="1"/>
    <col min="10513" max="10513" width="14.85546875" customWidth="1"/>
    <col min="10514" max="10524" width="14.28515625" customWidth="1"/>
    <col min="10525" max="10525" width="16" customWidth="1"/>
    <col min="10526" max="10526" width="11.28515625" customWidth="1"/>
    <col min="10527" max="10527" width="13.42578125" customWidth="1"/>
    <col min="10528" max="10530" width="13.28515625" bestFit="1" customWidth="1"/>
    <col min="10531" max="10531" width="12.85546875" bestFit="1" customWidth="1"/>
    <col min="10753" max="10753" width="0.7109375" customWidth="1"/>
    <col min="10754" max="10754" width="10.5703125" customWidth="1"/>
    <col min="10755" max="10755" width="46.42578125" customWidth="1"/>
    <col min="10756" max="10756" width="12.7109375" customWidth="1"/>
    <col min="10757" max="10765" width="0" hidden="1" customWidth="1"/>
    <col min="10766" max="10766" width="14.5703125" customWidth="1"/>
    <col min="10767" max="10767" width="14.140625" customWidth="1"/>
    <col min="10768" max="10768" width="14.28515625" customWidth="1"/>
    <col min="10769" max="10769" width="14.85546875" customWidth="1"/>
    <col min="10770" max="10780" width="14.28515625" customWidth="1"/>
    <col min="10781" max="10781" width="16" customWidth="1"/>
    <col min="10782" max="10782" width="11.28515625" customWidth="1"/>
    <col min="10783" max="10783" width="13.42578125" customWidth="1"/>
    <col min="10784" max="10786" width="13.28515625" bestFit="1" customWidth="1"/>
    <col min="10787" max="10787" width="12.85546875" bestFit="1" customWidth="1"/>
    <col min="11009" max="11009" width="0.7109375" customWidth="1"/>
    <col min="11010" max="11010" width="10.5703125" customWidth="1"/>
    <col min="11011" max="11011" width="46.42578125" customWidth="1"/>
    <col min="11012" max="11012" width="12.7109375" customWidth="1"/>
    <col min="11013" max="11021" width="0" hidden="1" customWidth="1"/>
    <col min="11022" max="11022" width="14.5703125" customWidth="1"/>
    <col min="11023" max="11023" width="14.140625" customWidth="1"/>
    <col min="11024" max="11024" width="14.28515625" customWidth="1"/>
    <col min="11025" max="11025" width="14.85546875" customWidth="1"/>
    <col min="11026" max="11036" width="14.28515625" customWidth="1"/>
    <col min="11037" max="11037" width="16" customWidth="1"/>
    <col min="11038" max="11038" width="11.28515625" customWidth="1"/>
    <col min="11039" max="11039" width="13.42578125" customWidth="1"/>
    <col min="11040" max="11042" width="13.28515625" bestFit="1" customWidth="1"/>
    <col min="11043" max="11043" width="12.85546875" bestFit="1" customWidth="1"/>
    <col min="11265" max="11265" width="0.7109375" customWidth="1"/>
    <col min="11266" max="11266" width="10.5703125" customWidth="1"/>
    <col min="11267" max="11267" width="46.42578125" customWidth="1"/>
    <col min="11268" max="11268" width="12.7109375" customWidth="1"/>
    <col min="11269" max="11277" width="0" hidden="1" customWidth="1"/>
    <col min="11278" max="11278" width="14.5703125" customWidth="1"/>
    <col min="11279" max="11279" width="14.140625" customWidth="1"/>
    <col min="11280" max="11280" width="14.28515625" customWidth="1"/>
    <col min="11281" max="11281" width="14.85546875" customWidth="1"/>
    <col min="11282" max="11292" width="14.28515625" customWidth="1"/>
    <col min="11293" max="11293" width="16" customWidth="1"/>
    <col min="11294" max="11294" width="11.28515625" customWidth="1"/>
    <col min="11295" max="11295" width="13.42578125" customWidth="1"/>
    <col min="11296" max="11298" width="13.28515625" bestFit="1" customWidth="1"/>
    <col min="11299" max="11299" width="12.85546875" bestFit="1" customWidth="1"/>
    <col min="11521" max="11521" width="0.7109375" customWidth="1"/>
    <col min="11522" max="11522" width="10.5703125" customWidth="1"/>
    <col min="11523" max="11523" width="46.42578125" customWidth="1"/>
    <col min="11524" max="11524" width="12.7109375" customWidth="1"/>
    <col min="11525" max="11533" width="0" hidden="1" customWidth="1"/>
    <col min="11534" max="11534" width="14.5703125" customWidth="1"/>
    <col min="11535" max="11535" width="14.140625" customWidth="1"/>
    <col min="11536" max="11536" width="14.28515625" customWidth="1"/>
    <col min="11537" max="11537" width="14.85546875" customWidth="1"/>
    <col min="11538" max="11548" width="14.28515625" customWidth="1"/>
    <col min="11549" max="11549" width="16" customWidth="1"/>
    <col min="11550" max="11550" width="11.28515625" customWidth="1"/>
    <col min="11551" max="11551" width="13.42578125" customWidth="1"/>
    <col min="11552" max="11554" width="13.28515625" bestFit="1" customWidth="1"/>
    <col min="11555" max="11555" width="12.85546875" bestFit="1" customWidth="1"/>
    <col min="11777" max="11777" width="0.7109375" customWidth="1"/>
    <col min="11778" max="11778" width="10.5703125" customWidth="1"/>
    <col min="11779" max="11779" width="46.42578125" customWidth="1"/>
    <col min="11780" max="11780" width="12.7109375" customWidth="1"/>
    <col min="11781" max="11789" width="0" hidden="1" customWidth="1"/>
    <col min="11790" max="11790" width="14.5703125" customWidth="1"/>
    <col min="11791" max="11791" width="14.140625" customWidth="1"/>
    <col min="11792" max="11792" width="14.28515625" customWidth="1"/>
    <col min="11793" max="11793" width="14.85546875" customWidth="1"/>
    <col min="11794" max="11804" width="14.28515625" customWidth="1"/>
    <col min="11805" max="11805" width="16" customWidth="1"/>
    <col min="11806" max="11806" width="11.28515625" customWidth="1"/>
    <col min="11807" max="11807" width="13.42578125" customWidth="1"/>
    <col min="11808" max="11810" width="13.28515625" bestFit="1" customWidth="1"/>
    <col min="11811" max="11811" width="12.85546875" bestFit="1" customWidth="1"/>
    <col min="12033" max="12033" width="0.7109375" customWidth="1"/>
    <col min="12034" max="12034" width="10.5703125" customWidth="1"/>
    <col min="12035" max="12035" width="46.42578125" customWidth="1"/>
    <col min="12036" max="12036" width="12.7109375" customWidth="1"/>
    <col min="12037" max="12045" width="0" hidden="1" customWidth="1"/>
    <col min="12046" max="12046" width="14.5703125" customWidth="1"/>
    <col min="12047" max="12047" width="14.140625" customWidth="1"/>
    <col min="12048" max="12048" width="14.28515625" customWidth="1"/>
    <col min="12049" max="12049" width="14.85546875" customWidth="1"/>
    <col min="12050" max="12060" width="14.28515625" customWidth="1"/>
    <col min="12061" max="12061" width="16" customWidth="1"/>
    <col min="12062" max="12062" width="11.28515625" customWidth="1"/>
    <col min="12063" max="12063" width="13.42578125" customWidth="1"/>
    <col min="12064" max="12066" width="13.28515625" bestFit="1" customWidth="1"/>
    <col min="12067" max="12067" width="12.85546875" bestFit="1" customWidth="1"/>
    <col min="12289" max="12289" width="0.7109375" customWidth="1"/>
    <col min="12290" max="12290" width="10.5703125" customWidth="1"/>
    <col min="12291" max="12291" width="46.42578125" customWidth="1"/>
    <col min="12292" max="12292" width="12.7109375" customWidth="1"/>
    <col min="12293" max="12301" width="0" hidden="1" customWidth="1"/>
    <col min="12302" max="12302" width="14.5703125" customWidth="1"/>
    <col min="12303" max="12303" width="14.140625" customWidth="1"/>
    <col min="12304" max="12304" width="14.28515625" customWidth="1"/>
    <col min="12305" max="12305" width="14.85546875" customWidth="1"/>
    <col min="12306" max="12316" width="14.28515625" customWidth="1"/>
    <col min="12317" max="12317" width="16" customWidth="1"/>
    <col min="12318" max="12318" width="11.28515625" customWidth="1"/>
    <col min="12319" max="12319" width="13.42578125" customWidth="1"/>
    <col min="12320" max="12322" width="13.28515625" bestFit="1" customWidth="1"/>
    <col min="12323" max="12323" width="12.85546875" bestFit="1" customWidth="1"/>
    <col min="12545" max="12545" width="0.7109375" customWidth="1"/>
    <col min="12546" max="12546" width="10.5703125" customWidth="1"/>
    <col min="12547" max="12547" width="46.42578125" customWidth="1"/>
    <col min="12548" max="12548" width="12.7109375" customWidth="1"/>
    <col min="12549" max="12557" width="0" hidden="1" customWidth="1"/>
    <col min="12558" max="12558" width="14.5703125" customWidth="1"/>
    <col min="12559" max="12559" width="14.140625" customWidth="1"/>
    <col min="12560" max="12560" width="14.28515625" customWidth="1"/>
    <col min="12561" max="12561" width="14.85546875" customWidth="1"/>
    <col min="12562" max="12572" width="14.28515625" customWidth="1"/>
    <col min="12573" max="12573" width="16" customWidth="1"/>
    <col min="12574" max="12574" width="11.28515625" customWidth="1"/>
    <col min="12575" max="12575" width="13.42578125" customWidth="1"/>
    <col min="12576" max="12578" width="13.28515625" bestFit="1" customWidth="1"/>
    <col min="12579" max="12579" width="12.85546875" bestFit="1" customWidth="1"/>
    <col min="12801" max="12801" width="0.7109375" customWidth="1"/>
    <col min="12802" max="12802" width="10.5703125" customWidth="1"/>
    <col min="12803" max="12803" width="46.42578125" customWidth="1"/>
    <col min="12804" max="12804" width="12.7109375" customWidth="1"/>
    <col min="12805" max="12813" width="0" hidden="1" customWidth="1"/>
    <col min="12814" max="12814" width="14.5703125" customWidth="1"/>
    <col min="12815" max="12815" width="14.140625" customWidth="1"/>
    <col min="12816" max="12816" width="14.28515625" customWidth="1"/>
    <col min="12817" max="12817" width="14.85546875" customWidth="1"/>
    <col min="12818" max="12828" width="14.28515625" customWidth="1"/>
    <col min="12829" max="12829" width="16" customWidth="1"/>
    <col min="12830" max="12830" width="11.28515625" customWidth="1"/>
    <col min="12831" max="12831" width="13.42578125" customWidth="1"/>
    <col min="12832" max="12834" width="13.28515625" bestFit="1" customWidth="1"/>
    <col min="12835" max="12835" width="12.85546875" bestFit="1" customWidth="1"/>
    <col min="13057" max="13057" width="0.7109375" customWidth="1"/>
    <col min="13058" max="13058" width="10.5703125" customWidth="1"/>
    <col min="13059" max="13059" width="46.42578125" customWidth="1"/>
    <col min="13060" max="13060" width="12.7109375" customWidth="1"/>
    <col min="13061" max="13069" width="0" hidden="1" customWidth="1"/>
    <col min="13070" max="13070" width="14.5703125" customWidth="1"/>
    <col min="13071" max="13071" width="14.140625" customWidth="1"/>
    <col min="13072" max="13072" width="14.28515625" customWidth="1"/>
    <col min="13073" max="13073" width="14.85546875" customWidth="1"/>
    <col min="13074" max="13084" width="14.28515625" customWidth="1"/>
    <col min="13085" max="13085" width="16" customWidth="1"/>
    <col min="13086" max="13086" width="11.28515625" customWidth="1"/>
    <col min="13087" max="13087" width="13.42578125" customWidth="1"/>
    <col min="13088" max="13090" width="13.28515625" bestFit="1" customWidth="1"/>
    <col min="13091" max="13091" width="12.85546875" bestFit="1" customWidth="1"/>
    <col min="13313" max="13313" width="0.7109375" customWidth="1"/>
    <col min="13314" max="13314" width="10.5703125" customWidth="1"/>
    <col min="13315" max="13315" width="46.42578125" customWidth="1"/>
    <col min="13316" max="13316" width="12.7109375" customWidth="1"/>
    <col min="13317" max="13325" width="0" hidden="1" customWidth="1"/>
    <col min="13326" max="13326" width="14.5703125" customWidth="1"/>
    <col min="13327" max="13327" width="14.140625" customWidth="1"/>
    <col min="13328" max="13328" width="14.28515625" customWidth="1"/>
    <col min="13329" max="13329" width="14.85546875" customWidth="1"/>
    <col min="13330" max="13340" width="14.28515625" customWidth="1"/>
    <col min="13341" max="13341" width="16" customWidth="1"/>
    <col min="13342" max="13342" width="11.28515625" customWidth="1"/>
    <col min="13343" max="13343" width="13.42578125" customWidth="1"/>
    <col min="13344" max="13346" width="13.28515625" bestFit="1" customWidth="1"/>
    <col min="13347" max="13347" width="12.85546875" bestFit="1" customWidth="1"/>
    <col min="13569" max="13569" width="0.7109375" customWidth="1"/>
    <col min="13570" max="13570" width="10.5703125" customWidth="1"/>
    <col min="13571" max="13571" width="46.42578125" customWidth="1"/>
    <col min="13572" max="13572" width="12.7109375" customWidth="1"/>
    <col min="13573" max="13581" width="0" hidden="1" customWidth="1"/>
    <col min="13582" max="13582" width="14.5703125" customWidth="1"/>
    <col min="13583" max="13583" width="14.140625" customWidth="1"/>
    <col min="13584" max="13584" width="14.28515625" customWidth="1"/>
    <col min="13585" max="13585" width="14.85546875" customWidth="1"/>
    <col min="13586" max="13596" width="14.28515625" customWidth="1"/>
    <col min="13597" max="13597" width="16" customWidth="1"/>
    <col min="13598" max="13598" width="11.28515625" customWidth="1"/>
    <col min="13599" max="13599" width="13.42578125" customWidth="1"/>
    <col min="13600" max="13602" width="13.28515625" bestFit="1" customWidth="1"/>
    <col min="13603" max="13603" width="12.85546875" bestFit="1" customWidth="1"/>
    <col min="13825" max="13825" width="0.7109375" customWidth="1"/>
    <col min="13826" max="13826" width="10.5703125" customWidth="1"/>
    <col min="13827" max="13827" width="46.42578125" customWidth="1"/>
    <col min="13828" max="13828" width="12.7109375" customWidth="1"/>
    <col min="13829" max="13837" width="0" hidden="1" customWidth="1"/>
    <col min="13838" max="13838" width="14.5703125" customWidth="1"/>
    <col min="13839" max="13839" width="14.140625" customWidth="1"/>
    <col min="13840" max="13840" width="14.28515625" customWidth="1"/>
    <col min="13841" max="13841" width="14.85546875" customWidth="1"/>
    <col min="13842" max="13852" width="14.28515625" customWidth="1"/>
    <col min="13853" max="13853" width="16" customWidth="1"/>
    <col min="13854" max="13854" width="11.28515625" customWidth="1"/>
    <col min="13855" max="13855" width="13.42578125" customWidth="1"/>
    <col min="13856" max="13858" width="13.28515625" bestFit="1" customWidth="1"/>
    <col min="13859" max="13859" width="12.85546875" bestFit="1" customWidth="1"/>
    <col min="14081" max="14081" width="0.7109375" customWidth="1"/>
    <col min="14082" max="14082" width="10.5703125" customWidth="1"/>
    <col min="14083" max="14083" width="46.42578125" customWidth="1"/>
    <col min="14084" max="14084" width="12.7109375" customWidth="1"/>
    <col min="14085" max="14093" width="0" hidden="1" customWidth="1"/>
    <col min="14094" max="14094" width="14.5703125" customWidth="1"/>
    <col min="14095" max="14095" width="14.140625" customWidth="1"/>
    <col min="14096" max="14096" width="14.28515625" customWidth="1"/>
    <col min="14097" max="14097" width="14.85546875" customWidth="1"/>
    <col min="14098" max="14108" width="14.28515625" customWidth="1"/>
    <col min="14109" max="14109" width="16" customWidth="1"/>
    <col min="14110" max="14110" width="11.28515625" customWidth="1"/>
    <col min="14111" max="14111" width="13.42578125" customWidth="1"/>
    <col min="14112" max="14114" width="13.28515625" bestFit="1" customWidth="1"/>
    <col min="14115" max="14115" width="12.85546875" bestFit="1" customWidth="1"/>
    <col min="14337" max="14337" width="0.7109375" customWidth="1"/>
    <col min="14338" max="14338" width="10.5703125" customWidth="1"/>
    <col min="14339" max="14339" width="46.42578125" customWidth="1"/>
    <col min="14340" max="14340" width="12.7109375" customWidth="1"/>
    <col min="14341" max="14349" width="0" hidden="1" customWidth="1"/>
    <col min="14350" max="14350" width="14.5703125" customWidth="1"/>
    <col min="14351" max="14351" width="14.140625" customWidth="1"/>
    <col min="14352" max="14352" width="14.28515625" customWidth="1"/>
    <col min="14353" max="14353" width="14.85546875" customWidth="1"/>
    <col min="14354" max="14364" width="14.28515625" customWidth="1"/>
    <col min="14365" max="14365" width="16" customWidth="1"/>
    <col min="14366" max="14366" width="11.28515625" customWidth="1"/>
    <col min="14367" max="14367" width="13.42578125" customWidth="1"/>
    <col min="14368" max="14370" width="13.28515625" bestFit="1" customWidth="1"/>
    <col min="14371" max="14371" width="12.85546875" bestFit="1" customWidth="1"/>
    <col min="14593" max="14593" width="0.7109375" customWidth="1"/>
    <col min="14594" max="14594" width="10.5703125" customWidth="1"/>
    <col min="14595" max="14595" width="46.42578125" customWidth="1"/>
    <col min="14596" max="14596" width="12.7109375" customWidth="1"/>
    <col min="14597" max="14605" width="0" hidden="1" customWidth="1"/>
    <col min="14606" max="14606" width="14.5703125" customWidth="1"/>
    <col min="14607" max="14607" width="14.140625" customWidth="1"/>
    <col min="14608" max="14608" width="14.28515625" customWidth="1"/>
    <col min="14609" max="14609" width="14.85546875" customWidth="1"/>
    <col min="14610" max="14620" width="14.28515625" customWidth="1"/>
    <col min="14621" max="14621" width="16" customWidth="1"/>
    <col min="14622" max="14622" width="11.28515625" customWidth="1"/>
    <col min="14623" max="14623" width="13.42578125" customWidth="1"/>
    <col min="14624" max="14626" width="13.28515625" bestFit="1" customWidth="1"/>
    <col min="14627" max="14627" width="12.85546875" bestFit="1" customWidth="1"/>
    <col min="14849" max="14849" width="0.7109375" customWidth="1"/>
    <col min="14850" max="14850" width="10.5703125" customWidth="1"/>
    <col min="14851" max="14851" width="46.42578125" customWidth="1"/>
    <col min="14852" max="14852" width="12.7109375" customWidth="1"/>
    <col min="14853" max="14861" width="0" hidden="1" customWidth="1"/>
    <col min="14862" max="14862" width="14.5703125" customWidth="1"/>
    <col min="14863" max="14863" width="14.140625" customWidth="1"/>
    <col min="14864" max="14864" width="14.28515625" customWidth="1"/>
    <col min="14865" max="14865" width="14.85546875" customWidth="1"/>
    <col min="14866" max="14876" width="14.28515625" customWidth="1"/>
    <col min="14877" max="14877" width="16" customWidth="1"/>
    <col min="14878" max="14878" width="11.28515625" customWidth="1"/>
    <col min="14879" max="14879" width="13.42578125" customWidth="1"/>
    <col min="14880" max="14882" width="13.28515625" bestFit="1" customWidth="1"/>
    <col min="14883" max="14883" width="12.85546875" bestFit="1" customWidth="1"/>
    <col min="15105" max="15105" width="0.7109375" customWidth="1"/>
    <col min="15106" max="15106" width="10.5703125" customWidth="1"/>
    <col min="15107" max="15107" width="46.42578125" customWidth="1"/>
    <col min="15108" max="15108" width="12.7109375" customWidth="1"/>
    <col min="15109" max="15117" width="0" hidden="1" customWidth="1"/>
    <col min="15118" max="15118" width="14.5703125" customWidth="1"/>
    <col min="15119" max="15119" width="14.140625" customWidth="1"/>
    <col min="15120" max="15120" width="14.28515625" customWidth="1"/>
    <col min="15121" max="15121" width="14.85546875" customWidth="1"/>
    <col min="15122" max="15132" width="14.28515625" customWidth="1"/>
    <col min="15133" max="15133" width="16" customWidth="1"/>
    <col min="15134" max="15134" width="11.28515625" customWidth="1"/>
    <col min="15135" max="15135" width="13.42578125" customWidth="1"/>
    <col min="15136" max="15138" width="13.28515625" bestFit="1" customWidth="1"/>
    <col min="15139" max="15139" width="12.85546875" bestFit="1" customWidth="1"/>
    <col min="15361" max="15361" width="0.7109375" customWidth="1"/>
    <col min="15362" max="15362" width="10.5703125" customWidth="1"/>
    <col min="15363" max="15363" width="46.42578125" customWidth="1"/>
    <col min="15364" max="15364" width="12.7109375" customWidth="1"/>
    <col min="15365" max="15373" width="0" hidden="1" customWidth="1"/>
    <col min="15374" max="15374" width="14.5703125" customWidth="1"/>
    <col min="15375" max="15375" width="14.140625" customWidth="1"/>
    <col min="15376" max="15376" width="14.28515625" customWidth="1"/>
    <col min="15377" max="15377" width="14.85546875" customWidth="1"/>
    <col min="15378" max="15388" width="14.28515625" customWidth="1"/>
    <col min="15389" max="15389" width="16" customWidth="1"/>
    <col min="15390" max="15390" width="11.28515625" customWidth="1"/>
    <col min="15391" max="15391" width="13.42578125" customWidth="1"/>
    <col min="15392" max="15394" width="13.28515625" bestFit="1" customWidth="1"/>
    <col min="15395" max="15395" width="12.85546875" bestFit="1" customWidth="1"/>
    <col min="15617" max="15617" width="0.7109375" customWidth="1"/>
    <col min="15618" max="15618" width="10.5703125" customWidth="1"/>
    <col min="15619" max="15619" width="46.42578125" customWidth="1"/>
    <col min="15620" max="15620" width="12.7109375" customWidth="1"/>
    <col min="15621" max="15629" width="0" hidden="1" customWidth="1"/>
    <col min="15630" max="15630" width="14.5703125" customWidth="1"/>
    <col min="15631" max="15631" width="14.140625" customWidth="1"/>
    <col min="15632" max="15632" width="14.28515625" customWidth="1"/>
    <col min="15633" max="15633" width="14.85546875" customWidth="1"/>
    <col min="15634" max="15644" width="14.28515625" customWidth="1"/>
    <col min="15645" max="15645" width="16" customWidth="1"/>
    <col min="15646" max="15646" width="11.28515625" customWidth="1"/>
    <col min="15647" max="15647" width="13.42578125" customWidth="1"/>
    <col min="15648" max="15650" width="13.28515625" bestFit="1" customWidth="1"/>
    <col min="15651" max="15651" width="12.85546875" bestFit="1" customWidth="1"/>
    <col min="15873" max="15873" width="0.7109375" customWidth="1"/>
    <col min="15874" max="15874" width="10.5703125" customWidth="1"/>
    <col min="15875" max="15875" width="46.42578125" customWidth="1"/>
    <col min="15876" max="15876" width="12.7109375" customWidth="1"/>
    <col min="15877" max="15885" width="0" hidden="1" customWidth="1"/>
    <col min="15886" max="15886" width="14.5703125" customWidth="1"/>
    <col min="15887" max="15887" width="14.140625" customWidth="1"/>
    <col min="15888" max="15888" width="14.28515625" customWidth="1"/>
    <col min="15889" max="15889" width="14.85546875" customWidth="1"/>
    <col min="15890" max="15900" width="14.28515625" customWidth="1"/>
    <col min="15901" max="15901" width="16" customWidth="1"/>
    <col min="15902" max="15902" width="11.28515625" customWidth="1"/>
    <col min="15903" max="15903" width="13.42578125" customWidth="1"/>
    <col min="15904" max="15906" width="13.28515625" bestFit="1" customWidth="1"/>
    <col min="15907" max="15907" width="12.85546875" bestFit="1" customWidth="1"/>
    <col min="16129" max="16129" width="0.7109375" customWidth="1"/>
    <col min="16130" max="16130" width="10.5703125" customWidth="1"/>
    <col min="16131" max="16131" width="46.42578125" customWidth="1"/>
    <col min="16132" max="16132" width="12.7109375" customWidth="1"/>
    <col min="16133" max="16141" width="0" hidden="1" customWidth="1"/>
    <col min="16142" max="16142" width="14.5703125" customWidth="1"/>
    <col min="16143" max="16143" width="14.140625" customWidth="1"/>
    <col min="16144" max="16144" width="14.28515625" customWidth="1"/>
    <col min="16145" max="16145" width="14.85546875" customWidth="1"/>
    <col min="16146" max="16156" width="14.28515625" customWidth="1"/>
    <col min="16157" max="16157" width="16" customWidth="1"/>
    <col min="16158" max="16158" width="11.28515625" customWidth="1"/>
    <col min="16159" max="16159" width="13.42578125" customWidth="1"/>
    <col min="16160" max="16162" width="13.28515625" bestFit="1" customWidth="1"/>
    <col min="16163" max="16163" width="12.85546875" bestFit="1" customWidth="1"/>
  </cols>
  <sheetData>
    <row r="1" spans="1:35" ht="42.75" customHeight="1" thickBot="1">
      <c r="A1" s="2220"/>
      <c r="C1" s="3330" t="s">
        <v>15203</v>
      </c>
      <c r="D1" s="3331"/>
      <c r="E1" s="3332" t="s">
        <v>14964</v>
      </c>
      <c r="F1" s="3333"/>
      <c r="G1" s="3333"/>
      <c r="H1" s="3333"/>
      <c r="I1" s="3333"/>
      <c r="J1" s="3333"/>
      <c r="K1" s="3333"/>
      <c r="L1" s="3333"/>
      <c r="M1" s="3334"/>
      <c r="N1" s="3335" t="s">
        <v>15204</v>
      </c>
      <c r="O1" s="3336"/>
      <c r="P1" s="3336"/>
      <c r="Q1" s="3336"/>
      <c r="R1" s="3336"/>
      <c r="S1" s="3336"/>
      <c r="T1" s="3336"/>
      <c r="U1" s="3336"/>
      <c r="V1" s="3337"/>
      <c r="W1" s="2901"/>
      <c r="X1" s="2901"/>
      <c r="Y1" s="2902"/>
      <c r="Z1" s="2902"/>
      <c r="AA1" s="2902"/>
      <c r="AB1" s="2902"/>
    </row>
    <row r="2" spans="1:35" s="2218" customFormat="1" ht="30.75" customHeight="1">
      <c r="B2" s="3338" t="s">
        <v>665</v>
      </c>
      <c r="C2" s="3340" t="s">
        <v>1306</v>
      </c>
      <c r="D2" s="3342" t="s">
        <v>1307</v>
      </c>
      <c r="E2" s="3344">
        <v>2020</v>
      </c>
      <c r="F2" s="3345"/>
      <c r="G2" s="3345"/>
      <c r="H2" s="3345">
        <v>2021</v>
      </c>
      <c r="I2" s="3345"/>
      <c r="J2" s="3345"/>
      <c r="K2" s="3345">
        <v>2022</v>
      </c>
      <c r="L2" s="3345"/>
      <c r="M2" s="3346"/>
      <c r="N2" s="3345" t="s">
        <v>15218</v>
      </c>
      <c r="O2" s="3345"/>
      <c r="P2" s="3345"/>
      <c r="Q2" s="3344" t="s">
        <v>15219</v>
      </c>
      <c r="R2" s="3345"/>
      <c r="S2" s="3347"/>
      <c r="T2" s="3344" t="s">
        <v>15220</v>
      </c>
      <c r="U2" s="3345"/>
      <c r="V2" s="3347"/>
      <c r="W2" s="3345" t="s">
        <v>15221</v>
      </c>
      <c r="X2" s="3345"/>
      <c r="Y2" s="3346"/>
      <c r="Z2" s="3344" t="s">
        <v>15222</v>
      </c>
      <c r="AA2" s="3345"/>
      <c r="AB2" s="3347"/>
    </row>
    <row r="3" spans="1:35" s="2218" customFormat="1" ht="41.25" customHeight="1" thickBot="1">
      <c r="B3" s="3339"/>
      <c r="C3" s="3341"/>
      <c r="D3" s="3343"/>
      <c r="E3" s="2659" t="s">
        <v>14966</v>
      </c>
      <c r="F3" s="2660" t="s">
        <v>14967</v>
      </c>
      <c r="G3" s="2903" t="s">
        <v>1310</v>
      </c>
      <c r="H3" s="2660" t="s">
        <v>14968</v>
      </c>
      <c r="I3" s="2660" t="s">
        <v>14969</v>
      </c>
      <c r="J3" s="2903" t="s">
        <v>1310</v>
      </c>
      <c r="K3" s="2660" t="s">
        <v>14970</v>
      </c>
      <c r="L3" s="2660" t="s">
        <v>14971</v>
      </c>
      <c r="M3" s="2904" t="s">
        <v>1310</v>
      </c>
      <c r="N3" s="2905" t="s">
        <v>14972</v>
      </c>
      <c r="O3" s="2903" t="s">
        <v>14973</v>
      </c>
      <c r="P3" s="2904" t="s">
        <v>1310</v>
      </c>
      <c r="Q3" s="2907" t="s">
        <v>14972</v>
      </c>
      <c r="R3" s="2908" t="s">
        <v>14973</v>
      </c>
      <c r="S3" s="2904" t="s">
        <v>1310</v>
      </c>
      <c r="T3" s="2907" t="s">
        <v>14972</v>
      </c>
      <c r="U3" s="2908" t="s">
        <v>14973</v>
      </c>
      <c r="V3" s="2904" t="s">
        <v>1310</v>
      </c>
      <c r="W3" s="2905" t="s">
        <v>14972</v>
      </c>
      <c r="X3" s="2903" t="s">
        <v>14973</v>
      </c>
      <c r="Y3" s="2906" t="s">
        <v>1310</v>
      </c>
      <c r="Z3" s="2907" t="s">
        <v>14972</v>
      </c>
      <c r="AA3" s="2908" t="s">
        <v>14973</v>
      </c>
      <c r="AB3" s="2904" t="s">
        <v>1310</v>
      </c>
    </row>
    <row r="4" spans="1:35" s="2218" customFormat="1" ht="20.25" customHeight="1" thickBot="1">
      <c r="B4" s="2909"/>
      <c r="C4" s="2910"/>
      <c r="D4" s="2911"/>
      <c r="E4" s="2232"/>
      <c r="F4" s="2219"/>
      <c r="G4" s="2219"/>
      <c r="H4" s="2219"/>
      <c r="I4" s="2219"/>
      <c r="J4" s="2219"/>
      <c r="K4" s="2219"/>
      <c r="L4" s="2219"/>
      <c r="M4" s="2234"/>
      <c r="N4" s="2232"/>
      <c r="O4" s="2233"/>
      <c r="P4" s="2234"/>
      <c r="Q4" s="2912"/>
      <c r="R4" s="2913"/>
      <c r="S4" s="2234"/>
      <c r="T4" s="2233"/>
      <c r="U4" s="2233"/>
      <c r="V4" s="2233"/>
      <c r="W4" s="2233">
        <f>T5/T272*W272</f>
        <v>56152.066522402492</v>
      </c>
      <c r="X4" s="2233">
        <f>U5/U272*X272</f>
        <v>78307.565874566528</v>
      </c>
      <c r="Y4" s="2233">
        <f>V5/V272*Y272</f>
        <v>67229.816198484506</v>
      </c>
      <c r="Z4" s="2233">
        <f>T5/T272*Z272</f>
        <v>203749.94125670113</v>
      </c>
      <c r="AA4" s="2233">
        <f>U5/U272*AA272</f>
        <v>284142.02602023014</v>
      </c>
      <c r="AB4" s="2233">
        <f>V5/V272*AB272</f>
        <v>243945.98363846564</v>
      </c>
    </row>
    <row r="5" spans="1:35" s="2218" customFormat="1" ht="19.5" thickBot="1">
      <c r="A5" s="2235">
        <v>1</v>
      </c>
      <c r="B5" s="2236"/>
      <c r="C5" s="2237" t="s">
        <v>1311</v>
      </c>
      <c r="D5" s="2238"/>
      <c r="E5" s="2239">
        <f>E6+E237+E270+E271</f>
        <v>122597.01457202011</v>
      </c>
      <c r="F5" s="2239">
        <f>F6+F237+F270+F271</f>
        <v>128643.77342998325</v>
      </c>
      <c r="G5" s="2240">
        <f t="shared" ref="G5:G68" si="0">E5/2+F5/2</f>
        <v>125620.39400100168</v>
      </c>
      <c r="H5" s="2239">
        <f>H6+H237+H270+H271</f>
        <v>134745.9991446069</v>
      </c>
      <c r="I5" s="2239">
        <f>I6+I237+I270+I271</f>
        <v>138779.12296991964</v>
      </c>
      <c r="J5" s="2240">
        <f t="shared" ref="J5:J68" si="1">H5/2+I5/2</f>
        <v>136762.56105726329</v>
      </c>
      <c r="K5" s="2239">
        <f>K6+K237+K270+K271</f>
        <v>138616.92733445315</v>
      </c>
      <c r="L5" s="2239">
        <f>L6+L237+L270+L271</f>
        <v>144569.08278341021</v>
      </c>
      <c r="M5" s="2240">
        <f t="shared" ref="M5:M68" si="2">K5/2+L5/2</f>
        <v>141593.00505893168</v>
      </c>
      <c r="N5" s="2239">
        <f>N6+N237+N270+N271</f>
        <v>56149.941968741376</v>
      </c>
      <c r="O5" s="2239">
        <f>O6+O237+O270+O271</f>
        <v>147306.3371564534</v>
      </c>
      <c r="P5" s="2240">
        <f t="shared" ref="P5:P48" si="3">N5/2+O5/2</f>
        <v>101728.13956259738</v>
      </c>
      <c r="Q5" s="2239">
        <f>Q6+Q237+Q270+Q271</f>
        <v>203752.06581036228</v>
      </c>
      <c r="R5" s="2239">
        <f>R6+R237+R270+R271</f>
        <v>215143.25473834333</v>
      </c>
      <c r="S5" s="2240">
        <f t="shared" ref="S5:S48" si="4">Q5/2+R5/2</f>
        <v>209447.66027435282</v>
      </c>
      <c r="T5" s="2914">
        <f>T6+T237+T270+T271</f>
        <v>259902.00777910365</v>
      </c>
      <c r="U5" s="2897">
        <f>U6+U237+U270+U271</f>
        <v>362449.5918947967</v>
      </c>
      <c r="V5" s="2240">
        <f t="shared" ref="V5:V68" si="5">T5/2+U5/2</f>
        <v>311175.79983695014</v>
      </c>
      <c r="W5" s="2914">
        <f>W6+W237+W270+W271</f>
        <v>56152.0665224025</v>
      </c>
      <c r="X5" s="2897">
        <f>X6+X237+X270+X271</f>
        <v>60655.309467492378</v>
      </c>
      <c r="Y5" s="2240">
        <f t="shared" ref="Y5:Y68" si="6">W5/2+X5/2</f>
        <v>58403.687994947439</v>
      </c>
      <c r="Z5" s="2914">
        <f>Z6+Z237+Z270+Z271</f>
        <v>203749.94125670113</v>
      </c>
      <c r="AA5" s="2897">
        <f>AA6+AA237+AA270+AA271</f>
        <v>220019.16800087629</v>
      </c>
      <c r="AB5" s="2240">
        <f t="shared" ref="AB5:AB68" si="7">Z5/2+AA5/2</f>
        <v>211884.55462878873</v>
      </c>
      <c r="AC5" s="2593">
        <f>W5+Z5</f>
        <v>259902.00777910365</v>
      </c>
      <c r="AD5" s="2593">
        <f>X5+AA5</f>
        <v>280674.47746836866</v>
      </c>
      <c r="AE5" s="2593">
        <f>Y5+AB5</f>
        <v>270288.24262373615</v>
      </c>
      <c r="AF5" s="2218">
        <f>U5/$U$272*$X$272</f>
        <v>78307.565874566528</v>
      </c>
      <c r="AG5" s="2593">
        <f>AF5-X5</f>
        <v>17652.25640707415</v>
      </c>
      <c r="AH5" s="2218">
        <f>U5/$U$272*$AA$272</f>
        <v>284142.02602023014</v>
      </c>
      <c r="AI5" s="2593">
        <f>AH5-AA5</f>
        <v>64122.858019353851</v>
      </c>
    </row>
    <row r="6" spans="1:35" s="2218" customFormat="1" ht="27" customHeight="1">
      <c r="A6" s="2235">
        <v>253</v>
      </c>
      <c r="B6" s="2243"/>
      <c r="C6" s="2244" t="s">
        <v>1312</v>
      </c>
      <c r="D6" s="2245" t="s">
        <v>1313</v>
      </c>
      <c r="E6" s="2246">
        <f>E7+E235</f>
        <v>118546.38218731657</v>
      </c>
      <c r="F6" s="2247">
        <f>F7+F235</f>
        <v>124593.14104527971</v>
      </c>
      <c r="G6" s="2248">
        <f t="shared" si="0"/>
        <v>121569.76161629814</v>
      </c>
      <c r="H6" s="2247">
        <f>H7+H235</f>
        <v>130272.20471927672</v>
      </c>
      <c r="I6" s="2247">
        <f>I7+I235</f>
        <v>134305.32854458946</v>
      </c>
      <c r="J6" s="2248">
        <f t="shared" si="1"/>
        <v>132288.7666319331</v>
      </c>
      <c r="K6" s="2247">
        <f>K7+K235</f>
        <v>134668.83697341406</v>
      </c>
      <c r="L6" s="2247">
        <f>L7+L235</f>
        <v>140620.99242237111</v>
      </c>
      <c r="M6" s="2250">
        <f t="shared" si="2"/>
        <v>137644.91469789259</v>
      </c>
      <c r="N6" s="2246">
        <f>N7+N235</f>
        <v>56149.941968741376</v>
      </c>
      <c r="O6" s="2247">
        <f>O7+O235</f>
        <v>143073.98428941949</v>
      </c>
      <c r="P6" s="2250">
        <f t="shared" si="3"/>
        <v>99611.963129080425</v>
      </c>
      <c r="Q6" s="2247">
        <f>Q7+Q235</f>
        <v>199600.32737578882</v>
      </c>
      <c r="R6" s="2247">
        <f>R7+R235</f>
        <v>210692.59113648059</v>
      </c>
      <c r="S6" s="2250">
        <f t="shared" si="4"/>
        <v>205146.45925613469</v>
      </c>
      <c r="T6" s="2246">
        <f>T7+T235</f>
        <v>255750.26934453018</v>
      </c>
      <c r="U6" s="2247">
        <f>U7+U235</f>
        <v>353766.57542590005</v>
      </c>
      <c r="V6" s="2250">
        <f t="shared" si="5"/>
        <v>304758.42238521512</v>
      </c>
      <c r="W6" s="2246">
        <f>W7+W235</f>
        <v>55255.079635868227</v>
      </c>
      <c r="X6" s="2247">
        <f>X7+X235</f>
        <v>62039.335816719358</v>
      </c>
      <c r="Y6" s="2250">
        <f t="shared" si="6"/>
        <v>58647.207726293796</v>
      </c>
      <c r="Z6" s="2246">
        <f>Z7+Z235</f>
        <v>200495.18970866196</v>
      </c>
      <c r="AA6" s="2247">
        <f>AA7+AA235</f>
        <v>225112.12518275264</v>
      </c>
      <c r="AB6" s="2250">
        <f t="shared" si="7"/>
        <v>212803.6574457073</v>
      </c>
      <c r="AF6" s="2218">
        <f t="shared" ref="AF6:AF69" si="8">U6/$U$272*$X$272</f>
        <v>76431.592223793516</v>
      </c>
      <c r="AG6" s="2593">
        <f t="shared" ref="AG6:AG69" si="9">AF6-X6</f>
        <v>14392.256407074157</v>
      </c>
      <c r="AH6" s="2218">
        <f t="shared" ref="AH6:AH69" si="10">U6/$U$272*$AA$272</f>
        <v>277334.98320210649</v>
      </c>
      <c r="AI6" s="2593">
        <f t="shared" ref="AI6:AI69" si="11">AH6-AA6</f>
        <v>52222.858019353851</v>
      </c>
    </row>
    <row r="7" spans="1:35" s="2218" customFormat="1" ht="25.5" customHeight="1">
      <c r="A7" s="2235">
        <v>252</v>
      </c>
      <c r="B7" s="2252">
        <v>1</v>
      </c>
      <c r="C7" s="2253" t="s">
        <v>1314</v>
      </c>
      <c r="D7" s="2254" t="s">
        <v>1313</v>
      </c>
      <c r="E7" s="2255">
        <f>E8+E124+E174</f>
        <v>109640.21730731658</v>
      </c>
      <c r="F7" s="2256">
        <f>F8+F124+F174</f>
        <v>115686.97616527972</v>
      </c>
      <c r="G7" s="2257">
        <f t="shared" si="0"/>
        <v>112663.59673629815</v>
      </c>
      <c r="H7" s="2256">
        <f>H8+H124+H174</f>
        <v>120700.14528027672</v>
      </c>
      <c r="I7" s="2256">
        <f>I8+I124+I174</f>
        <v>124733.26910558947</v>
      </c>
      <c r="J7" s="2257">
        <f t="shared" si="1"/>
        <v>122716.7071929331</v>
      </c>
      <c r="K7" s="2256">
        <f>K8+K124+K174</f>
        <v>117034.30835366261</v>
      </c>
      <c r="L7" s="2256">
        <f>L8+L124+L174</f>
        <v>122986.46380261969</v>
      </c>
      <c r="M7" s="2259">
        <f t="shared" si="2"/>
        <v>120010.38607814115</v>
      </c>
      <c r="N7" s="2255">
        <f>N8+N124+N174</f>
        <v>56149.941968741376</v>
      </c>
      <c r="O7" s="2256">
        <f>O8+O124+O174</f>
        <v>131437.28968359347</v>
      </c>
      <c r="P7" s="2259">
        <f t="shared" si="3"/>
        <v>93793.615826167428</v>
      </c>
      <c r="Q7" s="2256">
        <f>Q8+Q124+Q174</f>
        <v>144621.90755518677</v>
      </c>
      <c r="R7" s="2256">
        <f>R8+R124+R174</f>
        <v>155714.17131587854</v>
      </c>
      <c r="S7" s="2259">
        <f t="shared" si="4"/>
        <v>150168.03943553264</v>
      </c>
      <c r="T7" s="2255">
        <f>T8+T124+T174</f>
        <v>200771.84952392813</v>
      </c>
      <c r="U7" s="2256">
        <f>U8+U124+U174</f>
        <v>287151.46099947201</v>
      </c>
      <c r="V7" s="2259">
        <f t="shared" si="5"/>
        <v>243961.65526170007</v>
      </c>
      <c r="W7" s="2255">
        <f>W8+W124+W174</f>
        <v>43376.94174288644</v>
      </c>
      <c r="X7" s="2256">
        <f>X8+X124+X174</f>
        <v>62039.335816719358</v>
      </c>
      <c r="Y7" s="2259">
        <f t="shared" si="6"/>
        <v>52708.138779802903</v>
      </c>
      <c r="Z7" s="2255">
        <f>Z8+Z124+Z174</f>
        <v>157394.90778104169</v>
      </c>
      <c r="AA7" s="2256">
        <f>AA8+AA124+AA174</f>
        <v>225112.12518275264</v>
      </c>
      <c r="AB7" s="2259">
        <f t="shared" si="7"/>
        <v>191253.51648189715</v>
      </c>
      <c r="AD7" s="2593">
        <f>X5+AA5</f>
        <v>280674.47746836866</v>
      </c>
      <c r="AF7" s="2218">
        <f t="shared" si="8"/>
        <v>62039.335816719366</v>
      </c>
      <c r="AG7" s="2593">
        <f t="shared" si="9"/>
        <v>0</v>
      </c>
      <c r="AH7" s="2218">
        <f t="shared" si="10"/>
        <v>225112.12518275264</v>
      </c>
      <c r="AI7" s="2593">
        <f t="shared" si="11"/>
        <v>0</v>
      </c>
    </row>
    <row r="8" spans="1:35" s="2218" customFormat="1" ht="26.25" customHeight="1" thickBot="1">
      <c r="A8" s="2235">
        <v>254</v>
      </c>
      <c r="B8" s="2261" t="s">
        <v>25</v>
      </c>
      <c r="C8" s="2262" t="s">
        <v>1315</v>
      </c>
      <c r="D8" s="2263" t="s">
        <v>1313</v>
      </c>
      <c r="E8" s="2264">
        <f>E9+E53+E68+E95</f>
        <v>77316.149496500046</v>
      </c>
      <c r="F8" s="2265">
        <f>F9+F53+F68+F95</f>
        <v>81809.664507469235</v>
      </c>
      <c r="G8" s="2266">
        <f t="shared" si="0"/>
        <v>79562.90700198464</v>
      </c>
      <c r="H8" s="2265">
        <f>H9+H53+H68+H95</f>
        <v>85896.070034471166</v>
      </c>
      <c r="I8" s="2265">
        <f>I9+I53+I68+I95</f>
        <v>88729.807760968848</v>
      </c>
      <c r="J8" s="2266">
        <f t="shared" si="1"/>
        <v>87312.938897720014</v>
      </c>
      <c r="K8" s="2265">
        <f>K9+K53+K68+K95</f>
        <v>84575.393980069333</v>
      </c>
      <c r="L8" s="2265">
        <f>L9+L53+L68+L95</f>
        <v>89322.482077797133</v>
      </c>
      <c r="M8" s="2268">
        <f t="shared" si="2"/>
        <v>86948.938028933233</v>
      </c>
      <c r="N8" s="2264">
        <f>N9+N53+N68+N95</f>
        <v>28628.997377711807</v>
      </c>
      <c r="O8" s="2265">
        <f>O9+O53+O68+O95</f>
        <v>100876.99448377686</v>
      </c>
      <c r="P8" s="2268">
        <f t="shared" si="3"/>
        <v>64752.995930744335</v>
      </c>
      <c r="Q8" s="2265">
        <f>Q9+Q53+Q68+Q95</f>
        <v>107356.95974850334</v>
      </c>
      <c r="R8" s="2265">
        <f>R9+R53+R68+R95</f>
        <v>115086.66085039558</v>
      </c>
      <c r="S8" s="2268">
        <f t="shared" si="4"/>
        <v>111221.81029944945</v>
      </c>
      <c r="T8" s="2264">
        <f>T9+T53+T68+T95</f>
        <v>135985.95712621513</v>
      </c>
      <c r="U8" s="2265">
        <f>U9+U53+U68+U95</f>
        <v>215963.65533417242</v>
      </c>
      <c r="V8" s="2268">
        <f t="shared" si="5"/>
        <v>175974.80623019376</v>
      </c>
      <c r="W8" s="2264">
        <f>W9+W53+W68+W95</f>
        <v>29379.89042837144</v>
      </c>
      <c r="X8" s="2265">
        <f>X9+X53+X68+X95</f>
        <v>46659.145284681639</v>
      </c>
      <c r="Y8" s="2268">
        <f t="shared" si="6"/>
        <v>38019.517856526538</v>
      </c>
      <c r="Z8" s="2264">
        <f>Z9+Z53+Z68+Z95</f>
        <v>106606.06669784371</v>
      </c>
      <c r="AA8" s="2265">
        <f>AA9+AA53+AA68+AA95</f>
        <v>169304.51004949078</v>
      </c>
      <c r="AB8" s="2268">
        <f t="shared" si="7"/>
        <v>137955.28837366725</v>
      </c>
      <c r="AF8" s="2218">
        <f t="shared" si="8"/>
        <v>46659.145284681639</v>
      </c>
      <c r="AG8" s="2593">
        <f t="shared" si="9"/>
        <v>0</v>
      </c>
      <c r="AH8" s="2218">
        <f t="shared" si="10"/>
        <v>169304.51004949078</v>
      </c>
      <c r="AI8" s="2593">
        <f t="shared" si="11"/>
        <v>0</v>
      </c>
    </row>
    <row r="9" spans="1:35" s="2218" customFormat="1" ht="30" customHeight="1" thickBot="1">
      <c r="A9" s="2235">
        <v>3</v>
      </c>
      <c r="B9" s="2270" t="s">
        <v>1132</v>
      </c>
      <c r="C9" s="2271" t="s">
        <v>1316</v>
      </c>
      <c r="D9" s="2272" t="s">
        <v>1317</v>
      </c>
      <c r="E9" s="2273">
        <f>E10+E29+E30+E42+E43+E46</f>
        <v>45537.78309365514</v>
      </c>
      <c r="F9" s="2273">
        <f>F10+F29+F30+F42+F43+F46</f>
        <v>47173.859972432176</v>
      </c>
      <c r="G9" s="2274">
        <f t="shared" si="0"/>
        <v>46355.821533043658</v>
      </c>
      <c r="H9" s="2275">
        <f>H10+H29+H30+H42+H43+H46</f>
        <v>50750.403096828624</v>
      </c>
      <c r="I9" s="2275">
        <f>I10+I29+I30+I42+I43+I46</f>
        <v>52599.010291648163</v>
      </c>
      <c r="J9" s="2274">
        <f t="shared" si="1"/>
        <v>51674.706694238397</v>
      </c>
      <c r="K9" s="2275">
        <f>K10+K29+K30+K42+K43+K46</f>
        <v>46133.702650717445</v>
      </c>
      <c r="L9" s="2275">
        <f>L10+L29+L30+L42+L43+L46</f>
        <v>48759.093431273403</v>
      </c>
      <c r="M9" s="2274">
        <f t="shared" si="2"/>
        <v>47446.398040995424</v>
      </c>
      <c r="N9" s="2273">
        <f>N10+N29+N30+N42+N43+N46</f>
        <v>0</v>
      </c>
      <c r="O9" s="2275">
        <f>O10+O29+O30+O42+O43+O46</f>
        <v>50983.395992149206</v>
      </c>
      <c r="P9" s="2274">
        <f t="shared" si="3"/>
        <v>25491.697996074603</v>
      </c>
      <c r="Q9" s="2275">
        <f>Q10+Q29+Q30+Q42+Q43+Q46</f>
        <v>33022.675637045322</v>
      </c>
      <c r="R9" s="2275">
        <f>R10+R29+R30+R42+R43+R46</f>
        <v>35400.308282912592</v>
      </c>
      <c r="S9" s="2274">
        <f t="shared" si="4"/>
        <v>34211.491959978957</v>
      </c>
      <c r="T9" s="2273">
        <f>T10+T29+T30+T42+T43+T46</f>
        <v>33022.675637045322</v>
      </c>
      <c r="U9" s="2275">
        <f>U10+U29+U30+U42+U43+U46</f>
        <v>86383.704275061813</v>
      </c>
      <c r="V9" s="2274">
        <f t="shared" si="5"/>
        <v>59703.189956053568</v>
      </c>
      <c r="W9" s="2273">
        <f>W10+W29+W30+W42+W43+W46</f>
        <v>7134.5792784143923</v>
      </c>
      <c r="X9" s="2275">
        <f>X10+X29+X30+X42+X43+X46</f>
        <v>18663.278326912598</v>
      </c>
      <c r="Y9" s="2274">
        <f t="shared" si="6"/>
        <v>12898.928802663495</v>
      </c>
      <c r="Z9" s="2273">
        <f>Z10+Z29+Z30+Z42+Z43+Z46</f>
        <v>25888.096358630934</v>
      </c>
      <c r="AA9" s="2275">
        <f>AA10+AA29+AA30+AA42+AA43+AA46</f>
        <v>67720.425948149204</v>
      </c>
      <c r="AB9" s="2274">
        <f t="shared" si="7"/>
        <v>46804.261153390071</v>
      </c>
      <c r="AF9" s="2218">
        <f t="shared" si="8"/>
        <v>18663.278326912605</v>
      </c>
      <c r="AG9" s="2593">
        <f t="shared" si="9"/>
        <v>0</v>
      </c>
      <c r="AH9" s="2218">
        <f t="shared" si="10"/>
        <v>67720.425948149204</v>
      </c>
      <c r="AI9" s="2593">
        <f t="shared" si="11"/>
        <v>0</v>
      </c>
    </row>
    <row r="10" spans="1:35" s="2218" customFormat="1" ht="38.25" customHeight="1">
      <c r="A10" s="2235">
        <v>4</v>
      </c>
      <c r="B10" s="2243" t="s">
        <v>1318</v>
      </c>
      <c r="C10" s="2278" t="s">
        <v>1319</v>
      </c>
      <c r="D10" s="2245" t="s">
        <v>1317</v>
      </c>
      <c r="E10" s="2246">
        <f>E11+E28</f>
        <v>7168.3650019329161</v>
      </c>
      <c r="F10" s="2246">
        <f>F11+F28</f>
        <v>7383.4159519909026</v>
      </c>
      <c r="G10" s="2248">
        <f t="shared" si="0"/>
        <v>7275.8904769619094</v>
      </c>
      <c r="H10" s="2246">
        <f>H11+H28</f>
        <v>9512.860101704824</v>
      </c>
      <c r="I10" s="2246">
        <f>I11+I28</f>
        <v>9855.3230653661994</v>
      </c>
      <c r="J10" s="2248">
        <f t="shared" si="1"/>
        <v>9684.0915835355117</v>
      </c>
      <c r="K10" s="2246">
        <f>K11+K28</f>
        <v>7143.8610083210942</v>
      </c>
      <c r="L10" s="2246">
        <f>L11+L28</f>
        <v>7451.0470316789006</v>
      </c>
      <c r="M10" s="2250">
        <f t="shared" si="2"/>
        <v>7297.4540199999974</v>
      </c>
      <c r="N10" s="2246">
        <f>N11+N28</f>
        <v>0</v>
      </c>
      <c r="O10" s="2246">
        <f>O11+O28</f>
        <v>3756.7338747528675</v>
      </c>
      <c r="P10" s="2250">
        <f t="shared" si="3"/>
        <v>1878.3669373764337</v>
      </c>
      <c r="Q10" s="2246">
        <f>Q11+Q28</f>
        <v>6936.9071984234952</v>
      </c>
      <c r="R10" s="2246">
        <f>R11+R28</f>
        <v>7436.3645167099876</v>
      </c>
      <c r="S10" s="2250">
        <f t="shared" si="4"/>
        <v>7186.6358575667418</v>
      </c>
      <c r="T10" s="2465">
        <f>T11+T28</f>
        <v>6936.9071984234952</v>
      </c>
      <c r="U10" s="2466">
        <f>U11+U28</f>
        <v>11193.098391462856</v>
      </c>
      <c r="V10" s="2268">
        <f t="shared" si="5"/>
        <v>9065.0027949431751</v>
      </c>
      <c r="W10" s="2465">
        <f>W11+W28</f>
        <v>1498.7251456582505</v>
      </c>
      <c r="X10" s="2466">
        <f>X11+X28</f>
        <v>2418.2791462057794</v>
      </c>
      <c r="Y10" s="2268">
        <f t="shared" si="6"/>
        <v>1958.5021459320151</v>
      </c>
      <c r="Z10" s="2465">
        <f>Z11+Z28</f>
        <v>5438.1820527652453</v>
      </c>
      <c r="AA10" s="2466">
        <f>AA11+AA28</f>
        <v>8774.8192452570765</v>
      </c>
      <c r="AB10" s="2268">
        <f t="shared" si="7"/>
        <v>7106.5006490111609</v>
      </c>
      <c r="AF10" s="2218">
        <f t="shared" si="8"/>
        <v>2418.2791462057799</v>
      </c>
      <c r="AG10" s="2593">
        <f t="shared" si="9"/>
        <v>0</v>
      </c>
      <c r="AH10" s="2218">
        <f t="shared" si="10"/>
        <v>8774.8192452570765</v>
      </c>
      <c r="AI10" s="2593">
        <f t="shared" si="11"/>
        <v>0</v>
      </c>
    </row>
    <row r="11" spans="1:35" s="2218" customFormat="1" ht="25.5" customHeight="1">
      <c r="A11" s="2235">
        <v>317</v>
      </c>
      <c r="B11" s="2279" t="s">
        <v>1737</v>
      </c>
      <c r="C11" s="2280" t="s">
        <v>1738</v>
      </c>
      <c r="D11" s="2254"/>
      <c r="E11" s="2255">
        <f>E12+E15+E18+E21+E24+E27</f>
        <v>1655.0741841989197</v>
      </c>
      <c r="F11" s="2256">
        <f>F12+F15+F18+F21+F24+F27</f>
        <v>1704.7264097248869</v>
      </c>
      <c r="G11" s="2257">
        <f t="shared" si="0"/>
        <v>1679.9002969619032</v>
      </c>
      <c r="H11" s="2256">
        <f>H12+H15+H18+H21+H24+H27</f>
        <v>2483.5778718423517</v>
      </c>
      <c r="I11" s="2256">
        <f>I12+I15+I18+I21+I24+I27</f>
        <v>2572.986675228678</v>
      </c>
      <c r="J11" s="2257">
        <f t="shared" si="1"/>
        <v>2528.2822735355148</v>
      </c>
      <c r="K11" s="2256">
        <f>K12+K15+K18+K21+K24+K27</f>
        <v>2249.390631424375</v>
      </c>
      <c r="L11" s="2256">
        <f>L12+L15+L18+L21+L24+L27</f>
        <v>2346.1144285756227</v>
      </c>
      <c r="M11" s="2259">
        <f t="shared" si="2"/>
        <v>2297.7525299999988</v>
      </c>
      <c r="N11" s="2255">
        <f>N12+N15+N18+N21+N24+N27</f>
        <v>0</v>
      </c>
      <c r="O11" s="2256">
        <f>O12+O15+O18+O21+O24+O27</f>
        <v>2665.9367474790515</v>
      </c>
      <c r="P11" s="2259">
        <f t="shared" si="3"/>
        <v>1332.9683737395258</v>
      </c>
      <c r="Q11" s="2256">
        <f>Q12+Q15+Q18+Q21+Q24+Q27</f>
        <v>4035.3003982280879</v>
      </c>
      <c r="R11" s="2256">
        <f>R12+R15+R18+R21+R24+R27</f>
        <v>4325.842026900511</v>
      </c>
      <c r="S11" s="2259">
        <f t="shared" si="4"/>
        <v>4180.5712125642995</v>
      </c>
      <c r="T11" s="2255">
        <f>T12+T15+T18+T21+T24+T27</f>
        <v>4035.3003982280879</v>
      </c>
      <c r="U11" s="2256">
        <f>U12+U15+U18+U21+U24+U27</f>
        <v>6991.7787743795634</v>
      </c>
      <c r="V11" s="2268">
        <f t="shared" si="5"/>
        <v>5513.5395863038257</v>
      </c>
      <c r="W11" s="2255">
        <f>W12+W15+W18+W21+W24+W27</f>
        <v>871.83034227178825</v>
      </c>
      <c r="X11" s="2256">
        <f>X12+X15+X18+X21+X24+X27</f>
        <v>1510.5801998365657</v>
      </c>
      <c r="Y11" s="2268">
        <f t="shared" si="6"/>
        <v>1191.205271054177</v>
      </c>
      <c r="Z11" s="2255">
        <f>Z12+Z15+Z18+Z21+Z24+Z27</f>
        <v>3163.4700559562998</v>
      </c>
      <c r="AA11" s="2256">
        <f>AA12+AA15+AA18+AA21+AA24+AA27</f>
        <v>5481.1985745429974</v>
      </c>
      <c r="AB11" s="2268">
        <f t="shared" si="7"/>
        <v>4322.3343152496491</v>
      </c>
      <c r="AF11" s="2218">
        <f t="shared" si="8"/>
        <v>1510.5801998365657</v>
      </c>
      <c r="AG11" s="2593">
        <f t="shared" si="9"/>
        <v>0</v>
      </c>
      <c r="AH11" s="2218">
        <f t="shared" si="10"/>
        <v>5481.1985745429974</v>
      </c>
      <c r="AI11" s="2593">
        <f t="shared" si="11"/>
        <v>0</v>
      </c>
    </row>
    <row r="12" spans="1:35" s="2218" customFormat="1" ht="28.5" customHeight="1">
      <c r="A12" s="2235">
        <v>318</v>
      </c>
      <c r="B12" s="2279" t="s">
        <v>1739</v>
      </c>
      <c r="C12" s="2280" t="s">
        <v>1740</v>
      </c>
      <c r="D12" s="2254" t="s">
        <v>1317</v>
      </c>
      <c r="E12" s="2255">
        <f>E13*E14</f>
        <v>0</v>
      </c>
      <c r="F12" s="2256">
        <f>F13*F14</f>
        <v>0</v>
      </c>
      <c r="G12" s="2257">
        <f t="shared" si="0"/>
        <v>0</v>
      </c>
      <c r="H12" s="2256">
        <f>H13*H14</f>
        <v>0</v>
      </c>
      <c r="I12" s="2256">
        <f>I13*I14</f>
        <v>0</v>
      </c>
      <c r="J12" s="2257">
        <f t="shared" si="1"/>
        <v>0</v>
      </c>
      <c r="K12" s="2256">
        <f>K13*K14</f>
        <v>0</v>
      </c>
      <c r="L12" s="2256">
        <f>L13*L14</f>
        <v>0</v>
      </c>
      <c r="M12" s="2259">
        <f t="shared" si="2"/>
        <v>0</v>
      </c>
      <c r="N12" s="2255">
        <f>N13*N14</f>
        <v>0</v>
      </c>
      <c r="O12" s="2256">
        <f>O13*O14</f>
        <v>0</v>
      </c>
      <c r="P12" s="2259">
        <f t="shared" si="3"/>
        <v>0</v>
      </c>
      <c r="Q12" s="2255">
        <v>0</v>
      </c>
      <c r="R12" s="2256">
        <v>0</v>
      </c>
      <c r="S12" s="2259">
        <f t="shared" si="4"/>
        <v>0</v>
      </c>
      <c r="T12" s="2255">
        <v>0</v>
      </c>
      <c r="U12" s="2256">
        <v>0</v>
      </c>
      <c r="V12" s="2268">
        <f t="shared" si="5"/>
        <v>0</v>
      </c>
      <c r="W12" s="2255">
        <v>0</v>
      </c>
      <c r="X12" s="2256">
        <v>0</v>
      </c>
      <c r="Y12" s="2268">
        <f t="shared" si="6"/>
        <v>0</v>
      </c>
      <c r="Z12" s="2255">
        <v>0</v>
      </c>
      <c r="AA12" s="2256">
        <v>0</v>
      </c>
      <c r="AB12" s="2268">
        <f t="shared" si="7"/>
        <v>0</v>
      </c>
      <c r="AF12" s="2218">
        <f t="shared" si="8"/>
        <v>0</v>
      </c>
      <c r="AG12" s="2593">
        <f t="shared" si="9"/>
        <v>0</v>
      </c>
      <c r="AH12" s="2218">
        <f t="shared" si="10"/>
        <v>0</v>
      </c>
      <c r="AI12" s="2593">
        <f t="shared" si="11"/>
        <v>0</v>
      </c>
    </row>
    <row r="13" spans="1:35" s="2218" customFormat="1" ht="21.75" customHeight="1">
      <c r="A13" s="2235">
        <v>319</v>
      </c>
      <c r="B13" s="2281" t="s">
        <v>1741</v>
      </c>
      <c r="C13" s="2282" t="s">
        <v>1327</v>
      </c>
      <c r="D13" s="2283" t="s">
        <v>1742</v>
      </c>
      <c r="E13" s="2284"/>
      <c r="F13" s="2285"/>
      <c r="G13" s="2257">
        <f t="shared" si="0"/>
        <v>0</v>
      </c>
      <c r="H13" s="2285"/>
      <c r="I13" s="2285"/>
      <c r="J13" s="2257">
        <f t="shared" si="1"/>
        <v>0</v>
      </c>
      <c r="K13" s="2285"/>
      <c r="L13" s="2285"/>
      <c r="M13" s="2259">
        <f t="shared" si="2"/>
        <v>0</v>
      </c>
      <c r="N13" s="2284"/>
      <c r="O13" s="2285"/>
      <c r="P13" s="2259">
        <f t="shared" si="3"/>
        <v>0</v>
      </c>
      <c r="Q13" s="2284">
        <v>0</v>
      </c>
      <c r="R13" s="2285">
        <v>0</v>
      </c>
      <c r="S13" s="2259">
        <f t="shared" si="4"/>
        <v>0</v>
      </c>
      <c r="T13" s="2284">
        <v>0</v>
      </c>
      <c r="U13" s="2285">
        <v>0</v>
      </c>
      <c r="V13" s="2268">
        <f t="shared" si="5"/>
        <v>0</v>
      </c>
      <c r="W13" s="2284">
        <v>0</v>
      </c>
      <c r="X13" s="2285">
        <v>0</v>
      </c>
      <c r="Y13" s="2268">
        <f t="shared" si="6"/>
        <v>0</v>
      </c>
      <c r="Z13" s="2284">
        <v>0</v>
      </c>
      <c r="AA13" s="2285">
        <v>0</v>
      </c>
      <c r="AB13" s="2268">
        <f t="shared" si="7"/>
        <v>0</v>
      </c>
      <c r="AF13" s="2218">
        <f t="shared" si="8"/>
        <v>0</v>
      </c>
      <c r="AG13" s="2593">
        <f t="shared" si="9"/>
        <v>0</v>
      </c>
      <c r="AH13" s="2218">
        <f t="shared" si="10"/>
        <v>0</v>
      </c>
      <c r="AI13" s="2593">
        <f t="shared" si="11"/>
        <v>0</v>
      </c>
    </row>
    <row r="14" spans="1:35" s="2218" customFormat="1" ht="21" customHeight="1">
      <c r="A14" s="2235">
        <v>320</v>
      </c>
      <c r="B14" s="2281" t="s">
        <v>1743</v>
      </c>
      <c r="C14" s="2282" t="s">
        <v>1330</v>
      </c>
      <c r="D14" s="2283" t="s">
        <v>1744</v>
      </c>
      <c r="E14" s="2284"/>
      <c r="F14" s="2285"/>
      <c r="G14" s="2257">
        <f t="shared" si="0"/>
        <v>0</v>
      </c>
      <c r="H14" s="2285"/>
      <c r="I14" s="2285"/>
      <c r="J14" s="2257">
        <f t="shared" si="1"/>
        <v>0</v>
      </c>
      <c r="K14" s="2285"/>
      <c r="L14" s="2285"/>
      <c r="M14" s="2259">
        <f t="shared" si="2"/>
        <v>0</v>
      </c>
      <c r="N14" s="2284"/>
      <c r="O14" s="2285"/>
      <c r="P14" s="2259">
        <f t="shared" si="3"/>
        <v>0</v>
      </c>
      <c r="Q14" s="2284">
        <v>0</v>
      </c>
      <c r="R14" s="2285">
        <v>0</v>
      </c>
      <c r="S14" s="2259">
        <f t="shared" si="4"/>
        <v>0</v>
      </c>
      <c r="T14" s="2284">
        <v>0</v>
      </c>
      <c r="U14" s="2285">
        <v>0</v>
      </c>
      <c r="V14" s="2268">
        <f t="shared" si="5"/>
        <v>0</v>
      </c>
      <c r="W14" s="2284">
        <v>0</v>
      </c>
      <c r="X14" s="2285">
        <v>0</v>
      </c>
      <c r="Y14" s="2268">
        <f t="shared" si="6"/>
        <v>0</v>
      </c>
      <c r="Z14" s="2284">
        <v>0</v>
      </c>
      <c r="AA14" s="2285">
        <v>0</v>
      </c>
      <c r="AB14" s="2268">
        <f t="shared" si="7"/>
        <v>0</v>
      </c>
      <c r="AF14" s="2218">
        <f t="shared" si="8"/>
        <v>0</v>
      </c>
      <c r="AG14" s="2593">
        <f t="shared" si="9"/>
        <v>0</v>
      </c>
      <c r="AH14" s="2218">
        <f t="shared" si="10"/>
        <v>0</v>
      </c>
      <c r="AI14" s="2593">
        <f t="shared" si="11"/>
        <v>0</v>
      </c>
    </row>
    <row r="15" spans="1:35" s="2218" customFormat="1" ht="23.25" customHeight="1">
      <c r="A15" s="2235">
        <v>322</v>
      </c>
      <c r="B15" s="2279" t="s">
        <v>1745</v>
      </c>
      <c r="C15" s="2280" t="s">
        <v>1746</v>
      </c>
      <c r="D15" s="2254" t="s">
        <v>1317</v>
      </c>
      <c r="E15" s="2255">
        <f>E16*E17</f>
        <v>328.96859957599838</v>
      </c>
      <c r="F15" s="2256">
        <f>F16*F17</f>
        <v>338.8376575632783</v>
      </c>
      <c r="G15" s="2257">
        <f t="shared" si="0"/>
        <v>333.90312856963834</v>
      </c>
      <c r="H15" s="2256">
        <f>H16*H17</f>
        <v>470.75813806001077</v>
      </c>
      <c r="I15" s="2256">
        <f>I16*I17</f>
        <v>487.70543103017127</v>
      </c>
      <c r="J15" s="2257">
        <f t="shared" si="1"/>
        <v>479.23178454509105</v>
      </c>
      <c r="K15" s="2256">
        <f>K16*K17</f>
        <v>759.09867477112459</v>
      </c>
      <c r="L15" s="2256">
        <f>L16*L17</f>
        <v>791.73991778628249</v>
      </c>
      <c r="M15" s="2259">
        <f t="shared" si="2"/>
        <v>775.41929627870354</v>
      </c>
      <c r="N15" s="2256">
        <f>N16*N17</f>
        <v>0</v>
      </c>
      <c r="O15" s="2256">
        <f>O16*O17</f>
        <v>899.66990337890866</v>
      </c>
      <c r="P15" s="2259">
        <f t="shared" si="3"/>
        <v>449.83495168945433</v>
      </c>
      <c r="Q15" s="2256">
        <f>Q16*Q17</f>
        <v>499.85567372207106</v>
      </c>
      <c r="R15" s="2256">
        <f>R16*R17</f>
        <v>535.84528223006021</v>
      </c>
      <c r="S15" s="2259">
        <f t="shared" si="4"/>
        <v>517.85047797606558</v>
      </c>
      <c r="T15" s="2377">
        <f>N15+Q15</f>
        <v>499.85567372207106</v>
      </c>
      <c r="U15" s="2256">
        <f>O15+R15</f>
        <v>1435.5151856089687</v>
      </c>
      <c r="V15" s="2268">
        <f t="shared" si="5"/>
        <v>967.68542966551991</v>
      </c>
      <c r="W15" s="2377">
        <f>T15/$T$272*$N$272</f>
        <v>107.99427554364102</v>
      </c>
      <c r="X15" s="2256">
        <f>U15/$T$272*$N$272</f>
        <v>310.14436896825953</v>
      </c>
      <c r="Y15" s="2268">
        <f t="shared" si="6"/>
        <v>209.06932225595028</v>
      </c>
      <c r="Z15" s="2886">
        <f>T15/$T$272*$Z$272</f>
        <v>391.86139817842997</v>
      </c>
      <c r="AA15" s="2887">
        <f>U15/$T$272*$Z$272</f>
        <v>1125.3708166407091</v>
      </c>
      <c r="AB15" s="2268">
        <f t="shared" si="7"/>
        <v>758.61610740956951</v>
      </c>
      <c r="AF15" s="2218">
        <f t="shared" si="8"/>
        <v>310.14436896825953</v>
      </c>
      <c r="AG15" s="2593">
        <f t="shared" si="9"/>
        <v>0</v>
      </c>
      <c r="AH15" s="2218">
        <f t="shared" si="10"/>
        <v>1125.3708166407091</v>
      </c>
      <c r="AI15" s="2593">
        <f t="shared" si="11"/>
        <v>0</v>
      </c>
    </row>
    <row r="16" spans="1:35" s="2218" customFormat="1" ht="21" customHeight="1">
      <c r="A16" s="2235">
        <v>321</v>
      </c>
      <c r="B16" s="2281" t="s">
        <v>1747</v>
      </c>
      <c r="C16" s="2282" t="s">
        <v>1327</v>
      </c>
      <c r="D16" s="2283" t="s">
        <v>1748</v>
      </c>
      <c r="E16" s="2284">
        <f>'[3]НВВ перекачка'!K317</f>
        <v>9.4812006294513047</v>
      </c>
      <c r="F16" s="2285">
        <f>'[3]НВВ перекачка'!L317</f>
        <v>9.4812006294513012</v>
      </c>
      <c r="G16" s="2257">
        <f t="shared" si="0"/>
        <v>9.4812006294513029</v>
      </c>
      <c r="H16" s="2285">
        <f>'[3]НВВ перекачка'!T317</f>
        <v>11.447463774840745</v>
      </c>
      <c r="I16" s="2285">
        <f>'[3]НВВ перекачка'!U317</f>
        <v>11.447463774840745</v>
      </c>
      <c r="J16" s="2257">
        <f t="shared" si="1"/>
        <v>11.447463774840745</v>
      </c>
      <c r="K16" s="2285">
        <f>'[3]НВВ перекачка'!AC317</f>
        <v>20.250992951972606</v>
      </c>
      <c r="L16" s="2285">
        <f>'[3]НВВ перекачка'!AD317</f>
        <v>20.250992951972606</v>
      </c>
      <c r="M16" s="2259">
        <f t="shared" si="2"/>
        <v>20.250992951972606</v>
      </c>
      <c r="N16" s="2284"/>
      <c r="O16" s="2285">
        <v>20.250992951972606</v>
      </c>
      <c r="P16" s="2259">
        <f t="shared" si="3"/>
        <v>10.125496475986303</v>
      </c>
      <c r="Q16" s="2284">
        <v>12.314339090791002</v>
      </c>
      <c r="R16" s="2285">
        <v>12.314339090791002</v>
      </c>
      <c r="S16" s="2259">
        <f t="shared" si="4"/>
        <v>12.314339090791002</v>
      </c>
      <c r="T16" s="2385">
        <f>N16+Q16</f>
        <v>12.314339090791002</v>
      </c>
      <c r="U16" s="2285">
        <f>O16+R16</f>
        <v>32.565332042763607</v>
      </c>
      <c r="V16" s="2268">
        <f t="shared" si="5"/>
        <v>22.439835566777305</v>
      </c>
      <c r="W16" s="2884">
        <f>T16/$T$272*$W$272</f>
        <v>2.6605242249348757</v>
      </c>
      <c r="X16" s="2885">
        <f>U16/$T$272*$W$272</f>
        <v>7.0357697765211711</v>
      </c>
      <c r="Y16" s="2268">
        <f t="shared" si="6"/>
        <v>4.848147000728023</v>
      </c>
      <c r="Z16" s="2884">
        <f>T16/$T$272*$Z$272</f>
        <v>9.6538148658561251</v>
      </c>
      <c r="AA16" s="2885">
        <f>U16/$T$272*$Z$272</f>
        <v>25.529562266242436</v>
      </c>
      <c r="AB16" s="2268">
        <f t="shared" si="7"/>
        <v>17.591688566049282</v>
      </c>
      <c r="AF16" s="2218">
        <f t="shared" si="8"/>
        <v>7.0357697765211711</v>
      </c>
      <c r="AG16" s="2593">
        <f t="shared" si="9"/>
        <v>0</v>
      </c>
      <c r="AH16" s="2218">
        <f t="shared" si="10"/>
        <v>25.529562266242436</v>
      </c>
      <c r="AI16" s="2593">
        <f t="shared" si="11"/>
        <v>0</v>
      </c>
    </row>
    <row r="17" spans="1:37" s="2218" customFormat="1" ht="21" customHeight="1">
      <c r="A17" s="2235">
        <v>323</v>
      </c>
      <c r="B17" s="2281" t="s">
        <v>1750</v>
      </c>
      <c r="C17" s="2282" t="s">
        <v>1330</v>
      </c>
      <c r="D17" s="2283" t="s">
        <v>1744</v>
      </c>
      <c r="E17" s="2284">
        <f>'[3]НВВ перекачка'!K318</f>
        <v>34.696934748340666</v>
      </c>
      <c r="F17" s="2285">
        <f>'[3]НВВ перекачка'!L318</f>
        <v>35.7378427907909</v>
      </c>
      <c r="G17" s="2257">
        <f t="shared" si="0"/>
        <v>35.217388769565787</v>
      </c>
      <c r="H17" s="2285">
        <f>'[3]НВВ перекачка'!T318</f>
        <v>41.123356869199604</v>
      </c>
      <c r="I17" s="2285">
        <f>'[3]НВВ перекачка'!U318</f>
        <v>42.603797716490796</v>
      </c>
      <c r="J17" s="2257">
        <f t="shared" si="1"/>
        <v>41.8635772928452</v>
      </c>
      <c r="K17" s="2285">
        <f>'[3]НВВ перекачка'!AC318</f>
        <v>37.484516268975462</v>
      </c>
      <c r="L17" s="2285">
        <f>'[3]НВВ перекачка'!AD318</f>
        <v>39.096350468541388</v>
      </c>
      <c r="M17" s="2259">
        <f t="shared" si="2"/>
        <v>38.290433368758428</v>
      </c>
      <c r="N17" s="2284">
        <v>41.442131496653872</v>
      </c>
      <c r="O17" s="2285">
        <f>L17*1.06*1.072</f>
        <v>44.425964964412955</v>
      </c>
      <c r="P17" s="2259">
        <f t="shared" si="3"/>
        <v>42.934048230533413</v>
      </c>
      <c r="Q17" s="2284">
        <v>40.591352084487973</v>
      </c>
      <c r="R17" s="2285">
        <f>Q17*1.072</f>
        <v>43.513929434571111</v>
      </c>
      <c r="S17" s="2259">
        <f t="shared" si="4"/>
        <v>42.052640759529538</v>
      </c>
      <c r="T17" s="2385">
        <f>T15/T16</f>
        <v>40.591352084487973</v>
      </c>
      <c r="U17" s="2285">
        <f>U15/U16</f>
        <v>44.081085484523925</v>
      </c>
      <c r="V17" s="2268">
        <f t="shared" si="5"/>
        <v>42.336218784505945</v>
      </c>
      <c r="W17" s="2385">
        <f>W15/W16</f>
        <v>40.591352084487973</v>
      </c>
      <c r="X17" s="2285">
        <f>X15/X16</f>
        <v>44.081085484523925</v>
      </c>
      <c r="Y17" s="2268">
        <f t="shared" si="6"/>
        <v>42.336218784505945</v>
      </c>
      <c r="Z17" s="2385">
        <f>Z15/Z16</f>
        <v>40.591352084487966</v>
      </c>
      <c r="AA17" s="2285">
        <f>AA15/AA16</f>
        <v>44.081085484523925</v>
      </c>
      <c r="AB17" s="2268">
        <f t="shared" si="7"/>
        <v>42.336218784505945</v>
      </c>
      <c r="AF17" s="2218">
        <f t="shared" si="8"/>
        <v>9.5237588414879131</v>
      </c>
      <c r="AG17" s="2593">
        <f t="shared" si="9"/>
        <v>-34.557326643036014</v>
      </c>
      <c r="AH17" s="2218">
        <f t="shared" si="10"/>
        <v>34.557326643036014</v>
      </c>
      <c r="AI17" s="2593">
        <f t="shared" si="11"/>
        <v>-9.5237588414879113</v>
      </c>
    </row>
    <row r="18" spans="1:37" s="2218" customFormat="1" ht="17.25" customHeight="1">
      <c r="A18" s="2235">
        <v>324</v>
      </c>
      <c r="B18" s="2279" t="s">
        <v>1751</v>
      </c>
      <c r="C18" s="2280" t="s">
        <v>1752</v>
      </c>
      <c r="D18" s="2254" t="s">
        <v>1317</v>
      </c>
      <c r="E18" s="2255">
        <f>E19*E20</f>
        <v>85.415270669909916</v>
      </c>
      <c r="F18" s="2256">
        <f>F19*F20</f>
        <v>87.977728790007234</v>
      </c>
      <c r="G18" s="2257">
        <f t="shared" si="0"/>
        <v>86.696499729958575</v>
      </c>
      <c r="H18" s="2256">
        <f>H19*H20</f>
        <v>110.33833990666332</v>
      </c>
      <c r="I18" s="2256">
        <f>I19*I20</f>
        <v>114.31052014330319</v>
      </c>
      <c r="J18" s="2257">
        <f t="shared" si="1"/>
        <v>112.32443002498326</v>
      </c>
      <c r="K18" s="2256">
        <f>K19*K20</f>
        <v>72.391382691849174</v>
      </c>
      <c r="L18" s="2256">
        <f>L19*L20</f>
        <v>75.504212147598679</v>
      </c>
      <c r="M18" s="2259">
        <f t="shared" si="2"/>
        <v>73.947797419723926</v>
      </c>
      <c r="N18" s="2256">
        <f>N19*N20</f>
        <v>0</v>
      </c>
      <c r="O18" s="2256">
        <f>O19*O20</f>
        <v>85.796946347559341</v>
      </c>
      <c r="P18" s="2259">
        <f t="shared" si="3"/>
        <v>42.898473173779671</v>
      </c>
      <c r="Q18" s="2256">
        <f>Q19*Q20</f>
        <v>239.81681880833159</v>
      </c>
      <c r="R18" s="2256">
        <f>R19*R20</f>
        <v>257.08362976253147</v>
      </c>
      <c r="S18" s="2259">
        <f t="shared" si="4"/>
        <v>248.45022428543155</v>
      </c>
      <c r="T18" s="2377">
        <f>N18+Q18</f>
        <v>239.81681880833159</v>
      </c>
      <c r="U18" s="2256">
        <f>O18+R18</f>
        <v>342.88057611009083</v>
      </c>
      <c r="V18" s="2268">
        <f t="shared" si="5"/>
        <v>291.34869745921122</v>
      </c>
      <c r="W18" s="2377">
        <f>T18/$T$272*$N$272</f>
        <v>51.812643072621455</v>
      </c>
      <c r="X18" s="2256">
        <f>U18/$T$272*$N$272</f>
        <v>74.079662113797298</v>
      </c>
      <c r="Y18" s="2268">
        <f t="shared" si="6"/>
        <v>62.946152593209376</v>
      </c>
      <c r="Z18" s="2886">
        <f>T18/$T$272*$Z$272</f>
        <v>188.00417573571011</v>
      </c>
      <c r="AA18" s="2887">
        <f>U18/$T$272*$Z$272</f>
        <v>268.80091399629356</v>
      </c>
      <c r="AB18" s="2268">
        <f t="shared" si="7"/>
        <v>228.40254486600185</v>
      </c>
      <c r="AF18" s="2218">
        <f t="shared" si="8"/>
        <v>74.079662113797298</v>
      </c>
      <c r="AG18" s="2593">
        <f t="shared" si="9"/>
        <v>0</v>
      </c>
      <c r="AH18" s="2218">
        <f t="shared" si="10"/>
        <v>268.80091399629356</v>
      </c>
      <c r="AI18" s="2593">
        <f t="shared" si="11"/>
        <v>0</v>
      </c>
    </row>
    <row r="19" spans="1:37" s="2218" customFormat="1" ht="21" customHeight="1">
      <c r="A19" s="2235">
        <v>327</v>
      </c>
      <c r="B19" s="2281" t="s">
        <v>1753</v>
      </c>
      <c r="C19" s="2282" t="s">
        <v>1327</v>
      </c>
      <c r="D19" s="2283" t="s">
        <v>1748</v>
      </c>
      <c r="E19" s="2284">
        <f>'[3]НВВ перекачка'!K320</f>
        <v>2.3329045755639877</v>
      </c>
      <c r="F19" s="2285">
        <f>'[3]НВВ перекачка'!L320</f>
        <v>2.3329045755639877</v>
      </c>
      <c r="G19" s="2257">
        <f t="shared" si="0"/>
        <v>2.3329045755639877</v>
      </c>
      <c r="H19" s="2285">
        <f>'[3]НВВ перекачка'!T320</f>
        <v>2.5480681123683411</v>
      </c>
      <c r="I19" s="2285">
        <f>'[3]НВВ перекачка'!U320</f>
        <v>2.5480681123683411</v>
      </c>
      <c r="J19" s="2257">
        <f t="shared" si="1"/>
        <v>2.5480681123683411</v>
      </c>
      <c r="K19" s="2285">
        <f>'[3]НВВ перекачка'!AC320</f>
        <v>1.8340706612749704</v>
      </c>
      <c r="L19" s="2285">
        <f>'[3]НВВ перекачка'!AD320</f>
        <v>1.8340706612749704</v>
      </c>
      <c r="M19" s="2259">
        <f t="shared" si="2"/>
        <v>1.8340706612749704</v>
      </c>
      <c r="N19" s="2284"/>
      <c r="O19" s="2285">
        <v>1.8340706612749704</v>
      </c>
      <c r="P19" s="2259">
        <f t="shared" si="3"/>
        <v>0.91703533063748521</v>
      </c>
      <c r="Q19" s="2284">
        <v>5.4680755540928727</v>
      </c>
      <c r="R19" s="2285">
        <v>5.4680755540928727</v>
      </c>
      <c r="S19" s="2259">
        <f t="shared" si="4"/>
        <v>5.4680755540928727</v>
      </c>
      <c r="T19" s="2385">
        <f>N19+Q19</f>
        <v>5.4680755540928727</v>
      </c>
      <c r="U19" s="2285">
        <f>O19+R19</f>
        <v>7.3021462153678431</v>
      </c>
      <c r="V19" s="2268">
        <f t="shared" si="5"/>
        <v>6.3851108847303575</v>
      </c>
      <c r="W19" s="2884">
        <f>T19/$T$272*$W$272</f>
        <v>1.181382725307413</v>
      </c>
      <c r="X19" s="2885">
        <f>U19/$T$272*$W$272</f>
        <v>1.5776353693663601</v>
      </c>
      <c r="Y19" s="2268">
        <f t="shared" si="6"/>
        <v>1.3795090473368865</v>
      </c>
      <c r="Z19" s="2884">
        <f>T19/$T$272*$Z$272</f>
        <v>4.2866928287854602</v>
      </c>
      <c r="AA19" s="2885">
        <f>U19/$T$272*$Z$272</f>
        <v>5.7245108460014826</v>
      </c>
      <c r="AB19" s="2268">
        <f t="shared" si="7"/>
        <v>5.0056018373934714</v>
      </c>
      <c r="AF19" s="2218">
        <f t="shared" si="8"/>
        <v>1.5776353693663601</v>
      </c>
      <c r="AG19" s="2593">
        <f t="shared" si="9"/>
        <v>0</v>
      </c>
      <c r="AH19" s="2218">
        <f t="shared" si="10"/>
        <v>5.7245108460014826</v>
      </c>
      <c r="AI19" s="2593">
        <f t="shared" si="11"/>
        <v>0</v>
      </c>
    </row>
    <row r="20" spans="1:37" s="2218" customFormat="1" ht="21" customHeight="1">
      <c r="A20" s="2235">
        <v>328</v>
      </c>
      <c r="B20" s="2281" t="s">
        <v>1755</v>
      </c>
      <c r="C20" s="2282" t="s">
        <v>1330</v>
      </c>
      <c r="D20" s="2283" t="s">
        <v>1744</v>
      </c>
      <c r="E20" s="2284">
        <f>'[3]НВВ перекачка'!K321</f>
        <v>36.613272383530941</v>
      </c>
      <c r="F20" s="2285">
        <f>'[3]НВВ перекачка'!L321</f>
        <v>37.711670555036875</v>
      </c>
      <c r="G20" s="2257">
        <f t="shared" si="0"/>
        <v>37.162471469283908</v>
      </c>
      <c r="H20" s="2285">
        <f>'[3]НВВ перекачка'!T321</f>
        <v>43.302743506376544</v>
      </c>
      <c r="I20" s="2285">
        <f>'[3]НВВ перекачка'!U321</f>
        <v>44.861642272606097</v>
      </c>
      <c r="J20" s="2257">
        <f t="shared" si="1"/>
        <v>44.082192889491324</v>
      </c>
      <c r="K20" s="2285">
        <f>'[3]НВВ перекачка'!AC321</f>
        <v>39.470334606151795</v>
      </c>
      <c r="L20" s="2285">
        <f>'[3]НВВ перекачка'!AD321</f>
        <v>41.167558994216321</v>
      </c>
      <c r="M20" s="2259">
        <f t="shared" si="2"/>
        <v>40.318946800184058</v>
      </c>
      <c r="N20" s="2284">
        <v>43.637612533869302</v>
      </c>
      <c r="O20" s="2285">
        <f>L20*1.06*1.072</f>
        <v>46.779520636307893</v>
      </c>
      <c r="P20" s="2259">
        <f t="shared" si="3"/>
        <v>45.208566585088597</v>
      </c>
      <c r="Q20" s="2284">
        <v>43.857627136996655</v>
      </c>
      <c r="R20" s="2285">
        <f>Q20*1.072</f>
        <v>47.015376290860416</v>
      </c>
      <c r="S20" s="2259">
        <f t="shared" si="4"/>
        <v>45.436501713928536</v>
      </c>
      <c r="T20" s="2385">
        <f>T18/T19</f>
        <v>43.857627136996655</v>
      </c>
      <c r="U20" s="2285">
        <f>U18/U19</f>
        <v>46.956136729839272</v>
      </c>
      <c r="V20" s="2268">
        <f t="shared" si="5"/>
        <v>45.406881933417964</v>
      </c>
      <c r="W20" s="2385">
        <f>W18/W19</f>
        <v>43.857627136996655</v>
      </c>
      <c r="X20" s="2285">
        <f>X18/X19</f>
        <v>46.95613672983928</v>
      </c>
      <c r="Y20" s="2268">
        <f t="shared" si="6"/>
        <v>45.406881933417964</v>
      </c>
      <c r="Z20" s="2385">
        <f>Z18/Z19</f>
        <v>43.857627136996641</v>
      </c>
      <c r="AA20" s="2285">
        <f>AA18/AA19</f>
        <v>46.95613672983928</v>
      </c>
      <c r="AB20" s="2268">
        <f t="shared" si="7"/>
        <v>45.406881933417964</v>
      </c>
      <c r="AF20" s="2218">
        <f t="shared" si="8"/>
        <v>10.144916292951216</v>
      </c>
      <c r="AG20" s="2593">
        <f t="shared" si="9"/>
        <v>-36.811220436888064</v>
      </c>
      <c r="AH20" s="2218">
        <f t="shared" si="10"/>
        <v>36.811220436888057</v>
      </c>
      <c r="AI20" s="2593">
        <f t="shared" si="11"/>
        <v>-10.144916292951223</v>
      </c>
    </row>
    <row r="21" spans="1:37" s="2218" customFormat="1" ht="18.75" customHeight="1">
      <c r="A21" s="2235">
        <v>325</v>
      </c>
      <c r="B21" s="2279" t="s">
        <v>1756</v>
      </c>
      <c r="C21" s="2280" t="s">
        <v>1757</v>
      </c>
      <c r="D21" s="2254" t="s">
        <v>1317</v>
      </c>
      <c r="E21" s="2255">
        <f>E22*E23</f>
        <v>1151.6392258992023</v>
      </c>
      <c r="F21" s="2256">
        <f>F22*F23</f>
        <v>1186.1884026761782</v>
      </c>
      <c r="G21" s="2257">
        <f t="shared" si="0"/>
        <v>1168.9138142876902</v>
      </c>
      <c r="H21" s="2256">
        <f>H22*H23</f>
        <v>1533.0868063964238</v>
      </c>
      <c r="I21" s="2256">
        <f>I22*I23</f>
        <v>1588.2779314266963</v>
      </c>
      <c r="J21" s="2257">
        <f t="shared" si="1"/>
        <v>1560.6823689115599</v>
      </c>
      <c r="K21" s="2256">
        <f>K22*K23</f>
        <v>1240.069392221103</v>
      </c>
      <c r="L21" s="2256">
        <f>L22*L23</f>
        <v>1293.3923760866101</v>
      </c>
      <c r="M21" s="2259">
        <f t="shared" si="2"/>
        <v>1266.7308841538566</v>
      </c>
      <c r="N21" s="2256">
        <f>N22*N23</f>
        <v>0</v>
      </c>
      <c r="O21" s="2256">
        <f>O22*O23</f>
        <v>1469.7076247947371</v>
      </c>
      <c r="P21" s="2259">
        <f t="shared" si="3"/>
        <v>734.85381239736853</v>
      </c>
      <c r="Q21" s="2256">
        <f>Q22*Q23</f>
        <v>3020.5585835093643</v>
      </c>
      <c r="R21" s="2256">
        <f>R22*R23</f>
        <v>3238.0388015220392</v>
      </c>
      <c r="S21" s="2259">
        <f t="shared" si="4"/>
        <v>3129.298692515702</v>
      </c>
      <c r="T21" s="2377">
        <f>N21+Q21</f>
        <v>3020.5585835093643</v>
      </c>
      <c r="U21" s="2256">
        <f>O21+R21</f>
        <v>4707.7464263167767</v>
      </c>
      <c r="V21" s="2268">
        <f t="shared" si="5"/>
        <v>3864.1525049130705</v>
      </c>
      <c r="W21" s="2377">
        <f>T21/$T$272*$N$272</f>
        <v>652.59444498092307</v>
      </c>
      <c r="X21" s="2256">
        <f>U21/$T$272*$N$272</f>
        <v>1017.11292175095</v>
      </c>
      <c r="Y21" s="2268">
        <f t="shared" si="6"/>
        <v>834.8536833659366</v>
      </c>
      <c r="Z21" s="2886">
        <f>T21/$T$272*$Z$272</f>
        <v>2367.9641385284413</v>
      </c>
      <c r="AA21" s="2887">
        <f>U21/$T$272*$Z$272</f>
        <v>3690.6335045658261</v>
      </c>
      <c r="AB21" s="2268">
        <f t="shared" si="7"/>
        <v>3029.2988215471337</v>
      </c>
      <c r="AF21" s="2218">
        <f t="shared" si="8"/>
        <v>1017.11292175095</v>
      </c>
      <c r="AG21" s="2593">
        <f t="shared" si="9"/>
        <v>0</v>
      </c>
      <c r="AH21" s="2218">
        <f t="shared" si="10"/>
        <v>3690.6335045658261</v>
      </c>
      <c r="AI21" s="2593">
        <f t="shared" si="11"/>
        <v>0</v>
      </c>
    </row>
    <row r="22" spans="1:37" s="2218" customFormat="1" ht="21" customHeight="1">
      <c r="A22" s="2235">
        <v>329</v>
      </c>
      <c r="B22" s="2281" t="s">
        <v>1758</v>
      </c>
      <c r="C22" s="2282" t="s">
        <v>1327</v>
      </c>
      <c r="D22" s="2283" t="s">
        <v>1748</v>
      </c>
      <c r="E22" s="2284">
        <f>'[3]НВВ перекачка'!K323</f>
        <v>29.324307229100427</v>
      </c>
      <c r="F22" s="2285">
        <f>'[3]НВВ перекачка'!L323</f>
        <v>29.324307229100427</v>
      </c>
      <c r="G22" s="2257">
        <f t="shared" si="0"/>
        <v>29.324307229100427</v>
      </c>
      <c r="H22" s="2285">
        <f>'[3]НВВ перекачка'!T323</f>
        <v>39.783190060229146</v>
      </c>
      <c r="I22" s="2285">
        <f>'[3]НВВ перекачка'!U323</f>
        <v>39.783190060229146</v>
      </c>
      <c r="J22" s="2257">
        <f t="shared" si="1"/>
        <v>39.783190060229146</v>
      </c>
      <c r="K22" s="2285">
        <f>'[3]НВВ перекачка'!AC323</f>
        <v>29.250240149504236</v>
      </c>
      <c r="L22" s="2285">
        <f>'[3]НВВ перекачка'!AD323</f>
        <v>29.250240149504236</v>
      </c>
      <c r="M22" s="2259">
        <f t="shared" si="2"/>
        <v>29.250240149504236</v>
      </c>
      <c r="N22" s="2284"/>
      <c r="O22" s="2285">
        <v>29.250240149504236</v>
      </c>
      <c r="P22" s="2259">
        <f t="shared" si="3"/>
        <v>14.625120074752118</v>
      </c>
      <c r="Q22" s="2284">
        <v>65.602728158798811</v>
      </c>
      <c r="R22" s="2285">
        <v>65.602728158798811</v>
      </c>
      <c r="S22" s="2259">
        <f t="shared" si="4"/>
        <v>65.602728158798811</v>
      </c>
      <c r="T22" s="2385">
        <f>N22+Q22</f>
        <v>65.602728158798811</v>
      </c>
      <c r="U22" s="2285">
        <f>O22+R22</f>
        <v>94.852968308303048</v>
      </c>
      <c r="V22" s="2268">
        <f t="shared" si="5"/>
        <v>80.22784823355093</v>
      </c>
      <c r="W22" s="2884">
        <f>T22/$T$272*$W$272</f>
        <v>14.173529427886679</v>
      </c>
      <c r="X22" s="2885">
        <f>U22/$T$272*$W$272</f>
        <v>20.493070568435211</v>
      </c>
      <c r="Y22" s="2268">
        <f t="shared" si="6"/>
        <v>17.333299998160946</v>
      </c>
      <c r="Z22" s="2884">
        <f>T22/$T$272*$Z$272</f>
        <v>51.429198730912127</v>
      </c>
      <c r="AA22" s="2885">
        <f>U22/$T$272*$Z$272</f>
        <v>74.359897739867833</v>
      </c>
      <c r="AB22" s="2268">
        <f t="shared" si="7"/>
        <v>62.894548235389976</v>
      </c>
      <c r="AF22" s="2218">
        <f t="shared" si="8"/>
        <v>20.493070568435211</v>
      </c>
      <c r="AG22" s="2593">
        <f t="shared" si="9"/>
        <v>0</v>
      </c>
      <c r="AH22" s="2218">
        <f t="shared" si="10"/>
        <v>74.359897739867833</v>
      </c>
      <c r="AI22" s="2593">
        <f t="shared" si="11"/>
        <v>0</v>
      </c>
    </row>
    <row r="23" spans="1:37" s="2218" customFormat="1" ht="21" customHeight="1">
      <c r="A23" s="2235">
        <v>330</v>
      </c>
      <c r="B23" s="2281" t="s">
        <v>1760</v>
      </c>
      <c r="C23" s="2282" t="s">
        <v>1330</v>
      </c>
      <c r="D23" s="2283" t="s">
        <v>1744</v>
      </c>
      <c r="E23" s="2284">
        <f>'[3]НВВ перекачка'!K324</f>
        <v>39.272512625851753</v>
      </c>
      <c r="F23" s="2285">
        <f>'[3]НВВ перекачка'!L324</f>
        <v>40.450688004627295</v>
      </c>
      <c r="G23" s="2257">
        <f t="shared" si="0"/>
        <v>39.861600315239528</v>
      </c>
      <c r="H23" s="2285">
        <f>'[3]НВВ перекачка'!T324</f>
        <v>38.536045100340893</v>
      </c>
      <c r="I23" s="2285">
        <f>'[3]НВВ перекачка'!U324</f>
        <v>39.923342723953198</v>
      </c>
      <c r="J23" s="2257">
        <f t="shared" si="1"/>
        <v>39.229693912147042</v>
      </c>
      <c r="K23" s="2285">
        <f>'[3]НВВ перекачка'!AC324</f>
        <v>42.395186702155023</v>
      </c>
      <c r="L23" s="2285">
        <f>'[3]НВВ перекачка'!AD324</f>
        <v>44.218179730347678</v>
      </c>
      <c r="M23" s="2259">
        <f t="shared" si="2"/>
        <v>43.306683216251351</v>
      </c>
      <c r="N23" s="2284">
        <v>46.871270514168543</v>
      </c>
      <c r="O23" s="2285">
        <f>L23*1.06*1.072</f>
        <v>50.246001991188685</v>
      </c>
      <c r="P23" s="2259">
        <f t="shared" si="3"/>
        <v>48.55863625267861</v>
      </c>
      <c r="Q23" s="2284">
        <v>46.043185524202002</v>
      </c>
      <c r="R23" s="2285">
        <f>Q23*1.072</f>
        <v>49.358294881944552</v>
      </c>
      <c r="S23" s="2259">
        <f t="shared" si="4"/>
        <v>47.700740203073281</v>
      </c>
      <c r="T23" s="2385">
        <f>T21/T22</f>
        <v>46.043185524202002</v>
      </c>
      <c r="U23" s="2285">
        <f>U21/U22</f>
        <v>49.632041150415738</v>
      </c>
      <c r="V23" s="2268">
        <f t="shared" si="5"/>
        <v>47.837613337308866</v>
      </c>
      <c r="W23" s="2385">
        <f>W21/W22</f>
        <v>46.043185524202002</v>
      </c>
      <c r="X23" s="2285">
        <f>X21/X22</f>
        <v>49.632041150415738</v>
      </c>
      <c r="Y23" s="2268">
        <f t="shared" si="6"/>
        <v>47.837613337308866</v>
      </c>
      <c r="Z23" s="2385">
        <f>Z21/Z22</f>
        <v>46.043185524202002</v>
      </c>
      <c r="AA23" s="2285">
        <f>AA21/AA22</f>
        <v>49.632041150415731</v>
      </c>
      <c r="AB23" s="2268">
        <f t="shared" si="7"/>
        <v>47.837613337308866</v>
      </c>
      <c r="AF23" s="2218">
        <f t="shared" si="8"/>
        <v>10.72304789076291</v>
      </c>
      <c r="AG23" s="2593">
        <f t="shared" si="9"/>
        <v>-38.908993259652831</v>
      </c>
      <c r="AH23" s="2218">
        <f t="shared" si="10"/>
        <v>38.908993259652824</v>
      </c>
      <c r="AI23" s="2593">
        <f t="shared" si="11"/>
        <v>-10.723047890762906</v>
      </c>
    </row>
    <row r="24" spans="1:37" s="2218" customFormat="1" ht="21" customHeight="1">
      <c r="A24" s="2235">
        <v>326</v>
      </c>
      <c r="B24" s="2279" t="s">
        <v>1761</v>
      </c>
      <c r="C24" s="2280" t="s">
        <v>1762</v>
      </c>
      <c r="D24" s="2254" t="s">
        <v>1317</v>
      </c>
      <c r="E24" s="2255">
        <f>E25*E26</f>
        <v>9.435637101819065</v>
      </c>
      <c r="F24" s="2256">
        <f>F25*F26</f>
        <v>9.7187062148736345</v>
      </c>
      <c r="G24" s="2257">
        <f t="shared" si="0"/>
        <v>9.5771716583463498</v>
      </c>
      <c r="H24" s="2256">
        <f>H25*H26</f>
        <v>369.3945874792538</v>
      </c>
      <c r="I24" s="2256">
        <f>I25*I26</f>
        <v>382.69279262850694</v>
      </c>
      <c r="J24" s="2257">
        <f t="shared" si="1"/>
        <v>376.04369005388037</v>
      </c>
      <c r="K24" s="2256">
        <f>K25*K26</f>
        <v>134.67732594221181</v>
      </c>
      <c r="L24" s="2256">
        <f>L25*L26</f>
        <v>140.46845095772693</v>
      </c>
      <c r="M24" s="2259">
        <f t="shared" si="2"/>
        <v>137.57288844996935</v>
      </c>
      <c r="N24" s="2256">
        <f>N25*N26</f>
        <v>0</v>
      </c>
      <c r="O24" s="2256">
        <f>O25*O26</f>
        <v>159.61711019228426</v>
      </c>
      <c r="P24" s="2259">
        <f t="shared" si="3"/>
        <v>79.808555096142129</v>
      </c>
      <c r="Q24" s="2256">
        <f>Q25*Q26</f>
        <v>272.58978324221391</v>
      </c>
      <c r="R24" s="2256">
        <f>R25*R26</f>
        <v>292.21624763565336</v>
      </c>
      <c r="S24" s="2259">
        <f t="shared" si="4"/>
        <v>282.40301543893361</v>
      </c>
      <c r="T24" s="2377">
        <f>N24+Q24</f>
        <v>272.58978324221391</v>
      </c>
      <c r="U24" s="2256">
        <f>O24+R24</f>
        <v>451.83335782793762</v>
      </c>
      <c r="V24" s="2268">
        <f t="shared" si="5"/>
        <v>362.21157053507579</v>
      </c>
      <c r="W24" s="2377">
        <f>T24/$T$272*$N$272</f>
        <v>58.893272017172649</v>
      </c>
      <c r="X24" s="2256">
        <f>U24/$T$272*$N$272</f>
        <v>97.619010266971571</v>
      </c>
      <c r="Y24" s="2268">
        <f t="shared" si="6"/>
        <v>78.25614114207211</v>
      </c>
      <c r="Z24" s="2886">
        <f>T24/$T$272*$Z$272</f>
        <v>213.69651122504126</v>
      </c>
      <c r="AA24" s="2887">
        <f>U24/$T$272*$Z$272</f>
        <v>354.21434756096602</v>
      </c>
      <c r="AB24" s="2268">
        <f t="shared" si="7"/>
        <v>283.95542939300367</v>
      </c>
      <c r="AF24" s="2218">
        <f t="shared" si="8"/>
        <v>97.619010266971571</v>
      </c>
      <c r="AG24" s="2593">
        <f t="shared" si="9"/>
        <v>0</v>
      </c>
      <c r="AH24" s="2218">
        <f t="shared" si="10"/>
        <v>354.21434756096602</v>
      </c>
      <c r="AI24" s="2593">
        <f t="shared" si="11"/>
        <v>0</v>
      </c>
    </row>
    <row r="25" spans="1:37" s="2218" customFormat="1" ht="21" customHeight="1">
      <c r="A25" s="2235">
        <v>331</v>
      </c>
      <c r="B25" s="2281" t="s">
        <v>1763</v>
      </c>
      <c r="C25" s="2282" t="s">
        <v>1327</v>
      </c>
      <c r="D25" s="2283" t="s">
        <v>1748</v>
      </c>
      <c r="E25" s="2284">
        <f>'[3]НВВ перекачка'!K326</f>
        <v>4.5536379533041321E-2</v>
      </c>
      <c r="F25" s="2285">
        <f>'[3]НВВ перекачка'!L326</f>
        <v>4.5536379533041321E-2</v>
      </c>
      <c r="G25" s="2257">
        <f t="shared" si="0"/>
        <v>4.5536379533041321E-2</v>
      </c>
      <c r="H25" s="2285">
        <f>'[3]НВВ перекачка'!T326</f>
        <v>3.1421786310886493</v>
      </c>
      <c r="I25" s="2285">
        <f>'[3]НВВ перекачка'!U326</f>
        <v>3.1421786310886493</v>
      </c>
      <c r="J25" s="2257">
        <f t="shared" si="1"/>
        <v>3.1421786310886493</v>
      </c>
      <c r="K25" s="2285">
        <f>'[3]НВВ перекачка'!AC326</f>
        <v>0.5183175282147594</v>
      </c>
      <c r="L25" s="2285">
        <f>'[3]НВВ перекачка'!AD326</f>
        <v>0.5183175282147594</v>
      </c>
      <c r="M25" s="2259">
        <f t="shared" si="2"/>
        <v>0.5183175282147594</v>
      </c>
      <c r="N25" s="2284"/>
      <c r="O25" s="2285">
        <v>0.5183175282147594</v>
      </c>
      <c r="P25" s="2259">
        <f t="shared" si="3"/>
        <v>0.2591587641073797</v>
      </c>
      <c r="Q25" s="2284">
        <v>1.4115790731038151</v>
      </c>
      <c r="R25" s="2285">
        <v>1.4115790731038151</v>
      </c>
      <c r="S25" s="2259">
        <f t="shared" si="4"/>
        <v>1.4115790731038151</v>
      </c>
      <c r="T25" s="2385">
        <f>N25+Q25</f>
        <v>1.4115790731038151</v>
      </c>
      <c r="U25" s="2285">
        <f>O25+R25</f>
        <v>1.9298966013185745</v>
      </c>
      <c r="V25" s="2268">
        <f t="shared" si="5"/>
        <v>1.670737837211195</v>
      </c>
      <c r="W25" s="2884">
        <f>T25/$T$272*$W$272</f>
        <v>0.30497294996629692</v>
      </c>
      <c r="X25" s="2885">
        <f>U25/$T$272*$W$272</f>
        <v>0.4169559260608065</v>
      </c>
      <c r="Y25" s="2268">
        <f t="shared" si="6"/>
        <v>0.36096443801355171</v>
      </c>
      <c r="Z25" s="2884">
        <f>T25/$T$272*$Z$272</f>
        <v>1.1066061231375182</v>
      </c>
      <c r="AA25" s="2885">
        <f>U25/$T$272*$Z$272</f>
        <v>1.5129406752577681</v>
      </c>
      <c r="AB25" s="2268">
        <f t="shared" si="7"/>
        <v>1.3097733991976432</v>
      </c>
      <c r="AF25" s="2218">
        <f t="shared" si="8"/>
        <v>0.4169559260608065</v>
      </c>
      <c r="AG25" s="2593">
        <f t="shared" si="9"/>
        <v>0</v>
      </c>
      <c r="AH25" s="2218">
        <f t="shared" si="10"/>
        <v>1.5129406752577681</v>
      </c>
      <c r="AI25" s="2593">
        <f t="shared" si="11"/>
        <v>0</v>
      </c>
    </row>
    <row r="26" spans="1:37" s="2218" customFormat="1" ht="21" customHeight="1">
      <c r="A26" s="2235">
        <v>332</v>
      </c>
      <c r="B26" s="2281" t="s">
        <v>1765</v>
      </c>
      <c r="C26" s="2282" t="s">
        <v>1330</v>
      </c>
      <c r="D26" s="2283" t="s">
        <v>1744</v>
      </c>
      <c r="E26" s="2284">
        <f>'[3]НВВ перекачка'!K327</f>
        <v>207.21096403750195</v>
      </c>
      <c r="F26" s="2285">
        <f>'[3]НВВ перекачка'!L327</f>
        <v>213.42729295862696</v>
      </c>
      <c r="G26" s="2257">
        <f t="shared" si="0"/>
        <v>210.31912849806446</v>
      </c>
      <c r="H26" s="2285">
        <f>'[3]НВВ перекачка'!T327</f>
        <v>117.56002151643179</v>
      </c>
      <c r="I26" s="2285">
        <f>'[3]НВВ перекачка'!U327</f>
        <v>121.79218229102334</v>
      </c>
      <c r="J26" s="2257">
        <f t="shared" si="1"/>
        <v>119.67610190372756</v>
      </c>
      <c r="K26" s="2285">
        <f>'[3]НВВ перекачка'!AC327</f>
        <v>259.83556142907378</v>
      </c>
      <c r="L26" s="2285">
        <f>'[3]НВВ перекачка'!AD327</f>
        <v>271.00849057052397</v>
      </c>
      <c r="M26" s="2259">
        <f t="shared" si="2"/>
        <v>265.42202599979885</v>
      </c>
      <c r="N26" s="2284">
        <v>287.26900000475541</v>
      </c>
      <c r="O26" s="2285">
        <f>L26*1.06*1.072</f>
        <v>307.95236800509781</v>
      </c>
      <c r="P26" s="2259">
        <f t="shared" si="3"/>
        <v>297.61068400492661</v>
      </c>
      <c r="Q26" s="2284">
        <v>193.10982178478795</v>
      </c>
      <c r="R26" s="2285">
        <f>Q26*1.072</f>
        <v>207.01372895329271</v>
      </c>
      <c r="S26" s="2259">
        <f t="shared" si="4"/>
        <v>200.06177536904033</v>
      </c>
      <c r="T26" s="2385">
        <f>T24/T25</f>
        <v>193.10982178478795</v>
      </c>
      <c r="U26" s="2285">
        <f>U24/U25</f>
        <v>234.12309111235746</v>
      </c>
      <c r="V26" s="2268">
        <f t="shared" si="5"/>
        <v>213.61645644857271</v>
      </c>
      <c r="W26" s="2385">
        <f>W24/W25</f>
        <v>193.10982178478795</v>
      </c>
      <c r="X26" s="2285">
        <f>X24/X25</f>
        <v>234.12309111235743</v>
      </c>
      <c r="Y26" s="2268">
        <f t="shared" si="6"/>
        <v>213.61645644857271</v>
      </c>
      <c r="Z26" s="2385">
        <f>Z24/Z25</f>
        <v>193.10982178478798</v>
      </c>
      <c r="AA26" s="2285">
        <f>AA24/AA25</f>
        <v>234.12309111235743</v>
      </c>
      <c r="AB26" s="2268">
        <f t="shared" si="7"/>
        <v>213.61645644857271</v>
      </c>
      <c r="AF26" s="2218">
        <f t="shared" si="8"/>
        <v>50.582507995648449</v>
      </c>
      <c r="AG26" s="2593">
        <f t="shared" si="9"/>
        <v>-183.54058311670897</v>
      </c>
      <c r="AH26" s="2218">
        <f t="shared" si="10"/>
        <v>183.54058311670897</v>
      </c>
      <c r="AI26" s="2593">
        <f t="shared" si="11"/>
        <v>-50.582507995648456</v>
      </c>
    </row>
    <row r="27" spans="1:37" s="2218" customFormat="1" ht="21" customHeight="1">
      <c r="A27" s="2235">
        <v>6</v>
      </c>
      <c r="B27" s="2281" t="s">
        <v>1767</v>
      </c>
      <c r="C27" s="2282" t="s">
        <v>1768</v>
      </c>
      <c r="D27" s="2283" t="s">
        <v>1317</v>
      </c>
      <c r="E27" s="2284">
        <f>'[3]НВВ перекачка'!K328</f>
        <v>79.615450951989828</v>
      </c>
      <c r="F27" s="2285">
        <f>'[3]НВВ перекачка'!L328</f>
        <v>82.003914480549554</v>
      </c>
      <c r="G27" s="2257">
        <f t="shared" si="0"/>
        <v>80.809682716269691</v>
      </c>
      <c r="H27" s="2285">
        <f>'[3]НВВ перекачка'!T328</f>
        <v>0</v>
      </c>
      <c r="I27" s="2285">
        <f>'[3]НВВ перекачка'!U328</f>
        <v>0</v>
      </c>
      <c r="J27" s="2257">
        <f t="shared" si="1"/>
        <v>0</v>
      </c>
      <c r="K27" s="2285">
        <f>'[3]НВВ перекачка'!AC328</f>
        <v>43.153855798086731</v>
      </c>
      <c r="L27" s="2285">
        <f>'[3]НВВ перекачка'!AD328</f>
        <v>45.009471597404456</v>
      </c>
      <c r="M27" s="2259">
        <f t="shared" si="2"/>
        <v>44.081663697745597</v>
      </c>
      <c r="N27" s="2284"/>
      <c r="O27" s="2285">
        <f>L27*1.06*1.072</f>
        <v>51.145162765562638</v>
      </c>
      <c r="P27" s="2259">
        <f t="shared" si="3"/>
        <v>25.572581382781319</v>
      </c>
      <c r="Q27" s="2284">
        <v>2.4795389461074158</v>
      </c>
      <c r="R27" s="2285">
        <f>Q27*1.072</f>
        <v>2.6580657502271499</v>
      </c>
      <c r="S27" s="2259">
        <f t="shared" si="4"/>
        <v>2.5688023481672828</v>
      </c>
      <c r="T27" s="2385">
        <f t="shared" ref="T27:U30" si="12">N27+Q27</f>
        <v>2.4795389461074158</v>
      </c>
      <c r="U27" s="2285">
        <f t="shared" si="12"/>
        <v>53.80322851578979</v>
      </c>
      <c r="V27" s="2268">
        <f t="shared" si="5"/>
        <v>28.141383730948604</v>
      </c>
      <c r="W27" s="2884">
        <f>T27/$T$272*$W$272</f>
        <v>0.53570665743008439</v>
      </c>
      <c r="X27" s="2885">
        <f>U27/$T$272*$W$272</f>
        <v>11.624236736587287</v>
      </c>
      <c r="Y27" s="2268">
        <f t="shared" si="6"/>
        <v>6.0799716970086859</v>
      </c>
      <c r="Z27" s="2884">
        <f t="shared" ref="Z27:AA30" si="13">T27/$T$272*$Z$272</f>
        <v>1.9438322886773314</v>
      </c>
      <c r="AA27" s="2885">
        <f t="shared" si="13"/>
        <v>42.178991779202498</v>
      </c>
      <c r="AB27" s="2268">
        <f t="shared" si="7"/>
        <v>22.061412033939916</v>
      </c>
      <c r="AF27" s="2218">
        <f t="shared" si="8"/>
        <v>11.624236736587287</v>
      </c>
      <c r="AG27" s="2593">
        <f t="shared" si="9"/>
        <v>0</v>
      </c>
      <c r="AH27" s="2218">
        <f t="shared" si="10"/>
        <v>42.178991779202498</v>
      </c>
      <c r="AI27" s="2593">
        <f t="shared" si="11"/>
        <v>0</v>
      </c>
    </row>
    <row r="28" spans="1:37" s="2218" customFormat="1" ht="39" customHeight="1">
      <c r="A28" s="2235">
        <v>7</v>
      </c>
      <c r="B28" s="2287" t="s">
        <v>1770</v>
      </c>
      <c r="C28" s="2288" t="s">
        <v>1771</v>
      </c>
      <c r="D28" s="2289" t="s">
        <v>1317</v>
      </c>
      <c r="E28" s="2290">
        <f>'[3]НВВ перекачка'!K329</f>
        <v>5513.2908177339959</v>
      </c>
      <c r="F28" s="2291">
        <f>'[3]НВВ перекачка'!L329</f>
        <v>5678.6895422660155</v>
      </c>
      <c r="G28" s="2257">
        <f t="shared" si="0"/>
        <v>5595.9901800000061</v>
      </c>
      <c r="H28" s="2291">
        <f>'[3]НВВ перекачка'!T329</f>
        <v>7029.2822298624724</v>
      </c>
      <c r="I28" s="2291">
        <f>'[3]НВВ перекачка'!U329</f>
        <v>7282.3363901375214</v>
      </c>
      <c r="J28" s="2257">
        <f t="shared" si="1"/>
        <v>7155.8093099999969</v>
      </c>
      <c r="K28" s="2291">
        <f>'[3]НВВ перекачка'!AC329</f>
        <v>4894.4703768967192</v>
      </c>
      <c r="L28" s="2291">
        <f>'[3]НВВ перекачка'!AD329</f>
        <v>5104.9326031032779</v>
      </c>
      <c r="M28" s="2259">
        <f t="shared" si="2"/>
        <v>4999.7014899999986</v>
      </c>
      <c r="N28" s="2291"/>
      <c r="O28" s="2291">
        <v>1090.7971272738162</v>
      </c>
      <c r="P28" s="2259">
        <f t="shared" si="3"/>
        <v>545.39856363690808</v>
      </c>
      <c r="Q28" s="2290">
        <v>2901.6068001954072</v>
      </c>
      <c r="R28" s="2291">
        <f>Q28*1.072</f>
        <v>3110.5224898094766</v>
      </c>
      <c r="S28" s="2259">
        <f t="shared" si="4"/>
        <v>3006.0646450024419</v>
      </c>
      <c r="T28" s="2467">
        <f t="shared" si="12"/>
        <v>2901.6068001954072</v>
      </c>
      <c r="U28" s="2291">
        <f t="shared" si="12"/>
        <v>4201.3196170832925</v>
      </c>
      <c r="V28" s="2268">
        <f t="shared" si="5"/>
        <v>3551.4632086393499</v>
      </c>
      <c r="W28" s="2377">
        <f>T28/$T$272*$N$272</f>
        <v>626.89480338646229</v>
      </c>
      <c r="X28" s="2256">
        <f>U28/$T$272*$N$272</f>
        <v>907.6989463692139</v>
      </c>
      <c r="Y28" s="2268">
        <f t="shared" si="6"/>
        <v>767.29687487783804</v>
      </c>
      <c r="Z28" s="2886">
        <f t="shared" si="13"/>
        <v>2274.7119968089451</v>
      </c>
      <c r="AA28" s="2887">
        <f t="shared" si="13"/>
        <v>3293.6206707140782</v>
      </c>
      <c r="AB28" s="2268">
        <f t="shared" si="7"/>
        <v>2784.1663337615119</v>
      </c>
      <c r="AF28" s="2218">
        <f t="shared" si="8"/>
        <v>907.6989463692139</v>
      </c>
      <c r="AG28" s="2593">
        <f t="shared" si="9"/>
        <v>0</v>
      </c>
      <c r="AH28" s="2218">
        <f t="shared" si="10"/>
        <v>3293.6206707140782</v>
      </c>
      <c r="AI28" s="2593">
        <f t="shared" si="11"/>
        <v>0</v>
      </c>
    </row>
    <row r="29" spans="1:37" s="2218" customFormat="1" ht="100.5" customHeight="1">
      <c r="A29" s="2235">
        <v>75</v>
      </c>
      <c r="B29" s="2281" t="s">
        <v>1773</v>
      </c>
      <c r="C29" s="2293" t="s">
        <v>1774</v>
      </c>
      <c r="D29" s="2283" t="s">
        <v>1317</v>
      </c>
      <c r="E29" s="2284"/>
      <c r="F29" s="2285"/>
      <c r="G29" s="2257">
        <f t="shared" si="0"/>
        <v>0</v>
      </c>
      <c r="H29" s="2285"/>
      <c r="I29" s="2285"/>
      <c r="J29" s="2257">
        <f t="shared" si="1"/>
        <v>0</v>
      </c>
      <c r="K29" s="2285"/>
      <c r="L29" s="2285"/>
      <c r="M29" s="2259">
        <f t="shared" si="2"/>
        <v>0</v>
      </c>
      <c r="N29" s="2284"/>
      <c r="O29" s="2285"/>
      <c r="P29" s="2259">
        <f t="shared" si="3"/>
        <v>0</v>
      </c>
      <c r="Q29" s="2294">
        <v>0</v>
      </c>
      <c r="R29" s="2296">
        <v>0</v>
      </c>
      <c r="S29" s="2259">
        <f t="shared" si="4"/>
        <v>0</v>
      </c>
      <c r="T29" s="2468">
        <f t="shared" si="12"/>
        <v>0</v>
      </c>
      <c r="U29" s="2296">
        <f t="shared" si="12"/>
        <v>0</v>
      </c>
      <c r="V29" s="2268">
        <f t="shared" si="5"/>
        <v>0</v>
      </c>
      <c r="W29" s="2884">
        <f>T29/$T$272*$W$272</f>
        <v>0</v>
      </c>
      <c r="X29" s="2885">
        <f>U29/$T$272*$W$272</f>
        <v>0</v>
      </c>
      <c r="Y29" s="2268">
        <f t="shared" si="6"/>
        <v>0</v>
      </c>
      <c r="Z29" s="2884">
        <f t="shared" si="13"/>
        <v>0</v>
      </c>
      <c r="AA29" s="2885">
        <f t="shared" si="13"/>
        <v>0</v>
      </c>
      <c r="AB29" s="2268">
        <f t="shared" si="7"/>
        <v>0</v>
      </c>
      <c r="AF29" s="2218">
        <f t="shared" si="8"/>
        <v>0</v>
      </c>
      <c r="AG29" s="2593">
        <f t="shared" si="9"/>
        <v>0</v>
      </c>
      <c r="AH29" s="2218">
        <f t="shared" si="10"/>
        <v>0</v>
      </c>
      <c r="AI29" s="2593">
        <f t="shared" si="11"/>
        <v>0</v>
      </c>
    </row>
    <row r="30" spans="1:37" s="2218" customFormat="1" ht="68.25" customHeight="1">
      <c r="A30" s="2235">
        <v>76</v>
      </c>
      <c r="B30" s="2279" t="s">
        <v>1776</v>
      </c>
      <c r="C30" s="2295" t="s">
        <v>1777</v>
      </c>
      <c r="D30" s="2254" t="s">
        <v>1317</v>
      </c>
      <c r="E30" s="2255">
        <f>E31+E41</f>
        <v>28655.910128219486</v>
      </c>
      <c r="F30" s="2256">
        <f>F31+F41</f>
        <v>29785.530818033461</v>
      </c>
      <c r="G30" s="2257">
        <f t="shared" si="0"/>
        <v>29220.720473126472</v>
      </c>
      <c r="H30" s="2256">
        <f>H31+H41</f>
        <v>32023.057267010496</v>
      </c>
      <c r="I30" s="2256">
        <f>I31+I41</f>
        <v>33197.480011956584</v>
      </c>
      <c r="J30" s="2257">
        <f t="shared" si="1"/>
        <v>32610.26863948354</v>
      </c>
      <c r="K30" s="2256">
        <f>K31+K41</f>
        <v>34833.382578716002</v>
      </c>
      <c r="L30" s="2256">
        <f>L31+L41</f>
        <v>36972.859596175906</v>
      </c>
      <c r="M30" s="2259">
        <f t="shared" si="2"/>
        <v>35903.12108744595</v>
      </c>
      <c r="N30" s="2255">
        <v>0</v>
      </c>
      <c r="O30" s="2256">
        <f>O31+O41</f>
        <v>42300.502648935711</v>
      </c>
      <c r="P30" s="2259">
        <f t="shared" si="3"/>
        <v>21150.251324467856</v>
      </c>
      <c r="Q30" s="2256">
        <f>Q31+Q41</f>
        <v>13299.913346341358</v>
      </c>
      <c r="R30" s="2256">
        <f>R31+R41</f>
        <v>14257.507107277937</v>
      </c>
      <c r="S30" s="2259">
        <f t="shared" si="4"/>
        <v>13778.710226809648</v>
      </c>
      <c r="T30" s="2467">
        <f t="shared" si="12"/>
        <v>13299.913346341358</v>
      </c>
      <c r="U30" s="2291">
        <f t="shared" si="12"/>
        <v>56558.009756213651</v>
      </c>
      <c r="V30" s="2268">
        <f t="shared" si="5"/>
        <v>34928.961551277505</v>
      </c>
      <c r="W30" s="2377">
        <f>T30/$T$272*$N$272</f>
        <v>2873.4584443867984</v>
      </c>
      <c r="X30" s="2256">
        <f>U30/$T$272*$N$272</f>
        <v>12219.409743478478</v>
      </c>
      <c r="Y30" s="2268">
        <f t="shared" si="6"/>
        <v>7546.4340939326385</v>
      </c>
      <c r="Z30" s="2886">
        <f t="shared" si="13"/>
        <v>10426.454901954559</v>
      </c>
      <c r="AA30" s="2887">
        <f t="shared" si="13"/>
        <v>44338.600012735173</v>
      </c>
      <c r="AB30" s="2268">
        <f t="shared" si="7"/>
        <v>27382.527457344866</v>
      </c>
      <c r="AF30" s="2218">
        <f t="shared" si="8"/>
        <v>12219.409743478478</v>
      </c>
      <c r="AG30" s="2593">
        <f t="shared" si="9"/>
        <v>0</v>
      </c>
      <c r="AH30" s="2218">
        <f t="shared" si="10"/>
        <v>44338.600012735173</v>
      </c>
      <c r="AI30" s="2593">
        <f t="shared" si="11"/>
        <v>0</v>
      </c>
    </row>
    <row r="31" spans="1:37" s="2218" customFormat="1" ht="38.25" customHeight="1">
      <c r="A31" s="2235">
        <v>77</v>
      </c>
      <c r="B31" s="2279" t="s">
        <v>1778</v>
      </c>
      <c r="C31" s="2280" t="s">
        <v>1779</v>
      </c>
      <c r="D31" s="2254" t="s">
        <v>1317</v>
      </c>
      <c r="E31" s="2255">
        <f>E32*E40*12/1000</f>
        <v>21951.469487825398</v>
      </c>
      <c r="F31" s="2256">
        <f>F32*F40*12/1000</f>
        <v>22879.956958427549</v>
      </c>
      <c r="G31" s="2257">
        <f t="shared" si="0"/>
        <v>22415.713223126473</v>
      </c>
      <c r="H31" s="2256">
        <f>H32*H40*12/1000</f>
        <v>24613.044641862802</v>
      </c>
      <c r="I31" s="2256">
        <f>I32*I40*12/1000</f>
        <v>25583.304268692664</v>
      </c>
      <c r="J31" s="2257">
        <f t="shared" si="1"/>
        <v>25098.174455277731</v>
      </c>
      <c r="K31" s="2256">
        <f>K32*K40*12/1000</f>
        <v>26869.833556393271</v>
      </c>
      <c r="L31" s="2256">
        <f>L32*L40*12/1000</f>
        <v>28591.299389048167</v>
      </c>
      <c r="M31" s="2259">
        <f t="shared" si="2"/>
        <v>27730.566472720719</v>
      </c>
      <c r="N31" s="2255">
        <v>0</v>
      </c>
      <c r="O31" s="2256">
        <f>O32*O40*12/1000</f>
        <v>32488.865321763216</v>
      </c>
      <c r="P31" s="2259">
        <f t="shared" si="3"/>
        <v>16244.432660881608</v>
      </c>
      <c r="Q31" s="2256">
        <f>Q32*Q40*12/1000</f>
        <v>10214.98720917155</v>
      </c>
      <c r="R31" s="2256">
        <f>R32*R40*12/1000</f>
        <v>10950.466288231903</v>
      </c>
      <c r="S31" s="2259">
        <f t="shared" si="4"/>
        <v>10582.726748701727</v>
      </c>
      <c r="T31" s="2256">
        <f>T32*T40*12/1000</f>
        <v>10214.986761964652</v>
      </c>
      <c r="U31" s="2256">
        <f>U32*U40*12/1000</f>
        <v>43439.333281724525</v>
      </c>
      <c r="V31" s="2268">
        <f t="shared" si="5"/>
        <v>26827.160021844589</v>
      </c>
      <c r="W31" s="2256">
        <f>W32*W40*12/1000</f>
        <v>2206.9574053261699</v>
      </c>
      <c r="X31" s="2256">
        <f>X32*X40*12/1000</f>
        <v>9385.108709180784</v>
      </c>
      <c r="Y31" s="2268">
        <f t="shared" si="6"/>
        <v>5796.0330572534767</v>
      </c>
      <c r="Z31" s="2256">
        <f>Z32*Z40*12/1000</f>
        <v>8008.0308510866116</v>
      </c>
      <c r="AA31" s="2256">
        <f>AA32*AA40*12/1000</f>
        <v>34054.221153234001</v>
      </c>
      <c r="AB31" s="2268">
        <f t="shared" si="7"/>
        <v>21031.126002160305</v>
      </c>
      <c r="AC31" s="2114"/>
      <c r="AD31" s="2114"/>
      <c r="AE31" s="2992">
        <v>42426.287495956043</v>
      </c>
      <c r="AF31" s="2218">
        <f t="shared" si="8"/>
        <v>9385.1076910392494</v>
      </c>
      <c r="AG31" s="2593">
        <f t="shared" si="9"/>
        <v>-1.0181415345869027E-3</v>
      </c>
      <c r="AH31" s="2218">
        <f t="shared" si="10"/>
        <v>34054.225590685273</v>
      </c>
      <c r="AI31" s="2593">
        <f t="shared" si="11"/>
        <v>4.4374512726790272E-3</v>
      </c>
      <c r="AJ31" s="2993"/>
      <c r="AK31" s="2993"/>
    </row>
    <row r="32" spans="1:37" s="2218" customFormat="1" ht="30.75" customHeight="1">
      <c r="A32" s="2235">
        <v>441</v>
      </c>
      <c r="B32" s="2279" t="s">
        <v>1780</v>
      </c>
      <c r="C32" s="2280" t="s">
        <v>1781</v>
      </c>
      <c r="D32" s="2254"/>
      <c r="E32" s="2255">
        <f>E33+E34+E37+E38+E39</f>
        <v>13625.143993436406</v>
      </c>
      <c r="F32" s="2256">
        <f>F33+F34+F37+F38+F39</f>
        <v>14201.450535924241</v>
      </c>
      <c r="G32" s="2257">
        <f t="shared" si="0"/>
        <v>13913.297264680325</v>
      </c>
      <c r="H32" s="2256">
        <f>H33+H34+H37+H38+H39</f>
        <v>19987.854995828166</v>
      </c>
      <c r="I32" s="2256">
        <f>I33+I34+I37+I38+I39</f>
        <v>20775.787127409989</v>
      </c>
      <c r="J32" s="2257">
        <f t="shared" si="1"/>
        <v>20381.821061619077</v>
      </c>
      <c r="K32" s="2256">
        <f>K33+K34+K37+K38+K39</f>
        <v>21124.082984585904</v>
      </c>
      <c r="L32" s="2256">
        <f>L33+L34+L37+L38+L39</f>
        <v>22477.436626610193</v>
      </c>
      <c r="M32" s="2259">
        <f t="shared" si="2"/>
        <v>21800.759805598049</v>
      </c>
      <c r="N32" s="2255">
        <v>0</v>
      </c>
      <c r="O32" s="2256">
        <f>O33+O34+O37+O38+O39</f>
        <v>25541.560787549701</v>
      </c>
      <c r="P32" s="2259">
        <f t="shared" si="3"/>
        <v>12770.78039377485</v>
      </c>
      <c r="Q32" s="2256">
        <f>Q33+Q34+Q37+Q38+Q39</f>
        <v>25795.422245382702</v>
      </c>
      <c r="R32" s="2256">
        <f>R33+R34+R37+R38+R39</f>
        <v>27652.692647050255</v>
      </c>
      <c r="S32" s="2259">
        <f t="shared" si="4"/>
        <v>26724.05744621648</v>
      </c>
      <c r="T32" s="2256">
        <f>T33+T34+T37+T38+T39</f>
        <v>25795.421116072357</v>
      </c>
      <c r="U32" s="2256">
        <f>U33+U34+U37+U38+U39</f>
        <v>26042.765756429573</v>
      </c>
      <c r="V32" s="2268">
        <f t="shared" si="5"/>
        <v>25919.093436250965</v>
      </c>
      <c r="W32" s="2256">
        <f>W33+W34+W37+W38+W39</f>
        <v>25795.42311928764</v>
      </c>
      <c r="X32" s="2256">
        <f>X33+X34+X37+X38+X39</f>
        <v>26042.768581673819</v>
      </c>
      <c r="Y32" s="2268">
        <f t="shared" si="6"/>
        <v>25919.095850480728</v>
      </c>
      <c r="Z32" s="2256">
        <f>Z33+Z34+Z37+Z38+Z39</f>
        <v>25795.42537790833</v>
      </c>
      <c r="AA32" s="2256">
        <f>AA33+AA34+AA37+AA38+AA39</f>
        <v>26042.762362915197</v>
      </c>
      <c r="AB32" s="2268">
        <f t="shared" si="7"/>
        <v>25919.093870411765</v>
      </c>
      <c r="AC32" s="2114"/>
      <c r="AD32" s="2114"/>
      <c r="AE32" s="2498">
        <f>AE31-U31</f>
        <v>-1013.0457857684814</v>
      </c>
      <c r="AF32" s="2218">
        <f t="shared" si="8"/>
        <v>5626.5633639324042</v>
      </c>
      <c r="AG32" s="2593">
        <f t="shared" si="9"/>
        <v>-20416.205217741415</v>
      </c>
      <c r="AH32" s="2218">
        <f t="shared" si="10"/>
        <v>20416.202392497169</v>
      </c>
      <c r="AI32" s="2593">
        <f t="shared" si="11"/>
        <v>-5626.5599704180277</v>
      </c>
    </row>
    <row r="33" spans="1:35" s="2218" customFormat="1" ht="21" customHeight="1">
      <c r="A33" s="2235">
        <v>304</v>
      </c>
      <c r="B33" s="2281" t="s">
        <v>1782</v>
      </c>
      <c r="C33" s="2282" t="s">
        <v>1783</v>
      </c>
      <c r="D33" s="2283" t="s">
        <v>1784</v>
      </c>
      <c r="E33" s="2284"/>
      <c r="F33" s="2285"/>
      <c r="G33" s="2257">
        <f t="shared" si="0"/>
        <v>0</v>
      </c>
      <c r="H33" s="2285"/>
      <c r="I33" s="2285"/>
      <c r="J33" s="2257">
        <f t="shared" si="1"/>
        <v>0</v>
      </c>
      <c r="K33" s="2285"/>
      <c r="L33" s="2285"/>
      <c r="M33" s="2259">
        <f t="shared" si="2"/>
        <v>0</v>
      </c>
      <c r="N33" s="2284"/>
      <c r="O33" s="2285"/>
      <c r="P33" s="2259">
        <f t="shared" si="3"/>
        <v>0</v>
      </c>
      <c r="Q33" s="2285"/>
      <c r="R33" s="2285"/>
      <c r="S33" s="2259">
        <f t="shared" si="4"/>
        <v>0</v>
      </c>
      <c r="T33" s="2284">
        <v>0</v>
      </c>
      <c r="U33" s="2285">
        <v>0</v>
      </c>
      <c r="V33" s="2268">
        <f t="shared" si="5"/>
        <v>0</v>
      </c>
      <c r="W33" s="2284">
        <v>0</v>
      </c>
      <c r="X33" s="2285">
        <v>0</v>
      </c>
      <c r="Y33" s="2268">
        <f t="shared" si="6"/>
        <v>0</v>
      </c>
      <c r="Z33" s="2284">
        <v>0</v>
      </c>
      <c r="AA33" s="2285">
        <v>0</v>
      </c>
      <c r="AB33" s="2268">
        <f t="shared" si="7"/>
        <v>0</v>
      </c>
      <c r="AC33" s="2113"/>
      <c r="AD33" s="2994">
        <f>AD32/12/T40*1000</f>
        <v>0</v>
      </c>
      <c r="AE33" s="2994">
        <f>AE32/12/U40*1000</f>
        <v>-607.34159818254273</v>
      </c>
      <c r="AF33" s="2218">
        <f t="shared" si="8"/>
        <v>0</v>
      </c>
      <c r="AG33" s="2593">
        <f t="shared" si="9"/>
        <v>0</v>
      </c>
      <c r="AH33" s="2218">
        <f t="shared" si="10"/>
        <v>0</v>
      </c>
      <c r="AI33" s="2593">
        <f t="shared" si="11"/>
        <v>0</v>
      </c>
    </row>
    <row r="34" spans="1:35" s="2218" customFormat="1" ht="21" customHeight="1">
      <c r="A34" s="2235">
        <v>442</v>
      </c>
      <c r="B34" s="2279" t="s">
        <v>1785</v>
      </c>
      <c r="C34" s="2280" t="s">
        <v>1786</v>
      </c>
      <c r="D34" s="2254"/>
      <c r="E34" s="2255">
        <f>E35*E36</f>
        <v>8625.7376470588242</v>
      </c>
      <c r="F34" s="2256">
        <f>F35*F36</f>
        <v>8979.77911764706</v>
      </c>
      <c r="G34" s="2257">
        <f t="shared" si="0"/>
        <v>8802.7583823529421</v>
      </c>
      <c r="H34" s="2256">
        <f>H35*H36</f>
        <v>8600.3157303370808</v>
      </c>
      <c r="I34" s="2256">
        <f>I35*I36</f>
        <v>8953.313764044944</v>
      </c>
      <c r="J34" s="2257">
        <f t="shared" si="1"/>
        <v>8776.8147471910124</v>
      </c>
      <c r="K34" s="2256">
        <f>K35*K36</f>
        <v>8529.7036637931033</v>
      </c>
      <c r="L34" s="2256">
        <f>L35*L36</f>
        <v>8959.8974137931036</v>
      </c>
      <c r="M34" s="2259">
        <f t="shared" si="2"/>
        <v>8744.8005387931044</v>
      </c>
      <c r="N34" s="2255">
        <v>0</v>
      </c>
      <c r="O34" s="2256">
        <f>O35*O36</f>
        <v>10181.310629241381</v>
      </c>
      <c r="P34" s="2259">
        <f t="shared" si="3"/>
        <v>5090.6553146206907</v>
      </c>
      <c r="Q34" s="2256">
        <f>Q35*Q36</f>
        <v>9367.3735172413799</v>
      </c>
      <c r="R34" s="2256">
        <f>R35*R36</f>
        <v>10041.824410482759</v>
      </c>
      <c r="S34" s="2259">
        <f t="shared" si="4"/>
        <v>9704.5989638620704</v>
      </c>
      <c r="T34" s="2256">
        <f>T35*T36</f>
        <v>9432.4323879310359</v>
      </c>
      <c r="U34" s="2256">
        <f>U35*U36</f>
        <v>10111.56751986207</v>
      </c>
      <c r="V34" s="2268">
        <f t="shared" si="5"/>
        <v>9771.9999538965531</v>
      </c>
      <c r="W34" s="2256">
        <f>W35*W36</f>
        <v>9497.4912586206901</v>
      </c>
      <c r="X34" s="2256">
        <f>X35*X36</f>
        <v>10181.310629241381</v>
      </c>
      <c r="Y34" s="2268">
        <f t="shared" si="6"/>
        <v>9839.4009439310357</v>
      </c>
      <c r="Z34" s="2256">
        <f>Z35*Z36</f>
        <v>9367.3735172413799</v>
      </c>
      <c r="AA34" s="2256">
        <f>AA35*AA36</f>
        <v>10041.824410482759</v>
      </c>
      <c r="AB34" s="2268">
        <f t="shared" si="7"/>
        <v>9704.5989638620704</v>
      </c>
      <c r="AC34" s="2113"/>
      <c r="AF34" s="2218">
        <f t="shared" si="8"/>
        <v>2184.6134120811894</v>
      </c>
      <c r="AG34" s="2593">
        <f t="shared" si="9"/>
        <v>-7996.6972171601919</v>
      </c>
      <c r="AH34" s="2218">
        <f t="shared" si="10"/>
        <v>7926.9541077808808</v>
      </c>
      <c r="AI34" s="2593">
        <f t="shared" si="11"/>
        <v>-2114.8703027018782</v>
      </c>
    </row>
    <row r="35" spans="1:35" s="2218" customFormat="1" ht="21" customHeight="1">
      <c r="A35" s="2235">
        <v>82</v>
      </c>
      <c r="B35" s="2281" t="s">
        <v>1787</v>
      </c>
      <c r="C35" s="2282" t="s">
        <v>1788</v>
      </c>
      <c r="D35" s="2283" t="s">
        <v>1784</v>
      </c>
      <c r="E35" s="2284">
        <f>'[3]НВВ перекачка'!K336</f>
        <v>5360</v>
      </c>
      <c r="F35" s="2285">
        <f>'[3]НВВ перекачка'!L336</f>
        <v>5580</v>
      </c>
      <c r="G35" s="2257">
        <f t="shared" si="0"/>
        <v>5470</v>
      </c>
      <c r="H35" s="2285">
        <f>'[3]НВВ перекачка'!T336</f>
        <v>5360</v>
      </c>
      <c r="I35" s="2285">
        <f>'[3]НВВ перекачка'!U336</f>
        <v>5580</v>
      </c>
      <c r="J35" s="2257">
        <f t="shared" si="1"/>
        <v>5470</v>
      </c>
      <c r="K35" s="2285">
        <f>'[3]НВВ перекачка'!AC336</f>
        <v>5750</v>
      </c>
      <c r="L35" s="2285">
        <f>'[3]НВВ перекачка'!AD336</f>
        <v>6040</v>
      </c>
      <c r="M35" s="2259">
        <f t="shared" si="2"/>
        <v>5895</v>
      </c>
      <c r="N35" s="2284"/>
      <c r="O35" s="2285">
        <f>L35*1.06*1.072</f>
        <v>6863.372800000001</v>
      </c>
      <c r="P35" s="2259">
        <f t="shared" si="3"/>
        <v>3431.6864000000005</v>
      </c>
      <c r="Q35" s="2284">
        <v>6402.4000000000005</v>
      </c>
      <c r="R35" s="2285">
        <f>Q35*1.072</f>
        <v>6863.372800000001</v>
      </c>
      <c r="S35" s="2259">
        <f t="shared" si="4"/>
        <v>6632.8864000000012</v>
      </c>
      <c r="T35" s="2284">
        <f>Q35</f>
        <v>6402.4000000000005</v>
      </c>
      <c r="U35" s="2285">
        <f>R35</f>
        <v>6863.372800000001</v>
      </c>
      <c r="V35" s="2268">
        <f t="shared" si="5"/>
        <v>6632.8864000000012</v>
      </c>
      <c r="W35" s="2284">
        <f>T35</f>
        <v>6402.4000000000005</v>
      </c>
      <c r="X35" s="2285">
        <f>U35</f>
        <v>6863.372800000001</v>
      </c>
      <c r="Y35" s="2268">
        <f t="shared" si="6"/>
        <v>6632.8864000000012</v>
      </c>
      <c r="Z35" s="2284">
        <f>W35</f>
        <v>6402.4000000000005</v>
      </c>
      <c r="AA35" s="2285">
        <f>X35</f>
        <v>6863.372800000001</v>
      </c>
      <c r="AB35" s="2268">
        <f t="shared" si="7"/>
        <v>6632.8864000000012</v>
      </c>
      <c r="AC35" s="2113"/>
      <c r="AF35" s="2218">
        <f t="shared" si="8"/>
        <v>1482.837971614292</v>
      </c>
      <c r="AG35" s="2593">
        <f t="shared" si="9"/>
        <v>-5380.5348283857093</v>
      </c>
      <c r="AH35" s="2218">
        <f t="shared" si="10"/>
        <v>5380.5348283857093</v>
      </c>
      <c r="AI35" s="2593">
        <f t="shared" si="11"/>
        <v>-1482.8379716142917</v>
      </c>
    </row>
    <row r="36" spans="1:35" s="2218" customFormat="1" ht="21" customHeight="1">
      <c r="A36" s="2235">
        <v>85</v>
      </c>
      <c r="B36" s="2281" t="s">
        <v>1789</v>
      </c>
      <c r="C36" s="2282" t="s">
        <v>1790</v>
      </c>
      <c r="D36" s="2283"/>
      <c r="E36" s="2284">
        <f>'[3]НВВ перекачка'!K337</f>
        <v>1.609279411764706</v>
      </c>
      <c r="F36" s="2285">
        <f>'[3]НВВ перекачка'!L337</f>
        <v>1.609279411764706</v>
      </c>
      <c r="G36" s="2257">
        <f t="shared" si="0"/>
        <v>1.609279411764706</v>
      </c>
      <c r="H36" s="2285">
        <f>'[3]НВВ перекачка'!T337</f>
        <v>1.6045365168539329</v>
      </c>
      <c r="I36" s="2285">
        <f>'[3]НВВ перекачка'!U337</f>
        <v>1.6045365168539327</v>
      </c>
      <c r="J36" s="2257">
        <f t="shared" si="1"/>
        <v>1.6045365168539329</v>
      </c>
      <c r="K36" s="2285">
        <f>'[3]НВВ перекачка'!AC337</f>
        <v>1.4834267241379311</v>
      </c>
      <c r="L36" s="2285">
        <f>'[3]НВВ перекачка'!AD337</f>
        <v>1.4834267241379311</v>
      </c>
      <c r="M36" s="2259">
        <f t="shared" si="2"/>
        <v>1.4834267241379311</v>
      </c>
      <c r="N36" s="2284">
        <v>1.4834267241379311</v>
      </c>
      <c r="O36" s="2285">
        <v>1.4834267241379311</v>
      </c>
      <c r="P36" s="2259">
        <f t="shared" si="3"/>
        <v>1.4834267241379311</v>
      </c>
      <c r="Q36" s="2284">
        <v>1.463103448275862</v>
      </c>
      <c r="R36" s="2285">
        <v>1.463103448275862</v>
      </c>
      <c r="S36" s="2259">
        <f t="shared" si="4"/>
        <v>1.463103448275862</v>
      </c>
      <c r="T36" s="2468">
        <f>(N36+Q36)/2</f>
        <v>1.4732650862068966</v>
      </c>
      <c r="U36" s="2468">
        <f>(O36+R36)/2</f>
        <v>1.4732650862068966</v>
      </c>
      <c r="V36" s="2268">
        <f t="shared" si="5"/>
        <v>1.4732650862068966</v>
      </c>
      <c r="W36" s="2294">
        <v>1.4834267241379311</v>
      </c>
      <c r="X36" s="2296">
        <v>1.4834267241379311</v>
      </c>
      <c r="Y36" s="2268">
        <f t="shared" si="6"/>
        <v>1.4834267241379311</v>
      </c>
      <c r="Z36" s="2294">
        <v>1.463103448275862</v>
      </c>
      <c r="AA36" s="2296">
        <v>1.463103448275862</v>
      </c>
      <c r="AB36" s="2268">
        <f t="shared" si="7"/>
        <v>1.463103448275862</v>
      </c>
      <c r="AC36" s="2113"/>
      <c r="AF36" s="2218">
        <f t="shared" si="8"/>
        <v>0.31830026952363555</v>
      </c>
      <c r="AG36" s="2593">
        <f t="shared" si="9"/>
        <v>-1.1651264546142954</v>
      </c>
      <c r="AH36" s="2218">
        <f t="shared" si="10"/>
        <v>1.1549648166832609</v>
      </c>
      <c r="AI36" s="2593">
        <f t="shared" si="11"/>
        <v>-0.30813863159260113</v>
      </c>
    </row>
    <row r="37" spans="1:35" s="2218" customFormat="1" ht="37.5" customHeight="1">
      <c r="A37" s="2235">
        <v>457</v>
      </c>
      <c r="B37" s="2281" t="s">
        <v>1791</v>
      </c>
      <c r="C37" s="2282" t="s">
        <v>1792</v>
      </c>
      <c r="D37" s="2283" t="s">
        <v>1793</v>
      </c>
      <c r="E37" s="2284">
        <f>'[3]НВВ перекачка'!K338</f>
        <v>2431.5597352941154</v>
      </c>
      <c r="F37" s="2285">
        <f>'[3]НВВ перекачка'!L338</f>
        <v>2522.2091310588248</v>
      </c>
      <c r="G37" s="2257">
        <f t="shared" si="0"/>
        <v>2476.8844331764703</v>
      </c>
      <c r="H37" s="2285">
        <f>'[3]НВВ перекачка'!T338</f>
        <v>5010.1516139528212</v>
      </c>
      <c r="I37" s="2285">
        <f>'[3]НВВ перекачка'!U338</f>
        <v>5208.1240103714044</v>
      </c>
      <c r="J37" s="2257">
        <f t="shared" si="1"/>
        <v>5109.1378121621128</v>
      </c>
      <c r="K37" s="2285">
        <f>'[3]НВВ перекачка'!AC338</f>
        <v>6426.2570043103433</v>
      </c>
      <c r="L37" s="2285">
        <f>'[3]НВВ перекачка'!AD338</f>
        <v>6750.3638793103428</v>
      </c>
      <c r="M37" s="2259">
        <f t="shared" si="2"/>
        <v>6588.310441810343</v>
      </c>
      <c r="N37" s="2284"/>
      <c r="O37" s="2285">
        <f>L37*1.06*1.072</f>
        <v>7670.5734833379292</v>
      </c>
      <c r="P37" s="2259">
        <f t="shared" si="3"/>
        <v>3835.2867416689646</v>
      </c>
      <c r="Q37" s="2284">
        <v>7405.1614620689606</v>
      </c>
      <c r="R37" s="2285">
        <f>Q37*1.072</f>
        <v>7938.3330873379264</v>
      </c>
      <c r="S37" s="2259">
        <f t="shared" si="4"/>
        <v>7671.7472747034435</v>
      </c>
      <c r="T37" s="2385">
        <f>7405.16146206896-65.06</f>
        <v>7340.1014620689593</v>
      </c>
      <c r="U37" s="2285">
        <f>7938.33308733793-800</f>
        <v>7138.33308733793</v>
      </c>
      <c r="V37" s="2268">
        <f t="shared" si="5"/>
        <v>7239.2172747034447</v>
      </c>
      <c r="W37" s="2294">
        <f>7147.25459459459+127.79</f>
        <v>7275.0445945945903</v>
      </c>
      <c r="X37" s="2296">
        <f>7661.85692540541-291.95</f>
        <v>7369.9069254054102</v>
      </c>
      <c r="Y37" s="2268">
        <f t="shared" si="6"/>
        <v>7322.4757600000003</v>
      </c>
      <c r="Z37" s="2884">
        <f>7275.04459459459+130.12</f>
        <v>7405.1645945945902</v>
      </c>
      <c r="AA37" s="2885">
        <f>7369.90692540541+139.48</f>
        <v>7509.3869254054098</v>
      </c>
      <c r="AB37" s="2268">
        <f t="shared" si="7"/>
        <v>7457.2757600000004</v>
      </c>
      <c r="AF37" s="2218">
        <f t="shared" si="8"/>
        <v>1542.243393209729</v>
      </c>
      <c r="AG37" s="2593">
        <f t="shared" si="9"/>
        <v>-5827.663532195681</v>
      </c>
      <c r="AH37" s="2218">
        <f t="shared" si="10"/>
        <v>5596.0896941281999</v>
      </c>
      <c r="AI37" s="2593">
        <f t="shared" si="11"/>
        <v>-1913.2972312772099</v>
      </c>
    </row>
    <row r="38" spans="1:35" s="2218" customFormat="1" ht="21" customHeight="1">
      <c r="A38" s="2235">
        <v>458</v>
      </c>
      <c r="B38" s="2281" t="s">
        <v>1794</v>
      </c>
      <c r="C38" s="2282" t="s">
        <v>1795</v>
      </c>
      <c r="D38" s="2283" t="s">
        <v>1784</v>
      </c>
      <c r="E38" s="2284">
        <f>'[3]НВВ перекачка'!K339</f>
        <v>2567.8466110834675</v>
      </c>
      <c r="F38" s="2285">
        <f>'[3]НВВ перекачка'!L339</f>
        <v>2699.4622872183559</v>
      </c>
      <c r="G38" s="2257">
        <f t="shared" si="0"/>
        <v>2633.6544491509117</v>
      </c>
      <c r="H38" s="2285">
        <f>'[3]НВВ перекачка'!T339</f>
        <v>6377.3876515382626</v>
      </c>
      <c r="I38" s="2285">
        <f>'[3]НВВ перекачка'!U339</f>
        <v>6614.3493529936395</v>
      </c>
      <c r="J38" s="2257">
        <f t="shared" si="1"/>
        <v>6495.8685022659511</v>
      </c>
      <c r="K38" s="2285">
        <f>'[3]НВВ перекачка'!AC339</f>
        <v>6168.1223164824569</v>
      </c>
      <c r="L38" s="2285">
        <f>'[3]НВВ перекачка'!AD339</f>
        <v>6767.1753335067478</v>
      </c>
      <c r="M38" s="2259">
        <f t="shared" si="2"/>
        <v>6467.6488249946024</v>
      </c>
      <c r="N38" s="2284"/>
      <c r="O38" s="2285">
        <f>L38*1.06*1.072</f>
        <v>7689.6766749703884</v>
      </c>
      <c r="P38" s="2259">
        <f t="shared" si="3"/>
        <v>3844.8383374851942</v>
      </c>
      <c r="Q38" s="2284">
        <v>9022.8872660723591</v>
      </c>
      <c r="R38" s="2285">
        <f>Q38*1.072</f>
        <v>9672.5351492295704</v>
      </c>
      <c r="S38" s="2259">
        <f t="shared" si="4"/>
        <v>9347.7112076509657</v>
      </c>
      <c r="T38" s="2385">
        <v>9022.8872660723591</v>
      </c>
      <c r="U38" s="2285">
        <f>9672.53514922957-879.67</f>
        <v>8792.8651492295703</v>
      </c>
      <c r="V38" s="2268">
        <f t="shared" si="5"/>
        <v>8907.8762076509647</v>
      </c>
      <c r="W38" s="2294">
        <v>9022.8872660723591</v>
      </c>
      <c r="X38" s="2296">
        <v>8491.5510270270279</v>
      </c>
      <c r="Y38" s="2268">
        <f t="shared" si="6"/>
        <v>8757.2191465496944</v>
      </c>
      <c r="Z38" s="2884">
        <v>9022.8872660723591</v>
      </c>
      <c r="AA38" s="2885">
        <v>8491.5510270270279</v>
      </c>
      <c r="AB38" s="2268">
        <f t="shared" si="7"/>
        <v>8757.2191465496944</v>
      </c>
      <c r="AF38" s="2218">
        <f t="shared" si="8"/>
        <v>1899.7065586414847</v>
      </c>
      <c r="AG38" s="2593">
        <f t="shared" si="9"/>
        <v>-6591.8444683855432</v>
      </c>
      <c r="AH38" s="2218">
        <f t="shared" si="10"/>
        <v>6893.1585905880847</v>
      </c>
      <c r="AI38" s="2593">
        <f t="shared" si="11"/>
        <v>-1598.3924364389432</v>
      </c>
    </row>
    <row r="39" spans="1:35" s="2218" customFormat="1" ht="30.75" customHeight="1">
      <c r="A39" s="2235">
        <v>459</v>
      </c>
      <c r="B39" s="2281" t="s">
        <v>1796</v>
      </c>
      <c r="C39" s="2282" t="s">
        <v>1797</v>
      </c>
      <c r="D39" s="2283" t="s">
        <v>1784</v>
      </c>
      <c r="E39" s="2284">
        <f>'[3]НВВ перекачка'!K340</f>
        <v>0</v>
      </c>
      <c r="F39" s="2285">
        <f>'[3]НВВ перекачка'!L340</f>
        <v>0</v>
      </c>
      <c r="G39" s="2257">
        <f t="shared" si="0"/>
        <v>0</v>
      </c>
      <c r="H39" s="2285">
        <f>'[3]НВВ перекачка'!T340</f>
        <v>0</v>
      </c>
      <c r="I39" s="2285">
        <f>'[3]НВВ перекачка'!U340</f>
        <v>0</v>
      </c>
      <c r="J39" s="2257">
        <f t="shared" si="1"/>
        <v>0</v>
      </c>
      <c r="K39" s="2285">
        <f>'[3]НВВ перекачка'!AC340</f>
        <v>0</v>
      </c>
      <c r="L39" s="2285">
        <f>'[3]НВВ перекачка'!AD340</f>
        <v>0</v>
      </c>
      <c r="M39" s="2259">
        <f t="shared" si="2"/>
        <v>0</v>
      </c>
      <c r="N39" s="2284"/>
      <c r="O39" s="2285"/>
      <c r="P39" s="2259">
        <f t="shared" si="3"/>
        <v>0</v>
      </c>
      <c r="Q39" s="2284">
        <v>0</v>
      </c>
      <c r="R39" s="2285">
        <v>0</v>
      </c>
      <c r="S39" s="2259">
        <f t="shared" si="4"/>
        <v>0</v>
      </c>
      <c r="T39" s="2294">
        <v>0</v>
      </c>
      <c r="U39" s="2296">
        <v>0</v>
      </c>
      <c r="V39" s="2268">
        <f t="shared" si="5"/>
        <v>0</v>
      </c>
      <c r="W39" s="2294">
        <v>0</v>
      </c>
      <c r="X39" s="2296">
        <v>0</v>
      </c>
      <c r="Y39" s="2268">
        <f t="shared" si="6"/>
        <v>0</v>
      </c>
      <c r="Z39" s="2294">
        <v>0</v>
      </c>
      <c r="AA39" s="2296">
        <v>0</v>
      </c>
      <c r="AB39" s="2268">
        <f t="shared" si="7"/>
        <v>0</v>
      </c>
      <c r="AF39" s="2218">
        <f t="shared" si="8"/>
        <v>0</v>
      </c>
      <c r="AG39" s="2593">
        <f t="shared" si="9"/>
        <v>0</v>
      </c>
      <c r="AH39" s="2218">
        <f t="shared" si="10"/>
        <v>0</v>
      </c>
      <c r="AI39" s="2593">
        <f t="shared" si="11"/>
        <v>0</v>
      </c>
    </row>
    <row r="40" spans="1:35" s="2218" customFormat="1" ht="38.25" customHeight="1">
      <c r="A40" s="2235">
        <v>78</v>
      </c>
      <c r="B40" s="2281" t="s">
        <v>1798</v>
      </c>
      <c r="C40" s="2282" t="s">
        <v>1799</v>
      </c>
      <c r="D40" s="2283" t="s">
        <v>1800</v>
      </c>
      <c r="E40" s="2284">
        <f>'[3]НВВ перекачка'!K341</f>
        <v>134.25833333333335</v>
      </c>
      <c r="F40" s="2285">
        <f>'[3]НВВ перекачка'!L341</f>
        <v>134.25833333333335</v>
      </c>
      <c r="G40" s="2257">
        <f t="shared" si="0"/>
        <v>134.25833333333335</v>
      </c>
      <c r="H40" s="2285">
        <f>'[3]НВВ перекачка'!T341</f>
        <v>102.61666666666667</v>
      </c>
      <c r="I40" s="2285">
        <f>'[3]НВВ перекачка'!U341</f>
        <v>102.61666666666667</v>
      </c>
      <c r="J40" s="2257">
        <f t="shared" si="1"/>
        <v>102.61666666666667</v>
      </c>
      <c r="K40" s="2285">
        <f>'[3]НВВ перекачка'!AC341</f>
        <v>106</v>
      </c>
      <c r="L40" s="2285">
        <f>'[3]НВВ перекачка'!AD341</f>
        <v>106</v>
      </c>
      <c r="M40" s="2259">
        <f t="shared" si="2"/>
        <v>106</v>
      </c>
      <c r="N40" s="2284"/>
      <c r="O40" s="2285">
        <v>106</v>
      </c>
      <c r="P40" s="2259">
        <f t="shared" si="3"/>
        <v>53</v>
      </c>
      <c r="Q40" s="2284">
        <v>33</v>
      </c>
      <c r="R40" s="2285">
        <v>33</v>
      </c>
      <c r="S40" s="2259">
        <f t="shared" si="4"/>
        <v>33</v>
      </c>
      <c r="T40" s="2385">
        <f t="shared" ref="T40:U55" si="14">N40+Q40</f>
        <v>33</v>
      </c>
      <c r="U40" s="2285">
        <f t="shared" si="14"/>
        <v>139</v>
      </c>
      <c r="V40" s="2268">
        <f t="shared" si="5"/>
        <v>86</v>
      </c>
      <c r="W40" s="2884">
        <f>T40/$T$272*$W$272</f>
        <v>7.1296801862885291</v>
      </c>
      <c r="X40" s="2885">
        <f>U40/$T$272*$W$272</f>
        <v>30.031077148306228</v>
      </c>
      <c r="Y40" s="2268">
        <f t="shared" si="6"/>
        <v>18.580378667297378</v>
      </c>
      <c r="Z40" s="2884">
        <f t="shared" ref="Z40:AA56" si="15">T40/$T$272*$Z$272</f>
        <v>25.870319813711472</v>
      </c>
      <c r="AA40" s="2885">
        <f t="shared" si="15"/>
        <v>108.96892285169376</v>
      </c>
      <c r="AB40" s="2268">
        <f t="shared" si="7"/>
        <v>67.419621332702619</v>
      </c>
      <c r="AF40" s="2218">
        <f t="shared" si="8"/>
        <v>30.031077148306228</v>
      </c>
      <c r="AG40" s="2593">
        <f t="shared" si="9"/>
        <v>0</v>
      </c>
      <c r="AH40" s="2218">
        <f t="shared" si="10"/>
        <v>108.96892285169376</v>
      </c>
      <c r="AI40" s="2593">
        <f t="shared" si="11"/>
        <v>0</v>
      </c>
    </row>
    <row r="41" spans="1:35" s="2218" customFormat="1" ht="56.25" customHeight="1">
      <c r="A41" s="2235">
        <v>88</v>
      </c>
      <c r="B41" s="2287" t="s">
        <v>1802</v>
      </c>
      <c r="C41" s="2288" t="s">
        <v>1803</v>
      </c>
      <c r="D41" s="2289" t="s">
        <v>1317</v>
      </c>
      <c r="E41" s="2290">
        <f>'[3]НВВ перекачка'!K342</f>
        <v>6704.4406403940884</v>
      </c>
      <c r="F41" s="2291">
        <f>'[3]НВВ перекачка'!L342</f>
        <v>6905.5738596059109</v>
      </c>
      <c r="G41" s="2257">
        <f t="shared" si="0"/>
        <v>6805.0072499999997</v>
      </c>
      <c r="H41" s="2291">
        <f>'[3]НВВ перекачка'!T342</f>
        <v>7410.0126251476941</v>
      </c>
      <c r="I41" s="2291">
        <f>'[3]НВВ перекачка'!U342</f>
        <v>7614.1757432639206</v>
      </c>
      <c r="J41" s="2257">
        <f t="shared" si="1"/>
        <v>7512.0941842058073</v>
      </c>
      <c r="K41" s="2291">
        <f>'[3]НВВ перекачка'!AC342</f>
        <v>7963.5490223227307</v>
      </c>
      <c r="L41" s="2291">
        <f>'[3]НВВ перекачка'!AD342</f>
        <v>8381.560207127739</v>
      </c>
      <c r="M41" s="2259">
        <f t="shared" si="2"/>
        <v>8172.5546147252353</v>
      </c>
      <c r="N41" s="2290">
        <v>0</v>
      </c>
      <c r="O41" s="2290">
        <f>O31*0.302</f>
        <v>9811.6373271724915</v>
      </c>
      <c r="P41" s="2259">
        <f t="shared" si="3"/>
        <v>4905.8186635862457</v>
      </c>
      <c r="Q41" s="2290">
        <f>Q31*0.302</f>
        <v>3084.926137169808</v>
      </c>
      <c r="R41" s="2290">
        <f>R31*0.302</f>
        <v>3307.0408190460344</v>
      </c>
      <c r="S41" s="2259">
        <f t="shared" si="4"/>
        <v>3195.9834781079212</v>
      </c>
      <c r="T41" s="2467">
        <f t="shared" si="14"/>
        <v>3084.926137169808</v>
      </c>
      <c r="U41" s="2291">
        <f t="shared" si="14"/>
        <v>13118.678146218526</v>
      </c>
      <c r="V41" s="2268">
        <f t="shared" si="5"/>
        <v>8101.8021416941674</v>
      </c>
      <c r="W41" s="2377">
        <f>T41/$T$272*$N$272</f>
        <v>666.50111382858154</v>
      </c>
      <c r="X41" s="2256">
        <f>U41/$T$272*$N$272</f>
        <v>2834.3024136178956</v>
      </c>
      <c r="Y41" s="2268">
        <f t="shared" si="6"/>
        <v>1750.4017637232387</v>
      </c>
      <c r="Z41" s="2886">
        <f t="shared" si="15"/>
        <v>2418.4250233412267</v>
      </c>
      <c r="AA41" s="2887">
        <f t="shared" si="15"/>
        <v>10284.375732600629</v>
      </c>
      <c r="AB41" s="2268">
        <f t="shared" si="7"/>
        <v>6351.4003779709274</v>
      </c>
      <c r="AF41" s="2218">
        <f t="shared" si="8"/>
        <v>2834.3024136178956</v>
      </c>
      <c r="AG41" s="2593">
        <f t="shared" si="9"/>
        <v>0</v>
      </c>
      <c r="AH41" s="2218">
        <f t="shared" si="10"/>
        <v>10284.375732600629</v>
      </c>
      <c r="AI41" s="2593">
        <f t="shared" si="11"/>
        <v>0</v>
      </c>
    </row>
    <row r="42" spans="1:35" s="2218" customFormat="1" ht="33.75" customHeight="1">
      <c r="A42" s="2235">
        <v>287</v>
      </c>
      <c r="B42" s="2281" t="s">
        <v>1805</v>
      </c>
      <c r="C42" s="2282" t="s">
        <v>1806</v>
      </c>
      <c r="D42" s="2283" t="s">
        <v>1313</v>
      </c>
      <c r="E42" s="2284"/>
      <c r="F42" s="2285"/>
      <c r="G42" s="2257">
        <f t="shared" si="0"/>
        <v>0</v>
      </c>
      <c r="H42" s="2285"/>
      <c r="I42" s="2285"/>
      <c r="J42" s="2257">
        <f t="shared" si="1"/>
        <v>0</v>
      </c>
      <c r="K42" s="2285"/>
      <c r="L42" s="2285"/>
      <c r="M42" s="2259">
        <f t="shared" si="2"/>
        <v>0</v>
      </c>
      <c r="N42" s="2284"/>
      <c r="O42" s="2285"/>
      <c r="P42" s="2259">
        <f t="shared" si="3"/>
        <v>0</v>
      </c>
      <c r="Q42" s="2284">
        <v>0</v>
      </c>
      <c r="R42" s="2285">
        <v>0</v>
      </c>
      <c r="S42" s="2259">
        <f t="shared" si="4"/>
        <v>0</v>
      </c>
      <c r="T42" s="2385">
        <f t="shared" si="14"/>
        <v>0</v>
      </c>
      <c r="U42" s="2285">
        <f t="shared" si="14"/>
        <v>0</v>
      </c>
      <c r="V42" s="2268">
        <f t="shared" si="5"/>
        <v>0</v>
      </c>
      <c r="W42" s="2884">
        <f>T42/$T$272*$W$272</f>
        <v>0</v>
      </c>
      <c r="X42" s="2885">
        <f>U42/$T$272*$W$272</f>
        <v>0</v>
      </c>
      <c r="Y42" s="2268">
        <f t="shared" si="6"/>
        <v>0</v>
      </c>
      <c r="Z42" s="2884">
        <f t="shared" si="15"/>
        <v>0</v>
      </c>
      <c r="AA42" s="2885">
        <f t="shared" si="15"/>
        <v>0</v>
      </c>
      <c r="AB42" s="2268">
        <f t="shared" si="7"/>
        <v>0</v>
      </c>
      <c r="AF42" s="2218">
        <f t="shared" si="8"/>
        <v>0</v>
      </c>
      <c r="AG42" s="2593">
        <f t="shared" si="9"/>
        <v>0</v>
      </c>
      <c r="AH42" s="2218">
        <f t="shared" si="10"/>
        <v>0</v>
      </c>
      <c r="AI42" s="2593">
        <f t="shared" si="11"/>
        <v>0</v>
      </c>
    </row>
    <row r="43" spans="1:35" s="2218" customFormat="1" ht="18" customHeight="1">
      <c r="A43" s="2235">
        <v>8</v>
      </c>
      <c r="B43" s="2279" t="s">
        <v>1807</v>
      </c>
      <c r="C43" s="2295" t="s">
        <v>1808</v>
      </c>
      <c r="D43" s="2254" t="s">
        <v>1313</v>
      </c>
      <c r="E43" s="2255">
        <f>E44+E45</f>
        <v>8119.2384265569199</v>
      </c>
      <c r="F43" s="2256">
        <f>F44+F45</f>
        <v>8362.8155793536262</v>
      </c>
      <c r="G43" s="2257">
        <f t="shared" si="0"/>
        <v>8241.0270029552739</v>
      </c>
      <c r="H43" s="2256">
        <f>H44+H45</f>
        <v>7467.9176632802973</v>
      </c>
      <c r="I43" s="2256">
        <f>I44+I45</f>
        <v>7736.7626991583875</v>
      </c>
      <c r="J43" s="2257">
        <f t="shared" si="1"/>
        <v>7602.3401812193424</v>
      </c>
      <c r="K43" s="2256">
        <f>K44+K45</f>
        <v>2616.3521326964983</v>
      </c>
      <c r="L43" s="2256">
        <f>L44+L45</f>
        <v>2728.8552744024482</v>
      </c>
      <c r="M43" s="2259">
        <f t="shared" si="2"/>
        <v>2672.6037035494733</v>
      </c>
      <c r="N43" s="2256">
        <f>N44+N45</f>
        <v>0</v>
      </c>
      <c r="O43" s="2256">
        <f>O44+O45</f>
        <v>3100.8528254089897</v>
      </c>
      <c r="P43" s="2259">
        <f t="shared" si="3"/>
        <v>1550.4264127044949</v>
      </c>
      <c r="Q43" s="2256">
        <f>Q44+Q45</f>
        <v>5824.5954600853756</v>
      </c>
      <c r="R43" s="2256">
        <f>R44+R45</f>
        <v>6243.9663332115233</v>
      </c>
      <c r="S43" s="2259">
        <f t="shared" si="4"/>
        <v>6034.2808966484499</v>
      </c>
      <c r="T43" s="2377">
        <f t="shared" si="14"/>
        <v>5824.5954600853756</v>
      </c>
      <c r="U43" s="2256">
        <f t="shared" si="14"/>
        <v>9344.8191586205139</v>
      </c>
      <c r="V43" s="2268">
        <f t="shared" si="5"/>
        <v>7584.7073093529452</v>
      </c>
      <c r="W43" s="2377">
        <f>T43/$T$272*$N$272</f>
        <v>1258.4091771186916</v>
      </c>
      <c r="X43" s="2256">
        <f>U43/$T$272*$N$272</f>
        <v>2018.9567272626098</v>
      </c>
      <c r="Y43" s="2268">
        <f t="shared" si="6"/>
        <v>1638.6829521906507</v>
      </c>
      <c r="Z43" s="2886">
        <f t="shared" si="15"/>
        <v>4566.1862829666843</v>
      </c>
      <c r="AA43" s="2887">
        <f t="shared" si="15"/>
        <v>7325.8624313579039</v>
      </c>
      <c r="AB43" s="2268">
        <f t="shared" si="7"/>
        <v>5946.0243571622941</v>
      </c>
      <c r="AF43" s="2218">
        <f t="shared" si="8"/>
        <v>2018.9567272626098</v>
      </c>
      <c r="AG43" s="2593">
        <f t="shared" si="9"/>
        <v>0</v>
      </c>
      <c r="AH43" s="2218">
        <f t="shared" si="10"/>
        <v>7325.8624313579039</v>
      </c>
      <c r="AI43" s="2593">
        <f t="shared" si="11"/>
        <v>0</v>
      </c>
    </row>
    <row r="44" spans="1:35" s="2218" customFormat="1" ht="20.25" customHeight="1">
      <c r="A44" s="2235">
        <v>99</v>
      </c>
      <c r="B44" s="2281" t="s">
        <v>1809</v>
      </c>
      <c r="C44" s="2282" t="s">
        <v>1810</v>
      </c>
      <c r="D44" s="2283" t="s">
        <v>1317</v>
      </c>
      <c r="E44" s="2284">
        <f>'[3]НВВ перекачка'!K345</f>
        <v>801.16393103447831</v>
      </c>
      <c r="F44" s="2285">
        <f>'[3]НВВ перекачка'!L345</f>
        <v>825.19884896551275</v>
      </c>
      <c r="G44" s="2257">
        <f t="shared" si="0"/>
        <v>813.18138999999553</v>
      </c>
      <c r="H44" s="2285">
        <f>'[3]НВВ перекачка'!T345</f>
        <v>1250.9066306483296</v>
      </c>
      <c r="I44" s="2285">
        <f>'[3]НВВ перекачка'!U345</f>
        <v>1295.9392693516697</v>
      </c>
      <c r="J44" s="2257">
        <f t="shared" si="1"/>
        <v>1273.4229499999997</v>
      </c>
      <c r="K44" s="2285">
        <f>'[3]НВВ перекачка'!AC345</f>
        <v>1027.7060597161033</v>
      </c>
      <c r="L44" s="2285">
        <f>'[3]НВВ перекачка'!AD345</f>
        <v>1071.8974202838961</v>
      </c>
      <c r="M44" s="2259">
        <f t="shared" si="2"/>
        <v>1049.8017399999997</v>
      </c>
      <c r="N44" s="2284"/>
      <c r="O44" s="2285">
        <f t="shared" ref="O44:O50" si="16">L44*1.06*1.072</f>
        <v>1218.0184766169968</v>
      </c>
      <c r="P44" s="2259">
        <f t="shared" si="3"/>
        <v>609.00923830849842</v>
      </c>
      <c r="Q44" s="2294">
        <v>1513.0124140859891</v>
      </c>
      <c r="R44" s="2285">
        <f t="shared" ref="R44:R51" si="17">Q44*1.072</f>
        <v>1621.9493079001804</v>
      </c>
      <c r="S44" s="2259">
        <f t="shared" si="4"/>
        <v>1567.4808609930847</v>
      </c>
      <c r="T44" s="2468">
        <f t="shared" si="14"/>
        <v>1513.0124140859891</v>
      </c>
      <c r="U44" s="2296">
        <f t="shared" si="14"/>
        <v>2839.9677845171773</v>
      </c>
      <c r="V44" s="2268">
        <f t="shared" si="5"/>
        <v>2176.4900993015831</v>
      </c>
      <c r="W44" s="2884">
        <f>T44/$T$272*$W$272</f>
        <v>326.88771607022579</v>
      </c>
      <c r="X44" s="2885">
        <f>U44/$T$272*$W$272</f>
        <v>613.57763766575295</v>
      </c>
      <c r="Y44" s="2268">
        <f t="shared" si="6"/>
        <v>470.23267686798937</v>
      </c>
      <c r="Z44" s="2884">
        <f t="shared" si="15"/>
        <v>1186.1246980157632</v>
      </c>
      <c r="AA44" s="2885">
        <f t="shared" si="15"/>
        <v>2226.3901468514241</v>
      </c>
      <c r="AB44" s="2268">
        <f t="shared" si="7"/>
        <v>1706.2574224335935</v>
      </c>
      <c r="AF44" s="2218">
        <f t="shared" si="8"/>
        <v>613.57763766575295</v>
      </c>
      <c r="AG44" s="2593">
        <f t="shared" si="9"/>
        <v>0</v>
      </c>
      <c r="AH44" s="2218">
        <f t="shared" si="10"/>
        <v>2226.3901468514241</v>
      </c>
      <c r="AI44" s="2593">
        <f t="shared" si="11"/>
        <v>0</v>
      </c>
    </row>
    <row r="45" spans="1:35" s="2218" customFormat="1" ht="21.75" customHeight="1">
      <c r="A45" s="2235">
        <v>9</v>
      </c>
      <c r="B45" s="2281" t="s">
        <v>1812</v>
      </c>
      <c r="C45" s="2282" t="s">
        <v>1813</v>
      </c>
      <c r="D45" s="2283" t="s">
        <v>1313</v>
      </c>
      <c r="E45" s="2284">
        <f>'[3]НВВ перекачка'!K346</f>
        <v>7318.0744955224418</v>
      </c>
      <c r="F45" s="2285">
        <f>'[3]НВВ перекачка'!L346</f>
        <v>7537.6167303881139</v>
      </c>
      <c r="G45" s="2257">
        <f t="shared" si="0"/>
        <v>7427.8456129552778</v>
      </c>
      <c r="H45" s="2285">
        <f>'[3]НВВ перекачка'!T346</f>
        <v>6217.0110326319673</v>
      </c>
      <c r="I45" s="2285">
        <f>'[3]НВВ перекачка'!U346</f>
        <v>6440.8234298067173</v>
      </c>
      <c r="J45" s="2257">
        <f t="shared" si="1"/>
        <v>6328.9172312193423</v>
      </c>
      <c r="K45" s="2285">
        <f>'[3]НВВ перекачка'!AC346</f>
        <v>1588.6460729803948</v>
      </c>
      <c r="L45" s="2285">
        <f>'[3]НВВ перекачка'!AD346</f>
        <v>1656.9578541185519</v>
      </c>
      <c r="M45" s="2259">
        <f t="shared" si="2"/>
        <v>1622.8019635494734</v>
      </c>
      <c r="N45" s="2284"/>
      <c r="O45" s="2285">
        <f t="shared" si="16"/>
        <v>1882.8343487919931</v>
      </c>
      <c r="P45" s="2259">
        <f t="shared" si="3"/>
        <v>941.41717439599654</v>
      </c>
      <c r="Q45" s="2294">
        <v>4311.5830459993867</v>
      </c>
      <c r="R45" s="2285">
        <f t="shared" si="17"/>
        <v>4622.0170253113429</v>
      </c>
      <c r="S45" s="2259">
        <f t="shared" si="4"/>
        <v>4466.8000356553648</v>
      </c>
      <c r="T45" s="2468">
        <f t="shared" si="14"/>
        <v>4311.5830459993867</v>
      </c>
      <c r="U45" s="2296">
        <f t="shared" si="14"/>
        <v>6504.8513741033357</v>
      </c>
      <c r="V45" s="2268">
        <f t="shared" si="5"/>
        <v>5408.2172100513617</v>
      </c>
      <c r="W45" s="2884">
        <f>T45/$T$272*$W$272</f>
        <v>931.52146104846588</v>
      </c>
      <c r="X45" s="2885">
        <f>U45/$T$272*$W$272</f>
        <v>1405.3790895968564</v>
      </c>
      <c r="Y45" s="2268">
        <f t="shared" si="6"/>
        <v>1168.4502753226611</v>
      </c>
      <c r="Z45" s="2884">
        <f t="shared" si="15"/>
        <v>3380.0615849509209</v>
      </c>
      <c r="AA45" s="2885">
        <f t="shared" si="15"/>
        <v>5099.4722845064789</v>
      </c>
      <c r="AB45" s="2268">
        <f t="shared" si="7"/>
        <v>4239.7669347287001</v>
      </c>
      <c r="AF45" s="2218">
        <f t="shared" si="8"/>
        <v>1405.3790895968564</v>
      </c>
      <c r="AG45" s="2593">
        <f t="shared" si="9"/>
        <v>0</v>
      </c>
      <c r="AH45" s="2218">
        <f t="shared" si="10"/>
        <v>5099.4722845064789</v>
      </c>
      <c r="AI45" s="2593">
        <f t="shared" si="11"/>
        <v>0</v>
      </c>
    </row>
    <row r="46" spans="1:35" s="2218" customFormat="1" ht="21" customHeight="1">
      <c r="A46" s="2235">
        <v>91</v>
      </c>
      <c r="B46" s="2279" t="s">
        <v>1815</v>
      </c>
      <c r="C46" s="2295" t="s">
        <v>1816</v>
      </c>
      <c r="D46" s="2254" t="s">
        <v>1317</v>
      </c>
      <c r="E46" s="2255">
        <f>E47+E48+E49+E50+E51+E52</f>
        <v>1594.2695369458136</v>
      </c>
      <c r="F46" s="2256">
        <f>F47+F48+F49+F50+F51+F52</f>
        <v>1642.0976230541885</v>
      </c>
      <c r="G46" s="2257">
        <f t="shared" si="0"/>
        <v>1618.183580000001</v>
      </c>
      <c r="H46" s="2256">
        <f>H47+H48+H49+H50+H51+H52</f>
        <v>1746.5680648330053</v>
      </c>
      <c r="I46" s="2256">
        <f>I47+I48+I49+I50+I51+I52</f>
        <v>1809.4445151669934</v>
      </c>
      <c r="J46" s="2257">
        <f t="shared" si="1"/>
        <v>1778.0062899999994</v>
      </c>
      <c r="K46" s="2256">
        <f>K47+K48+K49+K50+K51+K52</f>
        <v>1540.1069309838474</v>
      </c>
      <c r="L46" s="2256">
        <f>L47+L48+L49+L50+L51+L52</f>
        <v>1606.3315290161518</v>
      </c>
      <c r="M46" s="2259">
        <f t="shared" si="2"/>
        <v>1573.2192299999997</v>
      </c>
      <c r="N46" s="2256">
        <f>N47+N48+N49+N50+N51+N52</f>
        <v>0</v>
      </c>
      <c r="O46" s="2256">
        <f>O47+O48+O49+O50+O51+O52</f>
        <v>1825.3066430516337</v>
      </c>
      <c r="P46" s="2259">
        <f t="shared" si="3"/>
        <v>912.65332152581686</v>
      </c>
      <c r="Q46" s="2256">
        <f>Q47+Q48+Q49+Q50+Q51+Q52</f>
        <v>6961.259632195095</v>
      </c>
      <c r="R46" s="2256">
        <f>R47+R48+R49+R50+R51+R52</f>
        <v>7462.4703257131414</v>
      </c>
      <c r="S46" s="2259">
        <f t="shared" si="4"/>
        <v>7211.8649789541178</v>
      </c>
      <c r="T46" s="2377">
        <f t="shared" si="14"/>
        <v>6961.259632195095</v>
      </c>
      <c r="U46" s="2256">
        <f t="shared" si="14"/>
        <v>9287.7769687647742</v>
      </c>
      <c r="V46" s="2268">
        <f t="shared" si="5"/>
        <v>8124.5183004799346</v>
      </c>
      <c r="W46" s="2377">
        <f>T46/$T$272*$N$272</f>
        <v>1503.9865112506527</v>
      </c>
      <c r="X46" s="2256">
        <f>U46/$T$272*$N$272</f>
        <v>2006.6327099657315</v>
      </c>
      <c r="Y46" s="2268">
        <f t="shared" si="6"/>
        <v>1755.3096106081921</v>
      </c>
      <c r="Z46" s="2886">
        <f t="shared" si="15"/>
        <v>5457.2731209444419</v>
      </c>
      <c r="AA46" s="2887">
        <f t="shared" si="15"/>
        <v>7281.1442587990414</v>
      </c>
      <c r="AB46" s="2268">
        <f t="shared" si="7"/>
        <v>6369.2086898717416</v>
      </c>
      <c r="AF46" s="2218">
        <f t="shared" si="8"/>
        <v>2006.6327099657315</v>
      </c>
      <c r="AG46" s="2593">
        <f t="shared" si="9"/>
        <v>0</v>
      </c>
      <c r="AH46" s="2218">
        <f t="shared" si="10"/>
        <v>7281.1442587990414</v>
      </c>
      <c r="AI46" s="2593">
        <f t="shared" si="11"/>
        <v>0</v>
      </c>
    </row>
    <row r="47" spans="1:35" s="2218" customFormat="1" ht="20.25" customHeight="1">
      <c r="A47" s="2235">
        <v>92</v>
      </c>
      <c r="B47" s="2281" t="s">
        <v>1817</v>
      </c>
      <c r="C47" s="2282" t="s">
        <v>1818</v>
      </c>
      <c r="D47" s="2283" t="s">
        <v>1317</v>
      </c>
      <c r="E47" s="2284">
        <f>'[3]НВВ перекачка'!K348</f>
        <v>893.81357635468066</v>
      </c>
      <c r="F47" s="2285">
        <f>'[3]НВВ перекачка'!L348</f>
        <v>920.62798364532136</v>
      </c>
      <c r="G47" s="2257">
        <f t="shared" si="0"/>
        <v>907.22078000000101</v>
      </c>
      <c r="H47" s="2285">
        <f>'[3]НВВ перекачка'!T348</f>
        <v>1033.488418467583</v>
      </c>
      <c r="I47" s="2285">
        <f>'[3]НВВ перекачка'!U348</f>
        <v>1070.6940015324153</v>
      </c>
      <c r="J47" s="2257">
        <f t="shared" si="1"/>
        <v>1052.0912099999991</v>
      </c>
      <c r="K47" s="2285">
        <f>'[3]НВВ перекачка'!AC348</f>
        <v>726.11065100342603</v>
      </c>
      <c r="L47" s="2285">
        <f>'[3]НВВ перекачка'!AD348</f>
        <v>757.33340899657287</v>
      </c>
      <c r="M47" s="2259">
        <f t="shared" si="2"/>
        <v>741.72202999999945</v>
      </c>
      <c r="N47" s="2284"/>
      <c r="O47" s="2285">
        <f t="shared" si="16"/>
        <v>860.57309931098575</v>
      </c>
      <c r="P47" s="2259">
        <f t="shared" si="3"/>
        <v>430.28654965549288</v>
      </c>
      <c r="Q47" s="2284">
        <v>3749.6436895971001</v>
      </c>
      <c r="R47" s="2285">
        <f t="shared" si="17"/>
        <v>4019.6180352480915</v>
      </c>
      <c r="S47" s="2259">
        <f t="shared" si="4"/>
        <v>3884.6308624225958</v>
      </c>
      <c r="T47" s="2468">
        <f t="shared" si="14"/>
        <v>3749.6436895971001</v>
      </c>
      <c r="U47" s="2296">
        <f t="shared" si="14"/>
        <v>4880.191134559077</v>
      </c>
      <c r="V47" s="2268">
        <f t="shared" si="5"/>
        <v>4314.9174120780881</v>
      </c>
      <c r="W47" s="2884">
        <f t="shared" ref="W47:X52" si="18">T47/$T$272*$W$272</f>
        <v>810.11394907158365</v>
      </c>
      <c r="X47" s="2885">
        <f t="shared" si="18"/>
        <v>1054.3697587080844</v>
      </c>
      <c r="Y47" s="2268">
        <f t="shared" si="6"/>
        <v>932.24185388983403</v>
      </c>
      <c r="Z47" s="2884">
        <f t="shared" si="15"/>
        <v>2939.529740525516</v>
      </c>
      <c r="AA47" s="2885">
        <f t="shared" si="15"/>
        <v>3825.8213758509924</v>
      </c>
      <c r="AB47" s="2268">
        <f t="shared" si="7"/>
        <v>3382.6755581882544</v>
      </c>
      <c r="AF47" s="2218">
        <f t="shared" si="8"/>
        <v>1054.3697587080844</v>
      </c>
      <c r="AG47" s="2593">
        <f t="shared" si="9"/>
        <v>0</v>
      </c>
      <c r="AH47" s="2218">
        <f t="shared" si="10"/>
        <v>3825.8213758509924</v>
      </c>
      <c r="AI47" s="2593">
        <f t="shared" si="11"/>
        <v>0</v>
      </c>
    </row>
    <row r="48" spans="1:35" s="2218" customFormat="1" ht="38.25" customHeight="1">
      <c r="A48" s="2235">
        <v>95</v>
      </c>
      <c r="B48" s="2281" t="s">
        <v>1820</v>
      </c>
      <c r="C48" s="2282" t="s">
        <v>1821</v>
      </c>
      <c r="D48" s="2283" t="s">
        <v>1317</v>
      </c>
      <c r="E48" s="2284">
        <f>'[3]НВВ перекачка'!K349</f>
        <v>0</v>
      </c>
      <c r="F48" s="2285">
        <f>'[3]НВВ перекачка'!L349</f>
        <v>0</v>
      </c>
      <c r="G48" s="2257">
        <f t="shared" si="0"/>
        <v>0</v>
      </c>
      <c r="H48" s="2285">
        <f>'[3]НВВ перекачка'!T349</f>
        <v>0</v>
      </c>
      <c r="I48" s="2285">
        <f>'[3]НВВ перекачка'!U349</f>
        <v>0</v>
      </c>
      <c r="J48" s="2257">
        <f t="shared" si="1"/>
        <v>0</v>
      </c>
      <c r="K48" s="2285">
        <f>'[3]НВВ перекачка'!AC349</f>
        <v>0</v>
      </c>
      <c r="L48" s="2285">
        <f>'[3]НВВ перекачка'!AD349</f>
        <v>0</v>
      </c>
      <c r="M48" s="2259">
        <f t="shared" si="2"/>
        <v>0</v>
      </c>
      <c r="N48" s="2284"/>
      <c r="O48" s="2285">
        <f t="shared" si="16"/>
        <v>0</v>
      </c>
      <c r="P48" s="2259">
        <f t="shared" si="3"/>
        <v>0</v>
      </c>
      <c r="Q48" s="2284">
        <v>0</v>
      </c>
      <c r="R48" s="2285">
        <f t="shared" si="17"/>
        <v>0</v>
      </c>
      <c r="S48" s="2259">
        <f t="shared" si="4"/>
        <v>0</v>
      </c>
      <c r="T48" s="2468">
        <f t="shared" si="14"/>
        <v>0</v>
      </c>
      <c r="U48" s="2296">
        <f t="shared" si="14"/>
        <v>0</v>
      </c>
      <c r="V48" s="2268">
        <f t="shared" si="5"/>
        <v>0</v>
      </c>
      <c r="W48" s="2884">
        <f t="shared" si="18"/>
        <v>0</v>
      </c>
      <c r="X48" s="2885">
        <f t="shared" si="18"/>
        <v>0</v>
      </c>
      <c r="Y48" s="2268">
        <f t="shared" si="6"/>
        <v>0</v>
      </c>
      <c r="Z48" s="2884">
        <f t="shared" si="15"/>
        <v>0</v>
      </c>
      <c r="AA48" s="2885">
        <f t="shared" si="15"/>
        <v>0</v>
      </c>
      <c r="AB48" s="2268">
        <f t="shared" si="7"/>
        <v>0</v>
      </c>
      <c r="AF48" s="2218">
        <f t="shared" si="8"/>
        <v>0</v>
      </c>
      <c r="AG48" s="2593">
        <f t="shared" si="9"/>
        <v>0</v>
      </c>
      <c r="AH48" s="2218">
        <f t="shared" si="10"/>
        <v>0</v>
      </c>
      <c r="AI48" s="2593">
        <f t="shared" si="11"/>
        <v>0</v>
      </c>
    </row>
    <row r="49" spans="1:35" s="2218" customFormat="1" ht="54.75" customHeight="1">
      <c r="A49" s="2235">
        <v>266</v>
      </c>
      <c r="B49" s="2281" t="s">
        <v>1822</v>
      </c>
      <c r="C49" s="2282" t="s">
        <v>1823</v>
      </c>
      <c r="D49" s="2283" t="s">
        <v>1313</v>
      </c>
      <c r="E49" s="2284">
        <f>'[3]НВВ перекачка'!K350</f>
        <v>681.71602955665026</v>
      </c>
      <c r="F49" s="2285">
        <f>'[3]НВВ перекачка'!L350</f>
        <v>702.16751044335001</v>
      </c>
      <c r="G49" s="2257">
        <f t="shared" si="0"/>
        <v>691.94177000000013</v>
      </c>
      <c r="H49" s="2285">
        <f>'[3]НВВ перекачка'!T350</f>
        <v>701.37833988212151</v>
      </c>
      <c r="I49" s="2285">
        <f>'[3]НВВ перекачка'!U350</f>
        <v>726.62796011787805</v>
      </c>
      <c r="J49" s="2257">
        <f t="shared" si="1"/>
        <v>714.00314999999978</v>
      </c>
      <c r="K49" s="2285">
        <f>'[3]НВВ перекачка'!AC350</f>
        <v>764.70790014684326</v>
      </c>
      <c r="L49" s="2285">
        <f>'[3]НВВ перекачка'!AD350</f>
        <v>797.59033985315705</v>
      </c>
      <c r="M49" s="2259">
        <f t="shared" si="2"/>
        <v>781.14912000000015</v>
      </c>
      <c r="N49" s="2284"/>
      <c r="O49" s="2285">
        <f t="shared" si="16"/>
        <v>906.31785498193949</v>
      </c>
      <c r="P49" s="2259">
        <f>N49/2+O49/2</f>
        <v>453.15892749096975</v>
      </c>
      <c r="Q49" s="2284">
        <v>1676.6699086639253</v>
      </c>
      <c r="R49" s="2285">
        <f t="shared" si="17"/>
        <v>1797.390142087728</v>
      </c>
      <c r="S49" s="2259">
        <f>Q49/2+R49/2</f>
        <v>1737.0300253758267</v>
      </c>
      <c r="T49" s="2468">
        <f t="shared" si="14"/>
        <v>1676.6699086639253</v>
      </c>
      <c r="U49" s="2296">
        <f t="shared" si="14"/>
        <v>2703.7079970696677</v>
      </c>
      <c r="V49" s="2268">
        <f t="shared" si="5"/>
        <v>2190.1889528667966</v>
      </c>
      <c r="W49" s="2884">
        <f t="shared" si="18"/>
        <v>362.24606747719349</v>
      </c>
      <c r="X49" s="2885">
        <f t="shared" si="18"/>
        <v>584.13858594598344</v>
      </c>
      <c r="Y49" s="2268">
        <f t="shared" si="6"/>
        <v>473.19232671158846</v>
      </c>
      <c r="Z49" s="2884">
        <f t="shared" si="15"/>
        <v>1314.4238411867316</v>
      </c>
      <c r="AA49" s="2885">
        <f t="shared" si="15"/>
        <v>2119.5694111236839</v>
      </c>
      <c r="AB49" s="2268">
        <f t="shared" si="7"/>
        <v>1716.9966261552077</v>
      </c>
      <c r="AF49" s="2218">
        <f t="shared" si="8"/>
        <v>584.13858594598344</v>
      </c>
      <c r="AG49" s="2593">
        <f t="shared" si="9"/>
        <v>0</v>
      </c>
      <c r="AH49" s="2218">
        <f t="shared" si="10"/>
        <v>2119.5694111236839</v>
      </c>
      <c r="AI49" s="2593">
        <f t="shared" si="11"/>
        <v>0</v>
      </c>
    </row>
    <row r="50" spans="1:35" s="2218" customFormat="1" ht="30.75" customHeight="1">
      <c r="A50" s="2235">
        <v>267</v>
      </c>
      <c r="B50" s="2281" t="s">
        <v>1825</v>
      </c>
      <c r="C50" s="2282" t="s">
        <v>1826</v>
      </c>
      <c r="D50" s="2283" t="s">
        <v>1128</v>
      </c>
      <c r="E50" s="2284">
        <f>'[3]НВВ перекачка'!K351</f>
        <v>11.198916256157645</v>
      </c>
      <c r="F50" s="2285">
        <f>'[3]НВВ перекачка'!L351</f>
        <v>11.534883743842329</v>
      </c>
      <c r="G50" s="2257">
        <f t="shared" si="0"/>
        <v>11.366899999999987</v>
      </c>
      <c r="H50" s="2285">
        <f>'[3]НВВ перекачка'!T351</f>
        <v>11.701306483300868</v>
      </c>
      <c r="I50" s="2285">
        <f>'[3]НВВ перекачка'!U351</f>
        <v>12.122553516700009</v>
      </c>
      <c r="J50" s="2257">
        <f t="shared" si="1"/>
        <v>11.911930000000439</v>
      </c>
      <c r="K50" s="2285">
        <f>'[3]НВВ перекачка'!AC351</f>
        <v>49.288379833578119</v>
      </c>
      <c r="L50" s="2285">
        <f>'[3]НВВ перекачка'!AD351</f>
        <v>51.407780166421844</v>
      </c>
      <c r="M50" s="2259">
        <f t="shared" si="2"/>
        <v>50.348079999999982</v>
      </c>
      <c r="N50" s="2284"/>
      <c r="O50" s="2285">
        <f t="shared" si="16"/>
        <v>58.415688758708477</v>
      </c>
      <c r="P50" s="2259">
        <f>N50/2+O50/2</f>
        <v>29.207844379354238</v>
      </c>
      <c r="Q50" s="2284">
        <v>1438.1604804055328</v>
      </c>
      <c r="R50" s="2285">
        <f t="shared" si="17"/>
        <v>1541.7080349947312</v>
      </c>
      <c r="S50" s="2259">
        <f>Q50/2+R50/2</f>
        <v>1489.9342577001321</v>
      </c>
      <c r="T50" s="2468">
        <f t="shared" si="14"/>
        <v>1438.1604804055328</v>
      </c>
      <c r="U50" s="2296">
        <f t="shared" si="14"/>
        <v>1600.1237237534397</v>
      </c>
      <c r="V50" s="2268">
        <f t="shared" si="5"/>
        <v>1519.1421020794862</v>
      </c>
      <c r="W50" s="2884">
        <f t="shared" si="18"/>
        <v>310.71588732880366</v>
      </c>
      <c r="X50" s="2885">
        <f t="shared" si="18"/>
        <v>345.70819420773086</v>
      </c>
      <c r="Y50" s="2268">
        <f t="shared" si="6"/>
        <v>328.21204076826723</v>
      </c>
      <c r="Z50" s="2884">
        <f t="shared" si="15"/>
        <v>1127.4445930767292</v>
      </c>
      <c r="AA50" s="2885">
        <f t="shared" si="15"/>
        <v>1254.4155295457088</v>
      </c>
      <c r="AB50" s="2268">
        <f t="shared" si="7"/>
        <v>1190.9300613112191</v>
      </c>
      <c r="AF50" s="2218">
        <f t="shared" si="8"/>
        <v>345.70819420773086</v>
      </c>
      <c r="AG50" s="2593">
        <f t="shared" si="9"/>
        <v>0</v>
      </c>
      <c r="AH50" s="2218">
        <f t="shared" si="10"/>
        <v>1254.4155295457088</v>
      </c>
      <c r="AI50" s="2593">
        <f t="shared" si="11"/>
        <v>0</v>
      </c>
    </row>
    <row r="51" spans="1:35" s="2218" customFormat="1" ht="42.75" customHeight="1">
      <c r="A51" s="2235">
        <v>93</v>
      </c>
      <c r="B51" s="2281" t="s">
        <v>1828</v>
      </c>
      <c r="C51" s="2282" t="s">
        <v>1829</v>
      </c>
      <c r="D51" s="2283" t="s">
        <v>1317</v>
      </c>
      <c r="E51" s="2284">
        <f>'[3]НВВ перекачка'!K352</f>
        <v>7.5410147783251062</v>
      </c>
      <c r="F51" s="2285">
        <f>'[3]НВВ перекачка'!L352</f>
        <v>7.7672452216748624</v>
      </c>
      <c r="G51" s="2257">
        <f t="shared" si="0"/>
        <v>7.6541299999999843</v>
      </c>
      <c r="H51" s="2285">
        <f>'[3]НВВ перекачка'!T352</f>
        <v>0</v>
      </c>
      <c r="I51" s="2285">
        <f>'[3]НВВ перекачка'!U352</f>
        <v>0</v>
      </c>
      <c r="J51" s="2257">
        <f t="shared" si="1"/>
        <v>0</v>
      </c>
      <c r="K51" s="2285">
        <f>'[3]НВВ перекачка'!AC352</f>
        <v>0</v>
      </c>
      <c r="L51" s="2285">
        <f>'[3]НВВ перекачка'!AD352</f>
        <v>0</v>
      </c>
      <c r="M51" s="2259">
        <f t="shared" si="2"/>
        <v>0</v>
      </c>
      <c r="N51" s="2284"/>
      <c r="O51" s="2285"/>
      <c r="P51" s="2259">
        <f t="shared" ref="P51:P60" si="19">N51/2+O51/2</f>
        <v>0</v>
      </c>
      <c r="Q51" s="2284">
        <v>96.785553528535829</v>
      </c>
      <c r="R51" s="2285">
        <f t="shared" si="17"/>
        <v>103.75411338259042</v>
      </c>
      <c r="S51" s="2259">
        <f t="shared" ref="S51:S60" si="20">Q51/2+R51/2</f>
        <v>100.26983345556312</v>
      </c>
      <c r="T51" s="2468">
        <f t="shared" si="14"/>
        <v>96.785553528535829</v>
      </c>
      <c r="U51" s="2296">
        <f t="shared" si="14"/>
        <v>103.75411338259042</v>
      </c>
      <c r="V51" s="2268">
        <f t="shared" si="5"/>
        <v>100.26983345556312</v>
      </c>
      <c r="W51" s="2884">
        <f t="shared" si="18"/>
        <v>20.910607373071809</v>
      </c>
      <c r="X51" s="2885">
        <f t="shared" si="18"/>
        <v>22.416171103932985</v>
      </c>
      <c r="Y51" s="2268">
        <f t="shared" si="6"/>
        <v>21.663389238502397</v>
      </c>
      <c r="Z51" s="2884">
        <f t="shared" si="15"/>
        <v>75.874946155464016</v>
      </c>
      <c r="AA51" s="2885">
        <f t="shared" si="15"/>
        <v>81.337942278657437</v>
      </c>
      <c r="AB51" s="2268">
        <f t="shared" si="7"/>
        <v>78.606444217060726</v>
      </c>
      <c r="AF51" s="2218">
        <f t="shared" si="8"/>
        <v>22.416171103932985</v>
      </c>
      <c r="AG51" s="2593">
        <f t="shared" si="9"/>
        <v>0</v>
      </c>
      <c r="AH51" s="2218">
        <f t="shared" si="10"/>
        <v>81.337942278657437</v>
      </c>
      <c r="AI51" s="2593">
        <f t="shared" si="11"/>
        <v>0</v>
      </c>
    </row>
    <row r="52" spans="1:35" s="2218" customFormat="1" ht="30.75" customHeight="1" thickBot="1">
      <c r="A52" s="2235">
        <v>94</v>
      </c>
      <c r="B52" s="2297" t="s">
        <v>1830</v>
      </c>
      <c r="C52" s="2298" t="s">
        <v>1831</v>
      </c>
      <c r="D52" s="2299" t="s">
        <v>1317</v>
      </c>
      <c r="E52" s="2300">
        <f>'[3]НВВ перекачка'!K353</f>
        <v>0</v>
      </c>
      <c r="F52" s="2301">
        <f>'[3]НВВ перекачка'!L353</f>
        <v>0</v>
      </c>
      <c r="G52" s="2266">
        <f t="shared" si="0"/>
        <v>0</v>
      </c>
      <c r="H52" s="2301">
        <f>'[3]НВВ перекачка'!T353</f>
        <v>0</v>
      </c>
      <c r="I52" s="2301">
        <f>'[3]НВВ перекачка'!U353</f>
        <v>0</v>
      </c>
      <c r="J52" s="2266">
        <f t="shared" si="1"/>
        <v>0</v>
      </c>
      <c r="K52" s="2301">
        <f>'[3]НВВ перекачка'!AC353</f>
        <v>0</v>
      </c>
      <c r="L52" s="2301">
        <f>'[3]НВВ перекачка'!AD353</f>
        <v>0</v>
      </c>
      <c r="M52" s="2268">
        <f t="shared" si="2"/>
        <v>0</v>
      </c>
      <c r="N52" s="2300"/>
      <c r="O52" s="2301"/>
      <c r="P52" s="2268">
        <f t="shared" si="19"/>
        <v>0</v>
      </c>
      <c r="Q52" s="2300">
        <v>0</v>
      </c>
      <c r="R52" s="2301">
        <v>0</v>
      </c>
      <c r="S52" s="2268">
        <f t="shared" si="20"/>
        <v>0</v>
      </c>
      <c r="T52" s="2468">
        <f t="shared" si="14"/>
        <v>0</v>
      </c>
      <c r="U52" s="2296">
        <f t="shared" si="14"/>
        <v>0</v>
      </c>
      <c r="V52" s="2268">
        <f t="shared" si="5"/>
        <v>0</v>
      </c>
      <c r="W52" s="2888">
        <f t="shared" si="18"/>
        <v>0</v>
      </c>
      <c r="X52" s="2889">
        <f t="shared" si="18"/>
        <v>0</v>
      </c>
      <c r="Y52" s="2268">
        <f t="shared" si="6"/>
        <v>0</v>
      </c>
      <c r="Z52" s="2888">
        <f t="shared" si="15"/>
        <v>0</v>
      </c>
      <c r="AA52" s="2889">
        <f t="shared" si="15"/>
        <v>0</v>
      </c>
      <c r="AB52" s="2268">
        <f t="shared" si="7"/>
        <v>0</v>
      </c>
      <c r="AF52" s="2218">
        <f t="shared" si="8"/>
        <v>0</v>
      </c>
      <c r="AG52" s="2593">
        <f t="shared" si="9"/>
        <v>0</v>
      </c>
      <c r="AH52" s="2218">
        <f t="shared" si="10"/>
        <v>0</v>
      </c>
      <c r="AI52" s="2593">
        <f t="shared" si="11"/>
        <v>0</v>
      </c>
    </row>
    <row r="53" spans="1:35" s="2218" customFormat="1" ht="24.75" customHeight="1" thickBot="1">
      <c r="A53" s="2235">
        <v>101</v>
      </c>
      <c r="B53" s="2270" t="s">
        <v>119</v>
      </c>
      <c r="C53" s="2271" t="s">
        <v>1832</v>
      </c>
      <c r="D53" s="2272" t="s">
        <v>1317</v>
      </c>
      <c r="E53" s="2273">
        <f>E54+E55+E56</f>
        <v>31266.747890529634</v>
      </c>
      <c r="F53" s="2275">
        <f>F54+F55+F56</f>
        <v>34108.837467352321</v>
      </c>
      <c r="G53" s="2303">
        <f t="shared" si="0"/>
        <v>32687.792678940976</v>
      </c>
      <c r="H53" s="2275">
        <f>H54+H55+H56</f>
        <v>34473.330994617012</v>
      </c>
      <c r="I53" s="2275">
        <f>I54+I55+I56</f>
        <v>35434.257432346232</v>
      </c>
      <c r="J53" s="2303">
        <f t="shared" si="1"/>
        <v>34953.794213481626</v>
      </c>
      <c r="K53" s="2275">
        <f>K54+K55+K56</f>
        <v>33049.516346022829</v>
      </c>
      <c r="L53" s="2275">
        <f>L54+L55+L56</f>
        <v>34922.253585288621</v>
      </c>
      <c r="M53" s="2303">
        <f t="shared" si="2"/>
        <v>33985.884965655729</v>
      </c>
      <c r="N53" s="2275">
        <f>N54+N55+N56</f>
        <v>28628.997377711807</v>
      </c>
      <c r="O53" s="2275">
        <f>O54+O55+O56</f>
        <v>38870.45526912684</v>
      </c>
      <c r="P53" s="2303">
        <f t="shared" si="19"/>
        <v>33749.726323419323</v>
      </c>
      <c r="Q53" s="2275">
        <f>Q54+Q55+Q56</f>
        <v>21584.14219734208</v>
      </c>
      <c r="R53" s="2275">
        <f>R54+R55+R56</f>
        <v>23138.200435550705</v>
      </c>
      <c r="S53" s="2303">
        <f t="shared" si="20"/>
        <v>22361.171316446394</v>
      </c>
      <c r="T53" s="2916">
        <f t="shared" si="14"/>
        <v>50213.139575053887</v>
      </c>
      <c r="U53" s="2917">
        <f t="shared" si="14"/>
        <v>62008.655704677542</v>
      </c>
      <c r="V53" s="2918">
        <f t="shared" si="5"/>
        <v>56110.897639865711</v>
      </c>
      <c r="W53" s="2916">
        <f>T53/$T$272*$N$272</f>
        <v>10848.594736957641</v>
      </c>
      <c r="X53" s="2275">
        <f>U53/$T$272*$N$272</f>
        <v>13397.026786546261</v>
      </c>
      <c r="Y53" s="2274">
        <f t="shared" si="6"/>
        <v>12122.810761751951</v>
      </c>
      <c r="Z53" s="2916">
        <f t="shared" si="15"/>
        <v>39364.544838096248</v>
      </c>
      <c r="AA53" s="2275">
        <f t="shared" si="15"/>
        <v>48611.628918131275</v>
      </c>
      <c r="AB53" s="2303">
        <f t="shared" si="7"/>
        <v>43988.086878113761</v>
      </c>
      <c r="AF53" s="2218">
        <f t="shared" si="8"/>
        <v>13397.026786546261</v>
      </c>
      <c r="AG53" s="2593">
        <f t="shared" si="9"/>
        <v>0</v>
      </c>
      <c r="AH53" s="2218">
        <f t="shared" si="10"/>
        <v>48611.628918131275</v>
      </c>
      <c r="AI53" s="2593">
        <f t="shared" si="11"/>
        <v>0</v>
      </c>
    </row>
    <row r="54" spans="1:35" s="2218" customFormat="1" ht="68.25" customHeight="1">
      <c r="A54" s="2235">
        <v>102</v>
      </c>
      <c r="B54" s="2305" t="s">
        <v>1833</v>
      </c>
      <c r="C54" s="2306" t="s">
        <v>1834</v>
      </c>
      <c r="D54" s="2307" t="s">
        <v>1317</v>
      </c>
      <c r="E54" s="2308">
        <f>'[3]НВВ перекачка'!K355</f>
        <v>220.0003152709362</v>
      </c>
      <c r="F54" s="2309">
        <f>'[3]НВВ перекачка'!L355</f>
        <v>226.60032472906414</v>
      </c>
      <c r="G54" s="2248">
        <f t="shared" si="0"/>
        <v>223.30032000000017</v>
      </c>
      <c r="H54" s="2309">
        <f>'[3]НВВ перекачка'!T355</f>
        <v>451.57840609612157</v>
      </c>
      <c r="I54" s="2309">
        <f>'[3]НВВ перекачка'!U355</f>
        <v>467.83522871558193</v>
      </c>
      <c r="J54" s="2248">
        <f t="shared" si="1"/>
        <v>459.70681740585178</v>
      </c>
      <c r="K54" s="2309">
        <f>'[3]НВВ перекачка'!AC355</f>
        <v>4839.7763103721909</v>
      </c>
      <c r="L54" s="2309">
        <f>'[3]НВВ перекачка'!AD355</f>
        <v>5047.8866917181949</v>
      </c>
      <c r="M54" s="2250">
        <f t="shared" si="2"/>
        <v>4943.8315010451934</v>
      </c>
      <c r="N54" s="2308"/>
      <c r="O54" s="2285">
        <f>L54*1.06*1.072</f>
        <v>5736.0146055332198</v>
      </c>
      <c r="P54" s="2250">
        <f t="shared" si="19"/>
        <v>2868.0073027666099</v>
      </c>
      <c r="Q54" s="2308">
        <v>0</v>
      </c>
      <c r="R54" s="2309">
        <v>0</v>
      </c>
      <c r="S54" s="2250">
        <f t="shared" si="20"/>
        <v>0</v>
      </c>
      <c r="T54" s="2919">
        <f t="shared" si="14"/>
        <v>0</v>
      </c>
      <c r="U54" s="2920">
        <f t="shared" si="14"/>
        <v>5736.0146055332198</v>
      </c>
      <c r="V54" s="2410">
        <f t="shared" si="5"/>
        <v>2868.0073027666099</v>
      </c>
      <c r="W54" s="2921">
        <f>T54/$T$272*$W$272</f>
        <v>0</v>
      </c>
      <c r="X54" s="2922">
        <f>U54/$T$272*$W$272</f>
        <v>1239.2712024646003</v>
      </c>
      <c r="Y54" s="2486">
        <f t="shared" si="6"/>
        <v>619.63560123230013</v>
      </c>
      <c r="Z54" s="2921">
        <f t="shared" si="15"/>
        <v>0</v>
      </c>
      <c r="AA54" s="2922">
        <f t="shared" si="15"/>
        <v>4496.743403068619</v>
      </c>
      <c r="AB54" s="2410">
        <f t="shared" si="7"/>
        <v>2248.3717015343095</v>
      </c>
      <c r="AF54" s="2218">
        <f t="shared" si="8"/>
        <v>1239.2712024646003</v>
      </c>
      <c r="AG54" s="2593">
        <f t="shared" si="9"/>
        <v>0</v>
      </c>
      <c r="AH54" s="2218">
        <f t="shared" si="10"/>
        <v>4496.743403068619</v>
      </c>
      <c r="AI54" s="2593">
        <f t="shared" si="11"/>
        <v>0</v>
      </c>
    </row>
    <row r="55" spans="1:35" s="2218" customFormat="1" ht="67.5" customHeight="1">
      <c r="A55" s="2235">
        <v>103</v>
      </c>
      <c r="B55" s="2281" t="s">
        <v>1836</v>
      </c>
      <c r="C55" s="2293" t="s">
        <v>1837</v>
      </c>
      <c r="D55" s="2283" t="s">
        <v>1317</v>
      </c>
      <c r="E55" s="2284">
        <f>'[3]НВВ перекачка'!K356</f>
        <v>522.13618719212263</v>
      </c>
      <c r="F55" s="2285">
        <f>'[3]НВВ перекачка'!L356</f>
        <v>537.80027280788545</v>
      </c>
      <c r="G55" s="2257">
        <f t="shared" si="0"/>
        <v>529.96823000000404</v>
      </c>
      <c r="H55" s="2285">
        <f>'[3]НВВ перекачка'!T356</f>
        <v>242.29222284628668</v>
      </c>
      <c r="I55" s="2285">
        <f>'[3]НВВ перекачка'!U356</f>
        <v>251.01474286875236</v>
      </c>
      <c r="J55" s="2257">
        <f t="shared" si="1"/>
        <v>246.65348285751952</v>
      </c>
      <c r="K55" s="2285">
        <f>'[3]НВВ перекачка'!AC356</f>
        <v>423.9203920238254</v>
      </c>
      <c r="L55" s="2285">
        <f>'[3]НВВ перекачка'!AD356</f>
        <v>442.14896888084979</v>
      </c>
      <c r="M55" s="2259">
        <f t="shared" si="2"/>
        <v>433.03468045233762</v>
      </c>
      <c r="N55" s="2284"/>
      <c r="O55" s="2285">
        <f>L55*1.06*1.072</f>
        <v>502.42271631868726</v>
      </c>
      <c r="P55" s="2259">
        <f t="shared" si="19"/>
        <v>251.21135815934363</v>
      </c>
      <c r="Q55" s="2294">
        <v>0</v>
      </c>
      <c r="R55" s="2296">
        <v>0</v>
      </c>
      <c r="S55" s="2259">
        <f t="shared" si="20"/>
        <v>0</v>
      </c>
      <c r="T55" s="2919">
        <f t="shared" si="14"/>
        <v>0</v>
      </c>
      <c r="U55" s="2309">
        <f t="shared" si="14"/>
        <v>502.42271631868726</v>
      </c>
      <c r="V55" s="2268">
        <f t="shared" si="5"/>
        <v>251.21135815934363</v>
      </c>
      <c r="W55" s="2923">
        <f>T55/$T$272*$W$272</f>
        <v>0</v>
      </c>
      <c r="X55" s="2924">
        <f>U55/$T$272*$W$272</f>
        <v>108.54888744480627</v>
      </c>
      <c r="Y55" s="2410">
        <f t="shared" si="6"/>
        <v>54.274443722403134</v>
      </c>
      <c r="Z55" s="2923">
        <f t="shared" si="15"/>
        <v>0</v>
      </c>
      <c r="AA55" s="2924">
        <f t="shared" si="15"/>
        <v>393.87382887388094</v>
      </c>
      <c r="AB55" s="2268">
        <f t="shared" si="7"/>
        <v>196.93691443694047</v>
      </c>
      <c r="AF55" s="2218">
        <f t="shared" si="8"/>
        <v>108.54888744480627</v>
      </c>
      <c r="AG55" s="2593">
        <f t="shared" si="9"/>
        <v>0</v>
      </c>
      <c r="AH55" s="2218">
        <f t="shared" si="10"/>
        <v>393.87382887388094</v>
      </c>
      <c r="AI55" s="2593">
        <f t="shared" si="11"/>
        <v>0</v>
      </c>
    </row>
    <row r="56" spans="1:35" s="2218" customFormat="1" ht="49.5" customHeight="1">
      <c r="A56" s="2235">
        <v>104</v>
      </c>
      <c r="B56" s="2279" t="s">
        <v>1839</v>
      </c>
      <c r="C56" s="2280" t="s">
        <v>1840</v>
      </c>
      <c r="D56" s="2254" t="s">
        <v>1317</v>
      </c>
      <c r="E56" s="2255">
        <f>E57+E67</f>
        <v>30524.611388066576</v>
      </c>
      <c r="F56" s="2256">
        <f>F57+F67</f>
        <v>33344.43686981537</v>
      </c>
      <c r="G56" s="2257">
        <f t="shared" si="0"/>
        <v>31934.524128940975</v>
      </c>
      <c r="H56" s="2256">
        <f>H57+H67</f>
        <v>33779.460365674604</v>
      </c>
      <c r="I56" s="2256">
        <f>I57+I67</f>
        <v>34715.407460761897</v>
      </c>
      <c r="J56" s="2257">
        <f t="shared" si="1"/>
        <v>34247.43391321825</v>
      </c>
      <c r="K56" s="2256">
        <f>K57+K67</f>
        <v>27785.819643626812</v>
      </c>
      <c r="L56" s="2256">
        <f>L57+L67</f>
        <v>29432.217924689579</v>
      </c>
      <c r="M56" s="2259">
        <f t="shared" si="2"/>
        <v>28609.018784158194</v>
      </c>
      <c r="N56" s="2256">
        <f>N57+N67</f>
        <v>28628.997377711807</v>
      </c>
      <c r="O56" s="2256">
        <f>O57+O67</f>
        <v>32632.017947274933</v>
      </c>
      <c r="P56" s="2259">
        <f t="shared" si="19"/>
        <v>30630.507662493372</v>
      </c>
      <c r="Q56" s="2256">
        <f>Q57+Q67</f>
        <v>21584.14219734208</v>
      </c>
      <c r="R56" s="2256">
        <f>R57+R67</f>
        <v>23138.200435550705</v>
      </c>
      <c r="S56" s="2259">
        <f t="shared" si="20"/>
        <v>22361.171316446394</v>
      </c>
      <c r="T56" s="2377">
        <f t="shared" ref="T56:U56" si="21">N56+Q56</f>
        <v>50213.139575053887</v>
      </c>
      <c r="U56" s="2256">
        <f t="shared" si="21"/>
        <v>55770.218382825638</v>
      </c>
      <c r="V56" s="2268">
        <f t="shared" si="5"/>
        <v>52991.678978939759</v>
      </c>
      <c r="W56" s="2377">
        <f>T56/$T$272*$N$272</f>
        <v>10848.594736957641</v>
      </c>
      <c r="X56" s="2256">
        <f>U56/$T$272*$N$272</f>
        <v>12049.206696636857</v>
      </c>
      <c r="Y56" s="2268">
        <f t="shared" si="6"/>
        <v>11448.900716797249</v>
      </c>
      <c r="Z56" s="2886">
        <f t="shared" si="15"/>
        <v>39364.544838096248</v>
      </c>
      <c r="AA56" s="2887">
        <f t="shared" si="15"/>
        <v>43721.01168618878</v>
      </c>
      <c r="AB56" s="2268">
        <f t="shared" si="7"/>
        <v>41542.778262142514</v>
      </c>
      <c r="AF56" s="2218">
        <f t="shared" si="8"/>
        <v>12049.206696636857</v>
      </c>
      <c r="AG56" s="2593">
        <f t="shared" si="9"/>
        <v>0</v>
      </c>
      <c r="AH56" s="2218">
        <f t="shared" si="10"/>
        <v>43721.01168618878</v>
      </c>
      <c r="AI56" s="2593">
        <f t="shared" si="11"/>
        <v>0</v>
      </c>
    </row>
    <row r="57" spans="1:35" s="2218" customFormat="1" ht="42.75" customHeight="1">
      <c r="A57" s="2235">
        <v>105</v>
      </c>
      <c r="B57" s="2279" t="s">
        <v>1841</v>
      </c>
      <c r="C57" s="2280" t="s">
        <v>1842</v>
      </c>
      <c r="D57" s="2254" t="s">
        <v>1317</v>
      </c>
      <c r="E57" s="2255">
        <f>E58*E66*12/1000</f>
        <v>23309.564048165099</v>
      </c>
      <c r="F57" s="2256">
        <f>F58*F66*12/1000</f>
        <v>25912.938109716844</v>
      </c>
      <c r="G57" s="2257">
        <f t="shared" si="0"/>
        <v>24611.251078940972</v>
      </c>
      <c r="H57" s="2256">
        <f>H58*H66*12/1000</f>
        <v>26068.314320263289</v>
      </c>
      <c r="I57" s="2256">
        <f>I58*I66*12/1000</f>
        <v>26799.606037195099</v>
      </c>
      <c r="J57" s="2257">
        <f t="shared" si="1"/>
        <v>26433.960178729194</v>
      </c>
      <c r="K57" s="2256">
        <f>K58*K66*12/1000</f>
        <v>20792.149643817313</v>
      </c>
      <c r="L57" s="2256">
        <f>L58*L66*12/1000</f>
        <v>22056.281518508262</v>
      </c>
      <c r="M57" s="2259">
        <f t="shared" si="2"/>
        <v>21424.215581162789</v>
      </c>
      <c r="N57" s="2256">
        <f>N58*N66*12/1000</f>
        <v>21988.477248626579</v>
      </c>
      <c r="O57" s="2256">
        <f>O58*O66*12/1000</f>
        <v>25062.993815111317</v>
      </c>
      <c r="P57" s="2259">
        <f t="shared" si="19"/>
        <v>23525.735531868948</v>
      </c>
      <c r="Q57" s="2256">
        <f>Q58*Q66*12/1000</f>
        <v>16577.682179218187</v>
      </c>
      <c r="R57" s="2256">
        <f>R58*R66*12/1000</f>
        <v>17771.275296121894</v>
      </c>
      <c r="S57" s="2259">
        <f t="shared" si="20"/>
        <v>17174.478737670041</v>
      </c>
      <c r="T57" s="2256">
        <f>T58*T66*12/1000</f>
        <v>38566.166679865193</v>
      </c>
      <c r="U57" s="2256">
        <f>U58*U66*12/1000</f>
        <v>42834.266325954406</v>
      </c>
      <c r="V57" s="2268">
        <f t="shared" si="5"/>
        <v>40700.216502909796</v>
      </c>
      <c r="W57" s="2256">
        <f>W58*W66*12/1000</f>
        <v>8332.2526268475067</v>
      </c>
      <c r="X57" s="2256">
        <f>X58*X66*12/1000</f>
        <v>9254.3835196201035</v>
      </c>
      <c r="Y57" s="2268">
        <f t="shared" si="6"/>
        <v>8793.3180732338042</v>
      </c>
      <c r="Z57" s="2256">
        <f>Z58*Z66*12/1000</f>
        <v>30233.907913894989</v>
      </c>
      <c r="AA57" s="2256">
        <f>AA58*AA66*12/1000</f>
        <v>33579.888068937355</v>
      </c>
      <c r="AB57" s="2268">
        <f t="shared" si="7"/>
        <v>31906.897991416172</v>
      </c>
      <c r="AC57" s="2114"/>
      <c r="AD57" s="2114"/>
      <c r="AE57" s="2995">
        <v>41835.335596512283</v>
      </c>
      <c r="AF57" s="2218">
        <f t="shared" si="8"/>
        <v>9254.3824217685778</v>
      </c>
      <c r="AG57" s="2593">
        <f t="shared" si="9"/>
        <v>-1.0978515256283572E-3</v>
      </c>
      <c r="AH57" s="2218">
        <f t="shared" si="10"/>
        <v>33579.883904185823</v>
      </c>
      <c r="AI57" s="2593">
        <f t="shared" si="11"/>
        <v>-4.1647515317890793E-3</v>
      </c>
    </row>
    <row r="58" spans="1:35" s="2218" customFormat="1" ht="45" customHeight="1">
      <c r="A58" s="2235">
        <v>610</v>
      </c>
      <c r="B58" s="2279" t="s">
        <v>1843</v>
      </c>
      <c r="C58" s="2280" t="s">
        <v>1844</v>
      </c>
      <c r="D58" s="2254"/>
      <c r="E58" s="2255">
        <f>E59+E60+E63+E64+E65</f>
        <v>21352.718468130875</v>
      </c>
      <c r="F58" s="2256">
        <f>F59+F60+F63+F64+F65</f>
        <v>23737.538419661665</v>
      </c>
      <c r="G58" s="2257">
        <f t="shared" si="0"/>
        <v>22545.128443896268</v>
      </c>
      <c r="H58" s="2256">
        <f>H59+H60+H63+H64+H65</f>
        <v>22223.30005038096</v>
      </c>
      <c r="I58" s="2256">
        <f>I59+I60+I63+I64+I65</f>
        <v>22846.727980935764</v>
      </c>
      <c r="J58" s="2257">
        <f t="shared" si="1"/>
        <v>22535.014015658362</v>
      </c>
      <c r="K58" s="2256">
        <f>K59+K60+K63+K64+K65</f>
        <v>25111.291840359074</v>
      </c>
      <c r="L58" s="2256">
        <f>L59+L60+L63+L64+L65</f>
        <v>26638.021157618678</v>
      </c>
      <c r="M58" s="2259">
        <f t="shared" si="2"/>
        <v>25874.656498988876</v>
      </c>
      <c r="N58" s="2256">
        <f>N59+N60+N63+N64+N65</f>
        <v>28236.3024270758</v>
      </c>
      <c r="O58" s="2256">
        <f>O59+O60+O63+O64+O65</f>
        <v>30269.316201825262</v>
      </c>
      <c r="P58" s="2259">
        <f t="shared" si="19"/>
        <v>29252.809314450533</v>
      </c>
      <c r="Q58" s="2256">
        <f>Q59+Q60+Q63+Q64+Q65</f>
        <v>20619.007685594763</v>
      </c>
      <c r="R58" s="2256">
        <f>R59+R60+R63+R64+R65</f>
        <v>22103.576238957583</v>
      </c>
      <c r="S58" s="2259">
        <f t="shared" si="20"/>
        <v>21361.291962276173</v>
      </c>
      <c r="T58" s="2256">
        <f>T59+T60+T63+T64+T65</f>
        <v>24366.852312812316</v>
      </c>
      <c r="U58" s="2256">
        <f>U59+U60+U63+U64+U65</f>
        <v>26246.486719334807</v>
      </c>
      <c r="V58" s="2268">
        <f t="shared" si="5"/>
        <v>25306.669516073562</v>
      </c>
      <c r="W58" s="2256">
        <f>W59+W60+W63+W64+W65</f>
        <v>24366.843650156025</v>
      </c>
      <c r="X58" s="2256">
        <f>X59+X60+X63+X64+X65</f>
        <v>26246.489832967265</v>
      </c>
      <c r="Y58" s="2268">
        <f t="shared" si="6"/>
        <v>25306.666741561647</v>
      </c>
      <c r="Z58" s="2256">
        <f>Z59+Z60+Z63+Z64+Z65</f>
        <v>24366.849752388378</v>
      </c>
      <c r="AA58" s="2256">
        <f>AA59+AA60+AA63+AA64+AA65</f>
        <v>26246.489974560347</v>
      </c>
      <c r="AB58" s="2268">
        <f t="shared" si="7"/>
        <v>25306.669863474363</v>
      </c>
      <c r="AC58" s="2114"/>
      <c r="AD58" s="2114"/>
      <c r="AE58" s="2996">
        <f>AE57-U57</f>
        <v>-998.93072944212327</v>
      </c>
      <c r="AF58" s="2218">
        <f t="shared" si="8"/>
        <v>5670.5774643189816</v>
      </c>
      <c r="AG58" s="2593">
        <f t="shared" si="9"/>
        <v>-20575.912368648285</v>
      </c>
      <c r="AH58" s="2218">
        <f t="shared" si="10"/>
        <v>20575.909255015824</v>
      </c>
      <c r="AI58" s="2593">
        <f t="shared" si="11"/>
        <v>-5670.5807195445232</v>
      </c>
    </row>
    <row r="59" spans="1:35" s="2218" customFormat="1" ht="21" customHeight="1">
      <c r="A59" s="2235">
        <v>311</v>
      </c>
      <c r="B59" s="2281" t="s">
        <v>1845</v>
      </c>
      <c r="C59" s="2282" t="s">
        <v>1846</v>
      </c>
      <c r="D59" s="2283" t="s">
        <v>1847</v>
      </c>
      <c r="E59" s="2284"/>
      <c r="F59" s="2285"/>
      <c r="G59" s="2257">
        <f t="shared" si="0"/>
        <v>0</v>
      </c>
      <c r="H59" s="2285"/>
      <c r="I59" s="2285"/>
      <c r="J59" s="2257">
        <f t="shared" si="1"/>
        <v>0</v>
      </c>
      <c r="K59" s="2285"/>
      <c r="L59" s="2285"/>
      <c r="M59" s="2259">
        <f t="shared" si="2"/>
        <v>0</v>
      </c>
      <c r="N59" s="2285"/>
      <c r="O59" s="2285"/>
      <c r="P59" s="2259">
        <f t="shared" si="19"/>
        <v>0</v>
      </c>
      <c r="Q59" s="2285"/>
      <c r="R59" s="2285"/>
      <c r="S59" s="2259">
        <f t="shared" si="20"/>
        <v>0</v>
      </c>
      <c r="T59" s="2284">
        <v>0</v>
      </c>
      <c r="U59" s="2285">
        <v>0</v>
      </c>
      <c r="V59" s="2268">
        <f t="shared" si="5"/>
        <v>0</v>
      </c>
      <c r="W59" s="2284">
        <v>0</v>
      </c>
      <c r="X59" s="2285">
        <v>0</v>
      </c>
      <c r="Y59" s="2268">
        <f t="shared" si="6"/>
        <v>0</v>
      </c>
      <c r="Z59" s="2284">
        <v>0</v>
      </c>
      <c r="AA59" s="2285">
        <v>0</v>
      </c>
      <c r="AB59" s="2268">
        <f t="shared" si="7"/>
        <v>0</v>
      </c>
      <c r="AC59" s="2113"/>
      <c r="AD59" s="2995">
        <f>AD58/12/T66*1000</f>
        <v>0</v>
      </c>
      <c r="AE59" s="2995">
        <f>AE58/12/U66*1000</f>
        <v>-612.08990774639904</v>
      </c>
      <c r="AF59" s="2218">
        <f t="shared" si="8"/>
        <v>0</v>
      </c>
      <c r="AG59" s="2593">
        <f t="shared" si="9"/>
        <v>0</v>
      </c>
      <c r="AH59" s="2218">
        <f t="shared" si="10"/>
        <v>0</v>
      </c>
      <c r="AI59" s="2593">
        <f t="shared" si="11"/>
        <v>0</v>
      </c>
    </row>
    <row r="60" spans="1:35" s="2218" customFormat="1" ht="21" customHeight="1">
      <c r="A60" s="2235">
        <v>611</v>
      </c>
      <c r="B60" s="2279" t="s">
        <v>1848</v>
      </c>
      <c r="C60" s="2280" t="s">
        <v>1786</v>
      </c>
      <c r="D60" s="2254" t="s">
        <v>1849</v>
      </c>
      <c r="E60" s="2255">
        <f>E61*E62</f>
        <v>14391.101553436596</v>
      </c>
      <c r="F60" s="2256">
        <f>F61*F62</f>
        <v>14981.781094808994</v>
      </c>
      <c r="G60" s="2257">
        <f t="shared" si="0"/>
        <v>14686.441324122796</v>
      </c>
      <c r="H60" s="2256">
        <f>H61*H62</f>
        <v>14987.677394633854</v>
      </c>
      <c r="I60" s="2256">
        <f>I61*I62</f>
        <v>15444.291222068936</v>
      </c>
      <c r="J60" s="2257">
        <f t="shared" si="1"/>
        <v>15215.984308351395</v>
      </c>
      <c r="K60" s="2256">
        <f>K61*K62</f>
        <v>16641.526753594586</v>
      </c>
      <c r="L60" s="2256">
        <f>L61*L62</f>
        <v>17480.83853768892</v>
      </c>
      <c r="M60" s="2259">
        <f t="shared" si="2"/>
        <v>17061.182645641755</v>
      </c>
      <c r="N60" s="2256">
        <f>N61*N62</f>
        <v>18529.688849950257</v>
      </c>
      <c r="O60" s="2256">
        <f>O61*O62</f>
        <v>19863.826447146675</v>
      </c>
      <c r="P60" s="2259">
        <f t="shared" si="19"/>
        <v>19196.757648548468</v>
      </c>
      <c r="Q60" s="2256">
        <f>Q61*Q62</f>
        <v>16868.806175262831</v>
      </c>
      <c r="R60" s="2256">
        <f>R61*R62</f>
        <v>18083.360219881757</v>
      </c>
      <c r="S60" s="2259">
        <f t="shared" si="20"/>
        <v>17476.083197572294</v>
      </c>
      <c r="T60" s="2256">
        <f>T61*T62</f>
        <v>17699.247512606547</v>
      </c>
      <c r="U60" s="2256">
        <f>U61*U62</f>
        <v>18973.593333514218</v>
      </c>
      <c r="V60" s="2268">
        <f t="shared" si="5"/>
        <v>18336.420423060383</v>
      </c>
      <c r="W60" s="2256">
        <f>W61*W62</f>
        <v>18529.688849950257</v>
      </c>
      <c r="X60" s="2256">
        <f>X61*X62</f>
        <v>19863.826447146675</v>
      </c>
      <c r="Y60" s="2268">
        <f t="shared" si="6"/>
        <v>19196.757648548468</v>
      </c>
      <c r="Z60" s="2256">
        <f>Z61*Z62</f>
        <v>16868.806175262831</v>
      </c>
      <c r="AA60" s="2256">
        <f>AA61*AA62</f>
        <v>18083.360219881757</v>
      </c>
      <c r="AB60" s="2268">
        <f t="shared" si="7"/>
        <v>17476.083197572294</v>
      </c>
      <c r="AC60" s="2113"/>
      <c r="AF60" s="2218">
        <f t="shared" si="8"/>
        <v>4099.2621955349223</v>
      </c>
      <c r="AG60" s="2593">
        <f t="shared" si="9"/>
        <v>-15764.564251611753</v>
      </c>
      <c r="AH60" s="2218">
        <f t="shared" si="10"/>
        <v>14874.331137979294</v>
      </c>
      <c r="AI60" s="2593">
        <f t="shared" si="11"/>
        <v>-3209.0290819024631</v>
      </c>
    </row>
    <row r="61" spans="1:35" s="2218" customFormat="1" ht="21" customHeight="1">
      <c r="A61" s="2235">
        <v>110</v>
      </c>
      <c r="B61" s="2281" t="s">
        <v>1850</v>
      </c>
      <c r="C61" s="2282" t="s">
        <v>1788</v>
      </c>
      <c r="D61" s="2283" t="s">
        <v>1784</v>
      </c>
      <c r="E61" s="2284">
        <f>'[3]НВВ перекачка'!K362</f>
        <v>5360</v>
      </c>
      <c r="F61" s="2285">
        <f>'[3]НВВ перекачка'!L362</f>
        <v>5580</v>
      </c>
      <c r="G61" s="2257">
        <f t="shared" si="0"/>
        <v>5470</v>
      </c>
      <c r="H61" s="2285">
        <f>'[3]НВВ перекачка'!T362</f>
        <v>5580</v>
      </c>
      <c r="I61" s="2285">
        <f>'[3]НВВ перекачка'!U362</f>
        <v>5750</v>
      </c>
      <c r="J61" s="2257">
        <f t="shared" si="1"/>
        <v>5665</v>
      </c>
      <c r="K61" s="2285">
        <f>'[3]НВВ перекачка'!AC362</f>
        <v>5750</v>
      </c>
      <c r="L61" s="2285">
        <f>'[3]НВВ перекачка'!AD362</f>
        <v>6040</v>
      </c>
      <c r="M61" s="2259">
        <f t="shared" si="2"/>
        <v>5895</v>
      </c>
      <c r="N61" s="2284">
        <v>6402.4000000000005</v>
      </c>
      <c r="O61" s="2285">
        <f>N61*1.072</f>
        <v>6863.372800000001</v>
      </c>
      <c r="P61" s="2259">
        <f>N61/2+O61/2</f>
        <v>6632.8864000000012</v>
      </c>
      <c r="Q61" s="2284">
        <v>6402.4000000000005</v>
      </c>
      <c r="R61" s="2285">
        <f>Q61*1.072</f>
        <v>6863.372800000001</v>
      </c>
      <c r="S61" s="2259">
        <f>Q61/2+R61/2</f>
        <v>6632.8864000000012</v>
      </c>
      <c r="T61" s="2284">
        <f>Q61</f>
        <v>6402.4000000000005</v>
      </c>
      <c r="U61" s="2285">
        <f>R61</f>
        <v>6863.372800000001</v>
      </c>
      <c r="V61" s="2268">
        <f t="shared" si="5"/>
        <v>6632.8864000000012</v>
      </c>
      <c r="W61" s="2284">
        <f>T61</f>
        <v>6402.4000000000005</v>
      </c>
      <c r="X61" s="2285">
        <f>U61</f>
        <v>6863.372800000001</v>
      </c>
      <c r="Y61" s="2268">
        <f t="shared" si="6"/>
        <v>6632.8864000000012</v>
      </c>
      <c r="Z61" s="2284">
        <f>W61</f>
        <v>6402.4000000000005</v>
      </c>
      <c r="AA61" s="2285">
        <f>X61</f>
        <v>6863.372800000001</v>
      </c>
      <c r="AB61" s="2268">
        <f t="shared" si="7"/>
        <v>6632.8864000000012</v>
      </c>
      <c r="AF61" s="2218">
        <f t="shared" si="8"/>
        <v>1482.837971614292</v>
      </c>
      <c r="AG61" s="2593">
        <f t="shared" si="9"/>
        <v>-5380.5348283857093</v>
      </c>
      <c r="AH61" s="2218">
        <f t="shared" si="10"/>
        <v>5380.5348283857093</v>
      </c>
      <c r="AI61" s="2593">
        <f t="shared" si="11"/>
        <v>-1482.8379716142917</v>
      </c>
    </row>
    <row r="62" spans="1:35" s="2218" customFormat="1" ht="21" customHeight="1">
      <c r="A62" s="2235">
        <v>113</v>
      </c>
      <c r="B62" s="2281" t="s">
        <v>1851</v>
      </c>
      <c r="C62" s="2282" t="s">
        <v>1790</v>
      </c>
      <c r="D62" s="2283"/>
      <c r="E62" s="2284">
        <f>'[3]НВВ перекачка'!K363</f>
        <v>2.6849070062381708</v>
      </c>
      <c r="F62" s="2285">
        <f>'[3]НВВ перекачка'!L363</f>
        <v>2.6849070062381708</v>
      </c>
      <c r="G62" s="2257">
        <f t="shared" si="0"/>
        <v>2.6849070062381708</v>
      </c>
      <c r="H62" s="2285">
        <f>'[3]НВВ перекачка'!T363</f>
        <v>2.6859636907945976</v>
      </c>
      <c r="I62" s="2285">
        <f>'[3]НВВ перекачка'!U363</f>
        <v>2.6859636907945976</v>
      </c>
      <c r="J62" s="2257">
        <f t="shared" si="1"/>
        <v>2.6859636907945976</v>
      </c>
      <c r="K62" s="2285">
        <f>'[3]НВВ перекачка'!AC363</f>
        <v>2.8941785658425365</v>
      </c>
      <c r="L62" s="2285">
        <f>'[3]НВВ перекачка'!AD363</f>
        <v>2.8941785658425365</v>
      </c>
      <c r="M62" s="2259">
        <f t="shared" si="2"/>
        <v>2.8941785658425365</v>
      </c>
      <c r="N62" s="2284">
        <v>2.8941785658425365</v>
      </c>
      <c r="O62" s="2285">
        <v>2.8941785658425365</v>
      </c>
      <c r="P62" s="2259">
        <f t="shared" ref="P62:P120" si="22">N62/2+O62/2</f>
        <v>2.8941785658425365</v>
      </c>
      <c r="Q62" s="2284">
        <v>2.6347629287865222</v>
      </c>
      <c r="R62" s="2285">
        <v>2.6347629287865222</v>
      </c>
      <c r="S62" s="2259">
        <f t="shared" ref="S62:S120" si="23">Q62/2+R62/2</f>
        <v>2.6347629287865222</v>
      </c>
      <c r="T62" s="2468">
        <f>(N62+Q62)/2</f>
        <v>2.7644707473145296</v>
      </c>
      <c r="U62" s="2468">
        <f>(O62+R62)/2</f>
        <v>2.7644707473145296</v>
      </c>
      <c r="V62" s="2268">
        <f t="shared" si="5"/>
        <v>2.7644707473145296</v>
      </c>
      <c r="W62" s="2385">
        <v>2.8941785658425365</v>
      </c>
      <c r="X62" s="2285">
        <v>2.8941785658425365</v>
      </c>
      <c r="Y62" s="2268">
        <f t="shared" si="6"/>
        <v>2.8941785658425365</v>
      </c>
      <c r="Z62" s="2385">
        <v>2.6347629287865222</v>
      </c>
      <c r="AA62" s="2285">
        <v>2.6347629287865222</v>
      </c>
      <c r="AB62" s="2268">
        <f t="shared" si="7"/>
        <v>2.6347629287865222</v>
      </c>
      <c r="AF62" s="2218">
        <f t="shared" si="8"/>
        <v>0.59726643371826194</v>
      </c>
      <c r="AG62" s="2593">
        <f t="shared" si="9"/>
        <v>-2.2969121321242745</v>
      </c>
      <c r="AH62" s="2218">
        <f t="shared" si="10"/>
        <v>2.1672043135962675</v>
      </c>
      <c r="AI62" s="2593">
        <f t="shared" si="11"/>
        <v>-0.46755861519025466</v>
      </c>
    </row>
    <row r="63" spans="1:35" s="2218" customFormat="1" ht="30.75" customHeight="1">
      <c r="A63" s="2235">
        <v>612</v>
      </c>
      <c r="B63" s="2281" t="s">
        <v>1852</v>
      </c>
      <c r="C63" s="2282" t="s">
        <v>1853</v>
      </c>
      <c r="D63" s="2283" t="s">
        <v>1847</v>
      </c>
      <c r="E63" s="2284">
        <f>'[3]НВВ перекачка'!K364</f>
        <v>2384.0809343455999</v>
      </c>
      <c r="F63" s="2285">
        <f>'[3]НВВ перекачка'!L364</f>
        <v>2840.6515503993878</v>
      </c>
      <c r="G63" s="2257">
        <f t="shared" si="0"/>
        <v>2612.3662423724936</v>
      </c>
      <c r="H63" s="2285">
        <f>'[3]НВВ перекачка'!T364</f>
        <v>4844.6357199999993</v>
      </c>
      <c r="I63" s="2285">
        <f>'[3]НВВ перекачка'!U364</f>
        <v>4975.8235059999988</v>
      </c>
      <c r="J63" s="2257">
        <f t="shared" si="1"/>
        <v>4910.2296129999995</v>
      </c>
      <c r="K63" s="2285">
        <f>'[3]НВВ перекачка'!AC364</f>
        <v>2404.83</v>
      </c>
      <c r="L63" s="2285">
        <f>'[3]НВВ перекачка'!AD364</f>
        <v>2525.0715</v>
      </c>
      <c r="M63" s="2259">
        <f t="shared" si="2"/>
        <v>2464.95075</v>
      </c>
      <c r="N63" s="2284">
        <v>2676.5757900000003</v>
      </c>
      <c r="O63" s="2285">
        <f>N63*1.072</f>
        <v>2869.2892468800005</v>
      </c>
      <c r="P63" s="2259">
        <f t="shared" si="22"/>
        <v>2772.9325184400004</v>
      </c>
      <c r="Q63" s="2284">
        <v>1513.602500126158</v>
      </c>
      <c r="R63" s="2285">
        <f>Q63*1.072</f>
        <v>1622.5818801352416</v>
      </c>
      <c r="S63" s="2259">
        <f t="shared" si="23"/>
        <v>1568.0921901306997</v>
      </c>
      <c r="T63" s="2385">
        <f>2676.57579+954.43</f>
        <v>3631.0057899999997</v>
      </c>
      <c r="U63" s="2285">
        <f>2869.28924688+1000</f>
        <v>3869.2892468800001</v>
      </c>
      <c r="V63" s="2268">
        <f t="shared" si="5"/>
        <v>3750.1475184399997</v>
      </c>
      <c r="W63" s="2888">
        <f>3631.00579-430</f>
        <v>3201.0057900000002</v>
      </c>
      <c r="X63" s="2889">
        <f>3869.28924688-420</f>
        <v>3449.2892468800001</v>
      </c>
      <c r="Y63" s="2268">
        <f t="shared" si="6"/>
        <v>3325.1475184400001</v>
      </c>
      <c r="Z63" s="2888">
        <v>2676.5757900000003</v>
      </c>
      <c r="AA63" s="2889">
        <v>2869.2892468800005</v>
      </c>
      <c r="AB63" s="2268">
        <f t="shared" si="7"/>
        <v>2772.9325184400004</v>
      </c>
      <c r="AF63" s="2218">
        <f t="shared" si="8"/>
        <v>835.96348116665467</v>
      </c>
      <c r="AG63" s="2593">
        <f t="shared" si="9"/>
        <v>-2613.3257657133454</v>
      </c>
      <c r="AH63" s="2218">
        <f t="shared" si="10"/>
        <v>3033.3257657133454</v>
      </c>
      <c r="AI63" s="2593">
        <f t="shared" si="11"/>
        <v>164.03651883334487</v>
      </c>
    </row>
    <row r="64" spans="1:35" s="2218" customFormat="1" ht="21" customHeight="1">
      <c r="A64" s="2235">
        <v>613</v>
      </c>
      <c r="B64" s="2281" t="s">
        <v>1854</v>
      </c>
      <c r="C64" s="2282" t="s">
        <v>1795</v>
      </c>
      <c r="D64" s="2283" t="s">
        <v>1847</v>
      </c>
      <c r="E64" s="2284">
        <f>'[3]НВВ перекачка'!K365</f>
        <v>4577.5359803486799</v>
      </c>
      <c r="F64" s="2285">
        <f>'[3]НВВ перекачка'!L365</f>
        <v>5915.1057744532836</v>
      </c>
      <c r="G64" s="2257">
        <f t="shared" si="0"/>
        <v>5246.3208774009818</v>
      </c>
      <c r="H64" s="2285">
        <f>'[3]НВВ перекачка'!T365</f>
        <v>2390.9869357471071</v>
      </c>
      <c r="I64" s="2285">
        <f>'[3]НВВ перекачка'!U365</f>
        <v>2426.6132528668313</v>
      </c>
      <c r="J64" s="2257">
        <f t="shared" si="1"/>
        <v>2408.8000943069692</v>
      </c>
      <c r="K64" s="2285">
        <f>'[3]НВВ перекачка'!AC365</f>
        <v>6064.9350867644916</v>
      </c>
      <c r="L64" s="2285">
        <f>'[3]НВВ перекачка'!AD365</f>
        <v>6632.1111199297593</v>
      </c>
      <c r="M64" s="2259">
        <f t="shared" si="2"/>
        <v>6348.5231033471255</v>
      </c>
      <c r="N64" s="2284">
        <v>7030.037787125545</v>
      </c>
      <c r="O64" s="2285">
        <f>N64*1.072</f>
        <v>7536.200507798585</v>
      </c>
      <c r="P64" s="2259">
        <f t="shared" si="22"/>
        <v>7283.1191474620646</v>
      </c>
      <c r="Q64" s="2284">
        <v>2236.5990102057713</v>
      </c>
      <c r="R64" s="2285">
        <f>Q64*1.072</f>
        <v>2397.634138940587</v>
      </c>
      <c r="S64" s="2259">
        <f t="shared" si="23"/>
        <v>2317.1165745731792</v>
      </c>
      <c r="T64" s="2385">
        <f>2236.59901020577+800</f>
        <v>3036.5990102057699</v>
      </c>
      <c r="U64" s="2285">
        <f>2397.63413894059+1005.97</f>
        <v>3403.60413894059</v>
      </c>
      <c r="V64" s="2268">
        <f t="shared" si="5"/>
        <v>3220.1015745731802</v>
      </c>
      <c r="W64" s="2888">
        <f>3036.59901020577-400.45</f>
        <v>2636.1490102057701</v>
      </c>
      <c r="X64" s="2889">
        <f>3403.60413894059-470.23</f>
        <v>2933.37413894059</v>
      </c>
      <c r="Y64" s="2268">
        <f t="shared" si="6"/>
        <v>2784.76157457318</v>
      </c>
      <c r="Z64" s="2888">
        <f>7030.03778712555-2208.57</f>
        <v>4821.4677871255499</v>
      </c>
      <c r="AA64" s="2889">
        <f>7536.20050779859-2242.36</f>
        <v>5293.8405077985899</v>
      </c>
      <c r="AB64" s="2268">
        <f t="shared" si="7"/>
        <v>5057.6541474620699</v>
      </c>
      <c r="AF64" s="2218">
        <f t="shared" si="8"/>
        <v>735.35178761740474</v>
      </c>
      <c r="AG64" s="2593">
        <f t="shared" si="9"/>
        <v>-2198.0223513231854</v>
      </c>
      <c r="AH64" s="2218">
        <f t="shared" si="10"/>
        <v>2668.2523513231854</v>
      </c>
      <c r="AI64" s="2593">
        <f t="shared" si="11"/>
        <v>-2625.5881564754045</v>
      </c>
    </row>
    <row r="65" spans="1:35" s="2218" customFormat="1" ht="34.5" customHeight="1">
      <c r="A65" s="2235">
        <v>614</v>
      </c>
      <c r="B65" s="2281" t="s">
        <v>1855</v>
      </c>
      <c r="C65" s="2282" t="s">
        <v>1856</v>
      </c>
      <c r="D65" s="2283" t="s">
        <v>1847</v>
      </c>
      <c r="E65" s="2284">
        <f>'[3]НВВ перекачка'!K366</f>
        <v>0</v>
      </c>
      <c r="F65" s="2285">
        <f>'[3]НВВ перекачка'!L366</f>
        <v>0</v>
      </c>
      <c r="G65" s="2257">
        <f t="shared" si="0"/>
        <v>0</v>
      </c>
      <c r="H65" s="2285">
        <f>'[3]НВВ перекачка'!T366</f>
        <v>0</v>
      </c>
      <c r="I65" s="2285">
        <f>'[3]НВВ перекачка'!U366</f>
        <v>0</v>
      </c>
      <c r="J65" s="2257">
        <f t="shared" si="1"/>
        <v>0</v>
      </c>
      <c r="K65" s="2285">
        <f>'[3]НВВ перекачка'!AC366</f>
        <v>0</v>
      </c>
      <c r="L65" s="2285">
        <f>'[3]НВВ перекачка'!AD366</f>
        <v>0</v>
      </c>
      <c r="M65" s="2259">
        <f t="shared" si="2"/>
        <v>0</v>
      </c>
      <c r="N65" s="2284"/>
      <c r="O65" s="2285"/>
      <c r="P65" s="2259">
        <f t="shared" si="22"/>
        <v>0</v>
      </c>
      <c r="Q65" s="2284">
        <v>0</v>
      </c>
      <c r="R65" s="2285">
        <v>0</v>
      </c>
      <c r="S65" s="2259">
        <f t="shared" si="23"/>
        <v>0</v>
      </c>
      <c r="T65" s="2294">
        <v>0</v>
      </c>
      <c r="U65" s="2296">
        <v>0</v>
      </c>
      <c r="V65" s="2268">
        <f t="shared" si="5"/>
        <v>0</v>
      </c>
      <c r="W65" s="2294">
        <v>0</v>
      </c>
      <c r="X65" s="2296">
        <v>0</v>
      </c>
      <c r="Y65" s="2268">
        <f t="shared" si="6"/>
        <v>0</v>
      </c>
      <c r="Z65" s="2294">
        <v>0</v>
      </c>
      <c r="AA65" s="2296">
        <v>0</v>
      </c>
      <c r="AB65" s="2268">
        <f t="shared" si="7"/>
        <v>0</v>
      </c>
      <c r="AF65" s="2218">
        <f t="shared" si="8"/>
        <v>0</v>
      </c>
      <c r="AG65" s="2593">
        <f t="shared" si="9"/>
        <v>0</v>
      </c>
      <c r="AH65" s="2218">
        <f t="shared" si="10"/>
        <v>0</v>
      </c>
      <c r="AI65" s="2593">
        <f t="shared" si="11"/>
        <v>0</v>
      </c>
    </row>
    <row r="66" spans="1:35" s="2218" customFormat="1" ht="42" customHeight="1">
      <c r="A66" s="2235">
        <v>106</v>
      </c>
      <c r="B66" s="2281" t="s">
        <v>1857</v>
      </c>
      <c r="C66" s="2282" t="s">
        <v>1799</v>
      </c>
      <c r="D66" s="2283" t="s">
        <v>1800</v>
      </c>
      <c r="E66" s="2284">
        <f>'[3]НВВ перекачка'!K367</f>
        <v>90.97032181544327</v>
      </c>
      <c r="F66" s="2285">
        <f>'[3]НВВ перекачка'!L367</f>
        <v>90.97032181544327</v>
      </c>
      <c r="G66" s="2257">
        <f t="shared" si="0"/>
        <v>90.97032181544327</v>
      </c>
      <c r="H66" s="2285">
        <f>'[3]НВВ перекачка'!T367</f>
        <v>97.751437534650393</v>
      </c>
      <c r="I66" s="2285">
        <f>'[3]НВВ перекачка'!U367</f>
        <v>97.751437534650393</v>
      </c>
      <c r="J66" s="2257">
        <f t="shared" si="1"/>
        <v>97.751437534650393</v>
      </c>
      <c r="K66" s="2285">
        <f>'[3]НВВ перекачка'!AC367</f>
        <v>69</v>
      </c>
      <c r="L66" s="2285">
        <f>'[3]НВВ перекачка'!AD367</f>
        <v>69</v>
      </c>
      <c r="M66" s="2259">
        <f t="shared" si="2"/>
        <v>69</v>
      </c>
      <c r="N66" s="2294">
        <v>64.894229999999993</v>
      </c>
      <c r="O66" s="2285">
        <v>69</v>
      </c>
      <c r="P66" s="2259">
        <f t="shared" si="22"/>
        <v>66.947114999999997</v>
      </c>
      <c r="Q66" s="2284">
        <v>67</v>
      </c>
      <c r="R66" s="2285">
        <v>67</v>
      </c>
      <c r="S66" s="2259">
        <f t="shared" si="23"/>
        <v>67</v>
      </c>
      <c r="T66" s="2385">
        <f t="shared" ref="T66:U79" si="24">N66+Q66</f>
        <v>131.89422999999999</v>
      </c>
      <c r="U66" s="2285">
        <f t="shared" si="24"/>
        <v>136</v>
      </c>
      <c r="V66" s="2268">
        <f t="shared" si="5"/>
        <v>133.947115</v>
      </c>
      <c r="W66" s="2888">
        <f>T66/$T$272*$W$272</f>
        <v>28.495869039902487</v>
      </c>
      <c r="X66" s="2889">
        <f>U66/$T$272*$W$272</f>
        <v>29.38292440409818</v>
      </c>
      <c r="Y66" s="2268">
        <f t="shared" si="6"/>
        <v>28.939396722000332</v>
      </c>
      <c r="Z66" s="2888">
        <f t="shared" ref="Z66:AA76" si="25">T66/$T$272*$Z$272</f>
        <v>103.39836096009751</v>
      </c>
      <c r="AA66" s="2889">
        <f t="shared" si="25"/>
        <v>106.61707559590181</v>
      </c>
      <c r="AB66" s="2268">
        <f t="shared" si="7"/>
        <v>105.00771827799966</v>
      </c>
      <c r="AF66" s="2218">
        <f t="shared" si="8"/>
        <v>29.38292440409818</v>
      </c>
      <c r="AG66" s="2593">
        <f t="shared" si="9"/>
        <v>0</v>
      </c>
      <c r="AH66" s="2218">
        <f t="shared" si="10"/>
        <v>106.61707559590181</v>
      </c>
      <c r="AI66" s="2593">
        <f t="shared" si="11"/>
        <v>0</v>
      </c>
    </row>
    <row r="67" spans="1:35" s="2218" customFormat="1" ht="54" customHeight="1" thickBot="1">
      <c r="A67" s="2235">
        <v>116</v>
      </c>
      <c r="B67" s="2311" t="s">
        <v>1859</v>
      </c>
      <c r="C67" s="2312" t="s">
        <v>1860</v>
      </c>
      <c r="D67" s="2313" t="s">
        <v>1317</v>
      </c>
      <c r="E67" s="2314">
        <f>'[3]НВВ перекачка'!K368</f>
        <v>7215.0473399014772</v>
      </c>
      <c r="F67" s="2315">
        <f>'[3]НВВ перекачка'!L368</f>
        <v>7431.4987600985232</v>
      </c>
      <c r="G67" s="2266">
        <f t="shared" si="0"/>
        <v>7323.2730499999998</v>
      </c>
      <c r="H67" s="2315">
        <f>'[3]НВВ перекачка'!T368</f>
        <v>7711.1460454113176</v>
      </c>
      <c r="I67" s="2315">
        <f>'[3]НВВ перекачка'!U368</f>
        <v>7915.8014235667979</v>
      </c>
      <c r="J67" s="2266">
        <f t="shared" si="1"/>
        <v>7813.4737344890582</v>
      </c>
      <c r="K67" s="2315">
        <f>'[3]НВВ перекачка'!AC368</f>
        <v>6993.669999809501</v>
      </c>
      <c r="L67" s="2315">
        <f>'[3]НВВ перекачка'!AD368</f>
        <v>7375.9364061813167</v>
      </c>
      <c r="M67" s="2268">
        <f t="shared" si="2"/>
        <v>7184.8032029954084</v>
      </c>
      <c r="N67" s="2290">
        <f>N57*0.302</f>
        <v>6640.5201290852265</v>
      </c>
      <c r="O67" s="2290">
        <f>O57*0.302</f>
        <v>7569.0241321636177</v>
      </c>
      <c r="P67" s="2268">
        <f t="shared" si="22"/>
        <v>7104.7721306244221</v>
      </c>
      <c r="Q67" s="2290">
        <f>Q57*0.302</f>
        <v>5006.460018123892</v>
      </c>
      <c r="R67" s="2290">
        <f>R57*0.302</f>
        <v>5366.9251394288121</v>
      </c>
      <c r="S67" s="2268">
        <f t="shared" si="23"/>
        <v>5186.6925787763521</v>
      </c>
      <c r="T67" s="2469">
        <f t="shared" si="24"/>
        <v>11646.980147209119</v>
      </c>
      <c r="U67" s="2470">
        <f t="shared" si="24"/>
        <v>12935.94927159243</v>
      </c>
      <c r="V67" s="2268">
        <f t="shared" si="5"/>
        <v>12291.464709400774</v>
      </c>
      <c r="W67" s="2377">
        <f t="shared" ref="W67:X69" si="26">T67/$T$272*$N$272</f>
        <v>2516.3407147167491</v>
      </c>
      <c r="X67" s="2256">
        <f t="shared" si="26"/>
        <v>2794.8236731062448</v>
      </c>
      <c r="Y67" s="2268">
        <f t="shared" si="6"/>
        <v>2655.5821939114967</v>
      </c>
      <c r="Z67" s="2886">
        <f t="shared" si="25"/>
        <v>9130.6394324923695</v>
      </c>
      <c r="AA67" s="2887">
        <f t="shared" si="25"/>
        <v>10141.125598486184</v>
      </c>
      <c r="AB67" s="2268">
        <f t="shared" si="7"/>
        <v>9635.8825154892766</v>
      </c>
      <c r="AF67" s="2218">
        <f t="shared" si="8"/>
        <v>2794.8236731062448</v>
      </c>
      <c r="AG67" s="2593">
        <f t="shared" si="9"/>
        <v>0</v>
      </c>
      <c r="AH67" s="2218">
        <f t="shared" si="10"/>
        <v>10141.125598486184</v>
      </c>
      <c r="AI67" s="2593">
        <f t="shared" si="11"/>
        <v>0</v>
      </c>
    </row>
    <row r="68" spans="1:35" s="2218" customFormat="1" ht="24" customHeight="1" thickBot="1">
      <c r="A68" s="2235">
        <v>117</v>
      </c>
      <c r="B68" s="2317" t="s">
        <v>120</v>
      </c>
      <c r="C68" s="2318" t="s">
        <v>1862</v>
      </c>
      <c r="D68" s="2319" t="s">
        <v>1317</v>
      </c>
      <c r="E68" s="2320">
        <f>E69+E76+E89+E90+E91+E92+E88</f>
        <v>511.61851231527385</v>
      </c>
      <c r="F68" s="2321">
        <f>F69+F76+F89+F90+F91+F92+F88</f>
        <v>526.96706768473223</v>
      </c>
      <c r="G68" s="2303">
        <f t="shared" si="0"/>
        <v>519.29279000000304</v>
      </c>
      <c r="H68" s="2321">
        <f>H69+H76+H89+H90+H91+H92+H88</f>
        <v>672.33594302554025</v>
      </c>
      <c r="I68" s="2321">
        <f>I69+I76+I89+I90+I91+I92+I88</f>
        <v>696.54003697445955</v>
      </c>
      <c r="J68" s="2303">
        <f t="shared" si="1"/>
        <v>684.4379899999999</v>
      </c>
      <c r="K68" s="2321">
        <f>K69+K76+K89+K90+K91+K92+K88</f>
        <v>709.37339584878202</v>
      </c>
      <c r="L68" s="2321">
        <f>L69+L76+L89+L90+L91+L92+L88</f>
        <v>739.87645187027965</v>
      </c>
      <c r="M68" s="2303">
        <f t="shared" si="2"/>
        <v>724.62492385953078</v>
      </c>
      <c r="N68" s="2321">
        <f>N69+N76+N89+N90+N91+N92+N88</f>
        <v>0</v>
      </c>
      <c r="O68" s="2321">
        <f>O69+O76+O89+O90+O91+O92+O88</f>
        <v>840.73640978923618</v>
      </c>
      <c r="P68" s="2303">
        <f t="shared" si="22"/>
        <v>420.36820489461809</v>
      </c>
      <c r="Q68" s="2321">
        <f>Q69+Q76+Q89+Q90+Q91+Q92+Q88</f>
        <v>45676.909269397496</v>
      </c>
      <c r="R68" s="2321">
        <f>R69+R76+R89+R90+R91+R92+R88</f>
        <v>48965.646736794108</v>
      </c>
      <c r="S68" s="2303">
        <f t="shared" si="23"/>
        <v>47321.278003095802</v>
      </c>
      <c r="T68" s="2916">
        <f t="shared" si="24"/>
        <v>45676.909269397496</v>
      </c>
      <c r="U68" s="2275">
        <f t="shared" si="24"/>
        <v>49806.383146583343</v>
      </c>
      <c r="V68" s="2925">
        <f t="shared" si="5"/>
        <v>47741.646207990416</v>
      </c>
      <c r="W68" s="2916">
        <f t="shared" si="26"/>
        <v>9868.5380299673398</v>
      </c>
      <c r="X68" s="2275">
        <f t="shared" si="26"/>
        <v>10760.714638511825</v>
      </c>
      <c r="Y68" s="2274">
        <f t="shared" si="6"/>
        <v>10314.626334239583</v>
      </c>
      <c r="Z68" s="2916">
        <f t="shared" si="25"/>
        <v>35808.371239430155</v>
      </c>
      <c r="AA68" s="2275">
        <f t="shared" si="25"/>
        <v>39045.668508071518</v>
      </c>
      <c r="AB68" s="2925">
        <f t="shared" si="7"/>
        <v>37427.019873750833</v>
      </c>
      <c r="AF68" s="2218">
        <f t="shared" si="8"/>
        <v>10760.714638511825</v>
      </c>
      <c r="AG68" s="2593">
        <f t="shared" si="9"/>
        <v>0</v>
      </c>
      <c r="AH68" s="2218">
        <f t="shared" si="10"/>
        <v>39045.668508071518</v>
      </c>
      <c r="AI68" s="2593">
        <f t="shared" si="11"/>
        <v>0</v>
      </c>
    </row>
    <row r="69" spans="1:35" s="2218" customFormat="1" ht="37.5" customHeight="1" thickBot="1">
      <c r="A69" s="2235">
        <v>118</v>
      </c>
      <c r="B69" s="2243" t="s">
        <v>1863</v>
      </c>
      <c r="C69" s="2278" t="s">
        <v>1864</v>
      </c>
      <c r="D69" s="2245" t="s">
        <v>1317</v>
      </c>
      <c r="E69" s="2246">
        <f>E70+E71+E72+E73+E74+E75</f>
        <v>0</v>
      </c>
      <c r="F69" s="2247">
        <f>F70+F71+F72+F73+F74+F75</f>
        <v>0</v>
      </c>
      <c r="G69" s="2248">
        <f t="shared" ref="G69:G132" si="27">E69/2+F69/2</f>
        <v>0</v>
      </c>
      <c r="H69" s="2247">
        <f>H70+H71+H72+H73+H74+H75</f>
        <v>359.47201375245584</v>
      </c>
      <c r="I69" s="2247">
        <f>I70+I71+I72+I73+I74+I75</f>
        <v>372.41300624754422</v>
      </c>
      <c r="J69" s="2248">
        <f t="shared" ref="J69:J132" si="28">H69/2+I69/2</f>
        <v>365.94251000000003</v>
      </c>
      <c r="K69" s="2247">
        <f>K70+K71+K72+K73+K74+K75</f>
        <v>406.1953989231522</v>
      </c>
      <c r="L69" s="2247">
        <f>L70+L71+L72+L73+L74+L75</f>
        <v>423.66180107684767</v>
      </c>
      <c r="M69" s="2250">
        <f t="shared" ref="M69:M132" si="29">K69/2+L69/2</f>
        <v>414.92859999999996</v>
      </c>
      <c r="N69" s="2247">
        <f>N70+N71+N72+N73+N74+N75</f>
        <v>0</v>
      </c>
      <c r="O69" s="2247">
        <f>O70+O71+O72+O73+O74+O75</f>
        <v>481.41537779964358</v>
      </c>
      <c r="P69" s="2250">
        <f t="shared" si="22"/>
        <v>240.70768889982179</v>
      </c>
      <c r="Q69" s="2247">
        <f>Q70+Q71+Q72+Q73+Q74+Q75</f>
        <v>1612.0167226488516</v>
      </c>
      <c r="R69" s="2247">
        <f>R70+R71+R72+R73+R74+R75</f>
        <v>1728.0819266795688</v>
      </c>
      <c r="S69" s="2250">
        <f t="shared" si="23"/>
        <v>1670.0493246642102</v>
      </c>
      <c r="T69" s="2469">
        <f t="shared" si="24"/>
        <v>1612.0167226488516</v>
      </c>
      <c r="U69" s="2470">
        <f t="shared" si="24"/>
        <v>2209.4973044792123</v>
      </c>
      <c r="V69" s="2268">
        <f t="shared" ref="V69:V132" si="30">T69/2+U69/2</f>
        <v>1910.7570135640319</v>
      </c>
      <c r="W69" s="2377">
        <f t="shared" si="26"/>
        <v>348.27768749803903</v>
      </c>
      <c r="X69" s="2256">
        <f t="shared" si="26"/>
        <v>477.36391373949556</v>
      </c>
      <c r="Y69" s="2268">
        <f t="shared" ref="Y69:Y132" si="31">W69/2+X69/2</f>
        <v>412.82080061876729</v>
      </c>
      <c r="Z69" s="2886">
        <f t="shared" si="25"/>
        <v>1263.7390351508125</v>
      </c>
      <c r="AA69" s="2887">
        <f t="shared" si="25"/>
        <v>1732.1333907397168</v>
      </c>
      <c r="AB69" s="2268">
        <f t="shared" ref="AB69:AB132" si="32">Z69/2+AA69/2</f>
        <v>1497.9362129452647</v>
      </c>
      <c r="AF69" s="2218">
        <f t="shared" si="8"/>
        <v>477.36391373949556</v>
      </c>
      <c r="AG69" s="2593">
        <f t="shared" si="9"/>
        <v>0</v>
      </c>
      <c r="AH69" s="2218">
        <f t="shared" si="10"/>
        <v>1732.1333907397168</v>
      </c>
      <c r="AI69" s="2593">
        <f t="shared" si="11"/>
        <v>0</v>
      </c>
    </row>
    <row r="70" spans="1:35" s="2218" customFormat="1" ht="27" customHeight="1">
      <c r="A70" s="2235">
        <v>119</v>
      </c>
      <c r="B70" s="2281" t="s">
        <v>1865</v>
      </c>
      <c r="C70" s="2282" t="s">
        <v>1866</v>
      </c>
      <c r="D70" s="2283" t="s">
        <v>1317</v>
      </c>
      <c r="E70" s="2284"/>
      <c r="F70" s="2285"/>
      <c r="G70" s="2257">
        <f t="shared" si="27"/>
        <v>0</v>
      </c>
      <c r="H70" s="2285"/>
      <c r="I70" s="2285"/>
      <c r="J70" s="2257">
        <f t="shared" si="28"/>
        <v>0</v>
      </c>
      <c r="K70" s="2285"/>
      <c r="L70" s="2285"/>
      <c r="M70" s="2259">
        <f t="shared" si="29"/>
        <v>0</v>
      </c>
      <c r="N70" s="2284"/>
      <c r="O70" s="2285"/>
      <c r="P70" s="2259">
        <f t="shared" si="22"/>
        <v>0</v>
      </c>
      <c r="Q70" s="2284">
        <v>1504.4501913731838</v>
      </c>
      <c r="R70" s="2285">
        <f t="shared" ref="R70:R75" si="33">Q70*1.072</f>
        <v>1612.7706051520531</v>
      </c>
      <c r="S70" s="2259">
        <f t="shared" si="23"/>
        <v>1558.6103982626184</v>
      </c>
      <c r="T70" s="2385">
        <f t="shared" si="24"/>
        <v>1504.4501913731838</v>
      </c>
      <c r="U70" s="2285">
        <f t="shared" si="24"/>
        <v>1612.7706051520531</v>
      </c>
      <c r="V70" s="2268">
        <f t="shared" si="30"/>
        <v>1558.6103982626184</v>
      </c>
      <c r="W70" s="2888">
        <f t="shared" ref="W70:X75" si="34">T70/$T$272*$W$272</f>
        <v>325.03784002095074</v>
      </c>
      <c r="X70" s="2889">
        <f t="shared" si="34"/>
        <v>348.44056450245921</v>
      </c>
      <c r="Y70" s="2268">
        <f t="shared" si="31"/>
        <v>336.73920226170497</v>
      </c>
      <c r="Z70" s="2888">
        <f t="shared" si="25"/>
        <v>1179.4123513522331</v>
      </c>
      <c r="AA70" s="2889">
        <f t="shared" si="25"/>
        <v>1264.3300406495937</v>
      </c>
      <c r="AB70" s="2268">
        <f t="shared" si="32"/>
        <v>1221.8711960009134</v>
      </c>
      <c r="AF70" s="2218">
        <f t="shared" ref="AF70:AF133" si="35">U70/$U$272*$X$272</f>
        <v>348.44056450245921</v>
      </c>
      <c r="AG70" s="2593">
        <f t="shared" ref="AG70:AG133" si="36">AF70-X70</f>
        <v>0</v>
      </c>
      <c r="AH70" s="2218">
        <f t="shared" ref="AH70:AH133" si="37">U70/$U$272*$AA$272</f>
        <v>1264.3300406495937</v>
      </c>
      <c r="AI70" s="2593">
        <f t="shared" ref="AI70:AI133" si="38">AH70-AA70</f>
        <v>0</v>
      </c>
    </row>
    <row r="71" spans="1:35" s="2218" customFormat="1" ht="21.75" customHeight="1">
      <c r="A71" s="2235">
        <v>120</v>
      </c>
      <c r="B71" s="2281" t="s">
        <v>1868</v>
      </c>
      <c r="C71" s="2282" t="s">
        <v>1869</v>
      </c>
      <c r="D71" s="2283" t="s">
        <v>1317</v>
      </c>
      <c r="E71" s="2284"/>
      <c r="F71" s="2285"/>
      <c r="G71" s="2257">
        <f t="shared" si="27"/>
        <v>0</v>
      </c>
      <c r="H71" s="2285"/>
      <c r="I71" s="2285"/>
      <c r="J71" s="2257">
        <f t="shared" si="28"/>
        <v>0</v>
      </c>
      <c r="K71" s="2285"/>
      <c r="L71" s="2285"/>
      <c r="M71" s="2259">
        <f t="shared" si="29"/>
        <v>0</v>
      </c>
      <c r="N71" s="2284"/>
      <c r="O71" s="2285"/>
      <c r="P71" s="2259">
        <f t="shared" si="22"/>
        <v>0</v>
      </c>
      <c r="Q71" s="2284">
        <v>0</v>
      </c>
      <c r="R71" s="2285">
        <f t="shared" si="33"/>
        <v>0</v>
      </c>
      <c r="S71" s="2259">
        <f t="shared" si="23"/>
        <v>0</v>
      </c>
      <c r="T71" s="2385">
        <f t="shared" si="24"/>
        <v>0</v>
      </c>
      <c r="U71" s="2285">
        <f t="shared" si="24"/>
        <v>0</v>
      </c>
      <c r="V71" s="2268">
        <f t="shared" si="30"/>
        <v>0</v>
      </c>
      <c r="W71" s="2888">
        <f t="shared" si="34"/>
        <v>0</v>
      </c>
      <c r="X71" s="2889">
        <f t="shared" si="34"/>
        <v>0</v>
      </c>
      <c r="Y71" s="2268">
        <f t="shared" si="31"/>
        <v>0</v>
      </c>
      <c r="Z71" s="2888">
        <f t="shared" si="25"/>
        <v>0</v>
      </c>
      <c r="AA71" s="2889">
        <f t="shared" si="25"/>
        <v>0</v>
      </c>
      <c r="AB71" s="2268">
        <f t="shared" si="32"/>
        <v>0</v>
      </c>
      <c r="AF71" s="2218">
        <f t="shared" si="35"/>
        <v>0</v>
      </c>
      <c r="AG71" s="2593">
        <f t="shared" si="36"/>
        <v>0</v>
      </c>
      <c r="AH71" s="2218">
        <f t="shared" si="37"/>
        <v>0</v>
      </c>
      <c r="AI71" s="2593">
        <f t="shared" si="38"/>
        <v>0</v>
      </c>
    </row>
    <row r="72" spans="1:35" s="2218" customFormat="1" ht="22.5" customHeight="1">
      <c r="A72" s="2235">
        <v>121</v>
      </c>
      <c r="B72" s="2281" t="s">
        <v>1870</v>
      </c>
      <c r="C72" s="2282" t="s">
        <v>1871</v>
      </c>
      <c r="D72" s="2283" t="s">
        <v>1317</v>
      </c>
      <c r="E72" s="2284"/>
      <c r="F72" s="2285"/>
      <c r="G72" s="2257">
        <f t="shared" si="27"/>
        <v>0</v>
      </c>
      <c r="H72" s="2285"/>
      <c r="I72" s="2285"/>
      <c r="J72" s="2257">
        <f t="shared" si="28"/>
        <v>0</v>
      </c>
      <c r="K72" s="2285"/>
      <c r="L72" s="2285"/>
      <c r="M72" s="2259">
        <f t="shared" si="29"/>
        <v>0</v>
      </c>
      <c r="N72" s="2284"/>
      <c r="O72" s="2285"/>
      <c r="P72" s="2259">
        <f t="shared" si="22"/>
        <v>0</v>
      </c>
      <c r="Q72" s="2284">
        <v>11.738576006837068</v>
      </c>
      <c r="R72" s="2285">
        <f t="shared" si="33"/>
        <v>12.583753479329337</v>
      </c>
      <c r="S72" s="2259">
        <f t="shared" si="23"/>
        <v>12.161164743083202</v>
      </c>
      <c r="T72" s="2385">
        <f t="shared" si="24"/>
        <v>11.738576006837068</v>
      </c>
      <c r="U72" s="2285">
        <f t="shared" si="24"/>
        <v>12.583753479329337</v>
      </c>
      <c r="V72" s="2268">
        <f t="shared" si="30"/>
        <v>12.161164743083202</v>
      </c>
      <c r="W72" s="2888">
        <f t="shared" si="34"/>
        <v>2.5361300839753986</v>
      </c>
      <c r="X72" s="2889">
        <f t="shared" si="34"/>
        <v>2.7187314500216275</v>
      </c>
      <c r="Y72" s="2268">
        <f t="shared" si="31"/>
        <v>2.6274307669985131</v>
      </c>
      <c r="Z72" s="2888">
        <f t="shared" si="25"/>
        <v>9.2024459228616671</v>
      </c>
      <c r="AA72" s="2889">
        <f t="shared" si="25"/>
        <v>9.865022029307708</v>
      </c>
      <c r="AB72" s="2268">
        <f t="shared" si="32"/>
        <v>9.5337339760846866</v>
      </c>
      <c r="AF72" s="2218">
        <f t="shared" si="35"/>
        <v>2.7187314500216275</v>
      </c>
      <c r="AG72" s="2593">
        <f t="shared" si="36"/>
        <v>0</v>
      </c>
      <c r="AH72" s="2218">
        <f t="shared" si="37"/>
        <v>9.865022029307708</v>
      </c>
      <c r="AI72" s="2593">
        <f t="shared" si="38"/>
        <v>0</v>
      </c>
    </row>
    <row r="73" spans="1:35" s="2218" customFormat="1" ht="22.5" customHeight="1">
      <c r="A73" s="2235">
        <v>122</v>
      </c>
      <c r="B73" s="2281" t="s">
        <v>1873</v>
      </c>
      <c r="C73" s="2282" t="s">
        <v>1874</v>
      </c>
      <c r="D73" s="2283" t="s">
        <v>1317</v>
      </c>
      <c r="E73" s="2284"/>
      <c r="F73" s="2285"/>
      <c r="G73" s="2257">
        <f t="shared" si="27"/>
        <v>0</v>
      </c>
      <c r="H73" s="2285"/>
      <c r="I73" s="2285"/>
      <c r="J73" s="2257">
        <f t="shared" si="28"/>
        <v>0</v>
      </c>
      <c r="K73" s="2285"/>
      <c r="L73" s="2285"/>
      <c r="M73" s="2259">
        <f t="shared" si="29"/>
        <v>0</v>
      </c>
      <c r="N73" s="2284"/>
      <c r="O73" s="2285"/>
      <c r="P73" s="2259">
        <f t="shared" si="22"/>
        <v>0</v>
      </c>
      <c r="Q73" s="2284">
        <v>12.912433607520777</v>
      </c>
      <c r="R73" s="2285">
        <f t="shared" si="33"/>
        <v>13.842128827262274</v>
      </c>
      <c r="S73" s="2259">
        <f t="shared" si="23"/>
        <v>13.377281217391525</v>
      </c>
      <c r="T73" s="2385">
        <f t="shared" si="24"/>
        <v>12.912433607520777</v>
      </c>
      <c r="U73" s="2285">
        <f t="shared" si="24"/>
        <v>13.842128827262274</v>
      </c>
      <c r="V73" s="2268">
        <f t="shared" si="30"/>
        <v>13.377281217391525</v>
      </c>
      <c r="W73" s="2888">
        <f t="shared" si="34"/>
        <v>2.7897430923729392</v>
      </c>
      <c r="X73" s="2889">
        <f t="shared" si="34"/>
        <v>2.9906045950237909</v>
      </c>
      <c r="Y73" s="2268">
        <f t="shared" si="31"/>
        <v>2.8901738436983653</v>
      </c>
      <c r="Z73" s="2888">
        <f t="shared" si="25"/>
        <v>10.122690515147838</v>
      </c>
      <c r="AA73" s="2889">
        <f t="shared" si="25"/>
        <v>10.851524232238482</v>
      </c>
      <c r="AB73" s="2268">
        <f t="shared" si="32"/>
        <v>10.48710737369316</v>
      </c>
      <c r="AF73" s="2218">
        <f t="shared" si="35"/>
        <v>2.9906045950237909</v>
      </c>
      <c r="AG73" s="2593">
        <f t="shared" si="36"/>
        <v>0</v>
      </c>
      <c r="AH73" s="2218">
        <f t="shared" si="37"/>
        <v>10.851524232238482</v>
      </c>
      <c r="AI73" s="2593">
        <f t="shared" si="38"/>
        <v>0</v>
      </c>
    </row>
    <row r="74" spans="1:35" s="2218" customFormat="1" ht="42" customHeight="1">
      <c r="A74" s="2235">
        <v>123</v>
      </c>
      <c r="B74" s="2281" t="s">
        <v>1876</v>
      </c>
      <c r="C74" s="2282" t="s">
        <v>1877</v>
      </c>
      <c r="D74" s="2283" t="s">
        <v>1317</v>
      </c>
      <c r="E74" s="2284"/>
      <c r="F74" s="2285"/>
      <c r="G74" s="2257">
        <f t="shared" si="27"/>
        <v>0</v>
      </c>
      <c r="H74" s="2285">
        <f>'[3]НВВ перекачка'!T375</f>
        <v>359.47201375245584</v>
      </c>
      <c r="I74" s="2285">
        <f>'[3]НВВ перекачка'!U375</f>
        <v>372.41300624754422</v>
      </c>
      <c r="J74" s="2257">
        <f t="shared" si="28"/>
        <v>365.94251000000003</v>
      </c>
      <c r="K74" s="2285">
        <f>'[3]НВВ перекачка'!AC375</f>
        <v>406.1953989231522</v>
      </c>
      <c r="L74" s="2285">
        <f>'[3]НВВ перекачка'!AD375</f>
        <v>423.66180107684767</v>
      </c>
      <c r="M74" s="2259">
        <f t="shared" si="29"/>
        <v>414.92859999999996</v>
      </c>
      <c r="N74" s="2284"/>
      <c r="O74" s="2285">
        <f>L74*1.06*1.072</f>
        <v>481.41537779964358</v>
      </c>
      <c r="P74" s="2259">
        <f t="shared" si="22"/>
        <v>240.70768889982179</v>
      </c>
      <c r="Q74" s="2284">
        <v>82.915521661309924</v>
      </c>
      <c r="R74" s="2285">
        <f t="shared" si="33"/>
        <v>88.885439220924241</v>
      </c>
      <c r="S74" s="2259">
        <f t="shared" si="23"/>
        <v>85.900480441117082</v>
      </c>
      <c r="T74" s="2385">
        <f t="shared" si="24"/>
        <v>82.915521661309924</v>
      </c>
      <c r="U74" s="2285">
        <f t="shared" si="24"/>
        <v>570.30081702056782</v>
      </c>
      <c r="V74" s="2268">
        <f t="shared" si="30"/>
        <v>326.60816934093884</v>
      </c>
      <c r="W74" s="2888">
        <f t="shared" si="34"/>
        <v>17.913974300739962</v>
      </c>
      <c r="X74" s="2889">
        <f t="shared" si="34"/>
        <v>123.21401319199099</v>
      </c>
      <c r="Y74" s="2268">
        <f t="shared" si="31"/>
        <v>70.563993746365469</v>
      </c>
      <c r="Z74" s="2888">
        <f t="shared" si="25"/>
        <v>65.001547360569958</v>
      </c>
      <c r="AA74" s="2889">
        <f t="shared" si="25"/>
        <v>447.08680382857682</v>
      </c>
      <c r="AB74" s="2268">
        <f t="shared" si="32"/>
        <v>256.0441755945734</v>
      </c>
      <c r="AF74" s="2218">
        <f t="shared" si="35"/>
        <v>123.21401319199099</v>
      </c>
      <c r="AG74" s="2593">
        <f t="shared" si="36"/>
        <v>0</v>
      </c>
      <c r="AH74" s="2218">
        <f t="shared" si="37"/>
        <v>447.08680382857682</v>
      </c>
      <c r="AI74" s="2593">
        <f t="shared" si="38"/>
        <v>0</v>
      </c>
    </row>
    <row r="75" spans="1:35" s="2218" customFormat="1" ht="18.75" customHeight="1">
      <c r="A75" s="2235">
        <v>124</v>
      </c>
      <c r="B75" s="2281" t="s">
        <v>1879</v>
      </c>
      <c r="C75" s="2282" t="s">
        <v>1880</v>
      </c>
      <c r="D75" s="2283" t="s">
        <v>1317</v>
      </c>
      <c r="E75" s="2284"/>
      <c r="F75" s="2285"/>
      <c r="G75" s="2257">
        <f t="shared" si="27"/>
        <v>0</v>
      </c>
      <c r="H75" s="2285"/>
      <c r="I75" s="2285"/>
      <c r="J75" s="2257">
        <f t="shared" si="28"/>
        <v>0</v>
      </c>
      <c r="K75" s="2285"/>
      <c r="L75" s="2285"/>
      <c r="M75" s="2259">
        <f t="shared" si="29"/>
        <v>0</v>
      </c>
      <c r="N75" s="2284"/>
      <c r="O75" s="2285"/>
      <c r="P75" s="2259">
        <f t="shared" si="22"/>
        <v>0</v>
      </c>
      <c r="Q75" s="2284">
        <v>0</v>
      </c>
      <c r="R75" s="2285">
        <f t="shared" si="33"/>
        <v>0</v>
      </c>
      <c r="S75" s="2259">
        <f t="shared" si="23"/>
        <v>0</v>
      </c>
      <c r="T75" s="2385">
        <f t="shared" si="24"/>
        <v>0</v>
      </c>
      <c r="U75" s="2285">
        <f t="shared" si="24"/>
        <v>0</v>
      </c>
      <c r="V75" s="2268">
        <f t="shared" si="30"/>
        <v>0</v>
      </c>
      <c r="W75" s="2888">
        <f t="shared" si="34"/>
        <v>0</v>
      </c>
      <c r="X75" s="2889">
        <f t="shared" si="34"/>
        <v>0</v>
      </c>
      <c r="Y75" s="2268">
        <f t="shared" si="31"/>
        <v>0</v>
      </c>
      <c r="Z75" s="2888">
        <f t="shared" si="25"/>
        <v>0</v>
      </c>
      <c r="AA75" s="2889">
        <f t="shared" si="25"/>
        <v>0</v>
      </c>
      <c r="AB75" s="2268">
        <f t="shared" si="32"/>
        <v>0</v>
      </c>
      <c r="AF75" s="2218">
        <f t="shared" si="35"/>
        <v>0</v>
      </c>
      <c r="AG75" s="2593">
        <f t="shared" si="36"/>
        <v>0</v>
      </c>
      <c r="AH75" s="2218">
        <f t="shared" si="37"/>
        <v>0</v>
      </c>
      <c r="AI75" s="2593">
        <f t="shared" si="38"/>
        <v>0</v>
      </c>
    </row>
    <row r="76" spans="1:35" s="2218" customFormat="1" ht="63">
      <c r="A76" s="2235">
        <v>125</v>
      </c>
      <c r="B76" s="2279" t="s">
        <v>1882</v>
      </c>
      <c r="C76" s="2295" t="s">
        <v>1883</v>
      </c>
      <c r="D76" s="2254" t="s">
        <v>1317</v>
      </c>
      <c r="E76" s="2255">
        <f>E77+E87</f>
        <v>0</v>
      </c>
      <c r="F76" s="2256">
        <f>F77+F87</f>
        <v>0</v>
      </c>
      <c r="G76" s="2257">
        <f t="shared" si="27"/>
        <v>0</v>
      </c>
      <c r="H76" s="2256">
        <f>H77+H87</f>
        <v>0</v>
      </c>
      <c r="I76" s="2256">
        <f>I77+I87</f>
        <v>0</v>
      </c>
      <c r="J76" s="2257">
        <f t="shared" si="28"/>
        <v>0</v>
      </c>
      <c r="K76" s="2256">
        <f>K77+K87</f>
        <v>0</v>
      </c>
      <c r="L76" s="2256">
        <f>L77+L87</f>
        <v>0</v>
      </c>
      <c r="M76" s="2259">
        <f t="shared" si="29"/>
        <v>0</v>
      </c>
      <c r="N76" s="2255">
        <v>0</v>
      </c>
      <c r="O76" s="2256">
        <v>0</v>
      </c>
      <c r="P76" s="2259">
        <f t="shared" si="22"/>
        <v>0</v>
      </c>
      <c r="Q76" s="2256">
        <f>Q77+Q87</f>
        <v>42846.021994389281</v>
      </c>
      <c r="R76" s="2256">
        <f>R77+R87</f>
        <v>45930.935577985299</v>
      </c>
      <c r="S76" s="2259">
        <f t="shared" si="23"/>
        <v>44388.47878618729</v>
      </c>
      <c r="T76" s="2469">
        <f t="shared" si="24"/>
        <v>42846.021994389281</v>
      </c>
      <c r="U76" s="2291">
        <f t="shared" si="24"/>
        <v>45930.935577985299</v>
      </c>
      <c r="V76" s="2268">
        <f t="shared" si="30"/>
        <v>44388.47878618729</v>
      </c>
      <c r="W76" s="2377">
        <f>T76/$T$272*$N$272</f>
        <v>9256.9222446872664</v>
      </c>
      <c r="X76" s="2256">
        <f>U76/$T$272*$N$272</f>
        <v>9923.4206463047467</v>
      </c>
      <c r="Y76" s="2268">
        <f t="shared" si="31"/>
        <v>9590.1714454960056</v>
      </c>
      <c r="Z76" s="2886">
        <f t="shared" si="25"/>
        <v>33589.099749702014</v>
      </c>
      <c r="AA76" s="2887">
        <f t="shared" si="25"/>
        <v>36007.514931680547</v>
      </c>
      <c r="AB76" s="2268">
        <f t="shared" si="32"/>
        <v>34798.307340691281</v>
      </c>
      <c r="AC76" s="2114">
        <f>X76+AA76</f>
        <v>45930.935577985292</v>
      </c>
      <c r="AF76" s="2218">
        <f t="shared" si="35"/>
        <v>9923.4206463047467</v>
      </c>
      <c r="AG76" s="2593">
        <f t="shared" si="36"/>
        <v>0</v>
      </c>
      <c r="AH76" s="2218">
        <f t="shared" si="37"/>
        <v>36007.514931680547</v>
      </c>
      <c r="AI76" s="2593">
        <f t="shared" si="38"/>
        <v>0</v>
      </c>
    </row>
    <row r="77" spans="1:35" s="2218" customFormat="1" ht="30.75" customHeight="1">
      <c r="A77" s="2235">
        <v>126</v>
      </c>
      <c r="B77" s="2279" t="s">
        <v>1884</v>
      </c>
      <c r="C77" s="2280" t="s">
        <v>1885</v>
      </c>
      <c r="D77" s="2254" t="s">
        <v>1317</v>
      </c>
      <c r="E77" s="2255">
        <f>E78*E86*12/1000</f>
        <v>0</v>
      </c>
      <c r="F77" s="2256">
        <f>F78*F86*12/1000</f>
        <v>0</v>
      </c>
      <c r="G77" s="2257">
        <f t="shared" si="27"/>
        <v>0</v>
      </c>
      <c r="H77" s="2256">
        <f>H78*H86*12/1000</f>
        <v>0</v>
      </c>
      <c r="I77" s="2256">
        <f>I78*I86*12/1000</f>
        <v>0</v>
      </c>
      <c r="J77" s="2257">
        <f t="shared" si="28"/>
        <v>0</v>
      </c>
      <c r="K77" s="2256">
        <f>K78*K86*12/1000</f>
        <v>0</v>
      </c>
      <c r="L77" s="2256">
        <f>L78*L86*12/1000</f>
        <v>0</v>
      </c>
      <c r="M77" s="2259">
        <f t="shared" si="29"/>
        <v>0</v>
      </c>
      <c r="N77" s="2255">
        <v>0</v>
      </c>
      <c r="O77" s="2256">
        <v>0</v>
      </c>
      <c r="P77" s="2259">
        <f t="shared" si="22"/>
        <v>0</v>
      </c>
      <c r="Q77" s="2256">
        <f>Q78*Q86*12/1000</f>
        <v>32907.850994154593</v>
      </c>
      <c r="R77" s="2256">
        <f>R78*R86*12/1000</f>
        <v>35277.216265733718</v>
      </c>
      <c r="S77" s="2259">
        <f t="shared" si="23"/>
        <v>34092.533629944155</v>
      </c>
      <c r="T77" s="2469">
        <f t="shared" si="24"/>
        <v>32907.850994154593</v>
      </c>
      <c r="U77" s="2291">
        <f t="shared" si="24"/>
        <v>35277.216265733718</v>
      </c>
      <c r="V77" s="2268">
        <f t="shared" si="30"/>
        <v>34092.533629944155</v>
      </c>
      <c r="W77" s="2256">
        <f>W78*W86*12/1000</f>
        <v>7109.7713092836138</v>
      </c>
      <c r="X77" s="2256">
        <f>X78*X86*12/1000</f>
        <v>7621.6748435520331</v>
      </c>
      <c r="Y77" s="2268">
        <f t="shared" si="31"/>
        <v>7365.7230764178239</v>
      </c>
      <c r="Z77" s="2256">
        <f>Z78*Z86*12/1000</f>
        <v>25798.07968487098</v>
      </c>
      <c r="AA77" s="2256">
        <f>AA78*AA86*12/1000</f>
        <v>27655.54142218169</v>
      </c>
      <c r="AB77" s="2268">
        <f t="shared" si="32"/>
        <v>26726.810553526335</v>
      </c>
      <c r="AC77" s="2114">
        <f>X77+AA77</f>
        <v>35277.216265733725</v>
      </c>
      <c r="AD77" s="2218">
        <v>7109.7713092836138</v>
      </c>
      <c r="AE77" s="2218">
        <v>7443.930560819942</v>
      </c>
      <c r="AF77" s="2218">
        <f t="shared" si="35"/>
        <v>7621.6748435520331</v>
      </c>
      <c r="AG77" s="2593">
        <f t="shared" si="36"/>
        <v>0</v>
      </c>
      <c r="AH77" s="2218">
        <f t="shared" si="37"/>
        <v>27655.541422181683</v>
      </c>
      <c r="AI77" s="2593">
        <f t="shared" si="38"/>
        <v>0</v>
      </c>
    </row>
    <row r="78" spans="1:35" s="2218" customFormat="1" ht="30.75" customHeight="1">
      <c r="A78" s="2235">
        <v>617</v>
      </c>
      <c r="B78" s="2279" t="s">
        <v>1886</v>
      </c>
      <c r="C78" s="2280" t="s">
        <v>1887</v>
      </c>
      <c r="D78" s="2254" t="s">
        <v>1888</v>
      </c>
      <c r="E78" s="2255">
        <f>E79+E80+E81+E84+E85</f>
        <v>0</v>
      </c>
      <c r="F78" s="2256">
        <f>F79+F80+F81+F84+F85</f>
        <v>0</v>
      </c>
      <c r="G78" s="2257">
        <f t="shared" si="27"/>
        <v>0</v>
      </c>
      <c r="H78" s="2256">
        <f>H79+H80+H81+H84+H85</f>
        <v>0</v>
      </c>
      <c r="I78" s="2256">
        <f>I79+I80+I81+I84+I85</f>
        <v>0</v>
      </c>
      <c r="J78" s="2257">
        <f t="shared" si="28"/>
        <v>0</v>
      </c>
      <c r="K78" s="2256">
        <f>K79+K80+K81+K84+K85</f>
        <v>0</v>
      </c>
      <c r="L78" s="2256">
        <f>L79+L80+L81+L84+L85</f>
        <v>0</v>
      </c>
      <c r="M78" s="2259">
        <f t="shared" si="29"/>
        <v>0</v>
      </c>
      <c r="N78" s="2255">
        <v>0</v>
      </c>
      <c r="O78" s="2256">
        <v>0</v>
      </c>
      <c r="P78" s="2259">
        <f t="shared" si="22"/>
        <v>0</v>
      </c>
      <c r="Q78" s="2256">
        <f>Q79+Q80+Q81+Q84+Q85</f>
        <v>63774.905027431385</v>
      </c>
      <c r="R78" s="2256">
        <f>R79+R80+R81+R84+R85</f>
        <v>68366.698189406437</v>
      </c>
      <c r="S78" s="2259">
        <f t="shared" si="23"/>
        <v>66070.801608418915</v>
      </c>
      <c r="T78" s="2469">
        <f t="shared" si="24"/>
        <v>63774.905027431385</v>
      </c>
      <c r="U78" s="2291">
        <f t="shared" si="24"/>
        <v>68366.698189406437</v>
      </c>
      <c r="V78" s="2268">
        <f t="shared" si="30"/>
        <v>66070.801608418915</v>
      </c>
      <c r="W78" s="2256">
        <f>W79+W80+W81+W84+W85</f>
        <v>63774.905027431385</v>
      </c>
      <c r="X78" s="2256">
        <f>X79+X80+X81+X84+X85</f>
        <v>68366.698189406437</v>
      </c>
      <c r="Y78" s="2268">
        <f t="shared" si="31"/>
        <v>66070.801608418915</v>
      </c>
      <c r="Z78" s="2256">
        <f>Z79+Z80+Z81+Z84+Z85</f>
        <v>63774.905027431385</v>
      </c>
      <c r="AA78" s="2256">
        <f>AA79+AA80+AA81+AA84+AA85</f>
        <v>68366.698189406437</v>
      </c>
      <c r="AB78" s="2268">
        <f t="shared" si="32"/>
        <v>66070.801608418915</v>
      </c>
      <c r="AC78" s="2114"/>
      <c r="AD78" s="2593">
        <f>AD77-W77</f>
        <v>0</v>
      </c>
      <c r="AE78" s="2593">
        <f>AE77-X77</f>
        <v>-177.74428273209105</v>
      </c>
      <c r="AF78" s="2218">
        <f t="shared" si="35"/>
        <v>14770.687681302392</v>
      </c>
      <c r="AG78" s="2593">
        <f t="shared" si="36"/>
        <v>-53596.010508104046</v>
      </c>
      <c r="AH78" s="2218">
        <f t="shared" si="37"/>
        <v>53596.010508104038</v>
      </c>
      <c r="AI78" s="2593">
        <f t="shared" si="38"/>
        <v>-14770.687681302399</v>
      </c>
    </row>
    <row r="79" spans="1:35" s="2218" customFormat="1" ht="30.75" customHeight="1">
      <c r="A79" s="2235">
        <v>288</v>
      </c>
      <c r="B79" s="2281" t="s">
        <v>1889</v>
      </c>
      <c r="C79" s="2282" t="s">
        <v>1890</v>
      </c>
      <c r="D79" s="2283" t="s">
        <v>1793</v>
      </c>
      <c r="E79" s="2284"/>
      <c r="F79" s="2285"/>
      <c r="G79" s="2257">
        <f t="shared" si="27"/>
        <v>0</v>
      </c>
      <c r="H79" s="2285"/>
      <c r="I79" s="2285"/>
      <c r="J79" s="2257">
        <f t="shared" si="28"/>
        <v>0</v>
      </c>
      <c r="K79" s="2285"/>
      <c r="L79" s="2285"/>
      <c r="M79" s="2259">
        <f t="shared" si="29"/>
        <v>0</v>
      </c>
      <c r="N79" s="2284"/>
      <c r="O79" s="2285"/>
      <c r="P79" s="2259">
        <f t="shared" si="22"/>
        <v>0</v>
      </c>
      <c r="Q79" s="2284">
        <v>21684.391301185347</v>
      </c>
      <c r="R79" s="2285">
        <f>Q79*1.072</f>
        <v>23245.667474870694</v>
      </c>
      <c r="S79" s="2259">
        <f t="shared" si="23"/>
        <v>22465.029388028022</v>
      </c>
      <c r="T79" s="2284">
        <f t="shared" si="24"/>
        <v>21684.391301185347</v>
      </c>
      <c r="U79" s="2285">
        <f t="shared" si="24"/>
        <v>23245.667474870694</v>
      </c>
      <c r="V79" s="2268">
        <f t="shared" si="30"/>
        <v>22465.029388028022</v>
      </c>
      <c r="W79" s="2888">
        <v>21684.391301185347</v>
      </c>
      <c r="X79" s="2889">
        <v>23245.667474870694</v>
      </c>
      <c r="Y79" s="2268">
        <f t="shared" si="31"/>
        <v>22465.029388028022</v>
      </c>
      <c r="Z79" s="2888">
        <v>21684.391301185347</v>
      </c>
      <c r="AA79" s="2889">
        <v>23245.667474870694</v>
      </c>
      <c r="AB79" s="2268">
        <f t="shared" si="32"/>
        <v>22465.029388028022</v>
      </c>
      <c r="AC79" s="2113"/>
      <c r="AF79" s="2218">
        <f t="shared" si="35"/>
        <v>5022.2477215950694</v>
      </c>
      <c r="AG79" s="2593">
        <f t="shared" si="36"/>
        <v>-18223.419753275622</v>
      </c>
      <c r="AH79" s="2218">
        <f t="shared" si="37"/>
        <v>18223.419753275626</v>
      </c>
      <c r="AI79" s="2593">
        <f t="shared" si="38"/>
        <v>-5022.2477215950676</v>
      </c>
    </row>
    <row r="80" spans="1:35" s="2218" customFormat="1" ht="21" customHeight="1">
      <c r="A80" s="2235">
        <v>297</v>
      </c>
      <c r="B80" s="2281" t="s">
        <v>1891</v>
      </c>
      <c r="C80" s="2282" t="s">
        <v>1846</v>
      </c>
      <c r="D80" s="2283" t="s">
        <v>1784</v>
      </c>
      <c r="E80" s="2284"/>
      <c r="F80" s="2285"/>
      <c r="G80" s="2257">
        <f t="shared" si="27"/>
        <v>0</v>
      </c>
      <c r="H80" s="2285"/>
      <c r="I80" s="2285"/>
      <c r="J80" s="2257">
        <f t="shared" si="28"/>
        <v>0</v>
      </c>
      <c r="K80" s="2285"/>
      <c r="L80" s="2285"/>
      <c r="M80" s="2259">
        <f t="shared" si="29"/>
        <v>0</v>
      </c>
      <c r="N80" s="2284"/>
      <c r="O80" s="2285"/>
      <c r="P80" s="2259">
        <f t="shared" si="22"/>
        <v>0</v>
      </c>
      <c r="Q80" s="2284">
        <v>0</v>
      </c>
      <c r="R80" s="2285">
        <v>0</v>
      </c>
      <c r="S80" s="2259">
        <f t="shared" si="23"/>
        <v>0</v>
      </c>
      <c r="T80" s="2284">
        <v>0</v>
      </c>
      <c r="U80" s="2285">
        <v>0</v>
      </c>
      <c r="V80" s="2268">
        <f t="shared" si="30"/>
        <v>0</v>
      </c>
      <c r="W80" s="2294">
        <v>0</v>
      </c>
      <c r="X80" s="2296">
        <v>0</v>
      </c>
      <c r="Y80" s="2268">
        <f t="shared" si="31"/>
        <v>0</v>
      </c>
      <c r="Z80" s="2294">
        <v>0</v>
      </c>
      <c r="AA80" s="2296">
        <v>0</v>
      </c>
      <c r="AB80" s="2268">
        <f t="shared" si="32"/>
        <v>0</v>
      </c>
      <c r="AC80" s="2114"/>
      <c r="AD80" s="2114"/>
      <c r="AF80" s="2218">
        <f t="shared" si="35"/>
        <v>0</v>
      </c>
      <c r="AG80" s="2593">
        <f t="shared" si="36"/>
        <v>0</v>
      </c>
      <c r="AH80" s="2218">
        <f t="shared" si="37"/>
        <v>0</v>
      </c>
      <c r="AI80" s="2593">
        <f t="shared" si="38"/>
        <v>0</v>
      </c>
    </row>
    <row r="81" spans="1:35" s="2218" customFormat="1" ht="21" customHeight="1">
      <c r="A81" s="2235">
        <v>615</v>
      </c>
      <c r="B81" s="2279" t="s">
        <v>1892</v>
      </c>
      <c r="C81" s="2280" t="s">
        <v>1786</v>
      </c>
      <c r="D81" s="2254" t="s">
        <v>1893</v>
      </c>
      <c r="E81" s="2255">
        <f>E82*E83</f>
        <v>0</v>
      </c>
      <c r="F81" s="2256">
        <f>F82*F83</f>
        <v>0</v>
      </c>
      <c r="G81" s="2257">
        <f t="shared" si="27"/>
        <v>0</v>
      </c>
      <c r="H81" s="2256">
        <f>H82*H83</f>
        <v>0</v>
      </c>
      <c r="I81" s="2256">
        <f>I82*I83</f>
        <v>0</v>
      </c>
      <c r="J81" s="2257">
        <f t="shared" si="28"/>
        <v>0</v>
      </c>
      <c r="K81" s="2256">
        <f>K82*K83</f>
        <v>0</v>
      </c>
      <c r="L81" s="2256">
        <f>L82*L83</f>
        <v>0</v>
      </c>
      <c r="M81" s="2259">
        <f t="shared" si="29"/>
        <v>0</v>
      </c>
      <c r="N81" s="2255">
        <v>0</v>
      </c>
      <c r="O81" s="2256">
        <v>0</v>
      </c>
      <c r="P81" s="2259">
        <f t="shared" si="22"/>
        <v>0</v>
      </c>
      <c r="Q81" s="2255">
        <f>Q82*Q83</f>
        <v>17796.257301724145</v>
      </c>
      <c r="R81" s="2256">
        <f>R82*R83</f>
        <v>19077.587827448282</v>
      </c>
      <c r="S81" s="2259">
        <f t="shared" si="23"/>
        <v>18436.922564586213</v>
      </c>
      <c r="T81" s="2255">
        <f>T82*T83</f>
        <v>17796.257301724145</v>
      </c>
      <c r="U81" s="2256">
        <f>U82*U83</f>
        <v>19077.587827448282</v>
      </c>
      <c r="V81" s="2268">
        <f t="shared" si="30"/>
        <v>18436.922564586213</v>
      </c>
      <c r="W81" s="2255">
        <f>W82*W83</f>
        <v>17796.257301724145</v>
      </c>
      <c r="X81" s="2256">
        <f>X82*X83</f>
        <v>19077.587827448282</v>
      </c>
      <c r="Y81" s="2268">
        <f t="shared" si="31"/>
        <v>18436.922564586213</v>
      </c>
      <c r="Z81" s="2255">
        <f>Z82*Z83</f>
        <v>17796.257301724145</v>
      </c>
      <c r="AA81" s="2256">
        <f>AA82*AA83</f>
        <v>19077.587827448282</v>
      </c>
      <c r="AB81" s="2268">
        <f t="shared" si="32"/>
        <v>18436.922564586213</v>
      </c>
      <c r="AF81" s="2218">
        <f t="shared" si="35"/>
        <v>4121.7303010768865</v>
      </c>
      <c r="AG81" s="2593">
        <f t="shared" si="36"/>
        <v>-14955.857526371396</v>
      </c>
      <c r="AH81" s="2218">
        <f t="shared" si="37"/>
        <v>14955.857526371396</v>
      </c>
      <c r="AI81" s="2593">
        <f t="shared" si="38"/>
        <v>-4121.7303010768865</v>
      </c>
    </row>
    <row r="82" spans="1:35" s="2218" customFormat="1" ht="21" customHeight="1">
      <c r="A82" s="2235">
        <v>131</v>
      </c>
      <c r="B82" s="2281" t="s">
        <v>1894</v>
      </c>
      <c r="C82" s="2282" t="s">
        <v>1788</v>
      </c>
      <c r="D82" s="2283" t="s">
        <v>1784</v>
      </c>
      <c r="E82" s="2284"/>
      <c r="F82" s="2285"/>
      <c r="G82" s="2257">
        <f t="shared" si="27"/>
        <v>0</v>
      </c>
      <c r="H82" s="2285"/>
      <c r="I82" s="2285"/>
      <c r="J82" s="2257">
        <f t="shared" si="28"/>
        <v>0</v>
      </c>
      <c r="K82" s="2285"/>
      <c r="L82" s="2285"/>
      <c r="M82" s="2259">
        <f t="shared" si="29"/>
        <v>0</v>
      </c>
      <c r="N82" s="2284"/>
      <c r="O82" s="2285"/>
      <c r="P82" s="2259">
        <f t="shared" si="22"/>
        <v>0</v>
      </c>
      <c r="Q82" s="2284">
        <v>6402.4000000000005</v>
      </c>
      <c r="R82" s="2285">
        <f>Q82*1.072</f>
        <v>6863.372800000001</v>
      </c>
      <c r="S82" s="2259">
        <f t="shared" si="23"/>
        <v>6632.8864000000012</v>
      </c>
      <c r="T82" s="2284">
        <f>Q82</f>
        <v>6402.4000000000005</v>
      </c>
      <c r="U82" s="2285">
        <f>R82</f>
        <v>6863.372800000001</v>
      </c>
      <c r="V82" s="2268">
        <f t="shared" si="30"/>
        <v>6632.8864000000012</v>
      </c>
      <c r="W82" s="2284">
        <f>T82</f>
        <v>6402.4000000000005</v>
      </c>
      <c r="X82" s="2285">
        <f>U82</f>
        <v>6863.372800000001</v>
      </c>
      <c r="Y82" s="2268">
        <f t="shared" si="31"/>
        <v>6632.8864000000012</v>
      </c>
      <c r="Z82" s="2284">
        <f>W82</f>
        <v>6402.4000000000005</v>
      </c>
      <c r="AA82" s="2285">
        <f>X82</f>
        <v>6863.372800000001</v>
      </c>
      <c r="AB82" s="2268">
        <f t="shared" si="32"/>
        <v>6632.8864000000012</v>
      </c>
      <c r="AF82" s="2218">
        <f t="shared" si="35"/>
        <v>1482.837971614292</v>
      </c>
      <c r="AG82" s="2593">
        <f t="shared" si="36"/>
        <v>-5380.5348283857093</v>
      </c>
      <c r="AH82" s="2218">
        <f t="shared" si="37"/>
        <v>5380.5348283857093</v>
      </c>
      <c r="AI82" s="2593">
        <f t="shared" si="38"/>
        <v>-1482.8379716142917</v>
      </c>
    </row>
    <row r="83" spans="1:35" s="2218" customFormat="1" ht="21" customHeight="1">
      <c r="A83" s="2235">
        <v>134</v>
      </c>
      <c r="B83" s="2281" t="s">
        <v>1895</v>
      </c>
      <c r="C83" s="2282" t="s">
        <v>1790</v>
      </c>
      <c r="D83" s="2283"/>
      <c r="E83" s="2284"/>
      <c r="F83" s="2285"/>
      <c r="G83" s="2257">
        <f t="shared" si="27"/>
        <v>0</v>
      </c>
      <c r="H83" s="2285"/>
      <c r="I83" s="2285"/>
      <c r="J83" s="2257">
        <f t="shared" si="28"/>
        <v>0</v>
      </c>
      <c r="K83" s="2285"/>
      <c r="L83" s="2285"/>
      <c r="M83" s="2259">
        <f t="shared" si="29"/>
        <v>0</v>
      </c>
      <c r="N83" s="2284"/>
      <c r="O83" s="2285"/>
      <c r="P83" s="2259">
        <f t="shared" si="22"/>
        <v>0</v>
      </c>
      <c r="Q83" s="2284">
        <v>2.7796228448275868</v>
      </c>
      <c r="R83" s="2285">
        <v>2.7796228448275868</v>
      </c>
      <c r="S83" s="2259">
        <f t="shared" si="23"/>
        <v>2.7796228448275868</v>
      </c>
      <c r="T83" s="2284">
        <v>2.7796228448275868</v>
      </c>
      <c r="U83" s="2285">
        <v>2.7796228448275868</v>
      </c>
      <c r="V83" s="2268">
        <f t="shared" si="30"/>
        <v>2.7796228448275868</v>
      </c>
      <c r="W83" s="2294">
        <v>2.7796228448275868</v>
      </c>
      <c r="X83" s="2296">
        <v>2.7796228448275868</v>
      </c>
      <c r="Y83" s="2268">
        <f t="shared" si="31"/>
        <v>2.7796228448275868</v>
      </c>
      <c r="Z83" s="2294">
        <v>2.7796228448275868</v>
      </c>
      <c r="AA83" s="2296">
        <v>2.7796228448275868</v>
      </c>
      <c r="AB83" s="2268">
        <f t="shared" si="32"/>
        <v>2.7796228448275868</v>
      </c>
      <c r="AF83" s="2218">
        <f t="shared" si="35"/>
        <v>0.60054005824612733</v>
      </c>
      <c r="AG83" s="2593">
        <f t="shared" si="36"/>
        <v>-2.1790827865814597</v>
      </c>
      <c r="AH83" s="2218">
        <f t="shared" si="37"/>
        <v>2.1790827865814593</v>
      </c>
      <c r="AI83" s="2593">
        <f t="shared" si="38"/>
        <v>-0.60054005824612755</v>
      </c>
    </row>
    <row r="84" spans="1:35" s="2218" customFormat="1" ht="21" customHeight="1">
      <c r="A84" s="2235">
        <v>618</v>
      </c>
      <c r="B84" s="2281" t="s">
        <v>1896</v>
      </c>
      <c r="C84" s="2282" t="s">
        <v>1795</v>
      </c>
      <c r="D84" s="2283" t="s">
        <v>1784</v>
      </c>
      <c r="E84" s="2284"/>
      <c r="F84" s="2285"/>
      <c r="G84" s="2257">
        <f t="shared" si="27"/>
        <v>0</v>
      </c>
      <c r="H84" s="2285"/>
      <c r="I84" s="2285"/>
      <c r="J84" s="2257">
        <f t="shared" si="28"/>
        <v>0</v>
      </c>
      <c r="K84" s="2285"/>
      <c r="L84" s="2285"/>
      <c r="M84" s="2259">
        <f t="shared" si="29"/>
        <v>0</v>
      </c>
      <c r="N84" s="2284"/>
      <c r="O84" s="2285"/>
      <c r="P84" s="2259">
        <f t="shared" si="22"/>
        <v>0</v>
      </c>
      <c r="Q84" s="2284">
        <v>24294.256424521889</v>
      </c>
      <c r="R84" s="2285">
        <f>Q84*1.072</f>
        <v>26043.442887087465</v>
      </c>
      <c r="S84" s="2259">
        <f t="shared" si="23"/>
        <v>25168.849655804675</v>
      </c>
      <c r="T84" s="2284">
        <f>N84+Q84</f>
        <v>24294.256424521889</v>
      </c>
      <c r="U84" s="2285">
        <f>O84+R84</f>
        <v>26043.442887087465</v>
      </c>
      <c r="V84" s="2268">
        <f t="shared" si="30"/>
        <v>25168.849655804675</v>
      </c>
      <c r="W84" s="2888">
        <v>24294.256424521889</v>
      </c>
      <c r="X84" s="2889">
        <v>26043.442887087465</v>
      </c>
      <c r="Y84" s="2268">
        <f t="shared" si="31"/>
        <v>25168.849655804675</v>
      </c>
      <c r="Z84" s="2888">
        <v>24294.256424521889</v>
      </c>
      <c r="AA84" s="2889">
        <v>26043.442887087465</v>
      </c>
      <c r="AB84" s="2268">
        <f t="shared" si="32"/>
        <v>25168.849655804675</v>
      </c>
      <c r="AF84" s="2218">
        <f t="shared" si="35"/>
        <v>5626.7096586304369</v>
      </c>
      <c r="AG84" s="2593">
        <f t="shared" si="36"/>
        <v>-20416.733228457029</v>
      </c>
      <c r="AH84" s="2218">
        <f t="shared" si="37"/>
        <v>20416.733228457026</v>
      </c>
      <c r="AI84" s="2593">
        <f t="shared" si="38"/>
        <v>-5626.7096586304397</v>
      </c>
    </row>
    <row r="85" spans="1:35" s="2218" customFormat="1" ht="33" customHeight="1">
      <c r="A85" s="2235">
        <v>619</v>
      </c>
      <c r="B85" s="2281" t="s">
        <v>1897</v>
      </c>
      <c r="C85" s="2282" t="s">
        <v>1898</v>
      </c>
      <c r="D85" s="2283" t="s">
        <v>1784</v>
      </c>
      <c r="E85" s="2284"/>
      <c r="F85" s="2285"/>
      <c r="G85" s="2257">
        <f t="shared" si="27"/>
        <v>0</v>
      </c>
      <c r="H85" s="2285"/>
      <c r="I85" s="2285"/>
      <c r="J85" s="2257">
        <f t="shared" si="28"/>
        <v>0</v>
      </c>
      <c r="K85" s="2285"/>
      <c r="L85" s="2285"/>
      <c r="M85" s="2259">
        <f t="shared" si="29"/>
        <v>0</v>
      </c>
      <c r="N85" s="2284"/>
      <c r="O85" s="2285"/>
      <c r="P85" s="2259">
        <f t="shared" si="22"/>
        <v>0</v>
      </c>
      <c r="Q85" s="2284">
        <v>0</v>
      </c>
      <c r="R85" s="2285">
        <v>0</v>
      </c>
      <c r="S85" s="2259">
        <f t="shared" si="23"/>
        <v>0</v>
      </c>
      <c r="T85" s="2284">
        <v>0</v>
      </c>
      <c r="U85" s="2285">
        <v>0</v>
      </c>
      <c r="V85" s="2268">
        <f t="shared" si="30"/>
        <v>0</v>
      </c>
      <c r="W85" s="2294">
        <v>0</v>
      </c>
      <c r="X85" s="2296">
        <v>0</v>
      </c>
      <c r="Y85" s="2268">
        <f t="shared" si="31"/>
        <v>0</v>
      </c>
      <c r="Z85" s="2294">
        <v>0</v>
      </c>
      <c r="AA85" s="2296">
        <v>0</v>
      </c>
      <c r="AB85" s="2268">
        <f t="shared" si="32"/>
        <v>0</v>
      </c>
      <c r="AF85" s="2218">
        <f t="shared" si="35"/>
        <v>0</v>
      </c>
      <c r="AG85" s="2593">
        <f t="shared" si="36"/>
        <v>0</v>
      </c>
      <c r="AH85" s="2218">
        <f t="shared" si="37"/>
        <v>0</v>
      </c>
      <c r="AI85" s="2593">
        <f t="shared" si="38"/>
        <v>0</v>
      </c>
    </row>
    <row r="86" spans="1:35" s="2218" customFormat="1" ht="42.75" customHeight="1">
      <c r="A86" s="2235">
        <v>127</v>
      </c>
      <c r="B86" s="2281" t="s">
        <v>1899</v>
      </c>
      <c r="C86" s="2282" t="s">
        <v>1799</v>
      </c>
      <c r="D86" s="2283" t="s">
        <v>1800</v>
      </c>
      <c r="E86" s="2284"/>
      <c r="F86" s="2285"/>
      <c r="G86" s="2257">
        <f t="shared" si="27"/>
        <v>0</v>
      </c>
      <c r="H86" s="2285"/>
      <c r="I86" s="2285"/>
      <c r="J86" s="2257">
        <f t="shared" si="28"/>
        <v>0</v>
      </c>
      <c r="K86" s="2285"/>
      <c r="L86" s="2285"/>
      <c r="M86" s="2259">
        <f t="shared" si="29"/>
        <v>0</v>
      </c>
      <c r="N86" s="2284"/>
      <c r="O86" s="2285"/>
      <c r="P86" s="2259">
        <f t="shared" si="22"/>
        <v>0</v>
      </c>
      <c r="Q86" s="2284">
        <v>43</v>
      </c>
      <c r="R86" s="2285">
        <v>43</v>
      </c>
      <c r="S86" s="2259">
        <f t="shared" si="23"/>
        <v>43</v>
      </c>
      <c r="T86" s="2284">
        <f t="shared" ref="T86:U91" si="39">N86+Q86</f>
        <v>43</v>
      </c>
      <c r="U86" s="2285">
        <f t="shared" si="39"/>
        <v>43</v>
      </c>
      <c r="V86" s="2268">
        <f t="shared" si="30"/>
        <v>43</v>
      </c>
      <c r="W86" s="2888">
        <f>T86/$T$272*$W$272</f>
        <v>9.2901893336486889</v>
      </c>
      <c r="X86" s="2889">
        <f>U86/$T$272*$W$272</f>
        <v>9.2901893336486889</v>
      </c>
      <c r="Y86" s="2268">
        <f t="shared" si="31"/>
        <v>9.2901893336486889</v>
      </c>
      <c r="Z86" s="2888">
        <f t="shared" ref="Z86:AA112" si="40">T86/$T$272*$Z$272</f>
        <v>33.709810666351309</v>
      </c>
      <c r="AA86" s="2889">
        <f t="shared" si="40"/>
        <v>33.709810666351309</v>
      </c>
      <c r="AB86" s="2268">
        <f t="shared" si="32"/>
        <v>33.709810666351309</v>
      </c>
      <c r="AF86" s="2218">
        <f t="shared" si="35"/>
        <v>9.2901893336486889</v>
      </c>
      <c r="AG86" s="2593">
        <f t="shared" si="36"/>
        <v>0</v>
      </c>
      <c r="AH86" s="2218">
        <f t="shared" si="37"/>
        <v>33.709810666351309</v>
      </c>
      <c r="AI86" s="2593">
        <f t="shared" si="38"/>
        <v>0</v>
      </c>
    </row>
    <row r="87" spans="1:35" s="2218" customFormat="1" ht="50.25" customHeight="1">
      <c r="A87" s="2235">
        <v>137</v>
      </c>
      <c r="B87" s="2287" t="s">
        <v>1901</v>
      </c>
      <c r="C87" s="2288" t="s">
        <v>1902</v>
      </c>
      <c r="D87" s="2289" t="s">
        <v>1317</v>
      </c>
      <c r="E87" s="2290"/>
      <c r="F87" s="2291"/>
      <c r="G87" s="2257">
        <f t="shared" si="27"/>
        <v>0</v>
      </c>
      <c r="H87" s="2291"/>
      <c r="I87" s="2291"/>
      <c r="J87" s="2257">
        <f t="shared" si="28"/>
        <v>0</v>
      </c>
      <c r="K87" s="2291"/>
      <c r="L87" s="2291"/>
      <c r="M87" s="2259">
        <f t="shared" si="29"/>
        <v>0</v>
      </c>
      <c r="N87" s="2290"/>
      <c r="O87" s="2291"/>
      <c r="P87" s="2259">
        <f t="shared" si="22"/>
        <v>0</v>
      </c>
      <c r="Q87" s="2291">
        <f>Q77*0.302</f>
        <v>9938.1710002346863</v>
      </c>
      <c r="R87" s="2291">
        <f>R77*0.302</f>
        <v>10653.719312251582</v>
      </c>
      <c r="S87" s="2259">
        <f t="shared" si="23"/>
        <v>10295.945156243135</v>
      </c>
      <c r="T87" s="2469">
        <f t="shared" si="39"/>
        <v>9938.1710002346863</v>
      </c>
      <c r="U87" s="2291">
        <f t="shared" si="39"/>
        <v>10653.719312251582</v>
      </c>
      <c r="V87" s="2268">
        <f t="shared" si="30"/>
        <v>10295.945156243135</v>
      </c>
      <c r="W87" s="2377">
        <f>T87/$T$272*$N$272</f>
        <v>2147.1509354036516</v>
      </c>
      <c r="X87" s="2256">
        <f>U87/$T$272*$N$272</f>
        <v>2301.7458027527136</v>
      </c>
      <c r="Y87" s="2268">
        <f t="shared" si="31"/>
        <v>2224.4483690781826</v>
      </c>
      <c r="Z87" s="2886">
        <f t="shared" si="40"/>
        <v>7791.0200648310356</v>
      </c>
      <c r="AA87" s="2887">
        <f t="shared" si="40"/>
        <v>8351.9735094988664</v>
      </c>
      <c r="AB87" s="2268">
        <f t="shared" si="32"/>
        <v>8071.4967871649515</v>
      </c>
      <c r="AF87" s="2218">
        <f t="shared" si="35"/>
        <v>2301.7458027527136</v>
      </c>
      <c r="AG87" s="2593">
        <f t="shared" si="36"/>
        <v>0</v>
      </c>
      <c r="AH87" s="2218">
        <f t="shared" si="37"/>
        <v>8351.9735094988664</v>
      </c>
      <c r="AI87" s="2593">
        <f t="shared" si="38"/>
        <v>0</v>
      </c>
    </row>
    <row r="88" spans="1:35" s="2218" customFormat="1" ht="85.5" customHeight="1">
      <c r="A88" s="2235">
        <v>138</v>
      </c>
      <c r="B88" s="2281" t="s">
        <v>1904</v>
      </c>
      <c r="C88" s="2293" t="s">
        <v>1905</v>
      </c>
      <c r="D88" s="2283" t="s">
        <v>1317</v>
      </c>
      <c r="E88" s="2284">
        <f>'[3]НВВ перекачка'!K389</f>
        <v>225.57168472906409</v>
      </c>
      <c r="F88" s="2285">
        <f>'[3]НВВ перекачка'!L389</f>
        <v>232.33883527093602</v>
      </c>
      <c r="G88" s="2257">
        <f t="shared" si="27"/>
        <v>228.95526000000007</v>
      </c>
      <c r="H88" s="2285">
        <f>'[3]НВВ перекачка'!T389</f>
        <v>163.45229862475438</v>
      </c>
      <c r="I88" s="2285">
        <f>'[3]НВВ перекачка'!U389</f>
        <v>169.33658137524554</v>
      </c>
      <c r="J88" s="2257">
        <f t="shared" si="28"/>
        <v>166.39443999999997</v>
      </c>
      <c r="K88" s="2285">
        <f>'[3]НВВ перекачка'!AC389</f>
        <v>150.97788924085265</v>
      </c>
      <c r="L88" s="2285">
        <f>'[3]НВВ перекачка'!AD389</f>
        <v>157.46993847820929</v>
      </c>
      <c r="M88" s="2259">
        <f t="shared" si="29"/>
        <v>154.22391385953097</v>
      </c>
      <c r="N88" s="2284"/>
      <c r="O88" s="2285">
        <f>L88*1.06*1.072</f>
        <v>178.93624049155878</v>
      </c>
      <c r="P88" s="2259">
        <f t="shared" si="22"/>
        <v>89.468120245779389</v>
      </c>
      <c r="Q88" s="2284">
        <v>14.50117258247675</v>
      </c>
      <c r="R88" s="2285">
        <f>Q88*1.072</f>
        <v>15.545257008415076</v>
      </c>
      <c r="S88" s="2259">
        <f t="shared" si="23"/>
        <v>15.023214795445913</v>
      </c>
      <c r="T88" s="2284">
        <f t="shared" si="39"/>
        <v>14.50117258247675</v>
      </c>
      <c r="U88" s="2285">
        <f t="shared" si="39"/>
        <v>194.48149749997384</v>
      </c>
      <c r="V88" s="2268">
        <f t="shared" si="30"/>
        <v>104.4913350412253</v>
      </c>
      <c r="W88" s="2888">
        <f t="shared" ref="W88:X91" si="41">T88/$T$272*$W$272</f>
        <v>3.1329916011889378</v>
      </c>
      <c r="X88" s="2889">
        <f t="shared" si="41"/>
        <v>42.017905434099561</v>
      </c>
      <c r="Y88" s="2268">
        <f t="shared" si="31"/>
        <v>22.575448517644251</v>
      </c>
      <c r="Z88" s="2888">
        <f t="shared" si="40"/>
        <v>11.368180981287811</v>
      </c>
      <c r="AA88" s="2889">
        <f t="shared" si="40"/>
        <v>152.46359206587428</v>
      </c>
      <c r="AB88" s="2268">
        <f t="shared" si="32"/>
        <v>81.915886523581051</v>
      </c>
      <c r="AF88" s="2218">
        <f t="shared" si="35"/>
        <v>42.017905434099561</v>
      </c>
      <c r="AG88" s="2593">
        <f t="shared" si="36"/>
        <v>0</v>
      </c>
      <c r="AH88" s="2218">
        <f t="shared" si="37"/>
        <v>152.46359206587428</v>
      </c>
      <c r="AI88" s="2593">
        <f t="shared" si="38"/>
        <v>0</v>
      </c>
    </row>
    <row r="89" spans="1:35" s="2218" customFormat="1" ht="23.25" customHeight="1">
      <c r="A89" s="2235">
        <v>139</v>
      </c>
      <c r="B89" s="2281" t="s">
        <v>1907</v>
      </c>
      <c r="C89" s="2293" t="s">
        <v>1908</v>
      </c>
      <c r="D89" s="2283" t="s">
        <v>1317</v>
      </c>
      <c r="E89" s="2284">
        <f>'[3]НВВ перекачка'!K390</f>
        <v>279.19456157635796</v>
      </c>
      <c r="F89" s="2285">
        <f>'[3]НВВ перекачка'!L390</f>
        <v>287.57039842364884</v>
      </c>
      <c r="G89" s="2257">
        <f t="shared" si="27"/>
        <v>283.3824800000034</v>
      </c>
      <c r="H89" s="2285">
        <f>'[3]НВВ перекачка'!T390</f>
        <v>147.83730844793718</v>
      </c>
      <c r="I89" s="2285">
        <f>'[3]НВВ перекачка'!U390</f>
        <v>153.15945155206282</v>
      </c>
      <c r="J89" s="2257">
        <f t="shared" si="28"/>
        <v>150.49838</v>
      </c>
      <c r="K89" s="2285">
        <f>'[3]НВВ перекачка'!AC390</f>
        <v>147.82611845325494</v>
      </c>
      <c r="L89" s="2285">
        <f>'[3]НВВ перекачка'!AD390</f>
        <v>154.18264154674489</v>
      </c>
      <c r="M89" s="2259">
        <f t="shared" si="29"/>
        <v>151.00437999999991</v>
      </c>
      <c r="N89" s="2284"/>
      <c r="O89" s="2285">
        <f>L89*1.06*1.072</f>
        <v>175.20081924239716</v>
      </c>
      <c r="P89" s="2259">
        <f t="shared" si="22"/>
        <v>87.60040962119858</v>
      </c>
      <c r="Q89" s="2284">
        <v>699.46273122827029</v>
      </c>
      <c r="R89" s="2285">
        <f>Q89*1.072</f>
        <v>749.82404787670578</v>
      </c>
      <c r="S89" s="2259">
        <f t="shared" si="23"/>
        <v>724.64338955248809</v>
      </c>
      <c r="T89" s="2284">
        <f t="shared" si="39"/>
        <v>699.46273122827029</v>
      </c>
      <c r="U89" s="2285">
        <f t="shared" si="39"/>
        <v>925.02486711910296</v>
      </c>
      <c r="V89" s="2268">
        <f t="shared" si="30"/>
        <v>812.24379917368663</v>
      </c>
      <c r="W89" s="2888">
        <f t="shared" si="41"/>
        <v>151.11956290561992</v>
      </c>
      <c r="X89" s="2889">
        <f t="shared" si="41"/>
        <v>199.85246869464387</v>
      </c>
      <c r="Y89" s="2268">
        <f t="shared" si="31"/>
        <v>175.4860158001319</v>
      </c>
      <c r="Z89" s="2888">
        <f t="shared" si="40"/>
        <v>548.34316832265029</v>
      </c>
      <c r="AA89" s="2889">
        <f t="shared" si="40"/>
        <v>725.17239842445906</v>
      </c>
      <c r="AB89" s="2268">
        <f t="shared" si="32"/>
        <v>636.75778337355473</v>
      </c>
      <c r="AF89" s="2218">
        <f t="shared" si="35"/>
        <v>199.85246869464387</v>
      </c>
      <c r="AG89" s="2593">
        <f t="shared" si="36"/>
        <v>0</v>
      </c>
      <c r="AH89" s="2218">
        <f t="shared" si="37"/>
        <v>725.17239842445906</v>
      </c>
      <c r="AI89" s="2593">
        <f t="shared" si="38"/>
        <v>0</v>
      </c>
    </row>
    <row r="90" spans="1:35" s="2218" customFormat="1" ht="24" customHeight="1">
      <c r="A90" s="2235">
        <v>140</v>
      </c>
      <c r="B90" s="2281" t="s">
        <v>1909</v>
      </c>
      <c r="C90" s="2293" t="s">
        <v>1910</v>
      </c>
      <c r="D90" s="2283" t="s">
        <v>1317</v>
      </c>
      <c r="E90" s="2284">
        <f>'[3]НВВ перекачка'!K391</f>
        <v>0</v>
      </c>
      <c r="F90" s="2285">
        <f>'[3]НВВ перекачка'!L391</f>
        <v>0</v>
      </c>
      <c r="G90" s="2257">
        <f t="shared" si="27"/>
        <v>0</v>
      </c>
      <c r="H90" s="2285">
        <f>'[3]НВВ перекачка'!T391</f>
        <v>0</v>
      </c>
      <c r="I90" s="2285">
        <f>'[3]НВВ перекачка'!U391</f>
        <v>0</v>
      </c>
      <c r="J90" s="2257">
        <f t="shared" si="28"/>
        <v>0</v>
      </c>
      <c r="K90" s="2285">
        <f>'[3]НВВ перекачка'!AC391</f>
        <v>0</v>
      </c>
      <c r="L90" s="2285">
        <f>'[3]НВВ перекачка'!AD391</f>
        <v>0</v>
      </c>
      <c r="M90" s="2259">
        <f t="shared" si="29"/>
        <v>0</v>
      </c>
      <c r="N90" s="2284"/>
      <c r="O90" s="2285">
        <f>L90*1.06*1.072</f>
        <v>0</v>
      </c>
      <c r="P90" s="2259">
        <f t="shared" si="22"/>
        <v>0</v>
      </c>
      <c r="Q90" s="2284">
        <v>310.5846515595756</v>
      </c>
      <c r="R90" s="2285">
        <f>Q90*1.072</f>
        <v>332.94674647186508</v>
      </c>
      <c r="S90" s="2259">
        <f t="shared" si="23"/>
        <v>321.76569901572032</v>
      </c>
      <c r="T90" s="2284">
        <f t="shared" si="39"/>
        <v>310.5846515595756</v>
      </c>
      <c r="U90" s="2285">
        <f t="shared" si="39"/>
        <v>332.94674647186508</v>
      </c>
      <c r="V90" s="2268">
        <f t="shared" si="30"/>
        <v>321.76569901572032</v>
      </c>
      <c r="W90" s="2888">
        <f t="shared" si="41"/>
        <v>67.102098072413114</v>
      </c>
      <c r="X90" s="2889">
        <f t="shared" si="41"/>
        <v>71.933449133626866</v>
      </c>
      <c r="Y90" s="2268">
        <f t="shared" si="31"/>
        <v>69.51777360301999</v>
      </c>
      <c r="Z90" s="2888">
        <f t="shared" si="40"/>
        <v>243.48255348716245</v>
      </c>
      <c r="AA90" s="2889">
        <f t="shared" si="40"/>
        <v>261.0132973382382</v>
      </c>
      <c r="AB90" s="2268">
        <f t="shared" si="32"/>
        <v>252.24792541270034</v>
      </c>
      <c r="AF90" s="2218">
        <f t="shared" si="35"/>
        <v>71.933449133626866</v>
      </c>
      <c r="AG90" s="2593">
        <f t="shared" si="36"/>
        <v>0</v>
      </c>
      <c r="AH90" s="2218">
        <f t="shared" si="37"/>
        <v>261.0132973382382</v>
      </c>
      <c r="AI90" s="2593">
        <f t="shared" si="38"/>
        <v>0</v>
      </c>
    </row>
    <row r="91" spans="1:35" s="2218" customFormat="1" ht="21" customHeight="1">
      <c r="A91" s="2235">
        <v>141</v>
      </c>
      <c r="B91" s="2281" t="s">
        <v>1912</v>
      </c>
      <c r="C91" s="2293" t="s">
        <v>1913</v>
      </c>
      <c r="D91" s="2283" t="s">
        <v>1317</v>
      </c>
      <c r="E91" s="2284">
        <f>'[3]НВВ перекачка'!K392</f>
        <v>6.8522660098518031</v>
      </c>
      <c r="F91" s="2285">
        <f>'[3]НВВ перекачка'!L392</f>
        <v>7.0578339901473441</v>
      </c>
      <c r="G91" s="2257">
        <f t="shared" si="27"/>
        <v>6.9550499999995736</v>
      </c>
      <c r="H91" s="2285">
        <f>'[3]НВВ перекачка'!T392</f>
        <v>1.574322200392885</v>
      </c>
      <c r="I91" s="2285">
        <f>'[3]НВВ перекачка'!U392</f>
        <v>1.6309977996070302</v>
      </c>
      <c r="J91" s="2257">
        <f t="shared" si="28"/>
        <v>1.6026599999999576</v>
      </c>
      <c r="K91" s="2285">
        <f>'[3]НВВ перекачка'!AC392</f>
        <v>4.3739892315222733</v>
      </c>
      <c r="L91" s="2285">
        <f>'[3]НВВ перекачка'!AD392</f>
        <v>4.5620707684777244</v>
      </c>
      <c r="M91" s="2259">
        <f t="shared" si="29"/>
        <v>4.4680299999999988</v>
      </c>
      <c r="N91" s="2284"/>
      <c r="O91" s="2285">
        <f>L91*1.06*1.072</f>
        <v>5.1839722556366086</v>
      </c>
      <c r="P91" s="2259">
        <f t="shared" si="22"/>
        <v>2.5919861278183043</v>
      </c>
      <c r="Q91" s="2284">
        <v>194.32199698904606</v>
      </c>
      <c r="R91" s="2285">
        <f>Q91*1.072</f>
        <v>208.3131807722574</v>
      </c>
      <c r="S91" s="2259">
        <f t="shared" si="23"/>
        <v>201.31758888065173</v>
      </c>
      <c r="T91" s="2284">
        <f t="shared" si="39"/>
        <v>194.32199698904606</v>
      </c>
      <c r="U91" s="2285">
        <f t="shared" si="39"/>
        <v>213.497153027894</v>
      </c>
      <c r="V91" s="2268">
        <f t="shared" si="30"/>
        <v>203.90957500847003</v>
      </c>
      <c r="W91" s="2888">
        <f t="shared" si="41"/>
        <v>41.983445202812753</v>
      </c>
      <c r="X91" s="2889">
        <f t="shared" si="41"/>
        <v>46.126255205211692</v>
      </c>
      <c r="Y91" s="2268">
        <f t="shared" si="31"/>
        <v>44.054850204012226</v>
      </c>
      <c r="Z91" s="2888">
        <f t="shared" si="40"/>
        <v>152.3385517862333</v>
      </c>
      <c r="AA91" s="2889">
        <f t="shared" si="40"/>
        <v>167.37089782268231</v>
      </c>
      <c r="AB91" s="2268">
        <f t="shared" si="32"/>
        <v>159.85472480445782</v>
      </c>
      <c r="AF91" s="2218">
        <f t="shared" si="35"/>
        <v>46.126255205211692</v>
      </c>
      <c r="AG91" s="2593">
        <f t="shared" si="36"/>
        <v>0</v>
      </c>
      <c r="AH91" s="2218">
        <f t="shared" si="37"/>
        <v>167.37089782268231</v>
      </c>
      <c r="AI91" s="2593">
        <f t="shared" si="38"/>
        <v>0</v>
      </c>
    </row>
    <row r="92" spans="1:35" s="2218" customFormat="1" ht="21" customHeight="1">
      <c r="A92" s="2235">
        <v>142</v>
      </c>
      <c r="B92" s="2279" t="s">
        <v>1915</v>
      </c>
      <c r="C92" s="2295" t="s">
        <v>1916</v>
      </c>
      <c r="D92" s="2254" t="s">
        <v>1317</v>
      </c>
      <c r="E92" s="2255">
        <f>E93+E94</f>
        <v>0</v>
      </c>
      <c r="F92" s="2256">
        <f>F93+F94</f>
        <v>0</v>
      </c>
      <c r="G92" s="2257">
        <f t="shared" si="27"/>
        <v>0</v>
      </c>
      <c r="H92" s="2256">
        <f>H93+H94</f>
        <v>0</v>
      </c>
      <c r="I92" s="2256">
        <f>I93+I94</f>
        <v>0</v>
      </c>
      <c r="J92" s="2257">
        <f t="shared" si="28"/>
        <v>0</v>
      </c>
      <c r="K92" s="2256">
        <f>K93+K94</f>
        <v>0</v>
      </c>
      <c r="L92" s="2256">
        <f>L93+L94</f>
        <v>0</v>
      </c>
      <c r="M92" s="2259">
        <f t="shared" si="29"/>
        <v>0</v>
      </c>
      <c r="N92" s="2255">
        <v>0</v>
      </c>
      <c r="O92" s="2256">
        <v>0</v>
      </c>
      <c r="P92" s="2259">
        <f t="shared" si="22"/>
        <v>0</v>
      </c>
      <c r="Q92" s="2255">
        <v>0</v>
      </c>
      <c r="R92" s="2256">
        <v>0</v>
      </c>
      <c r="S92" s="2259">
        <f t="shared" si="23"/>
        <v>0</v>
      </c>
      <c r="T92" s="2255">
        <v>0</v>
      </c>
      <c r="U92" s="2256">
        <v>0</v>
      </c>
      <c r="V92" s="2268">
        <f t="shared" si="30"/>
        <v>0</v>
      </c>
      <c r="W92" s="2377">
        <f>T92/$T$272*$N$272</f>
        <v>0</v>
      </c>
      <c r="X92" s="2256">
        <f>U92/$T$272*$N$272</f>
        <v>0</v>
      </c>
      <c r="Y92" s="2268">
        <f t="shared" si="31"/>
        <v>0</v>
      </c>
      <c r="Z92" s="2886">
        <f t="shared" si="40"/>
        <v>0</v>
      </c>
      <c r="AA92" s="2887">
        <f t="shared" si="40"/>
        <v>0</v>
      </c>
      <c r="AB92" s="2268">
        <f t="shared" si="32"/>
        <v>0</v>
      </c>
      <c r="AF92" s="2218">
        <f t="shared" si="35"/>
        <v>0</v>
      </c>
      <c r="AG92" s="2593">
        <f t="shared" si="36"/>
        <v>0</v>
      </c>
      <c r="AH92" s="2218">
        <f t="shared" si="37"/>
        <v>0</v>
      </c>
      <c r="AI92" s="2593">
        <f t="shared" si="38"/>
        <v>0</v>
      </c>
    </row>
    <row r="93" spans="1:35" s="2218" customFormat="1" ht="44.25" customHeight="1">
      <c r="A93" s="2235">
        <v>143</v>
      </c>
      <c r="B93" s="2281" t="s">
        <v>1917</v>
      </c>
      <c r="C93" s="2282" t="s">
        <v>1918</v>
      </c>
      <c r="D93" s="2283" t="s">
        <v>1317</v>
      </c>
      <c r="E93" s="2284"/>
      <c r="F93" s="2285"/>
      <c r="G93" s="2257">
        <f t="shared" si="27"/>
        <v>0</v>
      </c>
      <c r="H93" s="2285"/>
      <c r="I93" s="2285"/>
      <c r="J93" s="2257">
        <f t="shared" si="28"/>
        <v>0</v>
      </c>
      <c r="K93" s="2285"/>
      <c r="L93" s="2285"/>
      <c r="M93" s="2259">
        <f t="shared" si="29"/>
        <v>0</v>
      </c>
      <c r="N93" s="2284"/>
      <c r="O93" s="2285"/>
      <c r="P93" s="2259">
        <f t="shared" si="22"/>
        <v>0</v>
      </c>
      <c r="Q93" s="2284">
        <v>0</v>
      </c>
      <c r="R93" s="2285">
        <v>0</v>
      </c>
      <c r="S93" s="2259">
        <f t="shared" si="23"/>
        <v>0</v>
      </c>
      <c r="T93" s="2284">
        <f t="shared" ref="T93:U103" si="42">N93+Q93</f>
        <v>0</v>
      </c>
      <c r="U93" s="2285">
        <f t="shared" si="42"/>
        <v>0</v>
      </c>
      <c r="V93" s="2268">
        <f t="shared" si="30"/>
        <v>0</v>
      </c>
      <c r="W93" s="2888">
        <f>T93/$T$272*$W$272</f>
        <v>0</v>
      </c>
      <c r="X93" s="2889">
        <f>U93/$T$272*$W$272</f>
        <v>0</v>
      </c>
      <c r="Y93" s="2268">
        <f t="shared" si="31"/>
        <v>0</v>
      </c>
      <c r="Z93" s="2888">
        <f t="shared" si="40"/>
        <v>0</v>
      </c>
      <c r="AA93" s="2889">
        <f t="shared" si="40"/>
        <v>0</v>
      </c>
      <c r="AB93" s="2268">
        <f t="shared" si="32"/>
        <v>0</v>
      </c>
      <c r="AF93" s="2218">
        <f t="shared" si="35"/>
        <v>0</v>
      </c>
      <c r="AG93" s="2593">
        <f t="shared" si="36"/>
        <v>0</v>
      </c>
      <c r="AH93" s="2218">
        <f t="shared" si="37"/>
        <v>0</v>
      </c>
      <c r="AI93" s="2593">
        <f t="shared" si="38"/>
        <v>0</v>
      </c>
    </row>
    <row r="94" spans="1:35" s="2218" customFormat="1" ht="20.25" customHeight="1" thickBot="1">
      <c r="A94" s="2235">
        <v>144</v>
      </c>
      <c r="B94" s="2297" t="s">
        <v>1919</v>
      </c>
      <c r="C94" s="2298" t="s">
        <v>1920</v>
      </c>
      <c r="D94" s="2299" t="s">
        <v>1317</v>
      </c>
      <c r="E94" s="2300"/>
      <c r="F94" s="2301"/>
      <c r="G94" s="2266">
        <f t="shared" si="27"/>
        <v>0</v>
      </c>
      <c r="H94" s="2301"/>
      <c r="I94" s="2301"/>
      <c r="J94" s="2266">
        <f t="shared" si="28"/>
        <v>0</v>
      </c>
      <c r="K94" s="2301"/>
      <c r="L94" s="2301"/>
      <c r="M94" s="2268">
        <f t="shared" si="29"/>
        <v>0</v>
      </c>
      <c r="N94" s="2300"/>
      <c r="O94" s="2301"/>
      <c r="P94" s="2268">
        <f t="shared" si="22"/>
        <v>0</v>
      </c>
      <c r="Q94" s="2300">
        <v>0</v>
      </c>
      <c r="R94" s="2301">
        <v>0</v>
      </c>
      <c r="S94" s="2268">
        <f t="shared" si="23"/>
        <v>0</v>
      </c>
      <c r="T94" s="2284">
        <f t="shared" si="42"/>
        <v>0</v>
      </c>
      <c r="U94" s="2285">
        <f t="shared" si="42"/>
        <v>0</v>
      </c>
      <c r="V94" s="2268">
        <f t="shared" si="30"/>
        <v>0</v>
      </c>
      <c r="W94" s="2888">
        <f>T94/$T$272*$W$272</f>
        <v>0</v>
      </c>
      <c r="X94" s="2889">
        <f>U94/$T$272*$W$272</f>
        <v>0</v>
      </c>
      <c r="Y94" s="2268">
        <f t="shared" si="31"/>
        <v>0</v>
      </c>
      <c r="Z94" s="2888">
        <f t="shared" si="40"/>
        <v>0</v>
      </c>
      <c r="AA94" s="2889">
        <f t="shared" si="40"/>
        <v>0</v>
      </c>
      <c r="AB94" s="2268">
        <f t="shared" si="32"/>
        <v>0</v>
      </c>
      <c r="AF94" s="2218">
        <f t="shared" si="35"/>
        <v>0</v>
      </c>
      <c r="AG94" s="2593">
        <f t="shared" si="36"/>
        <v>0</v>
      </c>
      <c r="AH94" s="2218">
        <f t="shared" si="37"/>
        <v>0</v>
      </c>
      <c r="AI94" s="2593">
        <f t="shared" si="38"/>
        <v>0</v>
      </c>
    </row>
    <row r="95" spans="1:35" s="2218" customFormat="1" ht="38.25" thickBot="1">
      <c r="A95" s="2235">
        <v>5</v>
      </c>
      <c r="B95" s="2323" t="s">
        <v>85</v>
      </c>
      <c r="C95" s="2324" t="s">
        <v>1921</v>
      </c>
      <c r="D95" s="2323" t="s">
        <v>1313</v>
      </c>
      <c r="E95" s="2325">
        <f>E96+E97+E101+E102+E103+E104</f>
        <v>0</v>
      </c>
      <c r="F95" s="2325">
        <f>F96+F97+F101+F102+F103+F104</f>
        <v>0</v>
      </c>
      <c r="G95" s="2326">
        <f t="shared" si="27"/>
        <v>0</v>
      </c>
      <c r="H95" s="2325">
        <f>H96+H97+H101+H102+H103+H104</f>
        <v>0</v>
      </c>
      <c r="I95" s="2325">
        <f>I96+I97+I101+I102+I103+I104</f>
        <v>0</v>
      </c>
      <c r="J95" s="2326">
        <f t="shared" si="28"/>
        <v>0</v>
      </c>
      <c r="K95" s="2325">
        <f>K96+K97+K101+K102+K103+K104+K112</f>
        <v>4682.801587480285</v>
      </c>
      <c r="L95" s="2325">
        <f>L96+L97+L101+L102+L103+L104+L112</f>
        <v>4901.258609364826</v>
      </c>
      <c r="M95" s="2326">
        <f t="shared" si="29"/>
        <v>4792.030098422556</v>
      </c>
      <c r="N95" s="2325">
        <f>N96+N97+N101+N102+N103+N104+N112</f>
        <v>0</v>
      </c>
      <c r="O95" s="2325">
        <f>O96+O97+O101+O102+O103+O104+O112</f>
        <v>10182.406812711557</v>
      </c>
      <c r="P95" s="2326">
        <f t="shared" si="22"/>
        <v>5091.2034063557785</v>
      </c>
      <c r="Q95" s="2326">
        <f>Q96+Q97+Q101+Q102+Q103+Q104+Q112</f>
        <v>7073.2326447184405</v>
      </c>
      <c r="R95" s="2471">
        <f>R96+R97+R101+R102+R103+R104+R112</f>
        <v>7582.5053951381706</v>
      </c>
      <c r="S95" s="2326">
        <f t="shared" si="23"/>
        <v>7327.8690199283055</v>
      </c>
      <c r="T95" s="2666">
        <f t="shared" si="42"/>
        <v>7073.2326447184405</v>
      </c>
      <c r="U95" s="2479">
        <f t="shared" si="42"/>
        <v>17764.912207849728</v>
      </c>
      <c r="V95" s="2268">
        <f t="shared" si="30"/>
        <v>12419.072426284085</v>
      </c>
      <c r="W95" s="2927">
        <f>T95/$T$272*$N$272</f>
        <v>1528.178383032069</v>
      </c>
      <c r="X95" s="2928">
        <f>U95/$T$272*$N$272</f>
        <v>3838.1255327109516</v>
      </c>
      <c r="Y95" s="2274">
        <f t="shared" si="31"/>
        <v>2683.1519578715101</v>
      </c>
      <c r="Z95" s="2927">
        <f t="shared" si="40"/>
        <v>5545.0542616863713</v>
      </c>
      <c r="AA95" s="2928">
        <f t="shared" si="40"/>
        <v>13926.786675138774</v>
      </c>
      <c r="AB95" s="2925">
        <f t="shared" si="32"/>
        <v>9735.9204684125725</v>
      </c>
      <c r="AC95" s="2218">
        <f>R95/Q95</f>
        <v>1.0720000000000003</v>
      </c>
      <c r="AF95" s="2218">
        <f t="shared" si="35"/>
        <v>3838.1255327109516</v>
      </c>
      <c r="AG95" s="2593">
        <f t="shared" si="36"/>
        <v>0</v>
      </c>
      <c r="AH95" s="2218">
        <f t="shared" si="37"/>
        <v>13926.786675138774</v>
      </c>
      <c r="AI95" s="2593">
        <f t="shared" si="38"/>
        <v>0</v>
      </c>
    </row>
    <row r="96" spans="1:35" s="2218" customFormat="1" ht="78.75" customHeight="1" outlineLevel="1">
      <c r="A96" s="2235"/>
      <c r="B96" s="2328" t="s">
        <v>14982</v>
      </c>
      <c r="C96" s="2329" t="s">
        <v>14983</v>
      </c>
      <c r="D96" s="2330" t="s">
        <v>1317</v>
      </c>
      <c r="E96" s="2331"/>
      <c r="F96" s="2331"/>
      <c r="G96" s="2332">
        <f t="shared" si="27"/>
        <v>0</v>
      </c>
      <c r="H96" s="2331"/>
      <c r="I96" s="2331"/>
      <c r="J96" s="2332">
        <f t="shared" si="28"/>
        <v>0</v>
      </c>
      <c r="K96" s="2331"/>
      <c r="L96" s="2331"/>
      <c r="M96" s="2332">
        <f t="shared" si="29"/>
        <v>0</v>
      </c>
      <c r="N96" s="2331"/>
      <c r="O96" s="2331"/>
      <c r="P96" s="2332">
        <f t="shared" si="22"/>
        <v>0</v>
      </c>
      <c r="Q96" s="2523">
        <v>39.622532272819257</v>
      </c>
      <c r="R96" s="2930">
        <f t="shared" ref="R96:R101" si="43">Q96*1.072</f>
        <v>42.475354596462246</v>
      </c>
      <c r="S96" s="2332">
        <f t="shared" si="23"/>
        <v>41.048943434640748</v>
      </c>
      <c r="T96" s="2284">
        <f t="shared" si="42"/>
        <v>39.622532272819257</v>
      </c>
      <c r="U96" s="2285">
        <f t="shared" si="42"/>
        <v>42.475354596462246</v>
      </c>
      <c r="V96" s="2268">
        <f t="shared" si="30"/>
        <v>41.048943434640748</v>
      </c>
      <c r="W96" s="2888">
        <f>T96/$T$272*$W$272</f>
        <v>8.560484341699917</v>
      </c>
      <c r="X96" s="2889">
        <f>U96/$T$272*$W$272</f>
        <v>9.1768392143023121</v>
      </c>
      <c r="Y96" s="2268">
        <f t="shared" si="31"/>
        <v>8.8686617780011154</v>
      </c>
      <c r="Z96" s="2888">
        <f t="shared" si="40"/>
        <v>31.062047931119338</v>
      </c>
      <c r="AA96" s="2889">
        <f t="shared" si="40"/>
        <v>33.298515382159934</v>
      </c>
      <c r="AB96" s="2268">
        <f t="shared" si="32"/>
        <v>32.180281656639636</v>
      </c>
      <c r="AF96" s="2218">
        <f t="shared" si="35"/>
        <v>9.1768392143023121</v>
      </c>
      <c r="AG96" s="2593">
        <f t="shared" si="36"/>
        <v>0</v>
      </c>
      <c r="AH96" s="2218">
        <f t="shared" si="37"/>
        <v>33.298515382159934</v>
      </c>
      <c r="AI96" s="2593">
        <f t="shared" si="38"/>
        <v>0</v>
      </c>
    </row>
    <row r="97" spans="1:35" s="2218" customFormat="1" ht="47.25" customHeight="1" outlineLevel="1">
      <c r="A97" s="2235"/>
      <c r="B97" s="2328" t="s">
        <v>14984</v>
      </c>
      <c r="C97" s="2336" t="s">
        <v>14985</v>
      </c>
      <c r="D97" s="2337" t="s">
        <v>1128</v>
      </c>
      <c r="E97" s="2331">
        <f>E98+E99+E100</f>
        <v>0</v>
      </c>
      <c r="F97" s="2331">
        <f>F98+F99+F100</f>
        <v>0</v>
      </c>
      <c r="G97" s="2332">
        <f t="shared" si="27"/>
        <v>0</v>
      </c>
      <c r="H97" s="2331">
        <f>H98+H99+H100</f>
        <v>0</v>
      </c>
      <c r="I97" s="2331">
        <f>I98+I99+I100</f>
        <v>0</v>
      </c>
      <c r="J97" s="2332">
        <f t="shared" si="28"/>
        <v>0</v>
      </c>
      <c r="K97" s="2331">
        <f>K98+K99+K100</f>
        <v>0</v>
      </c>
      <c r="L97" s="2331">
        <f>L98+L99+L100</f>
        <v>0</v>
      </c>
      <c r="M97" s="2332">
        <f t="shared" si="29"/>
        <v>0</v>
      </c>
      <c r="N97" s="2331">
        <v>0</v>
      </c>
      <c r="O97" s="2331">
        <v>0</v>
      </c>
      <c r="P97" s="2332">
        <f t="shared" si="22"/>
        <v>0</v>
      </c>
      <c r="Q97" s="2997">
        <f>Q98+Q99+Q100</f>
        <v>34.162118718502001</v>
      </c>
      <c r="R97" s="2997">
        <f>R98+R99+R100</f>
        <v>36.621791266234148</v>
      </c>
      <c r="S97" s="2332">
        <f t="shared" si="23"/>
        <v>35.391954992368071</v>
      </c>
      <c r="T97" s="2929">
        <f t="shared" si="42"/>
        <v>34.162118718502001</v>
      </c>
      <c r="U97" s="2594">
        <f t="shared" si="42"/>
        <v>36.621791266234148</v>
      </c>
      <c r="V97" s="2268">
        <f t="shared" si="30"/>
        <v>35.391954992368071</v>
      </c>
      <c r="W97" s="2377">
        <f>T97/$T$272*$N$272</f>
        <v>7.3807569984527328</v>
      </c>
      <c r="X97" s="2256">
        <f>U97/$T$272*$N$272</f>
        <v>7.912171502341331</v>
      </c>
      <c r="Y97" s="2268">
        <f t="shared" si="31"/>
        <v>7.6464642503970319</v>
      </c>
      <c r="Z97" s="2886">
        <f t="shared" si="40"/>
        <v>26.781361720049265</v>
      </c>
      <c r="AA97" s="2887">
        <f t="shared" si="40"/>
        <v>28.709619763892817</v>
      </c>
      <c r="AB97" s="2268">
        <f t="shared" si="32"/>
        <v>27.745490741971039</v>
      </c>
      <c r="AF97" s="2218">
        <f t="shared" si="35"/>
        <v>7.912171502341331</v>
      </c>
      <c r="AG97" s="2593">
        <f t="shared" si="36"/>
        <v>0</v>
      </c>
      <c r="AH97" s="2218">
        <f t="shared" si="37"/>
        <v>28.709619763892817</v>
      </c>
      <c r="AI97" s="2593">
        <f t="shared" si="38"/>
        <v>0</v>
      </c>
    </row>
    <row r="98" spans="1:35" s="2218" customFormat="1" ht="31.5" customHeight="1" outlineLevel="1">
      <c r="A98" s="2235"/>
      <c r="B98" s="2338" t="s">
        <v>14986</v>
      </c>
      <c r="C98" s="2329" t="s">
        <v>14987</v>
      </c>
      <c r="D98" s="2330" t="s">
        <v>1317</v>
      </c>
      <c r="E98" s="2331"/>
      <c r="F98" s="2331"/>
      <c r="G98" s="2332">
        <f t="shared" si="27"/>
        <v>0</v>
      </c>
      <c r="H98" s="2331"/>
      <c r="I98" s="2331"/>
      <c r="J98" s="2332">
        <f t="shared" si="28"/>
        <v>0</v>
      </c>
      <c r="K98" s="2331">
        <f>'[3]НВВ перекачка'!AC399</f>
        <v>0</v>
      </c>
      <c r="L98" s="2331">
        <f>'[3]НВВ перекачка'!AD399</f>
        <v>0</v>
      </c>
      <c r="M98" s="2332">
        <f t="shared" si="29"/>
        <v>0</v>
      </c>
      <c r="N98" s="2331"/>
      <c r="O98" s="2331"/>
      <c r="P98" s="2332">
        <f t="shared" si="22"/>
        <v>0</v>
      </c>
      <c r="Q98" s="2523">
        <v>0</v>
      </c>
      <c r="R98" s="2930">
        <f t="shared" si="43"/>
        <v>0</v>
      </c>
      <c r="S98" s="2332">
        <f t="shared" si="23"/>
        <v>0</v>
      </c>
      <c r="T98" s="2284">
        <f t="shared" si="42"/>
        <v>0</v>
      </c>
      <c r="U98" s="2285">
        <f t="shared" si="42"/>
        <v>0</v>
      </c>
      <c r="V98" s="2268">
        <f t="shared" si="30"/>
        <v>0</v>
      </c>
      <c r="W98" s="2888">
        <f t="shared" ref="W98:X103" si="44">T98/$T$272*$W$272</f>
        <v>0</v>
      </c>
      <c r="X98" s="2889">
        <f t="shared" si="44"/>
        <v>0</v>
      </c>
      <c r="Y98" s="2268">
        <f t="shared" si="31"/>
        <v>0</v>
      </c>
      <c r="Z98" s="2888">
        <f t="shared" si="40"/>
        <v>0</v>
      </c>
      <c r="AA98" s="2889">
        <f t="shared" si="40"/>
        <v>0</v>
      </c>
      <c r="AB98" s="2268">
        <f t="shared" si="32"/>
        <v>0</v>
      </c>
      <c r="AF98" s="2218">
        <f t="shared" si="35"/>
        <v>0</v>
      </c>
      <c r="AG98" s="2593">
        <f t="shared" si="36"/>
        <v>0</v>
      </c>
      <c r="AH98" s="2218">
        <f t="shared" si="37"/>
        <v>0</v>
      </c>
      <c r="AI98" s="2593">
        <f t="shared" si="38"/>
        <v>0</v>
      </c>
    </row>
    <row r="99" spans="1:35" s="2218" customFormat="1" ht="63" customHeight="1" outlineLevel="1">
      <c r="A99" s="2235"/>
      <c r="B99" s="2338" t="s">
        <v>14988</v>
      </c>
      <c r="C99" s="2329" t="s">
        <v>14989</v>
      </c>
      <c r="D99" s="2330" t="s">
        <v>1317</v>
      </c>
      <c r="E99" s="2331"/>
      <c r="F99" s="2331"/>
      <c r="G99" s="2332">
        <f t="shared" si="27"/>
        <v>0</v>
      </c>
      <c r="H99" s="2331"/>
      <c r="I99" s="2331"/>
      <c r="J99" s="2332">
        <f t="shared" si="28"/>
        <v>0</v>
      </c>
      <c r="K99" s="2331"/>
      <c r="L99" s="2331"/>
      <c r="M99" s="2332">
        <f t="shared" si="29"/>
        <v>0</v>
      </c>
      <c r="N99" s="2331"/>
      <c r="O99" s="2331">
        <v>0</v>
      </c>
      <c r="P99" s="2332">
        <f t="shared" si="22"/>
        <v>0</v>
      </c>
      <c r="Q99" s="2595">
        <v>34.162118718502001</v>
      </c>
      <c r="R99" s="2930">
        <f t="shared" si="43"/>
        <v>36.621791266234148</v>
      </c>
      <c r="S99" s="2332">
        <f t="shared" si="23"/>
        <v>35.391954992368071</v>
      </c>
      <c r="T99" s="2284">
        <f t="shared" si="42"/>
        <v>34.162118718502001</v>
      </c>
      <c r="U99" s="2285">
        <f t="shared" si="42"/>
        <v>36.621791266234148</v>
      </c>
      <c r="V99" s="2268">
        <f t="shared" si="30"/>
        <v>35.391954992368071</v>
      </c>
      <c r="W99" s="2888">
        <f t="shared" si="44"/>
        <v>7.3807569984527328</v>
      </c>
      <c r="X99" s="2889">
        <f t="shared" si="44"/>
        <v>7.912171502341331</v>
      </c>
      <c r="Y99" s="2268">
        <f t="shared" si="31"/>
        <v>7.6464642503970319</v>
      </c>
      <c r="Z99" s="2888">
        <f t="shared" si="40"/>
        <v>26.781361720049265</v>
      </c>
      <c r="AA99" s="2889">
        <f t="shared" si="40"/>
        <v>28.709619763892817</v>
      </c>
      <c r="AB99" s="2268">
        <f t="shared" si="32"/>
        <v>27.745490741971039</v>
      </c>
      <c r="AF99" s="2218">
        <f t="shared" si="35"/>
        <v>7.912171502341331</v>
      </c>
      <c r="AG99" s="2593">
        <f t="shared" si="36"/>
        <v>0</v>
      </c>
      <c r="AH99" s="2218">
        <f t="shared" si="37"/>
        <v>28.709619763892817</v>
      </c>
      <c r="AI99" s="2593">
        <f t="shared" si="38"/>
        <v>0</v>
      </c>
    </row>
    <row r="100" spans="1:35" s="2218" customFormat="1" ht="63" customHeight="1" outlineLevel="1">
      <c r="A100" s="2235"/>
      <c r="B100" s="2338" t="s">
        <v>14990</v>
      </c>
      <c r="C100" s="2329" t="s">
        <v>14991</v>
      </c>
      <c r="D100" s="2330" t="s">
        <v>1317</v>
      </c>
      <c r="E100" s="2339"/>
      <c r="F100" s="2339"/>
      <c r="G100" s="2332">
        <f t="shared" si="27"/>
        <v>0</v>
      </c>
      <c r="H100" s="2339"/>
      <c r="I100" s="2339"/>
      <c r="J100" s="2332">
        <f t="shared" si="28"/>
        <v>0</v>
      </c>
      <c r="K100" s="2339">
        <f>'[3]НВВ перекачка'!AC401</f>
        <v>0</v>
      </c>
      <c r="L100" s="2339">
        <f>'[3]НВВ перекачка'!AD401</f>
        <v>0</v>
      </c>
      <c r="M100" s="2332">
        <f t="shared" si="29"/>
        <v>0</v>
      </c>
      <c r="N100" s="2339"/>
      <c r="O100" s="2339"/>
      <c r="P100" s="2332">
        <f t="shared" si="22"/>
        <v>0</v>
      </c>
      <c r="Q100" s="2341">
        <v>0</v>
      </c>
      <c r="R100" s="2930">
        <f t="shared" si="43"/>
        <v>0</v>
      </c>
      <c r="S100" s="2332">
        <f t="shared" si="23"/>
        <v>0</v>
      </c>
      <c r="T100" s="2284">
        <f t="shared" si="42"/>
        <v>0</v>
      </c>
      <c r="U100" s="2285">
        <f t="shared" si="42"/>
        <v>0</v>
      </c>
      <c r="V100" s="2268">
        <f t="shared" si="30"/>
        <v>0</v>
      </c>
      <c r="W100" s="2888">
        <f t="shared" si="44"/>
        <v>0</v>
      </c>
      <c r="X100" s="2889">
        <f t="shared" si="44"/>
        <v>0</v>
      </c>
      <c r="Y100" s="2268">
        <f t="shared" si="31"/>
        <v>0</v>
      </c>
      <c r="Z100" s="2888">
        <f t="shared" si="40"/>
        <v>0</v>
      </c>
      <c r="AA100" s="2889">
        <f t="shared" si="40"/>
        <v>0</v>
      </c>
      <c r="AB100" s="2268">
        <f t="shared" si="32"/>
        <v>0</v>
      </c>
      <c r="AF100" s="2218">
        <f t="shared" si="35"/>
        <v>0</v>
      </c>
      <c r="AG100" s="2593">
        <f t="shared" si="36"/>
        <v>0</v>
      </c>
      <c r="AH100" s="2218">
        <f t="shared" si="37"/>
        <v>0</v>
      </c>
      <c r="AI100" s="2593">
        <f t="shared" si="38"/>
        <v>0</v>
      </c>
    </row>
    <row r="101" spans="1:35" s="2218" customFormat="1" ht="47.25" customHeight="1" outlineLevel="1">
      <c r="A101" s="2235"/>
      <c r="B101" s="2328" t="s">
        <v>14992</v>
      </c>
      <c r="C101" s="2338" t="s">
        <v>14993</v>
      </c>
      <c r="D101" s="2342" t="s">
        <v>1317</v>
      </c>
      <c r="E101" s="2331"/>
      <c r="F101" s="2331"/>
      <c r="G101" s="2332">
        <f t="shared" si="27"/>
        <v>0</v>
      </c>
      <c r="H101" s="2331"/>
      <c r="I101" s="2331"/>
      <c r="J101" s="2332">
        <f t="shared" si="28"/>
        <v>0</v>
      </c>
      <c r="K101" s="2331">
        <f>'[3]НВВ перекачка'!AC402</f>
        <v>0</v>
      </c>
      <c r="L101" s="2331">
        <f>'[3]НВВ перекачка'!AD402</f>
        <v>0</v>
      </c>
      <c r="M101" s="2332">
        <f t="shared" si="29"/>
        <v>0</v>
      </c>
      <c r="N101" s="2331"/>
      <c r="O101" s="2331"/>
      <c r="P101" s="2332">
        <f t="shared" si="22"/>
        <v>0</v>
      </c>
      <c r="Q101" s="2523">
        <v>0</v>
      </c>
      <c r="R101" s="2930">
        <f t="shared" si="43"/>
        <v>0</v>
      </c>
      <c r="S101" s="2332">
        <f t="shared" si="23"/>
        <v>0</v>
      </c>
      <c r="T101" s="2284">
        <f t="shared" si="42"/>
        <v>0</v>
      </c>
      <c r="U101" s="2285">
        <f t="shared" si="42"/>
        <v>0</v>
      </c>
      <c r="V101" s="2268">
        <f t="shared" si="30"/>
        <v>0</v>
      </c>
      <c r="W101" s="2888">
        <f t="shared" si="44"/>
        <v>0</v>
      </c>
      <c r="X101" s="2889">
        <f t="shared" si="44"/>
        <v>0</v>
      </c>
      <c r="Y101" s="2268">
        <f t="shared" si="31"/>
        <v>0</v>
      </c>
      <c r="Z101" s="2888">
        <f t="shared" si="40"/>
        <v>0</v>
      </c>
      <c r="AA101" s="2889">
        <f t="shared" si="40"/>
        <v>0</v>
      </c>
      <c r="AB101" s="2268">
        <f t="shared" si="32"/>
        <v>0</v>
      </c>
      <c r="AF101" s="2218">
        <f t="shared" si="35"/>
        <v>0</v>
      </c>
      <c r="AG101" s="2593">
        <f t="shared" si="36"/>
        <v>0</v>
      </c>
      <c r="AH101" s="2218">
        <f t="shared" si="37"/>
        <v>0</v>
      </c>
      <c r="AI101" s="2593">
        <f t="shared" si="38"/>
        <v>0</v>
      </c>
    </row>
    <row r="102" spans="1:35" s="2218" customFormat="1" ht="47.25" customHeight="1" outlineLevel="1">
      <c r="A102" s="2235"/>
      <c r="B102" s="2343" t="s">
        <v>14994</v>
      </c>
      <c r="C102" s="2329" t="s">
        <v>14995</v>
      </c>
      <c r="D102" s="2329" t="s">
        <v>1317</v>
      </c>
      <c r="E102" s="2331"/>
      <c r="F102" s="2331"/>
      <c r="G102" s="2332">
        <f t="shared" si="27"/>
        <v>0</v>
      </c>
      <c r="H102" s="2331"/>
      <c r="I102" s="2331"/>
      <c r="J102" s="2332">
        <f t="shared" si="28"/>
        <v>0</v>
      </c>
      <c r="K102" s="2331">
        <f>'[3]НВВ перекачка'!AC403</f>
        <v>0</v>
      </c>
      <c r="L102" s="2331">
        <f>'[3]НВВ перекачка'!AD403</f>
        <v>0</v>
      </c>
      <c r="M102" s="2332">
        <f t="shared" si="29"/>
        <v>0</v>
      </c>
      <c r="N102" s="2331"/>
      <c r="O102" s="2331"/>
      <c r="P102" s="2332">
        <f t="shared" si="22"/>
        <v>0</v>
      </c>
      <c r="Q102" s="2333">
        <v>0</v>
      </c>
      <c r="R102" s="2331">
        <v>0</v>
      </c>
      <c r="S102" s="2332">
        <f t="shared" si="23"/>
        <v>0</v>
      </c>
      <c r="T102" s="2284">
        <f t="shared" si="42"/>
        <v>0</v>
      </c>
      <c r="U102" s="2285">
        <f t="shared" si="42"/>
        <v>0</v>
      </c>
      <c r="V102" s="2268">
        <f t="shared" si="30"/>
        <v>0</v>
      </c>
      <c r="W102" s="2888">
        <f t="shared" si="44"/>
        <v>0</v>
      </c>
      <c r="X102" s="2889">
        <f t="shared" si="44"/>
        <v>0</v>
      </c>
      <c r="Y102" s="2268">
        <f t="shared" si="31"/>
        <v>0</v>
      </c>
      <c r="Z102" s="2888">
        <f t="shared" si="40"/>
        <v>0</v>
      </c>
      <c r="AA102" s="2889">
        <f t="shared" si="40"/>
        <v>0</v>
      </c>
      <c r="AB102" s="2268">
        <f t="shared" si="32"/>
        <v>0</v>
      </c>
      <c r="AF102" s="2218">
        <f t="shared" si="35"/>
        <v>0</v>
      </c>
      <c r="AG102" s="2593">
        <f t="shared" si="36"/>
        <v>0</v>
      </c>
      <c r="AH102" s="2218">
        <f t="shared" si="37"/>
        <v>0</v>
      </c>
      <c r="AI102" s="2593">
        <f t="shared" si="38"/>
        <v>0</v>
      </c>
    </row>
    <row r="103" spans="1:35" s="2218" customFormat="1" ht="94.5" customHeight="1" outlineLevel="1">
      <c r="A103" s="2235"/>
      <c r="B103" s="2344" t="s">
        <v>14996</v>
      </c>
      <c r="C103" s="2345" t="s">
        <v>14997</v>
      </c>
      <c r="D103" s="2329" t="s">
        <v>1317</v>
      </c>
      <c r="E103" s="2346"/>
      <c r="F103" s="2346"/>
      <c r="G103" s="2332">
        <f t="shared" si="27"/>
        <v>0</v>
      </c>
      <c r="H103" s="2346"/>
      <c r="I103" s="2346"/>
      <c r="J103" s="2332">
        <f t="shared" si="28"/>
        <v>0</v>
      </c>
      <c r="K103" s="2346">
        <f>'[3]НВВ перекачка'!AC404</f>
        <v>0</v>
      </c>
      <c r="L103" s="2346">
        <f>'[3]НВВ перекачка'!AD404</f>
        <v>0</v>
      </c>
      <c r="M103" s="2332">
        <f t="shared" si="29"/>
        <v>0</v>
      </c>
      <c r="N103" s="2346"/>
      <c r="O103" s="2346"/>
      <c r="P103" s="2332">
        <f t="shared" si="22"/>
        <v>0</v>
      </c>
      <c r="Q103" s="2347">
        <v>0</v>
      </c>
      <c r="R103" s="2346">
        <v>0</v>
      </c>
      <c r="S103" s="2332">
        <f t="shared" si="23"/>
        <v>0</v>
      </c>
      <c r="T103" s="2284">
        <f>N103+Q103</f>
        <v>0</v>
      </c>
      <c r="U103" s="2285">
        <f t="shared" si="42"/>
        <v>0</v>
      </c>
      <c r="V103" s="2268">
        <f t="shared" si="30"/>
        <v>0</v>
      </c>
      <c r="W103" s="2888">
        <f t="shared" si="44"/>
        <v>0</v>
      </c>
      <c r="X103" s="2889">
        <f t="shared" si="44"/>
        <v>0</v>
      </c>
      <c r="Y103" s="2268">
        <f t="shared" si="31"/>
        <v>0</v>
      </c>
      <c r="Z103" s="2888">
        <f t="shared" si="40"/>
        <v>0</v>
      </c>
      <c r="AA103" s="2889">
        <f t="shared" si="40"/>
        <v>0</v>
      </c>
      <c r="AB103" s="2268">
        <f t="shared" si="32"/>
        <v>0</v>
      </c>
      <c r="AF103" s="2218">
        <f t="shared" si="35"/>
        <v>0</v>
      </c>
      <c r="AG103" s="2593">
        <f t="shared" si="36"/>
        <v>0</v>
      </c>
      <c r="AH103" s="2218">
        <f t="shared" si="37"/>
        <v>0</v>
      </c>
      <c r="AI103" s="2593">
        <f t="shared" si="38"/>
        <v>0</v>
      </c>
    </row>
    <row r="104" spans="1:35" s="2218" customFormat="1" ht="78.75" outlineLevel="1">
      <c r="A104" s="2235"/>
      <c r="B104" s="2349" t="s">
        <v>14998</v>
      </c>
      <c r="C104" s="2336" t="s">
        <v>14999</v>
      </c>
      <c r="D104" s="2336" t="s">
        <v>1128</v>
      </c>
      <c r="E104" s="2346">
        <f>E105+E106+E107+E108+E109+E110+E111</f>
        <v>0</v>
      </c>
      <c r="F104" s="2346"/>
      <c r="G104" s="2332">
        <f t="shared" si="27"/>
        <v>0</v>
      </c>
      <c r="H104" s="2346">
        <f>H105+H106+H107+H108+H109+H110+H111</f>
        <v>0</v>
      </c>
      <c r="I104" s="2346"/>
      <c r="J104" s="2332">
        <f t="shared" si="28"/>
        <v>0</v>
      </c>
      <c r="K104" s="2346">
        <f>'[3]НВВ перекачка'!AC405</f>
        <v>0</v>
      </c>
      <c r="L104" s="2346">
        <f>'[3]НВВ перекачка'!AD405</f>
        <v>0</v>
      </c>
      <c r="M104" s="2332">
        <f t="shared" si="29"/>
        <v>0</v>
      </c>
      <c r="N104" s="2346">
        <v>0</v>
      </c>
      <c r="O104" s="2346">
        <f>O105+O106+O107+O108+O109+O110+O111</f>
        <v>4607.7624107235351</v>
      </c>
      <c r="P104" s="2332">
        <f t="shared" si="22"/>
        <v>2303.8812053617676</v>
      </c>
      <c r="Q104" s="2594">
        <f>Q105+Q106+Q107+Q108+Q109+Q110+Q111</f>
        <v>83.168067300683447</v>
      </c>
      <c r="R104" s="2594">
        <f>R105+R106+R107+R108+R109+R110+R111</f>
        <v>89.156168146332661</v>
      </c>
      <c r="S104" s="2332">
        <f t="shared" si="23"/>
        <v>86.162117723508061</v>
      </c>
      <c r="T104" s="2929">
        <f>N104+Q104</f>
        <v>83.168067300683447</v>
      </c>
      <c r="U104" s="2594">
        <f>O104+R104</f>
        <v>4696.9185788698678</v>
      </c>
      <c r="V104" s="2268">
        <f t="shared" si="30"/>
        <v>2390.0433230852755</v>
      </c>
      <c r="W104" s="2377">
        <f>T104/$T$272*$N$272</f>
        <v>17.968537017139202</v>
      </c>
      <c r="X104" s="2256">
        <f>U104/$T$272*$N$272</f>
        <v>1014.7735554054233</v>
      </c>
      <c r="Y104" s="2268">
        <f t="shared" si="31"/>
        <v>516.37104621128128</v>
      </c>
      <c r="Z104" s="2886">
        <f t="shared" si="40"/>
        <v>65.199530283544235</v>
      </c>
      <c r="AA104" s="2887">
        <f t="shared" si="40"/>
        <v>3682.145023464444</v>
      </c>
      <c r="AB104" s="2268">
        <f t="shared" si="32"/>
        <v>1873.6722768739942</v>
      </c>
      <c r="AF104" s="2218">
        <f t="shared" si="35"/>
        <v>1014.7735554054233</v>
      </c>
      <c r="AG104" s="2593">
        <f t="shared" si="36"/>
        <v>0</v>
      </c>
      <c r="AH104" s="2218">
        <f t="shared" si="37"/>
        <v>3682.145023464444</v>
      </c>
      <c r="AI104" s="2593">
        <f t="shared" si="38"/>
        <v>0</v>
      </c>
    </row>
    <row r="105" spans="1:35" s="2218" customFormat="1" ht="31.5" customHeight="1" outlineLevel="1">
      <c r="A105" s="2235"/>
      <c r="B105" s="2350" t="s">
        <v>15000</v>
      </c>
      <c r="C105" s="2329" t="s">
        <v>15001</v>
      </c>
      <c r="D105" s="2329" t="s">
        <v>1317</v>
      </c>
      <c r="E105" s="2346"/>
      <c r="F105" s="2346"/>
      <c r="G105" s="2332">
        <f t="shared" si="27"/>
        <v>0</v>
      </c>
      <c r="H105" s="2346"/>
      <c r="I105" s="2346"/>
      <c r="J105" s="2332">
        <f t="shared" si="28"/>
        <v>0</v>
      </c>
      <c r="K105" s="2346">
        <f>'[3]НВВ перекачка'!AC406</f>
        <v>0</v>
      </c>
      <c r="L105" s="2346">
        <f>'[3]НВВ перекачка'!AD406</f>
        <v>0</v>
      </c>
      <c r="M105" s="2332">
        <f t="shared" si="29"/>
        <v>0</v>
      </c>
      <c r="N105" s="2346"/>
      <c r="O105" s="2346"/>
      <c r="P105" s="2332">
        <f t="shared" si="22"/>
        <v>0</v>
      </c>
      <c r="Q105" s="2596">
        <v>7.5322529377204521</v>
      </c>
      <c r="R105" s="2930">
        <f t="shared" ref="R105:R111" si="45">Q105*1.072</f>
        <v>8.0745751492363258</v>
      </c>
      <c r="S105" s="2332">
        <f t="shared" si="23"/>
        <v>7.803414043478389</v>
      </c>
      <c r="T105" s="2284">
        <f>N105+Q105</f>
        <v>7.5322529377204521</v>
      </c>
      <c r="U105" s="2285">
        <f t="shared" ref="U105:U111" si="46">O105+R105</f>
        <v>8.0745751492363258</v>
      </c>
      <c r="V105" s="2268">
        <f t="shared" si="30"/>
        <v>7.803414043478389</v>
      </c>
      <c r="W105" s="2888">
        <f t="shared" ref="W105:X111" si="47">T105/$T$272*$W$272</f>
        <v>1.6273501372175476</v>
      </c>
      <c r="X105" s="2889">
        <f t="shared" si="47"/>
        <v>1.7445193470972113</v>
      </c>
      <c r="Y105" s="2268">
        <f t="shared" si="31"/>
        <v>1.6859347421573796</v>
      </c>
      <c r="Z105" s="2888">
        <f t="shared" si="40"/>
        <v>5.9049028005029038</v>
      </c>
      <c r="AA105" s="2889">
        <f t="shared" si="40"/>
        <v>6.330055802139114</v>
      </c>
      <c r="AB105" s="2268">
        <f t="shared" si="32"/>
        <v>6.1174793013210085</v>
      </c>
      <c r="AF105" s="2218">
        <f t="shared" si="35"/>
        <v>1.7445193470972113</v>
      </c>
      <c r="AG105" s="2593">
        <f t="shared" si="36"/>
        <v>0</v>
      </c>
      <c r="AH105" s="2218">
        <f t="shared" si="37"/>
        <v>6.330055802139114</v>
      </c>
      <c r="AI105" s="2593">
        <f t="shared" si="38"/>
        <v>0</v>
      </c>
    </row>
    <row r="106" spans="1:35" s="2218" customFormat="1" ht="15.75" customHeight="1" outlineLevel="1">
      <c r="A106" s="2235"/>
      <c r="B106" s="2350" t="s">
        <v>15002</v>
      </c>
      <c r="C106" s="2329" t="s">
        <v>15003</v>
      </c>
      <c r="D106" s="2329" t="s">
        <v>1317</v>
      </c>
      <c r="E106" s="2346"/>
      <c r="F106" s="2346"/>
      <c r="G106" s="2332">
        <f t="shared" si="27"/>
        <v>0</v>
      </c>
      <c r="H106" s="2346"/>
      <c r="I106" s="2346"/>
      <c r="J106" s="2332">
        <f t="shared" si="28"/>
        <v>0</v>
      </c>
      <c r="K106" s="2346">
        <f>'[3]НВВ перекачка'!AC407</f>
        <v>0</v>
      </c>
      <c r="L106" s="2346">
        <f>'[3]НВВ перекачка'!AD407</f>
        <v>0</v>
      </c>
      <c r="M106" s="2332">
        <f t="shared" si="29"/>
        <v>0</v>
      </c>
      <c r="N106" s="2346"/>
      <c r="O106" s="2346"/>
      <c r="P106" s="2332">
        <f t="shared" si="22"/>
        <v>0</v>
      </c>
      <c r="Q106" s="2347">
        <v>0</v>
      </c>
      <c r="R106" s="2930">
        <f t="shared" si="45"/>
        <v>0</v>
      </c>
      <c r="S106" s="2332">
        <f t="shared" si="23"/>
        <v>0</v>
      </c>
      <c r="T106" s="2284">
        <f t="shared" ref="T106:T111" si="48">N106+Q106</f>
        <v>0</v>
      </c>
      <c r="U106" s="2285">
        <f t="shared" si="46"/>
        <v>0</v>
      </c>
      <c r="V106" s="2268">
        <f t="shared" si="30"/>
        <v>0</v>
      </c>
      <c r="W106" s="2888">
        <f t="shared" si="47"/>
        <v>0</v>
      </c>
      <c r="X106" s="2889">
        <f t="shared" si="47"/>
        <v>0</v>
      </c>
      <c r="Y106" s="2268">
        <f t="shared" si="31"/>
        <v>0</v>
      </c>
      <c r="Z106" s="2888">
        <f t="shared" si="40"/>
        <v>0</v>
      </c>
      <c r="AA106" s="2889">
        <f t="shared" si="40"/>
        <v>0</v>
      </c>
      <c r="AB106" s="2268">
        <f t="shared" si="32"/>
        <v>0</v>
      </c>
      <c r="AF106" s="2218">
        <f t="shared" si="35"/>
        <v>0</v>
      </c>
      <c r="AG106" s="2593">
        <f t="shared" si="36"/>
        <v>0</v>
      </c>
      <c r="AH106" s="2218">
        <f t="shared" si="37"/>
        <v>0</v>
      </c>
      <c r="AI106" s="2593">
        <f t="shared" si="38"/>
        <v>0</v>
      </c>
    </row>
    <row r="107" spans="1:35" s="2218" customFormat="1" ht="31.5" customHeight="1" outlineLevel="1">
      <c r="A107" s="2235"/>
      <c r="B107" s="2350" t="s">
        <v>15004</v>
      </c>
      <c r="C107" s="2329" t="s">
        <v>15005</v>
      </c>
      <c r="D107" s="2329" t="s">
        <v>1317</v>
      </c>
      <c r="E107" s="2346"/>
      <c r="F107" s="2346"/>
      <c r="G107" s="2332">
        <f t="shared" si="27"/>
        <v>0</v>
      </c>
      <c r="H107" s="2346"/>
      <c r="I107" s="2346"/>
      <c r="J107" s="2332">
        <f t="shared" si="28"/>
        <v>0</v>
      </c>
      <c r="K107" s="2346">
        <f>'[3]НВВ перекачка'!AC408</f>
        <v>0</v>
      </c>
      <c r="L107" s="2346">
        <f>'[3]НВВ перекачка'!AD408</f>
        <v>0</v>
      </c>
      <c r="M107" s="2332">
        <f t="shared" si="29"/>
        <v>0</v>
      </c>
      <c r="N107" s="2346"/>
      <c r="O107" s="2346"/>
      <c r="P107" s="2332">
        <f t="shared" si="22"/>
        <v>0</v>
      </c>
      <c r="Q107" s="2347">
        <v>42.25887362461345</v>
      </c>
      <c r="R107" s="2930">
        <f t="shared" si="45"/>
        <v>45.301512525585622</v>
      </c>
      <c r="S107" s="2332">
        <f t="shared" si="23"/>
        <v>43.780193075099533</v>
      </c>
      <c r="T107" s="2284">
        <f t="shared" si="48"/>
        <v>42.25887362461345</v>
      </c>
      <c r="U107" s="2285">
        <f t="shared" si="46"/>
        <v>45.301512525585622</v>
      </c>
      <c r="V107" s="2268">
        <f t="shared" si="30"/>
        <v>43.780193075099533</v>
      </c>
      <c r="W107" s="2888">
        <f t="shared" si="47"/>
        <v>9.1300683023114377</v>
      </c>
      <c r="X107" s="2889">
        <f t="shared" si="47"/>
        <v>9.7874332200778618</v>
      </c>
      <c r="Y107" s="2268">
        <f t="shared" si="31"/>
        <v>9.4587507611946506</v>
      </c>
      <c r="Z107" s="2888">
        <f t="shared" si="40"/>
        <v>33.128805322302014</v>
      </c>
      <c r="AA107" s="2889">
        <f t="shared" si="40"/>
        <v>35.514079305507757</v>
      </c>
      <c r="AB107" s="2268">
        <f t="shared" si="32"/>
        <v>34.321442313904882</v>
      </c>
      <c r="AF107" s="2218">
        <f t="shared" si="35"/>
        <v>9.7874332200778618</v>
      </c>
      <c r="AG107" s="2593">
        <f t="shared" si="36"/>
        <v>0</v>
      </c>
      <c r="AH107" s="2218">
        <f t="shared" si="37"/>
        <v>35.514079305507757</v>
      </c>
      <c r="AI107" s="2593">
        <f t="shared" si="38"/>
        <v>0</v>
      </c>
    </row>
    <row r="108" spans="1:35" s="2218" customFormat="1" ht="15.75" customHeight="1" outlineLevel="1">
      <c r="A108" s="2235"/>
      <c r="B108" s="2350" t="s">
        <v>15006</v>
      </c>
      <c r="C108" s="2329" t="s">
        <v>15007</v>
      </c>
      <c r="D108" s="2329" t="s">
        <v>1317</v>
      </c>
      <c r="E108" s="2346"/>
      <c r="F108" s="2346"/>
      <c r="G108" s="2332">
        <f t="shared" si="27"/>
        <v>0</v>
      </c>
      <c r="H108" s="2346"/>
      <c r="I108" s="2346"/>
      <c r="J108" s="2332">
        <f t="shared" si="28"/>
        <v>0</v>
      </c>
      <c r="K108" s="2346">
        <f>'[3]НВВ перекачка'!AC409</f>
        <v>0</v>
      </c>
      <c r="L108" s="2346">
        <f>'[3]НВВ перекачка'!AD409</f>
        <v>0</v>
      </c>
      <c r="M108" s="2332">
        <f t="shared" si="29"/>
        <v>0</v>
      </c>
      <c r="N108" s="2346"/>
      <c r="O108" s="2346"/>
      <c r="P108" s="2332">
        <f t="shared" si="22"/>
        <v>0</v>
      </c>
      <c r="Q108" s="2347">
        <v>12.376403272744566</v>
      </c>
      <c r="R108" s="2930">
        <f t="shared" si="45"/>
        <v>13.267504308382176</v>
      </c>
      <c r="S108" s="2332">
        <f t="shared" si="23"/>
        <v>12.82195379056337</v>
      </c>
      <c r="T108" s="2284">
        <f t="shared" si="48"/>
        <v>12.376403272744566</v>
      </c>
      <c r="U108" s="2285">
        <f t="shared" si="46"/>
        <v>13.267504308382176</v>
      </c>
      <c r="V108" s="2268">
        <f t="shared" si="30"/>
        <v>12.82195379056337</v>
      </c>
      <c r="W108" s="2888">
        <f t="shared" si="47"/>
        <v>2.6739332482182858</v>
      </c>
      <c r="X108" s="2889">
        <f t="shared" si="47"/>
        <v>2.8664564420900027</v>
      </c>
      <c r="Y108" s="2268">
        <f t="shared" si="31"/>
        <v>2.770194845154144</v>
      </c>
      <c r="Z108" s="2888">
        <f t="shared" si="40"/>
        <v>9.7024700245262796</v>
      </c>
      <c r="AA108" s="2889">
        <f t="shared" si="40"/>
        <v>10.401047866292172</v>
      </c>
      <c r="AB108" s="2268">
        <f t="shared" si="32"/>
        <v>10.051758945409226</v>
      </c>
      <c r="AF108" s="2218">
        <f t="shared" si="35"/>
        <v>2.8664564420900027</v>
      </c>
      <c r="AG108" s="2593">
        <f t="shared" si="36"/>
        <v>0</v>
      </c>
      <c r="AH108" s="2218">
        <f t="shared" si="37"/>
        <v>10.401047866292172</v>
      </c>
      <c r="AI108" s="2593">
        <f t="shared" si="38"/>
        <v>0</v>
      </c>
    </row>
    <row r="109" spans="1:35" s="2218" customFormat="1" ht="47.25" customHeight="1" outlineLevel="1">
      <c r="A109" s="2235"/>
      <c r="B109" s="2350" t="s">
        <v>15008</v>
      </c>
      <c r="C109" s="2329" t="s">
        <v>15009</v>
      </c>
      <c r="D109" s="2329" t="s">
        <v>1317</v>
      </c>
      <c r="E109" s="2346"/>
      <c r="F109" s="2346"/>
      <c r="G109" s="2332">
        <f t="shared" si="27"/>
        <v>0</v>
      </c>
      <c r="H109" s="2346"/>
      <c r="I109" s="2346"/>
      <c r="J109" s="2332">
        <f t="shared" si="28"/>
        <v>0</v>
      </c>
      <c r="K109" s="2346">
        <f>'[3]НВВ перекачка'!AC410</f>
        <v>0</v>
      </c>
      <c r="L109" s="2346">
        <f>'[3]НВВ перекачка'!AD410</f>
        <v>0</v>
      </c>
      <c r="M109" s="2332">
        <f t="shared" si="29"/>
        <v>0</v>
      </c>
      <c r="N109" s="2346"/>
      <c r="O109" s="2346"/>
      <c r="P109" s="2332">
        <f t="shared" si="22"/>
        <v>0</v>
      </c>
      <c r="Q109" s="2347">
        <v>0</v>
      </c>
      <c r="R109" s="2930">
        <f t="shared" si="45"/>
        <v>0</v>
      </c>
      <c r="S109" s="2332">
        <f t="shared" si="23"/>
        <v>0</v>
      </c>
      <c r="T109" s="2284">
        <f t="shared" si="48"/>
        <v>0</v>
      </c>
      <c r="U109" s="2285">
        <f t="shared" si="46"/>
        <v>0</v>
      </c>
      <c r="V109" s="2268">
        <f t="shared" si="30"/>
        <v>0</v>
      </c>
      <c r="W109" s="2888">
        <f t="shared" si="47"/>
        <v>0</v>
      </c>
      <c r="X109" s="2889">
        <f t="shared" si="47"/>
        <v>0</v>
      </c>
      <c r="Y109" s="2268">
        <f t="shared" si="31"/>
        <v>0</v>
      </c>
      <c r="Z109" s="2888">
        <f t="shared" si="40"/>
        <v>0</v>
      </c>
      <c r="AA109" s="2889">
        <f t="shared" si="40"/>
        <v>0</v>
      </c>
      <c r="AB109" s="2268">
        <f t="shared" si="32"/>
        <v>0</v>
      </c>
      <c r="AF109" s="2218">
        <f t="shared" si="35"/>
        <v>0</v>
      </c>
      <c r="AG109" s="2593">
        <f t="shared" si="36"/>
        <v>0</v>
      </c>
      <c r="AH109" s="2218">
        <f t="shared" si="37"/>
        <v>0</v>
      </c>
      <c r="AI109" s="2593">
        <f t="shared" si="38"/>
        <v>0</v>
      </c>
    </row>
    <row r="110" spans="1:35" s="2218" customFormat="1" ht="94.5" outlineLevel="1">
      <c r="A110" s="2235"/>
      <c r="B110" s="2351" t="s">
        <v>15010</v>
      </c>
      <c r="C110" s="2345" t="s">
        <v>15011</v>
      </c>
      <c r="D110" s="2345" t="s">
        <v>1317</v>
      </c>
      <c r="E110" s="2352"/>
      <c r="F110" s="2346"/>
      <c r="G110" s="2332">
        <f t="shared" si="27"/>
        <v>0</v>
      </c>
      <c r="H110" s="2352"/>
      <c r="I110" s="2346"/>
      <c r="J110" s="2332">
        <f t="shared" si="28"/>
        <v>0</v>
      </c>
      <c r="K110" s="2352">
        <f>'[3]НВВ перекачка'!AC411</f>
        <v>0</v>
      </c>
      <c r="L110" s="2346">
        <f>'[3]НВВ перекачка'!AD411</f>
        <v>0</v>
      </c>
      <c r="M110" s="2332">
        <f t="shared" si="29"/>
        <v>0</v>
      </c>
      <c r="N110" s="2352"/>
      <c r="O110" s="2346">
        <f>4298.28583089882*1.072</f>
        <v>4607.7624107235351</v>
      </c>
      <c r="P110" s="2332">
        <f t="shared" si="22"/>
        <v>2303.8812053617676</v>
      </c>
      <c r="Q110" s="2597">
        <v>0</v>
      </c>
      <c r="R110" s="2930">
        <f t="shared" si="45"/>
        <v>0</v>
      </c>
      <c r="S110" s="2332">
        <f t="shared" si="23"/>
        <v>0</v>
      </c>
      <c r="T110" s="2284">
        <f t="shared" si="48"/>
        <v>0</v>
      </c>
      <c r="U110" s="2285">
        <f t="shared" si="46"/>
        <v>4607.7624107235351</v>
      </c>
      <c r="V110" s="2268">
        <f t="shared" si="30"/>
        <v>2303.8812053617676</v>
      </c>
      <c r="W110" s="2888">
        <f t="shared" si="47"/>
        <v>0</v>
      </c>
      <c r="X110" s="2889">
        <f t="shared" si="47"/>
        <v>995.51128372305016</v>
      </c>
      <c r="Y110" s="2268">
        <f t="shared" si="31"/>
        <v>497.75564186152508</v>
      </c>
      <c r="Z110" s="2888">
        <f t="shared" si="40"/>
        <v>0</v>
      </c>
      <c r="AA110" s="2889">
        <f t="shared" si="40"/>
        <v>3612.2511270004843</v>
      </c>
      <c r="AB110" s="2268">
        <f t="shared" si="32"/>
        <v>1806.1255635002422</v>
      </c>
      <c r="AF110" s="2218">
        <f t="shared" si="35"/>
        <v>995.51128372305016</v>
      </c>
      <c r="AG110" s="2593">
        <f t="shared" si="36"/>
        <v>0</v>
      </c>
      <c r="AH110" s="2218">
        <f t="shared" si="37"/>
        <v>3612.2511270004843</v>
      </c>
      <c r="AI110" s="2593">
        <f t="shared" si="38"/>
        <v>0</v>
      </c>
    </row>
    <row r="111" spans="1:35" s="2218" customFormat="1" ht="31.5" outlineLevel="1">
      <c r="A111" s="2235"/>
      <c r="B111" s="2353" t="s">
        <v>15012</v>
      </c>
      <c r="C111" s="2354" t="s">
        <v>15013</v>
      </c>
      <c r="D111" s="2354" t="s">
        <v>1317</v>
      </c>
      <c r="E111" s="2346"/>
      <c r="F111" s="2346"/>
      <c r="G111" s="2332">
        <f t="shared" si="27"/>
        <v>0</v>
      </c>
      <c r="H111" s="2346"/>
      <c r="I111" s="2346"/>
      <c r="J111" s="2332">
        <f t="shared" si="28"/>
        <v>0</v>
      </c>
      <c r="K111" s="2346">
        <f>'[3]НВВ перекачка'!AC412</f>
        <v>0</v>
      </c>
      <c r="L111" s="2346">
        <f>'[3]НВВ перекачка'!AD412</f>
        <v>0</v>
      </c>
      <c r="M111" s="2332">
        <f t="shared" si="29"/>
        <v>0</v>
      </c>
      <c r="N111" s="2346"/>
      <c r="O111" s="2346"/>
      <c r="P111" s="2332">
        <f t="shared" si="22"/>
        <v>0</v>
      </c>
      <c r="Q111" s="2596">
        <v>21.000537465604978</v>
      </c>
      <c r="R111" s="2930">
        <f t="shared" si="45"/>
        <v>22.512576163128539</v>
      </c>
      <c r="S111" s="2332">
        <f t="shared" si="23"/>
        <v>21.75655681436676</v>
      </c>
      <c r="T111" s="2284">
        <f t="shared" si="48"/>
        <v>21.000537465604978</v>
      </c>
      <c r="U111" s="2285">
        <f t="shared" si="46"/>
        <v>22.512576163128539</v>
      </c>
      <c r="V111" s="2268">
        <f t="shared" si="30"/>
        <v>21.75655681436676</v>
      </c>
      <c r="W111" s="2888">
        <f t="shared" si="47"/>
        <v>4.5371853293919315</v>
      </c>
      <c r="X111" s="2889">
        <f t="shared" si="47"/>
        <v>4.8638626731081516</v>
      </c>
      <c r="Y111" s="2268">
        <f t="shared" si="31"/>
        <v>4.7005240012500416</v>
      </c>
      <c r="Z111" s="2888">
        <f t="shared" si="40"/>
        <v>16.463352136213047</v>
      </c>
      <c r="AA111" s="2889">
        <f t="shared" si="40"/>
        <v>17.648713490020388</v>
      </c>
      <c r="AB111" s="2268">
        <f t="shared" si="32"/>
        <v>17.056032813116715</v>
      </c>
      <c r="AF111" s="2218">
        <f t="shared" si="35"/>
        <v>4.8638626731081516</v>
      </c>
      <c r="AG111" s="2593">
        <f t="shared" si="36"/>
        <v>0</v>
      </c>
      <c r="AH111" s="2218">
        <f t="shared" si="37"/>
        <v>17.648713490020388</v>
      </c>
      <c r="AI111" s="2593">
        <f t="shared" si="38"/>
        <v>0</v>
      </c>
    </row>
    <row r="112" spans="1:35" s="2218" customFormat="1" ht="47.25" outlineLevel="1">
      <c r="A112" s="2235"/>
      <c r="B112" s="2349" t="s">
        <v>15014</v>
      </c>
      <c r="C112" s="2355" t="s">
        <v>15015</v>
      </c>
      <c r="D112" s="2356" t="s">
        <v>1317</v>
      </c>
      <c r="E112" s="2357">
        <f>E113+E123</f>
        <v>0</v>
      </c>
      <c r="F112" s="2357">
        <f>F113+F123</f>
        <v>0</v>
      </c>
      <c r="G112" s="2358">
        <f t="shared" si="27"/>
        <v>0</v>
      </c>
      <c r="H112" s="2357">
        <f>H113+H123</f>
        <v>0</v>
      </c>
      <c r="I112" s="2357">
        <f>I113+I123</f>
        <v>0</v>
      </c>
      <c r="J112" s="2358">
        <f t="shared" si="28"/>
        <v>0</v>
      </c>
      <c r="K112" s="2357">
        <f>K113+K123</f>
        <v>4682.801587480285</v>
      </c>
      <c r="L112" s="2357">
        <f>L113+L123</f>
        <v>4901.258609364826</v>
      </c>
      <c r="M112" s="2358">
        <f t="shared" si="29"/>
        <v>4792.030098422556</v>
      </c>
      <c r="N112" s="2357">
        <f>N113+N123</f>
        <v>0</v>
      </c>
      <c r="O112" s="2357">
        <f>O113+O123</f>
        <v>5574.6444019880228</v>
      </c>
      <c r="P112" s="2358">
        <f t="shared" si="22"/>
        <v>2787.3222009940114</v>
      </c>
      <c r="Q112" s="2357">
        <f>Q113+Q123</f>
        <v>6916.2799264264358</v>
      </c>
      <c r="R112" s="2357">
        <f>R113+R123</f>
        <v>7414.2520811291415</v>
      </c>
      <c r="S112" s="2358">
        <f t="shared" si="23"/>
        <v>7165.2660037777887</v>
      </c>
      <c r="T112" s="2359">
        <f>N112+Q112</f>
        <v>6916.2799264264358</v>
      </c>
      <c r="U112" s="2357">
        <f>O112+R112</f>
        <v>12988.896483117165</v>
      </c>
      <c r="V112" s="2268">
        <f t="shared" si="30"/>
        <v>9952.5882047718005</v>
      </c>
      <c r="W112" s="2377">
        <f>T112/$T$272*$N$272</f>
        <v>1494.2686046747772</v>
      </c>
      <c r="X112" s="2256">
        <f>U112/$T$272*$N$272</f>
        <v>2806.2629665888853</v>
      </c>
      <c r="Y112" s="2268">
        <f t="shared" si="31"/>
        <v>2150.265785631831</v>
      </c>
      <c r="Z112" s="2886">
        <f t="shared" si="40"/>
        <v>5422.0113217516582</v>
      </c>
      <c r="AA112" s="2887">
        <f t="shared" si="40"/>
        <v>10182.63351652828</v>
      </c>
      <c r="AB112" s="2268">
        <f t="shared" si="32"/>
        <v>7802.3224191399695</v>
      </c>
      <c r="AF112" s="2218">
        <f t="shared" si="35"/>
        <v>2806.2629665888853</v>
      </c>
      <c r="AG112" s="2593">
        <f t="shared" si="36"/>
        <v>0</v>
      </c>
      <c r="AH112" s="2218">
        <f t="shared" si="37"/>
        <v>10182.63351652828</v>
      </c>
      <c r="AI112" s="2593">
        <f t="shared" si="38"/>
        <v>0</v>
      </c>
    </row>
    <row r="113" spans="1:35" s="2218" customFormat="1" ht="31.5" outlineLevel="1">
      <c r="A113" s="2235"/>
      <c r="B113" s="2349" t="s">
        <v>15016</v>
      </c>
      <c r="C113" s="2356" t="s">
        <v>15017</v>
      </c>
      <c r="D113" s="2356" t="s">
        <v>1317</v>
      </c>
      <c r="E113" s="2357">
        <f>E114*E122*12/1000</f>
        <v>0</v>
      </c>
      <c r="F113" s="2357">
        <f>F114*F122*12/1000</f>
        <v>0</v>
      </c>
      <c r="G113" s="2358">
        <f t="shared" si="27"/>
        <v>0</v>
      </c>
      <c r="H113" s="2357">
        <f>H114*H122*12/1000</f>
        <v>0</v>
      </c>
      <c r="I113" s="2357">
        <f>I114*I122*12/1000</f>
        <v>0</v>
      </c>
      <c r="J113" s="2358">
        <f t="shared" si="28"/>
        <v>0</v>
      </c>
      <c r="K113" s="2357">
        <f>K114*K122*12/1000</f>
        <v>3594.6807554731909</v>
      </c>
      <c r="L113" s="2357">
        <f>L114*L122*12/1000</f>
        <v>3766.348581581427</v>
      </c>
      <c r="M113" s="2358">
        <f t="shared" si="29"/>
        <v>3680.5146685273089</v>
      </c>
      <c r="N113" s="2357">
        <f>N114*N122*12/1000</f>
        <v>0</v>
      </c>
      <c r="O113" s="2357">
        <f>O114*O122*12/1000</f>
        <v>4281.6009231858852</v>
      </c>
      <c r="P113" s="2358">
        <f t="shared" si="22"/>
        <v>2140.8004615929426</v>
      </c>
      <c r="Q113" s="2357">
        <f>Q114*Q122*12/1000</f>
        <v>5312.0429542445745</v>
      </c>
      <c r="R113" s="2357">
        <f>R114*R122*12/1000</f>
        <v>5694.5100469501858</v>
      </c>
      <c r="S113" s="2358">
        <f t="shared" si="23"/>
        <v>5503.2765005973797</v>
      </c>
      <c r="T113" s="2357">
        <f>T114*T122*12/1000</f>
        <v>5312.0430698524169</v>
      </c>
      <c r="U113" s="2357">
        <f>U114*U122*12/1000</f>
        <v>9976.1120243060886</v>
      </c>
      <c r="V113" s="2268">
        <f t="shared" si="30"/>
        <v>7644.0775470792523</v>
      </c>
      <c r="W113" s="2357">
        <f>W114*W122*12/1000</f>
        <v>1147.6717893359103</v>
      </c>
      <c r="X113" s="2357">
        <f>X114*X122*12/1000</f>
        <v>2155.3481620390144</v>
      </c>
      <c r="Y113" s="2268">
        <f t="shared" si="31"/>
        <v>1651.5099756874624</v>
      </c>
      <c r="Z113" s="2357">
        <f>Z114*Z122*12/1000</f>
        <v>4164.3711629045329</v>
      </c>
      <c r="AA113" s="2357">
        <f>AA114*AA122*12/1000</f>
        <v>7820.7623446065991</v>
      </c>
      <c r="AB113" s="2268">
        <f t="shared" si="32"/>
        <v>5992.5667537555655</v>
      </c>
      <c r="AC113" s="2998"/>
      <c r="AD113" s="2998"/>
      <c r="AE113" s="2999">
        <v>1147.6717393815493</v>
      </c>
      <c r="AF113" s="2218">
        <f t="shared" si="35"/>
        <v>2155.3481283602991</v>
      </c>
      <c r="AG113" s="2593">
        <f t="shared" si="36"/>
        <v>-3.3678715226415079E-5</v>
      </c>
      <c r="AH113" s="2218">
        <f t="shared" si="37"/>
        <v>7820.7638959457881</v>
      </c>
      <c r="AI113" s="2593">
        <f t="shared" si="38"/>
        <v>1.551339189063583E-3</v>
      </c>
    </row>
    <row r="114" spans="1:35" s="2218" customFormat="1" ht="31.5" outlineLevel="1">
      <c r="A114" s="2235"/>
      <c r="B114" s="2336" t="s">
        <v>15018</v>
      </c>
      <c r="C114" s="2356" t="s">
        <v>15019</v>
      </c>
      <c r="D114" s="2356" t="s">
        <v>1888</v>
      </c>
      <c r="E114" s="2357">
        <f>E115+E116+E117+E120+E121</f>
        <v>0</v>
      </c>
      <c r="F114" s="2357">
        <f>F115+F116+F117+F120+F121</f>
        <v>0</v>
      </c>
      <c r="G114" s="2358">
        <f t="shared" si="27"/>
        <v>0</v>
      </c>
      <c r="H114" s="2357">
        <f>H115+H116+H117+H120+H121</f>
        <v>0</v>
      </c>
      <c r="I114" s="2357">
        <f>I115+I116+I117+I120+I121</f>
        <v>0</v>
      </c>
      <c r="J114" s="2358">
        <f t="shared" si="28"/>
        <v>0</v>
      </c>
      <c r="K114" s="2357">
        <f>K115+K116+K117+K120+K121</f>
        <v>22865.779509226631</v>
      </c>
      <c r="L114" s="2357">
        <f>L115+L116+L117+L120+L121</f>
        <v>23957.759278123376</v>
      </c>
      <c r="M114" s="2358">
        <f t="shared" si="29"/>
        <v>23411.769393675004</v>
      </c>
      <c r="N114" s="2357">
        <f>N115+N116+N117+N120+N121</f>
        <v>0</v>
      </c>
      <c r="O114" s="2357">
        <f>O115+O116+O117+O120+O121</f>
        <v>27223.681022917153</v>
      </c>
      <c r="P114" s="2358">
        <f t="shared" si="22"/>
        <v>13611.840511458577</v>
      </c>
      <c r="Q114" s="2357">
        <f>Q115+Q116+Q117+Q120+Q121</f>
        <v>40242.749653367995</v>
      </c>
      <c r="R114" s="2357">
        <f>R115+R116+R117+R120+R121</f>
        <v>43140.227628410496</v>
      </c>
      <c r="S114" s="2358">
        <f t="shared" si="23"/>
        <v>41691.488640889249</v>
      </c>
      <c r="T114" s="2357">
        <f>T115+T116+T117+T120+T121</f>
        <v>40242.750529184981</v>
      </c>
      <c r="U114" s="2357">
        <f>U115+U116+U117+U120+U121</f>
        <v>34486.618167286302</v>
      </c>
      <c r="V114" s="2268">
        <f t="shared" si="30"/>
        <v>37364.684348235642</v>
      </c>
      <c r="W114" s="2357">
        <f>W115+W116+W117+W120+W121</f>
        <v>40242.751405001989</v>
      </c>
      <c r="X114" s="2357">
        <f>X115+X116+X117+X120+X121</f>
        <v>34486.618706162124</v>
      </c>
      <c r="Y114" s="2268">
        <f t="shared" si="31"/>
        <v>37364.685055582057</v>
      </c>
      <c r="Z114" s="2357">
        <f>Z115+Z116+Z117+Z120+Z121</f>
        <v>40242.749151262753</v>
      </c>
      <c r="AA114" s="2357">
        <f>AA115+AA116+AA117+AA120+AA121</f>
        <v>34486.611326465762</v>
      </c>
      <c r="AB114" s="2268">
        <f t="shared" si="32"/>
        <v>37364.680238864254</v>
      </c>
      <c r="AC114" s="2998"/>
      <c r="AD114" s="2998"/>
      <c r="AE114" s="3000">
        <f>AE113-W113</f>
        <v>-4.9954360974879819E-5</v>
      </c>
      <c r="AF114" s="2218">
        <f t="shared" si="35"/>
        <v>7450.8654011939143</v>
      </c>
      <c r="AG114" s="2593">
        <f t="shared" si="36"/>
        <v>-27035.75330496821</v>
      </c>
      <c r="AH114" s="2218">
        <f t="shared" si="37"/>
        <v>27035.752766092384</v>
      </c>
      <c r="AI114" s="2593">
        <f t="shared" si="38"/>
        <v>-7450.8585603733773</v>
      </c>
    </row>
    <row r="115" spans="1:35" s="2218" customFormat="1" ht="31.5" outlineLevel="1">
      <c r="A115" s="2235"/>
      <c r="B115" s="2329" t="s">
        <v>15020</v>
      </c>
      <c r="C115" s="2363" t="s">
        <v>1890</v>
      </c>
      <c r="D115" s="2363" t="s">
        <v>15021</v>
      </c>
      <c r="E115" s="2364"/>
      <c r="F115" s="2364"/>
      <c r="G115" s="2358">
        <f t="shared" si="27"/>
        <v>0</v>
      </c>
      <c r="H115" s="2364"/>
      <c r="I115" s="2364"/>
      <c r="J115" s="2358">
        <f t="shared" si="28"/>
        <v>0</v>
      </c>
      <c r="K115" s="2364">
        <f>'[3]НВВ перекачка'!AC416</f>
        <v>4404.1776798825258</v>
      </c>
      <c r="L115" s="2364">
        <f>'[3]НВВ перекачка'!AD416</f>
        <v>4593.5573201174739</v>
      </c>
      <c r="M115" s="2358">
        <f t="shared" si="29"/>
        <v>4498.8675000000003</v>
      </c>
      <c r="N115" s="2364"/>
      <c r="O115" s="2285">
        <f>L115*1.06*1.072</f>
        <v>5219.7510539958885</v>
      </c>
      <c r="P115" s="2358">
        <f t="shared" si="22"/>
        <v>2609.8755269979442</v>
      </c>
      <c r="Q115" s="2365">
        <v>9925.3695182171487</v>
      </c>
      <c r="R115" s="2364">
        <f>Q115*1.072</f>
        <v>10639.996123528785</v>
      </c>
      <c r="S115" s="2358">
        <f t="shared" si="23"/>
        <v>10282.682820872968</v>
      </c>
      <c r="T115" s="2365">
        <f>9925.36951821715-1029.3</f>
        <v>8896.0695182171512</v>
      </c>
      <c r="U115" s="2364">
        <f>10639.9961235288-5257.02</f>
        <v>5382.9761235287988</v>
      </c>
      <c r="V115" s="2268">
        <f t="shared" si="30"/>
        <v>7139.522820872975</v>
      </c>
      <c r="W115" s="2888">
        <f>9925.36951821715-2058.6</f>
        <v>7866.7695182171501</v>
      </c>
      <c r="X115" s="2889">
        <v>5382.9761235287988</v>
      </c>
      <c r="Y115" s="2268">
        <f t="shared" si="31"/>
        <v>6624.8728208729744</v>
      </c>
      <c r="Z115" s="2888">
        <f>9925.36951821715+1500</f>
        <v>11425.36951821715</v>
      </c>
      <c r="AA115" s="2889">
        <f>10639.9961235288-1399.53</f>
        <v>9240.4661235287986</v>
      </c>
      <c r="AB115" s="2268">
        <f t="shared" si="32"/>
        <v>10332.917820872975</v>
      </c>
      <c r="AC115" s="3001"/>
      <c r="AD115" s="2999">
        <f>AD114/12/U122*1000</f>
        <v>0</v>
      </c>
      <c r="AE115" s="2999">
        <f>AE114/12/W122*1000</f>
        <v>-1.7516340028459389E-3</v>
      </c>
      <c r="AF115" s="2218">
        <f t="shared" si="35"/>
        <v>1162.9969154905307</v>
      </c>
      <c r="AG115" s="2593">
        <f t="shared" si="36"/>
        <v>-4219.9792080382686</v>
      </c>
      <c r="AH115" s="2218">
        <f t="shared" si="37"/>
        <v>4219.9792080382686</v>
      </c>
      <c r="AI115" s="2593">
        <f t="shared" si="38"/>
        <v>-5020.48691549053</v>
      </c>
    </row>
    <row r="116" spans="1:35" s="2218" customFormat="1" ht="31.5" outlineLevel="1">
      <c r="A116" s="2235"/>
      <c r="B116" s="2329" t="s">
        <v>15022</v>
      </c>
      <c r="C116" s="2363" t="s">
        <v>1846</v>
      </c>
      <c r="D116" s="2363" t="s">
        <v>15021</v>
      </c>
      <c r="E116" s="2364"/>
      <c r="F116" s="2364"/>
      <c r="G116" s="2358">
        <f t="shared" si="27"/>
        <v>0</v>
      </c>
      <c r="H116" s="2364"/>
      <c r="I116" s="2364"/>
      <c r="J116" s="2358">
        <f t="shared" si="28"/>
        <v>0</v>
      </c>
      <c r="K116" s="2364"/>
      <c r="L116" s="2364"/>
      <c r="M116" s="2358">
        <f t="shared" si="29"/>
        <v>0</v>
      </c>
      <c r="N116" s="2364"/>
      <c r="O116" s="2364"/>
      <c r="P116" s="2358">
        <f t="shared" si="22"/>
        <v>0</v>
      </c>
      <c r="Q116" s="2365">
        <v>0</v>
      </c>
      <c r="R116" s="2364">
        <v>0</v>
      </c>
      <c r="S116" s="2358">
        <f t="shared" si="23"/>
        <v>0</v>
      </c>
      <c r="T116" s="2365">
        <v>0</v>
      </c>
      <c r="U116" s="2364">
        <v>0</v>
      </c>
      <c r="V116" s="2268">
        <f t="shared" si="30"/>
        <v>0</v>
      </c>
      <c r="W116" s="2365">
        <v>0</v>
      </c>
      <c r="X116" s="2364">
        <v>0</v>
      </c>
      <c r="Y116" s="2268">
        <f t="shared" si="31"/>
        <v>0</v>
      </c>
      <c r="Z116" s="2365">
        <v>0</v>
      </c>
      <c r="AA116" s="2364">
        <v>0</v>
      </c>
      <c r="AB116" s="2268">
        <f t="shared" si="32"/>
        <v>0</v>
      </c>
      <c r="AC116" s="2113"/>
      <c r="AF116" s="2218">
        <f t="shared" si="35"/>
        <v>0</v>
      </c>
      <c r="AG116" s="2593">
        <f t="shared" si="36"/>
        <v>0</v>
      </c>
      <c r="AH116" s="2218">
        <f t="shared" si="37"/>
        <v>0</v>
      </c>
      <c r="AI116" s="2593">
        <f t="shared" si="38"/>
        <v>0</v>
      </c>
    </row>
    <row r="117" spans="1:35" s="2218" customFormat="1" ht="31.5" outlineLevel="1">
      <c r="A117" s="2235"/>
      <c r="B117" s="2336" t="s">
        <v>15023</v>
      </c>
      <c r="C117" s="2356" t="s">
        <v>1786</v>
      </c>
      <c r="D117" s="2367" t="s">
        <v>15021</v>
      </c>
      <c r="E117" s="2357">
        <f>E118*E119</f>
        <v>0</v>
      </c>
      <c r="F117" s="2357">
        <f>F118*F119</f>
        <v>0</v>
      </c>
      <c r="G117" s="2358">
        <f t="shared" si="27"/>
        <v>0</v>
      </c>
      <c r="H117" s="2357">
        <f>H118*H119</f>
        <v>0</v>
      </c>
      <c r="I117" s="2357">
        <f>I118*I119</f>
        <v>0</v>
      </c>
      <c r="J117" s="2358">
        <f t="shared" si="28"/>
        <v>0</v>
      </c>
      <c r="K117" s="2357">
        <f>K118*K119</f>
        <v>14627.361111111113</v>
      </c>
      <c r="L117" s="2357">
        <f>L118*L119</f>
        <v>15365.088888888889</v>
      </c>
      <c r="M117" s="2358">
        <f t="shared" si="29"/>
        <v>14996.225000000002</v>
      </c>
      <c r="N117" s="2357">
        <f>N118*N119</f>
        <v>0</v>
      </c>
      <c r="O117" s="2357">
        <f>O118*O119</f>
        <v>17459.657806222225</v>
      </c>
      <c r="P117" s="2358">
        <f t="shared" si="22"/>
        <v>8729.8289031111126</v>
      </c>
      <c r="Q117" s="2357">
        <f>Q118*Q119</f>
        <v>14228.392470588235</v>
      </c>
      <c r="R117" s="2357">
        <f>R118*R119</f>
        <v>15252.836728470589</v>
      </c>
      <c r="S117" s="2358">
        <f t="shared" si="23"/>
        <v>14740.614599529412</v>
      </c>
      <c r="T117" s="2357">
        <f>T118*T119</f>
        <v>15257.693346405231</v>
      </c>
      <c r="U117" s="2357">
        <f>U118*U119</f>
        <v>16356.247267346407</v>
      </c>
      <c r="V117" s="2268">
        <f t="shared" si="30"/>
        <v>15806.970306875819</v>
      </c>
      <c r="W117" s="2357">
        <f>W118*W119</f>
        <v>16286.994222222225</v>
      </c>
      <c r="X117" s="2357">
        <f>X118*X119</f>
        <v>17459.657806222225</v>
      </c>
      <c r="Y117" s="2268">
        <f t="shared" si="31"/>
        <v>16873.326014222224</v>
      </c>
      <c r="Z117" s="2357">
        <f>Z118*Z119</f>
        <v>14228.392470588235</v>
      </c>
      <c r="AA117" s="2357">
        <f>AA118*AA119</f>
        <v>15252.836728470589</v>
      </c>
      <c r="AB117" s="2268">
        <f t="shared" si="32"/>
        <v>14740.614599529412</v>
      </c>
      <c r="AC117" s="2113"/>
      <c r="AF117" s="2218">
        <f t="shared" si="35"/>
        <v>3533.7821837586539</v>
      </c>
      <c r="AG117" s="2593">
        <f t="shared" si="36"/>
        <v>-13925.875622463571</v>
      </c>
      <c r="AH117" s="2218">
        <f t="shared" si="37"/>
        <v>12822.465083587753</v>
      </c>
      <c r="AI117" s="2593">
        <f t="shared" si="38"/>
        <v>-2430.3716448828363</v>
      </c>
    </row>
    <row r="118" spans="1:35" s="2218" customFormat="1" ht="31.5" outlineLevel="1">
      <c r="A118" s="2235"/>
      <c r="B118" s="2329" t="s">
        <v>15024</v>
      </c>
      <c r="C118" s="2363" t="s">
        <v>1788</v>
      </c>
      <c r="D118" s="2363" t="s">
        <v>15021</v>
      </c>
      <c r="E118" s="2364"/>
      <c r="F118" s="2364"/>
      <c r="G118" s="2358">
        <f t="shared" si="27"/>
        <v>0</v>
      </c>
      <c r="H118" s="2364"/>
      <c r="I118" s="2364"/>
      <c r="J118" s="2358">
        <f t="shared" si="28"/>
        <v>0</v>
      </c>
      <c r="K118" s="2364">
        <f>'[3]НВВ перекачка'!AC419</f>
        <v>5750</v>
      </c>
      <c r="L118" s="2364">
        <f>'[3]НВВ перекачка'!AD419</f>
        <v>6040</v>
      </c>
      <c r="M118" s="2358">
        <f t="shared" si="29"/>
        <v>5895</v>
      </c>
      <c r="N118" s="2364"/>
      <c r="O118" s="2285">
        <f>L118*1.06*1.072</f>
        <v>6863.372800000001</v>
      </c>
      <c r="P118" s="2358">
        <f t="shared" si="22"/>
        <v>3431.6864000000005</v>
      </c>
      <c r="Q118" s="2365">
        <v>6402.4000000000005</v>
      </c>
      <c r="R118" s="2364">
        <f>Q118*1.072</f>
        <v>6863.372800000001</v>
      </c>
      <c r="S118" s="2358">
        <f t="shared" si="23"/>
        <v>6632.8864000000012</v>
      </c>
      <c r="T118" s="2365">
        <f>Q118</f>
        <v>6402.4000000000005</v>
      </c>
      <c r="U118" s="2364">
        <f>R118</f>
        <v>6863.372800000001</v>
      </c>
      <c r="V118" s="2268">
        <f t="shared" si="30"/>
        <v>6632.8864000000012</v>
      </c>
      <c r="W118" s="2365">
        <f>T118</f>
        <v>6402.4000000000005</v>
      </c>
      <c r="X118" s="2364">
        <f>U118</f>
        <v>6863.372800000001</v>
      </c>
      <c r="Y118" s="2268">
        <f t="shared" si="31"/>
        <v>6632.8864000000012</v>
      </c>
      <c r="Z118" s="2365">
        <f>W118</f>
        <v>6402.4000000000005</v>
      </c>
      <c r="AA118" s="2364">
        <f>X118</f>
        <v>6863.372800000001</v>
      </c>
      <c r="AB118" s="2268">
        <f t="shared" si="32"/>
        <v>6632.8864000000012</v>
      </c>
      <c r="AC118" s="2113"/>
      <c r="AF118" s="2218">
        <f t="shared" si="35"/>
        <v>1482.837971614292</v>
      </c>
      <c r="AG118" s="2593">
        <f t="shared" si="36"/>
        <v>-5380.5348283857093</v>
      </c>
      <c r="AH118" s="2218">
        <f t="shared" si="37"/>
        <v>5380.5348283857093</v>
      </c>
      <c r="AI118" s="2593">
        <f t="shared" si="38"/>
        <v>-1482.8379716142917</v>
      </c>
    </row>
    <row r="119" spans="1:35" s="2218" customFormat="1" ht="31.5" outlineLevel="1">
      <c r="A119" s="2235"/>
      <c r="B119" s="2329" t="s">
        <v>15025</v>
      </c>
      <c r="C119" s="2363" t="s">
        <v>1790</v>
      </c>
      <c r="D119" s="2363"/>
      <c r="E119" s="2364"/>
      <c r="F119" s="2364"/>
      <c r="G119" s="2358">
        <f t="shared" si="27"/>
        <v>0</v>
      </c>
      <c r="H119" s="2364"/>
      <c r="I119" s="2364"/>
      <c r="J119" s="2358">
        <f t="shared" si="28"/>
        <v>0</v>
      </c>
      <c r="K119" s="2364">
        <f>'[3]НВВ перекачка'!AC420</f>
        <v>2.5438888888888891</v>
      </c>
      <c r="L119" s="2364">
        <f>'[3]НВВ перекачка'!AD420</f>
        <v>2.5438888888888891</v>
      </c>
      <c r="M119" s="2358">
        <f t="shared" si="29"/>
        <v>2.5438888888888891</v>
      </c>
      <c r="N119" s="2364">
        <v>2.5438888888888891</v>
      </c>
      <c r="O119" s="2364">
        <v>2.5438888888888891</v>
      </c>
      <c r="P119" s="2358">
        <f t="shared" si="22"/>
        <v>2.5438888888888891</v>
      </c>
      <c r="Q119" s="2365">
        <v>2.2223529411764704</v>
      </c>
      <c r="R119" s="2364">
        <v>2.2223529411764704</v>
      </c>
      <c r="S119" s="2358">
        <f t="shared" si="23"/>
        <v>2.2223529411764704</v>
      </c>
      <c r="T119" s="2938">
        <v>2.3831209150326798</v>
      </c>
      <c r="U119" s="3002">
        <v>2.3831209150326798</v>
      </c>
      <c r="V119" s="2268">
        <f t="shared" si="30"/>
        <v>2.3831209150326798</v>
      </c>
      <c r="W119" s="2364">
        <v>2.5438888888888891</v>
      </c>
      <c r="X119" s="2364">
        <v>2.5438888888888891</v>
      </c>
      <c r="Y119" s="2268">
        <f t="shared" si="31"/>
        <v>2.5438888888888891</v>
      </c>
      <c r="Z119" s="3003">
        <v>2.2223529411764704</v>
      </c>
      <c r="AA119" s="3004">
        <v>2.2223529411764704</v>
      </c>
      <c r="AB119" s="2268">
        <f t="shared" si="32"/>
        <v>2.2223529411764704</v>
      </c>
      <c r="AF119" s="2218">
        <f t="shared" si="35"/>
        <v>0.51487545361934195</v>
      </c>
      <c r="AG119" s="2593">
        <f t="shared" si="36"/>
        <v>-2.029013435269547</v>
      </c>
      <c r="AH119" s="2218">
        <f t="shared" si="37"/>
        <v>1.8682454614133377</v>
      </c>
      <c r="AI119" s="2593">
        <f t="shared" si="38"/>
        <v>-0.35410747976313273</v>
      </c>
    </row>
    <row r="120" spans="1:35" s="2218" customFormat="1" ht="31.5" outlineLevel="1">
      <c r="A120" s="2235"/>
      <c r="B120" s="2336" t="s">
        <v>15026</v>
      </c>
      <c r="C120" s="2363" t="s">
        <v>1795</v>
      </c>
      <c r="D120" s="2363" t="s">
        <v>15021</v>
      </c>
      <c r="E120" s="2364"/>
      <c r="F120" s="2364"/>
      <c r="G120" s="2358">
        <f t="shared" si="27"/>
        <v>0</v>
      </c>
      <c r="H120" s="2364"/>
      <c r="I120" s="2364"/>
      <c r="J120" s="2358">
        <f t="shared" si="28"/>
        <v>0</v>
      </c>
      <c r="K120" s="2364">
        <f>'[3]НВВ перекачка'!AC421</f>
        <v>3834.2407182329907</v>
      </c>
      <c r="L120" s="2364">
        <f>'[3]НВВ перекачка'!AD421</f>
        <v>3999.1130691170092</v>
      </c>
      <c r="M120" s="2358">
        <f t="shared" si="29"/>
        <v>3916.676893675</v>
      </c>
      <c r="N120" s="2364"/>
      <c r="O120" s="2285">
        <f>L120*1.06*1.072</f>
        <v>4544.2721626990397</v>
      </c>
      <c r="P120" s="2358">
        <f t="shared" si="22"/>
        <v>2272.1360813495198</v>
      </c>
      <c r="Q120" s="2365">
        <v>16088.987664562612</v>
      </c>
      <c r="R120" s="2364">
        <f>Q120*1.072</f>
        <v>17247.394776411122</v>
      </c>
      <c r="S120" s="2358">
        <f t="shared" si="23"/>
        <v>16668.191220486868</v>
      </c>
      <c r="T120" s="2365">
        <f>16088.9876645626</f>
        <v>16088.987664562599</v>
      </c>
      <c r="U120" s="2364">
        <f>17247.3947764111-4500</f>
        <v>12747.3947764111</v>
      </c>
      <c r="V120" s="2268">
        <f t="shared" si="30"/>
        <v>14418.191220486849</v>
      </c>
      <c r="W120" s="2888">
        <v>16088.987664562612</v>
      </c>
      <c r="X120" s="2889">
        <f>17247.3947764111-5603.41</f>
        <v>11643.9847764111</v>
      </c>
      <c r="Y120" s="2268">
        <f t="shared" si="31"/>
        <v>13866.486220486855</v>
      </c>
      <c r="Z120" s="2888">
        <f>T120/$T$272*$Z$272+1976.04</f>
        <v>14588.987162457368</v>
      </c>
      <c r="AA120" s="2889">
        <f>U120/$T$272*$Z$272</f>
        <v>9993.3084744663684</v>
      </c>
      <c r="AB120" s="2268">
        <f t="shared" si="32"/>
        <v>12291.147818461868</v>
      </c>
      <c r="AF120" s="2218">
        <f t="shared" si="35"/>
        <v>2754.0863019447306</v>
      </c>
      <c r="AG120" s="2593">
        <f t="shared" si="36"/>
        <v>-8889.8984744663685</v>
      </c>
      <c r="AH120" s="2218">
        <f t="shared" si="37"/>
        <v>9993.3084744663684</v>
      </c>
      <c r="AI120" s="2593">
        <f t="shared" si="38"/>
        <v>0</v>
      </c>
    </row>
    <row r="121" spans="1:35" s="2218" customFormat="1" ht="31.5" outlineLevel="1">
      <c r="A121" s="2235"/>
      <c r="B121" s="2336" t="s">
        <v>15027</v>
      </c>
      <c r="C121" s="2363" t="s">
        <v>1898</v>
      </c>
      <c r="D121" s="2363" t="s">
        <v>15021</v>
      </c>
      <c r="E121" s="2364"/>
      <c r="F121" s="2364"/>
      <c r="G121" s="2358">
        <f>E121/2+F121/2</f>
        <v>0</v>
      </c>
      <c r="H121" s="2364"/>
      <c r="I121" s="2364"/>
      <c r="J121" s="2358">
        <f>H121/2+I121/2</f>
        <v>0</v>
      </c>
      <c r="K121" s="2364">
        <f>'[3]НВВ перекачка'!AC422</f>
        <v>0</v>
      </c>
      <c r="L121" s="2364">
        <f>'[3]НВВ перекачка'!AD422</f>
        <v>0</v>
      </c>
      <c r="M121" s="2358">
        <f>K121/2+L121/2</f>
        <v>0</v>
      </c>
      <c r="N121" s="2364"/>
      <c r="O121" s="2364"/>
      <c r="P121" s="2358">
        <f>N121/2+O121/2</f>
        <v>0</v>
      </c>
      <c r="Q121" s="2365">
        <v>0</v>
      </c>
      <c r="R121" s="2364">
        <v>0</v>
      </c>
      <c r="S121" s="2358">
        <f>Q121/2+R121/2</f>
        <v>0</v>
      </c>
      <c r="T121" s="3003">
        <v>0</v>
      </c>
      <c r="U121" s="3004">
        <v>0</v>
      </c>
      <c r="V121" s="2268">
        <f t="shared" si="30"/>
        <v>0</v>
      </c>
      <c r="W121" s="3003">
        <v>0</v>
      </c>
      <c r="X121" s="3004">
        <v>0</v>
      </c>
      <c r="Y121" s="2268">
        <f t="shared" si="31"/>
        <v>0</v>
      </c>
      <c r="Z121" s="3003">
        <v>0</v>
      </c>
      <c r="AA121" s="3004">
        <v>0</v>
      </c>
      <c r="AB121" s="2268">
        <f t="shared" si="32"/>
        <v>0</v>
      </c>
      <c r="AF121" s="2218">
        <f t="shared" si="35"/>
        <v>0</v>
      </c>
      <c r="AG121" s="2593">
        <f t="shared" si="36"/>
        <v>0</v>
      </c>
      <c r="AH121" s="2218">
        <f t="shared" si="37"/>
        <v>0</v>
      </c>
      <c r="AI121" s="2593">
        <f t="shared" si="38"/>
        <v>0</v>
      </c>
    </row>
    <row r="122" spans="1:35" s="2218" customFormat="1" ht="31.5" outlineLevel="1">
      <c r="A122" s="2235"/>
      <c r="B122" s="2329" t="s">
        <v>15028</v>
      </c>
      <c r="C122" s="2363" t="s">
        <v>1799</v>
      </c>
      <c r="D122" s="2363" t="s">
        <v>1800</v>
      </c>
      <c r="E122" s="2364"/>
      <c r="F122" s="2364"/>
      <c r="G122" s="2358">
        <f>E122/2+F122/2</f>
        <v>0</v>
      </c>
      <c r="H122" s="2364"/>
      <c r="I122" s="2364"/>
      <c r="J122" s="2358">
        <f>H122/2+I122/2</f>
        <v>0</v>
      </c>
      <c r="K122" s="2364">
        <f>'[3]НВВ перекачка'!AC423</f>
        <v>13.100656791599471</v>
      </c>
      <c r="L122" s="2364">
        <f>'[3]НВВ перекачка'!AD423</f>
        <v>13.100656791599471</v>
      </c>
      <c r="M122" s="2358">
        <f>K122/2+L122/2</f>
        <v>13.100656791599471</v>
      </c>
      <c r="N122" s="2364"/>
      <c r="O122" s="2364">
        <v>13.106239256616302</v>
      </c>
      <c r="P122" s="2358">
        <f>N122/2+O122/2</f>
        <v>6.553119628308151</v>
      </c>
      <c r="Q122" s="2365">
        <v>11</v>
      </c>
      <c r="R122" s="2364">
        <v>11</v>
      </c>
      <c r="S122" s="2358">
        <f>Q122/2+R122/2</f>
        <v>11</v>
      </c>
      <c r="T122" s="2365">
        <f t="shared" ref="T122:U127" si="49">N122+Q122</f>
        <v>11</v>
      </c>
      <c r="U122" s="2364">
        <f t="shared" si="49"/>
        <v>24.106239256616302</v>
      </c>
      <c r="V122" s="2268">
        <f t="shared" si="30"/>
        <v>17.553119628308153</v>
      </c>
      <c r="W122" s="2888">
        <f>T122/$T$272*$W$272</f>
        <v>2.3765600620961762</v>
      </c>
      <c r="X122" s="2889">
        <f>U122/$T$272*$W$272</f>
        <v>5.2081750422372117</v>
      </c>
      <c r="Y122" s="2268">
        <f t="shared" si="31"/>
        <v>3.7923675521666942</v>
      </c>
      <c r="Z122" s="2888">
        <f t="shared" ref="Z122:AA127" si="50">T122/$T$272*$Z$272</f>
        <v>8.6234399379038233</v>
      </c>
      <c r="AA122" s="2889">
        <f t="shared" si="50"/>
        <v>18.89806421437909</v>
      </c>
      <c r="AB122" s="2268">
        <f t="shared" si="32"/>
        <v>13.760752076141458</v>
      </c>
      <c r="AF122" s="2218">
        <f t="shared" si="35"/>
        <v>5.2081750422372117</v>
      </c>
      <c r="AG122" s="2593">
        <f t="shared" si="36"/>
        <v>0</v>
      </c>
      <c r="AH122" s="2218">
        <f t="shared" si="37"/>
        <v>18.89806421437909</v>
      </c>
      <c r="AI122" s="2593">
        <f t="shared" si="38"/>
        <v>0</v>
      </c>
    </row>
    <row r="123" spans="1:35" s="2218" customFormat="1" ht="48" outlineLevel="1" thickBot="1">
      <c r="A123" s="2235"/>
      <c r="B123" s="2368" t="s">
        <v>15029</v>
      </c>
      <c r="C123" s="2369" t="s">
        <v>15030</v>
      </c>
      <c r="D123" s="2369" t="s">
        <v>1317</v>
      </c>
      <c r="E123" s="2370"/>
      <c r="F123" s="2370"/>
      <c r="G123" s="2358">
        <f>E123/2+F123/2</f>
        <v>0</v>
      </c>
      <c r="H123" s="2370"/>
      <c r="I123" s="2370"/>
      <c r="J123" s="2358">
        <f>H123/2+I123/2</f>
        <v>0</v>
      </c>
      <c r="K123" s="2370">
        <f>'[3]НВВ перекачка'!AC424</f>
        <v>1088.1208320070944</v>
      </c>
      <c r="L123" s="2370">
        <f>'[3]НВВ перекачка'!AD424</f>
        <v>1134.9100277833993</v>
      </c>
      <c r="M123" s="2358">
        <f>K123/2+L123/2</f>
        <v>1111.5154298952468</v>
      </c>
      <c r="N123" s="2370">
        <v>0</v>
      </c>
      <c r="O123" s="2370">
        <f>O113*0.302</f>
        <v>1293.0434788021373</v>
      </c>
      <c r="P123" s="2358">
        <f>N123/2+O123/2</f>
        <v>646.52173940106866</v>
      </c>
      <c r="Q123" s="2370">
        <f>Q113*0.302</f>
        <v>1604.2369721818613</v>
      </c>
      <c r="R123" s="2370">
        <f>R113*0.302</f>
        <v>1719.7420341789561</v>
      </c>
      <c r="S123" s="2358">
        <f>Q123/2+R123/2</f>
        <v>1661.9895031804087</v>
      </c>
      <c r="T123" s="2934">
        <f t="shared" si="49"/>
        <v>1604.2369721818613</v>
      </c>
      <c r="U123" s="2940">
        <f t="shared" si="49"/>
        <v>3012.7855129810932</v>
      </c>
      <c r="V123" s="2268">
        <f t="shared" si="30"/>
        <v>2308.5112425814773</v>
      </c>
      <c r="W123" s="3005">
        <f t="shared" ref="W123:X126" si="51">T123/$T$272*$N$272</f>
        <v>346.59686529322784</v>
      </c>
      <c r="X123" s="3006">
        <f t="shared" si="51"/>
        <v>650.91506598298258</v>
      </c>
      <c r="Y123" s="2268">
        <f t="shared" si="31"/>
        <v>498.75596563810518</v>
      </c>
      <c r="Z123" s="3005">
        <f t="shared" si="50"/>
        <v>1257.6401068886335</v>
      </c>
      <c r="AA123" s="3006">
        <f t="shared" si="50"/>
        <v>2361.8704469981108</v>
      </c>
      <c r="AB123" s="2268">
        <f t="shared" si="32"/>
        <v>1809.7552769433721</v>
      </c>
      <c r="AC123" s="3007"/>
      <c r="AD123" s="3355"/>
      <c r="AE123" s="3355"/>
      <c r="AF123" s="2218">
        <f t="shared" si="35"/>
        <v>650.91506598298258</v>
      </c>
      <c r="AG123" s="2593">
        <f t="shared" si="36"/>
        <v>0</v>
      </c>
      <c r="AH123" s="2218">
        <f t="shared" si="37"/>
        <v>2361.8704469981108</v>
      </c>
      <c r="AI123" s="2593">
        <f t="shared" si="38"/>
        <v>0</v>
      </c>
    </row>
    <row r="124" spans="1:35" s="2218" customFormat="1" ht="21" customHeight="1" thickBot="1">
      <c r="A124" s="2235">
        <v>9</v>
      </c>
      <c r="B124" s="1260" t="s">
        <v>1175</v>
      </c>
      <c r="C124" s="2318" t="s">
        <v>1924</v>
      </c>
      <c r="D124" s="2371" t="s">
        <v>1317</v>
      </c>
      <c r="E124" s="2372">
        <f>E125+E141</f>
        <v>27521.050792673457</v>
      </c>
      <c r="F124" s="2373">
        <f>F125+F141</f>
        <v>29062.229637063174</v>
      </c>
      <c r="G124" s="2374">
        <f t="shared" si="27"/>
        <v>28291.640214868316</v>
      </c>
      <c r="H124" s="2373">
        <f>H125+H141</f>
        <v>27210.087850054704</v>
      </c>
      <c r="I124" s="2373">
        <f>I125+I141</f>
        <v>28401.541501217751</v>
      </c>
      <c r="J124" s="2374">
        <f t="shared" si="28"/>
        <v>27805.814675636226</v>
      </c>
      <c r="K124" s="2373">
        <f>K125+K141</f>
        <v>25171.650538604492</v>
      </c>
      <c r="L124" s="2373">
        <f>L125+L141</f>
        <v>26354.718113918909</v>
      </c>
      <c r="M124" s="2374">
        <f t="shared" si="29"/>
        <v>25763.1843262617</v>
      </c>
      <c r="N124" s="2373">
        <f>N125+N141</f>
        <v>26613.498685435632</v>
      </c>
      <c r="O124" s="2373">
        <f>O125+O141</f>
        <v>29008.713567124843</v>
      </c>
      <c r="P124" s="2374">
        <f t="shared" ref="P124:P133" si="52">N124/2+O124/2</f>
        <v>27811.10612628024</v>
      </c>
      <c r="Q124" s="2373">
        <f>Q125+Q141</f>
        <v>34822.749162631764</v>
      </c>
      <c r="R124" s="2373">
        <f>R125+R141</f>
        <v>37956.796587268625</v>
      </c>
      <c r="S124" s="2374">
        <f t="shared" ref="S124:S133" si="53">Q124/2+R124/2</f>
        <v>36389.772874950198</v>
      </c>
      <c r="T124" s="2372">
        <f>N124+Q124</f>
        <v>61436.247848067396</v>
      </c>
      <c r="U124" s="2373">
        <f t="shared" si="49"/>
        <v>66965.510154393472</v>
      </c>
      <c r="V124" s="2374">
        <f t="shared" si="30"/>
        <v>64200.879001230438</v>
      </c>
      <c r="W124" s="2945">
        <f t="shared" si="51"/>
        <v>13273.357545523557</v>
      </c>
      <c r="X124" s="2373">
        <f t="shared" si="51"/>
        <v>14467.959724620679</v>
      </c>
      <c r="Y124" s="2374">
        <f t="shared" si="31"/>
        <v>13870.658635072119</v>
      </c>
      <c r="Z124" s="2945">
        <f t="shared" si="50"/>
        <v>48162.890302543834</v>
      </c>
      <c r="AA124" s="2373">
        <f t="shared" si="50"/>
        <v>52497.550429772789</v>
      </c>
      <c r="AB124" s="2946">
        <f t="shared" si="32"/>
        <v>50330.220366158312</v>
      </c>
      <c r="AC124" s="3008"/>
      <c r="AD124" s="3008"/>
      <c r="AE124" s="3008"/>
      <c r="AF124" s="2218">
        <f t="shared" si="35"/>
        <v>14467.959724620679</v>
      </c>
      <c r="AG124" s="2593">
        <f t="shared" si="36"/>
        <v>0</v>
      </c>
      <c r="AH124" s="2218">
        <f t="shared" si="37"/>
        <v>52497.550429772789</v>
      </c>
      <c r="AI124" s="2593">
        <f t="shared" si="38"/>
        <v>0</v>
      </c>
    </row>
    <row r="125" spans="1:35" s="2218" customFormat="1" ht="30.75" customHeight="1">
      <c r="A125" s="2235">
        <v>198</v>
      </c>
      <c r="B125" s="2243"/>
      <c r="C125" s="2278" t="s">
        <v>1925</v>
      </c>
      <c r="D125" s="2245" t="s">
        <v>1926</v>
      </c>
      <c r="E125" s="2246">
        <f>E126+E129+E132+E135+E138</f>
        <v>27521.050792673457</v>
      </c>
      <c r="F125" s="2247">
        <f>F126+F129+F132+F135+F138</f>
        <v>29062.229637063174</v>
      </c>
      <c r="G125" s="2248">
        <f t="shared" si="27"/>
        <v>28291.640214868316</v>
      </c>
      <c r="H125" s="2247">
        <f>H126+H129+H132+H135+H138</f>
        <v>27210.087850054704</v>
      </c>
      <c r="I125" s="2247">
        <f>I126+I129+I132+I135+I138</f>
        <v>28401.541501217751</v>
      </c>
      <c r="J125" s="2248">
        <f t="shared" si="28"/>
        <v>27805.814675636226</v>
      </c>
      <c r="K125" s="2247">
        <f>K126+K129+K132+K135+K138</f>
        <v>25171.650538604492</v>
      </c>
      <c r="L125" s="2247">
        <f>L126+L129+L132+L135+L138</f>
        <v>26354.718113918909</v>
      </c>
      <c r="M125" s="2250">
        <f t="shared" si="29"/>
        <v>25763.1843262617</v>
      </c>
      <c r="N125" s="2247">
        <f>N126+N129+N132+N135+N138</f>
        <v>26613.498685435632</v>
      </c>
      <c r="O125" s="2247">
        <f>O126+O129+O132+O135+O138</f>
        <v>29008.713567124843</v>
      </c>
      <c r="P125" s="2250">
        <f t="shared" si="52"/>
        <v>27811.10612628024</v>
      </c>
      <c r="Q125" s="2247">
        <f>Q126+Q129+Q132+Q135+Q138</f>
        <v>26007.562274267329</v>
      </c>
      <c r="R125" s="2247">
        <f>R126+R129+R132+R135+R138</f>
        <v>28348.242878951391</v>
      </c>
      <c r="S125" s="2250">
        <f t="shared" si="53"/>
        <v>27177.902576609362</v>
      </c>
      <c r="T125" s="2465">
        <f t="shared" si="49"/>
        <v>52621.060959702962</v>
      </c>
      <c r="U125" s="2466">
        <f t="shared" si="49"/>
        <v>57356.956446076234</v>
      </c>
      <c r="V125" s="2268">
        <f t="shared" si="30"/>
        <v>54989.008702889594</v>
      </c>
      <c r="W125" s="2377">
        <f t="shared" si="51"/>
        <v>11368.828354723488</v>
      </c>
      <c r="X125" s="2256">
        <f t="shared" si="51"/>
        <v>12392.022906648601</v>
      </c>
      <c r="Y125" s="2268">
        <f t="shared" si="31"/>
        <v>11880.425630686044</v>
      </c>
      <c r="Z125" s="2886">
        <f t="shared" si="50"/>
        <v>41252.232604979472</v>
      </c>
      <c r="AA125" s="2887">
        <f t="shared" si="50"/>
        <v>44964.933539427628</v>
      </c>
      <c r="AB125" s="2268">
        <f t="shared" si="32"/>
        <v>43108.583072203546</v>
      </c>
      <c r="AC125" s="3009"/>
      <c r="AD125" s="2593"/>
      <c r="AE125" s="2593"/>
      <c r="AF125" s="2218">
        <f t="shared" si="35"/>
        <v>12392.022906648601</v>
      </c>
      <c r="AG125" s="2593">
        <f t="shared" si="36"/>
        <v>0</v>
      </c>
      <c r="AH125" s="2218">
        <f t="shared" si="37"/>
        <v>44964.933539427628</v>
      </c>
      <c r="AI125" s="2593">
        <f t="shared" si="38"/>
        <v>0</v>
      </c>
    </row>
    <row r="126" spans="1:35" s="2218" customFormat="1" ht="18.75" customHeight="1">
      <c r="A126" s="2235">
        <v>201</v>
      </c>
      <c r="B126" s="2279"/>
      <c r="C126" s="2280" t="s">
        <v>1927</v>
      </c>
      <c r="D126" s="2254" t="s">
        <v>1317</v>
      </c>
      <c r="E126" s="2255">
        <f>E127*E128</f>
        <v>22137.471026136493</v>
      </c>
      <c r="F126" s="2256">
        <f>F127*F128</f>
        <v>23377.169403600139</v>
      </c>
      <c r="G126" s="2257">
        <f t="shared" si="27"/>
        <v>22757.320214868316</v>
      </c>
      <c r="H126" s="2256">
        <f>H127*H128</f>
        <v>15673.279539948122</v>
      </c>
      <c r="I126" s="2256">
        <f>I127*I128</f>
        <v>16550.983194185217</v>
      </c>
      <c r="J126" s="2257">
        <f t="shared" si="28"/>
        <v>16112.13136706667</v>
      </c>
      <c r="K126" s="2256">
        <f>K127*K128</f>
        <v>21343.967322302204</v>
      </c>
      <c r="L126" s="2256">
        <f>L127*L128</f>
        <v>22347.133786450406</v>
      </c>
      <c r="M126" s="2259">
        <f t="shared" si="29"/>
        <v>21845.550554376307</v>
      </c>
      <c r="N126" s="2256">
        <f>N127*N128</f>
        <v>20870.918459722998</v>
      </c>
      <c r="O126" s="2256">
        <f>O127*O128</f>
        <v>22749.301121098069</v>
      </c>
      <c r="P126" s="2259">
        <f t="shared" si="52"/>
        <v>21810.109790410534</v>
      </c>
      <c r="Q126" s="2256">
        <f>Q127*Q128</f>
        <v>0</v>
      </c>
      <c r="R126" s="2256">
        <f>R127*R128</f>
        <v>0</v>
      </c>
      <c r="S126" s="2259">
        <f t="shared" si="53"/>
        <v>0</v>
      </c>
      <c r="T126" s="2465">
        <f t="shared" si="49"/>
        <v>20870.918459722998</v>
      </c>
      <c r="U126" s="2247">
        <f t="shared" si="49"/>
        <v>22749.301121098069</v>
      </c>
      <c r="V126" s="2268">
        <f t="shared" si="30"/>
        <v>21810.109790410534</v>
      </c>
      <c r="W126" s="2377">
        <f t="shared" si="51"/>
        <v>4509.1810246039558</v>
      </c>
      <c r="X126" s="2256">
        <f t="shared" si="51"/>
        <v>4915.0073168183126</v>
      </c>
      <c r="Y126" s="2268">
        <f t="shared" si="31"/>
        <v>4712.0941707111342</v>
      </c>
      <c r="Z126" s="2886">
        <f t="shared" si="50"/>
        <v>16361.737435119039</v>
      </c>
      <c r="AA126" s="2887">
        <f t="shared" si="50"/>
        <v>17834.293804279754</v>
      </c>
      <c r="AB126" s="2268">
        <f t="shared" si="32"/>
        <v>17098.015619699396</v>
      </c>
      <c r="AD126" s="2593"/>
      <c r="AE126" s="2593"/>
      <c r="AF126" s="2218">
        <f t="shared" si="35"/>
        <v>4915.0073168183126</v>
      </c>
      <c r="AG126" s="2593">
        <f t="shared" si="36"/>
        <v>0</v>
      </c>
      <c r="AH126" s="2218">
        <f t="shared" si="37"/>
        <v>17834.293804279754</v>
      </c>
      <c r="AI126" s="2593">
        <f t="shared" si="38"/>
        <v>0</v>
      </c>
    </row>
    <row r="127" spans="1:35" s="2218" customFormat="1" ht="21" customHeight="1">
      <c r="A127" s="2235">
        <v>206</v>
      </c>
      <c r="B127" s="2281" t="s">
        <v>1928</v>
      </c>
      <c r="C127" s="2282" t="s">
        <v>1929</v>
      </c>
      <c r="D127" s="2283" t="s">
        <v>1930</v>
      </c>
      <c r="E127" s="2284">
        <f>'[3]НВВ перекачка'!K428</f>
        <v>3375.41</v>
      </c>
      <c r="F127" s="2285">
        <f>'[3]НВВ перекачка'!L428</f>
        <v>3375.41</v>
      </c>
      <c r="G127" s="2257">
        <f t="shared" si="27"/>
        <v>3375.41</v>
      </c>
      <c r="H127" s="2285">
        <f>'[3]НВВ перекачка'!T428</f>
        <v>3355.9</v>
      </c>
      <c r="I127" s="2285">
        <f>'[3]НВВ перекачка'!U428</f>
        <v>3355.9</v>
      </c>
      <c r="J127" s="2257">
        <f t="shared" si="28"/>
        <v>3355.9</v>
      </c>
      <c r="K127" s="2285">
        <f>'[3]НВВ перекачка'!AC428</f>
        <v>2908.9</v>
      </c>
      <c r="L127" s="2285">
        <f>'[3]НВВ перекачка'!AD428</f>
        <v>2908.9</v>
      </c>
      <c r="M127" s="2259">
        <f t="shared" si="29"/>
        <v>2908.9</v>
      </c>
      <c r="N127" s="2284">
        <v>2908.9</v>
      </c>
      <c r="O127" s="2285">
        <v>2908.9</v>
      </c>
      <c r="P127" s="2259">
        <f t="shared" si="52"/>
        <v>2908.9</v>
      </c>
      <c r="Q127" s="2284">
        <v>0</v>
      </c>
      <c r="R127" s="2285">
        <v>0</v>
      </c>
      <c r="S127" s="2259">
        <f t="shared" si="53"/>
        <v>0</v>
      </c>
      <c r="T127" s="2284">
        <f t="shared" si="49"/>
        <v>2908.9</v>
      </c>
      <c r="U127" s="2285">
        <f t="shared" si="49"/>
        <v>2908.9</v>
      </c>
      <c r="V127" s="2268">
        <f t="shared" si="30"/>
        <v>2908.9</v>
      </c>
      <c r="W127" s="2888">
        <f>T127/$T$272*$W$272</f>
        <v>628.47050587559704</v>
      </c>
      <c r="X127" s="2889">
        <f>U127/$T$272*$W$272</f>
        <v>628.47050587559704</v>
      </c>
      <c r="Y127" s="2268">
        <f t="shared" si="31"/>
        <v>628.47050587559704</v>
      </c>
      <c r="Z127" s="2888">
        <f t="shared" si="50"/>
        <v>2280.4294941244025</v>
      </c>
      <c r="AA127" s="2889">
        <f t="shared" si="50"/>
        <v>2280.4294941244025</v>
      </c>
      <c r="AB127" s="2268">
        <f t="shared" si="32"/>
        <v>2280.4294941244025</v>
      </c>
      <c r="AD127" s="2593"/>
      <c r="AE127" s="2593"/>
      <c r="AF127" s="2218">
        <f t="shared" si="35"/>
        <v>628.47050587559704</v>
      </c>
      <c r="AG127" s="2593">
        <f t="shared" si="36"/>
        <v>0</v>
      </c>
      <c r="AH127" s="2218">
        <f t="shared" si="37"/>
        <v>2280.4294941244025</v>
      </c>
      <c r="AI127" s="2593">
        <f t="shared" si="38"/>
        <v>0</v>
      </c>
    </row>
    <row r="128" spans="1:35" s="2218" customFormat="1" ht="18.75" customHeight="1">
      <c r="A128" s="2235">
        <v>207</v>
      </c>
      <c r="B128" s="2281" t="s">
        <v>1932</v>
      </c>
      <c r="C128" s="2282" t="s">
        <v>1933</v>
      </c>
      <c r="D128" s="2283" t="s">
        <v>1934</v>
      </c>
      <c r="E128" s="2284">
        <f>'[3]НВВ перекачка'!K429</f>
        <v>6.5584539437095026</v>
      </c>
      <c r="F128" s="2285">
        <f>'[3]НВВ перекачка'!L429</f>
        <v>6.9257273645572361</v>
      </c>
      <c r="G128" s="2257">
        <f t="shared" si="27"/>
        <v>6.7420906541333689</v>
      </c>
      <c r="H128" s="2285">
        <f>'[3]НВВ перекачка'!T429</f>
        <v>4.67036548763316</v>
      </c>
      <c r="I128" s="2285">
        <f>'[3]НВВ перекачка'!U429</f>
        <v>4.9319059549406168</v>
      </c>
      <c r="J128" s="2257">
        <f t="shared" si="28"/>
        <v>4.8011357212868884</v>
      </c>
      <c r="K128" s="2285">
        <f>'[3]НВВ перекачка'!AC429</f>
        <v>7.337470288529067</v>
      </c>
      <c r="L128" s="2285">
        <f>'[3]НВВ перекачка'!AD429</f>
        <v>7.6823313920899325</v>
      </c>
      <c r="M128" s="2259">
        <f t="shared" si="29"/>
        <v>7.5099008403095002</v>
      </c>
      <c r="N128" s="2284">
        <v>7.1748490699999996</v>
      </c>
      <c r="O128" s="2285">
        <f>N128*1.09</f>
        <v>7.8205854862999997</v>
      </c>
      <c r="P128" s="2259">
        <f t="shared" si="52"/>
        <v>7.4977172781499997</v>
      </c>
      <c r="Q128" s="2284">
        <v>0</v>
      </c>
      <c r="R128" s="2285">
        <v>0</v>
      </c>
      <c r="S128" s="2259">
        <f t="shared" si="53"/>
        <v>0</v>
      </c>
      <c r="T128" s="2385">
        <f>T126/T127</f>
        <v>7.1748490699999987</v>
      </c>
      <c r="U128" s="2285">
        <f>U126/U127</f>
        <v>7.8205854862999997</v>
      </c>
      <c r="V128" s="2268">
        <f t="shared" si="30"/>
        <v>7.4977172781499988</v>
      </c>
      <c r="W128" s="2385">
        <f>W126/W127</f>
        <v>7.1748490699999978</v>
      </c>
      <c r="X128" s="2285">
        <f>X126/X127</f>
        <v>7.8205854862999988</v>
      </c>
      <c r="Y128" s="2268">
        <f t="shared" si="31"/>
        <v>7.4977172781499988</v>
      </c>
      <c r="Z128" s="2385">
        <f>Z126/Z127</f>
        <v>7.1748490699999996</v>
      </c>
      <c r="AA128" s="2285">
        <f>AA126/AA127</f>
        <v>7.8205854863000006</v>
      </c>
      <c r="AB128" s="2268">
        <f t="shared" si="32"/>
        <v>7.4977172781500006</v>
      </c>
      <c r="AD128" s="2593"/>
      <c r="AE128" s="2593"/>
      <c r="AF128" s="2218">
        <f t="shared" si="35"/>
        <v>1.6896446480863259</v>
      </c>
      <c r="AG128" s="2593">
        <f t="shared" si="36"/>
        <v>-6.1309408382136734</v>
      </c>
      <c r="AH128" s="2218">
        <f t="shared" si="37"/>
        <v>6.1309408382136734</v>
      </c>
      <c r="AI128" s="2593">
        <f t="shared" si="38"/>
        <v>-1.6896446480863272</v>
      </c>
    </row>
    <row r="129" spans="1:35" s="2218" customFormat="1" ht="19.5" customHeight="1">
      <c r="A129" s="2235">
        <v>202</v>
      </c>
      <c r="B129" s="2279"/>
      <c r="C129" s="2280" t="s">
        <v>1936</v>
      </c>
      <c r="D129" s="2254" t="s">
        <v>1317</v>
      </c>
      <c r="E129" s="2255">
        <f>E130*E131</f>
        <v>0</v>
      </c>
      <c r="F129" s="2256">
        <f>F130*F131</f>
        <v>0</v>
      </c>
      <c r="G129" s="2257">
        <f t="shared" si="27"/>
        <v>0</v>
      </c>
      <c r="H129" s="2256">
        <f>H130*H131</f>
        <v>0</v>
      </c>
      <c r="I129" s="2256">
        <f>I130*I131</f>
        <v>0</v>
      </c>
      <c r="J129" s="2257">
        <f t="shared" si="28"/>
        <v>0</v>
      </c>
      <c r="K129" s="2256">
        <f>K130*K131</f>
        <v>0</v>
      </c>
      <c r="L129" s="2256">
        <f>L130*L131</f>
        <v>0</v>
      </c>
      <c r="M129" s="2259">
        <f t="shared" si="29"/>
        <v>0</v>
      </c>
      <c r="N129" s="2255">
        <v>0</v>
      </c>
      <c r="O129" s="2256">
        <v>0</v>
      </c>
      <c r="P129" s="2259">
        <f t="shared" si="52"/>
        <v>0</v>
      </c>
      <c r="Q129" s="2255">
        <v>0</v>
      </c>
      <c r="R129" s="2256">
        <v>0</v>
      </c>
      <c r="S129" s="2259">
        <f t="shared" si="53"/>
        <v>0</v>
      </c>
      <c r="T129" s="2465">
        <f>N129+Q129</f>
        <v>0</v>
      </c>
      <c r="U129" s="2247">
        <f>O129+R129</f>
        <v>0</v>
      </c>
      <c r="V129" s="2268">
        <f t="shared" si="30"/>
        <v>0</v>
      </c>
      <c r="W129" s="2465">
        <f>Q129+T129</f>
        <v>0</v>
      </c>
      <c r="X129" s="2247">
        <f>R129+U129</f>
        <v>0</v>
      </c>
      <c r="Y129" s="2268">
        <f t="shared" si="31"/>
        <v>0</v>
      </c>
      <c r="Z129" s="2465">
        <f>T129+W129</f>
        <v>0</v>
      </c>
      <c r="AA129" s="2247">
        <f>U129+X129</f>
        <v>0</v>
      </c>
      <c r="AB129" s="2268">
        <f t="shared" si="32"/>
        <v>0</v>
      </c>
      <c r="AD129" s="2593"/>
      <c r="AE129" s="2593"/>
      <c r="AF129" s="2218">
        <f t="shared" si="35"/>
        <v>0</v>
      </c>
      <c r="AG129" s="2593">
        <f t="shared" si="36"/>
        <v>0</v>
      </c>
      <c r="AH129" s="2218">
        <f t="shared" si="37"/>
        <v>0</v>
      </c>
      <c r="AI129" s="2593">
        <f t="shared" si="38"/>
        <v>0</v>
      </c>
    </row>
    <row r="130" spans="1:35" s="2218" customFormat="1" ht="21" customHeight="1">
      <c r="A130" s="2235">
        <v>208</v>
      </c>
      <c r="B130" s="2281" t="s">
        <v>1937</v>
      </c>
      <c r="C130" s="2282" t="s">
        <v>1929</v>
      </c>
      <c r="D130" s="2283" t="s">
        <v>1930</v>
      </c>
      <c r="E130" s="2284"/>
      <c r="F130" s="2285"/>
      <c r="G130" s="2257">
        <f t="shared" si="27"/>
        <v>0</v>
      </c>
      <c r="H130" s="2285"/>
      <c r="I130" s="2285"/>
      <c r="J130" s="2257">
        <f t="shared" si="28"/>
        <v>0</v>
      </c>
      <c r="K130" s="2285"/>
      <c r="L130" s="2285"/>
      <c r="M130" s="2259">
        <f t="shared" si="29"/>
        <v>0</v>
      </c>
      <c r="N130" s="2284"/>
      <c r="O130" s="2285"/>
      <c r="P130" s="2259">
        <f t="shared" si="52"/>
        <v>0</v>
      </c>
      <c r="Q130" s="2284">
        <v>0</v>
      </c>
      <c r="R130" s="2285">
        <v>0</v>
      </c>
      <c r="S130" s="2259">
        <f t="shared" si="53"/>
        <v>0</v>
      </c>
      <c r="T130" s="2284">
        <f>N130+Q130</f>
        <v>0</v>
      </c>
      <c r="U130" s="2285">
        <f>O130+R130</f>
        <v>0</v>
      </c>
      <c r="V130" s="2268">
        <f t="shared" si="30"/>
        <v>0</v>
      </c>
      <c r="W130" s="2284">
        <f>Q130+T130</f>
        <v>0</v>
      </c>
      <c r="X130" s="2285">
        <f>R130+U130</f>
        <v>0</v>
      </c>
      <c r="Y130" s="2268">
        <f t="shared" si="31"/>
        <v>0</v>
      </c>
      <c r="Z130" s="2284">
        <f>T130+W130</f>
        <v>0</v>
      </c>
      <c r="AA130" s="2285">
        <f>U130+X130</f>
        <v>0</v>
      </c>
      <c r="AB130" s="2268">
        <f t="shared" si="32"/>
        <v>0</v>
      </c>
      <c r="AD130" s="2593"/>
      <c r="AE130" s="2593"/>
      <c r="AF130" s="2218">
        <f t="shared" si="35"/>
        <v>0</v>
      </c>
      <c r="AG130" s="2593">
        <f t="shared" si="36"/>
        <v>0</v>
      </c>
      <c r="AH130" s="2218">
        <f t="shared" si="37"/>
        <v>0</v>
      </c>
      <c r="AI130" s="2593">
        <f t="shared" si="38"/>
        <v>0</v>
      </c>
    </row>
    <row r="131" spans="1:35" s="2218" customFormat="1" ht="18" customHeight="1">
      <c r="A131" s="2235">
        <v>209</v>
      </c>
      <c r="B131" s="2281" t="s">
        <v>1938</v>
      </c>
      <c r="C131" s="2282" t="s">
        <v>1933</v>
      </c>
      <c r="D131" s="2283" t="s">
        <v>1934</v>
      </c>
      <c r="E131" s="2284"/>
      <c r="F131" s="2285"/>
      <c r="G131" s="2257">
        <f t="shared" si="27"/>
        <v>0</v>
      </c>
      <c r="H131" s="2285"/>
      <c r="I131" s="2285"/>
      <c r="J131" s="2257">
        <f t="shared" si="28"/>
        <v>0</v>
      </c>
      <c r="K131" s="2285"/>
      <c r="L131" s="2285"/>
      <c r="M131" s="2259">
        <f t="shared" si="29"/>
        <v>0</v>
      </c>
      <c r="N131" s="2284"/>
      <c r="O131" s="2285"/>
      <c r="P131" s="2259">
        <f t="shared" si="52"/>
        <v>0</v>
      </c>
      <c r="Q131" s="2284">
        <v>0</v>
      </c>
      <c r="R131" s="2285">
        <v>0</v>
      </c>
      <c r="S131" s="2259">
        <f t="shared" si="53"/>
        <v>0</v>
      </c>
      <c r="T131" s="2284">
        <v>0</v>
      </c>
      <c r="U131" s="2285">
        <v>0</v>
      </c>
      <c r="V131" s="2268">
        <f t="shared" si="30"/>
        <v>0</v>
      </c>
      <c r="W131" s="2284">
        <v>0</v>
      </c>
      <c r="X131" s="2285">
        <v>0</v>
      </c>
      <c r="Y131" s="2268">
        <f t="shared" si="31"/>
        <v>0</v>
      </c>
      <c r="Z131" s="2284">
        <v>0</v>
      </c>
      <c r="AA131" s="2285">
        <v>0</v>
      </c>
      <c r="AB131" s="2268">
        <f t="shared" si="32"/>
        <v>0</v>
      </c>
      <c r="AD131" s="2593"/>
      <c r="AE131" s="2593"/>
      <c r="AF131" s="2218">
        <f t="shared" si="35"/>
        <v>0</v>
      </c>
      <c r="AG131" s="2593">
        <f t="shared" si="36"/>
        <v>0</v>
      </c>
      <c r="AH131" s="2218">
        <f t="shared" si="37"/>
        <v>0</v>
      </c>
      <c r="AI131" s="2593">
        <f t="shared" si="38"/>
        <v>0</v>
      </c>
    </row>
    <row r="132" spans="1:35" s="2218" customFormat="1" ht="17.25" customHeight="1">
      <c r="A132" s="2235">
        <v>203</v>
      </c>
      <c r="B132" s="2279"/>
      <c r="C132" s="2280" t="s">
        <v>1939</v>
      </c>
      <c r="D132" s="2254" t="s">
        <v>1317</v>
      </c>
      <c r="E132" s="2255">
        <f>E133*E134</f>
        <v>0</v>
      </c>
      <c r="F132" s="2256">
        <f>F133*F134</f>
        <v>0</v>
      </c>
      <c r="G132" s="2257">
        <f t="shared" si="27"/>
        <v>0</v>
      </c>
      <c r="H132" s="2256">
        <f>H133*H134</f>
        <v>11536.808310106582</v>
      </c>
      <c r="I132" s="2256">
        <f>I133*I134</f>
        <v>11850.558307032534</v>
      </c>
      <c r="J132" s="2257">
        <f t="shared" si="28"/>
        <v>11693.683308569558</v>
      </c>
      <c r="K132" s="2256">
        <f>K133*K134</f>
        <v>3827.6832163022877</v>
      </c>
      <c r="L132" s="2256">
        <f>L133*L134</f>
        <v>4007.584327468503</v>
      </c>
      <c r="M132" s="2259">
        <f t="shared" si="29"/>
        <v>3917.6337718853956</v>
      </c>
      <c r="N132" s="2256">
        <f>N133*N134</f>
        <v>5742.5802257126352</v>
      </c>
      <c r="O132" s="2256">
        <f>O133*O134</f>
        <v>6259.4124460267731</v>
      </c>
      <c r="P132" s="2259">
        <f t="shared" si="52"/>
        <v>6000.9963358697041</v>
      </c>
      <c r="Q132" s="2256">
        <f>Q133*Q134</f>
        <v>26007.562274267329</v>
      </c>
      <c r="R132" s="2256">
        <f>R133*R134</f>
        <v>28348.242878951391</v>
      </c>
      <c r="S132" s="2259">
        <f t="shared" si="53"/>
        <v>27177.902576609362</v>
      </c>
      <c r="T132" s="2465">
        <f>N132+Q132</f>
        <v>31750.142499979964</v>
      </c>
      <c r="U132" s="2247">
        <f>O132+R132</f>
        <v>34607.655324978165</v>
      </c>
      <c r="V132" s="2268">
        <f t="shared" si="30"/>
        <v>33178.898912479068</v>
      </c>
      <c r="W132" s="2377">
        <f>T132/$T$272*$N$272</f>
        <v>6859.6473301195301</v>
      </c>
      <c r="X132" s="2256">
        <f>U132/$T$272*$N$272</f>
        <v>7477.0155898302892</v>
      </c>
      <c r="Y132" s="2268">
        <f t="shared" si="31"/>
        <v>7168.3314599749101</v>
      </c>
      <c r="Z132" s="2886">
        <f>T132/$T$272*$Z$272</f>
        <v>24890.495169860431</v>
      </c>
      <c r="AA132" s="2887">
        <f>U132/$T$272*$Z$272</f>
        <v>27130.639735147874</v>
      </c>
      <c r="AB132" s="2268">
        <f t="shared" si="32"/>
        <v>26010.567452504154</v>
      </c>
      <c r="AD132" s="2593"/>
      <c r="AE132" s="2593"/>
      <c r="AF132" s="2218">
        <f t="shared" si="35"/>
        <v>7477.0155898302892</v>
      </c>
      <c r="AG132" s="2593">
        <f t="shared" si="36"/>
        <v>0</v>
      </c>
      <c r="AH132" s="2218">
        <f t="shared" si="37"/>
        <v>27130.639735147874</v>
      </c>
      <c r="AI132" s="2593">
        <f t="shared" si="38"/>
        <v>0</v>
      </c>
    </row>
    <row r="133" spans="1:35" s="2218" customFormat="1" ht="21" customHeight="1">
      <c r="A133" s="2235">
        <v>210</v>
      </c>
      <c r="B133" s="2281" t="s">
        <v>1940</v>
      </c>
      <c r="C133" s="2282" t="s">
        <v>1929</v>
      </c>
      <c r="D133" s="2283" t="s">
        <v>1930</v>
      </c>
      <c r="E133" s="2284"/>
      <c r="F133" s="2285"/>
      <c r="G133" s="2257">
        <f t="shared" ref="G133:G223" si="54">E133/2+F133/2</f>
        <v>0</v>
      </c>
      <c r="H133" s="2285">
        <f>'[3]НВВ перекачка'!T434</f>
        <v>828.67408767344841</v>
      </c>
      <c r="I133" s="2285">
        <f>'[3]НВВ перекачка'!U434</f>
        <v>828.67408767344841</v>
      </c>
      <c r="J133" s="2257">
        <f t="shared" ref="J133:J223" si="55">H133/2+I133/2</f>
        <v>828.67408767344841</v>
      </c>
      <c r="K133" s="2285">
        <f>'[3]НВВ перекачка'!AC434</f>
        <v>555.29652595684274</v>
      </c>
      <c r="L133" s="2285">
        <f>'[3]НВВ перекачка'!AD434</f>
        <v>555.29652595684274</v>
      </c>
      <c r="M133" s="2259">
        <f t="shared" ref="M133:M223" si="56">K133/2+L133/2</f>
        <v>555.29652595684274</v>
      </c>
      <c r="N133" s="2284">
        <v>730</v>
      </c>
      <c r="O133" s="2285">
        <v>730</v>
      </c>
      <c r="P133" s="2259">
        <f t="shared" si="52"/>
        <v>730</v>
      </c>
      <c r="Q133" s="2284">
        <v>4221</v>
      </c>
      <c r="R133" s="2285">
        <v>4221</v>
      </c>
      <c r="S133" s="2259">
        <f t="shared" si="53"/>
        <v>4221</v>
      </c>
      <c r="T133" s="2284">
        <f>N133+Q133</f>
        <v>4951</v>
      </c>
      <c r="U133" s="2285">
        <f>O133+R133</f>
        <v>4951</v>
      </c>
      <c r="V133" s="2268">
        <f t="shared" ref="V133:V196" si="57">T133/2+U133/2</f>
        <v>4951</v>
      </c>
      <c r="W133" s="2888">
        <f>T133/$T$272*$W$272</f>
        <v>1069.6680788580154</v>
      </c>
      <c r="X133" s="2889">
        <f>U133/$T$272*$W$272</f>
        <v>1069.6680788580154</v>
      </c>
      <c r="Y133" s="2268">
        <f t="shared" ref="Y133:Y196" si="58">W133/2+X133/2</f>
        <v>1069.6680788580154</v>
      </c>
      <c r="Z133" s="2888">
        <f>T133/$T$272*$Z$272</f>
        <v>3881.3319211419844</v>
      </c>
      <c r="AA133" s="2889">
        <f>U133/$T$272*$Z$272</f>
        <v>3881.3319211419844</v>
      </c>
      <c r="AB133" s="2268">
        <f t="shared" ref="AB133:AB196" si="59">Z133/2+AA133/2</f>
        <v>3881.3319211419844</v>
      </c>
      <c r="AC133" s="3009"/>
      <c r="AD133" s="2593"/>
      <c r="AE133" s="2593"/>
      <c r="AF133" s="2218">
        <f t="shared" si="35"/>
        <v>1069.6680788580154</v>
      </c>
      <c r="AG133" s="2593">
        <f t="shared" si="36"/>
        <v>0</v>
      </c>
      <c r="AH133" s="2218">
        <f t="shared" si="37"/>
        <v>3881.3319211419844</v>
      </c>
      <c r="AI133" s="2593">
        <f t="shared" si="38"/>
        <v>0</v>
      </c>
    </row>
    <row r="134" spans="1:35" s="2218" customFormat="1" ht="18" customHeight="1">
      <c r="A134" s="2235">
        <v>211</v>
      </c>
      <c r="B134" s="2281" t="s">
        <v>1941</v>
      </c>
      <c r="C134" s="2282" t="s">
        <v>1933</v>
      </c>
      <c r="D134" s="2283" t="s">
        <v>1934</v>
      </c>
      <c r="E134" s="2284"/>
      <c r="F134" s="2285"/>
      <c r="G134" s="2257">
        <f t="shared" si="54"/>
        <v>0</v>
      </c>
      <c r="H134" s="2285">
        <f>'[3]НВВ перекачка'!T435</f>
        <v>13.922009245512738</v>
      </c>
      <c r="I134" s="2285">
        <f>'[3]НВВ перекачка'!U435</f>
        <v>14.300626124685133</v>
      </c>
      <c r="J134" s="2257">
        <f t="shared" si="55"/>
        <v>14.111317685098935</v>
      </c>
      <c r="K134" s="2285">
        <f>'[3]НВВ перекачка'!AC435</f>
        <v>6.893043693559453</v>
      </c>
      <c r="L134" s="2285">
        <f>'[3]НВВ перекачка'!AD435</f>
        <v>7.2170167471567606</v>
      </c>
      <c r="M134" s="2259">
        <f t="shared" si="56"/>
        <v>7.0550302203581072</v>
      </c>
      <c r="N134" s="2284">
        <v>7.86654825440087</v>
      </c>
      <c r="O134" s="2285">
        <f>N134*1.09</f>
        <v>8.5745375972969491</v>
      </c>
      <c r="P134" s="2259">
        <f>N134/2+O134/2</f>
        <v>8.2205429258489104</v>
      </c>
      <c r="Q134" s="2284">
        <v>6.1614693850431959</v>
      </c>
      <c r="R134" s="2285">
        <f>Q134*1.09</f>
        <v>6.7160016296970841</v>
      </c>
      <c r="S134" s="2259">
        <f>Q134/2+R134/2</f>
        <v>6.43873550737014</v>
      </c>
      <c r="T134" s="2385">
        <f>T132/T133</f>
        <v>6.4128746717794316</v>
      </c>
      <c r="U134" s="2285">
        <f>U132/U133</f>
        <v>6.9900333922395808</v>
      </c>
      <c r="V134" s="2268">
        <f t="shared" si="57"/>
        <v>6.7014540320095062</v>
      </c>
      <c r="W134" s="2385">
        <f>W132/W133</f>
        <v>6.4128746717794307</v>
      </c>
      <c r="X134" s="2285">
        <f>X132/X133</f>
        <v>6.9900333922395808</v>
      </c>
      <c r="Y134" s="2268">
        <f t="shared" si="58"/>
        <v>6.7014540320095062</v>
      </c>
      <c r="Z134" s="2385">
        <f>Z132/Z133</f>
        <v>6.4128746717794307</v>
      </c>
      <c r="AA134" s="2285">
        <f>AA132/AA133</f>
        <v>6.9900333922395808</v>
      </c>
      <c r="AB134" s="2268">
        <f t="shared" si="59"/>
        <v>6.7014540320095062</v>
      </c>
      <c r="AD134" s="2593"/>
      <c r="AE134" s="2593"/>
      <c r="AF134" s="2218">
        <f t="shared" ref="AF134:AF197" si="60">U134/$U$272*$X$272</f>
        <v>1.5102031084286587</v>
      </c>
      <c r="AG134" s="2593">
        <f t="shared" ref="AG134:AG197" si="61">AF134-X134</f>
        <v>-5.4798302838109221</v>
      </c>
      <c r="AH134" s="2218">
        <f t="shared" ref="AH134:AH197" si="62">U134/$U$272*$AA$272</f>
        <v>5.4798302838109221</v>
      </c>
      <c r="AI134" s="2593">
        <f t="shared" ref="AI134:AI197" si="63">AH134-AA134</f>
        <v>-1.5102031084286587</v>
      </c>
    </row>
    <row r="135" spans="1:35" s="2218" customFormat="1" ht="18" customHeight="1">
      <c r="A135" s="2235">
        <v>204</v>
      </c>
      <c r="B135" s="2279"/>
      <c r="C135" s="2280" t="s">
        <v>1942</v>
      </c>
      <c r="D135" s="2254" t="s">
        <v>1317</v>
      </c>
      <c r="E135" s="2255">
        <f>E136*E137</f>
        <v>5383.5797665369655</v>
      </c>
      <c r="F135" s="2256">
        <f>F136*F137</f>
        <v>5685.0602334630357</v>
      </c>
      <c r="G135" s="2257">
        <f t="shared" si="54"/>
        <v>5534.3200000000006</v>
      </c>
      <c r="H135" s="2256">
        <f>H136*H137</f>
        <v>0</v>
      </c>
      <c r="I135" s="2256">
        <f>I136*I137</f>
        <v>0</v>
      </c>
      <c r="J135" s="2257">
        <f t="shared" si="55"/>
        <v>0</v>
      </c>
      <c r="K135" s="2256">
        <f>K136*K137</f>
        <v>0</v>
      </c>
      <c r="L135" s="2256">
        <f>L136*L137</f>
        <v>0</v>
      </c>
      <c r="M135" s="2259">
        <f t="shared" si="56"/>
        <v>0</v>
      </c>
      <c r="N135" s="2255">
        <v>0</v>
      </c>
      <c r="O135" s="2256">
        <v>0</v>
      </c>
      <c r="P135" s="2259">
        <f t="shared" ref="P135:P213" si="64">N135/2+O135/2</f>
        <v>0</v>
      </c>
      <c r="Q135" s="2255">
        <v>0</v>
      </c>
      <c r="R135" s="2256">
        <v>0</v>
      </c>
      <c r="S135" s="2259">
        <f t="shared" ref="S135:S213" si="65">Q135/2+R135/2</f>
        <v>0</v>
      </c>
      <c r="T135" s="2465">
        <f>N135+Q135</f>
        <v>0</v>
      </c>
      <c r="U135" s="2247">
        <f>O135+R135</f>
        <v>0</v>
      </c>
      <c r="V135" s="2268">
        <f t="shared" si="57"/>
        <v>0</v>
      </c>
      <c r="W135" s="2377">
        <f>T135/$T$272*$N$272</f>
        <v>0</v>
      </c>
      <c r="X135" s="2256">
        <f>U135/$T$272*$N$272</f>
        <v>0</v>
      </c>
      <c r="Y135" s="2268">
        <f t="shared" si="58"/>
        <v>0</v>
      </c>
      <c r="Z135" s="2886">
        <f>T135/$T$272*$Z$272</f>
        <v>0</v>
      </c>
      <c r="AA135" s="2887">
        <f>U135/$T$272*$Z$272</f>
        <v>0</v>
      </c>
      <c r="AB135" s="2268">
        <f t="shared" si="59"/>
        <v>0</v>
      </c>
      <c r="AD135" s="2593"/>
      <c r="AE135" s="2593"/>
      <c r="AF135" s="2218">
        <f t="shared" si="60"/>
        <v>0</v>
      </c>
      <c r="AG135" s="2593">
        <f t="shared" si="61"/>
        <v>0</v>
      </c>
      <c r="AH135" s="2218">
        <f t="shared" si="62"/>
        <v>0</v>
      </c>
      <c r="AI135" s="2593">
        <f t="shared" si="63"/>
        <v>0</v>
      </c>
    </row>
    <row r="136" spans="1:35" s="2218" customFormat="1" ht="21" customHeight="1">
      <c r="A136" s="2235">
        <v>212</v>
      </c>
      <c r="B136" s="2281" t="s">
        <v>1943</v>
      </c>
      <c r="C136" s="2282" t="s">
        <v>1929</v>
      </c>
      <c r="D136" s="2283" t="s">
        <v>1930</v>
      </c>
      <c r="E136" s="2284">
        <f>'[3]НВВ перекачка'!K437</f>
        <v>1100</v>
      </c>
      <c r="F136" s="2285">
        <f>'[3]НВВ перекачка'!L437</f>
        <v>1100</v>
      </c>
      <c r="G136" s="2257">
        <f t="shared" si="54"/>
        <v>1100</v>
      </c>
      <c r="H136" s="2285"/>
      <c r="I136" s="2285"/>
      <c r="J136" s="2257">
        <f t="shared" si="55"/>
        <v>0</v>
      </c>
      <c r="K136" s="2285"/>
      <c r="L136" s="2285"/>
      <c r="M136" s="2259">
        <f t="shared" si="56"/>
        <v>0</v>
      </c>
      <c r="N136" s="2284"/>
      <c r="O136" s="2285"/>
      <c r="P136" s="2259">
        <f t="shared" si="64"/>
        <v>0</v>
      </c>
      <c r="Q136" s="2284">
        <v>0</v>
      </c>
      <c r="R136" s="2285">
        <v>0</v>
      </c>
      <c r="S136" s="2259">
        <f t="shared" si="65"/>
        <v>0</v>
      </c>
      <c r="T136" s="2284">
        <f>N136+Q136</f>
        <v>0</v>
      </c>
      <c r="U136" s="2285">
        <f>O136+R136</f>
        <v>0</v>
      </c>
      <c r="V136" s="2268">
        <f t="shared" si="57"/>
        <v>0</v>
      </c>
      <c r="W136" s="2888">
        <f>T136/$T$272*$W$272</f>
        <v>0</v>
      </c>
      <c r="X136" s="2889">
        <f>U136/$T$272*$W$272</f>
        <v>0</v>
      </c>
      <c r="Y136" s="2268">
        <f t="shared" si="58"/>
        <v>0</v>
      </c>
      <c r="Z136" s="2888">
        <f>T136/$T$272*$Z$272</f>
        <v>0</v>
      </c>
      <c r="AA136" s="2889">
        <f>U136/$T$272*$Z$272</f>
        <v>0</v>
      </c>
      <c r="AB136" s="2268">
        <f t="shared" si="59"/>
        <v>0</v>
      </c>
      <c r="AD136" s="2593"/>
      <c r="AE136" s="2593"/>
      <c r="AF136" s="2218">
        <f t="shared" si="60"/>
        <v>0</v>
      </c>
      <c r="AG136" s="2593">
        <f t="shared" si="61"/>
        <v>0</v>
      </c>
      <c r="AH136" s="2218">
        <f t="shared" si="62"/>
        <v>0</v>
      </c>
      <c r="AI136" s="2593">
        <f t="shared" si="63"/>
        <v>0</v>
      </c>
    </row>
    <row r="137" spans="1:35" s="2218" customFormat="1" ht="21.75" customHeight="1">
      <c r="A137" s="2235">
        <v>213</v>
      </c>
      <c r="B137" s="2281" t="s">
        <v>1944</v>
      </c>
      <c r="C137" s="2282" t="s">
        <v>1933</v>
      </c>
      <c r="D137" s="2283" t="s">
        <v>1934</v>
      </c>
      <c r="E137" s="2284">
        <f>'[3]НВВ перекачка'!K438</f>
        <v>4.894163424124514</v>
      </c>
      <c r="F137" s="2285">
        <f>'[3]НВВ перекачка'!L438</f>
        <v>5.1682365758754871</v>
      </c>
      <c r="G137" s="2257">
        <f t="shared" si="54"/>
        <v>5.0312000000000001</v>
      </c>
      <c r="H137" s="2285"/>
      <c r="I137" s="2285"/>
      <c r="J137" s="2257">
        <f t="shared" si="55"/>
        <v>0</v>
      </c>
      <c r="K137" s="2285"/>
      <c r="L137" s="2285"/>
      <c r="M137" s="2259">
        <f t="shared" si="56"/>
        <v>0</v>
      </c>
      <c r="N137" s="2284"/>
      <c r="O137" s="2285"/>
      <c r="P137" s="2259">
        <f t="shared" si="64"/>
        <v>0</v>
      </c>
      <c r="Q137" s="2284">
        <v>0</v>
      </c>
      <c r="R137" s="2285">
        <v>0</v>
      </c>
      <c r="S137" s="2259">
        <f t="shared" si="65"/>
        <v>0</v>
      </c>
      <c r="T137" s="2284">
        <v>0</v>
      </c>
      <c r="U137" s="2285">
        <v>0</v>
      </c>
      <c r="V137" s="2268">
        <f t="shared" si="57"/>
        <v>0</v>
      </c>
      <c r="W137" s="2284">
        <v>0</v>
      </c>
      <c r="X137" s="2285">
        <v>0</v>
      </c>
      <c r="Y137" s="2268">
        <f t="shared" si="58"/>
        <v>0</v>
      </c>
      <c r="Z137" s="2284">
        <v>0</v>
      </c>
      <c r="AA137" s="2285">
        <v>0</v>
      </c>
      <c r="AB137" s="2268">
        <f t="shared" si="59"/>
        <v>0</v>
      </c>
      <c r="AD137" s="2593"/>
      <c r="AE137" s="2593"/>
      <c r="AF137" s="2218">
        <f t="shared" si="60"/>
        <v>0</v>
      </c>
      <c r="AG137" s="2593">
        <f t="shared" si="61"/>
        <v>0</v>
      </c>
      <c r="AH137" s="2218">
        <f t="shared" si="62"/>
        <v>0</v>
      </c>
      <c r="AI137" s="2593">
        <f t="shared" si="63"/>
        <v>0</v>
      </c>
    </row>
    <row r="138" spans="1:35" s="2218" customFormat="1" ht="14.25" customHeight="1">
      <c r="A138" s="2235">
        <v>205</v>
      </c>
      <c r="B138" s="2279"/>
      <c r="C138" s="2280" t="s">
        <v>1945</v>
      </c>
      <c r="D138" s="2254" t="s">
        <v>1317</v>
      </c>
      <c r="E138" s="2255">
        <f>E139*E140</f>
        <v>0</v>
      </c>
      <c r="F138" s="2256">
        <f>F139*F140</f>
        <v>0</v>
      </c>
      <c r="G138" s="2257">
        <f t="shared" si="54"/>
        <v>0</v>
      </c>
      <c r="H138" s="2256">
        <f>H139*H140</f>
        <v>0</v>
      </c>
      <c r="I138" s="2256">
        <f>I139*I140</f>
        <v>0</v>
      </c>
      <c r="J138" s="2257">
        <f t="shared" si="55"/>
        <v>0</v>
      </c>
      <c r="K138" s="2256">
        <f>K139*K140</f>
        <v>0</v>
      </c>
      <c r="L138" s="2256">
        <f>L139*L140</f>
        <v>0</v>
      </c>
      <c r="M138" s="2259">
        <f t="shared" si="56"/>
        <v>0</v>
      </c>
      <c r="N138" s="2255">
        <v>0</v>
      </c>
      <c r="O138" s="2256">
        <v>0</v>
      </c>
      <c r="P138" s="2259">
        <f t="shared" si="64"/>
        <v>0</v>
      </c>
      <c r="Q138" s="2255">
        <v>0</v>
      </c>
      <c r="R138" s="2256">
        <v>0</v>
      </c>
      <c r="S138" s="2259">
        <f t="shared" si="65"/>
        <v>0</v>
      </c>
      <c r="T138" s="2465">
        <f>N138+Q138</f>
        <v>0</v>
      </c>
      <c r="U138" s="2247">
        <f>O138+R138</f>
        <v>0</v>
      </c>
      <c r="V138" s="2268">
        <f t="shared" si="57"/>
        <v>0</v>
      </c>
      <c r="W138" s="2377">
        <f>T138/$T$272*$N$272</f>
        <v>0</v>
      </c>
      <c r="X138" s="2256">
        <f>U138/$T$272*$N$272</f>
        <v>0</v>
      </c>
      <c r="Y138" s="2268">
        <f t="shared" si="58"/>
        <v>0</v>
      </c>
      <c r="Z138" s="2886">
        <f>T138/$T$272*$Z$272</f>
        <v>0</v>
      </c>
      <c r="AA138" s="2887">
        <f>U138/$T$272*$Z$272</f>
        <v>0</v>
      </c>
      <c r="AB138" s="2268">
        <f t="shared" si="59"/>
        <v>0</v>
      </c>
      <c r="AD138" s="2593"/>
      <c r="AE138" s="2593"/>
      <c r="AF138" s="2218">
        <f t="shared" si="60"/>
        <v>0</v>
      </c>
      <c r="AG138" s="2593">
        <f t="shared" si="61"/>
        <v>0</v>
      </c>
      <c r="AH138" s="2218">
        <f t="shared" si="62"/>
        <v>0</v>
      </c>
      <c r="AI138" s="2593">
        <f t="shared" si="63"/>
        <v>0</v>
      </c>
    </row>
    <row r="139" spans="1:35" s="2218" customFormat="1" ht="21" customHeight="1">
      <c r="A139" s="2235">
        <v>214</v>
      </c>
      <c r="B139" s="2281" t="s">
        <v>1946</v>
      </c>
      <c r="C139" s="2282" t="s">
        <v>1929</v>
      </c>
      <c r="D139" s="2283" t="s">
        <v>1930</v>
      </c>
      <c r="E139" s="2284"/>
      <c r="F139" s="2285"/>
      <c r="G139" s="2257">
        <f t="shared" si="54"/>
        <v>0</v>
      </c>
      <c r="H139" s="2285"/>
      <c r="I139" s="2285"/>
      <c r="J139" s="2257">
        <f t="shared" si="55"/>
        <v>0</v>
      </c>
      <c r="K139" s="2285"/>
      <c r="L139" s="2285"/>
      <c r="M139" s="2259">
        <f t="shared" si="56"/>
        <v>0</v>
      </c>
      <c r="N139" s="2284"/>
      <c r="O139" s="2285"/>
      <c r="P139" s="2259">
        <f t="shared" si="64"/>
        <v>0</v>
      </c>
      <c r="Q139" s="2284">
        <v>0</v>
      </c>
      <c r="R139" s="2285">
        <v>0</v>
      </c>
      <c r="S139" s="2259">
        <f t="shared" si="65"/>
        <v>0</v>
      </c>
      <c r="T139" s="2284">
        <f>N139+Q139</f>
        <v>0</v>
      </c>
      <c r="U139" s="2285">
        <f>O139+R139</f>
        <v>0</v>
      </c>
      <c r="V139" s="2268">
        <f t="shared" si="57"/>
        <v>0</v>
      </c>
      <c r="W139" s="2888">
        <f>T139/$T$272*$W$272</f>
        <v>0</v>
      </c>
      <c r="X139" s="2889">
        <f>U139/$T$272*$W$272</f>
        <v>0</v>
      </c>
      <c r="Y139" s="2268">
        <f t="shared" si="58"/>
        <v>0</v>
      </c>
      <c r="Z139" s="2888">
        <f>T139/$T$272*$Z$272</f>
        <v>0</v>
      </c>
      <c r="AA139" s="2889">
        <f>U139/$T$272*$Z$272</f>
        <v>0</v>
      </c>
      <c r="AB139" s="2268">
        <f t="shared" si="59"/>
        <v>0</v>
      </c>
      <c r="AD139" s="2593"/>
      <c r="AE139" s="2593"/>
      <c r="AF139" s="2218">
        <f t="shared" si="60"/>
        <v>0</v>
      </c>
      <c r="AG139" s="2593">
        <f t="shared" si="61"/>
        <v>0</v>
      </c>
      <c r="AH139" s="2218">
        <f t="shared" si="62"/>
        <v>0</v>
      </c>
      <c r="AI139" s="2593">
        <f t="shared" si="63"/>
        <v>0</v>
      </c>
    </row>
    <row r="140" spans="1:35" s="2218" customFormat="1" ht="18.75" customHeight="1">
      <c r="A140" s="2235">
        <v>215</v>
      </c>
      <c r="B140" s="2281" t="s">
        <v>1947</v>
      </c>
      <c r="C140" s="2282" t="s">
        <v>1933</v>
      </c>
      <c r="D140" s="2283" t="s">
        <v>1317</v>
      </c>
      <c r="E140" s="2284"/>
      <c r="F140" s="2285"/>
      <c r="G140" s="2257">
        <f t="shared" si="54"/>
        <v>0</v>
      </c>
      <c r="H140" s="2285"/>
      <c r="I140" s="2285"/>
      <c r="J140" s="2257">
        <f t="shared" si="55"/>
        <v>0</v>
      </c>
      <c r="K140" s="2285"/>
      <c r="L140" s="2285"/>
      <c r="M140" s="2259">
        <f t="shared" si="56"/>
        <v>0</v>
      </c>
      <c r="N140" s="2284"/>
      <c r="O140" s="2285"/>
      <c r="P140" s="2259">
        <f t="shared" si="64"/>
        <v>0</v>
      </c>
      <c r="Q140" s="2284">
        <v>0</v>
      </c>
      <c r="R140" s="2285">
        <v>0</v>
      </c>
      <c r="S140" s="2259">
        <f t="shared" si="65"/>
        <v>0</v>
      </c>
      <c r="T140" s="2385">
        <v>0</v>
      </c>
      <c r="U140" s="2285">
        <v>0</v>
      </c>
      <c r="V140" s="2268">
        <f t="shared" si="57"/>
        <v>0</v>
      </c>
      <c r="W140" s="2385">
        <v>0</v>
      </c>
      <c r="X140" s="2285">
        <v>0</v>
      </c>
      <c r="Y140" s="2268">
        <f t="shared" si="58"/>
        <v>0</v>
      </c>
      <c r="Z140" s="2385">
        <v>0</v>
      </c>
      <c r="AA140" s="2285">
        <v>0</v>
      </c>
      <c r="AB140" s="2268">
        <f t="shared" si="59"/>
        <v>0</v>
      </c>
      <c r="AD140" s="2593"/>
      <c r="AE140" s="2593"/>
      <c r="AF140" s="2218">
        <f t="shared" si="60"/>
        <v>0</v>
      </c>
      <c r="AG140" s="2593">
        <f t="shared" si="61"/>
        <v>0</v>
      </c>
      <c r="AH140" s="2218">
        <f t="shared" si="62"/>
        <v>0</v>
      </c>
      <c r="AI140" s="2593">
        <f t="shared" si="63"/>
        <v>0</v>
      </c>
    </row>
    <row r="141" spans="1:35" s="2218" customFormat="1" ht="30.75" customHeight="1">
      <c r="A141" s="2235">
        <v>200</v>
      </c>
      <c r="B141" s="2279"/>
      <c r="C141" s="2295" t="s">
        <v>1948</v>
      </c>
      <c r="D141" s="2254" t="s">
        <v>1317</v>
      </c>
      <c r="E141" s="2255">
        <f>E142+E158</f>
        <v>0</v>
      </c>
      <c r="F141" s="2256">
        <f>F142+F158</f>
        <v>0</v>
      </c>
      <c r="G141" s="2257">
        <f t="shared" si="54"/>
        <v>0</v>
      </c>
      <c r="H141" s="2256">
        <f>H142+H158</f>
        <v>0</v>
      </c>
      <c r="I141" s="2256">
        <f>I142+I158</f>
        <v>0</v>
      </c>
      <c r="J141" s="2257">
        <f t="shared" si="55"/>
        <v>0</v>
      </c>
      <c r="K141" s="2256">
        <f>K142+K158</f>
        <v>0</v>
      </c>
      <c r="L141" s="2256">
        <f>L142+L158</f>
        <v>0</v>
      </c>
      <c r="M141" s="2259">
        <f t="shared" si="56"/>
        <v>0</v>
      </c>
      <c r="N141" s="2255">
        <v>0</v>
      </c>
      <c r="O141" s="2256">
        <v>0</v>
      </c>
      <c r="P141" s="2259">
        <f t="shared" si="64"/>
        <v>0</v>
      </c>
      <c r="Q141" s="2256">
        <f>Q142+Q158</f>
        <v>8815.1868883644365</v>
      </c>
      <c r="R141" s="2256">
        <f>R142+R158</f>
        <v>9608.5537083172367</v>
      </c>
      <c r="S141" s="2259">
        <f t="shared" si="65"/>
        <v>9211.8702983408366</v>
      </c>
      <c r="T141" s="2465">
        <f t="shared" ref="T141:U143" si="66">N141+Q141</f>
        <v>8815.1868883644365</v>
      </c>
      <c r="U141" s="2247">
        <f t="shared" si="66"/>
        <v>9608.5537083172367</v>
      </c>
      <c r="V141" s="2268">
        <f t="shared" si="57"/>
        <v>9211.8702983408366</v>
      </c>
      <c r="W141" s="2377">
        <f t="shared" ref="W141:X143" si="67">T141/$T$272*$N$272</f>
        <v>1904.5291908000715</v>
      </c>
      <c r="X141" s="2256">
        <f t="shared" si="67"/>
        <v>2075.9368179720777</v>
      </c>
      <c r="Y141" s="2268">
        <f t="shared" si="58"/>
        <v>1990.2330043860748</v>
      </c>
      <c r="Z141" s="2886">
        <f t="shared" ref="Z141:AA144" si="68">T141/$T$272*$Z$272</f>
        <v>6910.6576975643648</v>
      </c>
      <c r="AA141" s="2887">
        <f t="shared" si="68"/>
        <v>7532.616890345158</v>
      </c>
      <c r="AB141" s="2268">
        <f t="shared" si="59"/>
        <v>7221.6372939547618</v>
      </c>
      <c r="AD141" s="2593"/>
      <c r="AE141" s="2593"/>
      <c r="AF141" s="2218">
        <f t="shared" si="60"/>
        <v>2075.9368179720777</v>
      </c>
      <c r="AG141" s="2593">
        <f t="shared" si="61"/>
        <v>0</v>
      </c>
      <c r="AH141" s="2218">
        <f t="shared" si="62"/>
        <v>7532.616890345158</v>
      </c>
      <c r="AI141" s="2593">
        <f t="shared" si="63"/>
        <v>0</v>
      </c>
    </row>
    <row r="142" spans="1:35" s="2218" customFormat="1" ht="22.5" customHeight="1">
      <c r="A142" s="2235">
        <v>216</v>
      </c>
      <c r="B142" s="2279"/>
      <c r="C142" s="2280" t="s">
        <v>1949</v>
      </c>
      <c r="D142" s="2254" t="s">
        <v>1317</v>
      </c>
      <c r="E142" s="2255">
        <f>E143+E146+E149+E152+E155</f>
        <v>0</v>
      </c>
      <c r="F142" s="2256">
        <f>F143+F146+F149+F152+F155</f>
        <v>0</v>
      </c>
      <c r="G142" s="2257">
        <f t="shared" si="54"/>
        <v>0</v>
      </c>
      <c r="H142" s="2256">
        <f>H143+H146+H149+H152+H155</f>
        <v>0</v>
      </c>
      <c r="I142" s="2256">
        <f>I143+I146+I149+I152+I155</f>
        <v>0</v>
      </c>
      <c r="J142" s="2257">
        <f t="shared" si="55"/>
        <v>0</v>
      </c>
      <c r="K142" s="2256">
        <f>K143+K146+K149+K152+K155</f>
        <v>0</v>
      </c>
      <c r="L142" s="2256">
        <f>L143+L146+L149+L152+L155</f>
        <v>0</v>
      </c>
      <c r="M142" s="2259">
        <f t="shared" si="56"/>
        <v>0</v>
      </c>
      <c r="N142" s="2255">
        <v>0</v>
      </c>
      <c r="O142" s="2256">
        <v>0</v>
      </c>
      <c r="P142" s="2259">
        <f t="shared" si="64"/>
        <v>0</v>
      </c>
      <c r="Q142" s="2256">
        <f>Q143+Q146+Q149+Q152+Q155</f>
        <v>5788.7288898876404</v>
      </c>
      <c r="R142" s="2256">
        <f>R143+R146+R149+R152+R155</f>
        <v>6309.7144899775285</v>
      </c>
      <c r="S142" s="2259">
        <f t="shared" si="65"/>
        <v>6049.2216899325849</v>
      </c>
      <c r="T142" s="2465">
        <f t="shared" si="66"/>
        <v>5788.7288898876404</v>
      </c>
      <c r="U142" s="2247">
        <f t="shared" si="66"/>
        <v>6309.7144899775285</v>
      </c>
      <c r="V142" s="2268">
        <f t="shared" si="57"/>
        <v>6049.2216899325849</v>
      </c>
      <c r="W142" s="2377">
        <f t="shared" si="67"/>
        <v>1250.6601718190273</v>
      </c>
      <c r="X142" s="2256">
        <f t="shared" si="67"/>
        <v>1363.2195872827399</v>
      </c>
      <c r="Y142" s="2268">
        <f t="shared" si="58"/>
        <v>1306.9398795508837</v>
      </c>
      <c r="Z142" s="2886">
        <f t="shared" si="68"/>
        <v>4538.0687180686127</v>
      </c>
      <c r="AA142" s="2887">
        <f t="shared" si="68"/>
        <v>4946.4949026947879</v>
      </c>
      <c r="AB142" s="2268">
        <f t="shared" si="59"/>
        <v>4742.2818103817008</v>
      </c>
      <c r="AD142" s="2593"/>
      <c r="AE142" s="2593"/>
      <c r="AF142" s="2218">
        <f t="shared" si="60"/>
        <v>1363.2195872827399</v>
      </c>
      <c r="AG142" s="2593">
        <f t="shared" si="61"/>
        <v>0</v>
      </c>
      <c r="AH142" s="2218">
        <f t="shared" si="62"/>
        <v>4946.4949026947879</v>
      </c>
      <c r="AI142" s="2593">
        <f t="shared" si="63"/>
        <v>0</v>
      </c>
    </row>
    <row r="143" spans="1:35" s="2218" customFormat="1" ht="17.25" customHeight="1">
      <c r="A143" s="2235">
        <v>218</v>
      </c>
      <c r="B143" s="2279"/>
      <c r="C143" s="2280" t="s">
        <v>1927</v>
      </c>
      <c r="D143" s="2254" t="s">
        <v>1317</v>
      </c>
      <c r="E143" s="2255">
        <f>E144*E145</f>
        <v>0</v>
      </c>
      <c r="F143" s="2256">
        <f>F144*F145</f>
        <v>0</v>
      </c>
      <c r="G143" s="2257">
        <f t="shared" si="54"/>
        <v>0</v>
      </c>
      <c r="H143" s="2256">
        <f>H144*H145</f>
        <v>0</v>
      </c>
      <c r="I143" s="2256">
        <f>I144*I145</f>
        <v>0</v>
      </c>
      <c r="J143" s="2257">
        <f t="shared" si="55"/>
        <v>0</v>
      </c>
      <c r="K143" s="2256">
        <f>K144*K145</f>
        <v>0</v>
      </c>
      <c r="L143" s="2256">
        <f>L144*L145</f>
        <v>0</v>
      </c>
      <c r="M143" s="2259">
        <f t="shared" si="56"/>
        <v>0</v>
      </c>
      <c r="N143" s="2255">
        <v>0</v>
      </c>
      <c r="O143" s="2256">
        <v>0</v>
      </c>
      <c r="P143" s="2259">
        <f t="shared" si="64"/>
        <v>0</v>
      </c>
      <c r="Q143" s="2256">
        <f>Q144*Q145</f>
        <v>0</v>
      </c>
      <c r="R143" s="2256">
        <f>R144*R145</f>
        <v>0</v>
      </c>
      <c r="S143" s="2259">
        <f t="shared" si="65"/>
        <v>0</v>
      </c>
      <c r="T143" s="2465">
        <f t="shared" si="66"/>
        <v>0</v>
      </c>
      <c r="U143" s="2247">
        <f t="shared" si="66"/>
        <v>0</v>
      </c>
      <c r="V143" s="2268">
        <f t="shared" si="57"/>
        <v>0</v>
      </c>
      <c r="W143" s="2377">
        <f t="shared" si="67"/>
        <v>0</v>
      </c>
      <c r="X143" s="2256">
        <f t="shared" si="67"/>
        <v>0</v>
      </c>
      <c r="Y143" s="2268">
        <f t="shared" si="58"/>
        <v>0</v>
      </c>
      <c r="Z143" s="2886">
        <f t="shared" si="68"/>
        <v>0</v>
      </c>
      <c r="AA143" s="2887">
        <f t="shared" si="68"/>
        <v>0</v>
      </c>
      <c r="AB143" s="2268">
        <f t="shared" si="59"/>
        <v>0</v>
      </c>
      <c r="AD143" s="2593"/>
      <c r="AE143" s="2593"/>
      <c r="AF143" s="2218">
        <f t="shared" si="60"/>
        <v>0</v>
      </c>
      <c r="AG143" s="2593">
        <f t="shared" si="61"/>
        <v>0</v>
      </c>
      <c r="AH143" s="2218">
        <f t="shared" si="62"/>
        <v>0</v>
      </c>
      <c r="AI143" s="2593">
        <f t="shared" si="63"/>
        <v>0</v>
      </c>
    </row>
    <row r="144" spans="1:35" s="2218" customFormat="1" ht="24.75" customHeight="1" outlineLevel="1">
      <c r="A144" s="2235">
        <v>223</v>
      </c>
      <c r="B144" s="2281" t="s">
        <v>1950</v>
      </c>
      <c r="C144" s="2282" t="s">
        <v>1929</v>
      </c>
      <c r="D144" s="2283" t="s">
        <v>1951</v>
      </c>
      <c r="E144" s="2284"/>
      <c r="F144" s="2285"/>
      <c r="G144" s="2257">
        <f t="shared" si="54"/>
        <v>0</v>
      </c>
      <c r="H144" s="2285"/>
      <c r="I144" s="2285"/>
      <c r="J144" s="2257">
        <f t="shared" si="55"/>
        <v>0</v>
      </c>
      <c r="K144" s="2285"/>
      <c r="L144" s="2285"/>
      <c r="M144" s="2259">
        <f t="shared" si="56"/>
        <v>0</v>
      </c>
      <c r="N144" s="2284"/>
      <c r="O144" s="2285"/>
      <c r="P144" s="2259">
        <f t="shared" si="64"/>
        <v>0</v>
      </c>
      <c r="Q144" s="2284">
        <v>0</v>
      </c>
      <c r="R144" s="2285">
        <v>0</v>
      </c>
      <c r="S144" s="2259">
        <f t="shared" si="65"/>
        <v>0</v>
      </c>
      <c r="T144" s="2385">
        <f>Q144+R144</f>
        <v>0</v>
      </c>
      <c r="U144" s="2285">
        <f>R144+S144</f>
        <v>0</v>
      </c>
      <c r="V144" s="2268">
        <f t="shared" si="57"/>
        <v>0</v>
      </c>
      <c r="W144" s="2888">
        <f>T144/$T$272*$W$272</f>
        <v>0</v>
      </c>
      <c r="X144" s="2889">
        <f>U144/$T$272*$W$272</f>
        <v>0</v>
      </c>
      <c r="Y144" s="2268">
        <f t="shared" si="58"/>
        <v>0</v>
      </c>
      <c r="Z144" s="2888">
        <f t="shared" si="68"/>
        <v>0</v>
      </c>
      <c r="AA144" s="2889">
        <f t="shared" si="68"/>
        <v>0</v>
      </c>
      <c r="AB144" s="2268">
        <f t="shared" si="59"/>
        <v>0</v>
      </c>
      <c r="AD144" s="2593"/>
      <c r="AE144" s="2593"/>
      <c r="AF144" s="2218">
        <f t="shared" si="60"/>
        <v>0</v>
      </c>
      <c r="AG144" s="2593">
        <f t="shared" si="61"/>
        <v>0</v>
      </c>
      <c r="AH144" s="2218">
        <f t="shared" si="62"/>
        <v>0</v>
      </c>
      <c r="AI144" s="2593">
        <f t="shared" si="63"/>
        <v>0</v>
      </c>
    </row>
    <row r="145" spans="1:35" s="2218" customFormat="1" ht="21" customHeight="1" outlineLevel="1">
      <c r="A145" s="2235">
        <v>224</v>
      </c>
      <c r="B145" s="2281" t="s">
        <v>1952</v>
      </c>
      <c r="C145" s="2282" t="s">
        <v>1953</v>
      </c>
      <c r="D145" s="2283" t="s">
        <v>1954</v>
      </c>
      <c r="E145" s="2284"/>
      <c r="F145" s="2285"/>
      <c r="G145" s="2257">
        <f t="shared" si="54"/>
        <v>0</v>
      </c>
      <c r="H145" s="2285"/>
      <c r="I145" s="2285"/>
      <c r="J145" s="2257">
        <f t="shared" si="55"/>
        <v>0</v>
      </c>
      <c r="K145" s="2285"/>
      <c r="L145" s="2285"/>
      <c r="M145" s="2259">
        <f t="shared" si="56"/>
        <v>0</v>
      </c>
      <c r="N145" s="2284"/>
      <c r="O145" s="2285"/>
      <c r="P145" s="2259">
        <f t="shared" si="64"/>
        <v>0</v>
      </c>
      <c r="Q145" s="2284">
        <v>0</v>
      </c>
      <c r="R145" s="2285">
        <v>0</v>
      </c>
      <c r="S145" s="2259">
        <f t="shared" si="65"/>
        <v>0</v>
      </c>
      <c r="T145" s="2385" t="e">
        <f>T143/T144</f>
        <v>#DIV/0!</v>
      </c>
      <c r="U145" s="2285" t="e">
        <f>U143/U144</f>
        <v>#DIV/0!</v>
      </c>
      <c r="V145" s="2268" t="e">
        <f t="shared" si="57"/>
        <v>#DIV/0!</v>
      </c>
      <c r="W145" s="2385" t="e">
        <f>W143/W144</f>
        <v>#DIV/0!</v>
      </c>
      <c r="X145" s="2285" t="e">
        <f>X143/X144</f>
        <v>#DIV/0!</v>
      </c>
      <c r="Y145" s="2268" t="e">
        <f t="shared" si="58"/>
        <v>#DIV/0!</v>
      </c>
      <c r="Z145" s="2385" t="e">
        <f>Z143/Z144</f>
        <v>#DIV/0!</v>
      </c>
      <c r="AA145" s="2285" t="e">
        <f>AA143/AA144</f>
        <v>#DIV/0!</v>
      </c>
      <c r="AB145" s="2268" t="e">
        <f t="shared" si="59"/>
        <v>#DIV/0!</v>
      </c>
      <c r="AD145" s="2593"/>
      <c r="AE145" s="2593"/>
      <c r="AF145" s="2218" t="e">
        <f t="shared" si="60"/>
        <v>#DIV/0!</v>
      </c>
      <c r="AG145" s="2593" t="e">
        <f t="shared" si="61"/>
        <v>#DIV/0!</v>
      </c>
      <c r="AH145" s="2218" t="e">
        <f t="shared" si="62"/>
        <v>#DIV/0!</v>
      </c>
      <c r="AI145" s="2593" t="e">
        <f t="shared" si="63"/>
        <v>#DIV/0!</v>
      </c>
    </row>
    <row r="146" spans="1:35" s="2218" customFormat="1" ht="21.75" customHeight="1" outlineLevel="1">
      <c r="A146" s="2235">
        <v>219</v>
      </c>
      <c r="B146" s="2279"/>
      <c r="C146" s="2280" t="s">
        <v>1936</v>
      </c>
      <c r="D146" s="2254" t="s">
        <v>1317</v>
      </c>
      <c r="E146" s="2255">
        <f>E147*E148</f>
        <v>0</v>
      </c>
      <c r="F146" s="2256">
        <f>F147*F148</f>
        <v>0</v>
      </c>
      <c r="G146" s="2257">
        <f t="shared" si="54"/>
        <v>0</v>
      </c>
      <c r="H146" s="2256">
        <f>H147*H148</f>
        <v>0</v>
      </c>
      <c r="I146" s="2256">
        <f>I147*I148</f>
        <v>0</v>
      </c>
      <c r="J146" s="2257">
        <f t="shared" si="55"/>
        <v>0</v>
      </c>
      <c r="K146" s="2256">
        <f>K147*K148</f>
        <v>0</v>
      </c>
      <c r="L146" s="2256">
        <f>L147*L148</f>
        <v>0</v>
      </c>
      <c r="M146" s="2259">
        <f t="shared" si="56"/>
        <v>0</v>
      </c>
      <c r="N146" s="2255">
        <v>0</v>
      </c>
      <c r="O146" s="2256">
        <v>0</v>
      </c>
      <c r="P146" s="2259">
        <f t="shared" si="64"/>
        <v>0</v>
      </c>
      <c r="Q146" s="2255">
        <v>0</v>
      </c>
      <c r="R146" s="2256">
        <v>0</v>
      </c>
      <c r="S146" s="2259">
        <f t="shared" si="65"/>
        <v>0</v>
      </c>
      <c r="T146" s="2465">
        <f>N146+Q146</f>
        <v>0</v>
      </c>
      <c r="U146" s="2247">
        <f>O146+R146</f>
        <v>0</v>
      </c>
      <c r="V146" s="2268">
        <f t="shared" si="57"/>
        <v>0</v>
      </c>
      <c r="W146" s="2377">
        <f>T146/$T$272*$N$272</f>
        <v>0</v>
      </c>
      <c r="X146" s="2256">
        <f>U146/$T$272*$N$272</f>
        <v>0</v>
      </c>
      <c r="Y146" s="2268">
        <f t="shared" si="58"/>
        <v>0</v>
      </c>
      <c r="Z146" s="2886">
        <f>T146/$T$272*$Z$272</f>
        <v>0</v>
      </c>
      <c r="AA146" s="2887">
        <f>U146/$T$272*$Z$272</f>
        <v>0</v>
      </c>
      <c r="AB146" s="2268">
        <f t="shared" si="59"/>
        <v>0</v>
      </c>
      <c r="AD146" s="2593"/>
      <c r="AE146" s="2593"/>
      <c r="AF146" s="2218">
        <f t="shared" si="60"/>
        <v>0</v>
      </c>
      <c r="AG146" s="2593">
        <f t="shared" si="61"/>
        <v>0</v>
      </c>
      <c r="AH146" s="2218">
        <f t="shared" si="62"/>
        <v>0</v>
      </c>
      <c r="AI146" s="2593">
        <f t="shared" si="63"/>
        <v>0</v>
      </c>
    </row>
    <row r="147" spans="1:35" s="2218" customFormat="1" ht="21" customHeight="1" outlineLevel="1">
      <c r="A147" s="2235">
        <v>225</v>
      </c>
      <c r="B147" s="2281" t="s">
        <v>1955</v>
      </c>
      <c r="C147" s="2282" t="s">
        <v>1929</v>
      </c>
      <c r="D147" s="2283" t="s">
        <v>1951</v>
      </c>
      <c r="E147" s="2284"/>
      <c r="F147" s="2285"/>
      <c r="G147" s="2257">
        <f t="shared" si="54"/>
        <v>0</v>
      </c>
      <c r="H147" s="2285"/>
      <c r="I147" s="2285"/>
      <c r="J147" s="2257">
        <f t="shared" si="55"/>
        <v>0</v>
      </c>
      <c r="K147" s="2285"/>
      <c r="L147" s="2285"/>
      <c r="M147" s="2259">
        <f t="shared" si="56"/>
        <v>0</v>
      </c>
      <c r="N147" s="2284"/>
      <c r="O147" s="2285"/>
      <c r="P147" s="2259">
        <f t="shared" si="64"/>
        <v>0</v>
      </c>
      <c r="Q147" s="2284">
        <v>0</v>
      </c>
      <c r="R147" s="2285">
        <v>0</v>
      </c>
      <c r="S147" s="2259">
        <f t="shared" si="65"/>
        <v>0</v>
      </c>
      <c r="T147" s="2284">
        <v>0</v>
      </c>
      <c r="U147" s="2285">
        <v>0</v>
      </c>
      <c r="V147" s="2268">
        <f t="shared" si="57"/>
        <v>0</v>
      </c>
      <c r="W147" s="2888">
        <f>T147/$T$272*$W$272</f>
        <v>0</v>
      </c>
      <c r="X147" s="2889">
        <f>U147/$T$272*$W$272</f>
        <v>0</v>
      </c>
      <c r="Y147" s="2268">
        <f t="shared" si="58"/>
        <v>0</v>
      </c>
      <c r="Z147" s="2888">
        <f>T147/$T$272*$Z$272</f>
        <v>0</v>
      </c>
      <c r="AA147" s="2889">
        <f>U147/$T$272*$Z$272</f>
        <v>0</v>
      </c>
      <c r="AB147" s="2268">
        <f t="shared" si="59"/>
        <v>0</v>
      </c>
      <c r="AD147" s="2593"/>
      <c r="AE147" s="2593"/>
      <c r="AF147" s="2218">
        <f t="shared" si="60"/>
        <v>0</v>
      </c>
      <c r="AG147" s="2593">
        <f t="shared" si="61"/>
        <v>0</v>
      </c>
      <c r="AH147" s="2218">
        <f t="shared" si="62"/>
        <v>0</v>
      </c>
      <c r="AI147" s="2593">
        <f t="shared" si="63"/>
        <v>0</v>
      </c>
    </row>
    <row r="148" spans="1:35" s="2218" customFormat="1" ht="21" customHeight="1" outlineLevel="1">
      <c r="A148" s="2235">
        <v>226</v>
      </c>
      <c r="B148" s="2281" t="s">
        <v>1956</v>
      </c>
      <c r="C148" s="2282" t="s">
        <v>1953</v>
      </c>
      <c r="D148" s="2283" t="s">
        <v>1954</v>
      </c>
      <c r="E148" s="2284"/>
      <c r="F148" s="2285"/>
      <c r="G148" s="2257">
        <f t="shared" si="54"/>
        <v>0</v>
      </c>
      <c r="H148" s="2285"/>
      <c r="I148" s="2285"/>
      <c r="J148" s="2257">
        <f t="shared" si="55"/>
        <v>0</v>
      </c>
      <c r="K148" s="2285"/>
      <c r="L148" s="2285"/>
      <c r="M148" s="2259">
        <f t="shared" si="56"/>
        <v>0</v>
      </c>
      <c r="N148" s="2284"/>
      <c r="O148" s="2285"/>
      <c r="P148" s="2259">
        <f t="shared" si="64"/>
        <v>0</v>
      </c>
      <c r="Q148" s="2284">
        <v>0</v>
      </c>
      <c r="R148" s="2285">
        <v>0</v>
      </c>
      <c r="S148" s="2259">
        <f t="shared" si="65"/>
        <v>0</v>
      </c>
      <c r="T148" s="2284">
        <v>0</v>
      </c>
      <c r="U148" s="2285">
        <v>0</v>
      </c>
      <c r="V148" s="2268">
        <f t="shared" si="57"/>
        <v>0</v>
      </c>
      <c r="W148" s="2385" t="e">
        <f>W146/W147</f>
        <v>#DIV/0!</v>
      </c>
      <c r="X148" s="2285" t="e">
        <f>X146/X147</f>
        <v>#DIV/0!</v>
      </c>
      <c r="Y148" s="2268" t="e">
        <f t="shared" si="58"/>
        <v>#DIV/0!</v>
      </c>
      <c r="Z148" s="2385" t="e">
        <f>Z146/Z147</f>
        <v>#DIV/0!</v>
      </c>
      <c r="AA148" s="2285" t="e">
        <f>AA146/AA147</f>
        <v>#DIV/0!</v>
      </c>
      <c r="AB148" s="2268" t="e">
        <f t="shared" si="59"/>
        <v>#DIV/0!</v>
      </c>
      <c r="AD148" s="2593"/>
      <c r="AE148" s="2593"/>
      <c r="AF148" s="2218">
        <f t="shared" si="60"/>
        <v>0</v>
      </c>
      <c r="AG148" s="2593" t="e">
        <f t="shared" si="61"/>
        <v>#DIV/0!</v>
      </c>
      <c r="AH148" s="2218">
        <f t="shared" si="62"/>
        <v>0</v>
      </c>
      <c r="AI148" s="2593" t="e">
        <f t="shared" si="63"/>
        <v>#DIV/0!</v>
      </c>
    </row>
    <row r="149" spans="1:35" s="2218" customFormat="1" ht="15.75" customHeight="1" outlineLevel="1">
      <c r="A149" s="2235">
        <v>220</v>
      </c>
      <c r="B149" s="2279"/>
      <c r="C149" s="2280" t="s">
        <v>1939</v>
      </c>
      <c r="D149" s="2254" t="s">
        <v>1317</v>
      </c>
      <c r="E149" s="2255">
        <f>E150*E151</f>
        <v>0</v>
      </c>
      <c r="F149" s="2256">
        <f>F150*F151</f>
        <v>0</v>
      </c>
      <c r="G149" s="2257">
        <f t="shared" si="54"/>
        <v>0</v>
      </c>
      <c r="H149" s="2256">
        <f>H150*H151</f>
        <v>0</v>
      </c>
      <c r="I149" s="2256">
        <f>I150*I151</f>
        <v>0</v>
      </c>
      <c r="J149" s="2257">
        <f t="shared" si="55"/>
        <v>0</v>
      </c>
      <c r="K149" s="2256">
        <f>K150*K151</f>
        <v>0</v>
      </c>
      <c r="L149" s="2256">
        <f>L150*L151</f>
        <v>0</v>
      </c>
      <c r="M149" s="2259">
        <f t="shared" si="56"/>
        <v>0</v>
      </c>
      <c r="N149" s="2255">
        <v>0</v>
      </c>
      <c r="O149" s="2256">
        <v>0</v>
      </c>
      <c r="P149" s="2259">
        <f t="shared" si="64"/>
        <v>0</v>
      </c>
      <c r="Q149" s="2255">
        <v>0</v>
      </c>
      <c r="R149" s="2256">
        <v>0</v>
      </c>
      <c r="S149" s="2259">
        <f t="shared" si="65"/>
        <v>0</v>
      </c>
      <c r="T149" s="2465">
        <f>N149+Q149</f>
        <v>0</v>
      </c>
      <c r="U149" s="2247">
        <f>O149+R149</f>
        <v>0</v>
      </c>
      <c r="V149" s="2268">
        <f t="shared" si="57"/>
        <v>0</v>
      </c>
      <c r="W149" s="2377">
        <f>T149/$T$272*$N$272</f>
        <v>0</v>
      </c>
      <c r="X149" s="2256">
        <f>U149/$T$272*$N$272</f>
        <v>0</v>
      </c>
      <c r="Y149" s="2268">
        <f t="shared" si="58"/>
        <v>0</v>
      </c>
      <c r="Z149" s="2886">
        <f>T149/$T$272*$Z$272</f>
        <v>0</v>
      </c>
      <c r="AA149" s="2887">
        <f>U149/$T$272*$Z$272</f>
        <v>0</v>
      </c>
      <c r="AB149" s="2268">
        <f t="shared" si="59"/>
        <v>0</v>
      </c>
      <c r="AD149" s="2593"/>
      <c r="AE149" s="2593"/>
      <c r="AF149" s="2218">
        <f t="shared" si="60"/>
        <v>0</v>
      </c>
      <c r="AG149" s="2593">
        <f t="shared" si="61"/>
        <v>0</v>
      </c>
      <c r="AH149" s="2218">
        <f t="shared" si="62"/>
        <v>0</v>
      </c>
      <c r="AI149" s="2593">
        <f t="shared" si="63"/>
        <v>0</v>
      </c>
    </row>
    <row r="150" spans="1:35" s="2218" customFormat="1" ht="21" customHeight="1" outlineLevel="1">
      <c r="A150" s="2235">
        <v>227</v>
      </c>
      <c r="B150" s="2281" t="s">
        <v>1957</v>
      </c>
      <c r="C150" s="2282" t="s">
        <v>1929</v>
      </c>
      <c r="D150" s="2283" t="s">
        <v>1951</v>
      </c>
      <c r="E150" s="2284"/>
      <c r="F150" s="2285"/>
      <c r="G150" s="2257">
        <f t="shared" si="54"/>
        <v>0</v>
      </c>
      <c r="H150" s="2285"/>
      <c r="I150" s="2285"/>
      <c r="J150" s="2257">
        <f t="shared" si="55"/>
        <v>0</v>
      </c>
      <c r="K150" s="2285"/>
      <c r="L150" s="2285"/>
      <c r="M150" s="2259">
        <f t="shared" si="56"/>
        <v>0</v>
      </c>
      <c r="N150" s="2284"/>
      <c r="O150" s="2285"/>
      <c r="P150" s="2259">
        <f t="shared" si="64"/>
        <v>0</v>
      </c>
      <c r="Q150" s="2284">
        <v>0</v>
      </c>
      <c r="R150" s="2285">
        <v>0</v>
      </c>
      <c r="S150" s="2259">
        <f t="shared" si="65"/>
        <v>0</v>
      </c>
      <c r="T150" s="2284">
        <v>0</v>
      </c>
      <c r="U150" s="2285">
        <v>0</v>
      </c>
      <c r="V150" s="2268">
        <f t="shared" si="57"/>
        <v>0</v>
      </c>
      <c r="W150" s="2888">
        <f>T150/$T$272*$W$272</f>
        <v>0</v>
      </c>
      <c r="X150" s="2889">
        <f>U150/$T$272*$W$272</f>
        <v>0</v>
      </c>
      <c r="Y150" s="2268">
        <f t="shared" si="58"/>
        <v>0</v>
      </c>
      <c r="Z150" s="2888">
        <f>T150/$T$272*$Z$272</f>
        <v>0</v>
      </c>
      <c r="AA150" s="2889">
        <f>U150/$T$272*$Z$272</f>
        <v>0</v>
      </c>
      <c r="AB150" s="2268">
        <f t="shared" si="59"/>
        <v>0</v>
      </c>
      <c r="AD150" s="2593"/>
      <c r="AE150" s="2593"/>
      <c r="AF150" s="2218">
        <f t="shared" si="60"/>
        <v>0</v>
      </c>
      <c r="AG150" s="2593">
        <f t="shared" si="61"/>
        <v>0</v>
      </c>
      <c r="AH150" s="2218">
        <f t="shared" si="62"/>
        <v>0</v>
      </c>
      <c r="AI150" s="2593">
        <f t="shared" si="63"/>
        <v>0</v>
      </c>
    </row>
    <row r="151" spans="1:35" s="2218" customFormat="1" ht="21" customHeight="1" outlineLevel="1">
      <c r="A151" s="2235">
        <v>228</v>
      </c>
      <c r="B151" s="2281" t="s">
        <v>1958</v>
      </c>
      <c r="C151" s="2282" t="s">
        <v>1953</v>
      </c>
      <c r="D151" s="2283" t="s">
        <v>1954</v>
      </c>
      <c r="E151" s="2284"/>
      <c r="F151" s="2285"/>
      <c r="G151" s="2257">
        <f t="shared" si="54"/>
        <v>0</v>
      </c>
      <c r="H151" s="2285"/>
      <c r="I151" s="2285"/>
      <c r="J151" s="2257">
        <f t="shared" si="55"/>
        <v>0</v>
      </c>
      <c r="K151" s="2285"/>
      <c r="L151" s="2285"/>
      <c r="M151" s="2259">
        <f t="shared" si="56"/>
        <v>0</v>
      </c>
      <c r="N151" s="2284"/>
      <c r="O151" s="2285"/>
      <c r="P151" s="2259">
        <f t="shared" si="64"/>
        <v>0</v>
      </c>
      <c r="Q151" s="2284">
        <v>0</v>
      </c>
      <c r="R151" s="2285">
        <v>0</v>
      </c>
      <c r="S151" s="2259">
        <f t="shared" si="65"/>
        <v>0</v>
      </c>
      <c r="T151" s="2284">
        <v>0</v>
      </c>
      <c r="U151" s="2285">
        <v>0</v>
      </c>
      <c r="V151" s="2268">
        <f t="shared" si="57"/>
        <v>0</v>
      </c>
      <c r="W151" s="2385" t="e">
        <f>W149/W150</f>
        <v>#DIV/0!</v>
      </c>
      <c r="X151" s="2285" t="e">
        <f>X149/X150</f>
        <v>#DIV/0!</v>
      </c>
      <c r="Y151" s="2268" t="e">
        <f t="shared" si="58"/>
        <v>#DIV/0!</v>
      </c>
      <c r="Z151" s="2385" t="e">
        <f>Z149/Z150</f>
        <v>#DIV/0!</v>
      </c>
      <c r="AA151" s="2285" t="e">
        <f>AA149/AA150</f>
        <v>#DIV/0!</v>
      </c>
      <c r="AB151" s="2268" t="e">
        <f t="shared" si="59"/>
        <v>#DIV/0!</v>
      </c>
      <c r="AD151" s="2593"/>
      <c r="AE151" s="2593"/>
      <c r="AF151" s="2218">
        <f t="shared" si="60"/>
        <v>0</v>
      </c>
      <c r="AG151" s="2593" t="e">
        <f t="shared" si="61"/>
        <v>#DIV/0!</v>
      </c>
      <c r="AH151" s="2218">
        <f t="shared" si="62"/>
        <v>0</v>
      </c>
      <c r="AI151" s="2593" t="e">
        <f t="shared" si="63"/>
        <v>#DIV/0!</v>
      </c>
    </row>
    <row r="152" spans="1:35" s="2218" customFormat="1" ht="18" customHeight="1" outlineLevel="1">
      <c r="A152" s="2235">
        <v>221</v>
      </c>
      <c r="B152" s="2279"/>
      <c r="C152" s="2280" t="s">
        <v>1942</v>
      </c>
      <c r="D152" s="2254" t="s">
        <v>1317</v>
      </c>
      <c r="E152" s="2255">
        <f>E153*E154</f>
        <v>0</v>
      </c>
      <c r="F152" s="2256">
        <f>F153*F154</f>
        <v>0</v>
      </c>
      <c r="G152" s="2257">
        <f t="shared" si="54"/>
        <v>0</v>
      </c>
      <c r="H152" s="2256">
        <f>H153*H154</f>
        <v>0</v>
      </c>
      <c r="I152" s="2256">
        <f>I153*I154</f>
        <v>0</v>
      </c>
      <c r="J152" s="2257">
        <f t="shared" si="55"/>
        <v>0</v>
      </c>
      <c r="K152" s="2256">
        <f>K153*K154</f>
        <v>0</v>
      </c>
      <c r="L152" s="2256">
        <f>L153*L154</f>
        <v>0</v>
      </c>
      <c r="M152" s="2259">
        <f t="shared" si="56"/>
        <v>0</v>
      </c>
      <c r="N152" s="2255">
        <v>0</v>
      </c>
      <c r="O152" s="2256">
        <v>0</v>
      </c>
      <c r="P152" s="2259">
        <f t="shared" si="64"/>
        <v>0</v>
      </c>
      <c r="Q152" s="2256">
        <f>Q153*Q154</f>
        <v>5788.7288898876404</v>
      </c>
      <c r="R152" s="2256">
        <f>R153*R154</f>
        <v>6309.7144899775285</v>
      </c>
      <c r="S152" s="2259">
        <f t="shared" si="65"/>
        <v>6049.2216899325849</v>
      </c>
      <c r="T152" s="2465">
        <f>N152+Q152</f>
        <v>5788.7288898876404</v>
      </c>
      <c r="U152" s="2247">
        <f>O152+R152</f>
        <v>6309.7144899775285</v>
      </c>
      <c r="V152" s="2268">
        <f t="shared" si="57"/>
        <v>6049.2216899325849</v>
      </c>
      <c r="W152" s="2377">
        <f>T152/$T$272*$N$272</f>
        <v>1250.6601718190273</v>
      </c>
      <c r="X152" s="2256">
        <f>U152/$T$272*$N$272</f>
        <v>1363.2195872827399</v>
      </c>
      <c r="Y152" s="2268">
        <f t="shared" si="58"/>
        <v>1306.9398795508837</v>
      </c>
      <c r="Z152" s="2886">
        <f>T152/$T$272*$Z$272</f>
        <v>4538.0687180686127</v>
      </c>
      <c r="AA152" s="2887">
        <f>U152/$T$272*$Z$272</f>
        <v>4946.4949026947879</v>
      </c>
      <c r="AB152" s="2268">
        <f t="shared" si="59"/>
        <v>4742.2818103817008</v>
      </c>
      <c r="AD152" s="2593"/>
      <c r="AE152" s="2593"/>
      <c r="AF152" s="2218">
        <f t="shared" si="60"/>
        <v>1363.2195872827399</v>
      </c>
      <c r="AG152" s="2593">
        <f t="shared" si="61"/>
        <v>0</v>
      </c>
      <c r="AH152" s="2218">
        <f t="shared" si="62"/>
        <v>4946.4949026947879</v>
      </c>
      <c r="AI152" s="2593">
        <f t="shared" si="63"/>
        <v>0</v>
      </c>
    </row>
    <row r="153" spans="1:35" s="2218" customFormat="1" ht="21" customHeight="1" outlineLevel="1">
      <c r="A153" s="2235">
        <v>229</v>
      </c>
      <c r="B153" s="2281" t="s">
        <v>1959</v>
      </c>
      <c r="C153" s="2282" t="s">
        <v>1929</v>
      </c>
      <c r="D153" s="2283" t="s">
        <v>1951</v>
      </c>
      <c r="E153" s="2284"/>
      <c r="F153" s="2285"/>
      <c r="G153" s="2257">
        <f t="shared" si="54"/>
        <v>0</v>
      </c>
      <c r="H153" s="2285"/>
      <c r="I153" s="2285"/>
      <c r="J153" s="2257">
        <f t="shared" si="55"/>
        <v>0</v>
      </c>
      <c r="K153" s="2285"/>
      <c r="L153" s="2285"/>
      <c r="M153" s="2259">
        <f t="shared" si="56"/>
        <v>0</v>
      </c>
      <c r="N153" s="2284"/>
      <c r="O153" s="2285"/>
      <c r="P153" s="2259">
        <f t="shared" si="64"/>
        <v>0</v>
      </c>
      <c r="Q153" s="2284">
        <v>2.5300000000000002</v>
      </c>
      <c r="R153" s="2285">
        <v>2.5300000000000002</v>
      </c>
      <c r="S153" s="2259">
        <f t="shared" si="65"/>
        <v>2.5300000000000002</v>
      </c>
      <c r="T153" s="2385">
        <f>Q153+R153</f>
        <v>5.0600000000000005</v>
      </c>
      <c r="U153" s="2285">
        <f>R153+S153</f>
        <v>5.0600000000000005</v>
      </c>
      <c r="V153" s="2268">
        <f t="shared" si="57"/>
        <v>5.0600000000000005</v>
      </c>
      <c r="W153" s="2888">
        <f>T153/$T$272*$W$272</f>
        <v>1.0932176285642412</v>
      </c>
      <c r="X153" s="2889">
        <f>U153/$T$272*$W$272</f>
        <v>1.0932176285642412</v>
      </c>
      <c r="Y153" s="2268">
        <f t="shared" si="58"/>
        <v>1.0932176285642412</v>
      </c>
      <c r="Z153" s="2888">
        <f>T153/$T$272*$Z$272</f>
        <v>3.9667823714357588</v>
      </c>
      <c r="AA153" s="2889">
        <f>U153/$T$272*$Z$272</f>
        <v>3.9667823714357588</v>
      </c>
      <c r="AB153" s="2268">
        <f t="shared" si="59"/>
        <v>3.9667823714357588</v>
      </c>
      <c r="AD153" s="2593"/>
      <c r="AE153" s="2593"/>
      <c r="AF153" s="2218">
        <f t="shared" si="60"/>
        <v>1.0932176285642412</v>
      </c>
      <c r="AG153" s="2593">
        <f t="shared" si="61"/>
        <v>0</v>
      </c>
      <c r="AH153" s="2218">
        <f t="shared" si="62"/>
        <v>3.9667823714357588</v>
      </c>
      <c r="AI153" s="2593">
        <f t="shared" si="63"/>
        <v>0</v>
      </c>
    </row>
    <row r="154" spans="1:35" s="2218" customFormat="1" ht="21" customHeight="1" outlineLevel="1">
      <c r="A154" s="2235">
        <v>230</v>
      </c>
      <c r="B154" s="2281" t="s">
        <v>1960</v>
      </c>
      <c r="C154" s="2282" t="s">
        <v>1953</v>
      </c>
      <c r="D154" s="2283" t="s">
        <v>1954</v>
      </c>
      <c r="E154" s="2284"/>
      <c r="F154" s="2285"/>
      <c r="G154" s="2257">
        <f t="shared" si="54"/>
        <v>0</v>
      </c>
      <c r="H154" s="2285"/>
      <c r="I154" s="2285"/>
      <c r="J154" s="2257">
        <f t="shared" si="55"/>
        <v>0</v>
      </c>
      <c r="K154" s="2285"/>
      <c r="L154" s="2285"/>
      <c r="M154" s="2259">
        <f t="shared" si="56"/>
        <v>0</v>
      </c>
      <c r="N154" s="2284"/>
      <c r="O154" s="2285"/>
      <c r="P154" s="2259">
        <f t="shared" si="64"/>
        <v>0</v>
      </c>
      <c r="Q154" s="2284">
        <v>2288.0351343429406</v>
      </c>
      <c r="R154" s="2285">
        <f>Q154*1.09</f>
        <v>2493.9582964338056</v>
      </c>
      <c r="S154" s="2259">
        <f t="shared" si="65"/>
        <v>2390.9967153883731</v>
      </c>
      <c r="T154" s="2385">
        <f>T152/T153</f>
        <v>1144.0175671714703</v>
      </c>
      <c r="U154" s="2285">
        <f>U152/U153</f>
        <v>1246.9791482169028</v>
      </c>
      <c r="V154" s="2268">
        <f t="shared" si="57"/>
        <v>1195.4983576941866</v>
      </c>
      <c r="W154" s="2385">
        <f>W152/W153</f>
        <v>1144.0175671714703</v>
      </c>
      <c r="X154" s="2285">
        <f>X152/X153</f>
        <v>1246.9791482169028</v>
      </c>
      <c r="Y154" s="2268">
        <f t="shared" si="58"/>
        <v>1195.4983576941866</v>
      </c>
      <c r="Z154" s="2385">
        <f>Z152/Z153</f>
        <v>1144.0175671714703</v>
      </c>
      <c r="AA154" s="2285">
        <f>AA152/AA153</f>
        <v>1246.9791482169028</v>
      </c>
      <c r="AB154" s="2268">
        <f t="shared" si="59"/>
        <v>1195.4983576941866</v>
      </c>
      <c r="AD154" s="2593"/>
      <c r="AE154" s="2593"/>
      <c r="AF154" s="2218">
        <f t="shared" si="60"/>
        <v>269.41098562899992</v>
      </c>
      <c r="AG154" s="2593">
        <f t="shared" si="61"/>
        <v>-977.56816258790286</v>
      </c>
      <c r="AH154" s="2218">
        <f t="shared" si="62"/>
        <v>977.56816258790275</v>
      </c>
      <c r="AI154" s="2593">
        <f t="shared" si="63"/>
        <v>-269.41098562900004</v>
      </c>
    </row>
    <row r="155" spans="1:35" s="2218" customFormat="1" ht="17.25" customHeight="1" outlineLevel="1">
      <c r="A155" s="2235">
        <v>222</v>
      </c>
      <c r="B155" s="2279"/>
      <c r="C155" s="2280" t="s">
        <v>1961</v>
      </c>
      <c r="D155" s="2254" t="s">
        <v>1317</v>
      </c>
      <c r="E155" s="2255">
        <f>E156*E157</f>
        <v>0</v>
      </c>
      <c r="F155" s="2256">
        <f>F156*F157</f>
        <v>0</v>
      </c>
      <c r="G155" s="2257">
        <f t="shared" si="54"/>
        <v>0</v>
      </c>
      <c r="H155" s="2256">
        <f>H156*H157</f>
        <v>0</v>
      </c>
      <c r="I155" s="2256">
        <f>I156*I157</f>
        <v>0</v>
      </c>
      <c r="J155" s="2257">
        <f t="shared" si="55"/>
        <v>0</v>
      </c>
      <c r="K155" s="2256">
        <f>K156*K157</f>
        <v>0</v>
      </c>
      <c r="L155" s="2256">
        <f>L156*L157</f>
        <v>0</v>
      </c>
      <c r="M155" s="2259">
        <f t="shared" si="56"/>
        <v>0</v>
      </c>
      <c r="N155" s="2255">
        <v>0</v>
      </c>
      <c r="O155" s="2256">
        <v>0</v>
      </c>
      <c r="P155" s="2259">
        <f t="shared" si="64"/>
        <v>0</v>
      </c>
      <c r="Q155" s="2255">
        <v>0</v>
      </c>
      <c r="R155" s="2256">
        <v>0</v>
      </c>
      <c r="S155" s="2259">
        <f t="shared" si="65"/>
        <v>0</v>
      </c>
      <c r="T155" s="2465">
        <f>N155+Q155</f>
        <v>0</v>
      </c>
      <c r="U155" s="2247">
        <f>O155+R155</f>
        <v>0</v>
      </c>
      <c r="V155" s="2268">
        <f t="shared" si="57"/>
        <v>0</v>
      </c>
      <c r="W155" s="2377">
        <f>T155/$T$272*$N$272</f>
        <v>0</v>
      </c>
      <c r="X155" s="2256">
        <f>U155/$T$272*$N$272</f>
        <v>0</v>
      </c>
      <c r="Y155" s="2268">
        <f t="shared" si="58"/>
        <v>0</v>
      </c>
      <c r="Z155" s="2886">
        <f>T155/$T$272*$Z$272</f>
        <v>0</v>
      </c>
      <c r="AA155" s="2887">
        <f>U155/$T$272*$Z$272</f>
        <v>0</v>
      </c>
      <c r="AB155" s="2268">
        <f t="shared" si="59"/>
        <v>0</v>
      </c>
      <c r="AD155" s="2593"/>
      <c r="AE155" s="2593"/>
      <c r="AF155" s="2218">
        <f t="shared" si="60"/>
        <v>0</v>
      </c>
      <c r="AG155" s="2593">
        <f t="shared" si="61"/>
        <v>0</v>
      </c>
      <c r="AH155" s="2218">
        <f t="shared" si="62"/>
        <v>0</v>
      </c>
      <c r="AI155" s="2593">
        <f t="shared" si="63"/>
        <v>0</v>
      </c>
    </row>
    <row r="156" spans="1:35" s="2218" customFormat="1" ht="21" customHeight="1" outlineLevel="1">
      <c r="A156" s="2235">
        <v>231</v>
      </c>
      <c r="B156" s="2281" t="s">
        <v>1962</v>
      </c>
      <c r="C156" s="2282" t="s">
        <v>1929</v>
      </c>
      <c r="D156" s="2283" t="s">
        <v>1951</v>
      </c>
      <c r="E156" s="2284"/>
      <c r="F156" s="2285"/>
      <c r="G156" s="2257">
        <f t="shared" si="54"/>
        <v>0</v>
      </c>
      <c r="H156" s="2285"/>
      <c r="I156" s="2285"/>
      <c r="J156" s="2257">
        <f t="shared" si="55"/>
        <v>0</v>
      </c>
      <c r="K156" s="2285"/>
      <c r="L156" s="2285"/>
      <c r="M156" s="2259">
        <f t="shared" si="56"/>
        <v>0</v>
      </c>
      <c r="N156" s="2284"/>
      <c r="O156" s="2285"/>
      <c r="P156" s="2259">
        <f t="shared" si="64"/>
        <v>0</v>
      </c>
      <c r="Q156" s="2284">
        <v>0</v>
      </c>
      <c r="R156" s="2285">
        <v>0</v>
      </c>
      <c r="S156" s="2259">
        <f t="shared" si="65"/>
        <v>0</v>
      </c>
      <c r="T156" s="2284">
        <v>0</v>
      </c>
      <c r="U156" s="2285">
        <v>0</v>
      </c>
      <c r="V156" s="2268">
        <f t="shared" si="57"/>
        <v>0</v>
      </c>
      <c r="W156" s="2888">
        <f>T156/$T$272*$W$272</f>
        <v>0</v>
      </c>
      <c r="X156" s="2889">
        <f>U156/$T$272*$W$272</f>
        <v>0</v>
      </c>
      <c r="Y156" s="2268">
        <f t="shared" si="58"/>
        <v>0</v>
      </c>
      <c r="Z156" s="2888">
        <f>T156/$T$272*$Z$272</f>
        <v>0</v>
      </c>
      <c r="AA156" s="2889">
        <f>U156/$T$272*$Z$272</f>
        <v>0</v>
      </c>
      <c r="AB156" s="2268">
        <f t="shared" si="59"/>
        <v>0</v>
      </c>
      <c r="AD156" s="2593"/>
      <c r="AE156" s="2593"/>
      <c r="AF156" s="2218">
        <f t="shared" si="60"/>
        <v>0</v>
      </c>
      <c r="AG156" s="2593">
        <f t="shared" si="61"/>
        <v>0</v>
      </c>
      <c r="AH156" s="2218">
        <f t="shared" si="62"/>
        <v>0</v>
      </c>
      <c r="AI156" s="2593">
        <f t="shared" si="63"/>
        <v>0</v>
      </c>
    </row>
    <row r="157" spans="1:35" s="2218" customFormat="1" ht="21" customHeight="1" outlineLevel="1">
      <c r="A157" s="2235">
        <v>232</v>
      </c>
      <c r="B157" s="2281" t="s">
        <v>1963</v>
      </c>
      <c r="C157" s="2282" t="s">
        <v>1953</v>
      </c>
      <c r="D157" s="2283" t="s">
        <v>1954</v>
      </c>
      <c r="E157" s="2284"/>
      <c r="F157" s="2285"/>
      <c r="G157" s="2257">
        <f t="shared" si="54"/>
        <v>0</v>
      </c>
      <c r="H157" s="2285"/>
      <c r="I157" s="2285"/>
      <c r="J157" s="2257">
        <f t="shared" si="55"/>
        <v>0</v>
      </c>
      <c r="K157" s="2285"/>
      <c r="L157" s="2285"/>
      <c r="M157" s="2259">
        <f t="shared" si="56"/>
        <v>0</v>
      </c>
      <c r="N157" s="2284"/>
      <c r="O157" s="2285"/>
      <c r="P157" s="2259">
        <f t="shared" si="64"/>
        <v>0</v>
      </c>
      <c r="Q157" s="2284">
        <v>0</v>
      </c>
      <c r="R157" s="2285">
        <v>0</v>
      </c>
      <c r="S157" s="2259">
        <f t="shared" si="65"/>
        <v>0</v>
      </c>
      <c r="T157" s="2284">
        <v>0</v>
      </c>
      <c r="U157" s="2285">
        <v>0</v>
      </c>
      <c r="V157" s="2268">
        <f t="shared" si="57"/>
        <v>0</v>
      </c>
      <c r="W157" s="2385" t="e">
        <f>W155/W156</f>
        <v>#DIV/0!</v>
      </c>
      <c r="X157" s="2285" t="e">
        <f>X155/X156</f>
        <v>#DIV/0!</v>
      </c>
      <c r="Y157" s="2268" t="e">
        <f t="shared" si="58"/>
        <v>#DIV/0!</v>
      </c>
      <c r="Z157" s="2385" t="e">
        <f>Z155/Z156</f>
        <v>#DIV/0!</v>
      </c>
      <c r="AA157" s="2285" t="e">
        <f>AA155/AA156</f>
        <v>#DIV/0!</v>
      </c>
      <c r="AB157" s="2268" t="e">
        <f t="shared" si="59"/>
        <v>#DIV/0!</v>
      </c>
      <c r="AD157" s="2593"/>
      <c r="AE157" s="2593"/>
      <c r="AF157" s="2218">
        <f t="shared" si="60"/>
        <v>0</v>
      </c>
      <c r="AG157" s="2593" t="e">
        <f t="shared" si="61"/>
        <v>#DIV/0!</v>
      </c>
      <c r="AH157" s="2218">
        <f t="shared" si="62"/>
        <v>0</v>
      </c>
      <c r="AI157" s="2593" t="e">
        <f t="shared" si="63"/>
        <v>#DIV/0!</v>
      </c>
    </row>
    <row r="158" spans="1:35" s="2218" customFormat="1" ht="16.5" customHeight="1" outlineLevel="1">
      <c r="A158" s="2235">
        <v>217</v>
      </c>
      <c r="B158" s="2279"/>
      <c r="C158" s="2280" t="s">
        <v>1964</v>
      </c>
      <c r="D158" s="2254" t="s">
        <v>1317</v>
      </c>
      <c r="E158" s="2255">
        <f>E159+E162+E165+E168+E171</f>
        <v>0</v>
      </c>
      <c r="F158" s="2256"/>
      <c r="G158" s="2257">
        <f t="shared" si="54"/>
        <v>0</v>
      </c>
      <c r="H158" s="2256">
        <f>H159+H162+H165+H168+H171</f>
        <v>0</v>
      </c>
      <c r="I158" s="2256"/>
      <c r="J158" s="2257">
        <f t="shared" si="55"/>
        <v>0</v>
      </c>
      <c r="K158" s="2256">
        <f>K159+K162+K165+K168+K171</f>
        <v>0</v>
      </c>
      <c r="L158" s="2256"/>
      <c r="M158" s="2259">
        <f t="shared" si="56"/>
        <v>0</v>
      </c>
      <c r="N158" s="2255">
        <v>0</v>
      </c>
      <c r="O158" s="2256"/>
      <c r="P158" s="2259">
        <f t="shared" si="64"/>
        <v>0</v>
      </c>
      <c r="Q158" s="2256">
        <f>Q159+Q162+Q165+Q168+Q171</f>
        <v>3026.4579984767956</v>
      </c>
      <c r="R158" s="2256">
        <f>R159+R162+R165+R168+R171</f>
        <v>3298.8392183397077</v>
      </c>
      <c r="S158" s="2259">
        <f t="shared" si="65"/>
        <v>3162.6486084082517</v>
      </c>
      <c r="T158" s="2377">
        <f>T162+T165+T168+T171</f>
        <v>3026.4579984767956</v>
      </c>
      <c r="U158" s="2256">
        <f>U162+U165+U168+U171</f>
        <v>3298.8392183397077</v>
      </c>
      <c r="V158" s="2268">
        <f t="shared" si="57"/>
        <v>3162.6486084082517</v>
      </c>
      <c r="W158" s="2377">
        <f>T158/$T$272*$N$272</f>
        <v>653.86901898104395</v>
      </c>
      <c r="X158" s="2256">
        <f>U158/$T$272*$N$272</f>
        <v>712.71723068933795</v>
      </c>
      <c r="Y158" s="2268">
        <f t="shared" si="58"/>
        <v>683.29312483519095</v>
      </c>
      <c r="Z158" s="2886">
        <f t="shared" ref="Z158:AA160" si="69">T158/$T$272*$Z$272</f>
        <v>2372.5889794957516</v>
      </c>
      <c r="AA158" s="2887">
        <f t="shared" si="69"/>
        <v>2586.1219876503696</v>
      </c>
      <c r="AB158" s="2268">
        <f t="shared" si="59"/>
        <v>2479.3554835730606</v>
      </c>
      <c r="AD158" s="2593"/>
      <c r="AE158" s="2593"/>
      <c r="AF158" s="2218">
        <f t="shared" si="60"/>
        <v>712.71723068933795</v>
      </c>
      <c r="AG158" s="2593">
        <f t="shared" si="61"/>
        <v>0</v>
      </c>
      <c r="AH158" s="2218">
        <f t="shared" si="62"/>
        <v>2586.1219876503696</v>
      </c>
      <c r="AI158" s="2593">
        <f t="shared" si="63"/>
        <v>0</v>
      </c>
    </row>
    <row r="159" spans="1:35" s="2218" customFormat="1" ht="17.25" customHeight="1" outlineLevel="1">
      <c r="A159" s="2235">
        <v>233</v>
      </c>
      <c r="B159" s="2279"/>
      <c r="C159" s="2280" t="s">
        <v>1927</v>
      </c>
      <c r="D159" s="2254" t="s">
        <v>1317</v>
      </c>
      <c r="E159" s="2255">
        <f>E160*E161</f>
        <v>0</v>
      </c>
      <c r="F159" s="2256">
        <f>F160*F161</f>
        <v>0</v>
      </c>
      <c r="G159" s="2257">
        <f t="shared" si="54"/>
        <v>0</v>
      </c>
      <c r="H159" s="2256">
        <f>H160*H161</f>
        <v>0</v>
      </c>
      <c r="I159" s="2256">
        <f>I160*I161</f>
        <v>0</v>
      </c>
      <c r="J159" s="2257">
        <f t="shared" si="55"/>
        <v>0</v>
      </c>
      <c r="K159" s="2256">
        <f>K160*K161</f>
        <v>0</v>
      </c>
      <c r="L159" s="2256">
        <f>L160*L161</f>
        <v>0</v>
      </c>
      <c r="M159" s="2259">
        <f t="shared" si="56"/>
        <v>0</v>
      </c>
      <c r="N159" s="2255">
        <v>0</v>
      </c>
      <c r="O159" s="2256">
        <v>0</v>
      </c>
      <c r="P159" s="2259">
        <f t="shared" si="64"/>
        <v>0</v>
      </c>
      <c r="Q159" s="2256">
        <f>Q160*Q161</f>
        <v>0</v>
      </c>
      <c r="R159" s="2256">
        <f>R160*R161</f>
        <v>0</v>
      </c>
      <c r="S159" s="2259">
        <f t="shared" si="65"/>
        <v>0</v>
      </c>
      <c r="T159" s="2255">
        <v>0</v>
      </c>
      <c r="U159" s="2256">
        <v>0</v>
      </c>
      <c r="V159" s="2268">
        <f t="shared" si="57"/>
        <v>0</v>
      </c>
      <c r="W159" s="2377">
        <f>T159/$T$272*$N$272</f>
        <v>0</v>
      </c>
      <c r="X159" s="2256">
        <f>U159/$T$272*$N$272</f>
        <v>0</v>
      </c>
      <c r="Y159" s="2268">
        <f t="shared" si="58"/>
        <v>0</v>
      </c>
      <c r="Z159" s="2886">
        <f t="shared" si="69"/>
        <v>0</v>
      </c>
      <c r="AA159" s="2887">
        <f t="shared" si="69"/>
        <v>0</v>
      </c>
      <c r="AB159" s="2268">
        <f t="shared" si="59"/>
        <v>0</v>
      </c>
      <c r="AD159" s="2593"/>
      <c r="AE159" s="2593"/>
      <c r="AF159" s="2218">
        <f t="shared" si="60"/>
        <v>0</v>
      </c>
      <c r="AG159" s="2593">
        <f t="shared" si="61"/>
        <v>0</v>
      </c>
      <c r="AH159" s="2218">
        <f t="shared" si="62"/>
        <v>0</v>
      </c>
      <c r="AI159" s="2593">
        <f t="shared" si="63"/>
        <v>0</v>
      </c>
    </row>
    <row r="160" spans="1:35" s="2218" customFormat="1" ht="21" customHeight="1" outlineLevel="1">
      <c r="A160" s="2235">
        <v>242</v>
      </c>
      <c r="B160" s="2281" t="s">
        <v>1965</v>
      </c>
      <c r="C160" s="2282" t="s">
        <v>1929</v>
      </c>
      <c r="D160" s="2283" t="s">
        <v>1951</v>
      </c>
      <c r="E160" s="2284"/>
      <c r="F160" s="2285"/>
      <c r="G160" s="2257">
        <f t="shared" si="54"/>
        <v>0</v>
      </c>
      <c r="H160" s="2285"/>
      <c r="I160" s="2285"/>
      <c r="J160" s="2257">
        <f t="shared" si="55"/>
        <v>0</v>
      </c>
      <c r="K160" s="2285"/>
      <c r="L160" s="2285"/>
      <c r="M160" s="2259">
        <f t="shared" si="56"/>
        <v>0</v>
      </c>
      <c r="N160" s="2284"/>
      <c r="O160" s="2285"/>
      <c r="P160" s="2259">
        <f t="shared" si="64"/>
        <v>0</v>
      </c>
      <c r="Q160" s="2284">
        <v>0</v>
      </c>
      <c r="R160" s="2285">
        <v>0</v>
      </c>
      <c r="S160" s="2259">
        <f t="shared" si="65"/>
        <v>0</v>
      </c>
      <c r="T160" s="2284">
        <v>0</v>
      </c>
      <c r="U160" s="2285">
        <v>0</v>
      </c>
      <c r="V160" s="2268">
        <f t="shared" si="57"/>
        <v>0</v>
      </c>
      <c r="W160" s="2888">
        <f>T160/$T$272*$W$272</f>
        <v>0</v>
      </c>
      <c r="X160" s="2889">
        <f>U160/$T$272*$W$272</f>
        <v>0</v>
      </c>
      <c r="Y160" s="2268">
        <f t="shared" si="58"/>
        <v>0</v>
      </c>
      <c r="Z160" s="2888">
        <f t="shared" si="69"/>
        <v>0</v>
      </c>
      <c r="AA160" s="2889">
        <f t="shared" si="69"/>
        <v>0</v>
      </c>
      <c r="AB160" s="2268">
        <f t="shared" si="59"/>
        <v>0</v>
      </c>
      <c r="AD160" s="2593"/>
      <c r="AE160" s="2593"/>
      <c r="AF160" s="2218">
        <f t="shared" si="60"/>
        <v>0</v>
      </c>
      <c r="AG160" s="2593">
        <f t="shared" si="61"/>
        <v>0</v>
      </c>
      <c r="AH160" s="2218">
        <f t="shared" si="62"/>
        <v>0</v>
      </c>
      <c r="AI160" s="2593">
        <f t="shared" si="63"/>
        <v>0</v>
      </c>
    </row>
    <row r="161" spans="1:35" s="2218" customFormat="1" ht="21" customHeight="1" outlineLevel="1">
      <c r="A161" s="2235">
        <v>243</v>
      </c>
      <c r="B161" s="2281" t="s">
        <v>1966</v>
      </c>
      <c r="C161" s="2282" t="s">
        <v>1967</v>
      </c>
      <c r="D161" s="2283" t="s">
        <v>1954</v>
      </c>
      <c r="E161" s="2284"/>
      <c r="F161" s="2285"/>
      <c r="G161" s="2257">
        <f t="shared" si="54"/>
        <v>0</v>
      </c>
      <c r="H161" s="2285"/>
      <c r="I161" s="2285"/>
      <c r="J161" s="2257">
        <f t="shared" si="55"/>
        <v>0</v>
      </c>
      <c r="K161" s="2285"/>
      <c r="L161" s="2285"/>
      <c r="M161" s="2259">
        <f t="shared" si="56"/>
        <v>0</v>
      </c>
      <c r="N161" s="2284"/>
      <c r="O161" s="2285"/>
      <c r="P161" s="2259">
        <f t="shared" si="64"/>
        <v>0</v>
      </c>
      <c r="Q161" s="2284">
        <v>0</v>
      </c>
      <c r="R161" s="2285">
        <v>0</v>
      </c>
      <c r="S161" s="2259">
        <f t="shared" si="65"/>
        <v>0</v>
      </c>
      <c r="T161" s="2284">
        <v>0</v>
      </c>
      <c r="U161" s="2285">
        <v>0</v>
      </c>
      <c r="V161" s="2268">
        <f t="shared" si="57"/>
        <v>0</v>
      </c>
      <c r="W161" s="2385" t="e">
        <f>W159/W160</f>
        <v>#DIV/0!</v>
      </c>
      <c r="X161" s="2285" t="e">
        <f>X159/X160</f>
        <v>#DIV/0!</v>
      </c>
      <c r="Y161" s="2268" t="e">
        <f t="shared" si="58"/>
        <v>#DIV/0!</v>
      </c>
      <c r="Z161" s="2385" t="e">
        <f>Z159/Z160</f>
        <v>#DIV/0!</v>
      </c>
      <c r="AA161" s="2285" t="e">
        <f>AA159/AA160</f>
        <v>#DIV/0!</v>
      </c>
      <c r="AB161" s="2268" t="e">
        <f t="shared" si="59"/>
        <v>#DIV/0!</v>
      </c>
      <c r="AD161" s="2593"/>
      <c r="AE161" s="2593"/>
      <c r="AF161" s="2218">
        <f t="shared" si="60"/>
        <v>0</v>
      </c>
      <c r="AG161" s="2593" t="e">
        <f t="shared" si="61"/>
        <v>#DIV/0!</v>
      </c>
      <c r="AH161" s="2218">
        <f t="shared" si="62"/>
        <v>0</v>
      </c>
      <c r="AI161" s="2593" t="e">
        <f t="shared" si="63"/>
        <v>#DIV/0!</v>
      </c>
    </row>
    <row r="162" spans="1:35" s="2218" customFormat="1" ht="18.75" customHeight="1" outlineLevel="1">
      <c r="A162" s="2235">
        <v>234</v>
      </c>
      <c r="B162" s="2279"/>
      <c r="C162" s="2280" t="s">
        <v>1936</v>
      </c>
      <c r="D162" s="2254" t="s">
        <v>1317</v>
      </c>
      <c r="E162" s="2255">
        <f>E163*E164</f>
        <v>0</v>
      </c>
      <c r="F162" s="2256">
        <f>F163*F164</f>
        <v>0</v>
      </c>
      <c r="G162" s="2257">
        <f t="shared" si="54"/>
        <v>0</v>
      </c>
      <c r="H162" s="2256">
        <f>H163*H164</f>
        <v>0</v>
      </c>
      <c r="I162" s="2256">
        <f>I163*I164</f>
        <v>0</v>
      </c>
      <c r="J162" s="2257">
        <f t="shared" si="55"/>
        <v>0</v>
      </c>
      <c r="K162" s="2256">
        <f>K163*K164</f>
        <v>0</v>
      </c>
      <c r="L162" s="2256">
        <f>L163*L164</f>
        <v>0</v>
      </c>
      <c r="M162" s="2259">
        <f t="shared" si="56"/>
        <v>0</v>
      </c>
      <c r="N162" s="2255">
        <v>0</v>
      </c>
      <c r="O162" s="2256">
        <v>0</v>
      </c>
      <c r="P162" s="2259">
        <f t="shared" si="64"/>
        <v>0</v>
      </c>
      <c r="Q162" s="2255">
        <v>0</v>
      </c>
      <c r="R162" s="2256">
        <v>0</v>
      </c>
      <c r="S162" s="2259">
        <f t="shared" si="65"/>
        <v>0</v>
      </c>
      <c r="T162" s="2255">
        <v>0</v>
      </c>
      <c r="U162" s="2256">
        <v>0</v>
      </c>
      <c r="V162" s="2268">
        <f t="shared" si="57"/>
        <v>0</v>
      </c>
      <c r="W162" s="2377">
        <f>T162/$T$272*$N$272</f>
        <v>0</v>
      </c>
      <c r="X162" s="2256">
        <f>U162/$T$272*$N$272</f>
        <v>0</v>
      </c>
      <c r="Y162" s="2268">
        <f t="shared" si="58"/>
        <v>0</v>
      </c>
      <c r="Z162" s="2886">
        <f>T162/$T$272*$Z$272</f>
        <v>0</v>
      </c>
      <c r="AA162" s="2887">
        <f>U162/$T$272*$Z$272</f>
        <v>0</v>
      </c>
      <c r="AB162" s="2268">
        <f t="shared" si="59"/>
        <v>0</v>
      </c>
      <c r="AD162" s="2593"/>
      <c r="AE162" s="2593"/>
      <c r="AF162" s="2218">
        <f t="shared" si="60"/>
        <v>0</v>
      </c>
      <c r="AG162" s="2593">
        <f t="shared" si="61"/>
        <v>0</v>
      </c>
      <c r="AH162" s="2218">
        <f t="shared" si="62"/>
        <v>0</v>
      </c>
      <c r="AI162" s="2593">
        <f t="shared" si="63"/>
        <v>0</v>
      </c>
    </row>
    <row r="163" spans="1:35" s="2218" customFormat="1" ht="21" customHeight="1" outlineLevel="1">
      <c r="A163" s="2235">
        <v>244</v>
      </c>
      <c r="B163" s="2281" t="s">
        <v>1968</v>
      </c>
      <c r="C163" s="2282" t="s">
        <v>1929</v>
      </c>
      <c r="D163" s="2283" t="s">
        <v>1951</v>
      </c>
      <c r="E163" s="2284"/>
      <c r="F163" s="2285"/>
      <c r="G163" s="2257">
        <f t="shared" si="54"/>
        <v>0</v>
      </c>
      <c r="H163" s="2285"/>
      <c r="I163" s="2285"/>
      <c r="J163" s="2257">
        <f t="shared" si="55"/>
        <v>0</v>
      </c>
      <c r="K163" s="2285"/>
      <c r="L163" s="2285"/>
      <c r="M163" s="2259">
        <f t="shared" si="56"/>
        <v>0</v>
      </c>
      <c r="N163" s="2284"/>
      <c r="O163" s="2285"/>
      <c r="P163" s="2259">
        <f t="shared" si="64"/>
        <v>0</v>
      </c>
      <c r="Q163" s="2284">
        <v>0</v>
      </c>
      <c r="R163" s="2285">
        <v>0</v>
      </c>
      <c r="S163" s="2259">
        <f t="shared" si="65"/>
        <v>0</v>
      </c>
      <c r="T163" s="2284">
        <v>0</v>
      </c>
      <c r="U163" s="2285">
        <v>0</v>
      </c>
      <c r="V163" s="2268">
        <f t="shared" si="57"/>
        <v>0</v>
      </c>
      <c r="W163" s="2888">
        <f>T163/$T$272*$W$272</f>
        <v>0</v>
      </c>
      <c r="X163" s="2889">
        <f>U163/$T$272*$W$272</f>
        <v>0</v>
      </c>
      <c r="Y163" s="2268">
        <f t="shared" si="58"/>
        <v>0</v>
      </c>
      <c r="Z163" s="2888">
        <f>T163/$T$272*$Z$272</f>
        <v>0</v>
      </c>
      <c r="AA163" s="2889">
        <f>U163/$T$272*$Z$272</f>
        <v>0</v>
      </c>
      <c r="AB163" s="2268">
        <f t="shared" si="59"/>
        <v>0</v>
      </c>
      <c r="AD163" s="2593"/>
      <c r="AE163" s="2593"/>
      <c r="AF163" s="2218">
        <f t="shared" si="60"/>
        <v>0</v>
      </c>
      <c r="AG163" s="2593">
        <f t="shared" si="61"/>
        <v>0</v>
      </c>
      <c r="AH163" s="2218">
        <f t="shared" si="62"/>
        <v>0</v>
      </c>
      <c r="AI163" s="2593">
        <f t="shared" si="63"/>
        <v>0</v>
      </c>
    </row>
    <row r="164" spans="1:35" s="2218" customFormat="1" ht="21" customHeight="1" outlineLevel="1">
      <c r="A164" s="2235">
        <v>245</v>
      </c>
      <c r="B164" s="2281" t="s">
        <v>1969</v>
      </c>
      <c r="C164" s="2282" t="s">
        <v>1967</v>
      </c>
      <c r="D164" s="2283" t="s">
        <v>1954</v>
      </c>
      <c r="E164" s="2284"/>
      <c r="F164" s="2285"/>
      <c r="G164" s="2257">
        <f t="shared" si="54"/>
        <v>0</v>
      </c>
      <c r="H164" s="2285"/>
      <c r="I164" s="2285"/>
      <c r="J164" s="2257">
        <f t="shared" si="55"/>
        <v>0</v>
      </c>
      <c r="K164" s="2285"/>
      <c r="L164" s="2285"/>
      <c r="M164" s="2259">
        <f t="shared" si="56"/>
        <v>0</v>
      </c>
      <c r="N164" s="2284"/>
      <c r="O164" s="2285"/>
      <c r="P164" s="2259">
        <f t="shared" si="64"/>
        <v>0</v>
      </c>
      <c r="Q164" s="2284">
        <v>0</v>
      </c>
      <c r="R164" s="2285">
        <v>0</v>
      </c>
      <c r="S164" s="2259">
        <f t="shared" si="65"/>
        <v>0</v>
      </c>
      <c r="T164" s="2284">
        <v>0</v>
      </c>
      <c r="U164" s="2285">
        <v>0</v>
      </c>
      <c r="V164" s="2268">
        <f t="shared" si="57"/>
        <v>0</v>
      </c>
      <c r="W164" s="2385" t="e">
        <f>W162/W163</f>
        <v>#DIV/0!</v>
      </c>
      <c r="X164" s="2285" t="e">
        <f>X162/X163</f>
        <v>#DIV/0!</v>
      </c>
      <c r="Y164" s="2268" t="e">
        <f t="shared" si="58"/>
        <v>#DIV/0!</v>
      </c>
      <c r="Z164" s="2385" t="e">
        <f>Z162/Z163</f>
        <v>#DIV/0!</v>
      </c>
      <c r="AA164" s="2285" t="e">
        <f>AA162/AA163</f>
        <v>#DIV/0!</v>
      </c>
      <c r="AB164" s="2268" t="e">
        <f t="shared" si="59"/>
        <v>#DIV/0!</v>
      </c>
      <c r="AD164" s="2593"/>
      <c r="AE164" s="2593"/>
      <c r="AF164" s="2218">
        <f t="shared" si="60"/>
        <v>0</v>
      </c>
      <c r="AG164" s="2593" t="e">
        <f t="shared" si="61"/>
        <v>#DIV/0!</v>
      </c>
      <c r="AH164" s="2218">
        <f t="shared" si="62"/>
        <v>0</v>
      </c>
      <c r="AI164" s="2593" t="e">
        <f t="shared" si="63"/>
        <v>#DIV/0!</v>
      </c>
    </row>
    <row r="165" spans="1:35" s="2218" customFormat="1" ht="15.75" customHeight="1" outlineLevel="1">
      <c r="A165" s="2235">
        <v>235</v>
      </c>
      <c r="B165" s="2279"/>
      <c r="C165" s="2280" t="s">
        <v>1939</v>
      </c>
      <c r="D165" s="2254" t="s">
        <v>1317</v>
      </c>
      <c r="E165" s="2255">
        <f>E166*E167</f>
        <v>0</v>
      </c>
      <c r="F165" s="2256">
        <f>F166*F167</f>
        <v>0</v>
      </c>
      <c r="G165" s="2257">
        <f t="shared" si="54"/>
        <v>0</v>
      </c>
      <c r="H165" s="2256">
        <f>H166*H167</f>
        <v>0</v>
      </c>
      <c r="I165" s="2256">
        <f>I166*I167</f>
        <v>0</v>
      </c>
      <c r="J165" s="2257">
        <f t="shared" si="55"/>
        <v>0</v>
      </c>
      <c r="K165" s="2256">
        <f>K166*K167</f>
        <v>0</v>
      </c>
      <c r="L165" s="2256">
        <f>L166*L167</f>
        <v>0</v>
      </c>
      <c r="M165" s="2259">
        <f t="shared" si="56"/>
        <v>0</v>
      </c>
      <c r="N165" s="2255">
        <v>0</v>
      </c>
      <c r="O165" s="2256">
        <v>0</v>
      </c>
      <c r="P165" s="2259">
        <f t="shared" si="64"/>
        <v>0</v>
      </c>
      <c r="Q165" s="2255">
        <v>0</v>
      </c>
      <c r="R165" s="2256">
        <v>0</v>
      </c>
      <c r="S165" s="2259">
        <f t="shared" si="65"/>
        <v>0</v>
      </c>
      <c r="T165" s="2255">
        <v>0</v>
      </c>
      <c r="U165" s="2256">
        <v>0</v>
      </c>
      <c r="V165" s="2268">
        <f t="shared" si="57"/>
        <v>0</v>
      </c>
      <c r="W165" s="2377">
        <f>T165/$T$272*$N$272</f>
        <v>0</v>
      </c>
      <c r="X165" s="2256">
        <f>U165/$T$272*$N$272</f>
        <v>0</v>
      </c>
      <c r="Y165" s="2268">
        <f t="shared" si="58"/>
        <v>0</v>
      </c>
      <c r="Z165" s="2886">
        <f>T165/$T$272*$Z$272</f>
        <v>0</v>
      </c>
      <c r="AA165" s="2887">
        <f>U165/$T$272*$Z$272</f>
        <v>0</v>
      </c>
      <c r="AB165" s="2268">
        <f t="shared" si="59"/>
        <v>0</v>
      </c>
      <c r="AD165" s="2593"/>
      <c r="AE165" s="2593"/>
      <c r="AF165" s="2218">
        <f t="shared" si="60"/>
        <v>0</v>
      </c>
      <c r="AG165" s="2593">
        <f t="shared" si="61"/>
        <v>0</v>
      </c>
      <c r="AH165" s="2218">
        <f t="shared" si="62"/>
        <v>0</v>
      </c>
      <c r="AI165" s="2593">
        <f t="shared" si="63"/>
        <v>0</v>
      </c>
    </row>
    <row r="166" spans="1:35" s="2218" customFormat="1" ht="21" customHeight="1" outlineLevel="1">
      <c r="A166" s="2235">
        <v>246</v>
      </c>
      <c r="B166" s="2281" t="s">
        <v>1970</v>
      </c>
      <c r="C166" s="2282" t="s">
        <v>1929</v>
      </c>
      <c r="D166" s="2283" t="s">
        <v>1951</v>
      </c>
      <c r="E166" s="2284"/>
      <c r="F166" s="2285"/>
      <c r="G166" s="2257">
        <f t="shared" si="54"/>
        <v>0</v>
      </c>
      <c r="H166" s="2285"/>
      <c r="I166" s="2285"/>
      <c r="J166" s="2257">
        <f t="shared" si="55"/>
        <v>0</v>
      </c>
      <c r="K166" s="2285"/>
      <c r="L166" s="2285"/>
      <c r="M166" s="2259">
        <f t="shared" si="56"/>
        <v>0</v>
      </c>
      <c r="N166" s="2284"/>
      <c r="O166" s="2285"/>
      <c r="P166" s="2259">
        <f t="shared" si="64"/>
        <v>0</v>
      </c>
      <c r="Q166" s="2294">
        <v>0</v>
      </c>
      <c r="R166" s="2285">
        <v>0</v>
      </c>
      <c r="S166" s="2259">
        <f t="shared" si="65"/>
        <v>0</v>
      </c>
      <c r="T166" s="2294">
        <v>0</v>
      </c>
      <c r="U166" s="2285">
        <v>0</v>
      </c>
      <c r="V166" s="2268">
        <f t="shared" si="57"/>
        <v>0</v>
      </c>
      <c r="W166" s="2888">
        <f>T166/$T$272*$W$272</f>
        <v>0</v>
      </c>
      <c r="X166" s="2889">
        <f>U166/$T$272*$W$272</f>
        <v>0</v>
      </c>
      <c r="Y166" s="2268">
        <f t="shared" si="58"/>
        <v>0</v>
      </c>
      <c r="Z166" s="2888">
        <f>T166/$T$272*$Z$272</f>
        <v>0</v>
      </c>
      <c r="AA166" s="2889">
        <f>U166/$T$272*$Z$272</f>
        <v>0</v>
      </c>
      <c r="AB166" s="2268">
        <f t="shared" si="59"/>
        <v>0</v>
      </c>
      <c r="AD166" s="2593"/>
      <c r="AE166" s="2593"/>
      <c r="AF166" s="2218">
        <f t="shared" si="60"/>
        <v>0</v>
      </c>
      <c r="AG166" s="2593">
        <f t="shared" si="61"/>
        <v>0</v>
      </c>
      <c r="AH166" s="2218">
        <f t="shared" si="62"/>
        <v>0</v>
      </c>
      <c r="AI166" s="2593">
        <f t="shared" si="63"/>
        <v>0</v>
      </c>
    </row>
    <row r="167" spans="1:35" s="2218" customFormat="1" ht="21" customHeight="1" outlineLevel="1">
      <c r="A167" s="2235">
        <v>247</v>
      </c>
      <c r="B167" s="2281" t="s">
        <v>1971</v>
      </c>
      <c r="C167" s="2282" t="s">
        <v>1967</v>
      </c>
      <c r="D167" s="2283" t="s">
        <v>1954</v>
      </c>
      <c r="E167" s="2284"/>
      <c r="F167" s="2285"/>
      <c r="G167" s="2257">
        <f t="shared" si="54"/>
        <v>0</v>
      </c>
      <c r="H167" s="2285"/>
      <c r="I167" s="2285"/>
      <c r="J167" s="2257">
        <f t="shared" si="55"/>
        <v>0</v>
      </c>
      <c r="K167" s="2285"/>
      <c r="L167" s="2285"/>
      <c r="M167" s="2259">
        <f t="shared" si="56"/>
        <v>0</v>
      </c>
      <c r="N167" s="2284"/>
      <c r="O167" s="2285"/>
      <c r="P167" s="2259">
        <f t="shared" si="64"/>
        <v>0</v>
      </c>
      <c r="Q167" s="2284">
        <v>0</v>
      </c>
      <c r="R167" s="2285">
        <v>0</v>
      </c>
      <c r="S167" s="2259">
        <f t="shared" si="65"/>
        <v>0</v>
      </c>
      <c r="T167" s="2284">
        <v>0</v>
      </c>
      <c r="U167" s="2285">
        <v>0</v>
      </c>
      <c r="V167" s="2268">
        <f t="shared" si="57"/>
        <v>0</v>
      </c>
      <c r="W167" s="2385" t="e">
        <f>W165/W166</f>
        <v>#DIV/0!</v>
      </c>
      <c r="X167" s="2285" t="e">
        <f>X165/X166</f>
        <v>#DIV/0!</v>
      </c>
      <c r="Y167" s="2268" t="e">
        <f t="shared" si="58"/>
        <v>#DIV/0!</v>
      </c>
      <c r="Z167" s="2385" t="e">
        <f>Z165/Z166</f>
        <v>#DIV/0!</v>
      </c>
      <c r="AA167" s="2285" t="e">
        <f>AA165/AA166</f>
        <v>#DIV/0!</v>
      </c>
      <c r="AB167" s="2268" t="e">
        <f t="shared" si="59"/>
        <v>#DIV/0!</v>
      </c>
      <c r="AD167" s="2593"/>
      <c r="AE167" s="2593"/>
      <c r="AF167" s="2218">
        <f t="shared" si="60"/>
        <v>0</v>
      </c>
      <c r="AG167" s="2593" t="e">
        <f t="shared" si="61"/>
        <v>#DIV/0!</v>
      </c>
      <c r="AH167" s="2218">
        <f t="shared" si="62"/>
        <v>0</v>
      </c>
      <c r="AI167" s="2593" t="e">
        <f t="shared" si="63"/>
        <v>#DIV/0!</v>
      </c>
    </row>
    <row r="168" spans="1:35" s="2218" customFormat="1" ht="19.5" customHeight="1" outlineLevel="1">
      <c r="A168" s="2235">
        <v>236</v>
      </c>
      <c r="B168" s="2279"/>
      <c r="C168" s="2280" t="s">
        <v>1942</v>
      </c>
      <c r="D168" s="2254" t="s">
        <v>1317</v>
      </c>
      <c r="E168" s="2255">
        <f>E169*E170</f>
        <v>0</v>
      </c>
      <c r="F168" s="2256">
        <f>F169*F170</f>
        <v>0</v>
      </c>
      <c r="G168" s="2257">
        <f t="shared" si="54"/>
        <v>0</v>
      </c>
      <c r="H168" s="2256">
        <f>H169*H170</f>
        <v>0</v>
      </c>
      <c r="I168" s="2256">
        <f>I169*I170</f>
        <v>0</v>
      </c>
      <c r="J168" s="2257">
        <f t="shared" si="55"/>
        <v>0</v>
      </c>
      <c r="K168" s="2256">
        <f>K169*K170</f>
        <v>0</v>
      </c>
      <c r="L168" s="2256">
        <f>L169*L170</f>
        <v>0</v>
      </c>
      <c r="M168" s="2259">
        <f t="shared" si="56"/>
        <v>0</v>
      </c>
      <c r="N168" s="2255">
        <v>0</v>
      </c>
      <c r="O168" s="2256">
        <v>0</v>
      </c>
      <c r="P168" s="2259">
        <f t="shared" si="64"/>
        <v>0</v>
      </c>
      <c r="Q168" s="2256">
        <f>Q169*Q170</f>
        <v>3026.4579984767956</v>
      </c>
      <c r="R168" s="2256">
        <f>R169*R170</f>
        <v>3298.8392183397077</v>
      </c>
      <c r="S168" s="2259">
        <f t="shared" si="65"/>
        <v>3162.6486084082517</v>
      </c>
      <c r="T168" s="2465">
        <f>N168+Q168</f>
        <v>3026.4579984767956</v>
      </c>
      <c r="U168" s="2247">
        <f>O168+R168</f>
        <v>3298.8392183397077</v>
      </c>
      <c r="V168" s="2268">
        <f t="shared" si="57"/>
        <v>3162.6486084082517</v>
      </c>
      <c r="W168" s="2377">
        <f>T168/$T$272*$N$272</f>
        <v>653.86901898104395</v>
      </c>
      <c r="X168" s="2256">
        <f>U168/$T$272*$N$272</f>
        <v>712.71723068933795</v>
      </c>
      <c r="Y168" s="2268">
        <f t="shared" si="58"/>
        <v>683.29312483519095</v>
      </c>
      <c r="Z168" s="2886">
        <f>T168/$T$272*$Z$272</f>
        <v>2372.5889794957516</v>
      </c>
      <c r="AA168" s="2887">
        <f>U168/$T$272*$Z$272</f>
        <v>2586.1219876503696</v>
      </c>
      <c r="AB168" s="2268">
        <f t="shared" si="59"/>
        <v>2479.3554835730606</v>
      </c>
      <c r="AD168" s="2593"/>
      <c r="AE168" s="2593"/>
      <c r="AF168" s="2218">
        <f t="shared" si="60"/>
        <v>712.71723068933795</v>
      </c>
      <c r="AG168" s="2593">
        <f t="shared" si="61"/>
        <v>0</v>
      </c>
      <c r="AH168" s="2218">
        <f t="shared" si="62"/>
        <v>2586.1219876503696</v>
      </c>
      <c r="AI168" s="2593">
        <f t="shared" si="63"/>
        <v>0</v>
      </c>
    </row>
    <row r="169" spans="1:35" s="2218" customFormat="1" ht="21" customHeight="1" outlineLevel="1">
      <c r="A169" s="2235">
        <v>238</v>
      </c>
      <c r="B169" s="2281" t="s">
        <v>1972</v>
      </c>
      <c r="C169" s="2282" t="s">
        <v>1929</v>
      </c>
      <c r="D169" s="2283" t="s">
        <v>1951</v>
      </c>
      <c r="E169" s="2284"/>
      <c r="F169" s="2285"/>
      <c r="G169" s="2257">
        <f t="shared" si="54"/>
        <v>0</v>
      </c>
      <c r="H169" s="2285"/>
      <c r="I169" s="2285"/>
      <c r="J169" s="2257">
        <f t="shared" si="55"/>
        <v>0</v>
      </c>
      <c r="K169" s="2285"/>
      <c r="L169" s="2285"/>
      <c r="M169" s="2259">
        <f t="shared" si="56"/>
        <v>0</v>
      </c>
      <c r="N169" s="2284"/>
      <c r="O169" s="2285"/>
      <c r="P169" s="2259">
        <f t="shared" si="64"/>
        <v>0</v>
      </c>
      <c r="Q169" s="2284">
        <v>1349.7</v>
      </c>
      <c r="R169" s="2285">
        <v>1349.7</v>
      </c>
      <c r="S169" s="2259">
        <f t="shared" si="65"/>
        <v>1349.7</v>
      </c>
      <c r="T169" s="2385">
        <f>Q169</f>
        <v>1349.7</v>
      </c>
      <c r="U169" s="2285">
        <f>R169</f>
        <v>1349.7</v>
      </c>
      <c r="V169" s="2268">
        <f>T169/2+U169/2</f>
        <v>1349.7</v>
      </c>
      <c r="W169" s="2888">
        <f>T169/$T$272*$W$272</f>
        <v>291.60391961920089</v>
      </c>
      <c r="X169" s="2889">
        <f>U169/$T$272*$W$272</f>
        <v>291.60391961920089</v>
      </c>
      <c r="Y169" s="2268">
        <f t="shared" si="58"/>
        <v>291.60391961920089</v>
      </c>
      <c r="Z169" s="2888">
        <f>T169/$T$272*$Z$272</f>
        <v>1058.0960803807991</v>
      </c>
      <c r="AA169" s="2889">
        <f>U169/$T$272*$Z$272</f>
        <v>1058.0960803807991</v>
      </c>
      <c r="AB169" s="2268">
        <f t="shared" si="59"/>
        <v>1058.0960803807991</v>
      </c>
      <c r="AD169" s="2593"/>
      <c r="AE169" s="2593"/>
      <c r="AF169" s="2218">
        <f t="shared" si="60"/>
        <v>291.60391961920089</v>
      </c>
      <c r="AG169" s="2593">
        <f t="shared" si="61"/>
        <v>0</v>
      </c>
      <c r="AH169" s="2218">
        <f t="shared" si="62"/>
        <v>1058.0960803807991</v>
      </c>
      <c r="AI169" s="2593">
        <f t="shared" si="63"/>
        <v>0</v>
      </c>
    </row>
    <row r="170" spans="1:35" s="2218" customFormat="1" ht="21" customHeight="1" outlineLevel="1">
      <c r="A170" s="2235">
        <v>239</v>
      </c>
      <c r="B170" s="2281" t="s">
        <v>1973</v>
      </c>
      <c r="C170" s="2282" t="s">
        <v>1967</v>
      </c>
      <c r="D170" s="2283" t="s">
        <v>1954</v>
      </c>
      <c r="E170" s="2284"/>
      <c r="F170" s="2285"/>
      <c r="G170" s="2257">
        <f t="shared" si="54"/>
        <v>0</v>
      </c>
      <c r="H170" s="2285"/>
      <c r="I170" s="2285"/>
      <c r="J170" s="2257">
        <f t="shared" si="55"/>
        <v>0</v>
      </c>
      <c r="K170" s="2285"/>
      <c r="L170" s="2285"/>
      <c r="M170" s="2259">
        <f t="shared" si="56"/>
        <v>0</v>
      </c>
      <c r="N170" s="2284"/>
      <c r="O170" s="2285"/>
      <c r="P170" s="2259">
        <f t="shared" si="64"/>
        <v>0</v>
      </c>
      <c r="Q170" s="2284">
        <v>2.2423190327308258</v>
      </c>
      <c r="R170" s="2285">
        <f>Q170*1.09</f>
        <v>2.4441277456766004</v>
      </c>
      <c r="S170" s="2259">
        <f t="shared" si="65"/>
        <v>2.3432233892037129</v>
      </c>
      <c r="T170" s="2385">
        <f>T168/T169</f>
        <v>2.2423190327308258</v>
      </c>
      <c r="U170" s="2285">
        <f>U168/U169</f>
        <v>2.4441277456766004</v>
      </c>
      <c r="V170" s="2268">
        <f t="shared" si="57"/>
        <v>2.3432233892037129</v>
      </c>
      <c r="W170" s="2385">
        <f>W168/W169</f>
        <v>2.2423190327308253</v>
      </c>
      <c r="X170" s="2285">
        <f>X168/X169</f>
        <v>2.4441277456766</v>
      </c>
      <c r="Y170" s="2268">
        <f t="shared" si="58"/>
        <v>2.3432233892037129</v>
      </c>
      <c r="Z170" s="2385">
        <f>Z168/Z169</f>
        <v>2.2423190327308258</v>
      </c>
      <c r="AA170" s="2285">
        <f>AA168/AA169</f>
        <v>2.4441277456766004</v>
      </c>
      <c r="AB170" s="2268">
        <f t="shared" si="59"/>
        <v>2.3432233892037129</v>
      </c>
      <c r="AD170" s="2593"/>
      <c r="AE170" s="2593"/>
      <c r="AF170" s="2218">
        <f t="shared" si="60"/>
        <v>0.52805603518510635</v>
      </c>
      <c r="AG170" s="2593">
        <f t="shared" si="61"/>
        <v>-1.9160717104914937</v>
      </c>
      <c r="AH170" s="2218">
        <f t="shared" si="62"/>
        <v>1.9160717104914942</v>
      </c>
      <c r="AI170" s="2593">
        <f t="shared" si="63"/>
        <v>-0.52805603518510624</v>
      </c>
    </row>
    <row r="171" spans="1:35" s="2218" customFormat="1" ht="18.75" customHeight="1" outlineLevel="1">
      <c r="A171" s="2235">
        <v>237</v>
      </c>
      <c r="B171" s="2279"/>
      <c r="C171" s="2280" t="s">
        <v>1961</v>
      </c>
      <c r="D171" s="2254" t="s">
        <v>1317</v>
      </c>
      <c r="E171" s="2255">
        <f>E172*E173</f>
        <v>0</v>
      </c>
      <c r="F171" s="2256">
        <f>F172*F173</f>
        <v>0</v>
      </c>
      <c r="G171" s="2257">
        <f t="shared" si="54"/>
        <v>0</v>
      </c>
      <c r="H171" s="2256">
        <f>H172*H173</f>
        <v>0</v>
      </c>
      <c r="I171" s="2256">
        <f>I172*I173</f>
        <v>0</v>
      </c>
      <c r="J171" s="2257">
        <f t="shared" si="55"/>
        <v>0</v>
      </c>
      <c r="K171" s="2256">
        <f>K172*K173</f>
        <v>0</v>
      </c>
      <c r="L171" s="2256">
        <f>L172*L173</f>
        <v>0</v>
      </c>
      <c r="M171" s="2259">
        <f t="shared" si="56"/>
        <v>0</v>
      </c>
      <c r="N171" s="2255">
        <v>0</v>
      </c>
      <c r="O171" s="2256">
        <v>0</v>
      </c>
      <c r="P171" s="2259">
        <f t="shared" si="64"/>
        <v>0</v>
      </c>
      <c r="Q171" s="2255">
        <v>0</v>
      </c>
      <c r="R171" s="2256">
        <v>0</v>
      </c>
      <c r="S171" s="2259">
        <f t="shared" si="65"/>
        <v>0</v>
      </c>
      <c r="T171" s="2255">
        <v>0</v>
      </c>
      <c r="U171" s="2256">
        <v>0</v>
      </c>
      <c r="V171" s="2268">
        <f t="shared" si="57"/>
        <v>0</v>
      </c>
      <c r="W171" s="2377">
        <f>T171/$T$272*$N$272</f>
        <v>0</v>
      </c>
      <c r="X171" s="2256">
        <f>U171/$T$272*$N$272</f>
        <v>0</v>
      </c>
      <c r="Y171" s="2268">
        <f t="shared" si="58"/>
        <v>0</v>
      </c>
      <c r="Z171" s="2886">
        <f>T171/$T$272*$Z$272</f>
        <v>0</v>
      </c>
      <c r="AA171" s="2887">
        <f>U171/$T$272*$Z$272</f>
        <v>0</v>
      </c>
      <c r="AB171" s="2268">
        <f t="shared" si="59"/>
        <v>0</v>
      </c>
      <c r="AD171" s="2593"/>
      <c r="AE171" s="2593"/>
      <c r="AF171" s="2218">
        <f t="shared" si="60"/>
        <v>0</v>
      </c>
      <c r="AG171" s="2593">
        <f t="shared" si="61"/>
        <v>0</v>
      </c>
      <c r="AH171" s="2218">
        <f t="shared" si="62"/>
        <v>0</v>
      </c>
      <c r="AI171" s="2593">
        <f t="shared" si="63"/>
        <v>0</v>
      </c>
    </row>
    <row r="172" spans="1:35" s="2218" customFormat="1" ht="21" customHeight="1" outlineLevel="1">
      <c r="A172" s="2235">
        <v>248</v>
      </c>
      <c r="B172" s="2281" t="s">
        <v>1974</v>
      </c>
      <c r="C172" s="2282" t="s">
        <v>1929</v>
      </c>
      <c r="D172" s="2283" t="s">
        <v>1951</v>
      </c>
      <c r="E172" s="2284"/>
      <c r="F172" s="2285"/>
      <c r="G172" s="2257">
        <f t="shared" si="54"/>
        <v>0</v>
      </c>
      <c r="H172" s="2285"/>
      <c r="I172" s="2285"/>
      <c r="J172" s="2257">
        <f t="shared" si="55"/>
        <v>0</v>
      </c>
      <c r="K172" s="2285"/>
      <c r="L172" s="2285"/>
      <c r="M172" s="2259">
        <f t="shared" si="56"/>
        <v>0</v>
      </c>
      <c r="N172" s="2284"/>
      <c r="O172" s="2285"/>
      <c r="P172" s="2259">
        <f t="shared" si="64"/>
        <v>0</v>
      </c>
      <c r="Q172" s="2284">
        <v>0</v>
      </c>
      <c r="R172" s="2285">
        <v>0</v>
      </c>
      <c r="S172" s="2259">
        <f t="shared" si="65"/>
        <v>0</v>
      </c>
      <c r="T172" s="2284">
        <v>0</v>
      </c>
      <c r="U172" s="2285">
        <v>0</v>
      </c>
      <c r="V172" s="2268">
        <f t="shared" si="57"/>
        <v>0</v>
      </c>
      <c r="W172" s="2888">
        <f>T172/$T$272*$W$272</f>
        <v>0</v>
      </c>
      <c r="X172" s="2889">
        <f>U172/$T$272*$W$272</f>
        <v>0</v>
      </c>
      <c r="Y172" s="2268">
        <f t="shared" si="58"/>
        <v>0</v>
      </c>
      <c r="Z172" s="2888">
        <f>T172/$T$272*$Z$272</f>
        <v>0</v>
      </c>
      <c r="AA172" s="2889">
        <f>U172/$T$272*$Z$272</f>
        <v>0</v>
      </c>
      <c r="AB172" s="2268">
        <f t="shared" si="59"/>
        <v>0</v>
      </c>
      <c r="AD172" s="2593"/>
      <c r="AE172" s="2593"/>
      <c r="AF172" s="2218">
        <f t="shared" si="60"/>
        <v>0</v>
      </c>
      <c r="AG172" s="2593">
        <f t="shared" si="61"/>
        <v>0</v>
      </c>
      <c r="AH172" s="2218">
        <f t="shared" si="62"/>
        <v>0</v>
      </c>
      <c r="AI172" s="2593">
        <f t="shared" si="63"/>
        <v>0</v>
      </c>
    </row>
    <row r="173" spans="1:35" s="2218" customFormat="1" ht="21" customHeight="1" outlineLevel="1" thickBot="1">
      <c r="A173" s="2235">
        <v>249</v>
      </c>
      <c r="B173" s="2297" t="s">
        <v>1975</v>
      </c>
      <c r="C173" s="2298" t="s">
        <v>1967</v>
      </c>
      <c r="D173" s="2299" t="s">
        <v>1954</v>
      </c>
      <c r="E173" s="2300"/>
      <c r="F173" s="2301"/>
      <c r="G173" s="2266">
        <f t="shared" si="54"/>
        <v>0</v>
      </c>
      <c r="H173" s="2301"/>
      <c r="I173" s="2301"/>
      <c r="J173" s="2266">
        <f t="shared" si="55"/>
        <v>0</v>
      </c>
      <c r="K173" s="2301"/>
      <c r="L173" s="2301"/>
      <c r="M173" s="2268">
        <f t="shared" si="56"/>
        <v>0</v>
      </c>
      <c r="N173" s="2300"/>
      <c r="O173" s="2301"/>
      <c r="P173" s="2268">
        <f t="shared" si="64"/>
        <v>0</v>
      </c>
      <c r="Q173" s="2300">
        <v>0</v>
      </c>
      <c r="R173" s="2301">
        <v>0</v>
      </c>
      <c r="S173" s="2268">
        <f t="shared" si="65"/>
        <v>0</v>
      </c>
      <c r="T173" s="2300">
        <v>0</v>
      </c>
      <c r="U173" s="2301">
        <v>0</v>
      </c>
      <c r="V173" s="2268">
        <f t="shared" si="57"/>
        <v>0</v>
      </c>
      <c r="W173" s="2385" t="e">
        <f>W171/W172</f>
        <v>#DIV/0!</v>
      </c>
      <c r="X173" s="2285" t="e">
        <f>X171/X172</f>
        <v>#DIV/0!</v>
      </c>
      <c r="Y173" s="2268" t="e">
        <f t="shared" si="58"/>
        <v>#DIV/0!</v>
      </c>
      <c r="Z173" s="2385" t="e">
        <f>Z171/Z172</f>
        <v>#DIV/0!</v>
      </c>
      <c r="AA173" s="2285" t="e">
        <f>AA171/AA172</f>
        <v>#DIV/0!</v>
      </c>
      <c r="AB173" s="2268" t="e">
        <f t="shared" si="59"/>
        <v>#DIV/0!</v>
      </c>
      <c r="AF173" s="2218">
        <f t="shared" si="60"/>
        <v>0</v>
      </c>
      <c r="AG173" s="2593" t="e">
        <f t="shared" si="61"/>
        <v>#DIV/0!</v>
      </c>
      <c r="AH173" s="2218">
        <f t="shared" si="62"/>
        <v>0</v>
      </c>
      <c r="AI173" s="2593" t="e">
        <f t="shared" si="63"/>
        <v>#DIV/0!</v>
      </c>
    </row>
    <row r="174" spans="1:35" s="2218" customFormat="1" ht="28.5" customHeight="1" thickBot="1">
      <c r="A174" s="2235">
        <v>255</v>
      </c>
      <c r="B174" s="2378" t="s">
        <v>1181</v>
      </c>
      <c r="C174" s="2318" t="s">
        <v>1976</v>
      </c>
      <c r="D174" s="2379" t="s">
        <v>1313</v>
      </c>
      <c r="E174" s="2070">
        <f>E175+E207+E217+E223+E224+E225+E229+E206+E232+E233+E234</f>
        <v>4803.0170181430749</v>
      </c>
      <c r="F174" s="2070">
        <f>F175+F207+F217+F223+F224+F225+F229+F206+F232+F233+F234</f>
        <v>4815.0820207473034</v>
      </c>
      <c r="G174" s="2071">
        <f t="shared" si="54"/>
        <v>4809.0495194451887</v>
      </c>
      <c r="H174" s="2070">
        <f>H175+H207+H217+H223+H224+H225+H229+H206+H232+H233+H234</f>
        <v>7593.9873957508535</v>
      </c>
      <c r="I174" s="2070">
        <f>I175+I207+I217+I223+I224+I225+I229+I206+I232+I233+I234</f>
        <v>7601.9198434028676</v>
      </c>
      <c r="J174" s="2071">
        <f t="shared" si="55"/>
        <v>7597.9536195768605</v>
      </c>
      <c r="K174" s="2070">
        <f>K175+K207+K217+K223+K224+K225+K229+K206+K232+K233+K234</f>
        <v>7287.2638349887875</v>
      </c>
      <c r="L174" s="2070">
        <f>L175+L207+L217+L223+L224+L225+L229+L206+L232+L233+L234</f>
        <v>7309.2636109036594</v>
      </c>
      <c r="M174" s="2071">
        <f t="shared" si="56"/>
        <v>7298.2637229462234</v>
      </c>
      <c r="N174" s="2070">
        <f>N175+N207+N217+N223+N224+N225+N229+N206+N232+N233+N234</f>
        <v>907.44590559393839</v>
      </c>
      <c r="O174" s="2070">
        <f>O175+O207+O217+O223+O224+O225+O229+O206+O232+O233+O234</f>
        <v>1551.5816326917789</v>
      </c>
      <c r="P174" s="2071">
        <f t="shared" si="64"/>
        <v>1229.5137691428586</v>
      </c>
      <c r="Q174" s="2070">
        <f>Q175+Q207+Q217+Q223+Q224+Q225+Q229+Q206+Q232+Q233+Q234</f>
        <v>2442.1986440516694</v>
      </c>
      <c r="R174" s="2070">
        <f>R175+R207+R217+R223+R224+R225+R229+R206+R232+R233+R234</f>
        <v>2670.7138782143325</v>
      </c>
      <c r="S174" s="2071">
        <f t="shared" si="65"/>
        <v>2556.4562611330011</v>
      </c>
      <c r="T174" s="2372">
        <f t="shared" ref="T174:U178" si="70">N174+Q174</f>
        <v>3349.6445496456076</v>
      </c>
      <c r="U174" s="2373">
        <f t="shared" si="70"/>
        <v>4222.2955109061113</v>
      </c>
      <c r="V174" s="2374">
        <f t="shared" si="57"/>
        <v>3785.9700302758592</v>
      </c>
      <c r="W174" s="2945">
        <f t="shared" ref="W174:X177" si="71">T174/$T$272*$N$272</f>
        <v>723.6937689914439</v>
      </c>
      <c r="X174" s="2373">
        <f t="shared" si="71"/>
        <v>912.2308074170395</v>
      </c>
      <c r="Y174" s="2374">
        <f t="shared" si="58"/>
        <v>817.96228820424176</v>
      </c>
      <c r="Z174" s="2945">
        <f t="shared" ref="Z174:AA178" si="72">T174/$T$272*$Z$272</f>
        <v>2625.9507806541633</v>
      </c>
      <c r="AA174" s="2373">
        <f t="shared" si="72"/>
        <v>3310.0647034890717</v>
      </c>
      <c r="AB174" s="2946">
        <f t="shared" si="59"/>
        <v>2968.0077420716175</v>
      </c>
      <c r="AF174" s="2218">
        <f t="shared" si="60"/>
        <v>912.2308074170395</v>
      </c>
      <c r="AG174" s="2593">
        <f t="shared" si="61"/>
        <v>0</v>
      </c>
      <c r="AH174" s="2218">
        <f t="shared" si="62"/>
        <v>3310.0647034890717</v>
      </c>
      <c r="AI174" s="2593">
        <f t="shared" si="63"/>
        <v>0</v>
      </c>
    </row>
    <row r="175" spans="1:35" s="2218" customFormat="1" ht="99.75" customHeight="1">
      <c r="A175" s="2235">
        <v>256</v>
      </c>
      <c r="B175" s="2243" t="s">
        <v>1977</v>
      </c>
      <c r="C175" s="2278" t="s">
        <v>1774</v>
      </c>
      <c r="D175" s="2245" t="s">
        <v>1313</v>
      </c>
      <c r="E175" s="2246">
        <f>E176+E187+E191+E194+E197+E198+E199+E200+E203+E190</f>
        <v>279.5835877414309</v>
      </c>
      <c r="F175" s="2246">
        <f>F176+F187+F191+F194+F197+F198+F199+F200+F203+F190</f>
        <v>291.64859034565944</v>
      </c>
      <c r="G175" s="2248">
        <f t="shared" si="54"/>
        <v>285.61608904354517</v>
      </c>
      <c r="H175" s="2246">
        <f>H176+H187+H191+H194+H197+H198+H199+H200+H203+H190</f>
        <v>498.41837935970051</v>
      </c>
      <c r="I175" s="2246">
        <f>I176+I187+I191+I194+I197+I198+I199+I200+I203+I190</f>
        <v>506.35082701171393</v>
      </c>
      <c r="J175" s="2248">
        <f t="shared" si="55"/>
        <v>502.38460318570719</v>
      </c>
      <c r="K175" s="2246">
        <f>K176+K187+K191+K194+K197+K198+K199+K200+K203+K190</f>
        <v>556.42156044317085</v>
      </c>
      <c r="L175" s="2246">
        <f>L176+L187+L191+L194+L197+L198+L199+L200+L203+L190</f>
        <v>578.42133635804294</v>
      </c>
      <c r="M175" s="2250">
        <f t="shared" si="56"/>
        <v>567.42144840060689</v>
      </c>
      <c r="N175" s="2246">
        <f>N176+N187+N191+N194+N197+N198+N199+N200+N203+N190</f>
        <v>907.44590559393839</v>
      </c>
      <c r="O175" s="2246">
        <f>O176+O187+O191+O194+O197+O198+O199+O200+O203+O190</f>
        <v>975.49326182100413</v>
      </c>
      <c r="P175" s="2250">
        <f t="shared" si="64"/>
        <v>941.4695837074712</v>
      </c>
      <c r="Q175" s="2246">
        <f>Q176+Q187+Q191+Q194+Q197+Q198+Q199+Q200+Q203+Q190</f>
        <v>1520.2521423503943</v>
      </c>
      <c r="R175" s="2246">
        <f>R176+R187+R191+R194+R197+R198+R199+R200+R203+R190</f>
        <v>1682.3872283905653</v>
      </c>
      <c r="S175" s="2250">
        <f t="shared" si="65"/>
        <v>1601.3196853704799</v>
      </c>
      <c r="T175" s="2465">
        <f t="shared" si="70"/>
        <v>2427.6980479443328</v>
      </c>
      <c r="U175" s="2466">
        <f t="shared" si="70"/>
        <v>2657.8804902115694</v>
      </c>
      <c r="V175" s="2268">
        <f t="shared" si="57"/>
        <v>2542.7892690779508</v>
      </c>
      <c r="W175" s="2377">
        <f t="shared" si="71"/>
        <v>524.5063839612136</v>
      </c>
      <c r="X175" s="2256">
        <f t="shared" si="71"/>
        <v>574.23751116922028</v>
      </c>
      <c r="Y175" s="2268">
        <f t="shared" si="58"/>
        <v>549.37194756521694</v>
      </c>
      <c r="Z175" s="2886">
        <f t="shared" si="72"/>
        <v>1903.191663983119</v>
      </c>
      <c r="AA175" s="2887">
        <f t="shared" si="72"/>
        <v>2083.642979042349</v>
      </c>
      <c r="AB175" s="2268">
        <f t="shared" si="59"/>
        <v>1993.4173215127339</v>
      </c>
      <c r="AF175" s="2218">
        <f t="shared" si="60"/>
        <v>574.23751116922028</v>
      </c>
      <c r="AG175" s="2593">
        <f t="shared" si="61"/>
        <v>0</v>
      </c>
      <c r="AH175" s="2218">
        <f t="shared" si="62"/>
        <v>2083.642979042349</v>
      </c>
      <c r="AI175" s="2593">
        <f t="shared" si="63"/>
        <v>0</v>
      </c>
    </row>
    <row r="176" spans="1:35" s="2218" customFormat="1" ht="16.5" customHeight="1">
      <c r="A176" s="2235">
        <v>333</v>
      </c>
      <c r="B176" s="2279" t="s">
        <v>1978</v>
      </c>
      <c r="C176" s="2280" t="s">
        <v>1979</v>
      </c>
      <c r="D176" s="2254"/>
      <c r="E176" s="2255">
        <f>E177+E180+E183+E186</f>
        <v>33.732206896551752</v>
      </c>
      <c r="F176" s="2256">
        <f>F177+F180+F183+F186</f>
        <v>34.744173103448297</v>
      </c>
      <c r="G176" s="2257">
        <f t="shared" si="54"/>
        <v>34.238190000000024</v>
      </c>
      <c r="H176" s="2256">
        <f>H177+H180+H183+H186</f>
        <v>169.4153003571187</v>
      </c>
      <c r="I176" s="2256">
        <f>I177+I180+I183+I186</f>
        <v>174.85681964288128</v>
      </c>
      <c r="J176" s="2257">
        <f t="shared" si="55"/>
        <v>172.13605999999999</v>
      </c>
      <c r="K176" s="2256">
        <f>K177+K180+K183+K186</f>
        <v>177.39394969534473</v>
      </c>
      <c r="L176" s="2256">
        <f>L177+L180+L183+L186</f>
        <v>185.79089603431612</v>
      </c>
      <c r="M176" s="2259">
        <f t="shared" si="56"/>
        <v>181.59242286483044</v>
      </c>
      <c r="N176" s="2256">
        <f>N177+N180+N183+N186</f>
        <v>222.00539131933786</v>
      </c>
      <c r="O176" s="2256">
        <f>O177+O180+O183+O186</f>
        <v>246.86999514710374</v>
      </c>
      <c r="P176" s="2259">
        <f t="shared" si="64"/>
        <v>234.43769323322078</v>
      </c>
      <c r="Q176" s="2256">
        <f>Q177+Q180+Q183+Q186</f>
        <v>1354.2694096346115</v>
      </c>
      <c r="R176" s="2256">
        <f>R177+R180+R183+R186</f>
        <v>1505.9475835136882</v>
      </c>
      <c r="S176" s="2259">
        <f t="shared" si="65"/>
        <v>1430.1084965741497</v>
      </c>
      <c r="T176" s="2465">
        <f t="shared" si="70"/>
        <v>1576.2748009539494</v>
      </c>
      <c r="U176" s="2247">
        <f t="shared" si="70"/>
        <v>1752.8175786607919</v>
      </c>
      <c r="V176" s="2268">
        <f t="shared" si="57"/>
        <v>1664.5461898073706</v>
      </c>
      <c r="W176" s="2377">
        <f t="shared" si="71"/>
        <v>340.55561262143237</v>
      </c>
      <c r="X176" s="2256">
        <f t="shared" si="71"/>
        <v>378.69784123503285</v>
      </c>
      <c r="Y176" s="2268">
        <f t="shared" si="58"/>
        <v>359.62672692823264</v>
      </c>
      <c r="Z176" s="2886">
        <f t="shared" si="72"/>
        <v>1235.719188332517</v>
      </c>
      <c r="AA176" s="2887">
        <f t="shared" si="72"/>
        <v>1374.119737425759</v>
      </c>
      <c r="AB176" s="2268">
        <f t="shared" si="59"/>
        <v>1304.9194628791379</v>
      </c>
      <c r="AF176" s="2218">
        <f t="shared" si="60"/>
        <v>378.69784123503285</v>
      </c>
      <c r="AG176" s="2593">
        <f t="shared" si="61"/>
        <v>0</v>
      </c>
      <c r="AH176" s="2218">
        <f t="shared" si="62"/>
        <v>1374.119737425759</v>
      </c>
      <c r="AI176" s="2593">
        <f t="shared" si="63"/>
        <v>0</v>
      </c>
    </row>
    <row r="177" spans="1:35" s="2218" customFormat="1" ht="22.5" customHeight="1">
      <c r="A177" s="2235">
        <v>334</v>
      </c>
      <c r="B177" s="2279" t="s">
        <v>1980</v>
      </c>
      <c r="C177" s="2280" t="s">
        <v>1981</v>
      </c>
      <c r="D177" s="2254"/>
      <c r="E177" s="2255">
        <f>E178*E179</f>
        <v>32.585619180726574</v>
      </c>
      <c r="F177" s="2256">
        <f>F178*F179</f>
        <v>33.563187756148366</v>
      </c>
      <c r="G177" s="2257">
        <f t="shared" si="54"/>
        <v>33.074403468437467</v>
      </c>
      <c r="H177" s="2256">
        <f>H178*H179</f>
        <v>162.38367746483695</v>
      </c>
      <c r="I177" s="2256">
        <f>I178*I179</f>
        <v>167.57205832647739</v>
      </c>
      <c r="J177" s="2257">
        <f t="shared" si="55"/>
        <v>164.97786789565717</v>
      </c>
      <c r="K177" s="2256">
        <f>K178*K179</f>
        <v>153.80130041432759</v>
      </c>
      <c r="L177" s="2256">
        <f>L178*L179</f>
        <v>161.18376283421526</v>
      </c>
      <c r="M177" s="2259">
        <f t="shared" si="56"/>
        <v>157.49253162427141</v>
      </c>
      <c r="N177" s="2256">
        <f>N178*N179</f>
        <v>222.00539131933786</v>
      </c>
      <c r="O177" s="2256">
        <f>O178*O179</f>
        <v>246.86999514710374</v>
      </c>
      <c r="P177" s="2259">
        <f t="shared" si="64"/>
        <v>234.43769323322078</v>
      </c>
      <c r="Q177" s="2256">
        <f>Q178*Q179</f>
        <v>1354.2694096346115</v>
      </c>
      <c r="R177" s="2256">
        <f>R178*R179</f>
        <v>1505.9475835136882</v>
      </c>
      <c r="S177" s="2259">
        <f t="shared" si="65"/>
        <v>1430.1084965741497</v>
      </c>
      <c r="T177" s="2255">
        <f t="shared" si="70"/>
        <v>1576.2748009539494</v>
      </c>
      <c r="U177" s="2256">
        <f t="shared" si="70"/>
        <v>1752.8175786607919</v>
      </c>
      <c r="V177" s="2268">
        <f t="shared" si="57"/>
        <v>1664.5461898073706</v>
      </c>
      <c r="W177" s="2377">
        <f t="shared" si="71"/>
        <v>340.55561262143237</v>
      </c>
      <c r="X177" s="2256">
        <f t="shared" si="71"/>
        <v>378.69784123503285</v>
      </c>
      <c r="Y177" s="2268">
        <f t="shared" si="58"/>
        <v>359.62672692823264</v>
      </c>
      <c r="Z177" s="2886">
        <f t="shared" si="72"/>
        <v>1235.719188332517</v>
      </c>
      <c r="AA177" s="2887">
        <f t="shared" si="72"/>
        <v>1374.119737425759</v>
      </c>
      <c r="AB177" s="2268">
        <f t="shared" si="59"/>
        <v>1304.9194628791379</v>
      </c>
      <c r="AF177" s="2218">
        <f t="shared" si="60"/>
        <v>378.69784123503285</v>
      </c>
      <c r="AG177" s="2593">
        <f t="shared" si="61"/>
        <v>0</v>
      </c>
      <c r="AH177" s="2218">
        <f t="shared" si="62"/>
        <v>1374.119737425759</v>
      </c>
      <c r="AI177" s="2593">
        <f t="shared" si="63"/>
        <v>0</v>
      </c>
    </row>
    <row r="178" spans="1:35" s="2218" customFormat="1" ht="25.5" customHeight="1">
      <c r="A178" s="2235">
        <v>337</v>
      </c>
      <c r="B178" s="2281" t="s">
        <v>1982</v>
      </c>
      <c r="C178" s="2282" t="s">
        <v>1327</v>
      </c>
      <c r="D178" s="2283" t="s">
        <v>1983</v>
      </c>
      <c r="E178" s="2284">
        <f>'[3]НВВ перекачка'!K479</f>
        <v>4.8840681030258901</v>
      </c>
      <c r="F178" s="2285">
        <f>'[3]НВВ перекачка'!L479</f>
        <v>4.8840681030258901</v>
      </c>
      <c r="G178" s="2257">
        <f t="shared" si="54"/>
        <v>4.8840681030258901</v>
      </c>
      <c r="H178" s="2285">
        <f>'[3]НВВ перекачка'!T479</f>
        <v>24.243163723960784</v>
      </c>
      <c r="I178" s="2285">
        <f>'[3]НВВ перекачка'!U479</f>
        <v>24.243163723960784</v>
      </c>
      <c r="J178" s="2257">
        <f t="shared" si="55"/>
        <v>24.243163723960784</v>
      </c>
      <c r="K178" s="2285">
        <f>'[3]НВВ перекачка'!AC479</f>
        <v>22.178165150983958</v>
      </c>
      <c r="L178" s="2285">
        <f>'[3]НВВ перекачка'!AD479</f>
        <v>22.178165150983958</v>
      </c>
      <c r="M178" s="2259">
        <f t="shared" si="56"/>
        <v>22.178165150983958</v>
      </c>
      <c r="N178" s="2284">
        <v>28.15387033292518</v>
      </c>
      <c r="O178" s="2285">
        <v>28.15387033292518</v>
      </c>
      <c r="P178" s="2259">
        <f t="shared" si="64"/>
        <v>28.15387033292518</v>
      </c>
      <c r="Q178" s="2294">
        <v>173.5010488004265</v>
      </c>
      <c r="R178" s="2285">
        <v>173.5010488004265</v>
      </c>
      <c r="S178" s="2259">
        <f t="shared" si="65"/>
        <v>173.5010488004265</v>
      </c>
      <c r="T178" s="2294">
        <f t="shared" si="70"/>
        <v>201.65491913335168</v>
      </c>
      <c r="U178" s="2285">
        <f t="shared" si="70"/>
        <v>201.65491913335168</v>
      </c>
      <c r="V178" s="2268">
        <f t="shared" si="57"/>
        <v>201.65491913335168</v>
      </c>
      <c r="W178" s="2888">
        <f>T178/$T$272*$W$272</f>
        <v>43.567729739777974</v>
      </c>
      <c r="X178" s="2889">
        <f>U178/$T$272*$W$272</f>
        <v>43.567729739777974</v>
      </c>
      <c r="Y178" s="2268">
        <f t="shared" si="58"/>
        <v>43.567729739777974</v>
      </c>
      <c r="Z178" s="2888">
        <f t="shared" si="72"/>
        <v>158.08718939357371</v>
      </c>
      <c r="AA178" s="2889">
        <f t="shared" si="72"/>
        <v>158.08718939357371</v>
      </c>
      <c r="AB178" s="2268">
        <f t="shared" si="59"/>
        <v>158.08718939357371</v>
      </c>
      <c r="AF178" s="2218">
        <f t="shared" si="60"/>
        <v>43.567729739777974</v>
      </c>
      <c r="AG178" s="2593">
        <f t="shared" si="61"/>
        <v>0</v>
      </c>
      <c r="AH178" s="2218">
        <f t="shared" si="62"/>
        <v>158.08718939357371</v>
      </c>
      <c r="AI178" s="2593">
        <f t="shared" si="63"/>
        <v>0</v>
      </c>
    </row>
    <row r="179" spans="1:35" s="2218" customFormat="1" ht="24" customHeight="1">
      <c r="A179" s="2235">
        <v>338</v>
      </c>
      <c r="B179" s="2281" t="s">
        <v>1985</v>
      </c>
      <c r="C179" s="2282" t="s">
        <v>1330</v>
      </c>
      <c r="D179" s="2283" t="s">
        <v>1986</v>
      </c>
      <c r="E179" s="2284">
        <f>'[3]НВВ перекачка'!K480</f>
        <v>6.6718191665956468</v>
      </c>
      <c r="F179" s="2285">
        <f>'[3]НВВ перекачка'!L480</f>
        <v>6.8719737415935152</v>
      </c>
      <c r="G179" s="2257">
        <f t="shared" si="54"/>
        <v>6.7718964540945805</v>
      </c>
      <c r="H179" s="2285">
        <f>'[3]НВВ перекачка'!T480</f>
        <v>6.6981223784891029</v>
      </c>
      <c r="I179" s="2285">
        <f>'[3]НВВ перекачка'!U480</f>
        <v>6.9121365608258953</v>
      </c>
      <c r="J179" s="2257">
        <f t="shared" si="55"/>
        <v>6.8051294696574995</v>
      </c>
      <c r="K179" s="2285">
        <f>'[3]НВВ перекачка'!AC480</f>
        <v>6.9348072470054642</v>
      </c>
      <c r="L179" s="2285">
        <f>'[3]НВВ перекачка'!AD480</f>
        <v>7.2676779948617245</v>
      </c>
      <c r="M179" s="2259">
        <f t="shared" si="56"/>
        <v>7.1012426209335944</v>
      </c>
      <c r="N179" s="2284">
        <v>7.8854306244249708</v>
      </c>
      <c r="O179" s="2285">
        <f>N179*1.112</f>
        <v>8.7685988543605689</v>
      </c>
      <c r="P179" s="2259">
        <f t="shared" si="64"/>
        <v>8.3270147393927694</v>
      </c>
      <c r="Q179" s="2284">
        <v>7.8055401912434004</v>
      </c>
      <c r="R179" s="2285">
        <f>Q179*1.112</f>
        <v>8.6797606926626614</v>
      </c>
      <c r="S179" s="2259">
        <f t="shared" si="65"/>
        <v>8.2426504419530318</v>
      </c>
      <c r="T179" s="2284">
        <f>T177/T178</f>
        <v>7.8166940222845742</v>
      </c>
      <c r="U179" s="2285">
        <f>U177/U178</f>
        <v>8.6921637527804485</v>
      </c>
      <c r="V179" s="2268">
        <f t="shared" si="57"/>
        <v>8.2544288875325122</v>
      </c>
      <c r="W179" s="2284">
        <f>W177/W178</f>
        <v>7.8166940222845742</v>
      </c>
      <c r="X179" s="2285">
        <f>X177/X178</f>
        <v>8.6921637527804485</v>
      </c>
      <c r="Y179" s="2268">
        <f t="shared" si="58"/>
        <v>8.2544288875325122</v>
      </c>
      <c r="Z179" s="2284">
        <f>Z177/Z178</f>
        <v>7.8166940222845742</v>
      </c>
      <c r="AA179" s="2285">
        <f>AA177/AA178</f>
        <v>8.6921637527804467</v>
      </c>
      <c r="AB179" s="2268">
        <f t="shared" si="59"/>
        <v>8.2544288875325105</v>
      </c>
      <c r="AF179" s="2218">
        <f t="shared" si="60"/>
        <v>1.8779499298234579</v>
      </c>
      <c r="AG179" s="2593">
        <f t="shared" si="61"/>
        <v>-6.8142138229569902</v>
      </c>
      <c r="AH179" s="2218">
        <f t="shared" si="62"/>
        <v>6.8142138229569902</v>
      </c>
      <c r="AI179" s="2593">
        <f t="shared" si="63"/>
        <v>-1.8779499298234565</v>
      </c>
    </row>
    <row r="180" spans="1:35" s="2218" customFormat="1" ht="29.25" customHeight="1">
      <c r="A180" s="2235">
        <v>335</v>
      </c>
      <c r="B180" s="2279" t="s">
        <v>1988</v>
      </c>
      <c r="C180" s="2280" t="s">
        <v>1989</v>
      </c>
      <c r="D180" s="2254"/>
      <c r="E180" s="2255">
        <f>E181*E182</f>
        <v>1.1465877158251767</v>
      </c>
      <c r="F180" s="2256">
        <f>F181*F182</f>
        <v>1.1809853472999319</v>
      </c>
      <c r="G180" s="2257">
        <f t="shared" si="54"/>
        <v>1.1637865315625544</v>
      </c>
      <c r="H180" s="2256">
        <f>H181*H182</f>
        <v>7.0316228922817574</v>
      </c>
      <c r="I180" s="2256">
        <f>I181*I182</f>
        <v>7.2847613164039009</v>
      </c>
      <c r="J180" s="2257">
        <f t="shared" si="55"/>
        <v>7.1581921043428292</v>
      </c>
      <c r="K180" s="2256">
        <f>K181*K182</f>
        <v>23.592649281017135</v>
      </c>
      <c r="L180" s="2256">
        <f>L181*L182</f>
        <v>24.607133200100872</v>
      </c>
      <c r="M180" s="2259">
        <f t="shared" si="56"/>
        <v>24.099891240559003</v>
      </c>
      <c r="N180" s="2255">
        <v>0</v>
      </c>
      <c r="O180" s="2256">
        <v>0</v>
      </c>
      <c r="P180" s="2259">
        <f t="shared" si="64"/>
        <v>0</v>
      </c>
      <c r="Q180" s="2255">
        <v>0</v>
      </c>
      <c r="R180" s="2256">
        <v>0</v>
      </c>
      <c r="S180" s="2259">
        <f t="shared" si="65"/>
        <v>0</v>
      </c>
      <c r="T180" s="2255">
        <f>N180+Q180</f>
        <v>0</v>
      </c>
      <c r="U180" s="2256">
        <f>O180+R180</f>
        <v>0</v>
      </c>
      <c r="V180" s="2268">
        <f t="shared" si="57"/>
        <v>0</v>
      </c>
      <c r="W180" s="2377">
        <f>T180/$T$272*$N$272</f>
        <v>0</v>
      </c>
      <c r="X180" s="2256">
        <f>U180/$T$272*$N$272</f>
        <v>0</v>
      </c>
      <c r="Y180" s="2268">
        <f t="shared" si="58"/>
        <v>0</v>
      </c>
      <c r="Z180" s="2886">
        <f>T180/$T$272*$Z$272</f>
        <v>0</v>
      </c>
      <c r="AA180" s="2887">
        <f>U180/$T$272*$Z$272</f>
        <v>0</v>
      </c>
      <c r="AB180" s="2268">
        <f t="shared" si="59"/>
        <v>0</v>
      </c>
      <c r="AF180" s="2218">
        <f t="shared" si="60"/>
        <v>0</v>
      </c>
      <c r="AG180" s="2593">
        <f t="shared" si="61"/>
        <v>0</v>
      </c>
      <c r="AH180" s="2218">
        <f t="shared" si="62"/>
        <v>0</v>
      </c>
      <c r="AI180" s="2593">
        <f t="shared" si="63"/>
        <v>0</v>
      </c>
    </row>
    <row r="181" spans="1:35" s="2218" customFormat="1" ht="24" customHeight="1">
      <c r="A181" s="2235">
        <v>339</v>
      </c>
      <c r="B181" s="2281" t="s">
        <v>1990</v>
      </c>
      <c r="C181" s="2282" t="s">
        <v>1327</v>
      </c>
      <c r="D181" s="2283" t="s">
        <v>1991</v>
      </c>
      <c r="E181" s="2284">
        <f>'[3]НВВ перекачка'!K482</f>
        <v>2.38414696324535E-4</v>
      </c>
      <c r="F181" s="2285">
        <f>'[3]НВВ перекачка'!L482</f>
        <v>2.38414696324535E-4</v>
      </c>
      <c r="G181" s="2257">
        <f t="shared" si="54"/>
        <v>2.38414696324535E-4</v>
      </c>
      <c r="H181" s="2285">
        <f>'[3]НВВ перекачка'!T482</f>
        <v>1.4553148179404197E-3</v>
      </c>
      <c r="I181" s="2285">
        <f>'[3]НВВ перекачка'!U482</f>
        <v>1.4553148179404197E-3</v>
      </c>
      <c r="J181" s="2257">
        <f t="shared" si="55"/>
        <v>1.4553148179404197E-3</v>
      </c>
      <c r="K181" s="2285">
        <f>'[3]НВВ перекачка'!AC482</f>
        <v>4.8697697327064251</v>
      </c>
      <c r="L181" s="2285">
        <f>'[3]НВВ перекачка'!AD482</f>
        <v>4.8697697327064251</v>
      </c>
      <c r="M181" s="2259">
        <f t="shared" si="56"/>
        <v>4.8697697327064251</v>
      </c>
      <c r="N181" s="2284"/>
      <c r="O181" s="2285"/>
      <c r="P181" s="2259">
        <f t="shared" si="64"/>
        <v>0</v>
      </c>
      <c r="Q181" s="2284">
        <v>0</v>
      </c>
      <c r="R181" s="2285">
        <v>0</v>
      </c>
      <c r="S181" s="2259">
        <f t="shared" si="65"/>
        <v>0</v>
      </c>
      <c r="T181" s="2294">
        <f>N181+Q181</f>
        <v>0</v>
      </c>
      <c r="U181" s="2285">
        <f>O181+R181</f>
        <v>0</v>
      </c>
      <c r="V181" s="2268">
        <f t="shared" si="57"/>
        <v>0</v>
      </c>
      <c r="W181" s="2888">
        <f>T181/$T$272*$W$272</f>
        <v>0</v>
      </c>
      <c r="X181" s="2889">
        <f>U181/$T$272*$W$272</f>
        <v>0</v>
      </c>
      <c r="Y181" s="2268">
        <f t="shared" si="58"/>
        <v>0</v>
      </c>
      <c r="Z181" s="2888">
        <f>T181/$T$272*$Z$272</f>
        <v>0</v>
      </c>
      <c r="AA181" s="2889">
        <f>U181/$T$272*$Z$272</f>
        <v>0</v>
      </c>
      <c r="AB181" s="2268">
        <f t="shared" si="59"/>
        <v>0</v>
      </c>
      <c r="AF181" s="2218">
        <f t="shared" si="60"/>
        <v>0</v>
      </c>
      <c r="AG181" s="2593">
        <f t="shared" si="61"/>
        <v>0</v>
      </c>
      <c r="AH181" s="2218">
        <f t="shared" si="62"/>
        <v>0</v>
      </c>
      <c r="AI181" s="2593">
        <f t="shared" si="63"/>
        <v>0</v>
      </c>
    </row>
    <row r="182" spans="1:35" s="2218" customFormat="1" ht="26.25" customHeight="1">
      <c r="A182" s="2235">
        <v>340</v>
      </c>
      <c r="B182" s="2281" t="s">
        <v>1992</v>
      </c>
      <c r="C182" s="2282" t="s">
        <v>1330</v>
      </c>
      <c r="D182" s="2283" t="s">
        <v>1993</v>
      </c>
      <c r="E182" s="2284">
        <f>'[3]НВВ перекачка'!K483</f>
        <v>4809.2157635467984</v>
      </c>
      <c r="F182" s="2285">
        <f>'[3]НВВ перекачка'!L483</f>
        <v>4953.4922364532022</v>
      </c>
      <c r="G182" s="2257">
        <f t="shared" si="54"/>
        <v>4881.3540000000003</v>
      </c>
      <c r="H182" s="2285">
        <f>'[3]НВВ перекачка'!T483</f>
        <v>4831.6850798186751</v>
      </c>
      <c r="I182" s="2285">
        <f>'[3]НВВ перекачка'!U483</f>
        <v>5005.6257426921475</v>
      </c>
      <c r="J182" s="2257">
        <f t="shared" si="55"/>
        <v>4918.6554112554113</v>
      </c>
      <c r="K182" s="2285">
        <f>'[3]НВВ перекачка'!AC483</f>
        <v>4.8447155771172934</v>
      </c>
      <c r="L182" s="2285">
        <f>'[3]НВВ перекачка'!AD483</f>
        <v>5.0530383469333371</v>
      </c>
      <c r="M182" s="2259">
        <f t="shared" si="56"/>
        <v>4.9488769620253148</v>
      </c>
      <c r="N182" s="2284"/>
      <c r="O182" s="2285">
        <v>0</v>
      </c>
      <c r="P182" s="2259">
        <f t="shared" si="64"/>
        <v>0</v>
      </c>
      <c r="Q182" s="2284">
        <v>0</v>
      </c>
      <c r="R182" s="2285">
        <v>0</v>
      </c>
      <c r="S182" s="2259">
        <f t="shared" si="65"/>
        <v>0</v>
      </c>
      <c r="T182" s="2284">
        <v>0</v>
      </c>
      <c r="U182" s="2285">
        <v>0</v>
      </c>
      <c r="V182" s="2268">
        <f t="shared" si="57"/>
        <v>0</v>
      </c>
      <c r="W182" s="2284" t="e">
        <f>W180/W181</f>
        <v>#DIV/0!</v>
      </c>
      <c r="X182" s="2285" t="e">
        <f>X180/X181</f>
        <v>#DIV/0!</v>
      </c>
      <c r="Y182" s="2268" t="e">
        <f t="shared" si="58"/>
        <v>#DIV/0!</v>
      </c>
      <c r="Z182" s="2284" t="e">
        <f>Z180/Z181</f>
        <v>#DIV/0!</v>
      </c>
      <c r="AA182" s="2285" t="e">
        <f>AA180/AA181</f>
        <v>#DIV/0!</v>
      </c>
      <c r="AB182" s="2268" t="e">
        <f t="shared" si="59"/>
        <v>#DIV/0!</v>
      </c>
      <c r="AF182" s="2218">
        <f t="shared" si="60"/>
        <v>0</v>
      </c>
      <c r="AG182" s="2593" t="e">
        <f t="shared" si="61"/>
        <v>#DIV/0!</v>
      </c>
      <c r="AH182" s="2218">
        <f t="shared" si="62"/>
        <v>0</v>
      </c>
      <c r="AI182" s="2593" t="e">
        <f t="shared" si="63"/>
        <v>#DIV/0!</v>
      </c>
    </row>
    <row r="183" spans="1:35" s="2218" customFormat="1" ht="25.5" customHeight="1">
      <c r="A183" s="2235">
        <v>336</v>
      </c>
      <c r="B183" s="2279" t="s">
        <v>1994</v>
      </c>
      <c r="C183" s="2280" t="s">
        <v>1995</v>
      </c>
      <c r="D183" s="2254"/>
      <c r="E183" s="2255">
        <f>E184*E185</f>
        <v>0</v>
      </c>
      <c r="F183" s="2256">
        <f>F184*F185</f>
        <v>0</v>
      </c>
      <c r="G183" s="2257">
        <f t="shared" si="54"/>
        <v>0</v>
      </c>
      <c r="H183" s="2256">
        <f>H184*H185</f>
        <v>0</v>
      </c>
      <c r="I183" s="2256">
        <f>I184*I185</f>
        <v>0</v>
      </c>
      <c r="J183" s="2257">
        <f t="shared" si="55"/>
        <v>0</v>
      </c>
      <c r="K183" s="2256">
        <f>K184*K185</f>
        <v>0</v>
      </c>
      <c r="L183" s="2256">
        <f>L184*L185</f>
        <v>0</v>
      </c>
      <c r="M183" s="2259">
        <f t="shared" si="56"/>
        <v>0</v>
      </c>
      <c r="N183" s="2255">
        <v>0</v>
      </c>
      <c r="O183" s="2256">
        <v>0</v>
      </c>
      <c r="P183" s="2259">
        <f t="shared" si="64"/>
        <v>0</v>
      </c>
      <c r="Q183" s="2255">
        <v>0</v>
      </c>
      <c r="R183" s="2256">
        <v>0</v>
      </c>
      <c r="S183" s="2259">
        <f t="shared" si="65"/>
        <v>0</v>
      </c>
      <c r="T183" s="2255">
        <f>N183+Q183</f>
        <v>0</v>
      </c>
      <c r="U183" s="2256">
        <f>O183+R183</f>
        <v>0</v>
      </c>
      <c r="V183" s="2268">
        <f t="shared" si="57"/>
        <v>0</v>
      </c>
      <c r="W183" s="2377">
        <f>T183/$T$272*$N$272</f>
        <v>0</v>
      </c>
      <c r="X183" s="2256">
        <f>U183/$T$272*$N$272</f>
        <v>0</v>
      </c>
      <c r="Y183" s="2268">
        <f t="shared" si="58"/>
        <v>0</v>
      </c>
      <c r="Z183" s="2886">
        <f>T183/$T$272*$Z$272</f>
        <v>0</v>
      </c>
      <c r="AA183" s="2887">
        <f>U183/$T$272*$Z$272</f>
        <v>0</v>
      </c>
      <c r="AB183" s="2268">
        <f t="shared" si="59"/>
        <v>0</v>
      </c>
      <c r="AF183" s="2218">
        <f t="shared" si="60"/>
        <v>0</v>
      </c>
      <c r="AG183" s="2593">
        <f t="shared" si="61"/>
        <v>0</v>
      </c>
      <c r="AH183" s="2218">
        <f t="shared" si="62"/>
        <v>0</v>
      </c>
      <c r="AI183" s="2593">
        <f t="shared" si="63"/>
        <v>0</v>
      </c>
    </row>
    <row r="184" spans="1:35" s="2218" customFormat="1" ht="21.75" hidden="1" customHeight="1">
      <c r="A184" s="2235">
        <v>341</v>
      </c>
      <c r="B184" s="2281" t="s">
        <v>1996</v>
      </c>
      <c r="C184" s="2282" t="s">
        <v>1327</v>
      </c>
      <c r="D184" s="2283" t="s">
        <v>1991</v>
      </c>
      <c r="E184" s="2284"/>
      <c r="F184" s="2285"/>
      <c r="G184" s="2257">
        <f t="shared" si="54"/>
        <v>0</v>
      </c>
      <c r="H184" s="2285"/>
      <c r="I184" s="2285"/>
      <c r="J184" s="2257">
        <f t="shared" si="55"/>
        <v>0</v>
      </c>
      <c r="K184" s="2285"/>
      <c r="L184" s="2285"/>
      <c r="M184" s="2259">
        <f t="shared" si="56"/>
        <v>0</v>
      </c>
      <c r="N184" s="2284"/>
      <c r="O184" s="2285"/>
      <c r="P184" s="2259">
        <f t="shared" si="64"/>
        <v>0</v>
      </c>
      <c r="Q184" s="2284">
        <v>0</v>
      </c>
      <c r="R184" s="2285">
        <v>0</v>
      </c>
      <c r="S184" s="2259">
        <f t="shared" si="65"/>
        <v>0</v>
      </c>
      <c r="T184" s="2284">
        <v>0</v>
      </c>
      <c r="U184" s="2285">
        <v>0</v>
      </c>
      <c r="V184" s="2268">
        <f t="shared" si="57"/>
        <v>0</v>
      </c>
      <c r="W184" s="2284">
        <v>0</v>
      </c>
      <c r="X184" s="2285">
        <v>0</v>
      </c>
      <c r="Y184" s="2268">
        <f t="shared" si="58"/>
        <v>0</v>
      </c>
      <c r="Z184" s="2284">
        <v>0</v>
      </c>
      <c r="AA184" s="2285">
        <v>0</v>
      </c>
      <c r="AB184" s="2268">
        <f t="shared" si="59"/>
        <v>0</v>
      </c>
      <c r="AF184" s="2218">
        <f t="shared" si="60"/>
        <v>0</v>
      </c>
      <c r="AG184" s="2593">
        <f t="shared" si="61"/>
        <v>0</v>
      </c>
      <c r="AH184" s="2218">
        <f t="shared" si="62"/>
        <v>0</v>
      </c>
      <c r="AI184" s="2593">
        <f t="shared" si="63"/>
        <v>0</v>
      </c>
    </row>
    <row r="185" spans="1:35" s="2218" customFormat="1" ht="20.25" hidden="1" customHeight="1">
      <c r="A185" s="2235">
        <v>342</v>
      </c>
      <c r="B185" s="2281" t="s">
        <v>1997</v>
      </c>
      <c r="C185" s="2282" t="s">
        <v>1330</v>
      </c>
      <c r="D185" s="2283" t="s">
        <v>1993</v>
      </c>
      <c r="E185" s="2284"/>
      <c r="F185" s="2285"/>
      <c r="G185" s="2257">
        <f t="shared" si="54"/>
        <v>0</v>
      </c>
      <c r="H185" s="2285"/>
      <c r="I185" s="2285"/>
      <c r="J185" s="2257">
        <f t="shared" si="55"/>
        <v>0</v>
      </c>
      <c r="K185" s="2285"/>
      <c r="L185" s="2285"/>
      <c r="M185" s="2259">
        <f t="shared" si="56"/>
        <v>0</v>
      </c>
      <c r="N185" s="2284"/>
      <c r="O185" s="2285"/>
      <c r="P185" s="2259">
        <f t="shared" si="64"/>
        <v>0</v>
      </c>
      <c r="Q185" s="2284">
        <v>0</v>
      </c>
      <c r="R185" s="2285">
        <v>0</v>
      </c>
      <c r="S185" s="2259">
        <f t="shared" si="65"/>
        <v>0</v>
      </c>
      <c r="T185" s="2284">
        <v>0</v>
      </c>
      <c r="U185" s="2285">
        <v>0</v>
      </c>
      <c r="V185" s="2268">
        <f t="shared" si="57"/>
        <v>0</v>
      </c>
      <c r="W185" s="2284">
        <v>0</v>
      </c>
      <c r="X185" s="2285">
        <v>0</v>
      </c>
      <c r="Y185" s="2268">
        <f t="shared" si="58"/>
        <v>0</v>
      </c>
      <c r="Z185" s="2284">
        <v>0</v>
      </c>
      <c r="AA185" s="2285">
        <v>0</v>
      </c>
      <c r="AB185" s="2268">
        <f t="shared" si="59"/>
        <v>0</v>
      </c>
      <c r="AF185" s="2218">
        <f t="shared" si="60"/>
        <v>0</v>
      </c>
      <c r="AG185" s="2593">
        <f t="shared" si="61"/>
        <v>0</v>
      </c>
      <c r="AH185" s="2218">
        <f t="shared" si="62"/>
        <v>0</v>
      </c>
      <c r="AI185" s="2593">
        <f t="shared" si="63"/>
        <v>0</v>
      </c>
    </row>
    <row r="186" spans="1:35" s="2218" customFormat="1" ht="24" hidden="1" customHeight="1">
      <c r="A186" s="2235">
        <v>71</v>
      </c>
      <c r="B186" s="2281" t="s">
        <v>1998</v>
      </c>
      <c r="C186" s="2282" t="s">
        <v>1999</v>
      </c>
      <c r="D186" s="2283" t="s">
        <v>1317</v>
      </c>
      <c r="E186" s="2284"/>
      <c r="F186" s="2285"/>
      <c r="G186" s="2257">
        <f t="shared" si="54"/>
        <v>0</v>
      </c>
      <c r="H186" s="2285"/>
      <c r="I186" s="2285"/>
      <c r="J186" s="2257">
        <f t="shared" si="55"/>
        <v>0</v>
      </c>
      <c r="K186" s="2285"/>
      <c r="L186" s="2285"/>
      <c r="M186" s="2259">
        <f t="shared" si="56"/>
        <v>0</v>
      </c>
      <c r="N186" s="2284"/>
      <c r="O186" s="2285"/>
      <c r="P186" s="2259">
        <f t="shared" si="64"/>
        <v>0</v>
      </c>
      <c r="Q186" s="2284">
        <v>0</v>
      </c>
      <c r="R186" s="2285">
        <v>0</v>
      </c>
      <c r="S186" s="2259">
        <f t="shared" si="65"/>
        <v>0</v>
      </c>
      <c r="T186" s="2284">
        <v>0</v>
      </c>
      <c r="U186" s="2285">
        <v>0</v>
      </c>
      <c r="V186" s="2268">
        <f t="shared" si="57"/>
        <v>0</v>
      </c>
      <c r="W186" s="2284">
        <v>0</v>
      </c>
      <c r="X186" s="2285">
        <v>0</v>
      </c>
      <c r="Y186" s="2268">
        <f t="shared" si="58"/>
        <v>0</v>
      </c>
      <c r="Z186" s="2284">
        <v>0</v>
      </c>
      <c r="AA186" s="2285">
        <v>0</v>
      </c>
      <c r="AB186" s="2268">
        <f t="shared" si="59"/>
        <v>0</v>
      </c>
      <c r="AF186" s="2218">
        <f t="shared" si="60"/>
        <v>0</v>
      </c>
      <c r="AG186" s="2593">
        <f t="shared" si="61"/>
        <v>0</v>
      </c>
      <c r="AH186" s="2218">
        <f t="shared" si="62"/>
        <v>0</v>
      </c>
      <c r="AI186" s="2593">
        <f t="shared" si="63"/>
        <v>0</v>
      </c>
    </row>
    <row r="187" spans="1:35" s="2218" customFormat="1" ht="20.25" customHeight="1">
      <c r="A187" s="2235">
        <v>270</v>
      </c>
      <c r="B187" s="2279" t="s">
        <v>2000</v>
      </c>
      <c r="C187" s="2280" t="s">
        <v>2001</v>
      </c>
      <c r="D187" s="2254" t="s">
        <v>1313</v>
      </c>
      <c r="E187" s="2255">
        <f>E188*E189+E190</f>
        <v>245.85138084487915</v>
      </c>
      <c r="F187" s="2256">
        <f>F188*F189+F190</f>
        <v>256.90441724221114</v>
      </c>
      <c r="G187" s="2257">
        <f t="shared" si="54"/>
        <v>251.37789904354514</v>
      </c>
      <c r="H187" s="2256">
        <f>H188*H189+H190</f>
        <v>328.9584019643741</v>
      </c>
      <c r="I187" s="2256">
        <f>I188*I189+I190</f>
        <v>331.49400736883263</v>
      </c>
      <c r="J187" s="2257">
        <f t="shared" si="55"/>
        <v>330.22620466660339</v>
      </c>
      <c r="K187" s="2256">
        <f>K188*K189+K190</f>
        <v>379.02761074782609</v>
      </c>
      <c r="L187" s="2256">
        <f>L188*L189+L190</f>
        <v>392.63044032372676</v>
      </c>
      <c r="M187" s="2259">
        <f t="shared" si="56"/>
        <v>385.8290255357764</v>
      </c>
      <c r="N187" s="2255">
        <v>685.44051427460056</v>
      </c>
      <c r="O187" s="2256">
        <v>728.62326667390039</v>
      </c>
      <c r="P187" s="2259">
        <f t="shared" si="64"/>
        <v>707.03189047425053</v>
      </c>
      <c r="Q187" s="2255">
        <v>165.9827327157827</v>
      </c>
      <c r="R187" s="2256">
        <v>176.439644876877</v>
      </c>
      <c r="S187" s="2259">
        <f t="shared" si="65"/>
        <v>171.21118879632985</v>
      </c>
      <c r="T187" s="2255">
        <f>N187+Q187</f>
        <v>851.42324699038329</v>
      </c>
      <c r="U187" s="2256">
        <f>O187+R187</f>
        <v>905.06291155077736</v>
      </c>
      <c r="V187" s="2268">
        <f t="shared" si="57"/>
        <v>878.24307927058032</v>
      </c>
      <c r="W187" s="2377">
        <f>T187/$T$272*$N$272</f>
        <v>183.9507713397812</v>
      </c>
      <c r="X187" s="2256">
        <f>U187/$T$272*$N$272</f>
        <v>195.53966993418743</v>
      </c>
      <c r="Y187" s="2268">
        <f t="shared" si="58"/>
        <v>189.7452206369843</v>
      </c>
      <c r="Z187" s="2886">
        <f>T187/$T$272*$Z$272</f>
        <v>667.47247565060195</v>
      </c>
      <c r="AA187" s="2887">
        <f>U187/$T$272*$Z$272</f>
        <v>709.52324161658987</v>
      </c>
      <c r="AB187" s="2268">
        <f t="shared" si="59"/>
        <v>688.49785863359591</v>
      </c>
      <c r="AF187" s="2218">
        <f t="shared" si="60"/>
        <v>195.53966993418743</v>
      </c>
      <c r="AG187" s="2593">
        <f t="shared" si="61"/>
        <v>0</v>
      </c>
      <c r="AH187" s="2218">
        <f t="shared" si="62"/>
        <v>709.52324161658987</v>
      </c>
      <c r="AI187" s="2593">
        <f t="shared" si="63"/>
        <v>0</v>
      </c>
    </row>
    <row r="188" spans="1:35" s="2218" customFormat="1">
      <c r="A188" s="2235">
        <v>271</v>
      </c>
      <c r="B188" s="2281" t="s">
        <v>2002</v>
      </c>
      <c r="C188" s="2282" t="s">
        <v>1505</v>
      </c>
      <c r="D188" s="2283"/>
      <c r="E188" s="2284">
        <f>'[3]НВВ перекачка'!K489</f>
        <v>0.14699743098839735</v>
      </c>
      <c r="F188" s="2285">
        <f>'[3]НВВ перекачка'!L489</f>
        <v>0.14699743098839735</v>
      </c>
      <c r="G188" s="2257">
        <f t="shared" si="54"/>
        <v>0.14699743098839735</v>
      </c>
      <c r="H188" s="2285">
        <f>'[3]НВВ перекачка'!T489</f>
        <v>0.18544102811423802</v>
      </c>
      <c r="I188" s="2285">
        <f>'[3]НВВ перекачка'!U489</f>
        <v>0.18246903148832616</v>
      </c>
      <c r="J188" s="2257">
        <f t="shared" si="55"/>
        <v>0.18395502980128209</v>
      </c>
      <c r="K188" s="2285">
        <f>'[3]НВВ перекачка'!AC489</f>
        <v>0.18374659659854403</v>
      </c>
      <c r="L188" s="2285">
        <f>'[3]НВВ перекачка'!AD489</f>
        <v>0.18374659659854403</v>
      </c>
      <c r="M188" s="2259">
        <f t="shared" si="56"/>
        <v>0.18374659659854403</v>
      </c>
      <c r="N188" s="2284">
        <v>0.29429210362015584</v>
      </c>
      <c r="O188" s="2285">
        <v>0.29429210362015584</v>
      </c>
      <c r="P188" s="2259">
        <f t="shared" si="64"/>
        <v>0.29429210362015584</v>
      </c>
      <c r="Q188" s="2381">
        <v>7.5480999999999993E-2</v>
      </c>
      <c r="R188" s="2382">
        <v>7.5480999999999993E-2</v>
      </c>
      <c r="S188" s="2259">
        <f t="shared" si="65"/>
        <v>7.5480999999999993E-2</v>
      </c>
      <c r="T188" s="2294">
        <f>N188+Q188</f>
        <v>0.36977310362015581</v>
      </c>
      <c r="U188" s="2285">
        <f>O188+R188</f>
        <v>0.36977310362015581</v>
      </c>
      <c r="V188" s="2268">
        <f t="shared" si="57"/>
        <v>0.36977310362015581</v>
      </c>
      <c r="W188" s="2888">
        <f>T188/$T$272*$W$272</f>
        <v>7.9889817281910303E-2</v>
      </c>
      <c r="X188" s="2889">
        <f>U188/$T$272*$W$272</f>
        <v>7.9889817281910303E-2</v>
      </c>
      <c r="Y188" s="2268">
        <f t="shared" si="58"/>
        <v>7.9889817281910303E-2</v>
      </c>
      <c r="Z188" s="2888">
        <f>T188/$T$272*$Z$272</f>
        <v>0.28988328633824545</v>
      </c>
      <c r="AA188" s="2889">
        <f>U188/$T$272*$Z$272</f>
        <v>0.28988328633824545</v>
      </c>
      <c r="AB188" s="2268">
        <f t="shared" si="59"/>
        <v>0.28988328633824545</v>
      </c>
      <c r="AF188" s="2218">
        <f t="shared" si="60"/>
        <v>7.9889817281910303E-2</v>
      </c>
      <c r="AG188" s="2593">
        <f t="shared" si="61"/>
        <v>0</v>
      </c>
      <c r="AH188" s="2218">
        <f t="shared" si="62"/>
        <v>0.28988328633824545</v>
      </c>
      <c r="AI188" s="2593">
        <f t="shared" si="63"/>
        <v>0</v>
      </c>
    </row>
    <row r="189" spans="1:35" s="2218" customFormat="1">
      <c r="A189" s="2235">
        <v>272</v>
      </c>
      <c r="B189" s="2281" t="s">
        <v>2004</v>
      </c>
      <c r="C189" s="2282" t="s">
        <v>2005</v>
      </c>
      <c r="D189" s="2283" t="s">
        <v>1934</v>
      </c>
      <c r="E189" s="2284">
        <f>'[3]НВВ перекачка'!K490</f>
        <v>1672.4876019383253</v>
      </c>
      <c r="F189" s="2285">
        <f>'[3]НВВ перекачка'!L490</f>
        <v>1747.6796398060103</v>
      </c>
      <c r="G189" s="2257">
        <f t="shared" si="54"/>
        <v>1710.0836208721678</v>
      </c>
      <c r="H189" s="2285">
        <f>'[3]НВВ перекачка'!T490</f>
        <v>1773.6836786924214</v>
      </c>
      <c r="I189" s="2285">
        <f>'[3]НВВ перекачка'!U490</f>
        <v>1816.713798856551</v>
      </c>
      <c r="J189" s="2257">
        <f t="shared" si="55"/>
        <v>1795.1987387744862</v>
      </c>
      <c r="K189" s="2285">
        <f>'[3]НВВ перекачка'!AC490</f>
        <v>2062.7735030975232</v>
      </c>
      <c r="L189" s="2285">
        <f>'[3]НВВ перекачка'!AD490</f>
        <v>2136.8038787763749</v>
      </c>
      <c r="M189" s="2259">
        <f t="shared" si="56"/>
        <v>2099.788690936949</v>
      </c>
      <c r="N189" s="2284">
        <v>2329.1162278662487</v>
      </c>
      <c r="O189" s="2285">
        <v>2475.8505502218222</v>
      </c>
      <c r="P189" s="2259">
        <f t="shared" si="64"/>
        <v>2402.4833890440354</v>
      </c>
      <c r="Q189" s="2284">
        <v>2199.000181711725</v>
      </c>
      <c r="R189" s="2285">
        <v>2337.5371931595637</v>
      </c>
      <c r="S189" s="2259">
        <f t="shared" si="65"/>
        <v>2268.2686874356441</v>
      </c>
      <c r="T189" s="2284">
        <f>T187/T188</f>
        <v>2302.5559151132738</v>
      </c>
      <c r="U189" s="2285">
        <f>U187/U188</f>
        <v>2447.6169377654101</v>
      </c>
      <c r="V189" s="2268">
        <f t="shared" si="57"/>
        <v>2375.0864264393422</v>
      </c>
      <c r="W189" s="2284">
        <f>W187/W188</f>
        <v>2302.5559151132738</v>
      </c>
      <c r="X189" s="2285">
        <f>X187/X188</f>
        <v>2447.6169377654101</v>
      </c>
      <c r="Y189" s="2268">
        <f t="shared" si="58"/>
        <v>2375.0864264393422</v>
      </c>
      <c r="Z189" s="2284">
        <f>Z187/Z188</f>
        <v>2302.5559151132738</v>
      </c>
      <c r="AA189" s="2285">
        <f>AA187/AA188</f>
        <v>2447.6169377654101</v>
      </c>
      <c r="AB189" s="2268">
        <f t="shared" si="59"/>
        <v>2375.0864264393422</v>
      </c>
      <c r="AF189" s="2218">
        <f t="shared" si="60"/>
        <v>528.80987832758319</v>
      </c>
      <c r="AG189" s="2593">
        <f t="shared" si="61"/>
        <v>-1918.8070594378269</v>
      </c>
      <c r="AH189" s="2218">
        <f t="shared" si="62"/>
        <v>1918.8070594378264</v>
      </c>
      <c r="AI189" s="2593">
        <f t="shared" si="63"/>
        <v>-528.80987832758365</v>
      </c>
    </row>
    <row r="190" spans="1:35" s="2218" customFormat="1" ht="19.5" customHeight="1">
      <c r="A190" s="2235">
        <v>70</v>
      </c>
      <c r="B190" s="2281" t="s">
        <v>2007</v>
      </c>
      <c r="C190" s="2282" t="s">
        <v>2008</v>
      </c>
      <c r="D190" s="2283" t="s">
        <v>1317</v>
      </c>
      <c r="E190" s="2284">
        <f>'[3]НВВ перекачка'!K491</f>
        <v>0</v>
      </c>
      <c r="F190" s="2285">
        <f>'[3]НВВ перекачка'!L491</f>
        <v>0</v>
      </c>
      <c r="G190" s="2257">
        <f t="shared" si="54"/>
        <v>0</v>
      </c>
      <c r="H190" s="2285">
        <f>'[3]НВВ перекачка'!T491</f>
        <v>4.4677038207672555E-2</v>
      </c>
      <c r="I190" s="2285">
        <f>'[3]НВВ перекачка'!U491</f>
        <v>0</v>
      </c>
      <c r="J190" s="2257">
        <f t="shared" si="55"/>
        <v>2.2338519103836278E-2</v>
      </c>
      <c r="K190" s="2285">
        <f>'[3]НВВ перекачка'!AC491</f>
        <v>0</v>
      </c>
      <c r="L190" s="2285">
        <f>'[3]НВВ перекачка'!AD491</f>
        <v>0</v>
      </c>
      <c r="M190" s="2259">
        <f t="shared" si="56"/>
        <v>0</v>
      </c>
      <c r="N190" s="2284"/>
      <c r="O190" s="2285"/>
      <c r="P190" s="2259">
        <f t="shared" si="64"/>
        <v>0</v>
      </c>
      <c r="Q190" s="2284">
        <v>0</v>
      </c>
      <c r="R190" s="2285">
        <v>0</v>
      </c>
      <c r="S190" s="2259">
        <f t="shared" si="65"/>
        <v>0</v>
      </c>
      <c r="T190" s="2284">
        <v>0</v>
      </c>
      <c r="U190" s="2285">
        <v>0</v>
      </c>
      <c r="V190" s="2268">
        <f t="shared" si="57"/>
        <v>0</v>
      </c>
      <c r="W190" s="2888">
        <f>T190/$T$272*$W$272</f>
        <v>0</v>
      </c>
      <c r="X190" s="2889">
        <f>U190/$T$272*$W$272</f>
        <v>0</v>
      </c>
      <c r="Y190" s="2268">
        <f t="shared" si="58"/>
        <v>0</v>
      </c>
      <c r="Z190" s="2888">
        <f t="shared" ref="Z190:AA192" si="73">T190/$T$272*$Z$272</f>
        <v>0</v>
      </c>
      <c r="AA190" s="2889">
        <f t="shared" si="73"/>
        <v>0</v>
      </c>
      <c r="AB190" s="2268">
        <f t="shared" si="59"/>
        <v>0</v>
      </c>
      <c r="AF190" s="2218">
        <f t="shared" si="60"/>
        <v>0</v>
      </c>
      <c r="AG190" s="2593">
        <f t="shared" si="61"/>
        <v>0</v>
      </c>
      <c r="AH190" s="2218">
        <f t="shared" si="62"/>
        <v>0</v>
      </c>
      <c r="AI190" s="2593">
        <f t="shared" si="63"/>
        <v>0</v>
      </c>
    </row>
    <row r="191" spans="1:35" s="2218" customFormat="1" ht="24" customHeight="1">
      <c r="A191" s="2235">
        <v>273</v>
      </c>
      <c r="B191" s="2279" t="s">
        <v>2009</v>
      </c>
      <c r="C191" s="2280" t="s">
        <v>2010</v>
      </c>
      <c r="D191" s="2254" t="s">
        <v>1313</v>
      </c>
      <c r="E191" s="2255">
        <f>E192*E193</f>
        <v>0</v>
      </c>
      <c r="F191" s="2256">
        <f>F192*F193</f>
        <v>0</v>
      </c>
      <c r="G191" s="2257">
        <f t="shared" si="54"/>
        <v>0</v>
      </c>
      <c r="H191" s="2256">
        <f>H192*H193</f>
        <v>0</v>
      </c>
      <c r="I191" s="2256">
        <f>I192*I193</f>
        <v>0</v>
      </c>
      <c r="J191" s="2257">
        <f t="shared" si="55"/>
        <v>0</v>
      </c>
      <c r="K191" s="2256">
        <f>K192*K193</f>
        <v>0</v>
      </c>
      <c r="L191" s="2256">
        <f>L192*L193</f>
        <v>0</v>
      </c>
      <c r="M191" s="2259">
        <f t="shared" si="56"/>
        <v>0</v>
      </c>
      <c r="N191" s="2255">
        <v>0</v>
      </c>
      <c r="O191" s="2256">
        <v>0</v>
      </c>
      <c r="P191" s="2259">
        <f t="shared" si="64"/>
        <v>0</v>
      </c>
      <c r="Q191" s="2255">
        <v>0</v>
      </c>
      <c r="R191" s="2256">
        <v>0</v>
      </c>
      <c r="S191" s="2259">
        <f t="shared" si="65"/>
        <v>0</v>
      </c>
      <c r="T191" s="2255">
        <v>0</v>
      </c>
      <c r="U191" s="2256">
        <v>0</v>
      </c>
      <c r="V191" s="2268">
        <f t="shared" si="57"/>
        <v>0</v>
      </c>
      <c r="W191" s="2377">
        <f>T191/$T$272*$N$272</f>
        <v>0</v>
      </c>
      <c r="X191" s="2256">
        <f>U191/$T$272*$N$272</f>
        <v>0</v>
      </c>
      <c r="Y191" s="2268">
        <f t="shared" si="58"/>
        <v>0</v>
      </c>
      <c r="Z191" s="2886">
        <f t="shared" si="73"/>
        <v>0</v>
      </c>
      <c r="AA191" s="2887">
        <f t="shared" si="73"/>
        <v>0</v>
      </c>
      <c r="AB191" s="2268">
        <f t="shared" si="59"/>
        <v>0</v>
      </c>
      <c r="AF191" s="2218">
        <f t="shared" si="60"/>
        <v>0</v>
      </c>
      <c r="AG191" s="2593">
        <f t="shared" si="61"/>
        <v>0</v>
      </c>
      <c r="AH191" s="2218">
        <f t="shared" si="62"/>
        <v>0</v>
      </c>
      <c r="AI191" s="2593">
        <f t="shared" si="63"/>
        <v>0</v>
      </c>
    </row>
    <row r="192" spans="1:35" s="2218" customFormat="1" ht="24" customHeight="1">
      <c r="A192" s="2235">
        <v>274</v>
      </c>
      <c r="B192" s="2281" t="s">
        <v>2011</v>
      </c>
      <c r="C192" s="2282" t="s">
        <v>1505</v>
      </c>
      <c r="D192" s="2283" t="s">
        <v>2012</v>
      </c>
      <c r="E192" s="2284"/>
      <c r="F192" s="2285"/>
      <c r="G192" s="2257">
        <f t="shared" si="54"/>
        <v>0</v>
      </c>
      <c r="H192" s="2285"/>
      <c r="I192" s="2285"/>
      <c r="J192" s="2257">
        <f t="shared" si="55"/>
        <v>0</v>
      </c>
      <c r="K192" s="2285"/>
      <c r="L192" s="2285"/>
      <c r="M192" s="2259">
        <f t="shared" si="56"/>
        <v>0</v>
      </c>
      <c r="N192" s="2284"/>
      <c r="O192" s="2285"/>
      <c r="P192" s="2259">
        <f t="shared" si="64"/>
        <v>0</v>
      </c>
      <c r="Q192" s="2294">
        <v>0</v>
      </c>
      <c r="R192" s="2296">
        <v>0</v>
      </c>
      <c r="S192" s="2259">
        <f t="shared" si="65"/>
        <v>0</v>
      </c>
      <c r="T192" s="2294">
        <v>0</v>
      </c>
      <c r="U192" s="2296">
        <v>0</v>
      </c>
      <c r="V192" s="2268">
        <f t="shared" si="57"/>
        <v>0</v>
      </c>
      <c r="W192" s="2888">
        <f>T192/$T$272*$W$272</f>
        <v>0</v>
      </c>
      <c r="X192" s="2889">
        <f>U192/$T$272*$W$272</f>
        <v>0</v>
      </c>
      <c r="Y192" s="2268">
        <f t="shared" si="58"/>
        <v>0</v>
      </c>
      <c r="Z192" s="2888">
        <f t="shared" si="73"/>
        <v>0</v>
      </c>
      <c r="AA192" s="2889">
        <f t="shared" si="73"/>
        <v>0</v>
      </c>
      <c r="AB192" s="2268">
        <f t="shared" si="59"/>
        <v>0</v>
      </c>
      <c r="AF192" s="2218">
        <f t="shared" si="60"/>
        <v>0</v>
      </c>
      <c r="AG192" s="2593">
        <f t="shared" si="61"/>
        <v>0</v>
      </c>
      <c r="AH192" s="2218">
        <f t="shared" si="62"/>
        <v>0</v>
      </c>
      <c r="AI192" s="2593">
        <f t="shared" si="63"/>
        <v>0</v>
      </c>
    </row>
    <row r="193" spans="1:35" s="2218" customFormat="1" ht="24" customHeight="1">
      <c r="A193" s="2235">
        <v>275</v>
      </c>
      <c r="B193" s="2281" t="s">
        <v>2014</v>
      </c>
      <c r="C193" s="2282" t="s">
        <v>2005</v>
      </c>
      <c r="D193" s="2283" t="s">
        <v>1934</v>
      </c>
      <c r="E193" s="2284"/>
      <c r="F193" s="2285"/>
      <c r="G193" s="2257">
        <f t="shared" si="54"/>
        <v>0</v>
      </c>
      <c r="H193" s="2285"/>
      <c r="I193" s="2285"/>
      <c r="J193" s="2257">
        <f t="shared" si="55"/>
        <v>0</v>
      </c>
      <c r="K193" s="2285"/>
      <c r="L193" s="2285"/>
      <c r="M193" s="2259">
        <f t="shared" si="56"/>
        <v>0</v>
      </c>
      <c r="N193" s="2284"/>
      <c r="O193" s="2285"/>
      <c r="P193" s="2259">
        <f t="shared" si="64"/>
        <v>0</v>
      </c>
      <c r="Q193" s="2284">
        <v>0</v>
      </c>
      <c r="R193" s="2474">
        <v>0</v>
      </c>
      <c r="S193" s="2259">
        <f t="shared" si="65"/>
        <v>0</v>
      </c>
      <c r="T193" s="2284">
        <v>0</v>
      </c>
      <c r="U193" s="2474">
        <v>0</v>
      </c>
      <c r="V193" s="2268">
        <f t="shared" si="57"/>
        <v>0</v>
      </c>
      <c r="W193" s="2284" t="e">
        <f>W191/W192</f>
        <v>#DIV/0!</v>
      </c>
      <c r="X193" s="2285" t="e">
        <f>X191/X192</f>
        <v>#DIV/0!</v>
      </c>
      <c r="Y193" s="2268" t="e">
        <f t="shared" si="58"/>
        <v>#DIV/0!</v>
      </c>
      <c r="Z193" s="2284" t="e">
        <f>Z191/Z192</f>
        <v>#DIV/0!</v>
      </c>
      <c r="AA193" s="2285" t="e">
        <f>AA191/AA192</f>
        <v>#DIV/0!</v>
      </c>
      <c r="AB193" s="2268" t="e">
        <f t="shared" si="59"/>
        <v>#DIV/0!</v>
      </c>
      <c r="AF193" s="2218">
        <f t="shared" si="60"/>
        <v>0</v>
      </c>
      <c r="AG193" s="2593" t="e">
        <f t="shared" si="61"/>
        <v>#DIV/0!</v>
      </c>
      <c r="AH193" s="2218">
        <f t="shared" si="62"/>
        <v>0</v>
      </c>
      <c r="AI193" s="2593" t="e">
        <f t="shared" si="63"/>
        <v>#DIV/0!</v>
      </c>
    </row>
    <row r="194" spans="1:35" s="2218" customFormat="1" ht="20.25" customHeight="1">
      <c r="A194" s="2235">
        <v>72</v>
      </c>
      <c r="B194" s="2279" t="s">
        <v>2015</v>
      </c>
      <c r="C194" s="2280" t="s">
        <v>2016</v>
      </c>
      <c r="D194" s="2254" t="s">
        <v>1317</v>
      </c>
      <c r="E194" s="2255">
        <f>E195*E196</f>
        <v>0</v>
      </c>
      <c r="F194" s="2256">
        <f>F195*F196</f>
        <v>0</v>
      </c>
      <c r="G194" s="2257">
        <f t="shared" si="54"/>
        <v>0</v>
      </c>
      <c r="H194" s="2256">
        <f>H195*H196</f>
        <v>0</v>
      </c>
      <c r="I194" s="2256">
        <f>I195*I196</f>
        <v>0</v>
      </c>
      <c r="J194" s="2257">
        <f t="shared" si="55"/>
        <v>0</v>
      </c>
      <c r="K194" s="2256">
        <f>K195*K196</f>
        <v>0</v>
      </c>
      <c r="L194" s="2256">
        <f>L195*L196</f>
        <v>0</v>
      </c>
      <c r="M194" s="2259">
        <f t="shared" si="56"/>
        <v>0</v>
      </c>
      <c r="N194" s="2255">
        <v>0</v>
      </c>
      <c r="O194" s="2256">
        <v>0</v>
      </c>
      <c r="P194" s="2259">
        <f t="shared" si="64"/>
        <v>0</v>
      </c>
      <c r="Q194" s="2255">
        <v>0</v>
      </c>
      <c r="R194" s="2256">
        <v>0</v>
      </c>
      <c r="S194" s="2259">
        <f t="shared" si="65"/>
        <v>0</v>
      </c>
      <c r="T194" s="2255">
        <v>0</v>
      </c>
      <c r="U194" s="2256">
        <v>0</v>
      </c>
      <c r="V194" s="2268">
        <f t="shared" si="57"/>
        <v>0</v>
      </c>
      <c r="W194" s="2377">
        <f>T194/$T$272*$N$272</f>
        <v>0</v>
      </c>
      <c r="X194" s="2256">
        <f>U194/$T$272*$N$272</f>
        <v>0</v>
      </c>
      <c r="Y194" s="2268">
        <f t="shared" si="58"/>
        <v>0</v>
      </c>
      <c r="Z194" s="2886">
        <f>T194/$T$272*$Z$272</f>
        <v>0</v>
      </c>
      <c r="AA194" s="2887">
        <f>U194/$T$272*$Z$272</f>
        <v>0</v>
      </c>
      <c r="AB194" s="2268">
        <f t="shared" si="59"/>
        <v>0</v>
      </c>
      <c r="AF194" s="2218">
        <f t="shared" si="60"/>
        <v>0</v>
      </c>
      <c r="AG194" s="2593">
        <f t="shared" si="61"/>
        <v>0</v>
      </c>
      <c r="AH194" s="2218">
        <f t="shared" si="62"/>
        <v>0</v>
      </c>
      <c r="AI194" s="2593">
        <f t="shared" si="63"/>
        <v>0</v>
      </c>
    </row>
    <row r="195" spans="1:35" s="2218" customFormat="1" ht="24" customHeight="1">
      <c r="A195" s="2235">
        <v>74</v>
      </c>
      <c r="B195" s="2281" t="s">
        <v>2017</v>
      </c>
      <c r="C195" s="2282" t="s">
        <v>2018</v>
      </c>
      <c r="D195" s="2283" t="s">
        <v>1983</v>
      </c>
      <c r="E195" s="2284"/>
      <c r="F195" s="2285"/>
      <c r="G195" s="2257">
        <f t="shared" si="54"/>
        <v>0</v>
      </c>
      <c r="H195" s="2285"/>
      <c r="I195" s="2285"/>
      <c r="J195" s="2257">
        <f t="shared" si="55"/>
        <v>0</v>
      </c>
      <c r="K195" s="2285"/>
      <c r="L195" s="2285"/>
      <c r="M195" s="2259">
        <f t="shared" si="56"/>
        <v>0</v>
      </c>
      <c r="N195" s="2284"/>
      <c r="O195" s="2285"/>
      <c r="P195" s="2259">
        <f t="shared" si="64"/>
        <v>0</v>
      </c>
      <c r="Q195" s="2294">
        <v>0</v>
      </c>
      <c r="R195" s="2296">
        <v>0</v>
      </c>
      <c r="S195" s="2259">
        <f t="shared" si="65"/>
        <v>0</v>
      </c>
      <c r="T195" s="2294">
        <v>0</v>
      </c>
      <c r="U195" s="2296">
        <v>0</v>
      </c>
      <c r="V195" s="2268">
        <f t="shared" si="57"/>
        <v>0</v>
      </c>
      <c r="W195" s="2888">
        <f>T195/$T$272*$W$272</f>
        <v>0</v>
      </c>
      <c r="X195" s="2889">
        <f>U195/$T$272*$W$272</f>
        <v>0</v>
      </c>
      <c r="Y195" s="2268">
        <f t="shared" si="58"/>
        <v>0</v>
      </c>
      <c r="Z195" s="2888">
        <f>T195/$T$272*$Z$272</f>
        <v>0</v>
      </c>
      <c r="AA195" s="2889">
        <f>U195/$T$272*$Z$272</f>
        <v>0</v>
      </c>
      <c r="AB195" s="2268">
        <f t="shared" si="59"/>
        <v>0</v>
      </c>
      <c r="AF195" s="2218">
        <f t="shared" si="60"/>
        <v>0</v>
      </c>
      <c r="AG195" s="2593">
        <f t="shared" si="61"/>
        <v>0</v>
      </c>
      <c r="AH195" s="2218">
        <f t="shared" si="62"/>
        <v>0</v>
      </c>
      <c r="AI195" s="2593">
        <f t="shared" si="63"/>
        <v>0</v>
      </c>
    </row>
    <row r="196" spans="1:35" s="2218" customFormat="1" ht="18.75" customHeight="1">
      <c r="A196" s="2235">
        <v>73</v>
      </c>
      <c r="B196" s="2281" t="s">
        <v>2020</v>
      </c>
      <c r="C196" s="2282" t="s">
        <v>2005</v>
      </c>
      <c r="D196" s="2283" t="s">
        <v>1986</v>
      </c>
      <c r="E196" s="2284"/>
      <c r="F196" s="2285"/>
      <c r="G196" s="2257">
        <f t="shared" si="54"/>
        <v>0</v>
      </c>
      <c r="H196" s="2285"/>
      <c r="I196" s="2285"/>
      <c r="J196" s="2257">
        <f t="shared" si="55"/>
        <v>0</v>
      </c>
      <c r="K196" s="2285"/>
      <c r="L196" s="2285"/>
      <c r="M196" s="2259">
        <f t="shared" si="56"/>
        <v>0</v>
      </c>
      <c r="N196" s="2284"/>
      <c r="O196" s="2285"/>
      <c r="P196" s="2259">
        <f t="shared" si="64"/>
        <v>0</v>
      </c>
      <c r="Q196" s="2284">
        <v>0</v>
      </c>
      <c r="R196" s="2474">
        <v>0</v>
      </c>
      <c r="S196" s="2259">
        <f t="shared" si="65"/>
        <v>0</v>
      </c>
      <c r="T196" s="2284">
        <v>0</v>
      </c>
      <c r="U196" s="2474">
        <v>0</v>
      </c>
      <c r="V196" s="2268">
        <f t="shared" si="57"/>
        <v>0</v>
      </c>
      <c r="W196" s="2284" t="e">
        <f>W194/W195</f>
        <v>#DIV/0!</v>
      </c>
      <c r="X196" s="2285" t="e">
        <f>X194/X195</f>
        <v>#DIV/0!</v>
      </c>
      <c r="Y196" s="2268" t="e">
        <f t="shared" si="58"/>
        <v>#DIV/0!</v>
      </c>
      <c r="Z196" s="2284" t="e">
        <f>Z194/Z195</f>
        <v>#DIV/0!</v>
      </c>
      <c r="AA196" s="2285" t="e">
        <f>AA194/AA195</f>
        <v>#DIV/0!</v>
      </c>
      <c r="AB196" s="2268" t="e">
        <f t="shared" si="59"/>
        <v>#DIV/0!</v>
      </c>
      <c r="AF196" s="2218">
        <f t="shared" si="60"/>
        <v>0</v>
      </c>
      <c r="AG196" s="2593" t="e">
        <f t="shared" si="61"/>
        <v>#DIV/0!</v>
      </c>
      <c r="AH196" s="2218">
        <f t="shared" si="62"/>
        <v>0</v>
      </c>
      <c r="AI196" s="2593" t="e">
        <f t="shared" si="63"/>
        <v>#DIV/0!</v>
      </c>
    </row>
    <row r="197" spans="1:35" s="2218" customFormat="1" ht="22.5" customHeight="1">
      <c r="A197" s="2235">
        <v>260</v>
      </c>
      <c r="B197" s="2281" t="s">
        <v>2021</v>
      </c>
      <c r="C197" s="2282" t="s">
        <v>2022</v>
      </c>
      <c r="D197" s="2283" t="s">
        <v>1313</v>
      </c>
      <c r="E197" s="2284"/>
      <c r="F197" s="2285"/>
      <c r="G197" s="2257">
        <f t="shared" si="54"/>
        <v>0</v>
      </c>
      <c r="H197" s="2285"/>
      <c r="I197" s="2285"/>
      <c r="J197" s="2257">
        <f t="shared" si="55"/>
        <v>0</v>
      </c>
      <c r="K197" s="2285"/>
      <c r="L197" s="2285"/>
      <c r="M197" s="2259">
        <f t="shared" si="56"/>
        <v>0</v>
      </c>
      <c r="N197" s="2284"/>
      <c r="O197" s="2285"/>
      <c r="P197" s="2259">
        <f t="shared" si="64"/>
        <v>0</v>
      </c>
      <c r="Q197" s="2284">
        <v>0</v>
      </c>
      <c r="R197" s="2285">
        <v>0</v>
      </c>
      <c r="S197" s="2259">
        <f t="shared" si="65"/>
        <v>0</v>
      </c>
      <c r="T197" s="2284">
        <v>0</v>
      </c>
      <c r="U197" s="2285">
        <v>0</v>
      </c>
      <c r="V197" s="2268">
        <f t="shared" ref="V197:V260" si="74">T197/2+U197/2</f>
        <v>0</v>
      </c>
      <c r="W197" s="2284">
        <v>0</v>
      </c>
      <c r="X197" s="2285">
        <v>0</v>
      </c>
      <c r="Y197" s="2268">
        <f t="shared" ref="Y197:Y260" si="75">W197/2+X197/2</f>
        <v>0</v>
      </c>
      <c r="Z197" s="2284">
        <v>0</v>
      </c>
      <c r="AA197" s="2285">
        <v>0</v>
      </c>
      <c r="AB197" s="2268">
        <f t="shared" ref="AB197:AB260" si="76">Z197/2+AA197/2</f>
        <v>0</v>
      </c>
      <c r="AF197" s="2218">
        <f t="shared" si="60"/>
        <v>0</v>
      </c>
      <c r="AG197" s="2593">
        <f t="shared" si="61"/>
        <v>0</v>
      </c>
      <c r="AH197" s="2218">
        <f t="shared" si="62"/>
        <v>0</v>
      </c>
      <c r="AI197" s="2593">
        <f t="shared" si="63"/>
        <v>0</v>
      </c>
    </row>
    <row r="198" spans="1:35" s="2218" customFormat="1" ht="30.75" customHeight="1">
      <c r="A198" s="2235">
        <v>261</v>
      </c>
      <c r="B198" s="2281" t="s">
        <v>2023</v>
      </c>
      <c r="C198" s="2282" t="s">
        <v>2024</v>
      </c>
      <c r="D198" s="2283" t="s">
        <v>1313</v>
      </c>
      <c r="E198" s="2284"/>
      <c r="F198" s="2285"/>
      <c r="G198" s="2257">
        <f t="shared" si="54"/>
        <v>0</v>
      </c>
      <c r="H198" s="2285"/>
      <c r="I198" s="2285"/>
      <c r="J198" s="2257">
        <f t="shared" si="55"/>
        <v>0</v>
      </c>
      <c r="K198" s="2285"/>
      <c r="L198" s="2285"/>
      <c r="M198" s="2259">
        <f t="shared" si="56"/>
        <v>0</v>
      </c>
      <c r="N198" s="2284"/>
      <c r="O198" s="2285"/>
      <c r="P198" s="2259">
        <f t="shared" si="64"/>
        <v>0</v>
      </c>
      <c r="Q198" s="2284">
        <v>0</v>
      </c>
      <c r="R198" s="2285">
        <v>0</v>
      </c>
      <c r="S198" s="2259">
        <f t="shared" si="65"/>
        <v>0</v>
      </c>
      <c r="T198" s="2284">
        <v>0</v>
      </c>
      <c r="U198" s="2285">
        <v>0</v>
      </c>
      <c r="V198" s="2268">
        <f t="shared" si="74"/>
        <v>0</v>
      </c>
      <c r="W198" s="2284">
        <v>0</v>
      </c>
      <c r="X198" s="2285">
        <v>0</v>
      </c>
      <c r="Y198" s="2268">
        <f t="shared" si="75"/>
        <v>0</v>
      </c>
      <c r="Z198" s="2284">
        <v>0</v>
      </c>
      <c r="AA198" s="2285">
        <v>0</v>
      </c>
      <c r="AB198" s="2268">
        <f t="shared" si="76"/>
        <v>0</v>
      </c>
      <c r="AF198" s="2218">
        <f t="shared" ref="AF198:AF261" si="77">U198/$U$272*$X$272</f>
        <v>0</v>
      </c>
      <c r="AG198" s="2593">
        <f t="shared" ref="AG198:AG261" si="78">AF198-X198</f>
        <v>0</v>
      </c>
      <c r="AH198" s="2218">
        <f t="shared" ref="AH198:AH261" si="79">U198/$U$272*$AA$272</f>
        <v>0</v>
      </c>
      <c r="AI198" s="2593">
        <f t="shared" ref="AI198:AI261" si="80">AH198-AA198</f>
        <v>0</v>
      </c>
    </row>
    <row r="199" spans="1:35" s="2218" customFormat="1" ht="21" customHeight="1">
      <c r="A199" s="2235">
        <v>262</v>
      </c>
      <c r="B199" s="2281" t="s">
        <v>2025</v>
      </c>
      <c r="C199" s="2282" t="s">
        <v>2026</v>
      </c>
      <c r="D199" s="2283" t="s">
        <v>1313</v>
      </c>
      <c r="E199" s="2284"/>
      <c r="F199" s="2285"/>
      <c r="G199" s="2257">
        <f t="shared" si="54"/>
        <v>0</v>
      </c>
      <c r="H199" s="2285"/>
      <c r="I199" s="2285"/>
      <c r="J199" s="2257">
        <f t="shared" si="55"/>
        <v>0</v>
      </c>
      <c r="K199" s="2285"/>
      <c r="L199" s="2285"/>
      <c r="M199" s="2259">
        <f t="shared" si="56"/>
        <v>0</v>
      </c>
      <c r="N199" s="2284"/>
      <c r="O199" s="2285"/>
      <c r="P199" s="2259">
        <f t="shared" si="64"/>
        <v>0</v>
      </c>
      <c r="Q199" s="2284">
        <v>0</v>
      </c>
      <c r="R199" s="2285">
        <v>0</v>
      </c>
      <c r="S199" s="2259">
        <f t="shared" si="65"/>
        <v>0</v>
      </c>
      <c r="T199" s="2284">
        <v>0</v>
      </c>
      <c r="U199" s="2285">
        <v>0</v>
      </c>
      <c r="V199" s="2268">
        <f t="shared" si="74"/>
        <v>0</v>
      </c>
      <c r="W199" s="2284">
        <v>0</v>
      </c>
      <c r="X199" s="2285">
        <v>0</v>
      </c>
      <c r="Y199" s="2268">
        <f t="shared" si="75"/>
        <v>0</v>
      </c>
      <c r="Z199" s="2284">
        <v>0</v>
      </c>
      <c r="AA199" s="2285">
        <v>0</v>
      </c>
      <c r="AB199" s="2268">
        <f t="shared" si="76"/>
        <v>0</v>
      </c>
      <c r="AF199" s="2218">
        <f t="shared" si="77"/>
        <v>0</v>
      </c>
      <c r="AG199" s="2593">
        <f t="shared" si="78"/>
        <v>0</v>
      </c>
      <c r="AH199" s="2218">
        <f t="shared" si="79"/>
        <v>0</v>
      </c>
      <c r="AI199" s="2593">
        <f t="shared" si="80"/>
        <v>0</v>
      </c>
    </row>
    <row r="200" spans="1:35" s="2218" customFormat="1" ht="35.25" customHeight="1">
      <c r="A200" s="2235">
        <v>279</v>
      </c>
      <c r="B200" s="2279" t="s">
        <v>2027</v>
      </c>
      <c r="C200" s="2280" t="s">
        <v>2028</v>
      </c>
      <c r="D200" s="2254" t="s">
        <v>1313</v>
      </c>
      <c r="E200" s="2255">
        <f>E201*E202</f>
        <v>0</v>
      </c>
      <c r="F200" s="2256">
        <f>F201*F202</f>
        <v>0</v>
      </c>
      <c r="G200" s="2257">
        <f t="shared" si="54"/>
        <v>0</v>
      </c>
      <c r="H200" s="2256">
        <f>H201*H202</f>
        <v>0</v>
      </c>
      <c r="I200" s="2256">
        <f>I201*I202</f>
        <v>0</v>
      </c>
      <c r="J200" s="2257">
        <f t="shared" si="55"/>
        <v>0</v>
      </c>
      <c r="K200" s="2256">
        <f>K201*K202</f>
        <v>0</v>
      </c>
      <c r="L200" s="2256">
        <f>L201*L202</f>
        <v>0</v>
      </c>
      <c r="M200" s="2259">
        <f t="shared" si="56"/>
        <v>0</v>
      </c>
      <c r="N200" s="2255">
        <v>0</v>
      </c>
      <c r="O200" s="2256">
        <v>0</v>
      </c>
      <c r="P200" s="2259">
        <f t="shared" si="64"/>
        <v>0</v>
      </c>
      <c r="Q200" s="2255">
        <v>0</v>
      </c>
      <c r="R200" s="2256">
        <v>0</v>
      </c>
      <c r="S200" s="2259">
        <f t="shared" si="65"/>
        <v>0</v>
      </c>
      <c r="T200" s="2255">
        <f>N200+Q200</f>
        <v>0</v>
      </c>
      <c r="U200" s="2256">
        <f>O200+R200</f>
        <v>0</v>
      </c>
      <c r="V200" s="2268">
        <f t="shared" si="74"/>
        <v>0</v>
      </c>
      <c r="W200" s="2377">
        <f>T200/$T$272*$N$272</f>
        <v>0</v>
      </c>
      <c r="X200" s="2256">
        <f>U200/$T$272*$N$272</f>
        <v>0</v>
      </c>
      <c r="Y200" s="2268">
        <f t="shared" si="75"/>
        <v>0</v>
      </c>
      <c r="Z200" s="2886">
        <f>T200/$T$272*$Z$272</f>
        <v>0</v>
      </c>
      <c r="AA200" s="2887">
        <f>U200/$T$272*$Z$272</f>
        <v>0</v>
      </c>
      <c r="AB200" s="2268">
        <f t="shared" si="76"/>
        <v>0</v>
      </c>
      <c r="AF200" s="2218">
        <f t="shared" si="77"/>
        <v>0</v>
      </c>
      <c r="AG200" s="2593">
        <f t="shared" si="78"/>
        <v>0</v>
      </c>
      <c r="AH200" s="2218">
        <f t="shared" si="79"/>
        <v>0</v>
      </c>
      <c r="AI200" s="2593">
        <f t="shared" si="80"/>
        <v>0</v>
      </c>
    </row>
    <row r="201" spans="1:35" s="2218" customFormat="1" ht="17.25" customHeight="1">
      <c r="A201" s="2235">
        <v>280</v>
      </c>
      <c r="B201" s="2281" t="s">
        <v>2029</v>
      </c>
      <c r="C201" s="2282" t="s">
        <v>1505</v>
      </c>
      <c r="D201" s="2283" t="s">
        <v>2012</v>
      </c>
      <c r="E201" s="2284"/>
      <c r="F201" s="2285"/>
      <c r="G201" s="2257">
        <f t="shared" si="54"/>
        <v>0</v>
      </c>
      <c r="H201" s="2285"/>
      <c r="I201" s="2285"/>
      <c r="J201" s="2257">
        <f t="shared" si="55"/>
        <v>0</v>
      </c>
      <c r="K201" s="2285"/>
      <c r="L201" s="2285"/>
      <c r="M201" s="2259">
        <f t="shared" si="56"/>
        <v>0</v>
      </c>
      <c r="N201" s="2284"/>
      <c r="O201" s="2285"/>
      <c r="P201" s="2259">
        <f t="shared" si="64"/>
        <v>0</v>
      </c>
      <c r="Q201" s="2284">
        <v>0</v>
      </c>
      <c r="R201" s="2285">
        <v>0</v>
      </c>
      <c r="S201" s="2259">
        <f t="shared" si="65"/>
        <v>0</v>
      </c>
      <c r="T201" s="2294">
        <f>N201+Q201</f>
        <v>0</v>
      </c>
      <c r="U201" s="2285">
        <f>O201+R201</f>
        <v>0</v>
      </c>
      <c r="V201" s="2268">
        <f t="shared" si="74"/>
        <v>0</v>
      </c>
      <c r="W201" s="2888">
        <f>T201/$T$272*$W$272</f>
        <v>0</v>
      </c>
      <c r="X201" s="2889">
        <f>U201/$T$272*$W$272</f>
        <v>0</v>
      </c>
      <c r="Y201" s="2268">
        <f t="shared" si="75"/>
        <v>0</v>
      </c>
      <c r="Z201" s="2888">
        <f>T201/$T$272*$Z$272</f>
        <v>0</v>
      </c>
      <c r="AA201" s="2889">
        <f>U201/$T$272*$Z$272</f>
        <v>0</v>
      </c>
      <c r="AB201" s="2268">
        <f t="shared" si="76"/>
        <v>0</v>
      </c>
      <c r="AF201" s="2218">
        <f t="shared" si="77"/>
        <v>0</v>
      </c>
      <c r="AG201" s="2593">
        <f t="shared" si="78"/>
        <v>0</v>
      </c>
      <c r="AH201" s="2218">
        <f t="shared" si="79"/>
        <v>0</v>
      </c>
      <c r="AI201" s="2593">
        <f t="shared" si="80"/>
        <v>0</v>
      </c>
    </row>
    <row r="202" spans="1:35" s="2218" customFormat="1" ht="18.75" customHeight="1">
      <c r="A202" s="2235">
        <v>281</v>
      </c>
      <c r="B202" s="2281" t="s">
        <v>2030</v>
      </c>
      <c r="C202" s="2282" t="s">
        <v>2005</v>
      </c>
      <c r="D202" s="2283" t="s">
        <v>1934</v>
      </c>
      <c r="E202" s="2284"/>
      <c r="F202" s="2285"/>
      <c r="G202" s="2257">
        <f t="shared" si="54"/>
        <v>0</v>
      </c>
      <c r="H202" s="2285"/>
      <c r="I202" s="2285"/>
      <c r="J202" s="2257">
        <f t="shared" si="55"/>
        <v>0</v>
      </c>
      <c r="K202" s="2285"/>
      <c r="L202" s="2285"/>
      <c r="M202" s="2259">
        <f t="shared" si="56"/>
        <v>0</v>
      </c>
      <c r="N202" s="2284"/>
      <c r="O202" s="2285"/>
      <c r="P202" s="2259">
        <f t="shared" si="64"/>
        <v>0</v>
      </c>
      <c r="Q202" s="2284">
        <v>0</v>
      </c>
      <c r="R202" s="2285">
        <v>0</v>
      </c>
      <c r="S202" s="2259">
        <f t="shared" si="65"/>
        <v>0</v>
      </c>
      <c r="T202" s="2284" t="e">
        <f>T200/T201</f>
        <v>#DIV/0!</v>
      </c>
      <c r="U202" s="2285" t="e">
        <f>U200/U201</f>
        <v>#DIV/0!</v>
      </c>
      <c r="V202" s="2268" t="e">
        <f t="shared" si="74"/>
        <v>#DIV/0!</v>
      </c>
      <c r="W202" s="2284" t="e">
        <f>W200/W201</f>
        <v>#DIV/0!</v>
      </c>
      <c r="X202" s="2285" t="e">
        <f>X200/X201</f>
        <v>#DIV/0!</v>
      </c>
      <c r="Y202" s="2268" t="e">
        <f t="shared" si="75"/>
        <v>#DIV/0!</v>
      </c>
      <c r="Z202" s="2284" t="e">
        <f>Z200/Z201</f>
        <v>#DIV/0!</v>
      </c>
      <c r="AA202" s="2285" t="e">
        <f>AA200/AA201</f>
        <v>#DIV/0!</v>
      </c>
      <c r="AB202" s="2268" t="e">
        <f t="shared" si="76"/>
        <v>#DIV/0!</v>
      </c>
      <c r="AF202" s="2218" t="e">
        <f t="shared" si="77"/>
        <v>#DIV/0!</v>
      </c>
      <c r="AG202" s="2593" t="e">
        <f t="shared" si="78"/>
        <v>#DIV/0!</v>
      </c>
      <c r="AH202" s="2218" t="e">
        <f t="shared" si="79"/>
        <v>#DIV/0!</v>
      </c>
      <c r="AI202" s="2593" t="e">
        <f t="shared" si="80"/>
        <v>#DIV/0!</v>
      </c>
    </row>
    <row r="203" spans="1:35" s="2218" customFormat="1" ht="21" customHeight="1">
      <c r="A203" s="2235">
        <v>276</v>
      </c>
      <c r="B203" s="2279" t="s">
        <v>2031</v>
      </c>
      <c r="C203" s="2280" t="s">
        <v>2032</v>
      </c>
      <c r="D203" s="2254" t="s">
        <v>1313</v>
      </c>
      <c r="E203" s="2255">
        <f>E204*E205</f>
        <v>0</v>
      </c>
      <c r="F203" s="2256">
        <f>F204*F205</f>
        <v>0</v>
      </c>
      <c r="G203" s="2257">
        <f t="shared" si="54"/>
        <v>0</v>
      </c>
      <c r="H203" s="2256">
        <f>H204*H205</f>
        <v>0</v>
      </c>
      <c r="I203" s="2256">
        <f>I204*I205</f>
        <v>0</v>
      </c>
      <c r="J203" s="2257">
        <f t="shared" si="55"/>
        <v>0</v>
      </c>
      <c r="K203" s="2256">
        <f>K204*K205</f>
        <v>0</v>
      </c>
      <c r="L203" s="2256">
        <f>L204*L205</f>
        <v>0</v>
      </c>
      <c r="M203" s="2259">
        <f t="shared" si="56"/>
        <v>0</v>
      </c>
      <c r="N203" s="2255">
        <v>0</v>
      </c>
      <c r="O203" s="2256">
        <v>0</v>
      </c>
      <c r="P203" s="2259">
        <f t="shared" si="64"/>
        <v>0</v>
      </c>
      <c r="Q203" s="2255">
        <v>0</v>
      </c>
      <c r="R203" s="2256">
        <v>0</v>
      </c>
      <c r="S203" s="2259">
        <f t="shared" si="65"/>
        <v>0</v>
      </c>
      <c r="T203" s="2255">
        <f t="shared" ref="T203:U223" si="81">N203+Q203</f>
        <v>0</v>
      </c>
      <c r="U203" s="2256">
        <f t="shared" si="81"/>
        <v>0</v>
      </c>
      <c r="V203" s="2268">
        <f t="shared" si="74"/>
        <v>0</v>
      </c>
      <c r="W203" s="2377">
        <f>T203/$T$272*$N$272</f>
        <v>0</v>
      </c>
      <c r="X203" s="2256">
        <f>U203/$T$272*$N$272</f>
        <v>0</v>
      </c>
      <c r="Y203" s="2268">
        <f t="shared" si="75"/>
        <v>0</v>
      </c>
      <c r="Z203" s="2886">
        <f>T203/$T$272*$Z$272</f>
        <v>0</v>
      </c>
      <c r="AA203" s="2887">
        <f>U203/$T$272*$Z$272</f>
        <v>0</v>
      </c>
      <c r="AB203" s="2268">
        <f t="shared" si="76"/>
        <v>0</v>
      </c>
      <c r="AF203" s="2218">
        <f t="shared" si="77"/>
        <v>0</v>
      </c>
      <c r="AG203" s="2593">
        <f t="shared" si="78"/>
        <v>0</v>
      </c>
      <c r="AH203" s="2218">
        <f t="shared" si="79"/>
        <v>0</v>
      </c>
      <c r="AI203" s="2593">
        <f t="shared" si="80"/>
        <v>0</v>
      </c>
    </row>
    <row r="204" spans="1:35" s="2218" customFormat="1" ht="17.25" customHeight="1">
      <c r="A204" s="2235">
        <v>277</v>
      </c>
      <c r="B204" s="2281" t="s">
        <v>2033</v>
      </c>
      <c r="C204" s="2282" t="s">
        <v>1505</v>
      </c>
      <c r="D204" s="2283" t="s">
        <v>2012</v>
      </c>
      <c r="E204" s="2284"/>
      <c r="F204" s="2285"/>
      <c r="G204" s="2257">
        <f t="shared" si="54"/>
        <v>0</v>
      </c>
      <c r="H204" s="2285"/>
      <c r="I204" s="2285"/>
      <c r="J204" s="2257">
        <f t="shared" si="55"/>
        <v>0</v>
      </c>
      <c r="K204" s="2285"/>
      <c r="L204" s="2285"/>
      <c r="M204" s="2259">
        <f t="shared" si="56"/>
        <v>0</v>
      </c>
      <c r="N204" s="2284"/>
      <c r="O204" s="2285"/>
      <c r="P204" s="2259">
        <f t="shared" si="64"/>
        <v>0</v>
      </c>
      <c r="Q204" s="2284">
        <v>0</v>
      </c>
      <c r="R204" s="2285">
        <v>0</v>
      </c>
      <c r="S204" s="2259">
        <f t="shared" si="65"/>
        <v>0</v>
      </c>
      <c r="T204" s="2294">
        <f t="shared" si="81"/>
        <v>0</v>
      </c>
      <c r="U204" s="2285">
        <f t="shared" si="81"/>
        <v>0</v>
      </c>
      <c r="V204" s="2268">
        <f t="shared" si="74"/>
        <v>0</v>
      </c>
      <c r="W204" s="2888">
        <f>T204/$T$272*$W$272</f>
        <v>0</v>
      </c>
      <c r="X204" s="2889">
        <f>U204/$T$272*$W$272</f>
        <v>0</v>
      </c>
      <c r="Y204" s="2268">
        <f t="shared" si="75"/>
        <v>0</v>
      </c>
      <c r="Z204" s="2888">
        <f>T204/$T$272*$Z$272</f>
        <v>0</v>
      </c>
      <c r="AA204" s="2889">
        <f>U204/$T$272*$Z$272</f>
        <v>0</v>
      </c>
      <c r="AB204" s="2268">
        <f t="shared" si="76"/>
        <v>0</v>
      </c>
      <c r="AF204" s="2218">
        <f t="shared" si="77"/>
        <v>0</v>
      </c>
      <c r="AG204" s="2593">
        <f t="shared" si="78"/>
        <v>0</v>
      </c>
      <c r="AH204" s="2218">
        <f t="shared" si="79"/>
        <v>0</v>
      </c>
      <c r="AI204" s="2593">
        <f t="shared" si="80"/>
        <v>0</v>
      </c>
    </row>
    <row r="205" spans="1:35" s="2218" customFormat="1" ht="18" customHeight="1">
      <c r="A205" s="2235">
        <v>278</v>
      </c>
      <c r="B205" s="2281" t="s">
        <v>2034</v>
      </c>
      <c r="C205" s="2282" t="s">
        <v>2005</v>
      </c>
      <c r="D205" s="2283" t="s">
        <v>1934</v>
      </c>
      <c r="E205" s="2284"/>
      <c r="F205" s="2285"/>
      <c r="G205" s="2257">
        <f t="shared" si="54"/>
        <v>0</v>
      </c>
      <c r="H205" s="2285"/>
      <c r="I205" s="2285"/>
      <c r="J205" s="2257">
        <f t="shared" si="55"/>
        <v>0</v>
      </c>
      <c r="K205" s="2285"/>
      <c r="L205" s="2285"/>
      <c r="M205" s="2259">
        <f t="shared" si="56"/>
        <v>0</v>
      </c>
      <c r="N205" s="2284"/>
      <c r="O205" s="2285"/>
      <c r="P205" s="2259">
        <f t="shared" si="64"/>
        <v>0</v>
      </c>
      <c r="Q205" s="2284">
        <v>0</v>
      </c>
      <c r="R205" s="2285">
        <v>0</v>
      </c>
      <c r="S205" s="2259">
        <f t="shared" si="65"/>
        <v>0</v>
      </c>
      <c r="T205" s="2294">
        <f t="shared" si="81"/>
        <v>0</v>
      </c>
      <c r="U205" s="2285">
        <f t="shared" si="81"/>
        <v>0</v>
      </c>
      <c r="V205" s="2268">
        <f t="shared" si="74"/>
        <v>0</v>
      </c>
      <c r="W205" s="2284" t="e">
        <f>W203/W204</f>
        <v>#DIV/0!</v>
      </c>
      <c r="X205" s="2285" t="e">
        <f>X203/X204</f>
        <v>#DIV/0!</v>
      </c>
      <c r="Y205" s="2268" t="e">
        <f t="shared" si="75"/>
        <v>#DIV/0!</v>
      </c>
      <c r="Z205" s="2284" t="e">
        <f>Z203/Z204</f>
        <v>#DIV/0!</v>
      </c>
      <c r="AA205" s="2285" t="e">
        <f>AA203/AA204</f>
        <v>#DIV/0!</v>
      </c>
      <c r="AB205" s="2268" t="e">
        <f t="shared" si="76"/>
        <v>#DIV/0!</v>
      </c>
      <c r="AF205" s="2218">
        <f t="shared" si="77"/>
        <v>0</v>
      </c>
      <c r="AG205" s="2593" t="e">
        <f t="shared" si="78"/>
        <v>#DIV/0!</v>
      </c>
      <c r="AH205" s="2218">
        <f t="shared" si="79"/>
        <v>0</v>
      </c>
      <c r="AI205" s="2593" t="e">
        <f t="shared" si="80"/>
        <v>#DIV/0!</v>
      </c>
    </row>
    <row r="206" spans="1:35" s="2218" customFormat="1" ht="18" customHeight="1">
      <c r="A206" s="2235"/>
      <c r="B206" s="2383" t="s">
        <v>141</v>
      </c>
      <c r="C206" s="2293" t="s">
        <v>2035</v>
      </c>
      <c r="D206" s="2384" t="s">
        <v>1313</v>
      </c>
      <c r="E206" s="2284">
        <f>[7]Химреагенты!D5</f>
        <v>0</v>
      </c>
      <c r="F206" s="2284">
        <f>[7]Химреагенты!E5</f>
        <v>0</v>
      </c>
      <c r="G206" s="2259">
        <f t="shared" si="54"/>
        <v>0</v>
      </c>
      <c r="H206" s="2284">
        <f>[7]Химреагенты!G5</f>
        <v>0</v>
      </c>
      <c r="I206" s="2284">
        <f>[7]Химреагенты!H5</f>
        <v>0</v>
      </c>
      <c r="J206" s="2259">
        <f t="shared" si="55"/>
        <v>0</v>
      </c>
      <c r="K206" s="2284">
        <f>[7]Химреагенты!J5</f>
        <v>0</v>
      </c>
      <c r="L206" s="2284">
        <f>[7]Химреагенты!K5</f>
        <v>0</v>
      </c>
      <c r="M206" s="2259">
        <f t="shared" si="56"/>
        <v>0</v>
      </c>
      <c r="N206" s="2284">
        <v>0</v>
      </c>
      <c r="O206" s="2284">
        <v>0</v>
      </c>
      <c r="P206" s="2259">
        <f t="shared" si="64"/>
        <v>0</v>
      </c>
      <c r="Q206" s="2385">
        <v>0</v>
      </c>
      <c r="R206" s="2481">
        <v>0</v>
      </c>
      <c r="S206" s="2259">
        <f t="shared" si="65"/>
        <v>0</v>
      </c>
      <c r="T206" s="2294">
        <f t="shared" si="81"/>
        <v>0</v>
      </c>
      <c r="U206" s="2285">
        <f t="shared" si="81"/>
        <v>0</v>
      </c>
      <c r="V206" s="2268">
        <f t="shared" si="74"/>
        <v>0</v>
      </c>
      <c r="W206" s="2888">
        <f>T206/$T$272*$W$272</f>
        <v>0</v>
      </c>
      <c r="X206" s="2889">
        <f>U206/$T$272*$W$272</f>
        <v>0</v>
      </c>
      <c r="Y206" s="2268">
        <f t="shared" si="75"/>
        <v>0</v>
      </c>
      <c r="Z206" s="2888">
        <f t="shared" ref="Z206:AA229" si="82">T206/$T$272*$Z$272</f>
        <v>0</v>
      </c>
      <c r="AA206" s="2889">
        <f t="shared" si="82"/>
        <v>0</v>
      </c>
      <c r="AB206" s="2268">
        <f t="shared" si="76"/>
        <v>0</v>
      </c>
      <c r="AF206" s="2218">
        <f t="shared" si="77"/>
        <v>0</v>
      </c>
      <c r="AG206" s="2593">
        <f t="shared" si="78"/>
        <v>0</v>
      </c>
      <c r="AH206" s="2218">
        <f t="shared" si="79"/>
        <v>0</v>
      </c>
      <c r="AI206" s="2593">
        <f t="shared" si="80"/>
        <v>0</v>
      </c>
    </row>
    <row r="207" spans="1:35" s="2218" customFormat="1" ht="33.75" customHeight="1">
      <c r="A207" s="2235">
        <v>155</v>
      </c>
      <c r="B207" s="2279" t="s">
        <v>134</v>
      </c>
      <c r="C207" s="2295" t="s">
        <v>2036</v>
      </c>
      <c r="D207" s="2254" t="s">
        <v>1313</v>
      </c>
      <c r="E207" s="2255">
        <f>E208+E209+E210+E211+E214+E215+E216</f>
        <v>1626.3644999999997</v>
      </c>
      <c r="F207" s="2256">
        <f>F208+F209+F210+F211+F214+F215+F216</f>
        <v>1626.3644999999997</v>
      </c>
      <c r="G207" s="2257">
        <f t="shared" si="54"/>
        <v>1626.3644999999997</v>
      </c>
      <c r="H207" s="2256">
        <f>H208+H209+H210+H211+H214+H215+H216</f>
        <v>3266.7743295000519</v>
      </c>
      <c r="I207" s="2256">
        <f>I208+I209+I210+I211+I214+I215+I216</f>
        <v>3266.7743295000519</v>
      </c>
      <c r="J207" s="2257">
        <f t="shared" si="55"/>
        <v>3266.7743295000519</v>
      </c>
      <c r="K207" s="2256">
        <f>K208+K209+K210+K211+K214+K215+K216</f>
        <v>2125.3384608463125</v>
      </c>
      <c r="L207" s="2256">
        <f>L208+L209+L210+L211+L214+L215+L216</f>
        <v>2125.3384608463125</v>
      </c>
      <c r="M207" s="2259">
        <f t="shared" si="56"/>
        <v>2125.3384608463125</v>
      </c>
      <c r="N207" s="2256">
        <f>N208+N209+N210+N211+N214+N215+N216</f>
        <v>0</v>
      </c>
      <c r="O207" s="2256">
        <f>O208+O209+O210+O211+O214+O215+O216</f>
        <v>23.980118269245693</v>
      </c>
      <c r="P207" s="2259">
        <f t="shared" si="64"/>
        <v>11.990059134622847</v>
      </c>
      <c r="Q207" s="2256">
        <f>Q208+Q209+Q210+Q211+Q214+Q215+Q216</f>
        <v>137.33110150264281</v>
      </c>
      <c r="R207" s="2256">
        <f>R208+R209+R210+R211+R214+R215+R216</f>
        <v>147.21894081083309</v>
      </c>
      <c r="S207" s="2259">
        <f t="shared" si="65"/>
        <v>142.27502115673795</v>
      </c>
      <c r="T207" s="2255">
        <f t="shared" si="81"/>
        <v>137.33110150264281</v>
      </c>
      <c r="U207" s="2256">
        <f t="shared" si="81"/>
        <v>171.19905908007877</v>
      </c>
      <c r="V207" s="2268">
        <f t="shared" si="74"/>
        <v>154.26508029136079</v>
      </c>
      <c r="W207" s="2377">
        <f>T207/$T$272*$N$272</f>
        <v>29.670510101350644</v>
      </c>
      <c r="X207" s="2256">
        <f>U207/$T$272*$N$272</f>
        <v>36.98771331619627</v>
      </c>
      <c r="Y207" s="2268">
        <f t="shared" si="75"/>
        <v>33.329111708773453</v>
      </c>
      <c r="Z207" s="2886">
        <f t="shared" si="82"/>
        <v>107.66059140129217</v>
      </c>
      <c r="AA207" s="2887">
        <f t="shared" si="82"/>
        <v>134.21134576388249</v>
      </c>
      <c r="AB207" s="2268">
        <f t="shared" si="76"/>
        <v>120.93596858258732</v>
      </c>
      <c r="AF207" s="2218">
        <f t="shared" si="77"/>
        <v>36.98771331619627</v>
      </c>
      <c r="AG207" s="2593">
        <f t="shared" si="78"/>
        <v>0</v>
      </c>
      <c r="AH207" s="2218">
        <f t="shared" si="79"/>
        <v>134.21134576388249</v>
      </c>
      <c r="AI207" s="2593">
        <f t="shared" si="80"/>
        <v>0</v>
      </c>
    </row>
    <row r="208" spans="1:35" s="2218" customFormat="1" ht="18" customHeight="1">
      <c r="A208" s="2235">
        <v>156</v>
      </c>
      <c r="B208" s="2281" t="s">
        <v>2037</v>
      </c>
      <c r="C208" s="2282" t="s">
        <v>1182</v>
      </c>
      <c r="D208" s="2283" t="s">
        <v>1317</v>
      </c>
      <c r="E208" s="2284"/>
      <c r="F208" s="2285"/>
      <c r="G208" s="2257">
        <f t="shared" si="54"/>
        <v>0</v>
      </c>
      <c r="H208" s="2285"/>
      <c r="I208" s="2285"/>
      <c r="J208" s="2257">
        <f t="shared" si="55"/>
        <v>0</v>
      </c>
      <c r="K208" s="2285"/>
      <c r="L208" s="2285"/>
      <c r="M208" s="2259">
        <f t="shared" si="56"/>
        <v>0</v>
      </c>
      <c r="N208" s="2284"/>
      <c r="O208" s="2285"/>
      <c r="P208" s="2259">
        <f t="shared" si="64"/>
        <v>0</v>
      </c>
      <c r="Q208" s="2284">
        <v>0</v>
      </c>
      <c r="R208" s="2285">
        <v>0</v>
      </c>
      <c r="S208" s="2259">
        <f t="shared" si="65"/>
        <v>0</v>
      </c>
      <c r="T208" s="2294">
        <f t="shared" si="81"/>
        <v>0</v>
      </c>
      <c r="U208" s="2285">
        <f t="shared" si="81"/>
        <v>0</v>
      </c>
      <c r="V208" s="2268">
        <f t="shared" si="74"/>
        <v>0</v>
      </c>
      <c r="W208" s="2888">
        <f t="shared" ref="W208:X210" si="83">T208/$T$272*$W$272</f>
        <v>0</v>
      </c>
      <c r="X208" s="2889">
        <f t="shared" si="83"/>
        <v>0</v>
      </c>
      <c r="Y208" s="2268">
        <f t="shared" si="75"/>
        <v>0</v>
      </c>
      <c r="Z208" s="2888">
        <f t="shared" si="82"/>
        <v>0</v>
      </c>
      <c r="AA208" s="2889">
        <f t="shared" si="82"/>
        <v>0</v>
      </c>
      <c r="AB208" s="2268">
        <f t="shared" si="76"/>
        <v>0</v>
      </c>
      <c r="AF208" s="2218">
        <f t="shared" si="77"/>
        <v>0</v>
      </c>
      <c r="AG208" s="2593">
        <f t="shared" si="78"/>
        <v>0</v>
      </c>
      <c r="AH208" s="2218">
        <f t="shared" si="79"/>
        <v>0</v>
      </c>
      <c r="AI208" s="2593">
        <f t="shared" si="80"/>
        <v>0</v>
      </c>
    </row>
    <row r="209" spans="1:35" s="2218" customFormat="1" ht="21" customHeight="1">
      <c r="A209" s="2235">
        <v>157</v>
      </c>
      <c r="B209" s="2281" t="s">
        <v>2038</v>
      </c>
      <c r="C209" s="2282" t="s">
        <v>2039</v>
      </c>
      <c r="D209" s="2283" t="s">
        <v>1317</v>
      </c>
      <c r="E209" s="2284"/>
      <c r="F209" s="2285"/>
      <c r="G209" s="2257">
        <f t="shared" si="54"/>
        <v>0</v>
      </c>
      <c r="H209" s="2285"/>
      <c r="I209" s="2285"/>
      <c r="J209" s="2257">
        <f t="shared" si="55"/>
        <v>0</v>
      </c>
      <c r="K209" s="2285"/>
      <c r="L209" s="2285"/>
      <c r="M209" s="2259">
        <f t="shared" si="56"/>
        <v>0</v>
      </c>
      <c r="N209" s="2284"/>
      <c r="O209" s="2285"/>
      <c r="P209" s="2259">
        <f t="shared" si="64"/>
        <v>0</v>
      </c>
      <c r="Q209" s="2284">
        <v>0</v>
      </c>
      <c r="R209" s="2285">
        <v>0</v>
      </c>
      <c r="S209" s="2259">
        <f t="shared" si="65"/>
        <v>0</v>
      </c>
      <c r="T209" s="2294">
        <f t="shared" si="81"/>
        <v>0</v>
      </c>
      <c r="U209" s="2285">
        <f t="shared" si="81"/>
        <v>0</v>
      </c>
      <c r="V209" s="2268">
        <f t="shared" si="74"/>
        <v>0</v>
      </c>
      <c r="W209" s="2888">
        <f t="shared" si="83"/>
        <v>0</v>
      </c>
      <c r="X209" s="2889">
        <f t="shared" si="83"/>
        <v>0</v>
      </c>
      <c r="Y209" s="2268">
        <f t="shared" si="75"/>
        <v>0</v>
      </c>
      <c r="Z209" s="2888">
        <f t="shared" si="82"/>
        <v>0</v>
      </c>
      <c r="AA209" s="2889">
        <f t="shared" si="82"/>
        <v>0</v>
      </c>
      <c r="AB209" s="2268">
        <f t="shared" si="76"/>
        <v>0</v>
      </c>
      <c r="AF209" s="2218">
        <f t="shared" si="77"/>
        <v>0</v>
      </c>
      <c r="AG209" s="2593">
        <f t="shared" si="78"/>
        <v>0</v>
      </c>
      <c r="AH209" s="2218">
        <f t="shared" si="79"/>
        <v>0</v>
      </c>
      <c r="AI209" s="2593">
        <f t="shared" si="80"/>
        <v>0</v>
      </c>
    </row>
    <row r="210" spans="1:35" s="2218" customFormat="1" ht="21.75" customHeight="1">
      <c r="A210" s="2235">
        <v>160</v>
      </c>
      <c r="B210" s="2281" t="s">
        <v>2040</v>
      </c>
      <c r="C210" s="2282" t="s">
        <v>2041</v>
      </c>
      <c r="D210" s="2283" t="s">
        <v>1317</v>
      </c>
      <c r="E210" s="2284">
        <f>'[3]НВВ перекачка'!K511</f>
        <v>12.360809999999999</v>
      </c>
      <c r="F210" s="2285">
        <f>'[3]НВВ перекачка'!L511</f>
        <v>12.360809999999999</v>
      </c>
      <c r="G210" s="2257">
        <f t="shared" si="54"/>
        <v>12.360809999999999</v>
      </c>
      <c r="H210" s="2285">
        <f>'[3]НВВ перекачка'!T511</f>
        <v>19.93138463134779</v>
      </c>
      <c r="I210" s="2285">
        <f>'[3]НВВ перекачка'!U511</f>
        <v>19.93138463134779</v>
      </c>
      <c r="J210" s="2257">
        <f t="shared" si="55"/>
        <v>19.93138463134779</v>
      </c>
      <c r="K210" s="2285">
        <f>'[3]НВВ перекачка'!AC511</f>
        <v>20.890714179645684</v>
      </c>
      <c r="L210" s="2285">
        <f>'[3]НВВ перекачка'!AD511</f>
        <v>20.890714179645684</v>
      </c>
      <c r="M210" s="2259">
        <f t="shared" si="56"/>
        <v>20.890714179645684</v>
      </c>
      <c r="N210" s="2284"/>
      <c r="O210" s="2285">
        <v>20.890714179645684</v>
      </c>
      <c r="P210" s="2259">
        <f t="shared" si="64"/>
        <v>10.445357089822842</v>
      </c>
      <c r="Q210" s="2284">
        <v>0.47212710264277302</v>
      </c>
      <c r="R210" s="2285">
        <f>Q210*1.072</f>
        <v>0.50612025403305272</v>
      </c>
      <c r="S210" s="2259">
        <f t="shared" si="65"/>
        <v>0.48912367833791287</v>
      </c>
      <c r="T210" s="2294">
        <f t="shared" si="81"/>
        <v>0.47212710264277302</v>
      </c>
      <c r="U210" s="2285">
        <f t="shared" si="81"/>
        <v>21.396834433678737</v>
      </c>
      <c r="V210" s="2268">
        <f t="shared" si="74"/>
        <v>10.934480768160755</v>
      </c>
      <c r="W210" s="2888">
        <f t="shared" si="83"/>
        <v>0.10200349239763605</v>
      </c>
      <c r="X210" s="2889">
        <f t="shared" si="83"/>
        <v>4.6228056518513769</v>
      </c>
      <c r="Y210" s="2268">
        <f t="shared" si="75"/>
        <v>2.3624045721245066</v>
      </c>
      <c r="Z210" s="2888">
        <f t="shared" si="82"/>
        <v>0.37012361024513696</v>
      </c>
      <c r="AA210" s="2889">
        <f t="shared" si="82"/>
        <v>16.774028781827358</v>
      </c>
      <c r="AB210" s="2268">
        <f t="shared" si="76"/>
        <v>8.5720761960362477</v>
      </c>
      <c r="AF210" s="2218">
        <f t="shared" si="77"/>
        <v>4.6228056518513769</v>
      </c>
      <c r="AG210" s="2593">
        <f t="shared" si="78"/>
        <v>0</v>
      </c>
      <c r="AH210" s="2218">
        <f t="shared" si="79"/>
        <v>16.774028781827358</v>
      </c>
      <c r="AI210" s="2593">
        <f t="shared" si="80"/>
        <v>0</v>
      </c>
    </row>
    <row r="211" spans="1:35" s="2218" customFormat="1" ht="30.75" customHeight="1">
      <c r="A211" s="2235">
        <v>10</v>
      </c>
      <c r="B211" s="2279" t="s">
        <v>2043</v>
      </c>
      <c r="C211" s="2280" t="s">
        <v>2044</v>
      </c>
      <c r="D211" s="2254" t="s">
        <v>1313</v>
      </c>
      <c r="E211" s="2255">
        <f>E212+E213</f>
        <v>0</v>
      </c>
      <c r="F211" s="2256">
        <f>F212+F213</f>
        <v>0</v>
      </c>
      <c r="G211" s="2257">
        <f t="shared" si="54"/>
        <v>0</v>
      </c>
      <c r="H211" s="2256">
        <f>H212+H213</f>
        <v>0</v>
      </c>
      <c r="I211" s="2256">
        <f>I212+I213</f>
        <v>0</v>
      </c>
      <c r="J211" s="2257">
        <f t="shared" si="55"/>
        <v>0</v>
      </c>
      <c r="K211" s="2256">
        <f>K212+K213</f>
        <v>0</v>
      </c>
      <c r="L211" s="2256">
        <f>L212+L213</f>
        <v>0</v>
      </c>
      <c r="M211" s="2259">
        <f t="shared" si="56"/>
        <v>0</v>
      </c>
      <c r="N211" s="2255">
        <v>0</v>
      </c>
      <c r="O211" s="2256">
        <v>0</v>
      </c>
      <c r="P211" s="2259">
        <f t="shared" si="64"/>
        <v>0</v>
      </c>
      <c r="Q211" s="2255">
        <v>0</v>
      </c>
      <c r="R211" s="2256">
        <v>0</v>
      </c>
      <c r="S211" s="2259">
        <f t="shared" si="65"/>
        <v>0</v>
      </c>
      <c r="T211" s="2255">
        <f t="shared" si="81"/>
        <v>0</v>
      </c>
      <c r="U211" s="2256">
        <f t="shared" si="81"/>
        <v>0</v>
      </c>
      <c r="V211" s="2268">
        <f t="shared" si="74"/>
        <v>0</v>
      </c>
      <c r="W211" s="2377">
        <f>T211/$T$272*$N$272</f>
        <v>0</v>
      </c>
      <c r="X211" s="2256">
        <f>U211/$T$272*$N$272</f>
        <v>0</v>
      </c>
      <c r="Y211" s="2268">
        <f t="shared" si="75"/>
        <v>0</v>
      </c>
      <c r="Z211" s="2886">
        <f t="shared" si="82"/>
        <v>0</v>
      </c>
      <c r="AA211" s="2887">
        <f t="shared" si="82"/>
        <v>0</v>
      </c>
      <c r="AB211" s="2268">
        <f t="shared" si="76"/>
        <v>0</v>
      </c>
      <c r="AF211" s="2218">
        <f t="shared" si="77"/>
        <v>0</v>
      </c>
      <c r="AG211" s="2593">
        <f t="shared" si="78"/>
        <v>0</v>
      </c>
      <c r="AH211" s="2218">
        <f t="shared" si="79"/>
        <v>0</v>
      </c>
      <c r="AI211" s="2593">
        <f t="shared" si="80"/>
        <v>0</v>
      </c>
    </row>
    <row r="212" spans="1:35" s="2218" customFormat="1" ht="15" customHeight="1">
      <c r="A212" s="2235">
        <v>11</v>
      </c>
      <c r="B212" s="2281" t="s">
        <v>2045</v>
      </c>
      <c r="C212" s="2282" t="s">
        <v>2046</v>
      </c>
      <c r="D212" s="2283" t="s">
        <v>1317</v>
      </c>
      <c r="E212" s="2284"/>
      <c r="F212" s="2285"/>
      <c r="G212" s="2257">
        <f t="shared" si="54"/>
        <v>0</v>
      </c>
      <c r="H212" s="2285"/>
      <c r="I212" s="2285"/>
      <c r="J212" s="2257">
        <f t="shared" si="55"/>
        <v>0</v>
      </c>
      <c r="K212" s="2285"/>
      <c r="L212" s="2285"/>
      <c r="M212" s="2259">
        <f t="shared" si="56"/>
        <v>0</v>
      </c>
      <c r="N212" s="2284"/>
      <c r="O212" s="2284"/>
      <c r="P212" s="2259">
        <f t="shared" si="64"/>
        <v>0</v>
      </c>
      <c r="Q212" s="2294">
        <v>0</v>
      </c>
      <c r="R212" s="2285">
        <v>0</v>
      </c>
      <c r="S212" s="2259">
        <f t="shared" si="65"/>
        <v>0</v>
      </c>
      <c r="T212" s="2294">
        <f t="shared" si="81"/>
        <v>0</v>
      </c>
      <c r="U212" s="2285">
        <f t="shared" si="81"/>
        <v>0</v>
      </c>
      <c r="V212" s="2268">
        <f t="shared" si="74"/>
        <v>0</v>
      </c>
      <c r="W212" s="2888">
        <f t="shared" ref="W212:X216" si="84">T212/$T$272*$W$272</f>
        <v>0</v>
      </c>
      <c r="X212" s="2889">
        <f t="shared" si="84"/>
        <v>0</v>
      </c>
      <c r="Y212" s="2268">
        <f t="shared" si="75"/>
        <v>0</v>
      </c>
      <c r="Z212" s="2888">
        <f t="shared" si="82"/>
        <v>0</v>
      </c>
      <c r="AA212" s="2889">
        <f t="shared" si="82"/>
        <v>0</v>
      </c>
      <c r="AB212" s="2268">
        <f t="shared" si="76"/>
        <v>0</v>
      </c>
      <c r="AF212" s="2218">
        <f t="shared" si="77"/>
        <v>0</v>
      </c>
      <c r="AG212" s="2593">
        <f t="shared" si="78"/>
        <v>0</v>
      </c>
      <c r="AH212" s="2218">
        <f t="shared" si="79"/>
        <v>0</v>
      </c>
      <c r="AI212" s="2593">
        <f t="shared" si="80"/>
        <v>0</v>
      </c>
    </row>
    <row r="213" spans="1:35" s="2218" customFormat="1" ht="21" customHeight="1">
      <c r="A213" s="2235">
        <v>159</v>
      </c>
      <c r="B213" s="2281" t="s">
        <v>2048</v>
      </c>
      <c r="C213" s="2282" t="s">
        <v>2049</v>
      </c>
      <c r="D213" s="2283" t="s">
        <v>1317</v>
      </c>
      <c r="E213" s="2284"/>
      <c r="F213" s="2285"/>
      <c r="G213" s="2257">
        <f t="shared" si="54"/>
        <v>0</v>
      </c>
      <c r="H213" s="2285"/>
      <c r="I213" s="2285"/>
      <c r="J213" s="2257">
        <f t="shared" si="55"/>
        <v>0</v>
      </c>
      <c r="K213" s="2285"/>
      <c r="L213" s="2285"/>
      <c r="M213" s="2259">
        <f t="shared" si="56"/>
        <v>0</v>
      </c>
      <c r="N213" s="2284"/>
      <c r="O213" s="2285"/>
      <c r="P213" s="2259">
        <f t="shared" si="64"/>
        <v>0</v>
      </c>
      <c r="Q213" s="2284">
        <v>0</v>
      </c>
      <c r="R213" s="2285">
        <v>0</v>
      </c>
      <c r="S213" s="2259">
        <f t="shared" si="65"/>
        <v>0</v>
      </c>
      <c r="T213" s="2294">
        <f t="shared" si="81"/>
        <v>0</v>
      </c>
      <c r="U213" s="2285">
        <f t="shared" si="81"/>
        <v>0</v>
      </c>
      <c r="V213" s="2268">
        <f t="shared" si="74"/>
        <v>0</v>
      </c>
      <c r="W213" s="2888">
        <f t="shared" si="84"/>
        <v>0</v>
      </c>
      <c r="X213" s="2889">
        <f t="shared" si="84"/>
        <v>0</v>
      </c>
      <c r="Y213" s="2268">
        <f t="shared" si="75"/>
        <v>0</v>
      </c>
      <c r="Z213" s="2888">
        <f t="shared" si="82"/>
        <v>0</v>
      </c>
      <c r="AA213" s="2889">
        <f t="shared" si="82"/>
        <v>0</v>
      </c>
      <c r="AB213" s="2268">
        <f t="shared" si="76"/>
        <v>0</v>
      </c>
      <c r="AF213" s="2218">
        <f t="shared" si="77"/>
        <v>0</v>
      </c>
      <c r="AG213" s="2593">
        <f t="shared" si="78"/>
        <v>0</v>
      </c>
      <c r="AH213" s="2218">
        <f t="shared" si="79"/>
        <v>0</v>
      </c>
      <c r="AI213" s="2593">
        <f t="shared" si="80"/>
        <v>0</v>
      </c>
    </row>
    <row r="214" spans="1:35" s="2218" customFormat="1" ht="17.25" customHeight="1">
      <c r="A214" s="2235">
        <v>161</v>
      </c>
      <c r="B214" s="2281" t="s">
        <v>2051</v>
      </c>
      <c r="C214" s="2282" t="s">
        <v>2052</v>
      </c>
      <c r="D214" s="2283" t="s">
        <v>1317</v>
      </c>
      <c r="E214" s="2284"/>
      <c r="F214" s="2285"/>
      <c r="G214" s="2257">
        <f t="shared" si="54"/>
        <v>0</v>
      </c>
      <c r="H214" s="2285">
        <f>'[3]НВВ перекачка'!T515</f>
        <v>2.7790799999999933</v>
      </c>
      <c r="I214" s="2285">
        <f>'[3]НВВ перекачка'!U515</f>
        <v>2.7790799999999933</v>
      </c>
      <c r="J214" s="2257">
        <f t="shared" si="55"/>
        <v>2.7790799999999933</v>
      </c>
      <c r="K214" s="2285">
        <f>'[3]НВВ перекачка'!AC515</f>
        <v>2.7187800000000095</v>
      </c>
      <c r="L214" s="2285">
        <f>'[3]НВВ перекачка'!AD515</f>
        <v>2.7187800000000095</v>
      </c>
      <c r="M214" s="2259">
        <f t="shared" si="56"/>
        <v>2.7187800000000095</v>
      </c>
      <c r="N214" s="2284"/>
      <c r="O214" s="2285">
        <f>L214*1.06*1.072</f>
        <v>3.089404089600011</v>
      </c>
      <c r="P214" s="2259">
        <f>N214/2+O214/2</f>
        <v>1.5447020448000055</v>
      </c>
      <c r="Q214" s="2284">
        <v>136.85897440000002</v>
      </c>
      <c r="R214" s="2285">
        <f>Q214*1.072</f>
        <v>146.71282055680004</v>
      </c>
      <c r="S214" s="2259">
        <f>Q214/2+R214/2</f>
        <v>141.78589747840005</v>
      </c>
      <c r="T214" s="2294">
        <f t="shared" si="81"/>
        <v>136.85897440000002</v>
      </c>
      <c r="U214" s="2285">
        <f t="shared" si="81"/>
        <v>149.80222464640005</v>
      </c>
      <c r="V214" s="2268">
        <f t="shared" si="74"/>
        <v>143.33059952320002</v>
      </c>
      <c r="W214" s="2888">
        <f t="shared" si="84"/>
        <v>29.568506608953008</v>
      </c>
      <c r="X214" s="2889">
        <f t="shared" si="84"/>
        <v>32.364907664344898</v>
      </c>
      <c r="Y214" s="2268">
        <f t="shared" si="75"/>
        <v>30.966707136648953</v>
      </c>
      <c r="Z214" s="2888">
        <f t="shared" si="82"/>
        <v>107.29046779104701</v>
      </c>
      <c r="AA214" s="2889">
        <f t="shared" si="82"/>
        <v>117.43731698205515</v>
      </c>
      <c r="AB214" s="2268">
        <f t="shared" si="76"/>
        <v>112.36389238655107</v>
      </c>
      <c r="AF214" s="2218">
        <f t="shared" si="77"/>
        <v>32.364907664344898</v>
      </c>
      <c r="AG214" s="2593">
        <f t="shared" si="78"/>
        <v>0</v>
      </c>
      <c r="AH214" s="2218">
        <f t="shared" si="79"/>
        <v>117.43731698205515</v>
      </c>
      <c r="AI214" s="2593">
        <f t="shared" si="80"/>
        <v>0</v>
      </c>
    </row>
    <row r="215" spans="1:35" s="2218" customFormat="1" ht="30.75" customHeight="1">
      <c r="A215" s="2235">
        <v>158</v>
      </c>
      <c r="B215" s="2281" t="s">
        <v>2054</v>
      </c>
      <c r="C215" s="2282" t="s">
        <v>2055</v>
      </c>
      <c r="D215" s="2283" t="s">
        <v>1317</v>
      </c>
      <c r="E215" s="2284">
        <f>'[3]НВВ перекачка'!K516</f>
        <v>1613.9824899999999</v>
      </c>
      <c r="F215" s="2285">
        <f>'[3]НВВ перекачка'!L516</f>
        <v>1613.9824899999999</v>
      </c>
      <c r="G215" s="2257">
        <f t="shared" si="54"/>
        <v>1613.9824899999999</v>
      </c>
      <c r="H215" s="2285">
        <f>'[3]НВВ перекачка'!T516</f>
        <v>3243.9478548687039</v>
      </c>
      <c r="I215" s="2285">
        <f>'[3]НВВ перекачка'!U516</f>
        <v>3243.9478548687039</v>
      </c>
      <c r="J215" s="2257">
        <f t="shared" si="55"/>
        <v>3243.9478548687039</v>
      </c>
      <c r="K215" s="2285">
        <f>'[3]НВВ перекачка'!AC516</f>
        <v>2101.653596666667</v>
      </c>
      <c r="L215" s="2285">
        <f>'[3]НВВ перекачка'!AD516</f>
        <v>2101.653596666667</v>
      </c>
      <c r="M215" s="2259">
        <f t="shared" si="56"/>
        <v>2101.653596666667</v>
      </c>
      <c r="N215" s="2284"/>
      <c r="O215" s="2285"/>
      <c r="P215" s="2259">
        <f t="shared" ref="P215:P232" si="85">N215/2+O215/2</f>
        <v>0</v>
      </c>
      <c r="Q215" s="2284">
        <v>0</v>
      </c>
      <c r="R215" s="2285">
        <v>0</v>
      </c>
      <c r="S215" s="2259">
        <f t="shared" ref="S215:S232" si="86">Q215/2+R215/2</f>
        <v>0</v>
      </c>
      <c r="T215" s="2294">
        <f t="shared" si="81"/>
        <v>0</v>
      </c>
      <c r="U215" s="2285">
        <f t="shared" si="81"/>
        <v>0</v>
      </c>
      <c r="V215" s="2268">
        <f t="shared" si="74"/>
        <v>0</v>
      </c>
      <c r="W215" s="2888">
        <f t="shared" si="84"/>
        <v>0</v>
      </c>
      <c r="X215" s="2889">
        <f t="shared" si="84"/>
        <v>0</v>
      </c>
      <c r="Y215" s="2268">
        <f t="shared" si="75"/>
        <v>0</v>
      </c>
      <c r="Z215" s="2888">
        <f t="shared" si="82"/>
        <v>0</v>
      </c>
      <c r="AA215" s="2889">
        <f t="shared" si="82"/>
        <v>0</v>
      </c>
      <c r="AB215" s="2268">
        <f t="shared" si="76"/>
        <v>0</v>
      </c>
      <c r="AF215" s="2218">
        <f t="shared" si="77"/>
        <v>0</v>
      </c>
      <c r="AG215" s="2593">
        <f t="shared" si="78"/>
        <v>0</v>
      </c>
      <c r="AH215" s="2218">
        <f t="shared" si="79"/>
        <v>0</v>
      </c>
      <c r="AI215" s="2593">
        <f t="shared" si="80"/>
        <v>0</v>
      </c>
    </row>
    <row r="216" spans="1:35" s="2218" customFormat="1" ht="63">
      <c r="A216" s="2235">
        <v>162</v>
      </c>
      <c r="B216" s="2281" t="s">
        <v>2056</v>
      </c>
      <c r="C216" s="2282" t="s">
        <v>2057</v>
      </c>
      <c r="D216" s="2283" t="s">
        <v>1317</v>
      </c>
      <c r="E216" s="2284">
        <f>'[3]НВВ перекачка'!K517</f>
        <v>2.12E-2</v>
      </c>
      <c r="F216" s="2285">
        <f>'[3]НВВ перекачка'!L517</f>
        <v>2.12E-2</v>
      </c>
      <c r="G216" s="2257">
        <f t="shared" si="54"/>
        <v>2.12E-2</v>
      </c>
      <c r="H216" s="2285">
        <f>'[3]НВВ перекачка'!T517</f>
        <v>0.11601</v>
      </c>
      <c r="I216" s="2285">
        <f>'[3]НВВ перекачка'!U517</f>
        <v>0.11601</v>
      </c>
      <c r="J216" s="2257">
        <f t="shared" si="55"/>
        <v>0.11601</v>
      </c>
      <c r="K216" s="2285">
        <f>'[3]НВВ перекачка'!AC517</f>
        <v>7.5370000000000006E-2</v>
      </c>
      <c r="L216" s="2285">
        <f>'[3]НВВ перекачка'!AD517</f>
        <v>7.5370000000000006E-2</v>
      </c>
      <c r="M216" s="2259">
        <f t="shared" si="56"/>
        <v>7.5370000000000006E-2</v>
      </c>
      <c r="N216" s="2284"/>
      <c r="O216" s="2285"/>
      <c r="P216" s="2259">
        <f t="shared" si="85"/>
        <v>0</v>
      </c>
      <c r="Q216" s="2284">
        <v>0</v>
      </c>
      <c r="R216" s="2285">
        <v>0</v>
      </c>
      <c r="S216" s="2259">
        <f t="shared" si="86"/>
        <v>0</v>
      </c>
      <c r="T216" s="2294">
        <f t="shared" si="81"/>
        <v>0</v>
      </c>
      <c r="U216" s="2285">
        <f t="shared" si="81"/>
        <v>0</v>
      </c>
      <c r="V216" s="2268">
        <f t="shared" si="74"/>
        <v>0</v>
      </c>
      <c r="W216" s="2888">
        <f t="shared" si="84"/>
        <v>0</v>
      </c>
      <c r="X216" s="2889">
        <f t="shared" si="84"/>
        <v>0</v>
      </c>
      <c r="Y216" s="2268">
        <f t="shared" si="75"/>
        <v>0</v>
      </c>
      <c r="Z216" s="2888">
        <f t="shared" si="82"/>
        <v>0</v>
      </c>
      <c r="AA216" s="2889">
        <f t="shared" si="82"/>
        <v>0</v>
      </c>
      <c r="AB216" s="2268">
        <f t="shared" si="76"/>
        <v>0</v>
      </c>
      <c r="AF216" s="2218">
        <f t="shared" si="77"/>
        <v>0</v>
      </c>
      <c r="AG216" s="2593">
        <f t="shared" si="78"/>
        <v>0</v>
      </c>
      <c r="AH216" s="2218">
        <f t="shared" si="79"/>
        <v>0</v>
      </c>
      <c r="AI216" s="2593">
        <f t="shared" si="80"/>
        <v>0</v>
      </c>
    </row>
    <row r="217" spans="1:35" s="2218" customFormat="1" ht="31.5">
      <c r="A217" s="2235">
        <v>149</v>
      </c>
      <c r="B217" s="2388">
        <v>2</v>
      </c>
      <c r="C217" s="2295" t="s">
        <v>2058</v>
      </c>
      <c r="D217" s="2254" t="s">
        <v>1313</v>
      </c>
      <c r="E217" s="2255">
        <f>E218+E219+E220+E221+E222</f>
        <v>105.20285000000001</v>
      </c>
      <c r="F217" s="2256">
        <f>F218+F219+F220+F221+F222</f>
        <v>105.20285000000001</v>
      </c>
      <c r="G217" s="2257">
        <f t="shared" si="54"/>
        <v>105.20285000000001</v>
      </c>
      <c r="H217" s="2256">
        <f>H218+H219+H220+H221+H222</f>
        <v>141.90554000000009</v>
      </c>
      <c r="I217" s="2256">
        <f>I218+I219+I220+I221+I222</f>
        <v>141.90554000000009</v>
      </c>
      <c r="J217" s="2257">
        <f t="shared" si="55"/>
        <v>141.90554000000009</v>
      </c>
      <c r="K217" s="2256">
        <f>K218+K219+K220+K221+K222</f>
        <v>485.87391984786757</v>
      </c>
      <c r="L217" s="2256">
        <f>L218+L219+L220+L221+L222</f>
        <v>485.87391984786757</v>
      </c>
      <c r="M217" s="2259">
        <f t="shared" si="56"/>
        <v>485.87391984786757</v>
      </c>
      <c r="N217" s="2256">
        <f>N218+N219+N220+N221+N222</f>
        <v>0</v>
      </c>
      <c r="O217" s="2256">
        <f>O218+O219+O220+O221+O222</f>
        <v>552.10825260152899</v>
      </c>
      <c r="P217" s="2259">
        <f t="shared" si="85"/>
        <v>276.05412630076449</v>
      </c>
      <c r="Q217" s="2256">
        <f>Q218+Q219+Q220+Q221+Q222</f>
        <v>784.61540019863253</v>
      </c>
      <c r="R217" s="2256">
        <f>R218+R219+R220+R221+R222</f>
        <v>841.10770901293415</v>
      </c>
      <c r="S217" s="2259">
        <f t="shared" si="86"/>
        <v>812.86155460578334</v>
      </c>
      <c r="T217" s="2255">
        <f t="shared" si="81"/>
        <v>784.61540019863253</v>
      </c>
      <c r="U217" s="2256">
        <f t="shared" si="81"/>
        <v>1393.2159616144631</v>
      </c>
      <c r="V217" s="2268">
        <f t="shared" si="74"/>
        <v>1088.9156809065478</v>
      </c>
      <c r="W217" s="2377">
        <f>T217/$T$272*$N$272</f>
        <v>169.51687492887987</v>
      </c>
      <c r="X217" s="2256">
        <f>U217/$T$272*$N$272</f>
        <v>301.005582931623</v>
      </c>
      <c r="Y217" s="2268">
        <f t="shared" si="75"/>
        <v>235.26122893025143</v>
      </c>
      <c r="Z217" s="2886">
        <f t="shared" si="82"/>
        <v>615.09852526975271</v>
      </c>
      <c r="AA217" s="2887">
        <f t="shared" si="82"/>
        <v>1092.2103786828402</v>
      </c>
      <c r="AB217" s="2268">
        <f t="shared" si="76"/>
        <v>853.65445197629651</v>
      </c>
      <c r="AF217" s="2218">
        <f t="shared" si="77"/>
        <v>301.005582931623</v>
      </c>
      <c r="AG217" s="2593">
        <f t="shared" si="78"/>
        <v>0</v>
      </c>
      <c r="AH217" s="2218">
        <f t="shared" si="79"/>
        <v>1092.2103786828402</v>
      </c>
      <c r="AI217" s="2593">
        <f t="shared" si="80"/>
        <v>0</v>
      </c>
    </row>
    <row r="218" spans="1:35" s="2218" customFormat="1" ht="24" customHeight="1">
      <c r="A218" s="2235">
        <v>150</v>
      </c>
      <c r="B218" s="2281" t="s">
        <v>135</v>
      </c>
      <c r="C218" s="2282" t="s">
        <v>2059</v>
      </c>
      <c r="D218" s="2283" t="s">
        <v>1317</v>
      </c>
      <c r="E218" s="2284"/>
      <c r="F218" s="2285"/>
      <c r="G218" s="2257">
        <f t="shared" si="54"/>
        <v>0</v>
      </c>
      <c r="H218" s="2285"/>
      <c r="I218" s="2285"/>
      <c r="J218" s="2257">
        <f t="shared" si="55"/>
        <v>0</v>
      </c>
      <c r="K218" s="2285"/>
      <c r="L218" s="2285"/>
      <c r="M218" s="2259">
        <f t="shared" si="56"/>
        <v>0</v>
      </c>
      <c r="N218" s="2284"/>
      <c r="O218" s="2285"/>
      <c r="P218" s="2259">
        <f t="shared" si="85"/>
        <v>0</v>
      </c>
      <c r="Q218" s="2284">
        <v>0</v>
      </c>
      <c r="R218" s="2285">
        <v>0</v>
      </c>
      <c r="S218" s="2259">
        <f t="shared" si="86"/>
        <v>0</v>
      </c>
      <c r="T218" s="2294">
        <f t="shared" si="81"/>
        <v>0</v>
      </c>
      <c r="U218" s="2285">
        <f t="shared" si="81"/>
        <v>0</v>
      </c>
      <c r="V218" s="2268">
        <f t="shared" si="74"/>
        <v>0</v>
      </c>
      <c r="W218" s="2888">
        <f t="shared" ref="W218:X222" si="87">T218/$T$272*$W$272</f>
        <v>0</v>
      </c>
      <c r="X218" s="2889">
        <f t="shared" si="87"/>
        <v>0</v>
      </c>
      <c r="Y218" s="2268">
        <f t="shared" si="75"/>
        <v>0</v>
      </c>
      <c r="Z218" s="2888">
        <f t="shared" si="82"/>
        <v>0</v>
      </c>
      <c r="AA218" s="2889">
        <f t="shared" si="82"/>
        <v>0</v>
      </c>
      <c r="AB218" s="2268">
        <f t="shared" si="76"/>
        <v>0</v>
      </c>
      <c r="AF218" s="2218">
        <f t="shared" si="77"/>
        <v>0</v>
      </c>
      <c r="AG218" s="2593">
        <f t="shared" si="78"/>
        <v>0</v>
      </c>
      <c r="AH218" s="2218">
        <f t="shared" si="79"/>
        <v>0</v>
      </c>
      <c r="AI218" s="2593">
        <f t="shared" si="80"/>
        <v>0</v>
      </c>
    </row>
    <row r="219" spans="1:35" s="2218" customFormat="1">
      <c r="A219" s="2235">
        <v>151</v>
      </c>
      <c r="B219" s="2281" t="s">
        <v>2060</v>
      </c>
      <c r="C219" s="2282" t="s">
        <v>2061</v>
      </c>
      <c r="D219" s="2283" t="s">
        <v>1317</v>
      </c>
      <c r="E219" s="2284"/>
      <c r="F219" s="2285"/>
      <c r="G219" s="2257">
        <f t="shared" si="54"/>
        <v>0</v>
      </c>
      <c r="H219" s="2285"/>
      <c r="I219" s="2285"/>
      <c r="J219" s="2257">
        <f t="shared" si="55"/>
        <v>0</v>
      </c>
      <c r="K219" s="2285"/>
      <c r="L219" s="2285"/>
      <c r="M219" s="2259">
        <f t="shared" si="56"/>
        <v>0</v>
      </c>
      <c r="N219" s="2284"/>
      <c r="O219" s="2285"/>
      <c r="P219" s="2259">
        <f t="shared" si="85"/>
        <v>0</v>
      </c>
      <c r="Q219" s="2284">
        <v>0</v>
      </c>
      <c r="R219" s="2285">
        <v>0</v>
      </c>
      <c r="S219" s="2259">
        <f t="shared" si="86"/>
        <v>0</v>
      </c>
      <c r="T219" s="2294">
        <f t="shared" si="81"/>
        <v>0</v>
      </c>
      <c r="U219" s="2285">
        <f t="shared" si="81"/>
        <v>0</v>
      </c>
      <c r="V219" s="2268">
        <f t="shared" si="74"/>
        <v>0</v>
      </c>
      <c r="W219" s="2888">
        <f t="shared" si="87"/>
        <v>0</v>
      </c>
      <c r="X219" s="2889">
        <f t="shared" si="87"/>
        <v>0</v>
      </c>
      <c r="Y219" s="2268">
        <f t="shared" si="75"/>
        <v>0</v>
      </c>
      <c r="Z219" s="2888">
        <f t="shared" si="82"/>
        <v>0</v>
      </c>
      <c r="AA219" s="2889">
        <f t="shared" si="82"/>
        <v>0</v>
      </c>
      <c r="AB219" s="2268">
        <f t="shared" si="76"/>
        <v>0</v>
      </c>
      <c r="AF219" s="2218">
        <f t="shared" si="77"/>
        <v>0</v>
      </c>
      <c r="AG219" s="2593">
        <f t="shared" si="78"/>
        <v>0</v>
      </c>
      <c r="AH219" s="2218">
        <f t="shared" si="79"/>
        <v>0</v>
      </c>
      <c r="AI219" s="2593">
        <f t="shared" si="80"/>
        <v>0</v>
      </c>
    </row>
    <row r="220" spans="1:35" s="2218" customFormat="1" ht="22.5" customHeight="1">
      <c r="A220" s="2235">
        <v>152</v>
      </c>
      <c r="B220" s="2281" t="s">
        <v>2062</v>
      </c>
      <c r="C220" s="2282" t="s">
        <v>2063</v>
      </c>
      <c r="D220" s="2283" t="s">
        <v>1317</v>
      </c>
      <c r="E220" s="2284"/>
      <c r="F220" s="2285"/>
      <c r="G220" s="2257">
        <f t="shared" si="54"/>
        <v>0</v>
      </c>
      <c r="H220" s="2285"/>
      <c r="I220" s="2285"/>
      <c r="J220" s="2257">
        <f t="shared" si="55"/>
        <v>0</v>
      </c>
      <c r="K220" s="2285"/>
      <c r="L220" s="2285"/>
      <c r="M220" s="2259">
        <f t="shared" si="56"/>
        <v>0</v>
      </c>
      <c r="N220" s="2284"/>
      <c r="O220" s="2285"/>
      <c r="P220" s="2259">
        <f t="shared" si="85"/>
        <v>0</v>
      </c>
      <c r="Q220" s="2284">
        <v>0</v>
      </c>
      <c r="R220" s="2285">
        <v>0</v>
      </c>
      <c r="S220" s="2259">
        <f t="shared" si="86"/>
        <v>0</v>
      </c>
      <c r="T220" s="2294">
        <f t="shared" si="81"/>
        <v>0</v>
      </c>
      <c r="U220" s="2285">
        <f t="shared" si="81"/>
        <v>0</v>
      </c>
      <c r="V220" s="2268">
        <f t="shared" si="74"/>
        <v>0</v>
      </c>
      <c r="W220" s="2888">
        <f t="shared" si="87"/>
        <v>0</v>
      </c>
      <c r="X220" s="2889">
        <f t="shared" si="87"/>
        <v>0</v>
      </c>
      <c r="Y220" s="2268">
        <f t="shared" si="75"/>
        <v>0</v>
      </c>
      <c r="Z220" s="2888">
        <f t="shared" si="82"/>
        <v>0</v>
      </c>
      <c r="AA220" s="2889">
        <f t="shared" si="82"/>
        <v>0</v>
      </c>
      <c r="AB220" s="2268">
        <f t="shared" si="76"/>
        <v>0</v>
      </c>
      <c r="AF220" s="2218">
        <f t="shared" si="77"/>
        <v>0</v>
      </c>
      <c r="AG220" s="2593">
        <f t="shared" si="78"/>
        <v>0</v>
      </c>
      <c r="AH220" s="2218">
        <f t="shared" si="79"/>
        <v>0</v>
      </c>
      <c r="AI220" s="2593">
        <f t="shared" si="80"/>
        <v>0</v>
      </c>
    </row>
    <row r="221" spans="1:35" s="2218" customFormat="1" ht="19.5" customHeight="1">
      <c r="A221" s="2235">
        <v>153</v>
      </c>
      <c r="B221" s="2281" t="s">
        <v>2064</v>
      </c>
      <c r="C221" s="2282" t="s">
        <v>2065</v>
      </c>
      <c r="D221" s="2283" t="s">
        <v>1317</v>
      </c>
      <c r="E221" s="2284">
        <f>'[3]НВВ перекачка'!K522</f>
        <v>105.20285000000001</v>
      </c>
      <c r="F221" s="2285">
        <f>'[3]НВВ перекачка'!L522</f>
        <v>105.20285000000001</v>
      </c>
      <c r="G221" s="2257">
        <f t="shared" si="54"/>
        <v>105.20285000000001</v>
      </c>
      <c r="H221" s="2285">
        <f>'[3]НВВ перекачка'!T522</f>
        <v>141.90554000000009</v>
      </c>
      <c r="I221" s="2285">
        <f>'[3]НВВ перекачка'!U522</f>
        <v>141.90554000000009</v>
      </c>
      <c r="J221" s="2257">
        <f t="shared" si="55"/>
        <v>141.90554000000009</v>
      </c>
      <c r="K221" s="2285">
        <f>'[3]НВВ перекачка'!AC522</f>
        <v>485.87391984786757</v>
      </c>
      <c r="L221" s="2285">
        <f>'[3]НВВ перекачка'!AD522</f>
        <v>485.87391984786757</v>
      </c>
      <c r="M221" s="2259">
        <f t="shared" si="56"/>
        <v>485.87391984786757</v>
      </c>
      <c r="N221" s="2284"/>
      <c r="O221" s="2285">
        <f>L221*1.06*1.072</f>
        <v>552.10825260152899</v>
      </c>
      <c r="P221" s="2259">
        <f t="shared" si="85"/>
        <v>276.05412630076449</v>
      </c>
      <c r="Q221" s="2284">
        <v>784.61540019863253</v>
      </c>
      <c r="R221" s="2285">
        <f>Q221*1.072</f>
        <v>841.10770901293415</v>
      </c>
      <c r="S221" s="2259">
        <f t="shared" si="86"/>
        <v>812.86155460578334</v>
      </c>
      <c r="T221" s="2294">
        <f t="shared" si="81"/>
        <v>784.61540019863253</v>
      </c>
      <c r="U221" s="2285">
        <f t="shared" si="81"/>
        <v>1393.2159616144631</v>
      </c>
      <c r="V221" s="2268">
        <f t="shared" si="74"/>
        <v>1088.9156809065478</v>
      </c>
      <c r="W221" s="2888">
        <f t="shared" si="87"/>
        <v>169.51687492887987</v>
      </c>
      <c r="X221" s="2889">
        <f t="shared" si="87"/>
        <v>301.005582931623</v>
      </c>
      <c r="Y221" s="2268">
        <f t="shared" si="75"/>
        <v>235.26122893025143</v>
      </c>
      <c r="Z221" s="2888">
        <f t="shared" si="82"/>
        <v>615.09852526975271</v>
      </c>
      <c r="AA221" s="2889">
        <f t="shared" si="82"/>
        <v>1092.2103786828402</v>
      </c>
      <c r="AB221" s="2268">
        <f t="shared" si="76"/>
        <v>853.65445197629651</v>
      </c>
      <c r="AF221" s="2218">
        <f t="shared" si="77"/>
        <v>301.005582931623</v>
      </c>
      <c r="AG221" s="2593">
        <f t="shared" si="78"/>
        <v>0</v>
      </c>
      <c r="AH221" s="2218">
        <f t="shared" si="79"/>
        <v>1092.2103786828402</v>
      </c>
      <c r="AI221" s="2593">
        <f t="shared" si="80"/>
        <v>0</v>
      </c>
    </row>
    <row r="222" spans="1:35" s="2218" customFormat="1" ht="22.5" customHeight="1">
      <c r="A222" s="2235">
        <v>154</v>
      </c>
      <c r="B222" s="2281" t="s">
        <v>2067</v>
      </c>
      <c r="C222" s="2282" t="s">
        <v>2068</v>
      </c>
      <c r="D222" s="2283" t="s">
        <v>1317</v>
      </c>
      <c r="E222" s="2284"/>
      <c r="F222" s="2285"/>
      <c r="G222" s="2257">
        <f t="shared" si="54"/>
        <v>0</v>
      </c>
      <c r="H222" s="2285"/>
      <c r="I222" s="2285"/>
      <c r="J222" s="2257">
        <f t="shared" si="55"/>
        <v>0</v>
      </c>
      <c r="K222" s="2285"/>
      <c r="L222" s="2285"/>
      <c r="M222" s="2259">
        <f t="shared" si="56"/>
        <v>0</v>
      </c>
      <c r="N222" s="2284"/>
      <c r="O222" s="2285"/>
      <c r="P222" s="2259">
        <f t="shared" si="85"/>
        <v>0</v>
      </c>
      <c r="Q222" s="2284">
        <v>0</v>
      </c>
      <c r="R222" s="2285">
        <v>0</v>
      </c>
      <c r="S222" s="2259">
        <f t="shared" si="86"/>
        <v>0</v>
      </c>
      <c r="T222" s="2294">
        <f t="shared" si="81"/>
        <v>0</v>
      </c>
      <c r="U222" s="2285">
        <f t="shared" si="81"/>
        <v>0</v>
      </c>
      <c r="V222" s="2268">
        <f t="shared" si="74"/>
        <v>0</v>
      </c>
      <c r="W222" s="2888">
        <f t="shared" si="87"/>
        <v>0</v>
      </c>
      <c r="X222" s="2889">
        <f t="shared" si="87"/>
        <v>0</v>
      </c>
      <c r="Y222" s="2268">
        <f t="shared" si="75"/>
        <v>0</v>
      </c>
      <c r="Z222" s="2888">
        <f t="shared" si="82"/>
        <v>0</v>
      </c>
      <c r="AA222" s="2889">
        <f t="shared" si="82"/>
        <v>0</v>
      </c>
      <c r="AB222" s="2268">
        <f t="shared" si="76"/>
        <v>0</v>
      </c>
      <c r="AF222" s="2218">
        <f t="shared" si="77"/>
        <v>0</v>
      </c>
      <c r="AG222" s="2593">
        <f t="shared" si="78"/>
        <v>0</v>
      </c>
      <c r="AH222" s="2218">
        <f t="shared" si="79"/>
        <v>0</v>
      </c>
      <c r="AI222" s="2593">
        <f t="shared" si="80"/>
        <v>0</v>
      </c>
    </row>
    <row r="223" spans="1:35" s="2218" customFormat="1" ht="31.5">
      <c r="A223" s="2235">
        <v>169</v>
      </c>
      <c r="B223" s="2389">
        <v>13</v>
      </c>
      <c r="C223" s="2390" t="s">
        <v>2071</v>
      </c>
      <c r="D223" s="2289" t="s">
        <v>1317</v>
      </c>
      <c r="E223" s="2290"/>
      <c r="F223" s="2291"/>
      <c r="G223" s="2257">
        <f t="shared" si="54"/>
        <v>0</v>
      </c>
      <c r="H223" s="2291"/>
      <c r="I223" s="2291"/>
      <c r="J223" s="2257">
        <f t="shared" si="55"/>
        <v>0</v>
      </c>
      <c r="K223" s="2291"/>
      <c r="L223" s="2291"/>
      <c r="M223" s="2259">
        <f t="shared" si="56"/>
        <v>0</v>
      </c>
      <c r="N223" s="2290"/>
      <c r="O223" s="2291"/>
      <c r="P223" s="2259">
        <f t="shared" si="85"/>
        <v>0</v>
      </c>
      <c r="Q223" s="2290">
        <v>0</v>
      </c>
      <c r="R223" s="2291">
        <v>0</v>
      </c>
      <c r="S223" s="2259">
        <f t="shared" si="86"/>
        <v>0</v>
      </c>
      <c r="T223" s="2255">
        <f t="shared" si="81"/>
        <v>0</v>
      </c>
      <c r="U223" s="2256">
        <f t="shared" si="81"/>
        <v>0</v>
      </c>
      <c r="V223" s="2268">
        <f t="shared" si="74"/>
        <v>0</v>
      </c>
      <c r="W223" s="2377">
        <f t="shared" ref="W223:X229" si="88">T223/$T$272*$N$272</f>
        <v>0</v>
      </c>
      <c r="X223" s="2256">
        <f t="shared" si="88"/>
        <v>0</v>
      </c>
      <c r="Y223" s="2268">
        <f t="shared" si="75"/>
        <v>0</v>
      </c>
      <c r="Z223" s="2886">
        <f t="shared" si="82"/>
        <v>0</v>
      </c>
      <c r="AA223" s="2887">
        <f t="shared" si="82"/>
        <v>0</v>
      </c>
      <c r="AB223" s="2268">
        <f t="shared" si="76"/>
        <v>0</v>
      </c>
      <c r="AF223" s="2218">
        <f t="shared" si="77"/>
        <v>0</v>
      </c>
      <c r="AG223" s="2593">
        <f t="shared" si="78"/>
        <v>0</v>
      </c>
      <c r="AH223" s="2218">
        <f t="shared" si="79"/>
        <v>0</v>
      </c>
      <c r="AI223" s="2593">
        <f t="shared" si="80"/>
        <v>0</v>
      </c>
    </row>
    <row r="224" spans="1:35" s="2218" customFormat="1" ht="31.5">
      <c r="A224" s="2235">
        <v>164</v>
      </c>
      <c r="B224" s="2287" t="s">
        <v>140</v>
      </c>
      <c r="C224" s="2390" t="s">
        <v>2072</v>
      </c>
      <c r="D224" s="2289" t="s">
        <v>1317</v>
      </c>
      <c r="E224" s="2290"/>
      <c r="F224" s="2291"/>
      <c r="G224" s="2257">
        <f t="shared" ref="G224:G272" si="89">E224/2+F224/2</f>
        <v>0</v>
      </c>
      <c r="H224" s="2291"/>
      <c r="I224" s="2291"/>
      <c r="J224" s="2257">
        <f t="shared" ref="J224:J268" si="90">H224/2+I224/2</f>
        <v>0</v>
      </c>
      <c r="K224" s="2291"/>
      <c r="L224" s="2291"/>
      <c r="M224" s="2259">
        <f t="shared" ref="M224:M268" si="91">K224/2+L224/2</f>
        <v>0</v>
      </c>
      <c r="N224" s="2290"/>
      <c r="O224" s="2291"/>
      <c r="P224" s="2259">
        <f t="shared" si="85"/>
        <v>0</v>
      </c>
      <c r="Q224" s="2290">
        <v>0</v>
      </c>
      <c r="R224" s="2291">
        <v>0</v>
      </c>
      <c r="S224" s="2259">
        <f t="shared" si="86"/>
        <v>0</v>
      </c>
      <c r="T224" s="2255">
        <f t="shared" ref="T224:U229" si="92">N224+Q224</f>
        <v>0</v>
      </c>
      <c r="U224" s="2256">
        <f t="shared" si="92"/>
        <v>0</v>
      </c>
      <c r="V224" s="2268">
        <f t="shared" si="74"/>
        <v>0</v>
      </c>
      <c r="W224" s="2377">
        <f t="shared" si="88"/>
        <v>0</v>
      </c>
      <c r="X224" s="2256">
        <f t="shared" si="88"/>
        <v>0</v>
      </c>
      <c r="Y224" s="2268">
        <f t="shared" si="75"/>
        <v>0</v>
      </c>
      <c r="Z224" s="2886">
        <f t="shared" si="82"/>
        <v>0</v>
      </c>
      <c r="AA224" s="2887">
        <f t="shared" si="82"/>
        <v>0</v>
      </c>
      <c r="AB224" s="2268">
        <f t="shared" si="76"/>
        <v>0</v>
      </c>
      <c r="AF224" s="2218">
        <f t="shared" si="77"/>
        <v>0</v>
      </c>
      <c r="AG224" s="2593">
        <f t="shared" si="78"/>
        <v>0</v>
      </c>
      <c r="AH224" s="2218">
        <f t="shared" si="79"/>
        <v>0</v>
      </c>
      <c r="AI224" s="2593">
        <f t="shared" si="80"/>
        <v>0</v>
      </c>
    </row>
    <row r="225" spans="1:35" s="2218" customFormat="1" ht="30.75" customHeight="1">
      <c r="A225" s="2235">
        <v>12</v>
      </c>
      <c r="B225" s="2388">
        <v>12</v>
      </c>
      <c r="C225" s="2295" t="s">
        <v>2073</v>
      </c>
      <c r="D225" s="2254" t="s">
        <v>1313</v>
      </c>
      <c r="E225" s="2255">
        <f>E226+E227+E228</f>
        <v>0</v>
      </c>
      <c r="F225" s="2256">
        <f>F226+F227+F228</f>
        <v>0</v>
      </c>
      <c r="G225" s="2257">
        <f t="shared" si="89"/>
        <v>0</v>
      </c>
      <c r="H225" s="2256">
        <f>H226+H227+H228</f>
        <v>0</v>
      </c>
      <c r="I225" s="2256">
        <f>I226+I227+I228</f>
        <v>0</v>
      </c>
      <c r="J225" s="2257">
        <f t="shared" si="90"/>
        <v>0</v>
      </c>
      <c r="K225" s="2256">
        <f>K226+K227+K228</f>
        <v>0</v>
      </c>
      <c r="L225" s="2256">
        <f>L226+L227+L228</f>
        <v>0</v>
      </c>
      <c r="M225" s="2259">
        <f t="shared" si="91"/>
        <v>0</v>
      </c>
      <c r="N225" s="2255">
        <v>0</v>
      </c>
      <c r="O225" s="2256">
        <v>0</v>
      </c>
      <c r="P225" s="2259">
        <f t="shared" si="85"/>
        <v>0</v>
      </c>
      <c r="Q225" s="2255">
        <v>0</v>
      </c>
      <c r="R225" s="2256">
        <v>0</v>
      </c>
      <c r="S225" s="2259">
        <f t="shared" si="86"/>
        <v>0</v>
      </c>
      <c r="T225" s="2255">
        <f t="shared" si="92"/>
        <v>0</v>
      </c>
      <c r="U225" s="2256">
        <f t="shared" si="92"/>
        <v>0</v>
      </c>
      <c r="V225" s="2268">
        <f t="shared" si="74"/>
        <v>0</v>
      </c>
      <c r="W225" s="2377">
        <f t="shared" si="88"/>
        <v>0</v>
      </c>
      <c r="X225" s="2256">
        <f t="shared" si="88"/>
        <v>0</v>
      </c>
      <c r="Y225" s="2268">
        <f t="shared" si="75"/>
        <v>0</v>
      </c>
      <c r="Z225" s="2886">
        <f t="shared" si="82"/>
        <v>0</v>
      </c>
      <c r="AA225" s="2887">
        <f t="shared" si="82"/>
        <v>0</v>
      </c>
      <c r="AB225" s="2268">
        <f t="shared" si="76"/>
        <v>0</v>
      </c>
      <c r="AF225" s="2218">
        <f t="shared" si="77"/>
        <v>0</v>
      </c>
      <c r="AG225" s="2593">
        <f t="shared" si="78"/>
        <v>0</v>
      </c>
      <c r="AH225" s="2218">
        <f t="shared" si="79"/>
        <v>0</v>
      </c>
      <c r="AI225" s="2593">
        <f t="shared" si="80"/>
        <v>0</v>
      </c>
    </row>
    <row r="226" spans="1:35" s="2218" customFormat="1" ht="60" hidden="1" customHeight="1">
      <c r="A226" s="2235">
        <v>166</v>
      </c>
      <c r="B226" s="2281" t="s">
        <v>2074</v>
      </c>
      <c r="C226" s="2282" t="s">
        <v>2075</v>
      </c>
      <c r="D226" s="2283" t="s">
        <v>1317</v>
      </c>
      <c r="E226" s="2284"/>
      <c r="F226" s="2285"/>
      <c r="G226" s="2257">
        <f t="shared" si="89"/>
        <v>0</v>
      </c>
      <c r="H226" s="2285"/>
      <c r="I226" s="2285"/>
      <c r="J226" s="2257">
        <f t="shared" si="90"/>
        <v>0</v>
      </c>
      <c r="K226" s="2285"/>
      <c r="L226" s="2285"/>
      <c r="M226" s="2259">
        <f t="shared" si="91"/>
        <v>0</v>
      </c>
      <c r="N226" s="2284"/>
      <c r="O226" s="2285"/>
      <c r="P226" s="2259">
        <f t="shared" si="85"/>
        <v>0</v>
      </c>
      <c r="Q226" s="2284">
        <v>0</v>
      </c>
      <c r="R226" s="2285">
        <v>0</v>
      </c>
      <c r="S226" s="2259">
        <f t="shared" si="86"/>
        <v>0</v>
      </c>
      <c r="T226" s="2255">
        <f t="shared" si="92"/>
        <v>0</v>
      </c>
      <c r="U226" s="2256">
        <f t="shared" si="92"/>
        <v>0</v>
      </c>
      <c r="V226" s="2268">
        <f t="shared" si="74"/>
        <v>0</v>
      </c>
      <c r="W226" s="2377">
        <f t="shared" si="88"/>
        <v>0</v>
      </c>
      <c r="X226" s="2256">
        <f t="shared" si="88"/>
        <v>0</v>
      </c>
      <c r="Y226" s="2268">
        <f t="shared" si="75"/>
        <v>0</v>
      </c>
      <c r="Z226" s="2886">
        <f t="shared" si="82"/>
        <v>0</v>
      </c>
      <c r="AA226" s="2887">
        <f t="shared" si="82"/>
        <v>0</v>
      </c>
      <c r="AB226" s="2268">
        <f t="shared" si="76"/>
        <v>0</v>
      </c>
      <c r="AF226" s="2218">
        <f t="shared" si="77"/>
        <v>0</v>
      </c>
      <c r="AG226" s="2593">
        <f t="shared" si="78"/>
        <v>0</v>
      </c>
      <c r="AH226" s="2218">
        <f t="shared" si="79"/>
        <v>0</v>
      </c>
      <c r="AI226" s="2593">
        <f t="shared" si="80"/>
        <v>0</v>
      </c>
    </row>
    <row r="227" spans="1:35" s="2218" customFormat="1" ht="30.75" hidden="1" customHeight="1">
      <c r="A227" s="2235">
        <v>167</v>
      </c>
      <c r="B227" s="2281" t="s">
        <v>2076</v>
      </c>
      <c r="C227" s="2282" t="s">
        <v>2077</v>
      </c>
      <c r="D227" s="2283" t="s">
        <v>1317</v>
      </c>
      <c r="E227" s="2284"/>
      <c r="F227" s="2285"/>
      <c r="G227" s="2257">
        <f t="shared" si="89"/>
        <v>0</v>
      </c>
      <c r="H227" s="2285"/>
      <c r="I227" s="2285"/>
      <c r="J227" s="2257">
        <f t="shared" si="90"/>
        <v>0</v>
      </c>
      <c r="K227" s="2285"/>
      <c r="L227" s="2285"/>
      <c r="M227" s="2259">
        <f t="shared" si="91"/>
        <v>0</v>
      </c>
      <c r="N227" s="2284"/>
      <c r="O227" s="2285"/>
      <c r="P227" s="2259">
        <f t="shared" si="85"/>
        <v>0</v>
      </c>
      <c r="Q227" s="2284">
        <v>0</v>
      </c>
      <c r="R227" s="2285">
        <v>0</v>
      </c>
      <c r="S227" s="2259">
        <f t="shared" si="86"/>
        <v>0</v>
      </c>
      <c r="T227" s="2255">
        <f t="shared" si="92"/>
        <v>0</v>
      </c>
      <c r="U227" s="2256">
        <f t="shared" si="92"/>
        <v>0</v>
      </c>
      <c r="V227" s="2268">
        <f t="shared" si="74"/>
        <v>0</v>
      </c>
      <c r="W227" s="2377">
        <f t="shared" si="88"/>
        <v>0</v>
      </c>
      <c r="X227" s="2256">
        <f t="shared" si="88"/>
        <v>0</v>
      </c>
      <c r="Y227" s="2268">
        <f t="shared" si="75"/>
        <v>0</v>
      </c>
      <c r="Z227" s="2886">
        <f t="shared" si="82"/>
        <v>0</v>
      </c>
      <c r="AA227" s="2887">
        <f t="shared" si="82"/>
        <v>0</v>
      </c>
      <c r="AB227" s="2268">
        <f t="shared" si="76"/>
        <v>0</v>
      </c>
      <c r="AF227" s="2218">
        <f t="shared" si="77"/>
        <v>0</v>
      </c>
      <c r="AG227" s="2593">
        <f t="shared" si="78"/>
        <v>0</v>
      </c>
      <c r="AH227" s="2218">
        <f t="shared" si="79"/>
        <v>0</v>
      </c>
      <c r="AI227" s="2593">
        <f t="shared" si="80"/>
        <v>0</v>
      </c>
    </row>
    <row r="228" spans="1:35" s="2218" customFormat="1" ht="63" hidden="1" customHeight="1">
      <c r="A228" s="2235">
        <v>168</v>
      </c>
      <c r="B228" s="2281" t="s">
        <v>2078</v>
      </c>
      <c r="C228" s="2282" t="s">
        <v>2079</v>
      </c>
      <c r="D228" s="2283" t="s">
        <v>1317</v>
      </c>
      <c r="E228" s="2284"/>
      <c r="F228" s="2285"/>
      <c r="G228" s="2257">
        <f t="shared" si="89"/>
        <v>0</v>
      </c>
      <c r="H228" s="2285"/>
      <c r="I228" s="2285"/>
      <c r="J228" s="2257">
        <f t="shared" si="90"/>
        <v>0</v>
      </c>
      <c r="K228" s="2285"/>
      <c r="L228" s="2285"/>
      <c r="M228" s="2259">
        <f t="shared" si="91"/>
        <v>0</v>
      </c>
      <c r="N228" s="2284"/>
      <c r="O228" s="2285"/>
      <c r="P228" s="2259">
        <f t="shared" si="85"/>
        <v>0</v>
      </c>
      <c r="Q228" s="2284">
        <v>0</v>
      </c>
      <c r="R228" s="2285">
        <v>0</v>
      </c>
      <c r="S228" s="2259">
        <f t="shared" si="86"/>
        <v>0</v>
      </c>
      <c r="T228" s="2255">
        <f t="shared" si="92"/>
        <v>0</v>
      </c>
      <c r="U228" s="2256">
        <f t="shared" si="92"/>
        <v>0</v>
      </c>
      <c r="V228" s="2268">
        <f t="shared" si="74"/>
        <v>0</v>
      </c>
      <c r="W228" s="2377">
        <f t="shared" si="88"/>
        <v>0</v>
      </c>
      <c r="X228" s="2256">
        <f t="shared" si="88"/>
        <v>0</v>
      </c>
      <c r="Y228" s="2268">
        <f t="shared" si="75"/>
        <v>0</v>
      </c>
      <c r="Z228" s="2886">
        <f t="shared" si="82"/>
        <v>0</v>
      </c>
      <c r="AA228" s="2887">
        <f t="shared" si="82"/>
        <v>0</v>
      </c>
      <c r="AB228" s="2268">
        <f t="shared" si="76"/>
        <v>0</v>
      </c>
      <c r="AF228" s="2218">
        <f t="shared" si="77"/>
        <v>0</v>
      </c>
      <c r="AG228" s="2593">
        <f t="shared" si="78"/>
        <v>0</v>
      </c>
      <c r="AH228" s="2218">
        <f t="shared" si="79"/>
        <v>0</v>
      </c>
      <c r="AI228" s="2593">
        <f t="shared" si="80"/>
        <v>0</v>
      </c>
    </row>
    <row r="229" spans="1:35" s="2218" customFormat="1" ht="31.5" customHeight="1" thickBot="1">
      <c r="A229" s="2235">
        <v>13</v>
      </c>
      <c r="B229" s="2279" t="s">
        <v>142</v>
      </c>
      <c r="C229" s="2295" t="s">
        <v>2080</v>
      </c>
      <c r="D229" s="2254" t="s">
        <v>1313</v>
      </c>
      <c r="E229" s="2255">
        <f>E230+E231</f>
        <v>16.357036035057124</v>
      </c>
      <c r="F229" s="2256">
        <f>F230+F231</f>
        <v>16.357036035057124</v>
      </c>
      <c r="G229" s="2257">
        <f t="shared" si="89"/>
        <v>16.357036035057124</v>
      </c>
      <c r="H229" s="2256">
        <f>H230+H231</f>
        <v>241.33278313779826</v>
      </c>
      <c r="I229" s="2256">
        <f>I230+I231</f>
        <v>241.33278313779826</v>
      </c>
      <c r="J229" s="2257">
        <f t="shared" si="90"/>
        <v>241.33278313779826</v>
      </c>
      <c r="K229" s="2256">
        <f>K230+K231</f>
        <v>367.14638653041879</v>
      </c>
      <c r="L229" s="2256">
        <f>L230+L231</f>
        <v>367.14638653041879</v>
      </c>
      <c r="M229" s="2259">
        <f t="shared" si="91"/>
        <v>367.14638653041879</v>
      </c>
      <c r="N229" s="2255">
        <v>0</v>
      </c>
      <c r="O229" s="2256">
        <v>0</v>
      </c>
      <c r="P229" s="2259">
        <f t="shared" si="85"/>
        <v>0</v>
      </c>
      <c r="Q229" s="2255">
        <v>0</v>
      </c>
      <c r="R229" s="2256">
        <v>0</v>
      </c>
      <c r="S229" s="2259">
        <f t="shared" si="86"/>
        <v>0</v>
      </c>
      <c r="T229" s="2255">
        <f t="shared" si="92"/>
        <v>0</v>
      </c>
      <c r="U229" s="2256">
        <f t="shared" si="92"/>
        <v>0</v>
      </c>
      <c r="V229" s="2268">
        <f t="shared" si="74"/>
        <v>0</v>
      </c>
      <c r="W229" s="2377">
        <f t="shared" si="88"/>
        <v>0</v>
      </c>
      <c r="X229" s="2256">
        <f t="shared" si="88"/>
        <v>0</v>
      </c>
      <c r="Y229" s="2268">
        <f t="shared" si="75"/>
        <v>0</v>
      </c>
      <c r="Z229" s="2886">
        <f t="shared" si="82"/>
        <v>0</v>
      </c>
      <c r="AA229" s="2887">
        <f t="shared" si="82"/>
        <v>0</v>
      </c>
      <c r="AB229" s="2268">
        <f t="shared" si="76"/>
        <v>0</v>
      </c>
      <c r="AF229" s="2218">
        <f t="shared" si="77"/>
        <v>0</v>
      </c>
      <c r="AG229" s="2593">
        <f t="shared" si="78"/>
        <v>0</v>
      </c>
      <c r="AH229" s="2218">
        <f t="shared" si="79"/>
        <v>0</v>
      </c>
      <c r="AI229" s="2593">
        <f t="shared" si="80"/>
        <v>0</v>
      </c>
    </row>
    <row r="230" spans="1:35" s="2218" customFormat="1" ht="20.25" hidden="1" customHeight="1">
      <c r="A230" s="2235">
        <v>14</v>
      </c>
      <c r="B230" s="2281" t="s">
        <v>2081</v>
      </c>
      <c r="C230" s="2282" t="s">
        <v>2082</v>
      </c>
      <c r="D230" s="2283" t="s">
        <v>1313</v>
      </c>
      <c r="E230" s="2284"/>
      <c r="F230" s="2285"/>
      <c r="G230" s="2257">
        <f t="shared" si="89"/>
        <v>0</v>
      </c>
      <c r="H230" s="2285"/>
      <c r="I230" s="2285"/>
      <c r="J230" s="2257">
        <f t="shared" si="90"/>
        <v>0</v>
      </c>
      <c r="K230" s="2285"/>
      <c r="L230" s="2285"/>
      <c r="M230" s="2259">
        <f t="shared" si="91"/>
        <v>0</v>
      </c>
      <c r="N230" s="2284"/>
      <c r="O230" s="2285"/>
      <c r="P230" s="2259">
        <f t="shared" si="85"/>
        <v>0</v>
      </c>
      <c r="Q230" s="2284">
        <v>0</v>
      </c>
      <c r="R230" s="2285">
        <v>0</v>
      </c>
      <c r="S230" s="2259">
        <f t="shared" si="86"/>
        <v>0</v>
      </c>
      <c r="T230" s="2284">
        <v>0</v>
      </c>
      <c r="U230" s="2285">
        <v>0</v>
      </c>
      <c r="V230" s="2268">
        <f t="shared" si="74"/>
        <v>0</v>
      </c>
      <c r="W230" s="2284">
        <v>0</v>
      </c>
      <c r="X230" s="2285">
        <v>0</v>
      </c>
      <c r="Y230" s="2268">
        <f t="shared" si="75"/>
        <v>0</v>
      </c>
      <c r="Z230" s="2284">
        <v>0</v>
      </c>
      <c r="AA230" s="2285">
        <v>0</v>
      </c>
      <c r="AB230" s="2268">
        <f t="shared" si="76"/>
        <v>0</v>
      </c>
      <c r="AF230" s="2218">
        <f t="shared" si="77"/>
        <v>0</v>
      </c>
      <c r="AG230" s="2593">
        <f t="shared" si="78"/>
        <v>0</v>
      </c>
      <c r="AH230" s="2218">
        <f t="shared" si="79"/>
        <v>0</v>
      </c>
      <c r="AI230" s="2593">
        <f t="shared" si="80"/>
        <v>0</v>
      </c>
    </row>
    <row r="231" spans="1:35" s="2218" customFormat="1" ht="31.5" hidden="1" customHeight="1">
      <c r="A231" s="2235">
        <v>89</v>
      </c>
      <c r="B231" s="2297" t="s">
        <v>2083</v>
      </c>
      <c r="C231" s="2298" t="s">
        <v>1806</v>
      </c>
      <c r="D231" s="2299" t="s">
        <v>1313</v>
      </c>
      <c r="E231" s="2300">
        <f>'[3]НВВ перекачка'!K530</f>
        <v>16.357036035057124</v>
      </c>
      <c r="F231" s="2301">
        <f>'[3]НВВ перекачка'!L530</f>
        <v>16.357036035057124</v>
      </c>
      <c r="G231" s="2266">
        <f t="shared" si="89"/>
        <v>16.357036035057124</v>
      </c>
      <c r="H231" s="2301">
        <f>'[3]НВВ перекачка'!T530</f>
        <v>241.33278313779826</v>
      </c>
      <c r="I231" s="2301">
        <f>'[3]НВВ перекачка'!U530</f>
        <v>241.33278313779826</v>
      </c>
      <c r="J231" s="2266">
        <f t="shared" si="90"/>
        <v>241.33278313779826</v>
      </c>
      <c r="K231" s="2301">
        <f>'[3]НВВ перекачка'!AC530</f>
        <v>367.14638653041879</v>
      </c>
      <c r="L231" s="2301">
        <f>'[3]НВВ перекачка'!AD530</f>
        <v>367.14638653041879</v>
      </c>
      <c r="M231" s="2268">
        <f t="shared" si="91"/>
        <v>367.14638653041879</v>
      </c>
      <c r="N231" s="2300"/>
      <c r="O231" s="2301"/>
      <c r="P231" s="2268">
        <f t="shared" si="85"/>
        <v>0</v>
      </c>
      <c r="Q231" s="2300">
        <v>0</v>
      </c>
      <c r="R231" s="2301">
        <v>0</v>
      </c>
      <c r="S231" s="2268">
        <f t="shared" si="86"/>
        <v>0</v>
      </c>
      <c r="T231" s="2300">
        <v>0</v>
      </c>
      <c r="U231" s="2301">
        <v>0</v>
      </c>
      <c r="V231" s="2268">
        <f t="shared" si="74"/>
        <v>0</v>
      </c>
      <c r="W231" s="2300">
        <v>0</v>
      </c>
      <c r="X231" s="2301">
        <v>0</v>
      </c>
      <c r="Y231" s="2268">
        <f t="shared" si="75"/>
        <v>0</v>
      </c>
      <c r="Z231" s="2300">
        <v>0</v>
      </c>
      <c r="AA231" s="2301">
        <v>0</v>
      </c>
      <c r="AB231" s="2268">
        <f t="shared" si="76"/>
        <v>0</v>
      </c>
      <c r="AF231" s="2218">
        <f t="shared" si="77"/>
        <v>0</v>
      </c>
      <c r="AG231" s="2593">
        <f t="shared" si="78"/>
        <v>0</v>
      </c>
      <c r="AH231" s="2218">
        <f t="shared" si="79"/>
        <v>0</v>
      </c>
      <c r="AI231" s="2593">
        <f t="shared" si="80"/>
        <v>0</v>
      </c>
    </row>
    <row r="232" spans="1:35" s="2218" customFormat="1" ht="141.75" hidden="1" customHeight="1">
      <c r="A232" s="2235"/>
      <c r="B232" s="2391" t="s">
        <v>137</v>
      </c>
      <c r="C232" s="2392" t="s">
        <v>15031</v>
      </c>
      <c r="D232" s="2299" t="s">
        <v>1313</v>
      </c>
      <c r="E232" s="2301">
        <f>'[3]НВВ перекачка'!K525</f>
        <v>2775.5090443665877</v>
      </c>
      <c r="F232" s="2301">
        <f>'[3]НВВ перекачка'!L525</f>
        <v>2775.5090443665877</v>
      </c>
      <c r="G232" s="2266">
        <f t="shared" si="89"/>
        <v>2775.5090443665877</v>
      </c>
      <c r="H232" s="2301">
        <f>'[3]НВВ перекачка'!T525</f>
        <v>3445.5563637533037</v>
      </c>
      <c r="I232" s="2301">
        <f>'[3]НВВ перекачка'!U525</f>
        <v>3445.5563637533037</v>
      </c>
      <c r="J232" s="2266">
        <f t="shared" si="90"/>
        <v>3445.5563637533037</v>
      </c>
      <c r="K232" s="2301">
        <f>'[3]НВВ перекачка'!AC525</f>
        <v>3752.4835073210174</v>
      </c>
      <c r="L232" s="2301">
        <f>'[3]НВВ перекачка'!AD525</f>
        <v>3752.4835073210174</v>
      </c>
      <c r="M232" s="2268">
        <f t="shared" si="91"/>
        <v>3752.4835073210174</v>
      </c>
      <c r="N232" s="2301"/>
      <c r="O232" s="2301"/>
      <c r="P232" s="2268">
        <f t="shared" si="85"/>
        <v>0</v>
      </c>
      <c r="Q232" s="2300">
        <v>0</v>
      </c>
      <c r="R232" s="2301">
        <v>0</v>
      </c>
      <c r="S232" s="2268">
        <f t="shared" si="86"/>
        <v>0</v>
      </c>
      <c r="T232" s="2300">
        <v>0</v>
      </c>
      <c r="U232" s="2301">
        <v>0</v>
      </c>
      <c r="V232" s="2268">
        <f t="shared" si="74"/>
        <v>0</v>
      </c>
      <c r="W232" s="2300">
        <v>0</v>
      </c>
      <c r="X232" s="2301">
        <v>0</v>
      </c>
      <c r="Y232" s="2268">
        <f t="shared" si="75"/>
        <v>0</v>
      </c>
      <c r="Z232" s="2300">
        <v>0</v>
      </c>
      <c r="AA232" s="2301">
        <v>0</v>
      </c>
      <c r="AB232" s="2268">
        <f t="shared" si="76"/>
        <v>0</v>
      </c>
      <c r="AF232" s="2218">
        <f t="shared" si="77"/>
        <v>0</v>
      </c>
      <c r="AG232" s="2593">
        <f t="shared" si="78"/>
        <v>0</v>
      </c>
      <c r="AH232" s="2218">
        <f t="shared" si="79"/>
        <v>0</v>
      </c>
      <c r="AI232" s="2593">
        <f t="shared" si="80"/>
        <v>0</v>
      </c>
    </row>
    <row r="233" spans="1:35" s="2218" customFormat="1" ht="31.5" hidden="1" customHeight="1">
      <c r="A233" s="2235"/>
      <c r="B233" s="2393" t="s">
        <v>15032</v>
      </c>
      <c r="C233" s="2293" t="s">
        <v>15033</v>
      </c>
      <c r="D233" s="2299" t="s">
        <v>1313</v>
      </c>
      <c r="E233" s="2285"/>
      <c r="F233" s="2285"/>
      <c r="G233" s="2257"/>
      <c r="H233" s="2285"/>
      <c r="I233" s="2285"/>
      <c r="J233" s="2257"/>
      <c r="K233" s="2285"/>
      <c r="L233" s="2285"/>
      <c r="M233" s="2257"/>
      <c r="N233" s="2285"/>
      <c r="O233" s="2285"/>
      <c r="P233" s="2257"/>
      <c r="Q233" s="2284">
        <v>0</v>
      </c>
      <c r="R233" s="2285">
        <v>0</v>
      </c>
      <c r="S233" s="2257"/>
      <c r="T233" s="2284">
        <v>0</v>
      </c>
      <c r="U233" s="2285">
        <v>0</v>
      </c>
      <c r="V233" s="2268">
        <f t="shared" si="74"/>
        <v>0</v>
      </c>
      <c r="W233" s="2284">
        <v>0</v>
      </c>
      <c r="X233" s="2285">
        <v>0</v>
      </c>
      <c r="Y233" s="2268">
        <f t="shared" si="75"/>
        <v>0</v>
      </c>
      <c r="Z233" s="2284">
        <v>0</v>
      </c>
      <c r="AA233" s="2285">
        <v>0</v>
      </c>
      <c r="AB233" s="2268">
        <f t="shared" si="76"/>
        <v>0</v>
      </c>
      <c r="AF233" s="2218">
        <f t="shared" si="77"/>
        <v>0</v>
      </c>
      <c r="AG233" s="2593">
        <f t="shared" si="78"/>
        <v>0</v>
      </c>
      <c r="AH233" s="2218">
        <f t="shared" si="79"/>
        <v>0</v>
      </c>
      <c r="AI233" s="2593">
        <f t="shared" si="80"/>
        <v>0</v>
      </c>
    </row>
    <row r="234" spans="1:35" s="2218" customFormat="1" ht="63" hidden="1" customHeight="1">
      <c r="A234" s="2235"/>
      <c r="B234" s="2393" t="s">
        <v>15034</v>
      </c>
      <c r="C234" s="2293" t="s">
        <v>15035</v>
      </c>
      <c r="D234" s="2299" t="s">
        <v>1313</v>
      </c>
      <c r="E234" s="2285"/>
      <c r="F234" s="2285"/>
      <c r="G234" s="2257"/>
      <c r="H234" s="2285"/>
      <c r="I234" s="2285"/>
      <c r="J234" s="2257"/>
      <c r="K234" s="2285"/>
      <c r="L234" s="2285"/>
      <c r="M234" s="2257"/>
      <c r="N234" s="2285"/>
      <c r="O234" s="2285"/>
      <c r="P234" s="2257"/>
      <c r="Q234" s="2284">
        <v>0</v>
      </c>
      <c r="R234" s="2285">
        <v>0</v>
      </c>
      <c r="S234" s="2257"/>
      <c r="T234" s="2284">
        <v>0</v>
      </c>
      <c r="U234" s="2285">
        <v>0</v>
      </c>
      <c r="V234" s="2268">
        <f t="shared" si="74"/>
        <v>0</v>
      </c>
      <c r="W234" s="2284">
        <v>0</v>
      </c>
      <c r="X234" s="2285">
        <v>0</v>
      </c>
      <c r="Y234" s="2268">
        <f t="shared" si="75"/>
        <v>0</v>
      </c>
      <c r="Z234" s="2284">
        <v>0</v>
      </c>
      <c r="AA234" s="2285">
        <v>0</v>
      </c>
      <c r="AB234" s="2268">
        <f t="shared" si="76"/>
        <v>0</v>
      </c>
      <c r="AF234" s="2218">
        <f t="shared" si="77"/>
        <v>0</v>
      </c>
      <c r="AG234" s="2593">
        <f t="shared" si="78"/>
        <v>0</v>
      </c>
      <c r="AH234" s="2218">
        <f t="shared" si="79"/>
        <v>0</v>
      </c>
      <c r="AI234" s="2593">
        <f t="shared" si="80"/>
        <v>0</v>
      </c>
    </row>
    <row r="235" spans="1:35" s="2218" customFormat="1" ht="30" customHeight="1" thickBot="1">
      <c r="A235" s="2235">
        <v>147</v>
      </c>
      <c r="B235" s="2394">
        <v>2</v>
      </c>
      <c r="C235" s="2395" t="s">
        <v>2084</v>
      </c>
      <c r="D235" s="2396" t="s">
        <v>1317</v>
      </c>
      <c r="E235" s="2397">
        <f>E236</f>
        <v>8906.1648800000039</v>
      </c>
      <c r="F235" s="2398">
        <f>F236</f>
        <v>8906.1648800000039</v>
      </c>
      <c r="G235" s="2399">
        <f t="shared" si="89"/>
        <v>8906.1648800000039</v>
      </c>
      <c r="H235" s="2398">
        <f>H236</f>
        <v>9572.0594389999969</v>
      </c>
      <c r="I235" s="2398">
        <f>I236</f>
        <v>9572.0594389999969</v>
      </c>
      <c r="J235" s="2399">
        <f t="shared" si="90"/>
        <v>9572.0594389999969</v>
      </c>
      <c r="K235" s="2398">
        <f>K236</f>
        <v>17634.528619751436</v>
      </c>
      <c r="L235" s="2398">
        <f>L236</f>
        <v>17634.528619751436</v>
      </c>
      <c r="M235" s="2399">
        <f t="shared" si="91"/>
        <v>17634.528619751436</v>
      </c>
      <c r="N235" s="2397">
        <v>0</v>
      </c>
      <c r="O235" s="2398">
        <f>O236</f>
        <v>11636.694605826026</v>
      </c>
      <c r="P235" s="2399">
        <f>N235/2+O235/2</f>
        <v>5818.3473029130128</v>
      </c>
      <c r="Q235" s="2397">
        <f>Q236</f>
        <v>54978.419820602052</v>
      </c>
      <c r="R235" s="2398">
        <f>R236</f>
        <v>54978.419820602052</v>
      </c>
      <c r="S235" s="2399">
        <f>Q235/2+R235/2</f>
        <v>54978.419820602052</v>
      </c>
      <c r="T235" s="2372">
        <f>T236</f>
        <v>54978.419820602052</v>
      </c>
      <c r="U235" s="2373">
        <f>U236</f>
        <v>66615.114426428074</v>
      </c>
      <c r="V235" s="2399">
        <f t="shared" si="74"/>
        <v>60796.767123515063</v>
      </c>
      <c r="W235" s="2372">
        <f>W236</f>
        <v>11878.137892981787</v>
      </c>
      <c r="X235" s="2373">
        <f>X236</f>
        <v>0</v>
      </c>
      <c r="Y235" s="2399">
        <f t="shared" si="75"/>
        <v>5939.0689464908937</v>
      </c>
      <c r="Z235" s="2372">
        <f>Z236</f>
        <v>43100.281927620264</v>
      </c>
      <c r="AA235" s="2373">
        <f>AA236</f>
        <v>0</v>
      </c>
      <c r="AB235" s="2399">
        <f t="shared" si="76"/>
        <v>21550.140963810132</v>
      </c>
      <c r="AF235" s="2218">
        <f t="shared" si="77"/>
        <v>14392.256407074163</v>
      </c>
      <c r="AG235" s="2593">
        <f t="shared" si="78"/>
        <v>14392.256407074163</v>
      </c>
      <c r="AH235" s="2218">
        <f t="shared" si="79"/>
        <v>52222.858019353902</v>
      </c>
      <c r="AI235" s="2593">
        <f t="shared" si="80"/>
        <v>52222.858019353902</v>
      </c>
    </row>
    <row r="236" spans="1:35" s="2218" customFormat="1" ht="63.75" thickBot="1">
      <c r="A236" s="2235">
        <v>148</v>
      </c>
      <c r="B236" s="2402" t="s">
        <v>1224</v>
      </c>
      <c r="C236" s="2403" t="s">
        <v>2085</v>
      </c>
      <c r="D236" s="2404" t="s">
        <v>1317</v>
      </c>
      <c r="E236" s="2405">
        <f>'[3]НВВ перекачка'!K532</f>
        <v>8906.1648800000039</v>
      </c>
      <c r="F236" s="2406">
        <f>'[3]НВВ перекачка'!L532</f>
        <v>8906.1648800000039</v>
      </c>
      <c r="G236" s="2407">
        <f t="shared" si="89"/>
        <v>8906.1648800000039</v>
      </c>
      <c r="H236" s="2406">
        <f>'[3]НВВ перекачка'!T532</f>
        <v>9572.0594389999969</v>
      </c>
      <c r="I236" s="2406">
        <f>'[3]НВВ перекачка'!U532</f>
        <v>9572.0594389999969</v>
      </c>
      <c r="J236" s="2407">
        <f t="shared" si="90"/>
        <v>9572.0594389999969</v>
      </c>
      <c r="K236" s="2406">
        <f>'[3]НВВ перекачка'!AC532</f>
        <v>17634.528619751436</v>
      </c>
      <c r="L236" s="2406">
        <f>'[3]НВВ перекачка'!AD532</f>
        <v>17634.528619751436</v>
      </c>
      <c r="M236" s="2410">
        <f t="shared" si="91"/>
        <v>17634.528619751436</v>
      </c>
      <c r="N236" s="2284"/>
      <c r="O236" s="2285">
        <v>11636.694605826026</v>
      </c>
      <c r="P236" s="2259">
        <f>N236/2+O236/2</f>
        <v>5818.3473029130128</v>
      </c>
      <c r="Q236" s="2405">
        <v>54978.419820602052</v>
      </c>
      <c r="R236" s="2406">
        <v>54978.419820602052</v>
      </c>
      <c r="S236" s="2259">
        <f>Q236/2+R236/2</f>
        <v>54978.419820602052</v>
      </c>
      <c r="T236" s="2294">
        <f>N236+Q236</f>
        <v>54978.419820602052</v>
      </c>
      <c r="U236" s="2285">
        <f>O236+R236</f>
        <v>66615.114426428074</v>
      </c>
      <c r="V236" s="2268">
        <f t="shared" si="74"/>
        <v>60796.767123515063</v>
      </c>
      <c r="W236" s="2888">
        <f>T236/$T$272*$W$272</f>
        <v>11878.137892981787</v>
      </c>
      <c r="X236" s="2952"/>
      <c r="Y236" s="2268">
        <f t="shared" si="75"/>
        <v>5939.0689464908937</v>
      </c>
      <c r="Z236" s="2888">
        <f t="shared" ref="Z236:Z241" si="93">T236/$T$272*$Z$272</f>
        <v>43100.281927620264</v>
      </c>
      <c r="AA236" s="2952"/>
      <c r="AB236" s="2268">
        <f t="shared" si="76"/>
        <v>21550.140963810132</v>
      </c>
      <c r="AF236" s="2218">
        <f t="shared" si="77"/>
        <v>14392.256407074163</v>
      </c>
      <c r="AG236" s="2593">
        <f t="shared" si="78"/>
        <v>14392.256407074163</v>
      </c>
      <c r="AH236" s="2218">
        <f t="shared" si="79"/>
        <v>52222.858019353902</v>
      </c>
      <c r="AI236" s="2593">
        <f t="shared" si="80"/>
        <v>52222.858019353902</v>
      </c>
    </row>
    <row r="237" spans="1:35" s="2218" customFormat="1" ht="35.25" customHeight="1" thickBot="1">
      <c r="A237" s="2235">
        <v>171</v>
      </c>
      <c r="B237" s="2412">
        <v>15</v>
      </c>
      <c r="C237" s="2318" t="s">
        <v>2088</v>
      </c>
      <c r="D237" s="2379" t="s">
        <v>1128</v>
      </c>
      <c r="E237" s="2070">
        <f>E238+E269</f>
        <v>4050.6323847035328</v>
      </c>
      <c r="F237" s="2413">
        <f>F238+F269</f>
        <v>4050.6323847035328</v>
      </c>
      <c r="G237" s="2071">
        <f t="shared" si="89"/>
        <v>4050.6323847035328</v>
      </c>
      <c r="H237" s="2413">
        <f>H238+H269</f>
        <v>4473.7944253301748</v>
      </c>
      <c r="I237" s="2413">
        <f>I238+I269</f>
        <v>4473.7944253301748</v>
      </c>
      <c r="J237" s="2071">
        <f t="shared" si="90"/>
        <v>4473.7944253301748</v>
      </c>
      <c r="K237" s="2413">
        <f>K238+K269</f>
        <v>3948.0903610391088</v>
      </c>
      <c r="L237" s="2413">
        <f>L238+L269</f>
        <v>3948.0903610391088</v>
      </c>
      <c r="M237" s="2071">
        <f t="shared" si="91"/>
        <v>3948.0903610391088</v>
      </c>
      <c r="N237" s="2413">
        <f>N238+N269</f>
        <v>0</v>
      </c>
      <c r="O237" s="2413">
        <f>O238+O269</f>
        <v>4232.3528670339247</v>
      </c>
      <c r="P237" s="2071">
        <f t="shared" ref="P237:P268" si="94">N237/2+O237/2</f>
        <v>2116.1764335169623</v>
      </c>
      <c r="Q237" s="2413">
        <f>Q238+Q269</f>
        <v>4151.7384345734554</v>
      </c>
      <c r="R237" s="2413">
        <f>R238+R269</f>
        <v>4450.6636018627441</v>
      </c>
      <c r="S237" s="2071">
        <f t="shared" ref="S237:S268" si="95">Q237/2+R237/2</f>
        <v>4301.2010182181002</v>
      </c>
      <c r="T237" s="2070">
        <f>T238+T269</f>
        <v>4151.7384345734554</v>
      </c>
      <c r="U237" s="2413">
        <f t="shared" ref="U237:U242" si="96">O237+R237</f>
        <v>8683.0164688966688</v>
      </c>
      <c r="V237" s="2071">
        <f t="shared" si="74"/>
        <v>6417.3774517350621</v>
      </c>
      <c r="W237" s="2945">
        <f>T237/$T$272*$N$272</f>
        <v>896.9868865342703</v>
      </c>
      <c r="X237" s="2373">
        <f>U237/$T$272*$N$272</f>
        <v>1875.9736507730172</v>
      </c>
      <c r="Y237" s="2374">
        <f t="shared" si="75"/>
        <v>1386.4802686536436</v>
      </c>
      <c r="Z237" s="2945">
        <f t="shared" si="93"/>
        <v>3254.7515480391849</v>
      </c>
      <c r="AA237" s="2373">
        <f>U237/$T$272*$Z$272</f>
        <v>6807.0428181236512</v>
      </c>
      <c r="AB237" s="2946">
        <f t="shared" si="76"/>
        <v>5030.897183081418</v>
      </c>
      <c r="AF237" s="2218">
        <f t="shared" si="77"/>
        <v>1875.9736507730172</v>
      </c>
      <c r="AG237" s="2593">
        <f t="shared" si="78"/>
        <v>0</v>
      </c>
      <c r="AH237" s="2218">
        <f t="shared" si="79"/>
        <v>6807.0428181236512</v>
      </c>
      <c r="AI237" s="2593">
        <f t="shared" si="80"/>
        <v>0</v>
      </c>
    </row>
    <row r="238" spans="1:35" s="2218" customFormat="1" ht="25.5" customHeight="1">
      <c r="A238" s="2235">
        <v>172</v>
      </c>
      <c r="B238" s="2243" t="s">
        <v>2089</v>
      </c>
      <c r="C238" s="2414" t="s">
        <v>105</v>
      </c>
      <c r="D238" s="2245" t="s">
        <v>1128</v>
      </c>
      <c r="E238" s="2246">
        <f>E239+E240+E241</f>
        <v>4050.6323847035328</v>
      </c>
      <c r="F238" s="2247">
        <f>F239+F240+F241</f>
        <v>4050.6323847035328</v>
      </c>
      <c r="G238" s="2248">
        <f t="shared" si="89"/>
        <v>4050.6323847035328</v>
      </c>
      <c r="H238" s="2247">
        <f>H239+H240+H241</f>
        <v>4473.7944253301748</v>
      </c>
      <c r="I238" s="2247">
        <f>I239+I240+I241</f>
        <v>4473.7944253301748</v>
      </c>
      <c r="J238" s="2248">
        <f t="shared" si="90"/>
        <v>4473.7944253301748</v>
      </c>
      <c r="K238" s="2247">
        <f>K239+K240+K241</f>
        <v>3948.0903610391088</v>
      </c>
      <c r="L238" s="2247">
        <f>L239+L240+L241</f>
        <v>3948.0903610391088</v>
      </c>
      <c r="M238" s="2250">
        <f t="shared" si="91"/>
        <v>3948.0903610391088</v>
      </c>
      <c r="N238" s="2247">
        <f>N239+N240+N241</f>
        <v>0</v>
      </c>
      <c r="O238" s="2247">
        <f>O239+O240+O241</f>
        <v>4232.3528670339247</v>
      </c>
      <c r="P238" s="2250">
        <f t="shared" si="94"/>
        <v>2116.1764335169623</v>
      </c>
      <c r="Q238" s="2247">
        <f>Q239+Q240+Q241</f>
        <v>4151.7384345734554</v>
      </c>
      <c r="R238" s="2247">
        <f>R239+R240+R241</f>
        <v>4450.6636018627441</v>
      </c>
      <c r="S238" s="2250">
        <f t="shared" si="95"/>
        <v>4301.2010182181002</v>
      </c>
      <c r="T238" s="2246">
        <f>T239+T240+T241+T242</f>
        <v>4151.7384345734554</v>
      </c>
      <c r="U238" s="2247">
        <f t="shared" si="96"/>
        <v>8683.0164688966688</v>
      </c>
      <c r="V238" s="2268">
        <f t="shared" si="74"/>
        <v>6417.3774517350621</v>
      </c>
      <c r="W238" s="2377">
        <f>T238/$T$272*$N$272</f>
        <v>896.9868865342703</v>
      </c>
      <c r="X238" s="2256">
        <f>U238/$T$272*$N$272</f>
        <v>1875.9736507730172</v>
      </c>
      <c r="Y238" s="2268">
        <f t="shared" si="75"/>
        <v>1386.4802686536436</v>
      </c>
      <c r="Z238" s="2886">
        <f t="shared" si="93"/>
        <v>3254.7515480391849</v>
      </c>
      <c r="AA238" s="2887">
        <f>U238/$T$272*$Z$272</f>
        <v>6807.0428181236512</v>
      </c>
      <c r="AB238" s="2268">
        <f t="shared" si="76"/>
        <v>5030.897183081418</v>
      </c>
      <c r="AF238" s="2218">
        <f t="shared" si="77"/>
        <v>1875.9736507730172</v>
      </c>
      <c r="AG238" s="2593">
        <f t="shared" si="78"/>
        <v>0</v>
      </c>
      <c r="AH238" s="2218">
        <f t="shared" si="79"/>
        <v>6807.0428181236512</v>
      </c>
      <c r="AI238" s="2593">
        <f t="shared" si="80"/>
        <v>0</v>
      </c>
    </row>
    <row r="239" spans="1:35" s="2218" customFormat="1" ht="63">
      <c r="A239" s="2235">
        <v>196</v>
      </c>
      <c r="B239" s="2281" t="s">
        <v>2090</v>
      </c>
      <c r="C239" s="2282" t="s">
        <v>2091</v>
      </c>
      <c r="D239" s="2283" t="s">
        <v>1128</v>
      </c>
      <c r="E239" s="2284">
        <f>'[3]НВВ перекачка'!K537</f>
        <v>4050.6323847035328</v>
      </c>
      <c r="F239" s="2285">
        <f>'[3]НВВ перекачка'!L537</f>
        <v>4050.6323847035328</v>
      </c>
      <c r="G239" s="2257">
        <f t="shared" si="89"/>
        <v>4050.6323847035328</v>
      </c>
      <c r="H239" s="2285">
        <f>'[3]НВВ перекачка'!T537</f>
        <v>4473.7944253301748</v>
      </c>
      <c r="I239" s="2285">
        <f>'[3]НВВ перекачка'!U537</f>
        <v>4473.7944253301748</v>
      </c>
      <c r="J239" s="2257">
        <f t="shared" si="90"/>
        <v>4473.7944253301748</v>
      </c>
      <c r="K239" s="2285">
        <f>'[3]НВВ перекачка'!AC537</f>
        <v>3948.0903610391088</v>
      </c>
      <c r="L239" s="2285">
        <f>'[3]НВВ перекачка'!AD537</f>
        <v>3948.0903610391088</v>
      </c>
      <c r="M239" s="2259">
        <f t="shared" si="91"/>
        <v>3948.0903610391088</v>
      </c>
      <c r="N239" s="2284"/>
      <c r="O239" s="2285">
        <f>L239*1.072</f>
        <v>4232.3528670339247</v>
      </c>
      <c r="P239" s="2259">
        <f t="shared" si="94"/>
        <v>2116.1764335169623</v>
      </c>
      <c r="Q239" s="2294">
        <v>4151.7384345734554</v>
      </c>
      <c r="R239" s="2285">
        <f>Q239*1.072</f>
        <v>4450.6636018627441</v>
      </c>
      <c r="S239" s="2259">
        <f t="shared" si="95"/>
        <v>4301.2010182181002</v>
      </c>
      <c r="T239" s="2294">
        <f>N239+Q239</f>
        <v>4151.7384345734554</v>
      </c>
      <c r="U239" s="2285">
        <f t="shared" si="96"/>
        <v>8683.0164688966688</v>
      </c>
      <c r="V239" s="2268">
        <f t="shared" si="74"/>
        <v>6417.3774517350621</v>
      </c>
      <c r="W239" s="2888">
        <f t="shared" ref="W239:X241" si="97">T239/$T$272*$W$272</f>
        <v>896.9868865342703</v>
      </c>
      <c r="X239" s="2889">
        <f t="shared" si="97"/>
        <v>1875.9736507730172</v>
      </c>
      <c r="Y239" s="2268">
        <f t="shared" si="75"/>
        <v>1386.4802686536436</v>
      </c>
      <c r="Z239" s="2888">
        <f t="shared" si="93"/>
        <v>3254.7515480391849</v>
      </c>
      <c r="AA239" s="2889">
        <f>U239/$T$272*$Z$272</f>
        <v>6807.0428181236512</v>
      </c>
      <c r="AB239" s="2268">
        <f t="shared" si="76"/>
        <v>5030.897183081418</v>
      </c>
      <c r="AF239" s="2218">
        <f t="shared" si="77"/>
        <v>1875.9736507730172</v>
      </c>
      <c r="AG239" s="2593">
        <f t="shared" si="78"/>
        <v>0</v>
      </c>
      <c r="AH239" s="2218">
        <f t="shared" si="79"/>
        <v>6807.0428181236512</v>
      </c>
      <c r="AI239" s="2593">
        <f t="shared" si="80"/>
        <v>0</v>
      </c>
    </row>
    <row r="240" spans="1:35" s="2218" customFormat="1" ht="31.5">
      <c r="A240" s="2235">
        <v>15</v>
      </c>
      <c r="B240" s="2281" t="s">
        <v>2093</v>
      </c>
      <c r="C240" s="2282" t="s">
        <v>2094</v>
      </c>
      <c r="D240" s="2283" t="s">
        <v>1128</v>
      </c>
      <c r="E240" s="2284"/>
      <c r="F240" s="2285"/>
      <c r="G240" s="2257">
        <f t="shared" si="89"/>
        <v>0</v>
      </c>
      <c r="H240" s="2285"/>
      <c r="I240" s="2285"/>
      <c r="J240" s="2257">
        <f t="shared" si="90"/>
        <v>0</v>
      </c>
      <c r="K240" s="2285"/>
      <c r="L240" s="2285"/>
      <c r="M240" s="2259">
        <f t="shared" si="91"/>
        <v>0</v>
      </c>
      <c r="N240" s="2284"/>
      <c r="O240" s="2285"/>
      <c r="P240" s="2259">
        <f t="shared" si="94"/>
        <v>0</v>
      </c>
      <c r="Q240" s="2284">
        <v>0</v>
      </c>
      <c r="R240" s="2285">
        <v>0</v>
      </c>
      <c r="S240" s="2259">
        <f t="shared" si="95"/>
        <v>0</v>
      </c>
      <c r="T240" s="2294">
        <f>N240+Q240</f>
        <v>0</v>
      </c>
      <c r="U240" s="2285">
        <f t="shared" si="96"/>
        <v>0</v>
      </c>
      <c r="V240" s="2268">
        <f t="shared" si="74"/>
        <v>0</v>
      </c>
      <c r="W240" s="2888">
        <f t="shared" si="97"/>
        <v>0</v>
      </c>
      <c r="X240" s="2889">
        <f t="shared" si="97"/>
        <v>0</v>
      </c>
      <c r="Y240" s="2268">
        <f t="shared" si="75"/>
        <v>0</v>
      </c>
      <c r="Z240" s="2888">
        <f t="shared" si="93"/>
        <v>0</v>
      </c>
      <c r="AA240" s="2889">
        <f>U240/$T$272*$Z$272</f>
        <v>0</v>
      </c>
      <c r="AB240" s="2268">
        <f t="shared" si="76"/>
        <v>0</v>
      </c>
      <c r="AF240" s="2218">
        <f t="shared" si="77"/>
        <v>0</v>
      </c>
      <c r="AG240" s="2593">
        <f t="shared" si="78"/>
        <v>0</v>
      </c>
      <c r="AH240" s="2218">
        <f t="shared" si="79"/>
        <v>0</v>
      </c>
      <c r="AI240" s="2593">
        <f t="shared" si="80"/>
        <v>0</v>
      </c>
    </row>
    <row r="241" spans="1:35" s="2218" customFormat="1" ht="21" customHeight="1" thickBot="1">
      <c r="A241" s="2235">
        <v>16</v>
      </c>
      <c r="B241" s="2415" t="s">
        <v>2095</v>
      </c>
      <c r="C241" s="2416" t="s">
        <v>2096</v>
      </c>
      <c r="D241" s="2417" t="s">
        <v>1128</v>
      </c>
      <c r="E241" s="2418">
        <f>E242</f>
        <v>0</v>
      </c>
      <c r="F241" s="2419">
        <f>F242</f>
        <v>0</v>
      </c>
      <c r="G241" s="2257">
        <f t="shared" si="89"/>
        <v>0</v>
      </c>
      <c r="H241" s="2419">
        <f>H242</f>
        <v>0</v>
      </c>
      <c r="I241" s="2419">
        <f>I242</f>
        <v>0</v>
      </c>
      <c r="J241" s="2257">
        <f t="shared" si="90"/>
        <v>0</v>
      </c>
      <c r="K241" s="2419">
        <f>K242</f>
        <v>0</v>
      </c>
      <c r="L241" s="2419">
        <f>L242</f>
        <v>0</v>
      </c>
      <c r="M241" s="2259">
        <f t="shared" si="91"/>
        <v>0</v>
      </c>
      <c r="N241" s="2418">
        <v>0</v>
      </c>
      <c r="O241" s="2419">
        <v>0</v>
      </c>
      <c r="P241" s="2259">
        <f t="shared" si="94"/>
        <v>0</v>
      </c>
      <c r="Q241" s="2418">
        <v>0</v>
      </c>
      <c r="R241" s="2419">
        <v>0</v>
      </c>
      <c r="S241" s="2259">
        <f t="shared" si="95"/>
        <v>0</v>
      </c>
      <c r="T241" s="2294">
        <f>N241+Q241</f>
        <v>0</v>
      </c>
      <c r="U241" s="2285">
        <f t="shared" si="96"/>
        <v>0</v>
      </c>
      <c r="V241" s="2268">
        <f t="shared" si="74"/>
        <v>0</v>
      </c>
      <c r="W241" s="2888">
        <f t="shared" si="97"/>
        <v>0</v>
      </c>
      <c r="X241" s="2889">
        <f t="shared" si="97"/>
        <v>0</v>
      </c>
      <c r="Y241" s="2268">
        <f t="shared" si="75"/>
        <v>0</v>
      </c>
      <c r="Z241" s="2884">
        <f t="shared" si="93"/>
        <v>0</v>
      </c>
      <c r="AA241" s="2885">
        <f>U241/$T$272*$Z$272</f>
        <v>0</v>
      </c>
      <c r="AB241" s="2268">
        <f t="shared" si="76"/>
        <v>0</v>
      </c>
      <c r="AF241" s="2218">
        <f t="shared" si="77"/>
        <v>0</v>
      </c>
      <c r="AG241" s="2593">
        <f t="shared" si="78"/>
        <v>0</v>
      </c>
      <c r="AH241" s="2218">
        <f t="shared" si="79"/>
        <v>0</v>
      </c>
      <c r="AI241" s="2593">
        <f t="shared" si="80"/>
        <v>0</v>
      </c>
    </row>
    <row r="242" spans="1:35" s="2218" customFormat="1" ht="26.25" customHeight="1">
      <c r="A242" s="2235">
        <v>17</v>
      </c>
      <c r="B242" s="2420" t="s">
        <v>2097</v>
      </c>
      <c r="C242" s="2421" t="s">
        <v>2098</v>
      </c>
      <c r="D242" s="2422" t="s">
        <v>1313</v>
      </c>
      <c r="E242" s="2255">
        <f>E243+E244+E245+E246+E247+E248+E249+E250</f>
        <v>0</v>
      </c>
      <c r="F242" s="2256">
        <f>F243+F244+F245+F246+F247+F248+F249+F250</f>
        <v>0</v>
      </c>
      <c r="G242" s="2257">
        <f t="shared" si="89"/>
        <v>0</v>
      </c>
      <c r="H242" s="2256">
        <f>H243+H244+H245+H246+H247+H248+H249+H250</f>
        <v>0</v>
      </c>
      <c r="I242" s="2256">
        <f>I243+I244+I245+I246+I247+I248+I249+I250</f>
        <v>0</v>
      </c>
      <c r="J242" s="2257">
        <f t="shared" si="90"/>
        <v>0</v>
      </c>
      <c r="K242" s="2256">
        <f>K243+K244+K245+K246+K247+K248+K249+K250</f>
        <v>0</v>
      </c>
      <c r="L242" s="2256">
        <f>L243+L244+L245+L246+L247+L248+L249+L250</f>
        <v>0</v>
      </c>
      <c r="M242" s="2259">
        <f t="shared" si="91"/>
        <v>0</v>
      </c>
      <c r="N242" s="2255">
        <v>0</v>
      </c>
      <c r="O242" s="2256">
        <v>0</v>
      </c>
      <c r="P242" s="2259">
        <f t="shared" si="94"/>
        <v>0</v>
      </c>
      <c r="Q242" s="2255">
        <v>0</v>
      </c>
      <c r="R242" s="2256">
        <v>0</v>
      </c>
      <c r="S242" s="2259">
        <f t="shared" si="95"/>
        <v>0</v>
      </c>
      <c r="T242" s="2246">
        <f>N242+Q242</f>
        <v>0</v>
      </c>
      <c r="U242" s="2247">
        <f t="shared" si="96"/>
        <v>0</v>
      </c>
      <c r="V242" s="2267">
        <f t="shared" si="74"/>
        <v>0</v>
      </c>
      <c r="W242" s="2256">
        <f>Q242+T242</f>
        <v>0</v>
      </c>
      <c r="X242" s="2256">
        <f>R242+U242</f>
        <v>0</v>
      </c>
      <c r="Y242" s="2268">
        <f t="shared" si="75"/>
        <v>0</v>
      </c>
      <c r="Z242" s="2246">
        <f>T242+W242</f>
        <v>0</v>
      </c>
      <c r="AA242" s="2247">
        <f>U242+X242</f>
        <v>0</v>
      </c>
      <c r="AB242" s="2268">
        <f t="shared" si="76"/>
        <v>0</v>
      </c>
      <c r="AF242" s="2218">
        <f t="shared" si="77"/>
        <v>0</v>
      </c>
      <c r="AG242" s="2593">
        <f t="shared" si="78"/>
        <v>0</v>
      </c>
      <c r="AH242" s="2218">
        <f t="shared" si="79"/>
        <v>0</v>
      </c>
      <c r="AI242" s="2593">
        <f t="shared" si="80"/>
        <v>0</v>
      </c>
    </row>
    <row r="243" spans="1:35" s="2218" customFormat="1" ht="26.25" hidden="1" customHeight="1">
      <c r="A243" s="2235">
        <v>18</v>
      </c>
      <c r="B243" s="2423" t="s">
        <v>2099</v>
      </c>
      <c r="C243" s="2424" t="s">
        <v>2100</v>
      </c>
      <c r="D243" s="2425" t="s">
        <v>1128</v>
      </c>
      <c r="E243" s="2284"/>
      <c r="F243" s="2285"/>
      <c r="G243" s="2257">
        <f t="shared" si="89"/>
        <v>0</v>
      </c>
      <c r="H243" s="2285"/>
      <c r="I243" s="2285"/>
      <c r="J243" s="2257">
        <f t="shared" si="90"/>
        <v>0</v>
      </c>
      <c r="K243" s="2285"/>
      <c r="L243" s="2285"/>
      <c r="M243" s="2259">
        <f t="shared" si="91"/>
        <v>0</v>
      </c>
      <c r="N243" s="2284"/>
      <c r="O243" s="2285"/>
      <c r="P243" s="2259">
        <f t="shared" si="94"/>
        <v>0</v>
      </c>
      <c r="Q243" s="2284">
        <v>0</v>
      </c>
      <c r="R243" s="2285">
        <v>0</v>
      </c>
      <c r="S243" s="2259">
        <f t="shared" si="95"/>
        <v>0</v>
      </c>
      <c r="T243" s="2284">
        <v>0</v>
      </c>
      <c r="U243" s="2285">
        <v>0</v>
      </c>
      <c r="V243" s="2268">
        <f t="shared" si="74"/>
        <v>0</v>
      </c>
      <c r="W243" s="2284">
        <v>0</v>
      </c>
      <c r="X243" s="2285">
        <v>0</v>
      </c>
      <c r="Y243" s="2268">
        <f t="shared" si="75"/>
        <v>0</v>
      </c>
      <c r="Z243" s="2284">
        <v>0</v>
      </c>
      <c r="AA243" s="2285">
        <v>0</v>
      </c>
      <c r="AB243" s="2268">
        <f t="shared" si="76"/>
        <v>0</v>
      </c>
      <c r="AF243" s="2218">
        <f t="shared" si="77"/>
        <v>0</v>
      </c>
      <c r="AG243" s="2593">
        <f t="shared" si="78"/>
        <v>0</v>
      </c>
      <c r="AH243" s="2218">
        <f t="shared" si="79"/>
        <v>0</v>
      </c>
      <c r="AI243" s="2593">
        <f t="shared" si="80"/>
        <v>0</v>
      </c>
    </row>
    <row r="244" spans="1:35" s="2218" customFormat="1" ht="24" hidden="1" customHeight="1">
      <c r="A244" s="2235">
        <v>19</v>
      </c>
      <c r="B244" s="2423" t="s">
        <v>2101</v>
      </c>
      <c r="C244" s="2424" t="s">
        <v>2102</v>
      </c>
      <c r="D244" s="2425" t="s">
        <v>1313</v>
      </c>
      <c r="E244" s="2284"/>
      <c r="F244" s="2285"/>
      <c r="G244" s="2257">
        <f t="shared" si="89"/>
        <v>0</v>
      </c>
      <c r="H244" s="2285"/>
      <c r="I244" s="2285"/>
      <c r="J244" s="2257">
        <f t="shared" si="90"/>
        <v>0</v>
      </c>
      <c r="K244" s="2285"/>
      <c r="L244" s="2285"/>
      <c r="M244" s="2259">
        <f t="shared" si="91"/>
        <v>0</v>
      </c>
      <c r="N244" s="2284"/>
      <c r="O244" s="2285"/>
      <c r="P244" s="2259">
        <f t="shared" si="94"/>
        <v>0</v>
      </c>
      <c r="Q244" s="2284">
        <v>0</v>
      </c>
      <c r="R244" s="2285">
        <v>0</v>
      </c>
      <c r="S244" s="2259">
        <f t="shared" si="95"/>
        <v>0</v>
      </c>
      <c r="T244" s="2284">
        <v>0</v>
      </c>
      <c r="U244" s="2285">
        <v>0</v>
      </c>
      <c r="V244" s="2268">
        <f t="shared" si="74"/>
        <v>0</v>
      </c>
      <c r="W244" s="2284">
        <v>0</v>
      </c>
      <c r="X244" s="2285">
        <v>0</v>
      </c>
      <c r="Y244" s="2268">
        <f t="shared" si="75"/>
        <v>0</v>
      </c>
      <c r="Z244" s="2284">
        <v>0</v>
      </c>
      <c r="AA244" s="2285">
        <v>0</v>
      </c>
      <c r="AB244" s="2268">
        <f t="shared" si="76"/>
        <v>0</v>
      </c>
      <c r="AF244" s="2218">
        <f t="shared" si="77"/>
        <v>0</v>
      </c>
      <c r="AG244" s="2593">
        <f t="shared" si="78"/>
        <v>0</v>
      </c>
      <c r="AH244" s="2218">
        <f t="shared" si="79"/>
        <v>0</v>
      </c>
      <c r="AI244" s="2593">
        <f t="shared" si="80"/>
        <v>0</v>
      </c>
    </row>
    <row r="245" spans="1:35" s="2218" customFormat="1" ht="16.5" customHeight="1">
      <c r="A245" s="2235">
        <v>20</v>
      </c>
      <c r="B245" s="2423" t="s">
        <v>2103</v>
      </c>
      <c r="C245" s="2424" t="s">
        <v>2104</v>
      </c>
      <c r="D245" s="2425" t="s">
        <v>1128</v>
      </c>
      <c r="E245" s="2284"/>
      <c r="F245" s="2285"/>
      <c r="G245" s="2257">
        <f t="shared" si="89"/>
        <v>0</v>
      </c>
      <c r="H245" s="2285"/>
      <c r="I245" s="2285"/>
      <c r="J245" s="2257">
        <f t="shared" si="90"/>
        <v>0</v>
      </c>
      <c r="K245" s="2285"/>
      <c r="L245" s="2285"/>
      <c r="M245" s="2259">
        <f t="shared" si="91"/>
        <v>0</v>
      </c>
      <c r="N245" s="2284"/>
      <c r="O245" s="2285"/>
      <c r="P245" s="2259">
        <f t="shared" si="94"/>
        <v>0</v>
      </c>
      <c r="Q245" s="2294">
        <v>0</v>
      </c>
      <c r="R245" s="2285">
        <v>0</v>
      </c>
      <c r="S245" s="2259">
        <f t="shared" si="95"/>
        <v>0</v>
      </c>
      <c r="T245" s="2294">
        <f t="shared" ref="T245:U258" si="98">N245+Q245</f>
        <v>0</v>
      </c>
      <c r="U245" s="2285">
        <f t="shared" si="98"/>
        <v>0</v>
      </c>
      <c r="V245" s="2268">
        <f t="shared" si="74"/>
        <v>0</v>
      </c>
      <c r="W245" s="2294">
        <f t="shared" ref="W245:X268" si="99">Q245+T245</f>
        <v>0</v>
      </c>
      <c r="X245" s="2285">
        <f t="shared" si="99"/>
        <v>0</v>
      </c>
      <c r="Y245" s="2268">
        <f t="shared" si="75"/>
        <v>0</v>
      </c>
      <c r="Z245" s="2294">
        <f t="shared" ref="Z245:AA268" si="100">T245+W245</f>
        <v>0</v>
      </c>
      <c r="AA245" s="2285">
        <f t="shared" si="100"/>
        <v>0</v>
      </c>
      <c r="AB245" s="2268">
        <f t="shared" si="76"/>
        <v>0</v>
      </c>
      <c r="AF245" s="2218">
        <f t="shared" si="77"/>
        <v>0</v>
      </c>
      <c r="AG245" s="2593">
        <f t="shared" si="78"/>
        <v>0</v>
      </c>
      <c r="AH245" s="2218">
        <f t="shared" si="79"/>
        <v>0</v>
      </c>
      <c r="AI245" s="2593">
        <f t="shared" si="80"/>
        <v>0</v>
      </c>
    </row>
    <row r="246" spans="1:35" s="2218" customFormat="1" ht="18" customHeight="1">
      <c r="A246" s="2235">
        <v>21</v>
      </c>
      <c r="B246" s="2423" t="s">
        <v>2105</v>
      </c>
      <c r="C246" s="2424" t="s">
        <v>2106</v>
      </c>
      <c r="D246" s="2425" t="s">
        <v>1128</v>
      </c>
      <c r="E246" s="2284"/>
      <c r="F246" s="2285"/>
      <c r="G246" s="2257">
        <f t="shared" si="89"/>
        <v>0</v>
      </c>
      <c r="H246" s="2285"/>
      <c r="I246" s="2285"/>
      <c r="J246" s="2257">
        <f t="shared" si="90"/>
        <v>0</v>
      </c>
      <c r="K246" s="2285"/>
      <c r="L246" s="2285"/>
      <c r="M246" s="2259">
        <f t="shared" si="91"/>
        <v>0</v>
      </c>
      <c r="N246" s="2284"/>
      <c r="O246" s="2285"/>
      <c r="P246" s="2259">
        <f t="shared" si="94"/>
        <v>0</v>
      </c>
      <c r="Q246" s="2284">
        <v>0</v>
      </c>
      <c r="R246" s="2285">
        <v>0</v>
      </c>
      <c r="S246" s="2259">
        <f t="shared" si="95"/>
        <v>0</v>
      </c>
      <c r="T246" s="2294">
        <f t="shared" si="98"/>
        <v>0</v>
      </c>
      <c r="U246" s="2285">
        <f t="shared" si="98"/>
        <v>0</v>
      </c>
      <c r="V246" s="2268">
        <f t="shared" si="74"/>
        <v>0</v>
      </c>
      <c r="W246" s="2294">
        <f t="shared" si="99"/>
        <v>0</v>
      </c>
      <c r="X246" s="2285">
        <f t="shared" si="99"/>
        <v>0</v>
      </c>
      <c r="Y246" s="2268">
        <f t="shared" si="75"/>
        <v>0</v>
      </c>
      <c r="Z246" s="2294">
        <f t="shared" si="100"/>
        <v>0</v>
      </c>
      <c r="AA246" s="2285">
        <f t="shared" si="100"/>
        <v>0</v>
      </c>
      <c r="AB246" s="2268">
        <f t="shared" si="76"/>
        <v>0</v>
      </c>
      <c r="AF246" s="2218">
        <f t="shared" si="77"/>
        <v>0</v>
      </c>
      <c r="AG246" s="2593">
        <f t="shared" si="78"/>
        <v>0</v>
      </c>
      <c r="AH246" s="2218">
        <f t="shared" si="79"/>
        <v>0</v>
      </c>
      <c r="AI246" s="2593">
        <f t="shared" si="80"/>
        <v>0</v>
      </c>
    </row>
    <row r="247" spans="1:35" s="2218" customFormat="1" ht="18" customHeight="1">
      <c r="A247" s="2235">
        <v>40</v>
      </c>
      <c r="B247" s="2423" t="s">
        <v>2107</v>
      </c>
      <c r="C247" s="2424" t="s">
        <v>2108</v>
      </c>
      <c r="D247" s="2425" t="s">
        <v>1128</v>
      </c>
      <c r="E247" s="2284"/>
      <c r="F247" s="2285"/>
      <c r="G247" s="2257">
        <f t="shared" si="89"/>
        <v>0</v>
      </c>
      <c r="H247" s="2285"/>
      <c r="I247" s="2285"/>
      <c r="J247" s="2257">
        <f t="shared" si="90"/>
        <v>0</v>
      </c>
      <c r="K247" s="2285"/>
      <c r="L247" s="2285"/>
      <c r="M247" s="2259">
        <f t="shared" si="91"/>
        <v>0</v>
      </c>
      <c r="N247" s="2284"/>
      <c r="O247" s="2285"/>
      <c r="P247" s="2259">
        <f t="shared" si="94"/>
        <v>0</v>
      </c>
      <c r="Q247" s="2284">
        <v>0</v>
      </c>
      <c r="R247" s="2285">
        <v>0</v>
      </c>
      <c r="S247" s="2259">
        <f t="shared" si="95"/>
        <v>0</v>
      </c>
      <c r="T247" s="2294">
        <f t="shared" si="98"/>
        <v>0</v>
      </c>
      <c r="U247" s="2285">
        <f t="shared" si="98"/>
        <v>0</v>
      </c>
      <c r="V247" s="2268">
        <f t="shared" si="74"/>
        <v>0</v>
      </c>
      <c r="W247" s="2294">
        <f t="shared" si="99"/>
        <v>0</v>
      </c>
      <c r="X247" s="2285">
        <f t="shared" si="99"/>
        <v>0</v>
      </c>
      <c r="Y247" s="2268">
        <f t="shared" si="75"/>
        <v>0</v>
      </c>
      <c r="Z247" s="2294">
        <f t="shared" si="100"/>
        <v>0</v>
      </c>
      <c r="AA247" s="2285">
        <f t="shared" si="100"/>
        <v>0</v>
      </c>
      <c r="AB247" s="2268">
        <f t="shared" si="76"/>
        <v>0</v>
      </c>
      <c r="AF247" s="2218">
        <f t="shared" si="77"/>
        <v>0</v>
      </c>
      <c r="AG247" s="2593">
        <f t="shared" si="78"/>
        <v>0</v>
      </c>
      <c r="AH247" s="2218">
        <f t="shared" si="79"/>
        <v>0</v>
      </c>
      <c r="AI247" s="2593">
        <f t="shared" si="80"/>
        <v>0</v>
      </c>
    </row>
    <row r="248" spans="1:35" s="2218" customFormat="1" ht="22.5" customHeight="1">
      <c r="A248" s="2235">
        <v>41</v>
      </c>
      <c r="B248" s="2423" t="s">
        <v>2109</v>
      </c>
      <c r="C248" s="2424" t="s">
        <v>2110</v>
      </c>
      <c r="D248" s="2425" t="s">
        <v>1128</v>
      </c>
      <c r="E248" s="2284"/>
      <c r="F248" s="2285"/>
      <c r="G248" s="2257">
        <f t="shared" si="89"/>
        <v>0</v>
      </c>
      <c r="H248" s="2285"/>
      <c r="I248" s="2285"/>
      <c r="J248" s="2257">
        <f t="shared" si="90"/>
        <v>0</v>
      </c>
      <c r="K248" s="2285"/>
      <c r="L248" s="2285"/>
      <c r="M248" s="2259">
        <f t="shared" si="91"/>
        <v>0</v>
      </c>
      <c r="N248" s="2284"/>
      <c r="O248" s="2285"/>
      <c r="P248" s="2259">
        <f t="shared" si="94"/>
        <v>0</v>
      </c>
      <c r="Q248" s="2284">
        <v>0</v>
      </c>
      <c r="R248" s="2285">
        <v>0</v>
      </c>
      <c r="S248" s="2259">
        <f t="shared" si="95"/>
        <v>0</v>
      </c>
      <c r="T248" s="2294">
        <f t="shared" si="98"/>
        <v>0</v>
      </c>
      <c r="U248" s="2285">
        <f t="shared" si="98"/>
        <v>0</v>
      </c>
      <c r="V248" s="2268">
        <f t="shared" si="74"/>
        <v>0</v>
      </c>
      <c r="W248" s="2294">
        <f t="shared" si="99"/>
        <v>0</v>
      </c>
      <c r="X248" s="2285">
        <f t="shared" si="99"/>
        <v>0</v>
      </c>
      <c r="Y248" s="2268">
        <f t="shared" si="75"/>
        <v>0</v>
      </c>
      <c r="Z248" s="2294">
        <f t="shared" si="100"/>
        <v>0</v>
      </c>
      <c r="AA248" s="2285">
        <f t="shared" si="100"/>
        <v>0</v>
      </c>
      <c r="AB248" s="2268">
        <f t="shared" si="76"/>
        <v>0</v>
      </c>
      <c r="AF248" s="2218">
        <f t="shared" si="77"/>
        <v>0</v>
      </c>
      <c r="AG248" s="2593">
        <f t="shared" si="78"/>
        <v>0</v>
      </c>
      <c r="AH248" s="2218">
        <f t="shared" si="79"/>
        <v>0</v>
      </c>
      <c r="AI248" s="2593">
        <f t="shared" si="80"/>
        <v>0</v>
      </c>
    </row>
    <row r="249" spans="1:35" s="2218" customFormat="1" ht="18.75" customHeight="1">
      <c r="A249" s="2235">
        <v>42</v>
      </c>
      <c r="B249" s="2423" t="s">
        <v>2111</v>
      </c>
      <c r="C249" s="2424" t="s">
        <v>2112</v>
      </c>
      <c r="D249" s="2425" t="s">
        <v>1128</v>
      </c>
      <c r="E249" s="2284"/>
      <c r="F249" s="2285"/>
      <c r="G249" s="2257">
        <f t="shared" si="89"/>
        <v>0</v>
      </c>
      <c r="H249" s="2285"/>
      <c r="I249" s="2285"/>
      <c r="J249" s="2257">
        <f t="shared" si="90"/>
        <v>0</v>
      </c>
      <c r="K249" s="2285"/>
      <c r="L249" s="2285"/>
      <c r="M249" s="2259">
        <f t="shared" si="91"/>
        <v>0</v>
      </c>
      <c r="N249" s="2284"/>
      <c r="O249" s="2285"/>
      <c r="P249" s="2259">
        <f t="shared" si="94"/>
        <v>0</v>
      </c>
      <c r="Q249" s="2284">
        <v>0</v>
      </c>
      <c r="R249" s="2285">
        <v>0</v>
      </c>
      <c r="S249" s="2259">
        <f t="shared" si="95"/>
        <v>0</v>
      </c>
      <c r="T249" s="2294">
        <f t="shared" si="98"/>
        <v>0</v>
      </c>
      <c r="U249" s="2285">
        <f t="shared" si="98"/>
        <v>0</v>
      </c>
      <c r="V249" s="2268">
        <f t="shared" si="74"/>
        <v>0</v>
      </c>
      <c r="W249" s="2294">
        <f t="shared" si="99"/>
        <v>0</v>
      </c>
      <c r="X249" s="2285">
        <f t="shared" si="99"/>
        <v>0</v>
      </c>
      <c r="Y249" s="2268">
        <f t="shared" si="75"/>
        <v>0</v>
      </c>
      <c r="Z249" s="2294">
        <f t="shared" si="100"/>
        <v>0</v>
      </c>
      <c r="AA249" s="2285">
        <f t="shared" si="100"/>
        <v>0</v>
      </c>
      <c r="AB249" s="2268">
        <f t="shared" si="76"/>
        <v>0</v>
      </c>
      <c r="AF249" s="2218">
        <f t="shared" si="77"/>
        <v>0</v>
      </c>
      <c r="AG249" s="2593">
        <f t="shared" si="78"/>
        <v>0</v>
      </c>
      <c r="AH249" s="2218">
        <f t="shared" si="79"/>
        <v>0</v>
      </c>
      <c r="AI249" s="2593">
        <f t="shared" si="80"/>
        <v>0</v>
      </c>
    </row>
    <row r="250" spans="1:35" s="2218" customFormat="1" ht="18.75" customHeight="1">
      <c r="A250" s="2235">
        <v>43</v>
      </c>
      <c r="B250" s="2423" t="s">
        <v>2113</v>
      </c>
      <c r="C250" s="2424" t="s">
        <v>2106</v>
      </c>
      <c r="D250" s="2425" t="s">
        <v>1128</v>
      </c>
      <c r="E250" s="2284"/>
      <c r="F250" s="2285"/>
      <c r="G250" s="2257">
        <f t="shared" si="89"/>
        <v>0</v>
      </c>
      <c r="H250" s="2285"/>
      <c r="I250" s="2285"/>
      <c r="J250" s="2257">
        <f t="shared" si="90"/>
        <v>0</v>
      </c>
      <c r="K250" s="2285"/>
      <c r="L250" s="2285"/>
      <c r="M250" s="2259">
        <f t="shared" si="91"/>
        <v>0</v>
      </c>
      <c r="N250" s="2284"/>
      <c r="O250" s="2285"/>
      <c r="P250" s="2259">
        <f t="shared" si="94"/>
        <v>0</v>
      </c>
      <c r="Q250" s="2284">
        <v>0</v>
      </c>
      <c r="R250" s="2285">
        <v>0</v>
      </c>
      <c r="S250" s="2259">
        <f t="shared" si="95"/>
        <v>0</v>
      </c>
      <c r="T250" s="2294">
        <f t="shared" si="98"/>
        <v>0</v>
      </c>
      <c r="U250" s="2285">
        <f t="shared" si="98"/>
        <v>0</v>
      </c>
      <c r="V250" s="2268">
        <f t="shared" si="74"/>
        <v>0</v>
      </c>
      <c r="W250" s="2294">
        <f t="shared" si="99"/>
        <v>0</v>
      </c>
      <c r="X250" s="2285">
        <f t="shared" si="99"/>
        <v>0</v>
      </c>
      <c r="Y250" s="2268">
        <f t="shared" si="75"/>
        <v>0</v>
      </c>
      <c r="Z250" s="2294">
        <f t="shared" si="100"/>
        <v>0</v>
      </c>
      <c r="AA250" s="2285">
        <f t="shared" si="100"/>
        <v>0</v>
      </c>
      <c r="AB250" s="2268">
        <f t="shared" si="76"/>
        <v>0</v>
      </c>
      <c r="AF250" s="2218">
        <f t="shared" si="77"/>
        <v>0</v>
      </c>
      <c r="AG250" s="2593">
        <f t="shared" si="78"/>
        <v>0</v>
      </c>
      <c r="AH250" s="2218">
        <f t="shared" si="79"/>
        <v>0</v>
      </c>
      <c r="AI250" s="2593">
        <f t="shared" si="80"/>
        <v>0</v>
      </c>
    </row>
    <row r="251" spans="1:35" s="2218" customFormat="1" ht="32.25" customHeight="1">
      <c r="A251" s="2235">
        <v>22</v>
      </c>
      <c r="B251" s="2423" t="s">
        <v>2114</v>
      </c>
      <c r="C251" s="2426" t="s">
        <v>2115</v>
      </c>
      <c r="D251" s="2425" t="s">
        <v>1128</v>
      </c>
      <c r="E251" s="2255">
        <f>E252+E255+E259</f>
        <v>0</v>
      </c>
      <c r="F251" s="2256">
        <f>F252+F255+F259</f>
        <v>0</v>
      </c>
      <c r="G251" s="2257">
        <f t="shared" si="89"/>
        <v>0</v>
      </c>
      <c r="H251" s="2256">
        <f>H252+H255+H259</f>
        <v>0</v>
      </c>
      <c r="I251" s="2256">
        <f>I252+I255+I259</f>
        <v>0</v>
      </c>
      <c r="J251" s="2257">
        <f t="shared" si="90"/>
        <v>0</v>
      </c>
      <c r="K251" s="2256">
        <f>K252+K255+K259</f>
        <v>0</v>
      </c>
      <c r="L251" s="2256">
        <f>L252+L255+L259</f>
        <v>0</v>
      </c>
      <c r="M251" s="2259">
        <f t="shared" si="91"/>
        <v>0</v>
      </c>
      <c r="N251" s="2255">
        <v>0</v>
      </c>
      <c r="O251" s="2256">
        <v>0</v>
      </c>
      <c r="P251" s="2259">
        <f t="shared" si="94"/>
        <v>0</v>
      </c>
      <c r="Q251" s="2255">
        <v>0</v>
      </c>
      <c r="R251" s="2256">
        <v>0</v>
      </c>
      <c r="S251" s="2259">
        <f t="shared" si="95"/>
        <v>0</v>
      </c>
      <c r="T251" s="2246">
        <f t="shared" si="98"/>
        <v>0</v>
      </c>
      <c r="U251" s="2247">
        <f t="shared" si="98"/>
        <v>0</v>
      </c>
      <c r="V251" s="2268">
        <f t="shared" si="74"/>
        <v>0</v>
      </c>
      <c r="W251" s="2246">
        <f t="shared" si="99"/>
        <v>0</v>
      </c>
      <c r="X251" s="2247">
        <f t="shared" si="99"/>
        <v>0</v>
      </c>
      <c r="Y251" s="2268">
        <f t="shared" si="75"/>
        <v>0</v>
      </c>
      <c r="Z251" s="2246">
        <f t="shared" si="100"/>
        <v>0</v>
      </c>
      <c r="AA251" s="2247">
        <f t="shared" si="100"/>
        <v>0</v>
      </c>
      <c r="AB251" s="2268">
        <f t="shared" si="76"/>
        <v>0</v>
      </c>
      <c r="AF251" s="2218">
        <f t="shared" si="77"/>
        <v>0</v>
      </c>
      <c r="AG251" s="2593">
        <f t="shared" si="78"/>
        <v>0</v>
      </c>
      <c r="AH251" s="2218">
        <f t="shared" si="79"/>
        <v>0</v>
      </c>
      <c r="AI251" s="2593">
        <f t="shared" si="80"/>
        <v>0</v>
      </c>
    </row>
    <row r="252" spans="1:35" s="2218" customFormat="1" ht="24" customHeight="1">
      <c r="A252" s="2235">
        <v>23</v>
      </c>
      <c r="B252" s="2423" t="s">
        <v>2116</v>
      </c>
      <c r="C252" s="2427" t="s">
        <v>2084</v>
      </c>
      <c r="D252" s="2425" t="s">
        <v>1128</v>
      </c>
      <c r="E252" s="2255">
        <f>E253+E254</f>
        <v>0</v>
      </c>
      <c r="F252" s="2256">
        <f>F253+F254</f>
        <v>0</v>
      </c>
      <c r="G252" s="2257">
        <f t="shared" si="89"/>
        <v>0</v>
      </c>
      <c r="H252" s="2256">
        <f>H253+H254</f>
        <v>0</v>
      </c>
      <c r="I252" s="2256">
        <f>I253+I254</f>
        <v>0</v>
      </c>
      <c r="J252" s="2257">
        <f t="shared" si="90"/>
        <v>0</v>
      </c>
      <c r="K252" s="2256">
        <f>K253+K254</f>
        <v>0</v>
      </c>
      <c r="L252" s="2256">
        <f>L253+L254</f>
        <v>0</v>
      </c>
      <c r="M252" s="2259">
        <f t="shared" si="91"/>
        <v>0</v>
      </c>
      <c r="N252" s="2255">
        <v>0</v>
      </c>
      <c r="O252" s="2256">
        <v>0</v>
      </c>
      <c r="P252" s="2259">
        <f t="shared" si="94"/>
        <v>0</v>
      </c>
      <c r="Q252" s="2255">
        <v>0</v>
      </c>
      <c r="R252" s="2256">
        <v>0</v>
      </c>
      <c r="S252" s="2259">
        <f t="shared" si="95"/>
        <v>0</v>
      </c>
      <c r="T252" s="2246">
        <f t="shared" si="98"/>
        <v>0</v>
      </c>
      <c r="U252" s="2247">
        <f t="shared" si="98"/>
        <v>0</v>
      </c>
      <c r="V252" s="2268">
        <f t="shared" si="74"/>
        <v>0</v>
      </c>
      <c r="W252" s="2246">
        <f t="shared" si="99"/>
        <v>0</v>
      </c>
      <c r="X252" s="2247">
        <f t="shared" si="99"/>
        <v>0</v>
      </c>
      <c r="Y252" s="2268">
        <f t="shared" si="75"/>
        <v>0</v>
      </c>
      <c r="Z252" s="2246">
        <f t="shared" si="100"/>
        <v>0</v>
      </c>
      <c r="AA252" s="2247">
        <f t="shared" si="100"/>
        <v>0</v>
      </c>
      <c r="AB252" s="2268">
        <f t="shared" si="76"/>
        <v>0</v>
      </c>
      <c r="AF252" s="2218">
        <f t="shared" si="77"/>
        <v>0</v>
      </c>
      <c r="AG252" s="2593">
        <f t="shared" si="78"/>
        <v>0</v>
      </c>
      <c r="AH252" s="2218">
        <f t="shared" si="79"/>
        <v>0</v>
      </c>
      <c r="AI252" s="2593">
        <f t="shared" si="80"/>
        <v>0</v>
      </c>
    </row>
    <row r="253" spans="1:35" s="2218" customFormat="1" ht="25.5" customHeight="1">
      <c r="A253" s="2235">
        <v>24</v>
      </c>
      <c r="B253" s="2423" t="s">
        <v>2117</v>
      </c>
      <c r="C253" s="2424" t="s">
        <v>2118</v>
      </c>
      <c r="D253" s="2425" t="s">
        <v>1128</v>
      </c>
      <c r="E253" s="2284"/>
      <c r="F253" s="2285"/>
      <c r="G253" s="2257">
        <f t="shared" si="89"/>
        <v>0</v>
      </c>
      <c r="H253" s="2285"/>
      <c r="I253" s="2285"/>
      <c r="J253" s="2257">
        <f t="shared" si="90"/>
        <v>0</v>
      </c>
      <c r="K253" s="2285"/>
      <c r="L253" s="2285"/>
      <c r="M253" s="2259">
        <f t="shared" si="91"/>
        <v>0</v>
      </c>
      <c r="N253" s="2284"/>
      <c r="O253" s="2285"/>
      <c r="P253" s="2259">
        <f t="shared" si="94"/>
        <v>0</v>
      </c>
      <c r="Q253" s="2284">
        <v>0</v>
      </c>
      <c r="R253" s="2285">
        <v>0</v>
      </c>
      <c r="S253" s="2259">
        <f t="shared" si="95"/>
        <v>0</v>
      </c>
      <c r="T253" s="2294">
        <f t="shared" si="98"/>
        <v>0</v>
      </c>
      <c r="U253" s="2285">
        <f t="shared" si="98"/>
        <v>0</v>
      </c>
      <c r="V253" s="2268">
        <f t="shared" si="74"/>
        <v>0</v>
      </c>
      <c r="W253" s="2294">
        <f t="shared" si="99"/>
        <v>0</v>
      </c>
      <c r="X253" s="2285">
        <f t="shared" si="99"/>
        <v>0</v>
      </c>
      <c r="Y253" s="2268">
        <f t="shared" si="75"/>
        <v>0</v>
      </c>
      <c r="Z253" s="2294">
        <f t="shared" si="100"/>
        <v>0</v>
      </c>
      <c r="AA253" s="2285">
        <f t="shared" si="100"/>
        <v>0</v>
      </c>
      <c r="AB253" s="2268">
        <f t="shared" si="76"/>
        <v>0</v>
      </c>
      <c r="AF253" s="2218">
        <f t="shared" si="77"/>
        <v>0</v>
      </c>
      <c r="AG253" s="2593">
        <f t="shared" si="78"/>
        <v>0</v>
      </c>
      <c r="AH253" s="2218">
        <f t="shared" si="79"/>
        <v>0</v>
      </c>
      <c r="AI253" s="2593">
        <f t="shared" si="80"/>
        <v>0</v>
      </c>
    </row>
    <row r="254" spans="1:35" s="2218" customFormat="1" ht="15.75" customHeight="1">
      <c r="A254" s="2235">
        <v>38</v>
      </c>
      <c r="B254" s="2423"/>
      <c r="C254" s="2424" t="s">
        <v>2119</v>
      </c>
      <c r="D254" s="2425" t="s">
        <v>1128</v>
      </c>
      <c r="E254" s="2284"/>
      <c r="F254" s="2285"/>
      <c r="G254" s="2257">
        <f t="shared" si="89"/>
        <v>0</v>
      </c>
      <c r="H254" s="2285"/>
      <c r="I254" s="2285"/>
      <c r="J254" s="2257">
        <f t="shared" si="90"/>
        <v>0</v>
      </c>
      <c r="K254" s="2285"/>
      <c r="L254" s="2285"/>
      <c r="M254" s="2259">
        <f t="shared" si="91"/>
        <v>0</v>
      </c>
      <c r="N254" s="2284"/>
      <c r="O254" s="2285"/>
      <c r="P254" s="2259">
        <f t="shared" si="94"/>
        <v>0</v>
      </c>
      <c r="Q254" s="2284">
        <v>0</v>
      </c>
      <c r="R254" s="2285">
        <v>0</v>
      </c>
      <c r="S254" s="2259">
        <f t="shared" si="95"/>
        <v>0</v>
      </c>
      <c r="T254" s="2294">
        <f t="shared" si="98"/>
        <v>0</v>
      </c>
      <c r="U254" s="2285">
        <f t="shared" si="98"/>
        <v>0</v>
      </c>
      <c r="V254" s="2268">
        <f t="shared" si="74"/>
        <v>0</v>
      </c>
      <c r="W254" s="2294">
        <f t="shared" si="99"/>
        <v>0</v>
      </c>
      <c r="X254" s="2285">
        <f t="shared" si="99"/>
        <v>0</v>
      </c>
      <c r="Y254" s="2268">
        <f t="shared" si="75"/>
        <v>0</v>
      </c>
      <c r="Z254" s="2294">
        <f t="shared" si="100"/>
        <v>0</v>
      </c>
      <c r="AA254" s="2285">
        <f t="shared" si="100"/>
        <v>0</v>
      </c>
      <c r="AB254" s="2268">
        <f t="shared" si="76"/>
        <v>0</v>
      </c>
      <c r="AF254" s="2218">
        <f t="shared" si="77"/>
        <v>0</v>
      </c>
      <c r="AG254" s="2593">
        <f t="shared" si="78"/>
        <v>0</v>
      </c>
      <c r="AH254" s="2218">
        <f t="shared" si="79"/>
        <v>0</v>
      </c>
      <c r="AI254" s="2593">
        <f t="shared" si="80"/>
        <v>0</v>
      </c>
    </row>
    <row r="255" spans="1:35" s="2218" customFormat="1" ht="22.5" customHeight="1">
      <c r="A255" s="2235">
        <v>25</v>
      </c>
      <c r="B255" s="2423" t="s">
        <v>2120</v>
      </c>
      <c r="C255" s="2427" t="s">
        <v>2088</v>
      </c>
      <c r="D255" s="2425" t="s">
        <v>1128</v>
      </c>
      <c r="E255" s="2255">
        <f>E256+E257+E258</f>
        <v>0</v>
      </c>
      <c r="F255" s="2256">
        <f>F256+F257+F258</f>
        <v>0</v>
      </c>
      <c r="G255" s="2257">
        <f t="shared" si="89"/>
        <v>0</v>
      </c>
      <c r="H255" s="2256">
        <f>H256+H257+H258</f>
        <v>0</v>
      </c>
      <c r="I255" s="2256">
        <f>I256+I257+I258</f>
        <v>0</v>
      </c>
      <c r="J255" s="2257">
        <f t="shared" si="90"/>
        <v>0</v>
      </c>
      <c r="K255" s="2256">
        <f>K256+K257+K258</f>
        <v>0</v>
      </c>
      <c r="L255" s="2256">
        <f>L256+L257+L258</f>
        <v>0</v>
      </c>
      <c r="M255" s="2259">
        <f t="shared" si="91"/>
        <v>0</v>
      </c>
      <c r="N255" s="2255">
        <v>0</v>
      </c>
      <c r="O255" s="2256">
        <v>0</v>
      </c>
      <c r="P255" s="2259">
        <f t="shared" si="94"/>
        <v>0</v>
      </c>
      <c r="Q255" s="2255">
        <v>0</v>
      </c>
      <c r="R255" s="2256">
        <v>0</v>
      </c>
      <c r="S255" s="2259">
        <f t="shared" si="95"/>
        <v>0</v>
      </c>
      <c r="T255" s="2246">
        <f t="shared" si="98"/>
        <v>0</v>
      </c>
      <c r="U255" s="2247">
        <f t="shared" si="98"/>
        <v>0</v>
      </c>
      <c r="V255" s="2268">
        <f t="shared" si="74"/>
        <v>0</v>
      </c>
      <c r="W255" s="2246">
        <f t="shared" si="99"/>
        <v>0</v>
      </c>
      <c r="X255" s="2247">
        <f t="shared" si="99"/>
        <v>0</v>
      </c>
      <c r="Y255" s="2268">
        <f t="shared" si="75"/>
        <v>0</v>
      </c>
      <c r="Z255" s="2246">
        <f t="shared" si="100"/>
        <v>0</v>
      </c>
      <c r="AA255" s="2247">
        <f t="shared" si="100"/>
        <v>0</v>
      </c>
      <c r="AB255" s="2268">
        <f t="shared" si="76"/>
        <v>0</v>
      </c>
      <c r="AF255" s="2218">
        <f t="shared" si="77"/>
        <v>0</v>
      </c>
      <c r="AG255" s="2593">
        <f t="shared" si="78"/>
        <v>0</v>
      </c>
      <c r="AH255" s="2218">
        <f t="shared" si="79"/>
        <v>0</v>
      </c>
      <c r="AI255" s="2593">
        <f t="shared" si="80"/>
        <v>0</v>
      </c>
    </row>
    <row r="256" spans="1:35" s="2218" customFormat="1" ht="18" customHeight="1">
      <c r="A256" s="2235">
        <v>26</v>
      </c>
      <c r="B256" s="2423" t="s">
        <v>2121</v>
      </c>
      <c r="C256" s="2424" t="s">
        <v>2122</v>
      </c>
      <c r="D256" s="2425" t="s">
        <v>1128</v>
      </c>
      <c r="E256" s="2284"/>
      <c r="F256" s="2285"/>
      <c r="G256" s="2257">
        <f t="shared" si="89"/>
        <v>0</v>
      </c>
      <c r="H256" s="2285"/>
      <c r="I256" s="2285"/>
      <c r="J256" s="2257">
        <f t="shared" si="90"/>
        <v>0</v>
      </c>
      <c r="K256" s="2285"/>
      <c r="L256" s="2285"/>
      <c r="M256" s="2259">
        <f t="shared" si="91"/>
        <v>0</v>
      </c>
      <c r="N256" s="2284"/>
      <c r="O256" s="2285"/>
      <c r="P256" s="2259">
        <f t="shared" si="94"/>
        <v>0</v>
      </c>
      <c r="Q256" s="2284">
        <v>0</v>
      </c>
      <c r="R256" s="2285">
        <v>0</v>
      </c>
      <c r="S256" s="2259">
        <f t="shared" si="95"/>
        <v>0</v>
      </c>
      <c r="T256" s="2294">
        <f t="shared" si="98"/>
        <v>0</v>
      </c>
      <c r="U256" s="2285">
        <f t="shared" si="98"/>
        <v>0</v>
      </c>
      <c r="V256" s="2268">
        <f t="shared" si="74"/>
        <v>0</v>
      </c>
      <c r="W256" s="2294">
        <f t="shared" si="99"/>
        <v>0</v>
      </c>
      <c r="X256" s="2285">
        <f t="shared" si="99"/>
        <v>0</v>
      </c>
      <c r="Y256" s="2268">
        <f t="shared" si="75"/>
        <v>0</v>
      </c>
      <c r="Z256" s="2294">
        <f t="shared" si="100"/>
        <v>0</v>
      </c>
      <c r="AA256" s="2285">
        <f t="shared" si="100"/>
        <v>0</v>
      </c>
      <c r="AB256" s="2268">
        <f t="shared" si="76"/>
        <v>0</v>
      </c>
      <c r="AF256" s="2218">
        <f t="shared" si="77"/>
        <v>0</v>
      </c>
      <c r="AG256" s="2593">
        <f t="shared" si="78"/>
        <v>0</v>
      </c>
      <c r="AH256" s="2218">
        <f t="shared" si="79"/>
        <v>0</v>
      </c>
      <c r="AI256" s="2593">
        <f t="shared" si="80"/>
        <v>0</v>
      </c>
    </row>
    <row r="257" spans="1:35" s="2218" customFormat="1" ht="15.75" customHeight="1">
      <c r="A257" s="2235">
        <v>39</v>
      </c>
      <c r="B257" s="2423"/>
      <c r="C257" s="2424" t="s">
        <v>2123</v>
      </c>
      <c r="D257" s="2425" t="s">
        <v>1128</v>
      </c>
      <c r="E257" s="2284"/>
      <c r="F257" s="2285"/>
      <c r="G257" s="2257">
        <f t="shared" si="89"/>
        <v>0</v>
      </c>
      <c r="H257" s="2285"/>
      <c r="I257" s="2285"/>
      <c r="J257" s="2257">
        <f t="shared" si="90"/>
        <v>0</v>
      </c>
      <c r="K257" s="2285"/>
      <c r="L257" s="2285"/>
      <c r="M257" s="2259">
        <f t="shared" si="91"/>
        <v>0</v>
      </c>
      <c r="N257" s="2284"/>
      <c r="O257" s="2285"/>
      <c r="P257" s="2259">
        <f t="shared" si="94"/>
        <v>0</v>
      </c>
      <c r="Q257" s="2284">
        <v>0</v>
      </c>
      <c r="R257" s="2285">
        <v>0</v>
      </c>
      <c r="S257" s="2259">
        <f t="shared" si="95"/>
        <v>0</v>
      </c>
      <c r="T257" s="2294">
        <f t="shared" si="98"/>
        <v>0</v>
      </c>
      <c r="U257" s="2285">
        <f t="shared" si="98"/>
        <v>0</v>
      </c>
      <c r="V257" s="2268">
        <f t="shared" si="74"/>
        <v>0</v>
      </c>
      <c r="W257" s="2294">
        <f t="shared" si="99"/>
        <v>0</v>
      </c>
      <c r="X257" s="2285">
        <f t="shared" si="99"/>
        <v>0</v>
      </c>
      <c r="Y257" s="2268">
        <f t="shared" si="75"/>
        <v>0</v>
      </c>
      <c r="Z257" s="2294">
        <f t="shared" si="100"/>
        <v>0</v>
      </c>
      <c r="AA257" s="2285">
        <f t="shared" si="100"/>
        <v>0</v>
      </c>
      <c r="AB257" s="2268">
        <f t="shared" si="76"/>
        <v>0</v>
      </c>
      <c r="AF257" s="2218">
        <f t="shared" si="77"/>
        <v>0</v>
      </c>
      <c r="AG257" s="2593">
        <f t="shared" si="78"/>
        <v>0</v>
      </c>
      <c r="AH257" s="2218">
        <f t="shared" si="79"/>
        <v>0</v>
      </c>
      <c r="AI257" s="2593">
        <f t="shared" si="80"/>
        <v>0</v>
      </c>
    </row>
    <row r="258" spans="1:35" s="2218" customFormat="1" ht="20.25" customHeight="1">
      <c r="A258" s="2235">
        <v>27</v>
      </c>
      <c r="B258" s="2423" t="s">
        <v>2124</v>
      </c>
      <c r="C258" s="2424" t="s">
        <v>2125</v>
      </c>
      <c r="D258" s="2425" t="s">
        <v>1128</v>
      </c>
      <c r="E258" s="2284"/>
      <c r="F258" s="2285"/>
      <c r="G258" s="2257">
        <f t="shared" si="89"/>
        <v>0</v>
      </c>
      <c r="H258" s="2285"/>
      <c r="I258" s="2285"/>
      <c r="J258" s="2257">
        <f t="shared" si="90"/>
        <v>0</v>
      </c>
      <c r="K258" s="2285"/>
      <c r="L258" s="2285"/>
      <c r="M258" s="2259">
        <f t="shared" si="91"/>
        <v>0</v>
      </c>
      <c r="N258" s="2284"/>
      <c r="O258" s="2285"/>
      <c r="P258" s="2259">
        <f t="shared" si="94"/>
        <v>0</v>
      </c>
      <c r="Q258" s="2284">
        <v>0</v>
      </c>
      <c r="R258" s="2285">
        <v>0</v>
      </c>
      <c r="S258" s="2259">
        <f t="shared" si="95"/>
        <v>0</v>
      </c>
      <c r="T258" s="2294">
        <f t="shared" si="98"/>
        <v>0</v>
      </c>
      <c r="U258" s="2285">
        <f t="shared" si="98"/>
        <v>0</v>
      </c>
      <c r="V258" s="2268">
        <f t="shared" si="74"/>
        <v>0</v>
      </c>
      <c r="W258" s="2294">
        <f t="shared" si="99"/>
        <v>0</v>
      </c>
      <c r="X258" s="2285">
        <f t="shared" si="99"/>
        <v>0</v>
      </c>
      <c r="Y258" s="2268">
        <f t="shared" si="75"/>
        <v>0</v>
      </c>
      <c r="Z258" s="2294">
        <f t="shared" si="100"/>
        <v>0</v>
      </c>
      <c r="AA258" s="2285">
        <f t="shared" si="100"/>
        <v>0</v>
      </c>
      <c r="AB258" s="2268">
        <f t="shared" si="76"/>
        <v>0</v>
      </c>
      <c r="AF258" s="2218">
        <f t="shared" si="77"/>
        <v>0</v>
      </c>
      <c r="AG258" s="2593">
        <f t="shared" si="78"/>
        <v>0</v>
      </c>
      <c r="AH258" s="2218">
        <f t="shared" si="79"/>
        <v>0</v>
      </c>
      <c r="AI258" s="2593">
        <f t="shared" si="80"/>
        <v>0</v>
      </c>
    </row>
    <row r="259" spans="1:35" s="2218" customFormat="1" ht="22.5" customHeight="1">
      <c r="A259" s="2235">
        <v>28</v>
      </c>
      <c r="B259" s="2423" t="s">
        <v>2126</v>
      </c>
      <c r="C259" s="2427" t="s">
        <v>2127</v>
      </c>
      <c r="D259" s="2425" t="s">
        <v>1128</v>
      </c>
      <c r="E259" s="2255">
        <f>E260+E261+E262+E263+E264</f>
        <v>0</v>
      </c>
      <c r="F259" s="2256">
        <f>F260+F261+F262+F263+F264</f>
        <v>0</v>
      </c>
      <c r="G259" s="2257">
        <f t="shared" si="89"/>
        <v>0</v>
      </c>
      <c r="H259" s="2256">
        <f>H260+H261+H262+H263+H264</f>
        <v>0</v>
      </c>
      <c r="I259" s="2256">
        <f>I260+I261+I262+I263+I264</f>
        <v>0</v>
      </c>
      <c r="J259" s="2257">
        <f t="shared" si="90"/>
        <v>0</v>
      </c>
      <c r="K259" s="2256">
        <f>K260+K261+K262+K263+K264</f>
        <v>0</v>
      </c>
      <c r="L259" s="2256">
        <f>L260+L261+L262+L263+L264</f>
        <v>0</v>
      </c>
      <c r="M259" s="2259">
        <f t="shared" si="91"/>
        <v>0</v>
      </c>
      <c r="N259" s="2255">
        <v>0</v>
      </c>
      <c r="O259" s="2256">
        <v>0</v>
      </c>
      <c r="P259" s="2259">
        <f t="shared" si="94"/>
        <v>0</v>
      </c>
      <c r="Q259" s="2255">
        <v>0</v>
      </c>
      <c r="R259" s="2256">
        <v>0</v>
      </c>
      <c r="S259" s="2259">
        <f t="shared" si="95"/>
        <v>0</v>
      </c>
      <c r="T259" s="2246">
        <f>N259+Q259</f>
        <v>0</v>
      </c>
      <c r="U259" s="2247">
        <f>O259+R259</f>
        <v>0</v>
      </c>
      <c r="V259" s="2268">
        <f t="shared" si="74"/>
        <v>0</v>
      </c>
      <c r="W259" s="2246">
        <f t="shared" si="99"/>
        <v>0</v>
      </c>
      <c r="X259" s="2247">
        <f t="shared" si="99"/>
        <v>0</v>
      </c>
      <c r="Y259" s="2268">
        <f t="shared" si="75"/>
        <v>0</v>
      </c>
      <c r="Z259" s="2246">
        <f t="shared" si="100"/>
        <v>0</v>
      </c>
      <c r="AA259" s="2247">
        <f t="shared" si="100"/>
        <v>0</v>
      </c>
      <c r="AB259" s="2268">
        <f t="shared" si="76"/>
        <v>0</v>
      </c>
      <c r="AF259" s="2218">
        <f t="shared" si="77"/>
        <v>0</v>
      </c>
      <c r="AG259" s="2593">
        <f t="shared" si="78"/>
        <v>0</v>
      </c>
      <c r="AH259" s="2218">
        <f t="shared" si="79"/>
        <v>0</v>
      </c>
      <c r="AI259" s="2593">
        <f t="shared" si="80"/>
        <v>0</v>
      </c>
    </row>
    <row r="260" spans="1:35" s="2218" customFormat="1" ht="24" customHeight="1">
      <c r="A260" s="2235">
        <v>29</v>
      </c>
      <c r="B260" s="2423" t="s">
        <v>2128</v>
      </c>
      <c r="C260" s="2424" t="s">
        <v>2129</v>
      </c>
      <c r="D260" s="2425" t="s">
        <v>1128</v>
      </c>
      <c r="E260" s="2284"/>
      <c r="F260" s="2285"/>
      <c r="G260" s="2257">
        <f t="shared" si="89"/>
        <v>0</v>
      </c>
      <c r="H260" s="2285"/>
      <c r="I260" s="2285"/>
      <c r="J260" s="2257">
        <f t="shared" si="90"/>
        <v>0</v>
      </c>
      <c r="K260" s="2285"/>
      <c r="L260" s="2285"/>
      <c r="M260" s="2259">
        <f t="shared" si="91"/>
        <v>0</v>
      </c>
      <c r="N260" s="2284"/>
      <c r="O260" s="2285"/>
      <c r="P260" s="2259">
        <f t="shared" si="94"/>
        <v>0</v>
      </c>
      <c r="Q260" s="2284">
        <v>0</v>
      </c>
      <c r="R260" s="2285">
        <v>0</v>
      </c>
      <c r="S260" s="2259">
        <f t="shared" si="95"/>
        <v>0</v>
      </c>
      <c r="T260" s="2294">
        <f t="shared" ref="T260:U264" si="101">N260+Q260</f>
        <v>0</v>
      </c>
      <c r="U260" s="2285">
        <f t="shared" si="101"/>
        <v>0</v>
      </c>
      <c r="V260" s="2268">
        <f t="shared" si="74"/>
        <v>0</v>
      </c>
      <c r="W260" s="2294">
        <f t="shared" si="99"/>
        <v>0</v>
      </c>
      <c r="X260" s="2285">
        <f t="shared" si="99"/>
        <v>0</v>
      </c>
      <c r="Y260" s="2268">
        <f t="shared" si="75"/>
        <v>0</v>
      </c>
      <c r="Z260" s="2294">
        <f t="shared" si="100"/>
        <v>0</v>
      </c>
      <c r="AA260" s="2285">
        <f t="shared" si="100"/>
        <v>0</v>
      </c>
      <c r="AB260" s="2268">
        <f t="shared" si="76"/>
        <v>0</v>
      </c>
      <c r="AF260" s="2218">
        <f t="shared" si="77"/>
        <v>0</v>
      </c>
      <c r="AG260" s="2593">
        <f t="shared" si="78"/>
        <v>0</v>
      </c>
      <c r="AH260" s="2218">
        <f t="shared" si="79"/>
        <v>0</v>
      </c>
      <c r="AI260" s="2593">
        <f t="shared" si="80"/>
        <v>0</v>
      </c>
    </row>
    <row r="261" spans="1:35" s="2218" customFormat="1" ht="22.5" customHeight="1">
      <c r="A261" s="2235">
        <v>30</v>
      </c>
      <c r="B261" s="2423" t="s">
        <v>2130</v>
      </c>
      <c r="C261" s="2424" t="s">
        <v>2131</v>
      </c>
      <c r="D261" s="2425" t="s">
        <v>1128</v>
      </c>
      <c r="E261" s="2284"/>
      <c r="F261" s="2285"/>
      <c r="G261" s="2257">
        <f t="shared" si="89"/>
        <v>0</v>
      </c>
      <c r="H261" s="2285"/>
      <c r="I261" s="2285"/>
      <c r="J261" s="2257">
        <f t="shared" si="90"/>
        <v>0</v>
      </c>
      <c r="K261" s="2285"/>
      <c r="L261" s="2285"/>
      <c r="M261" s="2259">
        <f t="shared" si="91"/>
        <v>0</v>
      </c>
      <c r="N261" s="2284"/>
      <c r="O261" s="2285"/>
      <c r="P261" s="2259">
        <f t="shared" si="94"/>
        <v>0</v>
      </c>
      <c r="Q261" s="2284">
        <v>0</v>
      </c>
      <c r="R261" s="2285">
        <v>0</v>
      </c>
      <c r="S261" s="2259">
        <f t="shared" si="95"/>
        <v>0</v>
      </c>
      <c r="T261" s="2294">
        <f t="shared" si="101"/>
        <v>0</v>
      </c>
      <c r="U261" s="2285">
        <f t="shared" si="101"/>
        <v>0</v>
      </c>
      <c r="V261" s="2268">
        <f t="shared" ref="V261:V272" si="102">T261/2+U261/2</f>
        <v>0</v>
      </c>
      <c r="W261" s="2294">
        <f t="shared" si="99"/>
        <v>0</v>
      </c>
      <c r="X261" s="2285">
        <f t="shared" si="99"/>
        <v>0</v>
      </c>
      <c r="Y261" s="2268">
        <f t="shared" ref="Y261:Y271" si="103">W261/2+X261/2</f>
        <v>0</v>
      </c>
      <c r="Z261" s="2294">
        <f t="shared" si="100"/>
        <v>0</v>
      </c>
      <c r="AA261" s="2285">
        <f t="shared" si="100"/>
        <v>0</v>
      </c>
      <c r="AB261" s="2268">
        <f t="shared" ref="AB261:AB272" si="104">Z261/2+AA261/2</f>
        <v>0</v>
      </c>
      <c r="AF261" s="2218">
        <f t="shared" si="77"/>
        <v>0</v>
      </c>
      <c r="AG261" s="2593">
        <f t="shared" si="78"/>
        <v>0</v>
      </c>
      <c r="AH261" s="2218">
        <f t="shared" si="79"/>
        <v>0</v>
      </c>
      <c r="AI261" s="2593">
        <f t="shared" si="80"/>
        <v>0</v>
      </c>
    </row>
    <row r="262" spans="1:35" s="2218" customFormat="1" ht="24" customHeight="1">
      <c r="A262" s="2235">
        <v>31</v>
      </c>
      <c r="B262" s="2423" t="s">
        <v>2132</v>
      </c>
      <c r="C262" s="2424" t="s">
        <v>2133</v>
      </c>
      <c r="D262" s="2425" t="s">
        <v>1128</v>
      </c>
      <c r="E262" s="2284"/>
      <c r="F262" s="2285"/>
      <c r="G262" s="2257">
        <f t="shared" si="89"/>
        <v>0</v>
      </c>
      <c r="H262" s="2285"/>
      <c r="I262" s="2285"/>
      <c r="J262" s="2257">
        <f t="shared" si="90"/>
        <v>0</v>
      </c>
      <c r="K262" s="2285"/>
      <c r="L262" s="2285"/>
      <c r="M262" s="2259">
        <f t="shared" si="91"/>
        <v>0</v>
      </c>
      <c r="N262" s="2284"/>
      <c r="O262" s="2285"/>
      <c r="P262" s="2259">
        <f t="shared" si="94"/>
        <v>0</v>
      </c>
      <c r="Q262" s="2284">
        <v>0</v>
      </c>
      <c r="R262" s="2285">
        <v>0</v>
      </c>
      <c r="S262" s="2259">
        <f t="shared" si="95"/>
        <v>0</v>
      </c>
      <c r="T262" s="2294">
        <f t="shared" si="101"/>
        <v>0</v>
      </c>
      <c r="U262" s="2285">
        <f t="shared" si="101"/>
        <v>0</v>
      </c>
      <c r="V262" s="2268">
        <f t="shared" si="102"/>
        <v>0</v>
      </c>
      <c r="W262" s="2294">
        <f t="shared" si="99"/>
        <v>0</v>
      </c>
      <c r="X262" s="2285">
        <f t="shared" si="99"/>
        <v>0</v>
      </c>
      <c r="Y262" s="2268">
        <f t="shared" si="103"/>
        <v>0</v>
      </c>
      <c r="Z262" s="2294">
        <f t="shared" si="100"/>
        <v>0</v>
      </c>
      <c r="AA262" s="2285">
        <f t="shared" si="100"/>
        <v>0</v>
      </c>
      <c r="AB262" s="2268">
        <f t="shared" si="104"/>
        <v>0</v>
      </c>
      <c r="AF262" s="2218">
        <f t="shared" ref="AF262:AF271" si="105">U262/$U$272*$X$272</f>
        <v>0</v>
      </c>
      <c r="AG262" s="2593">
        <f t="shared" ref="AG262:AG271" si="106">AF262-X262</f>
        <v>0</v>
      </c>
      <c r="AH262" s="2218">
        <f t="shared" ref="AH262:AH271" si="107">U262/$U$272*$AA$272</f>
        <v>0</v>
      </c>
      <c r="AI262" s="2593">
        <f t="shared" ref="AI262:AI271" si="108">AH262-AA262</f>
        <v>0</v>
      </c>
    </row>
    <row r="263" spans="1:35" s="2218" customFormat="1" ht="24" customHeight="1">
      <c r="A263" s="2235">
        <v>32</v>
      </c>
      <c r="B263" s="2423" t="s">
        <v>2134</v>
      </c>
      <c r="C263" s="2424" t="s">
        <v>2135</v>
      </c>
      <c r="D263" s="2425" t="s">
        <v>1128</v>
      </c>
      <c r="E263" s="2284"/>
      <c r="F263" s="2285"/>
      <c r="G263" s="2257">
        <f t="shared" si="89"/>
        <v>0</v>
      </c>
      <c r="H263" s="2285"/>
      <c r="I263" s="2285"/>
      <c r="J263" s="2257">
        <f t="shared" si="90"/>
        <v>0</v>
      </c>
      <c r="K263" s="2285"/>
      <c r="L263" s="2285"/>
      <c r="M263" s="2259">
        <f t="shared" si="91"/>
        <v>0</v>
      </c>
      <c r="N263" s="2284"/>
      <c r="O263" s="2285"/>
      <c r="P263" s="2259">
        <f t="shared" si="94"/>
        <v>0</v>
      </c>
      <c r="Q263" s="2284">
        <v>0</v>
      </c>
      <c r="R263" s="2285">
        <v>0</v>
      </c>
      <c r="S263" s="2259">
        <f t="shared" si="95"/>
        <v>0</v>
      </c>
      <c r="T263" s="2294">
        <f t="shared" si="101"/>
        <v>0</v>
      </c>
      <c r="U263" s="2285">
        <f t="shared" si="101"/>
        <v>0</v>
      </c>
      <c r="V263" s="2268">
        <f t="shared" si="102"/>
        <v>0</v>
      </c>
      <c r="W263" s="2294">
        <f t="shared" si="99"/>
        <v>0</v>
      </c>
      <c r="X263" s="2285">
        <f t="shared" si="99"/>
        <v>0</v>
      </c>
      <c r="Y263" s="2268">
        <f t="shared" si="103"/>
        <v>0</v>
      </c>
      <c r="Z263" s="2294">
        <f t="shared" si="100"/>
        <v>0</v>
      </c>
      <c r="AA263" s="2285">
        <f t="shared" si="100"/>
        <v>0</v>
      </c>
      <c r="AB263" s="2268">
        <f t="shared" si="104"/>
        <v>0</v>
      </c>
      <c r="AF263" s="2218">
        <f t="shared" si="105"/>
        <v>0</v>
      </c>
      <c r="AG263" s="2593">
        <f t="shared" si="106"/>
        <v>0</v>
      </c>
      <c r="AH263" s="2218">
        <f t="shared" si="107"/>
        <v>0</v>
      </c>
      <c r="AI263" s="2593">
        <f t="shared" si="108"/>
        <v>0</v>
      </c>
    </row>
    <row r="264" spans="1:35" s="2218" customFormat="1" ht="23.25" customHeight="1">
      <c r="A264" s="2235">
        <v>33</v>
      </c>
      <c r="B264" s="2423" t="s">
        <v>2136</v>
      </c>
      <c r="C264" s="2424" t="s">
        <v>2137</v>
      </c>
      <c r="D264" s="2425" t="s">
        <v>1128</v>
      </c>
      <c r="E264" s="2284"/>
      <c r="F264" s="2285"/>
      <c r="G264" s="2257">
        <f t="shared" si="89"/>
        <v>0</v>
      </c>
      <c r="H264" s="2285"/>
      <c r="I264" s="2285"/>
      <c r="J264" s="2257">
        <f t="shared" si="90"/>
        <v>0</v>
      </c>
      <c r="K264" s="2285"/>
      <c r="L264" s="2285"/>
      <c r="M264" s="2259">
        <f t="shared" si="91"/>
        <v>0</v>
      </c>
      <c r="N264" s="2284"/>
      <c r="O264" s="2285"/>
      <c r="P264" s="2259">
        <f t="shared" si="94"/>
        <v>0</v>
      </c>
      <c r="Q264" s="2284">
        <v>0</v>
      </c>
      <c r="R264" s="2285">
        <v>0</v>
      </c>
      <c r="S264" s="2259">
        <f t="shared" si="95"/>
        <v>0</v>
      </c>
      <c r="T264" s="2294">
        <f t="shared" si="101"/>
        <v>0</v>
      </c>
      <c r="U264" s="2285">
        <f t="shared" si="101"/>
        <v>0</v>
      </c>
      <c r="V264" s="2268">
        <f t="shared" si="102"/>
        <v>0</v>
      </c>
      <c r="W264" s="2294">
        <f t="shared" si="99"/>
        <v>0</v>
      </c>
      <c r="X264" s="2285">
        <f t="shared" si="99"/>
        <v>0</v>
      </c>
      <c r="Y264" s="2268">
        <f t="shared" si="103"/>
        <v>0</v>
      </c>
      <c r="Z264" s="2294">
        <f t="shared" si="100"/>
        <v>0</v>
      </c>
      <c r="AA264" s="2285">
        <f t="shared" si="100"/>
        <v>0</v>
      </c>
      <c r="AB264" s="2268">
        <f t="shared" si="104"/>
        <v>0</v>
      </c>
      <c r="AF264" s="2218">
        <f t="shared" si="105"/>
        <v>0</v>
      </c>
      <c r="AG264" s="2593">
        <f t="shared" si="106"/>
        <v>0</v>
      </c>
      <c r="AH264" s="2218">
        <f t="shared" si="107"/>
        <v>0</v>
      </c>
      <c r="AI264" s="2593">
        <f t="shared" si="108"/>
        <v>0</v>
      </c>
    </row>
    <row r="265" spans="1:35" s="2218" customFormat="1" ht="22.5" customHeight="1">
      <c r="A265" s="2235">
        <v>34</v>
      </c>
      <c r="B265" s="2423" t="s">
        <v>2138</v>
      </c>
      <c r="C265" s="2424" t="s">
        <v>2139</v>
      </c>
      <c r="D265" s="2425" t="s">
        <v>1313</v>
      </c>
      <c r="E265" s="2255">
        <f>E266+E267</f>
        <v>0</v>
      </c>
      <c r="F265" s="2256">
        <f>F266+F267</f>
        <v>0</v>
      </c>
      <c r="G265" s="2257">
        <f t="shared" si="89"/>
        <v>0</v>
      </c>
      <c r="H265" s="2256">
        <f>H266+H267</f>
        <v>0</v>
      </c>
      <c r="I265" s="2256">
        <f>I266+I267</f>
        <v>0</v>
      </c>
      <c r="J265" s="2257">
        <f t="shared" si="90"/>
        <v>0</v>
      </c>
      <c r="K265" s="2256">
        <f>K266+K267</f>
        <v>0</v>
      </c>
      <c r="L265" s="2256">
        <f>L266+L267</f>
        <v>0</v>
      </c>
      <c r="M265" s="2259">
        <f t="shared" si="91"/>
        <v>0</v>
      </c>
      <c r="N265" s="2255">
        <v>0</v>
      </c>
      <c r="O265" s="2256">
        <v>0</v>
      </c>
      <c r="P265" s="2259">
        <f t="shared" si="94"/>
        <v>0</v>
      </c>
      <c r="Q265" s="2255">
        <v>0</v>
      </c>
      <c r="R265" s="2256">
        <v>0</v>
      </c>
      <c r="S265" s="2259">
        <f t="shared" si="95"/>
        <v>0</v>
      </c>
      <c r="T265" s="2246">
        <f>N265+Q265</f>
        <v>0</v>
      </c>
      <c r="U265" s="2247">
        <f>O265+R265</f>
        <v>0</v>
      </c>
      <c r="V265" s="2268">
        <f t="shared" si="102"/>
        <v>0</v>
      </c>
      <c r="W265" s="2246">
        <f t="shared" si="99"/>
        <v>0</v>
      </c>
      <c r="X265" s="2247">
        <f t="shared" si="99"/>
        <v>0</v>
      </c>
      <c r="Y265" s="2268">
        <f t="shared" si="103"/>
        <v>0</v>
      </c>
      <c r="Z265" s="2246">
        <f t="shared" si="100"/>
        <v>0</v>
      </c>
      <c r="AA265" s="2247">
        <f t="shared" si="100"/>
        <v>0</v>
      </c>
      <c r="AB265" s="2268">
        <f t="shared" si="104"/>
        <v>0</v>
      </c>
      <c r="AF265" s="2218">
        <f t="shared" si="105"/>
        <v>0</v>
      </c>
      <c r="AG265" s="2593">
        <f t="shared" si="106"/>
        <v>0</v>
      </c>
      <c r="AH265" s="2218">
        <f t="shared" si="107"/>
        <v>0</v>
      </c>
      <c r="AI265" s="2593">
        <f t="shared" si="108"/>
        <v>0</v>
      </c>
    </row>
    <row r="266" spans="1:35" s="2218" customFormat="1" ht="25.5" customHeight="1">
      <c r="A266" s="2235">
        <v>35</v>
      </c>
      <c r="B266" s="2423" t="s">
        <v>2140</v>
      </c>
      <c r="C266" s="2424" t="s">
        <v>2084</v>
      </c>
      <c r="D266" s="2425" t="s">
        <v>1128</v>
      </c>
      <c r="E266" s="2284"/>
      <c r="F266" s="2285"/>
      <c r="G266" s="2257">
        <f t="shared" si="89"/>
        <v>0</v>
      </c>
      <c r="H266" s="2285"/>
      <c r="I266" s="2285"/>
      <c r="J266" s="2257">
        <f t="shared" si="90"/>
        <v>0</v>
      </c>
      <c r="K266" s="2285"/>
      <c r="L266" s="2285"/>
      <c r="M266" s="2259">
        <f t="shared" si="91"/>
        <v>0</v>
      </c>
      <c r="N266" s="2284"/>
      <c r="O266" s="2285"/>
      <c r="P266" s="2259">
        <f t="shared" si="94"/>
        <v>0</v>
      </c>
      <c r="Q266" s="2284">
        <v>0</v>
      </c>
      <c r="R266" s="2285">
        <v>0</v>
      </c>
      <c r="S266" s="2259">
        <f t="shared" si="95"/>
        <v>0</v>
      </c>
      <c r="T266" s="2294">
        <f t="shared" ref="T266:U272" si="109">N266+Q266</f>
        <v>0</v>
      </c>
      <c r="U266" s="2285">
        <f t="shared" si="109"/>
        <v>0</v>
      </c>
      <c r="V266" s="2268">
        <f t="shared" si="102"/>
        <v>0</v>
      </c>
      <c r="W266" s="2294">
        <f t="shared" si="99"/>
        <v>0</v>
      </c>
      <c r="X266" s="2285">
        <f t="shared" si="99"/>
        <v>0</v>
      </c>
      <c r="Y266" s="2268">
        <f t="shared" si="103"/>
        <v>0</v>
      </c>
      <c r="Z266" s="2294">
        <f t="shared" si="100"/>
        <v>0</v>
      </c>
      <c r="AA266" s="2285">
        <f t="shared" si="100"/>
        <v>0</v>
      </c>
      <c r="AB266" s="2268">
        <f t="shared" si="104"/>
        <v>0</v>
      </c>
      <c r="AF266" s="2218">
        <f t="shared" si="105"/>
        <v>0</v>
      </c>
      <c r="AG266" s="2593">
        <f t="shared" si="106"/>
        <v>0</v>
      </c>
      <c r="AH266" s="2218">
        <f t="shared" si="107"/>
        <v>0</v>
      </c>
      <c r="AI266" s="2593">
        <f t="shared" si="108"/>
        <v>0</v>
      </c>
    </row>
    <row r="267" spans="1:35" s="2218" customFormat="1" ht="23.25" customHeight="1">
      <c r="A267" s="2235">
        <v>36</v>
      </c>
      <c r="B267" s="2423" t="s">
        <v>2141</v>
      </c>
      <c r="C267" s="2424" t="s">
        <v>2088</v>
      </c>
      <c r="D267" s="2425" t="s">
        <v>1128</v>
      </c>
      <c r="E267" s="2284"/>
      <c r="F267" s="2285"/>
      <c r="G267" s="2257">
        <f t="shared" si="89"/>
        <v>0</v>
      </c>
      <c r="H267" s="2285"/>
      <c r="I267" s="2285"/>
      <c r="J267" s="2257">
        <f t="shared" si="90"/>
        <v>0</v>
      </c>
      <c r="K267" s="2285"/>
      <c r="L267" s="2285"/>
      <c r="M267" s="2259">
        <f t="shared" si="91"/>
        <v>0</v>
      </c>
      <c r="N267" s="2284"/>
      <c r="O267" s="2285"/>
      <c r="P267" s="2259">
        <f t="shared" si="94"/>
        <v>0</v>
      </c>
      <c r="Q267" s="2284">
        <v>0</v>
      </c>
      <c r="R267" s="2285">
        <v>0</v>
      </c>
      <c r="S267" s="2259">
        <f t="shared" si="95"/>
        <v>0</v>
      </c>
      <c r="T267" s="2294">
        <f t="shared" si="109"/>
        <v>0</v>
      </c>
      <c r="U267" s="2285">
        <f t="shared" si="109"/>
        <v>0</v>
      </c>
      <c r="V267" s="2268">
        <f t="shared" si="102"/>
        <v>0</v>
      </c>
      <c r="W267" s="2294">
        <f t="shared" si="99"/>
        <v>0</v>
      </c>
      <c r="X267" s="2285">
        <f t="shared" si="99"/>
        <v>0</v>
      </c>
      <c r="Y267" s="2268">
        <f t="shared" si="103"/>
        <v>0</v>
      </c>
      <c r="Z267" s="2294">
        <f t="shared" si="100"/>
        <v>0</v>
      </c>
      <c r="AA267" s="2285">
        <f t="shared" si="100"/>
        <v>0</v>
      </c>
      <c r="AB267" s="2268">
        <f t="shared" si="104"/>
        <v>0</v>
      </c>
      <c r="AF267" s="2218">
        <f t="shared" si="105"/>
        <v>0</v>
      </c>
      <c r="AG267" s="2593">
        <f t="shared" si="106"/>
        <v>0</v>
      </c>
      <c r="AH267" s="2218">
        <f t="shared" si="107"/>
        <v>0</v>
      </c>
      <c r="AI267" s="2593">
        <f t="shared" si="108"/>
        <v>0</v>
      </c>
    </row>
    <row r="268" spans="1:35" s="2218" customFormat="1" ht="20.25" customHeight="1" thickBot="1">
      <c r="A268" s="2235">
        <v>37</v>
      </c>
      <c r="B268" s="2428" t="s">
        <v>2142</v>
      </c>
      <c r="C268" s="2429" t="s">
        <v>2143</v>
      </c>
      <c r="D268" s="2430" t="s">
        <v>1128</v>
      </c>
      <c r="E268" s="2300"/>
      <c r="F268" s="2301"/>
      <c r="G268" s="2266">
        <f t="shared" si="89"/>
        <v>0</v>
      </c>
      <c r="H268" s="2301"/>
      <c r="I268" s="2301"/>
      <c r="J268" s="2266">
        <f t="shared" si="90"/>
        <v>0</v>
      </c>
      <c r="K268" s="2301"/>
      <c r="L268" s="2301"/>
      <c r="M268" s="2268">
        <f t="shared" si="91"/>
        <v>0</v>
      </c>
      <c r="N268" s="2300"/>
      <c r="O268" s="2301"/>
      <c r="P268" s="2268">
        <f t="shared" si="94"/>
        <v>0</v>
      </c>
      <c r="Q268" s="2300">
        <v>0</v>
      </c>
      <c r="R268" s="2301">
        <v>0</v>
      </c>
      <c r="S268" s="2268">
        <f t="shared" si="95"/>
        <v>0</v>
      </c>
      <c r="T268" s="2294">
        <f t="shared" si="109"/>
        <v>0</v>
      </c>
      <c r="U268" s="2285">
        <f t="shared" si="109"/>
        <v>0</v>
      </c>
      <c r="V268" s="2268">
        <f t="shared" si="102"/>
        <v>0</v>
      </c>
      <c r="W268" s="2294">
        <f t="shared" si="99"/>
        <v>0</v>
      </c>
      <c r="X268" s="2285">
        <f t="shared" si="99"/>
        <v>0</v>
      </c>
      <c r="Y268" s="2268">
        <f t="shared" si="103"/>
        <v>0</v>
      </c>
      <c r="Z268" s="2294">
        <f t="shared" si="100"/>
        <v>0</v>
      </c>
      <c r="AA268" s="2285">
        <f t="shared" si="100"/>
        <v>0</v>
      </c>
      <c r="AB268" s="2268">
        <f t="shared" si="104"/>
        <v>0</v>
      </c>
      <c r="AF268" s="2218">
        <f t="shared" si="105"/>
        <v>0</v>
      </c>
      <c r="AG268" s="2593">
        <f t="shared" si="106"/>
        <v>0</v>
      </c>
      <c r="AH268" s="2218">
        <f t="shared" si="107"/>
        <v>0</v>
      </c>
      <c r="AI268" s="2593">
        <f t="shared" si="108"/>
        <v>0</v>
      </c>
    </row>
    <row r="269" spans="1:35" s="2218" customFormat="1" ht="57" thickBot="1">
      <c r="A269" s="2235">
        <v>197</v>
      </c>
      <c r="B269" s="2317" t="s">
        <v>2144</v>
      </c>
      <c r="C269" s="2318" t="s">
        <v>2145</v>
      </c>
      <c r="D269" s="2319" t="s">
        <v>1317</v>
      </c>
      <c r="E269" s="2431"/>
      <c r="F269" s="2432"/>
      <c r="G269" s="2374">
        <f>E269/2+F269/2</f>
        <v>0</v>
      </c>
      <c r="H269" s="2432"/>
      <c r="I269" s="2432"/>
      <c r="J269" s="2374">
        <f>H269/2+I269/2</f>
        <v>0</v>
      </c>
      <c r="K269" s="2432"/>
      <c r="L269" s="2432"/>
      <c r="M269" s="2374">
        <f>K269/2+L269/2</f>
        <v>0</v>
      </c>
      <c r="N269" s="2431"/>
      <c r="O269" s="2432"/>
      <c r="P269" s="2374">
        <f>N269/2+O269/2</f>
        <v>0</v>
      </c>
      <c r="Q269" s="2431">
        <v>0</v>
      </c>
      <c r="R269" s="2432">
        <v>0</v>
      </c>
      <c r="S269" s="2374">
        <f>Q269/2+R269/2</f>
        <v>0</v>
      </c>
      <c r="T269" s="2070">
        <f t="shared" si="109"/>
        <v>0</v>
      </c>
      <c r="U269" s="2413">
        <f t="shared" si="109"/>
        <v>0</v>
      </c>
      <c r="V269" s="2071">
        <f t="shared" si="102"/>
        <v>0</v>
      </c>
      <c r="W269" s="2945">
        <f>T269/$T$272*$N$272</f>
        <v>0</v>
      </c>
      <c r="X269" s="2373">
        <f>U269/$T$272*$N$272</f>
        <v>0</v>
      </c>
      <c r="Y269" s="2374">
        <f t="shared" si="103"/>
        <v>0</v>
      </c>
      <c r="Z269" s="2945">
        <f>T269/$T$272*$Z$272</f>
        <v>0</v>
      </c>
      <c r="AA269" s="2373">
        <f>U269/$T$272*$Z$272</f>
        <v>0</v>
      </c>
      <c r="AB269" s="2946">
        <f t="shared" si="104"/>
        <v>0</v>
      </c>
      <c r="AF269" s="2218">
        <f t="shared" si="105"/>
        <v>0</v>
      </c>
      <c r="AG269" s="2593">
        <f t="shared" si="106"/>
        <v>0</v>
      </c>
      <c r="AH269" s="2218">
        <f t="shared" si="107"/>
        <v>0</v>
      </c>
      <c r="AI269" s="2593">
        <f t="shared" si="108"/>
        <v>0</v>
      </c>
    </row>
    <row r="270" spans="1:35" ht="126">
      <c r="B270" s="2434"/>
      <c r="C270" s="2435" t="s">
        <v>2146</v>
      </c>
      <c r="D270" s="2307" t="s">
        <v>1317</v>
      </c>
      <c r="E270" s="2436"/>
      <c r="F270" s="2437"/>
      <c r="G270" s="2438">
        <f t="shared" si="89"/>
        <v>0</v>
      </c>
      <c r="H270" s="2437"/>
      <c r="I270" s="2437"/>
      <c r="J270" s="2438">
        <f>H270/2+I270/2</f>
        <v>0</v>
      </c>
      <c r="K270" s="2437"/>
      <c r="L270" s="2437"/>
      <c r="M270" s="2440">
        <f>K270/2+L270/2</f>
        <v>0</v>
      </c>
      <c r="N270" s="2436"/>
      <c r="O270" s="2437"/>
      <c r="P270" s="2440">
        <f>N270/2+O270/2</f>
        <v>0</v>
      </c>
      <c r="Q270" s="2436">
        <v>0</v>
      </c>
      <c r="R270" s="2437">
        <v>0</v>
      </c>
      <c r="S270" s="2440">
        <f>Q270/2+R270/2</f>
        <v>0</v>
      </c>
      <c r="T270" s="2294">
        <f t="shared" si="109"/>
        <v>0</v>
      </c>
      <c r="U270" s="2285">
        <f t="shared" si="109"/>
        <v>0</v>
      </c>
      <c r="V270" s="2268">
        <f t="shared" si="102"/>
        <v>0</v>
      </c>
      <c r="W270" s="2294">
        <f>Q270+T270</f>
        <v>0</v>
      </c>
      <c r="X270" s="2285">
        <f>R270+U270</f>
        <v>0</v>
      </c>
      <c r="Y270" s="2268">
        <f t="shared" si="103"/>
        <v>0</v>
      </c>
      <c r="Z270" s="2294">
        <f>T270+W270</f>
        <v>0</v>
      </c>
      <c r="AA270" s="2285">
        <f>U270+X270</f>
        <v>0</v>
      </c>
      <c r="AB270" s="2268">
        <f t="shared" si="104"/>
        <v>0</v>
      </c>
      <c r="AF270" s="2218">
        <f t="shared" si="105"/>
        <v>0</v>
      </c>
      <c r="AG270" s="2593">
        <f t="shared" si="106"/>
        <v>0</v>
      </c>
      <c r="AH270" s="2218">
        <f t="shared" si="107"/>
        <v>0</v>
      </c>
      <c r="AI270" s="2593">
        <f t="shared" si="108"/>
        <v>0</v>
      </c>
    </row>
    <row r="271" spans="1:35">
      <c r="B271" s="2442" t="s">
        <v>15036</v>
      </c>
      <c r="C271" s="2435" t="s">
        <v>15037</v>
      </c>
      <c r="D271" s="2307" t="s">
        <v>1317</v>
      </c>
      <c r="E271" s="2436"/>
      <c r="F271" s="2437"/>
      <c r="G271" s="2438"/>
      <c r="H271" s="2437"/>
      <c r="I271" s="2437"/>
      <c r="J271" s="2438"/>
      <c r="K271" s="2437"/>
      <c r="L271" s="2437"/>
      <c r="M271" s="2440"/>
      <c r="N271" s="2436"/>
      <c r="O271" s="2437"/>
      <c r="P271" s="2440"/>
      <c r="Q271" s="2436">
        <v>0</v>
      </c>
      <c r="R271" s="2437">
        <v>0</v>
      </c>
      <c r="S271" s="2440"/>
      <c r="T271" s="2294">
        <f t="shared" si="109"/>
        <v>0</v>
      </c>
      <c r="U271" s="2285">
        <f t="shared" si="109"/>
        <v>0</v>
      </c>
      <c r="V271" s="2268">
        <f t="shared" si="102"/>
        <v>0</v>
      </c>
      <c r="W271" s="2294">
        <f>Q271+T271</f>
        <v>0</v>
      </c>
      <c r="X271" s="2387">
        <v>-3260</v>
      </c>
      <c r="Y271" s="2268">
        <f t="shared" si="103"/>
        <v>-1630</v>
      </c>
      <c r="Z271" s="2294">
        <f>T271+W271</f>
        <v>0</v>
      </c>
      <c r="AA271" s="2387">
        <v>-11900</v>
      </c>
      <c r="AB271" s="2268">
        <f t="shared" si="104"/>
        <v>-5950</v>
      </c>
      <c r="AF271" s="2218">
        <f t="shared" si="105"/>
        <v>0</v>
      </c>
      <c r="AG271" s="2593">
        <f t="shared" si="106"/>
        <v>3260</v>
      </c>
      <c r="AH271" s="2218">
        <f t="shared" si="107"/>
        <v>0</v>
      </c>
      <c r="AI271" s="2593">
        <f t="shared" si="108"/>
        <v>11900</v>
      </c>
    </row>
    <row r="272" spans="1:35" ht="37.5">
      <c r="B272" s="2443"/>
      <c r="C272" s="2444" t="s">
        <v>2147</v>
      </c>
      <c r="D272" s="2445" t="s">
        <v>1983</v>
      </c>
      <c r="E272" s="2446">
        <f>'[3]НВВ перекачка'!K548</f>
        <v>6625.9916199999934</v>
      </c>
      <c r="F272" s="2447">
        <f>'[3]НВВ перекачка'!L548</f>
        <v>6556.3506540000162</v>
      </c>
      <c r="G272" s="2448">
        <f t="shared" si="89"/>
        <v>6591.1711370000048</v>
      </c>
      <c r="H272" s="2447">
        <f>'[3]НВВ перекачка'!T548</f>
        <v>6809.3857174905752</v>
      </c>
      <c r="I272" s="2447">
        <f>'[3]НВВ перекачка'!U548</f>
        <v>6990.0318145094388</v>
      </c>
      <c r="J272" s="2448">
        <f>H272/2+I272/2</f>
        <v>6899.708766000007</v>
      </c>
      <c r="K272" s="2447">
        <f>'[3]НВВ перекачка'!AC548</f>
        <v>8085.214467999991</v>
      </c>
      <c r="L272" s="2447">
        <f>'[3]НВВ перекачка'!AD548</f>
        <v>7232.8580199999851</v>
      </c>
      <c r="M272" s="2450">
        <f>K272/2+L272/2</f>
        <v>7659.0362439999881</v>
      </c>
      <c r="N272" s="2953">
        <v>7702.3239999999987</v>
      </c>
      <c r="O272" s="2954">
        <v>7702.3239999999987</v>
      </c>
      <c r="P272" s="2955">
        <f>N272/2+O272/2</f>
        <v>7702.3239999999987</v>
      </c>
      <c r="Q272" s="2953">
        <v>27948.18</v>
      </c>
      <c r="R272" s="2954">
        <v>27948.18</v>
      </c>
      <c r="S272" s="2955">
        <f>Q272/2+R272/2</f>
        <v>27948.18</v>
      </c>
      <c r="T272" s="2953">
        <f t="shared" si="109"/>
        <v>35650.504000000001</v>
      </c>
      <c r="U272" s="2954">
        <f t="shared" si="109"/>
        <v>35650.504000000001</v>
      </c>
      <c r="V272" s="2956">
        <f t="shared" si="102"/>
        <v>35650.504000000001</v>
      </c>
      <c r="W272" s="2953">
        <f>N272</f>
        <v>7702.3239999999987</v>
      </c>
      <c r="X272" s="2954">
        <f>O272</f>
        <v>7702.3239999999987</v>
      </c>
      <c r="Y272" s="2955">
        <f>W272/2+X272/2</f>
        <v>7702.3239999999987</v>
      </c>
      <c r="Z272" s="2953">
        <f>Q272</f>
        <v>27948.18</v>
      </c>
      <c r="AA272" s="2954">
        <f>R272</f>
        <v>27948.18</v>
      </c>
      <c r="AB272" s="2956">
        <f t="shared" si="104"/>
        <v>27948.18</v>
      </c>
    </row>
    <row r="273" spans="2:28" ht="38.25" thickBot="1">
      <c r="B273" s="2451"/>
      <c r="C273" s="2452" t="s">
        <v>2148</v>
      </c>
      <c r="D273" s="2453" t="s">
        <v>1986</v>
      </c>
      <c r="E273" s="2454">
        <f>E5/E272</f>
        <v>18.502440329379745</v>
      </c>
      <c r="F273" s="2455">
        <f>F5/F272</f>
        <v>19.621246668906878</v>
      </c>
      <c r="G273" s="2455"/>
      <c r="H273" s="2455">
        <f>H5/H272</f>
        <v>19.788275291631457</v>
      </c>
      <c r="I273" s="2455">
        <f>I5/I272</f>
        <v>19.853861420466107</v>
      </c>
      <c r="J273" s="2455"/>
      <c r="K273" s="2455">
        <f>K5/K272</f>
        <v>17.144496028284369</v>
      </c>
      <c r="L273" s="2455">
        <f>L5/L272</f>
        <v>19.987822570781017</v>
      </c>
      <c r="M273" s="2456"/>
      <c r="N273" s="2454">
        <f>N5/N272</f>
        <v>7.290000001134902</v>
      </c>
      <c r="O273" s="2455">
        <f>O5/O272</f>
        <v>19.124920888351806</v>
      </c>
      <c r="P273" s="2456"/>
      <c r="Q273" s="2454">
        <f>Q5/Q272</f>
        <v>7.2903518515467658</v>
      </c>
      <c r="R273" s="2455">
        <f>R5/R272</f>
        <v>7.6979343462917198</v>
      </c>
      <c r="S273" s="2456"/>
      <c r="T273" s="2957">
        <f>T5/T272</f>
        <v>7.290275833943431</v>
      </c>
      <c r="U273" s="2455">
        <f>U5/U272</f>
        <v>10.166745241379944</v>
      </c>
      <c r="V273" s="2456"/>
      <c r="W273" s="2454">
        <f>W5/W272</f>
        <v>7.2902758339434319</v>
      </c>
      <c r="X273" s="2455">
        <f>X5/X272</f>
        <v>7.8749361189547971</v>
      </c>
      <c r="Y273" s="2456"/>
      <c r="Z273" s="2454">
        <f>Z5/Z272</f>
        <v>7.290275833943431</v>
      </c>
      <c r="AA273" s="2455">
        <f>AA5/AA272</f>
        <v>7.8723969861678391</v>
      </c>
      <c r="AB273" s="2456"/>
    </row>
    <row r="274" spans="2:28" ht="14.25" customHeight="1">
      <c r="B274" s="3353"/>
      <c r="C274" s="3354"/>
      <c r="D274" s="3354"/>
      <c r="E274" s="3354"/>
      <c r="F274" s="3354"/>
      <c r="G274" s="3354"/>
      <c r="H274" s="3354"/>
      <c r="I274" s="3354"/>
      <c r="J274" s="3354"/>
      <c r="K274" s="3354"/>
      <c r="L274" s="3354"/>
      <c r="M274" s="2116"/>
      <c r="N274" s="2116"/>
      <c r="O274" s="2116"/>
      <c r="P274" s="2116"/>
      <c r="Q274" s="2116"/>
      <c r="R274" s="2116"/>
      <c r="S274" s="2116"/>
      <c r="T274" s="2116"/>
      <c r="U274" s="2116"/>
      <c r="V274" s="2116"/>
      <c r="W274" s="2116"/>
      <c r="X274" s="2116"/>
      <c r="Y274" s="2116"/>
      <c r="Z274" s="2116"/>
      <c r="AA274" s="2116"/>
      <c r="AB274" s="2116"/>
    </row>
    <row r="275" spans="2:28">
      <c r="C275" s="2459"/>
      <c r="D275" s="2459"/>
      <c r="E275" s="2459"/>
      <c r="F275" s="2459"/>
      <c r="G275" s="2459"/>
      <c r="H275" s="2459"/>
      <c r="I275" s="2459"/>
      <c r="J275" s="2459"/>
      <c r="K275" s="2459"/>
      <c r="L275" s="2459"/>
      <c r="M275" s="2958"/>
      <c r="N275" s="3350"/>
      <c r="O275" s="3350"/>
      <c r="P275" s="2960"/>
      <c r="S275" s="2960"/>
      <c r="T275" s="2960"/>
      <c r="U275" s="2961">
        <f>U273/T273</f>
        <v>1.3945624929640807</v>
      </c>
      <c r="V275" s="2960"/>
      <c r="W275" s="2960"/>
      <c r="X275" s="3010">
        <f>X273/W273</f>
        <v>1.0801972789958363</v>
      </c>
      <c r="Y275" s="2960"/>
      <c r="Z275" s="2960"/>
      <c r="AA275" s="3010">
        <f>AA273/Z273</f>
        <v>1.0798489886368989</v>
      </c>
      <c r="AB275" s="2960"/>
    </row>
    <row r="276" spans="2:28" ht="15" customHeight="1">
      <c r="C276" s="3351"/>
      <c r="D276" s="3351"/>
      <c r="E276" s="3351"/>
      <c r="F276" s="3351"/>
      <c r="G276" s="3351"/>
      <c r="H276" s="2963"/>
      <c r="I276" s="2963"/>
      <c r="J276"/>
      <c r="K276"/>
      <c r="L276"/>
      <c r="M276" s="2899" t="s">
        <v>2018</v>
      </c>
      <c r="N276" s="2899">
        <f>'[5]ГП вода  без Калуги'!$G$3505</f>
        <v>537.89</v>
      </c>
      <c r="O276" s="2899">
        <f>N276</f>
        <v>537.89</v>
      </c>
      <c r="P276" s="2658"/>
      <c r="S276" s="2658"/>
      <c r="T276" s="2658"/>
      <c r="U276" s="2658"/>
      <c r="V276" s="2658"/>
      <c r="W276" s="2658"/>
      <c r="X276" s="2658"/>
      <c r="Y276" s="2658"/>
      <c r="Z276" s="2658"/>
      <c r="AA276" s="2658"/>
      <c r="AB276" s="2658"/>
    </row>
    <row r="277" spans="2:28" ht="21">
      <c r="B277" s="2462"/>
      <c r="C277" s="2964" t="s">
        <v>15211</v>
      </c>
      <c r="D277" s="2965"/>
      <c r="E277" s="2966"/>
      <c r="F277" s="2967"/>
      <c r="G277" s="2968"/>
      <c r="H277" s="2969" t="s">
        <v>15212</v>
      </c>
      <c r="I277" s="2459"/>
      <c r="J277" s="2459"/>
      <c r="K277" s="2459"/>
      <c r="L277" s="2459"/>
      <c r="M277" s="2958" t="s">
        <v>15213</v>
      </c>
      <c r="N277" s="2958">
        <v>30.1</v>
      </c>
      <c r="O277" s="2958">
        <f>N277</f>
        <v>30.1</v>
      </c>
      <c r="P277" s="2658"/>
      <c r="S277" s="2658"/>
      <c r="T277" s="2658"/>
      <c r="U277" s="2658"/>
      <c r="V277" s="2658"/>
      <c r="W277" s="2658"/>
      <c r="X277" s="3011">
        <f>X271/X5</f>
        <v>-5.3746325402018846E-2</v>
      </c>
      <c r="Y277" s="3012"/>
      <c r="Z277" s="3012"/>
      <c r="AA277" s="3011">
        <f>AA271/AA5</f>
        <v>-5.4086196707882311E-2</v>
      </c>
      <c r="AB277" s="2658"/>
    </row>
    <row r="278" spans="2:28" ht="21">
      <c r="B278" s="2462"/>
      <c r="C278" s="2972"/>
      <c r="D278" s="2973"/>
      <c r="E278" s="3352" t="s">
        <v>15038</v>
      </c>
      <c r="F278" s="3352"/>
      <c r="G278" s="2974"/>
      <c r="H278" s="2965"/>
      <c r="I278" s="2460"/>
      <c r="J278" s="2460"/>
      <c r="K278" s="2460"/>
      <c r="L278"/>
      <c r="M278" s="2899" t="s">
        <v>15214</v>
      </c>
      <c r="N278" s="2975">
        <f>N277*N276</f>
        <v>16190.489</v>
      </c>
      <c r="O278" s="2975">
        <f>O277*O276</f>
        <v>16190.489</v>
      </c>
      <c r="P278" s="2658"/>
      <c r="S278" s="2658"/>
      <c r="T278" s="2658"/>
      <c r="U278" s="2658"/>
      <c r="V278" s="2658"/>
      <c r="W278" s="2658"/>
      <c r="X278" s="2658"/>
      <c r="Y278" s="2658"/>
      <c r="Z278" s="2658"/>
      <c r="AA278" s="2658"/>
      <c r="AB278" s="2658"/>
    </row>
    <row r="279" spans="2:28" ht="21">
      <c r="B279" s="2462"/>
      <c r="C279" s="2973"/>
      <c r="D279" s="2974" t="s">
        <v>15039</v>
      </c>
      <c r="E279" s="2976"/>
      <c r="F279" s="2977"/>
      <c r="G279" s="2977"/>
      <c r="H279" s="2965"/>
      <c r="I279" s="2460"/>
      <c r="J279" s="2460"/>
      <c r="K279" s="2460"/>
      <c r="M279" s="2978"/>
      <c r="N279" s="2899"/>
      <c r="O279" s="2979"/>
      <c r="P279" s="2658"/>
      <c r="S279" s="2658"/>
      <c r="T279" s="2658"/>
      <c r="U279" s="2658"/>
      <c r="V279" s="2658"/>
      <c r="W279" s="2658"/>
      <c r="X279" s="2658"/>
      <c r="Y279" s="2658"/>
      <c r="Z279" s="2658"/>
      <c r="AA279" s="2658"/>
      <c r="AB279" s="2658"/>
    </row>
    <row r="280" spans="2:28">
      <c r="B280" s="2462"/>
      <c r="C280" s="2461"/>
      <c r="D280" s="2461"/>
      <c r="E280" s="2980"/>
      <c r="F280" s="2981"/>
      <c r="G280" s="2980"/>
      <c r="H280" s="2980"/>
      <c r="I280" s="2463"/>
      <c r="J280" s="2463"/>
      <c r="K280" s="2463"/>
      <c r="M280" s="2978"/>
      <c r="N280" s="3348" t="s">
        <v>15215</v>
      </c>
      <c r="O280" s="3348"/>
      <c r="P280" s="2658"/>
      <c r="S280" s="2658"/>
      <c r="T280" s="2658"/>
      <c r="U280" s="2658"/>
      <c r="V280" s="2658"/>
      <c r="W280" s="2658"/>
      <c r="X280" s="2658"/>
      <c r="Y280" s="2658"/>
      <c r="Z280" s="2658"/>
      <c r="AA280" s="2658"/>
      <c r="AB280" s="2658"/>
    </row>
    <row r="281" spans="2:28" ht="21">
      <c r="B281" s="2982" t="s">
        <v>15216</v>
      </c>
      <c r="C281" s="2983"/>
      <c r="D281" s="2983"/>
      <c r="E281" s="2984"/>
      <c r="F281" s="2984"/>
      <c r="G281" s="2985"/>
      <c r="H281" s="2985"/>
      <c r="M281" s="2899" t="s">
        <v>2018</v>
      </c>
      <c r="N281" s="2986">
        <f>N272-N276</f>
        <v>7164.4339999999984</v>
      </c>
      <c r="O281" s="2986">
        <f>O272-O276</f>
        <v>7164.4339999999984</v>
      </c>
      <c r="P281" s="2658"/>
      <c r="S281" s="2658"/>
      <c r="T281" s="2658"/>
      <c r="U281" s="2658"/>
      <c r="V281" s="2658"/>
      <c r="W281" s="2658"/>
      <c r="X281" s="2658"/>
      <c r="Y281" s="2658"/>
      <c r="Z281" s="2658"/>
      <c r="AA281" s="2658"/>
      <c r="AB281" s="2658"/>
    </row>
    <row r="282" spans="2:28">
      <c r="B282" s="3349" t="s">
        <v>15217</v>
      </c>
      <c r="C282" s="3349"/>
      <c r="D282" s="3349"/>
      <c r="E282" s="2987"/>
      <c r="F282" s="2987"/>
      <c r="G282" s="2987"/>
      <c r="H282" s="2987"/>
      <c r="M282" s="2958" t="s">
        <v>15213</v>
      </c>
      <c r="N282" s="2978">
        <v>28.16</v>
      </c>
      <c r="O282" s="2978">
        <f>N282</f>
        <v>28.16</v>
      </c>
      <c r="P282" s="2658"/>
      <c r="S282" s="2658"/>
      <c r="T282" s="2658"/>
      <c r="U282" s="2658"/>
      <c r="V282" s="2658"/>
      <c r="W282" s="2658"/>
      <c r="X282" s="2658"/>
      <c r="Y282" s="2658"/>
      <c r="Z282" s="2658"/>
      <c r="AA282" s="2658"/>
      <c r="AB282" s="2658"/>
    </row>
    <row r="283" spans="2:28">
      <c r="M283" s="2899" t="s">
        <v>15214</v>
      </c>
      <c r="N283" s="2975">
        <f>N282*N281</f>
        <v>201750.46143999996</v>
      </c>
      <c r="O283" s="2975">
        <f>O282*O281</f>
        <v>201750.46143999996</v>
      </c>
      <c r="P283" s="2658"/>
      <c r="S283" s="2658"/>
      <c r="T283" s="2658"/>
      <c r="U283" s="2658"/>
      <c r="V283" s="2658"/>
      <c r="W283" s="2658"/>
      <c r="X283" s="2658"/>
      <c r="Y283" s="2658"/>
      <c r="Z283" s="2658"/>
      <c r="AA283" s="2658"/>
      <c r="AB283" s="2658"/>
    </row>
    <row r="284" spans="2:28">
      <c r="M284" s="2978"/>
      <c r="N284" s="2978"/>
      <c r="O284" s="2978"/>
      <c r="P284" s="2658"/>
      <c r="S284" s="2658"/>
      <c r="T284" s="2658"/>
      <c r="U284" s="2658"/>
      <c r="V284" s="2658"/>
      <c r="W284" s="2658"/>
      <c r="X284" s="2658"/>
      <c r="Y284" s="2658"/>
      <c r="Z284" s="2658"/>
      <c r="AA284" s="2658"/>
      <c r="AB284" s="2658"/>
    </row>
    <row r="285" spans="2:28">
      <c r="M285" s="2978"/>
      <c r="N285" s="3348" t="s">
        <v>14949</v>
      </c>
      <c r="O285" s="3348"/>
      <c r="P285" s="2658"/>
      <c r="S285" s="2658"/>
      <c r="T285" s="2658"/>
      <c r="U285" s="2658"/>
      <c r="V285" s="2658"/>
      <c r="W285" s="2658"/>
      <c r="X285" s="2658"/>
      <c r="Y285" s="2658"/>
      <c r="Z285" s="2658"/>
      <c r="AA285" s="2658"/>
      <c r="AB285" s="2658"/>
    </row>
    <row r="286" spans="2:28">
      <c r="M286" s="2899" t="s">
        <v>2018</v>
      </c>
      <c r="N286" s="2986">
        <f>N276+N281</f>
        <v>7702.3239999999987</v>
      </c>
      <c r="O286" s="2986">
        <f>O276+O281</f>
        <v>7702.3239999999987</v>
      </c>
      <c r="P286" s="2658"/>
      <c r="S286" s="2658"/>
      <c r="T286" s="2658"/>
      <c r="U286" s="2658"/>
      <c r="V286" s="2658"/>
      <c r="W286" s="2658"/>
      <c r="X286" s="2658"/>
      <c r="Y286" s="2658"/>
      <c r="Z286" s="2658"/>
      <c r="AA286" s="2658"/>
      <c r="AB286" s="2658"/>
    </row>
    <row r="287" spans="2:28">
      <c r="M287" s="2958" t="s">
        <v>15213</v>
      </c>
      <c r="N287" s="2988">
        <f>N288/N286</f>
        <v>28.295479447501819</v>
      </c>
      <c r="O287" s="2988">
        <f>O288/O286</f>
        <v>28.295479447501819</v>
      </c>
      <c r="P287" s="2658"/>
      <c r="S287" s="2658"/>
      <c r="T287" s="2658"/>
      <c r="U287" s="2658"/>
      <c r="V287" s="2658"/>
      <c r="W287" s="2658"/>
      <c r="X287" s="2658"/>
      <c r="Y287" s="2658"/>
      <c r="Z287" s="2658"/>
      <c r="AA287" s="2658"/>
      <c r="AB287" s="2658"/>
    </row>
    <row r="288" spans="2:28">
      <c r="M288" s="2899" t="s">
        <v>15214</v>
      </c>
      <c r="N288" s="2986">
        <f>N283+N278</f>
        <v>217940.95043999996</v>
      </c>
      <c r="O288" s="2986">
        <f>O283+O278</f>
        <v>217940.95043999996</v>
      </c>
      <c r="P288" s="2658"/>
      <c r="S288" s="2658"/>
      <c r="T288" s="2658"/>
      <c r="U288" s="2658"/>
      <c r="V288" s="2658"/>
      <c r="W288" s="2658"/>
      <c r="X288" s="2658"/>
      <c r="Y288" s="2658"/>
      <c r="Z288" s="2658"/>
      <c r="AA288" s="2658"/>
      <c r="AB288" s="2658"/>
    </row>
    <row r="289" spans="13:28">
      <c r="M289" s="2978"/>
      <c r="N289" s="2986">
        <f>N5</f>
        <v>56149.941968741376</v>
      </c>
      <c r="O289" s="2986">
        <f>O5</f>
        <v>147306.3371564534</v>
      </c>
      <c r="P289" s="2658"/>
      <c r="S289" s="2658"/>
      <c r="T289" s="2658"/>
      <c r="U289" s="2658"/>
      <c r="V289" s="2658"/>
      <c r="W289" s="2658"/>
      <c r="X289" s="2658"/>
      <c r="Y289" s="2658"/>
      <c r="Z289" s="2658"/>
      <c r="AA289" s="2658"/>
      <c r="AB289" s="2658"/>
    </row>
    <row r="290" spans="13:28">
      <c r="M290" s="2978"/>
      <c r="N290" s="2986">
        <f>N289-N288</f>
        <v>-161791.00847125857</v>
      </c>
      <c r="O290" s="2986">
        <f>O289-O288</f>
        <v>-70634.613283546554</v>
      </c>
      <c r="P290" s="2658"/>
      <c r="S290" s="2658"/>
      <c r="T290" s="2658"/>
      <c r="U290" s="2658"/>
      <c r="V290" s="2658"/>
      <c r="W290" s="2658"/>
      <c r="X290" s="2658"/>
      <c r="Y290" s="2658"/>
      <c r="Z290" s="2658"/>
      <c r="AA290" s="2658"/>
      <c r="AB290" s="2658"/>
    </row>
    <row r="291" spans="13:28">
      <c r="M291" s="2990"/>
      <c r="N291" s="2991"/>
      <c r="O291" s="2990"/>
      <c r="P291" s="2601"/>
      <c r="S291" s="2601"/>
      <c r="T291" s="2601"/>
      <c r="U291" s="2601"/>
      <c r="V291" s="2601"/>
      <c r="W291" s="2601"/>
      <c r="X291" s="2601"/>
      <c r="Y291" s="2601"/>
      <c r="Z291" s="2601"/>
      <c r="AA291" s="2601"/>
      <c r="AB291" s="2601"/>
    </row>
    <row r="292" spans="13:28">
      <c r="M292" s="2990"/>
      <c r="N292" s="2991"/>
      <c r="O292" s="2990"/>
      <c r="P292" s="2601"/>
      <c r="S292" s="2601"/>
      <c r="T292" s="2601"/>
      <c r="U292" s="2601"/>
      <c r="V292" s="2601"/>
      <c r="W292" s="2601"/>
      <c r="X292" s="2601"/>
      <c r="Y292" s="2601"/>
      <c r="Z292" s="2601"/>
      <c r="AA292" s="2601"/>
      <c r="AB292" s="2601"/>
    </row>
    <row r="293" spans="13:28">
      <c r="M293" s="2990"/>
      <c r="N293" s="2990"/>
      <c r="O293" s="2990"/>
    </row>
    <row r="294" spans="13:28">
      <c r="N294" s="2464"/>
    </row>
    <row r="297" spans="13:28">
      <c r="N297" s="2464"/>
      <c r="O297" s="2464"/>
      <c r="Q297" s="2464"/>
      <c r="R297" s="2600"/>
      <c r="S297" s="2464"/>
    </row>
    <row r="298" spans="13:28">
      <c r="N298" s="2464"/>
      <c r="O298" s="2464"/>
      <c r="Q298" s="2219"/>
    </row>
    <row r="299" spans="13:28">
      <c r="Q299" s="2219"/>
    </row>
  </sheetData>
  <mergeCells count="22">
    <mergeCell ref="N285:O285"/>
    <mergeCell ref="N275:O275"/>
    <mergeCell ref="C276:G276"/>
    <mergeCell ref="E278:F278"/>
    <mergeCell ref="N280:O280"/>
    <mergeCell ref="B282:D282"/>
    <mergeCell ref="AD123:AE123"/>
    <mergeCell ref="B274:L274"/>
    <mergeCell ref="C1:D1"/>
    <mergeCell ref="E1:M1"/>
    <mergeCell ref="N1:V1"/>
    <mergeCell ref="B2:B3"/>
    <mergeCell ref="C2:C3"/>
    <mergeCell ref="D2:D3"/>
    <mergeCell ref="E2:G2"/>
    <mergeCell ref="H2:J2"/>
    <mergeCell ref="K2:M2"/>
    <mergeCell ref="N2:P2"/>
    <mergeCell ref="Q2:S2"/>
    <mergeCell ref="T2:V2"/>
    <mergeCell ref="W2:Y2"/>
    <mergeCell ref="Z2:AB2"/>
  </mergeCells>
  <printOptions horizontalCentered="1"/>
  <pageMargins left="0" right="0" top="0.39370078740157483" bottom="0.39370078740157483" header="0.31496062992125984" footer="0.31496062992125984"/>
  <pageSetup paperSize="9" scale="33" fitToHeight="1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46"/>
  <sheetViews>
    <sheetView view="pageBreakPreview" zoomScale="60" zoomScaleNormal="60" workbookViewId="0">
      <pane xSplit="1" ySplit="8" topLeftCell="C9" activePane="bottomRight" state="frozen"/>
      <selection pane="topRight" activeCell="B1" sqref="B1"/>
      <selection pane="bottomLeft" activeCell="A9" sqref="A9"/>
      <selection pane="bottomRight" activeCell="Q13" sqref="Q13"/>
    </sheetView>
  </sheetViews>
  <sheetFormatPr defaultRowHeight="15.75" outlineLevelRow="1" outlineLevelCol="1"/>
  <cols>
    <col min="1" max="1" width="5.42578125" style="1192" customWidth="1"/>
    <col min="2" max="2" width="12.85546875" style="1192" customWidth="1"/>
    <col min="3" max="3" width="16" style="1179" customWidth="1"/>
    <col min="4" max="4" width="31.5703125" style="1193" customWidth="1"/>
    <col min="5" max="5" width="48.85546875" style="1193" customWidth="1"/>
    <col min="6" max="6" width="10.7109375" style="1179" customWidth="1"/>
    <col min="7" max="7" width="22" style="1179" customWidth="1"/>
    <col min="8" max="8" width="13.42578125" style="1194" customWidth="1"/>
    <col min="9" max="9" width="12.85546875" style="1195" customWidth="1"/>
    <col min="10" max="10" width="23" style="1196" customWidth="1"/>
    <col min="11" max="11" width="16.5703125" style="1179" customWidth="1"/>
    <col min="12" max="12" width="30.140625" style="1197" customWidth="1"/>
    <col min="13" max="13" width="14.85546875" style="1179" hidden="1" customWidth="1"/>
    <col min="14" max="14" width="13.140625" style="1179" hidden="1" customWidth="1"/>
    <col min="15" max="15" width="16.5703125" style="1179" customWidth="1"/>
    <col min="16" max="16" width="16" style="1179" customWidth="1"/>
    <col min="17" max="17" width="16.28515625" style="1179" customWidth="1"/>
    <col min="18" max="18" width="16.7109375" style="1179" customWidth="1"/>
    <col min="19" max="19" width="17.140625" style="1179" customWidth="1"/>
    <col min="20" max="24" width="11.140625" style="1179" hidden="1" customWidth="1" outlineLevel="1"/>
    <col min="25" max="25" width="23.140625" style="1198" customWidth="1" collapsed="1"/>
    <col min="26" max="26" width="95.5703125" style="1195" customWidth="1"/>
    <col min="27" max="253" width="9.140625" style="1179"/>
    <col min="254" max="254" width="14.140625" style="1179" customWidth="1"/>
    <col min="255" max="255" width="35.140625" style="1179" customWidth="1"/>
    <col min="256" max="256" width="18.28515625" style="1179" customWidth="1"/>
    <col min="257" max="257" width="15.85546875" style="1179" customWidth="1"/>
    <col min="258" max="258" width="14.5703125" style="1179" customWidth="1"/>
    <col min="259" max="260" width="18" style="1179" customWidth="1"/>
    <col min="261" max="509" width="9.140625" style="1179"/>
    <col min="510" max="510" width="14.140625" style="1179" customWidth="1"/>
    <col min="511" max="511" width="35.140625" style="1179" customWidth="1"/>
    <col min="512" max="512" width="18.28515625" style="1179" customWidth="1"/>
    <col min="513" max="513" width="15.85546875" style="1179" customWidth="1"/>
    <col min="514" max="514" width="14.5703125" style="1179" customWidth="1"/>
    <col min="515" max="516" width="18" style="1179" customWidth="1"/>
    <col min="517" max="765" width="9.140625" style="1179"/>
    <col min="766" max="766" width="14.140625" style="1179" customWidth="1"/>
    <col min="767" max="767" width="35.140625" style="1179" customWidth="1"/>
    <col min="768" max="768" width="18.28515625" style="1179" customWidth="1"/>
    <col min="769" max="769" width="15.85546875" style="1179" customWidth="1"/>
    <col min="770" max="770" width="14.5703125" style="1179" customWidth="1"/>
    <col min="771" max="772" width="18" style="1179" customWidth="1"/>
    <col min="773" max="1021" width="9.140625" style="1179"/>
    <col min="1022" max="1022" width="14.140625" style="1179" customWidth="1"/>
    <col min="1023" max="1023" width="35.140625" style="1179" customWidth="1"/>
    <col min="1024" max="1024" width="18.28515625" style="1179" customWidth="1"/>
    <col min="1025" max="1025" width="15.85546875" style="1179" customWidth="1"/>
    <col min="1026" max="1026" width="14.5703125" style="1179" customWidth="1"/>
    <col min="1027" max="1028" width="18" style="1179" customWidth="1"/>
    <col min="1029" max="1277" width="9.140625" style="1179"/>
    <col min="1278" max="1278" width="14.140625" style="1179" customWidth="1"/>
    <col min="1279" max="1279" width="35.140625" style="1179" customWidth="1"/>
    <col min="1280" max="1280" width="18.28515625" style="1179" customWidth="1"/>
    <col min="1281" max="1281" width="15.85546875" style="1179" customWidth="1"/>
    <col min="1282" max="1282" width="14.5703125" style="1179" customWidth="1"/>
    <col min="1283" max="1284" width="18" style="1179" customWidth="1"/>
    <col min="1285" max="1533" width="9.140625" style="1179"/>
    <col min="1534" max="1534" width="14.140625" style="1179" customWidth="1"/>
    <col min="1535" max="1535" width="35.140625" style="1179" customWidth="1"/>
    <col min="1536" max="1536" width="18.28515625" style="1179" customWidth="1"/>
    <col min="1537" max="1537" width="15.85546875" style="1179" customWidth="1"/>
    <col min="1538" max="1538" width="14.5703125" style="1179" customWidth="1"/>
    <col min="1539" max="1540" width="18" style="1179" customWidth="1"/>
    <col min="1541" max="1789" width="9.140625" style="1179"/>
    <col min="1790" max="1790" width="14.140625" style="1179" customWidth="1"/>
    <col min="1791" max="1791" width="35.140625" style="1179" customWidth="1"/>
    <col min="1792" max="1792" width="18.28515625" style="1179" customWidth="1"/>
    <col min="1793" max="1793" width="15.85546875" style="1179" customWidth="1"/>
    <col min="1794" max="1794" width="14.5703125" style="1179" customWidth="1"/>
    <col min="1795" max="1796" width="18" style="1179" customWidth="1"/>
    <col min="1797" max="2045" width="9.140625" style="1179"/>
    <col min="2046" max="2046" width="14.140625" style="1179" customWidth="1"/>
    <col min="2047" max="2047" width="35.140625" style="1179" customWidth="1"/>
    <col min="2048" max="2048" width="18.28515625" style="1179" customWidth="1"/>
    <col min="2049" max="2049" width="15.85546875" style="1179" customWidth="1"/>
    <col min="2050" max="2050" width="14.5703125" style="1179" customWidth="1"/>
    <col min="2051" max="2052" width="18" style="1179" customWidth="1"/>
    <col min="2053" max="2301" width="9.140625" style="1179"/>
    <col min="2302" max="2302" width="14.140625" style="1179" customWidth="1"/>
    <col min="2303" max="2303" width="35.140625" style="1179" customWidth="1"/>
    <col min="2304" max="2304" width="18.28515625" style="1179" customWidth="1"/>
    <col min="2305" max="2305" width="15.85546875" style="1179" customWidth="1"/>
    <col min="2306" max="2306" width="14.5703125" style="1179" customWidth="1"/>
    <col min="2307" max="2308" width="18" style="1179" customWidth="1"/>
    <col min="2309" max="2557" width="9.140625" style="1179"/>
    <col min="2558" max="2558" width="14.140625" style="1179" customWidth="1"/>
    <col min="2559" max="2559" width="35.140625" style="1179" customWidth="1"/>
    <col min="2560" max="2560" width="18.28515625" style="1179" customWidth="1"/>
    <col min="2561" max="2561" width="15.85546875" style="1179" customWidth="1"/>
    <col min="2562" max="2562" width="14.5703125" style="1179" customWidth="1"/>
    <col min="2563" max="2564" width="18" style="1179" customWidth="1"/>
    <col min="2565" max="2813" width="9.140625" style="1179"/>
    <col min="2814" max="2814" width="14.140625" style="1179" customWidth="1"/>
    <col min="2815" max="2815" width="35.140625" style="1179" customWidth="1"/>
    <col min="2816" max="2816" width="18.28515625" style="1179" customWidth="1"/>
    <col min="2817" max="2817" width="15.85546875" style="1179" customWidth="1"/>
    <col min="2818" max="2818" width="14.5703125" style="1179" customWidth="1"/>
    <col min="2819" max="2820" width="18" style="1179" customWidth="1"/>
    <col min="2821" max="3069" width="9.140625" style="1179"/>
    <col min="3070" max="3070" width="14.140625" style="1179" customWidth="1"/>
    <col min="3071" max="3071" width="35.140625" style="1179" customWidth="1"/>
    <col min="3072" max="3072" width="18.28515625" style="1179" customWidth="1"/>
    <col min="3073" max="3073" width="15.85546875" style="1179" customWidth="1"/>
    <col min="3074" max="3074" width="14.5703125" style="1179" customWidth="1"/>
    <col min="3075" max="3076" width="18" style="1179" customWidth="1"/>
    <col min="3077" max="3325" width="9.140625" style="1179"/>
    <col min="3326" max="3326" width="14.140625" style="1179" customWidth="1"/>
    <col min="3327" max="3327" width="35.140625" style="1179" customWidth="1"/>
    <col min="3328" max="3328" width="18.28515625" style="1179" customWidth="1"/>
    <col min="3329" max="3329" width="15.85546875" style="1179" customWidth="1"/>
    <col min="3330" max="3330" width="14.5703125" style="1179" customWidth="1"/>
    <col min="3331" max="3332" width="18" style="1179" customWidth="1"/>
    <col min="3333" max="3581" width="9.140625" style="1179"/>
    <col min="3582" max="3582" width="14.140625" style="1179" customWidth="1"/>
    <col min="3583" max="3583" width="35.140625" style="1179" customWidth="1"/>
    <col min="3584" max="3584" width="18.28515625" style="1179" customWidth="1"/>
    <col min="3585" max="3585" width="15.85546875" style="1179" customWidth="1"/>
    <col min="3586" max="3586" width="14.5703125" style="1179" customWidth="1"/>
    <col min="3587" max="3588" width="18" style="1179" customWidth="1"/>
    <col min="3589" max="3837" width="9.140625" style="1179"/>
    <col min="3838" max="3838" width="14.140625" style="1179" customWidth="1"/>
    <col min="3839" max="3839" width="35.140625" style="1179" customWidth="1"/>
    <col min="3840" max="3840" width="18.28515625" style="1179" customWidth="1"/>
    <col min="3841" max="3841" width="15.85546875" style="1179" customWidth="1"/>
    <col min="3842" max="3842" width="14.5703125" style="1179" customWidth="1"/>
    <col min="3843" max="3844" width="18" style="1179" customWidth="1"/>
    <col min="3845" max="4093" width="9.140625" style="1179"/>
    <col min="4094" max="4094" width="14.140625" style="1179" customWidth="1"/>
    <col min="4095" max="4095" width="35.140625" style="1179" customWidth="1"/>
    <col min="4096" max="4096" width="18.28515625" style="1179" customWidth="1"/>
    <col min="4097" max="4097" width="15.85546875" style="1179" customWidth="1"/>
    <col min="4098" max="4098" width="14.5703125" style="1179" customWidth="1"/>
    <col min="4099" max="4100" width="18" style="1179" customWidth="1"/>
    <col min="4101" max="4349" width="9.140625" style="1179"/>
    <col min="4350" max="4350" width="14.140625" style="1179" customWidth="1"/>
    <col min="4351" max="4351" width="35.140625" style="1179" customWidth="1"/>
    <col min="4352" max="4352" width="18.28515625" style="1179" customWidth="1"/>
    <col min="4353" max="4353" width="15.85546875" style="1179" customWidth="1"/>
    <col min="4354" max="4354" width="14.5703125" style="1179" customWidth="1"/>
    <col min="4355" max="4356" width="18" style="1179" customWidth="1"/>
    <col min="4357" max="4605" width="9.140625" style="1179"/>
    <col min="4606" max="4606" width="14.140625" style="1179" customWidth="1"/>
    <col min="4607" max="4607" width="35.140625" style="1179" customWidth="1"/>
    <col min="4608" max="4608" width="18.28515625" style="1179" customWidth="1"/>
    <col min="4609" max="4609" width="15.85546875" style="1179" customWidth="1"/>
    <col min="4610" max="4610" width="14.5703125" style="1179" customWidth="1"/>
    <col min="4611" max="4612" width="18" style="1179" customWidth="1"/>
    <col min="4613" max="4861" width="9.140625" style="1179"/>
    <col min="4862" max="4862" width="14.140625" style="1179" customWidth="1"/>
    <col min="4863" max="4863" width="35.140625" style="1179" customWidth="1"/>
    <col min="4864" max="4864" width="18.28515625" style="1179" customWidth="1"/>
    <col min="4865" max="4865" width="15.85546875" style="1179" customWidth="1"/>
    <col min="4866" max="4866" width="14.5703125" style="1179" customWidth="1"/>
    <col min="4867" max="4868" width="18" style="1179" customWidth="1"/>
    <col min="4869" max="5117" width="9.140625" style="1179"/>
    <col min="5118" max="5118" width="14.140625" style="1179" customWidth="1"/>
    <col min="5119" max="5119" width="35.140625" style="1179" customWidth="1"/>
    <col min="5120" max="5120" width="18.28515625" style="1179" customWidth="1"/>
    <col min="5121" max="5121" width="15.85546875" style="1179" customWidth="1"/>
    <col min="5122" max="5122" width="14.5703125" style="1179" customWidth="1"/>
    <col min="5123" max="5124" width="18" style="1179" customWidth="1"/>
    <col min="5125" max="5373" width="9.140625" style="1179"/>
    <col min="5374" max="5374" width="14.140625" style="1179" customWidth="1"/>
    <col min="5375" max="5375" width="35.140625" style="1179" customWidth="1"/>
    <col min="5376" max="5376" width="18.28515625" style="1179" customWidth="1"/>
    <col min="5377" max="5377" width="15.85546875" style="1179" customWidth="1"/>
    <col min="5378" max="5378" width="14.5703125" style="1179" customWidth="1"/>
    <col min="5379" max="5380" width="18" style="1179" customWidth="1"/>
    <col min="5381" max="5629" width="9.140625" style="1179"/>
    <col min="5630" max="5630" width="14.140625" style="1179" customWidth="1"/>
    <col min="5631" max="5631" width="35.140625" style="1179" customWidth="1"/>
    <col min="5632" max="5632" width="18.28515625" style="1179" customWidth="1"/>
    <col min="5633" max="5633" width="15.85546875" style="1179" customWidth="1"/>
    <col min="5634" max="5634" width="14.5703125" style="1179" customWidth="1"/>
    <col min="5635" max="5636" width="18" style="1179" customWidth="1"/>
    <col min="5637" max="5885" width="9.140625" style="1179"/>
    <col min="5886" max="5886" width="14.140625" style="1179" customWidth="1"/>
    <col min="5887" max="5887" width="35.140625" style="1179" customWidth="1"/>
    <col min="5888" max="5888" width="18.28515625" style="1179" customWidth="1"/>
    <col min="5889" max="5889" width="15.85546875" style="1179" customWidth="1"/>
    <col min="5890" max="5890" width="14.5703125" style="1179" customWidth="1"/>
    <col min="5891" max="5892" width="18" style="1179" customWidth="1"/>
    <col min="5893" max="6141" width="9.140625" style="1179"/>
    <col min="6142" max="6142" width="14.140625" style="1179" customWidth="1"/>
    <col min="6143" max="6143" width="35.140625" style="1179" customWidth="1"/>
    <col min="6144" max="6144" width="18.28515625" style="1179" customWidth="1"/>
    <col min="6145" max="6145" width="15.85546875" style="1179" customWidth="1"/>
    <col min="6146" max="6146" width="14.5703125" style="1179" customWidth="1"/>
    <col min="6147" max="6148" width="18" style="1179" customWidth="1"/>
    <col min="6149" max="6397" width="9.140625" style="1179"/>
    <col min="6398" max="6398" width="14.140625" style="1179" customWidth="1"/>
    <col min="6399" max="6399" width="35.140625" style="1179" customWidth="1"/>
    <col min="6400" max="6400" width="18.28515625" style="1179" customWidth="1"/>
    <col min="6401" max="6401" width="15.85546875" style="1179" customWidth="1"/>
    <col min="6402" max="6402" width="14.5703125" style="1179" customWidth="1"/>
    <col min="6403" max="6404" width="18" style="1179" customWidth="1"/>
    <col min="6405" max="6653" width="9.140625" style="1179"/>
    <col min="6654" max="6654" width="14.140625" style="1179" customWidth="1"/>
    <col min="6655" max="6655" width="35.140625" style="1179" customWidth="1"/>
    <col min="6656" max="6656" width="18.28515625" style="1179" customWidth="1"/>
    <col min="6657" max="6657" width="15.85546875" style="1179" customWidth="1"/>
    <col min="6658" max="6658" width="14.5703125" style="1179" customWidth="1"/>
    <col min="6659" max="6660" width="18" style="1179" customWidth="1"/>
    <col min="6661" max="6909" width="9.140625" style="1179"/>
    <col min="6910" max="6910" width="14.140625" style="1179" customWidth="1"/>
    <col min="6911" max="6911" width="35.140625" style="1179" customWidth="1"/>
    <col min="6912" max="6912" width="18.28515625" style="1179" customWidth="1"/>
    <col min="6913" max="6913" width="15.85546875" style="1179" customWidth="1"/>
    <col min="6914" max="6914" width="14.5703125" style="1179" customWidth="1"/>
    <col min="6915" max="6916" width="18" style="1179" customWidth="1"/>
    <col min="6917" max="7165" width="9.140625" style="1179"/>
    <col min="7166" max="7166" width="14.140625" style="1179" customWidth="1"/>
    <col min="7167" max="7167" width="35.140625" style="1179" customWidth="1"/>
    <col min="7168" max="7168" width="18.28515625" style="1179" customWidth="1"/>
    <col min="7169" max="7169" width="15.85546875" style="1179" customWidth="1"/>
    <col min="7170" max="7170" width="14.5703125" style="1179" customWidth="1"/>
    <col min="7171" max="7172" width="18" style="1179" customWidth="1"/>
    <col min="7173" max="7421" width="9.140625" style="1179"/>
    <col min="7422" max="7422" width="14.140625" style="1179" customWidth="1"/>
    <col min="7423" max="7423" width="35.140625" style="1179" customWidth="1"/>
    <col min="7424" max="7424" width="18.28515625" style="1179" customWidth="1"/>
    <col min="7425" max="7425" width="15.85546875" style="1179" customWidth="1"/>
    <col min="7426" max="7426" width="14.5703125" style="1179" customWidth="1"/>
    <col min="7427" max="7428" width="18" style="1179" customWidth="1"/>
    <col min="7429" max="7677" width="9.140625" style="1179"/>
    <col min="7678" max="7678" width="14.140625" style="1179" customWidth="1"/>
    <col min="7679" max="7679" width="35.140625" style="1179" customWidth="1"/>
    <col min="7680" max="7680" width="18.28515625" style="1179" customWidth="1"/>
    <col min="7681" max="7681" width="15.85546875" style="1179" customWidth="1"/>
    <col min="7682" max="7682" width="14.5703125" style="1179" customWidth="1"/>
    <col min="7683" max="7684" width="18" style="1179" customWidth="1"/>
    <col min="7685" max="7933" width="9.140625" style="1179"/>
    <col min="7934" max="7934" width="14.140625" style="1179" customWidth="1"/>
    <col min="7935" max="7935" width="35.140625" style="1179" customWidth="1"/>
    <col min="7936" max="7936" width="18.28515625" style="1179" customWidth="1"/>
    <col min="7937" max="7937" width="15.85546875" style="1179" customWidth="1"/>
    <col min="7938" max="7938" width="14.5703125" style="1179" customWidth="1"/>
    <col min="7939" max="7940" width="18" style="1179" customWidth="1"/>
    <col min="7941" max="8189" width="9.140625" style="1179"/>
    <col min="8190" max="8190" width="14.140625" style="1179" customWidth="1"/>
    <col min="8191" max="8191" width="35.140625" style="1179" customWidth="1"/>
    <col min="8192" max="8192" width="18.28515625" style="1179" customWidth="1"/>
    <col min="8193" max="8193" width="15.85546875" style="1179" customWidth="1"/>
    <col min="8194" max="8194" width="14.5703125" style="1179" customWidth="1"/>
    <col min="8195" max="8196" width="18" style="1179" customWidth="1"/>
    <col min="8197" max="8445" width="9.140625" style="1179"/>
    <col min="8446" max="8446" width="14.140625" style="1179" customWidth="1"/>
    <col min="8447" max="8447" width="35.140625" style="1179" customWidth="1"/>
    <col min="8448" max="8448" width="18.28515625" style="1179" customWidth="1"/>
    <col min="8449" max="8449" width="15.85546875" style="1179" customWidth="1"/>
    <col min="8450" max="8450" width="14.5703125" style="1179" customWidth="1"/>
    <col min="8451" max="8452" width="18" style="1179" customWidth="1"/>
    <col min="8453" max="8701" width="9.140625" style="1179"/>
    <col min="8702" max="8702" width="14.140625" style="1179" customWidth="1"/>
    <col min="8703" max="8703" width="35.140625" style="1179" customWidth="1"/>
    <col min="8704" max="8704" width="18.28515625" style="1179" customWidth="1"/>
    <col min="8705" max="8705" width="15.85546875" style="1179" customWidth="1"/>
    <col min="8706" max="8706" width="14.5703125" style="1179" customWidth="1"/>
    <col min="8707" max="8708" width="18" style="1179" customWidth="1"/>
    <col min="8709" max="8957" width="9.140625" style="1179"/>
    <col min="8958" max="8958" width="14.140625" style="1179" customWidth="1"/>
    <col min="8959" max="8959" width="35.140625" style="1179" customWidth="1"/>
    <col min="8960" max="8960" width="18.28515625" style="1179" customWidth="1"/>
    <col min="8961" max="8961" width="15.85546875" style="1179" customWidth="1"/>
    <col min="8962" max="8962" width="14.5703125" style="1179" customWidth="1"/>
    <col min="8963" max="8964" width="18" style="1179" customWidth="1"/>
    <col min="8965" max="9213" width="9.140625" style="1179"/>
    <col min="9214" max="9214" width="14.140625" style="1179" customWidth="1"/>
    <col min="9215" max="9215" width="35.140625" style="1179" customWidth="1"/>
    <col min="9216" max="9216" width="18.28515625" style="1179" customWidth="1"/>
    <col min="9217" max="9217" width="15.85546875" style="1179" customWidth="1"/>
    <col min="9218" max="9218" width="14.5703125" style="1179" customWidth="1"/>
    <col min="9219" max="9220" width="18" style="1179" customWidth="1"/>
    <col min="9221" max="9469" width="9.140625" style="1179"/>
    <col min="9470" max="9470" width="14.140625" style="1179" customWidth="1"/>
    <col min="9471" max="9471" width="35.140625" style="1179" customWidth="1"/>
    <col min="9472" max="9472" width="18.28515625" style="1179" customWidth="1"/>
    <col min="9473" max="9473" width="15.85546875" style="1179" customWidth="1"/>
    <col min="9474" max="9474" width="14.5703125" style="1179" customWidth="1"/>
    <col min="9475" max="9476" width="18" style="1179" customWidth="1"/>
    <col min="9477" max="9725" width="9.140625" style="1179"/>
    <col min="9726" max="9726" width="14.140625" style="1179" customWidth="1"/>
    <col min="9727" max="9727" width="35.140625" style="1179" customWidth="1"/>
    <col min="9728" max="9728" width="18.28515625" style="1179" customWidth="1"/>
    <col min="9729" max="9729" width="15.85546875" style="1179" customWidth="1"/>
    <col min="9730" max="9730" width="14.5703125" style="1179" customWidth="1"/>
    <col min="9731" max="9732" width="18" style="1179" customWidth="1"/>
    <col min="9733" max="9981" width="9.140625" style="1179"/>
    <col min="9982" max="9982" width="14.140625" style="1179" customWidth="1"/>
    <col min="9983" max="9983" width="35.140625" style="1179" customWidth="1"/>
    <col min="9984" max="9984" width="18.28515625" style="1179" customWidth="1"/>
    <col min="9985" max="9985" width="15.85546875" style="1179" customWidth="1"/>
    <col min="9986" max="9986" width="14.5703125" style="1179" customWidth="1"/>
    <col min="9987" max="9988" width="18" style="1179" customWidth="1"/>
    <col min="9989" max="10237" width="9.140625" style="1179"/>
    <col min="10238" max="10238" width="14.140625" style="1179" customWidth="1"/>
    <col min="10239" max="10239" width="35.140625" style="1179" customWidth="1"/>
    <col min="10240" max="10240" width="18.28515625" style="1179" customWidth="1"/>
    <col min="10241" max="10241" width="15.85546875" style="1179" customWidth="1"/>
    <col min="10242" max="10242" width="14.5703125" style="1179" customWidth="1"/>
    <col min="10243" max="10244" width="18" style="1179" customWidth="1"/>
    <col min="10245" max="10493" width="9.140625" style="1179"/>
    <col min="10494" max="10494" width="14.140625" style="1179" customWidth="1"/>
    <col min="10495" max="10495" width="35.140625" style="1179" customWidth="1"/>
    <col min="10496" max="10496" width="18.28515625" style="1179" customWidth="1"/>
    <col min="10497" max="10497" width="15.85546875" style="1179" customWidth="1"/>
    <col min="10498" max="10498" width="14.5703125" style="1179" customWidth="1"/>
    <col min="10499" max="10500" width="18" style="1179" customWidth="1"/>
    <col min="10501" max="10749" width="9.140625" style="1179"/>
    <col min="10750" max="10750" width="14.140625" style="1179" customWidth="1"/>
    <col min="10751" max="10751" width="35.140625" style="1179" customWidth="1"/>
    <col min="10752" max="10752" width="18.28515625" style="1179" customWidth="1"/>
    <col min="10753" max="10753" width="15.85546875" style="1179" customWidth="1"/>
    <col min="10754" max="10754" width="14.5703125" style="1179" customWidth="1"/>
    <col min="10755" max="10756" width="18" style="1179" customWidth="1"/>
    <col min="10757" max="11005" width="9.140625" style="1179"/>
    <col min="11006" max="11006" width="14.140625" style="1179" customWidth="1"/>
    <col min="11007" max="11007" width="35.140625" style="1179" customWidth="1"/>
    <col min="11008" max="11008" width="18.28515625" style="1179" customWidth="1"/>
    <col min="11009" max="11009" width="15.85546875" style="1179" customWidth="1"/>
    <col min="11010" max="11010" width="14.5703125" style="1179" customWidth="1"/>
    <col min="11011" max="11012" width="18" style="1179" customWidth="1"/>
    <col min="11013" max="11261" width="9.140625" style="1179"/>
    <col min="11262" max="11262" width="14.140625" style="1179" customWidth="1"/>
    <col min="11263" max="11263" width="35.140625" style="1179" customWidth="1"/>
    <col min="11264" max="11264" width="18.28515625" style="1179" customWidth="1"/>
    <col min="11265" max="11265" width="15.85546875" style="1179" customWidth="1"/>
    <col min="11266" max="11266" width="14.5703125" style="1179" customWidth="1"/>
    <col min="11267" max="11268" width="18" style="1179" customWidth="1"/>
    <col min="11269" max="11517" width="9.140625" style="1179"/>
    <col min="11518" max="11518" width="14.140625" style="1179" customWidth="1"/>
    <col min="11519" max="11519" width="35.140625" style="1179" customWidth="1"/>
    <col min="11520" max="11520" width="18.28515625" style="1179" customWidth="1"/>
    <col min="11521" max="11521" width="15.85546875" style="1179" customWidth="1"/>
    <col min="11522" max="11522" width="14.5703125" style="1179" customWidth="1"/>
    <col min="11523" max="11524" width="18" style="1179" customWidth="1"/>
    <col min="11525" max="11773" width="9.140625" style="1179"/>
    <col min="11774" max="11774" width="14.140625" style="1179" customWidth="1"/>
    <col min="11775" max="11775" width="35.140625" style="1179" customWidth="1"/>
    <col min="11776" max="11776" width="18.28515625" style="1179" customWidth="1"/>
    <col min="11777" max="11777" width="15.85546875" style="1179" customWidth="1"/>
    <col min="11778" max="11778" width="14.5703125" style="1179" customWidth="1"/>
    <col min="11779" max="11780" width="18" style="1179" customWidth="1"/>
    <col min="11781" max="12029" width="9.140625" style="1179"/>
    <col min="12030" max="12030" width="14.140625" style="1179" customWidth="1"/>
    <col min="12031" max="12031" width="35.140625" style="1179" customWidth="1"/>
    <col min="12032" max="12032" width="18.28515625" style="1179" customWidth="1"/>
    <col min="12033" max="12033" width="15.85546875" style="1179" customWidth="1"/>
    <col min="12034" max="12034" width="14.5703125" style="1179" customWidth="1"/>
    <col min="12035" max="12036" width="18" style="1179" customWidth="1"/>
    <col min="12037" max="12285" width="9.140625" style="1179"/>
    <col min="12286" max="12286" width="14.140625" style="1179" customWidth="1"/>
    <col min="12287" max="12287" width="35.140625" style="1179" customWidth="1"/>
    <col min="12288" max="12288" width="18.28515625" style="1179" customWidth="1"/>
    <col min="12289" max="12289" width="15.85546875" style="1179" customWidth="1"/>
    <col min="12290" max="12290" width="14.5703125" style="1179" customWidth="1"/>
    <col min="12291" max="12292" width="18" style="1179" customWidth="1"/>
    <col min="12293" max="12541" width="9.140625" style="1179"/>
    <col min="12542" max="12542" width="14.140625" style="1179" customWidth="1"/>
    <col min="12543" max="12543" width="35.140625" style="1179" customWidth="1"/>
    <col min="12544" max="12544" width="18.28515625" style="1179" customWidth="1"/>
    <col min="12545" max="12545" width="15.85546875" style="1179" customWidth="1"/>
    <col min="12546" max="12546" width="14.5703125" style="1179" customWidth="1"/>
    <col min="12547" max="12548" width="18" style="1179" customWidth="1"/>
    <col min="12549" max="12797" width="9.140625" style="1179"/>
    <col min="12798" max="12798" width="14.140625" style="1179" customWidth="1"/>
    <col min="12799" max="12799" width="35.140625" style="1179" customWidth="1"/>
    <col min="12800" max="12800" width="18.28515625" style="1179" customWidth="1"/>
    <col min="12801" max="12801" width="15.85546875" style="1179" customWidth="1"/>
    <col min="12802" max="12802" width="14.5703125" style="1179" customWidth="1"/>
    <col min="12803" max="12804" width="18" style="1179" customWidth="1"/>
    <col min="12805" max="13053" width="9.140625" style="1179"/>
    <col min="13054" max="13054" width="14.140625" style="1179" customWidth="1"/>
    <col min="13055" max="13055" width="35.140625" style="1179" customWidth="1"/>
    <col min="13056" max="13056" width="18.28515625" style="1179" customWidth="1"/>
    <col min="13057" max="13057" width="15.85546875" style="1179" customWidth="1"/>
    <col min="13058" max="13058" width="14.5703125" style="1179" customWidth="1"/>
    <col min="13059" max="13060" width="18" style="1179" customWidth="1"/>
    <col min="13061" max="13309" width="9.140625" style="1179"/>
    <col min="13310" max="13310" width="14.140625" style="1179" customWidth="1"/>
    <col min="13311" max="13311" width="35.140625" style="1179" customWidth="1"/>
    <col min="13312" max="13312" width="18.28515625" style="1179" customWidth="1"/>
    <col min="13313" max="13313" width="15.85546875" style="1179" customWidth="1"/>
    <col min="13314" max="13314" width="14.5703125" style="1179" customWidth="1"/>
    <col min="13315" max="13316" width="18" style="1179" customWidth="1"/>
    <col min="13317" max="13565" width="9.140625" style="1179"/>
    <col min="13566" max="13566" width="14.140625" style="1179" customWidth="1"/>
    <col min="13567" max="13567" width="35.140625" style="1179" customWidth="1"/>
    <col min="13568" max="13568" width="18.28515625" style="1179" customWidth="1"/>
    <col min="13569" max="13569" width="15.85546875" style="1179" customWidth="1"/>
    <col min="13570" max="13570" width="14.5703125" style="1179" customWidth="1"/>
    <col min="13571" max="13572" width="18" style="1179" customWidth="1"/>
    <col min="13573" max="13821" width="9.140625" style="1179"/>
    <col min="13822" max="13822" width="14.140625" style="1179" customWidth="1"/>
    <col min="13823" max="13823" width="35.140625" style="1179" customWidth="1"/>
    <col min="13824" max="13824" width="18.28515625" style="1179" customWidth="1"/>
    <col min="13825" max="13825" width="15.85546875" style="1179" customWidth="1"/>
    <col min="13826" max="13826" width="14.5703125" style="1179" customWidth="1"/>
    <col min="13827" max="13828" width="18" style="1179" customWidth="1"/>
    <col min="13829" max="14077" width="9.140625" style="1179"/>
    <col min="14078" max="14078" width="14.140625" style="1179" customWidth="1"/>
    <col min="14079" max="14079" width="35.140625" style="1179" customWidth="1"/>
    <col min="14080" max="14080" width="18.28515625" style="1179" customWidth="1"/>
    <col min="14081" max="14081" width="15.85546875" style="1179" customWidth="1"/>
    <col min="14082" max="14082" width="14.5703125" style="1179" customWidth="1"/>
    <col min="14083" max="14084" width="18" style="1179" customWidth="1"/>
    <col min="14085" max="14333" width="9.140625" style="1179"/>
    <col min="14334" max="14334" width="14.140625" style="1179" customWidth="1"/>
    <col min="14335" max="14335" width="35.140625" style="1179" customWidth="1"/>
    <col min="14336" max="14336" width="18.28515625" style="1179" customWidth="1"/>
    <col min="14337" max="14337" width="15.85546875" style="1179" customWidth="1"/>
    <col min="14338" max="14338" width="14.5703125" style="1179" customWidth="1"/>
    <col min="14339" max="14340" width="18" style="1179" customWidth="1"/>
    <col min="14341" max="14589" width="9.140625" style="1179"/>
    <col min="14590" max="14590" width="14.140625" style="1179" customWidth="1"/>
    <col min="14591" max="14591" width="35.140625" style="1179" customWidth="1"/>
    <col min="14592" max="14592" width="18.28515625" style="1179" customWidth="1"/>
    <col min="14593" max="14593" width="15.85546875" style="1179" customWidth="1"/>
    <col min="14594" max="14594" width="14.5703125" style="1179" customWidth="1"/>
    <col min="14595" max="14596" width="18" style="1179" customWidth="1"/>
    <col min="14597" max="14845" width="9.140625" style="1179"/>
    <col min="14846" max="14846" width="14.140625" style="1179" customWidth="1"/>
    <col min="14847" max="14847" width="35.140625" style="1179" customWidth="1"/>
    <col min="14848" max="14848" width="18.28515625" style="1179" customWidth="1"/>
    <col min="14849" max="14849" width="15.85546875" style="1179" customWidth="1"/>
    <col min="14850" max="14850" width="14.5703125" style="1179" customWidth="1"/>
    <col min="14851" max="14852" width="18" style="1179" customWidth="1"/>
    <col min="14853" max="15101" width="9.140625" style="1179"/>
    <col min="15102" max="15102" width="14.140625" style="1179" customWidth="1"/>
    <col min="15103" max="15103" width="35.140625" style="1179" customWidth="1"/>
    <col min="15104" max="15104" width="18.28515625" style="1179" customWidth="1"/>
    <col min="15105" max="15105" width="15.85546875" style="1179" customWidth="1"/>
    <col min="15106" max="15106" width="14.5703125" style="1179" customWidth="1"/>
    <col min="15107" max="15108" width="18" style="1179" customWidth="1"/>
    <col min="15109" max="15357" width="9.140625" style="1179"/>
    <col min="15358" max="15358" width="14.140625" style="1179" customWidth="1"/>
    <col min="15359" max="15359" width="35.140625" style="1179" customWidth="1"/>
    <col min="15360" max="15360" width="18.28515625" style="1179" customWidth="1"/>
    <col min="15361" max="15361" width="15.85546875" style="1179" customWidth="1"/>
    <col min="15362" max="15362" width="14.5703125" style="1179" customWidth="1"/>
    <col min="15363" max="15364" width="18" style="1179" customWidth="1"/>
    <col min="15365" max="15613" width="9.140625" style="1179"/>
    <col min="15614" max="15614" width="14.140625" style="1179" customWidth="1"/>
    <col min="15615" max="15615" width="35.140625" style="1179" customWidth="1"/>
    <col min="15616" max="15616" width="18.28515625" style="1179" customWidth="1"/>
    <col min="15617" max="15617" width="15.85546875" style="1179" customWidth="1"/>
    <col min="15618" max="15618" width="14.5703125" style="1179" customWidth="1"/>
    <col min="15619" max="15620" width="18" style="1179" customWidth="1"/>
    <col min="15621" max="15869" width="9.140625" style="1179"/>
    <col min="15870" max="15870" width="14.140625" style="1179" customWidth="1"/>
    <col min="15871" max="15871" width="35.140625" style="1179" customWidth="1"/>
    <col min="15872" max="15872" width="18.28515625" style="1179" customWidth="1"/>
    <col min="15873" max="15873" width="15.85546875" style="1179" customWidth="1"/>
    <col min="15874" max="15874" width="14.5703125" style="1179" customWidth="1"/>
    <col min="15875" max="15876" width="18" style="1179" customWidth="1"/>
    <col min="15877" max="16125" width="9.140625" style="1179"/>
    <col min="16126" max="16126" width="14.140625" style="1179" customWidth="1"/>
    <col min="16127" max="16127" width="35.140625" style="1179" customWidth="1"/>
    <col min="16128" max="16128" width="18.28515625" style="1179" customWidth="1"/>
    <col min="16129" max="16129" width="15.85546875" style="1179" customWidth="1"/>
    <col min="16130" max="16130" width="14.5703125" style="1179" customWidth="1"/>
    <col min="16131" max="16132" width="18" style="1179" customWidth="1"/>
    <col min="16133" max="16384" width="9.140625" style="1179"/>
  </cols>
  <sheetData>
    <row r="1" spans="1:26" hidden="1" outlineLevel="1"/>
    <row r="2" spans="1:26" hidden="1" outlineLevel="1"/>
    <row r="3" spans="1:26" hidden="1" outlineLevel="1"/>
    <row r="4" spans="1:26" ht="22.5" customHeight="1" collapsed="1">
      <c r="B4" s="1199"/>
      <c r="C4" s="1199" t="s">
        <v>794</v>
      </c>
      <c r="D4" s="1200"/>
      <c r="E4" s="1200"/>
      <c r="F4" s="1200"/>
      <c r="G4" s="1200"/>
      <c r="H4" s="1200"/>
    </row>
    <row r="5" spans="1:26">
      <c r="B5" s="1201"/>
      <c r="C5" s="1200"/>
      <c r="D5" s="1200"/>
      <c r="E5" s="1200"/>
      <c r="F5" s="1200"/>
      <c r="G5" s="1200"/>
      <c r="H5" s="1200"/>
      <c r="J5" s="1188"/>
      <c r="K5" s="1188"/>
      <c r="L5" s="1188" t="s">
        <v>1303</v>
      </c>
      <c r="O5" s="1188">
        <v>105.3</v>
      </c>
      <c r="P5" s="1188">
        <v>104.8</v>
      </c>
      <c r="Q5" s="1188">
        <v>104.8</v>
      </c>
      <c r="R5" s="1188">
        <f>Q5</f>
        <v>104.8</v>
      </c>
      <c r="S5" s="1188">
        <f>R5</f>
        <v>104.8</v>
      </c>
    </row>
    <row r="6" spans="1:26" ht="26.25" customHeight="1">
      <c r="B6" s="1202"/>
      <c r="C6" s="1203"/>
      <c r="D6" s="1204"/>
      <c r="E6" s="1205" t="s">
        <v>795</v>
      </c>
      <c r="F6" s="1203"/>
      <c r="G6" s="1206"/>
      <c r="H6" s="1207"/>
      <c r="P6" s="1179">
        <f>L13*O5/100*P5/100</f>
        <v>786876496.69629323</v>
      </c>
      <c r="Z6" s="1195">
        <f>3-0.53-0.9</f>
        <v>1.5699999999999998</v>
      </c>
    </row>
    <row r="7" spans="1:26" s="1212" customFormat="1">
      <c r="A7" s="1208"/>
      <c r="B7" s="3483" t="s">
        <v>21</v>
      </c>
      <c r="C7" s="3483" t="s">
        <v>796</v>
      </c>
      <c r="D7" s="3489" t="s">
        <v>667</v>
      </c>
      <c r="E7" s="3489" t="s">
        <v>693</v>
      </c>
      <c r="F7" s="3483" t="s">
        <v>797</v>
      </c>
      <c r="G7" s="3483" t="s">
        <v>798</v>
      </c>
      <c r="H7" s="3484" t="s">
        <v>672</v>
      </c>
      <c r="I7" s="3490" t="s">
        <v>799</v>
      </c>
      <c r="J7" s="3492" t="s">
        <v>800</v>
      </c>
      <c r="K7" s="3490" t="s">
        <v>675</v>
      </c>
      <c r="L7" s="3492" t="s">
        <v>801</v>
      </c>
      <c r="M7" s="3490" t="s">
        <v>676</v>
      </c>
      <c r="N7" s="3490" t="s">
        <v>677</v>
      </c>
      <c r="O7" s="3491" t="s">
        <v>664</v>
      </c>
      <c r="P7" s="3491"/>
      <c r="Q7" s="3491"/>
      <c r="R7" s="3491"/>
      <c r="S7" s="3491"/>
      <c r="T7" s="1209"/>
      <c r="U7" s="1209"/>
      <c r="V7" s="1209"/>
      <c r="W7" s="1209"/>
      <c r="X7" s="1209"/>
      <c r="Y7" s="1210"/>
      <c r="Z7" s="1211"/>
    </row>
    <row r="8" spans="1:26" s="1212" customFormat="1" ht="52.5" customHeight="1">
      <c r="A8" s="1208"/>
      <c r="B8" s="3483"/>
      <c r="C8" s="3483"/>
      <c r="D8" s="3489"/>
      <c r="E8" s="3489"/>
      <c r="F8" s="3483"/>
      <c r="G8" s="3483"/>
      <c r="H8" s="3484"/>
      <c r="I8" s="3490"/>
      <c r="J8" s="3492"/>
      <c r="K8" s="3490"/>
      <c r="L8" s="3492"/>
      <c r="M8" s="3490"/>
      <c r="N8" s="3490"/>
      <c r="O8" s="1259" t="s">
        <v>272</v>
      </c>
      <c r="P8" s="1259" t="s">
        <v>269</v>
      </c>
      <c r="Q8" s="1259" t="s">
        <v>539</v>
      </c>
      <c r="R8" s="1259" t="s">
        <v>678</v>
      </c>
      <c r="S8" s="1259" t="s">
        <v>538</v>
      </c>
      <c r="T8" s="1213" t="s">
        <v>679</v>
      </c>
      <c r="U8" s="1213" t="s">
        <v>680</v>
      </c>
      <c r="V8" s="1213" t="s">
        <v>681</v>
      </c>
      <c r="W8" s="1213" t="s">
        <v>682</v>
      </c>
      <c r="X8" s="1213" t="s">
        <v>683</v>
      </c>
      <c r="Y8" s="1213" t="s">
        <v>913</v>
      </c>
      <c r="Z8" s="1211"/>
    </row>
    <row r="9" spans="1:26">
      <c r="B9" s="3488" t="s">
        <v>5</v>
      </c>
      <c r="C9" s="3488"/>
      <c r="D9" s="3488"/>
      <c r="E9" s="3488"/>
      <c r="F9" s="3488"/>
      <c r="G9" s="3488"/>
      <c r="H9" s="3488"/>
      <c r="I9" s="1214"/>
      <c r="J9" s="1215"/>
      <c r="K9" s="1216"/>
      <c r="L9" s="1217"/>
      <c r="M9" s="1216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  <c r="Y9" s="1218"/>
    </row>
    <row r="10" spans="1:26" ht="16.5" thickBot="1">
      <c r="B10" s="3488" t="s">
        <v>802</v>
      </c>
      <c r="C10" s="3488"/>
      <c r="D10" s="3488"/>
      <c r="E10" s="3488"/>
      <c r="F10" s="3488"/>
      <c r="G10" s="3488"/>
      <c r="H10" s="3488"/>
      <c r="I10" s="1214"/>
      <c r="J10" s="1215"/>
      <c r="K10" s="1216"/>
      <c r="L10" s="1217"/>
      <c r="M10" s="1217"/>
      <c r="N10" s="1217"/>
      <c r="O10" s="1217"/>
      <c r="P10" s="1217"/>
      <c r="Q10" s="1217"/>
      <c r="R10" s="1217"/>
      <c r="S10" s="1217"/>
      <c r="T10" s="1216"/>
      <c r="U10" s="1216"/>
      <c r="V10" s="1216"/>
      <c r="W10" s="1216"/>
      <c r="X10" s="1216"/>
      <c r="Y10" s="1218"/>
    </row>
    <row r="11" spans="1:26" s="1222" customFormat="1" ht="84.75" customHeight="1" thickTop="1" thickBot="1">
      <c r="A11" s="1219"/>
      <c r="B11" s="1256" t="s">
        <v>1298</v>
      </c>
      <c r="C11" s="1231" t="s">
        <v>654</v>
      </c>
      <c r="D11" s="1232" t="s">
        <v>917</v>
      </c>
      <c r="E11" s="1233" t="s">
        <v>821</v>
      </c>
      <c r="F11" s="1231" t="s">
        <v>803</v>
      </c>
      <c r="G11" s="1231" t="s">
        <v>804</v>
      </c>
      <c r="H11" s="1235"/>
      <c r="I11" s="1224"/>
      <c r="J11" s="1225"/>
      <c r="K11" s="1534" t="s">
        <v>732</v>
      </c>
      <c r="L11" s="1548">
        <f>17074701.11+187741</f>
        <v>17262442.109999999</v>
      </c>
      <c r="M11" s="1549"/>
      <c r="N11" s="1549"/>
      <c r="O11" s="1549"/>
      <c r="P11" s="1548">
        <f>L11*O5/100*P5/100</f>
        <v>19049864.415837839</v>
      </c>
      <c r="Q11" s="1549"/>
      <c r="R11" s="1549"/>
      <c r="S11" s="1549"/>
      <c r="T11" s="1239"/>
      <c r="U11" s="1239"/>
      <c r="V11" s="1239"/>
      <c r="W11" s="1239"/>
      <c r="X11" s="1239"/>
      <c r="Y11" s="1531" t="s">
        <v>2174</v>
      </c>
      <c r="Z11" s="1221" t="s">
        <v>1294</v>
      </c>
    </row>
    <row r="12" spans="1:26" s="1230" customFormat="1" ht="17.25" thickTop="1" thickBot="1">
      <c r="A12" s="1223"/>
      <c r="B12" s="3485" t="s">
        <v>805</v>
      </c>
      <c r="C12" s="3486"/>
      <c r="D12" s="3486"/>
      <c r="E12" s="3486"/>
      <c r="F12" s="3486"/>
      <c r="G12" s="3486"/>
      <c r="H12" s="3487"/>
      <c r="I12" s="1224"/>
      <c r="J12" s="1225"/>
      <c r="K12" s="1226"/>
      <c r="L12" s="1227"/>
      <c r="M12" s="1227"/>
      <c r="N12" s="1227"/>
      <c r="O12" s="1227"/>
      <c r="P12" s="1236">
        <v>0.6</v>
      </c>
      <c r="Q12" s="1236">
        <v>1.2</v>
      </c>
      <c r="R12" s="1236">
        <v>1.1000000000000001</v>
      </c>
      <c r="S12" s="1236">
        <f>4-P12-Q12-R12</f>
        <v>1.1000000000000001</v>
      </c>
      <c r="T12" s="1225"/>
      <c r="U12" s="1225"/>
      <c r="V12" s="1225"/>
      <c r="W12" s="1225"/>
      <c r="X12" s="1225"/>
      <c r="Y12" s="1228"/>
      <c r="Z12" s="1229"/>
    </row>
    <row r="13" spans="1:26" s="1230" customFormat="1" ht="85.5" customHeight="1" thickTop="1" thickBot="1">
      <c r="A13" s="1223"/>
      <c r="B13" s="1258" t="s">
        <v>1297</v>
      </c>
      <c r="C13" s="1231" t="s">
        <v>654</v>
      </c>
      <c r="D13" s="1232" t="s">
        <v>918</v>
      </c>
      <c r="E13" s="1233" t="s">
        <v>14912</v>
      </c>
      <c r="F13" s="1231" t="s">
        <v>806</v>
      </c>
      <c r="G13" s="1234">
        <v>10000</v>
      </c>
      <c r="H13" s="1235">
        <v>3</v>
      </c>
      <c r="I13" s="1226">
        <f>42151.61*0.79*1.2</f>
        <v>39959.726279999995</v>
      </c>
      <c r="J13" s="1225">
        <f>G13*I13</f>
        <v>399597262.79999995</v>
      </c>
      <c r="K13" s="1226">
        <f>I13*2</f>
        <v>79919.452559999991</v>
      </c>
      <c r="L13" s="1227">
        <v>713044968.48000002</v>
      </c>
      <c r="M13" s="1236">
        <f>'[17]Реконструкция КАНАЛ'!Q23</f>
        <v>1798.5</v>
      </c>
      <c r="N13" s="1237">
        <f>(M13*G13)/L13</f>
        <v>2.5222813139455531E-2</v>
      </c>
      <c r="O13" s="1238" t="str">
        <f>IF(($H$13)=1,($L$13),"")</f>
        <v/>
      </c>
      <c r="P13" s="1238"/>
      <c r="Q13" s="1238">
        <f>$L$13*$O$5/100*$P$5/100*$Q$5/100/3*0.53</f>
        <v>145687560.44166303</v>
      </c>
      <c r="R13" s="1238">
        <f>$L$13*$O$5/100*$P$5/100*$Q$5/100/3*0.9</f>
        <v>247393970.56131458</v>
      </c>
      <c r="S13" s="1238">
        <f>$L$13*$O$5/100*$P$5/100*$Q$5/100/3*1.57</f>
        <v>431565037.53473765</v>
      </c>
      <c r="T13" s="1239"/>
      <c r="U13" s="1239"/>
      <c r="V13" s="1239"/>
      <c r="W13" s="1239"/>
      <c r="X13" s="1239"/>
      <c r="Y13" s="1240" t="s">
        <v>916</v>
      </c>
      <c r="Z13" s="1229" t="s">
        <v>1291</v>
      </c>
    </row>
    <row r="14" spans="1:26" s="1222" customFormat="1" ht="84" customHeight="1" thickTop="1" thickBot="1">
      <c r="A14" s="1219"/>
      <c r="B14" s="1257" t="s">
        <v>1302</v>
      </c>
      <c r="C14" s="1231" t="s">
        <v>807</v>
      </c>
      <c r="D14" s="1232" t="s">
        <v>1279</v>
      </c>
      <c r="E14" s="1233" t="s">
        <v>808</v>
      </c>
      <c r="F14" s="1231" t="s">
        <v>809</v>
      </c>
      <c r="G14" s="1234">
        <v>1800</v>
      </c>
      <c r="H14" s="1235">
        <v>1</v>
      </c>
      <c r="I14" s="1241">
        <f>20817*0.79*1.2</f>
        <v>19734.516</v>
      </c>
      <c r="J14" s="1225">
        <f>G14*I14</f>
        <v>35522128.799999997</v>
      </c>
      <c r="K14" s="1226">
        <f>'[18]Реконструкция ВОДА'!K30</f>
        <v>25436.853253999998</v>
      </c>
      <c r="L14" s="1227"/>
      <c r="M14" s="1236"/>
      <c r="N14" s="1237" t="e">
        <f>(M14*G14)/L14</f>
        <v>#DIV/0!</v>
      </c>
      <c r="O14" s="1238"/>
      <c r="P14" s="1238"/>
      <c r="Q14" s="1238" t="str">
        <f>IF(($H$14)=3,($L$14),"")</f>
        <v/>
      </c>
      <c r="R14" s="1238" t="str">
        <f>IF(($H$14)=4,($L$14),"")</f>
        <v/>
      </c>
      <c r="S14" s="1238" t="str">
        <f>IF(($H$14)=5,($L$14),"")</f>
        <v/>
      </c>
      <c r="T14" s="1239"/>
      <c r="U14" s="1239"/>
      <c r="V14" s="1239"/>
      <c r="W14" s="1239"/>
      <c r="X14" s="1239"/>
      <c r="Y14" s="1240" t="s">
        <v>2174</v>
      </c>
      <c r="Z14" s="1221" t="s">
        <v>1295</v>
      </c>
    </row>
    <row r="15" spans="1:26" s="1230" customFormat="1" ht="17.25" hidden="1" outlineLevel="1" thickTop="1" thickBot="1">
      <c r="A15" s="1223"/>
      <c r="B15" s="1231"/>
      <c r="C15" s="1231"/>
      <c r="D15" s="1232"/>
      <c r="E15" s="1233"/>
      <c r="F15" s="1231"/>
      <c r="G15" s="1234"/>
      <c r="H15" s="1235"/>
      <c r="I15" s="1241"/>
      <c r="J15" s="1225"/>
      <c r="K15" s="1226"/>
      <c r="L15" s="1242"/>
      <c r="M15" s="1236"/>
      <c r="N15" s="1237"/>
      <c r="O15" s="1238"/>
      <c r="P15" s="1238"/>
      <c r="Q15" s="1238"/>
      <c r="R15" s="1238"/>
      <c r="S15" s="1238"/>
      <c r="T15" s="1239"/>
      <c r="U15" s="1239"/>
      <c r="V15" s="1239"/>
      <c r="W15" s="1239"/>
      <c r="X15" s="1239"/>
      <c r="Y15" s="1240"/>
      <c r="Z15" s="1243"/>
    </row>
    <row r="16" spans="1:26" s="1230" customFormat="1" ht="89.25" customHeight="1" collapsed="1" thickTop="1" thickBot="1">
      <c r="A16" s="1223"/>
      <c r="B16" s="1258" t="s">
        <v>1297</v>
      </c>
      <c r="C16" s="1231" t="s">
        <v>810</v>
      </c>
      <c r="D16" s="1232"/>
      <c r="E16" s="1233" t="s">
        <v>811</v>
      </c>
      <c r="F16" s="1231" t="s">
        <v>806</v>
      </c>
      <c r="G16" s="1234">
        <v>300</v>
      </c>
      <c r="H16" s="1235">
        <v>2</v>
      </c>
      <c r="I16" s="1241">
        <f>3977.2945*1.2</f>
        <v>4772.7533999999996</v>
      </c>
      <c r="J16" s="1225">
        <f>G16*I16</f>
        <v>1431826.0199999998</v>
      </c>
      <c r="K16" s="1226">
        <v>14664</v>
      </c>
      <c r="L16" s="1227">
        <v>9621976.9399999995</v>
      </c>
      <c r="M16" s="1236">
        <f>'[17]Реконструкция ВОДА'!M23</f>
        <v>12903</v>
      </c>
      <c r="N16" s="1237">
        <f>(M16*G16)/L16</f>
        <v>0.40229778393129262</v>
      </c>
      <c r="O16" s="1238" t="str">
        <f>IF(($H$16)=1,($L$16),"")</f>
        <v/>
      </c>
      <c r="P16" s="1238">
        <f>IF(($H$16)=2,($L$16),"")*O5/100*P5/100</f>
        <v>10618274.920275358</v>
      </c>
      <c r="Q16" s="1238" t="str">
        <f>IF(($H$16)=3,($L$16),"")</f>
        <v/>
      </c>
      <c r="R16" s="1238"/>
      <c r="S16" s="1238" t="str">
        <f>IF(($H$16)=5,($L$16),"")</f>
        <v/>
      </c>
      <c r="T16" s="1239"/>
      <c r="U16" s="1239"/>
      <c r="V16" s="1239"/>
      <c r="W16" s="1239"/>
      <c r="X16" s="1239"/>
      <c r="Y16" s="1240" t="s">
        <v>916</v>
      </c>
      <c r="Z16" s="1229" t="s">
        <v>1292</v>
      </c>
    </row>
    <row r="17" spans="1:26" s="1230" customFormat="1" ht="87" customHeight="1" thickTop="1" thickBot="1">
      <c r="A17" s="1223"/>
      <c r="B17" s="1258" t="s">
        <v>1297</v>
      </c>
      <c r="C17" s="1231" t="s">
        <v>810</v>
      </c>
      <c r="D17" s="1232" t="s">
        <v>918</v>
      </c>
      <c r="E17" s="1233" t="s">
        <v>812</v>
      </c>
      <c r="F17" s="1231" t="s">
        <v>806</v>
      </c>
      <c r="G17" s="1231" t="s">
        <v>813</v>
      </c>
      <c r="H17" s="1235">
        <v>2</v>
      </c>
      <c r="I17" s="1241"/>
      <c r="J17" s="1225"/>
      <c r="K17" s="1226"/>
      <c r="L17" s="1227">
        <v>26498989.199999999</v>
      </c>
      <c r="M17" s="1236"/>
      <c r="N17" s="1237"/>
      <c r="O17" s="1238"/>
      <c r="P17" s="1238">
        <f>L17*O5/100*P5/100/2</f>
        <v>14621400.2688624</v>
      </c>
      <c r="Q17" s="1238">
        <f>P17</f>
        <v>14621400.2688624</v>
      </c>
      <c r="R17" s="1238" t="str">
        <f>IF(($H$17)=4,($L$17),"")</f>
        <v/>
      </c>
      <c r="S17" s="1238" t="str">
        <f>IF(($H$17)=5,($L$17),"")</f>
        <v/>
      </c>
      <c r="T17" s="1239"/>
      <c r="U17" s="1239"/>
      <c r="V17" s="1239"/>
      <c r="W17" s="1239"/>
      <c r="X17" s="1239"/>
      <c r="Y17" s="1240" t="s">
        <v>916</v>
      </c>
      <c r="Z17" s="1229" t="s">
        <v>1095</v>
      </c>
    </row>
    <row r="18" spans="1:26" ht="16.5" thickTop="1">
      <c r="B18" s="3488" t="s">
        <v>0</v>
      </c>
      <c r="C18" s="3488"/>
      <c r="D18" s="3488"/>
      <c r="E18" s="3488"/>
      <c r="F18" s="3488"/>
      <c r="G18" s="3488"/>
      <c r="H18" s="3488"/>
      <c r="I18" s="1244"/>
      <c r="J18" s="1215"/>
      <c r="K18" s="1216"/>
      <c r="L18" s="1245"/>
      <c r="M18" s="1246"/>
      <c r="N18" s="1247"/>
      <c r="O18" s="1247"/>
      <c r="P18" s="1247"/>
      <c r="Q18" s="1247"/>
      <c r="R18" s="1247"/>
      <c r="S18" s="1247"/>
      <c r="T18" s="1248"/>
      <c r="U18" s="1248"/>
      <c r="V18" s="1248"/>
      <c r="W18" s="1248"/>
      <c r="X18" s="1248"/>
      <c r="Y18" s="1249"/>
      <c r="Z18" s="1195" t="s">
        <v>15</v>
      </c>
    </row>
    <row r="19" spans="1:26" ht="16.5" thickBot="1">
      <c r="B19" s="3488" t="s">
        <v>814</v>
      </c>
      <c r="C19" s="3488"/>
      <c r="D19" s="3488"/>
      <c r="E19" s="3488"/>
      <c r="F19" s="3488"/>
      <c r="G19" s="3488"/>
      <c r="H19" s="3488"/>
      <c r="I19" s="1244"/>
      <c r="J19" s="1215"/>
      <c r="K19" s="1216"/>
      <c r="L19" s="1250"/>
      <c r="M19" s="1250"/>
      <c r="N19" s="1251"/>
      <c r="O19" s="1251"/>
      <c r="P19" s="1251"/>
      <c r="Q19" s="1251"/>
      <c r="R19" s="1251"/>
      <c r="S19" s="1251"/>
      <c r="T19" s="1252"/>
      <c r="U19" s="1252"/>
      <c r="V19" s="1252"/>
      <c r="W19" s="1248"/>
      <c r="X19" s="1248"/>
      <c r="Y19" s="1253"/>
    </row>
    <row r="20" spans="1:26" s="1222" customFormat="1" ht="92.25" customHeight="1" thickTop="1" thickBot="1">
      <c r="A20" s="1219"/>
      <c r="B20" s="1258" t="s">
        <v>14878</v>
      </c>
      <c r="C20" s="1231" t="s">
        <v>810</v>
      </c>
      <c r="D20" s="1232"/>
      <c r="E20" s="1233" t="s">
        <v>815</v>
      </c>
      <c r="F20" s="1231" t="s">
        <v>803</v>
      </c>
      <c r="G20" s="1231">
        <v>0.2</v>
      </c>
      <c r="H20" s="1254">
        <v>1</v>
      </c>
      <c r="I20" s="1224"/>
      <c r="J20" s="1225"/>
      <c r="K20" s="1239"/>
      <c r="L20" s="1227">
        <v>3961659.46</v>
      </c>
      <c r="M20" s="1241"/>
      <c r="N20" s="1647"/>
      <c r="O20" s="1648">
        <f>IF(($H$20)=1,($L$20),"")*O5/100</f>
        <v>4171627.4113799999</v>
      </c>
      <c r="P20" s="1648" t="str">
        <f>IF(($H$20)=2,($L$20),"")</f>
        <v/>
      </c>
      <c r="Q20" s="1649" t="str">
        <f>IF(($H$20)=3,($L$20),"")</f>
        <v/>
      </c>
      <c r="R20" s="1238"/>
      <c r="S20" s="1648" t="str">
        <f>IF(($H$20)=5,($L$20),"")</f>
        <v/>
      </c>
      <c r="T20" s="1239"/>
      <c r="U20" s="1239"/>
      <c r="V20" s="1239"/>
      <c r="W20" s="1239"/>
      <c r="X20" s="1239"/>
      <c r="Y20" s="1537" t="s">
        <v>916</v>
      </c>
      <c r="Z20" s="1221" t="s">
        <v>1109</v>
      </c>
    </row>
    <row r="21" spans="1:26" s="1222" customFormat="1" ht="92.25" customHeight="1" thickTop="1" thickBot="1">
      <c r="A21" s="1219"/>
      <c r="B21" s="1256" t="s">
        <v>1298</v>
      </c>
      <c r="C21" s="1231" t="s">
        <v>810</v>
      </c>
      <c r="D21" s="1232" t="s">
        <v>917</v>
      </c>
      <c r="E21" s="1233" t="s">
        <v>881</v>
      </c>
      <c r="F21" s="1231"/>
      <c r="G21" s="1231"/>
      <c r="H21" s="1254">
        <v>1</v>
      </c>
      <c r="I21" s="1224"/>
      <c r="J21" s="1225"/>
      <c r="K21" s="1239"/>
      <c r="L21" s="1227">
        <f>2572929.6+61249742.92</f>
        <v>63822672.520000003</v>
      </c>
      <c r="M21" s="1241"/>
      <c r="N21" s="1647"/>
      <c r="O21" s="1648"/>
      <c r="P21" s="1648">
        <f>L21*O5/100*P5/100</f>
        <v>70431127.323410884</v>
      </c>
      <c r="Q21" s="1649"/>
      <c r="R21" s="1238"/>
      <c r="S21" s="1648"/>
      <c r="T21" s="1239"/>
      <c r="U21" s="1239"/>
      <c r="V21" s="1239"/>
      <c r="W21" s="1239"/>
      <c r="X21" s="1239"/>
      <c r="Y21" s="1537"/>
      <c r="Z21" s="1221" t="s">
        <v>2170</v>
      </c>
    </row>
    <row r="22" spans="1:26" s="1230" customFormat="1" ht="17.25" thickTop="1" thickBot="1">
      <c r="A22" s="1223"/>
      <c r="B22" s="3485" t="s">
        <v>816</v>
      </c>
      <c r="C22" s="3486"/>
      <c r="D22" s="3486"/>
      <c r="E22" s="3486"/>
      <c r="F22" s="3486"/>
      <c r="G22" s="3486"/>
      <c r="H22" s="3487"/>
      <c r="I22" s="1224"/>
      <c r="J22" s="1225"/>
      <c r="K22" s="1226"/>
      <c r="L22" s="1227"/>
      <c r="M22" s="1227"/>
      <c r="N22" s="1227"/>
      <c r="O22" s="1227"/>
      <c r="P22" s="1227"/>
      <c r="Q22" s="1227"/>
      <c r="R22" s="1227"/>
      <c r="S22" s="1227"/>
      <c r="T22" s="1225"/>
      <c r="U22" s="1225"/>
      <c r="V22" s="1225"/>
      <c r="W22" s="1225"/>
      <c r="X22" s="1225"/>
      <c r="Y22" s="1228"/>
      <c r="Z22" s="1229"/>
    </row>
    <row r="23" spans="1:26" s="1222" customFormat="1" ht="95.25" customHeight="1" thickTop="1" thickBot="1">
      <c r="A23" s="1219"/>
      <c r="B23" s="1258" t="s">
        <v>1297</v>
      </c>
      <c r="C23" s="1231" t="s">
        <v>810</v>
      </c>
      <c r="D23" s="1232" t="s">
        <v>918</v>
      </c>
      <c r="E23" s="1233" t="s">
        <v>817</v>
      </c>
      <c r="F23" s="1637" t="s">
        <v>809</v>
      </c>
      <c r="G23" s="1638">
        <v>1000</v>
      </c>
      <c r="H23" s="1254">
        <v>4</v>
      </c>
      <c r="I23" s="1255">
        <f>3076.584*1.39*1.2</f>
        <v>5131.742111999999</v>
      </c>
      <c r="J23" s="1225">
        <f>G23*I23</f>
        <v>5131742.1119999988</v>
      </c>
      <c r="K23" s="1226">
        <v>10201.620000000001</v>
      </c>
      <c r="L23" s="1227">
        <f>1261052.4+43636397.72</f>
        <v>44897450.119999997</v>
      </c>
      <c r="M23" s="1236" t="e">
        <f>'[18]Реконструкция КАНАЛ'!#REF!</f>
        <v>#REF!</v>
      </c>
      <c r="N23" s="1237" t="e">
        <f>(M23*G23)/L23</f>
        <v>#REF!</v>
      </c>
      <c r="O23" s="1238"/>
      <c r="P23" s="1238"/>
      <c r="Q23" s="1238"/>
      <c r="R23" s="1238">
        <f>IF(($H$23)=4,($L$23),"")*O5/100*P5/100*Q5/100*R5/100</f>
        <v>54416912.320112683</v>
      </c>
      <c r="S23" s="1238" t="str">
        <f>IF(($H$23)=5,($L$23),"")</f>
        <v/>
      </c>
      <c r="T23" s="1239"/>
      <c r="U23" s="1239"/>
      <c r="V23" s="1239"/>
      <c r="W23" s="1239"/>
      <c r="X23" s="1239"/>
      <c r="Y23" s="1240" t="s">
        <v>2174</v>
      </c>
      <c r="Z23" s="1229" t="s">
        <v>1299</v>
      </c>
    </row>
    <row r="24" spans="1:26" s="1222" customFormat="1" ht="90.75" customHeight="1" thickTop="1" thickBot="1">
      <c r="A24" s="1219"/>
      <c r="B24" s="1258" t="s">
        <v>1297</v>
      </c>
      <c r="C24" s="1639" t="s">
        <v>818</v>
      </c>
      <c r="D24" s="1232" t="s">
        <v>918</v>
      </c>
      <c r="E24" s="1233" t="s">
        <v>14960</v>
      </c>
      <c r="F24" s="1231" t="s">
        <v>809</v>
      </c>
      <c r="G24" s="1231">
        <v>2500</v>
      </c>
      <c r="H24" s="1254">
        <v>2</v>
      </c>
      <c r="I24" s="1255">
        <f>6910.25*0.79*1.52*1.2</f>
        <v>9957.3938399999988</v>
      </c>
      <c r="J24" s="1225">
        <f>G24*I24</f>
        <v>24893484.599999998</v>
      </c>
      <c r="K24" s="1226">
        <v>32272.04</v>
      </c>
      <c r="L24" s="1227">
        <f>1635068.4+53373308.12</f>
        <v>55008376.519999996</v>
      </c>
      <c r="M24" s="1236" t="e">
        <f>'[18]Реконструкция КАНАЛ'!#REF!</f>
        <v>#REF!</v>
      </c>
      <c r="N24" s="1237" t="e">
        <f>(M24*G24)/L24</f>
        <v>#REF!</v>
      </c>
      <c r="O24" s="1238" t="str">
        <f>IF(($H$24)=1,($L$24),"")</f>
        <v/>
      </c>
      <c r="P24" s="1238"/>
      <c r="Q24" s="1238"/>
      <c r="R24" s="1238">
        <f>1635068.4*$O$5/100*$P$5/100*$Q$5/100*$R$5/100</f>
        <v>1981746.7032621531</v>
      </c>
      <c r="S24" s="1238">
        <f>53373308.12*$O$5/100*$P$5/100*$Q$5/100*$R$5/100*S5/100</f>
        <v>67794993.484454438</v>
      </c>
      <c r="T24" s="1220"/>
      <c r="U24" s="1220"/>
      <c r="V24" s="1220"/>
      <c r="W24" s="1220"/>
      <c r="X24" s="1220"/>
      <c r="Y24" s="1240" t="s">
        <v>916</v>
      </c>
      <c r="Z24" s="1229" t="s">
        <v>1299</v>
      </c>
    </row>
    <row r="25" spans="1:26" s="1230" customFormat="1" ht="86.25" customHeight="1" thickTop="1" thickBot="1">
      <c r="A25" s="1223"/>
      <c r="B25" s="1258" t="s">
        <v>1297</v>
      </c>
      <c r="C25" s="1231" t="s">
        <v>810</v>
      </c>
      <c r="D25" s="1232" t="s">
        <v>918</v>
      </c>
      <c r="E25" s="1233" t="s">
        <v>819</v>
      </c>
      <c r="F25" s="1231" t="s">
        <v>809</v>
      </c>
      <c r="G25" s="1231" t="s">
        <v>820</v>
      </c>
      <c r="H25" s="1254">
        <v>2</v>
      </c>
      <c r="I25" s="1255"/>
      <c r="J25" s="1225"/>
      <c r="K25" s="1226"/>
      <c r="L25" s="1227">
        <v>35536190.399999999</v>
      </c>
      <c r="M25" s="1236"/>
      <c r="N25" s="1237"/>
      <c r="O25" s="1548"/>
      <c r="P25" s="1548">
        <f>L25*O5/100*P5/100/2</f>
        <v>19607874.849388801</v>
      </c>
      <c r="Q25" s="1238">
        <f>P25</f>
        <v>19607874.849388801</v>
      </c>
      <c r="R25" s="1238" t="str">
        <f>IF(($H$25)=4,($L$25),"")</f>
        <v/>
      </c>
      <c r="S25" s="1238" t="str">
        <f>IF(($H$25)=5,($L$25),"")</f>
        <v/>
      </c>
      <c r="T25" s="1239"/>
      <c r="U25" s="1239"/>
      <c r="V25" s="1239"/>
      <c r="W25" s="1239"/>
      <c r="X25" s="1239"/>
      <c r="Y25" s="1240" t="s">
        <v>916</v>
      </c>
      <c r="Z25" s="1229" t="s">
        <v>1299</v>
      </c>
    </row>
    <row r="26" spans="1:26" ht="16.5" thickTop="1"/>
    <row r="46" ht="18.75" customHeight="1"/>
  </sheetData>
  <mergeCells count="20">
    <mergeCell ref="N7:N8"/>
    <mergeCell ref="O7:S7"/>
    <mergeCell ref="I7:I8"/>
    <mergeCell ref="J7:J8"/>
    <mergeCell ref="K7:K8"/>
    <mergeCell ref="L7:L8"/>
    <mergeCell ref="M7:M8"/>
    <mergeCell ref="G7:G8"/>
    <mergeCell ref="H7:H8"/>
    <mergeCell ref="B22:H22"/>
    <mergeCell ref="B9:H9"/>
    <mergeCell ref="B10:H10"/>
    <mergeCell ref="B12:H12"/>
    <mergeCell ref="B18:H18"/>
    <mergeCell ref="B19:H19"/>
    <mergeCell ref="B7:B8"/>
    <mergeCell ref="C7:C8"/>
    <mergeCell ref="D7:D8"/>
    <mergeCell ref="E7:E8"/>
    <mergeCell ref="F7:F8"/>
  </mergeCells>
  <pageMargins left="0.74803149606299213" right="0.74803149606299213" top="0.98425196850393704" bottom="0.98425196850393704" header="0.51181102362204722" footer="0.51181102362204722"/>
  <pageSetup paperSize="9" scale="37" fitToHeight="0" orientation="landscape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H47"/>
  <sheetViews>
    <sheetView view="pageBreakPreview" zoomScale="70" zoomScaleNormal="100" zoomScaleSheetLayoutView="70" workbookViewId="0">
      <selection activeCell="D46" sqref="D46"/>
    </sheetView>
  </sheetViews>
  <sheetFormatPr defaultRowHeight="15.75"/>
  <cols>
    <col min="1" max="1" width="7.28515625" style="3" customWidth="1"/>
    <col min="2" max="2" width="95.140625" style="3" customWidth="1"/>
    <col min="3" max="3" width="41.85546875" style="3" customWidth="1"/>
    <col min="4" max="4" width="25.85546875" style="3" bestFit="1" customWidth="1"/>
    <col min="5" max="5" width="10.140625" style="3" bestFit="1" customWidth="1"/>
    <col min="6" max="6" width="130.28515625" style="3" customWidth="1"/>
    <col min="7" max="7" width="6.28515625" style="3" bestFit="1" customWidth="1"/>
    <col min="8" max="8" width="22.42578125" style="3" bestFit="1" customWidth="1"/>
    <col min="9" max="16384" width="9.140625" style="3"/>
  </cols>
  <sheetData>
    <row r="1" spans="1:6" ht="18.75">
      <c r="B1" s="14"/>
      <c r="C1" s="2" t="s">
        <v>902</v>
      </c>
      <c r="D1" s="2"/>
      <c r="E1" s="2"/>
      <c r="F1" s="2"/>
    </row>
    <row r="2" spans="1:6" ht="18.75">
      <c r="B2" s="14"/>
      <c r="C2" s="3" t="s">
        <v>155</v>
      </c>
      <c r="D2" s="2"/>
      <c r="E2" s="2"/>
      <c r="F2" s="2"/>
    </row>
    <row r="3" spans="1:6" ht="18.75">
      <c r="B3" s="14"/>
      <c r="C3" s="3" t="s">
        <v>156</v>
      </c>
      <c r="D3" s="2"/>
      <c r="E3" s="2"/>
      <c r="F3" s="2"/>
    </row>
    <row r="4" spans="1:6" ht="18.75">
      <c r="B4" s="14"/>
      <c r="C4" s="3" t="s">
        <v>157</v>
      </c>
      <c r="D4" s="2"/>
      <c r="E4" s="2"/>
      <c r="F4" s="2"/>
    </row>
    <row r="5" spans="1:6" ht="18.75">
      <c r="B5" s="14"/>
      <c r="C5" s="3" t="s">
        <v>158</v>
      </c>
      <c r="D5" s="2"/>
      <c r="E5" s="2"/>
      <c r="F5" s="2"/>
    </row>
    <row r="6" spans="1:6" ht="18.75">
      <c r="B6" s="14"/>
      <c r="C6" s="3" t="s">
        <v>159</v>
      </c>
      <c r="D6" s="2"/>
      <c r="E6" s="2"/>
      <c r="F6" s="2"/>
    </row>
    <row r="7" spans="1:6" ht="57.75" customHeight="1">
      <c r="A7" s="3494" t="s">
        <v>903</v>
      </c>
      <c r="B7" s="3494"/>
      <c r="C7" s="3494"/>
      <c r="D7" s="2"/>
      <c r="E7" s="2"/>
      <c r="F7" s="2"/>
    </row>
    <row r="8" spans="1:6" ht="18.75">
      <c r="B8" s="14"/>
      <c r="D8" s="2"/>
      <c r="E8" s="2"/>
      <c r="F8" s="2"/>
    </row>
    <row r="9" spans="1:6">
      <c r="A9" s="3477" t="s">
        <v>150</v>
      </c>
      <c r="B9" s="3477" t="s">
        <v>7</v>
      </c>
      <c r="C9" s="3475" t="s">
        <v>285</v>
      </c>
    </row>
    <row r="10" spans="1:6">
      <c r="A10" s="3477"/>
      <c r="B10" s="3477"/>
      <c r="C10" s="3476"/>
    </row>
    <row r="11" spans="1:6" ht="36.75" customHeight="1">
      <c r="A11" s="8" t="s">
        <v>281</v>
      </c>
      <c r="B11" s="3495" t="s">
        <v>14903</v>
      </c>
      <c r="C11" s="3496"/>
    </row>
    <row r="12" spans="1:6" ht="38.25" customHeight="1">
      <c r="A12" s="6" t="s">
        <v>25</v>
      </c>
      <c r="B12" s="4" t="s">
        <v>284</v>
      </c>
      <c r="C12" s="7" t="s">
        <v>286</v>
      </c>
    </row>
    <row r="13" spans="1:6" ht="75.75" customHeight="1">
      <c r="A13" s="6" t="s">
        <v>3</v>
      </c>
      <c r="B13" s="5" t="s">
        <v>661</v>
      </c>
      <c r="C13" s="7" t="s">
        <v>286</v>
      </c>
    </row>
    <row r="14" spans="1:6" ht="33" customHeight="1">
      <c r="A14" s="9" t="s">
        <v>282</v>
      </c>
      <c r="B14" s="3495" t="s">
        <v>14902</v>
      </c>
      <c r="C14" s="3496"/>
    </row>
    <row r="15" spans="1:6" ht="50.25" customHeight="1">
      <c r="A15" s="6" t="s">
        <v>26</v>
      </c>
      <c r="B15" s="4" t="s">
        <v>556</v>
      </c>
      <c r="C15" s="7" t="s">
        <v>286</v>
      </c>
    </row>
    <row r="16" spans="1:6" ht="51" customHeight="1">
      <c r="A16" s="6" t="s">
        <v>27</v>
      </c>
      <c r="B16" s="4" t="s">
        <v>557</v>
      </c>
      <c r="C16" s="7" t="s">
        <v>286</v>
      </c>
    </row>
    <row r="17" spans="1:8" ht="34.5" customHeight="1">
      <c r="A17" s="8" t="s">
        <v>283</v>
      </c>
      <c r="B17" s="3495" t="s">
        <v>14901</v>
      </c>
      <c r="C17" s="3496"/>
    </row>
    <row r="18" spans="1:8">
      <c r="A18" s="6" t="s">
        <v>28</v>
      </c>
      <c r="B18" s="4" t="s">
        <v>651</v>
      </c>
      <c r="C18" s="7" t="s">
        <v>286</v>
      </c>
      <c r="D18" s="1937"/>
      <c r="E18" s="1934"/>
      <c r="F18" s="1935"/>
    </row>
    <row r="19" spans="1:8" ht="46.5" customHeight="1">
      <c r="A19" s="6" t="s">
        <v>29</v>
      </c>
      <c r="B19" s="1941" t="s">
        <v>652</v>
      </c>
      <c r="C19" s="1928" t="s">
        <v>286</v>
      </c>
      <c r="D19" s="1937"/>
    </row>
    <row r="20" spans="1:8">
      <c r="B20" s="1551"/>
      <c r="C20" s="1551"/>
      <c r="D20" s="1939" t="s">
        <v>14907</v>
      </c>
      <c r="E20" s="1939"/>
      <c r="F20" s="1939"/>
      <c r="G20" s="1939"/>
      <c r="H20" s="1939" t="s">
        <v>2156</v>
      </c>
    </row>
    <row r="21" spans="1:8">
      <c r="B21" s="1551"/>
      <c r="C21" s="1551"/>
      <c r="D21" s="1938"/>
      <c r="E21" s="1551"/>
      <c r="F21" s="1551"/>
      <c r="G21" s="1551"/>
      <c r="H21" s="1940">
        <f>SUM(H22,H24:H25,H27:H31,H34:H37,H39,H41)</f>
        <v>4254.4570787999992</v>
      </c>
    </row>
    <row r="22" spans="1:8">
      <c r="B22" s="1550" t="s">
        <v>14905</v>
      </c>
      <c r="C22" s="1551"/>
      <c r="D22" s="1936">
        <f>4872.88</f>
        <v>4872.88</v>
      </c>
      <c r="E22" s="1551" t="s">
        <v>14906</v>
      </c>
      <c r="F22" s="1551"/>
      <c r="G22" s="1551"/>
      <c r="H22" s="1556"/>
    </row>
    <row r="23" spans="1:8">
      <c r="B23" s="1550"/>
      <c r="C23" s="1551"/>
      <c r="D23" s="1936"/>
      <c r="E23" s="1551"/>
      <c r="F23" s="1551"/>
      <c r="G23" s="1551"/>
      <c r="H23" s="1556"/>
    </row>
    <row r="24" spans="1:8">
      <c r="B24" s="1550" t="s">
        <v>14904</v>
      </c>
      <c r="C24" s="1551"/>
      <c r="D24" s="1936">
        <v>11250</v>
      </c>
      <c r="E24" s="1551" t="s">
        <v>272</v>
      </c>
      <c r="F24" s="1551"/>
      <c r="G24" s="1551"/>
      <c r="H24" s="1556"/>
    </row>
    <row r="25" spans="1:8">
      <c r="B25" s="1550"/>
      <c r="C25" s="1551"/>
      <c r="D25" s="1936">
        <v>11250</v>
      </c>
      <c r="E25" s="1551" t="s">
        <v>269</v>
      </c>
      <c r="F25" s="1551"/>
      <c r="G25" s="1551"/>
      <c r="H25" s="1556"/>
    </row>
    <row r="26" spans="1:8" ht="31.5">
      <c r="B26" s="1550" t="s">
        <v>14908</v>
      </c>
      <c r="C26" s="1551"/>
      <c r="D26" s="1936"/>
      <c r="E26" s="1551"/>
      <c r="F26" s="1551"/>
      <c r="G26" s="1551"/>
      <c r="H26" s="1556"/>
    </row>
    <row r="27" spans="1:8" ht="84" customHeight="1">
      <c r="B27" s="1550"/>
      <c r="C27" s="1550" t="s">
        <v>2176</v>
      </c>
      <c r="D27" s="1936">
        <v>159803.37</v>
      </c>
      <c r="E27" s="1551" t="s">
        <v>272</v>
      </c>
      <c r="F27" s="1551"/>
      <c r="G27" s="1551"/>
      <c r="H27" s="1556">
        <f>D27/1000*1.2</f>
        <v>191.76404399999998</v>
      </c>
    </row>
    <row r="28" spans="1:8">
      <c r="B28" s="1550"/>
      <c r="C28" s="1550" t="s">
        <v>2177</v>
      </c>
      <c r="D28" s="1936">
        <v>159803.37</v>
      </c>
      <c r="E28" s="1551" t="s">
        <v>269</v>
      </c>
      <c r="F28" s="1551"/>
      <c r="G28" s="1551"/>
      <c r="H28" s="1556">
        <f>D28/1000*1.2</f>
        <v>191.76404399999998</v>
      </c>
    </row>
    <row r="29" spans="1:8" ht="31.5">
      <c r="B29" s="1550"/>
      <c r="C29" s="1550" t="s">
        <v>2178</v>
      </c>
      <c r="D29" s="1936">
        <v>159803.37</v>
      </c>
      <c r="E29" s="3493" t="s">
        <v>2185</v>
      </c>
      <c r="F29" s="3493"/>
      <c r="G29" s="1551"/>
      <c r="H29" s="1556">
        <f>D29/1000*1.2</f>
        <v>191.76404399999998</v>
      </c>
    </row>
    <row r="30" spans="1:8">
      <c r="B30" s="1550"/>
      <c r="C30" s="1550" t="s">
        <v>2180</v>
      </c>
      <c r="D30" s="1936">
        <v>159803.37</v>
      </c>
      <c r="E30" s="1551" t="s">
        <v>678</v>
      </c>
      <c r="F30" s="1551"/>
      <c r="G30" s="1551"/>
      <c r="H30" s="1556">
        <f>D30/1000*1.2</f>
        <v>191.76404399999998</v>
      </c>
    </row>
    <row r="31" spans="1:8">
      <c r="B31" s="1550"/>
      <c r="C31" s="1550" t="s">
        <v>2179</v>
      </c>
      <c r="D31" s="1936">
        <v>159803.37</v>
      </c>
      <c r="E31" s="1551" t="s">
        <v>538</v>
      </c>
      <c r="F31" s="1551"/>
      <c r="G31" s="1551"/>
      <c r="H31" s="1556">
        <f>D31/1000*1.2</f>
        <v>191.76404399999998</v>
      </c>
    </row>
    <row r="32" spans="1:8">
      <c r="B32" s="1550"/>
      <c r="C32" s="1551"/>
      <c r="D32" s="1936"/>
      <c r="E32" s="1551"/>
      <c r="F32" s="1551"/>
      <c r="G32" s="1551"/>
      <c r="H32" s="1556"/>
    </row>
    <row r="33" spans="2:8">
      <c r="B33" s="1550" t="s">
        <v>2175</v>
      </c>
      <c r="C33" s="1551"/>
      <c r="D33" s="1936"/>
      <c r="E33" s="1551"/>
      <c r="F33" s="1551"/>
      <c r="G33" s="1551"/>
      <c r="H33" s="1556"/>
    </row>
    <row r="34" spans="2:8">
      <c r="B34" s="1550"/>
      <c r="C34" s="1550" t="s">
        <v>2181</v>
      </c>
      <c r="D34" s="1936" t="s">
        <v>14900</v>
      </c>
      <c r="E34" s="1551"/>
      <c r="F34" s="1551"/>
      <c r="G34" s="1551"/>
      <c r="H34" s="1556"/>
    </row>
    <row r="35" spans="2:8">
      <c r="B35" s="1550"/>
      <c r="C35" s="1550" t="s">
        <v>2177</v>
      </c>
      <c r="D35" s="1936" t="s">
        <v>14900</v>
      </c>
      <c r="E35" s="1551"/>
      <c r="F35" s="1551"/>
      <c r="G35" s="1551"/>
      <c r="H35" s="1556"/>
    </row>
    <row r="36" spans="2:8">
      <c r="B36" s="1550"/>
      <c r="C36" s="1550" t="s">
        <v>2182</v>
      </c>
      <c r="D36" s="1936" t="s">
        <v>14900</v>
      </c>
      <c r="E36" s="1551"/>
      <c r="F36" s="1551"/>
      <c r="G36" s="1551"/>
      <c r="H36" s="1556"/>
    </row>
    <row r="37" spans="2:8">
      <c r="B37" s="1550"/>
      <c r="C37" s="1550" t="s">
        <v>2183</v>
      </c>
      <c r="D37" s="1936" t="s">
        <v>14900</v>
      </c>
      <c r="E37" s="1551"/>
      <c r="F37" s="1551"/>
      <c r="G37" s="1551"/>
      <c r="H37" s="1556"/>
    </row>
    <row r="38" spans="2:8">
      <c r="B38" s="1550"/>
      <c r="C38" s="1551"/>
      <c r="D38" s="1936"/>
      <c r="E38" s="1551"/>
      <c r="F38" s="1551"/>
      <c r="G38" s="1551"/>
      <c r="H38" s="1556"/>
    </row>
    <row r="39" spans="2:8">
      <c r="B39" s="1550" t="s">
        <v>2184</v>
      </c>
      <c r="C39" s="1551" t="s">
        <v>14899</v>
      </c>
      <c r="D39" s="1936" t="s">
        <v>14900</v>
      </c>
      <c r="E39" s="1551"/>
      <c r="F39" s="1551"/>
      <c r="G39" s="1551"/>
      <c r="H39" s="1556"/>
    </row>
    <row r="40" spans="2:8">
      <c r="B40" s="1551"/>
      <c r="C40" s="1551"/>
      <c r="D40" s="1551"/>
      <c r="E40" s="1551"/>
      <c r="F40" s="1551"/>
      <c r="G40" s="1551"/>
      <c r="H40" s="1556"/>
    </row>
    <row r="41" spans="2:8">
      <c r="B41" s="1550" t="s">
        <v>14909</v>
      </c>
      <c r="C41" s="1551" t="s">
        <v>14910</v>
      </c>
      <c r="D41" s="1936">
        <f>2608133*E46/100</f>
        <v>2746364.0489999996</v>
      </c>
      <c r="E41" s="1551" t="s">
        <v>272</v>
      </c>
      <c r="F41" s="1551" t="s">
        <v>14914</v>
      </c>
      <c r="G41" s="1551"/>
      <c r="H41" s="1556">
        <f>D41/1000*1.2</f>
        <v>3295.6368587999996</v>
      </c>
    </row>
    <row r="43" spans="2:8">
      <c r="B43" s="3" t="s">
        <v>14911</v>
      </c>
      <c r="D43" s="1551">
        <v>2021</v>
      </c>
      <c r="E43" s="1551">
        <v>104.9</v>
      </c>
    </row>
    <row r="44" spans="2:8">
      <c r="D44" s="1551">
        <v>2022</v>
      </c>
      <c r="E44" s="1551">
        <v>113.9</v>
      </c>
    </row>
    <row r="45" spans="2:8">
      <c r="D45" s="1551">
        <v>2023</v>
      </c>
      <c r="E45" s="1551">
        <v>105.9</v>
      </c>
    </row>
    <row r="46" spans="2:8">
      <c r="D46" s="1551">
        <v>2024</v>
      </c>
      <c r="E46" s="1551">
        <v>105.3</v>
      </c>
    </row>
    <row r="47" spans="2:8">
      <c r="D47" s="1551"/>
      <c r="E47" s="1551"/>
    </row>
  </sheetData>
  <mergeCells count="8">
    <mergeCell ref="E29:F29"/>
    <mergeCell ref="A7:C7"/>
    <mergeCell ref="B11:C11"/>
    <mergeCell ref="B14:C14"/>
    <mergeCell ref="B17:C17"/>
    <mergeCell ref="A9:A10"/>
    <mergeCell ref="B9:B10"/>
    <mergeCell ref="C9:C10"/>
  </mergeCells>
  <pageMargins left="0.7" right="0.7" top="0.75" bottom="0.75" header="0.3" footer="0.3"/>
  <pageSetup paperSize="9" scale="8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G22"/>
  <sheetViews>
    <sheetView view="pageBreakPreview" zoomScale="70" zoomScaleNormal="100" zoomScaleSheetLayoutView="70" workbookViewId="0">
      <selection activeCell="B21" sqref="B21"/>
    </sheetView>
  </sheetViews>
  <sheetFormatPr defaultRowHeight="15.75"/>
  <cols>
    <col min="1" max="1" width="7.28515625" style="3" customWidth="1"/>
    <col min="2" max="2" width="109.7109375" style="3" customWidth="1"/>
    <col min="3" max="3" width="32.42578125" style="3" customWidth="1"/>
    <col min="4" max="4" width="34.28515625" style="3" customWidth="1"/>
    <col min="5" max="5" width="92.5703125" style="1174" customWidth="1"/>
    <col min="6" max="6" width="35.28515625" style="3" customWidth="1"/>
    <col min="7" max="7" width="27.7109375" style="3" customWidth="1"/>
    <col min="8" max="16384" width="9.140625" style="3"/>
  </cols>
  <sheetData>
    <row r="1" spans="1:7">
      <c r="C1" s="3" t="s">
        <v>287</v>
      </c>
    </row>
    <row r="2" spans="1:7">
      <c r="C2" s="3" t="s">
        <v>155</v>
      </c>
    </row>
    <row r="3" spans="1:7">
      <c r="C3" s="3" t="s">
        <v>156</v>
      </c>
    </row>
    <row r="4" spans="1:7">
      <c r="C4" s="3" t="s">
        <v>911</v>
      </c>
    </row>
    <row r="5" spans="1:7">
      <c r="C5" s="3" t="s">
        <v>158</v>
      </c>
    </row>
    <row r="6" spans="1:7">
      <c r="C6" s="3" t="s">
        <v>159</v>
      </c>
    </row>
    <row r="8" spans="1:7" ht="57.75" customHeight="1">
      <c r="A8" s="3494" t="s">
        <v>1086</v>
      </c>
      <c r="B8" s="3494"/>
      <c r="C8" s="3494"/>
      <c r="D8" s="3494"/>
      <c r="E8" s="1175"/>
    </row>
    <row r="9" spans="1:7" ht="15.75" customHeight="1">
      <c r="A9" s="3477" t="s">
        <v>150</v>
      </c>
      <c r="B9" s="3477" t="s">
        <v>288</v>
      </c>
      <c r="C9" s="3477" t="s">
        <v>280</v>
      </c>
      <c r="D9" s="3475" t="s">
        <v>285</v>
      </c>
    </row>
    <row r="10" spans="1:7">
      <c r="A10" s="3477"/>
      <c r="B10" s="3477"/>
      <c r="C10" s="3477"/>
      <c r="D10" s="3476"/>
    </row>
    <row r="11" spans="1:7" ht="24" customHeight="1">
      <c r="A11" s="8" t="s">
        <v>281</v>
      </c>
      <c r="B11" s="3497" t="s">
        <v>663</v>
      </c>
      <c r="C11" s="3498"/>
      <c r="D11" s="3499"/>
      <c r="F11" s="3" t="s">
        <v>50</v>
      </c>
    </row>
    <row r="12" spans="1:7" s="413" customFormat="1" ht="38.25" customHeight="1">
      <c r="A12" s="1010" t="s">
        <v>25</v>
      </c>
      <c r="B12" s="1881"/>
      <c r="C12" s="1881"/>
      <c r="D12" s="11"/>
      <c r="E12" s="1882" t="s">
        <v>1092</v>
      </c>
      <c r="F12" s="1883"/>
      <c r="G12" s="1884"/>
    </row>
    <row r="13" spans="1:7" ht="48.75">
      <c r="A13" s="6" t="s">
        <v>3</v>
      </c>
      <c r="B13" s="4" t="s">
        <v>1087</v>
      </c>
      <c r="C13" s="4" t="s">
        <v>654</v>
      </c>
      <c r="D13" s="7" t="s">
        <v>286</v>
      </c>
      <c r="E13" s="1177" t="s">
        <v>1099</v>
      </c>
      <c r="F13" s="1178" t="s">
        <v>1296</v>
      </c>
      <c r="G13" s="1436" t="s">
        <v>916</v>
      </c>
    </row>
    <row r="14" spans="1:7" ht="48.75">
      <c r="A14" s="6" t="s">
        <v>2</v>
      </c>
      <c r="B14" s="4" t="s">
        <v>1088</v>
      </c>
      <c r="C14" s="4" t="s">
        <v>654</v>
      </c>
      <c r="D14" s="751" t="s">
        <v>286</v>
      </c>
      <c r="E14" s="1177" t="s">
        <v>1100</v>
      </c>
      <c r="F14" s="1178" t="s">
        <v>1296</v>
      </c>
      <c r="G14" s="1436" t="s">
        <v>916</v>
      </c>
    </row>
    <row r="15" spans="1:7" s="777" customFormat="1" ht="36.75">
      <c r="A15" s="1011" t="s">
        <v>1</v>
      </c>
      <c r="B15" s="1667" t="s">
        <v>758</v>
      </c>
      <c r="C15" s="1668" t="s">
        <v>654</v>
      </c>
      <c r="D15" s="1630" t="s">
        <v>14897</v>
      </c>
      <c r="E15" s="1176" t="s">
        <v>2166</v>
      </c>
      <c r="F15" s="1665" t="s">
        <v>1296</v>
      </c>
      <c r="G15" s="1666" t="s">
        <v>14847</v>
      </c>
    </row>
    <row r="16" spans="1:7">
      <c r="A16" s="9" t="s">
        <v>282</v>
      </c>
      <c r="B16" s="3497" t="s">
        <v>14880</v>
      </c>
      <c r="C16" s="3498"/>
      <c r="D16" s="3499"/>
      <c r="E16" s="1177"/>
      <c r="F16" s="1178"/>
      <c r="G16" s="1436"/>
    </row>
    <row r="17" spans="1:7" ht="72.75">
      <c r="A17" s="6" t="s">
        <v>26</v>
      </c>
      <c r="B17" s="4" t="s">
        <v>662</v>
      </c>
      <c r="C17" s="4" t="s">
        <v>654</v>
      </c>
      <c r="D17" s="7" t="s">
        <v>286</v>
      </c>
      <c r="E17" s="1177" t="s">
        <v>1094</v>
      </c>
      <c r="F17" s="1178" t="s">
        <v>1296</v>
      </c>
      <c r="G17" s="1436" t="s">
        <v>1075</v>
      </c>
    </row>
    <row r="18" spans="1:7" s="981" customFormat="1" ht="60.75">
      <c r="A18" s="1011" t="s">
        <v>27</v>
      </c>
      <c r="B18" s="1667" t="s">
        <v>876</v>
      </c>
      <c r="C18" s="1668" t="s">
        <v>654</v>
      </c>
      <c r="D18" s="1630" t="s">
        <v>653</v>
      </c>
      <c r="E18" s="1929" t="s">
        <v>1097</v>
      </c>
      <c r="F18" s="1930" t="s">
        <v>14898</v>
      </c>
      <c r="G18" s="1931" t="s">
        <v>1075</v>
      </c>
    </row>
    <row r="19" spans="1:7">
      <c r="A19" s="8" t="s">
        <v>283</v>
      </c>
      <c r="B19" s="3497" t="s">
        <v>901</v>
      </c>
      <c r="C19" s="3498"/>
      <c r="D19" s="3499"/>
      <c r="E19" s="1177"/>
      <c r="F19" s="1178"/>
      <c r="G19" s="1436"/>
    </row>
    <row r="20" spans="1:7" ht="48.75">
      <c r="A20" s="6" t="s">
        <v>28</v>
      </c>
      <c r="B20" s="4" t="s">
        <v>14963</v>
      </c>
      <c r="C20" s="4" t="s">
        <v>654</v>
      </c>
      <c r="D20" s="7" t="s">
        <v>286</v>
      </c>
      <c r="E20" s="1177" t="s">
        <v>1093</v>
      </c>
      <c r="F20" s="1178" t="s">
        <v>1296</v>
      </c>
      <c r="G20" s="1436" t="s">
        <v>2174</v>
      </c>
    </row>
    <row r="21" spans="1:7" ht="48.75">
      <c r="A21" s="6" t="s">
        <v>29</v>
      </c>
      <c r="B21" s="10" t="s">
        <v>14961</v>
      </c>
      <c r="C21" s="4" t="s">
        <v>14962</v>
      </c>
      <c r="D21" s="7" t="s">
        <v>286</v>
      </c>
      <c r="E21" s="1177" t="s">
        <v>1098</v>
      </c>
      <c r="F21" s="1178" t="s">
        <v>1296</v>
      </c>
      <c r="G21" s="1436" t="s">
        <v>2174</v>
      </c>
    </row>
    <row r="22" spans="1:7">
      <c r="F22" s="1178"/>
    </row>
  </sheetData>
  <mergeCells count="8">
    <mergeCell ref="B16:D16"/>
    <mergeCell ref="B19:D19"/>
    <mergeCell ref="A8:D8"/>
    <mergeCell ref="A9:A10"/>
    <mergeCell ref="B9:B10"/>
    <mergeCell ref="C9:C10"/>
    <mergeCell ref="D9:D10"/>
    <mergeCell ref="B11:D11"/>
  </mergeCells>
  <pageMargins left="0.7" right="0.7" top="0.75" bottom="0.75" header="0.3" footer="0.3"/>
  <pageSetup paperSize="9" scale="7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3:R154"/>
  <sheetViews>
    <sheetView view="pageBreakPreview" zoomScale="60" zoomScaleNormal="70" workbookViewId="0">
      <pane xSplit="4" ySplit="4" topLeftCell="E119" activePane="bottomRight" state="frozen"/>
      <selection pane="topRight" activeCell="E1" sqref="E1"/>
      <selection pane="bottomLeft" activeCell="A5" sqref="A5"/>
      <selection pane="bottomRight" activeCell="Y151" sqref="Y151"/>
    </sheetView>
  </sheetViews>
  <sheetFormatPr defaultRowHeight="15.75"/>
  <cols>
    <col min="1" max="1" width="9.140625" style="3"/>
    <col min="2" max="2" width="22.5703125" style="3" customWidth="1"/>
    <col min="3" max="3" width="43.42578125" style="3" customWidth="1"/>
    <col min="4" max="4" width="35.85546875" style="3" customWidth="1"/>
    <col min="5" max="5" width="11.28515625" style="3" customWidth="1"/>
    <col min="6" max="6" width="10.85546875" style="3" customWidth="1"/>
    <col min="7" max="7" width="16.42578125" style="3" customWidth="1"/>
    <col min="8" max="8" width="11.85546875" style="3" customWidth="1"/>
    <col min="9" max="10" width="13.28515625" style="3" customWidth="1"/>
    <col min="11" max="11" width="10" style="3" customWidth="1"/>
    <col min="12" max="12" width="10.5703125" style="3" customWidth="1"/>
    <col min="13" max="13" width="15.5703125" style="3" customWidth="1"/>
    <col min="14" max="14" width="11" style="3" customWidth="1"/>
    <col min="15" max="15" width="11.42578125" style="3" customWidth="1"/>
    <col min="16" max="16" width="13.5703125" style="3" customWidth="1"/>
    <col min="17" max="17" width="21.85546875" style="3" customWidth="1"/>
    <col min="18" max="16384" width="9.140625" style="3"/>
  </cols>
  <sheetData>
    <row r="3" spans="1:18" ht="15.75" customHeight="1">
      <c r="A3" s="3502" t="s">
        <v>150</v>
      </c>
      <c r="B3" s="3502" t="s">
        <v>151</v>
      </c>
      <c r="C3" s="3502" t="s">
        <v>160</v>
      </c>
      <c r="D3" s="3502" t="s">
        <v>169</v>
      </c>
      <c r="E3" s="3504" t="s">
        <v>22</v>
      </c>
      <c r="F3" s="3505"/>
      <c r="G3" s="3505"/>
      <c r="H3" s="3505"/>
      <c r="I3" s="3505"/>
      <c r="J3" s="3506"/>
      <c r="K3" s="3507" t="s">
        <v>23</v>
      </c>
      <c r="L3" s="3508"/>
      <c r="M3" s="3508"/>
      <c r="N3" s="3508"/>
      <c r="O3" s="3508"/>
      <c r="P3" s="3509"/>
      <c r="Q3" s="3500" t="s">
        <v>153</v>
      </c>
    </row>
    <row r="4" spans="1:18" ht="48.75" customHeight="1">
      <c r="A4" s="3503"/>
      <c r="B4" s="3503"/>
      <c r="C4" s="3503"/>
      <c r="D4" s="3503"/>
      <c r="E4" s="404" t="s">
        <v>431</v>
      </c>
      <c r="F4" s="404" t="s">
        <v>432</v>
      </c>
      <c r="G4" s="404" t="s">
        <v>433</v>
      </c>
      <c r="H4" s="404" t="s">
        <v>434</v>
      </c>
      <c r="I4" s="396" t="s">
        <v>435</v>
      </c>
      <c r="J4" s="12" t="s">
        <v>766</v>
      </c>
      <c r="K4" s="13" t="s">
        <v>431</v>
      </c>
      <c r="L4" s="404" t="s">
        <v>432</v>
      </c>
      <c r="M4" s="404" t="s">
        <v>433</v>
      </c>
      <c r="N4" s="404" t="s">
        <v>434</v>
      </c>
      <c r="O4" s="404" t="s">
        <v>435</v>
      </c>
      <c r="P4" s="12" t="s">
        <v>766</v>
      </c>
      <c r="Q4" s="3501"/>
    </row>
    <row r="5" spans="1:18" s="409" customFormat="1" ht="47.25">
      <c r="A5" s="404">
        <v>1</v>
      </c>
      <c r="B5" s="404" t="s">
        <v>346</v>
      </c>
      <c r="C5" s="404" t="s">
        <v>237</v>
      </c>
      <c r="D5" s="404" t="str">
        <f>'[19]План-факт_Поступления_до40м3с'!$B$3932</f>
        <v>Савинова Татьяна Павловна</v>
      </c>
      <c r="E5" s="404">
        <v>63</v>
      </c>
      <c r="F5" s="404">
        <v>90</v>
      </c>
      <c r="G5" s="404" t="s">
        <v>436</v>
      </c>
      <c r="H5" s="404">
        <v>4.8000000000000001E-2</v>
      </c>
      <c r="I5" s="404">
        <v>0.57499999999999996</v>
      </c>
      <c r="J5" s="397">
        <f>'[20]План-факт_Поступления_до40м3с'!$J$7293</f>
        <v>247.32065</v>
      </c>
      <c r="K5" s="13">
        <v>150</v>
      </c>
      <c r="L5" s="404">
        <v>78</v>
      </c>
      <c r="M5" s="404" t="s">
        <v>436</v>
      </c>
      <c r="N5" s="404">
        <v>4.8000000000000001E-2</v>
      </c>
      <c r="O5" s="404">
        <v>0.57499999999999996</v>
      </c>
      <c r="P5" s="397">
        <f>'[20]План-факт_Поступления_до40м3с'!$J$7297</f>
        <v>547.81961000000001</v>
      </c>
      <c r="Q5" s="13">
        <v>2023</v>
      </c>
    </row>
    <row r="6" spans="1:18" s="409" customFormat="1" ht="47.25">
      <c r="A6" s="404">
        <v>2</v>
      </c>
      <c r="B6" s="404" t="s">
        <v>437</v>
      </c>
      <c r="C6" s="404" t="s">
        <v>208</v>
      </c>
      <c r="D6" s="404" t="s">
        <v>180</v>
      </c>
      <c r="E6" s="404">
        <v>32</v>
      </c>
      <c r="F6" s="404">
        <v>4.5</v>
      </c>
      <c r="G6" s="404" t="s">
        <v>436</v>
      </c>
      <c r="H6" s="404">
        <v>0.12</v>
      </c>
      <c r="I6" s="404">
        <v>0.35</v>
      </c>
      <c r="J6" s="397">
        <f>'[20]План-факт_Поступления_до40м3с'!$J$7301</f>
        <v>11.77547</v>
      </c>
      <c r="K6" s="13"/>
      <c r="L6" s="404"/>
      <c r="M6" s="404"/>
      <c r="N6" s="404"/>
      <c r="O6" s="404"/>
      <c r="P6" s="397"/>
      <c r="Q6" s="13">
        <v>2023</v>
      </c>
    </row>
    <row r="7" spans="1:18" s="409" customFormat="1" ht="31.5">
      <c r="A7" s="404">
        <v>3</v>
      </c>
      <c r="B7" s="404" t="s">
        <v>346</v>
      </c>
      <c r="C7" s="404" t="s">
        <v>438</v>
      </c>
      <c r="D7" s="404" t="str">
        <f>'[19]План-факт_Поступления_до40м3с'!$B$3944</f>
        <v>Сенцов Вадим Владимирович</v>
      </c>
      <c r="E7" s="404"/>
      <c r="F7" s="404"/>
      <c r="G7" s="404"/>
      <c r="H7" s="404">
        <v>0.60599999999999998</v>
      </c>
      <c r="I7" s="404">
        <v>0.6</v>
      </c>
      <c r="J7" s="397">
        <f>'[20]План-факт_Поступления_до40м3с'!$J$7305</f>
        <v>6.6909599999999987</v>
      </c>
      <c r="K7" s="13"/>
      <c r="L7" s="404"/>
      <c r="M7" s="404"/>
      <c r="N7" s="404">
        <v>0.60599999999999998</v>
      </c>
      <c r="O7" s="404">
        <v>0.38900000000000001</v>
      </c>
      <c r="P7" s="397">
        <f>'[20]План-факт_Поступления_до40м3с'!$J$7309</f>
        <v>3.5798399999999999</v>
      </c>
      <c r="Q7" s="13">
        <v>2023</v>
      </c>
      <c r="R7" s="409" t="s">
        <v>439</v>
      </c>
    </row>
    <row r="8" spans="1:18" s="409" customFormat="1" ht="44.25" customHeight="1">
      <c r="A8" s="404">
        <v>4</v>
      </c>
      <c r="B8" s="404" t="s">
        <v>311</v>
      </c>
      <c r="C8" s="404" t="s">
        <v>440</v>
      </c>
      <c r="D8" s="404" t="str">
        <f>'[19]План-факт_Поступления_до40м3с'!$B$3960</f>
        <v>Квасова Ольга Викторовна</v>
      </c>
      <c r="E8" s="404"/>
      <c r="F8" s="404"/>
      <c r="G8" s="404"/>
      <c r="H8" s="404">
        <v>0.15</v>
      </c>
      <c r="I8" s="404">
        <v>0.48</v>
      </c>
      <c r="J8" s="397">
        <f>'[20]План-факт_Поступления_до40м3с'!$J$7321</f>
        <v>5.3527700000000005</v>
      </c>
      <c r="K8" s="13"/>
      <c r="L8" s="404"/>
      <c r="M8" s="404"/>
      <c r="N8" s="404"/>
      <c r="O8" s="404"/>
      <c r="P8" s="397"/>
      <c r="Q8" s="13">
        <v>2023</v>
      </c>
      <c r="R8" s="409" t="s">
        <v>439</v>
      </c>
    </row>
    <row r="9" spans="1:18" s="409" customFormat="1" ht="36.75" customHeight="1">
      <c r="A9" s="404">
        <v>5</v>
      </c>
      <c r="B9" s="404" t="s">
        <v>441</v>
      </c>
      <c r="C9" s="404" t="s">
        <v>442</v>
      </c>
      <c r="D9" s="404" t="str">
        <f>'[19]План-факт_Поступления_до40м3с'!$B$3968</f>
        <v>Васильев М.В.</v>
      </c>
      <c r="E9" s="404">
        <v>90</v>
      </c>
      <c r="F9" s="404">
        <v>19</v>
      </c>
      <c r="G9" s="404" t="s">
        <v>436</v>
      </c>
      <c r="H9" s="404">
        <v>1.016</v>
      </c>
      <c r="I9" s="404">
        <v>1.17</v>
      </c>
      <c r="J9" s="397">
        <f>'[20]План-факт_Поступления_до40м3с'!$J$7333</f>
        <v>118.65550999999999</v>
      </c>
      <c r="K9" s="13">
        <v>160</v>
      </c>
      <c r="L9" s="404">
        <v>4</v>
      </c>
      <c r="M9" s="404" t="s">
        <v>436</v>
      </c>
      <c r="N9" s="404">
        <v>1.016</v>
      </c>
      <c r="O9" s="404">
        <v>0.61799999999999999</v>
      </c>
      <c r="P9" s="397">
        <f>'[20]План-факт_Поступления_до40м3с'!$J$7329</f>
        <v>34.898070000000004</v>
      </c>
      <c r="Q9" s="13">
        <v>2023</v>
      </c>
    </row>
    <row r="10" spans="1:18" s="409" customFormat="1" ht="31.5">
      <c r="A10" s="404">
        <v>6</v>
      </c>
      <c r="B10" s="404" t="s">
        <v>346</v>
      </c>
      <c r="C10" s="404" t="s">
        <v>209</v>
      </c>
      <c r="D10" s="404" t="s">
        <v>181</v>
      </c>
      <c r="E10" s="404">
        <v>32</v>
      </c>
      <c r="F10" s="404">
        <v>8</v>
      </c>
      <c r="G10" s="404" t="s">
        <v>436</v>
      </c>
      <c r="H10" s="404">
        <v>0.56000000000000005</v>
      </c>
      <c r="I10" s="404">
        <v>1.2</v>
      </c>
      <c r="J10" s="397">
        <f>'[20]План-факт_Поступления_до40м3с'!$J$7341</f>
        <v>31.931080000000001</v>
      </c>
      <c r="K10" s="13" t="s">
        <v>443</v>
      </c>
      <c r="L10" s="404" t="s">
        <v>444</v>
      </c>
      <c r="M10" s="404" t="s">
        <v>445</v>
      </c>
      <c r="N10" s="404">
        <v>0.56000000000000005</v>
      </c>
      <c r="O10" s="404">
        <v>0.16</v>
      </c>
      <c r="P10" s="397">
        <f>'[20]План-факт_Поступления_до40м3с'!$J$7337</f>
        <v>1091.35707</v>
      </c>
      <c r="Q10" s="13">
        <v>2023</v>
      </c>
    </row>
    <row r="11" spans="1:18" s="409" customFormat="1" ht="31.5">
      <c r="A11" s="404">
        <v>7</v>
      </c>
      <c r="B11" s="404" t="s">
        <v>346</v>
      </c>
      <c r="C11" s="404" t="s">
        <v>446</v>
      </c>
      <c r="D11" s="404" t="s">
        <v>377</v>
      </c>
      <c r="E11" s="404"/>
      <c r="F11" s="404"/>
      <c r="G11" s="404"/>
      <c r="H11" s="404">
        <v>0.24</v>
      </c>
      <c r="I11" s="404">
        <v>0.42</v>
      </c>
      <c r="J11" s="397">
        <f>'[20]План-факт_Поступления_до40м3с'!$J$7345</f>
        <v>2.67638</v>
      </c>
      <c r="K11" s="13"/>
      <c r="L11" s="404"/>
      <c r="M11" s="404"/>
      <c r="N11" s="404"/>
      <c r="O11" s="404"/>
      <c r="P11" s="397"/>
      <c r="Q11" s="13">
        <v>2023</v>
      </c>
      <c r="R11" s="409" t="s">
        <v>439</v>
      </c>
    </row>
    <row r="12" spans="1:18" s="409" customFormat="1" ht="31.5">
      <c r="A12" s="404">
        <v>8</v>
      </c>
      <c r="B12" s="404" t="s">
        <v>311</v>
      </c>
      <c r="C12" s="404" t="s">
        <v>447</v>
      </c>
      <c r="D12" s="404" t="s">
        <v>378</v>
      </c>
      <c r="E12" s="404"/>
      <c r="F12" s="404"/>
      <c r="G12" s="404"/>
      <c r="H12" s="404"/>
      <c r="I12" s="404"/>
      <c r="J12" s="397"/>
      <c r="K12" s="13"/>
      <c r="L12" s="404"/>
      <c r="M12" s="404"/>
      <c r="N12" s="404">
        <v>0.43</v>
      </c>
      <c r="O12" s="404">
        <v>0.24</v>
      </c>
      <c r="P12" s="397">
        <f>'[20]План-факт_Поступления_до40м3с'!$J$7353</f>
        <v>1.4319200000000001</v>
      </c>
      <c r="Q12" s="13">
        <v>2023</v>
      </c>
      <c r="R12" s="409" t="s">
        <v>439</v>
      </c>
    </row>
    <row r="13" spans="1:18" s="409" customFormat="1" ht="31.5">
      <c r="A13" s="404">
        <v>9</v>
      </c>
      <c r="B13" s="404" t="s">
        <v>311</v>
      </c>
      <c r="C13" s="404" t="s">
        <v>225</v>
      </c>
      <c r="D13" s="404" t="s">
        <v>182</v>
      </c>
      <c r="E13" s="404">
        <v>32</v>
      </c>
      <c r="F13" s="404">
        <v>6</v>
      </c>
      <c r="G13" s="404" t="s">
        <v>436</v>
      </c>
      <c r="H13" s="404">
        <v>0.42499999999999999</v>
      </c>
      <c r="I13" s="404">
        <v>0.24</v>
      </c>
      <c r="J13" s="397">
        <f>'[20]План-факт_Поступления_до40м3с'!$J$7357</f>
        <v>16.592739999999999</v>
      </c>
      <c r="K13" s="13"/>
      <c r="L13" s="404"/>
      <c r="M13" s="404"/>
      <c r="N13" s="404"/>
      <c r="O13" s="404"/>
      <c r="P13" s="397"/>
      <c r="Q13" s="13">
        <v>2023</v>
      </c>
    </row>
    <row r="14" spans="1:18" s="409" customFormat="1" ht="63">
      <c r="A14" s="404">
        <v>10</v>
      </c>
      <c r="B14" s="404" t="s">
        <v>346</v>
      </c>
      <c r="C14" s="404" t="s">
        <v>448</v>
      </c>
      <c r="D14" s="404" t="s">
        <v>379</v>
      </c>
      <c r="E14" s="404"/>
      <c r="F14" s="404"/>
      <c r="G14" s="404"/>
      <c r="H14" s="404"/>
      <c r="I14" s="404"/>
      <c r="J14" s="397"/>
      <c r="K14" s="13">
        <v>150</v>
      </c>
      <c r="L14" s="404" t="s">
        <v>449</v>
      </c>
      <c r="M14" s="404" t="s">
        <v>450</v>
      </c>
      <c r="N14" s="404">
        <v>0.24</v>
      </c>
      <c r="O14" s="404">
        <v>5.76</v>
      </c>
      <c r="P14" s="397">
        <f>'[20]План-факт_Поступления_до40м3с'!$J$7373</f>
        <v>31.502590000000001</v>
      </c>
      <c r="Q14" s="13">
        <v>2023</v>
      </c>
    </row>
    <row r="15" spans="1:18" s="409" customFormat="1" ht="47.25">
      <c r="A15" s="404">
        <v>11</v>
      </c>
      <c r="B15" s="404" t="s">
        <v>346</v>
      </c>
      <c r="C15" s="404" t="s">
        <v>451</v>
      </c>
      <c r="D15" s="404" t="s">
        <v>380</v>
      </c>
      <c r="E15" s="404"/>
      <c r="F15" s="404"/>
      <c r="G15" s="404"/>
      <c r="H15" s="404">
        <v>0.02</v>
      </c>
      <c r="I15" s="404">
        <v>0.36</v>
      </c>
      <c r="J15" s="397">
        <f>'[20]План-факт_Поступления_до40м3с'!$J$7381</f>
        <v>4.0145799999999996</v>
      </c>
      <c r="K15" s="13"/>
      <c r="L15" s="404"/>
      <c r="M15" s="404"/>
      <c r="N15" s="404">
        <v>0.2</v>
      </c>
      <c r="O15" s="404">
        <v>0.32</v>
      </c>
      <c r="P15" s="397">
        <f>'[20]План-факт_Поступления_до40м3с'!$J$7377</f>
        <v>2.1478999999999999</v>
      </c>
      <c r="Q15" s="13">
        <v>2023</v>
      </c>
      <c r="R15" s="409" t="s">
        <v>439</v>
      </c>
    </row>
    <row r="16" spans="1:18" s="409" customFormat="1" ht="31.5">
      <c r="A16" s="404">
        <v>12</v>
      </c>
      <c r="B16" s="404" t="s">
        <v>346</v>
      </c>
      <c r="C16" s="404" t="s">
        <v>452</v>
      </c>
      <c r="D16" s="404" t="s">
        <v>227</v>
      </c>
      <c r="E16" s="404">
        <v>110</v>
      </c>
      <c r="F16" s="404">
        <v>49</v>
      </c>
      <c r="G16" s="404" t="s">
        <v>453</v>
      </c>
      <c r="H16" s="404">
        <v>0.38</v>
      </c>
      <c r="I16" s="396">
        <v>4.5599999999999996</v>
      </c>
      <c r="J16" s="397">
        <f>'[20]План-факт_Поступления_до40м3с'!$J$7393</f>
        <v>1226.17723</v>
      </c>
      <c r="K16" s="13" t="s">
        <v>454</v>
      </c>
      <c r="L16" s="404" t="s">
        <v>455</v>
      </c>
      <c r="M16" s="404" t="s">
        <v>450</v>
      </c>
      <c r="N16" s="404">
        <v>0.38</v>
      </c>
      <c r="O16" s="404">
        <v>4.5599999999999996</v>
      </c>
      <c r="P16" s="397">
        <f>'[20]План-факт_Поступления_до40м3с'!$J$7389</f>
        <v>1833.8266199999998</v>
      </c>
      <c r="Q16" s="13">
        <v>2023</v>
      </c>
    </row>
    <row r="17" spans="1:18" s="409" customFormat="1" ht="31.5">
      <c r="A17" s="404">
        <v>13</v>
      </c>
      <c r="B17" s="404" t="s">
        <v>346</v>
      </c>
      <c r="C17" s="404" t="s">
        <v>456</v>
      </c>
      <c r="D17" s="404" t="s">
        <v>381</v>
      </c>
      <c r="E17" s="404"/>
      <c r="F17" s="404"/>
      <c r="G17" s="404"/>
      <c r="H17" s="404">
        <v>0.42</v>
      </c>
      <c r="I17" s="404">
        <v>0.5</v>
      </c>
      <c r="J17" s="397">
        <f>'[20]План-факт_Поступления_до40м3с'!$J$7397</f>
        <v>5.5758000000000001</v>
      </c>
      <c r="K17" s="13"/>
      <c r="L17" s="404"/>
      <c r="M17" s="404"/>
      <c r="N17" s="404"/>
      <c r="O17" s="404"/>
      <c r="P17" s="397"/>
      <c r="Q17" s="13">
        <v>2023</v>
      </c>
      <c r="R17" s="409" t="s">
        <v>439</v>
      </c>
    </row>
    <row r="18" spans="1:18" s="409" customFormat="1" ht="31.5">
      <c r="A18" s="404">
        <v>14</v>
      </c>
      <c r="B18" s="404" t="s">
        <v>346</v>
      </c>
      <c r="C18" s="404" t="s">
        <v>457</v>
      </c>
      <c r="D18" s="404" t="s">
        <v>382</v>
      </c>
      <c r="E18" s="404"/>
      <c r="F18" s="404"/>
      <c r="G18" s="404"/>
      <c r="H18" s="404">
        <v>0.25</v>
      </c>
      <c r="I18" s="404">
        <v>2</v>
      </c>
      <c r="J18" s="397">
        <f>'[20]План-факт_Поступления_до40м3с'!$J$7401</f>
        <v>22.3032</v>
      </c>
      <c r="K18" s="13"/>
      <c r="L18" s="404"/>
      <c r="M18" s="404"/>
      <c r="N18" s="404"/>
      <c r="O18" s="404"/>
      <c r="P18" s="397"/>
      <c r="Q18" s="13">
        <v>2023</v>
      </c>
      <c r="R18" s="409" t="s">
        <v>439</v>
      </c>
    </row>
    <row r="19" spans="1:18" s="409" customFormat="1" ht="47.25">
      <c r="A19" s="404">
        <v>15</v>
      </c>
      <c r="B19" s="404" t="s">
        <v>311</v>
      </c>
      <c r="C19" s="404" t="s">
        <v>458</v>
      </c>
      <c r="D19" s="404" t="s">
        <v>383</v>
      </c>
      <c r="E19" s="404"/>
      <c r="F19" s="404"/>
      <c r="G19" s="404"/>
      <c r="H19" s="404">
        <v>0.42199999999999999</v>
      </c>
      <c r="I19" s="404">
        <v>0.30299999999999999</v>
      </c>
      <c r="J19" s="397">
        <f>'[20]План-факт_Поступления_до40м3с'!$J$7405</f>
        <v>1.43194</v>
      </c>
      <c r="K19" s="13"/>
      <c r="L19" s="404"/>
      <c r="M19" s="404"/>
      <c r="N19" s="404"/>
      <c r="O19" s="404"/>
      <c r="P19" s="397"/>
      <c r="Q19" s="13">
        <v>2023</v>
      </c>
      <c r="R19" s="409" t="s">
        <v>439</v>
      </c>
    </row>
    <row r="20" spans="1:18" s="409" customFormat="1" ht="31.5">
      <c r="A20" s="404">
        <v>16</v>
      </c>
      <c r="B20" s="404" t="s">
        <v>361</v>
      </c>
      <c r="C20" s="404" t="s">
        <v>459</v>
      </c>
      <c r="D20" s="404" t="s">
        <v>363</v>
      </c>
      <c r="E20" s="404"/>
      <c r="F20" s="404"/>
      <c r="G20" s="404"/>
      <c r="H20" s="404"/>
      <c r="I20" s="404"/>
      <c r="J20" s="397"/>
      <c r="K20" s="13">
        <v>160</v>
      </c>
      <c r="L20" s="404">
        <v>5</v>
      </c>
      <c r="M20" s="404" t="s">
        <v>436</v>
      </c>
      <c r="N20" s="404">
        <v>0.42199999999999999</v>
      </c>
      <c r="O20" s="404">
        <v>0.30299999999999999</v>
      </c>
      <c r="P20" s="397">
        <f>'[20]План-факт_Поступления_до40м3с'!$J$7409</f>
        <v>29.05217</v>
      </c>
      <c r="Q20" s="13">
        <v>2023</v>
      </c>
    </row>
    <row r="21" spans="1:18" s="409" customFormat="1" ht="31.5">
      <c r="A21" s="404">
        <v>17</v>
      </c>
      <c r="B21" s="404" t="s">
        <v>311</v>
      </c>
      <c r="C21" s="404" t="s">
        <v>460</v>
      </c>
      <c r="D21" s="404" t="s">
        <v>254</v>
      </c>
      <c r="E21" s="404"/>
      <c r="F21" s="404"/>
      <c r="G21" s="404"/>
      <c r="H21" s="404">
        <v>2.35</v>
      </c>
      <c r="I21" s="404">
        <v>0.72</v>
      </c>
      <c r="J21" s="397">
        <f>'[20]План-факт_Поступления_до40м3с'!$J$7421</f>
        <v>20.072879999999998</v>
      </c>
      <c r="K21" s="13"/>
      <c r="L21" s="404"/>
      <c r="M21" s="404"/>
      <c r="N21" s="404"/>
      <c r="O21" s="404"/>
      <c r="P21" s="397"/>
      <c r="Q21" s="13">
        <v>2023</v>
      </c>
    </row>
    <row r="22" spans="1:18" s="409" customFormat="1" ht="31.5">
      <c r="A22" s="404">
        <v>18</v>
      </c>
      <c r="B22" s="404" t="s">
        <v>311</v>
      </c>
      <c r="C22" s="404" t="s">
        <v>232</v>
      </c>
      <c r="D22" s="404" t="s">
        <v>228</v>
      </c>
      <c r="E22" s="404">
        <v>110</v>
      </c>
      <c r="F22" s="404" t="s">
        <v>461</v>
      </c>
      <c r="G22" s="404" t="s">
        <v>450</v>
      </c>
      <c r="H22" s="404">
        <v>2.87</v>
      </c>
      <c r="I22" s="404">
        <v>13.68</v>
      </c>
      <c r="J22" s="397">
        <f>'[20]План-факт_Поступления_до40м3с'!$J$7425</f>
        <v>21467.893340000002</v>
      </c>
      <c r="K22" s="13"/>
      <c r="L22" s="404"/>
      <c r="M22" s="404"/>
      <c r="N22" s="404"/>
      <c r="O22" s="404"/>
      <c r="P22" s="397"/>
      <c r="Q22" s="13">
        <v>2023</v>
      </c>
    </row>
    <row r="23" spans="1:18" s="409" customFormat="1" ht="31.5">
      <c r="A23" s="404">
        <v>19</v>
      </c>
      <c r="B23" s="404" t="s">
        <v>311</v>
      </c>
      <c r="C23" s="404" t="s">
        <v>462</v>
      </c>
      <c r="D23" s="404" t="s">
        <v>384</v>
      </c>
      <c r="E23" s="404"/>
      <c r="F23" s="404"/>
      <c r="G23" s="404"/>
      <c r="H23" s="404">
        <v>0.49</v>
      </c>
      <c r="I23" s="404">
        <v>0.36</v>
      </c>
      <c r="J23" s="397">
        <f>'[20]План-факт_Поступления_до40м3с'!$J$7433</f>
        <v>1.4319999999999999</v>
      </c>
      <c r="K23" s="13"/>
      <c r="L23" s="404"/>
      <c r="M23" s="404"/>
      <c r="N23" s="404"/>
      <c r="O23" s="404"/>
      <c r="P23" s="397"/>
      <c r="Q23" s="13">
        <v>2023</v>
      </c>
      <c r="R23" s="409" t="s">
        <v>439</v>
      </c>
    </row>
    <row r="24" spans="1:18" s="409" customFormat="1" ht="31.5">
      <c r="A24" s="404">
        <v>20</v>
      </c>
      <c r="B24" s="404" t="s">
        <v>361</v>
      </c>
      <c r="C24" s="404" t="s">
        <v>362</v>
      </c>
      <c r="D24" s="404" t="s">
        <v>363</v>
      </c>
      <c r="E24" s="404">
        <v>32</v>
      </c>
      <c r="F24" s="404">
        <v>6.5</v>
      </c>
      <c r="G24" s="404" t="s">
        <v>436</v>
      </c>
      <c r="H24" s="404">
        <v>0.49199999999999999</v>
      </c>
      <c r="I24" s="404">
        <v>0.36</v>
      </c>
      <c r="J24" s="397">
        <f>'[20]План-факт_Поступления_до40м3с'!$J$7441</f>
        <v>19.09065</v>
      </c>
      <c r="K24" s="13">
        <v>160</v>
      </c>
      <c r="L24" s="404">
        <v>5</v>
      </c>
      <c r="M24" s="404" t="s">
        <v>436</v>
      </c>
      <c r="N24" s="404">
        <v>0.49199999999999999</v>
      </c>
      <c r="O24" s="404">
        <v>0.33600000000000002</v>
      </c>
      <c r="P24" s="397">
        <v>37.044629999999998</v>
      </c>
      <c r="Q24" s="13">
        <v>2023</v>
      </c>
    </row>
    <row r="25" spans="1:18" s="409" customFormat="1" ht="63">
      <c r="A25" s="404">
        <v>21</v>
      </c>
      <c r="B25" s="404" t="s">
        <v>361</v>
      </c>
      <c r="C25" s="404" t="s">
        <v>463</v>
      </c>
      <c r="D25" s="404" t="s">
        <v>385</v>
      </c>
      <c r="E25" s="404"/>
      <c r="F25" s="404"/>
      <c r="G25" s="404"/>
      <c r="H25" s="404"/>
      <c r="I25" s="404"/>
      <c r="J25" s="397"/>
      <c r="K25" s="13"/>
      <c r="L25" s="404"/>
      <c r="M25" s="404"/>
      <c r="N25" s="404">
        <v>0.54</v>
      </c>
      <c r="O25" s="404">
        <v>0.48</v>
      </c>
      <c r="P25" s="397">
        <f>'[20]План-факт_Поступления_до40м3с'!$J$7445</f>
        <v>2.8638699999999999</v>
      </c>
      <c r="Q25" s="13">
        <v>2024</v>
      </c>
      <c r="R25" s="409" t="s">
        <v>439</v>
      </c>
    </row>
    <row r="26" spans="1:18" s="409" customFormat="1" ht="31.5">
      <c r="A26" s="404">
        <v>22</v>
      </c>
      <c r="B26" s="404" t="s">
        <v>311</v>
      </c>
      <c r="C26" s="404" t="s">
        <v>312</v>
      </c>
      <c r="D26" s="404" t="s">
        <v>183</v>
      </c>
      <c r="E26" s="404">
        <v>32</v>
      </c>
      <c r="F26" s="404">
        <v>12.5</v>
      </c>
      <c r="G26" s="404" t="s">
        <v>436</v>
      </c>
      <c r="H26" s="404">
        <v>0.497</v>
      </c>
      <c r="I26" s="404">
        <v>0.36</v>
      </c>
      <c r="J26" s="397">
        <f>'[20]План-факт_Поступления_до40м3с'!$J$7449</f>
        <v>33.007010000000001</v>
      </c>
      <c r="K26" s="13">
        <v>160</v>
      </c>
      <c r="L26" s="404">
        <v>7</v>
      </c>
      <c r="M26" s="404" t="s">
        <v>436</v>
      </c>
      <c r="N26" s="404">
        <v>0.497</v>
      </c>
      <c r="O26" s="404">
        <v>0.33600000000000002</v>
      </c>
      <c r="P26" s="397">
        <f>'[20]План-факт_Поступления_до40м3с'!$J$7453</f>
        <v>51.003320000000002</v>
      </c>
      <c r="Q26" s="13">
        <v>2023</v>
      </c>
    </row>
    <row r="27" spans="1:18" s="409" customFormat="1" ht="31.5">
      <c r="A27" s="404">
        <v>23</v>
      </c>
      <c r="B27" s="404" t="s">
        <v>226</v>
      </c>
      <c r="C27" s="404" t="s">
        <v>354</v>
      </c>
      <c r="D27" s="404" t="s">
        <v>386</v>
      </c>
      <c r="E27" s="404"/>
      <c r="F27" s="404"/>
      <c r="G27" s="404"/>
      <c r="H27" s="404">
        <v>3.84</v>
      </c>
      <c r="I27" s="404">
        <v>4.32</v>
      </c>
      <c r="J27" s="397">
        <f>'[20]План-факт_Поступления_до40м3с'!$J$7461</f>
        <v>48.174909999999997</v>
      </c>
      <c r="K27" s="13"/>
      <c r="L27" s="404"/>
      <c r="M27" s="404"/>
      <c r="N27" s="404">
        <v>3.84</v>
      </c>
      <c r="O27" s="404">
        <v>4.32</v>
      </c>
      <c r="P27" s="397">
        <f>'[20]План-факт_Поступления_до40м3с'!$J$7457</f>
        <v>25.774850000000001</v>
      </c>
      <c r="Q27" s="13">
        <v>2023</v>
      </c>
      <c r="R27" s="409" t="s">
        <v>439</v>
      </c>
    </row>
    <row r="28" spans="1:18" s="409" customFormat="1" ht="31.5">
      <c r="A28" s="404">
        <v>24</v>
      </c>
      <c r="B28" s="404" t="s">
        <v>226</v>
      </c>
      <c r="C28" s="404" t="s">
        <v>364</v>
      </c>
      <c r="D28" s="404" t="s">
        <v>184</v>
      </c>
      <c r="E28" s="404">
        <v>32</v>
      </c>
      <c r="F28" s="404">
        <v>9.5</v>
      </c>
      <c r="G28" s="404" t="s">
        <v>436</v>
      </c>
      <c r="H28" s="404">
        <v>2.3E-2</v>
      </c>
      <c r="I28" s="404">
        <v>9.6000000000000002E-2</v>
      </c>
      <c r="J28" s="397">
        <f>'[20]План-факт_Поступления_до40м3с'!$J$7465</f>
        <v>23.10482</v>
      </c>
      <c r="K28" s="13"/>
      <c r="L28" s="404"/>
      <c r="M28" s="404"/>
      <c r="N28" s="404"/>
      <c r="O28" s="404"/>
      <c r="P28" s="397"/>
      <c r="Q28" s="13">
        <v>2023</v>
      </c>
    </row>
    <row r="29" spans="1:18" s="409" customFormat="1" ht="31.5">
      <c r="A29" s="404">
        <v>25</v>
      </c>
      <c r="B29" s="404" t="s">
        <v>210</v>
      </c>
      <c r="C29" s="404" t="s">
        <v>464</v>
      </c>
      <c r="D29" s="404" t="s">
        <v>387</v>
      </c>
      <c r="E29" s="404"/>
      <c r="F29" s="404"/>
      <c r="G29" s="404"/>
      <c r="H29" s="404">
        <v>3.7360000000000002</v>
      </c>
      <c r="I29" s="404">
        <v>1.798</v>
      </c>
      <c r="J29" s="397">
        <f>'[20]План-факт_Поступления_до40м3с'!$J$7469</f>
        <v>11.1516</v>
      </c>
      <c r="K29" s="13"/>
      <c r="L29" s="404"/>
      <c r="M29" s="404"/>
      <c r="N29" s="404"/>
      <c r="O29" s="404"/>
      <c r="P29" s="397"/>
      <c r="Q29" s="13">
        <v>2023</v>
      </c>
      <c r="R29" s="409" t="s">
        <v>439</v>
      </c>
    </row>
    <row r="30" spans="1:18" s="409" customFormat="1" ht="31.5">
      <c r="A30" s="404">
        <v>26</v>
      </c>
      <c r="B30" s="404" t="s">
        <v>210</v>
      </c>
      <c r="C30" s="404" t="s">
        <v>465</v>
      </c>
      <c r="D30" s="404" t="s">
        <v>388</v>
      </c>
      <c r="E30" s="404"/>
      <c r="F30" s="404"/>
      <c r="G30" s="404"/>
      <c r="H30" s="404">
        <v>0.42499999999999999</v>
      </c>
      <c r="I30" s="404">
        <v>0.24</v>
      </c>
      <c r="J30" s="397">
        <f>'[20]План-факт_Поступления_до40м3с'!$J$7473</f>
        <v>2.67638</v>
      </c>
      <c r="K30" s="13"/>
      <c r="L30" s="404"/>
      <c r="M30" s="404"/>
      <c r="N30" s="404"/>
      <c r="O30" s="404"/>
      <c r="P30" s="397"/>
      <c r="Q30" s="13">
        <v>2023</v>
      </c>
      <c r="R30" s="409" t="s">
        <v>439</v>
      </c>
    </row>
    <row r="31" spans="1:18" s="409" customFormat="1" ht="31.5">
      <c r="A31" s="404">
        <v>27</v>
      </c>
      <c r="B31" s="404" t="s">
        <v>210</v>
      </c>
      <c r="C31" s="404" t="s">
        <v>313</v>
      </c>
      <c r="D31" s="404" t="s">
        <v>185</v>
      </c>
      <c r="E31" s="404">
        <v>32</v>
      </c>
      <c r="F31" s="404">
        <v>6.5</v>
      </c>
      <c r="G31" s="404" t="s">
        <v>436</v>
      </c>
      <c r="H31" s="404">
        <v>0.54300000000000004</v>
      </c>
      <c r="I31" s="404">
        <v>0.48</v>
      </c>
      <c r="J31" s="397">
        <f>'[20]План-факт_Поступления_до40м3с'!$J$7489</f>
        <v>20.428840000000001</v>
      </c>
      <c r="K31" s="13"/>
      <c r="L31" s="404"/>
      <c r="M31" s="404"/>
      <c r="N31" s="404"/>
      <c r="O31" s="404"/>
      <c r="P31" s="397"/>
      <c r="Q31" s="13">
        <v>2023</v>
      </c>
    </row>
    <row r="32" spans="1:18" s="409" customFormat="1" ht="31.5">
      <c r="A32" s="404">
        <v>28</v>
      </c>
      <c r="B32" s="404" t="s">
        <v>311</v>
      </c>
      <c r="C32" s="404" t="s">
        <v>466</v>
      </c>
      <c r="D32" s="404" t="s">
        <v>389</v>
      </c>
      <c r="E32" s="404"/>
      <c r="F32" s="404"/>
      <c r="G32" s="404"/>
      <c r="H32" s="404">
        <v>0.56100000000000005</v>
      </c>
      <c r="I32" s="404">
        <v>0.6</v>
      </c>
      <c r="J32" s="397">
        <f>'[20]План-факт_Поступления_до40м3с'!$J$7493</f>
        <v>77.00139999999999</v>
      </c>
      <c r="K32" s="13"/>
      <c r="L32" s="404"/>
      <c r="M32" s="404"/>
      <c r="N32" s="404"/>
      <c r="O32" s="404"/>
      <c r="P32" s="397"/>
      <c r="Q32" s="13">
        <v>2023</v>
      </c>
      <c r="R32" s="409" t="s">
        <v>439</v>
      </c>
    </row>
    <row r="33" spans="1:18" s="409" customFormat="1" ht="31.5">
      <c r="A33" s="404">
        <v>29</v>
      </c>
      <c r="B33" s="404" t="s">
        <v>311</v>
      </c>
      <c r="C33" s="404" t="s">
        <v>354</v>
      </c>
      <c r="D33" s="404" t="s">
        <v>390</v>
      </c>
      <c r="E33" s="404"/>
      <c r="F33" s="404"/>
      <c r="G33" s="404"/>
      <c r="H33" s="404">
        <v>0.56100000000000005</v>
      </c>
      <c r="I33" s="404">
        <v>0.6</v>
      </c>
      <c r="J33" s="397">
        <f>'[20]План-факт_Поступления_до40м3с'!$J$7521</f>
        <v>6.7009599999999994</v>
      </c>
      <c r="K33" s="13"/>
      <c r="L33" s="404"/>
      <c r="M33" s="404"/>
      <c r="N33" s="404">
        <v>0.56100000000000005</v>
      </c>
      <c r="O33" s="404">
        <v>0.374</v>
      </c>
      <c r="P33" s="397">
        <f>'[20]План-факт_Поступления_до40м3с'!$J$7517</f>
        <v>3.5798399999999999</v>
      </c>
      <c r="Q33" s="13">
        <v>2023</v>
      </c>
      <c r="R33" s="409" t="s">
        <v>439</v>
      </c>
    </row>
    <row r="34" spans="1:18" s="409" customFormat="1" ht="94.5">
      <c r="A34" s="404">
        <v>30</v>
      </c>
      <c r="B34" s="404" t="s">
        <v>346</v>
      </c>
      <c r="C34" s="404" t="s">
        <v>467</v>
      </c>
      <c r="D34" s="404" t="s">
        <v>391</v>
      </c>
      <c r="E34" s="404"/>
      <c r="F34" s="404"/>
      <c r="G34" s="404"/>
      <c r="H34" s="404"/>
      <c r="I34" s="404"/>
      <c r="J34" s="397"/>
      <c r="K34" s="13"/>
      <c r="L34" s="404"/>
      <c r="M34" s="404"/>
      <c r="N34" s="404">
        <v>1.232</v>
      </c>
      <c r="O34" s="404">
        <v>0.98399999999999999</v>
      </c>
      <c r="P34" s="397">
        <f>'[20]План-факт_Поступления_до40м3с'!$J$7533</f>
        <v>5.7277399999999998</v>
      </c>
      <c r="Q34" s="13">
        <v>2023</v>
      </c>
      <c r="R34" s="409" t="s">
        <v>439</v>
      </c>
    </row>
    <row r="35" spans="1:18" s="409" customFormat="1" ht="31.5">
      <c r="A35" s="404">
        <v>31</v>
      </c>
      <c r="B35" s="404" t="s">
        <v>346</v>
      </c>
      <c r="C35" s="404" t="s">
        <v>365</v>
      </c>
      <c r="D35" s="404" t="s">
        <v>366</v>
      </c>
      <c r="E35" s="404">
        <v>110</v>
      </c>
      <c r="F35" s="404">
        <v>189.5</v>
      </c>
      <c r="G35" s="404" t="s">
        <v>436</v>
      </c>
      <c r="H35" s="404">
        <v>0.4</v>
      </c>
      <c r="I35" s="404">
        <v>4.8</v>
      </c>
      <c r="J35" s="397">
        <f>'[20]План-факт_Поступления_до40м3с'!$J$7545</f>
        <v>127.05034000000001</v>
      </c>
      <c r="K35" s="13"/>
      <c r="L35" s="404"/>
      <c r="M35" s="404"/>
      <c r="N35" s="404"/>
      <c r="O35" s="404"/>
      <c r="P35" s="397"/>
      <c r="Q35" s="13">
        <v>2024</v>
      </c>
    </row>
    <row r="36" spans="1:18" s="409" customFormat="1" ht="31.5">
      <c r="A36" s="404">
        <v>32</v>
      </c>
      <c r="B36" s="404" t="s">
        <v>311</v>
      </c>
      <c r="C36" s="404" t="s">
        <v>314</v>
      </c>
      <c r="D36" s="404" t="s">
        <v>186</v>
      </c>
      <c r="E36" s="404">
        <v>32</v>
      </c>
      <c r="F36" s="404" t="s">
        <v>468</v>
      </c>
      <c r="G36" s="404" t="s">
        <v>469</v>
      </c>
      <c r="H36" s="404">
        <v>0.42199999999999999</v>
      </c>
      <c r="I36" s="404">
        <v>0.24</v>
      </c>
      <c r="J36" s="397">
        <f>'[20]План-факт_Поступления_до40м3с'!$J$7557</f>
        <v>890.69917999999996</v>
      </c>
      <c r="K36" s="13"/>
      <c r="L36" s="404"/>
      <c r="M36" s="404"/>
      <c r="N36" s="404"/>
      <c r="O36" s="404"/>
      <c r="P36" s="397"/>
      <c r="Q36" s="13">
        <v>2023</v>
      </c>
    </row>
    <row r="37" spans="1:18" s="409" customFormat="1" ht="47.25">
      <c r="A37" s="404">
        <v>33</v>
      </c>
      <c r="B37" s="404" t="s">
        <v>311</v>
      </c>
      <c r="C37" s="404" t="s">
        <v>367</v>
      </c>
      <c r="D37" s="404" t="s">
        <v>368</v>
      </c>
      <c r="E37" s="404">
        <v>32</v>
      </c>
      <c r="F37" s="404" t="s">
        <v>470</v>
      </c>
      <c r="G37" s="404" t="s">
        <v>469</v>
      </c>
      <c r="H37" s="404">
        <v>0.06</v>
      </c>
      <c r="I37" s="404">
        <v>0.72</v>
      </c>
      <c r="J37" s="397">
        <f>'[20]План-факт_Поступления_до40м3с'!$J$7561</f>
        <v>8.0291499999999996</v>
      </c>
      <c r="K37" s="13"/>
      <c r="L37" s="404"/>
      <c r="M37" s="404"/>
      <c r="N37" s="404"/>
      <c r="O37" s="404"/>
      <c r="P37" s="397"/>
      <c r="Q37" s="13">
        <v>2023</v>
      </c>
    </row>
    <row r="38" spans="1:18" s="409" customFormat="1" ht="47.25">
      <c r="A38" s="404">
        <v>34</v>
      </c>
      <c r="B38" s="404" t="s">
        <v>346</v>
      </c>
      <c r="C38" s="404" t="s">
        <v>471</v>
      </c>
      <c r="D38" s="404" t="s">
        <v>392</v>
      </c>
      <c r="E38" s="404"/>
      <c r="F38" s="404"/>
      <c r="G38" s="404"/>
      <c r="H38" s="404">
        <v>0.371</v>
      </c>
      <c r="I38" s="404">
        <v>0.12</v>
      </c>
      <c r="J38" s="397">
        <f>'[20]План-факт_Поступления_до40м3с'!$J$7577</f>
        <v>1.33819</v>
      </c>
      <c r="K38" s="13"/>
      <c r="L38" s="404"/>
      <c r="M38" s="404"/>
      <c r="N38" s="404"/>
      <c r="O38" s="404"/>
      <c r="P38" s="397"/>
      <c r="Q38" s="13">
        <v>2023</v>
      </c>
      <c r="R38" s="409" t="s">
        <v>439</v>
      </c>
    </row>
    <row r="39" spans="1:18" s="409" customFormat="1" ht="31.5">
      <c r="A39" s="404">
        <v>35</v>
      </c>
      <c r="B39" s="404" t="s">
        <v>311</v>
      </c>
      <c r="C39" s="404" t="s">
        <v>472</v>
      </c>
      <c r="D39" s="404" t="s">
        <v>393</v>
      </c>
      <c r="E39" s="404"/>
      <c r="F39" s="404"/>
      <c r="G39" s="404"/>
      <c r="H39" s="404"/>
      <c r="I39" s="404"/>
      <c r="J39" s="397"/>
      <c r="K39" s="13"/>
      <c r="L39" s="404"/>
      <c r="M39" s="404"/>
      <c r="N39" s="404">
        <v>0.39</v>
      </c>
      <c r="O39" s="404">
        <v>0.12</v>
      </c>
      <c r="P39" s="397">
        <f>'[20]План-факт_Поступления_до40м3с'!$J$7581</f>
        <v>0.71597</v>
      </c>
      <c r="Q39" s="13">
        <v>2023</v>
      </c>
      <c r="R39" s="409" t="s">
        <v>439</v>
      </c>
    </row>
    <row r="40" spans="1:18" s="409" customFormat="1" ht="31.5">
      <c r="A40" s="404">
        <v>36</v>
      </c>
      <c r="B40" s="404" t="s">
        <v>346</v>
      </c>
      <c r="C40" s="404" t="s">
        <v>473</v>
      </c>
      <c r="D40" s="404" t="s">
        <v>394</v>
      </c>
      <c r="E40" s="404"/>
      <c r="F40" s="404"/>
      <c r="G40" s="404"/>
      <c r="H40" s="404"/>
      <c r="I40" s="404"/>
      <c r="J40" s="397"/>
      <c r="K40" s="13"/>
      <c r="L40" s="404"/>
      <c r="M40" s="404"/>
      <c r="N40" s="404">
        <v>0.43</v>
      </c>
      <c r="O40" s="404">
        <v>0.24</v>
      </c>
      <c r="P40" s="397">
        <f>'[20]План-факт_Поступления_до40м3с'!$J$7585</f>
        <v>1.43194</v>
      </c>
      <c r="Q40" s="13">
        <v>2024</v>
      </c>
      <c r="R40" s="409" t="s">
        <v>439</v>
      </c>
    </row>
    <row r="41" spans="1:18" s="409" customFormat="1" ht="31.5">
      <c r="A41" s="404">
        <v>37</v>
      </c>
      <c r="B41" s="404" t="s">
        <v>346</v>
      </c>
      <c r="C41" s="404" t="s">
        <v>474</v>
      </c>
      <c r="D41" s="404" t="s">
        <v>395</v>
      </c>
      <c r="E41" s="404"/>
      <c r="F41" s="404"/>
      <c r="G41" s="404"/>
      <c r="H41" s="404"/>
      <c r="I41" s="404"/>
      <c r="J41" s="397"/>
      <c r="K41" s="13"/>
      <c r="L41" s="404"/>
      <c r="M41" s="404"/>
      <c r="N41" s="404">
        <v>0.49</v>
      </c>
      <c r="O41" s="404">
        <v>0.36</v>
      </c>
      <c r="P41" s="397">
        <f>'[20]План-факт_Поступления_до40м3с'!$J$7589</f>
        <v>2.1478999999999999</v>
      </c>
      <c r="Q41" s="13">
        <v>2024</v>
      </c>
      <c r="R41" s="409" t="s">
        <v>439</v>
      </c>
    </row>
    <row r="42" spans="1:18" s="409" customFormat="1" ht="110.25">
      <c r="A42" s="404">
        <v>38</v>
      </c>
      <c r="B42" s="404" t="s">
        <v>311</v>
      </c>
      <c r="C42" s="404" t="s">
        <v>475</v>
      </c>
      <c r="D42" s="404" t="s">
        <v>396</v>
      </c>
      <c r="E42" s="404"/>
      <c r="F42" s="404"/>
      <c r="G42" s="404"/>
      <c r="H42" s="404"/>
      <c r="I42" s="404"/>
      <c r="J42" s="397"/>
      <c r="K42" s="13"/>
      <c r="L42" s="404"/>
      <c r="M42" s="404"/>
      <c r="N42" s="404">
        <v>0.54</v>
      </c>
      <c r="O42" s="404">
        <v>0.48</v>
      </c>
      <c r="P42" s="397">
        <f>'[20]План-факт_Поступления_до40м3с'!$J$7593</f>
        <v>2.8638699999999999</v>
      </c>
      <c r="Q42" s="13">
        <v>2024</v>
      </c>
      <c r="R42" s="409" t="s">
        <v>439</v>
      </c>
    </row>
    <row r="43" spans="1:18" s="409" customFormat="1" ht="47.25">
      <c r="A43" s="404">
        <v>39</v>
      </c>
      <c r="B43" s="404" t="s">
        <v>311</v>
      </c>
      <c r="C43" s="404" t="s">
        <v>476</v>
      </c>
      <c r="D43" s="404" t="s">
        <v>397</v>
      </c>
      <c r="E43" s="404"/>
      <c r="F43" s="404"/>
      <c r="G43" s="404"/>
      <c r="H43" s="404"/>
      <c r="I43" s="404"/>
      <c r="J43" s="397"/>
      <c r="K43" s="13"/>
      <c r="L43" s="404"/>
      <c r="M43" s="404"/>
      <c r="N43" s="404">
        <v>0.43</v>
      </c>
      <c r="O43" s="404">
        <v>0.24</v>
      </c>
      <c r="P43" s="397">
        <f>'[20]План-факт_Поступления_до40м3с'!$J$7597</f>
        <v>1.44</v>
      </c>
      <c r="Q43" s="13">
        <v>2024</v>
      </c>
      <c r="R43" s="409" t="s">
        <v>439</v>
      </c>
    </row>
    <row r="44" spans="1:18" s="409" customFormat="1" ht="47.25">
      <c r="A44" s="404">
        <v>40</v>
      </c>
      <c r="B44" s="404" t="s">
        <v>311</v>
      </c>
      <c r="C44" s="404" t="s">
        <v>315</v>
      </c>
      <c r="D44" s="404" t="s">
        <v>398</v>
      </c>
      <c r="E44" s="404"/>
      <c r="F44" s="404"/>
      <c r="G44" s="404"/>
      <c r="H44" s="404"/>
      <c r="I44" s="404"/>
      <c r="J44" s="397"/>
      <c r="K44" s="13"/>
      <c r="L44" s="404"/>
      <c r="M44" s="404"/>
      <c r="N44" s="404">
        <v>0.56100000000000005</v>
      </c>
      <c r="O44" s="404">
        <v>0.48</v>
      </c>
      <c r="P44" s="397">
        <f>'[20]План-факт_Поступления_до40м3с'!$J$7605</f>
        <v>2.8638699999999999</v>
      </c>
      <c r="Q44" s="13">
        <v>2023</v>
      </c>
      <c r="R44" s="409" t="s">
        <v>439</v>
      </c>
    </row>
    <row r="45" spans="1:18" s="409" customFormat="1" ht="47.25">
      <c r="A45" s="404">
        <v>41</v>
      </c>
      <c r="B45" s="404" t="s">
        <v>311</v>
      </c>
      <c r="C45" s="404" t="s">
        <v>315</v>
      </c>
      <c r="D45" s="404" t="s">
        <v>187</v>
      </c>
      <c r="E45" s="404">
        <v>31</v>
      </c>
      <c r="F45" s="404">
        <v>11</v>
      </c>
      <c r="G45" s="404" t="s">
        <v>477</v>
      </c>
      <c r="H45" s="404">
        <v>0.60599999999999998</v>
      </c>
      <c r="I45" s="404">
        <v>0.6</v>
      </c>
      <c r="J45" s="397">
        <f>'[20]План-факт_Поступления_до40м3с'!$J$7613</f>
        <v>32.204300000000003</v>
      </c>
      <c r="K45" s="13"/>
      <c r="L45" s="404"/>
      <c r="M45" s="404"/>
      <c r="N45" s="404">
        <v>0.60599999999999998</v>
      </c>
      <c r="O45" s="404">
        <v>0.38900000000000001</v>
      </c>
      <c r="P45" s="397">
        <f>'[20]План-факт_Поступления_до40м3с'!$J$7609</f>
        <v>3.5798399999999999</v>
      </c>
      <c r="Q45" s="13">
        <v>2023</v>
      </c>
    </row>
    <row r="46" spans="1:18" s="409" customFormat="1" ht="31.5">
      <c r="A46" s="404">
        <v>42</v>
      </c>
      <c r="B46" s="404" t="s">
        <v>311</v>
      </c>
      <c r="C46" s="404" t="s">
        <v>478</v>
      </c>
      <c r="D46" s="404" t="s">
        <v>399</v>
      </c>
      <c r="E46" s="404"/>
      <c r="F46" s="404"/>
      <c r="G46" s="404"/>
      <c r="H46" s="404">
        <v>0.36499999999999999</v>
      </c>
      <c r="I46" s="404">
        <v>0.12</v>
      </c>
      <c r="J46" s="397">
        <f>'[20]План-факт_Поступления_до40м3с'!$J$7625</f>
        <v>1.33819</v>
      </c>
      <c r="K46" s="13"/>
      <c r="L46" s="404"/>
      <c r="M46" s="404"/>
      <c r="N46" s="404"/>
      <c r="O46" s="404"/>
      <c r="P46" s="397"/>
      <c r="Q46" s="13">
        <v>2023</v>
      </c>
      <c r="R46" s="409" t="s">
        <v>439</v>
      </c>
    </row>
    <row r="47" spans="1:18" s="409" customFormat="1" ht="63">
      <c r="A47" s="404">
        <v>43</v>
      </c>
      <c r="B47" s="404" t="s">
        <v>369</v>
      </c>
      <c r="C47" s="404" t="s">
        <v>370</v>
      </c>
      <c r="D47" s="404" t="s">
        <v>371</v>
      </c>
      <c r="E47" s="404">
        <v>32</v>
      </c>
      <c r="F47" s="404">
        <v>160</v>
      </c>
      <c r="G47" s="404" t="s">
        <v>479</v>
      </c>
      <c r="H47" s="404">
        <v>0.11</v>
      </c>
      <c r="I47" s="404">
        <v>0.34</v>
      </c>
      <c r="J47" s="397">
        <f>'[20]План-факт_Поступления_до40м3с'!$J$7645</f>
        <v>1892.5766400000002</v>
      </c>
      <c r="K47" s="13" t="s">
        <v>443</v>
      </c>
      <c r="L47" s="404" t="s">
        <v>480</v>
      </c>
      <c r="M47" s="404" t="s">
        <v>481</v>
      </c>
      <c r="N47" s="404">
        <v>0.49</v>
      </c>
      <c r="O47" s="404">
        <v>1.93</v>
      </c>
      <c r="P47" s="397">
        <f>'[20]План-факт_Поступления_до40м3с'!$J$7641</f>
        <v>3072.8158400000002</v>
      </c>
      <c r="Q47" s="13">
        <v>2024</v>
      </c>
    </row>
    <row r="48" spans="1:18" s="409" customFormat="1" ht="31.5">
      <c r="A48" s="404">
        <v>44</v>
      </c>
      <c r="B48" s="404" t="s">
        <v>311</v>
      </c>
      <c r="C48" s="404" t="s">
        <v>482</v>
      </c>
      <c r="D48" s="404" t="s">
        <v>400</v>
      </c>
      <c r="E48" s="404"/>
      <c r="F48" s="404"/>
      <c r="G48" s="404"/>
      <c r="H48" s="404">
        <v>0.02</v>
      </c>
      <c r="I48" s="404">
        <v>0.36</v>
      </c>
      <c r="J48" s="397">
        <f>'[20]План-факт_Поступления_до40м3с'!$J$7649</f>
        <v>4.0145799999999996</v>
      </c>
      <c r="K48" s="13"/>
      <c r="L48" s="404"/>
      <c r="M48" s="404"/>
      <c r="N48" s="404"/>
      <c r="O48" s="404"/>
      <c r="P48" s="397"/>
      <c r="Q48" s="13">
        <v>2024</v>
      </c>
      <c r="R48" s="409" t="s">
        <v>439</v>
      </c>
    </row>
    <row r="49" spans="1:18" s="409" customFormat="1" ht="31.5">
      <c r="A49" s="404">
        <v>45</v>
      </c>
      <c r="B49" s="404"/>
      <c r="C49" s="404" t="s">
        <v>341</v>
      </c>
      <c r="D49" s="404" t="s">
        <v>219</v>
      </c>
      <c r="E49" s="404">
        <v>75</v>
      </c>
      <c r="F49" s="404" t="s">
        <v>483</v>
      </c>
      <c r="G49" s="404" t="s">
        <v>469</v>
      </c>
      <c r="H49" s="404">
        <v>5.61</v>
      </c>
      <c r="I49" s="404">
        <v>3.6</v>
      </c>
      <c r="J49" s="397">
        <f>'[20]План-факт_Поступления_до40м3с'!$J$7653</f>
        <v>1179.20162</v>
      </c>
      <c r="K49" s="13"/>
      <c r="L49" s="404"/>
      <c r="M49" s="404"/>
      <c r="N49" s="404">
        <v>5.61</v>
      </c>
      <c r="O49" s="404">
        <v>2.65</v>
      </c>
      <c r="P49" s="397">
        <f>'[20]План-факт_Поступления_до40м3с'!$J$7657</f>
        <v>21.479040000000001</v>
      </c>
      <c r="Q49" s="13">
        <v>2023</v>
      </c>
    </row>
    <row r="50" spans="1:18" s="409" customFormat="1" ht="31.5">
      <c r="A50" s="404">
        <v>46</v>
      </c>
      <c r="B50" s="404" t="s">
        <v>311</v>
      </c>
      <c r="C50" s="404" t="s">
        <v>484</v>
      </c>
      <c r="D50" s="404" t="s">
        <v>401</v>
      </c>
      <c r="E50" s="404"/>
      <c r="F50" s="404"/>
      <c r="G50" s="404"/>
      <c r="H50" s="404">
        <v>2.6100000000000002E-2</v>
      </c>
      <c r="I50" s="404">
        <v>0.36</v>
      </c>
      <c r="J50" s="397">
        <f>'[20]План-факт_Поступления_до40м3с'!$J$7665</f>
        <v>4.0145799999999996</v>
      </c>
      <c r="K50" s="13"/>
      <c r="L50" s="404"/>
      <c r="M50" s="404"/>
      <c r="N50" s="404">
        <v>2.6100000000000002E-2</v>
      </c>
      <c r="O50" s="404">
        <v>0.36</v>
      </c>
      <c r="P50" s="397">
        <f>'[20]План-факт_Поступления_до40м3с'!$J$7669</f>
        <v>2.1478999999999999</v>
      </c>
      <c r="Q50" s="13">
        <v>2023</v>
      </c>
      <c r="R50" s="409" t="s">
        <v>439</v>
      </c>
    </row>
    <row r="51" spans="1:18" s="409" customFormat="1" ht="31.5">
      <c r="A51" s="404">
        <v>47</v>
      </c>
      <c r="B51" s="404" t="s">
        <v>311</v>
      </c>
      <c r="C51" s="404" t="s">
        <v>241</v>
      </c>
      <c r="D51" s="404" t="s">
        <v>234</v>
      </c>
      <c r="E51" s="404"/>
      <c r="F51" s="404"/>
      <c r="G51" s="404"/>
      <c r="H51" s="404"/>
      <c r="I51" s="404"/>
      <c r="J51" s="397"/>
      <c r="K51" s="13">
        <v>160</v>
      </c>
      <c r="L51" s="404">
        <v>11</v>
      </c>
      <c r="M51" s="404" t="s">
        <v>477</v>
      </c>
      <c r="N51" s="404">
        <v>0.42499999999999999</v>
      </c>
      <c r="O51" s="404">
        <v>0.24</v>
      </c>
      <c r="P51" s="397">
        <f>'[20]План-факт_Поступления_до40м3с'!$J$7685</f>
        <v>78.204740000000001</v>
      </c>
      <c r="Q51" s="13">
        <v>2023</v>
      </c>
    </row>
    <row r="52" spans="1:18" s="409" customFormat="1" ht="47.25">
      <c r="A52" s="404">
        <v>48</v>
      </c>
      <c r="B52" s="404" t="s">
        <v>311</v>
      </c>
      <c r="C52" s="404" t="s">
        <v>485</v>
      </c>
      <c r="D52" s="404" t="s">
        <v>402</v>
      </c>
      <c r="E52" s="404"/>
      <c r="F52" s="404"/>
      <c r="G52" s="404"/>
      <c r="H52" s="404">
        <v>0.64</v>
      </c>
      <c r="I52" s="404">
        <v>1</v>
      </c>
      <c r="J52" s="397">
        <f>'[20]План-факт_Поступления_до40м3с'!$J$7689</f>
        <v>11.1516</v>
      </c>
      <c r="K52" s="13"/>
      <c r="L52" s="404"/>
      <c r="M52" s="404"/>
      <c r="N52" s="404"/>
      <c r="O52" s="404"/>
      <c r="P52" s="397"/>
      <c r="Q52" s="13">
        <v>2024</v>
      </c>
      <c r="R52" s="409" t="s">
        <v>439</v>
      </c>
    </row>
    <row r="53" spans="1:18" s="409" customFormat="1" ht="31.5">
      <c r="A53" s="404">
        <v>49</v>
      </c>
      <c r="B53" s="404" t="s">
        <v>311</v>
      </c>
      <c r="C53" s="404" t="s">
        <v>486</v>
      </c>
      <c r="D53" s="404" t="s">
        <v>403</v>
      </c>
      <c r="E53" s="404"/>
      <c r="F53" s="404"/>
      <c r="G53" s="404"/>
      <c r="H53" s="404">
        <v>0.42199999999999999</v>
      </c>
      <c r="I53" s="404">
        <v>0.22</v>
      </c>
      <c r="J53" s="397">
        <f>'[20]План-факт_Поступления_до40м3с'!$J$7697</f>
        <v>2.4533499999999999</v>
      </c>
      <c r="K53" s="13"/>
      <c r="L53" s="404"/>
      <c r="M53" s="404"/>
      <c r="N53" s="404"/>
      <c r="O53" s="404"/>
      <c r="P53" s="397"/>
      <c r="Q53" s="13">
        <v>2024</v>
      </c>
      <c r="R53" s="409" t="s">
        <v>439</v>
      </c>
    </row>
    <row r="54" spans="1:18" s="409" customFormat="1" ht="47.25">
      <c r="A54" s="404">
        <v>50</v>
      </c>
      <c r="B54" s="404" t="s">
        <v>311</v>
      </c>
      <c r="C54" s="404" t="s">
        <v>316</v>
      </c>
      <c r="D54" s="404" t="str">
        <f>'[19]План-факт_Поступления_до40м3с'!$B$4328</f>
        <v>Пряников И.Н.</v>
      </c>
      <c r="E54" s="404">
        <v>32</v>
      </c>
      <c r="F54" s="404">
        <v>11.5</v>
      </c>
      <c r="G54" s="404" t="s">
        <v>479</v>
      </c>
      <c r="H54" s="404">
        <v>0.42499999999999999</v>
      </c>
      <c r="I54" s="404">
        <v>0.24</v>
      </c>
      <c r="J54" s="397">
        <f>'[20]План-факт_Поступления_до40м3с'!$J$7701</f>
        <v>2.6847400000000001</v>
      </c>
      <c r="K54" s="13"/>
      <c r="L54" s="404"/>
      <c r="M54" s="404"/>
      <c r="N54" s="404"/>
      <c r="O54" s="404"/>
      <c r="P54" s="397"/>
      <c r="Q54" s="13">
        <v>2024</v>
      </c>
    </row>
    <row r="55" spans="1:18" s="409" customFormat="1" ht="31.5">
      <c r="A55" s="404">
        <v>51</v>
      </c>
      <c r="B55" s="404" t="s">
        <v>311</v>
      </c>
      <c r="C55" s="404" t="s">
        <v>487</v>
      </c>
      <c r="D55" s="404" t="str">
        <f>'[19]План-факт_Поступления_до40м3с'!$B$4332</f>
        <v>Манукян К.Л.</v>
      </c>
      <c r="E55" s="404"/>
      <c r="F55" s="404"/>
      <c r="G55" s="404"/>
      <c r="H55" s="404">
        <v>0.42499999999999999</v>
      </c>
      <c r="I55" s="404">
        <v>0.24</v>
      </c>
      <c r="J55" s="397">
        <f>'[20]План-факт_Поступления_до40м3с'!$J$7705</f>
        <v>2.67638</v>
      </c>
      <c r="K55" s="13"/>
      <c r="L55" s="404"/>
      <c r="M55" s="404"/>
      <c r="N55" s="404">
        <v>0.42499999999999999</v>
      </c>
      <c r="O55" s="404">
        <v>0.246</v>
      </c>
      <c r="P55" s="397">
        <f>'[20]План-факт_Поступления_до40м3с'!$J$7709</f>
        <v>1.43194</v>
      </c>
      <c r="Q55" s="13">
        <v>2024</v>
      </c>
      <c r="R55" s="409" t="s">
        <v>439</v>
      </c>
    </row>
    <row r="56" spans="1:18" s="409" customFormat="1" ht="31.5">
      <c r="A56" s="404">
        <v>52</v>
      </c>
      <c r="B56" s="404" t="s">
        <v>311</v>
      </c>
      <c r="C56" s="404" t="s">
        <v>488</v>
      </c>
      <c r="D56" s="404" t="str">
        <f>'[19]План-факт_Поступления_до40м3с'!$B$4340</f>
        <v>Новиков А.С.</v>
      </c>
      <c r="E56" s="404"/>
      <c r="F56" s="404"/>
      <c r="G56" s="404"/>
      <c r="H56" s="404">
        <v>0.47</v>
      </c>
      <c r="I56" s="404">
        <v>0.36</v>
      </c>
      <c r="J56" s="397">
        <f>'[20]План-факт_Поступления_до40м3с'!$J$7713</f>
        <v>4.0145799999999996</v>
      </c>
      <c r="K56" s="13"/>
      <c r="L56" s="404"/>
      <c r="M56" s="404"/>
      <c r="N56" s="404"/>
      <c r="O56" s="404"/>
      <c r="P56" s="397"/>
      <c r="Q56" s="13">
        <v>2024</v>
      </c>
      <c r="R56" s="409" t="s">
        <v>439</v>
      </c>
    </row>
    <row r="57" spans="1:18" s="409" customFormat="1" ht="47.25">
      <c r="A57" s="404">
        <v>53</v>
      </c>
      <c r="B57" s="404" t="s">
        <v>311</v>
      </c>
      <c r="C57" s="404" t="s">
        <v>489</v>
      </c>
      <c r="D57" s="404" t="str">
        <f>'[19]План-факт_Поступления_до40м3с'!$B$4344</f>
        <v>Криволапова Т.В.</v>
      </c>
      <c r="E57" s="404"/>
      <c r="F57" s="404"/>
      <c r="G57" s="404"/>
      <c r="H57" s="404">
        <v>0.02</v>
      </c>
      <c r="I57" s="404">
        <v>0.36</v>
      </c>
      <c r="J57" s="397">
        <f>'[20]План-факт_Поступления_до40м3с'!$J$7717</f>
        <v>4.0145799999999996</v>
      </c>
      <c r="K57" s="13"/>
      <c r="L57" s="404"/>
      <c r="M57" s="404"/>
      <c r="N57" s="404"/>
      <c r="O57" s="404"/>
      <c r="P57" s="397"/>
      <c r="Q57" s="13">
        <v>2024</v>
      </c>
      <c r="R57" s="409" t="s">
        <v>439</v>
      </c>
    </row>
    <row r="58" spans="1:18" s="409" customFormat="1" ht="31.5">
      <c r="A58" s="404">
        <v>54</v>
      </c>
      <c r="B58" s="404" t="s">
        <v>311</v>
      </c>
      <c r="C58" s="404" t="s">
        <v>490</v>
      </c>
      <c r="D58" s="404" t="str">
        <f>'[19]План-факт_Поступления_до40м3с'!$B$4348</f>
        <v>Вдовин Д.В.</v>
      </c>
      <c r="E58" s="404"/>
      <c r="F58" s="404"/>
      <c r="G58" s="404"/>
      <c r="H58" s="404">
        <v>0.42499999999999999</v>
      </c>
      <c r="I58" s="404">
        <v>0.24</v>
      </c>
      <c r="J58" s="397">
        <f>'[20]План-факт_Поступления_до40м3с'!$J$7721</f>
        <v>2.67638</v>
      </c>
      <c r="K58" s="13"/>
      <c r="L58" s="404"/>
      <c r="M58" s="404"/>
      <c r="N58" s="404"/>
      <c r="O58" s="404"/>
      <c r="P58" s="397"/>
      <c r="Q58" s="13">
        <v>2024</v>
      </c>
      <c r="R58" s="409" t="s">
        <v>439</v>
      </c>
    </row>
    <row r="59" spans="1:18" s="409" customFormat="1" ht="31.5">
      <c r="A59" s="404">
        <v>55</v>
      </c>
      <c r="B59" s="404" t="s">
        <v>311</v>
      </c>
      <c r="C59" s="404" t="s">
        <v>487</v>
      </c>
      <c r="D59" s="404" t="str">
        <f>'[19]План-факт_Поступления_до40м3с'!$B$4352</f>
        <v>Аниконов А.Н.</v>
      </c>
      <c r="E59" s="404"/>
      <c r="F59" s="404"/>
      <c r="G59" s="404"/>
      <c r="H59" s="404">
        <v>0.42499999999999999</v>
      </c>
      <c r="I59" s="404">
        <v>0.24</v>
      </c>
      <c r="J59" s="397">
        <f>'[20]План-факт_Поступления_до40м3с'!$J$7725</f>
        <v>2.67638</v>
      </c>
      <c r="K59" s="13"/>
      <c r="L59" s="404"/>
      <c r="M59" s="404"/>
      <c r="N59" s="404">
        <v>0.42499999999999999</v>
      </c>
      <c r="O59" s="404">
        <v>0.308</v>
      </c>
      <c r="P59" s="397">
        <f>'[20]План-факт_Поступления_до40м3с'!$J$7729</f>
        <v>1.43194</v>
      </c>
      <c r="Q59" s="13">
        <v>2024</v>
      </c>
      <c r="R59" s="409" t="s">
        <v>439</v>
      </c>
    </row>
    <row r="60" spans="1:18" s="409" customFormat="1" ht="31.5">
      <c r="A60" s="404">
        <v>56</v>
      </c>
      <c r="B60" s="404" t="s">
        <v>311</v>
      </c>
      <c r="C60" s="404" t="s">
        <v>491</v>
      </c>
      <c r="D60" s="404" t="str">
        <f>'[19]План-факт_Поступления_до40м3с'!$B$4360</f>
        <v>Кутахин П.Д.</v>
      </c>
      <c r="E60" s="404"/>
      <c r="F60" s="404"/>
      <c r="G60" s="404"/>
      <c r="H60" s="404">
        <v>0.02</v>
      </c>
      <c r="I60" s="404">
        <v>0.36</v>
      </c>
      <c r="J60" s="397">
        <f>'[20]План-факт_Поступления_до40м3с'!$J$7733</f>
        <v>40.145759999999996</v>
      </c>
      <c r="K60" s="13"/>
      <c r="L60" s="404"/>
      <c r="M60" s="404"/>
      <c r="N60" s="404"/>
      <c r="O60" s="404"/>
      <c r="P60" s="397"/>
      <c r="Q60" s="13">
        <v>2024</v>
      </c>
      <c r="R60" s="409" t="s">
        <v>439</v>
      </c>
    </row>
    <row r="61" spans="1:18" s="409" customFormat="1" ht="31.5">
      <c r="A61" s="404">
        <v>57</v>
      </c>
      <c r="B61" s="404" t="s">
        <v>311</v>
      </c>
      <c r="C61" s="404" t="s">
        <v>317</v>
      </c>
      <c r="D61" s="404" t="s">
        <v>188</v>
      </c>
      <c r="E61" s="404">
        <v>32</v>
      </c>
      <c r="F61" s="404" t="s">
        <v>492</v>
      </c>
      <c r="G61" s="404" t="s">
        <v>469</v>
      </c>
      <c r="H61" s="404">
        <v>0.42499999999999999</v>
      </c>
      <c r="I61" s="404">
        <v>0.24</v>
      </c>
      <c r="J61" s="397">
        <f>'[20]План-факт_Поступления_до40м3с'!$J$7741</f>
        <v>700.29205999999999</v>
      </c>
      <c r="K61" s="13">
        <v>150</v>
      </c>
      <c r="L61" s="404">
        <v>25</v>
      </c>
      <c r="M61" s="404" t="s">
        <v>479</v>
      </c>
      <c r="N61" s="404">
        <v>0.42499999999999999</v>
      </c>
      <c r="O61" s="404">
        <v>0.246</v>
      </c>
      <c r="P61" s="397"/>
      <c r="Q61" s="13">
        <v>2023</v>
      </c>
    </row>
    <row r="62" spans="1:18" s="409" customFormat="1" ht="31.5">
      <c r="A62" s="404">
        <v>58</v>
      </c>
      <c r="B62" s="404" t="s">
        <v>311</v>
      </c>
      <c r="C62" s="404" t="s">
        <v>493</v>
      </c>
      <c r="D62" s="404" t="s">
        <v>404</v>
      </c>
      <c r="E62" s="404"/>
      <c r="F62" s="404"/>
      <c r="G62" s="404"/>
      <c r="H62" s="404"/>
      <c r="I62" s="404"/>
      <c r="J62" s="397"/>
      <c r="K62" s="13"/>
      <c r="L62" s="404"/>
      <c r="M62" s="404"/>
      <c r="N62" s="404">
        <v>0.05</v>
      </c>
      <c r="O62" s="404">
        <v>0.39</v>
      </c>
      <c r="P62" s="397">
        <f>'[20]План-факт_Поступления_до40м3с'!$J$7745</f>
        <v>4.2958099999999995</v>
      </c>
      <c r="Q62" s="13">
        <v>2023</v>
      </c>
      <c r="R62" s="409" t="s">
        <v>439</v>
      </c>
    </row>
    <row r="63" spans="1:18" s="409" customFormat="1" ht="31.5">
      <c r="A63" s="404">
        <v>59</v>
      </c>
      <c r="B63" s="404" t="s">
        <v>311</v>
      </c>
      <c r="C63" s="404" t="s">
        <v>494</v>
      </c>
      <c r="D63" s="404" t="s">
        <v>405</v>
      </c>
      <c r="E63" s="404"/>
      <c r="F63" s="404"/>
      <c r="G63" s="404"/>
      <c r="H63" s="404"/>
      <c r="I63" s="404"/>
      <c r="J63" s="397"/>
      <c r="K63" s="13"/>
      <c r="L63" s="404"/>
      <c r="M63" s="404"/>
      <c r="N63" s="404">
        <v>0.43</v>
      </c>
      <c r="O63" s="404">
        <v>0.24</v>
      </c>
      <c r="P63" s="397">
        <f>'[20]План-факт_Поступления_до40м3с'!$J$7773</f>
        <v>1.43194</v>
      </c>
      <c r="Q63" s="13">
        <v>2024</v>
      </c>
      <c r="R63" s="409" t="s">
        <v>439</v>
      </c>
    </row>
    <row r="64" spans="1:18" s="409" customFormat="1" ht="31.5">
      <c r="A64" s="404">
        <v>60</v>
      </c>
      <c r="B64" s="404" t="s">
        <v>311</v>
      </c>
      <c r="C64" s="404" t="s">
        <v>332</v>
      </c>
      <c r="D64" s="404" t="s">
        <v>212</v>
      </c>
      <c r="E64" s="404">
        <v>63</v>
      </c>
      <c r="F64" s="404">
        <v>7.5</v>
      </c>
      <c r="G64" s="404" t="s">
        <v>477</v>
      </c>
      <c r="H64" s="404">
        <v>4.6989999999999998</v>
      </c>
      <c r="I64" s="404">
        <v>27.72</v>
      </c>
      <c r="J64" s="397">
        <f>'[20]План-факт_Поступления_до40м3с'!$J$7793</f>
        <v>329.15805999999998</v>
      </c>
      <c r="K64" s="13"/>
      <c r="L64" s="404"/>
      <c r="M64" s="404"/>
      <c r="N64" s="404">
        <v>4.6989999999999998</v>
      </c>
      <c r="O64" s="404">
        <v>2.0750000000000002</v>
      </c>
      <c r="P64" s="397">
        <f>'[20]План-факт_Поступления_до40м3с'!$J$7797</f>
        <v>165.38861</v>
      </c>
      <c r="Q64" s="13">
        <v>2024</v>
      </c>
    </row>
    <row r="65" spans="1:18" s="409" customFormat="1" ht="31.5">
      <c r="A65" s="404">
        <v>61</v>
      </c>
      <c r="B65" s="404" t="s">
        <v>311</v>
      </c>
      <c r="C65" s="404" t="s">
        <v>495</v>
      </c>
      <c r="D65" s="404" t="s">
        <v>406</v>
      </c>
      <c r="E65" s="404"/>
      <c r="F65" s="404"/>
      <c r="G65" s="404"/>
      <c r="H65" s="404">
        <v>0.87</v>
      </c>
      <c r="I65" s="404">
        <v>6.97</v>
      </c>
      <c r="J65" s="397">
        <f>'[20]План-факт_Поступления_до40м3с'!$J$7801</f>
        <v>77.726650000000006</v>
      </c>
      <c r="K65" s="13"/>
      <c r="L65" s="404"/>
      <c r="M65" s="404"/>
      <c r="N65" s="404"/>
      <c r="O65" s="404"/>
      <c r="P65" s="397"/>
      <c r="Q65" s="13">
        <v>2024</v>
      </c>
      <c r="R65" s="409" t="s">
        <v>439</v>
      </c>
    </row>
    <row r="66" spans="1:18" s="409" customFormat="1" ht="47.25">
      <c r="A66" s="404">
        <v>62</v>
      </c>
      <c r="B66" s="404" t="s">
        <v>311</v>
      </c>
      <c r="C66" s="404" t="s">
        <v>372</v>
      </c>
      <c r="D66" s="404" t="s">
        <v>373</v>
      </c>
      <c r="E66" s="404">
        <v>110</v>
      </c>
      <c r="F66" s="404">
        <v>565.5</v>
      </c>
      <c r="G66" s="404" t="s">
        <v>479</v>
      </c>
      <c r="H66" s="404">
        <v>0.34</v>
      </c>
      <c r="I66" s="404">
        <v>6.12</v>
      </c>
      <c r="J66" s="397">
        <f>'[20]План-факт_Поступления_до40м3с'!$J$7825</f>
        <v>68.247789999999995</v>
      </c>
      <c r="K66" s="13"/>
      <c r="L66" s="404"/>
      <c r="M66" s="404"/>
      <c r="N66" s="404"/>
      <c r="O66" s="404"/>
      <c r="P66" s="397"/>
      <c r="Q66" s="13">
        <v>2024</v>
      </c>
    </row>
    <row r="67" spans="1:18" s="409" customFormat="1" ht="31.5">
      <c r="A67" s="404">
        <v>63</v>
      </c>
      <c r="B67" s="404" t="s">
        <v>311</v>
      </c>
      <c r="C67" s="404" t="s">
        <v>767</v>
      </c>
      <c r="D67" s="404" t="s">
        <v>407</v>
      </c>
      <c r="E67" s="404"/>
      <c r="F67" s="404"/>
      <c r="G67" s="404"/>
      <c r="H67" s="404"/>
      <c r="I67" s="404"/>
      <c r="J67" s="397"/>
      <c r="K67" s="13"/>
      <c r="L67" s="404"/>
      <c r="M67" s="404"/>
      <c r="N67" s="404">
        <v>0.43</v>
      </c>
      <c r="O67" s="404">
        <v>0.24</v>
      </c>
      <c r="P67" s="397">
        <v>1.43194</v>
      </c>
      <c r="Q67" s="13">
        <v>2023</v>
      </c>
    </row>
    <row r="68" spans="1:18" s="409" customFormat="1" ht="31.5">
      <c r="A68" s="404">
        <v>64</v>
      </c>
      <c r="B68" s="404" t="s">
        <v>311</v>
      </c>
      <c r="C68" s="404" t="s">
        <v>487</v>
      </c>
      <c r="D68" s="404" t="s">
        <v>408</v>
      </c>
      <c r="E68" s="404"/>
      <c r="F68" s="404"/>
      <c r="G68" s="404"/>
      <c r="H68" s="404">
        <v>0.42499999999999999</v>
      </c>
      <c r="I68" s="404">
        <v>0.24</v>
      </c>
      <c r="J68" s="397">
        <f>'[20]План-факт_Поступления_до40м3с'!$J$7833</f>
        <v>1.43194</v>
      </c>
      <c r="K68" s="13"/>
      <c r="L68" s="404"/>
      <c r="M68" s="404"/>
      <c r="N68" s="404">
        <v>0.42499999999999999</v>
      </c>
      <c r="O68" s="404">
        <v>1.8</v>
      </c>
      <c r="P68" s="397">
        <f>'[20]План-факт_Поступления_до40м3с'!$J$7833</f>
        <v>1.43194</v>
      </c>
      <c r="Q68" s="13">
        <v>2023</v>
      </c>
      <c r="R68" s="409" t="s">
        <v>439</v>
      </c>
    </row>
    <row r="69" spans="1:18" s="409" customFormat="1" ht="47.25">
      <c r="A69" s="404">
        <v>66</v>
      </c>
      <c r="B69" s="404" t="s">
        <v>311</v>
      </c>
      <c r="C69" s="404" t="s">
        <v>496</v>
      </c>
      <c r="D69" s="404" t="s">
        <v>409</v>
      </c>
      <c r="E69" s="404"/>
      <c r="F69" s="404"/>
      <c r="G69" s="404"/>
      <c r="H69" s="404">
        <v>0.59</v>
      </c>
      <c r="I69" s="404">
        <v>0.6</v>
      </c>
      <c r="J69" s="397">
        <f>'[20]План-факт_Поступления_до40м3с'!$J$7845</f>
        <v>6.6909599999999996</v>
      </c>
      <c r="K69" s="13"/>
      <c r="L69" s="404"/>
      <c r="M69" s="404"/>
      <c r="N69" s="404"/>
      <c r="O69" s="404"/>
      <c r="P69" s="397"/>
      <c r="Q69" s="13">
        <v>2024</v>
      </c>
      <c r="R69" s="409" t="s">
        <v>439</v>
      </c>
    </row>
    <row r="70" spans="1:18" s="409" customFormat="1" ht="31.5">
      <c r="A70" s="404">
        <v>67</v>
      </c>
      <c r="B70" s="404" t="s">
        <v>311</v>
      </c>
      <c r="C70" s="404" t="s">
        <v>497</v>
      </c>
      <c r="D70" s="404" t="s">
        <v>410</v>
      </c>
      <c r="E70" s="404"/>
      <c r="F70" s="404"/>
      <c r="G70" s="404"/>
      <c r="H70" s="404">
        <v>0.55100000000000005</v>
      </c>
      <c r="I70" s="404">
        <v>0.48</v>
      </c>
      <c r="J70" s="397">
        <f>'[20]План-факт_Поступления_до40м3с'!$J$7889</f>
        <v>5.3527700000000005</v>
      </c>
      <c r="K70" s="13"/>
      <c r="L70" s="404"/>
      <c r="M70" s="404"/>
      <c r="N70" s="404"/>
      <c r="O70" s="404"/>
      <c r="P70" s="397"/>
      <c r="Q70" s="13">
        <v>2024</v>
      </c>
      <c r="R70" s="409" t="s">
        <v>439</v>
      </c>
    </row>
    <row r="71" spans="1:18" s="409" customFormat="1" ht="31.5">
      <c r="A71" s="404">
        <v>68</v>
      </c>
      <c r="B71" s="404" t="s">
        <v>311</v>
      </c>
      <c r="C71" s="404" t="s">
        <v>498</v>
      </c>
      <c r="D71" s="404" t="s">
        <v>411</v>
      </c>
      <c r="E71" s="404"/>
      <c r="F71" s="404"/>
      <c r="G71" s="404"/>
      <c r="H71" s="404">
        <v>0.42199999999999999</v>
      </c>
      <c r="I71" s="404">
        <v>0.24</v>
      </c>
      <c r="J71" s="397">
        <f>'[20]План-факт_Поступления_до40м3с'!$J$7897</f>
        <v>2.67638</v>
      </c>
      <c r="K71" s="13"/>
      <c r="L71" s="404"/>
      <c r="M71" s="404"/>
      <c r="N71" s="404"/>
      <c r="O71" s="404"/>
      <c r="P71" s="397"/>
      <c r="Q71" s="13">
        <v>2024</v>
      </c>
      <c r="R71" s="409" t="s">
        <v>439</v>
      </c>
    </row>
    <row r="72" spans="1:18" s="409" customFormat="1" ht="31.5">
      <c r="A72" s="404">
        <v>69</v>
      </c>
      <c r="B72" s="404" t="s">
        <v>311</v>
      </c>
      <c r="C72" s="404" t="s">
        <v>499</v>
      </c>
      <c r="D72" s="404" t="s">
        <v>412</v>
      </c>
      <c r="E72" s="404"/>
      <c r="F72" s="404"/>
      <c r="G72" s="404"/>
      <c r="H72" s="404">
        <v>0.42499999999999999</v>
      </c>
      <c r="I72" s="404">
        <v>0.24</v>
      </c>
      <c r="J72" s="397">
        <f>'[20]План-факт_Поступления_до40м3с'!$J$7913</f>
        <v>2.67638</v>
      </c>
      <c r="K72" s="13"/>
      <c r="L72" s="404"/>
      <c r="M72" s="404"/>
      <c r="N72" s="404">
        <v>0.42499999999999999</v>
      </c>
      <c r="O72" s="404">
        <v>0.308</v>
      </c>
      <c r="P72" s="397">
        <f>'[20]План-факт_Поступления_до40м3с'!$J$7909</f>
        <v>1.43194</v>
      </c>
      <c r="Q72" s="13">
        <v>2024</v>
      </c>
      <c r="R72" s="409" t="s">
        <v>439</v>
      </c>
    </row>
    <row r="73" spans="1:18" s="409" customFormat="1" ht="31.5">
      <c r="A73" s="404">
        <v>70</v>
      </c>
      <c r="B73" s="404" t="s">
        <v>311</v>
      </c>
      <c r="C73" s="404" t="s">
        <v>500</v>
      </c>
      <c r="D73" s="404" t="s">
        <v>413</v>
      </c>
      <c r="E73" s="404"/>
      <c r="F73" s="404"/>
      <c r="G73" s="404"/>
      <c r="H73" s="404"/>
      <c r="I73" s="404"/>
      <c r="J73" s="397"/>
      <c r="K73" s="13"/>
      <c r="L73" s="404"/>
      <c r="M73" s="404"/>
      <c r="N73" s="404">
        <v>0.42499999999999999</v>
      </c>
      <c r="O73" s="404">
        <v>0.246</v>
      </c>
      <c r="P73" s="397">
        <f>'[20]План-факт_Поступления_до40м3с'!$J$7917</f>
        <v>1.43194</v>
      </c>
      <c r="Q73" s="13">
        <v>2024</v>
      </c>
      <c r="R73" s="409" t="s">
        <v>439</v>
      </c>
    </row>
    <row r="74" spans="1:18" s="409" customFormat="1" ht="31.5">
      <c r="A74" s="404">
        <v>71</v>
      </c>
      <c r="B74" s="404" t="s">
        <v>311</v>
      </c>
      <c r="C74" s="404" t="s">
        <v>501</v>
      </c>
      <c r="D74" s="404" t="s">
        <v>413</v>
      </c>
      <c r="E74" s="404"/>
      <c r="F74" s="404"/>
      <c r="G74" s="404"/>
      <c r="H74" s="404">
        <v>0.22700000000000001</v>
      </c>
      <c r="I74" s="404">
        <v>0.1</v>
      </c>
      <c r="J74" s="397">
        <f>'[20]План-факт_Поступления_до40м3с'!$J$7933</f>
        <v>1.1151599999999999</v>
      </c>
      <c r="K74" s="13"/>
      <c r="L74" s="404"/>
      <c r="M74" s="404"/>
      <c r="N74" s="404">
        <v>0.22700000000000001</v>
      </c>
      <c r="O74" s="404">
        <v>0.1</v>
      </c>
      <c r="P74" s="397">
        <f>'[20]План-факт_Поступления_до40м3с'!$J$7929</f>
        <v>0.59663999999999995</v>
      </c>
      <c r="Q74" s="13">
        <v>2024</v>
      </c>
      <c r="R74" s="409" t="s">
        <v>439</v>
      </c>
    </row>
    <row r="75" spans="1:18" s="409" customFormat="1" ht="31.5">
      <c r="A75" s="404">
        <v>72</v>
      </c>
      <c r="B75" s="404" t="s">
        <v>342</v>
      </c>
      <c r="C75" s="404" t="s">
        <v>343</v>
      </c>
      <c r="D75" s="404" t="s">
        <v>220</v>
      </c>
      <c r="E75" s="404">
        <v>90</v>
      </c>
      <c r="F75" s="404">
        <v>56</v>
      </c>
      <c r="G75" s="404" t="s">
        <v>502</v>
      </c>
      <c r="H75" s="404">
        <v>11.47</v>
      </c>
      <c r="I75" s="404">
        <v>23.68</v>
      </c>
      <c r="J75" s="397">
        <f>'[20]План-факт_Поступления_до40м3с'!$J$7937</f>
        <v>575.33599000000004</v>
      </c>
      <c r="K75" s="13"/>
      <c r="L75" s="404"/>
      <c r="M75" s="404"/>
      <c r="N75" s="404"/>
      <c r="O75" s="404"/>
      <c r="P75" s="397"/>
      <c r="Q75" s="13">
        <v>2024</v>
      </c>
    </row>
    <row r="76" spans="1:18" s="409" customFormat="1" ht="31.5">
      <c r="A76" s="404">
        <v>73</v>
      </c>
      <c r="B76" s="404" t="s">
        <v>318</v>
      </c>
      <c r="C76" s="404" t="s">
        <v>319</v>
      </c>
      <c r="D76" s="404" t="s">
        <v>189</v>
      </c>
      <c r="E76" s="404">
        <v>32</v>
      </c>
      <c r="F76" s="404">
        <v>13</v>
      </c>
      <c r="G76" s="404" t="s">
        <v>502</v>
      </c>
      <c r="H76" s="404">
        <v>0.22</v>
      </c>
      <c r="I76" s="404">
        <v>0.23</v>
      </c>
      <c r="J76" s="397">
        <f>'[20]План-факт_Поступления_до40м3с'!$J$7941</f>
        <v>32.717010000000002</v>
      </c>
      <c r="K76" s="13"/>
      <c r="L76" s="404"/>
      <c r="M76" s="404"/>
      <c r="N76" s="404"/>
      <c r="O76" s="404"/>
      <c r="P76" s="397"/>
      <c r="Q76" s="13">
        <v>2024</v>
      </c>
    </row>
    <row r="77" spans="1:18" s="409" customFormat="1" ht="31.5">
      <c r="A77" s="404">
        <v>74</v>
      </c>
      <c r="B77" s="404" t="s">
        <v>318</v>
      </c>
      <c r="C77" s="404" t="s">
        <v>320</v>
      </c>
      <c r="D77" s="404" t="s">
        <v>189</v>
      </c>
      <c r="E77" s="404">
        <v>32</v>
      </c>
      <c r="F77" s="404">
        <v>2.5</v>
      </c>
      <c r="G77" s="404" t="s">
        <v>502</v>
      </c>
      <c r="H77" s="404">
        <v>0.22</v>
      </c>
      <c r="I77" s="404">
        <v>0.23</v>
      </c>
      <c r="J77" s="397">
        <f>'[20]План-факт_Поступления_до40м3с'!$J$7945</f>
        <v>8.3633500000000005</v>
      </c>
      <c r="K77" s="13"/>
      <c r="L77" s="404"/>
      <c r="M77" s="404"/>
      <c r="N77" s="404"/>
      <c r="O77" s="404"/>
      <c r="P77" s="397"/>
      <c r="Q77" s="13">
        <v>2024</v>
      </c>
    </row>
    <row r="78" spans="1:18" s="409" customFormat="1" ht="47.25">
      <c r="A78" s="404">
        <v>75</v>
      </c>
      <c r="B78" s="404" t="s">
        <v>333</v>
      </c>
      <c r="C78" s="404" t="s">
        <v>334</v>
      </c>
      <c r="D78" s="404" t="s">
        <v>213</v>
      </c>
      <c r="E78" s="404">
        <v>63</v>
      </c>
      <c r="F78" s="404">
        <v>8</v>
      </c>
      <c r="G78" s="404" t="s">
        <v>502</v>
      </c>
      <c r="H78" s="404">
        <v>3.2280000000000002</v>
      </c>
      <c r="I78" s="404">
        <v>30.984999999999999</v>
      </c>
      <c r="J78" s="397">
        <f>'[20]План-факт_Поступления_до40м3с'!$J$7957</f>
        <v>366.94641000000001</v>
      </c>
      <c r="K78" s="13" t="s">
        <v>443</v>
      </c>
      <c r="L78" s="404" t="s">
        <v>503</v>
      </c>
      <c r="M78" s="404" t="s">
        <v>504</v>
      </c>
      <c r="N78" s="404">
        <v>3.2280000000000002</v>
      </c>
      <c r="O78" s="404">
        <v>30.984999999999999</v>
      </c>
      <c r="P78" s="397">
        <f>'[20]План-факт_Поступления_до40м3с'!$J$7961</f>
        <v>2469.7360900000003</v>
      </c>
      <c r="Q78" s="13">
        <v>2024</v>
      </c>
    </row>
    <row r="79" spans="1:18" s="409" customFormat="1" ht="31.5">
      <c r="A79" s="404">
        <v>76</v>
      </c>
      <c r="B79" s="404" t="s">
        <v>311</v>
      </c>
      <c r="C79" s="404" t="s">
        <v>321</v>
      </c>
      <c r="D79" s="404" t="s">
        <v>190</v>
      </c>
      <c r="E79" s="404">
        <v>32</v>
      </c>
      <c r="F79" s="404">
        <v>155</v>
      </c>
      <c r="G79" s="404" t="s">
        <v>502</v>
      </c>
      <c r="H79" s="404">
        <v>0.02</v>
      </c>
      <c r="I79" s="404">
        <v>0.36</v>
      </c>
      <c r="J79" s="397">
        <f>'[20]План-факт_Поступления_до40м3с'!$J$7965</f>
        <v>4.0145799999999996</v>
      </c>
      <c r="K79" s="13"/>
      <c r="L79" s="404"/>
      <c r="M79" s="404"/>
      <c r="N79" s="404">
        <v>0.02</v>
      </c>
      <c r="O79" s="404">
        <v>0.32</v>
      </c>
      <c r="P79" s="397">
        <f>'[20]План-факт_Поступления_до40м3с'!$J$7969</f>
        <v>2.1478999999999999</v>
      </c>
      <c r="Q79" s="13">
        <v>2023</v>
      </c>
    </row>
    <row r="80" spans="1:18" s="409" customFormat="1" ht="31.5">
      <c r="A80" s="404">
        <v>77</v>
      </c>
      <c r="B80" s="404" t="s">
        <v>311</v>
      </c>
      <c r="C80" s="404" t="s">
        <v>487</v>
      </c>
      <c r="D80" s="404" t="s">
        <v>414</v>
      </c>
      <c r="E80" s="404"/>
      <c r="F80" s="404"/>
      <c r="G80" s="404"/>
      <c r="H80" s="404">
        <v>0.42</v>
      </c>
      <c r="I80" s="404">
        <v>0.24</v>
      </c>
      <c r="J80" s="397">
        <f>'[20]План-факт_Поступления_до40м3с'!$J$7981</f>
        <v>2.67638</v>
      </c>
      <c r="K80" s="13"/>
      <c r="L80" s="404"/>
      <c r="M80" s="404"/>
      <c r="N80" s="404">
        <v>0.42</v>
      </c>
      <c r="O80" s="404">
        <v>0.24</v>
      </c>
      <c r="P80" s="397">
        <f>'[20]План-факт_Поступления_до40м3с'!$J$7985</f>
        <v>1.43194</v>
      </c>
      <c r="Q80" s="13">
        <v>2024</v>
      </c>
      <c r="R80" s="409" t="s">
        <v>439</v>
      </c>
    </row>
    <row r="81" spans="1:18" s="409" customFormat="1" ht="31.5">
      <c r="A81" s="404">
        <v>78</v>
      </c>
      <c r="B81" s="404" t="s">
        <v>311</v>
      </c>
      <c r="C81" s="404" t="s">
        <v>487</v>
      </c>
      <c r="D81" s="404" t="s">
        <v>415</v>
      </c>
      <c r="E81" s="404"/>
      <c r="F81" s="404"/>
      <c r="G81" s="404"/>
      <c r="H81" s="404">
        <v>0.48499999999999999</v>
      </c>
      <c r="I81" s="404">
        <v>0.36</v>
      </c>
      <c r="J81" s="397">
        <f>'[20]План-факт_Поступления_до40м3с'!$J$7989</f>
        <v>4.0145799999999996</v>
      </c>
      <c r="K81" s="13"/>
      <c r="L81" s="404"/>
      <c r="M81" s="404"/>
      <c r="N81" s="404">
        <f>'[20]План-факт_Поступления_до40м3с'!$AC$7993</f>
        <v>0.48499999999999999</v>
      </c>
      <c r="O81" s="404">
        <f>'[20]План-факт_Поступления_до40м3с'!$AD$7993</f>
        <v>0.33600000000000002</v>
      </c>
      <c r="P81" s="397">
        <f>'[20]План-факт_Поступления_до40м3с'!$J$7993</f>
        <v>2.1478999999999999</v>
      </c>
      <c r="Q81" s="13">
        <v>2024</v>
      </c>
      <c r="R81" s="409" t="s">
        <v>439</v>
      </c>
    </row>
    <row r="82" spans="1:18" s="409" customFormat="1" ht="31.5">
      <c r="A82" s="404">
        <v>79</v>
      </c>
      <c r="B82" s="404" t="s">
        <v>311</v>
      </c>
      <c r="C82" s="404" t="s">
        <v>505</v>
      </c>
      <c r="D82" s="404" t="s">
        <v>416</v>
      </c>
      <c r="E82" s="404"/>
      <c r="F82" s="404"/>
      <c r="G82" s="404"/>
      <c r="H82" s="404">
        <v>0.42899999999999999</v>
      </c>
      <c r="I82" s="404">
        <v>0.24</v>
      </c>
      <c r="J82" s="397">
        <f>'[20]План-факт_Поступления_до40м3с'!$J$7997</f>
        <v>2.67638</v>
      </c>
      <c r="K82" s="13"/>
      <c r="L82" s="404"/>
      <c r="M82" s="404"/>
      <c r="N82" s="404">
        <f>'[20]План-факт_Поступления_до40м3с'!$AC$8001</f>
        <v>0.42899999999999999</v>
      </c>
      <c r="O82" s="404">
        <f>'[20]План-факт_Поступления_до40м3с'!$AD$7993</f>
        <v>0.33600000000000002</v>
      </c>
      <c r="P82" s="397">
        <f>'[20]План-факт_Поступления_до40м3с'!$J$8001</f>
        <v>1.43194</v>
      </c>
      <c r="Q82" s="13">
        <v>2024</v>
      </c>
      <c r="R82" s="409" t="s">
        <v>439</v>
      </c>
    </row>
    <row r="83" spans="1:18" s="409" customFormat="1" ht="31.5">
      <c r="A83" s="404">
        <v>80</v>
      </c>
      <c r="B83" s="404" t="s">
        <v>311</v>
      </c>
      <c r="C83" s="404" t="s">
        <v>506</v>
      </c>
      <c r="D83" s="404" t="s">
        <v>417</v>
      </c>
      <c r="E83" s="404"/>
      <c r="F83" s="404"/>
      <c r="G83" s="404"/>
      <c r="H83" s="404">
        <v>0.49</v>
      </c>
      <c r="I83" s="404">
        <v>0.6</v>
      </c>
      <c r="J83" s="397">
        <f>'[20]План-факт_Поступления_до40м3с'!$J$8005</f>
        <v>182.60374999999999</v>
      </c>
      <c r="K83" s="13"/>
      <c r="L83" s="404"/>
      <c r="M83" s="404"/>
      <c r="N83" s="404"/>
      <c r="O83" s="404"/>
      <c r="P83" s="397"/>
      <c r="Q83" s="13">
        <v>2024</v>
      </c>
      <c r="R83" s="409" t="s">
        <v>439</v>
      </c>
    </row>
    <row r="84" spans="1:18" s="409" customFormat="1" ht="31.5">
      <c r="A84" s="404">
        <v>81</v>
      </c>
      <c r="B84" s="404" t="s">
        <v>311</v>
      </c>
      <c r="C84" s="404" t="s">
        <v>507</v>
      </c>
      <c r="D84" s="404" t="s">
        <v>418</v>
      </c>
      <c r="E84" s="404"/>
      <c r="F84" s="404"/>
      <c r="G84" s="404"/>
      <c r="H84" s="404"/>
      <c r="I84" s="404"/>
      <c r="J84" s="397"/>
      <c r="K84" s="13"/>
      <c r="L84" s="404"/>
      <c r="M84" s="404"/>
      <c r="N84" s="404">
        <v>0.54</v>
      </c>
      <c r="O84" s="404">
        <v>0.48</v>
      </c>
      <c r="P84" s="397">
        <f>'[20]План-факт_Поступления_до40м3с'!$J$8009</f>
        <v>2.8638699999999999</v>
      </c>
      <c r="Q84" s="13">
        <v>2024</v>
      </c>
      <c r="R84" s="409" t="s">
        <v>439</v>
      </c>
    </row>
    <row r="85" spans="1:18" s="409" customFormat="1" ht="31.5">
      <c r="A85" s="404">
        <v>82</v>
      </c>
      <c r="B85" s="404" t="s">
        <v>311</v>
      </c>
      <c r="C85" s="404" t="s">
        <v>238</v>
      </c>
      <c r="D85" s="404" t="s">
        <v>191</v>
      </c>
      <c r="E85" s="404">
        <v>32</v>
      </c>
      <c r="F85" s="404">
        <v>48</v>
      </c>
      <c r="G85" s="404" t="s">
        <v>502</v>
      </c>
      <c r="H85" s="404">
        <v>0.48499999999999999</v>
      </c>
      <c r="I85" s="404">
        <v>0.36</v>
      </c>
      <c r="J85" s="397">
        <f>'[20]План-факт_Поступления_до40м3с'!$J$8013</f>
        <v>115.34553</v>
      </c>
      <c r="K85" s="13"/>
      <c r="L85" s="404"/>
      <c r="M85" s="404"/>
      <c r="N85" s="404"/>
      <c r="O85" s="404"/>
      <c r="P85" s="397"/>
      <c r="Q85" s="13">
        <v>2024</v>
      </c>
    </row>
    <row r="86" spans="1:18" s="409" customFormat="1" ht="31.5">
      <c r="A86" s="404">
        <v>83</v>
      </c>
      <c r="B86" s="404" t="s">
        <v>311</v>
      </c>
      <c r="C86" s="404" t="s">
        <v>322</v>
      </c>
      <c r="D86" s="404" t="s">
        <v>192</v>
      </c>
      <c r="E86" s="404">
        <v>32</v>
      </c>
      <c r="F86" s="404">
        <v>10</v>
      </c>
      <c r="G86" s="404" t="s">
        <v>502</v>
      </c>
      <c r="H86" s="404">
        <v>0.56100000000000005</v>
      </c>
      <c r="I86" s="404">
        <v>0.48</v>
      </c>
      <c r="J86" s="397">
        <f>'[20]План-факт_Поступления_до40м3с'!$J$8017</f>
        <v>28.546720000000001</v>
      </c>
      <c r="K86" s="13">
        <v>150</v>
      </c>
      <c r="L86" s="404">
        <v>10.5</v>
      </c>
      <c r="M86" s="404" t="s">
        <v>502</v>
      </c>
      <c r="N86" s="404">
        <v>0.56100000000000005</v>
      </c>
      <c r="O86" s="404">
        <v>0.48</v>
      </c>
      <c r="P86" s="397">
        <f>'[20]План-факт_Поступления_до40м3с'!$J$8021</f>
        <v>76.146990000000002</v>
      </c>
      <c r="Q86" s="13">
        <v>2024</v>
      </c>
    </row>
    <row r="87" spans="1:18" s="409" customFormat="1" ht="31.5">
      <c r="A87" s="404">
        <v>84</v>
      </c>
      <c r="B87" s="404" t="s">
        <v>311</v>
      </c>
      <c r="C87" s="404" t="s">
        <v>508</v>
      </c>
      <c r="D87" s="404" t="s">
        <v>419</v>
      </c>
      <c r="E87" s="404"/>
      <c r="F87" s="404"/>
      <c r="G87" s="404"/>
      <c r="H87" s="404"/>
      <c r="I87" s="404"/>
      <c r="J87" s="397"/>
      <c r="K87" s="13"/>
      <c r="L87" s="404"/>
      <c r="M87" s="404"/>
      <c r="N87" s="404">
        <v>0.49</v>
      </c>
      <c r="O87" s="404">
        <v>0.36</v>
      </c>
      <c r="P87" s="397">
        <f>'[20]План-факт_Поступления_до40м3с'!$J$8029</f>
        <v>2.1478999999999999</v>
      </c>
      <c r="Q87" s="13">
        <v>2024</v>
      </c>
      <c r="R87" s="409" t="s">
        <v>439</v>
      </c>
    </row>
    <row r="88" spans="1:18" s="409" customFormat="1" ht="31.5">
      <c r="A88" s="404">
        <v>85</v>
      </c>
      <c r="B88" s="404" t="s">
        <v>311</v>
      </c>
      <c r="C88" s="404" t="s">
        <v>509</v>
      </c>
      <c r="D88" s="404" t="s">
        <v>420</v>
      </c>
      <c r="E88" s="404"/>
      <c r="F88" s="404"/>
      <c r="G88" s="404"/>
      <c r="H88" s="404">
        <v>0.54</v>
      </c>
      <c r="I88" s="404">
        <v>0.48</v>
      </c>
      <c r="J88" s="397">
        <f>'[20]План-факт_Поступления_до40м3с'!$J$8041</f>
        <v>5.3527700000000005</v>
      </c>
      <c r="K88" s="13"/>
      <c r="L88" s="404"/>
      <c r="M88" s="404"/>
      <c r="N88" s="404"/>
      <c r="O88" s="404"/>
      <c r="P88" s="397"/>
      <c r="Q88" s="13">
        <v>2024</v>
      </c>
      <c r="R88" s="409" t="s">
        <v>439</v>
      </c>
    </row>
    <row r="89" spans="1:18" s="409" customFormat="1" ht="31.5">
      <c r="A89" s="404">
        <v>86</v>
      </c>
      <c r="B89" s="404" t="s">
        <v>311</v>
      </c>
      <c r="C89" s="404" t="s">
        <v>510</v>
      </c>
      <c r="D89" s="404" t="s">
        <v>421</v>
      </c>
      <c r="E89" s="404"/>
      <c r="F89" s="404"/>
      <c r="G89" s="404"/>
      <c r="H89" s="404">
        <v>0.47</v>
      </c>
      <c r="I89" s="404">
        <v>0.36</v>
      </c>
      <c r="J89" s="397">
        <f>'[20]План-факт_Поступления_до40м3с'!$J$8045</f>
        <v>4.0145799999999996</v>
      </c>
      <c r="K89" s="13"/>
      <c r="L89" s="404"/>
      <c r="M89" s="404"/>
      <c r="N89" s="404">
        <v>0.47</v>
      </c>
      <c r="O89" s="404">
        <v>0.36</v>
      </c>
      <c r="P89" s="397">
        <f>'[20]План-факт_Поступления_до40м3с'!$J$8049</f>
        <v>2.1478999999999999</v>
      </c>
      <c r="Q89" s="13">
        <v>2024</v>
      </c>
      <c r="R89" s="409" t="s">
        <v>439</v>
      </c>
    </row>
    <row r="90" spans="1:18" s="409" customFormat="1" ht="47.25">
      <c r="A90" s="404">
        <v>87</v>
      </c>
      <c r="B90" s="404" t="s">
        <v>311</v>
      </c>
      <c r="C90" s="404" t="s">
        <v>323</v>
      </c>
      <c r="D90" s="404" t="s">
        <v>193</v>
      </c>
      <c r="E90" s="404">
        <v>32</v>
      </c>
      <c r="F90" s="404">
        <v>7</v>
      </c>
      <c r="G90" s="404" t="s">
        <v>479</v>
      </c>
      <c r="H90" s="404">
        <v>0.65900000000000003</v>
      </c>
      <c r="I90" s="404">
        <v>0.24</v>
      </c>
      <c r="J90" s="397">
        <f>'[20]План-факт_Поступления_до40м3с'!$J$8053</f>
        <v>72.986819999999994</v>
      </c>
      <c r="K90" s="13"/>
      <c r="L90" s="404"/>
      <c r="M90" s="404"/>
      <c r="N90" s="404">
        <v>0.65900000000000003</v>
      </c>
      <c r="O90" s="404">
        <v>0.24</v>
      </c>
      <c r="P90" s="397">
        <f>'[20]План-факт_Поступления_до40м3с'!$J$8057</f>
        <v>1.43194</v>
      </c>
      <c r="Q90" s="13">
        <v>2024</v>
      </c>
    </row>
    <row r="91" spans="1:18" s="409" customFormat="1" ht="31.5">
      <c r="A91" s="404">
        <v>88</v>
      </c>
      <c r="B91" s="404" t="s">
        <v>348</v>
      </c>
      <c r="C91" s="404" t="s">
        <v>349</v>
      </c>
      <c r="D91" s="404" t="s">
        <v>233</v>
      </c>
      <c r="E91" s="404">
        <v>160</v>
      </c>
      <c r="F91" s="404">
        <v>10</v>
      </c>
      <c r="G91" s="404" t="s">
        <v>502</v>
      </c>
      <c r="H91" s="404">
        <v>4.7699999999999996</v>
      </c>
      <c r="I91" s="404">
        <v>28.56</v>
      </c>
      <c r="J91" s="397">
        <f>'[20]План-факт_Поступления_до40м3с'!$J$8061</f>
        <v>381.36818</v>
      </c>
      <c r="K91" s="13">
        <v>160</v>
      </c>
      <c r="L91" s="404">
        <v>3</v>
      </c>
      <c r="M91" s="404" t="s">
        <v>502</v>
      </c>
      <c r="N91" s="404">
        <v>4.7699999999999996</v>
      </c>
      <c r="O91" s="404">
        <v>28.56</v>
      </c>
      <c r="P91" s="397">
        <f>'[20]План-факт_Поступления_до40м3с'!$J$8065</f>
        <v>191.33841000000001</v>
      </c>
      <c r="Q91" s="13">
        <v>2024</v>
      </c>
    </row>
    <row r="92" spans="1:18" s="409" customFormat="1" ht="31.5">
      <c r="A92" s="404">
        <v>89</v>
      </c>
      <c r="B92" s="404" t="s">
        <v>348</v>
      </c>
      <c r="C92" s="404" t="s">
        <v>247</v>
      </c>
      <c r="D92" s="404" t="s">
        <v>233</v>
      </c>
      <c r="E92" s="404"/>
      <c r="F92" s="404"/>
      <c r="G92" s="404"/>
      <c r="H92" s="404">
        <v>5.67</v>
      </c>
      <c r="I92" s="404">
        <v>36.36</v>
      </c>
      <c r="J92" s="397">
        <f>'[20]План-факт_Поступления_до40м3с'!$J$8069</f>
        <v>405.47217999999998</v>
      </c>
      <c r="K92" s="13">
        <v>160</v>
      </c>
      <c r="L92" s="404">
        <v>3</v>
      </c>
      <c r="M92" s="404" t="s">
        <v>502</v>
      </c>
      <c r="N92" s="404">
        <v>4.7699999999999996</v>
      </c>
      <c r="O92" s="404">
        <v>28.56</v>
      </c>
      <c r="P92" s="397">
        <f>'[20]План-факт_Поступления_до40м3с'!$J$8073</f>
        <v>237.87633</v>
      </c>
      <c r="Q92" s="13">
        <v>2024</v>
      </c>
    </row>
    <row r="93" spans="1:18" s="409" customFormat="1" ht="31.5">
      <c r="A93" s="404">
        <v>90</v>
      </c>
      <c r="B93" s="404" t="s">
        <v>311</v>
      </c>
      <c r="C93" s="404" t="s">
        <v>511</v>
      </c>
      <c r="D93" s="404" t="s">
        <v>422</v>
      </c>
      <c r="E93" s="404">
        <v>32</v>
      </c>
      <c r="F93" s="404">
        <v>14</v>
      </c>
      <c r="G93" s="404" t="s">
        <v>502</v>
      </c>
      <c r="H93" s="404">
        <v>0.54300000000000004</v>
      </c>
      <c r="I93" s="404">
        <v>0.48</v>
      </c>
      <c r="J93" s="397">
        <v>37.824300000000001</v>
      </c>
      <c r="K93" s="13"/>
      <c r="L93" s="404"/>
      <c r="M93" s="404"/>
      <c r="N93" s="404"/>
      <c r="O93" s="404"/>
      <c r="P93" s="397"/>
      <c r="Q93" s="13">
        <v>2024</v>
      </c>
    </row>
    <row r="94" spans="1:18" s="409" customFormat="1" ht="31.5">
      <c r="A94" s="404">
        <v>91</v>
      </c>
      <c r="B94" s="404" t="s">
        <v>311</v>
      </c>
      <c r="C94" s="404" t="s">
        <v>512</v>
      </c>
      <c r="D94" s="404" t="s">
        <v>423</v>
      </c>
      <c r="E94" s="404"/>
      <c r="F94" s="404"/>
      <c r="G94" s="404"/>
      <c r="H94" s="404"/>
      <c r="I94" s="404"/>
      <c r="J94" s="397"/>
      <c r="K94" s="13"/>
      <c r="L94" s="404"/>
      <c r="M94" s="404"/>
      <c r="N94" s="404">
        <v>0.43</v>
      </c>
      <c r="O94" s="404">
        <v>0.24</v>
      </c>
      <c r="P94" s="397">
        <f>'[20]План-факт_Поступления_до40м3с'!$J$8097</f>
        <v>1.43194</v>
      </c>
      <c r="Q94" s="13">
        <v>2024</v>
      </c>
      <c r="R94" s="409" t="s">
        <v>439</v>
      </c>
    </row>
    <row r="95" spans="1:18" s="409" customFormat="1" ht="31.5">
      <c r="A95" s="404">
        <v>92</v>
      </c>
      <c r="B95" s="404" t="s">
        <v>311</v>
      </c>
      <c r="C95" s="404" t="s">
        <v>239</v>
      </c>
      <c r="D95" s="404" t="s">
        <v>194</v>
      </c>
      <c r="E95" s="404">
        <v>32</v>
      </c>
      <c r="F95" s="404">
        <v>7</v>
      </c>
      <c r="G95" s="404" t="s">
        <v>502</v>
      </c>
      <c r="H95" s="404">
        <v>0.43</v>
      </c>
      <c r="I95" s="404">
        <v>0.24</v>
      </c>
      <c r="J95" s="397">
        <f>'[20]План-факт_Поступления_до40м3с'!$J$8101</f>
        <v>18.912140000000001</v>
      </c>
      <c r="K95" s="13"/>
      <c r="L95" s="404"/>
      <c r="M95" s="404"/>
      <c r="N95" s="404"/>
      <c r="O95" s="404"/>
      <c r="P95" s="397"/>
      <c r="Q95" s="13">
        <v>2024</v>
      </c>
    </row>
    <row r="96" spans="1:18" s="409" customFormat="1" ht="31.5">
      <c r="A96" s="404">
        <v>93</v>
      </c>
      <c r="B96" s="404" t="s">
        <v>311</v>
      </c>
      <c r="C96" s="404" t="s">
        <v>235</v>
      </c>
      <c r="D96" s="404" t="s">
        <v>195</v>
      </c>
      <c r="E96" s="404">
        <v>32</v>
      </c>
      <c r="F96" s="404">
        <v>32</v>
      </c>
      <c r="G96" s="404" t="s">
        <v>502</v>
      </c>
      <c r="H96" s="404">
        <v>0.44900000000000001</v>
      </c>
      <c r="I96" s="404">
        <v>0.24</v>
      </c>
      <c r="J96" s="397">
        <f>'[20]План-факт_Поступления_до40м3с'!$J$8109</f>
        <v>76.897019999999998</v>
      </c>
      <c r="K96" s="13"/>
      <c r="L96" s="404"/>
      <c r="M96" s="404"/>
      <c r="N96" s="404"/>
      <c r="O96" s="404"/>
      <c r="P96" s="397"/>
      <c r="Q96" s="13">
        <v>2024</v>
      </c>
    </row>
    <row r="97" spans="1:18" s="409" customFormat="1" ht="31.5">
      <c r="A97" s="404">
        <v>94</v>
      </c>
      <c r="B97" s="404" t="s">
        <v>311</v>
      </c>
      <c r="C97" s="404" t="s">
        <v>231</v>
      </c>
      <c r="D97" s="404" t="s">
        <v>229</v>
      </c>
      <c r="E97" s="404">
        <v>110</v>
      </c>
      <c r="F97" s="404">
        <v>326</v>
      </c>
      <c r="G97" s="404" t="s">
        <v>502</v>
      </c>
      <c r="H97" s="404">
        <v>2.76</v>
      </c>
      <c r="I97" s="404">
        <v>12.24</v>
      </c>
      <c r="J97" s="397">
        <f>'[20]План-факт_Поступления_до40м3с'!$J$8117</f>
        <v>2208.8642799999998</v>
      </c>
      <c r="K97" s="13"/>
      <c r="L97" s="404"/>
      <c r="M97" s="404"/>
      <c r="N97" s="404"/>
      <c r="O97" s="404"/>
      <c r="P97" s="397"/>
      <c r="Q97" s="13">
        <v>2024</v>
      </c>
    </row>
    <row r="98" spans="1:18" s="409" customFormat="1" ht="31.5">
      <c r="A98" s="404">
        <v>95</v>
      </c>
      <c r="B98" s="404" t="s">
        <v>311</v>
      </c>
      <c r="C98" s="404" t="s">
        <v>240</v>
      </c>
      <c r="D98" s="404" t="s">
        <v>196</v>
      </c>
      <c r="E98" s="404">
        <v>32</v>
      </c>
      <c r="F98" s="404">
        <v>104</v>
      </c>
      <c r="G98" s="404" t="s">
        <v>502</v>
      </c>
      <c r="H98" s="404">
        <v>0.42499999999999999</v>
      </c>
      <c r="I98" s="404">
        <v>0.24</v>
      </c>
      <c r="J98" s="397">
        <f>'[20]План-факт_Поступления_до40м3с'!$J$8121</f>
        <v>243.89344</v>
      </c>
      <c r="K98" s="13"/>
      <c r="L98" s="404"/>
      <c r="M98" s="404"/>
      <c r="N98" s="404"/>
      <c r="O98" s="404"/>
      <c r="P98" s="397"/>
      <c r="Q98" s="13">
        <v>2023</v>
      </c>
    </row>
    <row r="99" spans="1:18" s="409" customFormat="1" ht="31.5">
      <c r="A99" s="404">
        <v>96</v>
      </c>
      <c r="B99" s="404" t="s">
        <v>311</v>
      </c>
      <c r="C99" s="404" t="s">
        <v>513</v>
      </c>
      <c r="D99" s="404" t="s">
        <v>424</v>
      </c>
      <c r="E99" s="404"/>
      <c r="F99" s="404"/>
      <c r="G99" s="404"/>
      <c r="H99" s="404">
        <v>0.63600000000000001</v>
      </c>
      <c r="I99" s="404">
        <v>5.7229999999999999</v>
      </c>
      <c r="J99" s="397">
        <f>'[20]План-факт_Поступления_до40м3с'!$J$8129</f>
        <v>63.820610000000002</v>
      </c>
      <c r="K99" s="13"/>
      <c r="L99" s="404"/>
      <c r="M99" s="404"/>
      <c r="N99" s="404">
        <v>0.46200000000000002</v>
      </c>
      <c r="O99" s="404">
        <v>3</v>
      </c>
      <c r="P99" s="397">
        <f>'[20]План-факт_Поступления_до40м3с'!$J$8121</f>
        <v>243.89344</v>
      </c>
      <c r="Q99" s="13">
        <v>2024</v>
      </c>
      <c r="R99" s="409" t="s">
        <v>439</v>
      </c>
    </row>
    <row r="100" spans="1:18" s="409" customFormat="1" ht="31.5">
      <c r="A100" s="404">
        <v>97</v>
      </c>
      <c r="B100" s="404" t="s">
        <v>311</v>
      </c>
      <c r="C100" s="404" t="s">
        <v>324</v>
      </c>
      <c r="D100" s="404" t="s">
        <v>197</v>
      </c>
      <c r="E100" s="404">
        <v>32</v>
      </c>
      <c r="F100" s="404">
        <v>6</v>
      </c>
      <c r="G100" s="404" t="s">
        <v>502</v>
      </c>
      <c r="H100" s="404">
        <v>0.48899999999999999</v>
      </c>
      <c r="I100" s="404">
        <v>0.36</v>
      </c>
      <c r="J100" s="397">
        <f>'[20]План-факт_Поступления_до40м3с'!$J$8133</f>
        <v>17.93094</v>
      </c>
      <c r="K100" s="13">
        <v>160</v>
      </c>
      <c r="L100" s="404">
        <v>8.5</v>
      </c>
      <c r="M100" s="404" t="s">
        <v>502</v>
      </c>
      <c r="N100" s="404">
        <v>0.48899999999999999</v>
      </c>
      <c r="O100" s="404">
        <v>0.36</v>
      </c>
      <c r="P100" s="397">
        <f>'[20]План-факт_Поступления_до40м3с'!$J$8137</f>
        <v>61.472340000000003</v>
      </c>
      <c r="Q100" s="13">
        <v>2024</v>
      </c>
    </row>
    <row r="101" spans="1:18" s="409" customFormat="1" ht="31.5">
      <c r="A101" s="404">
        <v>98</v>
      </c>
      <c r="B101" s="404" t="s">
        <v>311</v>
      </c>
      <c r="C101" s="404" t="s">
        <v>514</v>
      </c>
      <c r="D101" s="404" t="s">
        <v>425</v>
      </c>
      <c r="E101" s="404"/>
      <c r="F101" s="404"/>
      <c r="G101" s="404"/>
      <c r="H101" s="404">
        <v>0.52400000000000002</v>
      </c>
      <c r="I101" s="404">
        <v>0.48</v>
      </c>
      <c r="J101" s="397">
        <f>'[20]План-факт_Поступления_до40м3с'!$J$8141</f>
        <v>5.1857299999999995</v>
      </c>
      <c r="K101" s="13"/>
      <c r="L101" s="404"/>
      <c r="M101" s="404"/>
      <c r="N101" s="404">
        <v>0.52400000000000002</v>
      </c>
      <c r="O101" s="404">
        <v>0.48</v>
      </c>
      <c r="P101" s="397">
        <f>'[20]План-факт_Поступления_до40м3с'!$J$8145</f>
        <v>2.6737900000000003</v>
      </c>
      <c r="Q101" s="13">
        <v>2024</v>
      </c>
      <c r="R101" s="409" t="s">
        <v>439</v>
      </c>
    </row>
    <row r="102" spans="1:18" s="409" customFormat="1" ht="31.5">
      <c r="A102" s="404">
        <v>99</v>
      </c>
      <c r="B102" s="404" t="s">
        <v>311</v>
      </c>
      <c r="C102" s="404" t="s">
        <v>515</v>
      </c>
      <c r="D102" s="404" t="s">
        <v>426</v>
      </c>
      <c r="E102" s="404"/>
      <c r="F102" s="404"/>
      <c r="G102" s="404"/>
      <c r="H102" s="404">
        <v>0.35</v>
      </c>
      <c r="I102" s="404">
        <v>0.12</v>
      </c>
      <c r="J102" s="397">
        <f>'[20]План-факт_Поступления_до40м3с'!$J$8149</f>
        <v>1.33819</v>
      </c>
      <c r="K102" s="13"/>
      <c r="L102" s="404"/>
      <c r="M102" s="404"/>
      <c r="N102" s="404">
        <v>0.35</v>
      </c>
      <c r="O102" s="404">
        <v>0.12</v>
      </c>
      <c r="P102" s="397">
        <f>'[20]План-факт_Поступления_до40м3с'!$J$8153</f>
        <v>0.71597</v>
      </c>
      <c r="Q102" s="13">
        <v>2024</v>
      </c>
      <c r="R102" s="409" t="s">
        <v>439</v>
      </c>
    </row>
    <row r="103" spans="1:18" s="409" customFormat="1" ht="47.25">
      <c r="A103" s="404">
        <v>100</v>
      </c>
      <c r="B103" s="404" t="s">
        <v>311</v>
      </c>
      <c r="C103" s="404" t="s">
        <v>516</v>
      </c>
      <c r="D103" s="404" t="s">
        <v>427</v>
      </c>
      <c r="E103" s="404"/>
      <c r="F103" s="404"/>
      <c r="G103" s="404"/>
      <c r="H103" s="404">
        <v>0.55100000000000005</v>
      </c>
      <c r="I103" s="404">
        <v>0.48</v>
      </c>
      <c r="J103" s="397">
        <f>'[20]План-факт_Поступления_до40м3с'!$J$8165</f>
        <v>5.3527700000000005</v>
      </c>
      <c r="K103" s="13"/>
      <c r="L103" s="404"/>
      <c r="M103" s="404"/>
      <c r="N103" s="404">
        <v>0.55100000000000005</v>
      </c>
      <c r="O103" s="404">
        <v>0.48</v>
      </c>
      <c r="P103" s="397">
        <f>'[20]План-факт_Поступления_до40м3с'!$J$8169</f>
        <v>2.8638699999999999</v>
      </c>
      <c r="Q103" s="13">
        <v>2024</v>
      </c>
      <c r="R103" s="409" t="s">
        <v>439</v>
      </c>
    </row>
    <row r="104" spans="1:18" s="409" customFormat="1" ht="31.5">
      <c r="A104" s="404">
        <v>101</v>
      </c>
      <c r="B104" s="404" t="s">
        <v>311</v>
      </c>
      <c r="C104" s="404" t="s">
        <v>344</v>
      </c>
      <c r="D104" s="404" t="s">
        <v>221</v>
      </c>
      <c r="E104" s="404">
        <v>92</v>
      </c>
      <c r="F104" s="404">
        <v>90.5</v>
      </c>
      <c r="G104" s="404" t="s">
        <v>502</v>
      </c>
      <c r="H104" s="404">
        <v>0.48499999999999999</v>
      </c>
      <c r="I104" s="404">
        <v>0.36</v>
      </c>
      <c r="J104" s="397">
        <f>'[20]План-факт_Поступления_до40м3с'!$J$8173</f>
        <v>213.91980000000001</v>
      </c>
      <c r="K104" s="13"/>
      <c r="L104" s="404"/>
      <c r="M104" s="404"/>
      <c r="N104" s="404"/>
      <c r="O104" s="404"/>
      <c r="P104" s="397"/>
      <c r="Q104" s="13">
        <v>2024</v>
      </c>
    </row>
    <row r="105" spans="1:18" s="409" customFormat="1" ht="47.25">
      <c r="A105" s="404">
        <v>102</v>
      </c>
      <c r="B105" s="404" t="s">
        <v>311</v>
      </c>
      <c r="C105" s="404" t="s">
        <v>335</v>
      </c>
      <c r="D105" s="404" t="s">
        <v>214</v>
      </c>
      <c r="E105" s="404">
        <v>63</v>
      </c>
      <c r="F105" s="404">
        <v>24</v>
      </c>
      <c r="G105" s="404" t="s">
        <v>502</v>
      </c>
      <c r="H105" s="404">
        <v>1.69</v>
      </c>
      <c r="I105" s="404">
        <v>3</v>
      </c>
      <c r="J105" s="397">
        <f>'[20]План-факт_Поступления_до40м3с'!$J$8177</f>
        <v>97.697059999999993</v>
      </c>
      <c r="K105" s="13"/>
      <c r="L105" s="404"/>
      <c r="M105" s="404"/>
      <c r="N105" s="404"/>
      <c r="O105" s="404"/>
      <c r="P105" s="397"/>
      <c r="Q105" s="13">
        <v>2024</v>
      </c>
    </row>
    <row r="106" spans="1:18" s="409" customFormat="1" ht="31.5">
      <c r="A106" s="404">
        <v>103</v>
      </c>
      <c r="B106" s="404" t="s">
        <v>348</v>
      </c>
      <c r="C106" s="404" t="s">
        <v>374</v>
      </c>
      <c r="D106" s="404" t="s">
        <v>54</v>
      </c>
      <c r="E106" s="404"/>
      <c r="F106" s="404"/>
      <c r="G106" s="404"/>
      <c r="H106" s="404">
        <v>5.92</v>
      </c>
      <c r="I106" s="404">
        <v>39</v>
      </c>
      <c r="J106" s="397">
        <f>'[20]План-факт_Поступления_до40м3с'!$J$8209</f>
        <v>434.91239999999993</v>
      </c>
      <c r="K106" s="13">
        <v>160</v>
      </c>
      <c r="L106" s="404">
        <v>8.5</v>
      </c>
      <c r="M106" s="404" t="s">
        <v>502</v>
      </c>
      <c r="N106" s="404">
        <v>5.92</v>
      </c>
      <c r="O106" s="404">
        <v>39</v>
      </c>
      <c r="P106" s="397">
        <f>'[20]План-факт_Поступления_до40м3с'!$J$8213</f>
        <v>331.48057999999997</v>
      </c>
      <c r="Q106" s="13">
        <v>2023</v>
      </c>
    </row>
    <row r="107" spans="1:18" s="409" customFormat="1" ht="47.25">
      <c r="A107" s="404">
        <v>104</v>
      </c>
      <c r="B107" s="404" t="s">
        <v>311</v>
      </c>
      <c r="C107" s="404" t="s">
        <v>517</v>
      </c>
      <c r="D107" s="404" t="s">
        <v>428</v>
      </c>
      <c r="E107" s="404"/>
      <c r="F107" s="404"/>
      <c r="G107" s="404"/>
      <c r="H107" s="404">
        <v>0.112</v>
      </c>
      <c r="I107" s="404">
        <v>0.14000000000000001</v>
      </c>
      <c r="J107" s="397">
        <f>'[20]План-факт_Поступления_до40м3с'!$J$8225</f>
        <v>1.5612200000000001</v>
      </c>
      <c r="K107" s="13"/>
      <c r="L107" s="404"/>
      <c r="M107" s="404"/>
      <c r="N107" s="404"/>
      <c r="O107" s="404"/>
      <c r="P107" s="397"/>
      <c r="Q107" s="13">
        <v>2024</v>
      </c>
      <c r="R107" s="409" t="s">
        <v>439</v>
      </c>
    </row>
    <row r="108" spans="1:18" s="409" customFormat="1" ht="31.5">
      <c r="A108" s="404">
        <v>105</v>
      </c>
      <c r="B108" s="404" t="s">
        <v>339</v>
      </c>
      <c r="C108" s="404" t="s">
        <v>345</v>
      </c>
      <c r="D108" s="404" t="s">
        <v>222</v>
      </c>
      <c r="E108" s="404">
        <v>90</v>
      </c>
      <c r="F108" s="404">
        <v>2.5</v>
      </c>
      <c r="G108" s="404" t="s">
        <v>502</v>
      </c>
      <c r="H108" s="404">
        <v>1.65</v>
      </c>
      <c r="I108" s="404">
        <v>2.5</v>
      </c>
      <c r="J108" s="397">
        <f>'[20]План-факт_Поступления_до40м3с'!$J$8229</f>
        <v>41.774809999999995</v>
      </c>
      <c r="K108" s="13">
        <v>160</v>
      </c>
      <c r="L108" s="404">
        <v>15.5</v>
      </c>
      <c r="M108" s="404" t="s">
        <v>502</v>
      </c>
      <c r="N108" s="404">
        <v>1.65</v>
      </c>
      <c r="O108" s="404">
        <v>2.5</v>
      </c>
      <c r="P108" s="397">
        <f>'[20]План-факт_Поступления_до40м3с'!$J$8233</f>
        <v>120.09586000000002</v>
      </c>
      <c r="Q108" s="13">
        <v>2024</v>
      </c>
    </row>
    <row r="109" spans="1:18" s="409" customFormat="1" ht="31.5">
      <c r="A109" s="404">
        <v>106</v>
      </c>
      <c r="B109" s="404" t="s">
        <v>318</v>
      </c>
      <c r="C109" s="404" t="s">
        <v>325</v>
      </c>
      <c r="D109" s="404" t="s">
        <v>198</v>
      </c>
      <c r="E109" s="404">
        <v>32</v>
      </c>
      <c r="F109" s="404">
        <v>17.5</v>
      </c>
      <c r="G109" s="404" t="s">
        <v>479</v>
      </c>
      <c r="H109" s="404">
        <v>0.22</v>
      </c>
      <c r="I109" s="404">
        <v>0.23</v>
      </c>
      <c r="J109" s="397">
        <f>'[20]План-факт_Поступления_до40м3с'!$J$8237</f>
        <v>178.34097</v>
      </c>
      <c r="K109" s="13">
        <v>160</v>
      </c>
      <c r="L109" s="404">
        <v>11</v>
      </c>
      <c r="M109" s="404" t="s">
        <v>502</v>
      </c>
      <c r="N109" s="404">
        <v>0.22</v>
      </c>
      <c r="O109" s="404">
        <v>0.23</v>
      </c>
      <c r="P109" s="397">
        <f>'[20]План-факт_Поступления_до40м3с'!$J$8241</f>
        <v>78.145070000000004</v>
      </c>
      <c r="Q109" s="13">
        <v>2024</v>
      </c>
    </row>
    <row r="110" spans="1:18" s="409" customFormat="1" ht="47.25">
      <c r="A110" s="404">
        <v>107</v>
      </c>
      <c r="B110" s="404" t="s">
        <v>311</v>
      </c>
      <c r="C110" s="404" t="s">
        <v>518</v>
      </c>
      <c r="D110" s="404" t="s">
        <v>429</v>
      </c>
      <c r="E110" s="404"/>
      <c r="F110" s="404"/>
      <c r="G110" s="404"/>
      <c r="H110" s="404">
        <v>0.42199999999999999</v>
      </c>
      <c r="I110" s="404">
        <v>0.24</v>
      </c>
      <c r="J110" s="397">
        <f>'[20]План-факт_Поступления_до40м3с'!$J$8249</f>
        <v>133.25290000000001</v>
      </c>
      <c r="K110" s="13"/>
      <c r="L110" s="404"/>
      <c r="M110" s="404"/>
      <c r="N110" s="404"/>
      <c r="O110" s="404"/>
      <c r="P110" s="397"/>
      <c r="Q110" s="13">
        <v>2024</v>
      </c>
      <c r="R110" s="409" t="s">
        <v>439</v>
      </c>
    </row>
    <row r="111" spans="1:18" s="409" customFormat="1" ht="31.5">
      <c r="A111" s="404">
        <v>108</v>
      </c>
      <c r="B111" s="404" t="s">
        <v>311</v>
      </c>
      <c r="C111" s="404" t="s">
        <v>375</v>
      </c>
      <c r="D111" s="404" t="s">
        <v>376</v>
      </c>
      <c r="E111" s="404"/>
      <c r="F111" s="404"/>
      <c r="G111" s="404"/>
      <c r="H111" s="404">
        <v>1.1200000000000001</v>
      </c>
      <c r="I111" s="404">
        <v>35.94</v>
      </c>
      <c r="J111" s="397">
        <f>'[20]План-факт_Поступления_до40м3с'!$J$8277</f>
        <v>400.7885</v>
      </c>
      <c r="K111" s="13">
        <v>160</v>
      </c>
      <c r="L111" s="404">
        <v>221.5</v>
      </c>
      <c r="M111" s="404" t="s">
        <v>502</v>
      </c>
      <c r="N111" s="404">
        <v>1.1200000000000001</v>
      </c>
      <c r="O111" s="404">
        <v>35.94</v>
      </c>
      <c r="P111" s="397">
        <f>'[20]План-факт_Поступления_до40м3с'!$J$8281</f>
        <v>1760.3573799999999</v>
      </c>
      <c r="Q111" s="13">
        <v>2024</v>
      </c>
    </row>
    <row r="112" spans="1:18" s="409" customFormat="1" ht="31.5">
      <c r="A112" s="404">
        <v>109</v>
      </c>
      <c r="B112" s="404" t="s">
        <v>311</v>
      </c>
      <c r="C112" s="404" t="s">
        <v>519</v>
      </c>
      <c r="D112" s="404" t="s">
        <v>262</v>
      </c>
      <c r="E112" s="404"/>
      <c r="F112" s="404"/>
      <c r="G112" s="404"/>
      <c r="H112" s="404">
        <v>0.43</v>
      </c>
      <c r="I112" s="404">
        <v>0.24</v>
      </c>
      <c r="J112" s="397">
        <f>'[20]План-факт_Поступления_до40м3с'!$J$8285</f>
        <v>2.67638</v>
      </c>
      <c r="K112" s="13"/>
      <c r="L112" s="404"/>
      <c r="M112" s="404"/>
      <c r="N112" s="404">
        <v>0.43</v>
      </c>
      <c r="O112" s="404">
        <v>0.24</v>
      </c>
      <c r="P112" s="397">
        <f>'[20]План-факт_Поступления_до40м3с'!$J$8289</f>
        <v>1.43194</v>
      </c>
      <c r="Q112" s="13">
        <v>2024</v>
      </c>
      <c r="R112" s="409" t="s">
        <v>439</v>
      </c>
    </row>
    <row r="113" spans="1:18" s="409" customFormat="1" ht="31.5">
      <c r="A113" s="404">
        <v>110</v>
      </c>
      <c r="B113" s="404" t="s">
        <v>311</v>
      </c>
      <c r="C113" s="404" t="s">
        <v>520</v>
      </c>
      <c r="D113" s="404" t="s">
        <v>261</v>
      </c>
      <c r="E113" s="404"/>
      <c r="F113" s="404"/>
      <c r="G113" s="404"/>
      <c r="H113" s="404">
        <v>0.48</v>
      </c>
      <c r="I113" s="404">
        <v>0.54300000000000004</v>
      </c>
      <c r="J113" s="397">
        <f>'[20]План-факт_Поступления_до40м3с'!$J$8293</f>
        <v>5.3527699999999996</v>
      </c>
      <c r="K113" s="13"/>
      <c r="L113" s="404"/>
      <c r="M113" s="404"/>
      <c r="N113" s="404"/>
      <c r="O113" s="404"/>
      <c r="P113" s="397"/>
      <c r="Q113" s="13">
        <v>2024</v>
      </c>
      <c r="R113" s="409" t="s">
        <v>439</v>
      </c>
    </row>
    <row r="114" spans="1:18" s="409" customFormat="1" ht="31.5">
      <c r="A114" s="404">
        <v>111</v>
      </c>
      <c r="B114" s="404" t="s">
        <v>311</v>
      </c>
      <c r="C114" s="404" t="s">
        <v>360</v>
      </c>
      <c r="D114" s="404" t="s">
        <v>260</v>
      </c>
      <c r="E114" s="404"/>
      <c r="F114" s="404"/>
      <c r="G114" s="404"/>
      <c r="H114" s="404">
        <v>2.5299999999999998</v>
      </c>
      <c r="I114" s="404">
        <v>5.25</v>
      </c>
      <c r="J114" s="397">
        <f>'[20]План-факт_Поступления_до40м3с'!$J$8297</f>
        <v>58.545900000000003</v>
      </c>
      <c r="K114" s="13"/>
      <c r="L114" s="404"/>
      <c r="M114" s="404"/>
      <c r="N114" s="404"/>
      <c r="O114" s="404"/>
      <c r="P114" s="397"/>
      <c r="Q114" s="13">
        <v>2024</v>
      </c>
      <c r="R114" s="409" t="s">
        <v>439</v>
      </c>
    </row>
    <row r="115" spans="1:18" s="409" customFormat="1" ht="31.5">
      <c r="A115" s="404">
        <v>112</v>
      </c>
      <c r="B115" s="404" t="s">
        <v>311</v>
      </c>
      <c r="C115" s="404" t="s">
        <v>326</v>
      </c>
      <c r="D115" s="404" t="s">
        <v>199</v>
      </c>
      <c r="E115" s="404">
        <v>32</v>
      </c>
      <c r="F115" s="404">
        <v>5.5</v>
      </c>
      <c r="G115" s="404" t="s">
        <v>502</v>
      </c>
      <c r="H115" s="404">
        <v>0.47</v>
      </c>
      <c r="I115" s="404">
        <v>0.36</v>
      </c>
      <c r="J115" s="397">
        <f>'[20]План-факт_Поступления_до40м3с'!$J$8301</f>
        <v>16.770309999999998</v>
      </c>
      <c r="K115" s="13"/>
      <c r="L115" s="404"/>
      <c r="M115" s="404"/>
      <c r="N115" s="404"/>
      <c r="O115" s="404"/>
      <c r="P115" s="397"/>
      <c r="Q115" s="13">
        <v>2024</v>
      </c>
    </row>
    <row r="116" spans="1:18" s="409" customFormat="1" ht="47.25">
      <c r="A116" s="404">
        <v>113</v>
      </c>
      <c r="B116" s="404" t="s">
        <v>311</v>
      </c>
      <c r="C116" s="404" t="s">
        <v>359</v>
      </c>
      <c r="D116" s="404" t="s">
        <v>259</v>
      </c>
      <c r="E116" s="404"/>
      <c r="F116" s="404"/>
      <c r="G116" s="404"/>
      <c r="H116" s="404"/>
      <c r="I116" s="404"/>
      <c r="J116" s="397"/>
      <c r="K116" s="13">
        <v>150</v>
      </c>
      <c r="L116" s="404">
        <v>10.5</v>
      </c>
      <c r="M116" s="404" t="s">
        <v>502</v>
      </c>
      <c r="N116" s="404">
        <v>11.162000000000001</v>
      </c>
      <c r="O116" s="404">
        <v>6.38</v>
      </c>
      <c r="P116" s="397">
        <f>'[20]План-факт_Поступления_до40м3с'!$J$8333</f>
        <v>111.34875</v>
      </c>
      <c r="Q116" s="13">
        <v>2024</v>
      </c>
    </row>
    <row r="117" spans="1:18" s="409" customFormat="1" ht="31.5">
      <c r="A117" s="404">
        <v>114</v>
      </c>
      <c r="B117" s="404" t="s">
        <v>311</v>
      </c>
      <c r="C117" s="404" t="s">
        <v>358</v>
      </c>
      <c r="D117" s="404" t="s">
        <v>258</v>
      </c>
      <c r="E117" s="404"/>
      <c r="F117" s="404"/>
      <c r="G117" s="404"/>
      <c r="H117" s="404">
        <v>4.0339999999999998</v>
      </c>
      <c r="I117" s="404">
        <v>21.295000000000002</v>
      </c>
      <c r="J117" s="397">
        <f>'[20]План-факт_Поступления_до40м3с'!$J$8353</f>
        <v>2.67638</v>
      </c>
      <c r="K117" s="13"/>
      <c r="L117" s="404"/>
      <c r="M117" s="404"/>
      <c r="N117" s="404">
        <v>0.37</v>
      </c>
      <c r="O117" s="404">
        <v>0.28000000000000003</v>
      </c>
      <c r="P117" s="397">
        <f>'[20]План-факт_Поступления_до40м3с'!$J$8357</f>
        <v>1.43194</v>
      </c>
      <c r="Q117" s="13">
        <v>2024</v>
      </c>
    </row>
    <row r="118" spans="1:18" s="409" customFormat="1" ht="31.5">
      <c r="A118" s="404">
        <v>115</v>
      </c>
      <c r="B118" s="404" t="s">
        <v>346</v>
      </c>
      <c r="C118" s="404" t="s">
        <v>347</v>
      </c>
      <c r="D118" s="404" t="s">
        <v>230</v>
      </c>
      <c r="E118" s="404">
        <v>110</v>
      </c>
      <c r="F118" s="404">
        <v>47</v>
      </c>
      <c r="G118" s="404" t="s">
        <v>479</v>
      </c>
      <c r="H118" s="404">
        <v>0.32900000000000001</v>
      </c>
      <c r="I118" s="404">
        <v>7.4999999999999997E-2</v>
      </c>
      <c r="J118" s="397">
        <f>'[20]План-факт_Поступления_до40м3с'!$J$8373</f>
        <v>536.79926999999998</v>
      </c>
      <c r="K118" s="13"/>
      <c r="L118" s="404"/>
      <c r="M118" s="404"/>
      <c r="N118" s="404"/>
      <c r="O118" s="404"/>
      <c r="P118" s="397"/>
      <c r="Q118" s="13">
        <v>2024</v>
      </c>
    </row>
    <row r="119" spans="1:18" s="409" customFormat="1" ht="31.5">
      <c r="A119" s="404">
        <v>116</v>
      </c>
      <c r="B119" s="404" t="s">
        <v>311</v>
      </c>
      <c r="C119" s="404" t="s">
        <v>357</v>
      </c>
      <c r="D119" s="404" t="s">
        <v>257</v>
      </c>
      <c r="E119" s="404"/>
      <c r="F119" s="404"/>
      <c r="G119" s="404"/>
      <c r="H119" s="404">
        <v>0.22</v>
      </c>
      <c r="I119" s="404">
        <v>6.5000000000000002E-2</v>
      </c>
      <c r="J119" s="397">
        <f>'[20]План-факт_Поступления_до40м3с'!$J$8389</f>
        <v>0.38782</v>
      </c>
      <c r="K119" s="13"/>
      <c r="L119" s="404"/>
      <c r="M119" s="404"/>
      <c r="N119" s="404">
        <v>0.22</v>
      </c>
      <c r="O119" s="404">
        <v>1.79</v>
      </c>
      <c r="P119" s="397">
        <f>'[20]План-факт_Поступления_до40м3с'!$J$8389</f>
        <v>0.38782</v>
      </c>
      <c r="Q119" s="13">
        <v>2024</v>
      </c>
    </row>
    <row r="120" spans="1:18" s="409" customFormat="1" ht="31.5">
      <c r="A120" s="404">
        <v>117</v>
      </c>
      <c r="B120" s="404" t="s">
        <v>311</v>
      </c>
      <c r="C120" s="404" t="s">
        <v>356</v>
      </c>
      <c r="D120" s="404" t="s">
        <v>256</v>
      </c>
      <c r="E120" s="404"/>
      <c r="F120" s="404"/>
      <c r="G120" s="404"/>
      <c r="H120" s="404">
        <v>0.31</v>
      </c>
      <c r="I120" s="404">
        <v>7.51</v>
      </c>
      <c r="J120" s="397">
        <f>'[20]План-факт_Поступления_до40м3с'!$J$8393</f>
        <v>83.748519999999985</v>
      </c>
      <c r="K120" s="13"/>
      <c r="L120" s="404"/>
      <c r="M120" s="404"/>
      <c r="N120" s="404">
        <v>0.09</v>
      </c>
      <c r="O120" s="404">
        <v>0.24</v>
      </c>
      <c r="P120" s="397">
        <f>'[20]План-факт_Поступления_до40м3с'!$J$8397</f>
        <v>15.094989999999999</v>
      </c>
      <c r="Q120" s="13">
        <v>2024</v>
      </c>
    </row>
    <row r="121" spans="1:18" s="409" customFormat="1" ht="31.5">
      <c r="A121" s="404">
        <v>118</v>
      </c>
      <c r="B121" s="404"/>
      <c r="C121" s="404" t="str">
        <f>'[19]План-факт_Поступления_до40м3с'!$G$5032</f>
        <v xml:space="preserve">
ВОДОСНАБЖЕНИЕ</v>
      </c>
      <c r="D121" s="404" t="s">
        <v>430</v>
      </c>
      <c r="E121" s="404"/>
      <c r="F121" s="404"/>
      <c r="G121" s="404"/>
      <c r="H121" s="404"/>
      <c r="I121" s="404"/>
      <c r="J121" s="397"/>
      <c r="K121" s="13"/>
      <c r="L121" s="404"/>
      <c r="M121" s="404"/>
      <c r="N121" s="404"/>
      <c r="O121" s="404"/>
      <c r="P121" s="397"/>
      <c r="Q121" s="13">
        <v>2024</v>
      </c>
    </row>
    <row r="122" spans="1:18" s="409" customFormat="1" ht="47.25">
      <c r="A122" s="404">
        <v>119</v>
      </c>
      <c r="B122" s="404" t="s">
        <v>521</v>
      </c>
      <c r="C122" s="404" t="s">
        <v>522</v>
      </c>
      <c r="D122" s="404" t="s">
        <v>392</v>
      </c>
      <c r="E122" s="404"/>
      <c r="F122" s="404"/>
      <c r="G122" s="404"/>
      <c r="H122" s="404"/>
      <c r="I122" s="404"/>
      <c r="J122" s="397"/>
      <c r="K122" s="13"/>
      <c r="L122" s="404"/>
      <c r="M122" s="404"/>
      <c r="N122" s="404">
        <v>0.371</v>
      </c>
      <c r="O122" s="404">
        <v>0.12</v>
      </c>
      <c r="P122" s="397">
        <f>'[20]План-факт_Поступления_до40м3с'!$J$8413</f>
        <v>0.71597</v>
      </c>
      <c r="Q122" s="13">
        <v>2023</v>
      </c>
      <c r="R122" s="409" t="s">
        <v>439</v>
      </c>
    </row>
    <row r="123" spans="1:18" s="409" customFormat="1" ht="31.5">
      <c r="A123" s="404">
        <v>120</v>
      </c>
      <c r="B123" s="404" t="s">
        <v>339</v>
      </c>
      <c r="C123" s="404" t="s">
        <v>355</v>
      </c>
      <c r="D123" s="404" t="s">
        <v>255</v>
      </c>
      <c r="E123" s="404"/>
      <c r="F123" s="404"/>
      <c r="G123" s="404"/>
      <c r="H123" s="404"/>
      <c r="I123" s="404"/>
      <c r="J123" s="397"/>
      <c r="K123" s="13"/>
      <c r="L123" s="404"/>
      <c r="M123" s="404"/>
      <c r="N123" s="404">
        <v>0.48599999999999999</v>
      </c>
      <c r="O123" s="404">
        <v>1.94</v>
      </c>
      <c r="P123" s="397">
        <f>'[20]План-факт_Поступления_до40м3с'!$J$8421</f>
        <v>3.5798399999999999</v>
      </c>
      <c r="Q123" s="13">
        <v>2024</v>
      </c>
    </row>
    <row r="124" spans="1:18" s="409" customFormat="1" ht="47.25">
      <c r="A124" s="404">
        <v>121</v>
      </c>
      <c r="B124" s="404" t="s">
        <v>336</v>
      </c>
      <c r="C124" s="404" t="s">
        <v>337</v>
      </c>
      <c r="D124" s="404" t="s">
        <v>215</v>
      </c>
      <c r="E124" s="404">
        <v>63</v>
      </c>
      <c r="F124" s="404">
        <v>71</v>
      </c>
      <c r="G124" s="404" t="s">
        <v>479</v>
      </c>
      <c r="H124" s="404">
        <v>1.9470000000000001</v>
      </c>
      <c r="I124" s="404">
        <v>6.96</v>
      </c>
      <c r="J124" s="397">
        <f>'[20]План-факт_Поступления_до40м3с'!$J$8425</f>
        <v>813.80047999999999</v>
      </c>
      <c r="K124" s="13">
        <v>160</v>
      </c>
      <c r="L124" s="404">
        <v>27.5</v>
      </c>
      <c r="M124" s="404" t="s">
        <v>523</v>
      </c>
      <c r="N124" s="404">
        <v>1.9470000000000001</v>
      </c>
      <c r="O124" s="404">
        <v>2.5840000000000001</v>
      </c>
      <c r="P124" s="397">
        <f>'[20]План-факт_Поступления_до40м3с'!$J$8429</f>
        <v>810.27225999999996</v>
      </c>
      <c r="Q124" s="13">
        <v>2024</v>
      </c>
    </row>
    <row r="125" spans="1:18" s="409" customFormat="1" ht="31.5">
      <c r="A125" s="404">
        <v>122</v>
      </c>
      <c r="B125" s="404" t="s">
        <v>311</v>
      </c>
      <c r="C125" s="404" t="s">
        <v>524</v>
      </c>
      <c r="D125" s="404" t="s">
        <v>254</v>
      </c>
      <c r="E125" s="404"/>
      <c r="F125" s="404"/>
      <c r="G125" s="404"/>
      <c r="H125" s="404">
        <v>2.58</v>
      </c>
      <c r="I125" s="404">
        <v>1.44</v>
      </c>
      <c r="J125" s="397">
        <f>'[20]План-факт_Поступления_до40м3с'!$J$8433</f>
        <v>16.058299999999999</v>
      </c>
      <c r="K125" s="13"/>
      <c r="L125" s="404"/>
      <c r="M125" s="404"/>
      <c r="N125" s="404"/>
      <c r="O125" s="404"/>
      <c r="P125" s="397"/>
      <c r="Q125" s="13">
        <v>2024</v>
      </c>
    </row>
    <row r="126" spans="1:18" s="409" customFormat="1" ht="47.25">
      <c r="A126" s="404">
        <v>123</v>
      </c>
      <c r="B126" s="404" t="s">
        <v>327</v>
      </c>
      <c r="C126" s="404" t="s">
        <v>211</v>
      </c>
      <c r="D126" s="404" t="s">
        <v>200</v>
      </c>
      <c r="E126" s="404">
        <v>32</v>
      </c>
      <c r="F126" s="404">
        <v>23.5</v>
      </c>
      <c r="G126" s="404" t="s">
        <v>502</v>
      </c>
      <c r="H126" s="404">
        <v>0.48</v>
      </c>
      <c r="I126" s="404">
        <v>0.48</v>
      </c>
      <c r="J126" s="397">
        <f>'[20]План-факт_Поступления_до40м3с'!$J$8437</f>
        <v>59.858550000000001</v>
      </c>
      <c r="K126" s="13"/>
      <c r="L126" s="404"/>
      <c r="M126" s="404"/>
      <c r="N126" s="404"/>
      <c r="O126" s="404"/>
      <c r="P126" s="397"/>
      <c r="Q126" s="13">
        <v>2024</v>
      </c>
    </row>
    <row r="127" spans="1:18" s="409" customFormat="1" ht="63">
      <c r="A127" s="404">
        <v>124</v>
      </c>
      <c r="B127" s="404" t="s">
        <v>328</v>
      </c>
      <c r="C127" s="404" t="s">
        <v>329</v>
      </c>
      <c r="D127" s="404" t="s">
        <v>201</v>
      </c>
      <c r="E127" s="398">
        <f>'[20]План-факт_Поступления_до40м3с'!$T$8437</f>
        <v>32</v>
      </c>
      <c r="F127" s="398">
        <f>'[20]План-факт_Поступления_до40м3с'!$U$8437</f>
        <v>23.5</v>
      </c>
      <c r="G127" s="404" t="str">
        <f>'[20]План-факт_Поступления_до40м3с'!$V$8437</f>
        <v>открытый</v>
      </c>
      <c r="H127" s="399">
        <f>'[20]План-факт_Поступления_до40м3с'!$W$8445</f>
        <v>0.08</v>
      </c>
      <c r="I127" s="399">
        <f>'[20]План-факт_Поступления_до40м3с'!$X$8445</f>
        <v>0.24</v>
      </c>
      <c r="J127" s="397">
        <f>'[20]План-факт_Поступления_до40м3с'!$J$8445</f>
        <v>25.870329999999999</v>
      </c>
      <c r="K127" s="13">
        <v>160</v>
      </c>
      <c r="L127" s="404">
        <v>5</v>
      </c>
      <c r="M127" s="404" t="s">
        <v>502</v>
      </c>
      <c r="N127" s="404">
        <v>0.08</v>
      </c>
      <c r="O127" s="404">
        <v>0.02</v>
      </c>
      <c r="P127" s="397">
        <f>'[20]План-факт_Поступления_до40м3с'!$J$8441</f>
        <v>36.328670000000002</v>
      </c>
      <c r="Q127" s="13">
        <v>2024</v>
      </c>
    </row>
    <row r="128" spans="1:18" s="409" customFormat="1" ht="31.5">
      <c r="A128" s="404">
        <v>125</v>
      </c>
      <c r="B128" s="404" t="s">
        <v>330</v>
      </c>
      <c r="C128" s="404" t="s">
        <v>236</v>
      </c>
      <c r="D128" s="404" t="s">
        <v>202</v>
      </c>
      <c r="E128" s="404">
        <v>32</v>
      </c>
      <c r="F128" s="398">
        <f>'[20]План-факт_Поступления_до40м3с'!$U$8445</f>
        <v>10</v>
      </c>
      <c r="G128" s="404" t="str">
        <f>'[20]План-факт_Поступления_до40м3с'!$V$8445</f>
        <v>открытый</v>
      </c>
      <c r="H128" s="399">
        <f>'[20]План-факт_Поступления_до40м3с'!$W$8449</f>
        <v>0.85699999999999998</v>
      </c>
      <c r="I128" s="399">
        <f>'[20]План-факт_Поступления_до40м3с'!$X$8445</f>
        <v>0.24</v>
      </c>
      <c r="J128" s="397">
        <f>'[20]План-факт_Поступления_до40м3с'!$J$8449</f>
        <v>21.06428</v>
      </c>
      <c r="K128" s="13">
        <v>160</v>
      </c>
      <c r="L128" s="404">
        <v>4.5</v>
      </c>
      <c r="M128" s="404" t="s">
        <v>502</v>
      </c>
      <c r="N128" s="404">
        <v>0.85699999999999998</v>
      </c>
      <c r="O128" s="404">
        <v>0.22500000000000001</v>
      </c>
      <c r="P128" s="397">
        <f>'[20]План-факт_Поступления_до40м3с'!$J$8453</f>
        <v>32.749490000000002</v>
      </c>
      <c r="Q128" s="13">
        <v>2024</v>
      </c>
    </row>
    <row r="129" spans="1:18" s="409" customFormat="1" ht="31.5">
      <c r="A129" s="404">
        <v>126</v>
      </c>
      <c r="B129" s="404" t="s">
        <v>311</v>
      </c>
      <c r="C129" s="404" t="s">
        <v>354</v>
      </c>
      <c r="D129" s="404" t="s">
        <v>253</v>
      </c>
      <c r="E129" s="404"/>
      <c r="F129" s="404"/>
      <c r="G129" s="404"/>
      <c r="H129" s="404">
        <v>0.60499999999999998</v>
      </c>
      <c r="I129" s="404">
        <v>0.6</v>
      </c>
      <c r="J129" s="397">
        <f>'[20]План-факт_Поступления_до40м3с'!$J$8461</f>
        <v>6.6909599999999996</v>
      </c>
      <c r="K129" s="13"/>
      <c r="L129" s="404"/>
      <c r="M129" s="404"/>
      <c r="N129" s="404">
        <v>0.60499999999999998</v>
      </c>
      <c r="O129" s="404">
        <v>0.38900000000000001</v>
      </c>
      <c r="P129" s="397">
        <f>'[20]План-факт_Поступления_до40м3с'!$J$8465</f>
        <v>3.5798399999999999</v>
      </c>
      <c r="Q129" s="13">
        <v>2024</v>
      </c>
    </row>
    <row r="130" spans="1:18" s="409" customFormat="1" ht="63">
      <c r="A130" s="404">
        <v>127</v>
      </c>
      <c r="B130" s="404" t="s">
        <v>338</v>
      </c>
      <c r="C130" s="404" t="s">
        <v>224</v>
      </c>
      <c r="D130" s="404" t="s">
        <v>216</v>
      </c>
      <c r="E130" s="404">
        <v>63</v>
      </c>
      <c r="F130" s="404">
        <v>498</v>
      </c>
      <c r="G130" s="404" t="s">
        <v>502</v>
      </c>
      <c r="H130" s="404">
        <v>5.53</v>
      </c>
      <c r="I130" s="404">
        <v>30.25</v>
      </c>
      <c r="J130" s="397">
        <f>'[20]План-факт_Поступления_до40м3с'!$J$8469</f>
        <v>1670.3627799999999</v>
      </c>
      <c r="K130" s="13" t="s">
        <v>443</v>
      </c>
      <c r="L130" s="404" t="s">
        <v>525</v>
      </c>
      <c r="M130" s="404" t="s">
        <v>502</v>
      </c>
      <c r="N130" s="404">
        <v>5.53</v>
      </c>
      <c r="O130" s="404">
        <v>2.5</v>
      </c>
      <c r="P130" s="397">
        <f>'[20]План-факт_Поступления_до40м3с'!$J$8473</f>
        <v>2384.64527</v>
      </c>
      <c r="Q130" s="13">
        <v>2024</v>
      </c>
    </row>
    <row r="131" spans="1:18" s="409" customFormat="1" ht="47.25">
      <c r="A131" s="404">
        <v>128</v>
      </c>
      <c r="B131" s="404" t="s">
        <v>526</v>
      </c>
      <c r="C131" s="404" t="s">
        <v>353</v>
      </c>
      <c r="D131" s="404" t="s">
        <v>252</v>
      </c>
      <c r="E131" s="404"/>
      <c r="F131" s="404"/>
      <c r="G131" s="404"/>
      <c r="H131" s="404"/>
      <c r="I131" s="404"/>
      <c r="J131" s="397"/>
      <c r="K131" s="13"/>
      <c r="L131" s="404"/>
      <c r="M131" s="404"/>
      <c r="N131" s="404">
        <v>0.32</v>
      </c>
      <c r="O131" s="404">
        <v>1.85</v>
      </c>
      <c r="P131" s="397">
        <f>'[20]План-факт_Поступления_до40м3с'!$J$8481</f>
        <v>1.0023599999999999</v>
      </c>
      <c r="Q131" s="13">
        <v>2024</v>
      </c>
    </row>
    <row r="132" spans="1:18" s="409" customFormat="1" ht="31.5">
      <c r="A132" s="404">
        <v>129</v>
      </c>
      <c r="B132" s="404" t="s">
        <v>527</v>
      </c>
      <c r="C132" s="404" t="s">
        <v>528</v>
      </c>
      <c r="D132" s="404" t="s">
        <v>251</v>
      </c>
      <c r="E132" s="404"/>
      <c r="F132" s="404"/>
      <c r="G132" s="404"/>
      <c r="H132" s="404">
        <v>0.66</v>
      </c>
      <c r="I132" s="404">
        <v>0.8</v>
      </c>
      <c r="J132" s="397">
        <f>'[20]План-факт_Поступления_до40м3с'!$J$8485</f>
        <v>8.9212799999999994</v>
      </c>
      <c r="K132" s="13"/>
      <c r="L132" s="404"/>
      <c r="M132" s="404"/>
      <c r="N132" s="404"/>
      <c r="O132" s="404"/>
      <c r="P132" s="397"/>
      <c r="Q132" s="13">
        <v>2024</v>
      </c>
      <c r="R132" s="409" t="s">
        <v>439</v>
      </c>
    </row>
    <row r="133" spans="1:18" s="409" customFormat="1" ht="31.5">
      <c r="A133" s="404">
        <v>130</v>
      </c>
      <c r="B133" s="404" t="s">
        <v>339</v>
      </c>
      <c r="C133" s="404" t="s">
        <v>340</v>
      </c>
      <c r="D133" s="404" t="s">
        <v>217</v>
      </c>
      <c r="E133" s="404">
        <v>63</v>
      </c>
      <c r="F133" s="404">
        <v>7</v>
      </c>
      <c r="G133" s="404" t="s">
        <v>502</v>
      </c>
      <c r="H133" s="404">
        <v>1.69</v>
      </c>
      <c r="I133" s="404">
        <v>3</v>
      </c>
      <c r="J133" s="397">
        <f>'[20]План-факт_Поступления_до40м3с'!$J$8489</f>
        <v>33.454799999999999</v>
      </c>
      <c r="K133" s="13">
        <v>63</v>
      </c>
      <c r="L133" s="404">
        <v>25</v>
      </c>
      <c r="M133" s="404" t="s">
        <v>502</v>
      </c>
      <c r="N133" s="404">
        <v>1.69</v>
      </c>
      <c r="O133" s="404">
        <v>0.21</v>
      </c>
      <c r="P133" s="397">
        <f>'[20]План-факт_Поступления_до40м3с'!$J$8493</f>
        <v>167.65503999999999</v>
      </c>
      <c r="Q133" s="13">
        <v>2024</v>
      </c>
    </row>
    <row r="134" spans="1:18" s="409" customFormat="1" ht="31.5">
      <c r="A134" s="404">
        <v>131</v>
      </c>
      <c r="B134" s="404" t="s">
        <v>529</v>
      </c>
      <c r="C134" s="404" t="s">
        <v>352</v>
      </c>
      <c r="D134" s="404" t="s">
        <v>250</v>
      </c>
      <c r="E134" s="404"/>
      <c r="F134" s="404"/>
      <c r="G134" s="404"/>
      <c r="H134" s="404">
        <v>0.59</v>
      </c>
      <c r="I134" s="404">
        <v>0.6</v>
      </c>
      <c r="J134" s="397">
        <f>'[20]План-факт_Поступления_до40м3с'!$J$8497</f>
        <v>6.6909599999999996</v>
      </c>
      <c r="K134" s="13"/>
      <c r="L134" s="404"/>
      <c r="M134" s="404"/>
      <c r="N134" s="404"/>
      <c r="O134" s="404"/>
      <c r="P134" s="397"/>
      <c r="Q134" s="13">
        <v>2024</v>
      </c>
      <c r="R134" s="409" t="s">
        <v>439</v>
      </c>
    </row>
    <row r="135" spans="1:18" s="409" customFormat="1" ht="31.5">
      <c r="A135" s="404">
        <v>132</v>
      </c>
      <c r="B135" s="404" t="s">
        <v>339</v>
      </c>
      <c r="C135" s="404" t="s">
        <v>530</v>
      </c>
      <c r="D135" s="404" t="s">
        <v>249</v>
      </c>
      <c r="E135" s="404"/>
      <c r="F135" s="404"/>
      <c r="G135" s="404"/>
      <c r="H135" s="404">
        <v>1.33</v>
      </c>
      <c r="I135" s="404">
        <v>1.25</v>
      </c>
      <c r="J135" s="397">
        <f>'[20]План-факт_Поступления_до40м3с'!$J$8501</f>
        <v>13.939499999999999</v>
      </c>
      <c r="K135" s="13"/>
      <c r="L135" s="404"/>
      <c r="M135" s="404"/>
      <c r="N135" s="404"/>
      <c r="O135" s="404"/>
      <c r="P135" s="397"/>
      <c r="Q135" s="13">
        <v>2024</v>
      </c>
      <c r="R135" s="409" t="s">
        <v>439</v>
      </c>
    </row>
    <row r="136" spans="1:18" s="409" customFormat="1" ht="31.5">
      <c r="A136" s="404">
        <v>133</v>
      </c>
      <c r="B136" s="404" t="s">
        <v>311</v>
      </c>
      <c r="C136" s="404" t="s">
        <v>331</v>
      </c>
      <c r="D136" s="404" t="s">
        <v>203</v>
      </c>
      <c r="E136" s="404">
        <v>32</v>
      </c>
      <c r="F136" s="404">
        <v>10</v>
      </c>
      <c r="G136" s="404" t="s">
        <v>479</v>
      </c>
      <c r="H136" s="404">
        <v>0.35</v>
      </c>
      <c r="I136" s="404">
        <v>0.12</v>
      </c>
      <c r="J136" s="397">
        <f>'[20]План-факт_Поступления_до40м3с'!$J$8521</f>
        <v>101.78169</v>
      </c>
      <c r="K136" s="13">
        <v>160</v>
      </c>
      <c r="L136" s="404">
        <v>9</v>
      </c>
      <c r="M136" s="404" t="s">
        <v>479</v>
      </c>
      <c r="N136" s="404">
        <v>0.35</v>
      </c>
      <c r="O136" s="404">
        <v>0.3</v>
      </c>
      <c r="P136" s="397">
        <f>'[20]План-факт_Поступления_до40м3с'!$J$8525</f>
        <v>252.30561</v>
      </c>
      <c r="Q136" s="13">
        <v>2024</v>
      </c>
    </row>
    <row r="137" spans="1:18" s="409" customFormat="1" ht="31.5">
      <c r="A137" s="404">
        <v>134</v>
      </c>
      <c r="B137" s="404" t="s">
        <v>350</v>
      </c>
      <c r="C137" s="404" t="s">
        <v>351</v>
      </c>
      <c r="D137" s="404" t="s">
        <v>248</v>
      </c>
      <c r="E137" s="404"/>
      <c r="F137" s="404"/>
      <c r="G137" s="404"/>
      <c r="H137" s="404">
        <v>0.56000000000000005</v>
      </c>
      <c r="I137" s="404">
        <v>6.92</v>
      </c>
      <c r="J137" s="397">
        <f>'[20]План-факт_Поступления_до40м3с'!$J$8537</f>
        <v>77.409890000000004</v>
      </c>
      <c r="K137" s="13"/>
      <c r="L137" s="404"/>
      <c r="M137" s="404"/>
      <c r="N137" s="404">
        <v>0.56000000000000005</v>
      </c>
      <c r="O137" s="404">
        <v>6.92</v>
      </c>
      <c r="P137" s="397">
        <f>'[20]План-факт_Поступления_до40м3с'!$J$8541</f>
        <v>43.894939999999998</v>
      </c>
      <c r="Q137" s="13">
        <v>2024</v>
      </c>
    </row>
    <row r="138" spans="1:18" s="409" customFormat="1" ht="31.5">
      <c r="A138" s="404">
        <v>135</v>
      </c>
      <c r="B138" s="404" t="s">
        <v>339</v>
      </c>
      <c r="C138" s="404" t="s">
        <v>223</v>
      </c>
      <c r="D138" s="404" t="s">
        <v>218</v>
      </c>
      <c r="E138" s="404" t="s">
        <v>531</v>
      </c>
      <c r="F138" s="404" t="s">
        <v>532</v>
      </c>
      <c r="G138" s="404" t="s">
        <v>533</v>
      </c>
      <c r="H138" s="404">
        <v>0.48599999999999999</v>
      </c>
      <c r="I138" s="404">
        <v>0.34</v>
      </c>
      <c r="J138" s="397">
        <f>'[20]План-факт_Поступления_до40м3с'!$J$8545</f>
        <v>1178.5132799999999</v>
      </c>
      <c r="K138" s="13"/>
      <c r="L138" s="404"/>
      <c r="M138" s="404"/>
      <c r="N138" s="404"/>
      <c r="O138" s="404"/>
      <c r="P138" s="397"/>
      <c r="Q138" s="13">
        <v>2024</v>
      </c>
    </row>
    <row r="139" spans="1:18" s="409" customFormat="1" ht="31.5">
      <c r="A139" s="404">
        <v>136</v>
      </c>
      <c r="B139" s="404" t="s">
        <v>311</v>
      </c>
      <c r="C139" s="404" t="s">
        <v>534</v>
      </c>
      <c r="D139" s="404" t="s">
        <v>535</v>
      </c>
      <c r="E139" s="404"/>
      <c r="F139" s="404"/>
      <c r="G139" s="404"/>
      <c r="H139" s="404">
        <v>0.26</v>
      </c>
      <c r="I139" s="404">
        <v>0.3</v>
      </c>
      <c r="J139" s="397">
        <f>'[20]План-факт_Поступления_до40м3с'!$J$8549</f>
        <v>3.3559199999999998</v>
      </c>
      <c r="K139" s="13"/>
      <c r="L139" s="404"/>
      <c r="M139" s="404"/>
      <c r="N139" s="404"/>
      <c r="O139" s="404"/>
      <c r="P139" s="397"/>
      <c r="Q139" s="13">
        <v>2024</v>
      </c>
      <c r="R139" s="409" t="s">
        <v>439</v>
      </c>
    </row>
    <row r="140" spans="1:18" s="409" customFormat="1">
      <c r="F140" s="410">
        <f>SUM(F5:F139)</f>
        <v>2785</v>
      </c>
      <c r="G140" s="409">
        <f>SUM(G5:G139)</f>
        <v>0</v>
      </c>
      <c r="H140" s="409">
        <f>SUM(H5:H139)</f>
        <v>117.00210000000003</v>
      </c>
      <c r="I140" s="409">
        <f>SUM(I5:I139)</f>
        <v>408.49800000000016</v>
      </c>
      <c r="J140" s="409">
        <f>SUM(J5:J139)</f>
        <v>39958.994410000007</v>
      </c>
      <c r="L140" s="411">
        <f>SUM(L5:L139)</f>
        <v>498</v>
      </c>
      <c r="O140" s="409">
        <f>SUM(O5:O139)</f>
        <v>233.03799999999998</v>
      </c>
      <c r="P140" s="409">
        <f>SUM(P5:P139)</f>
        <v>16532.009669999996</v>
      </c>
    </row>
    <row r="141" spans="1:18" s="409" customFormat="1">
      <c r="J141" s="409">
        <f>J140/F140</f>
        <v>14.347933360861761</v>
      </c>
      <c r="P141" s="409">
        <f>P140/L140</f>
        <v>33.196806566265053</v>
      </c>
    </row>
    <row r="142" spans="1:18" s="409" customFormat="1"/>
    <row r="143" spans="1:18" s="409" customFormat="1"/>
    <row r="144" spans="1:18" s="409" customFormat="1">
      <c r="F144" s="409">
        <f>F140*5</f>
        <v>13925</v>
      </c>
      <c r="L144" s="409">
        <f>L140*5</f>
        <v>2490</v>
      </c>
    </row>
    <row r="145" s="409" customFormat="1"/>
    <row r="146" s="409" customFormat="1"/>
    <row r="147" s="409" customFormat="1"/>
    <row r="148" s="409" customFormat="1"/>
    <row r="149" s="409" customFormat="1"/>
    <row r="150" s="409" customFormat="1"/>
    <row r="151" s="409" customFormat="1"/>
    <row r="152" s="409" customFormat="1"/>
    <row r="153" s="409" customFormat="1"/>
    <row r="154" s="409" customFormat="1"/>
  </sheetData>
  <autoFilter ref="Q3:Q154"/>
  <mergeCells count="7">
    <mergeCell ref="Q3:Q4"/>
    <mergeCell ref="A3:A4"/>
    <mergeCell ref="B3:B4"/>
    <mergeCell ref="C3:C4"/>
    <mergeCell ref="D3:D4"/>
    <mergeCell ref="E3:J3"/>
    <mergeCell ref="K3:P3"/>
  </mergeCells>
  <pageMargins left="0.7" right="0.7" top="0.75" bottom="0.75" header="0.3" footer="0.3"/>
  <pageSetup paperSize="9" scale="3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G84"/>
  <sheetViews>
    <sheetView view="pageBreakPreview" zoomScale="80" zoomScaleNormal="100" zoomScaleSheetLayoutView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6" sqref="O6:P7"/>
    </sheetView>
  </sheetViews>
  <sheetFormatPr defaultRowHeight="15" outlineLevelCol="1"/>
  <cols>
    <col min="1" max="1" width="27.42578125" customWidth="1"/>
    <col min="3" max="8" width="13" hidden="1" customWidth="1" outlineLevel="1"/>
    <col min="9" max="9" width="0" hidden="1" customWidth="1" outlineLevel="1"/>
    <col min="10" max="10" width="11.85546875" hidden="1" customWidth="1" outlineLevel="1"/>
    <col min="11" max="11" width="16.28515625" hidden="1" customWidth="1" outlineLevel="1"/>
    <col min="12" max="12" width="0" hidden="1" customWidth="1" outlineLevel="1"/>
    <col min="13" max="13" width="12.5703125" hidden="1" customWidth="1" outlineLevel="1"/>
    <col min="14" max="14" width="0" hidden="1" customWidth="1" outlineLevel="1"/>
    <col min="15" max="15" width="12.5703125" bestFit="1" customWidth="1" collapsed="1"/>
    <col min="16" max="16" width="11" customWidth="1" outlineLevel="1"/>
    <col min="17" max="17" width="9.140625" customWidth="1" outlineLevel="1"/>
    <col min="18" max="18" width="12.5703125" customWidth="1" outlineLevel="1"/>
    <col min="19" max="27" width="9.140625" customWidth="1" outlineLevel="1"/>
    <col min="28" max="28" width="19.5703125" bestFit="1" customWidth="1"/>
    <col min="29" max="29" width="13.28515625" bestFit="1" customWidth="1"/>
    <col min="30" max="31" width="12.5703125" bestFit="1" customWidth="1"/>
  </cols>
  <sheetData>
    <row r="1" spans="1:85">
      <c r="A1" t="s">
        <v>662</v>
      </c>
    </row>
    <row r="2" spans="1:85" ht="15.75" thickBot="1">
      <c r="AD2" s="746" t="s">
        <v>1069</v>
      </c>
      <c r="AE2" s="746" t="s">
        <v>1069</v>
      </c>
      <c r="AF2" s="746" t="s">
        <v>1069</v>
      </c>
      <c r="AG2" s="746" t="s">
        <v>1069</v>
      </c>
      <c r="AH2" s="746" t="s">
        <v>1069</v>
      </c>
    </row>
    <row r="3" spans="1:85" ht="15.75" thickBot="1">
      <c r="A3" s="403"/>
      <c r="B3" s="628">
        <v>2021</v>
      </c>
      <c r="C3" s="562">
        <v>44562</v>
      </c>
      <c r="D3" s="562">
        <v>44593</v>
      </c>
      <c r="E3" s="562">
        <v>44621</v>
      </c>
      <c r="F3" s="562">
        <v>44652</v>
      </c>
      <c r="G3" s="562">
        <v>44682</v>
      </c>
      <c r="H3" s="562">
        <v>44713</v>
      </c>
      <c r="I3" s="562">
        <v>44743</v>
      </c>
      <c r="J3" s="562">
        <v>44774</v>
      </c>
      <c r="K3" s="562">
        <v>44805</v>
      </c>
      <c r="L3" s="562">
        <v>44835</v>
      </c>
      <c r="M3" s="562">
        <v>44866</v>
      </c>
      <c r="N3" s="562">
        <v>44896</v>
      </c>
      <c r="O3" s="628">
        <v>2022</v>
      </c>
      <c r="P3" s="562">
        <v>44927</v>
      </c>
      <c r="Q3" s="562">
        <v>44958</v>
      </c>
      <c r="R3" s="562">
        <v>44986</v>
      </c>
      <c r="S3" s="562">
        <v>45017</v>
      </c>
      <c r="T3" s="562">
        <v>45047</v>
      </c>
      <c r="U3" s="562">
        <v>45078</v>
      </c>
      <c r="V3" s="562">
        <v>45108</v>
      </c>
      <c r="W3" s="562">
        <v>45139</v>
      </c>
      <c r="X3" s="562">
        <v>45170</v>
      </c>
      <c r="Y3" s="562">
        <v>45200</v>
      </c>
      <c r="Z3" s="562">
        <v>45231</v>
      </c>
      <c r="AA3" s="562">
        <v>45261</v>
      </c>
      <c r="AB3" s="629" t="s">
        <v>1049</v>
      </c>
      <c r="AC3" s="647" t="s">
        <v>961</v>
      </c>
      <c r="AD3" s="648" t="s">
        <v>962</v>
      </c>
      <c r="AE3" s="649" t="s">
        <v>963</v>
      </c>
      <c r="AF3" s="649" t="s">
        <v>964</v>
      </c>
      <c r="AG3" s="649" t="s">
        <v>965</v>
      </c>
      <c r="AH3" s="650" t="s">
        <v>966</v>
      </c>
      <c r="AI3" s="561"/>
      <c r="AJ3" s="561"/>
      <c r="AK3" s="561"/>
      <c r="AL3" s="561"/>
      <c r="AM3" s="561"/>
      <c r="AN3" s="561"/>
      <c r="AO3" s="561"/>
      <c r="AP3" s="561"/>
      <c r="AQ3" s="561"/>
      <c r="AR3" s="561"/>
      <c r="AS3" s="561"/>
      <c r="AT3" s="561"/>
      <c r="AU3" s="561"/>
      <c r="AV3" s="561"/>
      <c r="AW3" s="561"/>
      <c r="AX3" s="561"/>
      <c r="AY3" s="561"/>
      <c r="AZ3" s="561"/>
      <c r="BA3" s="561"/>
      <c r="BB3" s="561"/>
      <c r="BC3" s="561"/>
      <c r="BD3" s="561"/>
      <c r="BE3" s="561"/>
      <c r="BF3" s="561"/>
      <c r="BG3" s="561"/>
      <c r="BH3" s="561"/>
      <c r="BI3" s="561"/>
      <c r="BJ3" s="561"/>
      <c r="BK3" s="561"/>
      <c r="BL3" s="561"/>
      <c r="BM3" s="561"/>
      <c r="BN3" s="561"/>
      <c r="BO3" s="561"/>
      <c r="BP3" s="561"/>
      <c r="BQ3" s="561"/>
      <c r="BR3" s="561"/>
      <c r="BS3" s="561"/>
      <c r="BT3" s="561"/>
      <c r="BU3" s="561"/>
      <c r="BV3" s="561"/>
      <c r="BW3" s="561"/>
      <c r="BX3" s="561"/>
      <c r="BY3" s="561"/>
      <c r="BZ3" s="561"/>
      <c r="CA3" s="561"/>
      <c r="CB3" s="561"/>
      <c r="CC3" s="561"/>
      <c r="CD3" s="561"/>
      <c r="CE3" s="561"/>
      <c r="CF3" s="561"/>
      <c r="CG3" s="561"/>
    </row>
    <row r="4" spans="1:85" s="674" customFormat="1">
      <c r="A4" s="665" t="s">
        <v>1053</v>
      </c>
      <c r="B4" s="666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8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8"/>
      <c r="AC4" s="669"/>
      <c r="AD4" s="670"/>
      <c r="AE4" s="671"/>
      <c r="AF4" s="671"/>
      <c r="AG4" s="671"/>
      <c r="AH4" s="672"/>
      <c r="AI4" s="673"/>
      <c r="AJ4" s="673"/>
      <c r="AK4" s="673"/>
      <c r="AL4" s="673"/>
      <c r="AM4" s="673"/>
      <c r="AN4" s="673"/>
      <c r="AO4" s="673"/>
      <c r="AP4" s="673"/>
      <c r="AQ4" s="673"/>
      <c r="AR4" s="673"/>
      <c r="AS4" s="673"/>
      <c r="AT4" s="673"/>
      <c r="AU4" s="673"/>
      <c r="AV4" s="673"/>
      <c r="AW4" s="673"/>
      <c r="AX4" s="673"/>
      <c r="AY4" s="673"/>
      <c r="AZ4" s="673"/>
      <c r="BA4" s="673"/>
      <c r="BB4" s="673"/>
      <c r="BC4" s="673"/>
      <c r="BD4" s="673"/>
      <c r="BE4" s="673"/>
      <c r="BF4" s="673"/>
      <c r="BG4" s="673"/>
      <c r="BH4" s="673"/>
      <c r="BI4" s="673"/>
      <c r="BJ4" s="673"/>
      <c r="BK4" s="673"/>
      <c r="BL4" s="673"/>
      <c r="BM4" s="673"/>
      <c r="BN4" s="673"/>
      <c r="BO4" s="673"/>
      <c r="BP4" s="673"/>
      <c r="BQ4" s="673"/>
      <c r="BR4" s="673"/>
      <c r="BS4" s="673"/>
      <c r="BT4" s="673"/>
      <c r="BU4" s="673"/>
      <c r="BV4" s="673"/>
      <c r="BW4" s="673"/>
      <c r="BX4" s="673"/>
      <c r="BY4" s="673"/>
      <c r="BZ4" s="673"/>
      <c r="CA4" s="673"/>
      <c r="CB4" s="673"/>
      <c r="CC4" s="673"/>
      <c r="CD4" s="673"/>
      <c r="CE4" s="673"/>
      <c r="CF4" s="673"/>
      <c r="CG4" s="673"/>
    </row>
    <row r="5" spans="1:85" s="735" customFormat="1">
      <c r="A5" s="731" t="s">
        <v>1075</v>
      </c>
      <c r="B5" s="732"/>
      <c r="C5" s="617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30">
        <v>4910937.5</v>
      </c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30">
        <f>SUM(O5,P5:AA5)</f>
        <v>4910937.5</v>
      </c>
      <c r="AC5" s="655"/>
      <c r="AD5" s="733"/>
      <c r="AE5" s="630"/>
      <c r="AF5" s="630"/>
      <c r="AG5" s="630"/>
      <c r="AH5" s="734"/>
    </row>
    <row r="6" spans="1:85" s="736" customFormat="1">
      <c r="A6" s="620" t="s">
        <v>1072</v>
      </c>
      <c r="B6" s="630"/>
      <c r="C6" s="620"/>
      <c r="D6" s="620"/>
      <c r="E6" s="620"/>
      <c r="F6" s="620">
        <v>747500</v>
      </c>
      <c r="G6" s="620"/>
      <c r="H6" s="620"/>
      <c r="I6" s="620"/>
      <c r="J6" s="620"/>
      <c r="K6" s="620"/>
      <c r="L6" s="620"/>
      <c r="M6" s="620">
        <v>3363437.5</v>
      </c>
      <c r="N6" s="620"/>
      <c r="O6" s="630">
        <f>SUM(C6:N6)</f>
        <v>4110937.5</v>
      </c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30">
        <f>SUM(O6,P6:AA6)</f>
        <v>4110937.5</v>
      </c>
      <c r="AC6" s="655">
        <f>SUM(P6:AA6)</f>
        <v>0</v>
      </c>
      <c r="AD6" s="733"/>
      <c r="AE6" s="630"/>
      <c r="AF6" s="630"/>
      <c r="AG6" s="630"/>
      <c r="AH6" s="734"/>
    </row>
    <row r="7" spans="1:85" s="736" customFormat="1">
      <c r="A7" s="620" t="s">
        <v>1071</v>
      </c>
      <c r="B7" s="630"/>
      <c r="C7" s="620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30"/>
      <c r="P7" s="620">
        <v>800000</v>
      </c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30">
        <f>SUM(O7,P7:AA7)</f>
        <v>800000</v>
      </c>
      <c r="AC7" s="655">
        <f>SUM(P7:AA7)</f>
        <v>800000</v>
      </c>
      <c r="AD7" s="733"/>
      <c r="AE7" s="630"/>
      <c r="AF7" s="630"/>
      <c r="AG7" s="630"/>
      <c r="AH7" s="734"/>
    </row>
    <row r="8" spans="1:85" s="741" customFormat="1">
      <c r="A8" s="675" t="s">
        <v>1052</v>
      </c>
      <c r="B8" s="676"/>
      <c r="C8" s="675"/>
      <c r="D8" s="675"/>
      <c r="E8" s="675"/>
      <c r="F8" s="675"/>
      <c r="G8" s="675"/>
      <c r="H8" s="675"/>
      <c r="I8" s="675"/>
      <c r="J8" s="675"/>
      <c r="K8" s="675"/>
      <c r="L8" s="675"/>
      <c r="M8" s="675"/>
      <c r="N8" s="675"/>
      <c r="O8" s="676"/>
      <c r="P8" s="675"/>
      <c r="Q8" s="675"/>
      <c r="R8" s="675"/>
      <c r="S8" s="675"/>
      <c r="T8" s="675"/>
      <c r="U8" s="675"/>
      <c r="V8" s="675"/>
      <c r="W8" s="675"/>
      <c r="X8" s="675"/>
      <c r="Y8" s="675"/>
      <c r="Z8" s="675"/>
      <c r="AA8" s="675"/>
      <c r="AB8" s="676"/>
      <c r="AC8" s="738"/>
      <c r="AD8" s="739"/>
      <c r="AE8" s="676"/>
      <c r="AF8" s="676"/>
      <c r="AG8" s="676"/>
      <c r="AH8" s="740"/>
    </row>
    <row r="9" spans="1:85" s="735" customFormat="1">
      <c r="A9" s="731" t="s">
        <v>1075</v>
      </c>
      <c r="B9" s="732"/>
      <c r="C9" s="617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30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30">
        <v>4999843</v>
      </c>
      <c r="AC9" s="655">
        <v>4999843</v>
      </c>
      <c r="AD9" s="733"/>
      <c r="AE9" s="630"/>
      <c r="AF9" s="630"/>
      <c r="AG9" s="630"/>
      <c r="AH9" s="734"/>
    </row>
    <row r="10" spans="1:85" s="736" customFormat="1">
      <c r="A10" s="620" t="s">
        <v>1072</v>
      </c>
      <c r="B10" s="630"/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30"/>
      <c r="P10" s="620"/>
      <c r="Q10" s="620"/>
      <c r="R10" s="620">
        <v>2351250</v>
      </c>
      <c r="S10" s="620"/>
      <c r="T10" s="620"/>
      <c r="U10" s="620"/>
      <c r="V10" s="620"/>
      <c r="W10" s="620"/>
      <c r="X10" s="620"/>
      <c r="Y10" s="620"/>
      <c r="Z10" s="620"/>
      <c r="AA10" s="620"/>
      <c r="AB10" s="630">
        <f>SUM(O10,P10:AA10)</f>
        <v>2351250</v>
      </c>
      <c r="AC10" s="655">
        <v>4999843</v>
      </c>
      <c r="AD10" s="733"/>
      <c r="AE10" s="630"/>
      <c r="AF10" s="630"/>
      <c r="AG10" s="630"/>
      <c r="AH10" s="734"/>
    </row>
    <row r="11" spans="1:85" s="736" customFormat="1">
      <c r="A11" s="620"/>
      <c r="B11" s="630"/>
      <c r="C11" s="620"/>
      <c r="D11" s="620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3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30"/>
      <c r="AC11" s="655"/>
      <c r="AD11" s="733"/>
      <c r="AE11" s="630"/>
      <c r="AF11" s="630"/>
      <c r="AG11" s="630"/>
      <c r="AH11" s="734"/>
    </row>
    <row r="12" spans="1:85" s="741" customFormat="1">
      <c r="A12" s="675" t="s">
        <v>1078</v>
      </c>
      <c r="B12" s="676"/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6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6"/>
      <c r="AC12" s="738"/>
      <c r="AD12" s="739"/>
      <c r="AE12" s="676"/>
      <c r="AF12" s="676"/>
      <c r="AG12" s="676"/>
      <c r="AH12" s="740"/>
    </row>
    <row r="13" spans="1:85" s="735" customFormat="1">
      <c r="A13" s="731" t="s">
        <v>1075</v>
      </c>
      <c r="B13" s="732"/>
      <c r="C13" s="617"/>
      <c r="D13" s="617"/>
      <c r="E13" s="617"/>
      <c r="F13" s="617"/>
      <c r="G13" s="617"/>
      <c r="H13" s="617"/>
      <c r="I13" s="617"/>
      <c r="J13" s="617"/>
      <c r="K13" s="617"/>
      <c r="L13" s="617"/>
      <c r="M13" s="617"/>
      <c r="N13" s="617"/>
      <c r="O13" s="630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  <c r="AB13" s="630">
        <v>4918750</v>
      </c>
      <c r="AC13" s="655">
        <v>4918750</v>
      </c>
      <c r="AD13" s="733"/>
      <c r="AE13" s="630"/>
      <c r="AF13" s="630"/>
      <c r="AG13" s="630"/>
      <c r="AH13" s="734"/>
    </row>
    <row r="14" spans="1:85" s="736" customFormat="1">
      <c r="A14" s="620" t="s">
        <v>1072</v>
      </c>
      <c r="B14" s="630"/>
      <c r="C14" s="620"/>
      <c r="D14" s="620"/>
      <c r="E14" s="620"/>
      <c r="F14" s="620"/>
      <c r="G14" s="620"/>
      <c r="H14" s="620"/>
      <c r="I14" s="620"/>
      <c r="J14" s="620"/>
      <c r="K14" s="620">
        <v>1378125</v>
      </c>
      <c r="L14" s="620"/>
      <c r="M14" s="620"/>
      <c r="N14" s="620"/>
      <c r="O14" s="630">
        <f>SUM(H14:N14)</f>
        <v>1378125</v>
      </c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30">
        <f>SUM(O14,P14:AA14)</f>
        <v>1378125</v>
      </c>
      <c r="AC14" s="655">
        <f>AB13-AB14</f>
        <v>3540625</v>
      </c>
      <c r="AD14" s="733"/>
      <c r="AE14" s="630"/>
      <c r="AF14" s="630"/>
      <c r="AG14" s="630"/>
      <c r="AH14" s="734"/>
    </row>
    <row r="15" spans="1:85" s="736" customFormat="1">
      <c r="A15" s="620"/>
      <c r="B15" s="630"/>
      <c r="C15" s="620"/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3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30"/>
      <c r="AC15" s="655"/>
      <c r="AD15" s="733"/>
      <c r="AE15" s="630"/>
      <c r="AF15" s="630"/>
      <c r="AG15" s="630"/>
      <c r="AH15" s="734"/>
    </row>
    <row r="16" spans="1:85" s="741" customFormat="1">
      <c r="A16" s="675" t="s">
        <v>1073</v>
      </c>
      <c r="B16" s="676"/>
      <c r="C16" s="675"/>
      <c r="D16" s="675"/>
      <c r="E16" s="675"/>
      <c r="F16" s="675"/>
      <c r="G16" s="675"/>
      <c r="H16" s="675"/>
      <c r="I16" s="675"/>
      <c r="J16" s="675"/>
      <c r="K16" s="675"/>
      <c r="L16" s="675"/>
      <c r="M16" s="675"/>
      <c r="N16" s="675"/>
      <c r="O16" s="676"/>
      <c r="P16" s="675"/>
      <c r="Q16" s="675"/>
      <c r="R16" s="675"/>
      <c r="S16" s="675"/>
      <c r="T16" s="675"/>
      <c r="U16" s="675"/>
      <c r="V16" s="675"/>
      <c r="W16" s="675"/>
      <c r="X16" s="675"/>
      <c r="Y16" s="675"/>
      <c r="Z16" s="675"/>
      <c r="AA16" s="675"/>
      <c r="AB16" s="676"/>
      <c r="AC16" s="738"/>
      <c r="AD16" s="733"/>
      <c r="AE16" s="630"/>
      <c r="AF16" s="630"/>
      <c r="AG16" s="630"/>
      <c r="AH16" s="734"/>
    </row>
    <row r="17" spans="1:34" s="735" customFormat="1">
      <c r="A17" s="731" t="s">
        <v>1077</v>
      </c>
      <c r="B17" s="732"/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30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30">
        <f>SUM(O17,P17:AA17)</f>
        <v>0</v>
      </c>
      <c r="AC17" s="655"/>
      <c r="AD17" s="733">
        <f>4743750/2</f>
        <v>2371875</v>
      </c>
      <c r="AE17" s="630">
        <f>AD17</f>
        <v>2371875</v>
      </c>
      <c r="AF17" s="630"/>
      <c r="AG17" s="630"/>
      <c r="AH17" s="734"/>
    </row>
    <row r="18" spans="1:34" s="736" customFormat="1">
      <c r="A18" s="620"/>
      <c r="B18" s="630"/>
      <c r="C18" s="620"/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3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30"/>
      <c r="AC18" s="655"/>
      <c r="AD18" s="733"/>
      <c r="AE18" s="630"/>
      <c r="AF18" s="630"/>
      <c r="AG18" s="630"/>
      <c r="AH18" s="734"/>
    </row>
    <row r="19" spans="1:34" s="736" customFormat="1">
      <c r="A19" s="620"/>
      <c r="B19" s="630"/>
      <c r="C19" s="620"/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3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30"/>
      <c r="AC19" s="655"/>
      <c r="AD19" s="733"/>
      <c r="AE19" s="630"/>
      <c r="AF19" s="630"/>
      <c r="AG19" s="630"/>
      <c r="AH19" s="734"/>
    </row>
    <row r="20" spans="1:34" s="741" customFormat="1">
      <c r="A20" s="675" t="s">
        <v>1074</v>
      </c>
      <c r="B20" s="676"/>
      <c r="C20" s="675"/>
      <c r="D20" s="675"/>
      <c r="E20" s="675"/>
      <c r="F20" s="675"/>
      <c r="G20" s="675"/>
      <c r="H20" s="675"/>
      <c r="I20" s="675"/>
      <c r="J20" s="675"/>
      <c r="K20" s="675"/>
      <c r="L20" s="675"/>
      <c r="M20" s="675"/>
      <c r="N20" s="675"/>
      <c r="O20" s="676"/>
      <c r="P20" s="675"/>
      <c r="Q20" s="675"/>
      <c r="R20" s="675"/>
      <c r="S20" s="675"/>
      <c r="T20" s="675"/>
      <c r="U20" s="675"/>
      <c r="V20" s="675"/>
      <c r="W20" s="675"/>
      <c r="X20" s="675"/>
      <c r="Y20" s="675"/>
      <c r="Z20" s="675"/>
      <c r="AA20" s="675"/>
      <c r="AB20" s="676"/>
      <c r="AC20" s="738"/>
      <c r="AD20" s="733"/>
      <c r="AE20" s="630"/>
      <c r="AF20" s="630"/>
      <c r="AG20" s="630"/>
      <c r="AH20" s="734"/>
    </row>
    <row r="21" spans="1:34" s="735" customFormat="1">
      <c r="A21" s="731" t="s">
        <v>1076</v>
      </c>
      <c r="B21" s="732"/>
      <c r="C21" s="617"/>
      <c r="D21" s="617"/>
      <c r="E21" s="617"/>
      <c r="F21" s="617"/>
      <c r="G21" s="617"/>
      <c r="H21" s="617"/>
      <c r="I21" s="617"/>
      <c r="J21" s="617"/>
      <c r="K21" s="617"/>
      <c r="L21" s="617"/>
      <c r="M21" s="617"/>
      <c r="N21" s="617"/>
      <c r="O21" s="630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17"/>
      <c r="AA21" s="617"/>
      <c r="AB21" s="630">
        <f>SUM(O21,P21:AA21)</f>
        <v>0</v>
      </c>
      <c r="AC21" s="655"/>
      <c r="AD21" s="733">
        <f>4944375/2</f>
        <v>2472187.5</v>
      </c>
      <c r="AE21" s="630">
        <f>AD21</f>
        <v>2472187.5</v>
      </c>
      <c r="AF21" s="630"/>
      <c r="AG21" s="630"/>
      <c r="AH21" s="734"/>
    </row>
    <row r="22" spans="1:34" s="736" customFormat="1">
      <c r="A22" s="620"/>
      <c r="B22" s="630"/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3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30"/>
      <c r="AC22" s="655"/>
      <c r="AD22" s="733"/>
      <c r="AE22" s="630"/>
      <c r="AF22" s="630"/>
      <c r="AG22" s="630"/>
      <c r="AH22" s="734"/>
    </row>
    <row r="23" spans="1:34" s="736" customFormat="1" ht="15.75" thickBot="1">
      <c r="A23" s="620"/>
      <c r="B23" s="63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3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30"/>
      <c r="AC23" s="655"/>
      <c r="AD23" s="747"/>
      <c r="AE23" s="748"/>
      <c r="AF23" s="748"/>
      <c r="AG23" s="748"/>
      <c r="AH23" s="749"/>
    </row>
    <row r="24" spans="1:34" s="737" customFormat="1">
      <c r="A24" s="742"/>
      <c r="B24" s="743"/>
      <c r="C24" s="744"/>
      <c r="D24" s="744"/>
      <c r="E24" s="744"/>
      <c r="F24" s="744"/>
      <c r="G24" s="744"/>
      <c r="H24" s="744"/>
      <c r="I24" s="744"/>
      <c r="J24" s="744"/>
      <c r="K24" s="744"/>
      <c r="L24" s="744"/>
      <c r="M24" s="744"/>
      <c r="N24" s="744"/>
      <c r="O24" s="745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5"/>
      <c r="AC24" s="743"/>
      <c r="AD24" s="743"/>
      <c r="AE24" s="743"/>
      <c r="AF24" s="743"/>
      <c r="AG24" s="743"/>
      <c r="AH24" s="743"/>
    </row>
    <row r="25" spans="1:34" s="737" customFormat="1">
      <c r="A25" s="742"/>
      <c r="B25" s="743"/>
      <c r="C25" s="744"/>
      <c r="D25" s="744"/>
      <c r="E25" s="744"/>
      <c r="F25" s="744"/>
      <c r="G25" s="744"/>
      <c r="H25" s="744"/>
      <c r="I25" s="744"/>
      <c r="J25" s="744"/>
      <c r="K25" s="744"/>
      <c r="L25" s="744"/>
      <c r="M25" s="744"/>
      <c r="N25" s="744"/>
      <c r="O25" s="745"/>
      <c r="P25" s="744"/>
      <c r="Q25" s="744"/>
      <c r="R25" s="744"/>
      <c r="S25" s="744"/>
      <c r="T25" s="744"/>
      <c r="U25" s="744"/>
      <c r="V25" s="744"/>
      <c r="W25" s="744"/>
      <c r="X25" s="744"/>
      <c r="Y25" s="744"/>
      <c r="Z25" s="744"/>
      <c r="AA25" s="744"/>
      <c r="AB25" s="745"/>
      <c r="AC25" s="743"/>
      <c r="AD25" s="743"/>
      <c r="AE25" s="743"/>
      <c r="AF25" s="743"/>
      <c r="AG25" s="743"/>
      <c r="AH25" s="743"/>
    </row>
    <row r="26" spans="1:34" s="737" customFormat="1">
      <c r="A26" s="742"/>
      <c r="B26" s="743"/>
      <c r="C26" s="744"/>
      <c r="D26" s="744"/>
      <c r="E26" s="744"/>
      <c r="F26" s="744"/>
      <c r="G26" s="744"/>
      <c r="H26" s="744"/>
      <c r="I26" s="744"/>
      <c r="J26" s="744"/>
      <c r="K26" s="744"/>
      <c r="L26" s="744"/>
      <c r="M26" s="744"/>
      <c r="N26" s="744"/>
      <c r="O26" s="745"/>
      <c r="P26" s="744"/>
      <c r="Q26" s="744"/>
      <c r="R26" s="744"/>
      <c r="S26" s="744"/>
      <c r="T26" s="744"/>
      <c r="U26" s="744"/>
      <c r="V26" s="744"/>
      <c r="W26" s="744"/>
      <c r="X26" s="744"/>
      <c r="Y26" s="744"/>
      <c r="Z26" s="744"/>
      <c r="AA26" s="744"/>
      <c r="AB26" s="745"/>
      <c r="AC26" s="743"/>
      <c r="AD26" s="743"/>
      <c r="AE26" s="743"/>
      <c r="AF26" s="743"/>
      <c r="AG26" s="743"/>
      <c r="AH26" s="743"/>
    </row>
    <row r="27" spans="1:34" s="737" customFormat="1">
      <c r="A27" s="742"/>
      <c r="B27" s="743"/>
      <c r="C27" s="744"/>
      <c r="D27" s="744"/>
      <c r="E27" s="744"/>
      <c r="F27" s="744"/>
      <c r="G27" s="744"/>
      <c r="H27" s="744"/>
      <c r="I27" s="744"/>
      <c r="J27" s="744"/>
      <c r="K27" s="744"/>
      <c r="L27" s="744"/>
      <c r="M27" s="744"/>
      <c r="N27" s="744"/>
      <c r="O27" s="745"/>
      <c r="P27" s="744"/>
      <c r="Q27" s="744"/>
      <c r="R27" s="744"/>
      <c r="S27" s="744"/>
      <c r="T27" s="744"/>
      <c r="U27" s="744"/>
      <c r="V27" s="744"/>
      <c r="W27" s="744"/>
      <c r="X27" s="744"/>
      <c r="Y27" s="744"/>
      <c r="Z27" s="744"/>
      <c r="AA27" s="744"/>
      <c r="AB27" s="745"/>
      <c r="AC27" s="743"/>
      <c r="AD27" s="743"/>
      <c r="AE27" s="743"/>
      <c r="AF27" s="743"/>
      <c r="AG27" s="743"/>
      <c r="AH27" s="743"/>
    </row>
    <row r="28" spans="1:34" s="737" customFormat="1">
      <c r="A28" s="742"/>
      <c r="B28" s="743"/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5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4"/>
      <c r="AA28" s="744"/>
      <c r="AB28" s="745"/>
      <c r="AC28" s="743"/>
      <c r="AD28" s="743"/>
      <c r="AE28" s="743"/>
      <c r="AF28" s="743"/>
      <c r="AG28" s="743"/>
      <c r="AH28" s="743"/>
    </row>
    <row r="29" spans="1:34" s="737" customFormat="1">
      <c r="A29" s="742"/>
      <c r="B29" s="743"/>
      <c r="C29" s="744"/>
      <c r="D29" s="744"/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5"/>
      <c r="P29" s="744"/>
      <c r="Q29" s="744"/>
      <c r="R29" s="744"/>
      <c r="S29" s="744"/>
      <c r="T29" s="744"/>
      <c r="U29" s="744"/>
      <c r="V29" s="744"/>
      <c r="W29" s="744"/>
      <c r="X29" s="744"/>
      <c r="Y29" s="744"/>
      <c r="Z29" s="744"/>
      <c r="AA29" s="744"/>
      <c r="AB29" s="745"/>
      <c r="AC29" s="743"/>
      <c r="AD29" s="743"/>
      <c r="AE29" s="743"/>
      <c r="AF29" s="743"/>
      <c r="AG29" s="743"/>
      <c r="AH29" s="743"/>
    </row>
    <row r="30" spans="1:34" s="737" customFormat="1">
      <c r="A30" s="742"/>
      <c r="B30" s="743"/>
      <c r="C30" s="744"/>
      <c r="D30" s="744"/>
      <c r="E30" s="744"/>
      <c r="F30" s="744"/>
      <c r="G30" s="744"/>
      <c r="H30" s="744"/>
      <c r="I30" s="744"/>
      <c r="J30" s="744"/>
      <c r="K30" s="744"/>
      <c r="L30" s="744"/>
      <c r="M30" s="744"/>
      <c r="N30" s="744"/>
      <c r="O30" s="745"/>
      <c r="P30" s="744"/>
      <c r="Q30" s="744"/>
      <c r="R30" s="744"/>
      <c r="S30" s="744"/>
      <c r="T30" s="744"/>
      <c r="U30" s="744"/>
      <c r="V30" s="744"/>
      <c r="W30" s="744"/>
      <c r="X30" s="744"/>
      <c r="Y30" s="744"/>
      <c r="Z30" s="744"/>
      <c r="AA30" s="744"/>
      <c r="AB30" s="745"/>
      <c r="AC30" s="743"/>
      <c r="AD30" s="743"/>
      <c r="AE30" s="743"/>
      <c r="AF30" s="743"/>
      <c r="AG30" s="743"/>
      <c r="AH30" s="743"/>
    </row>
    <row r="31" spans="1:34" s="737" customFormat="1">
      <c r="A31" s="742"/>
      <c r="B31" s="743"/>
      <c r="C31" s="744"/>
      <c r="D31" s="744"/>
      <c r="E31" s="744"/>
      <c r="F31" s="744"/>
      <c r="G31" s="744"/>
      <c r="H31" s="744"/>
      <c r="I31" s="744"/>
      <c r="J31" s="744"/>
      <c r="K31" s="744"/>
      <c r="L31" s="744"/>
      <c r="M31" s="744"/>
      <c r="N31" s="744"/>
      <c r="O31" s="745"/>
      <c r="P31" s="744"/>
      <c r="Q31" s="744"/>
      <c r="R31" s="744"/>
      <c r="S31" s="744"/>
      <c r="T31" s="744"/>
      <c r="U31" s="744"/>
      <c r="V31" s="744"/>
      <c r="W31" s="744"/>
      <c r="X31" s="744"/>
      <c r="Y31" s="744"/>
      <c r="Z31" s="744"/>
      <c r="AA31" s="744"/>
      <c r="AB31" s="745"/>
      <c r="AC31" s="743"/>
      <c r="AD31" s="743"/>
      <c r="AE31" s="743"/>
      <c r="AF31" s="743"/>
      <c r="AG31" s="743"/>
      <c r="AH31" s="743"/>
    </row>
    <row r="32" spans="1:34" s="737" customFormat="1">
      <c r="A32" s="742"/>
      <c r="B32" s="743"/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5"/>
      <c r="P32" s="744"/>
      <c r="Q32" s="744"/>
      <c r="R32" s="744"/>
      <c r="S32" s="744"/>
      <c r="T32" s="744"/>
      <c r="U32" s="744"/>
      <c r="V32" s="744"/>
      <c r="W32" s="744"/>
      <c r="X32" s="744"/>
      <c r="Y32" s="744"/>
      <c r="Z32" s="744"/>
      <c r="AA32" s="744"/>
      <c r="AB32" s="745"/>
      <c r="AC32" s="743"/>
      <c r="AD32" s="743"/>
      <c r="AE32" s="743"/>
      <c r="AF32" s="743"/>
      <c r="AG32" s="743"/>
      <c r="AH32" s="743"/>
    </row>
    <row r="33" spans="1:34" s="737" customFormat="1">
      <c r="A33" s="742"/>
      <c r="B33" s="743"/>
      <c r="C33" s="744"/>
      <c r="D33" s="744"/>
      <c r="E33" s="744"/>
      <c r="F33" s="744"/>
      <c r="G33" s="744"/>
      <c r="H33" s="744"/>
      <c r="I33" s="744"/>
      <c r="J33" s="744"/>
      <c r="K33" s="744"/>
      <c r="L33" s="744"/>
      <c r="M33" s="744"/>
      <c r="N33" s="744"/>
      <c r="O33" s="745"/>
      <c r="P33" s="744"/>
      <c r="Q33" s="744"/>
      <c r="R33" s="744"/>
      <c r="S33" s="744"/>
      <c r="T33" s="744"/>
      <c r="U33" s="744"/>
      <c r="V33" s="744"/>
      <c r="W33" s="744"/>
      <c r="X33" s="744"/>
      <c r="Y33" s="744"/>
      <c r="Z33" s="744"/>
      <c r="AA33" s="744"/>
      <c r="AB33" s="745"/>
      <c r="AC33" s="743"/>
      <c r="AD33" s="743"/>
      <c r="AE33" s="743"/>
      <c r="AF33" s="743"/>
      <c r="AG33" s="743"/>
      <c r="AH33" s="743"/>
    </row>
    <row r="34" spans="1:34" s="737" customFormat="1">
      <c r="A34" s="742"/>
      <c r="B34" s="743"/>
      <c r="C34" s="744"/>
      <c r="D34" s="744"/>
      <c r="E34" s="744"/>
      <c r="F34" s="744"/>
      <c r="G34" s="744"/>
      <c r="H34" s="744"/>
      <c r="I34" s="744"/>
      <c r="J34" s="744"/>
      <c r="K34" s="744"/>
      <c r="L34" s="744"/>
      <c r="M34" s="744"/>
      <c r="N34" s="744"/>
      <c r="O34" s="745"/>
      <c r="P34" s="744"/>
      <c r="Q34" s="744"/>
      <c r="R34" s="744"/>
      <c r="S34" s="744"/>
      <c r="T34" s="744"/>
      <c r="U34" s="744"/>
      <c r="V34" s="744"/>
      <c r="W34" s="744"/>
      <c r="X34" s="744"/>
      <c r="Y34" s="744"/>
      <c r="Z34" s="744"/>
      <c r="AA34" s="744"/>
      <c r="AB34" s="745"/>
      <c r="AC34" s="743"/>
      <c r="AD34" s="743"/>
      <c r="AE34" s="743"/>
      <c r="AF34" s="743"/>
      <c r="AG34" s="743"/>
      <c r="AH34" s="743"/>
    </row>
    <row r="35" spans="1:34" s="737" customFormat="1">
      <c r="A35" s="742"/>
      <c r="B35" s="743"/>
      <c r="C35" s="744"/>
      <c r="D35" s="744"/>
      <c r="E35" s="744"/>
      <c r="F35" s="744"/>
      <c r="G35" s="744"/>
      <c r="H35" s="744"/>
      <c r="I35" s="744"/>
      <c r="J35" s="744"/>
      <c r="K35" s="744"/>
      <c r="L35" s="744"/>
      <c r="M35" s="744"/>
      <c r="N35" s="744"/>
      <c r="O35" s="745"/>
      <c r="P35" s="744"/>
      <c r="Q35" s="744"/>
      <c r="R35" s="744"/>
      <c r="S35" s="744"/>
      <c r="T35" s="744"/>
      <c r="U35" s="744"/>
      <c r="V35" s="744"/>
      <c r="W35" s="744"/>
      <c r="X35" s="744"/>
      <c r="Y35" s="744"/>
      <c r="Z35" s="744"/>
      <c r="AA35" s="744"/>
      <c r="AB35" s="745"/>
      <c r="AC35" s="743"/>
      <c r="AD35" s="743"/>
      <c r="AE35" s="743"/>
      <c r="AF35" s="743"/>
      <c r="AG35" s="743"/>
      <c r="AH35" s="743"/>
    </row>
    <row r="36" spans="1:34" s="737" customFormat="1">
      <c r="A36" s="742"/>
      <c r="B36" s="743"/>
      <c r="C36" s="744"/>
      <c r="D36" s="744"/>
      <c r="E36" s="744"/>
      <c r="F36" s="744"/>
      <c r="G36" s="744"/>
      <c r="H36" s="744"/>
      <c r="I36" s="744"/>
      <c r="J36" s="744"/>
      <c r="K36" s="744"/>
      <c r="L36" s="744"/>
      <c r="M36" s="744"/>
      <c r="N36" s="744"/>
      <c r="O36" s="745"/>
      <c r="P36" s="744"/>
      <c r="Q36" s="744"/>
      <c r="R36" s="744"/>
      <c r="S36" s="744"/>
      <c r="T36" s="744"/>
      <c r="U36" s="744"/>
      <c r="V36" s="744"/>
      <c r="W36" s="744"/>
      <c r="X36" s="744"/>
      <c r="Y36" s="744"/>
      <c r="Z36" s="744"/>
      <c r="AA36" s="744"/>
      <c r="AB36" s="745"/>
      <c r="AC36" s="743"/>
      <c r="AD36" s="743"/>
      <c r="AE36" s="743"/>
      <c r="AF36" s="743"/>
      <c r="AG36" s="743"/>
      <c r="AH36" s="743"/>
    </row>
    <row r="37" spans="1:34" s="737" customFormat="1">
      <c r="A37" s="742"/>
      <c r="B37" s="743"/>
      <c r="C37" s="744"/>
      <c r="D37" s="744"/>
      <c r="E37" s="744"/>
      <c r="F37" s="744"/>
      <c r="G37" s="744"/>
      <c r="H37" s="744"/>
      <c r="I37" s="744"/>
      <c r="J37" s="744"/>
      <c r="K37" s="744"/>
      <c r="L37" s="744"/>
      <c r="M37" s="744"/>
      <c r="N37" s="744"/>
      <c r="O37" s="745"/>
      <c r="P37" s="744"/>
      <c r="Q37" s="744"/>
      <c r="R37" s="744"/>
      <c r="S37" s="744"/>
      <c r="T37" s="744"/>
      <c r="U37" s="744"/>
      <c r="V37" s="744"/>
      <c r="W37" s="744"/>
      <c r="X37" s="744"/>
      <c r="Y37" s="744"/>
      <c r="Z37" s="744"/>
      <c r="AA37" s="744"/>
      <c r="AB37" s="745"/>
      <c r="AC37" s="743"/>
      <c r="AD37" s="743"/>
      <c r="AE37" s="743"/>
      <c r="AF37" s="743"/>
      <c r="AG37" s="743"/>
      <c r="AH37" s="743"/>
    </row>
    <row r="38" spans="1:34" s="737" customFormat="1">
      <c r="A38" s="742"/>
      <c r="B38" s="743"/>
      <c r="C38" s="744"/>
      <c r="D38" s="744"/>
      <c r="E38" s="744"/>
      <c r="F38" s="744"/>
      <c r="G38" s="744"/>
      <c r="H38" s="744"/>
      <c r="I38" s="744"/>
      <c r="J38" s="744"/>
      <c r="K38" s="744"/>
      <c r="L38" s="744"/>
      <c r="M38" s="744"/>
      <c r="N38" s="744"/>
      <c r="O38" s="745"/>
      <c r="P38" s="744"/>
      <c r="Q38" s="744"/>
      <c r="R38" s="744"/>
      <c r="S38" s="744"/>
      <c r="T38" s="744"/>
      <c r="U38" s="744"/>
      <c r="V38" s="744"/>
      <c r="W38" s="744"/>
      <c r="X38" s="744"/>
      <c r="Y38" s="744"/>
      <c r="Z38" s="744"/>
      <c r="AA38" s="744"/>
      <c r="AB38" s="745"/>
      <c r="AC38" s="743"/>
      <c r="AD38" s="743"/>
      <c r="AE38" s="743"/>
      <c r="AF38" s="743"/>
      <c r="AG38" s="743"/>
      <c r="AH38" s="743"/>
    </row>
    <row r="39" spans="1:34" s="737" customFormat="1">
      <c r="A39" s="742"/>
      <c r="B39" s="743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4"/>
      <c r="N39" s="744"/>
      <c r="O39" s="745"/>
      <c r="P39" s="744"/>
      <c r="Q39" s="744"/>
      <c r="R39" s="744"/>
      <c r="S39" s="744"/>
      <c r="T39" s="744"/>
      <c r="U39" s="744"/>
      <c r="V39" s="744"/>
      <c r="W39" s="744"/>
      <c r="X39" s="744"/>
      <c r="Y39" s="744"/>
      <c r="Z39" s="744"/>
      <c r="AA39" s="744"/>
      <c r="AB39" s="745"/>
      <c r="AC39" s="743"/>
      <c r="AD39" s="743"/>
      <c r="AE39" s="743"/>
      <c r="AF39" s="743"/>
      <c r="AG39" s="743"/>
      <c r="AH39" s="743"/>
    </row>
    <row r="40" spans="1:34" s="737" customFormat="1">
      <c r="A40" s="742"/>
      <c r="B40" s="743"/>
      <c r="C40" s="744"/>
      <c r="D40" s="744"/>
      <c r="E40" s="744"/>
      <c r="F40" s="744"/>
      <c r="G40" s="744"/>
      <c r="H40" s="744"/>
      <c r="I40" s="744"/>
      <c r="J40" s="744"/>
      <c r="K40" s="744"/>
      <c r="L40" s="744"/>
      <c r="M40" s="744"/>
      <c r="N40" s="744"/>
      <c r="O40" s="745"/>
      <c r="P40" s="744"/>
      <c r="Q40" s="744"/>
      <c r="R40" s="744"/>
      <c r="S40" s="744"/>
      <c r="T40" s="744"/>
      <c r="U40" s="744"/>
      <c r="V40" s="744"/>
      <c r="W40" s="744"/>
      <c r="X40" s="744"/>
      <c r="Y40" s="744"/>
      <c r="Z40" s="744"/>
      <c r="AA40" s="744"/>
      <c r="AB40" s="745"/>
      <c r="AC40" s="743"/>
      <c r="AD40" s="743"/>
      <c r="AE40" s="743"/>
      <c r="AF40" s="743"/>
      <c r="AG40" s="743"/>
      <c r="AH40" s="743"/>
    </row>
    <row r="41" spans="1:34" s="737" customFormat="1">
      <c r="A41" s="742"/>
      <c r="B41" s="743"/>
      <c r="C41" s="744"/>
      <c r="D41" s="744"/>
      <c r="E41" s="744"/>
      <c r="F41" s="744"/>
      <c r="G41" s="744"/>
      <c r="H41" s="744"/>
      <c r="I41" s="744"/>
      <c r="J41" s="744"/>
      <c r="K41" s="744"/>
      <c r="L41" s="744"/>
      <c r="M41" s="744"/>
      <c r="N41" s="744"/>
      <c r="O41" s="745"/>
      <c r="P41" s="744"/>
      <c r="Q41" s="744"/>
      <c r="R41" s="744"/>
      <c r="S41" s="744"/>
      <c r="T41" s="744"/>
      <c r="U41" s="744"/>
      <c r="V41" s="744"/>
      <c r="W41" s="744"/>
      <c r="X41" s="744"/>
      <c r="Y41" s="744"/>
      <c r="Z41" s="744"/>
      <c r="AA41" s="744"/>
      <c r="AB41" s="745"/>
      <c r="AC41" s="743"/>
      <c r="AD41" s="743"/>
      <c r="AE41" s="743"/>
      <c r="AF41" s="743"/>
      <c r="AG41" s="743"/>
      <c r="AH41" s="743"/>
    </row>
    <row r="42" spans="1:34" s="737" customFormat="1">
      <c r="A42" s="742"/>
      <c r="B42" s="743"/>
      <c r="C42" s="744"/>
      <c r="D42" s="744"/>
      <c r="E42" s="744"/>
      <c r="F42" s="744"/>
      <c r="G42" s="744"/>
      <c r="H42" s="744"/>
      <c r="I42" s="744"/>
      <c r="J42" s="744"/>
      <c r="K42" s="744"/>
      <c r="L42" s="744"/>
      <c r="M42" s="744"/>
      <c r="N42" s="744"/>
      <c r="O42" s="745"/>
      <c r="P42" s="744"/>
      <c r="Q42" s="744"/>
      <c r="R42" s="744"/>
      <c r="S42" s="744"/>
      <c r="T42" s="744"/>
      <c r="U42" s="744"/>
      <c r="V42" s="744"/>
      <c r="W42" s="744"/>
      <c r="X42" s="744"/>
      <c r="Y42" s="744"/>
      <c r="Z42" s="744"/>
      <c r="AA42" s="744"/>
      <c r="AB42" s="745"/>
      <c r="AC42" s="743"/>
      <c r="AD42" s="743"/>
      <c r="AE42" s="743"/>
      <c r="AF42" s="743"/>
      <c r="AG42" s="743"/>
      <c r="AH42" s="743"/>
    </row>
    <row r="43" spans="1:34" s="737" customFormat="1">
      <c r="A43" s="742"/>
      <c r="B43" s="743"/>
      <c r="C43" s="744"/>
      <c r="D43" s="744"/>
      <c r="E43" s="744"/>
      <c r="F43" s="744"/>
      <c r="G43" s="744"/>
      <c r="H43" s="744"/>
      <c r="I43" s="744"/>
      <c r="J43" s="744"/>
      <c r="K43" s="744"/>
      <c r="L43" s="744"/>
      <c r="M43" s="744"/>
      <c r="N43" s="744"/>
      <c r="O43" s="745"/>
      <c r="P43" s="744"/>
      <c r="Q43" s="744"/>
      <c r="R43" s="744"/>
      <c r="S43" s="744"/>
      <c r="T43" s="744"/>
      <c r="U43" s="744"/>
      <c r="V43" s="744"/>
      <c r="W43" s="744"/>
      <c r="X43" s="744"/>
      <c r="Y43" s="744"/>
      <c r="Z43" s="744"/>
      <c r="AA43" s="744"/>
      <c r="AB43" s="745"/>
      <c r="AC43" s="743"/>
      <c r="AD43" s="743"/>
      <c r="AE43" s="743"/>
      <c r="AF43" s="743"/>
      <c r="AG43" s="743"/>
      <c r="AH43" s="743"/>
    </row>
    <row r="44" spans="1:34" s="737" customFormat="1">
      <c r="A44" s="742"/>
      <c r="B44" s="743"/>
      <c r="C44" s="744"/>
      <c r="D44" s="744"/>
      <c r="E44" s="744"/>
      <c r="F44" s="744"/>
      <c r="G44" s="744"/>
      <c r="H44" s="744"/>
      <c r="I44" s="744"/>
      <c r="J44" s="744"/>
      <c r="K44" s="744"/>
      <c r="L44" s="744"/>
      <c r="M44" s="744"/>
      <c r="N44" s="744"/>
      <c r="O44" s="745"/>
      <c r="P44" s="744"/>
      <c r="Q44" s="744"/>
      <c r="R44" s="744"/>
      <c r="S44" s="744"/>
      <c r="T44" s="744"/>
      <c r="U44" s="744"/>
      <c r="V44" s="744"/>
      <c r="W44" s="744"/>
      <c r="X44" s="744"/>
      <c r="Y44" s="744"/>
      <c r="Z44" s="744"/>
      <c r="AA44" s="744"/>
      <c r="AB44" s="745"/>
      <c r="AC44" s="743"/>
      <c r="AD44" s="743"/>
      <c r="AE44" s="743"/>
      <c r="AF44" s="743"/>
      <c r="AG44" s="743"/>
      <c r="AH44" s="743"/>
    </row>
    <row r="45" spans="1:34" s="737" customFormat="1">
      <c r="A45" s="742"/>
      <c r="B45" s="743"/>
      <c r="C45" s="744"/>
      <c r="D45" s="744"/>
      <c r="E45" s="744"/>
      <c r="F45" s="744"/>
      <c r="G45" s="744"/>
      <c r="H45" s="744"/>
      <c r="I45" s="744"/>
      <c r="J45" s="744"/>
      <c r="K45" s="744"/>
      <c r="L45" s="744"/>
      <c r="M45" s="744"/>
      <c r="N45" s="744"/>
      <c r="O45" s="745"/>
      <c r="P45" s="744"/>
      <c r="Q45" s="744"/>
      <c r="R45" s="744"/>
      <c r="S45" s="744"/>
      <c r="T45" s="744"/>
      <c r="U45" s="744"/>
      <c r="V45" s="744"/>
      <c r="W45" s="744"/>
      <c r="X45" s="744"/>
      <c r="Y45" s="744"/>
      <c r="Z45" s="744"/>
      <c r="AA45" s="744"/>
      <c r="AB45" s="745"/>
      <c r="AC45" s="743"/>
      <c r="AD45" s="743"/>
      <c r="AE45" s="743"/>
      <c r="AF45" s="743"/>
      <c r="AG45" s="743"/>
      <c r="AH45" s="743"/>
    </row>
    <row r="46" spans="1:34" s="737" customFormat="1">
      <c r="A46" s="742"/>
      <c r="B46" s="743"/>
      <c r="C46" s="744"/>
      <c r="D46" s="744"/>
      <c r="E46" s="744"/>
      <c r="F46" s="744"/>
      <c r="G46" s="744"/>
      <c r="H46" s="744"/>
      <c r="I46" s="744"/>
      <c r="J46" s="744"/>
      <c r="K46" s="744"/>
      <c r="L46" s="744"/>
      <c r="M46" s="744"/>
      <c r="N46" s="744"/>
      <c r="O46" s="745"/>
      <c r="P46" s="744"/>
      <c r="Q46" s="744"/>
      <c r="R46" s="744"/>
      <c r="S46" s="744"/>
      <c r="T46" s="744"/>
      <c r="U46" s="744"/>
      <c r="V46" s="744"/>
      <c r="W46" s="744"/>
      <c r="X46" s="744"/>
      <c r="Y46" s="744"/>
      <c r="Z46" s="744"/>
      <c r="AA46" s="744"/>
      <c r="AB46" s="745"/>
      <c r="AC46" s="743"/>
      <c r="AD46" s="743"/>
      <c r="AE46" s="743"/>
      <c r="AF46" s="743"/>
      <c r="AG46" s="743"/>
      <c r="AH46" s="743"/>
    </row>
    <row r="47" spans="1:34" s="737" customFormat="1">
      <c r="A47" s="742"/>
      <c r="B47" s="743"/>
      <c r="C47" s="744"/>
      <c r="D47" s="744"/>
      <c r="E47" s="744"/>
      <c r="F47" s="744"/>
      <c r="G47" s="744"/>
      <c r="H47" s="744"/>
      <c r="I47" s="744"/>
      <c r="J47" s="744"/>
      <c r="K47" s="744"/>
      <c r="L47" s="744"/>
      <c r="M47" s="744"/>
      <c r="N47" s="744"/>
      <c r="O47" s="745"/>
      <c r="P47" s="744"/>
      <c r="Q47" s="744"/>
      <c r="R47" s="744"/>
      <c r="S47" s="744"/>
      <c r="T47" s="744"/>
      <c r="U47" s="744"/>
      <c r="V47" s="744"/>
      <c r="W47" s="744"/>
      <c r="X47" s="744"/>
      <c r="Y47" s="744"/>
      <c r="Z47" s="744"/>
      <c r="AA47" s="744"/>
      <c r="AB47" s="745"/>
      <c r="AC47" s="743"/>
      <c r="AD47" s="743"/>
      <c r="AE47" s="743"/>
      <c r="AF47" s="743"/>
      <c r="AG47" s="743"/>
      <c r="AH47" s="743"/>
    </row>
    <row r="48" spans="1:34" s="737" customFormat="1">
      <c r="A48" s="742"/>
      <c r="B48" s="743"/>
      <c r="C48" s="744"/>
      <c r="D48" s="744"/>
      <c r="E48" s="744"/>
      <c r="F48" s="744"/>
      <c r="G48" s="744"/>
      <c r="H48" s="744"/>
      <c r="I48" s="744"/>
      <c r="J48" s="744"/>
      <c r="K48" s="744"/>
      <c r="L48" s="744"/>
      <c r="M48" s="744"/>
      <c r="N48" s="744"/>
      <c r="O48" s="745"/>
      <c r="P48" s="744"/>
      <c r="Q48" s="744"/>
      <c r="R48" s="744"/>
      <c r="S48" s="744"/>
      <c r="T48" s="744"/>
      <c r="U48" s="744"/>
      <c r="V48" s="744"/>
      <c r="W48" s="744"/>
      <c r="X48" s="744"/>
      <c r="Y48" s="744"/>
      <c r="Z48" s="744"/>
      <c r="AA48" s="744"/>
      <c r="AB48" s="745"/>
      <c r="AC48" s="743"/>
      <c r="AD48" s="743"/>
      <c r="AE48" s="743"/>
      <c r="AF48" s="743"/>
      <c r="AG48" s="743"/>
      <c r="AH48" s="743"/>
    </row>
    <row r="49" spans="1:34" s="737" customFormat="1">
      <c r="A49" s="742"/>
      <c r="B49" s="743"/>
      <c r="C49" s="744"/>
      <c r="D49" s="744"/>
      <c r="E49" s="744"/>
      <c r="F49" s="744"/>
      <c r="G49" s="744"/>
      <c r="H49" s="744"/>
      <c r="I49" s="744"/>
      <c r="J49" s="744"/>
      <c r="K49" s="744"/>
      <c r="L49" s="744"/>
      <c r="M49" s="744"/>
      <c r="N49" s="744"/>
      <c r="O49" s="745"/>
      <c r="P49" s="744"/>
      <c r="Q49" s="744"/>
      <c r="R49" s="744"/>
      <c r="S49" s="744"/>
      <c r="T49" s="744"/>
      <c r="U49" s="744"/>
      <c r="V49" s="744"/>
      <c r="W49" s="744"/>
      <c r="X49" s="744"/>
      <c r="Y49" s="744"/>
      <c r="Z49" s="744"/>
      <c r="AA49" s="744"/>
      <c r="AB49" s="745"/>
      <c r="AC49" s="743"/>
      <c r="AD49" s="743"/>
      <c r="AE49" s="743"/>
      <c r="AF49" s="743"/>
      <c r="AG49" s="743"/>
      <c r="AH49" s="743"/>
    </row>
    <row r="50" spans="1:34" s="737" customFormat="1">
      <c r="A50" s="742"/>
      <c r="B50" s="743"/>
      <c r="C50" s="744"/>
      <c r="D50" s="744"/>
      <c r="E50" s="744"/>
      <c r="F50" s="744"/>
      <c r="G50" s="744"/>
      <c r="H50" s="744"/>
      <c r="I50" s="744"/>
      <c r="J50" s="744"/>
      <c r="K50" s="744"/>
      <c r="L50" s="744"/>
      <c r="M50" s="744"/>
      <c r="N50" s="744"/>
      <c r="O50" s="745"/>
      <c r="P50" s="744"/>
      <c r="Q50" s="744"/>
      <c r="R50" s="744"/>
      <c r="S50" s="744"/>
      <c r="T50" s="744"/>
      <c r="U50" s="744"/>
      <c r="V50" s="744"/>
      <c r="W50" s="744"/>
      <c r="X50" s="744"/>
      <c r="Y50" s="744"/>
      <c r="Z50" s="744"/>
      <c r="AA50" s="744"/>
      <c r="AB50" s="745"/>
      <c r="AC50" s="743"/>
      <c r="AD50" s="743"/>
      <c r="AE50" s="743"/>
      <c r="AF50" s="743"/>
      <c r="AG50" s="743"/>
      <c r="AH50" s="743"/>
    </row>
    <row r="51" spans="1:34" s="737" customFormat="1">
      <c r="A51" s="742"/>
      <c r="B51" s="743"/>
      <c r="C51" s="744"/>
      <c r="D51" s="744"/>
      <c r="E51" s="744"/>
      <c r="F51" s="744"/>
      <c r="G51" s="744"/>
      <c r="H51" s="744"/>
      <c r="I51" s="744"/>
      <c r="J51" s="744"/>
      <c r="K51" s="744"/>
      <c r="L51" s="744"/>
      <c r="M51" s="744"/>
      <c r="N51" s="744"/>
      <c r="O51" s="745"/>
      <c r="P51" s="744"/>
      <c r="Q51" s="744"/>
      <c r="R51" s="744"/>
      <c r="S51" s="744"/>
      <c r="T51" s="744"/>
      <c r="U51" s="744"/>
      <c r="V51" s="744"/>
      <c r="W51" s="744"/>
      <c r="X51" s="744"/>
      <c r="Y51" s="744"/>
      <c r="Z51" s="744"/>
      <c r="AA51" s="744"/>
      <c r="AB51" s="745"/>
      <c r="AC51" s="743"/>
      <c r="AD51" s="743"/>
      <c r="AE51" s="743"/>
      <c r="AF51" s="743"/>
      <c r="AG51" s="743"/>
      <c r="AH51" s="743"/>
    </row>
    <row r="52" spans="1:34" s="737" customFormat="1">
      <c r="A52" s="742"/>
      <c r="B52" s="743"/>
      <c r="C52" s="744"/>
      <c r="D52" s="744"/>
      <c r="E52" s="744"/>
      <c r="F52" s="744"/>
      <c r="G52" s="744"/>
      <c r="H52" s="744"/>
      <c r="I52" s="744"/>
      <c r="J52" s="744"/>
      <c r="K52" s="744"/>
      <c r="L52" s="744"/>
      <c r="M52" s="744"/>
      <c r="N52" s="744"/>
      <c r="O52" s="745"/>
      <c r="P52" s="744"/>
      <c r="Q52" s="744"/>
      <c r="R52" s="744"/>
      <c r="S52" s="744"/>
      <c r="T52" s="744"/>
      <c r="U52" s="744"/>
      <c r="V52" s="744"/>
      <c r="W52" s="744"/>
      <c r="X52" s="744"/>
      <c r="Y52" s="744"/>
      <c r="Z52" s="744"/>
      <c r="AA52" s="744"/>
      <c r="AB52" s="745"/>
      <c r="AC52" s="743"/>
      <c r="AD52" s="743"/>
      <c r="AE52" s="743"/>
      <c r="AF52" s="743"/>
      <c r="AG52" s="743"/>
      <c r="AH52" s="743"/>
    </row>
    <row r="53" spans="1:34" s="737" customFormat="1">
      <c r="A53" s="742"/>
      <c r="B53" s="743"/>
      <c r="C53" s="744"/>
      <c r="D53" s="744"/>
      <c r="E53" s="744"/>
      <c r="F53" s="744"/>
      <c r="G53" s="744"/>
      <c r="H53" s="744"/>
      <c r="I53" s="744"/>
      <c r="J53" s="744"/>
      <c r="K53" s="744"/>
      <c r="L53" s="744"/>
      <c r="M53" s="744"/>
      <c r="N53" s="744"/>
      <c r="O53" s="745"/>
      <c r="P53" s="744"/>
      <c r="Q53" s="744"/>
      <c r="R53" s="744"/>
      <c r="S53" s="744"/>
      <c r="T53" s="744"/>
      <c r="U53" s="744"/>
      <c r="V53" s="744"/>
      <c r="W53" s="744"/>
      <c r="X53" s="744"/>
      <c r="Y53" s="744"/>
      <c r="Z53" s="744"/>
      <c r="AA53" s="744"/>
      <c r="AB53" s="745"/>
      <c r="AC53" s="743"/>
      <c r="AD53" s="743"/>
      <c r="AE53" s="743"/>
      <c r="AF53" s="743"/>
      <c r="AG53" s="743"/>
      <c r="AH53" s="743"/>
    </row>
    <row r="55" spans="1:34">
      <c r="C55" s="695"/>
      <c r="D55" s="695"/>
      <c r="E55" s="695"/>
      <c r="F55" s="695"/>
      <c r="G55" s="695"/>
      <c r="H55" s="695" t="s">
        <v>968</v>
      </c>
      <c r="I55" s="696"/>
      <c r="J55" s="696"/>
      <c r="K55" s="696"/>
    </row>
    <row r="56" spans="1:34">
      <c r="H56" s="3510" t="s">
        <v>1054</v>
      </c>
      <c r="I56" s="3511"/>
      <c r="J56" s="3511"/>
      <c r="K56" s="3511"/>
    </row>
    <row r="57" spans="1:34">
      <c r="H57" s="3510" t="s">
        <v>1055</v>
      </c>
      <c r="I57" s="3511"/>
      <c r="J57" s="3511"/>
      <c r="K57" s="3511"/>
    </row>
    <row r="58" spans="1:34">
      <c r="H58" s="3510" t="s">
        <v>1056</v>
      </c>
      <c r="I58" s="3511"/>
      <c r="J58" s="3511"/>
      <c r="K58" s="3511"/>
    </row>
    <row r="59" spans="1:34" ht="15.75" thickBot="1">
      <c r="C59" s="697"/>
      <c r="D59" s="697"/>
      <c r="E59" s="697"/>
      <c r="F59" s="697"/>
      <c r="G59" s="697"/>
      <c r="H59" s="697"/>
      <c r="I59" s="697"/>
      <c r="J59" s="697"/>
      <c r="K59" s="697"/>
    </row>
    <row r="60" spans="1:34">
      <c r="C60" s="698"/>
      <c r="D60" s="698"/>
      <c r="E60" s="698"/>
      <c r="F60" s="698"/>
      <c r="G60" s="698"/>
      <c r="H60" s="698" t="s">
        <v>1057</v>
      </c>
      <c r="I60" s="699" t="s">
        <v>1058</v>
      </c>
      <c r="J60" s="699" t="s">
        <v>1059</v>
      </c>
      <c r="K60" s="700" t="s">
        <v>1060</v>
      </c>
    </row>
    <row r="61" spans="1:34" ht="15.75" thickBot="1">
      <c r="C61" s="701"/>
      <c r="D61" s="701"/>
      <c r="E61" s="701"/>
      <c r="F61" s="701"/>
      <c r="G61" s="701"/>
      <c r="H61" s="701"/>
      <c r="I61" s="702"/>
      <c r="J61" s="702"/>
      <c r="K61" s="703"/>
    </row>
    <row r="62" spans="1:34" ht="24.75" thickBot="1">
      <c r="C62" s="704"/>
      <c r="D62" s="704"/>
      <c r="E62" s="704"/>
      <c r="F62" s="704"/>
      <c r="G62" s="704"/>
      <c r="H62" s="704"/>
      <c r="I62" s="705" t="s">
        <v>1061</v>
      </c>
      <c r="J62" s="706"/>
      <c r="K62" s="707"/>
    </row>
    <row r="63" spans="1:34" ht="24">
      <c r="C63" s="708"/>
      <c r="D63" s="708"/>
      <c r="E63" s="708"/>
      <c r="F63" s="708"/>
      <c r="G63" s="708"/>
      <c r="H63" s="708" t="s">
        <v>1062</v>
      </c>
      <c r="I63" s="709" t="s">
        <v>1061</v>
      </c>
      <c r="J63" s="710"/>
      <c r="K63" s="711"/>
    </row>
    <row r="64" spans="1:34" ht="109.5" customHeight="1">
      <c r="C64" s="708"/>
      <c r="D64" s="708"/>
      <c r="E64" s="708"/>
      <c r="F64" s="708"/>
      <c r="G64" s="708"/>
      <c r="H64" s="708" t="s">
        <v>1063</v>
      </c>
      <c r="I64" s="709" t="s">
        <v>1061</v>
      </c>
      <c r="J64" s="710"/>
      <c r="K64" s="711"/>
    </row>
    <row r="65" spans="3:11">
      <c r="C65" s="712"/>
      <c r="D65" s="712"/>
      <c r="E65" s="712"/>
      <c r="F65" s="712"/>
      <c r="G65" s="712"/>
      <c r="H65" s="712"/>
      <c r="I65" s="713">
        <v>26</v>
      </c>
      <c r="J65" s="714"/>
      <c r="K65" s="715">
        <v>800000</v>
      </c>
    </row>
    <row r="66" spans="3:11">
      <c r="C66" s="712"/>
      <c r="D66" s="712"/>
      <c r="E66" s="712"/>
      <c r="F66" s="712"/>
      <c r="G66" s="712"/>
      <c r="H66" s="712"/>
      <c r="I66" s="713">
        <v>51</v>
      </c>
      <c r="J66" s="716">
        <v>4910937.5</v>
      </c>
      <c r="K66" s="717"/>
    </row>
    <row r="67" spans="3:11">
      <c r="C67" s="712"/>
      <c r="D67" s="712"/>
      <c r="E67" s="712"/>
      <c r="F67" s="712"/>
      <c r="G67" s="712"/>
      <c r="H67" s="712"/>
      <c r="I67" s="713">
        <v>60</v>
      </c>
      <c r="J67" s="716">
        <v>1489031.25</v>
      </c>
      <c r="K67" s="715">
        <v>1489031.25</v>
      </c>
    </row>
    <row r="68" spans="3:11">
      <c r="C68" s="712"/>
      <c r="D68" s="712"/>
      <c r="E68" s="712"/>
      <c r="F68" s="712"/>
      <c r="G68" s="712"/>
      <c r="H68" s="712"/>
      <c r="I68" s="713">
        <v>97</v>
      </c>
      <c r="J68" s="714"/>
      <c r="K68" s="715">
        <v>4110937.5</v>
      </c>
    </row>
    <row r="69" spans="3:11">
      <c r="C69" s="718"/>
      <c r="D69" s="718"/>
      <c r="E69" s="718"/>
      <c r="F69" s="718"/>
      <c r="G69" s="718"/>
      <c r="H69" s="718"/>
      <c r="I69" s="719" t="s">
        <v>1064</v>
      </c>
      <c r="J69" s="720">
        <v>6399968.75</v>
      </c>
      <c r="K69" s="721">
        <v>6399968.75</v>
      </c>
    </row>
    <row r="70" spans="3:11" ht="24">
      <c r="C70" s="708"/>
      <c r="D70" s="708"/>
      <c r="E70" s="708"/>
      <c r="F70" s="708"/>
      <c r="G70" s="708"/>
      <c r="H70" s="708"/>
      <c r="I70" s="709" t="s">
        <v>1065</v>
      </c>
      <c r="J70" s="710"/>
      <c r="K70" s="711"/>
    </row>
    <row r="71" spans="3:11" ht="101.25" customHeight="1">
      <c r="C71" s="708"/>
      <c r="D71" s="708"/>
      <c r="E71" s="708"/>
      <c r="F71" s="708"/>
      <c r="G71" s="708"/>
      <c r="H71" s="708" t="s">
        <v>1066</v>
      </c>
      <c r="I71" s="709" t="s">
        <v>1061</v>
      </c>
      <c r="J71" s="710"/>
      <c r="K71" s="711"/>
    </row>
    <row r="72" spans="3:11">
      <c r="C72" s="712"/>
      <c r="D72" s="712"/>
      <c r="E72" s="712"/>
      <c r="F72" s="712"/>
      <c r="G72" s="712"/>
      <c r="H72" s="712"/>
      <c r="I72" s="713">
        <v>51</v>
      </c>
      <c r="J72" s="716">
        <v>2440312.5</v>
      </c>
      <c r="K72" s="717"/>
    </row>
    <row r="73" spans="3:11">
      <c r="C73" s="712"/>
      <c r="D73" s="712"/>
      <c r="E73" s="712"/>
      <c r="F73" s="712"/>
      <c r="G73" s="712"/>
      <c r="H73" s="712"/>
      <c r="I73" s="713">
        <v>97</v>
      </c>
      <c r="J73" s="714"/>
      <c r="K73" s="715">
        <v>1378125</v>
      </c>
    </row>
    <row r="74" spans="3:11">
      <c r="C74" s="718"/>
      <c r="D74" s="718"/>
      <c r="E74" s="718"/>
      <c r="F74" s="718"/>
      <c r="G74" s="718"/>
      <c r="H74" s="718"/>
      <c r="I74" s="719" t="s">
        <v>1064</v>
      </c>
      <c r="J74" s="720">
        <v>2440312.5</v>
      </c>
      <c r="K74" s="721">
        <v>1378125</v>
      </c>
    </row>
    <row r="75" spans="3:11" ht="24">
      <c r="C75" s="708"/>
      <c r="D75" s="708"/>
      <c r="E75" s="708"/>
      <c r="F75" s="708"/>
      <c r="G75" s="708"/>
      <c r="H75" s="708"/>
      <c r="I75" s="709" t="s">
        <v>1065</v>
      </c>
      <c r="J75" s="722">
        <v>1062187.5</v>
      </c>
      <c r="K75" s="711"/>
    </row>
    <row r="76" spans="3:11" ht="96" customHeight="1">
      <c r="C76" s="708"/>
      <c r="D76" s="708"/>
      <c r="E76" s="708"/>
      <c r="F76" s="708"/>
      <c r="G76" s="708"/>
      <c r="H76" s="708" t="s">
        <v>1067</v>
      </c>
      <c r="I76" s="709" t="s">
        <v>1061</v>
      </c>
      <c r="J76" s="710"/>
      <c r="K76" s="711"/>
    </row>
    <row r="77" spans="3:11">
      <c r="C77" s="712"/>
      <c r="D77" s="712"/>
      <c r="E77" s="712"/>
      <c r="F77" s="712"/>
      <c r="G77" s="712"/>
      <c r="H77" s="712"/>
      <c r="I77" s="713">
        <v>51</v>
      </c>
      <c r="J77" s="716">
        <v>3145828</v>
      </c>
      <c r="K77" s="717"/>
    </row>
    <row r="78" spans="3:11">
      <c r="C78" s="712"/>
      <c r="D78" s="712"/>
      <c r="E78" s="712"/>
      <c r="F78" s="712"/>
      <c r="G78" s="712"/>
      <c r="H78" s="712"/>
      <c r="I78" s="713">
        <v>97</v>
      </c>
      <c r="J78" s="714"/>
      <c r="K78" s="715">
        <v>2351250</v>
      </c>
    </row>
    <row r="79" spans="3:11">
      <c r="C79" s="718"/>
      <c r="D79" s="718"/>
      <c r="E79" s="718"/>
      <c r="F79" s="718"/>
      <c r="G79" s="718"/>
      <c r="H79" s="718"/>
      <c r="I79" s="719" t="s">
        <v>1064</v>
      </c>
      <c r="J79" s="720">
        <v>3145828</v>
      </c>
      <c r="K79" s="721">
        <v>2351250</v>
      </c>
    </row>
    <row r="80" spans="3:11" ht="24">
      <c r="C80" s="708"/>
      <c r="D80" s="708"/>
      <c r="E80" s="708"/>
      <c r="F80" s="708"/>
      <c r="G80" s="708"/>
      <c r="H80" s="708"/>
      <c r="I80" s="709" t="s">
        <v>1065</v>
      </c>
      <c r="J80" s="722">
        <v>794578</v>
      </c>
      <c r="K80" s="711"/>
    </row>
    <row r="81" spans="3:11">
      <c r="C81" s="718"/>
      <c r="D81" s="718"/>
      <c r="E81" s="718"/>
      <c r="F81" s="718"/>
      <c r="G81" s="718"/>
      <c r="H81" s="718"/>
      <c r="I81" s="719" t="s">
        <v>1064</v>
      </c>
      <c r="J81" s="720">
        <v>11986109.25</v>
      </c>
      <c r="K81" s="721">
        <v>10129343.75</v>
      </c>
    </row>
    <row r="82" spans="3:11" ht="24.75" thickBot="1">
      <c r="C82" s="708"/>
      <c r="D82" s="708"/>
      <c r="E82" s="708"/>
      <c r="F82" s="708"/>
      <c r="G82" s="708"/>
      <c r="H82" s="708"/>
      <c r="I82" s="709" t="s">
        <v>1065</v>
      </c>
      <c r="J82" s="722">
        <v>1856765.5</v>
      </c>
      <c r="K82" s="711"/>
    </row>
    <row r="83" spans="3:11">
      <c r="C83" s="723"/>
      <c r="D83" s="723"/>
      <c r="E83" s="723"/>
      <c r="F83" s="723"/>
      <c r="G83" s="723"/>
      <c r="H83" s="723" t="s">
        <v>1068</v>
      </c>
      <c r="I83" s="724" t="s">
        <v>1064</v>
      </c>
      <c r="J83" s="725">
        <v>11986109.25</v>
      </c>
      <c r="K83" s="726">
        <v>10129343.75</v>
      </c>
    </row>
    <row r="84" spans="3:11" ht="24.75" thickBot="1">
      <c r="C84" s="727"/>
      <c r="D84" s="727"/>
      <c r="E84" s="727"/>
      <c r="F84" s="727"/>
      <c r="G84" s="727"/>
      <c r="H84" s="727"/>
      <c r="I84" s="728" t="s">
        <v>1065</v>
      </c>
      <c r="J84" s="729">
        <v>1856765.5</v>
      </c>
      <c r="K84" s="730"/>
    </row>
  </sheetData>
  <mergeCells count="3">
    <mergeCell ref="H56:K56"/>
    <mergeCell ref="H57:K57"/>
    <mergeCell ref="H58:K5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4:CB183"/>
  <sheetViews>
    <sheetView view="pageBreakPreview" zoomScale="70" zoomScaleNormal="90" zoomScaleSheetLayoutView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24" sqref="N24"/>
    </sheetView>
  </sheetViews>
  <sheetFormatPr defaultRowHeight="15" outlineLevelCol="1"/>
  <cols>
    <col min="1" max="1" width="25.7109375" customWidth="1"/>
    <col min="2" max="2" width="13.140625" style="627" bestFit="1" customWidth="1"/>
    <col min="3" max="4" width="12.42578125" customWidth="1" outlineLevel="1"/>
    <col min="5" max="9" width="11.42578125" customWidth="1" outlineLevel="1"/>
    <col min="10" max="10" width="13.5703125" style="627" bestFit="1" customWidth="1"/>
    <col min="11" max="11" width="12.28515625" customWidth="1" outlineLevel="1"/>
    <col min="12" max="12" width="12.85546875" customWidth="1" outlineLevel="1"/>
    <col min="13" max="13" width="14" bestFit="1" customWidth="1" outlineLevel="1"/>
    <col min="14" max="14" width="12" bestFit="1" customWidth="1" outlineLevel="1"/>
    <col min="15" max="15" width="10" customWidth="1" outlineLevel="1"/>
    <col min="16" max="16" width="11.5703125" customWidth="1" outlineLevel="1"/>
    <col min="17" max="18" width="10" customWidth="1" outlineLevel="1"/>
    <col min="19" max="19" width="14.28515625" customWidth="1" outlineLevel="1"/>
    <col min="20" max="22" width="10" customWidth="1" outlineLevel="1"/>
    <col min="23" max="23" width="28.28515625" style="627" bestFit="1" customWidth="1"/>
    <col min="24" max="24" width="13.5703125" style="627" customWidth="1"/>
    <col min="25" max="29" width="11.42578125" style="627" bestFit="1" customWidth="1"/>
    <col min="30" max="31" width="14.28515625" bestFit="1" customWidth="1"/>
    <col min="32" max="32" width="11.42578125" bestFit="1" customWidth="1"/>
  </cols>
  <sheetData>
    <row r="4" spans="1:80" s="1" customFormat="1">
      <c r="A4" s="1" t="s">
        <v>876</v>
      </c>
      <c r="C4" s="677"/>
      <c r="E4" s="677"/>
      <c r="Y4" s="746"/>
      <c r="Z4" s="746"/>
      <c r="AA4" s="746"/>
      <c r="AB4" s="746"/>
      <c r="AC4" s="746"/>
    </row>
    <row r="5" spans="1:80" s="1" customFormat="1" ht="15.75" thickBot="1">
      <c r="Y5" s="746" t="s">
        <v>1069</v>
      </c>
      <c r="Z5" s="746" t="s">
        <v>1069</v>
      </c>
      <c r="AA5" s="746" t="s">
        <v>1069</v>
      </c>
      <c r="AB5" s="746" t="s">
        <v>1069</v>
      </c>
      <c r="AC5" s="746" t="s">
        <v>1069</v>
      </c>
    </row>
    <row r="6" spans="1:80" ht="15.75" thickBot="1">
      <c r="A6" s="403"/>
      <c r="B6" s="628">
        <v>2021</v>
      </c>
      <c r="C6" s="562">
        <v>44713</v>
      </c>
      <c r="D6" s="562">
        <v>44743</v>
      </c>
      <c r="E6" s="562">
        <v>44774</v>
      </c>
      <c r="F6" s="562">
        <v>44805</v>
      </c>
      <c r="G6" s="562">
        <v>44835</v>
      </c>
      <c r="H6" s="562">
        <v>44866</v>
      </c>
      <c r="I6" s="562">
        <v>44896</v>
      </c>
      <c r="J6" s="628">
        <v>2022</v>
      </c>
      <c r="K6" s="562">
        <v>44927</v>
      </c>
      <c r="L6" s="562">
        <v>44958</v>
      </c>
      <c r="M6" s="562">
        <v>44986</v>
      </c>
      <c r="N6" s="562">
        <v>45017</v>
      </c>
      <c r="O6" s="562">
        <v>45047</v>
      </c>
      <c r="P6" s="562">
        <v>45078</v>
      </c>
      <c r="Q6" s="562">
        <v>45108</v>
      </c>
      <c r="R6" s="562">
        <v>45139</v>
      </c>
      <c r="S6" s="562">
        <v>45170</v>
      </c>
      <c r="T6" s="562">
        <v>45200</v>
      </c>
      <c r="U6" s="562">
        <v>45231</v>
      </c>
      <c r="V6" s="562">
        <v>45261</v>
      </c>
      <c r="W6" s="629" t="s">
        <v>14958</v>
      </c>
      <c r="X6" s="647" t="s">
        <v>961</v>
      </c>
      <c r="Y6" s="648" t="s">
        <v>962</v>
      </c>
      <c r="Z6" s="649" t="s">
        <v>963</v>
      </c>
      <c r="AA6" s="649" t="s">
        <v>964</v>
      </c>
      <c r="AB6" s="649" t="s">
        <v>965</v>
      </c>
      <c r="AC6" s="650" t="s">
        <v>966</v>
      </c>
      <c r="AD6" s="561"/>
      <c r="AE6" s="561"/>
      <c r="AF6" s="561"/>
      <c r="AG6" s="561"/>
      <c r="AH6" s="561"/>
      <c r="AI6" s="561"/>
      <c r="AJ6" s="561"/>
      <c r="AK6" s="561"/>
      <c r="AL6" s="561"/>
      <c r="AM6" s="561"/>
      <c r="AN6" s="561"/>
      <c r="AO6" s="561"/>
      <c r="AP6" s="561"/>
      <c r="AQ6" s="561"/>
      <c r="AR6" s="561"/>
      <c r="AS6" s="561"/>
      <c r="AT6" s="561"/>
      <c r="AU6" s="561"/>
      <c r="AV6" s="561"/>
      <c r="AW6" s="561"/>
      <c r="AX6" s="561"/>
      <c r="AY6" s="561"/>
      <c r="AZ6" s="561"/>
      <c r="BA6" s="561"/>
      <c r="BB6" s="561"/>
      <c r="BC6" s="561"/>
      <c r="BD6" s="561"/>
      <c r="BE6" s="561"/>
      <c r="BF6" s="561"/>
      <c r="BG6" s="561"/>
      <c r="BH6" s="561"/>
      <c r="BI6" s="561"/>
      <c r="BJ6" s="561"/>
      <c r="BK6" s="561"/>
      <c r="BL6" s="561"/>
      <c r="BM6" s="561"/>
      <c r="BN6" s="561"/>
      <c r="BO6" s="561"/>
      <c r="BP6" s="561"/>
      <c r="BQ6" s="561"/>
      <c r="BR6" s="561"/>
      <c r="BS6" s="561"/>
      <c r="BT6" s="561"/>
      <c r="BU6" s="561"/>
      <c r="BV6" s="561"/>
      <c r="BW6" s="561"/>
      <c r="BX6" s="561"/>
      <c r="BY6" s="561"/>
      <c r="BZ6" s="561"/>
      <c r="CA6" s="561"/>
      <c r="CB6" s="561"/>
    </row>
    <row r="7" spans="1:80" s="674" customFormat="1">
      <c r="A7" s="665" t="s">
        <v>1070</v>
      </c>
      <c r="B7" s="666"/>
      <c r="C7" s="667"/>
      <c r="D7" s="667"/>
      <c r="E7" s="667"/>
      <c r="F7" s="667"/>
      <c r="G7" s="667"/>
      <c r="H7" s="667"/>
      <c r="I7" s="667"/>
      <c r="J7" s="668"/>
      <c r="K7" s="667"/>
      <c r="L7" s="667"/>
      <c r="M7" s="667"/>
      <c r="N7" s="667"/>
      <c r="O7" s="667"/>
      <c r="P7" s="667"/>
      <c r="Q7" s="667"/>
      <c r="R7" s="667"/>
      <c r="S7" s="667"/>
      <c r="T7" s="667"/>
      <c r="U7" s="667"/>
      <c r="V7" s="667"/>
      <c r="W7" s="668"/>
      <c r="X7" s="669"/>
      <c r="Y7" s="670"/>
      <c r="Z7" s="671"/>
      <c r="AA7" s="671"/>
      <c r="AB7" s="671"/>
      <c r="AC7" s="672"/>
      <c r="AD7" s="673"/>
      <c r="AE7" s="673"/>
      <c r="AF7" s="673"/>
      <c r="AG7" s="673"/>
      <c r="AH7" s="673"/>
      <c r="AI7" s="673"/>
      <c r="AJ7" s="673"/>
      <c r="AK7" s="673"/>
      <c r="AL7" s="673"/>
      <c r="AM7" s="673"/>
      <c r="AN7" s="673"/>
      <c r="AO7" s="673"/>
      <c r="AP7" s="673"/>
      <c r="AQ7" s="673"/>
      <c r="AR7" s="673"/>
      <c r="AS7" s="673"/>
      <c r="AT7" s="673"/>
      <c r="AU7" s="673"/>
      <c r="AV7" s="673"/>
      <c r="AW7" s="673"/>
      <c r="AX7" s="673"/>
      <c r="AY7" s="673"/>
      <c r="AZ7" s="673"/>
      <c r="BA7" s="673"/>
      <c r="BB7" s="673"/>
      <c r="BC7" s="673"/>
      <c r="BD7" s="673"/>
      <c r="BE7" s="673"/>
      <c r="BF7" s="673"/>
      <c r="BG7" s="673"/>
      <c r="BH7" s="673"/>
      <c r="BI7" s="673"/>
      <c r="BJ7" s="673"/>
      <c r="BK7" s="673"/>
      <c r="BL7" s="673"/>
      <c r="BM7" s="673"/>
      <c r="BN7" s="673"/>
      <c r="BO7" s="673"/>
      <c r="BP7" s="673"/>
      <c r="BQ7" s="673"/>
      <c r="BR7" s="673"/>
      <c r="BS7" s="673"/>
      <c r="BT7" s="673"/>
      <c r="BU7" s="673"/>
      <c r="BV7" s="673"/>
      <c r="BW7" s="673"/>
      <c r="BX7" s="673"/>
      <c r="BY7" s="673"/>
      <c r="BZ7" s="673"/>
      <c r="CA7" s="673"/>
      <c r="CB7" s="673"/>
    </row>
    <row r="8" spans="1:80" s="616" customFormat="1" ht="45">
      <c r="A8" s="614" t="s">
        <v>967</v>
      </c>
      <c r="B8" s="643"/>
      <c r="C8" s="615">
        <v>37</v>
      </c>
      <c r="D8" s="615">
        <v>120</v>
      </c>
      <c r="E8" s="615">
        <v>120</v>
      </c>
      <c r="F8" s="615">
        <v>120</v>
      </c>
      <c r="G8" s="615">
        <v>120</v>
      </c>
      <c r="H8" s="615">
        <v>120</v>
      </c>
      <c r="I8" s="615">
        <v>120</v>
      </c>
      <c r="J8" s="628">
        <f>SUM(C8:I8)</f>
        <v>757</v>
      </c>
      <c r="K8" s="615">
        <v>140</v>
      </c>
      <c r="L8" s="615">
        <v>140</v>
      </c>
      <c r="M8" s="615">
        <v>140</v>
      </c>
      <c r="N8" s="615">
        <v>140</v>
      </c>
      <c r="O8" s="615">
        <v>140</v>
      </c>
      <c r="P8" s="615">
        <v>140</v>
      </c>
      <c r="Q8" s="615">
        <v>140</v>
      </c>
      <c r="R8" s="615">
        <v>140</v>
      </c>
      <c r="S8" s="615">
        <v>140</v>
      </c>
      <c r="T8" s="615">
        <v>140</v>
      </c>
      <c r="U8" s="615">
        <v>140</v>
      </c>
      <c r="V8" s="615">
        <v>140</v>
      </c>
      <c r="W8" s="628">
        <f>SUM(C8:I8,K8:V8)</f>
        <v>2437</v>
      </c>
      <c r="X8" s="651"/>
      <c r="Y8" s="656"/>
      <c r="Z8" s="628"/>
      <c r="AA8" s="628"/>
      <c r="AB8" s="628"/>
      <c r="AC8" s="657"/>
    </row>
    <row r="9" spans="1:80" s="616" customFormat="1" ht="45">
      <c r="A9" s="614" t="s">
        <v>1050</v>
      </c>
      <c r="B9" s="643"/>
      <c r="C9" s="617"/>
      <c r="D9" s="617"/>
      <c r="E9" s="617"/>
      <c r="F9" s="617"/>
      <c r="G9" s="617"/>
      <c r="H9" s="617"/>
      <c r="I9" s="617"/>
      <c r="J9" s="630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30">
        <f>563109709/1.2</f>
        <v>469258090.83333337</v>
      </c>
      <c r="X9" s="651"/>
      <c r="Y9" s="683"/>
      <c r="Z9" s="684"/>
      <c r="AA9" s="684"/>
      <c r="AB9" s="684"/>
      <c r="AC9" s="685"/>
    </row>
    <row r="10" spans="1:80" s="619" customFormat="1">
      <c r="A10" s="618" t="s">
        <v>952</v>
      </c>
      <c r="B10" s="628"/>
      <c r="C10" s="618">
        <f>K36+K38</f>
        <v>8</v>
      </c>
      <c r="D10" s="618">
        <f>K40+K42</f>
        <v>6</v>
      </c>
      <c r="E10" s="618"/>
      <c r="F10" s="618">
        <f>K44+K46</f>
        <v>3</v>
      </c>
      <c r="G10" s="618"/>
      <c r="H10" s="618"/>
      <c r="I10" s="618">
        <f>K48+K50</f>
        <v>3</v>
      </c>
      <c r="J10" s="628">
        <f>SUM(C10:I10)</f>
        <v>20</v>
      </c>
      <c r="K10" s="618"/>
      <c r="L10" s="618">
        <f>G61</f>
        <v>1</v>
      </c>
      <c r="M10" s="618">
        <v>2</v>
      </c>
      <c r="N10" s="618">
        <v>6</v>
      </c>
      <c r="O10" s="618"/>
      <c r="P10" s="618"/>
      <c r="Q10" s="618"/>
      <c r="R10" s="618"/>
      <c r="S10" s="618"/>
      <c r="T10" s="618"/>
      <c r="U10" s="618"/>
      <c r="V10" s="618"/>
      <c r="W10" s="628">
        <f>SUM(C10:I10,K10:V10)</f>
        <v>29</v>
      </c>
      <c r="X10" s="652">
        <f>SUM(C10:I10,K10:N10)/11*12</f>
        <v>31.636363636363633</v>
      </c>
      <c r="Y10" s="2162">
        <f>Y11/($W$9/$W$8)</f>
        <v>194.61580769272737</v>
      </c>
      <c r="Z10" s="2160">
        <f>Z11/($W$9/$W$8)</f>
        <v>391.16060466172212</v>
      </c>
      <c r="AA10" s="2160">
        <f>AA11/($W$9/$W$8)</f>
        <v>391.16060466172212</v>
      </c>
      <c r="AB10" s="2160">
        <f>AB11/($W$9/$W$8)</f>
        <v>391.16060466172212</v>
      </c>
      <c r="AC10" s="2163">
        <f>AC11/($W$9/$W$8)</f>
        <v>391.16060466172212</v>
      </c>
      <c r="AD10" s="736">
        <v>734.09090909090912</v>
      </c>
      <c r="AE10" s="736">
        <v>1680</v>
      </c>
    </row>
    <row r="11" spans="1:80" s="619" customFormat="1">
      <c r="A11" s="618" t="s">
        <v>1051</v>
      </c>
      <c r="B11" s="628"/>
      <c r="C11" s="620">
        <f>P35+P37</f>
        <v>1636046.67</v>
      </c>
      <c r="D11" s="620">
        <f>P39+P41</f>
        <v>1227035</v>
      </c>
      <c r="E11" s="620"/>
      <c r="F11" s="620">
        <f>P43+P45</f>
        <v>613517.5</v>
      </c>
      <c r="G11" s="620"/>
      <c r="H11" s="620"/>
      <c r="I11" s="620">
        <f>P47+P49</f>
        <v>613517.5</v>
      </c>
      <c r="J11" s="630">
        <f>SUM(C11:I11)</f>
        <v>4090116.67</v>
      </c>
      <c r="K11" s="620"/>
      <c r="L11" s="620">
        <f>K60</f>
        <v>221581.67</v>
      </c>
      <c r="M11" s="620">
        <v>443163.33</v>
      </c>
      <c r="N11" s="620">
        <v>1261186.67</v>
      </c>
      <c r="O11" s="620"/>
      <c r="P11" s="620"/>
      <c r="Q11" s="620"/>
      <c r="R11" s="620"/>
      <c r="S11" s="620"/>
      <c r="T11" s="620"/>
      <c r="U11" s="620"/>
      <c r="V11" s="620"/>
      <c r="W11" s="630">
        <f>SUM(C11:I11,K11:V11)</f>
        <v>6016048.3399999999</v>
      </c>
      <c r="X11" s="652">
        <f>$W$9/$W$8*X10</f>
        <v>6091760.1973365163</v>
      </c>
      <c r="Y11" s="2159">
        <f>37474.3710972*1000</f>
        <v>37474371.097199999</v>
      </c>
      <c r="Z11" s="2160">
        <f>75320.179956*1000</f>
        <v>75320179.956</v>
      </c>
      <c r="AA11" s="2160">
        <f>75320.179956*1000</f>
        <v>75320179.956</v>
      </c>
      <c r="AB11" s="2160">
        <f>75320.179956*1000</f>
        <v>75320179.956</v>
      </c>
      <c r="AC11" s="2161">
        <f>75320.179956*1000</f>
        <v>75320179.956</v>
      </c>
      <c r="AD11" s="736">
        <v>141353343.65946084</v>
      </c>
      <c r="AE11" s="736">
        <v>323493472.54821503</v>
      </c>
      <c r="AF11" s="2164"/>
    </row>
    <row r="12" spans="1:80" s="623" customFormat="1">
      <c r="A12" s="621" t="s">
        <v>953</v>
      </c>
      <c r="B12" s="644"/>
      <c r="C12" s="622">
        <f>C11/C10</f>
        <v>204505.83374999999</v>
      </c>
      <c r="D12" s="622">
        <f t="shared" ref="D12:I12" si="0">D11/D10</f>
        <v>204505.83333333334</v>
      </c>
      <c r="E12" s="622"/>
      <c r="F12" s="622">
        <f t="shared" si="0"/>
        <v>204505.83333333334</v>
      </c>
      <c r="G12" s="622"/>
      <c r="H12" s="622"/>
      <c r="I12" s="622">
        <f t="shared" si="0"/>
        <v>204505.83333333334</v>
      </c>
      <c r="J12" s="631"/>
      <c r="K12" s="622"/>
      <c r="L12" s="622">
        <f>L11/L10</f>
        <v>221581.67</v>
      </c>
      <c r="M12" s="622">
        <f>M11/M10</f>
        <v>221581.66500000001</v>
      </c>
      <c r="N12" s="622">
        <f>N11/N10</f>
        <v>210197.77833333332</v>
      </c>
      <c r="O12" s="622"/>
      <c r="P12" s="622"/>
      <c r="Q12" s="622"/>
      <c r="R12" s="622"/>
      <c r="S12" s="622"/>
      <c r="T12" s="622"/>
      <c r="U12" s="622"/>
      <c r="V12" s="622"/>
      <c r="W12" s="631"/>
      <c r="X12" s="653"/>
      <c r="Y12" s="686"/>
      <c r="Z12" s="687"/>
      <c r="AA12" s="687"/>
      <c r="AB12" s="687"/>
      <c r="AC12" s="688"/>
    </row>
    <row r="13" spans="1:80" s="626" customFormat="1">
      <c r="A13" s="624"/>
      <c r="B13" s="645"/>
      <c r="C13" s="625" t="s">
        <v>959</v>
      </c>
      <c r="D13" s="625" t="s">
        <v>959</v>
      </c>
      <c r="E13" s="625"/>
      <c r="F13" s="625" t="s">
        <v>959</v>
      </c>
      <c r="G13" s="625"/>
      <c r="H13" s="625"/>
      <c r="I13" s="625" t="s">
        <v>959</v>
      </c>
      <c r="J13" s="632"/>
      <c r="K13" s="625"/>
      <c r="L13" s="625" t="s">
        <v>960</v>
      </c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32"/>
      <c r="X13" s="654"/>
      <c r="Y13" s="660"/>
      <c r="Z13" s="645"/>
      <c r="AA13" s="645"/>
      <c r="AB13" s="645"/>
      <c r="AC13" s="661"/>
    </row>
    <row r="14" spans="1:80" s="680" customFormat="1">
      <c r="A14" s="678" t="s">
        <v>14957</v>
      </c>
      <c r="B14" s="678"/>
      <c r="C14" s="679"/>
      <c r="D14" s="679"/>
      <c r="E14" s="679"/>
      <c r="F14" s="679"/>
      <c r="G14" s="679"/>
      <c r="H14" s="679"/>
      <c r="I14" s="679"/>
      <c r="J14" s="679"/>
      <c r="K14" s="679"/>
      <c r="L14" s="679"/>
      <c r="M14" s="679"/>
      <c r="N14" s="679"/>
      <c r="O14" s="679"/>
      <c r="P14" s="679"/>
      <c r="Q14" s="679"/>
      <c r="R14" s="679"/>
      <c r="S14" s="679"/>
      <c r="T14" s="679"/>
      <c r="U14" s="679"/>
      <c r="V14" s="679"/>
      <c r="W14" s="679"/>
      <c r="Y14" s="681"/>
      <c r="Z14" s="678"/>
      <c r="AA14" s="678"/>
      <c r="AB14" s="678"/>
      <c r="AC14" s="682"/>
    </row>
    <row r="15" spans="1:80" s="616" customFormat="1" ht="45">
      <c r="A15" s="614" t="s">
        <v>967</v>
      </c>
      <c r="B15" s="643"/>
      <c r="C15" s="615"/>
      <c r="D15" s="615"/>
      <c r="E15" s="615"/>
      <c r="F15" s="615"/>
      <c r="G15" s="615"/>
      <c r="H15" s="615"/>
      <c r="I15" s="615"/>
      <c r="J15" s="628"/>
      <c r="K15" s="615"/>
      <c r="L15" s="615"/>
      <c r="M15" s="615"/>
      <c r="N15" s="615"/>
      <c r="O15" s="615"/>
      <c r="P15" s="615"/>
      <c r="Q15" s="615"/>
      <c r="R15" s="615"/>
      <c r="S15" s="615"/>
      <c r="T15" s="615"/>
      <c r="U15" s="615"/>
      <c r="V15" s="615"/>
      <c r="W15" s="628">
        <v>320</v>
      </c>
      <c r="X15" s="651"/>
      <c r="Y15" s="656"/>
      <c r="Z15" s="628"/>
      <c r="AA15" s="628"/>
      <c r="AB15" s="628"/>
      <c r="AC15" s="657"/>
    </row>
    <row r="16" spans="1:80" s="616" customFormat="1" ht="45.75" thickBot="1">
      <c r="A16" s="614" t="s">
        <v>1050</v>
      </c>
      <c r="B16" s="643"/>
      <c r="C16" s="617"/>
      <c r="D16" s="617"/>
      <c r="E16" s="617"/>
      <c r="F16" s="617"/>
      <c r="G16" s="617"/>
      <c r="H16" s="617"/>
      <c r="I16" s="617"/>
      <c r="J16" s="630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30">
        <f>49998000-8333000</f>
        <v>41665000</v>
      </c>
      <c r="X16" s="655"/>
      <c r="Y16" s="656"/>
      <c r="Z16" s="628"/>
      <c r="AA16" s="628"/>
      <c r="AB16" s="628"/>
      <c r="AC16" s="657"/>
    </row>
    <row r="17" spans="1:29" s="619" customFormat="1">
      <c r="A17" s="618" t="s">
        <v>952</v>
      </c>
      <c r="B17" s="628">
        <f>G72+G74+G76+G78+G80+G82+G84+G86+G88+G90+G92+G94+G96+G98+G100+G102+G104+G106+G108+G110+G112+G114+G116+G118+G120+G122</f>
        <v>74</v>
      </c>
      <c r="C17" s="618"/>
      <c r="D17" s="618"/>
      <c r="E17" s="618"/>
      <c r="F17" s="618"/>
      <c r="G17" s="618"/>
      <c r="H17" s="618"/>
      <c r="I17" s="618"/>
      <c r="J17" s="628">
        <f>G124+G126+G128+G130+G132+G134+G136+G138+G140+G142+G144+G146+G148+G150+G152+G154+G156+G158+G160+G162+G164+G166+G168+G170+G172+G174+G176+G178</f>
        <v>173</v>
      </c>
      <c r="K17" s="618"/>
      <c r="L17" s="618">
        <f>G180+G182</f>
        <v>16</v>
      </c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28">
        <f>SUM(B17,J17,K17:V17)</f>
        <v>263</v>
      </c>
      <c r="X17" s="652">
        <f>W15-W17</f>
        <v>57</v>
      </c>
      <c r="Y17" s="689">
        <v>0</v>
      </c>
      <c r="Z17" s="690">
        <v>0</v>
      </c>
      <c r="AA17" s="690">
        <v>0</v>
      </c>
      <c r="AB17" s="690">
        <v>0</v>
      </c>
      <c r="AC17" s="691">
        <v>0</v>
      </c>
    </row>
    <row r="18" spans="1:29" s="619" customFormat="1" ht="15.75" thickBot="1">
      <c r="A18" s="618" t="s">
        <v>1051</v>
      </c>
      <c r="B18" s="630">
        <f>K71+K73+K75+K77+K79+K81+K83+K85+K87+K89+K91+K93+K95+K97+K99+K101+K103+K105+K107+K109+K111+K113+K115+K117+K119+K121</f>
        <v>9437125</v>
      </c>
      <c r="C18" s="620"/>
      <c r="D18" s="620"/>
      <c r="E18" s="620"/>
      <c r="F18" s="620"/>
      <c r="G18" s="620"/>
      <c r="H18" s="620"/>
      <c r="I18" s="620"/>
      <c r="J18" s="630">
        <f>K123+K125+K127+K129+K131+K133+K135+K137+K139+K141+K143+K145+K147+K149+K151+K153+K155+K157+K159+K161+K163+K165+K167+K169+K171+K173+K175+K177</f>
        <v>22840895.829999994</v>
      </c>
      <c r="K18" s="620"/>
      <c r="L18" s="620">
        <f>K179+K181</f>
        <v>2098333.33</v>
      </c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30">
        <f>SUM(B18,J18,K18:V18)</f>
        <v>34376354.159999996</v>
      </c>
      <c r="X18" s="652">
        <f>W16-W18</f>
        <v>7288645.8400000036</v>
      </c>
      <c r="Y18" s="692">
        <v>0</v>
      </c>
      <c r="Z18" s="693">
        <v>0</v>
      </c>
      <c r="AA18" s="693">
        <v>0</v>
      </c>
      <c r="AB18" s="693">
        <v>0</v>
      </c>
      <c r="AC18" s="694">
        <v>0</v>
      </c>
    </row>
    <row r="19" spans="1:29" s="623" customFormat="1">
      <c r="A19" s="621" t="s">
        <v>953</v>
      </c>
      <c r="B19" s="644"/>
      <c r="C19" s="622"/>
      <c r="D19" s="622"/>
      <c r="E19" s="622"/>
      <c r="F19" s="622"/>
      <c r="G19" s="622"/>
      <c r="H19" s="622"/>
      <c r="I19" s="622"/>
      <c r="J19" s="631"/>
      <c r="K19" s="622"/>
      <c r="L19" s="622">
        <f>L18/L17</f>
        <v>131145.833125</v>
      </c>
      <c r="M19" s="622"/>
      <c r="N19" s="622"/>
      <c r="O19" s="622"/>
      <c r="P19" s="622"/>
      <c r="Q19" s="622"/>
      <c r="R19" s="622"/>
      <c r="S19" s="622"/>
      <c r="T19" s="622"/>
      <c r="U19" s="622"/>
      <c r="V19" s="622"/>
      <c r="W19" s="631"/>
      <c r="X19" s="653"/>
      <c r="Y19" s="658"/>
      <c r="Z19" s="644"/>
      <c r="AA19" s="644"/>
      <c r="AB19" s="644"/>
      <c r="AC19" s="659"/>
    </row>
    <row r="20" spans="1:29" s="626" customFormat="1" ht="15.75" thickBot="1">
      <c r="A20" s="624"/>
      <c r="B20" s="645"/>
      <c r="C20" s="625"/>
      <c r="D20" s="625"/>
      <c r="E20" s="625"/>
      <c r="F20" s="625"/>
      <c r="G20" s="625"/>
      <c r="H20" s="625"/>
      <c r="I20" s="625"/>
      <c r="J20" s="632"/>
      <c r="K20" s="625"/>
      <c r="L20" s="62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32"/>
      <c r="X20" s="654"/>
      <c r="Y20" s="662"/>
      <c r="Z20" s="663"/>
      <c r="AA20" s="663"/>
      <c r="AB20" s="663"/>
      <c r="AC20" s="664"/>
    </row>
    <row r="21" spans="1:29">
      <c r="A21" s="3530" t="s">
        <v>14941</v>
      </c>
      <c r="B21" s="3530"/>
      <c r="C21" s="3530"/>
      <c r="D21" s="3530"/>
      <c r="E21" s="3530"/>
      <c r="F21" s="3530"/>
      <c r="G21" s="3530"/>
      <c r="H21" s="3530"/>
      <c r="I21" s="3530"/>
      <c r="J21" s="3530"/>
      <c r="K21" s="3530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633"/>
    </row>
    <row r="22" spans="1:29" ht="36.75" customHeight="1">
      <c r="A22" s="3528" t="s">
        <v>21</v>
      </c>
      <c r="B22" s="3528" t="s">
        <v>14942</v>
      </c>
      <c r="C22" s="3528" t="s">
        <v>14943</v>
      </c>
      <c r="D22" s="3528" t="s">
        <v>14944</v>
      </c>
      <c r="E22" s="3528" t="s">
        <v>14945</v>
      </c>
      <c r="F22" s="3528" t="s">
        <v>14946</v>
      </c>
      <c r="G22" s="3528"/>
      <c r="H22" s="3528" t="s">
        <v>14947</v>
      </c>
      <c r="I22" s="3528"/>
      <c r="J22" s="3528" t="s">
        <v>14948</v>
      </c>
      <c r="K22" s="3528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633"/>
      <c r="Y22" s="627">
        <f>Мероприятия_и_источники!I579</f>
        <v>0</v>
      </c>
      <c r="Z22" s="627">
        <f>Мероприятия_и_источники!J579</f>
        <v>0</v>
      </c>
      <c r="AA22" s="627">
        <f>Мероприятия_и_источники!K579</f>
        <v>0</v>
      </c>
      <c r="AB22" s="627">
        <f>Мероприятия_и_источники!L579</f>
        <v>0</v>
      </c>
      <c r="AC22" s="627">
        <f>Мероприятия_и_источники!M579</f>
        <v>0</v>
      </c>
    </row>
    <row r="23" spans="1:29" ht="25.5">
      <c r="A23" s="3528"/>
      <c r="B23" s="3528"/>
      <c r="C23" s="3528"/>
      <c r="D23" s="3528"/>
      <c r="E23" s="3528"/>
      <c r="F23" s="2152" t="s">
        <v>14949</v>
      </c>
      <c r="G23" s="2152" t="s">
        <v>14950</v>
      </c>
      <c r="H23" s="2152" t="s">
        <v>14949</v>
      </c>
      <c r="I23" s="2152" t="s">
        <v>14950</v>
      </c>
      <c r="J23" s="2152" t="s">
        <v>14949</v>
      </c>
      <c r="K23" s="2152" t="s">
        <v>14950</v>
      </c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633"/>
    </row>
    <row r="24" spans="1:29" ht="102">
      <c r="A24" s="2152">
        <v>1</v>
      </c>
      <c r="B24" s="2152" t="s">
        <v>14951</v>
      </c>
      <c r="C24" s="2152" t="s">
        <v>14952</v>
      </c>
      <c r="D24" s="2153">
        <v>350</v>
      </c>
      <c r="E24" s="2153">
        <v>350</v>
      </c>
      <c r="F24" s="2153">
        <v>341</v>
      </c>
      <c r="G24" s="2154">
        <v>11</v>
      </c>
      <c r="H24" s="2153">
        <v>307</v>
      </c>
      <c r="I24" s="2154">
        <v>0</v>
      </c>
      <c r="J24" s="2153">
        <v>305</v>
      </c>
      <c r="K24" s="2154">
        <v>10</v>
      </c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633"/>
    </row>
    <row r="25" spans="1:29" ht="25.5">
      <c r="A25" s="3528">
        <v>2</v>
      </c>
      <c r="B25" s="3528" t="s">
        <v>14953</v>
      </c>
      <c r="C25" s="2152" t="s">
        <v>14952</v>
      </c>
      <c r="D25" s="3529">
        <v>2437</v>
      </c>
      <c r="E25" s="2153">
        <v>128</v>
      </c>
      <c r="F25" s="2153">
        <v>27</v>
      </c>
      <c r="G25" s="2154">
        <v>0</v>
      </c>
      <c r="H25" s="2153">
        <v>24</v>
      </c>
      <c r="I25" s="2154">
        <v>0</v>
      </c>
      <c r="J25" s="2153">
        <v>24</v>
      </c>
      <c r="K25" s="2154">
        <v>4</v>
      </c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633"/>
    </row>
    <row r="26" spans="1:29" ht="25.5">
      <c r="A26" s="3528"/>
      <c r="B26" s="3528"/>
      <c r="C26" s="2152" t="s">
        <v>14954</v>
      </c>
      <c r="D26" s="3529"/>
      <c r="E26" s="2153">
        <v>36</v>
      </c>
      <c r="F26" s="2153">
        <v>11</v>
      </c>
      <c r="G26" s="2154">
        <v>0</v>
      </c>
      <c r="H26" s="2153">
        <v>5</v>
      </c>
      <c r="I26" s="2154">
        <v>0</v>
      </c>
      <c r="J26" s="2153">
        <v>0</v>
      </c>
      <c r="K26" s="2154">
        <v>0</v>
      </c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633"/>
    </row>
    <row r="27" spans="1:29" ht="25.5">
      <c r="A27" s="3528"/>
      <c r="B27" s="3528"/>
      <c r="C27" s="2152" t="s">
        <v>14955</v>
      </c>
      <c r="D27" s="3529"/>
      <c r="E27" s="2153">
        <v>2</v>
      </c>
      <c r="F27" s="2153">
        <v>0</v>
      </c>
      <c r="G27" s="2154">
        <v>0</v>
      </c>
      <c r="H27" s="2153">
        <v>0</v>
      </c>
      <c r="I27" s="2154">
        <v>0</v>
      </c>
      <c r="J27" s="2153">
        <v>0</v>
      </c>
      <c r="K27" s="2154">
        <v>0</v>
      </c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633"/>
    </row>
    <row r="28" spans="1:29">
      <c r="A28" s="2155"/>
      <c r="B28" s="2156"/>
      <c r="C28" s="2157" t="s">
        <v>14956</v>
      </c>
      <c r="D28" s="2157">
        <f>SUM(D24:D27)</f>
        <v>2787</v>
      </c>
      <c r="E28" s="2158">
        <f>SUM(E24:E27)</f>
        <v>516</v>
      </c>
      <c r="F28" s="2158">
        <f t="shared" ref="F28:K28" si="1">SUM(F24:F27)</f>
        <v>379</v>
      </c>
      <c r="G28" s="2158">
        <f t="shared" si="1"/>
        <v>11</v>
      </c>
      <c r="H28" s="2158">
        <f t="shared" si="1"/>
        <v>336</v>
      </c>
      <c r="I28" s="2158">
        <f t="shared" si="1"/>
        <v>0</v>
      </c>
      <c r="J28" s="2158">
        <f t="shared" si="1"/>
        <v>329</v>
      </c>
      <c r="K28" s="2158">
        <f t="shared" si="1"/>
        <v>14</v>
      </c>
      <c r="V28" s="563"/>
    </row>
    <row r="29" spans="1:29">
      <c r="C29" s="564" t="s">
        <v>921</v>
      </c>
      <c r="D29" s="565"/>
      <c r="E29" s="565"/>
      <c r="F29" s="565"/>
      <c r="G29" s="565"/>
      <c r="H29" s="565"/>
      <c r="I29" s="565"/>
      <c r="J29" s="634"/>
      <c r="K29" s="565"/>
      <c r="L29" s="565"/>
      <c r="M29" s="565"/>
      <c r="N29" s="565"/>
      <c r="O29" s="565"/>
      <c r="P29" s="565"/>
      <c r="Q29" s="565"/>
      <c r="R29" s="565"/>
      <c r="S29" s="565"/>
      <c r="T29" s="565"/>
      <c r="U29" s="565"/>
      <c r="V29" s="563"/>
    </row>
    <row r="30" spans="1:29">
      <c r="C30" s="566">
        <v>8.6</v>
      </c>
      <c r="D30" s="565"/>
      <c r="E30" s="565"/>
      <c r="F30" s="565"/>
      <c r="G30" s="565"/>
      <c r="H30" s="565"/>
      <c r="I30" s="565"/>
      <c r="J30" s="634"/>
      <c r="K30" s="565"/>
      <c r="L30" s="565"/>
      <c r="M30" s="565"/>
      <c r="N30" s="565"/>
      <c r="O30" s="565"/>
      <c r="P30" s="565"/>
      <c r="Q30" s="565"/>
      <c r="R30" s="565"/>
      <c r="S30" s="565"/>
      <c r="T30" s="565"/>
      <c r="U30" s="565"/>
      <c r="V30" s="563"/>
    </row>
    <row r="31" spans="1:29">
      <c r="C31" s="567" t="s">
        <v>922</v>
      </c>
      <c r="D31" s="565"/>
      <c r="E31" s="565"/>
      <c r="F31" s="565"/>
      <c r="G31" s="565"/>
      <c r="H31" s="565"/>
      <c r="I31" s="565"/>
      <c r="J31" s="634"/>
      <c r="K31" s="565"/>
      <c r="L31" s="565"/>
      <c r="M31" s="565"/>
      <c r="N31" s="565"/>
      <c r="O31" s="565"/>
      <c r="P31" s="565"/>
      <c r="Q31" s="565"/>
      <c r="R31" s="565"/>
      <c r="S31" s="565"/>
      <c r="T31" s="565"/>
      <c r="U31" s="565"/>
      <c r="V31" s="563"/>
    </row>
    <row r="32" spans="1:29">
      <c r="C32" s="3523"/>
      <c r="D32" s="3523"/>
      <c r="E32" s="3523"/>
      <c r="F32" s="3523"/>
      <c r="G32" s="3523"/>
      <c r="H32" s="3523"/>
      <c r="I32" s="3523"/>
      <c r="J32" s="3523"/>
      <c r="K32" s="3523"/>
      <c r="L32" s="3523"/>
      <c r="M32" s="3523"/>
      <c r="N32" s="3523"/>
      <c r="O32" s="3523"/>
      <c r="P32" s="3523"/>
      <c r="Q32" s="3523"/>
      <c r="R32" s="3523"/>
      <c r="V32" s="563"/>
    </row>
    <row r="33" spans="3:24" ht="15.75" thickBot="1">
      <c r="C33" s="568"/>
      <c r="V33" s="563"/>
    </row>
    <row r="34" spans="3:24" ht="23.25" thickBot="1">
      <c r="C34" s="569" t="s">
        <v>923</v>
      </c>
      <c r="D34" s="3524" t="s">
        <v>924</v>
      </c>
      <c r="E34" s="3524"/>
      <c r="F34" s="569" t="s">
        <v>925</v>
      </c>
      <c r="G34" s="3524" t="s">
        <v>926</v>
      </c>
      <c r="H34" s="3524"/>
      <c r="I34" s="3524"/>
      <c r="J34" s="3524"/>
      <c r="K34" s="3524"/>
      <c r="L34" s="3524" t="s">
        <v>927</v>
      </c>
      <c r="M34" s="3524"/>
      <c r="N34" s="3524"/>
      <c r="O34" s="3524"/>
      <c r="P34" s="569" t="s">
        <v>733</v>
      </c>
      <c r="Q34" s="3525" t="s">
        <v>928</v>
      </c>
      <c r="R34" s="3525"/>
      <c r="S34" s="3525" t="s">
        <v>929</v>
      </c>
      <c r="T34" s="3525"/>
      <c r="U34" s="570" t="s">
        <v>930</v>
      </c>
      <c r="V34" s="563"/>
    </row>
    <row r="35" spans="3:24" ht="75">
      <c r="C35" s="3517" t="s">
        <v>931</v>
      </c>
      <c r="D35" s="3517" t="s">
        <v>932</v>
      </c>
      <c r="E35" s="3517"/>
      <c r="F35" s="571" t="s">
        <v>933</v>
      </c>
      <c r="G35" s="3521" t="s">
        <v>934</v>
      </c>
      <c r="H35" s="3521"/>
      <c r="I35" s="3521"/>
      <c r="J35" s="3521"/>
      <c r="K35" s="3521"/>
      <c r="L35" s="3521" t="s">
        <v>935</v>
      </c>
      <c r="M35" s="3521"/>
      <c r="N35" s="3521"/>
      <c r="O35" s="3521"/>
      <c r="P35" s="572">
        <v>613517.52</v>
      </c>
      <c r="Q35" s="3522" t="s">
        <v>936</v>
      </c>
      <c r="R35" s="3522"/>
      <c r="S35" s="3522" t="s">
        <v>937</v>
      </c>
      <c r="T35" s="3522"/>
      <c r="U35" s="573" t="s">
        <v>938</v>
      </c>
      <c r="V35" s="563"/>
      <c r="X35" s="646"/>
    </row>
    <row r="36" spans="3:24" ht="15.75" thickBot="1">
      <c r="C36" s="3518"/>
      <c r="D36" s="3519"/>
      <c r="E36" s="3520"/>
      <c r="F36" s="575" t="s">
        <v>939</v>
      </c>
      <c r="G36" s="576"/>
      <c r="H36" s="577"/>
      <c r="I36" s="577"/>
      <c r="J36" s="635"/>
      <c r="K36" s="578">
        <v>3</v>
      </c>
      <c r="L36" s="576"/>
      <c r="M36" s="579"/>
      <c r="N36" s="579"/>
      <c r="O36" s="580"/>
      <c r="P36" s="581"/>
      <c r="Q36" s="3518" t="s">
        <v>940</v>
      </c>
      <c r="R36" s="3518"/>
      <c r="S36" s="3527" t="s">
        <v>941</v>
      </c>
      <c r="T36" s="3518"/>
      <c r="U36" s="581"/>
      <c r="V36" s="563"/>
    </row>
    <row r="37" spans="3:24" ht="75">
      <c r="C37" s="3517" t="s">
        <v>931</v>
      </c>
      <c r="D37" s="3517" t="s">
        <v>932</v>
      </c>
      <c r="E37" s="3517"/>
      <c r="F37" s="571" t="s">
        <v>933</v>
      </c>
      <c r="G37" s="3521" t="s">
        <v>934</v>
      </c>
      <c r="H37" s="3521"/>
      <c r="I37" s="3521"/>
      <c r="J37" s="3521"/>
      <c r="K37" s="3521"/>
      <c r="L37" s="3521" t="s">
        <v>935</v>
      </c>
      <c r="M37" s="3521"/>
      <c r="N37" s="3521"/>
      <c r="O37" s="3521"/>
      <c r="P37" s="572">
        <v>1022529.15</v>
      </c>
      <c r="Q37" s="3526" t="s">
        <v>942</v>
      </c>
      <c r="R37" s="3522"/>
      <c r="S37" s="3522" t="s">
        <v>937</v>
      </c>
      <c r="T37" s="3522"/>
      <c r="U37" s="573" t="s">
        <v>938</v>
      </c>
      <c r="V37" s="563"/>
    </row>
    <row r="38" spans="3:24" ht="15.75" thickBot="1">
      <c r="C38" s="3518"/>
      <c r="D38" s="3519"/>
      <c r="E38" s="3520"/>
      <c r="F38" s="575" t="s">
        <v>939</v>
      </c>
      <c r="G38" s="576"/>
      <c r="H38" s="577"/>
      <c r="I38" s="577"/>
      <c r="J38" s="635"/>
      <c r="K38" s="578">
        <v>5</v>
      </c>
      <c r="L38" s="576"/>
      <c r="M38" s="579"/>
      <c r="N38" s="579"/>
      <c r="O38" s="580"/>
      <c r="P38" s="581"/>
      <c r="Q38" s="3518" t="s">
        <v>940</v>
      </c>
      <c r="R38" s="3518"/>
      <c r="S38" s="3518" t="s">
        <v>941</v>
      </c>
      <c r="T38" s="3518"/>
      <c r="U38" s="581"/>
      <c r="V38" s="563"/>
    </row>
    <row r="39" spans="3:24" ht="75">
      <c r="C39" s="3517" t="s">
        <v>943</v>
      </c>
      <c r="D39" s="3517" t="s">
        <v>944</v>
      </c>
      <c r="E39" s="3517"/>
      <c r="F39" s="571" t="s">
        <v>945</v>
      </c>
      <c r="G39" s="3521" t="s">
        <v>934</v>
      </c>
      <c r="H39" s="3521"/>
      <c r="I39" s="3521"/>
      <c r="J39" s="3521"/>
      <c r="K39" s="3521"/>
      <c r="L39" s="3521" t="s">
        <v>935</v>
      </c>
      <c r="M39" s="3521"/>
      <c r="N39" s="3521"/>
      <c r="O39" s="3521"/>
      <c r="P39" s="572">
        <v>818023.32</v>
      </c>
      <c r="Q39" s="3522" t="s">
        <v>942</v>
      </c>
      <c r="R39" s="3522"/>
      <c r="S39" s="3522" t="s">
        <v>937</v>
      </c>
      <c r="T39" s="3522"/>
      <c r="U39" s="573" t="s">
        <v>938</v>
      </c>
      <c r="V39" s="563"/>
      <c r="X39" s="646"/>
    </row>
    <row r="40" spans="3:24" ht="15.75" thickBot="1">
      <c r="C40" s="3518"/>
      <c r="D40" s="3519"/>
      <c r="E40" s="3520"/>
      <c r="F40" s="575" t="s">
        <v>939</v>
      </c>
      <c r="G40" s="576"/>
      <c r="H40" s="577"/>
      <c r="I40" s="577"/>
      <c r="J40" s="635"/>
      <c r="K40" s="578">
        <v>4</v>
      </c>
      <c r="L40" s="576"/>
      <c r="M40" s="579"/>
      <c r="N40" s="579"/>
      <c r="O40" s="580"/>
      <c r="P40" s="581"/>
      <c r="Q40" s="3518" t="s">
        <v>940</v>
      </c>
      <c r="R40" s="3518"/>
      <c r="S40" s="3518" t="s">
        <v>941</v>
      </c>
      <c r="T40" s="3518"/>
      <c r="U40" s="581"/>
      <c r="V40" s="563"/>
    </row>
    <row r="41" spans="3:24" ht="75">
      <c r="C41" s="3517" t="s">
        <v>943</v>
      </c>
      <c r="D41" s="3517" t="s">
        <v>944</v>
      </c>
      <c r="E41" s="3517"/>
      <c r="F41" s="571" t="s">
        <v>945</v>
      </c>
      <c r="G41" s="3521" t="s">
        <v>934</v>
      </c>
      <c r="H41" s="3521"/>
      <c r="I41" s="3521"/>
      <c r="J41" s="3521"/>
      <c r="K41" s="3521"/>
      <c r="L41" s="3521" t="s">
        <v>935</v>
      </c>
      <c r="M41" s="3521"/>
      <c r="N41" s="3521"/>
      <c r="O41" s="3521"/>
      <c r="P41" s="572">
        <v>409011.68</v>
      </c>
      <c r="Q41" s="3522" t="s">
        <v>936</v>
      </c>
      <c r="R41" s="3522"/>
      <c r="S41" s="3522" t="s">
        <v>937</v>
      </c>
      <c r="T41" s="3522"/>
      <c r="U41" s="573" t="s">
        <v>938</v>
      </c>
      <c r="V41" s="563"/>
    </row>
    <row r="42" spans="3:24" ht="15.75" thickBot="1">
      <c r="C42" s="3518"/>
      <c r="D42" s="3519"/>
      <c r="E42" s="3520"/>
      <c r="F42" s="575" t="s">
        <v>939</v>
      </c>
      <c r="G42" s="576"/>
      <c r="H42" s="577"/>
      <c r="I42" s="577"/>
      <c r="J42" s="635"/>
      <c r="K42" s="578">
        <v>2</v>
      </c>
      <c r="L42" s="576"/>
      <c r="M42" s="579"/>
      <c r="N42" s="579"/>
      <c r="O42" s="580"/>
      <c r="P42" s="581"/>
      <c r="Q42" s="3518" t="s">
        <v>940</v>
      </c>
      <c r="R42" s="3518"/>
      <c r="S42" s="3518" t="s">
        <v>941</v>
      </c>
      <c r="T42" s="3518"/>
      <c r="U42" s="581"/>
      <c r="V42" s="563"/>
    </row>
    <row r="43" spans="3:24" ht="75">
      <c r="C43" s="3517" t="s">
        <v>946</v>
      </c>
      <c r="D43" s="3517" t="s">
        <v>947</v>
      </c>
      <c r="E43" s="3517"/>
      <c r="F43" s="571" t="s">
        <v>948</v>
      </c>
      <c r="G43" s="3521" t="s">
        <v>934</v>
      </c>
      <c r="H43" s="3521"/>
      <c r="I43" s="3521"/>
      <c r="J43" s="3521"/>
      <c r="K43" s="3521"/>
      <c r="L43" s="3521" t="s">
        <v>935</v>
      </c>
      <c r="M43" s="3521"/>
      <c r="N43" s="3521"/>
      <c r="O43" s="3521"/>
      <c r="P43" s="572">
        <v>409011.66</v>
      </c>
      <c r="Q43" s="3522" t="s">
        <v>942</v>
      </c>
      <c r="R43" s="3522"/>
      <c r="S43" s="3522" t="s">
        <v>937</v>
      </c>
      <c r="T43" s="3522"/>
      <c r="U43" s="573" t="s">
        <v>938</v>
      </c>
      <c r="V43" s="563"/>
      <c r="X43" s="646"/>
    </row>
    <row r="44" spans="3:24" ht="15.75" thickBot="1">
      <c r="C44" s="3518"/>
      <c r="D44" s="3519"/>
      <c r="E44" s="3520"/>
      <c r="F44" s="575" t="s">
        <v>939</v>
      </c>
      <c r="G44" s="576"/>
      <c r="H44" s="577"/>
      <c r="I44" s="577"/>
      <c r="J44" s="635"/>
      <c r="K44" s="578">
        <v>2</v>
      </c>
      <c r="L44" s="576"/>
      <c r="M44" s="579"/>
      <c r="N44" s="579"/>
      <c r="O44" s="580"/>
      <c r="P44" s="581"/>
      <c r="Q44" s="3518" t="s">
        <v>940</v>
      </c>
      <c r="R44" s="3518"/>
      <c r="S44" s="3518" t="s">
        <v>941</v>
      </c>
      <c r="T44" s="3518"/>
      <c r="U44" s="581"/>
      <c r="V44" s="563"/>
    </row>
    <row r="45" spans="3:24" ht="75">
      <c r="C45" s="3517" t="s">
        <v>946</v>
      </c>
      <c r="D45" s="3517" t="s">
        <v>947</v>
      </c>
      <c r="E45" s="3517"/>
      <c r="F45" s="571" t="s">
        <v>948</v>
      </c>
      <c r="G45" s="3521" t="s">
        <v>934</v>
      </c>
      <c r="H45" s="3521"/>
      <c r="I45" s="3521"/>
      <c r="J45" s="3521"/>
      <c r="K45" s="3521"/>
      <c r="L45" s="3521" t="s">
        <v>935</v>
      </c>
      <c r="M45" s="3521"/>
      <c r="N45" s="3521"/>
      <c r="O45" s="3521"/>
      <c r="P45" s="572">
        <v>204505.84</v>
      </c>
      <c r="Q45" s="3522" t="s">
        <v>936</v>
      </c>
      <c r="R45" s="3522"/>
      <c r="S45" s="3522" t="s">
        <v>937</v>
      </c>
      <c r="T45" s="3522"/>
      <c r="U45" s="573" t="s">
        <v>938</v>
      </c>
      <c r="V45" s="563"/>
    </row>
    <row r="46" spans="3:24" ht="15.75" thickBot="1">
      <c r="C46" s="3518"/>
      <c r="D46" s="3519"/>
      <c r="E46" s="3520"/>
      <c r="F46" s="575" t="s">
        <v>939</v>
      </c>
      <c r="G46" s="576"/>
      <c r="H46" s="577"/>
      <c r="I46" s="577"/>
      <c r="J46" s="635"/>
      <c r="K46" s="578">
        <v>1</v>
      </c>
      <c r="L46" s="576"/>
      <c r="M46" s="579"/>
      <c r="N46" s="579"/>
      <c r="O46" s="580"/>
      <c r="P46" s="581"/>
      <c r="Q46" s="3518" t="s">
        <v>940</v>
      </c>
      <c r="R46" s="3518"/>
      <c r="S46" s="3518" t="s">
        <v>941</v>
      </c>
      <c r="T46" s="3518"/>
      <c r="U46" s="581"/>
      <c r="V46" s="563"/>
    </row>
    <row r="47" spans="3:24" ht="75">
      <c r="C47" s="3517" t="s">
        <v>949</v>
      </c>
      <c r="D47" s="3517" t="s">
        <v>950</v>
      </c>
      <c r="E47" s="3517"/>
      <c r="F47" s="571" t="s">
        <v>951</v>
      </c>
      <c r="G47" s="3521" t="s">
        <v>934</v>
      </c>
      <c r="H47" s="3521"/>
      <c r="I47" s="3521"/>
      <c r="J47" s="3521"/>
      <c r="K47" s="3521"/>
      <c r="L47" s="3521" t="s">
        <v>935</v>
      </c>
      <c r="M47" s="3521"/>
      <c r="N47" s="3521"/>
      <c r="O47" s="3521"/>
      <c r="P47" s="572">
        <v>409011.66</v>
      </c>
      <c r="Q47" s="3522" t="s">
        <v>942</v>
      </c>
      <c r="R47" s="3522"/>
      <c r="S47" s="3522" t="s">
        <v>937</v>
      </c>
      <c r="T47" s="3522"/>
      <c r="U47" s="573" t="s">
        <v>938</v>
      </c>
      <c r="V47" s="563"/>
      <c r="X47" s="646"/>
    </row>
    <row r="48" spans="3:24" ht="15.75" thickBot="1">
      <c r="C48" s="3518"/>
      <c r="D48" s="3519"/>
      <c r="E48" s="3520"/>
      <c r="F48" s="575" t="s">
        <v>939</v>
      </c>
      <c r="G48" s="576"/>
      <c r="H48" s="577"/>
      <c r="I48" s="577"/>
      <c r="J48" s="635"/>
      <c r="K48" s="578">
        <v>2</v>
      </c>
      <c r="L48" s="576"/>
      <c r="M48" s="579"/>
      <c r="N48" s="579"/>
      <c r="O48" s="580"/>
      <c r="P48" s="581"/>
      <c r="Q48" s="3518" t="s">
        <v>940</v>
      </c>
      <c r="R48" s="3518"/>
      <c r="S48" s="3518" t="s">
        <v>941</v>
      </c>
      <c r="T48" s="3518"/>
      <c r="U48" s="581"/>
      <c r="V48" s="563"/>
    </row>
    <row r="49" spans="3:24" ht="75">
      <c r="C49" s="3517" t="s">
        <v>949</v>
      </c>
      <c r="D49" s="3517" t="s">
        <v>950</v>
      </c>
      <c r="E49" s="3517"/>
      <c r="F49" s="571" t="s">
        <v>951</v>
      </c>
      <c r="G49" s="3521" t="s">
        <v>934</v>
      </c>
      <c r="H49" s="3521"/>
      <c r="I49" s="3521"/>
      <c r="J49" s="3521"/>
      <c r="K49" s="3521"/>
      <c r="L49" s="3521" t="s">
        <v>935</v>
      </c>
      <c r="M49" s="3521"/>
      <c r="N49" s="3521"/>
      <c r="O49" s="3521"/>
      <c r="P49" s="572">
        <v>204505.84</v>
      </c>
      <c r="Q49" s="3522" t="s">
        <v>936</v>
      </c>
      <c r="R49" s="3522"/>
      <c r="S49" s="3522" t="s">
        <v>937</v>
      </c>
      <c r="T49" s="3522"/>
      <c r="U49" s="573" t="s">
        <v>938</v>
      </c>
      <c r="V49" s="563"/>
    </row>
    <row r="50" spans="3:24" ht="15.75" thickBot="1">
      <c r="C50" s="3518"/>
      <c r="D50" s="3519"/>
      <c r="E50" s="3520"/>
      <c r="F50" s="575" t="s">
        <v>939</v>
      </c>
      <c r="G50" s="576"/>
      <c r="H50" s="577"/>
      <c r="I50" s="577"/>
      <c r="J50" s="635"/>
      <c r="K50" s="578">
        <v>1</v>
      </c>
      <c r="L50" s="576"/>
      <c r="M50" s="579"/>
      <c r="N50" s="579"/>
      <c r="O50" s="580"/>
      <c r="P50" s="581"/>
      <c r="Q50" s="3518" t="s">
        <v>940</v>
      </c>
      <c r="R50" s="3518"/>
      <c r="S50" s="3518" t="s">
        <v>941</v>
      </c>
      <c r="T50" s="3518"/>
      <c r="U50" s="581"/>
      <c r="V50" s="563"/>
      <c r="X50" s="646"/>
    </row>
    <row r="51" spans="3:24" ht="15.75" thickBot="1">
      <c r="C51" s="582"/>
      <c r="D51" s="583"/>
      <c r="E51" s="583"/>
      <c r="F51" s="584"/>
      <c r="G51" s="585"/>
      <c r="H51" s="586"/>
      <c r="I51" s="586"/>
      <c r="J51" s="636"/>
      <c r="K51" s="587"/>
      <c r="L51" s="585"/>
      <c r="M51" s="586"/>
      <c r="N51" s="586"/>
      <c r="O51" s="587"/>
      <c r="P51" s="588">
        <v>4090116.67</v>
      </c>
      <c r="Q51" s="582"/>
      <c r="R51" s="583"/>
      <c r="S51" s="583"/>
      <c r="T51" s="583"/>
      <c r="U51" s="584"/>
      <c r="V51" s="563"/>
    </row>
    <row r="54" spans="3:24">
      <c r="C54" s="590" t="s">
        <v>921</v>
      </c>
      <c r="D54" s="591"/>
      <c r="E54" s="591"/>
      <c r="F54" s="591"/>
      <c r="G54" s="591"/>
      <c r="H54" s="591"/>
      <c r="I54" s="591"/>
      <c r="J54" s="637"/>
      <c r="K54" s="591"/>
      <c r="L54" s="591"/>
      <c r="M54" s="591"/>
      <c r="N54" s="591"/>
    </row>
    <row r="55" spans="3:24">
      <c r="C55" s="592">
        <v>8.6</v>
      </c>
      <c r="D55" s="591"/>
      <c r="E55" s="591"/>
      <c r="F55" s="591"/>
      <c r="G55" s="591"/>
      <c r="H55" s="591"/>
      <c r="I55" s="591"/>
      <c r="J55" s="637"/>
      <c r="K55" s="591"/>
      <c r="L55" s="591"/>
      <c r="M55" s="591"/>
      <c r="N55" s="591"/>
    </row>
    <row r="56" spans="3:24">
      <c r="C56" s="593" t="s">
        <v>954</v>
      </c>
      <c r="D56" s="591"/>
      <c r="E56" s="591"/>
      <c r="F56" s="591"/>
      <c r="G56" s="591"/>
      <c r="H56" s="591"/>
      <c r="I56" s="591"/>
      <c r="J56" s="637"/>
      <c r="K56" s="591"/>
      <c r="L56" s="591"/>
      <c r="M56" s="591"/>
      <c r="N56" s="591"/>
    </row>
    <row r="57" spans="3:24">
      <c r="C57" s="3515"/>
      <c r="D57" s="3515"/>
      <c r="E57" s="3515"/>
      <c r="F57" s="3515"/>
      <c r="G57" s="3515"/>
      <c r="H57" s="3515"/>
      <c r="I57" s="3515"/>
      <c r="J57" s="3515"/>
      <c r="K57" s="3515"/>
      <c r="L57" s="3515"/>
      <c r="M57" s="594"/>
      <c r="N57" s="594"/>
    </row>
    <row r="58" spans="3:24" ht="15.75" thickBot="1">
      <c r="C58" s="595"/>
      <c r="D58" s="594"/>
      <c r="E58" s="594"/>
      <c r="F58" s="594"/>
      <c r="G58" s="594"/>
      <c r="H58" s="594"/>
      <c r="I58" s="594"/>
      <c r="J58" s="638"/>
      <c r="K58" s="594"/>
      <c r="L58" s="594"/>
      <c r="M58" s="594"/>
      <c r="N58" s="594"/>
    </row>
    <row r="59" spans="3:24" ht="23.25" thickBot="1">
      <c r="C59" s="596" t="s">
        <v>923</v>
      </c>
      <c r="D59" s="596" t="s">
        <v>924</v>
      </c>
      <c r="E59" s="596" t="s">
        <v>925</v>
      </c>
      <c r="F59" s="3516" t="s">
        <v>926</v>
      </c>
      <c r="G59" s="3516"/>
      <c r="H59" s="3516" t="s">
        <v>927</v>
      </c>
      <c r="I59" s="3516"/>
      <c r="J59" s="639"/>
      <c r="K59" s="596" t="s">
        <v>733</v>
      </c>
      <c r="L59" s="597" t="s">
        <v>928</v>
      </c>
      <c r="M59" s="597" t="s">
        <v>929</v>
      </c>
      <c r="N59" s="597" t="s">
        <v>930</v>
      </c>
    </row>
    <row r="60" spans="3:24" ht="56.25">
      <c r="C60" s="3512" t="s">
        <v>955</v>
      </c>
      <c r="D60" s="3512" t="s">
        <v>956</v>
      </c>
      <c r="E60" s="598" t="s">
        <v>957</v>
      </c>
      <c r="F60" s="3514" t="s">
        <v>934</v>
      </c>
      <c r="G60" s="3514"/>
      <c r="H60" s="3514" t="s">
        <v>935</v>
      </c>
      <c r="I60" s="3514"/>
      <c r="J60" s="640"/>
      <c r="K60" s="599">
        <v>221581.67</v>
      </c>
      <c r="L60" s="600" t="s">
        <v>958</v>
      </c>
      <c r="M60" s="600" t="s">
        <v>937</v>
      </c>
      <c r="N60" s="601" t="s">
        <v>938</v>
      </c>
    </row>
    <row r="61" spans="3:24" ht="68.25" thickBot="1">
      <c r="C61" s="3513"/>
      <c r="D61" s="3513"/>
      <c r="E61" s="602" t="s">
        <v>939</v>
      </c>
      <c r="F61" s="603"/>
      <c r="G61" s="604">
        <v>1</v>
      </c>
      <c r="H61" s="603"/>
      <c r="I61" s="605"/>
      <c r="J61" s="641"/>
      <c r="K61" s="606"/>
      <c r="L61" s="607" t="s">
        <v>940</v>
      </c>
      <c r="M61" s="607" t="s">
        <v>941</v>
      </c>
      <c r="N61" s="606"/>
    </row>
    <row r="62" spans="3:24" ht="15.75" thickBot="1">
      <c r="C62" s="608"/>
      <c r="D62" s="609"/>
      <c r="E62" s="610"/>
      <c r="F62" s="611"/>
      <c r="G62" s="612"/>
      <c r="H62" s="611"/>
      <c r="I62" s="612"/>
      <c r="J62" s="642"/>
      <c r="K62" s="613">
        <v>221581.67</v>
      </c>
      <c r="L62" s="608"/>
      <c r="M62" s="609"/>
      <c r="N62" s="610"/>
    </row>
    <row r="65" spans="3:19" collapsed="1">
      <c r="C65" s="590" t="s">
        <v>921</v>
      </c>
      <c r="D65" s="591"/>
      <c r="E65" s="591"/>
      <c r="F65" s="591"/>
      <c r="G65" s="591"/>
      <c r="H65" s="591"/>
      <c r="I65" s="591"/>
      <c r="J65" s="637"/>
      <c r="K65" s="591"/>
      <c r="L65" s="591"/>
      <c r="M65" s="591"/>
      <c r="N65" s="591"/>
    </row>
    <row r="66" spans="3:19">
      <c r="C66" s="592">
        <v>8.6</v>
      </c>
      <c r="D66" s="591"/>
      <c r="E66" s="591"/>
      <c r="F66" s="591"/>
      <c r="G66" s="591"/>
      <c r="H66" s="591"/>
      <c r="I66" s="591"/>
      <c r="J66" s="637"/>
      <c r="K66" s="591"/>
      <c r="L66" s="591"/>
      <c r="M66" s="591"/>
      <c r="N66" s="591"/>
    </row>
    <row r="67" spans="3:19">
      <c r="C67" s="593" t="s">
        <v>968</v>
      </c>
      <c r="D67" s="591"/>
      <c r="E67" s="591"/>
      <c r="F67" s="591"/>
      <c r="G67" s="591"/>
      <c r="H67" s="591"/>
      <c r="I67" s="591"/>
      <c r="J67" s="637"/>
      <c r="K67" s="591"/>
      <c r="L67" s="591"/>
      <c r="M67" s="591"/>
      <c r="N67" s="591"/>
    </row>
    <row r="68" spans="3:19">
      <c r="C68" s="3515"/>
      <c r="D68" s="3515"/>
      <c r="E68" s="3515"/>
      <c r="F68" s="3515"/>
      <c r="G68" s="3515"/>
      <c r="H68" s="3515"/>
      <c r="I68" s="3515"/>
      <c r="J68" s="3515"/>
      <c r="K68" s="3515"/>
      <c r="L68" s="3515"/>
      <c r="M68" s="594"/>
      <c r="N68" s="594"/>
    </row>
    <row r="69" spans="3:19" ht="15.75" thickBot="1">
      <c r="C69" s="595"/>
      <c r="D69" s="594"/>
      <c r="E69" s="594"/>
      <c r="F69" s="594"/>
      <c r="G69" s="594"/>
      <c r="H69" s="594"/>
      <c r="I69" s="594"/>
      <c r="J69" s="638"/>
      <c r="K69" s="594"/>
      <c r="L69" s="594"/>
      <c r="M69" s="594"/>
      <c r="N69" s="594"/>
    </row>
    <row r="70" spans="3:19" ht="23.25" thickBot="1">
      <c r="C70" s="596" t="s">
        <v>923</v>
      </c>
      <c r="D70" s="596" t="s">
        <v>924</v>
      </c>
      <c r="E70" s="596" t="s">
        <v>925</v>
      </c>
      <c r="F70" s="3516" t="s">
        <v>926</v>
      </c>
      <c r="G70" s="3516"/>
      <c r="H70" s="3516" t="s">
        <v>927</v>
      </c>
      <c r="I70" s="3516"/>
      <c r="J70" s="639"/>
      <c r="K70" s="596" t="s">
        <v>733</v>
      </c>
      <c r="L70" s="597" t="s">
        <v>928</v>
      </c>
      <c r="M70" s="597" t="s">
        <v>929</v>
      </c>
      <c r="N70" s="597" t="s">
        <v>930</v>
      </c>
    </row>
    <row r="71" spans="3:19" ht="56.25">
      <c r="C71" s="3512" t="s">
        <v>969</v>
      </c>
      <c r="D71" s="3512" t="s">
        <v>970</v>
      </c>
      <c r="E71" s="598" t="s">
        <v>971</v>
      </c>
      <c r="F71" s="3514" t="s">
        <v>934</v>
      </c>
      <c r="G71" s="3514"/>
      <c r="H71" s="3514" t="s">
        <v>935</v>
      </c>
      <c r="I71" s="3514"/>
      <c r="J71" s="640"/>
      <c r="K71" s="599">
        <v>105229.17</v>
      </c>
      <c r="L71" s="600" t="s">
        <v>972</v>
      </c>
      <c r="M71" s="600" t="s">
        <v>937</v>
      </c>
      <c r="N71" s="601" t="s">
        <v>938</v>
      </c>
      <c r="Q71" s="574"/>
      <c r="R71" s="574"/>
      <c r="S71" s="574">
        <f>K71+K73+K77+K79+K81+K83+K85+K87+K89+K91+K93+K95+K97+K99+K101+K103+K105+K107+K109+K111+K113+K115+K117+K119+K121</f>
        <v>9331895.8100000005</v>
      </c>
    </row>
    <row r="72" spans="3:19" ht="68.25" thickBot="1">
      <c r="C72" s="3513"/>
      <c r="D72" s="3513"/>
      <c r="E72" s="602" t="s">
        <v>939</v>
      </c>
      <c r="F72" s="603"/>
      <c r="G72" s="604">
        <v>1</v>
      </c>
      <c r="H72" s="603"/>
      <c r="I72" s="605"/>
      <c r="J72" s="641"/>
      <c r="K72" s="606"/>
      <c r="L72" s="607" t="s">
        <v>973</v>
      </c>
      <c r="M72" s="607" t="s">
        <v>974</v>
      </c>
      <c r="N72" s="606"/>
      <c r="P72" s="574">
        <f>G72+G74+G78+G80+G82+G84+G86+G88+G90+G92+G94+G96+G98+G100+G102+G104+G106+G108+G110+G112+G114+G116+G118+G120+G122</f>
        <v>73</v>
      </c>
      <c r="Q72" s="574"/>
      <c r="R72" s="574"/>
      <c r="S72" s="574"/>
    </row>
    <row r="73" spans="3:19" ht="56.25">
      <c r="C73" s="3512" t="s">
        <v>975</v>
      </c>
      <c r="D73" s="3512" t="s">
        <v>976</v>
      </c>
      <c r="E73" s="598" t="s">
        <v>977</v>
      </c>
      <c r="F73" s="3514" t="s">
        <v>934</v>
      </c>
      <c r="G73" s="3514"/>
      <c r="H73" s="3514" t="s">
        <v>935</v>
      </c>
      <c r="I73" s="3514"/>
      <c r="J73" s="640"/>
      <c r="K73" s="599">
        <v>524583.31999999995</v>
      </c>
      <c r="L73" s="600" t="s">
        <v>978</v>
      </c>
      <c r="M73" s="600" t="s">
        <v>937</v>
      </c>
      <c r="N73" s="601" t="s">
        <v>938</v>
      </c>
    </row>
    <row r="74" spans="3:19" ht="68.25" thickBot="1">
      <c r="C74" s="3513"/>
      <c r="D74" s="3513"/>
      <c r="E74" s="602" t="s">
        <v>939</v>
      </c>
      <c r="F74" s="603"/>
      <c r="G74" s="604">
        <v>4</v>
      </c>
      <c r="H74" s="603"/>
      <c r="I74" s="605"/>
      <c r="J74" s="641"/>
      <c r="K74" s="606"/>
      <c r="L74" s="607" t="s">
        <v>973</v>
      </c>
      <c r="M74" s="607" t="s">
        <v>974</v>
      </c>
      <c r="N74" s="606"/>
    </row>
    <row r="75" spans="3:19" ht="56.25">
      <c r="C75" s="3512" t="s">
        <v>975</v>
      </c>
      <c r="D75" s="3512" t="s">
        <v>976</v>
      </c>
      <c r="E75" s="598" t="s">
        <v>977</v>
      </c>
      <c r="F75" s="3514" t="s">
        <v>934</v>
      </c>
      <c r="G75" s="3514"/>
      <c r="H75" s="3514" t="s">
        <v>935</v>
      </c>
      <c r="I75" s="3514"/>
      <c r="J75" s="640"/>
      <c r="K75" s="599">
        <v>105229.19</v>
      </c>
      <c r="L75" s="600" t="s">
        <v>972</v>
      </c>
      <c r="M75" s="600" t="s">
        <v>937</v>
      </c>
      <c r="N75" s="601" t="s">
        <v>938</v>
      </c>
    </row>
    <row r="76" spans="3:19" ht="68.25" thickBot="1">
      <c r="C76" s="3513"/>
      <c r="D76" s="3513"/>
      <c r="E76" s="602" t="s">
        <v>939</v>
      </c>
      <c r="F76" s="603"/>
      <c r="G76" s="604">
        <v>1</v>
      </c>
      <c r="H76" s="603"/>
      <c r="I76" s="605"/>
      <c r="J76" s="641"/>
      <c r="K76" s="606"/>
      <c r="L76" s="607" t="s">
        <v>973</v>
      </c>
      <c r="M76" s="607" t="s">
        <v>974</v>
      </c>
      <c r="N76" s="606"/>
    </row>
    <row r="77" spans="3:19" ht="56.25">
      <c r="C77" s="3512" t="s">
        <v>975</v>
      </c>
      <c r="D77" s="3512" t="s">
        <v>976</v>
      </c>
      <c r="E77" s="598" t="s">
        <v>977</v>
      </c>
      <c r="F77" s="3514" t="s">
        <v>934</v>
      </c>
      <c r="G77" s="3514"/>
      <c r="H77" s="3514" t="s">
        <v>935</v>
      </c>
      <c r="I77" s="3514"/>
      <c r="J77" s="640"/>
      <c r="K77" s="599">
        <v>364541.66</v>
      </c>
      <c r="L77" s="600" t="s">
        <v>979</v>
      </c>
      <c r="M77" s="600" t="s">
        <v>937</v>
      </c>
      <c r="N77" s="601" t="s">
        <v>938</v>
      </c>
    </row>
    <row r="78" spans="3:19" ht="68.25" thickBot="1">
      <c r="C78" s="3513"/>
      <c r="D78" s="3513"/>
      <c r="E78" s="602" t="s">
        <v>939</v>
      </c>
      <c r="F78" s="603"/>
      <c r="G78" s="604">
        <v>2</v>
      </c>
      <c r="H78" s="603"/>
      <c r="I78" s="605"/>
      <c r="J78" s="641"/>
      <c r="K78" s="606"/>
      <c r="L78" s="607" t="s">
        <v>973</v>
      </c>
      <c r="M78" s="607" t="s">
        <v>974</v>
      </c>
      <c r="N78" s="606"/>
    </row>
    <row r="79" spans="3:19" ht="56.25">
      <c r="C79" s="3512" t="s">
        <v>975</v>
      </c>
      <c r="D79" s="3512" t="s">
        <v>980</v>
      </c>
      <c r="E79" s="598" t="s">
        <v>981</v>
      </c>
      <c r="F79" s="3514" t="s">
        <v>934</v>
      </c>
      <c r="G79" s="3514"/>
      <c r="H79" s="3514" t="s">
        <v>935</v>
      </c>
      <c r="I79" s="3514"/>
      <c r="J79" s="640"/>
      <c r="K79" s="599">
        <v>210458.33</v>
      </c>
      <c r="L79" s="600" t="s">
        <v>972</v>
      </c>
      <c r="M79" s="600" t="s">
        <v>937</v>
      </c>
      <c r="N79" s="601" t="s">
        <v>938</v>
      </c>
    </row>
    <row r="80" spans="3:19" ht="68.25" thickBot="1">
      <c r="C80" s="3513"/>
      <c r="D80" s="3513"/>
      <c r="E80" s="602" t="s">
        <v>939</v>
      </c>
      <c r="F80" s="603"/>
      <c r="G80" s="604">
        <v>2</v>
      </c>
      <c r="H80" s="603"/>
      <c r="I80" s="605"/>
      <c r="J80" s="641"/>
      <c r="K80" s="606"/>
      <c r="L80" s="607" t="s">
        <v>973</v>
      </c>
      <c r="M80" s="607" t="s">
        <v>974</v>
      </c>
      <c r="N80" s="606"/>
    </row>
    <row r="81" spans="3:14" ht="56.25">
      <c r="C81" s="3512" t="s">
        <v>982</v>
      </c>
      <c r="D81" s="3512" t="s">
        <v>983</v>
      </c>
      <c r="E81" s="598" t="s">
        <v>984</v>
      </c>
      <c r="F81" s="3514" t="s">
        <v>934</v>
      </c>
      <c r="G81" s="3514"/>
      <c r="H81" s="3514" t="s">
        <v>935</v>
      </c>
      <c r="I81" s="3514"/>
      <c r="J81" s="640"/>
      <c r="K81" s="599">
        <v>524583.34</v>
      </c>
      <c r="L81" s="600" t="s">
        <v>978</v>
      </c>
      <c r="M81" s="600" t="s">
        <v>937</v>
      </c>
      <c r="N81" s="601" t="s">
        <v>938</v>
      </c>
    </row>
    <row r="82" spans="3:14" ht="68.25" thickBot="1">
      <c r="C82" s="3513"/>
      <c r="D82" s="3513"/>
      <c r="E82" s="602" t="s">
        <v>939</v>
      </c>
      <c r="F82" s="603"/>
      <c r="G82" s="604">
        <v>4</v>
      </c>
      <c r="H82" s="603"/>
      <c r="I82" s="605"/>
      <c r="J82" s="641"/>
      <c r="K82" s="606"/>
      <c r="L82" s="607" t="s">
        <v>973</v>
      </c>
      <c r="M82" s="607" t="s">
        <v>974</v>
      </c>
      <c r="N82" s="606"/>
    </row>
    <row r="83" spans="3:14" ht="56.25">
      <c r="C83" s="3512" t="s">
        <v>982</v>
      </c>
      <c r="D83" s="3512" t="s">
        <v>983</v>
      </c>
      <c r="E83" s="598" t="s">
        <v>984</v>
      </c>
      <c r="F83" s="3514" t="s">
        <v>934</v>
      </c>
      <c r="G83" s="3514"/>
      <c r="H83" s="3514" t="s">
        <v>935</v>
      </c>
      <c r="I83" s="3514"/>
      <c r="J83" s="640"/>
      <c r="K83" s="599">
        <v>182270.83</v>
      </c>
      <c r="L83" s="600" t="s">
        <v>979</v>
      </c>
      <c r="M83" s="600" t="s">
        <v>937</v>
      </c>
      <c r="N83" s="601" t="s">
        <v>938</v>
      </c>
    </row>
    <row r="84" spans="3:14" ht="68.25" thickBot="1">
      <c r="C84" s="3513"/>
      <c r="D84" s="3513"/>
      <c r="E84" s="602" t="s">
        <v>939</v>
      </c>
      <c r="F84" s="603"/>
      <c r="G84" s="604">
        <v>1</v>
      </c>
      <c r="H84" s="603"/>
      <c r="I84" s="605"/>
      <c r="J84" s="641"/>
      <c r="K84" s="606"/>
      <c r="L84" s="607" t="s">
        <v>973</v>
      </c>
      <c r="M84" s="607" t="s">
        <v>974</v>
      </c>
      <c r="N84" s="606"/>
    </row>
    <row r="85" spans="3:14" ht="56.25">
      <c r="C85" s="3512" t="s">
        <v>985</v>
      </c>
      <c r="D85" s="3512" t="s">
        <v>986</v>
      </c>
      <c r="E85" s="598" t="s">
        <v>987</v>
      </c>
      <c r="F85" s="3514" t="s">
        <v>934</v>
      </c>
      <c r="G85" s="3514"/>
      <c r="H85" s="3514" t="s">
        <v>935</v>
      </c>
      <c r="I85" s="3514"/>
      <c r="J85" s="640"/>
      <c r="K85" s="599">
        <v>918020.84</v>
      </c>
      <c r="L85" s="600" t="s">
        <v>978</v>
      </c>
      <c r="M85" s="600" t="s">
        <v>937</v>
      </c>
      <c r="N85" s="601" t="s">
        <v>938</v>
      </c>
    </row>
    <row r="86" spans="3:14" ht="68.25" thickBot="1">
      <c r="C86" s="3513"/>
      <c r="D86" s="3513"/>
      <c r="E86" s="602" t="s">
        <v>939</v>
      </c>
      <c r="F86" s="603"/>
      <c r="G86" s="604">
        <v>7</v>
      </c>
      <c r="H86" s="603"/>
      <c r="I86" s="605"/>
      <c r="J86" s="641"/>
      <c r="K86" s="606"/>
      <c r="L86" s="607" t="s">
        <v>973</v>
      </c>
      <c r="M86" s="607" t="s">
        <v>974</v>
      </c>
      <c r="N86" s="606"/>
    </row>
    <row r="87" spans="3:14" ht="56.25">
      <c r="C87" s="3512" t="s">
        <v>985</v>
      </c>
      <c r="D87" s="3512" t="s">
        <v>986</v>
      </c>
      <c r="E87" s="598" t="s">
        <v>987</v>
      </c>
      <c r="F87" s="3514" t="s">
        <v>934</v>
      </c>
      <c r="G87" s="3514"/>
      <c r="H87" s="3514" t="s">
        <v>935</v>
      </c>
      <c r="I87" s="3514"/>
      <c r="J87" s="640"/>
      <c r="K87" s="599">
        <v>182270.83</v>
      </c>
      <c r="L87" s="600" t="s">
        <v>979</v>
      </c>
      <c r="M87" s="600" t="s">
        <v>937</v>
      </c>
      <c r="N87" s="601" t="s">
        <v>938</v>
      </c>
    </row>
    <row r="88" spans="3:14" ht="68.25" thickBot="1">
      <c r="C88" s="3513"/>
      <c r="D88" s="3513"/>
      <c r="E88" s="602" t="s">
        <v>939</v>
      </c>
      <c r="F88" s="603"/>
      <c r="G88" s="604">
        <v>1</v>
      </c>
      <c r="H88" s="603"/>
      <c r="I88" s="605"/>
      <c r="J88" s="641"/>
      <c r="K88" s="606"/>
      <c r="L88" s="607" t="s">
        <v>973</v>
      </c>
      <c r="M88" s="607" t="s">
        <v>974</v>
      </c>
      <c r="N88" s="606"/>
    </row>
    <row r="89" spans="3:14" ht="56.25">
      <c r="C89" s="3512" t="s">
        <v>988</v>
      </c>
      <c r="D89" s="3512" t="s">
        <v>989</v>
      </c>
      <c r="E89" s="598" t="s">
        <v>990</v>
      </c>
      <c r="F89" s="3514" t="s">
        <v>934</v>
      </c>
      <c r="G89" s="3514"/>
      <c r="H89" s="3514" t="s">
        <v>935</v>
      </c>
      <c r="I89" s="3514"/>
      <c r="J89" s="640"/>
      <c r="K89" s="599">
        <v>631375.01</v>
      </c>
      <c r="L89" s="600" t="s">
        <v>972</v>
      </c>
      <c r="M89" s="600" t="s">
        <v>937</v>
      </c>
      <c r="N89" s="601" t="s">
        <v>938</v>
      </c>
    </row>
    <row r="90" spans="3:14" ht="68.25" thickBot="1">
      <c r="C90" s="3513"/>
      <c r="D90" s="3513"/>
      <c r="E90" s="602" t="s">
        <v>939</v>
      </c>
      <c r="F90" s="603"/>
      <c r="G90" s="604">
        <v>6</v>
      </c>
      <c r="H90" s="603"/>
      <c r="I90" s="605"/>
      <c r="J90" s="641"/>
      <c r="K90" s="606"/>
      <c r="L90" s="607" t="s">
        <v>973</v>
      </c>
      <c r="M90" s="607" t="s">
        <v>974</v>
      </c>
      <c r="N90" s="606"/>
    </row>
    <row r="91" spans="3:14" ht="56.25">
      <c r="C91" s="3512" t="s">
        <v>988</v>
      </c>
      <c r="D91" s="3512" t="s">
        <v>989</v>
      </c>
      <c r="E91" s="598" t="s">
        <v>990</v>
      </c>
      <c r="F91" s="3514" t="s">
        <v>934</v>
      </c>
      <c r="G91" s="3514"/>
      <c r="H91" s="3514" t="s">
        <v>935</v>
      </c>
      <c r="I91" s="3514"/>
      <c r="J91" s="640"/>
      <c r="K91" s="599">
        <v>524583.31999999995</v>
      </c>
      <c r="L91" s="600" t="s">
        <v>978</v>
      </c>
      <c r="M91" s="600" t="s">
        <v>937</v>
      </c>
      <c r="N91" s="601" t="s">
        <v>938</v>
      </c>
    </row>
    <row r="92" spans="3:14" ht="68.25" thickBot="1">
      <c r="C92" s="3513"/>
      <c r="D92" s="3513"/>
      <c r="E92" s="602" t="s">
        <v>939</v>
      </c>
      <c r="F92" s="603"/>
      <c r="G92" s="604">
        <v>4</v>
      </c>
      <c r="H92" s="603"/>
      <c r="I92" s="605"/>
      <c r="J92" s="641"/>
      <c r="K92" s="606"/>
      <c r="L92" s="607" t="s">
        <v>973</v>
      </c>
      <c r="M92" s="607" t="s">
        <v>974</v>
      </c>
      <c r="N92" s="606"/>
    </row>
    <row r="93" spans="3:14" ht="56.25">
      <c r="C93" s="3512" t="s">
        <v>991</v>
      </c>
      <c r="D93" s="3512" t="s">
        <v>992</v>
      </c>
      <c r="E93" s="598" t="s">
        <v>993</v>
      </c>
      <c r="F93" s="3514" t="s">
        <v>934</v>
      </c>
      <c r="G93" s="3514"/>
      <c r="H93" s="3514" t="s">
        <v>935</v>
      </c>
      <c r="I93" s="3514"/>
      <c r="J93" s="640"/>
      <c r="K93" s="599">
        <v>420916.68</v>
      </c>
      <c r="L93" s="600" t="s">
        <v>972</v>
      </c>
      <c r="M93" s="600" t="s">
        <v>937</v>
      </c>
      <c r="N93" s="601" t="s">
        <v>938</v>
      </c>
    </row>
    <row r="94" spans="3:14" ht="68.25" thickBot="1">
      <c r="C94" s="3513"/>
      <c r="D94" s="3513"/>
      <c r="E94" s="602" t="s">
        <v>939</v>
      </c>
      <c r="F94" s="603"/>
      <c r="G94" s="604">
        <v>4</v>
      </c>
      <c r="H94" s="603"/>
      <c r="I94" s="605"/>
      <c r="J94" s="641"/>
      <c r="K94" s="606"/>
      <c r="L94" s="607" t="s">
        <v>940</v>
      </c>
      <c r="M94" s="607" t="s">
        <v>974</v>
      </c>
      <c r="N94" s="606"/>
    </row>
    <row r="95" spans="3:14" ht="56.25">
      <c r="C95" s="3512" t="s">
        <v>991</v>
      </c>
      <c r="D95" s="3512" t="s">
        <v>992</v>
      </c>
      <c r="E95" s="598" t="s">
        <v>993</v>
      </c>
      <c r="F95" s="3514" t="s">
        <v>934</v>
      </c>
      <c r="G95" s="3514"/>
      <c r="H95" s="3514" t="s">
        <v>935</v>
      </c>
      <c r="I95" s="3514"/>
      <c r="J95" s="640"/>
      <c r="K95" s="599">
        <v>210458.33</v>
      </c>
      <c r="L95" s="600" t="s">
        <v>994</v>
      </c>
      <c r="M95" s="600" t="s">
        <v>937</v>
      </c>
      <c r="N95" s="601" t="s">
        <v>938</v>
      </c>
    </row>
    <row r="96" spans="3:14" ht="68.25" thickBot="1">
      <c r="C96" s="3513"/>
      <c r="D96" s="3513"/>
      <c r="E96" s="602" t="s">
        <v>939</v>
      </c>
      <c r="F96" s="603"/>
      <c r="G96" s="604">
        <v>2</v>
      </c>
      <c r="H96" s="603"/>
      <c r="I96" s="605"/>
      <c r="J96" s="641"/>
      <c r="K96" s="606"/>
      <c r="L96" s="607" t="s">
        <v>940</v>
      </c>
      <c r="M96" s="607" t="s">
        <v>974</v>
      </c>
      <c r="N96" s="606"/>
    </row>
    <row r="97" spans="3:14" ht="56.25">
      <c r="C97" s="3512" t="s">
        <v>991</v>
      </c>
      <c r="D97" s="3512" t="s">
        <v>992</v>
      </c>
      <c r="E97" s="598" t="s">
        <v>993</v>
      </c>
      <c r="F97" s="3514" t="s">
        <v>934</v>
      </c>
      <c r="G97" s="3514"/>
      <c r="H97" s="3514" t="s">
        <v>935</v>
      </c>
      <c r="I97" s="3514"/>
      <c r="J97" s="640"/>
      <c r="K97" s="599">
        <v>182270.83</v>
      </c>
      <c r="L97" s="600" t="s">
        <v>979</v>
      </c>
      <c r="M97" s="600" t="s">
        <v>937</v>
      </c>
      <c r="N97" s="601" t="s">
        <v>938</v>
      </c>
    </row>
    <row r="98" spans="3:14" ht="68.25" thickBot="1">
      <c r="C98" s="3513"/>
      <c r="D98" s="3513"/>
      <c r="E98" s="602" t="s">
        <v>939</v>
      </c>
      <c r="F98" s="603"/>
      <c r="G98" s="604">
        <v>1</v>
      </c>
      <c r="H98" s="603"/>
      <c r="I98" s="605"/>
      <c r="J98" s="641"/>
      <c r="K98" s="606"/>
      <c r="L98" s="607" t="s">
        <v>940</v>
      </c>
      <c r="M98" s="607" t="s">
        <v>974</v>
      </c>
      <c r="N98" s="606"/>
    </row>
    <row r="99" spans="3:14" ht="56.25">
      <c r="C99" s="3512" t="s">
        <v>991</v>
      </c>
      <c r="D99" s="3512" t="s">
        <v>992</v>
      </c>
      <c r="E99" s="598" t="s">
        <v>993</v>
      </c>
      <c r="F99" s="3514" t="s">
        <v>934</v>
      </c>
      <c r="G99" s="3514"/>
      <c r="H99" s="3514" t="s">
        <v>935</v>
      </c>
      <c r="I99" s="3514"/>
      <c r="J99" s="640"/>
      <c r="K99" s="599">
        <v>393437.49</v>
      </c>
      <c r="L99" s="600" t="s">
        <v>978</v>
      </c>
      <c r="M99" s="600" t="s">
        <v>937</v>
      </c>
      <c r="N99" s="601" t="s">
        <v>938</v>
      </c>
    </row>
    <row r="100" spans="3:14" ht="68.25" thickBot="1">
      <c r="C100" s="3513"/>
      <c r="D100" s="3513"/>
      <c r="E100" s="602" t="s">
        <v>939</v>
      </c>
      <c r="F100" s="603"/>
      <c r="G100" s="604">
        <v>3</v>
      </c>
      <c r="H100" s="603"/>
      <c r="I100" s="605"/>
      <c r="J100" s="641"/>
      <c r="K100" s="606"/>
      <c r="L100" s="607" t="s">
        <v>940</v>
      </c>
      <c r="M100" s="607" t="s">
        <v>974</v>
      </c>
      <c r="N100" s="606"/>
    </row>
    <row r="101" spans="3:14" ht="56.25">
      <c r="C101" s="3512" t="s">
        <v>995</v>
      </c>
      <c r="D101" s="3512" t="s">
        <v>996</v>
      </c>
      <c r="E101" s="598" t="s">
        <v>997</v>
      </c>
      <c r="F101" s="3514" t="s">
        <v>934</v>
      </c>
      <c r="G101" s="3514"/>
      <c r="H101" s="3514" t="s">
        <v>935</v>
      </c>
      <c r="I101" s="3514"/>
      <c r="J101" s="640"/>
      <c r="K101" s="599">
        <v>315687.5</v>
      </c>
      <c r="L101" s="600" t="s">
        <v>972</v>
      </c>
      <c r="M101" s="600" t="s">
        <v>937</v>
      </c>
      <c r="N101" s="601" t="s">
        <v>938</v>
      </c>
    </row>
    <row r="102" spans="3:14" ht="68.25" thickBot="1">
      <c r="C102" s="3513"/>
      <c r="D102" s="3513"/>
      <c r="E102" s="602" t="s">
        <v>939</v>
      </c>
      <c r="F102" s="603"/>
      <c r="G102" s="604">
        <v>3</v>
      </c>
      <c r="H102" s="603"/>
      <c r="I102" s="605"/>
      <c r="J102" s="641"/>
      <c r="K102" s="606"/>
      <c r="L102" s="607" t="s">
        <v>940</v>
      </c>
      <c r="M102" s="607" t="s">
        <v>974</v>
      </c>
      <c r="N102" s="606"/>
    </row>
    <row r="103" spans="3:14" ht="56.25">
      <c r="C103" s="3512" t="s">
        <v>998</v>
      </c>
      <c r="D103" s="3512" t="s">
        <v>999</v>
      </c>
      <c r="E103" s="598" t="s">
        <v>1000</v>
      </c>
      <c r="F103" s="3514" t="s">
        <v>934</v>
      </c>
      <c r="G103" s="3514"/>
      <c r="H103" s="3514" t="s">
        <v>935</v>
      </c>
      <c r="I103" s="3514"/>
      <c r="J103" s="640"/>
      <c r="K103" s="599">
        <v>1093625</v>
      </c>
      <c r="L103" s="600" t="s">
        <v>979</v>
      </c>
      <c r="M103" s="600" t="s">
        <v>937</v>
      </c>
      <c r="N103" s="601" t="s">
        <v>938</v>
      </c>
    </row>
    <row r="104" spans="3:14" ht="68.25" thickBot="1">
      <c r="C104" s="3513"/>
      <c r="D104" s="3513"/>
      <c r="E104" s="602" t="s">
        <v>939</v>
      </c>
      <c r="F104" s="603"/>
      <c r="G104" s="604">
        <v>6</v>
      </c>
      <c r="H104" s="603"/>
      <c r="I104" s="605"/>
      <c r="J104" s="641"/>
      <c r="K104" s="606"/>
      <c r="L104" s="607" t="s">
        <v>940</v>
      </c>
      <c r="M104" s="607" t="s">
        <v>974</v>
      </c>
      <c r="N104" s="606"/>
    </row>
    <row r="105" spans="3:14" ht="56.25">
      <c r="C105" s="3512" t="s">
        <v>998</v>
      </c>
      <c r="D105" s="3512" t="s">
        <v>999</v>
      </c>
      <c r="E105" s="598" t="s">
        <v>1000</v>
      </c>
      <c r="F105" s="3514" t="s">
        <v>934</v>
      </c>
      <c r="G105" s="3514"/>
      <c r="H105" s="3514" t="s">
        <v>935</v>
      </c>
      <c r="I105" s="3514"/>
      <c r="J105" s="640"/>
      <c r="K105" s="599">
        <v>105229.17</v>
      </c>
      <c r="L105" s="600" t="s">
        <v>972</v>
      </c>
      <c r="M105" s="600" t="s">
        <v>937</v>
      </c>
      <c r="N105" s="601" t="s">
        <v>938</v>
      </c>
    </row>
    <row r="106" spans="3:14" ht="68.25" thickBot="1">
      <c r="C106" s="3513"/>
      <c r="D106" s="3513"/>
      <c r="E106" s="602" t="s">
        <v>939</v>
      </c>
      <c r="F106" s="603"/>
      <c r="G106" s="604">
        <v>1</v>
      </c>
      <c r="H106" s="603"/>
      <c r="I106" s="605"/>
      <c r="J106" s="641"/>
      <c r="K106" s="606"/>
      <c r="L106" s="607" t="s">
        <v>940</v>
      </c>
      <c r="M106" s="607" t="s">
        <v>974</v>
      </c>
      <c r="N106" s="606"/>
    </row>
    <row r="107" spans="3:14" ht="56.25">
      <c r="C107" s="3512" t="s">
        <v>1001</v>
      </c>
      <c r="D107" s="3512" t="s">
        <v>1002</v>
      </c>
      <c r="E107" s="598" t="s">
        <v>1003</v>
      </c>
      <c r="F107" s="3514" t="s">
        <v>934</v>
      </c>
      <c r="G107" s="3514"/>
      <c r="H107" s="3514" t="s">
        <v>935</v>
      </c>
      <c r="I107" s="3514"/>
      <c r="J107" s="640"/>
      <c r="K107" s="599">
        <v>736604.18</v>
      </c>
      <c r="L107" s="600" t="s">
        <v>972</v>
      </c>
      <c r="M107" s="600" t="s">
        <v>937</v>
      </c>
      <c r="N107" s="601" t="s">
        <v>938</v>
      </c>
    </row>
    <row r="108" spans="3:14" ht="68.25" thickBot="1">
      <c r="C108" s="3513"/>
      <c r="D108" s="3513"/>
      <c r="E108" s="602" t="s">
        <v>939</v>
      </c>
      <c r="F108" s="603"/>
      <c r="G108" s="604">
        <v>7</v>
      </c>
      <c r="H108" s="603"/>
      <c r="I108" s="605"/>
      <c r="J108" s="641"/>
      <c r="K108" s="606"/>
      <c r="L108" s="607" t="s">
        <v>940</v>
      </c>
      <c r="M108" s="607" t="s">
        <v>974</v>
      </c>
      <c r="N108" s="606"/>
    </row>
    <row r="109" spans="3:14" ht="56.25">
      <c r="C109" s="3512" t="s">
        <v>1001</v>
      </c>
      <c r="D109" s="3512" t="s">
        <v>1002</v>
      </c>
      <c r="E109" s="598" t="s">
        <v>1003</v>
      </c>
      <c r="F109" s="3514" t="s">
        <v>934</v>
      </c>
      <c r="G109" s="3514"/>
      <c r="H109" s="3514" t="s">
        <v>935</v>
      </c>
      <c r="I109" s="3514"/>
      <c r="J109" s="640"/>
      <c r="K109" s="599">
        <v>524583.31999999995</v>
      </c>
      <c r="L109" s="600" t="s">
        <v>978</v>
      </c>
      <c r="M109" s="600" t="s">
        <v>937</v>
      </c>
      <c r="N109" s="601" t="s">
        <v>938</v>
      </c>
    </row>
    <row r="110" spans="3:14" ht="68.25" thickBot="1">
      <c r="C110" s="3513"/>
      <c r="D110" s="3513"/>
      <c r="E110" s="602" t="s">
        <v>939</v>
      </c>
      <c r="F110" s="603"/>
      <c r="G110" s="604">
        <v>4</v>
      </c>
      <c r="H110" s="603"/>
      <c r="I110" s="605"/>
      <c r="J110" s="641"/>
      <c r="K110" s="606"/>
      <c r="L110" s="607" t="s">
        <v>940</v>
      </c>
      <c r="M110" s="607" t="s">
        <v>974</v>
      </c>
      <c r="N110" s="606"/>
    </row>
    <row r="111" spans="3:14" ht="56.25">
      <c r="C111" s="3512" t="s">
        <v>1001</v>
      </c>
      <c r="D111" s="3512" t="s">
        <v>1002</v>
      </c>
      <c r="E111" s="598" t="s">
        <v>1003</v>
      </c>
      <c r="F111" s="3514" t="s">
        <v>934</v>
      </c>
      <c r="G111" s="3514"/>
      <c r="H111" s="3514" t="s">
        <v>935</v>
      </c>
      <c r="I111" s="3514"/>
      <c r="J111" s="640"/>
      <c r="K111" s="599">
        <v>182270.83</v>
      </c>
      <c r="L111" s="600" t="s">
        <v>979</v>
      </c>
      <c r="M111" s="600" t="s">
        <v>937</v>
      </c>
      <c r="N111" s="601" t="s">
        <v>938</v>
      </c>
    </row>
    <row r="112" spans="3:14" ht="68.25" thickBot="1">
      <c r="C112" s="3513"/>
      <c r="D112" s="3513"/>
      <c r="E112" s="602" t="s">
        <v>939</v>
      </c>
      <c r="F112" s="603"/>
      <c r="G112" s="604">
        <v>1</v>
      </c>
      <c r="H112" s="603"/>
      <c r="I112" s="605"/>
      <c r="J112" s="641"/>
      <c r="K112" s="606"/>
      <c r="L112" s="607" t="s">
        <v>940</v>
      </c>
      <c r="M112" s="607" t="s">
        <v>974</v>
      </c>
      <c r="N112" s="606"/>
    </row>
    <row r="113" spans="3:19" ht="56.25">
      <c r="C113" s="3512" t="s">
        <v>1004</v>
      </c>
      <c r="D113" s="3512" t="s">
        <v>1005</v>
      </c>
      <c r="E113" s="598" t="s">
        <v>1006</v>
      </c>
      <c r="F113" s="3514" t="s">
        <v>934</v>
      </c>
      <c r="G113" s="3514"/>
      <c r="H113" s="3514" t="s">
        <v>935</v>
      </c>
      <c r="I113" s="3514"/>
      <c r="J113" s="640"/>
      <c r="K113" s="599">
        <v>105229.17</v>
      </c>
      <c r="L113" s="600" t="s">
        <v>1007</v>
      </c>
      <c r="M113" s="600" t="s">
        <v>937</v>
      </c>
      <c r="N113" s="601" t="s">
        <v>938</v>
      </c>
    </row>
    <row r="114" spans="3:19" ht="68.25" thickBot="1">
      <c r="C114" s="3513"/>
      <c r="D114" s="3513"/>
      <c r="E114" s="602" t="s">
        <v>939</v>
      </c>
      <c r="F114" s="603"/>
      <c r="G114" s="604">
        <v>1</v>
      </c>
      <c r="H114" s="603"/>
      <c r="I114" s="605"/>
      <c r="J114" s="641"/>
      <c r="K114" s="606"/>
      <c r="L114" s="607" t="s">
        <v>940</v>
      </c>
      <c r="M114" s="607" t="s">
        <v>974</v>
      </c>
      <c r="N114" s="606"/>
    </row>
    <row r="115" spans="3:19" ht="56.25">
      <c r="C115" s="3512" t="s">
        <v>1004</v>
      </c>
      <c r="D115" s="3512" t="s">
        <v>1005</v>
      </c>
      <c r="E115" s="598" t="s">
        <v>1006</v>
      </c>
      <c r="F115" s="3514" t="s">
        <v>934</v>
      </c>
      <c r="G115" s="3514"/>
      <c r="H115" s="3514" t="s">
        <v>935</v>
      </c>
      <c r="I115" s="3514"/>
      <c r="J115" s="640"/>
      <c r="K115" s="599">
        <v>526145.82999999996</v>
      </c>
      <c r="L115" s="600" t="s">
        <v>972</v>
      </c>
      <c r="M115" s="600" t="s">
        <v>937</v>
      </c>
      <c r="N115" s="601" t="s">
        <v>938</v>
      </c>
    </row>
    <row r="116" spans="3:19" ht="68.25" thickBot="1">
      <c r="C116" s="3513"/>
      <c r="D116" s="3513"/>
      <c r="E116" s="602" t="s">
        <v>939</v>
      </c>
      <c r="F116" s="603"/>
      <c r="G116" s="604">
        <v>5</v>
      </c>
      <c r="H116" s="603"/>
      <c r="I116" s="605"/>
      <c r="J116" s="641"/>
      <c r="K116" s="606"/>
      <c r="L116" s="607" t="s">
        <v>940</v>
      </c>
      <c r="M116" s="607" t="s">
        <v>974</v>
      </c>
      <c r="N116" s="606"/>
    </row>
    <row r="117" spans="3:19" ht="56.25">
      <c r="C117" s="3512" t="s">
        <v>1004</v>
      </c>
      <c r="D117" s="3512" t="s">
        <v>1005</v>
      </c>
      <c r="E117" s="598" t="s">
        <v>1006</v>
      </c>
      <c r="F117" s="3514" t="s">
        <v>934</v>
      </c>
      <c r="G117" s="3514"/>
      <c r="H117" s="3514" t="s">
        <v>935</v>
      </c>
      <c r="I117" s="3514"/>
      <c r="J117" s="640"/>
      <c r="K117" s="599">
        <v>131145.82999999999</v>
      </c>
      <c r="L117" s="600" t="s">
        <v>978</v>
      </c>
      <c r="M117" s="600" t="s">
        <v>937</v>
      </c>
      <c r="N117" s="601" t="s">
        <v>938</v>
      </c>
    </row>
    <row r="118" spans="3:19" ht="68.25" thickBot="1">
      <c r="C118" s="3513"/>
      <c r="D118" s="3513"/>
      <c r="E118" s="602" t="s">
        <v>939</v>
      </c>
      <c r="F118" s="603"/>
      <c r="G118" s="604">
        <v>1</v>
      </c>
      <c r="H118" s="603"/>
      <c r="I118" s="605"/>
      <c r="J118" s="641"/>
      <c r="K118" s="606"/>
      <c r="L118" s="607" t="s">
        <v>940</v>
      </c>
      <c r="M118" s="607" t="s">
        <v>974</v>
      </c>
      <c r="N118" s="606"/>
    </row>
    <row r="119" spans="3:19" ht="56.25">
      <c r="C119" s="3512" t="s">
        <v>1008</v>
      </c>
      <c r="D119" s="3512" t="s">
        <v>1009</v>
      </c>
      <c r="E119" s="598" t="s">
        <v>1010</v>
      </c>
      <c r="F119" s="3514" t="s">
        <v>934</v>
      </c>
      <c r="G119" s="3514"/>
      <c r="H119" s="3514" t="s">
        <v>935</v>
      </c>
      <c r="I119" s="3514"/>
      <c r="J119" s="640"/>
      <c r="K119" s="599">
        <v>131145.82999999999</v>
      </c>
      <c r="L119" s="600" t="s">
        <v>978</v>
      </c>
      <c r="M119" s="600" t="s">
        <v>937</v>
      </c>
      <c r="N119" s="601" t="s">
        <v>938</v>
      </c>
    </row>
    <row r="120" spans="3:19" ht="68.25" thickBot="1">
      <c r="C120" s="3513"/>
      <c r="D120" s="3513"/>
      <c r="E120" s="602" t="s">
        <v>939</v>
      </c>
      <c r="F120" s="603"/>
      <c r="G120" s="604">
        <v>1</v>
      </c>
      <c r="H120" s="603"/>
      <c r="I120" s="605"/>
      <c r="J120" s="641"/>
      <c r="K120" s="606"/>
      <c r="L120" s="607" t="s">
        <v>940</v>
      </c>
      <c r="M120" s="607" t="s">
        <v>974</v>
      </c>
      <c r="N120" s="606"/>
    </row>
    <row r="121" spans="3:19" ht="56.25">
      <c r="C121" s="3512" t="s">
        <v>1008</v>
      </c>
      <c r="D121" s="3512" t="s">
        <v>1009</v>
      </c>
      <c r="E121" s="598" t="s">
        <v>1010</v>
      </c>
      <c r="F121" s="3514" t="s">
        <v>934</v>
      </c>
      <c r="G121" s="3514"/>
      <c r="H121" s="3514" t="s">
        <v>935</v>
      </c>
      <c r="I121" s="3514"/>
      <c r="J121" s="640"/>
      <c r="K121" s="599">
        <v>105229.17</v>
      </c>
      <c r="L121" s="600" t="s">
        <v>972</v>
      </c>
      <c r="M121" s="600" t="s">
        <v>937</v>
      </c>
      <c r="N121" s="601" t="s">
        <v>938</v>
      </c>
    </row>
    <row r="122" spans="3:19" ht="68.25" thickBot="1">
      <c r="C122" s="3513"/>
      <c r="D122" s="3513"/>
      <c r="E122" s="602" t="s">
        <v>939</v>
      </c>
      <c r="F122" s="603"/>
      <c r="G122" s="604">
        <v>1</v>
      </c>
      <c r="H122" s="603"/>
      <c r="I122" s="605"/>
      <c r="J122" s="641"/>
      <c r="K122" s="606"/>
      <c r="L122" s="607" t="s">
        <v>940</v>
      </c>
      <c r="M122" s="607" t="s">
        <v>974</v>
      </c>
      <c r="N122" s="606"/>
      <c r="P122" s="574">
        <f t="shared" ref="P122:R123" si="2">G123+G125+G127+G129+G131+G133+G135+G137+G139+G141+G143+G145+G147+G149+G151+G153+G155+G157+G159+G161+G163+G165+G167+G169+G171+G173+G175+G177</f>
        <v>0</v>
      </c>
      <c r="Q122" s="574" t="e">
        <f t="shared" si="2"/>
        <v>#VALUE!</v>
      </c>
      <c r="R122" s="574">
        <f t="shared" si="2"/>
        <v>0</v>
      </c>
      <c r="S122" s="574">
        <f>K123+K125+K127+K129+K131+K133+K135+K137+K139+K141+K143+K145+K147+K149+K151+K153+K155+K157+K159+K161+K163+K165+K167+K169+K171+K173+K175+K177</f>
        <v>22840895.829999994</v>
      </c>
    </row>
    <row r="123" spans="3:19" ht="56.25" collapsed="1">
      <c r="C123" s="3512" t="s">
        <v>1011</v>
      </c>
      <c r="D123" s="3512" t="s">
        <v>1012</v>
      </c>
      <c r="E123" s="598" t="s">
        <v>1013</v>
      </c>
      <c r="F123" s="3514" t="s">
        <v>934</v>
      </c>
      <c r="G123" s="3514"/>
      <c r="H123" s="3514" t="s">
        <v>935</v>
      </c>
      <c r="I123" s="3514"/>
      <c r="J123" s="640"/>
      <c r="K123" s="599">
        <v>262291.65999999997</v>
      </c>
      <c r="L123" s="600" t="s">
        <v>978</v>
      </c>
      <c r="M123" s="600" t="s">
        <v>937</v>
      </c>
      <c r="N123" s="601" t="s">
        <v>938</v>
      </c>
      <c r="P123" s="574">
        <f t="shared" si="2"/>
        <v>173</v>
      </c>
      <c r="Q123" s="574">
        <f t="shared" si="2"/>
        <v>0</v>
      </c>
      <c r="R123" s="574">
        <f t="shared" si="2"/>
        <v>0</v>
      </c>
      <c r="S123" s="574">
        <f>K124+K126+K128+K130+K132+K134+K136+K138+K140+K142+K144+K146+K148+K150+K152+K154+K156+K158+K160+K162+K164+K166+K168+K170+K172+K174+K176+K178</f>
        <v>0</v>
      </c>
    </row>
    <row r="124" spans="3:19" ht="68.25" thickBot="1">
      <c r="C124" s="3513"/>
      <c r="D124" s="3513"/>
      <c r="E124" s="602" t="s">
        <v>939</v>
      </c>
      <c r="F124" s="603"/>
      <c r="G124" s="604">
        <v>2</v>
      </c>
      <c r="H124" s="603"/>
      <c r="I124" s="605"/>
      <c r="J124" s="641"/>
      <c r="K124" s="606"/>
      <c r="L124" s="607" t="s">
        <v>940</v>
      </c>
      <c r="M124" s="607" t="s">
        <v>974</v>
      </c>
      <c r="N124" s="606"/>
    </row>
    <row r="125" spans="3:19" ht="56.25">
      <c r="C125" s="3512" t="s">
        <v>1011</v>
      </c>
      <c r="D125" s="3512" t="s">
        <v>1012</v>
      </c>
      <c r="E125" s="598" t="s">
        <v>1013</v>
      </c>
      <c r="F125" s="3514" t="s">
        <v>934</v>
      </c>
      <c r="G125" s="3514"/>
      <c r="H125" s="3514" t="s">
        <v>935</v>
      </c>
      <c r="I125" s="3514"/>
      <c r="J125" s="640"/>
      <c r="K125" s="599">
        <v>105229.17</v>
      </c>
      <c r="L125" s="600" t="s">
        <v>1007</v>
      </c>
      <c r="M125" s="600" t="s">
        <v>937</v>
      </c>
      <c r="N125" s="601" t="s">
        <v>938</v>
      </c>
    </row>
    <row r="126" spans="3:19" ht="68.25" thickBot="1">
      <c r="C126" s="3513"/>
      <c r="D126" s="3513"/>
      <c r="E126" s="602" t="s">
        <v>939</v>
      </c>
      <c r="F126" s="603"/>
      <c r="G126" s="604">
        <v>1</v>
      </c>
      <c r="H126" s="603"/>
      <c r="I126" s="605"/>
      <c r="J126" s="641"/>
      <c r="K126" s="606"/>
      <c r="L126" s="607" t="s">
        <v>940</v>
      </c>
      <c r="M126" s="607" t="s">
        <v>974</v>
      </c>
      <c r="N126" s="606"/>
    </row>
    <row r="127" spans="3:19" ht="56.25">
      <c r="C127" s="3512" t="s">
        <v>1014</v>
      </c>
      <c r="D127" s="3512" t="s">
        <v>1015</v>
      </c>
      <c r="E127" s="598" t="s">
        <v>1016</v>
      </c>
      <c r="F127" s="3514" t="s">
        <v>934</v>
      </c>
      <c r="G127" s="3514"/>
      <c r="H127" s="3514" t="s">
        <v>935</v>
      </c>
      <c r="I127" s="3514"/>
      <c r="J127" s="640"/>
      <c r="K127" s="599">
        <v>1311458.3</v>
      </c>
      <c r="L127" s="600" t="s">
        <v>978</v>
      </c>
      <c r="M127" s="600" t="s">
        <v>937</v>
      </c>
      <c r="N127" s="601" t="s">
        <v>938</v>
      </c>
    </row>
    <row r="128" spans="3:19" ht="68.25" thickBot="1">
      <c r="C128" s="3513"/>
      <c r="D128" s="3513"/>
      <c r="E128" s="602" t="s">
        <v>939</v>
      </c>
      <c r="F128" s="603"/>
      <c r="G128" s="604">
        <v>10</v>
      </c>
      <c r="H128" s="603"/>
      <c r="I128" s="605"/>
      <c r="J128" s="641"/>
      <c r="K128" s="606"/>
      <c r="L128" s="607" t="s">
        <v>940</v>
      </c>
      <c r="M128" s="607" t="s">
        <v>974</v>
      </c>
      <c r="N128" s="606"/>
    </row>
    <row r="129" spans="3:14" ht="56.25">
      <c r="C129" s="3512" t="s">
        <v>1014</v>
      </c>
      <c r="D129" s="3512" t="s">
        <v>1015</v>
      </c>
      <c r="E129" s="598" t="s">
        <v>1016</v>
      </c>
      <c r="F129" s="3514" t="s">
        <v>934</v>
      </c>
      <c r="G129" s="3514"/>
      <c r="H129" s="3514" t="s">
        <v>935</v>
      </c>
      <c r="I129" s="3514"/>
      <c r="J129" s="640"/>
      <c r="K129" s="599">
        <v>655729.19999999995</v>
      </c>
      <c r="L129" s="600" t="s">
        <v>1007</v>
      </c>
      <c r="M129" s="600" t="s">
        <v>937</v>
      </c>
      <c r="N129" s="601" t="s">
        <v>938</v>
      </c>
    </row>
    <row r="130" spans="3:14" ht="68.25" thickBot="1">
      <c r="C130" s="3513"/>
      <c r="D130" s="3513"/>
      <c r="E130" s="602" t="s">
        <v>939</v>
      </c>
      <c r="F130" s="603"/>
      <c r="G130" s="604">
        <v>5</v>
      </c>
      <c r="H130" s="603"/>
      <c r="I130" s="605"/>
      <c r="J130" s="641"/>
      <c r="K130" s="606"/>
      <c r="L130" s="607" t="s">
        <v>940</v>
      </c>
      <c r="M130" s="607" t="s">
        <v>974</v>
      </c>
      <c r="N130" s="606"/>
    </row>
    <row r="131" spans="3:14" ht="56.25">
      <c r="C131" s="3512" t="s">
        <v>1017</v>
      </c>
      <c r="D131" s="3512" t="s">
        <v>1018</v>
      </c>
      <c r="E131" s="598" t="s">
        <v>1019</v>
      </c>
      <c r="F131" s="3514" t="s">
        <v>934</v>
      </c>
      <c r="G131" s="3514"/>
      <c r="H131" s="3514" t="s">
        <v>935</v>
      </c>
      <c r="I131" s="3514"/>
      <c r="J131" s="640"/>
      <c r="K131" s="599">
        <v>393437.49</v>
      </c>
      <c r="L131" s="600" t="s">
        <v>978</v>
      </c>
      <c r="M131" s="600" t="s">
        <v>937</v>
      </c>
      <c r="N131" s="601" t="s">
        <v>938</v>
      </c>
    </row>
    <row r="132" spans="3:14" ht="68.25" thickBot="1">
      <c r="C132" s="3513"/>
      <c r="D132" s="3513"/>
      <c r="E132" s="602" t="s">
        <v>939</v>
      </c>
      <c r="F132" s="603"/>
      <c r="G132" s="604">
        <v>3</v>
      </c>
      <c r="H132" s="603"/>
      <c r="I132" s="605"/>
      <c r="J132" s="641"/>
      <c r="K132" s="606"/>
      <c r="L132" s="607" t="s">
        <v>940</v>
      </c>
      <c r="M132" s="607" t="s">
        <v>974</v>
      </c>
      <c r="N132" s="606"/>
    </row>
    <row r="133" spans="3:14" ht="56.25">
      <c r="C133" s="3512" t="s">
        <v>1017</v>
      </c>
      <c r="D133" s="3512" t="s">
        <v>1018</v>
      </c>
      <c r="E133" s="598" t="s">
        <v>1019</v>
      </c>
      <c r="F133" s="3514" t="s">
        <v>934</v>
      </c>
      <c r="G133" s="3514"/>
      <c r="H133" s="3514" t="s">
        <v>935</v>
      </c>
      <c r="I133" s="3514"/>
      <c r="J133" s="640"/>
      <c r="K133" s="599">
        <v>262291.68</v>
      </c>
      <c r="L133" s="600" t="s">
        <v>1007</v>
      </c>
      <c r="M133" s="600" t="s">
        <v>937</v>
      </c>
      <c r="N133" s="601" t="s">
        <v>938</v>
      </c>
    </row>
    <row r="134" spans="3:14" ht="68.25" thickBot="1">
      <c r="C134" s="3513"/>
      <c r="D134" s="3513"/>
      <c r="E134" s="602" t="s">
        <v>939</v>
      </c>
      <c r="F134" s="603"/>
      <c r="G134" s="604">
        <v>2</v>
      </c>
      <c r="H134" s="603"/>
      <c r="I134" s="605"/>
      <c r="J134" s="641"/>
      <c r="K134" s="606"/>
      <c r="L134" s="607" t="s">
        <v>940</v>
      </c>
      <c r="M134" s="607" t="s">
        <v>974</v>
      </c>
      <c r="N134" s="606"/>
    </row>
    <row r="135" spans="3:14" ht="56.25">
      <c r="C135" s="3512" t="s">
        <v>1020</v>
      </c>
      <c r="D135" s="3512" t="s">
        <v>1021</v>
      </c>
      <c r="E135" s="598" t="s">
        <v>1022</v>
      </c>
      <c r="F135" s="3514" t="s">
        <v>934</v>
      </c>
      <c r="G135" s="3514"/>
      <c r="H135" s="3514" t="s">
        <v>935</v>
      </c>
      <c r="I135" s="3514"/>
      <c r="J135" s="640"/>
      <c r="K135" s="599">
        <v>2229479.11</v>
      </c>
      <c r="L135" s="600" t="s">
        <v>978</v>
      </c>
      <c r="M135" s="600" t="s">
        <v>937</v>
      </c>
      <c r="N135" s="601" t="s">
        <v>938</v>
      </c>
    </row>
    <row r="136" spans="3:14" ht="68.25" thickBot="1">
      <c r="C136" s="3513"/>
      <c r="D136" s="3513"/>
      <c r="E136" s="602" t="s">
        <v>939</v>
      </c>
      <c r="F136" s="603"/>
      <c r="G136" s="604">
        <v>17</v>
      </c>
      <c r="H136" s="603"/>
      <c r="I136" s="605"/>
      <c r="J136" s="641"/>
      <c r="K136" s="606"/>
      <c r="L136" s="607" t="s">
        <v>940</v>
      </c>
      <c r="M136" s="607" t="s">
        <v>974</v>
      </c>
      <c r="N136" s="606"/>
    </row>
    <row r="137" spans="3:14" ht="56.25">
      <c r="C137" s="3512" t="s">
        <v>1020</v>
      </c>
      <c r="D137" s="3512" t="s">
        <v>1021</v>
      </c>
      <c r="E137" s="598" t="s">
        <v>1022</v>
      </c>
      <c r="F137" s="3514" t="s">
        <v>934</v>
      </c>
      <c r="G137" s="3514"/>
      <c r="H137" s="3514" t="s">
        <v>935</v>
      </c>
      <c r="I137" s="3514"/>
      <c r="J137" s="640"/>
      <c r="K137" s="599">
        <v>1180312.56</v>
      </c>
      <c r="L137" s="600" t="s">
        <v>1007</v>
      </c>
      <c r="M137" s="600" t="s">
        <v>937</v>
      </c>
      <c r="N137" s="601" t="s">
        <v>938</v>
      </c>
    </row>
    <row r="138" spans="3:14" ht="68.25" thickBot="1">
      <c r="C138" s="3513"/>
      <c r="D138" s="3513"/>
      <c r="E138" s="602" t="s">
        <v>939</v>
      </c>
      <c r="F138" s="603"/>
      <c r="G138" s="604">
        <v>9</v>
      </c>
      <c r="H138" s="603"/>
      <c r="I138" s="605"/>
      <c r="J138" s="641"/>
      <c r="K138" s="606"/>
      <c r="L138" s="607" t="s">
        <v>940</v>
      </c>
      <c r="M138" s="607" t="s">
        <v>974</v>
      </c>
      <c r="N138" s="606"/>
    </row>
    <row r="139" spans="3:14" ht="56.25">
      <c r="C139" s="3512" t="s">
        <v>1023</v>
      </c>
      <c r="D139" s="3512" t="s">
        <v>1024</v>
      </c>
      <c r="E139" s="598" t="s">
        <v>1025</v>
      </c>
      <c r="F139" s="3514" t="s">
        <v>934</v>
      </c>
      <c r="G139" s="3514"/>
      <c r="H139" s="3514" t="s">
        <v>935</v>
      </c>
      <c r="I139" s="3514"/>
      <c r="J139" s="640"/>
      <c r="K139" s="599">
        <v>182270.83</v>
      </c>
      <c r="L139" s="600" t="s">
        <v>979</v>
      </c>
      <c r="M139" s="600" t="s">
        <v>937</v>
      </c>
      <c r="N139" s="601" t="s">
        <v>938</v>
      </c>
    </row>
    <row r="140" spans="3:14" ht="68.25" thickBot="1">
      <c r="C140" s="3513"/>
      <c r="D140" s="3513"/>
      <c r="E140" s="602" t="s">
        <v>939</v>
      </c>
      <c r="F140" s="603"/>
      <c r="G140" s="604">
        <v>1</v>
      </c>
      <c r="H140" s="603"/>
      <c r="I140" s="605"/>
      <c r="J140" s="641"/>
      <c r="K140" s="606"/>
      <c r="L140" s="607" t="s">
        <v>940</v>
      </c>
      <c r="M140" s="607" t="s">
        <v>974</v>
      </c>
      <c r="N140" s="606"/>
    </row>
    <row r="141" spans="3:14" ht="56.25">
      <c r="C141" s="3512" t="s">
        <v>1023</v>
      </c>
      <c r="D141" s="3512" t="s">
        <v>1024</v>
      </c>
      <c r="E141" s="598" t="s">
        <v>1025</v>
      </c>
      <c r="F141" s="3514" t="s">
        <v>934</v>
      </c>
      <c r="G141" s="3514"/>
      <c r="H141" s="3514" t="s">
        <v>935</v>
      </c>
      <c r="I141" s="3514"/>
      <c r="J141" s="640"/>
      <c r="K141" s="599">
        <v>1049166.6399999999</v>
      </c>
      <c r="L141" s="600" t="s">
        <v>978</v>
      </c>
      <c r="M141" s="600" t="s">
        <v>937</v>
      </c>
      <c r="N141" s="601" t="s">
        <v>938</v>
      </c>
    </row>
    <row r="142" spans="3:14" ht="68.25" thickBot="1">
      <c r="C142" s="3513"/>
      <c r="D142" s="3513"/>
      <c r="E142" s="602" t="s">
        <v>939</v>
      </c>
      <c r="F142" s="603"/>
      <c r="G142" s="604">
        <v>8</v>
      </c>
      <c r="H142" s="603"/>
      <c r="I142" s="605"/>
      <c r="J142" s="641"/>
      <c r="K142" s="606"/>
      <c r="L142" s="607" t="s">
        <v>940</v>
      </c>
      <c r="M142" s="607" t="s">
        <v>974</v>
      </c>
      <c r="N142" s="606"/>
    </row>
    <row r="143" spans="3:14" ht="56.25">
      <c r="C143" s="3512" t="s">
        <v>1023</v>
      </c>
      <c r="D143" s="3512" t="s">
        <v>1024</v>
      </c>
      <c r="E143" s="598" t="s">
        <v>1025</v>
      </c>
      <c r="F143" s="3514" t="s">
        <v>934</v>
      </c>
      <c r="G143" s="3514"/>
      <c r="H143" s="3514" t="s">
        <v>935</v>
      </c>
      <c r="I143" s="3514"/>
      <c r="J143" s="640"/>
      <c r="K143" s="599">
        <v>524583.36</v>
      </c>
      <c r="L143" s="600" t="s">
        <v>1007</v>
      </c>
      <c r="M143" s="600" t="s">
        <v>937</v>
      </c>
      <c r="N143" s="601" t="s">
        <v>938</v>
      </c>
    </row>
    <row r="144" spans="3:14" ht="68.25" thickBot="1">
      <c r="C144" s="3513"/>
      <c r="D144" s="3513"/>
      <c r="E144" s="602" t="s">
        <v>939</v>
      </c>
      <c r="F144" s="603"/>
      <c r="G144" s="604">
        <v>4</v>
      </c>
      <c r="H144" s="603"/>
      <c r="I144" s="605"/>
      <c r="J144" s="641"/>
      <c r="K144" s="606"/>
      <c r="L144" s="607" t="s">
        <v>940</v>
      </c>
      <c r="M144" s="607" t="s">
        <v>974</v>
      </c>
      <c r="N144" s="606"/>
    </row>
    <row r="145" spans="3:14" ht="56.25">
      <c r="C145" s="3512" t="s">
        <v>1026</v>
      </c>
      <c r="D145" s="3512" t="s">
        <v>1027</v>
      </c>
      <c r="E145" s="598" t="s">
        <v>1028</v>
      </c>
      <c r="F145" s="3514" t="s">
        <v>934</v>
      </c>
      <c r="G145" s="3514"/>
      <c r="H145" s="3514" t="s">
        <v>935</v>
      </c>
      <c r="I145" s="3514"/>
      <c r="J145" s="640"/>
      <c r="K145" s="599">
        <v>393437.52</v>
      </c>
      <c r="L145" s="600" t="s">
        <v>1007</v>
      </c>
      <c r="M145" s="600" t="s">
        <v>937</v>
      </c>
      <c r="N145" s="601" t="s">
        <v>938</v>
      </c>
    </row>
    <row r="146" spans="3:14" ht="68.25" thickBot="1">
      <c r="C146" s="3513"/>
      <c r="D146" s="3513"/>
      <c r="E146" s="602" t="s">
        <v>939</v>
      </c>
      <c r="F146" s="603"/>
      <c r="G146" s="604">
        <v>3</v>
      </c>
      <c r="H146" s="603"/>
      <c r="I146" s="605"/>
      <c r="J146" s="641"/>
      <c r="K146" s="606"/>
      <c r="L146" s="607" t="s">
        <v>940</v>
      </c>
      <c r="M146" s="607" t="s">
        <v>974</v>
      </c>
      <c r="N146" s="606"/>
    </row>
    <row r="147" spans="3:14" ht="56.25">
      <c r="C147" s="3512" t="s">
        <v>1026</v>
      </c>
      <c r="D147" s="3512" t="s">
        <v>1027</v>
      </c>
      <c r="E147" s="598" t="s">
        <v>1028</v>
      </c>
      <c r="F147" s="3514" t="s">
        <v>934</v>
      </c>
      <c r="G147" s="3514"/>
      <c r="H147" s="3514" t="s">
        <v>935</v>
      </c>
      <c r="I147" s="3514"/>
      <c r="J147" s="640"/>
      <c r="K147" s="599">
        <v>918020.81</v>
      </c>
      <c r="L147" s="600" t="s">
        <v>978</v>
      </c>
      <c r="M147" s="600" t="s">
        <v>937</v>
      </c>
      <c r="N147" s="601" t="s">
        <v>938</v>
      </c>
    </row>
    <row r="148" spans="3:14" ht="68.25" thickBot="1">
      <c r="C148" s="3513"/>
      <c r="D148" s="3513"/>
      <c r="E148" s="602" t="s">
        <v>939</v>
      </c>
      <c r="F148" s="603"/>
      <c r="G148" s="604">
        <v>7</v>
      </c>
      <c r="H148" s="603"/>
      <c r="I148" s="605"/>
      <c r="J148" s="641"/>
      <c r="K148" s="606"/>
      <c r="L148" s="607" t="s">
        <v>940</v>
      </c>
      <c r="M148" s="607" t="s">
        <v>974</v>
      </c>
      <c r="N148" s="606"/>
    </row>
    <row r="149" spans="3:14" ht="56.25">
      <c r="C149" s="3512" t="s">
        <v>1029</v>
      </c>
      <c r="D149" s="3512" t="s">
        <v>1030</v>
      </c>
      <c r="E149" s="598" t="s">
        <v>1031</v>
      </c>
      <c r="F149" s="3514" t="s">
        <v>934</v>
      </c>
      <c r="G149" s="3514"/>
      <c r="H149" s="3514" t="s">
        <v>935</v>
      </c>
      <c r="I149" s="3514"/>
      <c r="J149" s="640"/>
      <c r="K149" s="599">
        <v>524583.36</v>
      </c>
      <c r="L149" s="600" t="s">
        <v>1007</v>
      </c>
      <c r="M149" s="600" t="s">
        <v>937</v>
      </c>
      <c r="N149" s="601" t="s">
        <v>938</v>
      </c>
    </row>
    <row r="150" spans="3:14" ht="68.25" thickBot="1">
      <c r="C150" s="3513"/>
      <c r="D150" s="3513"/>
      <c r="E150" s="602" t="s">
        <v>939</v>
      </c>
      <c r="F150" s="603"/>
      <c r="G150" s="604">
        <v>4</v>
      </c>
      <c r="H150" s="603"/>
      <c r="I150" s="605"/>
      <c r="J150" s="641"/>
      <c r="K150" s="606"/>
      <c r="L150" s="607" t="s">
        <v>940</v>
      </c>
      <c r="M150" s="607" t="s">
        <v>974</v>
      </c>
      <c r="N150" s="606"/>
    </row>
    <row r="151" spans="3:14" ht="56.25">
      <c r="C151" s="3512" t="s">
        <v>1029</v>
      </c>
      <c r="D151" s="3512" t="s">
        <v>1030</v>
      </c>
      <c r="E151" s="598" t="s">
        <v>1031</v>
      </c>
      <c r="F151" s="3514" t="s">
        <v>934</v>
      </c>
      <c r="G151" s="3514"/>
      <c r="H151" s="3514" t="s">
        <v>935</v>
      </c>
      <c r="I151" s="3514"/>
      <c r="J151" s="640"/>
      <c r="K151" s="599">
        <v>786874.98</v>
      </c>
      <c r="L151" s="600" t="s">
        <v>978</v>
      </c>
      <c r="M151" s="600" t="s">
        <v>937</v>
      </c>
      <c r="N151" s="601" t="s">
        <v>938</v>
      </c>
    </row>
    <row r="152" spans="3:14" ht="68.25" thickBot="1">
      <c r="C152" s="3513"/>
      <c r="D152" s="3513"/>
      <c r="E152" s="602" t="s">
        <v>939</v>
      </c>
      <c r="F152" s="603"/>
      <c r="G152" s="604">
        <v>6</v>
      </c>
      <c r="H152" s="603"/>
      <c r="I152" s="605"/>
      <c r="J152" s="641"/>
      <c r="K152" s="606"/>
      <c r="L152" s="607" t="s">
        <v>940</v>
      </c>
      <c r="M152" s="607" t="s">
        <v>974</v>
      </c>
      <c r="N152" s="606"/>
    </row>
    <row r="153" spans="3:14" ht="56.25">
      <c r="C153" s="3512" t="s">
        <v>946</v>
      </c>
      <c r="D153" s="3512" t="s">
        <v>1032</v>
      </c>
      <c r="E153" s="598" t="s">
        <v>1033</v>
      </c>
      <c r="F153" s="3514" t="s">
        <v>934</v>
      </c>
      <c r="G153" s="3514"/>
      <c r="H153" s="3514" t="s">
        <v>935</v>
      </c>
      <c r="I153" s="3514"/>
      <c r="J153" s="640"/>
      <c r="K153" s="599">
        <v>918020.88</v>
      </c>
      <c r="L153" s="600" t="s">
        <v>1007</v>
      </c>
      <c r="M153" s="600" t="s">
        <v>937</v>
      </c>
      <c r="N153" s="601" t="s">
        <v>938</v>
      </c>
    </row>
    <row r="154" spans="3:14" ht="68.25" thickBot="1">
      <c r="C154" s="3513"/>
      <c r="D154" s="3513"/>
      <c r="E154" s="602" t="s">
        <v>939</v>
      </c>
      <c r="F154" s="603"/>
      <c r="G154" s="604">
        <v>7</v>
      </c>
      <c r="H154" s="603"/>
      <c r="I154" s="605"/>
      <c r="J154" s="641"/>
      <c r="K154" s="606"/>
      <c r="L154" s="607" t="s">
        <v>940</v>
      </c>
      <c r="M154" s="607" t="s">
        <v>974</v>
      </c>
      <c r="N154" s="606"/>
    </row>
    <row r="155" spans="3:14" ht="56.25">
      <c r="C155" s="3512" t="s">
        <v>946</v>
      </c>
      <c r="D155" s="3512" t="s">
        <v>1032</v>
      </c>
      <c r="E155" s="598" t="s">
        <v>1033</v>
      </c>
      <c r="F155" s="3514" t="s">
        <v>934</v>
      </c>
      <c r="G155" s="3514"/>
      <c r="H155" s="3514" t="s">
        <v>935</v>
      </c>
      <c r="I155" s="3514"/>
      <c r="J155" s="640"/>
      <c r="K155" s="599">
        <v>1704895.79</v>
      </c>
      <c r="L155" s="600" t="s">
        <v>978</v>
      </c>
      <c r="M155" s="600" t="s">
        <v>937</v>
      </c>
      <c r="N155" s="601" t="s">
        <v>938</v>
      </c>
    </row>
    <row r="156" spans="3:14" ht="68.25" thickBot="1">
      <c r="C156" s="3513"/>
      <c r="D156" s="3513"/>
      <c r="E156" s="602" t="s">
        <v>939</v>
      </c>
      <c r="F156" s="603"/>
      <c r="G156" s="604">
        <v>13</v>
      </c>
      <c r="H156" s="603"/>
      <c r="I156" s="605"/>
      <c r="J156" s="641"/>
      <c r="K156" s="606"/>
      <c r="L156" s="607" t="s">
        <v>940</v>
      </c>
      <c r="M156" s="607" t="s">
        <v>974</v>
      </c>
      <c r="N156" s="606"/>
    </row>
    <row r="157" spans="3:14" ht="56.25">
      <c r="C157" s="3512" t="s">
        <v>1034</v>
      </c>
      <c r="D157" s="3512" t="s">
        <v>1035</v>
      </c>
      <c r="E157" s="598" t="s">
        <v>1036</v>
      </c>
      <c r="F157" s="3514" t="s">
        <v>934</v>
      </c>
      <c r="G157" s="3514"/>
      <c r="H157" s="3514" t="s">
        <v>935</v>
      </c>
      <c r="I157" s="3514"/>
      <c r="J157" s="640"/>
      <c r="K157" s="599">
        <v>105229.16</v>
      </c>
      <c r="L157" s="600" t="s">
        <v>972</v>
      </c>
      <c r="M157" s="600" t="s">
        <v>937</v>
      </c>
      <c r="N157" s="601" t="s">
        <v>938</v>
      </c>
    </row>
    <row r="158" spans="3:14" ht="68.25" thickBot="1">
      <c r="C158" s="3513"/>
      <c r="D158" s="3513"/>
      <c r="E158" s="602" t="s">
        <v>939</v>
      </c>
      <c r="F158" s="603"/>
      <c r="G158" s="604">
        <v>1</v>
      </c>
      <c r="H158" s="603"/>
      <c r="I158" s="605"/>
      <c r="J158" s="641"/>
      <c r="K158" s="606"/>
      <c r="L158" s="607" t="s">
        <v>940</v>
      </c>
      <c r="M158" s="607" t="s">
        <v>974</v>
      </c>
      <c r="N158" s="606"/>
    </row>
    <row r="159" spans="3:14" ht="56.25">
      <c r="C159" s="3512" t="s">
        <v>1034</v>
      </c>
      <c r="D159" s="3512" t="s">
        <v>1035</v>
      </c>
      <c r="E159" s="598" t="s">
        <v>1036</v>
      </c>
      <c r="F159" s="3514" t="s">
        <v>934</v>
      </c>
      <c r="G159" s="3514"/>
      <c r="H159" s="3514" t="s">
        <v>935</v>
      </c>
      <c r="I159" s="3514"/>
      <c r="J159" s="640"/>
      <c r="K159" s="599">
        <v>655729.15</v>
      </c>
      <c r="L159" s="600" t="s">
        <v>978</v>
      </c>
      <c r="M159" s="600" t="s">
        <v>937</v>
      </c>
      <c r="N159" s="601" t="s">
        <v>938</v>
      </c>
    </row>
    <row r="160" spans="3:14" ht="68.25" thickBot="1">
      <c r="C160" s="3513"/>
      <c r="D160" s="3513"/>
      <c r="E160" s="602" t="s">
        <v>939</v>
      </c>
      <c r="F160" s="603"/>
      <c r="G160" s="604">
        <v>5</v>
      </c>
      <c r="H160" s="603"/>
      <c r="I160" s="605"/>
      <c r="J160" s="641"/>
      <c r="K160" s="606"/>
      <c r="L160" s="607" t="s">
        <v>940</v>
      </c>
      <c r="M160" s="607" t="s">
        <v>974</v>
      </c>
      <c r="N160" s="606"/>
    </row>
    <row r="161" spans="3:14" ht="56.25">
      <c r="C161" s="3512" t="s">
        <v>1034</v>
      </c>
      <c r="D161" s="3512" t="s">
        <v>1035</v>
      </c>
      <c r="E161" s="598" t="s">
        <v>1036</v>
      </c>
      <c r="F161" s="3514" t="s">
        <v>934</v>
      </c>
      <c r="G161" s="3514"/>
      <c r="H161" s="3514" t="s">
        <v>935</v>
      </c>
      <c r="I161" s="3514"/>
      <c r="J161" s="640"/>
      <c r="K161" s="599">
        <v>182270.83</v>
      </c>
      <c r="L161" s="600" t="s">
        <v>979</v>
      </c>
      <c r="M161" s="600" t="s">
        <v>937</v>
      </c>
      <c r="N161" s="601" t="s">
        <v>938</v>
      </c>
    </row>
    <row r="162" spans="3:14" ht="68.25" thickBot="1">
      <c r="C162" s="3513"/>
      <c r="D162" s="3513"/>
      <c r="E162" s="602" t="s">
        <v>939</v>
      </c>
      <c r="F162" s="603"/>
      <c r="G162" s="604">
        <v>1</v>
      </c>
      <c r="H162" s="603"/>
      <c r="I162" s="605"/>
      <c r="J162" s="641"/>
      <c r="K162" s="606"/>
      <c r="L162" s="607" t="s">
        <v>940</v>
      </c>
      <c r="M162" s="607" t="s">
        <v>974</v>
      </c>
      <c r="N162" s="606"/>
    </row>
    <row r="163" spans="3:14" ht="56.25">
      <c r="C163" s="3512" t="s">
        <v>1034</v>
      </c>
      <c r="D163" s="3512" t="s">
        <v>1035</v>
      </c>
      <c r="E163" s="598" t="s">
        <v>1036</v>
      </c>
      <c r="F163" s="3514" t="s">
        <v>934</v>
      </c>
      <c r="G163" s="3514"/>
      <c r="H163" s="3514" t="s">
        <v>935</v>
      </c>
      <c r="I163" s="3514"/>
      <c r="J163" s="640"/>
      <c r="K163" s="599">
        <v>524583.36</v>
      </c>
      <c r="L163" s="600" t="s">
        <v>1007</v>
      </c>
      <c r="M163" s="600" t="s">
        <v>937</v>
      </c>
      <c r="N163" s="601" t="s">
        <v>938</v>
      </c>
    </row>
    <row r="164" spans="3:14" ht="68.25" thickBot="1">
      <c r="C164" s="3513"/>
      <c r="D164" s="3513"/>
      <c r="E164" s="602" t="s">
        <v>939</v>
      </c>
      <c r="F164" s="603"/>
      <c r="G164" s="604">
        <v>4</v>
      </c>
      <c r="H164" s="603"/>
      <c r="I164" s="605"/>
      <c r="J164" s="641"/>
      <c r="K164" s="606"/>
      <c r="L164" s="607" t="s">
        <v>940</v>
      </c>
      <c r="M164" s="607" t="s">
        <v>974</v>
      </c>
      <c r="N164" s="606"/>
    </row>
    <row r="165" spans="3:14" ht="56.25">
      <c r="C165" s="3512" t="s">
        <v>1037</v>
      </c>
      <c r="D165" s="3512" t="s">
        <v>1038</v>
      </c>
      <c r="E165" s="598" t="s">
        <v>1039</v>
      </c>
      <c r="F165" s="3514" t="s">
        <v>934</v>
      </c>
      <c r="G165" s="3514"/>
      <c r="H165" s="3514" t="s">
        <v>935</v>
      </c>
      <c r="I165" s="3514"/>
      <c r="J165" s="640"/>
      <c r="K165" s="599">
        <v>1967187.45</v>
      </c>
      <c r="L165" s="600" t="s">
        <v>978</v>
      </c>
      <c r="M165" s="600" t="s">
        <v>937</v>
      </c>
      <c r="N165" s="601" t="s">
        <v>938</v>
      </c>
    </row>
    <row r="166" spans="3:14" ht="68.25" thickBot="1">
      <c r="C166" s="3513"/>
      <c r="D166" s="3513"/>
      <c r="E166" s="602" t="s">
        <v>939</v>
      </c>
      <c r="F166" s="603"/>
      <c r="G166" s="604">
        <v>15</v>
      </c>
      <c r="H166" s="603"/>
      <c r="I166" s="605"/>
      <c r="J166" s="641"/>
      <c r="K166" s="606"/>
      <c r="L166" s="607" t="s">
        <v>940</v>
      </c>
      <c r="M166" s="607" t="s">
        <v>974</v>
      </c>
      <c r="N166" s="606"/>
    </row>
    <row r="167" spans="3:14" ht="56.25">
      <c r="C167" s="3512" t="s">
        <v>1037</v>
      </c>
      <c r="D167" s="3512" t="s">
        <v>1038</v>
      </c>
      <c r="E167" s="598" t="s">
        <v>1039</v>
      </c>
      <c r="F167" s="3514" t="s">
        <v>934</v>
      </c>
      <c r="G167" s="3514"/>
      <c r="H167" s="3514" t="s">
        <v>935</v>
      </c>
      <c r="I167" s="3514"/>
      <c r="J167" s="640"/>
      <c r="K167" s="599">
        <v>918020.88</v>
      </c>
      <c r="L167" s="600" t="s">
        <v>1007</v>
      </c>
      <c r="M167" s="600" t="s">
        <v>937</v>
      </c>
      <c r="N167" s="601" t="s">
        <v>938</v>
      </c>
    </row>
    <row r="168" spans="3:14" ht="68.25" thickBot="1">
      <c r="C168" s="3513"/>
      <c r="D168" s="3513"/>
      <c r="E168" s="602" t="s">
        <v>939</v>
      </c>
      <c r="F168" s="603"/>
      <c r="G168" s="604">
        <v>7</v>
      </c>
      <c r="H168" s="603"/>
      <c r="I168" s="605"/>
      <c r="J168" s="641"/>
      <c r="K168" s="606"/>
      <c r="L168" s="607" t="s">
        <v>940</v>
      </c>
      <c r="M168" s="607" t="s">
        <v>974</v>
      </c>
      <c r="N168" s="606"/>
    </row>
    <row r="169" spans="3:14" ht="56.25">
      <c r="C169" s="3512" t="s">
        <v>1040</v>
      </c>
      <c r="D169" s="3512" t="s">
        <v>1041</v>
      </c>
      <c r="E169" s="598" t="s">
        <v>1042</v>
      </c>
      <c r="F169" s="3514" t="s">
        <v>934</v>
      </c>
      <c r="G169" s="3514"/>
      <c r="H169" s="3514" t="s">
        <v>935</v>
      </c>
      <c r="I169" s="3514"/>
      <c r="J169" s="640"/>
      <c r="K169" s="599">
        <v>786875.04</v>
      </c>
      <c r="L169" s="600" t="s">
        <v>1007</v>
      </c>
      <c r="M169" s="600" t="s">
        <v>937</v>
      </c>
      <c r="N169" s="601" t="s">
        <v>938</v>
      </c>
    </row>
    <row r="170" spans="3:14" ht="68.25" thickBot="1">
      <c r="C170" s="3513"/>
      <c r="D170" s="3513"/>
      <c r="E170" s="602" t="s">
        <v>939</v>
      </c>
      <c r="F170" s="603"/>
      <c r="G170" s="604">
        <v>6</v>
      </c>
      <c r="H170" s="603"/>
      <c r="I170" s="605"/>
      <c r="J170" s="641"/>
      <c r="K170" s="606"/>
      <c r="L170" s="607" t="s">
        <v>940</v>
      </c>
      <c r="M170" s="607" t="s">
        <v>974</v>
      </c>
      <c r="N170" s="606"/>
    </row>
    <row r="171" spans="3:14" ht="56.25">
      <c r="C171" s="3512" t="s">
        <v>1040</v>
      </c>
      <c r="D171" s="3512" t="s">
        <v>1041</v>
      </c>
      <c r="E171" s="598" t="s">
        <v>1042</v>
      </c>
      <c r="F171" s="3514" t="s">
        <v>934</v>
      </c>
      <c r="G171" s="3514"/>
      <c r="H171" s="3514" t="s">
        <v>935</v>
      </c>
      <c r="I171" s="3514"/>
      <c r="J171" s="640"/>
      <c r="K171" s="599">
        <v>1704895.79</v>
      </c>
      <c r="L171" s="600" t="s">
        <v>978</v>
      </c>
      <c r="M171" s="600" t="s">
        <v>937</v>
      </c>
      <c r="N171" s="601" t="s">
        <v>938</v>
      </c>
    </row>
    <row r="172" spans="3:14" ht="68.25" thickBot="1">
      <c r="C172" s="3513"/>
      <c r="D172" s="3513"/>
      <c r="E172" s="602" t="s">
        <v>939</v>
      </c>
      <c r="F172" s="603"/>
      <c r="G172" s="604">
        <v>13</v>
      </c>
      <c r="H172" s="603"/>
      <c r="I172" s="605"/>
      <c r="J172" s="641"/>
      <c r="K172" s="606"/>
      <c r="L172" s="607" t="s">
        <v>940</v>
      </c>
      <c r="M172" s="607" t="s">
        <v>974</v>
      </c>
      <c r="N172" s="606"/>
    </row>
    <row r="173" spans="3:14" ht="56.25">
      <c r="C173" s="3512" t="s">
        <v>949</v>
      </c>
      <c r="D173" s="3512" t="s">
        <v>1043</v>
      </c>
      <c r="E173" s="598" t="s">
        <v>1044</v>
      </c>
      <c r="F173" s="3514" t="s">
        <v>934</v>
      </c>
      <c r="G173" s="3514"/>
      <c r="H173" s="3514" t="s">
        <v>935</v>
      </c>
      <c r="I173" s="3514"/>
      <c r="J173" s="640"/>
      <c r="K173" s="599">
        <v>786875.04</v>
      </c>
      <c r="L173" s="600" t="s">
        <v>1007</v>
      </c>
      <c r="M173" s="600" t="s">
        <v>937</v>
      </c>
      <c r="N173" s="601" t="s">
        <v>938</v>
      </c>
    </row>
    <row r="174" spans="3:14" ht="68.25" thickBot="1">
      <c r="C174" s="3513"/>
      <c r="D174" s="3513"/>
      <c r="E174" s="602" t="s">
        <v>939</v>
      </c>
      <c r="F174" s="603"/>
      <c r="G174" s="604">
        <v>6</v>
      </c>
      <c r="H174" s="603"/>
      <c r="I174" s="605"/>
      <c r="J174" s="641"/>
      <c r="K174" s="606"/>
      <c r="L174" s="607" t="s">
        <v>940</v>
      </c>
      <c r="M174" s="607" t="s">
        <v>974</v>
      </c>
      <c r="N174" s="606"/>
    </row>
    <row r="175" spans="3:14" ht="56.25">
      <c r="C175" s="3512" t="s">
        <v>949</v>
      </c>
      <c r="D175" s="3512" t="s">
        <v>1043</v>
      </c>
      <c r="E175" s="598" t="s">
        <v>1044</v>
      </c>
      <c r="F175" s="3514" t="s">
        <v>934</v>
      </c>
      <c r="G175" s="3514"/>
      <c r="H175" s="3514" t="s">
        <v>935</v>
      </c>
      <c r="I175" s="3514"/>
      <c r="J175" s="640"/>
      <c r="K175" s="599">
        <v>1442604.13</v>
      </c>
      <c r="L175" s="600" t="s">
        <v>978</v>
      </c>
      <c r="M175" s="600" t="s">
        <v>937</v>
      </c>
      <c r="N175" s="601" t="s">
        <v>938</v>
      </c>
    </row>
    <row r="176" spans="3:14" ht="68.25" thickBot="1">
      <c r="C176" s="3513"/>
      <c r="D176" s="3513"/>
      <c r="E176" s="602" t="s">
        <v>939</v>
      </c>
      <c r="F176" s="603"/>
      <c r="G176" s="604">
        <v>11</v>
      </c>
      <c r="H176" s="603"/>
      <c r="I176" s="605"/>
      <c r="J176" s="641"/>
      <c r="K176" s="606"/>
      <c r="L176" s="607" t="s">
        <v>940</v>
      </c>
      <c r="M176" s="607" t="s">
        <v>974</v>
      </c>
      <c r="N176" s="606"/>
    </row>
    <row r="177" spans="3:14" ht="56.25">
      <c r="C177" s="3512" t="s">
        <v>949</v>
      </c>
      <c r="D177" s="3512" t="s">
        <v>1043</v>
      </c>
      <c r="E177" s="598" t="s">
        <v>1044</v>
      </c>
      <c r="F177" s="3514" t="s">
        <v>934</v>
      </c>
      <c r="G177" s="3514"/>
      <c r="H177" s="3514" t="s">
        <v>935</v>
      </c>
      <c r="I177" s="3514"/>
      <c r="J177" s="640"/>
      <c r="K177" s="599">
        <v>364541.66</v>
      </c>
      <c r="L177" s="600" t="s">
        <v>1045</v>
      </c>
      <c r="M177" s="600" t="s">
        <v>937</v>
      </c>
      <c r="N177" s="601" t="s">
        <v>938</v>
      </c>
    </row>
    <row r="178" spans="3:14" ht="68.25" thickBot="1">
      <c r="C178" s="3513"/>
      <c r="D178" s="3513"/>
      <c r="E178" s="602" t="s">
        <v>939</v>
      </c>
      <c r="F178" s="603"/>
      <c r="G178" s="604">
        <v>2</v>
      </c>
      <c r="H178" s="603"/>
      <c r="I178" s="605"/>
      <c r="J178" s="641"/>
      <c r="K178" s="606"/>
      <c r="L178" s="607" t="s">
        <v>940</v>
      </c>
      <c r="M178" s="607" t="s">
        <v>974</v>
      </c>
      <c r="N178" s="606"/>
    </row>
    <row r="179" spans="3:14" ht="56.25" collapsed="1">
      <c r="C179" s="3512" t="s">
        <v>1046</v>
      </c>
      <c r="D179" s="3512" t="s">
        <v>1047</v>
      </c>
      <c r="E179" s="598" t="s">
        <v>1048</v>
      </c>
      <c r="F179" s="3514" t="s">
        <v>934</v>
      </c>
      <c r="G179" s="3514"/>
      <c r="H179" s="3514" t="s">
        <v>935</v>
      </c>
      <c r="I179" s="3514"/>
      <c r="J179" s="640"/>
      <c r="K179" s="599">
        <v>1442604.13</v>
      </c>
      <c r="L179" s="600" t="s">
        <v>978</v>
      </c>
      <c r="M179" s="600" t="s">
        <v>937</v>
      </c>
      <c r="N179" s="601" t="s">
        <v>938</v>
      </c>
    </row>
    <row r="180" spans="3:14" ht="68.25" thickBot="1">
      <c r="C180" s="3513"/>
      <c r="D180" s="3513"/>
      <c r="E180" s="602" t="s">
        <v>939</v>
      </c>
      <c r="F180" s="603"/>
      <c r="G180" s="604">
        <v>11</v>
      </c>
      <c r="H180" s="603"/>
      <c r="I180" s="605"/>
      <c r="J180" s="641"/>
      <c r="K180" s="606"/>
      <c r="L180" s="607" t="s">
        <v>940</v>
      </c>
      <c r="M180" s="607" t="s">
        <v>974</v>
      </c>
      <c r="N180" s="606"/>
    </row>
    <row r="181" spans="3:14" ht="56.25">
      <c r="C181" s="3512" t="s">
        <v>1046</v>
      </c>
      <c r="D181" s="3512" t="s">
        <v>1047</v>
      </c>
      <c r="E181" s="598" t="s">
        <v>1048</v>
      </c>
      <c r="F181" s="3514" t="s">
        <v>934</v>
      </c>
      <c r="G181" s="3514"/>
      <c r="H181" s="3514" t="s">
        <v>935</v>
      </c>
      <c r="I181" s="3514"/>
      <c r="J181" s="640"/>
      <c r="K181" s="599">
        <v>655729.19999999995</v>
      </c>
      <c r="L181" s="600" t="s">
        <v>1007</v>
      </c>
      <c r="M181" s="600" t="s">
        <v>937</v>
      </c>
      <c r="N181" s="601" t="s">
        <v>938</v>
      </c>
    </row>
    <row r="182" spans="3:14" ht="68.25" thickBot="1">
      <c r="C182" s="3513"/>
      <c r="D182" s="3513"/>
      <c r="E182" s="602" t="s">
        <v>939</v>
      </c>
      <c r="F182" s="603"/>
      <c r="G182" s="604">
        <v>5</v>
      </c>
      <c r="H182" s="603"/>
      <c r="I182" s="605"/>
      <c r="J182" s="641"/>
      <c r="K182" s="606"/>
      <c r="L182" s="607" t="s">
        <v>940</v>
      </c>
      <c r="M182" s="607" t="s">
        <v>974</v>
      </c>
      <c r="N182" s="606"/>
    </row>
    <row r="183" spans="3:14" ht="15.75" thickBot="1">
      <c r="C183" s="608"/>
      <c r="D183" s="609"/>
      <c r="E183" s="610"/>
      <c r="F183" s="611"/>
      <c r="G183" s="612"/>
      <c r="H183" s="611"/>
      <c r="I183" s="612"/>
      <c r="J183" s="642"/>
      <c r="K183" s="613">
        <v>34376354.159999996</v>
      </c>
      <c r="L183" s="608"/>
      <c r="M183" s="609"/>
      <c r="N183" s="610"/>
    </row>
  </sheetData>
  <mergeCells count="316">
    <mergeCell ref="A25:A27"/>
    <mergeCell ref="B25:B27"/>
    <mergeCell ref="D25:D27"/>
    <mergeCell ref="A21:K21"/>
    <mergeCell ref="A22:A23"/>
    <mergeCell ref="B22:B23"/>
    <mergeCell ref="C22:C23"/>
    <mergeCell ref="D22:D23"/>
    <mergeCell ref="E22:E23"/>
    <mergeCell ref="F22:G22"/>
    <mergeCell ref="H22:I22"/>
    <mergeCell ref="J22:K22"/>
    <mergeCell ref="C32:R32"/>
    <mergeCell ref="D34:E34"/>
    <mergeCell ref="G34:K34"/>
    <mergeCell ref="L34:O34"/>
    <mergeCell ref="Q34:R34"/>
    <mergeCell ref="S34:T34"/>
    <mergeCell ref="C37:C38"/>
    <mergeCell ref="D37:E38"/>
    <mergeCell ref="G37:K37"/>
    <mergeCell ref="L37:O37"/>
    <mergeCell ref="Q37:R37"/>
    <mergeCell ref="S37:T37"/>
    <mergeCell ref="Q38:R38"/>
    <mergeCell ref="S38:T38"/>
    <mergeCell ref="C35:C36"/>
    <mergeCell ref="D35:E36"/>
    <mergeCell ref="G35:K35"/>
    <mergeCell ref="L35:O35"/>
    <mergeCell ref="Q35:R35"/>
    <mergeCell ref="S35:T35"/>
    <mergeCell ref="Q36:R36"/>
    <mergeCell ref="S36:T36"/>
    <mergeCell ref="C41:C42"/>
    <mergeCell ref="D41:E42"/>
    <mergeCell ref="G41:K41"/>
    <mergeCell ref="L41:O41"/>
    <mergeCell ref="Q41:R41"/>
    <mergeCell ref="S41:T41"/>
    <mergeCell ref="Q42:R42"/>
    <mergeCell ref="S42:T42"/>
    <mergeCell ref="C39:C40"/>
    <mergeCell ref="D39:E40"/>
    <mergeCell ref="G39:K39"/>
    <mergeCell ref="L39:O39"/>
    <mergeCell ref="Q39:R39"/>
    <mergeCell ref="S39:T39"/>
    <mergeCell ref="Q40:R40"/>
    <mergeCell ref="S40:T40"/>
    <mergeCell ref="C45:C46"/>
    <mergeCell ref="D45:E46"/>
    <mergeCell ref="G45:K45"/>
    <mergeCell ref="L45:O45"/>
    <mergeCell ref="Q45:R45"/>
    <mergeCell ref="S45:T45"/>
    <mergeCell ref="Q46:R46"/>
    <mergeCell ref="S46:T46"/>
    <mergeCell ref="C43:C44"/>
    <mergeCell ref="D43:E44"/>
    <mergeCell ref="G43:K43"/>
    <mergeCell ref="L43:O43"/>
    <mergeCell ref="Q43:R43"/>
    <mergeCell ref="S43:T43"/>
    <mergeCell ref="Q44:R44"/>
    <mergeCell ref="S44:T44"/>
    <mergeCell ref="C49:C50"/>
    <mergeCell ref="D49:E50"/>
    <mergeCell ref="G49:K49"/>
    <mergeCell ref="L49:O49"/>
    <mergeCell ref="Q49:R49"/>
    <mergeCell ref="S49:T49"/>
    <mergeCell ref="Q50:R50"/>
    <mergeCell ref="S50:T50"/>
    <mergeCell ref="C47:C48"/>
    <mergeCell ref="D47:E48"/>
    <mergeCell ref="G47:K47"/>
    <mergeCell ref="L47:O47"/>
    <mergeCell ref="Q47:R47"/>
    <mergeCell ref="S47:T47"/>
    <mergeCell ref="Q48:R48"/>
    <mergeCell ref="S48:T48"/>
    <mergeCell ref="C68:L68"/>
    <mergeCell ref="F70:G70"/>
    <mergeCell ref="H70:I70"/>
    <mergeCell ref="C71:C72"/>
    <mergeCell ref="D71:D72"/>
    <mergeCell ref="F71:G71"/>
    <mergeCell ref="H71:I71"/>
    <mergeCell ref="C57:L57"/>
    <mergeCell ref="F59:G59"/>
    <mergeCell ref="H59:I59"/>
    <mergeCell ref="C60:C61"/>
    <mergeCell ref="D60:D61"/>
    <mergeCell ref="F60:G60"/>
    <mergeCell ref="H60:I60"/>
    <mergeCell ref="C77:C78"/>
    <mergeCell ref="D77:D78"/>
    <mergeCell ref="F77:G77"/>
    <mergeCell ref="H77:I77"/>
    <mergeCell ref="C79:C80"/>
    <mergeCell ref="D79:D80"/>
    <mergeCell ref="F79:G79"/>
    <mergeCell ref="H79:I79"/>
    <mergeCell ref="C73:C74"/>
    <mergeCell ref="D73:D74"/>
    <mergeCell ref="F73:G73"/>
    <mergeCell ref="H73:I73"/>
    <mergeCell ref="C75:C76"/>
    <mergeCell ref="D75:D76"/>
    <mergeCell ref="F75:G75"/>
    <mergeCell ref="H75:I75"/>
    <mergeCell ref="C85:C86"/>
    <mergeCell ref="D85:D86"/>
    <mergeCell ref="F85:G85"/>
    <mergeCell ref="H85:I85"/>
    <mergeCell ref="C87:C88"/>
    <mergeCell ref="D87:D88"/>
    <mergeCell ref="F87:G87"/>
    <mergeCell ref="H87:I87"/>
    <mergeCell ref="C81:C82"/>
    <mergeCell ref="D81:D82"/>
    <mergeCell ref="F81:G81"/>
    <mergeCell ref="H81:I81"/>
    <mergeCell ref="C83:C84"/>
    <mergeCell ref="D83:D84"/>
    <mergeCell ref="F83:G83"/>
    <mergeCell ref="H83:I83"/>
    <mergeCell ref="C93:C94"/>
    <mergeCell ref="D93:D94"/>
    <mergeCell ref="F93:G93"/>
    <mergeCell ref="H93:I93"/>
    <mergeCell ref="C95:C96"/>
    <mergeCell ref="D95:D96"/>
    <mergeCell ref="F95:G95"/>
    <mergeCell ref="H95:I95"/>
    <mergeCell ref="C89:C90"/>
    <mergeCell ref="D89:D90"/>
    <mergeCell ref="F89:G89"/>
    <mergeCell ref="H89:I89"/>
    <mergeCell ref="C91:C92"/>
    <mergeCell ref="D91:D92"/>
    <mergeCell ref="F91:G91"/>
    <mergeCell ref="H91:I91"/>
    <mergeCell ref="C101:C102"/>
    <mergeCell ref="D101:D102"/>
    <mergeCell ref="F101:G101"/>
    <mergeCell ref="H101:I101"/>
    <mergeCell ref="C103:C104"/>
    <mergeCell ref="D103:D104"/>
    <mergeCell ref="F103:G103"/>
    <mergeCell ref="H103:I103"/>
    <mergeCell ref="C97:C98"/>
    <mergeCell ref="D97:D98"/>
    <mergeCell ref="F97:G97"/>
    <mergeCell ref="H97:I97"/>
    <mergeCell ref="C99:C100"/>
    <mergeCell ref="D99:D100"/>
    <mergeCell ref="F99:G99"/>
    <mergeCell ref="H99:I99"/>
    <mergeCell ref="C109:C110"/>
    <mergeCell ref="D109:D110"/>
    <mergeCell ref="F109:G109"/>
    <mergeCell ref="H109:I109"/>
    <mergeCell ref="C111:C112"/>
    <mergeCell ref="D111:D112"/>
    <mergeCell ref="F111:G111"/>
    <mergeCell ref="H111:I111"/>
    <mergeCell ref="C105:C106"/>
    <mergeCell ref="D105:D106"/>
    <mergeCell ref="F105:G105"/>
    <mergeCell ref="H105:I105"/>
    <mergeCell ref="C107:C108"/>
    <mergeCell ref="D107:D108"/>
    <mergeCell ref="F107:G107"/>
    <mergeCell ref="H107:I107"/>
    <mergeCell ref="C117:C118"/>
    <mergeCell ref="D117:D118"/>
    <mergeCell ref="F117:G117"/>
    <mergeCell ref="H117:I117"/>
    <mergeCell ref="C119:C120"/>
    <mergeCell ref="D119:D120"/>
    <mergeCell ref="F119:G119"/>
    <mergeCell ref="H119:I119"/>
    <mergeCell ref="C113:C114"/>
    <mergeCell ref="D113:D114"/>
    <mergeCell ref="F113:G113"/>
    <mergeCell ref="H113:I113"/>
    <mergeCell ref="C115:C116"/>
    <mergeCell ref="D115:D116"/>
    <mergeCell ref="F115:G115"/>
    <mergeCell ref="H115:I115"/>
    <mergeCell ref="C125:C126"/>
    <mergeCell ref="D125:D126"/>
    <mergeCell ref="F125:G125"/>
    <mergeCell ref="H125:I125"/>
    <mergeCell ref="C127:C128"/>
    <mergeCell ref="D127:D128"/>
    <mergeCell ref="F127:G127"/>
    <mergeCell ref="H127:I127"/>
    <mergeCell ref="C121:C122"/>
    <mergeCell ref="D121:D122"/>
    <mergeCell ref="F121:G121"/>
    <mergeCell ref="H121:I121"/>
    <mergeCell ref="C123:C124"/>
    <mergeCell ref="D123:D124"/>
    <mergeCell ref="F123:G123"/>
    <mergeCell ref="H123:I123"/>
    <mergeCell ref="C133:C134"/>
    <mergeCell ref="D133:D134"/>
    <mergeCell ref="F133:G133"/>
    <mergeCell ref="H133:I133"/>
    <mergeCell ref="C135:C136"/>
    <mergeCell ref="D135:D136"/>
    <mergeCell ref="F135:G135"/>
    <mergeCell ref="H135:I135"/>
    <mergeCell ref="C129:C130"/>
    <mergeCell ref="D129:D130"/>
    <mergeCell ref="F129:G129"/>
    <mergeCell ref="H129:I129"/>
    <mergeCell ref="C131:C132"/>
    <mergeCell ref="D131:D132"/>
    <mergeCell ref="F131:G131"/>
    <mergeCell ref="H131:I131"/>
    <mergeCell ref="C141:C142"/>
    <mergeCell ref="D141:D142"/>
    <mergeCell ref="F141:G141"/>
    <mergeCell ref="H141:I141"/>
    <mergeCell ref="C143:C144"/>
    <mergeCell ref="D143:D144"/>
    <mergeCell ref="F143:G143"/>
    <mergeCell ref="H143:I143"/>
    <mergeCell ref="C137:C138"/>
    <mergeCell ref="D137:D138"/>
    <mergeCell ref="F137:G137"/>
    <mergeCell ref="H137:I137"/>
    <mergeCell ref="C139:C140"/>
    <mergeCell ref="D139:D140"/>
    <mergeCell ref="F139:G139"/>
    <mergeCell ref="H139:I139"/>
    <mergeCell ref="C149:C150"/>
    <mergeCell ref="D149:D150"/>
    <mergeCell ref="F149:G149"/>
    <mergeCell ref="H149:I149"/>
    <mergeCell ref="C151:C152"/>
    <mergeCell ref="D151:D152"/>
    <mergeCell ref="F151:G151"/>
    <mergeCell ref="H151:I151"/>
    <mergeCell ref="C145:C146"/>
    <mergeCell ref="D145:D146"/>
    <mergeCell ref="F145:G145"/>
    <mergeCell ref="H145:I145"/>
    <mergeCell ref="C147:C148"/>
    <mergeCell ref="D147:D148"/>
    <mergeCell ref="F147:G147"/>
    <mergeCell ref="H147:I147"/>
    <mergeCell ref="C157:C158"/>
    <mergeCell ref="D157:D158"/>
    <mergeCell ref="F157:G157"/>
    <mergeCell ref="H157:I157"/>
    <mergeCell ref="C159:C160"/>
    <mergeCell ref="D159:D160"/>
    <mergeCell ref="F159:G159"/>
    <mergeCell ref="H159:I159"/>
    <mergeCell ref="C153:C154"/>
    <mergeCell ref="D153:D154"/>
    <mergeCell ref="F153:G153"/>
    <mergeCell ref="H153:I153"/>
    <mergeCell ref="C155:C156"/>
    <mergeCell ref="D155:D156"/>
    <mergeCell ref="F155:G155"/>
    <mergeCell ref="H155:I155"/>
    <mergeCell ref="C165:C166"/>
    <mergeCell ref="D165:D166"/>
    <mergeCell ref="F165:G165"/>
    <mergeCell ref="H165:I165"/>
    <mergeCell ref="C167:C168"/>
    <mergeCell ref="D167:D168"/>
    <mergeCell ref="F167:G167"/>
    <mergeCell ref="H167:I167"/>
    <mergeCell ref="C161:C162"/>
    <mergeCell ref="D161:D162"/>
    <mergeCell ref="F161:G161"/>
    <mergeCell ref="H161:I161"/>
    <mergeCell ref="C163:C164"/>
    <mergeCell ref="D163:D164"/>
    <mergeCell ref="F163:G163"/>
    <mergeCell ref="H163:I163"/>
    <mergeCell ref="C173:C174"/>
    <mergeCell ref="D173:D174"/>
    <mergeCell ref="F173:G173"/>
    <mergeCell ref="H173:I173"/>
    <mergeCell ref="C175:C176"/>
    <mergeCell ref="D175:D176"/>
    <mergeCell ref="F175:G175"/>
    <mergeCell ref="H175:I175"/>
    <mergeCell ref="C169:C170"/>
    <mergeCell ref="D169:D170"/>
    <mergeCell ref="F169:G169"/>
    <mergeCell ref="H169:I169"/>
    <mergeCell ref="C171:C172"/>
    <mergeCell ref="D171:D172"/>
    <mergeCell ref="F171:G171"/>
    <mergeCell ref="H171:I171"/>
    <mergeCell ref="C181:C182"/>
    <mergeCell ref="D181:D182"/>
    <mergeCell ref="F181:G181"/>
    <mergeCell ref="H181:I181"/>
    <mergeCell ref="C177:C178"/>
    <mergeCell ref="D177:D178"/>
    <mergeCell ref="F177:G177"/>
    <mergeCell ref="H177:I177"/>
    <mergeCell ref="C179:C180"/>
    <mergeCell ref="D179:D180"/>
    <mergeCell ref="F179:G179"/>
    <mergeCell ref="H179:I179"/>
  </mergeCells>
  <pageMargins left="0.70866141732283472" right="0.70866141732283472" top="0.74803149606299213" bottom="0.74803149606299213" header="0.31496062992125984" footer="0.31496062992125984"/>
  <pageSetup paperSize="9" scale="34" orientation="landscape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7"/>
  <sheetViews>
    <sheetView view="pageBreakPreview" topLeftCell="A28" zoomScale="60" zoomScaleNormal="50" workbookViewId="0">
      <selection activeCell="F56" sqref="F56:F58"/>
    </sheetView>
  </sheetViews>
  <sheetFormatPr defaultRowHeight="15" outlineLevelRow="1" outlineLevelCol="1"/>
  <cols>
    <col min="1" max="1" width="12.140625" bestFit="1" customWidth="1"/>
    <col min="2" max="2" width="100.285156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130.85546875" customWidth="1" collapsed="1"/>
    <col min="14" max="14" width="15.42578125" customWidth="1"/>
    <col min="15" max="15" width="11.85546875" customWidth="1"/>
  </cols>
  <sheetData>
    <row r="1" spans="1:15" s="18" customFormat="1" ht="67.5" thickTop="1" thickBot="1">
      <c r="A1" s="15" t="s">
        <v>559</v>
      </c>
      <c r="B1" s="16" t="s">
        <v>560</v>
      </c>
      <c r="C1" s="17" t="s">
        <v>561</v>
      </c>
      <c r="D1" s="3533" t="s">
        <v>562</v>
      </c>
      <c r="E1" s="3533"/>
      <c r="K1" s="18" t="s">
        <v>563</v>
      </c>
    </row>
    <row r="2" spans="1:15" s="18" customFormat="1" ht="109.5" thickTop="1" thickBot="1">
      <c r="A2" s="15" t="s">
        <v>564</v>
      </c>
      <c r="B2" s="16" t="s">
        <v>565</v>
      </c>
      <c r="C2" s="17" t="s">
        <v>566</v>
      </c>
      <c r="D2" s="3533" t="s">
        <v>567</v>
      </c>
      <c r="E2" s="3533"/>
      <c r="F2" s="19"/>
      <c r="K2" s="18" t="s">
        <v>568</v>
      </c>
    </row>
    <row r="3" spans="1:15" s="18" customFormat="1" ht="18.75" thickTop="1">
      <c r="A3" s="20"/>
      <c r="C3" s="15"/>
      <c r="G3" s="21" t="str">
        <f>[21]ЗАО_ВОЛЬВО_ВОСТОК!G3</f>
        <v>на 01.01.2016 г.</v>
      </c>
    </row>
    <row r="4" spans="1:15" s="18" customFormat="1" ht="72">
      <c r="A4" s="22"/>
      <c r="B4" s="23" t="s">
        <v>569</v>
      </c>
      <c r="C4" s="23"/>
      <c r="D4" s="23"/>
      <c r="E4" s="24"/>
      <c r="F4" s="25" t="s">
        <v>570</v>
      </c>
      <c r="G4" s="24"/>
      <c r="H4" s="25" t="s">
        <v>571</v>
      </c>
      <c r="I4" s="23"/>
      <c r="J4" s="26"/>
    </row>
    <row r="5" spans="1:15" s="18" customFormat="1" ht="18">
      <c r="A5" s="27"/>
      <c r="B5" s="28"/>
      <c r="C5" s="28"/>
      <c r="D5" s="28"/>
      <c r="E5" s="28"/>
      <c r="F5" s="29">
        <f>SUM(F6:F8)</f>
        <v>29898.562799999996</v>
      </c>
      <c r="G5" s="30"/>
      <c r="H5" s="31">
        <f>SUM(H6:H8)</f>
        <v>0</v>
      </c>
      <c r="I5" s="28"/>
      <c r="J5" s="32"/>
    </row>
    <row r="6" spans="1:15" s="41" customFormat="1" ht="18.75">
      <c r="A6" s="33"/>
      <c r="B6" s="34" t="s">
        <v>572</v>
      </c>
      <c r="C6" s="35"/>
      <c r="D6" s="35"/>
      <c r="E6" s="36"/>
      <c r="F6" s="37">
        <f>F12*0.35</f>
        <v>10464.496979999998</v>
      </c>
      <c r="G6" s="38"/>
      <c r="H6" s="38"/>
      <c r="I6" s="35"/>
      <c r="J6" s="39"/>
      <c r="K6" s="40"/>
      <c r="L6" s="40"/>
      <c r="M6" s="40"/>
    </row>
    <row r="7" spans="1:15" s="41" customFormat="1" ht="18.75">
      <c r="A7" s="33"/>
      <c r="B7" s="34" t="s">
        <v>573</v>
      </c>
      <c r="C7" s="35"/>
      <c r="D7" s="35"/>
      <c r="E7" s="36"/>
      <c r="F7" s="37">
        <f>F12*0.5</f>
        <v>14949.281399999998</v>
      </c>
      <c r="G7" s="38"/>
      <c r="H7" s="38"/>
      <c r="I7" s="35"/>
      <c r="J7" s="39"/>
      <c r="K7" s="40"/>
      <c r="L7" s="40"/>
      <c r="M7" s="40"/>
    </row>
    <row r="8" spans="1:15" s="41" customFormat="1" ht="18.75">
      <c r="A8" s="42"/>
      <c r="B8" s="43" t="s">
        <v>574</v>
      </c>
      <c r="C8" s="44"/>
      <c r="D8" s="44"/>
      <c r="E8" s="45"/>
      <c r="F8" s="46">
        <f>F12*0.15</f>
        <v>4484.784419999999</v>
      </c>
      <c r="G8" s="47"/>
      <c r="H8" s="47"/>
      <c r="I8" s="44"/>
      <c r="J8" s="48"/>
      <c r="K8" s="40"/>
      <c r="L8" s="40"/>
      <c r="M8" s="40"/>
    </row>
    <row r="9" spans="1:15" s="18" customFormat="1" ht="18">
      <c r="A9" s="20"/>
      <c r="G9" s="49"/>
      <c r="N9" s="50"/>
    </row>
    <row r="10" spans="1:15" s="18" customFormat="1" ht="7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577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</row>
    <row r="11" spans="1:15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5" s="18" customFormat="1" ht="18">
      <c r="A12" s="53"/>
      <c r="B12" s="54" t="s">
        <v>584</v>
      </c>
      <c r="C12" s="55"/>
      <c r="D12" s="56"/>
      <c r="E12" s="57">
        <f>SUM(E18,E42)</f>
        <v>24915.468999999997</v>
      </c>
      <c r="F12" s="58">
        <f>SUM(F18,F42)</f>
        <v>29898.562799999996</v>
      </c>
      <c r="G12" s="59">
        <f t="shared" ref="E12:J17" si="0">SUM(G18,G42)</f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</row>
    <row r="13" spans="1:15" s="18" customFormat="1" ht="18">
      <c r="A13" s="61"/>
      <c r="B13" s="62" t="s">
        <v>10</v>
      </c>
      <c r="C13" s="63"/>
      <c r="D13" s="64"/>
      <c r="E13" s="65">
        <f t="shared" si="0"/>
        <v>0</v>
      </c>
      <c r="F13" s="66">
        <f t="shared" si="0"/>
        <v>0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5" s="18" customFormat="1" ht="18">
      <c r="A14" s="61"/>
      <c r="B14" s="62" t="s">
        <v>9</v>
      </c>
      <c r="C14" s="63"/>
      <c r="D14" s="64"/>
      <c r="E14" s="65">
        <f t="shared" si="0"/>
        <v>18964.769999999997</v>
      </c>
      <c r="F14" s="66">
        <f t="shared" si="0"/>
        <v>22757.723999999998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5" s="18" customFormat="1" ht="18">
      <c r="A15" s="61"/>
      <c r="B15" s="62" t="s">
        <v>12</v>
      </c>
      <c r="C15" s="63"/>
      <c r="D15" s="64"/>
      <c r="E15" s="65">
        <f t="shared" si="0"/>
        <v>940.09</v>
      </c>
      <c r="F15" s="66">
        <f t="shared" si="0"/>
        <v>1128.1079999999999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5" s="18" customFormat="1" ht="18">
      <c r="A16" s="61"/>
      <c r="B16" s="62" t="s">
        <v>13</v>
      </c>
      <c r="C16" s="63"/>
      <c r="D16" s="64"/>
      <c r="E16" s="65">
        <f t="shared" si="0"/>
        <v>27.515999999999998</v>
      </c>
      <c r="F16" s="66">
        <f t="shared" si="0"/>
        <v>33.019199999999998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4" s="18" customFormat="1" ht="18">
      <c r="A17" s="69"/>
      <c r="B17" s="70" t="s">
        <v>14</v>
      </c>
      <c r="C17" s="71"/>
      <c r="D17" s="72"/>
      <c r="E17" s="73">
        <f t="shared" si="0"/>
        <v>4983.0929999999998</v>
      </c>
      <c r="F17" s="74">
        <f t="shared" si="0"/>
        <v>5979.7116000000005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4" s="79" customFormat="1" ht="18">
      <c r="A18" s="77">
        <v>1</v>
      </c>
      <c r="B18" s="54" t="s">
        <v>5</v>
      </c>
      <c r="C18" s="78">
        <f>C24+C30</f>
        <v>188</v>
      </c>
      <c r="D18" s="78">
        <f>D24+D30</f>
        <v>576.9</v>
      </c>
      <c r="E18" s="57">
        <f t="shared" ref="E18:J18" si="1">SUM(E19:E23)</f>
        <v>23495.044999999998</v>
      </c>
      <c r="F18" s="58">
        <f t="shared" si="1"/>
        <v>28194.053999999996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4" s="79" customFormat="1" ht="18">
      <c r="A19" s="80"/>
      <c r="B19" s="62" t="s">
        <v>10</v>
      </c>
      <c r="C19" s="63"/>
      <c r="D19" s="64"/>
      <c r="E19" s="65">
        <f>SUM(E25,E31,E37)</f>
        <v>0</v>
      </c>
      <c r="F19" s="66">
        <f t="shared" ref="E19:J23" si="2">SUM(F25,F31,F37)</f>
        <v>0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</row>
    <row r="20" spans="1:14" s="79" customFormat="1" ht="18">
      <c r="A20" s="80"/>
      <c r="B20" s="62" t="s">
        <v>9</v>
      </c>
      <c r="C20" s="63"/>
      <c r="D20" s="64"/>
      <c r="E20" s="65">
        <f t="shared" si="2"/>
        <v>17831.689999999999</v>
      </c>
      <c r="F20" s="66">
        <f t="shared" si="2"/>
        <v>21398.027999999998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4" s="79" customFormat="1" ht="18">
      <c r="A21" s="80"/>
      <c r="B21" s="62" t="s">
        <v>12</v>
      </c>
      <c r="C21" s="63"/>
      <c r="D21" s="64"/>
      <c r="E21" s="65">
        <f t="shared" si="2"/>
        <v>940.09</v>
      </c>
      <c r="F21" s="66">
        <f t="shared" si="2"/>
        <v>1128.1079999999999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4" s="79" customFormat="1" ht="18">
      <c r="A22" s="80"/>
      <c r="B22" s="62" t="s">
        <v>13</v>
      </c>
      <c r="C22" s="63"/>
      <c r="D22" s="64"/>
      <c r="E22" s="65">
        <f t="shared" si="2"/>
        <v>24.256</v>
      </c>
      <c r="F22" s="66">
        <f t="shared" si="2"/>
        <v>29.107199999999999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4" s="79" customFormat="1" ht="18">
      <c r="A23" s="81"/>
      <c r="B23" s="70" t="s">
        <v>14</v>
      </c>
      <c r="C23" s="71"/>
      <c r="D23" s="72"/>
      <c r="E23" s="73">
        <f t="shared" si="2"/>
        <v>4699.009</v>
      </c>
      <c r="F23" s="74">
        <f t="shared" si="2"/>
        <v>5638.8108000000002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4" s="79" customFormat="1" ht="114" customHeight="1">
      <c r="A24" s="77" t="s">
        <v>25</v>
      </c>
      <c r="B24" s="82" t="s">
        <v>61</v>
      </c>
      <c r="C24" s="83">
        <v>188</v>
      </c>
      <c r="D24" s="84"/>
      <c r="E24" s="84">
        <f t="shared" ref="E24:J24" si="3">SUM(E25:E29)</f>
        <v>848.86400000000003</v>
      </c>
      <c r="F24" s="85">
        <f t="shared" si="3"/>
        <v>1018.6368</v>
      </c>
      <c r="G24" s="86">
        <f t="shared" si="3"/>
        <v>0</v>
      </c>
      <c r="H24" s="87">
        <f t="shared" si="3"/>
        <v>0</v>
      </c>
      <c r="I24" s="86">
        <f t="shared" si="3"/>
        <v>0</v>
      </c>
      <c r="J24" s="87">
        <f t="shared" si="3"/>
        <v>0</v>
      </c>
      <c r="K24" s="84"/>
      <c r="L24" s="85"/>
      <c r="M24" s="82" t="s">
        <v>585</v>
      </c>
    </row>
    <row r="25" spans="1:14" s="95" customFormat="1" ht="18">
      <c r="A25" s="88"/>
      <c r="B25" s="89" t="s">
        <v>10</v>
      </c>
      <c r="C25" s="90"/>
      <c r="D25" s="91"/>
      <c r="E25" s="91"/>
      <c r="F25" s="92">
        <f>E25*1.2</f>
        <v>0</v>
      </c>
      <c r="G25" s="93"/>
      <c r="H25" s="94"/>
      <c r="I25" s="93"/>
      <c r="J25" s="94"/>
      <c r="K25" s="91"/>
      <c r="L25" s="92"/>
    </row>
    <row r="26" spans="1:14" s="95" customFormat="1" ht="18">
      <c r="A26" s="88"/>
      <c r="B26" s="89" t="s">
        <v>9</v>
      </c>
      <c r="C26" s="90"/>
      <c r="D26" s="91"/>
      <c r="E26" s="91">
        <v>677.14300000000003</v>
      </c>
      <c r="F26" s="92">
        <f>E26*1.2</f>
        <v>812.57159999999999</v>
      </c>
      <c r="G26" s="93"/>
      <c r="H26" s="94"/>
      <c r="I26" s="93"/>
      <c r="J26" s="94"/>
      <c r="K26" s="91"/>
      <c r="L26" s="92"/>
      <c r="M26" s="95">
        <f>F26/14*12</f>
        <v>696.48994285714286</v>
      </c>
      <c r="N26" s="96">
        <f>F26-M26</f>
        <v>116.08165714285713</v>
      </c>
    </row>
    <row r="27" spans="1:14" s="95" customFormat="1" ht="18">
      <c r="A27" s="88"/>
      <c r="B27" s="89" t="s">
        <v>12</v>
      </c>
      <c r="C27" s="90"/>
      <c r="D27" s="91"/>
      <c r="E27" s="91"/>
      <c r="F27" s="92">
        <f>E27*1.2</f>
        <v>0</v>
      </c>
      <c r="G27" s="93"/>
      <c r="H27" s="94"/>
      <c r="I27" s="93"/>
      <c r="J27" s="94"/>
      <c r="K27" s="91"/>
      <c r="L27" s="92"/>
    </row>
    <row r="28" spans="1:14" s="95" customFormat="1" ht="18">
      <c r="A28" s="88"/>
      <c r="B28" s="89" t="s">
        <v>13</v>
      </c>
      <c r="C28" s="90"/>
      <c r="D28" s="91"/>
      <c r="E28" s="91">
        <v>1.948</v>
      </c>
      <c r="F28" s="92">
        <f>E28*1.2</f>
        <v>2.3375999999999997</v>
      </c>
      <c r="G28" s="93"/>
      <c r="H28" s="94"/>
      <c r="I28" s="93"/>
      <c r="J28" s="94"/>
      <c r="K28" s="91"/>
      <c r="L28" s="92"/>
      <c r="M28" s="96">
        <f>F28</f>
        <v>2.3375999999999997</v>
      </c>
    </row>
    <row r="29" spans="1:14" s="95" customFormat="1" ht="18">
      <c r="A29" s="97"/>
      <c r="B29" s="98" t="s">
        <v>14</v>
      </c>
      <c r="C29" s="99"/>
      <c r="D29" s="100"/>
      <c r="E29" s="100">
        <v>169.773</v>
      </c>
      <c r="F29" s="101">
        <f>E29*1.2</f>
        <v>203.7276</v>
      </c>
      <c r="G29" s="93"/>
      <c r="H29" s="94"/>
      <c r="I29" s="93"/>
      <c r="J29" s="94"/>
      <c r="K29" s="91"/>
      <c r="L29" s="92"/>
      <c r="N29" s="96">
        <f>F29</f>
        <v>203.7276</v>
      </c>
    </row>
    <row r="30" spans="1:14" s="79" customFormat="1" ht="170.25" customHeight="1">
      <c r="A30" s="77" t="s">
        <v>3</v>
      </c>
      <c r="B30" s="82" t="s">
        <v>586</v>
      </c>
      <c r="C30" s="83"/>
      <c r="D30" s="83">
        <v>576.9</v>
      </c>
      <c r="E30" s="84">
        <f>SUM(E31:E35)</f>
        <v>22646.181</v>
      </c>
      <c r="F30" s="85">
        <f>SUM(F31:F35)</f>
        <v>27175.4172</v>
      </c>
      <c r="G30" s="102"/>
      <c r="H30" s="102"/>
      <c r="I30" s="102"/>
      <c r="J30" s="102"/>
      <c r="K30" s="103"/>
      <c r="L30" s="103"/>
      <c r="M30" s="82" t="s">
        <v>587</v>
      </c>
    </row>
    <row r="31" spans="1:14" s="95" customFormat="1" ht="18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4" s="95" customFormat="1" ht="15" customHeight="1">
      <c r="A32" s="88"/>
      <c r="B32" s="89" t="s">
        <v>9</v>
      </c>
      <c r="C32" s="90"/>
      <c r="D32" s="91"/>
      <c r="E32" s="91">
        <f>17831.69-E26</f>
        <v>17154.546999999999</v>
      </c>
      <c r="F32" s="92">
        <f>E32*1.2</f>
        <v>20585.456399999999</v>
      </c>
      <c r="G32" s="104"/>
      <c r="H32" s="104"/>
      <c r="I32" s="104"/>
      <c r="J32" s="104"/>
      <c r="K32" s="96"/>
      <c r="L32" s="96"/>
      <c r="M32" s="95">
        <f>F32/14*12</f>
        <v>17644.676914285716</v>
      </c>
      <c r="N32" s="96">
        <f>F32-M32</f>
        <v>2940.7794857142835</v>
      </c>
    </row>
    <row r="33" spans="1:14" s="95" customFormat="1" ht="18">
      <c r="A33" s="88"/>
      <c r="B33" s="89" t="s">
        <v>12</v>
      </c>
      <c r="C33" s="90"/>
      <c r="D33" s="91"/>
      <c r="E33" s="91">
        <v>940.09</v>
      </c>
      <c r="F33" s="92">
        <f>E33*1.2</f>
        <v>1128.1079999999999</v>
      </c>
      <c r="G33" s="104"/>
      <c r="H33" s="104"/>
      <c r="I33" s="104"/>
      <c r="J33" s="104"/>
      <c r="K33" s="96"/>
      <c r="L33" s="96"/>
      <c r="M33" s="95">
        <f>F33/14*12</f>
        <v>966.94971428571421</v>
      </c>
      <c r="N33" s="96">
        <f>F33-M33</f>
        <v>161.15828571428574</v>
      </c>
    </row>
    <row r="34" spans="1:14" s="95" customFormat="1" ht="18">
      <c r="A34" s="88"/>
      <c r="B34" s="89" t="s">
        <v>13</v>
      </c>
      <c r="C34" s="90"/>
      <c r="D34" s="91"/>
      <c r="E34" s="91">
        <f>24.256-E28</f>
        <v>22.308</v>
      </c>
      <c r="F34" s="92">
        <f>E34*1.2</f>
        <v>26.769600000000001</v>
      </c>
      <c r="G34" s="104"/>
      <c r="H34" s="104"/>
      <c r="I34" s="104"/>
      <c r="J34" s="104"/>
      <c r="K34" s="96"/>
      <c r="L34" s="96"/>
      <c r="M34" s="96">
        <f>F34</f>
        <v>26.769600000000001</v>
      </c>
    </row>
    <row r="35" spans="1:14" s="95" customFormat="1" ht="18">
      <c r="A35" s="97"/>
      <c r="B35" s="98" t="s">
        <v>14</v>
      </c>
      <c r="C35" s="99"/>
      <c r="D35" s="100"/>
      <c r="E35" s="100">
        <f>4699.009-E29</f>
        <v>4529.2359999999999</v>
      </c>
      <c r="F35" s="92">
        <f>E35*1.2</f>
        <v>5435.0832</v>
      </c>
      <c r="G35" s="104"/>
      <c r="H35" s="104"/>
      <c r="I35" s="104"/>
      <c r="J35" s="104"/>
      <c r="K35" s="96"/>
      <c r="L35" s="96"/>
      <c r="N35" s="96">
        <f>F35</f>
        <v>5435.0832</v>
      </c>
    </row>
    <row r="36" spans="1:14" s="79" customFormat="1" ht="18" hidden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4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outlineLevel="1">
      <c r="A37" s="88"/>
      <c r="B37" s="89" t="s">
        <v>10</v>
      </c>
      <c r="C37" s="90"/>
      <c r="D37" s="91"/>
      <c r="E37" s="91"/>
      <c r="F37" s="92">
        <f t="shared" si="4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1">
      <c r="A38" s="88"/>
      <c r="B38" s="89" t="s">
        <v>9</v>
      </c>
      <c r="C38" s="90"/>
      <c r="D38" s="91"/>
      <c r="E38" s="91"/>
      <c r="F38" s="92">
        <f t="shared" si="4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1">
      <c r="A39" s="88"/>
      <c r="B39" s="89" t="s">
        <v>12</v>
      </c>
      <c r="C39" s="90"/>
      <c r="D39" s="91"/>
      <c r="E39" s="91"/>
      <c r="F39" s="92">
        <f t="shared" si="4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1">
      <c r="A40" s="88"/>
      <c r="B40" s="89" t="s">
        <v>13</v>
      </c>
      <c r="C40" s="90"/>
      <c r="D40" s="91"/>
      <c r="E40" s="91"/>
      <c r="F40" s="92">
        <f t="shared" si="4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4"/>
        <v>0</v>
      </c>
      <c r="G41" s="104"/>
      <c r="H41" s="104"/>
      <c r="I41" s="104"/>
      <c r="J41" s="104"/>
      <c r="K41" s="96"/>
      <c r="L41" s="96"/>
    </row>
    <row r="42" spans="1:14" s="110" customFormat="1" ht="18" collapsed="1">
      <c r="A42" s="107">
        <v>2</v>
      </c>
      <c r="B42" s="108" t="s">
        <v>0</v>
      </c>
      <c r="C42" s="109">
        <f>SUM(C48,C54)</f>
        <v>50</v>
      </c>
      <c r="D42" s="109">
        <f>SUM(D48,D54)</f>
        <v>576.9</v>
      </c>
      <c r="E42" s="84">
        <f t="shared" ref="E42:J42" si="5">SUM(E43:E47)</f>
        <v>1420.424</v>
      </c>
      <c r="F42" s="85">
        <f t="shared" si="5"/>
        <v>1704.5088000000001</v>
      </c>
      <c r="G42" s="86">
        <f t="shared" si="5"/>
        <v>0</v>
      </c>
      <c r="H42" s="87">
        <f t="shared" si="5"/>
        <v>0</v>
      </c>
      <c r="I42" s="86">
        <f t="shared" si="5"/>
        <v>0</v>
      </c>
      <c r="J42" s="87">
        <f t="shared" si="5"/>
        <v>0</v>
      </c>
      <c r="K42" s="84"/>
      <c r="L42" s="85"/>
    </row>
    <row r="43" spans="1:14" s="110" customFormat="1" ht="18">
      <c r="A43" s="80"/>
      <c r="B43" s="62" t="s">
        <v>10</v>
      </c>
      <c r="C43" s="111"/>
      <c r="D43" s="112"/>
      <c r="E43" s="112">
        <f>E49+E55+E61</f>
        <v>0</v>
      </c>
      <c r="F43" s="113">
        <f t="shared" ref="F43:J47" si="6">SUM(F49,F55,F61)</f>
        <v>0</v>
      </c>
      <c r="G43" s="114">
        <f t="shared" si="6"/>
        <v>0</v>
      </c>
      <c r="H43" s="115">
        <f t="shared" si="6"/>
        <v>0</v>
      </c>
      <c r="I43" s="114">
        <f t="shared" si="6"/>
        <v>0</v>
      </c>
      <c r="J43" s="115">
        <f t="shared" si="6"/>
        <v>0</v>
      </c>
      <c r="K43" s="112"/>
      <c r="L43" s="113"/>
    </row>
    <row r="44" spans="1:14" s="110" customFormat="1" ht="18">
      <c r="A44" s="80"/>
      <c r="B44" s="62" t="s">
        <v>9</v>
      </c>
      <c r="C44" s="111"/>
      <c r="D44" s="112"/>
      <c r="E44" s="112">
        <f>E50+E56+E62</f>
        <v>1133.08</v>
      </c>
      <c r="F44" s="113">
        <f t="shared" si="6"/>
        <v>1359.6959999999999</v>
      </c>
      <c r="G44" s="114">
        <f t="shared" si="6"/>
        <v>0</v>
      </c>
      <c r="H44" s="115">
        <f t="shared" si="6"/>
        <v>0</v>
      </c>
      <c r="I44" s="114">
        <f t="shared" si="6"/>
        <v>0</v>
      </c>
      <c r="J44" s="115">
        <f t="shared" si="6"/>
        <v>0</v>
      </c>
      <c r="K44" s="112"/>
      <c r="L44" s="113"/>
    </row>
    <row r="45" spans="1:14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6"/>
        <v>0</v>
      </c>
      <c r="G45" s="114">
        <f t="shared" si="6"/>
        <v>0</v>
      </c>
      <c r="H45" s="115">
        <f t="shared" si="6"/>
        <v>0</v>
      </c>
      <c r="I45" s="114">
        <f t="shared" si="6"/>
        <v>0</v>
      </c>
      <c r="J45" s="115">
        <f t="shared" si="6"/>
        <v>0</v>
      </c>
      <c r="K45" s="112"/>
      <c r="L45" s="113"/>
    </row>
    <row r="46" spans="1:14" s="110" customFormat="1" ht="18">
      <c r="A46" s="80"/>
      <c r="B46" s="62" t="s">
        <v>13</v>
      </c>
      <c r="C46" s="111"/>
      <c r="D46" s="112"/>
      <c r="E46" s="112">
        <f>E52+E58+E64</f>
        <v>3.26</v>
      </c>
      <c r="F46" s="113">
        <f t="shared" si="6"/>
        <v>3.9119999999999999</v>
      </c>
      <c r="G46" s="114">
        <f t="shared" si="6"/>
        <v>0</v>
      </c>
      <c r="H46" s="115">
        <f t="shared" si="6"/>
        <v>0</v>
      </c>
      <c r="I46" s="114">
        <f t="shared" si="6"/>
        <v>0</v>
      </c>
      <c r="J46" s="115">
        <f t="shared" si="6"/>
        <v>0</v>
      </c>
      <c r="K46" s="112"/>
      <c r="L46" s="113"/>
    </row>
    <row r="47" spans="1:14" s="110" customFormat="1" ht="18">
      <c r="A47" s="116"/>
      <c r="B47" s="117" t="s">
        <v>14</v>
      </c>
      <c r="C47" s="118"/>
      <c r="D47" s="119"/>
      <c r="E47" s="112">
        <f>E53+E59+E65</f>
        <v>284.084</v>
      </c>
      <c r="F47" s="120">
        <f t="shared" si="6"/>
        <v>340.9008</v>
      </c>
      <c r="G47" s="121">
        <f t="shared" si="6"/>
        <v>0</v>
      </c>
      <c r="H47" s="122">
        <f t="shared" si="6"/>
        <v>0</v>
      </c>
      <c r="I47" s="121">
        <f t="shared" si="6"/>
        <v>0</v>
      </c>
      <c r="J47" s="122">
        <f t="shared" si="6"/>
        <v>0</v>
      </c>
      <c r="K47" s="119"/>
      <c r="L47" s="120"/>
    </row>
    <row r="48" spans="1:14" s="110" customFormat="1" ht="149.25" customHeight="1">
      <c r="A48" s="77" t="s">
        <v>26</v>
      </c>
      <c r="B48" s="123" t="s">
        <v>588</v>
      </c>
      <c r="C48" s="83">
        <v>50</v>
      </c>
      <c r="D48" s="84"/>
      <c r="E48" s="84">
        <f t="shared" ref="E48:J48" si="7">SUM(E49:E53)</f>
        <v>274.93600000000004</v>
      </c>
      <c r="F48" s="85">
        <f t="shared" si="7"/>
        <v>329.92320000000001</v>
      </c>
      <c r="G48" s="86">
        <f t="shared" si="7"/>
        <v>0</v>
      </c>
      <c r="H48" s="87">
        <f t="shared" si="7"/>
        <v>0</v>
      </c>
      <c r="I48" s="86">
        <f t="shared" si="7"/>
        <v>0</v>
      </c>
      <c r="J48" s="87">
        <f t="shared" si="7"/>
        <v>0</v>
      </c>
      <c r="K48" s="84"/>
      <c r="L48" s="85"/>
      <c r="M48" s="123" t="s">
        <v>589</v>
      </c>
    </row>
    <row r="49" spans="1:14" s="124" customFormat="1" ht="18">
      <c r="A49" s="88"/>
      <c r="B49" s="89" t="s">
        <v>10</v>
      </c>
      <c r="C49" s="90"/>
      <c r="D49" s="91"/>
      <c r="E49" s="91"/>
      <c r="F49" s="92">
        <f t="shared" ref="F49:F59" si="8">E49*1.2</f>
        <v>0</v>
      </c>
      <c r="G49" s="93"/>
      <c r="H49" s="94"/>
      <c r="I49" s="93"/>
      <c r="J49" s="94"/>
      <c r="K49" s="91"/>
      <c r="L49" s="92"/>
    </row>
    <row r="50" spans="1:14" s="124" customFormat="1" ht="18">
      <c r="A50" s="88"/>
      <c r="B50" s="89" t="s">
        <v>9</v>
      </c>
      <c r="C50" s="90"/>
      <c r="D50" s="91"/>
      <c r="E50" s="91">
        <v>219.31800000000001</v>
      </c>
      <c r="F50" s="92">
        <f t="shared" si="8"/>
        <v>263.1816</v>
      </c>
      <c r="G50" s="93"/>
      <c r="H50" s="94"/>
      <c r="I50" s="93"/>
      <c r="J50" s="94"/>
      <c r="K50" s="91"/>
      <c r="L50" s="92"/>
      <c r="M50" s="95">
        <f>F50/14*12</f>
        <v>225.58422857142858</v>
      </c>
      <c r="N50" s="96">
        <f>F50-M50</f>
        <v>37.597371428571421</v>
      </c>
    </row>
    <row r="51" spans="1:14" s="124" customFormat="1" ht="18">
      <c r="A51" s="88"/>
      <c r="B51" s="89" t="s">
        <v>12</v>
      </c>
      <c r="C51" s="90"/>
      <c r="D51" s="91"/>
      <c r="E51" s="91"/>
      <c r="F51" s="92">
        <f t="shared" si="8"/>
        <v>0</v>
      </c>
      <c r="G51" s="93"/>
      <c r="H51" s="94"/>
      <c r="I51" s="93"/>
      <c r="J51" s="94"/>
      <c r="K51" s="91"/>
      <c r="L51" s="92"/>
      <c r="M51" s="95"/>
      <c r="N51" s="96"/>
    </row>
    <row r="52" spans="1:14" s="124" customFormat="1" ht="18">
      <c r="A52" s="88"/>
      <c r="B52" s="89" t="s">
        <v>13</v>
      </c>
      <c r="C52" s="90"/>
      <c r="D52" s="91"/>
      <c r="E52" s="91">
        <v>0.63100000000000001</v>
      </c>
      <c r="F52" s="92">
        <f t="shared" si="8"/>
        <v>0.75719999999999998</v>
      </c>
      <c r="G52" s="93"/>
      <c r="H52" s="94"/>
      <c r="I52" s="93"/>
      <c r="J52" s="94"/>
      <c r="K52" s="91"/>
      <c r="L52" s="92"/>
      <c r="M52" s="96">
        <f>F52</f>
        <v>0.75719999999999998</v>
      </c>
      <c r="N52" s="95"/>
    </row>
    <row r="53" spans="1:14" s="124" customFormat="1" ht="18">
      <c r="A53" s="97"/>
      <c r="B53" s="98" t="s">
        <v>14</v>
      </c>
      <c r="C53" s="99"/>
      <c r="D53" s="100"/>
      <c r="E53" s="100">
        <v>54.987000000000002</v>
      </c>
      <c r="F53" s="101">
        <f t="shared" si="8"/>
        <v>65.984399999999994</v>
      </c>
      <c r="G53" s="125"/>
      <c r="H53" s="126"/>
      <c r="I53" s="125"/>
      <c r="J53" s="126"/>
      <c r="K53" s="100"/>
      <c r="L53" s="101"/>
      <c r="M53" s="95"/>
      <c r="N53" s="96">
        <f>F53</f>
        <v>65.984399999999994</v>
      </c>
    </row>
    <row r="54" spans="1:14" s="110" customFormat="1" ht="111.75" customHeight="1">
      <c r="A54" s="77" t="s">
        <v>27</v>
      </c>
      <c r="B54" s="127" t="s">
        <v>590</v>
      </c>
      <c r="C54" s="83"/>
      <c r="D54" s="83">
        <v>576.9</v>
      </c>
      <c r="E54" s="84">
        <f>SUM(E55:E59)</f>
        <v>1145.4880000000001</v>
      </c>
      <c r="F54" s="85">
        <f t="shared" si="8"/>
        <v>1374.5856000000001</v>
      </c>
      <c r="G54" s="86"/>
      <c r="H54" s="87"/>
      <c r="I54" s="86"/>
      <c r="J54" s="87"/>
      <c r="K54" s="84"/>
      <c r="L54" s="85"/>
      <c r="M54" s="127" t="s">
        <v>591</v>
      </c>
    </row>
    <row r="55" spans="1:14" s="124" customFormat="1" ht="18">
      <c r="A55" s="88"/>
      <c r="B55" s="89" t="s">
        <v>10</v>
      </c>
      <c r="C55" s="90"/>
      <c r="D55" s="91"/>
      <c r="E55" s="91"/>
      <c r="F55" s="92">
        <f t="shared" si="8"/>
        <v>0</v>
      </c>
      <c r="G55" s="93"/>
      <c r="H55" s="94"/>
      <c r="I55" s="93"/>
      <c r="J55" s="94"/>
      <c r="K55" s="91"/>
      <c r="L55" s="92"/>
    </row>
    <row r="56" spans="1:14" s="124" customFormat="1" ht="18">
      <c r="A56" s="88"/>
      <c r="B56" s="89" t="s">
        <v>9</v>
      </c>
      <c r="C56" s="90"/>
      <c r="D56" s="91"/>
      <c r="E56" s="91">
        <v>913.76199999999994</v>
      </c>
      <c r="F56" s="92">
        <f t="shared" si="8"/>
        <v>1096.5143999999998</v>
      </c>
      <c r="G56" s="93"/>
      <c r="H56" s="94"/>
      <c r="I56" s="93"/>
      <c r="J56" s="94"/>
      <c r="K56" s="91"/>
      <c r="L56" s="92"/>
      <c r="M56" s="95">
        <f>F56/14*12</f>
        <v>939.86948571428559</v>
      </c>
      <c r="N56" s="96">
        <f>F56-M56</f>
        <v>156.64491428571421</v>
      </c>
    </row>
    <row r="57" spans="1:14" s="124" customFormat="1" ht="18">
      <c r="A57" s="88"/>
      <c r="B57" s="89" t="s">
        <v>12</v>
      </c>
      <c r="C57" s="90"/>
      <c r="D57" s="91"/>
      <c r="E57" s="91"/>
      <c r="F57" s="92">
        <f t="shared" si="8"/>
        <v>0</v>
      </c>
      <c r="G57" s="93"/>
      <c r="H57" s="94"/>
      <c r="I57" s="93"/>
      <c r="J57" s="94"/>
      <c r="K57" s="91"/>
      <c r="L57" s="92"/>
      <c r="M57" s="95"/>
      <c r="N57" s="96"/>
    </row>
    <row r="58" spans="1:14" s="124" customFormat="1" ht="18">
      <c r="A58" s="88"/>
      <c r="B58" s="89" t="s">
        <v>13</v>
      </c>
      <c r="C58" s="90"/>
      <c r="D58" s="91"/>
      <c r="E58" s="91">
        <v>2.629</v>
      </c>
      <c r="F58" s="92">
        <f t="shared" si="8"/>
        <v>3.1547999999999998</v>
      </c>
      <c r="G58" s="93"/>
      <c r="H58" s="94"/>
      <c r="I58" s="93"/>
      <c r="J58" s="94"/>
      <c r="K58" s="91"/>
      <c r="L58" s="92"/>
      <c r="M58" s="96">
        <f>F58</f>
        <v>3.1547999999999998</v>
      </c>
      <c r="N58" s="95"/>
    </row>
    <row r="59" spans="1:14" s="124" customFormat="1" ht="18">
      <c r="A59" s="97"/>
      <c r="B59" s="98" t="s">
        <v>14</v>
      </c>
      <c r="C59" s="99"/>
      <c r="D59" s="100"/>
      <c r="E59" s="100">
        <v>229.09700000000001</v>
      </c>
      <c r="F59" s="92">
        <f t="shared" si="8"/>
        <v>274.91640000000001</v>
      </c>
      <c r="G59" s="125"/>
      <c r="H59" s="126"/>
      <c r="I59" s="125"/>
      <c r="J59" s="126"/>
      <c r="K59" s="100"/>
      <c r="L59" s="101"/>
      <c r="M59" s="95"/>
      <c r="N59" s="96">
        <f>F59</f>
        <v>274.91640000000001</v>
      </c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9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9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9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9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9"/>
        <v>0</v>
      </c>
      <c r="G64" s="93"/>
      <c r="H64" s="94"/>
      <c r="I64" s="93"/>
      <c r="J64" s="94"/>
      <c r="K64" s="91"/>
      <c r="L64" s="92"/>
    </row>
    <row r="65" spans="1:12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9"/>
        <v>0</v>
      </c>
      <c r="G65" s="125"/>
      <c r="H65" s="126"/>
      <c r="I65" s="125"/>
      <c r="J65" s="126"/>
      <c r="K65" s="100"/>
      <c r="L65" s="101"/>
    </row>
    <row r="66" spans="1:12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</row>
    <row r="67" spans="1:12" ht="18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0">
    <mergeCell ref="A10:A11"/>
    <mergeCell ref="B10:B11"/>
    <mergeCell ref="C10:C11"/>
    <mergeCell ref="D10:D11"/>
    <mergeCell ref="E10:F10"/>
    <mergeCell ref="G10:H10"/>
    <mergeCell ref="I10:J10"/>
    <mergeCell ref="K10:L10"/>
    <mergeCell ref="D1:E1"/>
    <mergeCell ref="D2:E2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colBreaks count="1" manualBreakCount="1">
    <brk id="12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7"/>
  <sheetViews>
    <sheetView view="pageBreakPreview" zoomScale="60" zoomScaleNormal="50" workbookViewId="0">
      <selection activeCell="B2" sqref="B2"/>
    </sheetView>
  </sheetViews>
  <sheetFormatPr defaultRowHeight="15" outlineLevelRow="1" outlineLevelCol="1"/>
  <cols>
    <col min="1" max="1" width="12.140625" bestFit="1" customWidth="1"/>
    <col min="2" max="2" width="100.285156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9.140625" collapsed="1"/>
    <col min="14" max="14" width="10.85546875" bestFit="1" customWidth="1"/>
    <col min="15" max="15" width="11.85546875" customWidth="1"/>
    <col min="18" max="18" width="11.5703125" bestFit="1" customWidth="1"/>
    <col min="19" max="20" width="12.42578125" bestFit="1" customWidth="1"/>
  </cols>
  <sheetData>
    <row r="1" spans="1:19" s="18" customFormat="1" ht="67.5" thickTop="1" thickBot="1">
      <c r="A1" s="15" t="s">
        <v>559</v>
      </c>
      <c r="B1" s="16" t="s">
        <v>593</v>
      </c>
      <c r="C1" s="17" t="s">
        <v>561</v>
      </c>
      <c r="D1" s="133">
        <v>383</v>
      </c>
      <c r="E1" s="134">
        <v>44077</v>
      </c>
      <c r="K1" s="18" t="s">
        <v>563</v>
      </c>
    </row>
    <row r="2" spans="1:19" s="18" customFormat="1" ht="109.5" thickTop="1" thickBot="1">
      <c r="A2" s="15" t="s">
        <v>564</v>
      </c>
      <c r="B2" s="16" t="s">
        <v>594</v>
      </c>
      <c r="C2" s="17" t="s">
        <v>566</v>
      </c>
      <c r="D2" s="133">
        <v>384</v>
      </c>
      <c r="E2" s="134">
        <v>44077</v>
      </c>
      <c r="F2" s="19"/>
      <c r="K2" s="18" t="s">
        <v>568</v>
      </c>
    </row>
    <row r="3" spans="1:19" s="18" customFormat="1" ht="18.75" thickTop="1">
      <c r="A3" s="20"/>
      <c r="C3" s="15"/>
      <c r="G3" s="21" t="str">
        <f>[21]ЗАО_ВОЛЬВО_ВОСТОК!G3</f>
        <v>на 01.01.2016 г.</v>
      </c>
    </row>
    <row r="4" spans="1:19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9" s="18" customFormat="1" ht="18">
      <c r="A5" s="27"/>
      <c r="B5" s="28"/>
      <c r="C5" s="28"/>
      <c r="D5" s="28"/>
      <c r="E5" s="29">
        <f>SUM(E6:E8)</f>
        <v>1620.6479999999999</v>
      </c>
      <c r="F5" s="29">
        <f>SUM(F6:F8)</f>
        <v>399.04079999999993</v>
      </c>
      <c r="G5" s="30"/>
      <c r="H5" s="31">
        <f>SUM(H6:H8)</f>
        <v>0</v>
      </c>
      <c r="I5" s="28"/>
      <c r="J5" s="32"/>
    </row>
    <row r="6" spans="1:19" s="41" customFormat="1" ht="18.75">
      <c r="A6" s="33"/>
      <c r="B6" s="34" t="s">
        <v>572</v>
      </c>
      <c r="C6" s="35"/>
      <c r="D6" s="35"/>
      <c r="E6" s="37">
        <v>567.22679999999991</v>
      </c>
      <c r="F6" s="37">
        <v>139.66427999999999</v>
      </c>
      <c r="G6" s="38"/>
      <c r="H6" s="38"/>
      <c r="I6" s="35"/>
      <c r="J6" s="39"/>
      <c r="K6" s="40"/>
      <c r="L6" s="40"/>
      <c r="M6" s="40"/>
    </row>
    <row r="7" spans="1:19" s="41" customFormat="1" ht="18.75">
      <c r="A7" s="33"/>
      <c r="B7" s="34" t="s">
        <v>573</v>
      </c>
      <c r="C7" s="35"/>
      <c r="D7" s="35"/>
      <c r="E7" s="37">
        <v>810.32399999999996</v>
      </c>
      <c r="F7" s="37">
        <v>199.5204</v>
      </c>
      <c r="G7" s="38"/>
      <c r="H7" s="38"/>
      <c r="I7" s="35"/>
      <c r="J7" s="39"/>
      <c r="K7" s="40"/>
      <c r="L7" s="40"/>
      <c r="M7" s="40"/>
    </row>
    <row r="8" spans="1:19" s="41" customFormat="1" ht="18.75">
      <c r="A8" s="42"/>
      <c r="B8" s="43" t="s">
        <v>574</v>
      </c>
      <c r="C8" s="44"/>
      <c r="D8" s="44"/>
      <c r="E8" s="46">
        <v>243.09719999999999</v>
      </c>
      <c r="F8" s="46">
        <v>59.856119999999997</v>
      </c>
      <c r="G8" s="47"/>
      <c r="H8" s="47"/>
      <c r="I8" s="44"/>
      <c r="J8" s="48"/>
      <c r="K8" s="40"/>
      <c r="L8" s="40"/>
      <c r="M8" s="40"/>
    </row>
    <row r="9" spans="1:19" s="18" customFormat="1" ht="18">
      <c r="A9" s="20"/>
      <c r="G9" s="49"/>
      <c r="N9" s="50"/>
    </row>
    <row r="10" spans="1:19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597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  <c r="S10" s="135"/>
    </row>
    <row r="11" spans="1:19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9" s="18" customFormat="1" ht="18">
      <c r="A12" s="53"/>
      <c r="B12" s="54" t="s">
        <v>584</v>
      </c>
      <c r="C12" s="55"/>
      <c r="D12" s="56"/>
      <c r="E12" s="57">
        <f>SUM(E18,E42)</f>
        <v>1683.0740000000001</v>
      </c>
      <c r="F12" s="58">
        <f>SUM(F18,F42)</f>
        <v>2019.6887999999999</v>
      </c>
      <c r="G12" s="59">
        <f t="shared" ref="E12:J17" si="0">SUM(G18,G42)</f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</row>
    <row r="13" spans="1:19" s="18" customFormat="1" ht="18">
      <c r="A13" s="61"/>
      <c r="B13" s="62" t="s">
        <v>10</v>
      </c>
      <c r="C13" s="63"/>
      <c r="D13" s="64"/>
      <c r="E13" s="65">
        <f t="shared" si="0"/>
        <v>0</v>
      </c>
      <c r="F13" s="66">
        <f t="shared" si="0"/>
        <v>0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9" s="18" customFormat="1" ht="18">
      <c r="A14" s="61"/>
      <c r="B14" s="62" t="s">
        <v>9</v>
      </c>
      <c r="C14" s="63"/>
      <c r="D14" s="64"/>
      <c r="E14" s="65">
        <f t="shared" si="0"/>
        <v>1683.0740000000001</v>
      </c>
      <c r="F14" s="66">
        <f t="shared" si="0"/>
        <v>2019.6887999999999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9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9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9" s="18" customFormat="1" ht="18">
      <c r="A17" s="69"/>
      <c r="B17" s="70" t="s">
        <v>14</v>
      </c>
      <c r="C17" s="71"/>
      <c r="D17" s="72"/>
      <c r="E17" s="73">
        <f>SUM(E23,E47)</f>
        <v>0</v>
      </c>
      <c r="F17" s="74">
        <f t="shared" si="0"/>
        <v>0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9" s="79" customFormat="1" ht="18">
      <c r="A18" s="77">
        <v>1</v>
      </c>
      <c r="B18" s="54" t="s">
        <v>5</v>
      </c>
      <c r="C18" s="78">
        <f>C24+C30</f>
        <v>50</v>
      </c>
      <c r="D18" s="78">
        <f>D24+D30</f>
        <v>345.6</v>
      </c>
      <c r="E18" s="57">
        <f t="shared" ref="E18:J18" si="1">SUM(E19:E23)</f>
        <v>1350.54</v>
      </c>
      <c r="F18" s="58">
        <f t="shared" si="1"/>
        <v>1620.6479999999999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9" s="79" customFormat="1" ht="18">
      <c r="A19" s="80"/>
      <c r="B19" s="62" t="s">
        <v>10</v>
      </c>
      <c r="C19" s="63"/>
      <c r="D19" s="64"/>
      <c r="E19" s="65">
        <f>SUM(E25,E31,E37)</f>
        <v>0</v>
      </c>
      <c r="F19" s="66">
        <f t="shared" ref="E19:J23" si="2">SUM(F25,F31,F37)</f>
        <v>0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  <c r="S19" s="135"/>
    </row>
    <row r="20" spans="1:19" s="79" customFormat="1" ht="18">
      <c r="A20" s="80"/>
      <c r="B20" s="62" t="s">
        <v>9</v>
      </c>
      <c r="C20" s="63"/>
      <c r="D20" s="64"/>
      <c r="E20" s="65">
        <f t="shared" si="2"/>
        <v>1350.54</v>
      </c>
      <c r="F20" s="66">
        <f t="shared" si="2"/>
        <v>1620.6479999999999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9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9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9" s="79" customFormat="1" ht="18">
      <c r="A23" s="81"/>
      <c r="B23" s="70" t="s">
        <v>14</v>
      </c>
      <c r="C23" s="71"/>
      <c r="D23" s="72"/>
      <c r="E23" s="73">
        <f t="shared" si="2"/>
        <v>0</v>
      </c>
      <c r="F23" s="74">
        <f t="shared" si="2"/>
        <v>0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9" s="79" customFormat="1" ht="126">
      <c r="A24" s="77" t="s">
        <v>25</v>
      </c>
      <c r="B24" s="82" t="s">
        <v>598</v>
      </c>
      <c r="C24" s="83">
        <v>50</v>
      </c>
      <c r="D24" s="84">
        <v>345.6</v>
      </c>
      <c r="E24" s="84">
        <f t="shared" ref="E24:J24" si="3">SUM(E25:E29)</f>
        <v>1350.54</v>
      </c>
      <c r="F24" s="85">
        <f t="shared" si="3"/>
        <v>1620.6479999999999</v>
      </c>
      <c r="G24" s="86">
        <f t="shared" si="3"/>
        <v>0</v>
      </c>
      <c r="H24" s="87">
        <f t="shared" si="3"/>
        <v>0</v>
      </c>
      <c r="I24" s="86">
        <f t="shared" si="3"/>
        <v>0</v>
      </c>
      <c r="J24" s="87">
        <f t="shared" si="3"/>
        <v>0</v>
      </c>
      <c r="K24" s="84"/>
      <c r="L24" s="85"/>
    </row>
    <row r="25" spans="1:19" s="95" customFormat="1" ht="18">
      <c r="A25" s="88"/>
      <c r="B25" s="89" t="s">
        <v>10</v>
      </c>
      <c r="C25" s="90"/>
      <c r="D25" s="91"/>
      <c r="E25" s="91"/>
      <c r="F25" s="92">
        <f>E25*1.2</f>
        <v>0</v>
      </c>
      <c r="G25" s="93"/>
      <c r="H25" s="94"/>
      <c r="I25" s="93"/>
      <c r="J25" s="94"/>
      <c r="K25" s="91"/>
      <c r="L25" s="92"/>
    </row>
    <row r="26" spans="1:19" s="95" customFormat="1" ht="18">
      <c r="A26" s="88"/>
      <c r="B26" s="89" t="s">
        <v>9</v>
      </c>
      <c r="C26" s="90"/>
      <c r="D26" s="91"/>
      <c r="E26" s="91">
        <v>1350.54</v>
      </c>
      <c r="F26" s="92">
        <f>E26*1.2</f>
        <v>1620.6479999999999</v>
      </c>
      <c r="G26" s="93"/>
      <c r="H26" s="94"/>
      <c r="I26" s="93"/>
      <c r="J26" s="94"/>
      <c r="K26" s="91"/>
      <c r="L26" s="92"/>
    </row>
    <row r="27" spans="1:19" s="95" customFormat="1" ht="18">
      <c r="A27" s="88"/>
      <c r="B27" s="89" t="s">
        <v>12</v>
      </c>
      <c r="C27" s="90"/>
      <c r="D27" s="91"/>
      <c r="E27" s="91"/>
      <c r="F27" s="92">
        <f>E27*1.2</f>
        <v>0</v>
      </c>
      <c r="G27" s="93"/>
      <c r="H27" s="94"/>
      <c r="I27" s="93"/>
      <c r="J27" s="94"/>
      <c r="K27" s="91"/>
      <c r="L27" s="92"/>
    </row>
    <row r="28" spans="1:19" s="95" customFormat="1" ht="18">
      <c r="A28" s="88"/>
      <c r="B28" s="89" t="s">
        <v>13</v>
      </c>
      <c r="C28" s="90"/>
      <c r="D28" s="91"/>
      <c r="E28" s="91"/>
      <c r="F28" s="92">
        <f>E28*1.2</f>
        <v>0</v>
      </c>
      <c r="G28" s="93"/>
      <c r="H28" s="94"/>
      <c r="I28" s="93"/>
      <c r="J28" s="94"/>
      <c r="K28" s="91"/>
      <c r="L28" s="92"/>
    </row>
    <row r="29" spans="1:19" s="95" customFormat="1" ht="18">
      <c r="A29" s="97"/>
      <c r="B29" s="98" t="s">
        <v>14</v>
      </c>
      <c r="C29" s="99"/>
      <c r="D29" s="100"/>
      <c r="E29" s="100"/>
      <c r="F29" s="101">
        <f>E29*1.2</f>
        <v>0</v>
      </c>
      <c r="G29" s="93"/>
      <c r="H29" s="94"/>
      <c r="I29" s="93"/>
      <c r="J29" s="94"/>
      <c r="K29" s="91"/>
      <c r="L29" s="92"/>
    </row>
    <row r="30" spans="1:19" s="79" customFormat="1" ht="18" hidden="1" outlineLevel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</row>
    <row r="31" spans="1:19" s="95" customFormat="1" ht="18" hidden="1" outlineLevel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9" s="95" customFormat="1" ht="15" hidden="1" customHeight="1" outlineLevel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</row>
    <row r="33" spans="1:12" s="95" customFormat="1" ht="18" hidden="1" outlineLevel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</row>
    <row r="34" spans="1:12" s="95" customFormat="1" ht="18" hidden="1" outlineLevel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2" s="95" customFormat="1" ht="18" hidden="1" outlineLevel="1">
      <c r="A35" s="97"/>
      <c r="B35" s="98" t="s">
        <v>14</v>
      </c>
      <c r="C35" s="99"/>
      <c r="D35" s="100"/>
      <c r="E35" s="100"/>
      <c r="F35" s="92">
        <f>E35*1.2</f>
        <v>0</v>
      </c>
      <c r="G35" s="104"/>
      <c r="H35" s="104"/>
      <c r="I35" s="104"/>
      <c r="J35" s="104"/>
      <c r="K35" s="96"/>
      <c r="L35" s="96"/>
    </row>
    <row r="36" spans="1:12" s="79" customFormat="1" ht="18" hidden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4">E36*1.18</f>
        <v>0</v>
      </c>
      <c r="G36" s="102"/>
      <c r="H36" s="102"/>
      <c r="I36" s="102"/>
      <c r="J36" s="102"/>
      <c r="K36" s="103"/>
      <c r="L36" s="103"/>
    </row>
    <row r="37" spans="1:12" s="95" customFormat="1" ht="18" hidden="1" outlineLevel="1">
      <c r="A37" s="88"/>
      <c r="B37" s="89" t="s">
        <v>10</v>
      </c>
      <c r="C37" s="90"/>
      <c r="D37" s="91"/>
      <c r="E37" s="91"/>
      <c r="F37" s="92">
        <f t="shared" si="4"/>
        <v>0</v>
      </c>
      <c r="G37" s="104"/>
      <c r="H37" s="104"/>
      <c r="I37" s="104"/>
      <c r="J37" s="104"/>
      <c r="K37" s="96"/>
      <c r="L37" s="96"/>
    </row>
    <row r="38" spans="1:12" s="95" customFormat="1" ht="18" hidden="1" outlineLevel="1">
      <c r="A38" s="88"/>
      <c r="B38" s="89" t="s">
        <v>9</v>
      </c>
      <c r="C38" s="90"/>
      <c r="D38" s="91"/>
      <c r="E38" s="91"/>
      <c r="F38" s="92">
        <f t="shared" si="4"/>
        <v>0</v>
      </c>
      <c r="G38" s="104"/>
      <c r="H38" s="104"/>
      <c r="I38" s="104"/>
      <c r="J38" s="104"/>
      <c r="K38" s="96"/>
      <c r="L38" s="96"/>
    </row>
    <row r="39" spans="1:12" s="95" customFormat="1" ht="18" hidden="1" outlineLevel="1">
      <c r="A39" s="88"/>
      <c r="B39" s="89" t="s">
        <v>12</v>
      </c>
      <c r="C39" s="90"/>
      <c r="D39" s="91"/>
      <c r="E39" s="91"/>
      <c r="F39" s="92">
        <f t="shared" si="4"/>
        <v>0</v>
      </c>
      <c r="G39" s="104"/>
      <c r="H39" s="104"/>
      <c r="I39" s="104"/>
      <c r="J39" s="104"/>
      <c r="K39" s="96"/>
      <c r="L39" s="96"/>
    </row>
    <row r="40" spans="1:12" s="95" customFormat="1" ht="18" hidden="1" outlineLevel="1">
      <c r="A40" s="88"/>
      <c r="B40" s="89" t="s">
        <v>13</v>
      </c>
      <c r="C40" s="90"/>
      <c r="D40" s="91"/>
      <c r="E40" s="91"/>
      <c r="F40" s="92">
        <f t="shared" si="4"/>
        <v>0</v>
      </c>
      <c r="G40" s="104"/>
      <c r="H40" s="104"/>
      <c r="I40" s="104"/>
      <c r="J40" s="104"/>
      <c r="K40" s="96"/>
      <c r="L40" s="96"/>
    </row>
    <row r="41" spans="1:12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4"/>
        <v>0</v>
      </c>
      <c r="G41" s="104"/>
      <c r="H41" s="104"/>
      <c r="I41" s="104"/>
      <c r="J41" s="104"/>
      <c r="K41" s="96"/>
      <c r="L41" s="96"/>
    </row>
    <row r="42" spans="1:12" s="110" customFormat="1" ht="18" collapsed="1">
      <c r="A42" s="107">
        <v>2</v>
      </c>
      <c r="B42" s="108" t="s">
        <v>0</v>
      </c>
      <c r="C42" s="109">
        <f>SUM(C48,C54)</f>
        <v>0</v>
      </c>
      <c r="D42" s="109">
        <f>SUM(D48,D54)</f>
        <v>336</v>
      </c>
      <c r="E42" s="84">
        <f t="shared" ref="E42:J42" si="5">SUM(E43:E47)</f>
        <v>332.53399999999999</v>
      </c>
      <c r="F42" s="85">
        <f t="shared" si="5"/>
        <v>399.04079999999999</v>
      </c>
      <c r="G42" s="86">
        <f t="shared" si="5"/>
        <v>0</v>
      </c>
      <c r="H42" s="87">
        <f t="shared" si="5"/>
        <v>0</v>
      </c>
      <c r="I42" s="86">
        <f t="shared" si="5"/>
        <v>0</v>
      </c>
      <c r="J42" s="87">
        <f t="shared" si="5"/>
        <v>0</v>
      </c>
      <c r="K42" s="84"/>
      <c r="L42" s="85"/>
    </row>
    <row r="43" spans="1:12" s="110" customFormat="1" ht="18">
      <c r="A43" s="80"/>
      <c r="B43" s="62" t="s">
        <v>10</v>
      </c>
      <c r="C43" s="111"/>
      <c r="D43" s="112"/>
      <c r="E43" s="112">
        <f>E49+E55+E61</f>
        <v>0</v>
      </c>
      <c r="F43" s="113">
        <f t="shared" ref="F43:J47" si="6">SUM(F49,F55,F61)</f>
        <v>0</v>
      </c>
      <c r="G43" s="114">
        <f t="shared" si="6"/>
        <v>0</v>
      </c>
      <c r="H43" s="115">
        <f t="shared" si="6"/>
        <v>0</v>
      </c>
      <c r="I43" s="114">
        <f t="shared" si="6"/>
        <v>0</v>
      </c>
      <c r="J43" s="115">
        <f t="shared" si="6"/>
        <v>0</v>
      </c>
      <c r="K43" s="112"/>
      <c r="L43" s="113"/>
    </row>
    <row r="44" spans="1:12" s="110" customFormat="1" ht="18">
      <c r="A44" s="80"/>
      <c r="B44" s="62" t="s">
        <v>9</v>
      </c>
      <c r="C44" s="111"/>
      <c r="D44" s="112"/>
      <c r="E44" s="112">
        <f>E50+E56+E62</f>
        <v>332.53399999999999</v>
      </c>
      <c r="F44" s="113">
        <f t="shared" si="6"/>
        <v>399.04079999999999</v>
      </c>
      <c r="G44" s="114">
        <f t="shared" si="6"/>
        <v>0</v>
      </c>
      <c r="H44" s="115">
        <f t="shared" si="6"/>
        <v>0</v>
      </c>
      <c r="I44" s="114">
        <f t="shared" si="6"/>
        <v>0</v>
      </c>
      <c r="J44" s="115">
        <f t="shared" si="6"/>
        <v>0</v>
      </c>
      <c r="K44" s="112"/>
      <c r="L44" s="113"/>
    </row>
    <row r="45" spans="1:12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6"/>
        <v>0</v>
      </c>
      <c r="G45" s="114">
        <f t="shared" si="6"/>
        <v>0</v>
      </c>
      <c r="H45" s="115">
        <f t="shared" si="6"/>
        <v>0</v>
      </c>
      <c r="I45" s="114">
        <f t="shared" si="6"/>
        <v>0</v>
      </c>
      <c r="J45" s="115">
        <f t="shared" si="6"/>
        <v>0</v>
      </c>
      <c r="K45" s="112"/>
      <c r="L45" s="113"/>
    </row>
    <row r="46" spans="1:12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6"/>
        <v>0</v>
      </c>
      <c r="G46" s="114">
        <f t="shared" si="6"/>
        <v>0</v>
      </c>
      <c r="H46" s="115">
        <f t="shared" si="6"/>
        <v>0</v>
      </c>
      <c r="I46" s="114">
        <f t="shared" si="6"/>
        <v>0</v>
      </c>
      <c r="J46" s="115">
        <f t="shared" si="6"/>
        <v>0</v>
      </c>
      <c r="K46" s="112"/>
      <c r="L46" s="113"/>
    </row>
    <row r="47" spans="1:12" s="110" customFormat="1" ht="18">
      <c r="A47" s="116"/>
      <c r="B47" s="117" t="s">
        <v>14</v>
      </c>
      <c r="C47" s="118"/>
      <c r="D47" s="119"/>
      <c r="E47" s="112">
        <f>E53+E59+E65</f>
        <v>0</v>
      </c>
      <c r="F47" s="120">
        <f t="shared" si="6"/>
        <v>0</v>
      </c>
      <c r="G47" s="121">
        <f t="shared" si="6"/>
        <v>0</v>
      </c>
      <c r="H47" s="122">
        <f t="shared" si="6"/>
        <v>0</v>
      </c>
      <c r="I47" s="121">
        <f t="shared" si="6"/>
        <v>0</v>
      </c>
      <c r="J47" s="122">
        <f t="shared" si="6"/>
        <v>0</v>
      </c>
      <c r="K47" s="119"/>
      <c r="L47" s="120"/>
    </row>
    <row r="48" spans="1:12" s="110" customFormat="1" ht="177" customHeight="1">
      <c r="A48" s="77" t="s">
        <v>26</v>
      </c>
      <c r="B48" s="127" t="s">
        <v>599</v>
      </c>
      <c r="C48" s="83"/>
      <c r="D48" s="84">
        <v>336</v>
      </c>
      <c r="E48" s="84">
        <f t="shared" ref="E48:J48" si="7">SUM(E49:E53)</f>
        <v>332.53399999999999</v>
      </c>
      <c r="F48" s="85">
        <f t="shared" si="7"/>
        <v>399.04079999999999</v>
      </c>
      <c r="G48" s="86">
        <f t="shared" si="7"/>
        <v>0</v>
      </c>
      <c r="H48" s="87">
        <f t="shared" si="7"/>
        <v>0</v>
      </c>
      <c r="I48" s="86">
        <f t="shared" si="7"/>
        <v>0</v>
      </c>
      <c r="J48" s="87">
        <f t="shared" si="7"/>
        <v>0</v>
      </c>
      <c r="K48" s="84"/>
      <c r="L48" s="85"/>
    </row>
    <row r="49" spans="1:12" s="124" customFormat="1" ht="18">
      <c r="A49" s="88"/>
      <c r="B49" s="89" t="s">
        <v>10</v>
      </c>
      <c r="C49" s="90"/>
      <c r="D49" s="91"/>
      <c r="E49" s="91"/>
      <c r="F49" s="92">
        <f>E49*1.2</f>
        <v>0</v>
      </c>
      <c r="G49" s="93"/>
      <c r="H49" s="94"/>
      <c r="I49" s="93"/>
      <c r="J49" s="94"/>
      <c r="K49" s="91"/>
      <c r="L49" s="92"/>
    </row>
    <row r="50" spans="1:12" s="124" customFormat="1" ht="18">
      <c r="A50" s="88"/>
      <c r="B50" s="89" t="s">
        <v>9</v>
      </c>
      <c r="C50" s="90"/>
      <c r="D50" s="91"/>
      <c r="E50" s="91">
        <v>332.53399999999999</v>
      </c>
      <c r="F50" s="92">
        <f>E50*1.2</f>
        <v>399.04079999999999</v>
      </c>
      <c r="G50" s="93"/>
      <c r="H50" s="94"/>
      <c r="I50" s="93"/>
      <c r="J50" s="94"/>
      <c r="K50" s="91"/>
      <c r="L50" s="92"/>
    </row>
    <row r="51" spans="1:12" s="124" customFormat="1" ht="18">
      <c r="A51" s="88"/>
      <c r="B51" s="89" t="s">
        <v>12</v>
      </c>
      <c r="C51" s="90"/>
      <c r="D51" s="91"/>
      <c r="E51" s="91"/>
      <c r="F51" s="92">
        <f>E51*1.2</f>
        <v>0</v>
      </c>
      <c r="G51" s="93"/>
      <c r="H51" s="94"/>
      <c r="I51" s="93"/>
      <c r="J51" s="94"/>
      <c r="K51" s="91"/>
      <c r="L51" s="92"/>
    </row>
    <row r="52" spans="1:12" s="124" customFormat="1" ht="18">
      <c r="A52" s="88"/>
      <c r="B52" s="89" t="s">
        <v>13</v>
      </c>
      <c r="C52" s="90"/>
      <c r="D52" s="91"/>
      <c r="E52" s="91"/>
      <c r="F52" s="92">
        <f>E52*1.2</f>
        <v>0</v>
      </c>
      <c r="G52" s="93"/>
      <c r="H52" s="94"/>
      <c r="I52" s="93"/>
      <c r="J52" s="94"/>
      <c r="K52" s="91"/>
      <c r="L52" s="92"/>
    </row>
    <row r="53" spans="1:12" s="124" customFormat="1" ht="18">
      <c r="A53" s="97"/>
      <c r="B53" s="98" t="s">
        <v>14</v>
      </c>
      <c r="C53" s="99"/>
      <c r="D53" s="100"/>
      <c r="E53" s="100"/>
      <c r="F53" s="92">
        <f>E53*1.2</f>
        <v>0</v>
      </c>
      <c r="G53" s="125"/>
      <c r="H53" s="126"/>
      <c r="I53" s="125"/>
      <c r="J53" s="126"/>
      <c r="K53" s="100"/>
      <c r="L53" s="101"/>
    </row>
    <row r="54" spans="1:12" s="110" customFormat="1" ht="18" hidden="1" outlineLevel="1">
      <c r="A54" s="77" t="s">
        <v>27</v>
      </c>
      <c r="B54" s="127"/>
      <c r="C54" s="83"/>
      <c r="D54" s="83"/>
      <c r="E54" s="84">
        <f>SUM(E55:E59)</f>
        <v>0</v>
      </c>
      <c r="F54" s="85">
        <f t="shared" ref="F54:F65" si="8">E54*1.18</f>
        <v>0</v>
      </c>
      <c r="G54" s="86"/>
      <c r="H54" s="87"/>
      <c r="I54" s="86"/>
      <c r="J54" s="87"/>
      <c r="K54" s="84"/>
      <c r="L54" s="85"/>
    </row>
    <row r="55" spans="1:12" s="124" customFormat="1" ht="18" hidden="1" outlineLevel="1">
      <c r="A55" s="88"/>
      <c r="B55" s="89" t="s">
        <v>10</v>
      </c>
      <c r="C55" s="90"/>
      <c r="D55" s="91"/>
      <c r="E55" s="91"/>
      <c r="F55" s="92">
        <f>E55*1.2</f>
        <v>0</v>
      </c>
      <c r="G55" s="93"/>
      <c r="H55" s="94"/>
      <c r="I55" s="93"/>
      <c r="J55" s="94"/>
      <c r="K55" s="91"/>
      <c r="L55" s="92"/>
    </row>
    <row r="56" spans="1:12" s="124" customFormat="1" ht="18" hidden="1" outlineLevel="1">
      <c r="A56" s="88"/>
      <c r="B56" s="89" t="s">
        <v>9</v>
      </c>
      <c r="C56" s="90"/>
      <c r="D56" s="91"/>
      <c r="E56" s="91"/>
      <c r="F56" s="92">
        <f>E56*1.2</f>
        <v>0</v>
      </c>
      <c r="G56" s="93"/>
      <c r="H56" s="94"/>
      <c r="I56" s="93"/>
      <c r="J56" s="94"/>
      <c r="K56" s="91"/>
      <c r="L56" s="92"/>
    </row>
    <row r="57" spans="1:12" s="124" customFormat="1" ht="18" hidden="1" outlineLevel="1">
      <c r="A57" s="88"/>
      <c r="B57" s="89" t="s">
        <v>12</v>
      </c>
      <c r="C57" s="90"/>
      <c r="D57" s="91"/>
      <c r="E57" s="91"/>
      <c r="F57" s="92">
        <f>E57*1.2</f>
        <v>0</v>
      </c>
      <c r="G57" s="93"/>
      <c r="H57" s="94"/>
      <c r="I57" s="93"/>
      <c r="J57" s="94"/>
      <c r="K57" s="91"/>
      <c r="L57" s="92"/>
    </row>
    <row r="58" spans="1:12" s="124" customFormat="1" ht="18" hidden="1" outlineLevel="1">
      <c r="A58" s="88"/>
      <c r="B58" s="89" t="s">
        <v>13</v>
      </c>
      <c r="C58" s="90"/>
      <c r="D58" s="91"/>
      <c r="E58" s="91"/>
      <c r="F58" s="92">
        <f>E58*1.2</f>
        <v>0</v>
      </c>
      <c r="G58" s="93"/>
      <c r="H58" s="94"/>
      <c r="I58" s="93"/>
      <c r="J58" s="94"/>
      <c r="K58" s="91"/>
      <c r="L58" s="92"/>
    </row>
    <row r="59" spans="1:12" s="124" customFormat="1" ht="18" hidden="1" outlineLevel="1">
      <c r="A59" s="97"/>
      <c r="B59" s="98" t="s">
        <v>14</v>
      </c>
      <c r="C59" s="99"/>
      <c r="D59" s="100"/>
      <c r="E59" s="100"/>
      <c r="F59" s="92">
        <f>E59*1.2</f>
        <v>0</v>
      </c>
      <c r="G59" s="125"/>
      <c r="H59" s="126"/>
      <c r="I59" s="125"/>
      <c r="J59" s="126"/>
      <c r="K59" s="100"/>
      <c r="L59" s="101"/>
    </row>
    <row r="60" spans="1:12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si="8"/>
        <v>0</v>
      </c>
      <c r="G60" s="86"/>
      <c r="H60" s="87"/>
      <c r="I60" s="86"/>
      <c r="J60" s="87"/>
      <c r="K60" s="84"/>
      <c r="L60" s="85"/>
    </row>
    <row r="61" spans="1:12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2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2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2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12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12" s="40" customFormat="1" ht="18" collapsed="1">
      <c r="A66" s="131"/>
      <c r="D66" s="132"/>
      <c r="E66" s="132"/>
      <c r="F66" s="132"/>
    </row>
    <row r="67" spans="1:12" ht="18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colBreaks count="1" manualBreakCount="1">
    <brk id="12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7"/>
  <sheetViews>
    <sheetView view="pageBreakPreview" topLeftCell="A4" zoomScale="60" zoomScaleNormal="50" workbookViewId="0">
      <selection activeCell="O69" sqref="O69"/>
    </sheetView>
  </sheetViews>
  <sheetFormatPr defaultRowHeight="15" outlineLevelRow="1" outlineLevelCol="1"/>
  <cols>
    <col min="1" max="1" width="12.140625" bestFit="1" customWidth="1"/>
    <col min="2" max="2" width="100.285156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9.140625" collapsed="1"/>
    <col min="14" max="14" width="10.85546875" bestFit="1" customWidth="1"/>
    <col min="15" max="15" width="11.85546875" customWidth="1"/>
    <col min="18" max="18" width="11.5703125" bestFit="1" customWidth="1"/>
    <col min="19" max="20" width="12.42578125" bestFit="1" customWidth="1"/>
  </cols>
  <sheetData>
    <row r="1" spans="1:19" s="18" customFormat="1" ht="67.5" thickTop="1" thickBot="1">
      <c r="A1" s="15" t="s">
        <v>559</v>
      </c>
      <c r="B1" s="16" t="s">
        <v>601</v>
      </c>
      <c r="C1" s="17" t="s">
        <v>561</v>
      </c>
      <c r="D1" s="133"/>
      <c r="E1" s="134"/>
      <c r="K1" s="18" t="s">
        <v>563</v>
      </c>
    </row>
    <row r="2" spans="1:19" s="18" customFormat="1" ht="67.5" thickTop="1" thickBot="1">
      <c r="A2" s="15" t="s">
        <v>564</v>
      </c>
      <c r="B2" s="16" t="s">
        <v>602</v>
      </c>
      <c r="C2" s="17" t="s">
        <v>566</v>
      </c>
      <c r="D2" s="133"/>
      <c r="E2" s="134"/>
      <c r="F2" s="19"/>
      <c r="K2" s="18" t="s">
        <v>568</v>
      </c>
    </row>
    <row r="3" spans="1:19" s="18" customFormat="1" ht="18.75" thickTop="1">
      <c r="A3" s="20"/>
      <c r="C3" s="15"/>
      <c r="G3" s="21" t="str">
        <f>[21]ЗАО_ВОЛЬВО_ВОСТОК!G3</f>
        <v>на 01.01.2016 г.</v>
      </c>
    </row>
    <row r="4" spans="1:19" s="18" customFormat="1" ht="72">
      <c r="A4" s="22"/>
      <c r="B4" s="23" t="s">
        <v>569</v>
      </c>
      <c r="C4" s="23"/>
      <c r="D4" s="23"/>
      <c r="E4" s="24"/>
      <c r="F4" s="25" t="s">
        <v>570</v>
      </c>
      <c r="G4" s="24"/>
      <c r="H4" s="25" t="s">
        <v>571</v>
      </c>
      <c r="I4" s="23"/>
      <c r="J4" s="26"/>
    </row>
    <row r="5" spans="1:19" s="18" customFormat="1" ht="18">
      <c r="A5" s="27"/>
      <c r="B5" s="28"/>
      <c r="C5" s="28"/>
      <c r="D5" s="28"/>
      <c r="E5" s="28"/>
      <c r="F5" s="29">
        <f>SUM(F6:F8)</f>
        <v>0</v>
      </c>
      <c r="G5" s="30"/>
      <c r="H5" s="31">
        <f>SUM(H6:H8)</f>
        <v>0</v>
      </c>
      <c r="I5" s="28"/>
      <c r="J5" s="32"/>
    </row>
    <row r="6" spans="1:19" s="41" customFormat="1" ht="18.75">
      <c r="A6" s="33"/>
      <c r="B6" s="34" t="s">
        <v>572</v>
      </c>
      <c r="C6" s="35"/>
      <c r="D6" s="35"/>
      <c r="E6" s="36"/>
      <c r="F6" s="37"/>
      <c r="G6" s="38"/>
      <c r="H6" s="38"/>
      <c r="I6" s="35"/>
      <c r="J6" s="39"/>
      <c r="K6" s="40"/>
      <c r="L6" s="40"/>
      <c r="M6" s="40"/>
    </row>
    <row r="7" spans="1:19" s="41" customFormat="1" ht="18.75">
      <c r="A7" s="33"/>
      <c r="B7" s="34" t="s">
        <v>573</v>
      </c>
      <c r="C7" s="35"/>
      <c r="D7" s="35"/>
      <c r="E7" s="36"/>
      <c r="F7" s="37"/>
      <c r="G7" s="38"/>
      <c r="H7" s="38"/>
      <c r="I7" s="35"/>
      <c r="J7" s="39"/>
      <c r="K7" s="40"/>
      <c r="L7" s="40"/>
      <c r="M7" s="40"/>
    </row>
    <row r="8" spans="1:19" s="41" customFormat="1" ht="18.75">
      <c r="A8" s="42"/>
      <c r="B8" s="43" t="s">
        <v>574</v>
      </c>
      <c r="C8" s="44"/>
      <c r="D8" s="44"/>
      <c r="E8" s="45"/>
      <c r="F8" s="46"/>
      <c r="G8" s="47"/>
      <c r="H8" s="47"/>
      <c r="I8" s="44"/>
      <c r="J8" s="48"/>
      <c r="K8" s="40"/>
      <c r="L8" s="40"/>
      <c r="M8" s="40"/>
    </row>
    <row r="9" spans="1:19" s="18" customFormat="1" ht="18">
      <c r="A9" s="20"/>
      <c r="G9" s="49"/>
      <c r="N9" s="50"/>
    </row>
    <row r="10" spans="1:19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603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  <c r="S10" s="135"/>
    </row>
    <row r="11" spans="1:19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9" s="18" customFormat="1" ht="18">
      <c r="A12" s="53"/>
      <c r="B12" s="54" t="s">
        <v>584</v>
      </c>
      <c r="C12" s="55"/>
      <c r="D12" s="56"/>
      <c r="E12" s="57">
        <f>SUM(E18,E42)</f>
        <v>6312.594000000001</v>
      </c>
      <c r="F12" s="58">
        <f>SUM(F18,F42)</f>
        <v>7575.1127999999999</v>
      </c>
      <c r="G12" s="59">
        <f t="shared" ref="E12:J17" si="0">SUM(G18,G42)</f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</row>
    <row r="13" spans="1:19" s="18" customFormat="1" ht="18">
      <c r="A13" s="61"/>
      <c r="B13" s="62" t="s">
        <v>10</v>
      </c>
      <c r="C13" s="63"/>
      <c r="D13" s="64"/>
      <c r="E13" s="65">
        <f t="shared" si="0"/>
        <v>0</v>
      </c>
      <c r="F13" s="66">
        <f t="shared" si="0"/>
        <v>0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9" s="18" customFormat="1" ht="18">
      <c r="A14" s="61"/>
      <c r="B14" s="62" t="s">
        <v>9</v>
      </c>
      <c r="C14" s="63"/>
      <c r="D14" s="64"/>
      <c r="E14" s="65">
        <f t="shared" si="0"/>
        <v>5050.0790000000006</v>
      </c>
      <c r="F14" s="66">
        <f t="shared" si="0"/>
        <v>6060.0947999999999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9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9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9" s="18" customFormat="1" ht="18">
      <c r="A17" s="69"/>
      <c r="B17" s="70" t="s">
        <v>14</v>
      </c>
      <c r="C17" s="71"/>
      <c r="D17" s="72"/>
      <c r="E17" s="73">
        <f t="shared" si="0"/>
        <v>1262.5149999999999</v>
      </c>
      <c r="F17" s="74">
        <f t="shared" si="0"/>
        <v>1515.018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9" s="79" customFormat="1" ht="18">
      <c r="A18" s="77">
        <v>1</v>
      </c>
      <c r="B18" s="54" t="s">
        <v>5</v>
      </c>
      <c r="C18" s="78">
        <f>C24+C30</f>
        <v>0</v>
      </c>
      <c r="D18" s="78">
        <f>D24+D30</f>
        <v>0</v>
      </c>
      <c r="E18" s="57">
        <f t="shared" ref="E18:J18" si="1">SUM(E19:E23)</f>
        <v>629.779</v>
      </c>
      <c r="F18" s="58">
        <f t="shared" si="1"/>
        <v>755.73479999999995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9" s="79" customFormat="1" ht="18">
      <c r="A19" s="80"/>
      <c r="B19" s="62" t="s">
        <v>10</v>
      </c>
      <c r="C19" s="63"/>
      <c r="D19" s="64"/>
      <c r="E19" s="65">
        <f>SUM(E25,E31,E37)</f>
        <v>0</v>
      </c>
      <c r="F19" s="66">
        <f t="shared" ref="E19:J23" si="2">SUM(F25,F31,F37)</f>
        <v>0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  <c r="S19" s="135"/>
    </row>
    <row r="20" spans="1:19" s="79" customFormat="1" ht="18">
      <c r="A20" s="80"/>
      <c r="B20" s="62" t="s">
        <v>9</v>
      </c>
      <c r="C20" s="63"/>
      <c r="D20" s="64"/>
      <c r="E20" s="65">
        <f t="shared" si="2"/>
        <v>503.82299999999998</v>
      </c>
      <c r="F20" s="66">
        <f t="shared" si="2"/>
        <v>604.58759999999995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9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9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9" s="79" customFormat="1" ht="18">
      <c r="A23" s="81"/>
      <c r="B23" s="70" t="s">
        <v>14</v>
      </c>
      <c r="C23" s="71"/>
      <c r="D23" s="72"/>
      <c r="E23" s="73">
        <f t="shared" si="2"/>
        <v>125.956</v>
      </c>
      <c r="F23" s="74">
        <f t="shared" si="2"/>
        <v>151.1472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9" s="79" customFormat="1" ht="198">
      <c r="A24" s="77" t="s">
        <v>25</v>
      </c>
      <c r="B24" s="82" t="s">
        <v>604</v>
      </c>
      <c r="C24" s="83"/>
      <c r="D24" s="84"/>
      <c r="E24" s="84">
        <f t="shared" ref="E24:J24" si="3">SUM(E25:E29)</f>
        <v>629.779</v>
      </c>
      <c r="F24" s="85">
        <f t="shared" si="3"/>
        <v>755.73479999999995</v>
      </c>
      <c r="G24" s="86">
        <f t="shared" si="3"/>
        <v>0</v>
      </c>
      <c r="H24" s="87">
        <f t="shared" si="3"/>
        <v>0</v>
      </c>
      <c r="I24" s="86">
        <f t="shared" si="3"/>
        <v>0</v>
      </c>
      <c r="J24" s="87">
        <f t="shared" si="3"/>
        <v>0</v>
      </c>
      <c r="K24" s="84"/>
      <c r="L24" s="85"/>
    </row>
    <row r="25" spans="1:19" s="95" customFormat="1" ht="18">
      <c r="A25" s="88"/>
      <c r="B25" s="89" t="s">
        <v>10</v>
      </c>
      <c r="C25" s="90"/>
      <c r="D25" s="91"/>
      <c r="E25" s="91"/>
      <c r="F25" s="92">
        <f>E25*1.2</f>
        <v>0</v>
      </c>
      <c r="G25" s="93"/>
      <c r="H25" s="94"/>
      <c r="I25" s="93"/>
      <c r="J25" s="94"/>
      <c r="K25" s="91"/>
      <c r="L25" s="92"/>
    </row>
    <row r="26" spans="1:19" s="95" customFormat="1" ht="18">
      <c r="A26" s="88"/>
      <c r="B26" s="89" t="s">
        <v>9</v>
      </c>
      <c r="C26" s="90"/>
      <c r="D26" s="91"/>
      <c r="E26" s="91">
        <v>503.82299999999998</v>
      </c>
      <c r="F26" s="92">
        <f>E26*1.2</f>
        <v>604.58759999999995</v>
      </c>
      <c r="G26" s="93"/>
      <c r="H26" s="94"/>
      <c r="I26" s="93"/>
      <c r="J26" s="94"/>
      <c r="K26" s="91"/>
      <c r="L26" s="92"/>
    </row>
    <row r="27" spans="1:19" s="95" customFormat="1" ht="18">
      <c r="A27" s="88"/>
      <c r="B27" s="89" t="s">
        <v>12</v>
      </c>
      <c r="C27" s="90"/>
      <c r="D27" s="91"/>
      <c r="E27" s="91"/>
      <c r="F27" s="92">
        <f>E27*1.2</f>
        <v>0</v>
      </c>
      <c r="G27" s="93"/>
      <c r="H27" s="94"/>
      <c r="I27" s="93"/>
      <c r="J27" s="94"/>
      <c r="K27" s="91"/>
      <c r="L27" s="92"/>
    </row>
    <row r="28" spans="1:19" s="95" customFormat="1" ht="18">
      <c r="A28" s="88"/>
      <c r="B28" s="89" t="s">
        <v>13</v>
      </c>
      <c r="C28" s="90"/>
      <c r="D28" s="91"/>
      <c r="E28" s="91"/>
      <c r="F28" s="92">
        <f>E28*1.2</f>
        <v>0</v>
      </c>
      <c r="G28" s="93"/>
      <c r="H28" s="94"/>
      <c r="I28" s="93"/>
      <c r="J28" s="94"/>
      <c r="K28" s="91"/>
      <c r="L28" s="92"/>
    </row>
    <row r="29" spans="1:19" s="95" customFormat="1" ht="18">
      <c r="A29" s="97"/>
      <c r="B29" s="98" t="s">
        <v>14</v>
      </c>
      <c r="C29" s="99"/>
      <c r="D29" s="100"/>
      <c r="E29" s="100">
        <v>125.956</v>
      </c>
      <c r="F29" s="101">
        <f>E29*1.2</f>
        <v>151.1472</v>
      </c>
      <c r="G29" s="93"/>
      <c r="H29" s="94"/>
      <c r="I29" s="93"/>
      <c r="J29" s="94"/>
      <c r="K29" s="91"/>
      <c r="L29" s="92"/>
    </row>
    <row r="30" spans="1:19" s="79" customFormat="1" ht="18" hidden="1" outlineLevel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</row>
    <row r="31" spans="1:19" s="95" customFormat="1" ht="18" hidden="1" outlineLevel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9" s="95" customFormat="1" ht="15" hidden="1" customHeight="1" outlineLevel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</row>
    <row r="33" spans="1:12" s="95" customFormat="1" ht="18" hidden="1" outlineLevel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</row>
    <row r="34" spans="1:12" s="95" customFormat="1" ht="18" hidden="1" outlineLevel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2" s="95" customFormat="1" ht="18" hidden="1" outlineLevel="1">
      <c r="A35" s="97"/>
      <c r="B35" s="98" t="s">
        <v>14</v>
      </c>
      <c r="C35" s="99"/>
      <c r="D35" s="100"/>
      <c r="E35" s="100"/>
      <c r="F35" s="92">
        <f>E35*1.2</f>
        <v>0</v>
      </c>
      <c r="G35" s="104"/>
      <c r="H35" s="104"/>
      <c r="I35" s="104"/>
      <c r="J35" s="104"/>
      <c r="K35" s="96"/>
      <c r="L35" s="96"/>
    </row>
    <row r="36" spans="1:12" s="79" customFormat="1" ht="18" hidden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4">E36*1.18</f>
        <v>0</v>
      </c>
      <c r="G36" s="102"/>
      <c r="H36" s="102"/>
      <c r="I36" s="102"/>
      <c r="J36" s="102"/>
      <c r="K36" s="103"/>
      <c r="L36" s="103"/>
    </row>
    <row r="37" spans="1:12" s="95" customFormat="1" ht="18" hidden="1" outlineLevel="1">
      <c r="A37" s="88"/>
      <c r="B37" s="89" t="s">
        <v>10</v>
      </c>
      <c r="C37" s="90"/>
      <c r="D37" s="91"/>
      <c r="E37" s="91"/>
      <c r="F37" s="92">
        <f t="shared" si="4"/>
        <v>0</v>
      </c>
      <c r="G37" s="104"/>
      <c r="H37" s="104"/>
      <c r="I37" s="104"/>
      <c r="J37" s="104"/>
      <c r="K37" s="96"/>
      <c r="L37" s="96"/>
    </row>
    <row r="38" spans="1:12" s="95" customFormat="1" ht="18" hidden="1" outlineLevel="1">
      <c r="A38" s="88"/>
      <c r="B38" s="89" t="s">
        <v>9</v>
      </c>
      <c r="C38" s="90"/>
      <c r="D38" s="91"/>
      <c r="E38" s="91"/>
      <c r="F38" s="92">
        <f t="shared" si="4"/>
        <v>0</v>
      </c>
      <c r="G38" s="104"/>
      <c r="H38" s="104"/>
      <c r="I38" s="104"/>
      <c r="J38" s="104"/>
      <c r="K38" s="96"/>
      <c r="L38" s="96"/>
    </row>
    <row r="39" spans="1:12" s="95" customFormat="1" ht="18" hidden="1" outlineLevel="1">
      <c r="A39" s="88"/>
      <c r="B39" s="89" t="s">
        <v>12</v>
      </c>
      <c r="C39" s="90"/>
      <c r="D39" s="91"/>
      <c r="E39" s="91"/>
      <c r="F39" s="92">
        <f t="shared" si="4"/>
        <v>0</v>
      </c>
      <c r="G39" s="104"/>
      <c r="H39" s="104"/>
      <c r="I39" s="104"/>
      <c r="J39" s="104"/>
      <c r="K39" s="96"/>
      <c r="L39" s="96"/>
    </row>
    <row r="40" spans="1:12" s="95" customFormat="1" ht="18" hidden="1" outlineLevel="1">
      <c r="A40" s="88"/>
      <c r="B40" s="89" t="s">
        <v>13</v>
      </c>
      <c r="C40" s="90"/>
      <c r="D40" s="91"/>
      <c r="E40" s="91"/>
      <c r="F40" s="92">
        <f t="shared" si="4"/>
        <v>0</v>
      </c>
      <c r="G40" s="104"/>
      <c r="H40" s="104"/>
      <c r="I40" s="104"/>
      <c r="J40" s="104"/>
      <c r="K40" s="96"/>
      <c r="L40" s="96"/>
    </row>
    <row r="41" spans="1:12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4"/>
        <v>0</v>
      </c>
      <c r="G41" s="104"/>
      <c r="H41" s="104"/>
      <c r="I41" s="104"/>
      <c r="J41" s="104"/>
      <c r="K41" s="96"/>
      <c r="L41" s="96"/>
    </row>
    <row r="42" spans="1:12" s="110" customFormat="1" ht="18" collapsed="1">
      <c r="A42" s="107">
        <v>2</v>
      </c>
      <c r="B42" s="108" t="s">
        <v>0</v>
      </c>
      <c r="C42" s="109">
        <f>SUM(C48,C54)</f>
        <v>0</v>
      </c>
      <c r="D42" s="109">
        <f>SUM(D48,D54)</f>
        <v>0</v>
      </c>
      <c r="E42" s="84">
        <f t="shared" ref="E42:J42" si="5">SUM(E43:E47)</f>
        <v>5682.8150000000005</v>
      </c>
      <c r="F42" s="85">
        <f t="shared" si="5"/>
        <v>6819.3779999999997</v>
      </c>
      <c r="G42" s="86">
        <f t="shared" si="5"/>
        <v>0</v>
      </c>
      <c r="H42" s="87">
        <f t="shared" si="5"/>
        <v>0</v>
      </c>
      <c r="I42" s="86">
        <f t="shared" si="5"/>
        <v>0</v>
      </c>
      <c r="J42" s="87">
        <f t="shared" si="5"/>
        <v>0</v>
      </c>
      <c r="K42" s="84"/>
      <c r="L42" s="85"/>
    </row>
    <row r="43" spans="1:12" s="110" customFormat="1" ht="18">
      <c r="A43" s="80"/>
      <c r="B43" s="62" t="s">
        <v>10</v>
      </c>
      <c r="C43" s="111"/>
      <c r="D43" s="112"/>
      <c r="E43" s="112">
        <f>E49+E55+E61</f>
        <v>0</v>
      </c>
      <c r="F43" s="113">
        <f t="shared" ref="F43:J47" si="6">SUM(F49,F55,F61)</f>
        <v>0</v>
      </c>
      <c r="G43" s="114">
        <f t="shared" si="6"/>
        <v>0</v>
      </c>
      <c r="H43" s="115">
        <f t="shared" si="6"/>
        <v>0</v>
      </c>
      <c r="I43" s="114">
        <f t="shared" si="6"/>
        <v>0</v>
      </c>
      <c r="J43" s="115">
        <f t="shared" si="6"/>
        <v>0</v>
      </c>
      <c r="K43" s="112"/>
      <c r="L43" s="113"/>
    </row>
    <row r="44" spans="1:12" s="110" customFormat="1" ht="18">
      <c r="A44" s="80"/>
      <c r="B44" s="62" t="s">
        <v>9</v>
      </c>
      <c r="C44" s="111"/>
      <c r="D44" s="112"/>
      <c r="E44" s="112">
        <f>E50+E56+E62</f>
        <v>4546.2560000000003</v>
      </c>
      <c r="F44" s="113">
        <f t="shared" si="6"/>
        <v>5455.5072</v>
      </c>
      <c r="G44" s="114">
        <f t="shared" si="6"/>
        <v>0</v>
      </c>
      <c r="H44" s="115">
        <f t="shared" si="6"/>
        <v>0</v>
      </c>
      <c r="I44" s="114">
        <f t="shared" si="6"/>
        <v>0</v>
      </c>
      <c r="J44" s="115">
        <f t="shared" si="6"/>
        <v>0</v>
      </c>
      <c r="K44" s="112"/>
      <c r="L44" s="113"/>
    </row>
    <row r="45" spans="1:12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6"/>
        <v>0</v>
      </c>
      <c r="G45" s="114">
        <f t="shared" si="6"/>
        <v>0</v>
      </c>
      <c r="H45" s="115">
        <f t="shared" si="6"/>
        <v>0</v>
      </c>
      <c r="I45" s="114">
        <f t="shared" si="6"/>
        <v>0</v>
      </c>
      <c r="J45" s="115">
        <f t="shared" si="6"/>
        <v>0</v>
      </c>
      <c r="K45" s="112"/>
      <c r="L45" s="113"/>
    </row>
    <row r="46" spans="1:12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6"/>
        <v>0</v>
      </c>
      <c r="G46" s="114">
        <f t="shared" si="6"/>
        <v>0</v>
      </c>
      <c r="H46" s="115">
        <f t="shared" si="6"/>
        <v>0</v>
      </c>
      <c r="I46" s="114">
        <f t="shared" si="6"/>
        <v>0</v>
      </c>
      <c r="J46" s="115">
        <f t="shared" si="6"/>
        <v>0</v>
      </c>
      <c r="K46" s="112"/>
      <c r="L46" s="113"/>
    </row>
    <row r="47" spans="1:12" s="110" customFormat="1" ht="18">
      <c r="A47" s="116"/>
      <c r="B47" s="117" t="s">
        <v>14</v>
      </c>
      <c r="C47" s="118"/>
      <c r="D47" s="119"/>
      <c r="E47" s="112">
        <f>E53+E59+E65</f>
        <v>1136.559</v>
      </c>
      <c r="F47" s="120">
        <f t="shared" si="6"/>
        <v>1363.8707999999999</v>
      </c>
      <c r="G47" s="121">
        <f t="shared" si="6"/>
        <v>0</v>
      </c>
      <c r="H47" s="122">
        <f t="shared" si="6"/>
        <v>0</v>
      </c>
      <c r="I47" s="121">
        <f t="shared" si="6"/>
        <v>0</v>
      </c>
      <c r="J47" s="122">
        <f t="shared" si="6"/>
        <v>0</v>
      </c>
      <c r="K47" s="119"/>
      <c r="L47" s="120"/>
    </row>
    <row r="48" spans="1:12" s="110" customFormat="1" ht="147" customHeight="1">
      <c r="A48" s="77" t="s">
        <v>26</v>
      </c>
      <c r="B48" s="127" t="s">
        <v>605</v>
      </c>
      <c r="C48" s="83"/>
      <c r="D48" s="84"/>
      <c r="E48" s="84">
        <f t="shared" ref="E48:J48" si="7">SUM(E49:E53)</f>
        <v>1766.924</v>
      </c>
      <c r="F48" s="85">
        <f t="shared" si="7"/>
        <v>2120.3087999999998</v>
      </c>
      <c r="G48" s="86">
        <f t="shared" si="7"/>
        <v>0</v>
      </c>
      <c r="H48" s="87">
        <f t="shared" si="7"/>
        <v>0</v>
      </c>
      <c r="I48" s="86">
        <f t="shared" si="7"/>
        <v>0</v>
      </c>
      <c r="J48" s="87">
        <f t="shared" si="7"/>
        <v>0</v>
      </c>
      <c r="K48" s="84"/>
      <c r="L48" s="85"/>
    </row>
    <row r="49" spans="1:12" s="124" customFormat="1" ht="18">
      <c r="A49" s="88"/>
      <c r="B49" s="89" t="s">
        <v>10</v>
      </c>
      <c r="C49" s="90"/>
      <c r="D49" s="91"/>
      <c r="E49" s="91"/>
      <c r="F49" s="92">
        <f>E49*1.2</f>
        <v>0</v>
      </c>
      <c r="G49" s="93"/>
      <c r="H49" s="94"/>
      <c r="I49" s="93"/>
      <c r="J49" s="94"/>
      <c r="K49" s="91"/>
      <c r="L49" s="92"/>
    </row>
    <row r="50" spans="1:12" s="124" customFormat="1" ht="18">
      <c r="A50" s="88"/>
      <c r="B50" s="89" t="s">
        <v>9</v>
      </c>
      <c r="C50" s="90"/>
      <c r="D50" s="91"/>
      <c r="E50" s="91">
        <v>1413.539</v>
      </c>
      <c r="F50" s="92">
        <f>E50*1.2</f>
        <v>1696.2467999999999</v>
      </c>
      <c r="G50" s="93"/>
      <c r="H50" s="94"/>
      <c r="I50" s="93"/>
      <c r="J50" s="94"/>
      <c r="K50" s="91"/>
      <c r="L50" s="92"/>
    </row>
    <row r="51" spans="1:12" s="124" customFormat="1" ht="18">
      <c r="A51" s="88"/>
      <c r="B51" s="89" t="s">
        <v>12</v>
      </c>
      <c r="C51" s="90"/>
      <c r="D51" s="91"/>
      <c r="E51" s="91"/>
      <c r="F51" s="92">
        <f>E51*1.2</f>
        <v>0</v>
      </c>
      <c r="G51" s="93"/>
      <c r="H51" s="94"/>
      <c r="I51" s="93"/>
      <c r="J51" s="94"/>
      <c r="K51" s="91"/>
      <c r="L51" s="92"/>
    </row>
    <row r="52" spans="1:12" s="124" customFormat="1" ht="18">
      <c r="A52" s="88"/>
      <c r="B52" s="89" t="s">
        <v>13</v>
      </c>
      <c r="C52" s="90"/>
      <c r="D52" s="91"/>
      <c r="E52" s="91"/>
      <c r="F52" s="92">
        <f>E52*1.2</f>
        <v>0</v>
      </c>
      <c r="G52" s="93"/>
      <c r="H52" s="94"/>
      <c r="I52" s="93"/>
      <c r="J52" s="94"/>
      <c r="K52" s="91"/>
      <c r="L52" s="92"/>
    </row>
    <row r="53" spans="1:12" s="124" customFormat="1" ht="18">
      <c r="A53" s="97"/>
      <c r="B53" s="98" t="s">
        <v>14</v>
      </c>
      <c r="C53" s="99"/>
      <c r="D53" s="100"/>
      <c r="E53" s="100">
        <v>353.38499999999999</v>
      </c>
      <c r="F53" s="101">
        <f>E53*1.2</f>
        <v>424.06199999999995</v>
      </c>
      <c r="G53" s="125"/>
      <c r="H53" s="126"/>
      <c r="I53" s="125"/>
      <c r="J53" s="126"/>
      <c r="K53" s="100"/>
      <c r="L53" s="101"/>
    </row>
    <row r="54" spans="1:12" s="110" customFormat="1" ht="198">
      <c r="A54" s="77" t="s">
        <v>27</v>
      </c>
      <c r="B54" s="127" t="s">
        <v>606</v>
      </c>
      <c r="C54" s="83"/>
      <c r="D54" s="83"/>
      <c r="E54" s="84">
        <f>SUM(E55:E59)</f>
        <v>3915.8910000000001</v>
      </c>
      <c r="F54" s="85">
        <f>F56+F59</f>
        <v>4699.0691999999999</v>
      </c>
      <c r="G54" s="86"/>
      <c r="H54" s="87"/>
      <c r="I54" s="86"/>
      <c r="J54" s="87"/>
      <c r="K54" s="84"/>
      <c r="L54" s="85"/>
    </row>
    <row r="55" spans="1:12" s="124" customFormat="1" ht="18">
      <c r="A55" s="88"/>
      <c r="B55" s="89" t="s">
        <v>10</v>
      </c>
      <c r="C55" s="90"/>
      <c r="D55" s="91"/>
      <c r="E55" s="91"/>
      <c r="F55" s="92">
        <f>E55*1.2</f>
        <v>0</v>
      </c>
      <c r="G55" s="93"/>
      <c r="H55" s="94"/>
      <c r="I55" s="93"/>
      <c r="J55" s="94"/>
      <c r="K55" s="91"/>
      <c r="L55" s="92"/>
    </row>
    <row r="56" spans="1:12" s="124" customFormat="1" ht="18">
      <c r="A56" s="88"/>
      <c r="B56" s="89" t="s">
        <v>9</v>
      </c>
      <c r="C56" s="90"/>
      <c r="D56" s="91"/>
      <c r="E56" s="91">
        <v>3132.7170000000001</v>
      </c>
      <c r="F56" s="92">
        <f>E56*1.2</f>
        <v>3759.2604000000001</v>
      </c>
      <c r="G56" s="93"/>
      <c r="H56" s="94"/>
      <c r="I56" s="93"/>
      <c r="J56" s="94"/>
      <c r="K56" s="91"/>
      <c r="L56" s="92"/>
    </row>
    <row r="57" spans="1:12" s="124" customFormat="1" ht="18">
      <c r="A57" s="88"/>
      <c r="B57" s="89" t="s">
        <v>12</v>
      </c>
      <c r="C57" s="90"/>
      <c r="D57" s="91"/>
      <c r="E57" s="91"/>
      <c r="F57" s="92">
        <f>E57*1.2</f>
        <v>0</v>
      </c>
      <c r="G57" s="93"/>
      <c r="H57" s="94"/>
      <c r="I57" s="93"/>
      <c r="J57" s="94"/>
      <c r="K57" s="91"/>
      <c r="L57" s="92"/>
    </row>
    <row r="58" spans="1:12" s="124" customFormat="1" ht="18">
      <c r="A58" s="88"/>
      <c r="B58" s="89" t="s">
        <v>13</v>
      </c>
      <c r="C58" s="90"/>
      <c r="D58" s="91"/>
      <c r="E58" s="91"/>
      <c r="F58" s="92">
        <f>E58*1.2</f>
        <v>0</v>
      </c>
      <c r="G58" s="93"/>
      <c r="H58" s="94"/>
      <c r="I58" s="93"/>
      <c r="J58" s="94"/>
      <c r="K58" s="91"/>
      <c r="L58" s="92"/>
    </row>
    <row r="59" spans="1:12" s="124" customFormat="1" ht="18">
      <c r="A59" s="97"/>
      <c r="B59" s="98" t="s">
        <v>14</v>
      </c>
      <c r="C59" s="99"/>
      <c r="D59" s="100"/>
      <c r="E59" s="100">
        <f>783.179-0.005</f>
        <v>783.17399999999998</v>
      </c>
      <c r="F59" s="92">
        <f>E59*1.2</f>
        <v>939.80879999999991</v>
      </c>
      <c r="G59" s="125"/>
      <c r="H59" s="126"/>
      <c r="I59" s="125"/>
      <c r="J59" s="126"/>
      <c r="K59" s="100"/>
      <c r="L59" s="101"/>
    </row>
    <row r="60" spans="1:12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2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2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2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2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12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12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</row>
    <row r="67" spans="1:12" ht="18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colBreaks count="1" manualBreakCount="1">
    <brk id="12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66"/>
  <sheetViews>
    <sheetView view="pageBreakPreview" zoomScale="70" zoomScaleNormal="65" zoomScaleSheetLayoutView="70" workbookViewId="0">
      <selection activeCell="C24" sqref="C24"/>
    </sheetView>
  </sheetViews>
  <sheetFormatPr defaultRowHeight="15" outlineLevelRow="1" outlineLevelCol="1"/>
  <cols>
    <col min="1" max="1" width="12.140625" style="250" bestFit="1" customWidth="1"/>
    <col min="2" max="2" width="100.28515625" style="163" customWidth="1"/>
    <col min="3" max="3" width="20.85546875" style="163" bestFit="1" customWidth="1"/>
    <col min="4" max="4" width="13.85546875" style="163" customWidth="1"/>
    <col min="5" max="6" width="19.42578125" style="163" customWidth="1"/>
    <col min="7" max="10" width="18.140625" style="163" hidden="1" customWidth="1" outlineLevel="1"/>
    <col min="11" max="12" width="26" style="163" hidden="1" customWidth="1" outlineLevel="1"/>
    <col min="13" max="13" width="9.140625" style="163" collapsed="1"/>
    <col min="14" max="14" width="10.85546875" bestFit="1" customWidth="1"/>
    <col min="15" max="15" width="11.85546875" customWidth="1"/>
    <col min="29" max="16384" width="9.140625" style="163"/>
  </cols>
  <sheetData>
    <row r="1" spans="1:15" s="141" customFormat="1" ht="27.75" thickTop="1" thickBot="1">
      <c r="A1" s="136" t="s">
        <v>559</v>
      </c>
      <c r="B1" s="137" t="s">
        <v>607</v>
      </c>
      <c r="C1" s="138" t="s">
        <v>608</v>
      </c>
      <c r="D1" s="139">
        <v>365</v>
      </c>
      <c r="E1" s="140">
        <v>42579</v>
      </c>
      <c r="K1" s="141" t="s">
        <v>563</v>
      </c>
    </row>
    <row r="2" spans="1:15" s="141" customFormat="1" ht="57.75" thickTop="1" thickBot="1">
      <c r="A2" s="136" t="s">
        <v>564</v>
      </c>
      <c r="B2" s="137" t="s">
        <v>609</v>
      </c>
      <c r="C2" s="138" t="s">
        <v>610</v>
      </c>
      <c r="D2" s="139">
        <v>366</v>
      </c>
      <c r="E2" s="140">
        <v>42579</v>
      </c>
      <c r="F2" s="142"/>
      <c r="K2" s="141" t="s">
        <v>568</v>
      </c>
    </row>
    <row r="3" spans="1:15" s="141" customFormat="1" ht="13.5" thickTop="1">
      <c r="A3" s="143"/>
      <c r="G3" s="144" t="str">
        <f>[21]ЗАО_ВОЛЬВО_ВОСТОК!G3</f>
        <v>на 01.01.2016 г.</v>
      </c>
    </row>
    <row r="4" spans="1:15" s="141" customFormat="1" ht="25.5">
      <c r="A4" s="145"/>
      <c r="B4" s="146" t="s">
        <v>569</v>
      </c>
      <c r="C4" s="146"/>
      <c r="D4" s="146"/>
      <c r="E4" s="147"/>
      <c r="F4" s="148" t="s">
        <v>570</v>
      </c>
      <c r="G4" s="147"/>
      <c r="H4" s="148" t="s">
        <v>571</v>
      </c>
      <c r="I4" s="146"/>
      <c r="J4" s="149"/>
    </row>
    <row r="5" spans="1:15" s="141" customFormat="1" ht="12.75">
      <c r="A5" s="150"/>
      <c r="B5" s="151"/>
      <c r="C5" s="151"/>
      <c r="D5" s="151"/>
      <c r="E5" s="151"/>
      <c r="F5" s="152">
        <f>SUM(F6:F8)</f>
        <v>0</v>
      </c>
      <c r="G5" s="153"/>
      <c r="H5" s="154">
        <f>SUM(H6:H8)</f>
        <v>0</v>
      </c>
      <c r="I5" s="151"/>
      <c r="J5" s="155"/>
    </row>
    <row r="6" spans="1:15">
      <c r="A6" s="156"/>
      <c r="B6" s="157" t="s">
        <v>611</v>
      </c>
      <c r="C6" s="158"/>
      <c r="D6" s="158"/>
      <c r="E6" s="159"/>
      <c r="F6" s="160"/>
      <c r="G6" s="161"/>
      <c r="H6" s="161"/>
      <c r="I6" s="158"/>
      <c r="J6" s="162"/>
    </row>
    <row r="7" spans="1:15">
      <c r="A7" s="156"/>
      <c r="B7" s="157" t="s">
        <v>573</v>
      </c>
      <c r="C7" s="158"/>
      <c r="D7" s="158"/>
      <c r="E7" s="159"/>
      <c r="F7" s="160"/>
      <c r="G7" s="161"/>
      <c r="H7" s="161"/>
      <c r="I7" s="158"/>
      <c r="J7" s="162"/>
    </row>
    <row r="8" spans="1:15">
      <c r="A8" s="164"/>
      <c r="B8" s="165" t="s">
        <v>612</v>
      </c>
      <c r="C8" s="166"/>
      <c r="D8" s="166"/>
      <c r="E8" s="167"/>
      <c r="F8" s="168"/>
      <c r="G8" s="169"/>
      <c r="H8" s="169"/>
      <c r="I8" s="166"/>
      <c r="J8" s="170"/>
    </row>
    <row r="9" spans="1:15" s="141" customFormat="1" ht="12.75">
      <c r="A9" s="143"/>
      <c r="G9" s="171"/>
      <c r="N9" s="172"/>
    </row>
    <row r="10" spans="1:15" s="141" customFormat="1" ht="45" customHeight="1">
      <c r="A10" s="3546" t="s">
        <v>21</v>
      </c>
      <c r="B10" s="3548" t="s">
        <v>7</v>
      </c>
      <c r="C10" s="3550" t="s">
        <v>575</v>
      </c>
      <c r="D10" s="3552" t="s">
        <v>576</v>
      </c>
      <c r="E10" s="3544" t="s">
        <v>613</v>
      </c>
      <c r="F10" s="3545"/>
      <c r="G10" s="3544" t="s">
        <v>578</v>
      </c>
      <c r="H10" s="3545"/>
      <c r="I10" s="3544" t="s">
        <v>579</v>
      </c>
      <c r="J10" s="3545"/>
      <c r="K10" s="3544" t="s">
        <v>580</v>
      </c>
      <c r="L10" s="3545"/>
      <c r="N10" s="172"/>
    </row>
    <row r="11" spans="1:15" s="141" customFormat="1" ht="38.25">
      <c r="A11" s="3547"/>
      <c r="B11" s="3549"/>
      <c r="C11" s="3551"/>
      <c r="D11" s="3553"/>
      <c r="E11" s="173" t="s">
        <v>581</v>
      </c>
      <c r="F11" s="174" t="s">
        <v>582</v>
      </c>
      <c r="G11" s="173" t="s">
        <v>581</v>
      </c>
      <c r="H11" s="174" t="s">
        <v>582</v>
      </c>
      <c r="I11" s="173" t="s">
        <v>581</v>
      </c>
      <c r="J11" s="174" t="s">
        <v>582</v>
      </c>
      <c r="K11" s="173" t="s">
        <v>583</v>
      </c>
      <c r="L11" s="174" t="s">
        <v>582</v>
      </c>
      <c r="N11" s="172"/>
      <c r="O11" s="172"/>
    </row>
    <row r="12" spans="1:15" s="141" customFormat="1" ht="12.75">
      <c r="A12" s="175"/>
      <c r="B12" s="176" t="s">
        <v>584</v>
      </c>
      <c r="C12" s="177"/>
      <c r="D12" s="178"/>
      <c r="E12" s="179">
        <f t="shared" ref="E12:J17" si="0">SUM(E18,E42)</f>
        <v>6732.4040000000005</v>
      </c>
      <c r="F12" s="180">
        <f>SUM(F18,F42)</f>
        <v>7944.236719999999</v>
      </c>
      <c r="G12" s="181">
        <f t="shared" si="0"/>
        <v>0</v>
      </c>
      <c r="H12" s="182">
        <f t="shared" si="0"/>
        <v>0</v>
      </c>
      <c r="I12" s="181">
        <f t="shared" si="0"/>
        <v>0</v>
      </c>
      <c r="J12" s="182">
        <f t="shared" si="0"/>
        <v>0</v>
      </c>
      <c r="K12" s="179"/>
      <c r="L12" s="180"/>
    </row>
    <row r="13" spans="1:15" s="141" customFormat="1" ht="12.75">
      <c r="A13" s="183"/>
      <c r="B13" s="184" t="s">
        <v>10</v>
      </c>
      <c r="C13" s="185"/>
      <c r="D13" s="186"/>
      <c r="E13" s="187">
        <f t="shared" si="0"/>
        <v>945.32</v>
      </c>
      <c r="F13" s="188">
        <f t="shared" si="0"/>
        <v>1115.4775999999999</v>
      </c>
      <c r="G13" s="189">
        <f t="shared" si="0"/>
        <v>0</v>
      </c>
      <c r="H13" s="190">
        <f t="shared" si="0"/>
        <v>0</v>
      </c>
      <c r="I13" s="189">
        <f t="shared" si="0"/>
        <v>0</v>
      </c>
      <c r="J13" s="190">
        <f t="shared" si="0"/>
        <v>0</v>
      </c>
      <c r="K13" s="187"/>
      <c r="L13" s="188"/>
    </row>
    <row r="14" spans="1:15" s="141" customFormat="1" ht="12.75">
      <c r="A14" s="183"/>
      <c r="B14" s="184" t="s">
        <v>9</v>
      </c>
      <c r="C14" s="185"/>
      <c r="D14" s="186"/>
      <c r="E14" s="187">
        <f t="shared" si="0"/>
        <v>4047.6080000000002</v>
      </c>
      <c r="F14" s="188">
        <f t="shared" si="0"/>
        <v>4776.1774400000004</v>
      </c>
      <c r="G14" s="189">
        <f t="shared" si="0"/>
        <v>0</v>
      </c>
      <c r="H14" s="190">
        <f t="shared" si="0"/>
        <v>0</v>
      </c>
      <c r="I14" s="189">
        <f t="shared" si="0"/>
        <v>0</v>
      </c>
      <c r="J14" s="190">
        <f t="shared" si="0"/>
        <v>0</v>
      </c>
      <c r="K14" s="187"/>
      <c r="L14" s="188"/>
    </row>
    <row r="15" spans="1:15" s="141" customFormat="1" ht="12.75">
      <c r="A15" s="183"/>
      <c r="B15" s="184" t="s">
        <v>12</v>
      </c>
      <c r="C15" s="185"/>
      <c r="D15" s="186"/>
      <c r="E15" s="187">
        <f t="shared" si="0"/>
        <v>276.06100000000004</v>
      </c>
      <c r="F15" s="188">
        <f t="shared" si="0"/>
        <v>325.75198</v>
      </c>
      <c r="G15" s="189">
        <f t="shared" si="0"/>
        <v>0</v>
      </c>
      <c r="H15" s="190">
        <f t="shared" si="0"/>
        <v>0</v>
      </c>
      <c r="I15" s="189">
        <f t="shared" si="0"/>
        <v>0</v>
      </c>
      <c r="J15" s="190">
        <f t="shared" si="0"/>
        <v>0</v>
      </c>
      <c r="K15" s="187"/>
      <c r="L15" s="188"/>
    </row>
    <row r="16" spans="1:15" s="141" customFormat="1" ht="12.75">
      <c r="A16" s="183"/>
      <c r="B16" s="184" t="s">
        <v>13</v>
      </c>
      <c r="C16" s="185"/>
      <c r="D16" s="186"/>
      <c r="E16" s="187">
        <f t="shared" si="0"/>
        <v>116.934</v>
      </c>
      <c r="F16" s="188">
        <f t="shared" si="0"/>
        <v>137.98211999999998</v>
      </c>
      <c r="G16" s="189">
        <f t="shared" si="0"/>
        <v>0</v>
      </c>
      <c r="H16" s="190">
        <f t="shared" si="0"/>
        <v>0</v>
      </c>
      <c r="I16" s="189">
        <f t="shared" si="0"/>
        <v>0</v>
      </c>
      <c r="J16" s="190">
        <f t="shared" si="0"/>
        <v>0</v>
      </c>
      <c r="K16" s="187"/>
      <c r="L16" s="188"/>
    </row>
    <row r="17" spans="1:14" s="141" customFormat="1" ht="12.75">
      <c r="A17" s="191"/>
      <c r="B17" s="192" t="s">
        <v>14</v>
      </c>
      <c r="C17" s="193"/>
      <c r="D17" s="194"/>
      <c r="E17" s="195">
        <f t="shared" si="0"/>
        <v>1346.481</v>
      </c>
      <c r="F17" s="196">
        <f t="shared" si="0"/>
        <v>1588.8475800000001</v>
      </c>
      <c r="G17" s="197">
        <f t="shared" si="0"/>
        <v>0</v>
      </c>
      <c r="H17" s="198">
        <f t="shared" si="0"/>
        <v>0</v>
      </c>
      <c r="I17" s="197">
        <f t="shared" si="0"/>
        <v>0</v>
      </c>
      <c r="J17" s="198">
        <f t="shared" si="0"/>
        <v>0</v>
      </c>
      <c r="K17" s="195"/>
      <c r="L17" s="196"/>
    </row>
    <row r="18" spans="1:14" s="201" customFormat="1" ht="12.75">
      <c r="A18" s="199">
        <v>1</v>
      </c>
      <c r="B18" s="176" t="s">
        <v>5</v>
      </c>
      <c r="C18" s="200">
        <f>C24+C30</f>
        <v>8</v>
      </c>
      <c r="D18" s="200">
        <f>D24+D30</f>
        <v>560</v>
      </c>
      <c r="E18" s="179">
        <f t="shared" ref="E18:J18" si="1">SUM(E19:E23)</f>
        <v>206.26600000000002</v>
      </c>
      <c r="F18" s="180">
        <f t="shared" si="1"/>
        <v>243.39388</v>
      </c>
      <c r="G18" s="181">
        <f t="shared" si="1"/>
        <v>0</v>
      </c>
      <c r="H18" s="182">
        <f t="shared" si="1"/>
        <v>0</v>
      </c>
      <c r="I18" s="181">
        <f t="shared" si="1"/>
        <v>0</v>
      </c>
      <c r="J18" s="182">
        <f t="shared" si="1"/>
        <v>0</v>
      </c>
      <c r="K18" s="179"/>
      <c r="L18" s="180"/>
    </row>
    <row r="19" spans="1:14" s="201" customFormat="1" ht="12.75">
      <c r="A19" s="202"/>
      <c r="B19" s="184" t="s">
        <v>10</v>
      </c>
      <c r="C19" s="185"/>
      <c r="D19" s="186"/>
      <c r="E19" s="187">
        <f>SUM(E25,E31,E37)</f>
        <v>0</v>
      </c>
      <c r="F19" s="188">
        <f t="shared" ref="E19:J23" si="2">SUM(F25,F31,F37)</f>
        <v>0</v>
      </c>
      <c r="G19" s="189">
        <f t="shared" si="2"/>
        <v>0</v>
      </c>
      <c r="H19" s="190">
        <f t="shared" si="2"/>
        <v>0</v>
      </c>
      <c r="I19" s="189">
        <f t="shared" si="2"/>
        <v>0</v>
      </c>
      <c r="J19" s="190">
        <f t="shared" si="2"/>
        <v>0</v>
      </c>
      <c r="K19" s="187"/>
      <c r="L19" s="188"/>
    </row>
    <row r="20" spans="1:14" s="201" customFormat="1" ht="12.75">
      <c r="A20" s="202"/>
      <c r="B20" s="184" t="s">
        <v>9</v>
      </c>
      <c r="C20" s="185"/>
      <c r="D20" s="186"/>
      <c r="E20" s="187">
        <f t="shared" si="2"/>
        <v>155.24</v>
      </c>
      <c r="F20" s="188">
        <f t="shared" si="2"/>
        <v>183.1832</v>
      </c>
      <c r="G20" s="189">
        <f t="shared" si="2"/>
        <v>0</v>
      </c>
      <c r="H20" s="190">
        <f t="shared" si="2"/>
        <v>0</v>
      </c>
      <c r="I20" s="189">
        <f t="shared" si="2"/>
        <v>0</v>
      </c>
      <c r="J20" s="190">
        <f t="shared" si="2"/>
        <v>0</v>
      </c>
      <c r="K20" s="187"/>
      <c r="L20" s="188"/>
    </row>
    <row r="21" spans="1:14" s="201" customFormat="1" ht="12.75">
      <c r="A21" s="202"/>
      <c r="B21" s="184" t="s">
        <v>12</v>
      </c>
      <c r="C21" s="185"/>
      <c r="D21" s="186"/>
      <c r="E21" s="187">
        <f t="shared" si="2"/>
        <v>9.7729999999999997</v>
      </c>
      <c r="F21" s="188">
        <f t="shared" si="2"/>
        <v>11.532139999999998</v>
      </c>
      <c r="G21" s="189">
        <f t="shared" si="2"/>
        <v>0</v>
      </c>
      <c r="H21" s="190">
        <f t="shared" si="2"/>
        <v>0</v>
      </c>
      <c r="I21" s="189">
        <f t="shared" si="2"/>
        <v>0</v>
      </c>
      <c r="J21" s="190">
        <f t="shared" si="2"/>
        <v>0</v>
      </c>
      <c r="K21" s="187"/>
      <c r="L21" s="188"/>
    </row>
    <row r="22" spans="1:14" s="201" customFormat="1" ht="12.75">
      <c r="A22" s="202"/>
      <c r="B22" s="184" t="s">
        <v>13</v>
      </c>
      <c r="C22" s="185"/>
      <c r="D22" s="186"/>
      <c r="E22" s="187">
        <f t="shared" si="2"/>
        <v>0</v>
      </c>
      <c r="F22" s="188">
        <f t="shared" si="2"/>
        <v>0</v>
      </c>
      <c r="G22" s="189">
        <f t="shared" si="2"/>
        <v>0</v>
      </c>
      <c r="H22" s="190">
        <f t="shared" si="2"/>
        <v>0</v>
      </c>
      <c r="I22" s="189">
        <f t="shared" si="2"/>
        <v>0</v>
      </c>
      <c r="J22" s="190">
        <f t="shared" si="2"/>
        <v>0</v>
      </c>
      <c r="K22" s="187"/>
      <c r="L22" s="188"/>
    </row>
    <row r="23" spans="1:14" s="201" customFormat="1" ht="12.75">
      <c r="A23" s="203"/>
      <c r="B23" s="192" t="s">
        <v>14</v>
      </c>
      <c r="C23" s="193"/>
      <c r="D23" s="194"/>
      <c r="E23" s="195">
        <f t="shared" si="2"/>
        <v>41.253</v>
      </c>
      <c r="F23" s="196">
        <f t="shared" si="2"/>
        <v>48.678539999999998</v>
      </c>
      <c r="G23" s="197">
        <f t="shared" si="2"/>
        <v>0</v>
      </c>
      <c r="H23" s="198">
        <f t="shared" si="2"/>
        <v>0</v>
      </c>
      <c r="I23" s="197">
        <f t="shared" si="2"/>
        <v>0</v>
      </c>
      <c r="J23" s="198">
        <f t="shared" si="2"/>
        <v>0</v>
      </c>
      <c r="K23" s="195"/>
      <c r="L23" s="196"/>
    </row>
    <row r="24" spans="1:14" s="201" customFormat="1" ht="127.5">
      <c r="A24" s="199" t="s">
        <v>25</v>
      </c>
      <c r="B24" s="204" t="s">
        <v>614</v>
      </c>
      <c r="C24" s="205">
        <f>3+5</f>
        <v>8</v>
      </c>
      <c r="D24" s="206">
        <v>560</v>
      </c>
      <c r="E24" s="206">
        <f t="shared" ref="E24:J24" si="3">SUM(E25:E29)</f>
        <v>206.26600000000002</v>
      </c>
      <c r="F24" s="207">
        <f t="shared" si="3"/>
        <v>243.39388</v>
      </c>
      <c r="G24" s="208">
        <f t="shared" si="3"/>
        <v>0</v>
      </c>
      <c r="H24" s="209">
        <f t="shared" si="3"/>
        <v>0</v>
      </c>
      <c r="I24" s="208">
        <f t="shared" si="3"/>
        <v>0</v>
      </c>
      <c r="J24" s="209">
        <f t="shared" si="3"/>
        <v>0</v>
      </c>
      <c r="K24" s="206"/>
      <c r="L24" s="207"/>
      <c r="N24" s="201">
        <f>E24*1.2</f>
        <v>247.51920000000001</v>
      </c>
    </row>
    <row r="25" spans="1:14" s="217" customFormat="1" ht="12.75">
      <c r="A25" s="210"/>
      <c r="B25" s="211" t="s">
        <v>10</v>
      </c>
      <c r="C25" s="212"/>
      <c r="D25" s="213"/>
      <c r="E25" s="213">
        <v>0</v>
      </c>
      <c r="F25" s="214">
        <f>E25*1.18</f>
        <v>0</v>
      </c>
      <c r="G25" s="215"/>
      <c r="H25" s="216"/>
      <c r="I25" s="215"/>
      <c r="J25" s="216"/>
      <c r="K25" s="213"/>
      <c r="L25" s="214"/>
    </row>
    <row r="26" spans="1:14" s="217" customFormat="1" ht="12.75">
      <c r="A26" s="210"/>
      <c r="B26" s="211" t="s">
        <v>9</v>
      </c>
      <c r="C26" s="212"/>
      <c r="D26" s="213"/>
      <c r="E26" s="213">
        <v>155.24</v>
      </c>
      <c r="F26" s="214">
        <f>E26*1.18</f>
        <v>183.1832</v>
      </c>
      <c r="G26" s="215"/>
      <c r="H26" s="216"/>
      <c r="I26" s="215"/>
      <c r="J26" s="216"/>
      <c r="K26" s="213"/>
      <c r="L26" s="214"/>
    </row>
    <row r="27" spans="1:14" s="217" customFormat="1" ht="12.75">
      <c r="A27" s="210"/>
      <c r="B27" s="211" t="s">
        <v>12</v>
      </c>
      <c r="C27" s="212"/>
      <c r="D27" s="213"/>
      <c r="E27" s="213">
        <v>9.7729999999999997</v>
      </c>
      <c r="F27" s="214">
        <f>E27*1.18</f>
        <v>11.532139999999998</v>
      </c>
      <c r="G27" s="215"/>
      <c r="H27" s="216"/>
      <c r="I27" s="215"/>
      <c r="J27" s="216"/>
      <c r="K27" s="213"/>
      <c r="L27" s="214"/>
    </row>
    <row r="28" spans="1:14" s="217" customFormat="1" ht="12.75">
      <c r="A28" s="210"/>
      <c r="B28" s="211" t="s">
        <v>13</v>
      </c>
      <c r="C28" s="212"/>
      <c r="D28" s="213"/>
      <c r="E28" s="213">
        <v>0</v>
      </c>
      <c r="F28" s="214">
        <f>E28*1.18</f>
        <v>0</v>
      </c>
      <c r="G28" s="215"/>
      <c r="H28" s="216"/>
      <c r="I28" s="215"/>
      <c r="J28" s="216"/>
      <c r="K28" s="213"/>
      <c r="L28" s="214"/>
    </row>
    <row r="29" spans="1:14" s="217" customFormat="1" ht="12.75">
      <c r="A29" s="218"/>
      <c r="B29" s="219" t="s">
        <v>14</v>
      </c>
      <c r="C29" s="220"/>
      <c r="D29" s="221"/>
      <c r="E29" s="213">
        <v>41.253</v>
      </c>
      <c r="F29" s="214">
        <f>E29*1.18</f>
        <v>48.678539999999998</v>
      </c>
      <c r="G29" s="215"/>
      <c r="H29" s="216"/>
      <c r="I29" s="215"/>
      <c r="J29" s="216"/>
      <c r="K29" s="213"/>
      <c r="L29" s="214"/>
    </row>
    <row r="30" spans="1:14" s="201" customFormat="1" ht="12.75" hidden="1" outlineLevel="1">
      <c r="A30" s="199" t="s">
        <v>3</v>
      </c>
      <c r="B30" s="204"/>
      <c r="C30" s="205"/>
      <c r="D30" s="179"/>
      <c r="E30" s="206">
        <f>SUM(E31:E35)</f>
        <v>0</v>
      </c>
      <c r="F30" s="207">
        <f>SUM(F31:F35)</f>
        <v>0</v>
      </c>
      <c r="G30" s="222"/>
      <c r="H30" s="222"/>
      <c r="I30" s="222"/>
      <c r="J30" s="222"/>
      <c r="K30" s="223"/>
      <c r="L30" s="223"/>
    </row>
    <row r="31" spans="1:14" s="217" customFormat="1" ht="12.75" hidden="1" outlineLevel="1">
      <c r="A31" s="210"/>
      <c r="B31" s="211" t="s">
        <v>10</v>
      </c>
      <c r="C31" s="212"/>
      <c r="D31" s="213"/>
      <c r="E31" s="213"/>
      <c r="F31" s="214">
        <f>E31*1.18</f>
        <v>0</v>
      </c>
      <c r="G31" s="224"/>
      <c r="H31" s="224"/>
      <c r="I31" s="224"/>
      <c r="J31" s="224"/>
      <c r="K31" s="225"/>
      <c r="L31" s="225"/>
    </row>
    <row r="32" spans="1:14" s="217" customFormat="1" ht="12.75" hidden="1" outlineLevel="1">
      <c r="A32" s="210"/>
      <c r="B32" s="211" t="s">
        <v>9</v>
      </c>
      <c r="C32" s="212"/>
      <c r="D32" s="213"/>
      <c r="E32" s="213"/>
      <c r="F32" s="214">
        <f t="shared" ref="F32:F41" si="4">E32*1.18</f>
        <v>0</v>
      </c>
      <c r="G32" s="224"/>
      <c r="H32" s="224"/>
      <c r="I32" s="224"/>
      <c r="J32" s="224"/>
      <c r="K32" s="225"/>
      <c r="L32" s="225"/>
    </row>
    <row r="33" spans="1:14" s="217" customFormat="1" ht="12.75" hidden="1" outlineLevel="1">
      <c r="A33" s="210"/>
      <c r="B33" s="211" t="s">
        <v>12</v>
      </c>
      <c r="C33" s="212"/>
      <c r="D33" s="213"/>
      <c r="E33" s="213"/>
      <c r="F33" s="214">
        <f t="shared" si="4"/>
        <v>0</v>
      </c>
      <c r="G33" s="224"/>
      <c r="H33" s="224"/>
      <c r="I33" s="224"/>
      <c r="J33" s="224"/>
      <c r="K33" s="225"/>
      <c r="L33" s="225"/>
    </row>
    <row r="34" spans="1:14" s="217" customFormat="1" ht="12.75" hidden="1" outlineLevel="1">
      <c r="A34" s="210"/>
      <c r="B34" s="211" t="s">
        <v>13</v>
      </c>
      <c r="C34" s="212"/>
      <c r="D34" s="213"/>
      <c r="E34" s="213"/>
      <c r="F34" s="214">
        <f t="shared" si="4"/>
        <v>0</v>
      </c>
      <c r="G34" s="224"/>
      <c r="H34" s="224"/>
      <c r="I34" s="224"/>
      <c r="J34" s="224"/>
      <c r="K34" s="225"/>
      <c r="L34" s="225"/>
    </row>
    <row r="35" spans="1:14" s="217" customFormat="1" ht="12.75" hidden="1" outlineLevel="1">
      <c r="A35" s="218"/>
      <c r="B35" s="219" t="s">
        <v>14</v>
      </c>
      <c r="C35" s="220"/>
      <c r="D35" s="221"/>
      <c r="E35" s="221"/>
      <c r="F35" s="214">
        <f t="shared" si="4"/>
        <v>0</v>
      </c>
      <c r="G35" s="224"/>
      <c r="H35" s="224"/>
      <c r="I35" s="224"/>
      <c r="J35" s="224"/>
      <c r="K35" s="225"/>
      <c r="L35" s="225"/>
    </row>
    <row r="36" spans="1:14" s="201" customFormat="1" ht="12.75" hidden="1" outlineLevel="1">
      <c r="A36" s="199" t="s">
        <v>2</v>
      </c>
      <c r="B36" s="204"/>
      <c r="C36" s="205"/>
      <c r="D36" s="206"/>
      <c r="E36" s="206">
        <f>SUM(E37:E41)</f>
        <v>0</v>
      </c>
      <c r="F36" s="226">
        <f t="shared" si="4"/>
        <v>0</v>
      </c>
      <c r="G36" s="222"/>
      <c r="H36" s="222"/>
      <c r="I36" s="222"/>
      <c r="J36" s="222"/>
      <c r="K36" s="223"/>
      <c r="L36" s="223"/>
    </row>
    <row r="37" spans="1:14" s="217" customFormat="1" ht="12.75" hidden="1" outlineLevel="1">
      <c r="A37" s="210"/>
      <c r="B37" s="211" t="s">
        <v>10</v>
      </c>
      <c r="C37" s="212"/>
      <c r="D37" s="213"/>
      <c r="E37" s="213"/>
      <c r="F37" s="214">
        <f t="shared" si="4"/>
        <v>0</v>
      </c>
      <c r="G37" s="224"/>
      <c r="H37" s="224"/>
      <c r="I37" s="224"/>
      <c r="J37" s="224"/>
      <c r="K37" s="225"/>
      <c r="L37" s="225"/>
    </row>
    <row r="38" spans="1:14" s="217" customFormat="1" ht="12.75" hidden="1" outlineLevel="1">
      <c r="A38" s="210"/>
      <c r="B38" s="211" t="s">
        <v>9</v>
      </c>
      <c r="C38" s="212"/>
      <c r="D38" s="213"/>
      <c r="E38" s="213"/>
      <c r="F38" s="214">
        <f t="shared" si="4"/>
        <v>0</v>
      </c>
      <c r="G38" s="224"/>
      <c r="H38" s="224"/>
      <c r="I38" s="224"/>
      <c r="J38" s="224"/>
      <c r="K38" s="225"/>
      <c r="L38" s="225"/>
    </row>
    <row r="39" spans="1:14" s="217" customFormat="1" ht="12.75" hidden="1" outlineLevel="1">
      <c r="A39" s="210"/>
      <c r="B39" s="211" t="s">
        <v>12</v>
      </c>
      <c r="C39" s="212"/>
      <c r="D39" s="213"/>
      <c r="E39" s="213"/>
      <c r="F39" s="214">
        <f t="shared" si="4"/>
        <v>0</v>
      </c>
      <c r="G39" s="224"/>
      <c r="H39" s="224"/>
      <c r="I39" s="224"/>
      <c r="J39" s="224"/>
      <c r="K39" s="225"/>
      <c r="L39" s="225"/>
    </row>
    <row r="40" spans="1:14" s="217" customFormat="1" ht="12.75" hidden="1" outlineLevel="1">
      <c r="A40" s="210"/>
      <c r="B40" s="211" t="s">
        <v>13</v>
      </c>
      <c r="C40" s="212"/>
      <c r="D40" s="213"/>
      <c r="E40" s="213"/>
      <c r="F40" s="214">
        <f t="shared" si="4"/>
        <v>0</v>
      </c>
      <c r="G40" s="224"/>
      <c r="H40" s="224"/>
      <c r="I40" s="224"/>
      <c r="J40" s="224"/>
      <c r="K40" s="225"/>
      <c r="L40" s="225"/>
    </row>
    <row r="41" spans="1:14" s="217" customFormat="1" ht="12.75" hidden="1" outlineLevel="1">
      <c r="A41" s="218"/>
      <c r="B41" s="219" t="s">
        <v>14</v>
      </c>
      <c r="C41" s="220"/>
      <c r="D41" s="221"/>
      <c r="E41" s="221"/>
      <c r="F41" s="227">
        <f t="shared" si="4"/>
        <v>0</v>
      </c>
      <c r="G41" s="224"/>
      <c r="H41" s="224"/>
      <c r="I41" s="224"/>
      <c r="J41" s="224"/>
      <c r="K41" s="225"/>
      <c r="L41" s="225"/>
    </row>
    <row r="42" spans="1:14" s="231" customFormat="1" ht="12.75" collapsed="1">
      <c r="A42" s="228">
        <v>2</v>
      </c>
      <c r="B42" s="229" t="s">
        <v>0</v>
      </c>
      <c r="C42" s="230">
        <f>SUM(C48,C54)</f>
        <v>788.5</v>
      </c>
      <c r="D42" s="230">
        <f>SUM(D48,D54)</f>
        <v>530</v>
      </c>
      <c r="E42" s="206">
        <f t="shared" ref="E42:J42" si="5">SUM(E43:E47)</f>
        <v>6526.1380000000008</v>
      </c>
      <c r="F42" s="207">
        <f t="shared" si="5"/>
        <v>7700.8428399999993</v>
      </c>
      <c r="G42" s="208">
        <f t="shared" si="5"/>
        <v>0</v>
      </c>
      <c r="H42" s="209">
        <f t="shared" si="5"/>
        <v>0</v>
      </c>
      <c r="I42" s="208">
        <f t="shared" si="5"/>
        <v>0</v>
      </c>
      <c r="J42" s="209">
        <f t="shared" si="5"/>
        <v>0</v>
      </c>
      <c r="K42" s="206"/>
      <c r="L42" s="207"/>
      <c r="M42" s="231">
        <f>E42*1.2</f>
        <v>7831.365600000001</v>
      </c>
      <c r="N42" s="231">
        <f>E42*1.2</f>
        <v>7831.365600000001</v>
      </c>
    </row>
    <row r="43" spans="1:14" s="231" customFormat="1" ht="12.75">
      <c r="A43" s="202"/>
      <c r="B43" s="184" t="s">
        <v>10</v>
      </c>
      <c r="C43" s="232"/>
      <c r="D43" s="233"/>
      <c r="E43" s="233">
        <f t="shared" ref="E43:J47" si="6">SUM(E49,E55,E61)</f>
        <v>945.32</v>
      </c>
      <c r="F43" s="234">
        <f t="shared" si="6"/>
        <v>1115.4775999999999</v>
      </c>
      <c r="G43" s="235">
        <f t="shared" si="6"/>
        <v>0</v>
      </c>
      <c r="H43" s="236">
        <f t="shared" si="6"/>
        <v>0</v>
      </c>
      <c r="I43" s="235">
        <f t="shared" si="6"/>
        <v>0</v>
      </c>
      <c r="J43" s="236">
        <f t="shared" si="6"/>
        <v>0</v>
      </c>
      <c r="K43" s="233"/>
      <c r="L43" s="234"/>
    </row>
    <row r="44" spans="1:14" s="231" customFormat="1" ht="12.75">
      <c r="A44" s="202"/>
      <c r="B44" s="184" t="s">
        <v>9</v>
      </c>
      <c r="C44" s="232"/>
      <c r="D44" s="233"/>
      <c r="E44" s="233">
        <f t="shared" si="6"/>
        <v>3892.3679999999999</v>
      </c>
      <c r="F44" s="234">
        <f t="shared" si="6"/>
        <v>4592.99424</v>
      </c>
      <c r="G44" s="235">
        <f t="shared" si="6"/>
        <v>0</v>
      </c>
      <c r="H44" s="236">
        <f t="shared" si="6"/>
        <v>0</v>
      </c>
      <c r="I44" s="235">
        <f t="shared" si="6"/>
        <v>0</v>
      </c>
      <c r="J44" s="236">
        <f t="shared" si="6"/>
        <v>0</v>
      </c>
      <c r="K44" s="233"/>
      <c r="L44" s="234"/>
    </row>
    <row r="45" spans="1:14" s="231" customFormat="1" ht="12.75">
      <c r="A45" s="202"/>
      <c r="B45" s="184" t="s">
        <v>12</v>
      </c>
      <c r="C45" s="232"/>
      <c r="D45" s="233"/>
      <c r="E45" s="233">
        <f t="shared" si="6"/>
        <v>266.28800000000001</v>
      </c>
      <c r="F45" s="234">
        <f t="shared" si="6"/>
        <v>314.21983999999998</v>
      </c>
      <c r="G45" s="235">
        <f t="shared" si="6"/>
        <v>0</v>
      </c>
      <c r="H45" s="236">
        <f t="shared" si="6"/>
        <v>0</v>
      </c>
      <c r="I45" s="235">
        <f t="shared" si="6"/>
        <v>0</v>
      </c>
      <c r="J45" s="236">
        <f t="shared" si="6"/>
        <v>0</v>
      </c>
      <c r="K45" s="233"/>
      <c r="L45" s="234"/>
    </row>
    <row r="46" spans="1:14" s="231" customFormat="1" ht="12.75">
      <c r="A46" s="202"/>
      <c r="B46" s="184" t="s">
        <v>13</v>
      </c>
      <c r="C46" s="232"/>
      <c r="D46" s="233"/>
      <c r="E46" s="233">
        <f t="shared" si="6"/>
        <v>116.934</v>
      </c>
      <c r="F46" s="234">
        <f t="shared" si="6"/>
        <v>137.98211999999998</v>
      </c>
      <c r="G46" s="235">
        <f t="shared" si="6"/>
        <v>0</v>
      </c>
      <c r="H46" s="236">
        <f t="shared" si="6"/>
        <v>0</v>
      </c>
      <c r="I46" s="235">
        <f t="shared" si="6"/>
        <v>0</v>
      </c>
      <c r="J46" s="236">
        <f t="shared" si="6"/>
        <v>0</v>
      </c>
      <c r="K46" s="233"/>
      <c r="L46" s="234"/>
    </row>
    <row r="47" spans="1:14" s="231" customFormat="1" ht="12.75">
      <c r="A47" s="237"/>
      <c r="B47" s="238" t="s">
        <v>14</v>
      </c>
      <c r="C47" s="239"/>
      <c r="D47" s="240"/>
      <c r="E47" s="240">
        <f t="shared" si="6"/>
        <v>1305.2280000000001</v>
      </c>
      <c r="F47" s="241">
        <f t="shared" si="6"/>
        <v>1540.16904</v>
      </c>
      <c r="G47" s="242">
        <f t="shared" si="6"/>
        <v>0</v>
      </c>
      <c r="H47" s="243">
        <f t="shared" si="6"/>
        <v>0</v>
      </c>
      <c r="I47" s="242">
        <f t="shared" si="6"/>
        <v>0</v>
      </c>
      <c r="J47" s="243">
        <f t="shared" si="6"/>
        <v>0</v>
      </c>
      <c r="K47" s="240"/>
      <c r="L47" s="241"/>
    </row>
    <row r="48" spans="1:14" s="231" customFormat="1" ht="51">
      <c r="A48" s="199" t="s">
        <v>26</v>
      </c>
      <c r="B48" s="204" t="s">
        <v>59</v>
      </c>
      <c r="C48" s="205">
        <v>788.5</v>
      </c>
      <c r="D48" s="206">
        <v>530</v>
      </c>
      <c r="E48" s="206">
        <f t="shared" ref="E48:J48" si="7">SUM(E49:E53)</f>
        <v>6526.1380000000008</v>
      </c>
      <c r="F48" s="207">
        <f t="shared" si="7"/>
        <v>7700.8428399999993</v>
      </c>
      <c r="G48" s="208">
        <f t="shared" si="7"/>
        <v>0</v>
      </c>
      <c r="H48" s="209">
        <f t="shared" si="7"/>
        <v>0</v>
      </c>
      <c r="I48" s="208">
        <f t="shared" si="7"/>
        <v>0</v>
      </c>
      <c r="J48" s="209">
        <f t="shared" si="7"/>
        <v>0</v>
      </c>
      <c r="K48" s="206"/>
      <c r="L48" s="207"/>
      <c r="M48" s="231">
        <f>(E48-E53)*1.2</f>
        <v>6265.0920000000006</v>
      </c>
    </row>
    <row r="49" spans="1:12" s="244" customFormat="1" ht="12.75">
      <c r="A49" s="210"/>
      <c r="B49" s="211" t="s">
        <v>10</v>
      </c>
      <c r="C49" s="212"/>
      <c r="D49" s="213"/>
      <c r="E49" s="213">
        <v>945.32</v>
      </c>
      <c r="F49" s="214">
        <f>E49*1.18</f>
        <v>1115.4775999999999</v>
      </c>
      <c r="G49" s="215"/>
      <c r="H49" s="216"/>
      <c r="I49" s="215"/>
      <c r="J49" s="216"/>
      <c r="K49" s="213"/>
      <c r="L49" s="214"/>
    </row>
    <row r="50" spans="1:12" s="244" customFormat="1" ht="12.75">
      <c r="A50" s="210"/>
      <c r="B50" s="211" t="s">
        <v>9</v>
      </c>
      <c r="C50" s="212"/>
      <c r="D50" s="213"/>
      <c r="E50" s="213">
        <v>3892.3679999999999</v>
      </c>
      <c r="F50" s="214">
        <f t="shared" ref="F50:F65" si="8">E50*1.18</f>
        <v>4592.99424</v>
      </c>
      <c r="G50" s="215"/>
      <c r="H50" s="216"/>
      <c r="I50" s="215"/>
      <c r="J50" s="216"/>
      <c r="K50" s="213"/>
      <c r="L50" s="214"/>
    </row>
    <row r="51" spans="1:12" s="244" customFormat="1" ht="12.75">
      <c r="A51" s="210"/>
      <c r="B51" s="211" t="s">
        <v>12</v>
      </c>
      <c r="C51" s="212"/>
      <c r="D51" s="213"/>
      <c r="E51" s="213">
        <v>266.28800000000001</v>
      </c>
      <c r="F51" s="214">
        <f t="shared" si="8"/>
        <v>314.21983999999998</v>
      </c>
      <c r="G51" s="215"/>
      <c r="H51" s="216"/>
      <c r="I51" s="215"/>
      <c r="J51" s="216"/>
      <c r="K51" s="213"/>
      <c r="L51" s="214"/>
    </row>
    <row r="52" spans="1:12" s="244" customFormat="1" ht="12.75">
      <c r="A52" s="210"/>
      <c r="B52" s="211" t="s">
        <v>13</v>
      </c>
      <c r="C52" s="212"/>
      <c r="D52" s="213"/>
      <c r="E52" s="213">
        <v>116.934</v>
      </c>
      <c r="F52" s="214">
        <f t="shared" si="8"/>
        <v>137.98211999999998</v>
      </c>
      <c r="G52" s="215"/>
      <c r="H52" s="216"/>
      <c r="I52" s="215"/>
      <c r="J52" s="216"/>
      <c r="K52" s="213"/>
      <c r="L52" s="214"/>
    </row>
    <row r="53" spans="1:12" s="244" customFormat="1" ht="12.75">
      <c r="A53" s="218"/>
      <c r="B53" s="219" t="s">
        <v>14</v>
      </c>
      <c r="C53" s="220"/>
      <c r="D53" s="221"/>
      <c r="E53" s="221">
        <v>1305.2280000000001</v>
      </c>
      <c r="F53" s="227">
        <f t="shared" si="8"/>
        <v>1540.16904</v>
      </c>
      <c r="G53" s="245"/>
      <c r="H53" s="246"/>
      <c r="I53" s="245"/>
      <c r="J53" s="246"/>
      <c r="K53" s="221"/>
      <c r="L53" s="227"/>
    </row>
    <row r="54" spans="1:12" s="231" customFormat="1" ht="12.75" hidden="1" outlineLevel="1">
      <c r="A54" s="199" t="s">
        <v>27</v>
      </c>
      <c r="B54" s="204"/>
      <c r="C54" s="205"/>
      <c r="D54" s="206"/>
      <c r="E54" s="206">
        <f>SUM(E55:E59)</f>
        <v>0</v>
      </c>
      <c r="F54" s="207">
        <f t="shared" si="8"/>
        <v>0</v>
      </c>
      <c r="G54" s="208"/>
      <c r="H54" s="209"/>
      <c r="I54" s="208"/>
      <c r="J54" s="209"/>
      <c r="K54" s="206"/>
      <c r="L54" s="207"/>
    </row>
    <row r="55" spans="1:12" s="244" customFormat="1" ht="12.75" hidden="1" outlineLevel="1">
      <c r="A55" s="210"/>
      <c r="B55" s="211" t="s">
        <v>10</v>
      </c>
      <c r="C55" s="212"/>
      <c r="D55" s="213"/>
      <c r="E55" s="213"/>
      <c r="F55" s="214">
        <f t="shared" si="8"/>
        <v>0</v>
      </c>
      <c r="G55" s="215"/>
      <c r="H55" s="216"/>
      <c r="I55" s="215"/>
      <c r="J55" s="216"/>
      <c r="K55" s="213"/>
      <c r="L55" s="214"/>
    </row>
    <row r="56" spans="1:12" s="244" customFormat="1" ht="12.75" hidden="1" outlineLevel="1">
      <c r="A56" s="210"/>
      <c r="B56" s="211" t="s">
        <v>9</v>
      </c>
      <c r="C56" s="212"/>
      <c r="D56" s="213"/>
      <c r="E56" s="213"/>
      <c r="F56" s="214">
        <f t="shared" si="8"/>
        <v>0</v>
      </c>
      <c r="G56" s="215"/>
      <c r="H56" s="216"/>
      <c r="I56" s="215"/>
      <c r="J56" s="216"/>
      <c r="K56" s="213"/>
      <c r="L56" s="214"/>
    </row>
    <row r="57" spans="1:12" s="244" customFormat="1" ht="12.75" hidden="1" outlineLevel="1">
      <c r="A57" s="210"/>
      <c r="B57" s="211" t="s">
        <v>12</v>
      </c>
      <c r="C57" s="212"/>
      <c r="D57" s="213"/>
      <c r="E57" s="213"/>
      <c r="F57" s="214">
        <f t="shared" si="8"/>
        <v>0</v>
      </c>
      <c r="G57" s="215"/>
      <c r="H57" s="216"/>
      <c r="I57" s="215"/>
      <c r="J57" s="216"/>
      <c r="K57" s="213"/>
      <c r="L57" s="214"/>
    </row>
    <row r="58" spans="1:12" s="244" customFormat="1" ht="12.75" hidden="1" outlineLevel="1">
      <c r="A58" s="210"/>
      <c r="B58" s="211" t="s">
        <v>13</v>
      </c>
      <c r="C58" s="212"/>
      <c r="D58" s="213"/>
      <c r="E58" s="213"/>
      <c r="F58" s="214">
        <f t="shared" si="8"/>
        <v>0</v>
      </c>
      <c r="G58" s="215"/>
      <c r="H58" s="216"/>
      <c r="I58" s="215"/>
      <c r="J58" s="216"/>
      <c r="K58" s="213"/>
      <c r="L58" s="214"/>
    </row>
    <row r="59" spans="1:12" s="244" customFormat="1" ht="12.75" hidden="1" outlineLevel="1">
      <c r="A59" s="218"/>
      <c r="B59" s="219" t="s">
        <v>14</v>
      </c>
      <c r="C59" s="220"/>
      <c r="D59" s="221"/>
      <c r="E59" s="221"/>
      <c r="F59" s="227">
        <f t="shared" si="8"/>
        <v>0</v>
      </c>
      <c r="G59" s="245"/>
      <c r="H59" s="246"/>
      <c r="I59" s="245"/>
      <c r="J59" s="246"/>
      <c r="K59" s="221"/>
      <c r="L59" s="227"/>
    </row>
    <row r="60" spans="1:12" s="231" customFormat="1" ht="12.75" hidden="1" outlineLevel="1">
      <c r="A60" s="199" t="s">
        <v>592</v>
      </c>
      <c r="B60" s="204"/>
      <c r="C60" s="247"/>
      <c r="D60" s="208"/>
      <c r="E60" s="208">
        <f>SUM(E61:E65)</f>
        <v>0</v>
      </c>
      <c r="F60" s="209">
        <f t="shared" si="8"/>
        <v>0</v>
      </c>
      <c r="G60" s="208"/>
      <c r="H60" s="209"/>
      <c r="I60" s="208"/>
      <c r="J60" s="209"/>
      <c r="K60" s="206"/>
      <c r="L60" s="207"/>
    </row>
    <row r="61" spans="1:12" s="244" customFormat="1" ht="12.75" hidden="1" outlineLevel="1">
      <c r="A61" s="210"/>
      <c r="B61" s="211" t="s">
        <v>10</v>
      </c>
      <c r="C61" s="248"/>
      <c r="D61" s="215"/>
      <c r="E61" s="215"/>
      <c r="F61" s="216">
        <f t="shared" si="8"/>
        <v>0</v>
      </c>
      <c r="G61" s="215"/>
      <c r="H61" s="216"/>
      <c r="I61" s="215"/>
      <c r="J61" s="216"/>
      <c r="K61" s="213"/>
      <c r="L61" s="214"/>
    </row>
    <row r="62" spans="1:12" s="244" customFormat="1" ht="12.75" hidden="1" outlineLevel="1">
      <c r="A62" s="210"/>
      <c r="B62" s="211" t="s">
        <v>9</v>
      </c>
      <c r="C62" s="248"/>
      <c r="D62" s="215"/>
      <c r="E62" s="215"/>
      <c r="F62" s="216">
        <f t="shared" si="8"/>
        <v>0</v>
      </c>
      <c r="G62" s="215"/>
      <c r="H62" s="216"/>
      <c r="I62" s="215"/>
      <c r="J62" s="216"/>
      <c r="K62" s="213"/>
      <c r="L62" s="214"/>
    </row>
    <row r="63" spans="1:12" s="244" customFormat="1" ht="12.75" hidden="1" outlineLevel="1">
      <c r="A63" s="210"/>
      <c r="B63" s="211" t="s">
        <v>12</v>
      </c>
      <c r="C63" s="248"/>
      <c r="D63" s="215"/>
      <c r="E63" s="215"/>
      <c r="F63" s="216">
        <f t="shared" si="8"/>
        <v>0</v>
      </c>
      <c r="G63" s="215"/>
      <c r="H63" s="216"/>
      <c r="I63" s="215"/>
      <c r="J63" s="216"/>
      <c r="K63" s="213"/>
      <c r="L63" s="214"/>
    </row>
    <row r="64" spans="1:12" s="244" customFormat="1" ht="12.75" hidden="1" outlineLevel="1">
      <c r="A64" s="210"/>
      <c r="B64" s="211" t="s">
        <v>13</v>
      </c>
      <c r="C64" s="248"/>
      <c r="D64" s="215"/>
      <c r="E64" s="215"/>
      <c r="F64" s="216">
        <f t="shared" si="8"/>
        <v>0</v>
      </c>
      <c r="G64" s="215"/>
      <c r="H64" s="216"/>
      <c r="I64" s="215"/>
      <c r="J64" s="216"/>
      <c r="K64" s="213"/>
      <c r="L64" s="214"/>
    </row>
    <row r="65" spans="1:12" s="244" customFormat="1" ht="12.75" hidden="1" outlineLevel="1">
      <c r="A65" s="218"/>
      <c r="B65" s="219" t="s">
        <v>14</v>
      </c>
      <c r="C65" s="249"/>
      <c r="D65" s="245"/>
      <c r="E65" s="245"/>
      <c r="F65" s="246">
        <f t="shared" si="8"/>
        <v>0</v>
      </c>
      <c r="G65" s="245"/>
      <c r="H65" s="246"/>
      <c r="I65" s="245"/>
      <c r="J65" s="246"/>
      <c r="K65" s="221"/>
      <c r="L65" s="227"/>
    </row>
    <row r="66" spans="1:12" collapsed="1">
      <c r="D66" s="251"/>
      <c r="E66" s="251"/>
      <c r="F66" s="25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4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M299"/>
  <sheetViews>
    <sheetView zoomScale="80" zoomScaleNormal="80" workbookViewId="0">
      <pane xSplit="4" ySplit="3" topLeftCell="N28" activePane="bottomRight" state="frozen"/>
      <selection pane="topRight" activeCell="E1" sqref="E1"/>
      <selection pane="bottomLeft" activeCell="A4" sqref="A4"/>
      <selection pane="bottomRight" activeCell="Z38" sqref="Z38"/>
    </sheetView>
  </sheetViews>
  <sheetFormatPr defaultColWidth="8.28515625" defaultRowHeight="15.75" outlineLevelRow="1" outlineLevelCol="1"/>
  <cols>
    <col min="1" max="1" width="0.7109375" style="2218" customWidth="1"/>
    <col min="2" max="2" width="10.5703125" style="2218" customWidth="1"/>
    <col min="3" max="3" width="46.42578125" style="2219" customWidth="1"/>
    <col min="4" max="4" width="12.7109375" style="2219" customWidth="1"/>
    <col min="5" max="5" width="15.28515625" style="2219" hidden="1" customWidth="1" outlineLevel="1"/>
    <col min="6" max="6" width="14.85546875" style="2219" hidden="1" customWidth="1" outlineLevel="1"/>
    <col min="7" max="7" width="15" style="2219" hidden="1" customWidth="1" outlineLevel="1"/>
    <col min="8" max="8" width="14.5703125" style="2219" hidden="1" customWidth="1" outlineLevel="1"/>
    <col min="9" max="10" width="14.140625" style="2219" hidden="1" customWidth="1" outlineLevel="1"/>
    <col min="11" max="11" width="14.5703125" style="2219" hidden="1" customWidth="1" outlineLevel="1"/>
    <col min="12" max="12" width="14.140625" style="2219" hidden="1" customWidth="1" outlineLevel="1"/>
    <col min="13" max="13" width="14.42578125" style="2219" hidden="1" customWidth="1" outlineLevel="1"/>
    <col min="14" max="14" width="14.5703125" style="2219" hidden="1" customWidth="1" collapsed="1"/>
    <col min="15" max="15" width="14.140625" style="2219" hidden="1" customWidth="1"/>
    <col min="16" max="16" width="13.42578125" style="2219" hidden="1" customWidth="1"/>
    <col min="17" max="17" width="14.85546875" hidden="1" customWidth="1"/>
    <col min="18" max="18" width="14.28515625" hidden="1" customWidth="1"/>
    <col min="19" max="25" width="14.28515625" style="2219" hidden="1" customWidth="1"/>
    <col min="26" max="28" width="14.28515625" style="2219" customWidth="1"/>
    <col min="29" max="29" width="16" style="2116" hidden="1" customWidth="1"/>
    <col min="30" max="30" width="14" style="2116" hidden="1" customWidth="1"/>
    <col min="31" max="31" width="13.7109375" style="2116" hidden="1" customWidth="1"/>
    <col min="32" max="32" width="10.5703125" style="2116" hidden="1" customWidth="1"/>
    <col min="33" max="33" width="11.28515625" style="2116" customWidth="1"/>
    <col min="34" max="34" width="9.42578125" style="2116" bestFit="1" customWidth="1"/>
    <col min="35" max="35" width="12.42578125" style="2116" bestFit="1" customWidth="1"/>
    <col min="36" max="38" width="10.85546875" bestFit="1" customWidth="1"/>
    <col min="39" max="39" width="9.85546875" bestFit="1" customWidth="1"/>
    <col min="257" max="257" width="0.7109375" customWidth="1"/>
    <col min="258" max="258" width="10.5703125" customWidth="1"/>
    <col min="259" max="259" width="46.42578125" customWidth="1"/>
    <col min="260" max="260" width="12.7109375" customWidth="1"/>
    <col min="261" max="269" width="0" hidden="1" customWidth="1"/>
    <col min="270" max="270" width="14.5703125" customWidth="1"/>
    <col min="271" max="271" width="14.140625" customWidth="1"/>
    <col min="272" max="272" width="13.42578125" customWidth="1"/>
    <col min="273" max="273" width="14.85546875" customWidth="1"/>
    <col min="274" max="284" width="14.28515625" customWidth="1"/>
    <col min="285" max="288" width="0" hidden="1" customWidth="1"/>
    <col min="289" max="289" width="11.28515625" customWidth="1"/>
    <col min="290" max="290" width="9.42578125" bestFit="1" customWidth="1"/>
    <col min="291" max="291" width="12.42578125" bestFit="1" customWidth="1"/>
    <col min="292" max="294" width="10.85546875" bestFit="1" customWidth="1"/>
    <col min="295" max="295" width="9.85546875" bestFit="1" customWidth="1"/>
    <col min="513" max="513" width="0.7109375" customWidth="1"/>
    <col min="514" max="514" width="10.5703125" customWidth="1"/>
    <col min="515" max="515" width="46.42578125" customWidth="1"/>
    <col min="516" max="516" width="12.7109375" customWidth="1"/>
    <col min="517" max="525" width="0" hidden="1" customWidth="1"/>
    <col min="526" max="526" width="14.5703125" customWidth="1"/>
    <col min="527" max="527" width="14.140625" customWidth="1"/>
    <col min="528" max="528" width="13.42578125" customWidth="1"/>
    <col min="529" max="529" width="14.85546875" customWidth="1"/>
    <col min="530" max="540" width="14.28515625" customWidth="1"/>
    <col min="541" max="544" width="0" hidden="1" customWidth="1"/>
    <col min="545" max="545" width="11.28515625" customWidth="1"/>
    <col min="546" max="546" width="9.42578125" bestFit="1" customWidth="1"/>
    <col min="547" max="547" width="12.42578125" bestFit="1" customWidth="1"/>
    <col min="548" max="550" width="10.85546875" bestFit="1" customWidth="1"/>
    <col min="551" max="551" width="9.85546875" bestFit="1" customWidth="1"/>
    <col min="769" max="769" width="0.7109375" customWidth="1"/>
    <col min="770" max="770" width="10.5703125" customWidth="1"/>
    <col min="771" max="771" width="46.42578125" customWidth="1"/>
    <col min="772" max="772" width="12.7109375" customWidth="1"/>
    <col min="773" max="781" width="0" hidden="1" customWidth="1"/>
    <col min="782" max="782" width="14.5703125" customWidth="1"/>
    <col min="783" max="783" width="14.140625" customWidth="1"/>
    <col min="784" max="784" width="13.42578125" customWidth="1"/>
    <col min="785" max="785" width="14.85546875" customWidth="1"/>
    <col min="786" max="796" width="14.28515625" customWidth="1"/>
    <col min="797" max="800" width="0" hidden="1" customWidth="1"/>
    <col min="801" max="801" width="11.28515625" customWidth="1"/>
    <col min="802" max="802" width="9.42578125" bestFit="1" customWidth="1"/>
    <col min="803" max="803" width="12.42578125" bestFit="1" customWidth="1"/>
    <col min="804" max="806" width="10.85546875" bestFit="1" customWidth="1"/>
    <col min="807" max="807" width="9.85546875" bestFit="1" customWidth="1"/>
    <col min="1025" max="1025" width="0.7109375" customWidth="1"/>
    <col min="1026" max="1026" width="10.5703125" customWidth="1"/>
    <col min="1027" max="1027" width="46.42578125" customWidth="1"/>
    <col min="1028" max="1028" width="12.7109375" customWidth="1"/>
    <col min="1029" max="1037" width="0" hidden="1" customWidth="1"/>
    <col min="1038" max="1038" width="14.5703125" customWidth="1"/>
    <col min="1039" max="1039" width="14.140625" customWidth="1"/>
    <col min="1040" max="1040" width="13.42578125" customWidth="1"/>
    <col min="1041" max="1041" width="14.85546875" customWidth="1"/>
    <col min="1042" max="1052" width="14.28515625" customWidth="1"/>
    <col min="1053" max="1056" width="0" hidden="1" customWidth="1"/>
    <col min="1057" max="1057" width="11.28515625" customWidth="1"/>
    <col min="1058" max="1058" width="9.42578125" bestFit="1" customWidth="1"/>
    <col min="1059" max="1059" width="12.42578125" bestFit="1" customWidth="1"/>
    <col min="1060" max="1062" width="10.85546875" bestFit="1" customWidth="1"/>
    <col min="1063" max="1063" width="9.85546875" bestFit="1" customWidth="1"/>
    <col min="1281" max="1281" width="0.7109375" customWidth="1"/>
    <col min="1282" max="1282" width="10.5703125" customWidth="1"/>
    <col min="1283" max="1283" width="46.42578125" customWidth="1"/>
    <col min="1284" max="1284" width="12.7109375" customWidth="1"/>
    <col min="1285" max="1293" width="0" hidden="1" customWidth="1"/>
    <col min="1294" max="1294" width="14.5703125" customWidth="1"/>
    <col min="1295" max="1295" width="14.140625" customWidth="1"/>
    <col min="1296" max="1296" width="13.42578125" customWidth="1"/>
    <col min="1297" max="1297" width="14.85546875" customWidth="1"/>
    <col min="1298" max="1308" width="14.28515625" customWidth="1"/>
    <col min="1309" max="1312" width="0" hidden="1" customWidth="1"/>
    <col min="1313" max="1313" width="11.28515625" customWidth="1"/>
    <col min="1314" max="1314" width="9.42578125" bestFit="1" customWidth="1"/>
    <col min="1315" max="1315" width="12.42578125" bestFit="1" customWidth="1"/>
    <col min="1316" max="1318" width="10.85546875" bestFit="1" customWidth="1"/>
    <col min="1319" max="1319" width="9.85546875" bestFit="1" customWidth="1"/>
    <col min="1537" max="1537" width="0.7109375" customWidth="1"/>
    <col min="1538" max="1538" width="10.5703125" customWidth="1"/>
    <col min="1539" max="1539" width="46.42578125" customWidth="1"/>
    <col min="1540" max="1540" width="12.7109375" customWidth="1"/>
    <col min="1541" max="1549" width="0" hidden="1" customWidth="1"/>
    <col min="1550" max="1550" width="14.5703125" customWidth="1"/>
    <col min="1551" max="1551" width="14.140625" customWidth="1"/>
    <col min="1552" max="1552" width="13.42578125" customWidth="1"/>
    <col min="1553" max="1553" width="14.85546875" customWidth="1"/>
    <col min="1554" max="1564" width="14.28515625" customWidth="1"/>
    <col min="1565" max="1568" width="0" hidden="1" customWidth="1"/>
    <col min="1569" max="1569" width="11.28515625" customWidth="1"/>
    <col min="1570" max="1570" width="9.42578125" bestFit="1" customWidth="1"/>
    <col min="1571" max="1571" width="12.42578125" bestFit="1" customWidth="1"/>
    <col min="1572" max="1574" width="10.85546875" bestFit="1" customWidth="1"/>
    <col min="1575" max="1575" width="9.85546875" bestFit="1" customWidth="1"/>
    <col min="1793" max="1793" width="0.7109375" customWidth="1"/>
    <col min="1794" max="1794" width="10.5703125" customWidth="1"/>
    <col min="1795" max="1795" width="46.42578125" customWidth="1"/>
    <col min="1796" max="1796" width="12.7109375" customWidth="1"/>
    <col min="1797" max="1805" width="0" hidden="1" customWidth="1"/>
    <col min="1806" max="1806" width="14.5703125" customWidth="1"/>
    <col min="1807" max="1807" width="14.140625" customWidth="1"/>
    <col min="1808" max="1808" width="13.42578125" customWidth="1"/>
    <col min="1809" max="1809" width="14.85546875" customWidth="1"/>
    <col min="1810" max="1820" width="14.28515625" customWidth="1"/>
    <col min="1821" max="1824" width="0" hidden="1" customWidth="1"/>
    <col min="1825" max="1825" width="11.28515625" customWidth="1"/>
    <col min="1826" max="1826" width="9.42578125" bestFit="1" customWidth="1"/>
    <col min="1827" max="1827" width="12.42578125" bestFit="1" customWidth="1"/>
    <col min="1828" max="1830" width="10.85546875" bestFit="1" customWidth="1"/>
    <col min="1831" max="1831" width="9.85546875" bestFit="1" customWidth="1"/>
    <col min="2049" max="2049" width="0.7109375" customWidth="1"/>
    <col min="2050" max="2050" width="10.5703125" customWidth="1"/>
    <col min="2051" max="2051" width="46.42578125" customWidth="1"/>
    <col min="2052" max="2052" width="12.7109375" customWidth="1"/>
    <col min="2053" max="2061" width="0" hidden="1" customWidth="1"/>
    <col min="2062" max="2062" width="14.5703125" customWidth="1"/>
    <col min="2063" max="2063" width="14.140625" customWidth="1"/>
    <col min="2064" max="2064" width="13.42578125" customWidth="1"/>
    <col min="2065" max="2065" width="14.85546875" customWidth="1"/>
    <col min="2066" max="2076" width="14.28515625" customWidth="1"/>
    <col min="2077" max="2080" width="0" hidden="1" customWidth="1"/>
    <col min="2081" max="2081" width="11.28515625" customWidth="1"/>
    <col min="2082" max="2082" width="9.42578125" bestFit="1" customWidth="1"/>
    <col min="2083" max="2083" width="12.42578125" bestFit="1" customWidth="1"/>
    <col min="2084" max="2086" width="10.85546875" bestFit="1" customWidth="1"/>
    <col min="2087" max="2087" width="9.85546875" bestFit="1" customWidth="1"/>
    <col min="2305" max="2305" width="0.7109375" customWidth="1"/>
    <col min="2306" max="2306" width="10.5703125" customWidth="1"/>
    <col min="2307" max="2307" width="46.42578125" customWidth="1"/>
    <col min="2308" max="2308" width="12.7109375" customWidth="1"/>
    <col min="2309" max="2317" width="0" hidden="1" customWidth="1"/>
    <col min="2318" max="2318" width="14.5703125" customWidth="1"/>
    <col min="2319" max="2319" width="14.140625" customWidth="1"/>
    <col min="2320" max="2320" width="13.42578125" customWidth="1"/>
    <col min="2321" max="2321" width="14.85546875" customWidth="1"/>
    <col min="2322" max="2332" width="14.28515625" customWidth="1"/>
    <col min="2333" max="2336" width="0" hidden="1" customWidth="1"/>
    <col min="2337" max="2337" width="11.28515625" customWidth="1"/>
    <col min="2338" max="2338" width="9.42578125" bestFit="1" customWidth="1"/>
    <col min="2339" max="2339" width="12.42578125" bestFit="1" customWidth="1"/>
    <col min="2340" max="2342" width="10.85546875" bestFit="1" customWidth="1"/>
    <col min="2343" max="2343" width="9.85546875" bestFit="1" customWidth="1"/>
    <col min="2561" max="2561" width="0.7109375" customWidth="1"/>
    <col min="2562" max="2562" width="10.5703125" customWidth="1"/>
    <col min="2563" max="2563" width="46.42578125" customWidth="1"/>
    <col min="2564" max="2564" width="12.7109375" customWidth="1"/>
    <col min="2565" max="2573" width="0" hidden="1" customWidth="1"/>
    <col min="2574" max="2574" width="14.5703125" customWidth="1"/>
    <col min="2575" max="2575" width="14.140625" customWidth="1"/>
    <col min="2576" max="2576" width="13.42578125" customWidth="1"/>
    <col min="2577" max="2577" width="14.85546875" customWidth="1"/>
    <col min="2578" max="2588" width="14.28515625" customWidth="1"/>
    <col min="2589" max="2592" width="0" hidden="1" customWidth="1"/>
    <col min="2593" max="2593" width="11.28515625" customWidth="1"/>
    <col min="2594" max="2594" width="9.42578125" bestFit="1" customWidth="1"/>
    <col min="2595" max="2595" width="12.42578125" bestFit="1" customWidth="1"/>
    <col min="2596" max="2598" width="10.85546875" bestFit="1" customWidth="1"/>
    <col min="2599" max="2599" width="9.85546875" bestFit="1" customWidth="1"/>
    <col min="2817" max="2817" width="0.7109375" customWidth="1"/>
    <col min="2818" max="2818" width="10.5703125" customWidth="1"/>
    <col min="2819" max="2819" width="46.42578125" customWidth="1"/>
    <col min="2820" max="2820" width="12.7109375" customWidth="1"/>
    <col min="2821" max="2829" width="0" hidden="1" customWidth="1"/>
    <col min="2830" max="2830" width="14.5703125" customWidth="1"/>
    <col min="2831" max="2831" width="14.140625" customWidth="1"/>
    <col min="2832" max="2832" width="13.42578125" customWidth="1"/>
    <col min="2833" max="2833" width="14.85546875" customWidth="1"/>
    <col min="2834" max="2844" width="14.28515625" customWidth="1"/>
    <col min="2845" max="2848" width="0" hidden="1" customWidth="1"/>
    <col min="2849" max="2849" width="11.28515625" customWidth="1"/>
    <col min="2850" max="2850" width="9.42578125" bestFit="1" customWidth="1"/>
    <col min="2851" max="2851" width="12.42578125" bestFit="1" customWidth="1"/>
    <col min="2852" max="2854" width="10.85546875" bestFit="1" customWidth="1"/>
    <col min="2855" max="2855" width="9.85546875" bestFit="1" customWidth="1"/>
    <col min="3073" max="3073" width="0.7109375" customWidth="1"/>
    <col min="3074" max="3074" width="10.5703125" customWidth="1"/>
    <col min="3075" max="3075" width="46.42578125" customWidth="1"/>
    <col min="3076" max="3076" width="12.7109375" customWidth="1"/>
    <col min="3077" max="3085" width="0" hidden="1" customWidth="1"/>
    <col min="3086" max="3086" width="14.5703125" customWidth="1"/>
    <col min="3087" max="3087" width="14.140625" customWidth="1"/>
    <col min="3088" max="3088" width="13.42578125" customWidth="1"/>
    <col min="3089" max="3089" width="14.85546875" customWidth="1"/>
    <col min="3090" max="3100" width="14.28515625" customWidth="1"/>
    <col min="3101" max="3104" width="0" hidden="1" customWidth="1"/>
    <col min="3105" max="3105" width="11.28515625" customWidth="1"/>
    <col min="3106" max="3106" width="9.42578125" bestFit="1" customWidth="1"/>
    <col min="3107" max="3107" width="12.42578125" bestFit="1" customWidth="1"/>
    <col min="3108" max="3110" width="10.85546875" bestFit="1" customWidth="1"/>
    <col min="3111" max="3111" width="9.85546875" bestFit="1" customWidth="1"/>
    <col min="3329" max="3329" width="0.7109375" customWidth="1"/>
    <col min="3330" max="3330" width="10.5703125" customWidth="1"/>
    <col min="3331" max="3331" width="46.42578125" customWidth="1"/>
    <col min="3332" max="3332" width="12.7109375" customWidth="1"/>
    <col min="3333" max="3341" width="0" hidden="1" customWidth="1"/>
    <col min="3342" max="3342" width="14.5703125" customWidth="1"/>
    <col min="3343" max="3343" width="14.140625" customWidth="1"/>
    <col min="3344" max="3344" width="13.42578125" customWidth="1"/>
    <col min="3345" max="3345" width="14.85546875" customWidth="1"/>
    <col min="3346" max="3356" width="14.28515625" customWidth="1"/>
    <col min="3357" max="3360" width="0" hidden="1" customWidth="1"/>
    <col min="3361" max="3361" width="11.28515625" customWidth="1"/>
    <col min="3362" max="3362" width="9.42578125" bestFit="1" customWidth="1"/>
    <col min="3363" max="3363" width="12.42578125" bestFit="1" customWidth="1"/>
    <col min="3364" max="3366" width="10.85546875" bestFit="1" customWidth="1"/>
    <col min="3367" max="3367" width="9.85546875" bestFit="1" customWidth="1"/>
    <col min="3585" max="3585" width="0.7109375" customWidth="1"/>
    <col min="3586" max="3586" width="10.5703125" customWidth="1"/>
    <col min="3587" max="3587" width="46.42578125" customWidth="1"/>
    <col min="3588" max="3588" width="12.7109375" customWidth="1"/>
    <col min="3589" max="3597" width="0" hidden="1" customWidth="1"/>
    <col min="3598" max="3598" width="14.5703125" customWidth="1"/>
    <col min="3599" max="3599" width="14.140625" customWidth="1"/>
    <col min="3600" max="3600" width="13.42578125" customWidth="1"/>
    <col min="3601" max="3601" width="14.85546875" customWidth="1"/>
    <col min="3602" max="3612" width="14.28515625" customWidth="1"/>
    <col min="3613" max="3616" width="0" hidden="1" customWidth="1"/>
    <col min="3617" max="3617" width="11.28515625" customWidth="1"/>
    <col min="3618" max="3618" width="9.42578125" bestFit="1" customWidth="1"/>
    <col min="3619" max="3619" width="12.42578125" bestFit="1" customWidth="1"/>
    <col min="3620" max="3622" width="10.85546875" bestFit="1" customWidth="1"/>
    <col min="3623" max="3623" width="9.85546875" bestFit="1" customWidth="1"/>
    <col min="3841" max="3841" width="0.7109375" customWidth="1"/>
    <col min="3842" max="3842" width="10.5703125" customWidth="1"/>
    <col min="3843" max="3843" width="46.42578125" customWidth="1"/>
    <col min="3844" max="3844" width="12.7109375" customWidth="1"/>
    <col min="3845" max="3853" width="0" hidden="1" customWidth="1"/>
    <col min="3854" max="3854" width="14.5703125" customWidth="1"/>
    <col min="3855" max="3855" width="14.140625" customWidth="1"/>
    <col min="3856" max="3856" width="13.42578125" customWidth="1"/>
    <col min="3857" max="3857" width="14.85546875" customWidth="1"/>
    <col min="3858" max="3868" width="14.28515625" customWidth="1"/>
    <col min="3869" max="3872" width="0" hidden="1" customWidth="1"/>
    <col min="3873" max="3873" width="11.28515625" customWidth="1"/>
    <col min="3874" max="3874" width="9.42578125" bestFit="1" customWidth="1"/>
    <col min="3875" max="3875" width="12.42578125" bestFit="1" customWidth="1"/>
    <col min="3876" max="3878" width="10.85546875" bestFit="1" customWidth="1"/>
    <col min="3879" max="3879" width="9.85546875" bestFit="1" customWidth="1"/>
    <col min="4097" max="4097" width="0.7109375" customWidth="1"/>
    <col min="4098" max="4098" width="10.5703125" customWidth="1"/>
    <col min="4099" max="4099" width="46.42578125" customWidth="1"/>
    <col min="4100" max="4100" width="12.7109375" customWidth="1"/>
    <col min="4101" max="4109" width="0" hidden="1" customWidth="1"/>
    <col min="4110" max="4110" width="14.5703125" customWidth="1"/>
    <col min="4111" max="4111" width="14.140625" customWidth="1"/>
    <col min="4112" max="4112" width="13.42578125" customWidth="1"/>
    <col min="4113" max="4113" width="14.85546875" customWidth="1"/>
    <col min="4114" max="4124" width="14.28515625" customWidth="1"/>
    <col min="4125" max="4128" width="0" hidden="1" customWidth="1"/>
    <col min="4129" max="4129" width="11.28515625" customWidth="1"/>
    <col min="4130" max="4130" width="9.42578125" bestFit="1" customWidth="1"/>
    <col min="4131" max="4131" width="12.42578125" bestFit="1" customWidth="1"/>
    <col min="4132" max="4134" width="10.85546875" bestFit="1" customWidth="1"/>
    <col min="4135" max="4135" width="9.85546875" bestFit="1" customWidth="1"/>
    <col min="4353" max="4353" width="0.7109375" customWidth="1"/>
    <col min="4354" max="4354" width="10.5703125" customWidth="1"/>
    <col min="4355" max="4355" width="46.42578125" customWidth="1"/>
    <col min="4356" max="4356" width="12.7109375" customWidth="1"/>
    <col min="4357" max="4365" width="0" hidden="1" customWidth="1"/>
    <col min="4366" max="4366" width="14.5703125" customWidth="1"/>
    <col min="4367" max="4367" width="14.140625" customWidth="1"/>
    <col min="4368" max="4368" width="13.42578125" customWidth="1"/>
    <col min="4369" max="4369" width="14.85546875" customWidth="1"/>
    <col min="4370" max="4380" width="14.28515625" customWidth="1"/>
    <col min="4381" max="4384" width="0" hidden="1" customWidth="1"/>
    <col min="4385" max="4385" width="11.28515625" customWidth="1"/>
    <col min="4386" max="4386" width="9.42578125" bestFit="1" customWidth="1"/>
    <col min="4387" max="4387" width="12.42578125" bestFit="1" customWidth="1"/>
    <col min="4388" max="4390" width="10.85546875" bestFit="1" customWidth="1"/>
    <col min="4391" max="4391" width="9.85546875" bestFit="1" customWidth="1"/>
    <col min="4609" max="4609" width="0.7109375" customWidth="1"/>
    <col min="4610" max="4610" width="10.5703125" customWidth="1"/>
    <col min="4611" max="4611" width="46.42578125" customWidth="1"/>
    <col min="4612" max="4612" width="12.7109375" customWidth="1"/>
    <col min="4613" max="4621" width="0" hidden="1" customWidth="1"/>
    <col min="4622" max="4622" width="14.5703125" customWidth="1"/>
    <col min="4623" max="4623" width="14.140625" customWidth="1"/>
    <col min="4624" max="4624" width="13.42578125" customWidth="1"/>
    <col min="4625" max="4625" width="14.85546875" customWidth="1"/>
    <col min="4626" max="4636" width="14.28515625" customWidth="1"/>
    <col min="4637" max="4640" width="0" hidden="1" customWidth="1"/>
    <col min="4641" max="4641" width="11.28515625" customWidth="1"/>
    <col min="4642" max="4642" width="9.42578125" bestFit="1" customWidth="1"/>
    <col min="4643" max="4643" width="12.42578125" bestFit="1" customWidth="1"/>
    <col min="4644" max="4646" width="10.85546875" bestFit="1" customWidth="1"/>
    <col min="4647" max="4647" width="9.85546875" bestFit="1" customWidth="1"/>
    <col min="4865" max="4865" width="0.7109375" customWidth="1"/>
    <col min="4866" max="4866" width="10.5703125" customWidth="1"/>
    <col min="4867" max="4867" width="46.42578125" customWidth="1"/>
    <col min="4868" max="4868" width="12.7109375" customWidth="1"/>
    <col min="4869" max="4877" width="0" hidden="1" customWidth="1"/>
    <col min="4878" max="4878" width="14.5703125" customWidth="1"/>
    <col min="4879" max="4879" width="14.140625" customWidth="1"/>
    <col min="4880" max="4880" width="13.42578125" customWidth="1"/>
    <col min="4881" max="4881" width="14.85546875" customWidth="1"/>
    <col min="4882" max="4892" width="14.28515625" customWidth="1"/>
    <col min="4893" max="4896" width="0" hidden="1" customWidth="1"/>
    <col min="4897" max="4897" width="11.28515625" customWidth="1"/>
    <col min="4898" max="4898" width="9.42578125" bestFit="1" customWidth="1"/>
    <col min="4899" max="4899" width="12.42578125" bestFit="1" customWidth="1"/>
    <col min="4900" max="4902" width="10.85546875" bestFit="1" customWidth="1"/>
    <col min="4903" max="4903" width="9.85546875" bestFit="1" customWidth="1"/>
    <col min="5121" max="5121" width="0.7109375" customWidth="1"/>
    <col min="5122" max="5122" width="10.5703125" customWidth="1"/>
    <col min="5123" max="5123" width="46.42578125" customWidth="1"/>
    <col min="5124" max="5124" width="12.7109375" customWidth="1"/>
    <col min="5125" max="5133" width="0" hidden="1" customWidth="1"/>
    <col min="5134" max="5134" width="14.5703125" customWidth="1"/>
    <col min="5135" max="5135" width="14.140625" customWidth="1"/>
    <col min="5136" max="5136" width="13.42578125" customWidth="1"/>
    <col min="5137" max="5137" width="14.85546875" customWidth="1"/>
    <col min="5138" max="5148" width="14.28515625" customWidth="1"/>
    <col min="5149" max="5152" width="0" hidden="1" customWidth="1"/>
    <col min="5153" max="5153" width="11.28515625" customWidth="1"/>
    <col min="5154" max="5154" width="9.42578125" bestFit="1" customWidth="1"/>
    <col min="5155" max="5155" width="12.42578125" bestFit="1" customWidth="1"/>
    <col min="5156" max="5158" width="10.85546875" bestFit="1" customWidth="1"/>
    <col min="5159" max="5159" width="9.85546875" bestFit="1" customWidth="1"/>
    <col min="5377" max="5377" width="0.7109375" customWidth="1"/>
    <col min="5378" max="5378" width="10.5703125" customWidth="1"/>
    <col min="5379" max="5379" width="46.42578125" customWidth="1"/>
    <col min="5380" max="5380" width="12.7109375" customWidth="1"/>
    <col min="5381" max="5389" width="0" hidden="1" customWidth="1"/>
    <col min="5390" max="5390" width="14.5703125" customWidth="1"/>
    <col min="5391" max="5391" width="14.140625" customWidth="1"/>
    <col min="5392" max="5392" width="13.42578125" customWidth="1"/>
    <col min="5393" max="5393" width="14.85546875" customWidth="1"/>
    <col min="5394" max="5404" width="14.28515625" customWidth="1"/>
    <col min="5405" max="5408" width="0" hidden="1" customWidth="1"/>
    <col min="5409" max="5409" width="11.28515625" customWidth="1"/>
    <col min="5410" max="5410" width="9.42578125" bestFit="1" customWidth="1"/>
    <col min="5411" max="5411" width="12.42578125" bestFit="1" customWidth="1"/>
    <col min="5412" max="5414" width="10.85546875" bestFit="1" customWidth="1"/>
    <col min="5415" max="5415" width="9.85546875" bestFit="1" customWidth="1"/>
    <col min="5633" max="5633" width="0.7109375" customWidth="1"/>
    <col min="5634" max="5634" width="10.5703125" customWidth="1"/>
    <col min="5635" max="5635" width="46.42578125" customWidth="1"/>
    <col min="5636" max="5636" width="12.7109375" customWidth="1"/>
    <col min="5637" max="5645" width="0" hidden="1" customWidth="1"/>
    <col min="5646" max="5646" width="14.5703125" customWidth="1"/>
    <col min="5647" max="5647" width="14.140625" customWidth="1"/>
    <col min="5648" max="5648" width="13.42578125" customWidth="1"/>
    <col min="5649" max="5649" width="14.85546875" customWidth="1"/>
    <col min="5650" max="5660" width="14.28515625" customWidth="1"/>
    <col min="5661" max="5664" width="0" hidden="1" customWidth="1"/>
    <col min="5665" max="5665" width="11.28515625" customWidth="1"/>
    <col min="5666" max="5666" width="9.42578125" bestFit="1" customWidth="1"/>
    <col min="5667" max="5667" width="12.42578125" bestFit="1" customWidth="1"/>
    <col min="5668" max="5670" width="10.85546875" bestFit="1" customWidth="1"/>
    <col min="5671" max="5671" width="9.85546875" bestFit="1" customWidth="1"/>
    <col min="5889" max="5889" width="0.7109375" customWidth="1"/>
    <col min="5890" max="5890" width="10.5703125" customWidth="1"/>
    <col min="5891" max="5891" width="46.42578125" customWidth="1"/>
    <col min="5892" max="5892" width="12.7109375" customWidth="1"/>
    <col min="5893" max="5901" width="0" hidden="1" customWidth="1"/>
    <col min="5902" max="5902" width="14.5703125" customWidth="1"/>
    <col min="5903" max="5903" width="14.140625" customWidth="1"/>
    <col min="5904" max="5904" width="13.42578125" customWidth="1"/>
    <col min="5905" max="5905" width="14.85546875" customWidth="1"/>
    <col min="5906" max="5916" width="14.28515625" customWidth="1"/>
    <col min="5917" max="5920" width="0" hidden="1" customWidth="1"/>
    <col min="5921" max="5921" width="11.28515625" customWidth="1"/>
    <col min="5922" max="5922" width="9.42578125" bestFit="1" customWidth="1"/>
    <col min="5923" max="5923" width="12.42578125" bestFit="1" customWidth="1"/>
    <col min="5924" max="5926" width="10.85546875" bestFit="1" customWidth="1"/>
    <col min="5927" max="5927" width="9.85546875" bestFit="1" customWidth="1"/>
    <col min="6145" max="6145" width="0.7109375" customWidth="1"/>
    <col min="6146" max="6146" width="10.5703125" customWidth="1"/>
    <col min="6147" max="6147" width="46.42578125" customWidth="1"/>
    <col min="6148" max="6148" width="12.7109375" customWidth="1"/>
    <col min="6149" max="6157" width="0" hidden="1" customWidth="1"/>
    <col min="6158" max="6158" width="14.5703125" customWidth="1"/>
    <col min="6159" max="6159" width="14.140625" customWidth="1"/>
    <col min="6160" max="6160" width="13.42578125" customWidth="1"/>
    <col min="6161" max="6161" width="14.85546875" customWidth="1"/>
    <col min="6162" max="6172" width="14.28515625" customWidth="1"/>
    <col min="6173" max="6176" width="0" hidden="1" customWidth="1"/>
    <col min="6177" max="6177" width="11.28515625" customWidth="1"/>
    <col min="6178" max="6178" width="9.42578125" bestFit="1" customWidth="1"/>
    <col min="6179" max="6179" width="12.42578125" bestFit="1" customWidth="1"/>
    <col min="6180" max="6182" width="10.85546875" bestFit="1" customWidth="1"/>
    <col min="6183" max="6183" width="9.85546875" bestFit="1" customWidth="1"/>
    <col min="6401" max="6401" width="0.7109375" customWidth="1"/>
    <col min="6402" max="6402" width="10.5703125" customWidth="1"/>
    <col min="6403" max="6403" width="46.42578125" customWidth="1"/>
    <col min="6404" max="6404" width="12.7109375" customWidth="1"/>
    <col min="6405" max="6413" width="0" hidden="1" customWidth="1"/>
    <col min="6414" max="6414" width="14.5703125" customWidth="1"/>
    <col min="6415" max="6415" width="14.140625" customWidth="1"/>
    <col min="6416" max="6416" width="13.42578125" customWidth="1"/>
    <col min="6417" max="6417" width="14.85546875" customWidth="1"/>
    <col min="6418" max="6428" width="14.28515625" customWidth="1"/>
    <col min="6429" max="6432" width="0" hidden="1" customWidth="1"/>
    <col min="6433" max="6433" width="11.28515625" customWidth="1"/>
    <col min="6434" max="6434" width="9.42578125" bestFit="1" customWidth="1"/>
    <col min="6435" max="6435" width="12.42578125" bestFit="1" customWidth="1"/>
    <col min="6436" max="6438" width="10.85546875" bestFit="1" customWidth="1"/>
    <col min="6439" max="6439" width="9.85546875" bestFit="1" customWidth="1"/>
    <col min="6657" max="6657" width="0.7109375" customWidth="1"/>
    <col min="6658" max="6658" width="10.5703125" customWidth="1"/>
    <col min="6659" max="6659" width="46.42578125" customWidth="1"/>
    <col min="6660" max="6660" width="12.7109375" customWidth="1"/>
    <col min="6661" max="6669" width="0" hidden="1" customWidth="1"/>
    <col min="6670" max="6670" width="14.5703125" customWidth="1"/>
    <col min="6671" max="6671" width="14.140625" customWidth="1"/>
    <col min="6672" max="6672" width="13.42578125" customWidth="1"/>
    <col min="6673" max="6673" width="14.85546875" customWidth="1"/>
    <col min="6674" max="6684" width="14.28515625" customWidth="1"/>
    <col min="6685" max="6688" width="0" hidden="1" customWidth="1"/>
    <col min="6689" max="6689" width="11.28515625" customWidth="1"/>
    <col min="6690" max="6690" width="9.42578125" bestFit="1" customWidth="1"/>
    <col min="6691" max="6691" width="12.42578125" bestFit="1" customWidth="1"/>
    <col min="6692" max="6694" width="10.85546875" bestFit="1" customWidth="1"/>
    <col min="6695" max="6695" width="9.85546875" bestFit="1" customWidth="1"/>
    <col min="6913" max="6913" width="0.7109375" customWidth="1"/>
    <col min="6914" max="6914" width="10.5703125" customWidth="1"/>
    <col min="6915" max="6915" width="46.42578125" customWidth="1"/>
    <col min="6916" max="6916" width="12.7109375" customWidth="1"/>
    <col min="6917" max="6925" width="0" hidden="1" customWidth="1"/>
    <col min="6926" max="6926" width="14.5703125" customWidth="1"/>
    <col min="6927" max="6927" width="14.140625" customWidth="1"/>
    <col min="6928" max="6928" width="13.42578125" customWidth="1"/>
    <col min="6929" max="6929" width="14.85546875" customWidth="1"/>
    <col min="6930" max="6940" width="14.28515625" customWidth="1"/>
    <col min="6941" max="6944" width="0" hidden="1" customWidth="1"/>
    <col min="6945" max="6945" width="11.28515625" customWidth="1"/>
    <col min="6946" max="6946" width="9.42578125" bestFit="1" customWidth="1"/>
    <col min="6947" max="6947" width="12.42578125" bestFit="1" customWidth="1"/>
    <col min="6948" max="6950" width="10.85546875" bestFit="1" customWidth="1"/>
    <col min="6951" max="6951" width="9.85546875" bestFit="1" customWidth="1"/>
    <col min="7169" max="7169" width="0.7109375" customWidth="1"/>
    <col min="7170" max="7170" width="10.5703125" customWidth="1"/>
    <col min="7171" max="7171" width="46.42578125" customWidth="1"/>
    <col min="7172" max="7172" width="12.7109375" customWidth="1"/>
    <col min="7173" max="7181" width="0" hidden="1" customWidth="1"/>
    <col min="7182" max="7182" width="14.5703125" customWidth="1"/>
    <col min="7183" max="7183" width="14.140625" customWidth="1"/>
    <col min="7184" max="7184" width="13.42578125" customWidth="1"/>
    <col min="7185" max="7185" width="14.85546875" customWidth="1"/>
    <col min="7186" max="7196" width="14.28515625" customWidth="1"/>
    <col min="7197" max="7200" width="0" hidden="1" customWidth="1"/>
    <col min="7201" max="7201" width="11.28515625" customWidth="1"/>
    <col min="7202" max="7202" width="9.42578125" bestFit="1" customWidth="1"/>
    <col min="7203" max="7203" width="12.42578125" bestFit="1" customWidth="1"/>
    <col min="7204" max="7206" width="10.85546875" bestFit="1" customWidth="1"/>
    <col min="7207" max="7207" width="9.85546875" bestFit="1" customWidth="1"/>
    <col min="7425" max="7425" width="0.7109375" customWidth="1"/>
    <col min="7426" max="7426" width="10.5703125" customWidth="1"/>
    <col min="7427" max="7427" width="46.42578125" customWidth="1"/>
    <col min="7428" max="7428" width="12.7109375" customWidth="1"/>
    <col min="7429" max="7437" width="0" hidden="1" customWidth="1"/>
    <col min="7438" max="7438" width="14.5703125" customWidth="1"/>
    <col min="7439" max="7439" width="14.140625" customWidth="1"/>
    <col min="7440" max="7440" width="13.42578125" customWidth="1"/>
    <col min="7441" max="7441" width="14.85546875" customWidth="1"/>
    <col min="7442" max="7452" width="14.28515625" customWidth="1"/>
    <col min="7453" max="7456" width="0" hidden="1" customWidth="1"/>
    <col min="7457" max="7457" width="11.28515625" customWidth="1"/>
    <col min="7458" max="7458" width="9.42578125" bestFit="1" customWidth="1"/>
    <col min="7459" max="7459" width="12.42578125" bestFit="1" customWidth="1"/>
    <col min="7460" max="7462" width="10.85546875" bestFit="1" customWidth="1"/>
    <col min="7463" max="7463" width="9.85546875" bestFit="1" customWidth="1"/>
    <col min="7681" max="7681" width="0.7109375" customWidth="1"/>
    <col min="7682" max="7682" width="10.5703125" customWidth="1"/>
    <col min="7683" max="7683" width="46.42578125" customWidth="1"/>
    <col min="7684" max="7684" width="12.7109375" customWidth="1"/>
    <col min="7685" max="7693" width="0" hidden="1" customWidth="1"/>
    <col min="7694" max="7694" width="14.5703125" customWidth="1"/>
    <col min="7695" max="7695" width="14.140625" customWidth="1"/>
    <col min="7696" max="7696" width="13.42578125" customWidth="1"/>
    <col min="7697" max="7697" width="14.85546875" customWidth="1"/>
    <col min="7698" max="7708" width="14.28515625" customWidth="1"/>
    <col min="7709" max="7712" width="0" hidden="1" customWidth="1"/>
    <col min="7713" max="7713" width="11.28515625" customWidth="1"/>
    <col min="7714" max="7714" width="9.42578125" bestFit="1" customWidth="1"/>
    <col min="7715" max="7715" width="12.42578125" bestFit="1" customWidth="1"/>
    <col min="7716" max="7718" width="10.85546875" bestFit="1" customWidth="1"/>
    <col min="7719" max="7719" width="9.85546875" bestFit="1" customWidth="1"/>
    <col min="7937" max="7937" width="0.7109375" customWidth="1"/>
    <col min="7938" max="7938" width="10.5703125" customWidth="1"/>
    <col min="7939" max="7939" width="46.42578125" customWidth="1"/>
    <col min="7940" max="7940" width="12.7109375" customWidth="1"/>
    <col min="7941" max="7949" width="0" hidden="1" customWidth="1"/>
    <col min="7950" max="7950" width="14.5703125" customWidth="1"/>
    <col min="7951" max="7951" width="14.140625" customWidth="1"/>
    <col min="7952" max="7952" width="13.42578125" customWidth="1"/>
    <col min="7953" max="7953" width="14.85546875" customWidth="1"/>
    <col min="7954" max="7964" width="14.28515625" customWidth="1"/>
    <col min="7965" max="7968" width="0" hidden="1" customWidth="1"/>
    <col min="7969" max="7969" width="11.28515625" customWidth="1"/>
    <col min="7970" max="7970" width="9.42578125" bestFit="1" customWidth="1"/>
    <col min="7971" max="7971" width="12.42578125" bestFit="1" customWidth="1"/>
    <col min="7972" max="7974" width="10.85546875" bestFit="1" customWidth="1"/>
    <col min="7975" max="7975" width="9.85546875" bestFit="1" customWidth="1"/>
    <col min="8193" max="8193" width="0.7109375" customWidth="1"/>
    <col min="8194" max="8194" width="10.5703125" customWidth="1"/>
    <col min="8195" max="8195" width="46.42578125" customWidth="1"/>
    <col min="8196" max="8196" width="12.7109375" customWidth="1"/>
    <col min="8197" max="8205" width="0" hidden="1" customWidth="1"/>
    <col min="8206" max="8206" width="14.5703125" customWidth="1"/>
    <col min="8207" max="8207" width="14.140625" customWidth="1"/>
    <col min="8208" max="8208" width="13.42578125" customWidth="1"/>
    <col min="8209" max="8209" width="14.85546875" customWidth="1"/>
    <col min="8210" max="8220" width="14.28515625" customWidth="1"/>
    <col min="8221" max="8224" width="0" hidden="1" customWidth="1"/>
    <col min="8225" max="8225" width="11.28515625" customWidth="1"/>
    <col min="8226" max="8226" width="9.42578125" bestFit="1" customWidth="1"/>
    <col min="8227" max="8227" width="12.42578125" bestFit="1" customWidth="1"/>
    <col min="8228" max="8230" width="10.85546875" bestFit="1" customWidth="1"/>
    <col min="8231" max="8231" width="9.85546875" bestFit="1" customWidth="1"/>
    <col min="8449" max="8449" width="0.7109375" customWidth="1"/>
    <col min="8450" max="8450" width="10.5703125" customWidth="1"/>
    <col min="8451" max="8451" width="46.42578125" customWidth="1"/>
    <col min="8452" max="8452" width="12.7109375" customWidth="1"/>
    <col min="8453" max="8461" width="0" hidden="1" customWidth="1"/>
    <col min="8462" max="8462" width="14.5703125" customWidth="1"/>
    <col min="8463" max="8463" width="14.140625" customWidth="1"/>
    <col min="8464" max="8464" width="13.42578125" customWidth="1"/>
    <col min="8465" max="8465" width="14.85546875" customWidth="1"/>
    <col min="8466" max="8476" width="14.28515625" customWidth="1"/>
    <col min="8477" max="8480" width="0" hidden="1" customWidth="1"/>
    <col min="8481" max="8481" width="11.28515625" customWidth="1"/>
    <col min="8482" max="8482" width="9.42578125" bestFit="1" customWidth="1"/>
    <col min="8483" max="8483" width="12.42578125" bestFit="1" customWidth="1"/>
    <col min="8484" max="8486" width="10.85546875" bestFit="1" customWidth="1"/>
    <col min="8487" max="8487" width="9.85546875" bestFit="1" customWidth="1"/>
    <col min="8705" max="8705" width="0.7109375" customWidth="1"/>
    <col min="8706" max="8706" width="10.5703125" customWidth="1"/>
    <col min="8707" max="8707" width="46.42578125" customWidth="1"/>
    <col min="8708" max="8708" width="12.7109375" customWidth="1"/>
    <col min="8709" max="8717" width="0" hidden="1" customWidth="1"/>
    <col min="8718" max="8718" width="14.5703125" customWidth="1"/>
    <col min="8719" max="8719" width="14.140625" customWidth="1"/>
    <col min="8720" max="8720" width="13.42578125" customWidth="1"/>
    <col min="8721" max="8721" width="14.85546875" customWidth="1"/>
    <col min="8722" max="8732" width="14.28515625" customWidth="1"/>
    <col min="8733" max="8736" width="0" hidden="1" customWidth="1"/>
    <col min="8737" max="8737" width="11.28515625" customWidth="1"/>
    <col min="8738" max="8738" width="9.42578125" bestFit="1" customWidth="1"/>
    <col min="8739" max="8739" width="12.42578125" bestFit="1" customWidth="1"/>
    <col min="8740" max="8742" width="10.85546875" bestFit="1" customWidth="1"/>
    <col min="8743" max="8743" width="9.85546875" bestFit="1" customWidth="1"/>
    <col min="8961" max="8961" width="0.7109375" customWidth="1"/>
    <col min="8962" max="8962" width="10.5703125" customWidth="1"/>
    <col min="8963" max="8963" width="46.42578125" customWidth="1"/>
    <col min="8964" max="8964" width="12.7109375" customWidth="1"/>
    <col min="8965" max="8973" width="0" hidden="1" customWidth="1"/>
    <col min="8974" max="8974" width="14.5703125" customWidth="1"/>
    <col min="8975" max="8975" width="14.140625" customWidth="1"/>
    <col min="8976" max="8976" width="13.42578125" customWidth="1"/>
    <col min="8977" max="8977" width="14.85546875" customWidth="1"/>
    <col min="8978" max="8988" width="14.28515625" customWidth="1"/>
    <col min="8989" max="8992" width="0" hidden="1" customWidth="1"/>
    <col min="8993" max="8993" width="11.28515625" customWidth="1"/>
    <col min="8994" max="8994" width="9.42578125" bestFit="1" customWidth="1"/>
    <col min="8995" max="8995" width="12.42578125" bestFit="1" customWidth="1"/>
    <col min="8996" max="8998" width="10.85546875" bestFit="1" customWidth="1"/>
    <col min="8999" max="8999" width="9.85546875" bestFit="1" customWidth="1"/>
    <col min="9217" max="9217" width="0.7109375" customWidth="1"/>
    <col min="9218" max="9218" width="10.5703125" customWidth="1"/>
    <col min="9219" max="9219" width="46.42578125" customWidth="1"/>
    <col min="9220" max="9220" width="12.7109375" customWidth="1"/>
    <col min="9221" max="9229" width="0" hidden="1" customWidth="1"/>
    <col min="9230" max="9230" width="14.5703125" customWidth="1"/>
    <col min="9231" max="9231" width="14.140625" customWidth="1"/>
    <col min="9232" max="9232" width="13.42578125" customWidth="1"/>
    <col min="9233" max="9233" width="14.85546875" customWidth="1"/>
    <col min="9234" max="9244" width="14.28515625" customWidth="1"/>
    <col min="9245" max="9248" width="0" hidden="1" customWidth="1"/>
    <col min="9249" max="9249" width="11.28515625" customWidth="1"/>
    <col min="9250" max="9250" width="9.42578125" bestFit="1" customWidth="1"/>
    <col min="9251" max="9251" width="12.42578125" bestFit="1" customWidth="1"/>
    <col min="9252" max="9254" width="10.85546875" bestFit="1" customWidth="1"/>
    <col min="9255" max="9255" width="9.85546875" bestFit="1" customWidth="1"/>
    <col min="9473" max="9473" width="0.7109375" customWidth="1"/>
    <col min="9474" max="9474" width="10.5703125" customWidth="1"/>
    <col min="9475" max="9475" width="46.42578125" customWidth="1"/>
    <col min="9476" max="9476" width="12.7109375" customWidth="1"/>
    <col min="9477" max="9485" width="0" hidden="1" customWidth="1"/>
    <col min="9486" max="9486" width="14.5703125" customWidth="1"/>
    <col min="9487" max="9487" width="14.140625" customWidth="1"/>
    <col min="9488" max="9488" width="13.42578125" customWidth="1"/>
    <col min="9489" max="9489" width="14.85546875" customWidth="1"/>
    <col min="9490" max="9500" width="14.28515625" customWidth="1"/>
    <col min="9501" max="9504" width="0" hidden="1" customWidth="1"/>
    <col min="9505" max="9505" width="11.28515625" customWidth="1"/>
    <col min="9506" max="9506" width="9.42578125" bestFit="1" customWidth="1"/>
    <col min="9507" max="9507" width="12.42578125" bestFit="1" customWidth="1"/>
    <col min="9508" max="9510" width="10.85546875" bestFit="1" customWidth="1"/>
    <col min="9511" max="9511" width="9.85546875" bestFit="1" customWidth="1"/>
    <col min="9729" max="9729" width="0.7109375" customWidth="1"/>
    <col min="9730" max="9730" width="10.5703125" customWidth="1"/>
    <col min="9731" max="9731" width="46.42578125" customWidth="1"/>
    <col min="9732" max="9732" width="12.7109375" customWidth="1"/>
    <col min="9733" max="9741" width="0" hidden="1" customWidth="1"/>
    <col min="9742" max="9742" width="14.5703125" customWidth="1"/>
    <col min="9743" max="9743" width="14.140625" customWidth="1"/>
    <col min="9744" max="9744" width="13.42578125" customWidth="1"/>
    <col min="9745" max="9745" width="14.85546875" customWidth="1"/>
    <col min="9746" max="9756" width="14.28515625" customWidth="1"/>
    <col min="9757" max="9760" width="0" hidden="1" customWidth="1"/>
    <col min="9761" max="9761" width="11.28515625" customWidth="1"/>
    <col min="9762" max="9762" width="9.42578125" bestFit="1" customWidth="1"/>
    <col min="9763" max="9763" width="12.42578125" bestFit="1" customWidth="1"/>
    <col min="9764" max="9766" width="10.85546875" bestFit="1" customWidth="1"/>
    <col min="9767" max="9767" width="9.85546875" bestFit="1" customWidth="1"/>
    <col min="9985" max="9985" width="0.7109375" customWidth="1"/>
    <col min="9986" max="9986" width="10.5703125" customWidth="1"/>
    <col min="9987" max="9987" width="46.42578125" customWidth="1"/>
    <col min="9988" max="9988" width="12.7109375" customWidth="1"/>
    <col min="9989" max="9997" width="0" hidden="1" customWidth="1"/>
    <col min="9998" max="9998" width="14.5703125" customWidth="1"/>
    <col min="9999" max="9999" width="14.140625" customWidth="1"/>
    <col min="10000" max="10000" width="13.42578125" customWidth="1"/>
    <col min="10001" max="10001" width="14.85546875" customWidth="1"/>
    <col min="10002" max="10012" width="14.28515625" customWidth="1"/>
    <col min="10013" max="10016" width="0" hidden="1" customWidth="1"/>
    <col min="10017" max="10017" width="11.28515625" customWidth="1"/>
    <col min="10018" max="10018" width="9.42578125" bestFit="1" customWidth="1"/>
    <col min="10019" max="10019" width="12.42578125" bestFit="1" customWidth="1"/>
    <col min="10020" max="10022" width="10.85546875" bestFit="1" customWidth="1"/>
    <col min="10023" max="10023" width="9.85546875" bestFit="1" customWidth="1"/>
    <col min="10241" max="10241" width="0.7109375" customWidth="1"/>
    <col min="10242" max="10242" width="10.5703125" customWidth="1"/>
    <col min="10243" max="10243" width="46.42578125" customWidth="1"/>
    <col min="10244" max="10244" width="12.7109375" customWidth="1"/>
    <col min="10245" max="10253" width="0" hidden="1" customWidth="1"/>
    <col min="10254" max="10254" width="14.5703125" customWidth="1"/>
    <col min="10255" max="10255" width="14.140625" customWidth="1"/>
    <col min="10256" max="10256" width="13.42578125" customWidth="1"/>
    <col min="10257" max="10257" width="14.85546875" customWidth="1"/>
    <col min="10258" max="10268" width="14.28515625" customWidth="1"/>
    <col min="10269" max="10272" width="0" hidden="1" customWidth="1"/>
    <col min="10273" max="10273" width="11.28515625" customWidth="1"/>
    <col min="10274" max="10274" width="9.42578125" bestFit="1" customWidth="1"/>
    <col min="10275" max="10275" width="12.42578125" bestFit="1" customWidth="1"/>
    <col min="10276" max="10278" width="10.85546875" bestFit="1" customWidth="1"/>
    <col min="10279" max="10279" width="9.85546875" bestFit="1" customWidth="1"/>
    <col min="10497" max="10497" width="0.7109375" customWidth="1"/>
    <col min="10498" max="10498" width="10.5703125" customWidth="1"/>
    <col min="10499" max="10499" width="46.42578125" customWidth="1"/>
    <col min="10500" max="10500" width="12.7109375" customWidth="1"/>
    <col min="10501" max="10509" width="0" hidden="1" customWidth="1"/>
    <col min="10510" max="10510" width="14.5703125" customWidth="1"/>
    <col min="10511" max="10511" width="14.140625" customWidth="1"/>
    <col min="10512" max="10512" width="13.42578125" customWidth="1"/>
    <col min="10513" max="10513" width="14.85546875" customWidth="1"/>
    <col min="10514" max="10524" width="14.28515625" customWidth="1"/>
    <col min="10525" max="10528" width="0" hidden="1" customWidth="1"/>
    <col min="10529" max="10529" width="11.28515625" customWidth="1"/>
    <col min="10530" max="10530" width="9.42578125" bestFit="1" customWidth="1"/>
    <col min="10531" max="10531" width="12.42578125" bestFit="1" customWidth="1"/>
    <col min="10532" max="10534" width="10.85546875" bestFit="1" customWidth="1"/>
    <col min="10535" max="10535" width="9.85546875" bestFit="1" customWidth="1"/>
    <col min="10753" max="10753" width="0.7109375" customWidth="1"/>
    <col min="10754" max="10754" width="10.5703125" customWidth="1"/>
    <col min="10755" max="10755" width="46.42578125" customWidth="1"/>
    <col min="10756" max="10756" width="12.7109375" customWidth="1"/>
    <col min="10757" max="10765" width="0" hidden="1" customWidth="1"/>
    <col min="10766" max="10766" width="14.5703125" customWidth="1"/>
    <col min="10767" max="10767" width="14.140625" customWidth="1"/>
    <col min="10768" max="10768" width="13.42578125" customWidth="1"/>
    <col min="10769" max="10769" width="14.85546875" customWidth="1"/>
    <col min="10770" max="10780" width="14.28515625" customWidth="1"/>
    <col min="10781" max="10784" width="0" hidden="1" customWidth="1"/>
    <col min="10785" max="10785" width="11.28515625" customWidth="1"/>
    <col min="10786" max="10786" width="9.42578125" bestFit="1" customWidth="1"/>
    <col min="10787" max="10787" width="12.42578125" bestFit="1" customWidth="1"/>
    <col min="10788" max="10790" width="10.85546875" bestFit="1" customWidth="1"/>
    <col min="10791" max="10791" width="9.85546875" bestFit="1" customWidth="1"/>
    <col min="11009" max="11009" width="0.7109375" customWidth="1"/>
    <col min="11010" max="11010" width="10.5703125" customWidth="1"/>
    <col min="11011" max="11011" width="46.42578125" customWidth="1"/>
    <col min="11012" max="11012" width="12.7109375" customWidth="1"/>
    <col min="11013" max="11021" width="0" hidden="1" customWidth="1"/>
    <col min="11022" max="11022" width="14.5703125" customWidth="1"/>
    <col min="11023" max="11023" width="14.140625" customWidth="1"/>
    <col min="11024" max="11024" width="13.42578125" customWidth="1"/>
    <col min="11025" max="11025" width="14.85546875" customWidth="1"/>
    <col min="11026" max="11036" width="14.28515625" customWidth="1"/>
    <col min="11037" max="11040" width="0" hidden="1" customWidth="1"/>
    <col min="11041" max="11041" width="11.28515625" customWidth="1"/>
    <col min="11042" max="11042" width="9.42578125" bestFit="1" customWidth="1"/>
    <col min="11043" max="11043" width="12.42578125" bestFit="1" customWidth="1"/>
    <col min="11044" max="11046" width="10.85546875" bestFit="1" customWidth="1"/>
    <col min="11047" max="11047" width="9.85546875" bestFit="1" customWidth="1"/>
    <col min="11265" max="11265" width="0.7109375" customWidth="1"/>
    <col min="11266" max="11266" width="10.5703125" customWidth="1"/>
    <col min="11267" max="11267" width="46.42578125" customWidth="1"/>
    <col min="11268" max="11268" width="12.7109375" customWidth="1"/>
    <col min="11269" max="11277" width="0" hidden="1" customWidth="1"/>
    <col min="11278" max="11278" width="14.5703125" customWidth="1"/>
    <col min="11279" max="11279" width="14.140625" customWidth="1"/>
    <col min="11280" max="11280" width="13.42578125" customWidth="1"/>
    <col min="11281" max="11281" width="14.85546875" customWidth="1"/>
    <col min="11282" max="11292" width="14.28515625" customWidth="1"/>
    <col min="11293" max="11296" width="0" hidden="1" customWidth="1"/>
    <col min="11297" max="11297" width="11.28515625" customWidth="1"/>
    <col min="11298" max="11298" width="9.42578125" bestFit="1" customWidth="1"/>
    <col min="11299" max="11299" width="12.42578125" bestFit="1" customWidth="1"/>
    <col min="11300" max="11302" width="10.85546875" bestFit="1" customWidth="1"/>
    <col min="11303" max="11303" width="9.85546875" bestFit="1" customWidth="1"/>
    <col min="11521" max="11521" width="0.7109375" customWidth="1"/>
    <col min="11522" max="11522" width="10.5703125" customWidth="1"/>
    <col min="11523" max="11523" width="46.42578125" customWidth="1"/>
    <col min="11524" max="11524" width="12.7109375" customWidth="1"/>
    <col min="11525" max="11533" width="0" hidden="1" customWidth="1"/>
    <col min="11534" max="11534" width="14.5703125" customWidth="1"/>
    <col min="11535" max="11535" width="14.140625" customWidth="1"/>
    <col min="11536" max="11536" width="13.42578125" customWidth="1"/>
    <col min="11537" max="11537" width="14.85546875" customWidth="1"/>
    <col min="11538" max="11548" width="14.28515625" customWidth="1"/>
    <col min="11549" max="11552" width="0" hidden="1" customWidth="1"/>
    <col min="11553" max="11553" width="11.28515625" customWidth="1"/>
    <col min="11554" max="11554" width="9.42578125" bestFit="1" customWidth="1"/>
    <col min="11555" max="11555" width="12.42578125" bestFit="1" customWidth="1"/>
    <col min="11556" max="11558" width="10.85546875" bestFit="1" customWidth="1"/>
    <col min="11559" max="11559" width="9.85546875" bestFit="1" customWidth="1"/>
    <col min="11777" max="11777" width="0.7109375" customWidth="1"/>
    <col min="11778" max="11778" width="10.5703125" customWidth="1"/>
    <col min="11779" max="11779" width="46.42578125" customWidth="1"/>
    <col min="11780" max="11780" width="12.7109375" customWidth="1"/>
    <col min="11781" max="11789" width="0" hidden="1" customWidth="1"/>
    <col min="11790" max="11790" width="14.5703125" customWidth="1"/>
    <col min="11791" max="11791" width="14.140625" customWidth="1"/>
    <col min="11792" max="11792" width="13.42578125" customWidth="1"/>
    <col min="11793" max="11793" width="14.85546875" customWidth="1"/>
    <col min="11794" max="11804" width="14.28515625" customWidth="1"/>
    <col min="11805" max="11808" width="0" hidden="1" customWidth="1"/>
    <col min="11809" max="11809" width="11.28515625" customWidth="1"/>
    <col min="11810" max="11810" width="9.42578125" bestFit="1" customWidth="1"/>
    <col min="11811" max="11811" width="12.42578125" bestFit="1" customWidth="1"/>
    <col min="11812" max="11814" width="10.85546875" bestFit="1" customWidth="1"/>
    <col min="11815" max="11815" width="9.85546875" bestFit="1" customWidth="1"/>
    <col min="12033" max="12033" width="0.7109375" customWidth="1"/>
    <col min="12034" max="12034" width="10.5703125" customWidth="1"/>
    <col min="12035" max="12035" width="46.42578125" customWidth="1"/>
    <col min="12036" max="12036" width="12.7109375" customWidth="1"/>
    <col min="12037" max="12045" width="0" hidden="1" customWidth="1"/>
    <col min="12046" max="12046" width="14.5703125" customWidth="1"/>
    <col min="12047" max="12047" width="14.140625" customWidth="1"/>
    <col min="12048" max="12048" width="13.42578125" customWidth="1"/>
    <col min="12049" max="12049" width="14.85546875" customWidth="1"/>
    <col min="12050" max="12060" width="14.28515625" customWidth="1"/>
    <col min="12061" max="12064" width="0" hidden="1" customWidth="1"/>
    <col min="12065" max="12065" width="11.28515625" customWidth="1"/>
    <col min="12066" max="12066" width="9.42578125" bestFit="1" customWidth="1"/>
    <col min="12067" max="12067" width="12.42578125" bestFit="1" customWidth="1"/>
    <col min="12068" max="12070" width="10.85546875" bestFit="1" customWidth="1"/>
    <col min="12071" max="12071" width="9.85546875" bestFit="1" customWidth="1"/>
    <col min="12289" max="12289" width="0.7109375" customWidth="1"/>
    <col min="12290" max="12290" width="10.5703125" customWidth="1"/>
    <col min="12291" max="12291" width="46.42578125" customWidth="1"/>
    <col min="12292" max="12292" width="12.7109375" customWidth="1"/>
    <col min="12293" max="12301" width="0" hidden="1" customWidth="1"/>
    <col min="12302" max="12302" width="14.5703125" customWidth="1"/>
    <col min="12303" max="12303" width="14.140625" customWidth="1"/>
    <col min="12304" max="12304" width="13.42578125" customWidth="1"/>
    <col min="12305" max="12305" width="14.85546875" customWidth="1"/>
    <col min="12306" max="12316" width="14.28515625" customWidth="1"/>
    <col min="12317" max="12320" width="0" hidden="1" customWidth="1"/>
    <col min="12321" max="12321" width="11.28515625" customWidth="1"/>
    <col min="12322" max="12322" width="9.42578125" bestFit="1" customWidth="1"/>
    <col min="12323" max="12323" width="12.42578125" bestFit="1" customWidth="1"/>
    <col min="12324" max="12326" width="10.85546875" bestFit="1" customWidth="1"/>
    <col min="12327" max="12327" width="9.85546875" bestFit="1" customWidth="1"/>
    <col min="12545" max="12545" width="0.7109375" customWidth="1"/>
    <col min="12546" max="12546" width="10.5703125" customWidth="1"/>
    <col min="12547" max="12547" width="46.42578125" customWidth="1"/>
    <col min="12548" max="12548" width="12.7109375" customWidth="1"/>
    <col min="12549" max="12557" width="0" hidden="1" customWidth="1"/>
    <col min="12558" max="12558" width="14.5703125" customWidth="1"/>
    <col min="12559" max="12559" width="14.140625" customWidth="1"/>
    <col min="12560" max="12560" width="13.42578125" customWidth="1"/>
    <col min="12561" max="12561" width="14.85546875" customWidth="1"/>
    <col min="12562" max="12572" width="14.28515625" customWidth="1"/>
    <col min="12573" max="12576" width="0" hidden="1" customWidth="1"/>
    <col min="12577" max="12577" width="11.28515625" customWidth="1"/>
    <col min="12578" max="12578" width="9.42578125" bestFit="1" customWidth="1"/>
    <col min="12579" max="12579" width="12.42578125" bestFit="1" customWidth="1"/>
    <col min="12580" max="12582" width="10.85546875" bestFit="1" customWidth="1"/>
    <col min="12583" max="12583" width="9.85546875" bestFit="1" customWidth="1"/>
    <col min="12801" max="12801" width="0.7109375" customWidth="1"/>
    <col min="12802" max="12802" width="10.5703125" customWidth="1"/>
    <col min="12803" max="12803" width="46.42578125" customWidth="1"/>
    <col min="12804" max="12804" width="12.7109375" customWidth="1"/>
    <col min="12805" max="12813" width="0" hidden="1" customWidth="1"/>
    <col min="12814" max="12814" width="14.5703125" customWidth="1"/>
    <col min="12815" max="12815" width="14.140625" customWidth="1"/>
    <col min="12816" max="12816" width="13.42578125" customWidth="1"/>
    <col min="12817" max="12817" width="14.85546875" customWidth="1"/>
    <col min="12818" max="12828" width="14.28515625" customWidth="1"/>
    <col min="12829" max="12832" width="0" hidden="1" customWidth="1"/>
    <col min="12833" max="12833" width="11.28515625" customWidth="1"/>
    <col min="12834" max="12834" width="9.42578125" bestFit="1" customWidth="1"/>
    <col min="12835" max="12835" width="12.42578125" bestFit="1" customWidth="1"/>
    <col min="12836" max="12838" width="10.85546875" bestFit="1" customWidth="1"/>
    <col min="12839" max="12839" width="9.85546875" bestFit="1" customWidth="1"/>
    <col min="13057" max="13057" width="0.7109375" customWidth="1"/>
    <col min="13058" max="13058" width="10.5703125" customWidth="1"/>
    <col min="13059" max="13059" width="46.42578125" customWidth="1"/>
    <col min="13060" max="13060" width="12.7109375" customWidth="1"/>
    <col min="13061" max="13069" width="0" hidden="1" customWidth="1"/>
    <col min="13070" max="13070" width="14.5703125" customWidth="1"/>
    <col min="13071" max="13071" width="14.140625" customWidth="1"/>
    <col min="13072" max="13072" width="13.42578125" customWidth="1"/>
    <col min="13073" max="13073" width="14.85546875" customWidth="1"/>
    <col min="13074" max="13084" width="14.28515625" customWidth="1"/>
    <col min="13085" max="13088" width="0" hidden="1" customWidth="1"/>
    <col min="13089" max="13089" width="11.28515625" customWidth="1"/>
    <col min="13090" max="13090" width="9.42578125" bestFit="1" customWidth="1"/>
    <col min="13091" max="13091" width="12.42578125" bestFit="1" customWidth="1"/>
    <col min="13092" max="13094" width="10.85546875" bestFit="1" customWidth="1"/>
    <col min="13095" max="13095" width="9.85546875" bestFit="1" customWidth="1"/>
    <col min="13313" max="13313" width="0.7109375" customWidth="1"/>
    <col min="13314" max="13314" width="10.5703125" customWidth="1"/>
    <col min="13315" max="13315" width="46.42578125" customWidth="1"/>
    <col min="13316" max="13316" width="12.7109375" customWidth="1"/>
    <col min="13317" max="13325" width="0" hidden="1" customWidth="1"/>
    <col min="13326" max="13326" width="14.5703125" customWidth="1"/>
    <col min="13327" max="13327" width="14.140625" customWidth="1"/>
    <col min="13328" max="13328" width="13.42578125" customWidth="1"/>
    <col min="13329" max="13329" width="14.85546875" customWidth="1"/>
    <col min="13330" max="13340" width="14.28515625" customWidth="1"/>
    <col min="13341" max="13344" width="0" hidden="1" customWidth="1"/>
    <col min="13345" max="13345" width="11.28515625" customWidth="1"/>
    <col min="13346" max="13346" width="9.42578125" bestFit="1" customWidth="1"/>
    <col min="13347" max="13347" width="12.42578125" bestFit="1" customWidth="1"/>
    <col min="13348" max="13350" width="10.85546875" bestFit="1" customWidth="1"/>
    <col min="13351" max="13351" width="9.85546875" bestFit="1" customWidth="1"/>
    <col min="13569" max="13569" width="0.7109375" customWidth="1"/>
    <col min="13570" max="13570" width="10.5703125" customWidth="1"/>
    <col min="13571" max="13571" width="46.42578125" customWidth="1"/>
    <col min="13572" max="13572" width="12.7109375" customWidth="1"/>
    <col min="13573" max="13581" width="0" hidden="1" customWidth="1"/>
    <col min="13582" max="13582" width="14.5703125" customWidth="1"/>
    <col min="13583" max="13583" width="14.140625" customWidth="1"/>
    <col min="13584" max="13584" width="13.42578125" customWidth="1"/>
    <col min="13585" max="13585" width="14.85546875" customWidth="1"/>
    <col min="13586" max="13596" width="14.28515625" customWidth="1"/>
    <col min="13597" max="13600" width="0" hidden="1" customWidth="1"/>
    <col min="13601" max="13601" width="11.28515625" customWidth="1"/>
    <col min="13602" max="13602" width="9.42578125" bestFit="1" customWidth="1"/>
    <col min="13603" max="13603" width="12.42578125" bestFit="1" customWidth="1"/>
    <col min="13604" max="13606" width="10.85546875" bestFit="1" customWidth="1"/>
    <col min="13607" max="13607" width="9.85546875" bestFit="1" customWidth="1"/>
    <col min="13825" max="13825" width="0.7109375" customWidth="1"/>
    <col min="13826" max="13826" width="10.5703125" customWidth="1"/>
    <col min="13827" max="13827" width="46.42578125" customWidth="1"/>
    <col min="13828" max="13828" width="12.7109375" customWidth="1"/>
    <col min="13829" max="13837" width="0" hidden="1" customWidth="1"/>
    <col min="13838" max="13838" width="14.5703125" customWidth="1"/>
    <col min="13839" max="13839" width="14.140625" customWidth="1"/>
    <col min="13840" max="13840" width="13.42578125" customWidth="1"/>
    <col min="13841" max="13841" width="14.85546875" customWidth="1"/>
    <col min="13842" max="13852" width="14.28515625" customWidth="1"/>
    <col min="13853" max="13856" width="0" hidden="1" customWidth="1"/>
    <col min="13857" max="13857" width="11.28515625" customWidth="1"/>
    <col min="13858" max="13858" width="9.42578125" bestFit="1" customWidth="1"/>
    <col min="13859" max="13859" width="12.42578125" bestFit="1" customWidth="1"/>
    <col min="13860" max="13862" width="10.85546875" bestFit="1" customWidth="1"/>
    <col min="13863" max="13863" width="9.85546875" bestFit="1" customWidth="1"/>
    <col min="14081" max="14081" width="0.7109375" customWidth="1"/>
    <col min="14082" max="14082" width="10.5703125" customWidth="1"/>
    <col min="14083" max="14083" width="46.42578125" customWidth="1"/>
    <col min="14084" max="14084" width="12.7109375" customWidth="1"/>
    <col min="14085" max="14093" width="0" hidden="1" customWidth="1"/>
    <col min="14094" max="14094" width="14.5703125" customWidth="1"/>
    <col min="14095" max="14095" width="14.140625" customWidth="1"/>
    <col min="14096" max="14096" width="13.42578125" customWidth="1"/>
    <col min="14097" max="14097" width="14.85546875" customWidth="1"/>
    <col min="14098" max="14108" width="14.28515625" customWidth="1"/>
    <col min="14109" max="14112" width="0" hidden="1" customWidth="1"/>
    <col min="14113" max="14113" width="11.28515625" customWidth="1"/>
    <col min="14114" max="14114" width="9.42578125" bestFit="1" customWidth="1"/>
    <col min="14115" max="14115" width="12.42578125" bestFit="1" customWidth="1"/>
    <col min="14116" max="14118" width="10.85546875" bestFit="1" customWidth="1"/>
    <col min="14119" max="14119" width="9.85546875" bestFit="1" customWidth="1"/>
    <col min="14337" max="14337" width="0.7109375" customWidth="1"/>
    <col min="14338" max="14338" width="10.5703125" customWidth="1"/>
    <col min="14339" max="14339" width="46.42578125" customWidth="1"/>
    <col min="14340" max="14340" width="12.7109375" customWidth="1"/>
    <col min="14341" max="14349" width="0" hidden="1" customWidth="1"/>
    <col min="14350" max="14350" width="14.5703125" customWidth="1"/>
    <col min="14351" max="14351" width="14.140625" customWidth="1"/>
    <col min="14352" max="14352" width="13.42578125" customWidth="1"/>
    <col min="14353" max="14353" width="14.85546875" customWidth="1"/>
    <col min="14354" max="14364" width="14.28515625" customWidth="1"/>
    <col min="14365" max="14368" width="0" hidden="1" customWidth="1"/>
    <col min="14369" max="14369" width="11.28515625" customWidth="1"/>
    <col min="14370" max="14370" width="9.42578125" bestFit="1" customWidth="1"/>
    <col min="14371" max="14371" width="12.42578125" bestFit="1" customWidth="1"/>
    <col min="14372" max="14374" width="10.85546875" bestFit="1" customWidth="1"/>
    <col min="14375" max="14375" width="9.85546875" bestFit="1" customWidth="1"/>
    <col min="14593" max="14593" width="0.7109375" customWidth="1"/>
    <col min="14594" max="14594" width="10.5703125" customWidth="1"/>
    <col min="14595" max="14595" width="46.42578125" customWidth="1"/>
    <col min="14596" max="14596" width="12.7109375" customWidth="1"/>
    <col min="14597" max="14605" width="0" hidden="1" customWidth="1"/>
    <col min="14606" max="14606" width="14.5703125" customWidth="1"/>
    <col min="14607" max="14607" width="14.140625" customWidth="1"/>
    <col min="14608" max="14608" width="13.42578125" customWidth="1"/>
    <col min="14609" max="14609" width="14.85546875" customWidth="1"/>
    <col min="14610" max="14620" width="14.28515625" customWidth="1"/>
    <col min="14621" max="14624" width="0" hidden="1" customWidth="1"/>
    <col min="14625" max="14625" width="11.28515625" customWidth="1"/>
    <col min="14626" max="14626" width="9.42578125" bestFit="1" customWidth="1"/>
    <col min="14627" max="14627" width="12.42578125" bestFit="1" customWidth="1"/>
    <col min="14628" max="14630" width="10.85546875" bestFit="1" customWidth="1"/>
    <col min="14631" max="14631" width="9.85546875" bestFit="1" customWidth="1"/>
    <col min="14849" max="14849" width="0.7109375" customWidth="1"/>
    <col min="14850" max="14850" width="10.5703125" customWidth="1"/>
    <col min="14851" max="14851" width="46.42578125" customWidth="1"/>
    <col min="14852" max="14852" width="12.7109375" customWidth="1"/>
    <col min="14853" max="14861" width="0" hidden="1" customWidth="1"/>
    <col min="14862" max="14862" width="14.5703125" customWidth="1"/>
    <col min="14863" max="14863" width="14.140625" customWidth="1"/>
    <col min="14864" max="14864" width="13.42578125" customWidth="1"/>
    <col min="14865" max="14865" width="14.85546875" customWidth="1"/>
    <col min="14866" max="14876" width="14.28515625" customWidth="1"/>
    <col min="14877" max="14880" width="0" hidden="1" customWidth="1"/>
    <col min="14881" max="14881" width="11.28515625" customWidth="1"/>
    <col min="14882" max="14882" width="9.42578125" bestFit="1" customWidth="1"/>
    <col min="14883" max="14883" width="12.42578125" bestFit="1" customWidth="1"/>
    <col min="14884" max="14886" width="10.85546875" bestFit="1" customWidth="1"/>
    <col min="14887" max="14887" width="9.85546875" bestFit="1" customWidth="1"/>
    <col min="15105" max="15105" width="0.7109375" customWidth="1"/>
    <col min="15106" max="15106" width="10.5703125" customWidth="1"/>
    <col min="15107" max="15107" width="46.42578125" customWidth="1"/>
    <col min="15108" max="15108" width="12.7109375" customWidth="1"/>
    <col min="15109" max="15117" width="0" hidden="1" customWidth="1"/>
    <col min="15118" max="15118" width="14.5703125" customWidth="1"/>
    <col min="15119" max="15119" width="14.140625" customWidth="1"/>
    <col min="15120" max="15120" width="13.42578125" customWidth="1"/>
    <col min="15121" max="15121" width="14.85546875" customWidth="1"/>
    <col min="15122" max="15132" width="14.28515625" customWidth="1"/>
    <col min="15133" max="15136" width="0" hidden="1" customWidth="1"/>
    <col min="15137" max="15137" width="11.28515625" customWidth="1"/>
    <col min="15138" max="15138" width="9.42578125" bestFit="1" customWidth="1"/>
    <col min="15139" max="15139" width="12.42578125" bestFit="1" customWidth="1"/>
    <col min="15140" max="15142" width="10.85546875" bestFit="1" customWidth="1"/>
    <col min="15143" max="15143" width="9.85546875" bestFit="1" customWidth="1"/>
    <col min="15361" max="15361" width="0.7109375" customWidth="1"/>
    <col min="15362" max="15362" width="10.5703125" customWidth="1"/>
    <col min="15363" max="15363" width="46.42578125" customWidth="1"/>
    <col min="15364" max="15364" width="12.7109375" customWidth="1"/>
    <col min="15365" max="15373" width="0" hidden="1" customWidth="1"/>
    <col min="15374" max="15374" width="14.5703125" customWidth="1"/>
    <col min="15375" max="15375" width="14.140625" customWidth="1"/>
    <col min="15376" max="15376" width="13.42578125" customWidth="1"/>
    <col min="15377" max="15377" width="14.85546875" customWidth="1"/>
    <col min="15378" max="15388" width="14.28515625" customWidth="1"/>
    <col min="15389" max="15392" width="0" hidden="1" customWidth="1"/>
    <col min="15393" max="15393" width="11.28515625" customWidth="1"/>
    <col min="15394" max="15394" width="9.42578125" bestFit="1" customWidth="1"/>
    <col min="15395" max="15395" width="12.42578125" bestFit="1" customWidth="1"/>
    <col min="15396" max="15398" width="10.85546875" bestFit="1" customWidth="1"/>
    <col min="15399" max="15399" width="9.85546875" bestFit="1" customWidth="1"/>
    <col min="15617" max="15617" width="0.7109375" customWidth="1"/>
    <col min="15618" max="15618" width="10.5703125" customWidth="1"/>
    <col min="15619" max="15619" width="46.42578125" customWidth="1"/>
    <col min="15620" max="15620" width="12.7109375" customWidth="1"/>
    <col min="15621" max="15629" width="0" hidden="1" customWidth="1"/>
    <col min="15630" max="15630" width="14.5703125" customWidth="1"/>
    <col min="15631" max="15631" width="14.140625" customWidth="1"/>
    <col min="15632" max="15632" width="13.42578125" customWidth="1"/>
    <col min="15633" max="15633" width="14.85546875" customWidth="1"/>
    <col min="15634" max="15644" width="14.28515625" customWidth="1"/>
    <col min="15645" max="15648" width="0" hidden="1" customWidth="1"/>
    <col min="15649" max="15649" width="11.28515625" customWidth="1"/>
    <col min="15650" max="15650" width="9.42578125" bestFit="1" customWidth="1"/>
    <col min="15651" max="15651" width="12.42578125" bestFit="1" customWidth="1"/>
    <col min="15652" max="15654" width="10.85546875" bestFit="1" customWidth="1"/>
    <col min="15655" max="15655" width="9.85546875" bestFit="1" customWidth="1"/>
    <col min="15873" max="15873" width="0.7109375" customWidth="1"/>
    <col min="15874" max="15874" width="10.5703125" customWidth="1"/>
    <col min="15875" max="15875" width="46.42578125" customWidth="1"/>
    <col min="15876" max="15876" width="12.7109375" customWidth="1"/>
    <col min="15877" max="15885" width="0" hidden="1" customWidth="1"/>
    <col min="15886" max="15886" width="14.5703125" customWidth="1"/>
    <col min="15887" max="15887" width="14.140625" customWidth="1"/>
    <col min="15888" max="15888" width="13.42578125" customWidth="1"/>
    <col min="15889" max="15889" width="14.85546875" customWidth="1"/>
    <col min="15890" max="15900" width="14.28515625" customWidth="1"/>
    <col min="15901" max="15904" width="0" hidden="1" customWidth="1"/>
    <col min="15905" max="15905" width="11.28515625" customWidth="1"/>
    <col min="15906" max="15906" width="9.42578125" bestFit="1" customWidth="1"/>
    <col min="15907" max="15907" width="12.42578125" bestFit="1" customWidth="1"/>
    <col min="15908" max="15910" width="10.85546875" bestFit="1" customWidth="1"/>
    <col min="15911" max="15911" width="9.85546875" bestFit="1" customWidth="1"/>
    <col min="16129" max="16129" width="0.7109375" customWidth="1"/>
    <col min="16130" max="16130" width="10.5703125" customWidth="1"/>
    <col min="16131" max="16131" width="46.42578125" customWidth="1"/>
    <col min="16132" max="16132" width="12.7109375" customWidth="1"/>
    <col min="16133" max="16141" width="0" hidden="1" customWidth="1"/>
    <col min="16142" max="16142" width="14.5703125" customWidth="1"/>
    <col min="16143" max="16143" width="14.140625" customWidth="1"/>
    <col min="16144" max="16144" width="13.42578125" customWidth="1"/>
    <col min="16145" max="16145" width="14.85546875" customWidth="1"/>
    <col min="16146" max="16156" width="14.28515625" customWidth="1"/>
    <col min="16157" max="16160" width="0" hidden="1" customWidth="1"/>
    <col min="16161" max="16161" width="11.28515625" customWidth="1"/>
    <col min="16162" max="16162" width="9.42578125" bestFit="1" customWidth="1"/>
    <col min="16163" max="16163" width="12.42578125" bestFit="1" customWidth="1"/>
    <col min="16164" max="16166" width="10.85546875" bestFit="1" customWidth="1"/>
    <col min="16167" max="16167" width="9.85546875" bestFit="1" customWidth="1"/>
  </cols>
  <sheetData>
    <row r="1" spans="1:38" ht="42.75" customHeight="1" thickBot="1">
      <c r="A1" s="2220"/>
      <c r="C1" s="3330" t="s">
        <v>15203</v>
      </c>
      <c r="D1" s="3331"/>
      <c r="E1" s="3332" t="s">
        <v>14964</v>
      </c>
      <c r="F1" s="3333"/>
      <c r="G1" s="3333"/>
      <c r="H1" s="3333"/>
      <c r="I1" s="3333"/>
      <c r="J1" s="3333"/>
      <c r="K1" s="3333"/>
      <c r="L1" s="3333"/>
      <c r="M1" s="3334"/>
      <c r="N1" s="3335" t="s">
        <v>15204</v>
      </c>
      <c r="O1" s="3336"/>
      <c r="P1" s="3336"/>
      <c r="Q1" s="3336"/>
      <c r="R1" s="3336"/>
      <c r="S1" s="3336"/>
      <c r="T1" s="3336"/>
      <c r="U1" s="3336"/>
      <c r="V1" s="3337"/>
      <c r="W1" s="2901"/>
      <c r="X1" s="2901"/>
      <c r="Y1" s="2902"/>
      <c r="Z1" s="2902"/>
      <c r="AA1" s="2902"/>
      <c r="AB1" s="2902"/>
    </row>
    <row r="2" spans="1:38" s="2218" customFormat="1" ht="30.75" customHeight="1">
      <c r="B2" s="3338" t="s">
        <v>665</v>
      </c>
      <c r="C2" s="3340" t="s">
        <v>1306</v>
      </c>
      <c r="D2" s="3342" t="s">
        <v>1307</v>
      </c>
      <c r="E2" s="2829">
        <v>2020</v>
      </c>
      <c r="F2" s="2830"/>
      <c r="G2" s="2830"/>
      <c r="H2" s="2830">
        <v>2021</v>
      </c>
      <c r="I2" s="2830"/>
      <c r="J2" s="2830"/>
      <c r="K2" s="3345">
        <v>2022</v>
      </c>
      <c r="L2" s="3345"/>
      <c r="M2" s="3346"/>
      <c r="N2" s="3345" t="s">
        <v>15205</v>
      </c>
      <c r="O2" s="3345"/>
      <c r="P2" s="3346"/>
      <c r="Q2" s="3344" t="s">
        <v>15206</v>
      </c>
      <c r="R2" s="3345"/>
      <c r="S2" s="3347"/>
      <c r="T2" s="3344" t="s">
        <v>15207</v>
      </c>
      <c r="U2" s="3345"/>
      <c r="V2" s="3347"/>
      <c r="W2" s="3345" t="s">
        <v>15208</v>
      </c>
      <c r="X2" s="3345"/>
      <c r="Y2" s="3346"/>
      <c r="Z2" s="3344" t="s">
        <v>15209</v>
      </c>
      <c r="AA2" s="3345"/>
      <c r="AB2" s="3347"/>
      <c r="AC2" s="2113"/>
      <c r="AD2" s="2113"/>
      <c r="AE2" s="2113"/>
      <c r="AF2" s="2113"/>
      <c r="AG2" s="2113"/>
      <c r="AH2" s="2113"/>
      <c r="AI2" s="2113"/>
    </row>
    <row r="3" spans="1:38" s="2218" customFormat="1" ht="41.25" customHeight="1" thickBot="1">
      <c r="B3" s="3339"/>
      <c r="C3" s="3341"/>
      <c r="D3" s="3343"/>
      <c r="E3" s="2659" t="s">
        <v>14966</v>
      </c>
      <c r="F3" s="2660" t="s">
        <v>14967</v>
      </c>
      <c r="G3" s="2903" t="s">
        <v>1310</v>
      </c>
      <c r="H3" s="2660" t="s">
        <v>14968</v>
      </c>
      <c r="I3" s="2660" t="s">
        <v>14969</v>
      </c>
      <c r="J3" s="2903" t="s">
        <v>1310</v>
      </c>
      <c r="K3" s="2660" t="s">
        <v>14970</v>
      </c>
      <c r="L3" s="2660" t="s">
        <v>14971</v>
      </c>
      <c r="M3" s="2904" t="s">
        <v>1310</v>
      </c>
      <c r="N3" s="2905" t="s">
        <v>14972</v>
      </c>
      <c r="O3" s="2903" t="s">
        <v>14973</v>
      </c>
      <c r="P3" s="2906" t="s">
        <v>1310</v>
      </c>
      <c r="Q3" s="2907" t="s">
        <v>14972</v>
      </c>
      <c r="R3" s="2908" t="s">
        <v>14973</v>
      </c>
      <c r="S3" s="2904" t="s">
        <v>1310</v>
      </c>
      <c r="T3" s="2907" t="s">
        <v>14972</v>
      </c>
      <c r="U3" s="2908" t="s">
        <v>14973</v>
      </c>
      <c r="V3" s="2904" t="s">
        <v>1310</v>
      </c>
      <c r="W3" s="2905" t="s">
        <v>14972</v>
      </c>
      <c r="X3" s="2903" t="s">
        <v>14973</v>
      </c>
      <c r="Y3" s="2906" t="s">
        <v>1310</v>
      </c>
      <c r="Z3" s="2907" t="s">
        <v>14972</v>
      </c>
      <c r="AA3" s="2908" t="s">
        <v>14973</v>
      </c>
      <c r="AB3" s="2904" t="s">
        <v>1310</v>
      </c>
      <c r="AC3" s="2113"/>
      <c r="AD3" s="2113"/>
      <c r="AE3" s="2113"/>
      <c r="AF3" s="2113"/>
      <c r="AG3" s="2113"/>
      <c r="AH3" s="2113"/>
      <c r="AI3" s="2113"/>
    </row>
    <row r="4" spans="1:38" s="2218" customFormat="1" ht="25.5" customHeight="1" thickBot="1">
      <c r="B4" s="2909"/>
      <c r="C4" s="2910"/>
      <c r="D4" s="2911"/>
      <c r="E4" s="2232"/>
      <c r="F4" s="2219"/>
      <c r="G4" s="2219"/>
      <c r="H4" s="2219"/>
      <c r="I4" s="2219"/>
      <c r="J4" s="2219"/>
      <c r="K4" s="2219"/>
      <c r="L4" s="2219"/>
      <c r="M4" s="2234"/>
      <c r="N4" s="2232"/>
      <c r="O4" s="2233"/>
      <c r="P4" s="2234"/>
      <c r="Q4" s="2912"/>
      <c r="R4" s="2913"/>
      <c r="S4" s="2234"/>
      <c r="T4" s="2233"/>
      <c r="U4" s="2233"/>
      <c r="V4" s="2233"/>
      <c r="W4" s="2233"/>
      <c r="X4" s="2233"/>
      <c r="Y4" s="2233"/>
      <c r="Z4" s="2233"/>
      <c r="AA4" s="2233"/>
      <c r="AB4" s="2233"/>
      <c r="AC4" s="2113"/>
      <c r="AD4" s="2113"/>
      <c r="AE4" s="2113"/>
      <c r="AF4" s="2113"/>
      <c r="AG4" s="2113"/>
      <c r="AH4" s="2113"/>
      <c r="AI4" s="2113"/>
    </row>
    <row r="5" spans="1:38" s="2218" customFormat="1" ht="19.5" thickBot="1">
      <c r="A5" s="2235">
        <v>1</v>
      </c>
      <c r="B5" s="2236"/>
      <c r="C5" s="2237" t="s">
        <v>1311</v>
      </c>
      <c r="D5" s="2238"/>
      <c r="E5" s="2239">
        <f>E6+E237+E270+E271</f>
        <v>176723.91162067419</v>
      </c>
      <c r="F5" s="2239">
        <f>F6+F237+F270+F271</f>
        <v>182848.69235044767</v>
      </c>
      <c r="G5" s="2240">
        <f t="shared" ref="G5:G68" si="0">E5/2+F5/2</f>
        <v>179786.30198556092</v>
      </c>
      <c r="H5" s="2239">
        <f>H6+H237+H270+H271</f>
        <v>203165.42087310294</v>
      </c>
      <c r="I5" s="2239">
        <f>I6+I237+I270+I271</f>
        <v>211243.44423268124</v>
      </c>
      <c r="J5" s="2240">
        <f t="shared" ref="J5:J68" si="1">H5/2+I5/2</f>
        <v>207204.43255289207</v>
      </c>
      <c r="K5" s="2239">
        <f>K6+K237+K270+K271</f>
        <v>243656.34994886475</v>
      </c>
      <c r="L5" s="2239">
        <f>L6+L237+L270+L271</f>
        <v>252057.39665580131</v>
      </c>
      <c r="M5" s="2240">
        <f t="shared" ref="M5:M68" si="2">K5/2+L5/2</f>
        <v>247856.87330233303</v>
      </c>
      <c r="N5" s="2914">
        <f>N6+N237+N270+N271</f>
        <v>64172.381146104526</v>
      </c>
      <c r="O5" s="2897">
        <f>O6+O237+O270+O271</f>
        <v>246027.61003621208</v>
      </c>
      <c r="P5" s="2240">
        <f t="shared" ref="P5:P68" si="3">N5/2+O5/2</f>
        <v>155099.99559115831</v>
      </c>
      <c r="Q5" s="2914">
        <f>Q6+Q237+Q270+Q271</f>
        <v>228637.79451495476</v>
      </c>
      <c r="R5" s="2897">
        <f>R6+R237+R270+R271</f>
        <v>243766.60039339674</v>
      </c>
      <c r="S5" s="2240">
        <f t="shared" ref="S5:S68" si="4">Q5/2+R5/2</f>
        <v>236202.19745417574</v>
      </c>
      <c r="T5" s="2914">
        <f>T6+T237+T270+T271</f>
        <v>292435.17566105927</v>
      </c>
      <c r="U5" s="2897">
        <f>U6+U237+U270+U271</f>
        <v>489794.21042960882</v>
      </c>
      <c r="V5" s="2240">
        <f t="shared" ref="V5:V68" si="5">T5/2+U5/2</f>
        <v>391114.69304533408</v>
      </c>
      <c r="W5" s="2914">
        <f>W6+W237+W270+W271</f>
        <v>63713.158438162573</v>
      </c>
      <c r="X5" s="2897">
        <f>X6+X237+X270+X271</f>
        <v>69889.385870979982</v>
      </c>
      <c r="Y5" s="2240">
        <f t="shared" ref="Y5:Y65" si="6">W5/2+X5/2</f>
        <v>66801.272154571285</v>
      </c>
      <c r="Z5" s="2914">
        <f>Z6+Z237+Z270+Z271</f>
        <v>228722.01722289668</v>
      </c>
      <c r="AA5" s="2897">
        <f>AA6+AA237+AA270+AA271</f>
        <v>323168.67296387843</v>
      </c>
      <c r="AB5" s="2240">
        <f t="shared" ref="AB5:AB68" si="7">Z5/2+AA5/2</f>
        <v>275945.34509338753</v>
      </c>
      <c r="AC5" s="2114">
        <f t="shared" ref="AC5:AC21" si="8">Y5+AB5-V5</f>
        <v>-48368.075797375292</v>
      </c>
      <c r="AD5" s="2114">
        <f>AA5+X5</f>
        <v>393058.05883485841</v>
      </c>
      <c r="AE5" s="2114">
        <f>U5-AD5</f>
        <v>96736.151594750409</v>
      </c>
      <c r="AF5" s="2113"/>
      <c r="AG5" s="2113"/>
      <c r="AH5" s="2113"/>
      <c r="AI5" s="2114">
        <f>X5</f>
        <v>69889.385870979982</v>
      </c>
      <c r="AJ5" s="2593">
        <v>89999.37</v>
      </c>
      <c r="AK5" s="2593">
        <f>AJ5-18000</f>
        <v>71999.37</v>
      </c>
      <c r="AL5" s="2593">
        <f>AK5-AI5</f>
        <v>2109.9841290200129</v>
      </c>
    </row>
    <row r="6" spans="1:38" s="2218" customFormat="1" ht="27" customHeight="1">
      <c r="A6" s="2235">
        <v>253</v>
      </c>
      <c r="B6" s="2243"/>
      <c r="C6" s="2244" t="s">
        <v>1312</v>
      </c>
      <c r="D6" s="2245" t="s">
        <v>1313</v>
      </c>
      <c r="E6" s="2246">
        <f>E7+E235</f>
        <v>173614.42301887416</v>
      </c>
      <c r="F6" s="2247">
        <f>F7+F235</f>
        <v>179739.20374864765</v>
      </c>
      <c r="G6" s="2248">
        <f t="shared" si="0"/>
        <v>176676.81338376092</v>
      </c>
      <c r="H6" s="2247">
        <f>H7+H235</f>
        <v>199699.59891588308</v>
      </c>
      <c r="I6" s="2247">
        <f>I7+I235</f>
        <v>207777.62227546138</v>
      </c>
      <c r="J6" s="2248">
        <f t="shared" si="1"/>
        <v>203738.61059567222</v>
      </c>
      <c r="K6" s="2247">
        <f>K7+K235</f>
        <v>243525.72846006474</v>
      </c>
      <c r="L6" s="2247">
        <f>L7+L235</f>
        <v>251926.77516700129</v>
      </c>
      <c r="M6" s="2250">
        <f t="shared" si="2"/>
        <v>247726.25181353302</v>
      </c>
      <c r="N6" s="2246">
        <f>N7+N235</f>
        <v>64172.381146104526</v>
      </c>
      <c r="O6" s="2247">
        <f>O7+O235</f>
        <v>245887.58380021848</v>
      </c>
      <c r="P6" s="2250">
        <f t="shared" si="3"/>
        <v>155029.98247316151</v>
      </c>
      <c r="Q6" s="2246">
        <f>Q7+Q235</f>
        <v>221715.53741341326</v>
      </c>
      <c r="R6" s="2247">
        <f>R7+R235</f>
        <v>236345.94078054428</v>
      </c>
      <c r="S6" s="2250">
        <f t="shared" si="4"/>
        <v>229030.73909697877</v>
      </c>
      <c r="T6" s="2246">
        <f>T7+T235</f>
        <v>285887.91855951777</v>
      </c>
      <c r="U6" s="2247">
        <f>U7+U235</f>
        <v>482233.52458076272</v>
      </c>
      <c r="V6" s="2250">
        <f t="shared" si="5"/>
        <v>384060.72157014022</v>
      </c>
      <c r="W6" s="2246">
        <f>W7+W235</f>
        <v>62286.700666442994</v>
      </c>
      <c r="X6" s="2247">
        <f>X7+X235</f>
        <v>76592.131315163395</v>
      </c>
      <c r="Y6" s="2250">
        <f t="shared" si="6"/>
        <v>69439.415990803187</v>
      </c>
      <c r="Z6" s="2246">
        <f>Z7+Z235</f>
        <v>223601.21789307476</v>
      </c>
      <c r="AA6" s="2247">
        <f>AA7+AA235</f>
        <v>355955.24167084892</v>
      </c>
      <c r="AB6" s="2250">
        <f t="shared" si="7"/>
        <v>289778.22978196183</v>
      </c>
      <c r="AC6" s="2114">
        <f t="shared" si="8"/>
        <v>-24843.075797375175</v>
      </c>
      <c r="AD6" s="2114">
        <f>413171.37</f>
        <v>413171.37</v>
      </c>
      <c r="AE6" s="2114">
        <f>U236-X271-AA271</f>
        <v>74172.844196301565</v>
      </c>
      <c r="AF6" s="2113"/>
      <c r="AG6" s="2113"/>
      <c r="AH6" s="2113"/>
      <c r="AI6" s="2113"/>
    </row>
    <row r="7" spans="1:38" s="2218" customFormat="1" ht="25.5" customHeight="1">
      <c r="A7" s="2235">
        <v>252</v>
      </c>
      <c r="B7" s="2252">
        <v>1</v>
      </c>
      <c r="C7" s="2253" t="s">
        <v>1314</v>
      </c>
      <c r="D7" s="2254" t="s">
        <v>1313</v>
      </c>
      <c r="E7" s="2255">
        <f>E8+E124+E174</f>
        <v>154734.89831573766</v>
      </c>
      <c r="F7" s="2256">
        <f>F8+F124+F174</f>
        <v>160859.67904551115</v>
      </c>
      <c r="G7" s="2257">
        <f t="shared" si="0"/>
        <v>157797.28868062439</v>
      </c>
      <c r="H7" s="2256">
        <f>H8+H124+H174</f>
        <v>186087.21216992231</v>
      </c>
      <c r="I7" s="2256">
        <f>I8+I124+I174</f>
        <v>194165.23552950061</v>
      </c>
      <c r="J7" s="2257">
        <f t="shared" si="1"/>
        <v>190126.22384971147</v>
      </c>
      <c r="K7" s="2256">
        <f>K8+K124+K174</f>
        <v>200837.12065636681</v>
      </c>
      <c r="L7" s="2256">
        <f>L8+L124+L174</f>
        <v>209238.16736330336</v>
      </c>
      <c r="M7" s="2259">
        <f t="shared" si="2"/>
        <v>205037.64400983509</v>
      </c>
      <c r="N7" s="2255">
        <f>N8+N124+N174</f>
        <v>64172.381146104526</v>
      </c>
      <c r="O7" s="2256">
        <f>O8+O124+O174</f>
        <v>221108.80503680068</v>
      </c>
      <c r="P7" s="2259">
        <f t="shared" si="3"/>
        <v>142640.59309145261</v>
      </c>
      <c r="Q7" s="2255">
        <f>Q8+Q124+Q174</f>
        <v>219371.47198052949</v>
      </c>
      <c r="R7" s="2256">
        <f>R8+R124+R174</f>
        <v>234001.87534766051</v>
      </c>
      <c r="S7" s="2259">
        <f t="shared" si="4"/>
        <v>226686.673664095</v>
      </c>
      <c r="T7" s="2255">
        <f>T8+T124+T174</f>
        <v>283543.85312663403</v>
      </c>
      <c r="U7" s="2256">
        <f>U8+U124+U174</f>
        <v>455110.68038446119</v>
      </c>
      <c r="V7" s="2259">
        <f t="shared" si="5"/>
        <v>369327.26675554761</v>
      </c>
      <c r="W7" s="2255">
        <f>W8+W124+W174</f>
        <v>61775.996672037611</v>
      </c>
      <c r="X7" s="2256">
        <f>X8+X124+X174</f>
        <v>76592.131315163395</v>
      </c>
      <c r="Y7" s="2259">
        <f t="shared" si="6"/>
        <v>69184.063993600503</v>
      </c>
      <c r="Z7" s="2255">
        <f>Z8+Z124+Z174</f>
        <v>221767.85645459639</v>
      </c>
      <c r="AA7" s="2256">
        <f>AA8+AA124+AA174</f>
        <v>355955.24167084892</v>
      </c>
      <c r="AB7" s="2259">
        <f t="shared" si="7"/>
        <v>288861.54906272265</v>
      </c>
      <c r="AC7" s="2114">
        <f t="shared" si="8"/>
        <v>-11281.653699224466</v>
      </c>
      <c r="AD7" s="2114">
        <f>AD5-AD6</f>
        <v>-20113.311165141582</v>
      </c>
      <c r="AE7" s="2114"/>
      <c r="AF7" s="2113"/>
      <c r="AG7" s="2113"/>
      <c r="AH7" s="2113"/>
      <c r="AI7" s="2113"/>
    </row>
    <row r="8" spans="1:38" s="2218" customFormat="1" ht="26.25" customHeight="1" thickBot="1">
      <c r="A8" s="2235">
        <v>254</v>
      </c>
      <c r="B8" s="2261" t="s">
        <v>25</v>
      </c>
      <c r="C8" s="2262" t="s">
        <v>1315</v>
      </c>
      <c r="D8" s="2263" t="s">
        <v>1313</v>
      </c>
      <c r="E8" s="2264">
        <f>E9+E53+E68+E95</f>
        <v>88102.405084580809</v>
      </c>
      <c r="F8" s="2265">
        <f>F9+F53+F68+F95</f>
        <v>91012.756799079405</v>
      </c>
      <c r="G8" s="2266">
        <f t="shared" si="0"/>
        <v>89557.580941830107</v>
      </c>
      <c r="H8" s="2265">
        <f>H9+H53+H68+H95</f>
        <v>92028.828036314793</v>
      </c>
      <c r="I8" s="2265">
        <f>I9+I53+I68+I95</f>
        <v>95662.179875767513</v>
      </c>
      <c r="J8" s="2266">
        <f t="shared" si="1"/>
        <v>93845.503956041153</v>
      </c>
      <c r="K8" s="2265">
        <f>K9+K53+K68+K95</f>
        <v>100456.82692577262</v>
      </c>
      <c r="L8" s="2265">
        <f>L9+L53+L68+L95</f>
        <v>105004.22347206046</v>
      </c>
      <c r="M8" s="2268">
        <f t="shared" si="2"/>
        <v>102730.52519891654</v>
      </c>
      <c r="N8" s="2264">
        <f>N9+N53+N68+N95</f>
        <v>0</v>
      </c>
      <c r="O8" s="2265">
        <f>O9+O53+O68+O95</f>
        <v>123257.92699153602</v>
      </c>
      <c r="P8" s="2268">
        <f t="shared" si="3"/>
        <v>61628.96349576801</v>
      </c>
      <c r="Q8" s="2264">
        <f>Q9+Q53+Q68+Q95</f>
        <v>84480.692944802897</v>
      </c>
      <c r="R8" s="2265">
        <f>R9+R53+R68+R95</f>
        <v>90563.30283682872</v>
      </c>
      <c r="S8" s="2268">
        <f t="shared" si="4"/>
        <v>87521.997890815808</v>
      </c>
      <c r="T8" s="2264">
        <f>T9+T53+T68+T95</f>
        <v>84480.692944802897</v>
      </c>
      <c r="U8" s="2265">
        <f>U9+U53+U68+U95</f>
        <v>213821.22982836477</v>
      </c>
      <c r="V8" s="2268">
        <f t="shared" si="5"/>
        <v>149150.96138658383</v>
      </c>
      <c r="W8" s="2264">
        <f>W9+W53+W68+W95</f>
        <v>18405.897178376719</v>
      </c>
      <c r="X8" s="2265">
        <f>X9+X53+X68+X95</f>
        <v>46585.455606363459</v>
      </c>
      <c r="Y8" s="2268">
        <f t="shared" si="6"/>
        <v>32495.676392370089</v>
      </c>
      <c r="Z8" s="2264">
        <f>Z9+Z53+Z68+Z95</f>
        <v>66074.795766426178</v>
      </c>
      <c r="AA8" s="2265">
        <f>AA9+AA53+AA68+AA95</f>
        <v>167235.77422200126</v>
      </c>
      <c r="AB8" s="2268">
        <f t="shared" si="7"/>
        <v>116655.28499421373</v>
      </c>
      <c r="AC8" s="2114">
        <f t="shared" si="8"/>
        <v>0</v>
      </c>
      <c r="AD8" s="2114"/>
      <c r="AE8" s="2114"/>
      <c r="AF8" s="2113"/>
      <c r="AG8" s="2113"/>
      <c r="AH8" s="2113"/>
      <c r="AI8" s="2113"/>
    </row>
    <row r="9" spans="1:38" s="2218" customFormat="1" ht="30" customHeight="1" thickBot="1">
      <c r="A9" s="2235">
        <v>3</v>
      </c>
      <c r="B9" s="2270" t="s">
        <v>1132</v>
      </c>
      <c r="C9" s="2271" t="s">
        <v>1316</v>
      </c>
      <c r="D9" s="2272" t="s">
        <v>1317</v>
      </c>
      <c r="E9" s="2273">
        <f>E10+E29+E30+E42+E43+E46</f>
        <v>45924.704619167758</v>
      </c>
      <c r="F9" s="2273">
        <f>F10+F29+F30+F42+F43+F46</f>
        <v>47462.014781268517</v>
      </c>
      <c r="G9" s="2274">
        <f t="shared" si="0"/>
        <v>46693.359700218134</v>
      </c>
      <c r="H9" s="2275">
        <f>H10+H29+H30+H42+H43+H46</f>
        <v>50905.431576444484</v>
      </c>
      <c r="I9" s="2275">
        <f>I10+I29+I30+I42+I43+I46</f>
        <v>52564.36864060154</v>
      </c>
      <c r="J9" s="2274">
        <f t="shared" si="1"/>
        <v>51734.900108523012</v>
      </c>
      <c r="K9" s="2275">
        <f>K10+K29+K30+K42+K43+K46</f>
        <v>49207.875196936009</v>
      </c>
      <c r="L9" s="2275">
        <f>L10+L29+L30+L42+L43+L46</f>
        <v>51466.077380062321</v>
      </c>
      <c r="M9" s="2274">
        <f t="shared" si="2"/>
        <v>50336.976288499165</v>
      </c>
      <c r="N9" s="2273">
        <f>N10+N29+N30+N42+N43+N46</f>
        <v>0</v>
      </c>
      <c r="O9" s="2275">
        <f>O10+O29+O30+O42+O43+O46</f>
        <v>57440.393520501173</v>
      </c>
      <c r="P9" s="2274">
        <f t="shared" si="3"/>
        <v>28720.196760250587</v>
      </c>
      <c r="Q9" s="2273">
        <f>Q10+Q29+Q30+Q42+Q43+Q46</f>
        <v>18173.98980430335</v>
      </c>
      <c r="R9" s="2275">
        <f>R10+R29+R30+R42+R43+R46</f>
        <v>19482.517070213195</v>
      </c>
      <c r="S9" s="2274">
        <f t="shared" si="4"/>
        <v>18828.253437258274</v>
      </c>
      <c r="T9" s="2273">
        <f>T10+T29+T30+T42+T43+T46</f>
        <v>18173.98980430335</v>
      </c>
      <c r="U9" s="2275">
        <f>U10+U29+U30+U42+U43+U46</f>
        <v>76922.910590714368</v>
      </c>
      <c r="V9" s="2274">
        <f t="shared" si="5"/>
        <v>47548.450197508857</v>
      </c>
      <c r="W9" s="2273">
        <f>W10+W29+W30+W42+W43+W46</f>
        <v>3959.5862202199496</v>
      </c>
      <c r="X9" s="2275">
        <f>X10+X29+X30+X42+X43+X46</f>
        <v>16759.275210008251</v>
      </c>
      <c r="Y9" s="2274">
        <f t="shared" si="6"/>
        <v>10359.4307151141</v>
      </c>
      <c r="Z9" s="2273">
        <f>Z10+Z29+Z30+Z42+Z43+Z46</f>
        <v>14214.4035840834</v>
      </c>
      <c r="AA9" s="2275">
        <f>AA10+AA29+AA30+AA42+AA43+AA46</f>
        <v>60163.635380706117</v>
      </c>
      <c r="AB9" s="2274">
        <f t="shared" si="7"/>
        <v>37189.01948239476</v>
      </c>
      <c r="AC9" s="2114">
        <f t="shared" si="8"/>
        <v>0</v>
      </c>
      <c r="AD9" s="2114"/>
      <c r="AE9" s="2114"/>
      <c r="AF9" s="2113"/>
      <c r="AG9" s="2113"/>
      <c r="AH9" s="2113"/>
      <c r="AI9" s="2113"/>
    </row>
    <row r="10" spans="1:38" s="2218" customFormat="1" ht="38.25" customHeight="1">
      <c r="A10" s="2235">
        <v>4</v>
      </c>
      <c r="B10" s="2243" t="s">
        <v>1318</v>
      </c>
      <c r="C10" s="2278" t="s">
        <v>1319</v>
      </c>
      <c r="D10" s="2245" t="s">
        <v>1317</v>
      </c>
      <c r="E10" s="2246">
        <f>E11+E28</f>
        <v>9626.0352256285132</v>
      </c>
      <c r="F10" s="2246">
        <f>F11+F28</f>
        <v>9914.8162823973689</v>
      </c>
      <c r="G10" s="2248">
        <f t="shared" si="0"/>
        <v>9770.4257540129402</v>
      </c>
      <c r="H10" s="2246">
        <f>H11+H28</f>
        <v>10501.282501139882</v>
      </c>
      <c r="I10" s="2246">
        <f>I11+I28</f>
        <v>10879.328671180918</v>
      </c>
      <c r="J10" s="2248">
        <f t="shared" si="1"/>
        <v>10690.305586160401</v>
      </c>
      <c r="K10" s="2246">
        <f>K11+K28</f>
        <v>8253.18820751149</v>
      </c>
      <c r="L10" s="2246">
        <f>L11+L28</f>
        <v>8608.0753004344842</v>
      </c>
      <c r="M10" s="2250">
        <f t="shared" si="2"/>
        <v>8430.6317539729862</v>
      </c>
      <c r="N10" s="2465">
        <f>N11+N28</f>
        <v>0</v>
      </c>
      <c r="O10" s="2466">
        <f>O11+O28</f>
        <v>8532.5343928914772</v>
      </c>
      <c r="P10" s="2250">
        <f t="shared" si="3"/>
        <v>4266.2671964457386</v>
      </c>
      <c r="Q10" s="2465">
        <f>Q11+Q28</f>
        <v>5247.8634209322208</v>
      </c>
      <c r="R10" s="2466">
        <f>R11+R28</f>
        <v>5625.7095872393411</v>
      </c>
      <c r="S10" s="2268">
        <f t="shared" si="4"/>
        <v>5436.7865040857814</v>
      </c>
      <c r="T10" s="2465">
        <f>T11+T28</f>
        <v>5247.8634209322208</v>
      </c>
      <c r="U10" s="2466">
        <f>U11+U28</f>
        <v>14158.243980130819</v>
      </c>
      <c r="V10" s="2268">
        <f t="shared" si="5"/>
        <v>9703.05370053152</v>
      </c>
      <c r="W10" s="2465">
        <f>W11+W28</f>
        <v>1143.3575076728214</v>
      </c>
      <c r="X10" s="2466">
        <f>X11+X28</f>
        <v>3084.6714656439181</v>
      </c>
      <c r="Y10" s="2268">
        <f t="shared" si="6"/>
        <v>2114.0144866583696</v>
      </c>
      <c r="Z10" s="2465">
        <f>Z11+Z28</f>
        <v>4104.5059132593988</v>
      </c>
      <c r="AA10" s="2466">
        <f>AA11+AA28</f>
        <v>11073.572514486899</v>
      </c>
      <c r="AB10" s="2268">
        <f t="shared" si="7"/>
        <v>7589.0392138731495</v>
      </c>
      <c r="AC10" s="2114">
        <f t="shared" si="8"/>
        <v>0</v>
      </c>
      <c r="AD10" s="2114"/>
      <c r="AE10" s="2114"/>
      <c r="AF10" s="2113"/>
      <c r="AG10" s="2113"/>
      <c r="AH10" s="2113"/>
      <c r="AI10" s="2113"/>
    </row>
    <row r="11" spans="1:38" s="2218" customFormat="1" ht="25.5" customHeight="1">
      <c r="A11" s="2235">
        <v>317</v>
      </c>
      <c r="B11" s="2279" t="s">
        <v>1737</v>
      </c>
      <c r="C11" s="2280" t="s">
        <v>1738</v>
      </c>
      <c r="D11" s="2254"/>
      <c r="E11" s="2255">
        <f>E12+E15+E18+E21+E24+E27</f>
        <v>2290.0714998867807</v>
      </c>
      <c r="F11" s="2256">
        <f>F12+F15+F18+F21+F24+F27</f>
        <v>2358.7736448833839</v>
      </c>
      <c r="G11" s="2257">
        <f t="shared" si="0"/>
        <v>2324.4225723850823</v>
      </c>
      <c r="H11" s="2256">
        <f>H12+H15+H18+H21+H24+H27</f>
        <v>3193.9625306094304</v>
      </c>
      <c r="I11" s="2256">
        <f>I12+I15+I18+I21+I24+I27</f>
        <v>3308.94518171137</v>
      </c>
      <c r="J11" s="2257">
        <f t="shared" si="1"/>
        <v>3251.4538561604004</v>
      </c>
      <c r="K11" s="2256">
        <f>K12+K15+K18+K21+K24+K27</f>
        <v>3231.3525246921104</v>
      </c>
      <c r="L11" s="2256">
        <f>L12+L15+L18+L21+L24+L27</f>
        <v>3370.3006832538717</v>
      </c>
      <c r="M11" s="2259">
        <f t="shared" si="2"/>
        <v>3300.8266039729911</v>
      </c>
      <c r="N11" s="2255">
        <f>N12+N15+N18+N21+N24+N27</f>
        <v>0</v>
      </c>
      <c r="O11" s="2256">
        <f>O12+O15+O18+O21+O24+O27</f>
        <v>3829.7866005506876</v>
      </c>
      <c r="P11" s="2259">
        <f t="shared" si="3"/>
        <v>1914.8933002753438</v>
      </c>
      <c r="Q11" s="2255">
        <f>Q12+Q15+Q18+Q21+Q24+Q27</f>
        <v>1475.9072421804892</v>
      </c>
      <c r="R11" s="2256">
        <f>R12+R15+R18+R21+R24+R27</f>
        <v>1582.1725636174849</v>
      </c>
      <c r="S11" s="2268">
        <f t="shared" si="4"/>
        <v>1529.0399028989871</v>
      </c>
      <c r="T11" s="2255">
        <f>T12+T15+T18+T21+T24+T27</f>
        <v>1475.9072421804892</v>
      </c>
      <c r="U11" s="2256">
        <f>U12+U15+U18+U21+U24+U27</f>
        <v>5411.9591641681727</v>
      </c>
      <c r="V11" s="2268">
        <f t="shared" si="5"/>
        <v>3443.9332031743311</v>
      </c>
      <c r="W11" s="2255">
        <f>W12+W15+W18+W21+W24+W27</f>
        <v>321.55745884026624</v>
      </c>
      <c r="X11" s="2256">
        <f>X12+X15+X18+X21+X24+X27</f>
        <v>1179.1092193613563</v>
      </c>
      <c r="Y11" s="2268">
        <f t="shared" si="6"/>
        <v>750.33333910081126</v>
      </c>
      <c r="Z11" s="2255">
        <f>Z12+Z15+Z18+Z21+Z24+Z27</f>
        <v>1154.349783340223</v>
      </c>
      <c r="AA11" s="2256">
        <f>AA12+AA15+AA18+AA21+AA24+AA27</f>
        <v>4232.849944806816</v>
      </c>
      <c r="AB11" s="2268">
        <f t="shared" si="7"/>
        <v>2693.5998640735197</v>
      </c>
      <c r="AC11" s="2114">
        <f t="shared" si="8"/>
        <v>0</v>
      </c>
      <c r="AD11" s="2114"/>
      <c r="AE11" s="2114"/>
      <c r="AF11" s="2113"/>
      <c r="AG11" s="2113"/>
      <c r="AH11" s="2113"/>
      <c r="AI11" s="2113"/>
    </row>
    <row r="12" spans="1:38" s="2218" customFormat="1" ht="28.5" customHeight="1">
      <c r="A12" s="2235">
        <v>318</v>
      </c>
      <c r="B12" s="2279" t="s">
        <v>1739</v>
      </c>
      <c r="C12" s="2280" t="s">
        <v>1740</v>
      </c>
      <c r="D12" s="2254" t="s">
        <v>1317</v>
      </c>
      <c r="E12" s="2255">
        <f>E13*E14</f>
        <v>0</v>
      </c>
      <c r="F12" s="2256">
        <f>F13*F14</f>
        <v>0</v>
      </c>
      <c r="G12" s="2257">
        <f t="shared" si="0"/>
        <v>0</v>
      </c>
      <c r="H12" s="2256">
        <f>H13*H14</f>
        <v>0</v>
      </c>
      <c r="I12" s="2256">
        <f>I13*I14</f>
        <v>0</v>
      </c>
      <c r="J12" s="2257">
        <f t="shared" si="1"/>
        <v>0</v>
      </c>
      <c r="K12" s="2256">
        <f>K13*K14</f>
        <v>0</v>
      </c>
      <c r="L12" s="2256">
        <f>L13*L14</f>
        <v>0</v>
      </c>
      <c r="M12" s="2259">
        <f t="shared" si="2"/>
        <v>0</v>
      </c>
      <c r="N12" s="2255">
        <f>N13*N14</f>
        <v>0</v>
      </c>
      <c r="O12" s="2256">
        <f>O13*O14</f>
        <v>0</v>
      </c>
      <c r="P12" s="2259">
        <f t="shared" si="3"/>
        <v>0</v>
      </c>
      <c r="Q12" s="2255">
        <v>0</v>
      </c>
      <c r="R12" s="2256">
        <v>0</v>
      </c>
      <c r="S12" s="2268">
        <f t="shared" si="4"/>
        <v>0</v>
      </c>
      <c r="T12" s="2255">
        <v>0</v>
      </c>
      <c r="U12" s="2256">
        <v>0</v>
      </c>
      <c r="V12" s="2268">
        <f t="shared" si="5"/>
        <v>0</v>
      </c>
      <c r="W12" s="2255">
        <v>0</v>
      </c>
      <c r="X12" s="2256">
        <v>0</v>
      </c>
      <c r="Y12" s="2268">
        <f t="shared" si="6"/>
        <v>0</v>
      </c>
      <c r="Z12" s="2255">
        <v>0</v>
      </c>
      <c r="AA12" s="2256">
        <v>0</v>
      </c>
      <c r="AB12" s="2268">
        <f t="shared" si="7"/>
        <v>0</v>
      </c>
      <c r="AC12" s="2114">
        <f t="shared" si="8"/>
        <v>0</v>
      </c>
      <c r="AD12" s="2114"/>
      <c r="AE12" s="2114"/>
      <c r="AF12" s="2113"/>
      <c r="AG12" s="2113"/>
      <c r="AH12" s="2113"/>
      <c r="AI12" s="2113"/>
    </row>
    <row r="13" spans="1:38" s="2218" customFormat="1" ht="21.75" customHeight="1">
      <c r="A13" s="2235">
        <v>319</v>
      </c>
      <c r="B13" s="2281" t="s">
        <v>1741</v>
      </c>
      <c r="C13" s="2282" t="s">
        <v>1327</v>
      </c>
      <c r="D13" s="2283" t="s">
        <v>1742</v>
      </c>
      <c r="E13" s="2284"/>
      <c r="F13" s="2285"/>
      <c r="G13" s="2257">
        <f t="shared" si="0"/>
        <v>0</v>
      </c>
      <c r="H13" s="2285"/>
      <c r="I13" s="2285"/>
      <c r="J13" s="2257">
        <f t="shared" si="1"/>
        <v>0</v>
      </c>
      <c r="K13" s="2285"/>
      <c r="L13" s="2285"/>
      <c r="M13" s="2259">
        <f t="shared" si="2"/>
        <v>0</v>
      </c>
      <c r="N13" s="2284"/>
      <c r="O13" s="2285"/>
      <c r="P13" s="2259">
        <f t="shared" si="3"/>
        <v>0</v>
      </c>
      <c r="Q13" s="2284">
        <v>0</v>
      </c>
      <c r="R13" s="2285">
        <v>0</v>
      </c>
      <c r="S13" s="2268">
        <f t="shared" si="4"/>
        <v>0</v>
      </c>
      <c r="T13" s="2284">
        <v>0</v>
      </c>
      <c r="U13" s="2285">
        <v>0</v>
      </c>
      <c r="V13" s="2268">
        <f t="shared" si="5"/>
        <v>0</v>
      </c>
      <c r="W13" s="2284">
        <v>0</v>
      </c>
      <c r="X13" s="2285">
        <v>0</v>
      </c>
      <c r="Y13" s="2268">
        <f t="shared" si="6"/>
        <v>0</v>
      </c>
      <c r="Z13" s="2284">
        <v>0</v>
      </c>
      <c r="AA13" s="2285">
        <v>0</v>
      </c>
      <c r="AB13" s="2268">
        <f t="shared" si="7"/>
        <v>0</v>
      </c>
      <c r="AC13" s="2114">
        <f t="shared" si="8"/>
        <v>0</v>
      </c>
      <c r="AD13" s="2114"/>
      <c r="AE13" s="2114"/>
      <c r="AF13" s="2113"/>
      <c r="AG13" s="2113"/>
      <c r="AH13" s="2113"/>
      <c r="AI13" s="2113"/>
    </row>
    <row r="14" spans="1:38" s="2218" customFormat="1" ht="21" customHeight="1">
      <c r="A14" s="2235">
        <v>320</v>
      </c>
      <c r="B14" s="2281" t="s">
        <v>1743</v>
      </c>
      <c r="C14" s="2282" t="s">
        <v>1330</v>
      </c>
      <c r="D14" s="2283" t="s">
        <v>1744</v>
      </c>
      <c r="E14" s="2284"/>
      <c r="F14" s="2285"/>
      <c r="G14" s="2257">
        <f t="shared" si="0"/>
        <v>0</v>
      </c>
      <c r="H14" s="2285"/>
      <c r="I14" s="2285"/>
      <c r="J14" s="2257">
        <f t="shared" si="1"/>
        <v>0</v>
      </c>
      <c r="K14" s="2285"/>
      <c r="L14" s="2285"/>
      <c r="M14" s="2259">
        <f t="shared" si="2"/>
        <v>0</v>
      </c>
      <c r="N14" s="2284"/>
      <c r="O14" s="2285"/>
      <c r="P14" s="2259">
        <f t="shared" si="3"/>
        <v>0</v>
      </c>
      <c r="Q14" s="2284">
        <v>0</v>
      </c>
      <c r="R14" s="2285">
        <v>0</v>
      </c>
      <c r="S14" s="2268">
        <f t="shared" si="4"/>
        <v>0</v>
      </c>
      <c r="T14" s="2284">
        <v>0</v>
      </c>
      <c r="U14" s="2285">
        <v>0</v>
      </c>
      <c r="V14" s="2268">
        <f t="shared" si="5"/>
        <v>0</v>
      </c>
      <c r="W14" s="2284">
        <v>0</v>
      </c>
      <c r="X14" s="2285">
        <v>0</v>
      </c>
      <c r="Y14" s="2268">
        <f t="shared" si="6"/>
        <v>0</v>
      </c>
      <c r="Z14" s="2284">
        <v>0</v>
      </c>
      <c r="AA14" s="2285">
        <v>0</v>
      </c>
      <c r="AB14" s="2268">
        <f t="shared" si="7"/>
        <v>0</v>
      </c>
      <c r="AC14" s="2114">
        <f t="shared" si="8"/>
        <v>0</v>
      </c>
      <c r="AD14" s="2114"/>
      <c r="AE14" s="2114"/>
      <c r="AF14" s="2113"/>
      <c r="AG14" s="2113"/>
      <c r="AH14" s="2113"/>
      <c r="AI14" s="2113"/>
    </row>
    <row r="15" spans="1:38" s="2218" customFormat="1" ht="23.25" customHeight="1">
      <c r="A15" s="2235">
        <v>322</v>
      </c>
      <c r="B15" s="2279" t="s">
        <v>1745</v>
      </c>
      <c r="C15" s="2280" t="s">
        <v>1746</v>
      </c>
      <c r="D15" s="2254" t="s">
        <v>1317</v>
      </c>
      <c r="E15" s="2255">
        <f>E16*E17</f>
        <v>505.65558213856883</v>
      </c>
      <c r="F15" s="2256">
        <f>F16*F17</f>
        <v>520.82524960272588</v>
      </c>
      <c r="G15" s="2257">
        <f t="shared" si="0"/>
        <v>513.24041587064733</v>
      </c>
      <c r="H15" s="2256">
        <f>H16*H17</f>
        <v>700.35696979433055</v>
      </c>
      <c r="I15" s="2256">
        <f>I16*I17</f>
        <v>725.56982070692641</v>
      </c>
      <c r="J15" s="2257">
        <f t="shared" si="1"/>
        <v>712.96339525062854</v>
      </c>
      <c r="K15" s="2256">
        <f>K16*K17</f>
        <v>787.92570262258596</v>
      </c>
      <c r="L15" s="2256">
        <f>L16*L17</f>
        <v>821.80650783535714</v>
      </c>
      <c r="M15" s="2259">
        <f t="shared" si="2"/>
        <v>804.86610522897149</v>
      </c>
      <c r="N15" s="2256">
        <f>N16*N17</f>
        <v>0</v>
      </c>
      <c r="O15" s="2256">
        <f>O16*O17</f>
        <v>933.83517098347306</v>
      </c>
      <c r="P15" s="2259">
        <f t="shared" si="3"/>
        <v>466.91758549173653</v>
      </c>
      <c r="Q15" s="2256">
        <f>Q16*Q17</f>
        <v>182.81855294047546</v>
      </c>
      <c r="R15" s="2256">
        <f>R16*R17</f>
        <v>195.9814887521897</v>
      </c>
      <c r="S15" s="2268">
        <f t="shared" si="4"/>
        <v>189.40002084633258</v>
      </c>
      <c r="T15" s="2377">
        <f>N15+Q15</f>
        <v>182.81855294047546</v>
      </c>
      <c r="U15" s="2256">
        <f>O15+R15</f>
        <v>1129.8166597356628</v>
      </c>
      <c r="V15" s="2268">
        <f t="shared" si="5"/>
        <v>656.31760633806914</v>
      </c>
      <c r="W15" s="2377">
        <f>T15/$T$272*$N$272</f>
        <v>39.830869876038541</v>
      </c>
      <c r="X15" s="2256">
        <f>U15/$T$272*$N$272</f>
        <v>246.1543406503383</v>
      </c>
      <c r="Y15" s="2268">
        <f t="shared" si="6"/>
        <v>142.99260526318841</v>
      </c>
      <c r="Z15" s="2886">
        <f>T15/$T$272*$Z$272</f>
        <v>142.98768306443688</v>
      </c>
      <c r="AA15" s="2887">
        <f>U15/$T$272*$Z$272</f>
        <v>883.6623190853245</v>
      </c>
      <c r="AB15" s="2268">
        <f t="shared" si="7"/>
        <v>513.32500107488067</v>
      </c>
      <c r="AC15" s="2114">
        <f t="shared" si="8"/>
        <v>0</v>
      </c>
      <c r="AD15" s="2114"/>
      <c r="AE15" s="2114"/>
      <c r="AF15" s="2113"/>
      <c r="AG15" s="2113"/>
      <c r="AH15" s="2113"/>
      <c r="AI15" s="2113"/>
    </row>
    <row r="16" spans="1:38" s="2218" customFormat="1" ht="21" customHeight="1">
      <c r="A16" s="2235">
        <v>321</v>
      </c>
      <c r="B16" s="2281" t="s">
        <v>1747</v>
      </c>
      <c r="C16" s="2282" t="s">
        <v>1327</v>
      </c>
      <c r="D16" s="2283" t="s">
        <v>1748</v>
      </c>
      <c r="E16" s="2284">
        <f>'[3]НВВ очистка)'!K317</f>
        <v>14.631923487251083</v>
      </c>
      <c r="F16" s="2285">
        <f>'[3]НВВ очистка)'!L317</f>
        <v>14.631923487251083</v>
      </c>
      <c r="G16" s="2257">
        <f t="shared" si="0"/>
        <v>14.631923487251083</v>
      </c>
      <c r="H16" s="2285">
        <f>'[3]НВВ очистка)'!T317</f>
        <v>19.218958655387304</v>
      </c>
      <c r="I16" s="2285">
        <f>'[3]НВВ очистка)'!U317</f>
        <v>19.218958655387304</v>
      </c>
      <c r="J16" s="2257">
        <f t="shared" si="1"/>
        <v>19.218958655387304</v>
      </c>
      <c r="K16" s="2285">
        <f>'[3]НВВ очистка)'!AC317</f>
        <v>21.140680827348888</v>
      </c>
      <c r="L16" s="2285">
        <f>'[3]НВВ очистка)'!AD317</f>
        <v>21.140680827348888</v>
      </c>
      <c r="M16" s="2259">
        <f t="shared" si="2"/>
        <v>21.140680827348888</v>
      </c>
      <c r="N16" s="2284"/>
      <c r="O16" s="2285">
        <v>21.140680827348888</v>
      </c>
      <c r="P16" s="2259">
        <f t="shared" si="3"/>
        <v>10.570340413674444</v>
      </c>
      <c r="Q16" s="2284">
        <v>4.5038793622826807</v>
      </c>
      <c r="R16" s="2285">
        <v>4.5038793622826807</v>
      </c>
      <c r="S16" s="2268">
        <f t="shared" si="4"/>
        <v>4.5038793622826807</v>
      </c>
      <c r="T16" s="2385">
        <f>N16+Q16</f>
        <v>4.5038793622826807</v>
      </c>
      <c r="U16" s="2285">
        <f>O16+R16</f>
        <v>25.644560189631569</v>
      </c>
      <c r="V16" s="2268">
        <f t="shared" si="5"/>
        <v>15.074219775957125</v>
      </c>
      <c r="W16" s="2884">
        <f>T16/$T$272*$W$272</f>
        <v>0.98126492049669745</v>
      </c>
      <c r="X16" s="2885">
        <f>U16/$T$272*$W$272</f>
        <v>5.5872072254834508</v>
      </c>
      <c r="Y16" s="2268">
        <f t="shared" si="6"/>
        <v>3.2842360729900744</v>
      </c>
      <c r="Z16" s="2884">
        <f>T16/$T$272*$Z$272</f>
        <v>3.5226144417859833</v>
      </c>
      <c r="AA16" s="2885">
        <f>U16/$T$272*$Z$272</f>
        <v>20.057352964148116</v>
      </c>
      <c r="AB16" s="2268">
        <f t="shared" si="7"/>
        <v>11.789983702967049</v>
      </c>
      <c r="AC16" s="2114">
        <f t="shared" si="8"/>
        <v>0</v>
      </c>
      <c r="AD16" s="2114"/>
      <c r="AE16" s="2114"/>
      <c r="AF16" s="2113"/>
      <c r="AG16" s="2113"/>
      <c r="AH16" s="2113"/>
      <c r="AI16" s="2113"/>
    </row>
    <row r="17" spans="1:35" s="2218" customFormat="1" ht="21" customHeight="1">
      <c r="A17" s="2235">
        <v>323</v>
      </c>
      <c r="B17" s="2281" t="s">
        <v>1750</v>
      </c>
      <c r="C17" s="2282" t="s">
        <v>1330</v>
      </c>
      <c r="D17" s="2283" t="s">
        <v>1744</v>
      </c>
      <c r="E17" s="2284">
        <f>'[3]НВВ очистка)'!K318</f>
        <v>34.558380692678632</v>
      </c>
      <c r="F17" s="2285">
        <f>'[3]НВВ очистка)'!L318</f>
        <v>35.595132113458988</v>
      </c>
      <c r="G17" s="2257">
        <f t="shared" si="0"/>
        <v>35.076756403068813</v>
      </c>
      <c r="H17" s="2285">
        <f>'[3]НВВ очистка)'!T318</f>
        <v>36.44094263130183</v>
      </c>
      <c r="I17" s="2285">
        <f>'[3]НВВ очистка)'!U318</f>
        <v>37.752816566028699</v>
      </c>
      <c r="J17" s="2257">
        <f t="shared" si="1"/>
        <v>37.096879598665268</v>
      </c>
      <c r="K17" s="2285">
        <f>'[3]НВВ очистка)'!AC318</f>
        <v>37.270592610398651</v>
      </c>
      <c r="L17" s="2285">
        <f>'[3]НВВ очистка)'!AD318</f>
        <v>38.873228092645796</v>
      </c>
      <c r="M17" s="2259">
        <f t="shared" si="2"/>
        <v>38.07191035152222</v>
      </c>
      <c r="N17" s="2284">
        <v>41.205621778204545</v>
      </c>
      <c r="O17" s="2285">
        <f>N17*1.072</f>
        <v>44.172426546235272</v>
      </c>
      <c r="P17" s="2259">
        <f t="shared" si="3"/>
        <v>42.689024162219908</v>
      </c>
      <c r="Q17" s="2284">
        <v>40.591352084487973</v>
      </c>
      <c r="R17" s="2285">
        <f>Q17*1.072</f>
        <v>43.513929434571111</v>
      </c>
      <c r="S17" s="2268">
        <f t="shared" si="4"/>
        <v>42.052640759529538</v>
      </c>
      <c r="T17" s="2385">
        <f>T15/T16</f>
        <v>40.591352084487973</v>
      </c>
      <c r="U17" s="2285">
        <f>U15/U16</f>
        <v>44.056776617774183</v>
      </c>
      <c r="V17" s="2268">
        <f t="shared" si="5"/>
        <v>42.324064351131078</v>
      </c>
      <c r="W17" s="2385">
        <f>W15/W16</f>
        <v>40.591352084487966</v>
      </c>
      <c r="X17" s="2285">
        <f>X15/X16</f>
        <v>44.05677661777419</v>
      </c>
      <c r="Y17" s="2268">
        <f t="shared" si="6"/>
        <v>42.324064351131078</v>
      </c>
      <c r="Z17" s="2385">
        <f>Z15/Z16</f>
        <v>40.591352084487966</v>
      </c>
      <c r="AA17" s="2285">
        <f>AA15/AA16</f>
        <v>44.05677661777419</v>
      </c>
      <c r="AB17" s="2268">
        <f t="shared" si="7"/>
        <v>42.324064351131078</v>
      </c>
      <c r="AC17" s="2114">
        <f t="shared" si="8"/>
        <v>42.324064351131078</v>
      </c>
      <c r="AD17" s="2114"/>
      <c r="AE17" s="2114"/>
      <c r="AF17" s="2113"/>
      <c r="AG17" s="2113"/>
      <c r="AH17" s="2113"/>
      <c r="AI17" s="2113"/>
    </row>
    <row r="18" spans="1:35" s="2218" customFormat="1" ht="17.25" customHeight="1">
      <c r="A18" s="2235">
        <v>324</v>
      </c>
      <c r="B18" s="2279" t="s">
        <v>1751</v>
      </c>
      <c r="C18" s="2280" t="s">
        <v>1752</v>
      </c>
      <c r="D18" s="2254" t="s">
        <v>1317</v>
      </c>
      <c r="E18" s="2255">
        <f>E19*E20</f>
        <v>108.82472297346567</v>
      </c>
      <c r="F18" s="2256">
        <f>F19*F20</f>
        <v>112.08946466266963</v>
      </c>
      <c r="G18" s="2257">
        <f t="shared" si="0"/>
        <v>110.45709381806765</v>
      </c>
      <c r="H18" s="2256">
        <f>H19*H20</f>
        <v>145.47403353802395</v>
      </c>
      <c r="I18" s="2256">
        <f>I19*I20</f>
        <v>150.7110987453928</v>
      </c>
      <c r="J18" s="2257">
        <f t="shared" si="1"/>
        <v>148.09256614170837</v>
      </c>
      <c r="K18" s="2256">
        <f>K19*K20</f>
        <v>138.75410952462562</v>
      </c>
      <c r="L18" s="2256">
        <f>L19*L20</f>
        <v>144.72053623418449</v>
      </c>
      <c r="M18" s="2259">
        <f t="shared" si="2"/>
        <v>141.73732287940504</v>
      </c>
      <c r="N18" s="2256">
        <f>N19*N20</f>
        <v>0</v>
      </c>
      <c r="O18" s="2256">
        <f>O19*O20</f>
        <v>164.44883973362855</v>
      </c>
      <c r="P18" s="2259">
        <f t="shared" si="3"/>
        <v>82.224419866814273</v>
      </c>
      <c r="Q18" s="2256">
        <f>Q19*Q20</f>
        <v>87.711245645887928</v>
      </c>
      <c r="R18" s="2256">
        <f>R19*R20</f>
        <v>94.026455332391876</v>
      </c>
      <c r="S18" s="2268">
        <f t="shared" si="4"/>
        <v>90.868850489139902</v>
      </c>
      <c r="T18" s="2377">
        <f>N18+Q18</f>
        <v>87.711245645887928</v>
      </c>
      <c r="U18" s="2256">
        <f>O18+R18</f>
        <v>258.47529506602041</v>
      </c>
      <c r="V18" s="2268">
        <f t="shared" si="5"/>
        <v>173.09327035595416</v>
      </c>
      <c r="W18" s="2377">
        <f>T18/$T$272*$N$272</f>
        <v>19.109741083685925</v>
      </c>
      <c r="X18" s="2256">
        <f>U18/$T$272*$N$272</f>
        <v>56.314283634535762</v>
      </c>
      <c r="Y18" s="2268">
        <f t="shared" si="6"/>
        <v>37.712012359110844</v>
      </c>
      <c r="Z18" s="2886">
        <f>T18/$T$272*$Z$272</f>
        <v>68.601504562201995</v>
      </c>
      <c r="AA18" s="2887">
        <f>U18/$T$272*$Z$272</f>
        <v>202.16101143148464</v>
      </c>
      <c r="AB18" s="2268">
        <f t="shared" si="7"/>
        <v>135.38125799684332</v>
      </c>
      <c r="AC18" s="2114">
        <f t="shared" si="8"/>
        <v>0</v>
      </c>
      <c r="AD18" s="2114"/>
      <c r="AE18" s="2114"/>
      <c r="AF18" s="2113"/>
      <c r="AG18" s="2113"/>
      <c r="AH18" s="2113"/>
      <c r="AI18" s="2113"/>
    </row>
    <row r="19" spans="1:35" s="2218" customFormat="1" ht="21" customHeight="1">
      <c r="A19" s="2235">
        <v>327</v>
      </c>
      <c r="B19" s="2281" t="s">
        <v>1753</v>
      </c>
      <c r="C19" s="2282" t="s">
        <v>1327</v>
      </c>
      <c r="D19" s="2283" t="s">
        <v>1748</v>
      </c>
      <c r="E19" s="2284">
        <f>'[3]НВВ очистка)'!K320</f>
        <v>2.9722752403419843</v>
      </c>
      <c r="F19" s="2285">
        <f>'[3]НВВ очистка)'!L320</f>
        <v>2.9722752403419843</v>
      </c>
      <c r="G19" s="2257">
        <f t="shared" si="0"/>
        <v>2.9722752403419843</v>
      </c>
      <c r="H19" s="2285">
        <f>'[3]НВВ очистка)'!T320</f>
        <v>3.7575344363157548</v>
      </c>
      <c r="I19" s="2285">
        <f>'[3]НВВ очистка)'!U320</f>
        <v>3.7575344363157548</v>
      </c>
      <c r="J19" s="2257">
        <f t="shared" si="1"/>
        <v>3.7575344363157548</v>
      </c>
      <c r="K19" s="2285">
        <f>'[3]НВВ очистка)'!AC320</f>
        <v>3.504703003740548</v>
      </c>
      <c r="L19" s="2285">
        <f>'[3]НВВ очистка)'!AD320</f>
        <v>3.504703003740548</v>
      </c>
      <c r="M19" s="2259">
        <f t="shared" si="2"/>
        <v>3.504703003740548</v>
      </c>
      <c r="N19" s="2284"/>
      <c r="O19" s="2285">
        <v>3.504703003740548</v>
      </c>
      <c r="P19" s="2259">
        <f t="shared" si="3"/>
        <v>1.752351501870274</v>
      </c>
      <c r="Q19" s="2284">
        <v>1.9999085990654977</v>
      </c>
      <c r="R19" s="2285">
        <v>1.9999085990654977</v>
      </c>
      <c r="S19" s="2268">
        <f t="shared" si="4"/>
        <v>1.9999085990654977</v>
      </c>
      <c r="T19" s="2385">
        <f>N19+Q19</f>
        <v>1.9999085990654977</v>
      </c>
      <c r="U19" s="2285">
        <f>O19+R19</f>
        <v>5.5046116028060457</v>
      </c>
      <c r="V19" s="2268">
        <f t="shared" si="5"/>
        <v>3.7522601009357714</v>
      </c>
      <c r="W19" s="2884">
        <f>T19/$T$272*$W$272</f>
        <v>0.43572218405691315</v>
      </c>
      <c r="X19" s="2885">
        <f>U19/$T$272*$W$272</f>
        <v>1.1992955033447128</v>
      </c>
      <c r="Y19" s="2268">
        <f t="shared" si="6"/>
        <v>0.817508843700813</v>
      </c>
      <c r="Z19" s="2884">
        <f>T19/$T$272*$Z$272</f>
        <v>1.5641864150085842</v>
      </c>
      <c r="AA19" s="2885">
        <f>U19/$T$272*$Z$272</f>
        <v>4.305316099461332</v>
      </c>
      <c r="AB19" s="2268">
        <f t="shared" si="7"/>
        <v>2.9347512572349581</v>
      </c>
      <c r="AC19" s="2114">
        <f t="shared" si="8"/>
        <v>0</v>
      </c>
      <c r="AD19" s="2114"/>
      <c r="AE19" s="2114"/>
      <c r="AF19" s="2113"/>
      <c r="AG19" s="2113"/>
      <c r="AH19" s="2113"/>
      <c r="AI19" s="2113"/>
    </row>
    <row r="20" spans="1:35" s="2218" customFormat="1" ht="21" customHeight="1">
      <c r="A20" s="2235">
        <v>328</v>
      </c>
      <c r="B20" s="2281" t="s">
        <v>1755</v>
      </c>
      <c r="C20" s="2282" t="s">
        <v>1330</v>
      </c>
      <c r="D20" s="2283" t="s">
        <v>1744</v>
      </c>
      <c r="E20" s="2284">
        <f>'[3]НВВ очистка)'!K321</f>
        <v>36.613272383530841</v>
      </c>
      <c r="F20" s="2285">
        <f>'[3]НВВ очистка)'!L321</f>
        <v>37.711670555036761</v>
      </c>
      <c r="G20" s="2257">
        <f t="shared" si="0"/>
        <v>37.162471469283801</v>
      </c>
      <c r="H20" s="2285">
        <f>'[3]НВВ очистка)'!T321</f>
        <v>38.715289507941428</v>
      </c>
      <c r="I20" s="2285">
        <f>'[3]НВВ очистка)'!U321</f>
        <v>40.109039930227318</v>
      </c>
      <c r="J20" s="2257">
        <f t="shared" si="1"/>
        <v>39.412164719084373</v>
      </c>
      <c r="K20" s="2285">
        <f>'[3]НВВ очистка)'!AC321</f>
        <v>39.590832483247283</v>
      </c>
      <c r="L20" s="2285">
        <f>'[3]НВВ очистка)'!AD321</f>
        <v>41.293238280026912</v>
      </c>
      <c r="M20" s="2259">
        <f t="shared" si="2"/>
        <v>40.442035381637098</v>
      </c>
      <c r="N20" s="2284">
        <v>43.770832576828532</v>
      </c>
      <c r="O20" s="2285">
        <f>N20*1.072</f>
        <v>46.922332522360186</v>
      </c>
      <c r="P20" s="2259">
        <f t="shared" si="3"/>
        <v>45.346582549594359</v>
      </c>
      <c r="Q20" s="2284">
        <v>43.857627136996655</v>
      </c>
      <c r="R20" s="2285">
        <f>Q20*1.072</f>
        <v>47.015376290860416</v>
      </c>
      <c r="S20" s="2268">
        <f t="shared" si="4"/>
        <v>45.436501713928536</v>
      </c>
      <c r="T20" s="2385">
        <f>T18/T19</f>
        <v>43.857627136996655</v>
      </c>
      <c r="U20" s="2285">
        <f>U18/U19</f>
        <v>46.956136729839272</v>
      </c>
      <c r="V20" s="2268">
        <f t="shared" si="5"/>
        <v>45.406881933417964</v>
      </c>
      <c r="W20" s="2385">
        <f>W18/W19</f>
        <v>43.857627136996655</v>
      </c>
      <c r="X20" s="2285">
        <f>X18/X19</f>
        <v>46.956136729839287</v>
      </c>
      <c r="Y20" s="2268">
        <f t="shared" si="6"/>
        <v>45.406881933417971</v>
      </c>
      <c r="Z20" s="2385">
        <f>Z18/Z19</f>
        <v>43.857627136996655</v>
      </c>
      <c r="AA20" s="2285">
        <f>AA18/AA19</f>
        <v>46.95613672983928</v>
      </c>
      <c r="AB20" s="2268">
        <f t="shared" si="7"/>
        <v>45.406881933417964</v>
      </c>
      <c r="AC20" s="2114">
        <f t="shared" si="8"/>
        <v>45.406881933417964</v>
      </c>
      <c r="AD20" s="2114"/>
      <c r="AE20" s="2114"/>
      <c r="AF20" s="2113"/>
      <c r="AG20" s="2113"/>
      <c r="AH20" s="2113"/>
      <c r="AI20" s="2113"/>
    </row>
    <row r="21" spans="1:35" s="2218" customFormat="1" ht="18.75" customHeight="1">
      <c r="A21" s="2235">
        <v>325</v>
      </c>
      <c r="B21" s="2279" t="s">
        <v>1756</v>
      </c>
      <c r="C21" s="2280" t="s">
        <v>1757</v>
      </c>
      <c r="D21" s="2254" t="s">
        <v>1317</v>
      </c>
      <c r="E21" s="2255">
        <f>E22*E23</f>
        <v>1558.836745905297</v>
      </c>
      <c r="F21" s="2256">
        <f>F22*F23</f>
        <v>1605.6018482824556</v>
      </c>
      <c r="G21" s="2257">
        <f t="shared" si="0"/>
        <v>1582.2192970938763</v>
      </c>
      <c r="H21" s="2256">
        <f>H22*H23</f>
        <v>2148.5685101089721</v>
      </c>
      <c r="I21" s="2256">
        <f>I22*I23</f>
        <v>2225.9169764728954</v>
      </c>
      <c r="J21" s="2257">
        <f t="shared" si="1"/>
        <v>2187.2427432909335</v>
      </c>
      <c r="K21" s="2256">
        <f>K22*K23</f>
        <v>2066.9572863095259</v>
      </c>
      <c r="L21" s="2256">
        <f>L22*L23</f>
        <v>2155.836449620836</v>
      </c>
      <c r="M21" s="2259">
        <f t="shared" si="2"/>
        <v>2111.3968679651807</v>
      </c>
      <c r="N21" s="2256">
        <f>N22*N23</f>
        <v>0</v>
      </c>
      <c r="O21" s="2256">
        <f>O22*O23</f>
        <v>2449.7200744331485</v>
      </c>
      <c r="P21" s="2259">
        <f t="shared" si="3"/>
        <v>1224.8600372165743</v>
      </c>
      <c r="Q21" s="2256">
        <f>Q22*Q23</f>
        <v>1104.7471867172515</v>
      </c>
      <c r="R21" s="2256">
        <f>R22*R23</f>
        <v>1184.2889841608937</v>
      </c>
      <c r="S21" s="2268">
        <f t="shared" si="4"/>
        <v>1144.5180854390726</v>
      </c>
      <c r="T21" s="2377">
        <f>N21+Q21</f>
        <v>1104.7471867172515</v>
      </c>
      <c r="U21" s="2256">
        <f>O21+R21</f>
        <v>3634.0090585940425</v>
      </c>
      <c r="V21" s="2268">
        <f t="shared" si="5"/>
        <v>2369.3781226556471</v>
      </c>
      <c r="W21" s="2377">
        <f>T21/$T$272*$N$272</f>
        <v>240.6924282700214</v>
      </c>
      <c r="X21" s="2256">
        <f>U21/$T$272*$N$272</f>
        <v>791.74536507972971</v>
      </c>
      <c r="Y21" s="2268">
        <f>W21/2+X21/2</f>
        <v>516.21889667487551</v>
      </c>
      <c r="Z21" s="2886">
        <f>T21/$T$272*$Z$272</f>
        <v>864.05475844722991</v>
      </c>
      <c r="AA21" s="2887">
        <f>U21/$T$272*$Z$272</f>
        <v>2842.2636935143123</v>
      </c>
      <c r="AB21" s="2268">
        <f>Z21/2+AA21/2</f>
        <v>1853.1592259807712</v>
      </c>
      <c r="AC21" s="2114">
        <f t="shared" si="8"/>
        <v>0</v>
      </c>
      <c r="AD21" s="2114"/>
      <c r="AE21" s="2114"/>
      <c r="AF21" s="2113"/>
      <c r="AG21" s="2113"/>
      <c r="AH21" s="2113"/>
      <c r="AI21" s="2113"/>
    </row>
    <row r="22" spans="1:35" s="2218" customFormat="1" ht="21" customHeight="1">
      <c r="A22" s="2235">
        <v>329</v>
      </c>
      <c r="B22" s="2281" t="s">
        <v>1758</v>
      </c>
      <c r="C22" s="2282" t="s">
        <v>1327</v>
      </c>
      <c r="D22" s="2283" t="s">
        <v>1748</v>
      </c>
      <c r="E22" s="2284">
        <f>'[3]НВВ очистка)'!K323</f>
        <v>39.790497944829234</v>
      </c>
      <c r="F22" s="2285">
        <f>'[3]НВВ очистка)'!L323</f>
        <v>39.790497944829234</v>
      </c>
      <c r="G22" s="2257">
        <f t="shared" si="0"/>
        <v>39.790497944829234</v>
      </c>
      <c r="H22" s="2285">
        <f>'[3]НВВ очистка)'!T323</f>
        <v>55.294938713460283</v>
      </c>
      <c r="I22" s="2285">
        <f>'[3]НВВ очистка)'!U323</f>
        <v>55.294938713460283</v>
      </c>
      <c r="J22" s="2257">
        <f t="shared" si="1"/>
        <v>55.294938713460283</v>
      </c>
      <c r="K22" s="2285">
        <f>'[3]НВВ очистка)'!AC323</f>
        <v>49.241233279437843</v>
      </c>
      <c r="L22" s="2285">
        <f>'[3]НВВ очистка)'!AD323</f>
        <v>49.241233279437843</v>
      </c>
      <c r="M22" s="2259">
        <f t="shared" si="2"/>
        <v>49.241233279437843</v>
      </c>
      <c r="N22" s="2284"/>
      <c r="O22" s="2285">
        <v>49.241233279437843</v>
      </c>
      <c r="P22" s="2259">
        <f t="shared" si="3"/>
        <v>24.620616639718921</v>
      </c>
      <c r="Q22" s="2284">
        <v>23.993717509761687</v>
      </c>
      <c r="R22" s="2285">
        <v>23.993717509761687</v>
      </c>
      <c r="S22" s="2268">
        <f t="shared" si="4"/>
        <v>23.993717509761687</v>
      </c>
      <c r="T22" s="2385">
        <f>N22+Q22</f>
        <v>23.993717509761687</v>
      </c>
      <c r="U22" s="2285">
        <f>O22+R22</f>
        <v>73.23495078919953</v>
      </c>
      <c r="V22" s="2268">
        <f t="shared" si="5"/>
        <v>48.614334149480612</v>
      </c>
      <c r="W22" s="2884">
        <f>T22/$T$272*$W$272</f>
        <v>5.2275363993550039</v>
      </c>
      <c r="X22" s="2885">
        <f>U22/$T$272*$W$272</f>
        <v>15.955775539982822</v>
      </c>
      <c r="Y22" s="2268">
        <f>W22/2+X22/2</f>
        <v>10.591655969668913</v>
      </c>
      <c r="Z22" s="2884">
        <f>T22/$T$272*$Z$272</f>
        <v>18.766181110406681</v>
      </c>
      <c r="AA22" s="2885">
        <f>U22/$T$272*$Z$272</f>
        <v>57.279175249216706</v>
      </c>
      <c r="AB22" s="2268">
        <f>Z22/2+AA22/2</f>
        <v>38.022678179811692</v>
      </c>
      <c r="AC22" s="2114">
        <f>O21/O22</f>
        <v>49.749364735267562</v>
      </c>
      <c r="AD22" s="2114"/>
      <c r="AE22" s="2114"/>
      <c r="AF22" s="2113"/>
      <c r="AG22" s="2113"/>
      <c r="AH22" s="2113"/>
      <c r="AI22" s="2113"/>
    </row>
    <row r="23" spans="1:35" s="2218" customFormat="1" ht="21" customHeight="1">
      <c r="A23" s="2235">
        <v>330</v>
      </c>
      <c r="B23" s="2281" t="s">
        <v>1760</v>
      </c>
      <c r="C23" s="2282" t="s">
        <v>1330</v>
      </c>
      <c r="D23" s="2283" t="s">
        <v>1744</v>
      </c>
      <c r="E23" s="2284">
        <f>'[3]НВВ очистка)'!K324</f>
        <v>39.176105513096942</v>
      </c>
      <c r="F23" s="2285">
        <f>'[3]НВВ очистка)'!L324</f>
        <v>40.35138867848984</v>
      </c>
      <c r="G23" s="2257">
        <f t="shared" si="0"/>
        <v>39.763747095793391</v>
      </c>
      <c r="H23" s="2285">
        <f>'[3]НВВ очистка)'!T324</f>
        <v>38.856513093230944</v>
      </c>
      <c r="I23" s="2285">
        <f>'[3]НВВ очистка)'!U324</f>
        <v>40.255347564587261</v>
      </c>
      <c r="J23" s="2257">
        <f t="shared" si="1"/>
        <v>39.555930328909099</v>
      </c>
      <c r="K23" s="2285">
        <f>'[3]НВВ очистка)'!AC324</f>
        <v>41.976147806449156</v>
      </c>
      <c r="L23" s="2285">
        <f>'[3]НВВ очистка)'!AD324</f>
        <v>43.781122162126479</v>
      </c>
      <c r="M23" s="2259">
        <f t="shared" si="2"/>
        <v>42.878634984287814</v>
      </c>
      <c r="N23" s="2284">
        <v>46.407989491854067</v>
      </c>
      <c r="O23" s="2285">
        <f>N23*1.072</f>
        <v>49.749364735267562</v>
      </c>
      <c r="P23" s="2259">
        <f t="shared" si="3"/>
        <v>48.078677113560815</v>
      </c>
      <c r="Q23" s="2284">
        <v>46.043185524202002</v>
      </c>
      <c r="R23" s="2285">
        <f>Q23*1.072</f>
        <v>49.358294881944552</v>
      </c>
      <c r="S23" s="2268">
        <f t="shared" si="4"/>
        <v>47.700740203073281</v>
      </c>
      <c r="T23" s="2385">
        <f>T21/T22</f>
        <v>46.043185524202002</v>
      </c>
      <c r="U23" s="2285">
        <f>U21/U22</f>
        <v>49.62123985109546</v>
      </c>
      <c r="V23" s="2268">
        <f t="shared" si="5"/>
        <v>47.832212687648735</v>
      </c>
      <c r="W23" s="2385">
        <f>W21/W22</f>
        <v>46.043185524202009</v>
      </c>
      <c r="X23" s="2285">
        <f>X21/X22</f>
        <v>49.621239851095453</v>
      </c>
      <c r="Y23" s="2268">
        <f t="shared" si="6"/>
        <v>47.832212687648735</v>
      </c>
      <c r="Z23" s="2385">
        <f>Z21/Z22</f>
        <v>46.043185524202002</v>
      </c>
      <c r="AA23" s="2285">
        <f>AA21/AA22</f>
        <v>49.621239851095453</v>
      </c>
      <c r="AB23" s="2268">
        <f t="shared" si="7"/>
        <v>47.832212687648727</v>
      </c>
      <c r="AC23" s="2114">
        <f t="shared" ref="AC23:AC30" si="9">Y23+AB23-V23</f>
        <v>47.832212687648735</v>
      </c>
      <c r="AD23" s="2114"/>
      <c r="AE23" s="2114"/>
      <c r="AF23" s="2113"/>
      <c r="AG23" s="2113"/>
      <c r="AH23" s="2113"/>
      <c r="AI23" s="2113"/>
    </row>
    <row r="24" spans="1:35" s="2218" customFormat="1" ht="21" customHeight="1">
      <c r="A24" s="2235">
        <v>326</v>
      </c>
      <c r="B24" s="2279" t="s">
        <v>1761</v>
      </c>
      <c r="C24" s="2280" t="s">
        <v>1762</v>
      </c>
      <c r="D24" s="2254" t="s">
        <v>1317</v>
      </c>
      <c r="E24" s="2255">
        <f>E25*E26</f>
        <v>14.378897855327295</v>
      </c>
      <c r="F24" s="2256">
        <f>F25*F26</f>
        <v>14.810264790987118</v>
      </c>
      <c r="G24" s="2257">
        <f t="shared" si="0"/>
        <v>14.594581323157207</v>
      </c>
      <c r="H24" s="2256">
        <f>H25*H26</f>
        <v>195.7565239161251</v>
      </c>
      <c r="I24" s="2256">
        <f>I25*I26</f>
        <v>202.8037587771056</v>
      </c>
      <c r="J24" s="2257">
        <f t="shared" si="1"/>
        <v>199.28014134661535</v>
      </c>
      <c r="K24" s="2256">
        <f>K25*K26</f>
        <v>203.25804018485502</v>
      </c>
      <c r="L24" s="2256">
        <f>L25*L26</f>
        <v>211.99813591280383</v>
      </c>
      <c r="M24" s="2259">
        <f t="shared" si="2"/>
        <v>207.62808804882943</v>
      </c>
      <c r="N24" s="2256">
        <f>N25*N26</f>
        <v>0</v>
      </c>
      <c r="O24" s="2256">
        <f>O25*O26</f>
        <v>240.89772180043724</v>
      </c>
      <c r="P24" s="2259">
        <f t="shared" si="3"/>
        <v>120.44886090021862</v>
      </c>
      <c r="Q24" s="2256">
        <f>Q25*Q26</f>
        <v>99.697717438350594</v>
      </c>
      <c r="R24" s="2256">
        <f>R25*R26</f>
        <v>106.87595309391185</v>
      </c>
      <c r="S24" s="2268">
        <f t="shared" si="4"/>
        <v>103.28683526613122</v>
      </c>
      <c r="T24" s="2377">
        <f>N24+Q24</f>
        <v>99.697717438350594</v>
      </c>
      <c r="U24" s="2256">
        <f>O24+R24</f>
        <v>347.77367489434909</v>
      </c>
      <c r="V24" s="2268">
        <f t="shared" si="5"/>
        <v>223.73569616634984</v>
      </c>
      <c r="W24" s="2377">
        <f>T24/$T$272*$N$272</f>
        <v>21.721246264967149</v>
      </c>
      <c r="X24" s="2256">
        <f>U24/$T$272*$N$272</f>
        <v>75.769815307195401</v>
      </c>
      <c r="Y24" s="2268">
        <f>W24/2+X24/2</f>
        <v>48.745530786081275</v>
      </c>
      <c r="Z24" s="2886">
        <f>T24/$T$272*$Z$272</f>
        <v>77.976471173383445</v>
      </c>
      <c r="AA24" s="2887">
        <f>U24/$T$272*$Z$272</f>
        <v>272.00385958715361</v>
      </c>
      <c r="AB24" s="2268">
        <f>Z24/2+AA24/2</f>
        <v>174.99016538026854</v>
      </c>
      <c r="AC24" s="2114">
        <f t="shared" si="9"/>
        <v>0</v>
      </c>
      <c r="AD24" s="2114"/>
      <c r="AE24" s="2114"/>
      <c r="AF24" s="2113"/>
      <c r="AG24" s="2113"/>
      <c r="AH24" s="2113"/>
      <c r="AI24" s="2113"/>
    </row>
    <row r="25" spans="1:35" s="2218" customFormat="1" ht="21" customHeight="1">
      <c r="A25" s="2235">
        <v>331</v>
      </c>
      <c r="B25" s="2281" t="s">
        <v>1763</v>
      </c>
      <c r="C25" s="2282" t="s">
        <v>1327</v>
      </c>
      <c r="D25" s="2283" t="s">
        <v>1748</v>
      </c>
      <c r="E25" s="2284">
        <f>'[3]НВВ очистка)'!K326</f>
        <v>7.6061486012483678E-2</v>
      </c>
      <c r="F25" s="2285">
        <f>'[3]НВВ очистка)'!L326</f>
        <v>7.6061486012483678E-2</v>
      </c>
      <c r="G25" s="2257">
        <f t="shared" si="0"/>
        <v>7.6061486012483678E-2</v>
      </c>
      <c r="H25" s="2285">
        <f>'[3]НВВ очистка)'!T326</f>
        <v>1.6140370757049256</v>
      </c>
      <c r="I25" s="2285">
        <f>'[3]НВВ очистка)'!U326</f>
        <v>1.6140370757049256</v>
      </c>
      <c r="J25" s="2257">
        <f t="shared" si="1"/>
        <v>1.6140370757049256</v>
      </c>
      <c r="K25" s="2285">
        <f>'[3]НВВ очистка)'!AC326</f>
        <v>0.96871871404434562</v>
      </c>
      <c r="L25" s="2285">
        <f>'[3]НВВ очистка)'!AD326</f>
        <v>0.96871871404434562</v>
      </c>
      <c r="M25" s="2259">
        <f t="shared" si="2"/>
        <v>0.96871871404434562</v>
      </c>
      <c r="N25" s="2284"/>
      <c r="O25" s="2285">
        <v>0.96871871404434562</v>
      </c>
      <c r="P25" s="2259">
        <f t="shared" si="3"/>
        <v>0.48435935702217281</v>
      </c>
      <c r="Q25" s="2284">
        <v>0.51627471102665679</v>
      </c>
      <c r="R25" s="2285">
        <v>0.51627471102665679</v>
      </c>
      <c r="S25" s="2268">
        <f t="shared" si="4"/>
        <v>0.51627471102665679</v>
      </c>
      <c r="T25" s="2385">
        <f>N25+Q25</f>
        <v>0.51627471102665679</v>
      </c>
      <c r="U25" s="2285">
        <f>O25+R25</f>
        <v>1.4849934250710024</v>
      </c>
      <c r="V25" s="2268">
        <f t="shared" si="5"/>
        <v>1.0006340680488295</v>
      </c>
      <c r="W25" s="2884">
        <f>T25/$T$272*$W$272</f>
        <v>0.11248131277949436</v>
      </c>
      <c r="X25" s="2885">
        <f>U25/$T$272*$W$272</f>
        <v>0.32353707503654883</v>
      </c>
      <c r="Y25" s="2268">
        <f>W25/2+X25/2</f>
        <v>0.21800919390802159</v>
      </c>
      <c r="Z25" s="2884">
        <f>T25/$T$272*$Z$272</f>
        <v>0.40379339824716237</v>
      </c>
      <c r="AA25" s="2885">
        <f>U25/$T$272*$Z$272</f>
        <v>1.1614563500344535</v>
      </c>
      <c r="AB25" s="2268">
        <f>Z25/2+AA25/2</f>
        <v>0.78262487414080795</v>
      </c>
      <c r="AC25" s="2114">
        <f t="shared" si="9"/>
        <v>0</v>
      </c>
      <c r="AD25" s="2114"/>
      <c r="AE25" s="2114"/>
      <c r="AF25" s="2113"/>
      <c r="AG25" s="2113"/>
      <c r="AH25" s="2113"/>
      <c r="AI25" s="2113"/>
    </row>
    <row r="26" spans="1:35" s="2218" customFormat="1" ht="21" customHeight="1">
      <c r="A26" s="2235">
        <v>332</v>
      </c>
      <c r="B26" s="2281" t="s">
        <v>1765</v>
      </c>
      <c r="C26" s="2282" t="s">
        <v>1330</v>
      </c>
      <c r="D26" s="2283" t="s">
        <v>1744</v>
      </c>
      <c r="E26" s="2284">
        <f>'[3]НВВ очистка)'!K327</f>
        <v>189.04308355173791</v>
      </c>
      <c r="F26" s="2285">
        <f>'[3]НВВ очистка)'!L327</f>
        <v>194.71437605829007</v>
      </c>
      <c r="G26" s="2257">
        <f t="shared" si="0"/>
        <v>191.87872980501399</v>
      </c>
      <c r="H26" s="2285">
        <f>'[3]НВВ очистка)'!T327</f>
        <v>121.2837839122308</v>
      </c>
      <c r="I26" s="2285">
        <f>'[3]НВВ очистка)'!U327</f>
        <v>125.6500001330711</v>
      </c>
      <c r="J26" s="2257">
        <f t="shared" si="1"/>
        <v>123.46689202265095</v>
      </c>
      <c r="K26" s="2285">
        <f>'[3]НВВ очистка)'!AC327</f>
        <v>209.82152738256107</v>
      </c>
      <c r="L26" s="2285">
        <f>'[3]НВВ очистка)'!AD327</f>
        <v>218.84385306001124</v>
      </c>
      <c r="M26" s="2259">
        <f t="shared" si="2"/>
        <v>214.33269022128616</v>
      </c>
      <c r="N26" s="2284">
        <v>231.97448424361193</v>
      </c>
      <c r="O26" s="2285">
        <f>N26*1.072</f>
        <v>248.67664710915199</v>
      </c>
      <c r="P26" s="2259">
        <f t="shared" si="3"/>
        <v>240.32556567638196</v>
      </c>
      <c r="Q26" s="2284">
        <v>193.10982178478795</v>
      </c>
      <c r="R26" s="2285">
        <f>Q26*1.072</f>
        <v>207.01372895329271</v>
      </c>
      <c r="S26" s="2268">
        <f t="shared" si="4"/>
        <v>200.06177536904033</v>
      </c>
      <c r="T26" s="2385">
        <f>T24/T25</f>
        <v>193.10982178478795</v>
      </c>
      <c r="U26" s="2285">
        <f>U24/U25</f>
        <v>234.19206376467349</v>
      </c>
      <c r="V26" s="2268">
        <f t="shared" si="5"/>
        <v>213.65094277473071</v>
      </c>
      <c r="W26" s="2385">
        <f>W24/W25</f>
        <v>193.10982178478798</v>
      </c>
      <c r="X26" s="2285">
        <f>X24/X25</f>
        <v>234.19206376467352</v>
      </c>
      <c r="Y26" s="2268">
        <f t="shared" si="6"/>
        <v>213.65094277473077</v>
      </c>
      <c r="Z26" s="2385">
        <f>Z24/Z25</f>
        <v>193.10982178478798</v>
      </c>
      <c r="AA26" s="2285">
        <f>AA24/AA25</f>
        <v>234.19206376467346</v>
      </c>
      <c r="AB26" s="2268">
        <f t="shared" si="7"/>
        <v>213.65094277473071</v>
      </c>
      <c r="AC26" s="2114">
        <f t="shared" si="9"/>
        <v>213.65094277473077</v>
      </c>
      <c r="AD26" s="2114"/>
      <c r="AE26" s="2114"/>
      <c r="AF26" s="2113"/>
      <c r="AG26" s="2113"/>
      <c r="AH26" s="2113"/>
      <c r="AI26" s="2113"/>
    </row>
    <row r="27" spans="1:35" s="2218" customFormat="1" ht="21" customHeight="1">
      <c r="A27" s="2235">
        <v>6</v>
      </c>
      <c r="B27" s="2281" t="s">
        <v>1767</v>
      </c>
      <c r="C27" s="2282" t="s">
        <v>1768</v>
      </c>
      <c r="D27" s="2283" t="s">
        <v>1317</v>
      </c>
      <c r="E27" s="2284">
        <f>'[3]НВВ очистка)'!K328</f>
        <v>102.37555101412174</v>
      </c>
      <c r="F27" s="2285">
        <f>'[3]НВВ очистка)'!L328</f>
        <v>105.44681754454538</v>
      </c>
      <c r="G27" s="2257">
        <f t="shared" si="0"/>
        <v>103.91118427933355</v>
      </c>
      <c r="H27" s="2285">
        <f>'[3]НВВ очистка)'!T328</f>
        <v>3.806493251978635</v>
      </c>
      <c r="I27" s="2285">
        <f>'[3]НВВ очистка)'!U328</f>
        <v>3.9435270090498653</v>
      </c>
      <c r="J27" s="2257">
        <f t="shared" si="1"/>
        <v>3.8750101305142501</v>
      </c>
      <c r="K27" s="2285">
        <f>'[3]НВВ очистка)'!AC328</f>
        <v>34.457386050517925</v>
      </c>
      <c r="L27" s="2285">
        <f>'[3]НВВ очистка)'!AD328</f>
        <v>35.939053650690198</v>
      </c>
      <c r="M27" s="2259">
        <f t="shared" si="2"/>
        <v>35.198219850604062</v>
      </c>
      <c r="N27" s="2284"/>
      <c r="O27" s="2285">
        <f>35.98*1.06*1.072</f>
        <v>40.884793600000002</v>
      </c>
      <c r="P27" s="2259">
        <f t="shared" si="3"/>
        <v>20.442396800000001</v>
      </c>
      <c r="Q27" s="2284">
        <v>0.9325394385239365</v>
      </c>
      <c r="R27" s="2285">
        <f>Q27*1.072</f>
        <v>0.99968227809765997</v>
      </c>
      <c r="S27" s="2268">
        <f t="shared" si="4"/>
        <v>0.96611085831079824</v>
      </c>
      <c r="T27" s="2385">
        <f t="shared" ref="T27:U30" si="10">N27+Q27</f>
        <v>0.9325394385239365</v>
      </c>
      <c r="U27" s="2285">
        <f t="shared" si="10"/>
        <v>41.88447587809766</v>
      </c>
      <c r="V27" s="2268">
        <f t="shared" si="5"/>
        <v>21.4085076583108</v>
      </c>
      <c r="W27" s="2884">
        <f>T27/$T$272*$W$272</f>
        <v>0.20317334555325334</v>
      </c>
      <c r="X27" s="2885">
        <f>U27/$T$272*$W$272</f>
        <v>9.1254146895570791</v>
      </c>
      <c r="Y27" s="2268">
        <f t="shared" si="6"/>
        <v>4.6642940175551661</v>
      </c>
      <c r="Z27" s="2884">
        <f t="shared" ref="Z27:AA30" si="11">T27/$T$272*$Z$272</f>
        <v>0.72936609297068311</v>
      </c>
      <c r="AA27" s="2885">
        <f t="shared" si="11"/>
        <v>32.759061188540578</v>
      </c>
      <c r="AB27" s="2268">
        <f t="shared" si="7"/>
        <v>16.744213640755632</v>
      </c>
      <c r="AC27" s="2114">
        <f t="shared" si="9"/>
        <v>0</v>
      </c>
      <c r="AD27" s="2114"/>
      <c r="AE27" s="2114"/>
      <c r="AF27" s="2113"/>
      <c r="AG27" s="2113"/>
      <c r="AH27" s="2113"/>
      <c r="AI27" s="2113"/>
    </row>
    <row r="28" spans="1:35" s="2218" customFormat="1" ht="39" customHeight="1">
      <c r="A28" s="2235">
        <v>7</v>
      </c>
      <c r="B28" s="2287" t="s">
        <v>1770</v>
      </c>
      <c r="C28" s="2288" t="s">
        <v>1771</v>
      </c>
      <c r="D28" s="2289" t="s">
        <v>1317</v>
      </c>
      <c r="E28" s="2290">
        <f>'[3]НВВ очистка)'!K329</f>
        <v>7335.9637257417326</v>
      </c>
      <c r="F28" s="2291">
        <f>'[3]НВВ очистка)'!L329</f>
        <v>7556.0426375139841</v>
      </c>
      <c r="G28" s="2257">
        <f t="shared" si="0"/>
        <v>7446.0031816278588</v>
      </c>
      <c r="H28" s="2291">
        <f>'[3]НВВ очистка)'!T329</f>
        <v>7307.3199705304523</v>
      </c>
      <c r="I28" s="2291">
        <f>'[3]НВВ очистка)'!U329</f>
        <v>7570.3834894695483</v>
      </c>
      <c r="J28" s="2257">
        <f t="shared" si="1"/>
        <v>7438.8517300000003</v>
      </c>
      <c r="K28" s="2291">
        <f>'[3]НВВ очистка)'!AC329</f>
        <v>5021.8356828193801</v>
      </c>
      <c r="L28" s="2291">
        <f>'[3]НВВ очистка)'!AD329</f>
        <v>5237.7746171806129</v>
      </c>
      <c r="M28" s="2259">
        <f t="shared" si="2"/>
        <v>5129.8051499999965</v>
      </c>
      <c r="N28" s="2291"/>
      <c r="O28" s="2291">
        <v>4702.7477923407905</v>
      </c>
      <c r="P28" s="2259">
        <f t="shared" si="3"/>
        <v>2351.3738961703953</v>
      </c>
      <c r="Q28" s="2290">
        <v>3771.9561787517314</v>
      </c>
      <c r="R28" s="2291">
        <f>Q28*1.072</f>
        <v>4043.5370236218564</v>
      </c>
      <c r="S28" s="2268">
        <f t="shared" si="4"/>
        <v>3907.7466011867937</v>
      </c>
      <c r="T28" s="2467">
        <f t="shared" si="10"/>
        <v>3771.9561787517314</v>
      </c>
      <c r="U28" s="2291">
        <f t="shared" si="10"/>
        <v>8746.2848159626465</v>
      </c>
      <c r="V28" s="2268">
        <f t="shared" si="5"/>
        <v>6259.1204973571894</v>
      </c>
      <c r="W28" s="2377">
        <f>T28/$T$272*$N$272</f>
        <v>821.80004883255515</v>
      </c>
      <c r="X28" s="2256">
        <f>U28/$T$272*$N$272</f>
        <v>1905.562246282562</v>
      </c>
      <c r="Y28" s="2268">
        <f t="shared" si="6"/>
        <v>1363.6811475575587</v>
      </c>
      <c r="Z28" s="2886">
        <f t="shared" si="11"/>
        <v>2950.1561299191758</v>
      </c>
      <c r="AA28" s="2887">
        <f t="shared" si="11"/>
        <v>6840.7225696800833</v>
      </c>
      <c r="AB28" s="2268">
        <f t="shared" si="7"/>
        <v>4895.4393497996298</v>
      </c>
      <c r="AC28" s="2114">
        <f t="shared" si="9"/>
        <v>0</v>
      </c>
      <c r="AD28" s="2114"/>
      <c r="AE28" s="2114"/>
      <c r="AF28" s="2113"/>
      <c r="AG28" s="2113"/>
      <c r="AH28" s="2113"/>
      <c r="AI28" s="2113"/>
    </row>
    <row r="29" spans="1:35" s="2218" customFormat="1" ht="100.5" customHeight="1">
      <c r="A29" s="2235">
        <v>75</v>
      </c>
      <c r="B29" s="2281" t="s">
        <v>1773</v>
      </c>
      <c r="C29" s="2293" t="s">
        <v>1774</v>
      </c>
      <c r="D29" s="2283" t="s">
        <v>1317</v>
      </c>
      <c r="E29" s="2284">
        <f>'[3]НВВ очистка)'!K330</f>
        <v>2829.0980493107681</v>
      </c>
      <c r="F29" s="2285">
        <f>'[3]НВВ очистка)'!L330</f>
        <v>2913.9709907900915</v>
      </c>
      <c r="G29" s="2257">
        <f t="shared" si="0"/>
        <v>2871.5345200504298</v>
      </c>
      <c r="H29" s="2285"/>
      <c r="I29" s="2285"/>
      <c r="J29" s="2257">
        <f t="shared" si="1"/>
        <v>0</v>
      </c>
      <c r="K29" s="2285"/>
      <c r="L29" s="2285"/>
      <c r="M29" s="2259">
        <f t="shared" si="2"/>
        <v>0</v>
      </c>
      <c r="N29" s="2284"/>
      <c r="O29" s="2285"/>
      <c r="P29" s="2259">
        <f t="shared" si="3"/>
        <v>0</v>
      </c>
      <c r="Q29" s="2294">
        <v>0</v>
      </c>
      <c r="R29" s="2296">
        <v>0</v>
      </c>
      <c r="S29" s="2268">
        <f t="shared" si="4"/>
        <v>0</v>
      </c>
      <c r="T29" s="2468">
        <f t="shared" si="10"/>
        <v>0</v>
      </c>
      <c r="U29" s="2296">
        <f t="shared" si="10"/>
        <v>0</v>
      </c>
      <c r="V29" s="2268">
        <f t="shared" si="5"/>
        <v>0</v>
      </c>
      <c r="W29" s="2884">
        <f>T29/$T$272*$W$272</f>
        <v>0</v>
      </c>
      <c r="X29" s="2885">
        <f>U29/$T$272*$W$272</f>
        <v>0</v>
      </c>
      <c r="Y29" s="2268">
        <f>W29/2+X29/2</f>
        <v>0</v>
      </c>
      <c r="Z29" s="2884">
        <f t="shared" si="11"/>
        <v>0</v>
      </c>
      <c r="AA29" s="2885">
        <f t="shared" si="11"/>
        <v>0</v>
      </c>
      <c r="AB29" s="2268">
        <f>Z29/2+AA29/2</f>
        <v>0</v>
      </c>
      <c r="AC29" s="2114">
        <f t="shared" si="9"/>
        <v>0</v>
      </c>
      <c r="AD29" s="2114"/>
      <c r="AE29" s="2114"/>
      <c r="AF29" s="2113"/>
      <c r="AG29" s="2113"/>
      <c r="AH29" s="2113"/>
      <c r="AI29" s="2113"/>
    </row>
    <row r="30" spans="1:35" s="2218" customFormat="1" ht="68.25" customHeight="1">
      <c r="A30" s="2235">
        <v>76</v>
      </c>
      <c r="B30" s="2279" t="s">
        <v>1776</v>
      </c>
      <c r="C30" s="2295" t="s">
        <v>1777</v>
      </c>
      <c r="D30" s="2254" t="s">
        <v>1317</v>
      </c>
      <c r="E30" s="2255">
        <f>E31+E41</f>
        <v>31211.749635957996</v>
      </c>
      <c r="F30" s="2256">
        <f>F31+F41</f>
        <v>32307.671148562462</v>
      </c>
      <c r="G30" s="2257">
        <f t="shared" si="0"/>
        <v>31759.710392260229</v>
      </c>
      <c r="H30" s="2256">
        <f>H31+H41</f>
        <v>34002.560702907809</v>
      </c>
      <c r="I30" s="2256">
        <f>I31+I41</f>
        <v>35052.994415617548</v>
      </c>
      <c r="J30" s="2257">
        <f t="shared" si="1"/>
        <v>34527.777559262679</v>
      </c>
      <c r="K30" s="2256">
        <f>K31+K41</f>
        <v>36997.278630644578</v>
      </c>
      <c r="L30" s="2256">
        <f>L31+L41</f>
        <v>38730.42516142036</v>
      </c>
      <c r="M30" s="2259">
        <f t="shared" si="2"/>
        <v>37863.851896032473</v>
      </c>
      <c r="N30" s="2255">
        <v>0</v>
      </c>
      <c r="O30" s="2256">
        <f>O31+O41</f>
        <v>44217.610923912172</v>
      </c>
      <c r="P30" s="2259">
        <f t="shared" si="3"/>
        <v>22108.805461956086</v>
      </c>
      <c r="Q30" s="2256">
        <f>Q31+Q41</f>
        <v>4588.3050591845513</v>
      </c>
      <c r="R30" s="2256">
        <f>R31+R41</f>
        <v>4918.6630234458389</v>
      </c>
      <c r="S30" s="2268">
        <f t="shared" si="4"/>
        <v>4753.4840413151951</v>
      </c>
      <c r="T30" s="2467">
        <f t="shared" si="10"/>
        <v>4588.3050591845513</v>
      </c>
      <c r="U30" s="2291">
        <f t="shared" si="10"/>
        <v>49136.273947358015</v>
      </c>
      <c r="V30" s="2268">
        <f t="shared" si="5"/>
        <v>26862.289503271284</v>
      </c>
      <c r="W30" s="2377">
        <f>T30/$T$272*$N$272</f>
        <v>999.65883562951842</v>
      </c>
      <c r="X30" s="2256">
        <f>U30/$T$272*$N$272</f>
        <v>10705.371540862334</v>
      </c>
      <c r="Y30" s="2268">
        <f>W30/2+X30/2</f>
        <v>5852.5151882459259</v>
      </c>
      <c r="Z30" s="2886">
        <f t="shared" si="11"/>
        <v>3588.6462235550321</v>
      </c>
      <c r="AA30" s="2887">
        <f t="shared" si="11"/>
        <v>38430.902406495676</v>
      </c>
      <c r="AB30" s="2268">
        <f>Z30/2+AA30/2</f>
        <v>21009.774315025355</v>
      </c>
      <c r="AC30" s="2114">
        <f t="shared" si="9"/>
        <v>0</v>
      </c>
      <c r="AD30" s="2114"/>
      <c r="AE30" s="2114"/>
      <c r="AF30" s="2113"/>
      <c r="AG30" s="2113">
        <v>3588.6462235550321</v>
      </c>
      <c r="AH30" s="2915">
        <v>37534.659346642686</v>
      </c>
      <c r="AI30" s="2113">
        <v>20561.65278509886</v>
      </c>
    </row>
    <row r="31" spans="1:35" s="2218" customFormat="1" ht="38.25" customHeight="1">
      <c r="A31" s="2235">
        <v>77</v>
      </c>
      <c r="B31" s="2279" t="s">
        <v>1778</v>
      </c>
      <c r="C31" s="2280" t="s">
        <v>1779</v>
      </c>
      <c r="D31" s="2254" t="s">
        <v>1317</v>
      </c>
      <c r="E31" s="2255">
        <f>E32*E40*12/1000</f>
        <v>23909.312979824121</v>
      </c>
      <c r="F31" s="2256">
        <f>F32*F40*12/1000</f>
        <v>24786.161392744572</v>
      </c>
      <c r="G31" s="2257">
        <f t="shared" si="0"/>
        <v>24347.737186284347</v>
      </c>
      <c r="H31" s="2256">
        <f>H32*H40*12/1000</f>
        <v>26147.776435949869</v>
      </c>
      <c r="I31" s="2256">
        <f>I32*I40*12/1000</f>
        <v>26963.148291844223</v>
      </c>
      <c r="J31" s="2257">
        <f t="shared" si="1"/>
        <v>26555.462363897044</v>
      </c>
      <c r="K31" s="2256">
        <f>K32*K40*12/1000</f>
        <v>28581.129418778903</v>
      </c>
      <c r="L31" s="2256">
        <f>L32*L40*12/1000</f>
        <v>29887.090531436705</v>
      </c>
      <c r="M31" s="2259">
        <f t="shared" si="2"/>
        <v>29234.109975107804</v>
      </c>
      <c r="N31" s="2255">
        <v>0</v>
      </c>
      <c r="O31" s="2256">
        <f>O32*O40*12/1000</f>
        <v>33961.298712682161</v>
      </c>
      <c r="P31" s="2259">
        <f t="shared" si="3"/>
        <v>16980.64935634108</v>
      </c>
      <c r="Q31" s="2256">
        <f>Q32*Q40*12/1000</f>
        <v>3524.0438242584878</v>
      </c>
      <c r="R31" s="2256">
        <f>R32*R40*12/1000</f>
        <v>3777.7749796050994</v>
      </c>
      <c r="S31" s="2268">
        <f t="shared" si="4"/>
        <v>3650.9094019317936</v>
      </c>
      <c r="T31" s="2256">
        <f>T32*T40*12/1000</f>
        <v>3524.0435779426994</v>
      </c>
      <c r="U31" s="2256">
        <f>U32*U40*12/1000</f>
        <v>37739.077861459431</v>
      </c>
      <c r="V31" s="2268">
        <f t="shared" si="5"/>
        <v>20631.560719701065</v>
      </c>
      <c r="W31" s="2256">
        <f>W32*W40*12/1000</f>
        <v>767.78701680925644</v>
      </c>
      <c r="X31" s="2256">
        <f>X32*X40*12/1000</f>
        <v>8222.2503357771056</v>
      </c>
      <c r="Y31" s="2268">
        <f>W31/2+X31/2</f>
        <v>4495.0186762931808</v>
      </c>
      <c r="Z31" s="2256">
        <f>Z32*Z40*12/1000</f>
        <v>2756.2567001190728</v>
      </c>
      <c r="AA31" s="2256">
        <f>AA32*AA40*12/1000</f>
        <v>29516.81619833862</v>
      </c>
      <c r="AB31" s="2268">
        <f>Z31/2+AA31/2</f>
        <v>16136.536449228846</v>
      </c>
      <c r="AC31" s="2114"/>
      <c r="AD31" s="2114"/>
      <c r="AE31" s="2114"/>
      <c r="AF31" s="2113">
        <v>2756.25670011907</v>
      </c>
      <c r="AG31" s="2113">
        <v>28828.463399879172</v>
      </c>
      <c r="AH31" s="2113"/>
      <c r="AI31" s="2113"/>
    </row>
    <row r="32" spans="1:35" s="2218" customFormat="1" ht="30.75" customHeight="1">
      <c r="A32" s="2235">
        <v>441</v>
      </c>
      <c r="B32" s="2279" t="s">
        <v>1780</v>
      </c>
      <c r="C32" s="2280" t="s">
        <v>1781</v>
      </c>
      <c r="D32" s="2254"/>
      <c r="E32" s="2255">
        <f>E33+E34+E37+E38+E39</f>
        <v>17745.364390614741</v>
      </c>
      <c r="F32" s="2256">
        <f>F33+F34+F37+F38+F39</f>
        <v>18396.15659931333</v>
      </c>
      <c r="G32" s="2257">
        <f t="shared" si="0"/>
        <v>18070.760494964037</v>
      </c>
      <c r="H32" s="2256">
        <f>H33+H34+H37+H38+H39</f>
        <v>19543.185385621746</v>
      </c>
      <c r="I32" s="2256">
        <f>I33+I34+I37+I38+I39</f>
        <v>20152.604828112209</v>
      </c>
      <c r="J32" s="2257">
        <f t="shared" si="1"/>
        <v>19847.895106866978</v>
      </c>
      <c r="K32" s="2256">
        <f>K33+K34+K37+K38+K39</f>
        <v>20486.804194047967</v>
      </c>
      <c r="L32" s="2256">
        <f>L33+L34+L37+L38+L39</f>
        <v>21422.910294266745</v>
      </c>
      <c r="M32" s="2259">
        <f t="shared" si="2"/>
        <v>20954.857244157356</v>
      </c>
      <c r="N32" s="2255">
        <v>0</v>
      </c>
      <c r="O32" s="2256">
        <f>O33+O34+O37+O38+O39</f>
        <v>24343.28142558119</v>
      </c>
      <c r="P32" s="2259">
        <f t="shared" si="3"/>
        <v>12171.640712790595</v>
      </c>
      <c r="Q32" s="2256">
        <f>Q33+Q34+Q37+Q38+Q39</f>
        <v>22590.024514477485</v>
      </c>
      <c r="R32" s="2256">
        <f>R33+R34+R37+R38+R39</f>
        <v>24216.506279519868</v>
      </c>
      <c r="S32" s="2268">
        <f t="shared" si="4"/>
        <v>23403.265396998679</v>
      </c>
      <c r="T32" s="2256">
        <f>T33+T34+T37+T38+T39</f>
        <v>22590.02293553012</v>
      </c>
      <c r="U32" s="2256">
        <f>U33+U34+U37+U38+U39</f>
        <v>24330.533852550529</v>
      </c>
      <c r="V32" s="2268">
        <f t="shared" si="5"/>
        <v>23460.278394040324</v>
      </c>
      <c r="W32" s="2256">
        <f>W33+W34+W37+W38+W39</f>
        <v>22590.021356582751</v>
      </c>
      <c r="X32" s="2256">
        <f>X33+X34+X37+X38+X39</f>
        <v>24330.527519918949</v>
      </c>
      <c r="Y32" s="2268">
        <f t="shared" si="6"/>
        <v>23460.27443825085</v>
      </c>
      <c r="Z32" s="2256">
        <f>Z33+Z34+Z37+Z38+Z39</f>
        <v>22590.024514477485</v>
      </c>
      <c r="AA32" s="2256">
        <f>AA33+AA34+AA37+AA38+AA39</f>
        <v>24330.526279519865</v>
      </c>
      <c r="AB32" s="2268">
        <f t="shared" si="7"/>
        <v>23460.275396998673</v>
      </c>
      <c r="AC32" s="2114"/>
      <c r="AD32" s="2114"/>
      <c r="AE32" s="2114"/>
      <c r="AF32" s="2114">
        <f>AF31-Z31</f>
        <v>0</v>
      </c>
      <c r="AG32" s="2114">
        <f>AG31-AA31</f>
        <v>-688.35279845944751</v>
      </c>
      <c r="AH32" s="2113"/>
      <c r="AI32" s="2113"/>
    </row>
    <row r="33" spans="1:35" s="2218" customFormat="1" ht="21" customHeight="1">
      <c r="A33" s="2235">
        <v>304</v>
      </c>
      <c r="B33" s="2281" t="s">
        <v>1782</v>
      </c>
      <c r="C33" s="2282" t="s">
        <v>1783</v>
      </c>
      <c r="D33" s="2283" t="s">
        <v>1784</v>
      </c>
      <c r="E33" s="2284"/>
      <c r="F33" s="2285"/>
      <c r="G33" s="2257">
        <f t="shared" si="0"/>
        <v>0</v>
      </c>
      <c r="H33" s="2285"/>
      <c r="I33" s="2285"/>
      <c r="J33" s="2257">
        <f t="shared" si="1"/>
        <v>0</v>
      </c>
      <c r="K33" s="2285"/>
      <c r="L33" s="2285"/>
      <c r="M33" s="2259">
        <f t="shared" si="2"/>
        <v>0</v>
      </c>
      <c r="N33" s="2284"/>
      <c r="O33" s="2285"/>
      <c r="P33" s="2259">
        <f t="shared" si="3"/>
        <v>0</v>
      </c>
      <c r="Q33" s="2285"/>
      <c r="R33" s="2285"/>
      <c r="S33" s="2268">
        <f t="shared" si="4"/>
        <v>0</v>
      </c>
      <c r="T33" s="2284">
        <v>0</v>
      </c>
      <c r="U33" s="2285">
        <v>0</v>
      </c>
      <c r="V33" s="2268">
        <f t="shared" si="5"/>
        <v>0</v>
      </c>
      <c r="W33" s="2284">
        <v>0</v>
      </c>
      <c r="X33" s="2285">
        <v>0</v>
      </c>
      <c r="Y33" s="2268">
        <f t="shared" si="6"/>
        <v>0</v>
      </c>
      <c r="Z33" s="2284">
        <v>0</v>
      </c>
      <c r="AA33" s="2285">
        <v>0</v>
      </c>
      <c r="AB33" s="2268">
        <f t="shared" si="7"/>
        <v>0</v>
      </c>
      <c r="AC33" s="2114"/>
      <c r="AD33" s="2114"/>
      <c r="AE33" s="2114"/>
      <c r="AF33" s="2113"/>
      <c r="AG33" s="2113">
        <f>AG32/12/AA40*1000</f>
        <v>-567.4048901466989</v>
      </c>
      <c r="AH33" s="2113"/>
      <c r="AI33" s="2113"/>
    </row>
    <row r="34" spans="1:35" s="2218" customFormat="1" ht="21" customHeight="1">
      <c r="A34" s="2235">
        <v>442</v>
      </c>
      <c r="B34" s="2279" t="s">
        <v>1785</v>
      </c>
      <c r="C34" s="2280" t="s">
        <v>1786</v>
      </c>
      <c r="D34" s="2254"/>
      <c r="E34" s="2255">
        <f>E35*E36</f>
        <v>4698.317873684211</v>
      </c>
      <c r="F34" s="2256">
        <f>F35*F36</f>
        <v>4891.1592789473689</v>
      </c>
      <c r="G34" s="2257">
        <f t="shared" si="0"/>
        <v>4794.7385763157899</v>
      </c>
      <c r="H34" s="2256">
        <f>H35*H36</f>
        <v>8703.3315789473691</v>
      </c>
      <c r="I34" s="2256">
        <f>I35*I36</f>
        <v>8968.4868421052633</v>
      </c>
      <c r="J34" s="2257">
        <f t="shared" si="1"/>
        <v>8835.9092105263153</v>
      </c>
      <c r="K34" s="2256">
        <f>K35*K36</f>
        <v>8968.4868421052633</v>
      </c>
      <c r="L34" s="2256">
        <f>L35*L36</f>
        <v>9420.8105263157904</v>
      </c>
      <c r="M34" s="2259">
        <f t="shared" si="2"/>
        <v>9194.648684210526</v>
      </c>
      <c r="N34" s="2255">
        <v>0</v>
      </c>
      <c r="O34" s="2256">
        <f>O35*O36</f>
        <v>10705.05541726316</v>
      </c>
      <c r="P34" s="2259">
        <f t="shared" si="3"/>
        <v>5352.52770863158</v>
      </c>
      <c r="Q34" s="2256">
        <f>Q35*Q36</f>
        <v>9792.302315789475</v>
      </c>
      <c r="R34" s="2256">
        <f>R35*R36</f>
        <v>10497.348082526318</v>
      </c>
      <c r="S34" s="2268">
        <f t="shared" si="4"/>
        <v>10144.825199157896</v>
      </c>
      <c r="T34" s="2256">
        <f>T35*T36</f>
        <v>9889.1807368421069</v>
      </c>
      <c r="U34" s="2256">
        <f>U35*U36</f>
        <v>10601.201749894739</v>
      </c>
      <c r="V34" s="2267">
        <f t="shared" si="5"/>
        <v>10245.191243368423</v>
      </c>
      <c r="W34" s="2256">
        <f>W35*W36</f>
        <v>9986.0591578947387</v>
      </c>
      <c r="X34" s="2256">
        <f>X35*X36</f>
        <v>10705.05541726316</v>
      </c>
      <c r="Y34" s="2268">
        <f t="shared" si="6"/>
        <v>10345.557287578949</v>
      </c>
      <c r="Z34" s="2256">
        <f>Z35*Z36</f>
        <v>9792.302315789475</v>
      </c>
      <c r="AA34" s="2256">
        <f>AA35*AA36</f>
        <v>10497.348082526318</v>
      </c>
      <c r="AB34" s="2268">
        <f t="shared" si="7"/>
        <v>10144.825199157896</v>
      </c>
      <c r="AC34" s="2114"/>
      <c r="AD34" s="2114"/>
      <c r="AE34" s="2114"/>
      <c r="AF34" s="2113"/>
      <c r="AG34" s="2113"/>
      <c r="AH34" s="2113"/>
      <c r="AI34" s="2113"/>
    </row>
    <row r="35" spans="1:35" s="2218" customFormat="1" ht="21" customHeight="1">
      <c r="A35" s="2235">
        <v>82</v>
      </c>
      <c r="B35" s="2281" t="s">
        <v>1787</v>
      </c>
      <c r="C35" s="2282" t="s">
        <v>1788</v>
      </c>
      <c r="D35" s="2283" t="s">
        <v>1784</v>
      </c>
      <c r="E35" s="2284">
        <f>'[3]НВВ очистка)'!K336</f>
        <v>5360</v>
      </c>
      <c r="F35" s="2285">
        <f>'[3]НВВ очистка)'!L336</f>
        <v>5580</v>
      </c>
      <c r="G35" s="2257">
        <f t="shared" si="0"/>
        <v>5470</v>
      </c>
      <c r="H35" s="2285">
        <f>'[3]НВВ очистка)'!T336</f>
        <v>5580</v>
      </c>
      <c r="I35" s="2285">
        <f>'[3]НВВ очистка)'!U336</f>
        <v>5750</v>
      </c>
      <c r="J35" s="2257">
        <f t="shared" si="1"/>
        <v>5665</v>
      </c>
      <c r="K35" s="2285">
        <f>'[3]НВВ очистка)'!AC336</f>
        <v>5750</v>
      </c>
      <c r="L35" s="2285">
        <f>'[3]НВВ очистка)'!AD336</f>
        <v>6040</v>
      </c>
      <c r="M35" s="2259">
        <f t="shared" si="2"/>
        <v>5895</v>
      </c>
      <c r="N35" s="2284"/>
      <c r="O35" s="2285">
        <f>L35*1.06*1.072</f>
        <v>6863.372800000001</v>
      </c>
      <c r="P35" s="2259">
        <f t="shared" si="3"/>
        <v>3431.6864000000005</v>
      </c>
      <c r="Q35" s="2284">
        <v>6402.4000000000005</v>
      </c>
      <c r="R35" s="2285">
        <f>Q35*1.072</f>
        <v>6863.372800000001</v>
      </c>
      <c r="S35" s="2268">
        <f t="shared" si="4"/>
        <v>6632.8864000000012</v>
      </c>
      <c r="T35" s="2284">
        <f>Q35</f>
        <v>6402.4000000000005</v>
      </c>
      <c r="U35" s="2285">
        <f>R35</f>
        <v>6863.372800000001</v>
      </c>
      <c r="V35" s="2268">
        <f t="shared" si="5"/>
        <v>6632.8864000000012</v>
      </c>
      <c r="W35" s="2284">
        <f>T35</f>
        <v>6402.4000000000005</v>
      </c>
      <c r="X35" s="2285">
        <f>U35</f>
        <v>6863.372800000001</v>
      </c>
      <c r="Y35" s="2268">
        <f t="shared" si="6"/>
        <v>6632.8864000000012</v>
      </c>
      <c r="Z35" s="2284">
        <f>W35</f>
        <v>6402.4000000000005</v>
      </c>
      <c r="AA35" s="2285">
        <f>X35</f>
        <v>6863.372800000001</v>
      </c>
      <c r="AB35" s="2268">
        <f t="shared" si="7"/>
        <v>6632.8864000000012</v>
      </c>
      <c r="AC35" s="2114"/>
      <c r="AD35" s="2114"/>
      <c r="AE35" s="2114"/>
      <c r="AF35" s="2113"/>
      <c r="AG35" s="2113"/>
      <c r="AH35" s="2113"/>
      <c r="AI35" s="2113"/>
    </row>
    <row r="36" spans="1:35" s="2218" customFormat="1" ht="21" customHeight="1">
      <c r="A36" s="2235">
        <v>85</v>
      </c>
      <c r="B36" s="2281" t="s">
        <v>1789</v>
      </c>
      <c r="C36" s="2282" t="s">
        <v>1790</v>
      </c>
      <c r="D36" s="2283"/>
      <c r="E36" s="2284">
        <f>'[3]НВВ очистка)'!K337</f>
        <v>0.87655184210526327</v>
      </c>
      <c r="F36" s="2285">
        <f>'[3]НВВ очистка)'!L337</f>
        <v>0.87655184210526327</v>
      </c>
      <c r="G36" s="2257">
        <f t="shared" si="0"/>
        <v>0.87655184210526327</v>
      </c>
      <c r="H36" s="2285">
        <f>'[3]НВВ очистка)'!T337</f>
        <v>1.5597368421052633</v>
      </c>
      <c r="I36" s="2285">
        <f>'[3]НВВ очистка)'!U337</f>
        <v>1.5597368421052633</v>
      </c>
      <c r="J36" s="2257">
        <f t="shared" si="1"/>
        <v>1.5597368421052633</v>
      </c>
      <c r="K36" s="2285">
        <f>'[3]НВВ очистка)'!AC337</f>
        <v>1.5597368421052633</v>
      </c>
      <c r="L36" s="2285">
        <f>'[3]НВВ очистка)'!AD337</f>
        <v>1.5597368421052633</v>
      </c>
      <c r="M36" s="2259">
        <f t="shared" si="2"/>
        <v>1.5597368421052633</v>
      </c>
      <c r="N36" s="2284">
        <v>1.5597368421052633</v>
      </c>
      <c r="O36" s="2285">
        <v>1.5597368421052633</v>
      </c>
      <c r="P36" s="2259">
        <f t="shared" si="3"/>
        <v>1.5597368421052633</v>
      </c>
      <c r="Q36" s="2284">
        <v>1.5294736842105263</v>
      </c>
      <c r="R36" s="2285">
        <v>1.5294736842105263</v>
      </c>
      <c r="S36" s="2268">
        <f t="shared" si="4"/>
        <v>1.5294736842105263</v>
      </c>
      <c r="T36" s="2294">
        <f>(N36+Q36)/2</f>
        <v>1.5446052631578948</v>
      </c>
      <c r="U36" s="2294">
        <f>(O36+R36)/2</f>
        <v>1.5446052631578948</v>
      </c>
      <c r="V36" s="2268">
        <f t="shared" si="5"/>
        <v>1.5446052631578948</v>
      </c>
      <c r="W36" s="2294">
        <v>1.5597368421052633</v>
      </c>
      <c r="X36" s="2296">
        <v>1.5597368421052633</v>
      </c>
      <c r="Y36" s="2268">
        <f t="shared" si="6"/>
        <v>1.5597368421052633</v>
      </c>
      <c r="Z36" s="2294">
        <v>1.5294736842105263</v>
      </c>
      <c r="AA36" s="2296">
        <v>1.5294736842105263</v>
      </c>
      <c r="AB36" s="2268">
        <f t="shared" si="7"/>
        <v>1.5294736842105263</v>
      </c>
      <c r="AC36" s="2115">
        <f>N36+Q36</f>
        <v>3.0892105263157896</v>
      </c>
      <c r="AD36" s="2114"/>
      <c r="AE36" s="2114"/>
      <c r="AF36" s="2113"/>
      <c r="AG36" s="2113"/>
      <c r="AH36" s="2113"/>
      <c r="AI36" s="2113"/>
    </row>
    <row r="37" spans="1:35" s="2218" customFormat="1" ht="37.5" customHeight="1">
      <c r="A37" s="2235">
        <v>457</v>
      </c>
      <c r="B37" s="2281" t="s">
        <v>1791</v>
      </c>
      <c r="C37" s="2282" t="s">
        <v>1792</v>
      </c>
      <c r="D37" s="2283" t="s">
        <v>1793</v>
      </c>
      <c r="E37" s="2284">
        <f>'[3]НВВ очистка)'!K338</f>
        <v>5229.5256315789466</v>
      </c>
      <c r="F37" s="2285">
        <f>'[3]НВВ очистка)'!L338</f>
        <v>5404.8028939584219</v>
      </c>
      <c r="G37" s="2257">
        <f t="shared" si="0"/>
        <v>5317.1642627686842</v>
      </c>
      <c r="H37" s="2285">
        <f>'[3]НВВ очистка)'!T338</f>
        <v>5476.2646829473706</v>
      </c>
      <c r="I37" s="2285">
        <f>'[3]НВВ очистка)'!U338</f>
        <v>5402.2675501052636</v>
      </c>
      <c r="J37" s="2257">
        <f t="shared" si="1"/>
        <v>5439.2661165263171</v>
      </c>
      <c r="K37" s="2285">
        <f>'[3]НВВ очистка)'!AC338</f>
        <v>6543.8620795555553</v>
      </c>
      <c r="L37" s="2285">
        <f>'[3]НВВ очистка)'!AD338</f>
        <v>6769.1494534444437</v>
      </c>
      <c r="M37" s="2259">
        <f t="shared" si="2"/>
        <v>6656.5057664999995</v>
      </c>
      <c r="N37" s="2284"/>
      <c r="O37" s="2285">
        <f>L37*1.06*1.072</f>
        <v>7691.9199069379911</v>
      </c>
      <c r="P37" s="2259">
        <f t="shared" si="3"/>
        <v>3845.9599534689955</v>
      </c>
      <c r="Q37" s="2284">
        <v>6861.0163611111111</v>
      </c>
      <c r="R37" s="2285">
        <f>Q37*1.072</f>
        <v>7355.0095391111117</v>
      </c>
      <c r="S37" s="2268">
        <f t="shared" si="4"/>
        <v>7108.0129501111114</v>
      </c>
      <c r="T37" s="2385">
        <f>N37+Q37-96.88</f>
        <v>6764.136361111111</v>
      </c>
      <c r="U37" s="2285">
        <f>(O37+R37)/2+50.64</f>
        <v>7574.1047230245522</v>
      </c>
      <c r="V37" s="2268">
        <f t="shared" si="5"/>
        <v>7169.1205420678316</v>
      </c>
      <c r="W37" s="2884">
        <f>6764.13636111111-96.88</f>
        <v>6667.25636111111</v>
      </c>
      <c r="X37" s="2885">
        <f>7574.10472302455-103.86</f>
        <v>7470.2447230245507</v>
      </c>
      <c r="Y37" s="2268">
        <f t="shared" si="6"/>
        <v>7068.7505420678299</v>
      </c>
      <c r="Z37" s="2884">
        <v>6861.0163611111111</v>
      </c>
      <c r="AA37" s="2885">
        <f>7355.00953911111+114.02</f>
        <v>7469.0295391111104</v>
      </c>
      <c r="AB37" s="2268">
        <f t="shared" si="7"/>
        <v>7165.0229501111107</v>
      </c>
      <c r="AC37" s="2115">
        <f>AC36/2</f>
        <v>1.5446052631578948</v>
      </c>
      <c r="AD37" s="2114"/>
      <c r="AE37" s="2114"/>
      <c r="AF37" s="2113"/>
      <c r="AG37" s="2113"/>
      <c r="AH37" s="2113"/>
      <c r="AI37" s="2113"/>
    </row>
    <row r="38" spans="1:35" s="2218" customFormat="1" ht="21" customHeight="1">
      <c r="A38" s="2235">
        <v>458</v>
      </c>
      <c r="B38" s="2281" t="s">
        <v>1794</v>
      </c>
      <c r="C38" s="2282" t="s">
        <v>1795</v>
      </c>
      <c r="D38" s="2283" t="s">
        <v>1784</v>
      </c>
      <c r="E38" s="2284">
        <f>'[3]НВВ очистка)'!K339</f>
        <v>7817.5208853515833</v>
      </c>
      <c r="F38" s="2285">
        <f>'[3]НВВ очистка)'!L339</f>
        <v>8100.19442640754</v>
      </c>
      <c r="G38" s="2257">
        <f t="shared" si="0"/>
        <v>7958.8576558795612</v>
      </c>
      <c r="H38" s="2285">
        <f>'[3]НВВ очистка)'!T339</f>
        <v>5363.5891237270052</v>
      </c>
      <c r="I38" s="2285">
        <f>'[3]НВВ очистка)'!U339</f>
        <v>5781.8504359016833</v>
      </c>
      <c r="J38" s="2257">
        <f t="shared" si="1"/>
        <v>5572.7197798143443</v>
      </c>
      <c r="K38" s="2285">
        <f>'[3]НВВ очистка)'!AC339</f>
        <v>4974.4552723871502</v>
      </c>
      <c r="L38" s="2285">
        <f>'[3]НВВ очистка)'!AD339</f>
        <v>5232.95031450651</v>
      </c>
      <c r="M38" s="2259">
        <f t="shared" si="2"/>
        <v>5103.7027934468297</v>
      </c>
      <c r="N38" s="2284"/>
      <c r="O38" s="2285">
        <f>L38*1.06*1.072</f>
        <v>5946.3061013800379</v>
      </c>
      <c r="P38" s="2259">
        <f t="shared" si="3"/>
        <v>2973.153050690019</v>
      </c>
      <c r="Q38" s="2284">
        <v>5936.7058375769011</v>
      </c>
      <c r="R38" s="2285">
        <f>Q38*1.072</f>
        <v>6364.1486578824388</v>
      </c>
      <c r="S38" s="2268">
        <f t="shared" si="4"/>
        <v>6150.4272477296699</v>
      </c>
      <c r="T38" s="2385">
        <f>N38+Q38</f>
        <v>5936.7058375769011</v>
      </c>
      <c r="U38" s="2285">
        <f>(O38+R38)/2</f>
        <v>6155.2273796312384</v>
      </c>
      <c r="V38" s="2268">
        <f t="shared" si="5"/>
        <v>6045.9666086040697</v>
      </c>
      <c r="W38" s="2884">
        <v>5936.7058375769011</v>
      </c>
      <c r="X38" s="2885">
        <v>6155.2273796312384</v>
      </c>
      <c r="Y38" s="2268">
        <f t="shared" si="6"/>
        <v>6045.9666086040697</v>
      </c>
      <c r="Z38" s="2884">
        <v>5936.7058375769011</v>
      </c>
      <c r="AA38" s="2885">
        <v>6364.1486578824388</v>
      </c>
      <c r="AB38" s="2268">
        <f t="shared" si="7"/>
        <v>6150.4272477296699</v>
      </c>
      <c r="AC38" s="2115">
        <f t="shared" ref="AC38:AC52" si="12">Y38+AB38-V38</f>
        <v>6150.4272477296699</v>
      </c>
      <c r="AD38" s="2114"/>
      <c r="AE38" s="2114"/>
      <c r="AF38" s="2113"/>
      <c r="AG38" s="2113"/>
      <c r="AH38" s="2113"/>
      <c r="AI38" s="2113"/>
    </row>
    <row r="39" spans="1:35" s="2218" customFormat="1" ht="30.75" customHeight="1">
      <c r="A39" s="2235">
        <v>459</v>
      </c>
      <c r="B39" s="2281" t="s">
        <v>1796</v>
      </c>
      <c r="C39" s="2282" t="s">
        <v>1797</v>
      </c>
      <c r="D39" s="2283" t="s">
        <v>1784</v>
      </c>
      <c r="E39" s="2284">
        <f>'[3]НВВ очистка)'!K340</f>
        <v>0</v>
      </c>
      <c r="F39" s="2285">
        <f>'[3]НВВ очистка)'!L340</f>
        <v>0</v>
      </c>
      <c r="G39" s="2257">
        <f t="shared" si="0"/>
        <v>0</v>
      </c>
      <c r="H39" s="2285">
        <f>'[3]НВВ очистка)'!T340</f>
        <v>0</v>
      </c>
      <c r="I39" s="2285">
        <f>'[3]НВВ очистка)'!U340</f>
        <v>0</v>
      </c>
      <c r="J39" s="2257">
        <f t="shared" si="1"/>
        <v>0</v>
      </c>
      <c r="K39" s="2285">
        <f>'[3]НВВ очистка)'!AC340</f>
        <v>0</v>
      </c>
      <c r="L39" s="2285">
        <f>'[3]НВВ очистка)'!AD340</f>
        <v>0</v>
      </c>
      <c r="M39" s="2259">
        <f t="shared" si="2"/>
        <v>0</v>
      </c>
      <c r="N39" s="2284"/>
      <c r="O39" s="2285"/>
      <c r="P39" s="2259">
        <f t="shared" si="3"/>
        <v>0</v>
      </c>
      <c r="Q39" s="2284">
        <v>0</v>
      </c>
      <c r="R39" s="2285">
        <v>0</v>
      </c>
      <c r="S39" s="2268">
        <f t="shared" si="4"/>
        <v>0</v>
      </c>
      <c r="T39" s="2294">
        <v>0</v>
      </c>
      <c r="U39" s="2296">
        <v>0</v>
      </c>
      <c r="V39" s="2268">
        <f t="shared" si="5"/>
        <v>0</v>
      </c>
      <c r="W39" s="2294">
        <v>0</v>
      </c>
      <c r="X39" s="2296">
        <v>0</v>
      </c>
      <c r="Y39" s="2268">
        <f t="shared" si="6"/>
        <v>0</v>
      </c>
      <c r="Z39" s="2294">
        <v>0</v>
      </c>
      <c r="AA39" s="2296">
        <v>0</v>
      </c>
      <c r="AB39" s="2268">
        <f t="shared" si="7"/>
        <v>0</v>
      </c>
      <c r="AC39" s="2114">
        <f t="shared" si="12"/>
        <v>0</v>
      </c>
      <c r="AD39" s="2114"/>
      <c r="AE39" s="2114"/>
      <c r="AF39" s="2113"/>
      <c r="AG39" s="2113"/>
      <c r="AH39" s="2113"/>
      <c r="AI39" s="2113"/>
    </row>
    <row r="40" spans="1:35" s="2218" customFormat="1" ht="38.25" customHeight="1">
      <c r="A40" s="2235">
        <v>78</v>
      </c>
      <c r="B40" s="2281" t="s">
        <v>1798</v>
      </c>
      <c r="C40" s="2282" t="s">
        <v>1799</v>
      </c>
      <c r="D40" s="2283" t="s">
        <v>1800</v>
      </c>
      <c r="E40" s="2284">
        <f>'[3]НВВ очистка)'!K341</f>
        <v>112.27961874778126</v>
      </c>
      <c r="F40" s="2285">
        <f>'[3]НВВ очистка)'!L341</f>
        <v>112.27961874778126</v>
      </c>
      <c r="G40" s="2257">
        <f t="shared" si="0"/>
        <v>112.27961874778126</v>
      </c>
      <c r="H40" s="2285">
        <f>'[3]НВВ очистка)'!T341</f>
        <v>111.49571201763264</v>
      </c>
      <c r="I40" s="2285">
        <f>'[3]НВВ очистка)'!U341</f>
        <v>111.49571201763264</v>
      </c>
      <c r="J40" s="2257">
        <f t="shared" si="1"/>
        <v>111.49571201763264</v>
      </c>
      <c r="K40" s="2285">
        <f>'[3]НВВ очистка)'!AC341</f>
        <v>116.25828813213411</v>
      </c>
      <c r="L40" s="2285">
        <f>'[3]НВВ очистка)'!AD341</f>
        <v>116.25828813213411</v>
      </c>
      <c r="M40" s="2259">
        <f t="shared" si="2"/>
        <v>116.25828813213411</v>
      </c>
      <c r="N40" s="2284"/>
      <c r="O40" s="2285">
        <v>116.25828813213411</v>
      </c>
      <c r="P40" s="2259">
        <f t="shared" si="3"/>
        <v>58.129144066067056</v>
      </c>
      <c r="Q40" s="2284">
        <v>13</v>
      </c>
      <c r="R40" s="2285">
        <v>13</v>
      </c>
      <c r="S40" s="2268">
        <f t="shared" si="4"/>
        <v>13</v>
      </c>
      <c r="T40" s="2385">
        <f t="shared" ref="T40:U56" si="13">N40+Q40</f>
        <v>13</v>
      </c>
      <c r="U40" s="2285">
        <f t="shared" si="13"/>
        <v>129.25828813213411</v>
      </c>
      <c r="V40" s="2268">
        <f t="shared" si="5"/>
        <v>71.129144066067056</v>
      </c>
      <c r="W40" s="2884">
        <f>T40/$T$272*$W$272</f>
        <v>2.8323236348834566</v>
      </c>
      <c r="X40" s="2885">
        <f>U40/$T$272*$W$272</f>
        <v>28.161638806247634</v>
      </c>
      <c r="Y40" s="2268">
        <f>W40/2+X40/2</f>
        <v>15.496981220565544</v>
      </c>
      <c r="Z40" s="2884">
        <f t="shared" ref="Z40:AA56" si="14">T40/$T$272*$Z$272</f>
        <v>10.167676365116543</v>
      </c>
      <c r="AA40" s="2885">
        <f t="shared" si="14"/>
        <v>101.09664932588647</v>
      </c>
      <c r="AB40" s="2268">
        <f>Z40/2+AA40/2</f>
        <v>55.632162845501512</v>
      </c>
      <c r="AC40" s="2114">
        <f t="shared" si="12"/>
        <v>0</v>
      </c>
      <c r="AD40" s="2114"/>
      <c r="AE40" s="2114"/>
      <c r="AF40" s="2113"/>
      <c r="AG40" s="2113"/>
      <c r="AH40" s="2113"/>
      <c r="AI40" s="2113"/>
    </row>
    <row r="41" spans="1:35" s="2218" customFormat="1" ht="56.25" customHeight="1">
      <c r="A41" s="2235">
        <v>88</v>
      </c>
      <c r="B41" s="2287" t="s">
        <v>1802</v>
      </c>
      <c r="C41" s="2288" t="s">
        <v>1803</v>
      </c>
      <c r="D41" s="2289" t="s">
        <v>1317</v>
      </c>
      <c r="E41" s="2290">
        <f>'[3]НВВ очистка)'!K342</f>
        <v>7302.4366561338757</v>
      </c>
      <c r="F41" s="2291">
        <f>'[3]НВВ очистка)'!L342</f>
        <v>7521.5097558178913</v>
      </c>
      <c r="G41" s="2257">
        <f t="shared" si="0"/>
        <v>7411.9732059758835</v>
      </c>
      <c r="H41" s="2291">
        <f>'[3]НВВ очистка)'!T342</f>
        <v>7854.7842669579368</v>
      </c>
      <c r="I41" s="2291">
        <f>'[3]НВВ очистка)'!U342</f>
        <v>8089.8461237733281</v>
      </c>
      <c r="J41" s="2257">
        <f t="shared" si="1"/>
        <v>7972.3151953656325</v>
      </c>
      <c r="K41" s="2291">
        <f>'[3]НВВ очистка)'!AC342</f>
        <v>8416.1492118656734</v>
      </c>
      <c r="L41" s="2291">
        <f>'[3]НВВ очистка)'!AD342</f>
        <v>8843.3346299836558</v>
      </c>
      <c r="M41" s="2259">
        <f t="shared" si="2"/>
        <v>8629.7419209246655</v>
      </c>
      <c r="N41" s="2467">
        <v>0</v>
      </c>
      <c r="O41" s="2290">
        <f>O31*0.302</f>
        <v>10256.312211230012</v>
      </c>
      <c r="P41" s="2259">
        <f t="shared" si="3"/>
        <v>5128.1561056150058</v>
      </c>
      <c r="Q41" s="2291">
        <f>Q31*0.302</f>
        <v>1064.2612349260633</v>
      </c>
      <c r="R41" s="2291">
        <f>R31*0.302</f>
        <v>1140.88804384074</v>
      </c>
      <c r="S41" s="2268">
        <f t="shared" si="4"/>
        <v>1102.5746393834015</v>
      </c>
      <c r="T41" s="2467">
        <f t="shared" si="13"/>
        <v>1064.2612349260633</v>
      </c>
      <c r="U41" s="2291">
        <f t="shared" si="13"/>
        <v>11397.200255070751</v>
      </c>
      <c r="V41" s="2268">
        <f t="shared" si="5"/>
        <v>6230.7307449984073</v>
      </c>
      <c r="W41" s="2377">
        <f>T41/$T$272*$N$272</f>
        <v>231.87171149010334</v>
      </c>
      <c r="X41" s="2256">
        <f>U41/$T$272*$N$272</f>
        <v>2483.1199733797421</v>
      </c>
      <c r="Y41" s="2268">
        <f>W41/2+X41/2</f>
        <v>1357.4958424349227</v>
      </c>
      <c r="Z41" s="2886">
        <f t="shared" si="14"/>
        <v>832.38952343595975</v>
      </c>
      <c r="AA41" s="2887">
        <f t="shared" si="14"/>
        <v>8914.0802816910073</v>
      </c>
      <c r="AB41" s="2268">
        <f>Z41/2+AA41/2</f>
        <v>4873.234902563483</v>
      </c>
      <c r="AC41" s="2114">
        <f t="shared" si="12"/>
        <v>0</v>
      </c>
      <c r="AD41" s="2114"/>
      <c r="AE41" s="2114"/>
      <c r="AF41" s="2113"/>
      <c r="AG41" s="2113"/>
      <c r="AH41" s="2113"/>
      <c r="AI41" s="2113"/>
    </row>
    <row r="42" spans="1:35" s="2218" customFormat="1" ht="33.75" customHeight="1">
      <c r="A42" s="2235">
        <v>287</v>
      </c>
      <c r="B42" s="2281" t="s">
        <v>1805</v>
      </c>
      <c r="C42" s="2282" t="s">
        <v>1806</v>
      </c>
      <c r="D42" s="2283" t="s">
        <v>1313</v>
      </c>
      <c r="E42" s="2284"/>
      <c r="F42" s="2285"/>
      <c r="G42" s="2257">
        <f t="shared" si="0"/>
        <v>0</v>
      </c>
      <c r="H42" s="2285"/>
      <c r="I42" s="2285"/>
      <c r="J42" s="2257">
        <f t="shared" si="1"/>
        <v>0</v>
      </c>
      <c r="K42" s="2285"/>
      <c r="L42" s="2285"/>
      <c r="M42" s="2259">
        <f t="shared" si="2"/>
        <v>0</v>
      </c>
      <c r="N42" s="2284"/>
      <c r="O42" s="2285"/>
      <c r="P42" s="2259">
        <f t="shared" si="3"/>
        <v>0</v>
      </c>
      <c r="Q42" s="2284">
        <v>0</v>
      </c>
      <c r="R42" s="2285">
        <v>0</v>
      </c>
      <c r="S42" s="2268">
        <f t="shared" si="4"/>
        <v>0</v>
      </c>
      <c r="T42" s="2385">
        <f t="shared" si="13"/>
        <v>0</v>
      </c>
      <c r="U42" s="2285">
        <f t="shared" si="13"/>
        <v>0</v>
      </c>
      <c r="V42" s="2268">
        <f t="shared" si="5"/>
        <v>0</v>
      </c>
      <c r="W42" s="2884">
        <f>T42/$T$272*$W$272</f>
        <v>0</v>
      </c>
      <c r="X42" s="2885">
        <f>U42/$T$272*$W$272</f>
        <v>0</v>
      </c>
      <c r="Y42" s="2268">
        <f>W42/2+X42/2</f>
        <v>0</v>
      </c>
      <c r="Z42" s="2884">
        <f t="shared" si="14"/>
        <v>0</v>
      </c>
      <c r="AA42" s="2885">
        <f t="shared" si="14"/>
        <v>0</v>
      </c>
      <c r="AB42" s="2268">
        <f>Z42/2+AA42/2</f>
        <v>0</v>
      </c>
      <c r="AC42" s="2114">
        <f t="shared" si="12"/>
        <v>0</v>
      </c>
      <c r="AD42" s="2114"/>
      <c r="AE42" s="2114"/>
      <c r="AF42" s="2113"/>
      <c r="AG42" s="2113"/>
      <c r="AH42" s="2113"/>
      <c r="AI42" s="2113"/>
    </row>
    <row r="43" spans="1:35" s="2218" customFormat="1" ht="18" customHeight="1">
      <c r="A43" s="2235">
        <v>8</v>
      </c>
      <c r="B43" s="2279" t="s">
        <v>1807</v>
      </c>
      <c r="C43" s="2295" t="s">
        <v>1808</v>
      </c>
      <c r="D43" s="2254" t="s">
        <v>1313</v>
      </c>
      <c r="E43" s="2255">
        <f>E44+E45</f>
        <v>783.21875971736324</v>
      </c>
      <c r="F43" s="2256">
        <f>F44+F45</f>
        <v>806.71532250888401</v>
      </c>
      <c r="G43" s="2257">
        <f t="shared" si="0"/>
        <v>794.96704111312363</v>
      </c>
      <c r="H43" s="2256">
        <f>H44+H45</f>
        <v>4319.5030447205791</v>
      </c>
      <c r="I43" s="2256">
        <f>I44+I45</f>
        <v>4475.0051543305181</v>
      </c>
      <c r="J43" s="2257">
        <f t="shared" si="1"/>
        <v>4397.2540995255486</v>
      </c>
      <c r="K43" s="2256">
        <f>K44+K45</f>
        <v>1656.0620678577056</v>
      </c>
      <c r="L43" s="2256">
        <f>L44+L45</f>
        <v>1727.2727367755874</v>
      </c>
      <c r="M43" s="2259">
        <f t="shared" si="2"/>
        <v>1691.6674023166465</v>
      </c>
      <c r="N43" s="2256">
        <f>N44+N45</f>
        <v>0</v>
      </c>
      <c r="O43" s="2256">
        <f>O44+O45</f>
        <v>1962.7345562528358</v>
      </c>
      <c r="P43" s="2259">
        <f t="shared" si="3"/>
        <v>981.36727812641789</v>
      </c>
      <c r="Q43" s="2256">
        <f>Q44+Q45</f>
        <v>3963.2864305572816</v>
      </c>
      <c r="R43" s="2256">
        <f>R44+R45</f>
        <v>4248.6430535574063</v>
      </c>
      <c r="S43" s="2268">
        <f t="shared" si="4"/>
        <v>4105.9647420573438</v>
      </c>
      <c r="T43" s="2377">
        <f t="shared" si="13"/>
        <v>3963.2864305572816</v>
      </c>
      <c r="U43" s="2256">
        <f t="shared" si="13"/>
        <v>6211.3776098102426</v>
      </c>
      <c r="V43" s="2268">
        <f t="shared" si="5"/>
        <v>5087.3320201837623</v>
      </c>
      <c r="W43" s="2377">
        <f>T43/$T$272*$N$272</f>
        <v>863.48537146771378</v>
      </c>
      <c r="X43" s="2256">
        <f>U43/$T$272*$N$272</f>
        <v>1353.2793545731895</v>
      </c>
      <c r="Y43" s="2268">
        <f>W43/2+X43/2</f>
        <v>1108.3823630204515</v>
      </c>
      <c r="Z43" s="2886">
        <f t="shared" si="14"/>
        <v>3099.8010590895674</v>
      </c>
      <c r="AA43" s="2887">
        <f t="shared" si="14"/>
        <v>4858.0982552370524</v>
      </c>
      <c r="AB43" s="2268">
        <f>Z43/2+AA43/2</f>
        <v>3978.9496571633099</v>
      </c>
      <c r="AC43" s="2114">
        <f t="shared" si="12"/>
        <v>0</v>
      </c>
      <c r="AD43" s="2114"/>
      <c r="AE43" s="2114"/>
      <c r="AF43" s="2113"/>
      <c r="AG43" s="2113"/>
      <c r="AH43" s="2113"/>
      <c r="AI43" s="2113"/>
    </row>
    <row r="44" spans="1:35" s="2218" customFormat="1" ht="20.25" customHeight="1">
      <c r="A44" s="2235">
        <v>99</v>
      </c>
      <c r="B44" s="2281" t="s">
        <v>1809</v>
      </c>
      <c r="C44" s="2282" t="s">
        <v>1810</v>
      </c>
      <c r="D44" s="2283" t="s">
        <v>1317</v>
      </c>
      <c r="E44" s="2284">
        <f>'[3]НВВ очистка)'!K345</f>
        <v>783.21875971736324</v>
      </c>
      <c r="F44" s="2285">
        <f>'[3]НВВ очистка)'!L345</f>
        <v>806.71532250888401</v>
      </c>
      <c r="G44" s="2257">
        <f t="shared" si="0"/>
        <v>794.96704111312363</v>
      </c>
      <c r="H44" s="2285">
        <f>'[3]НВВ очистка)'!T345</f>
        <v>1326.5586220312991</v>
      </c>
      <c r="I44" s="2285">
        <f>'[3]НВВ очистка)'!U345</f>
        <v>1374.3147324244255</v>
      </c>
      <c r="J44" s="2257">
        <f t="shared" si="1"/>
        <v>1350.4366772278622</v>
      </c>
      <c r="K44" s="2285">
        <f>'[3]НВВ очистка)'!AC345</f>
        <v>1244.0063150621991</v>
      </c>
      <c r="L44" s="2285">
        <f>'[3]НВВ очистка)'!AD345</f>
        <v>1297.4985866098741</v>
      </c>
      <c r="M44" s="2259">
        <f t="shared" si="2"/>
        <v>1270.7524508360366</v>
      </c>
      <c r="N44" s="2284"/>
      <c r="O44" s="2285">
        <f>L44*1.06*1.072</f>
        <v>1474.3735939365324</v>
      </c>
      <c r="P44" s="2259">
        <f t="shared" si="3"/>
        <v>737.18679696826621</v>
      </c>
      <c r="Q44" s="2294">
        <v>882.67526595906668</v>
      </c>
      <c r="R44" s="2285">
        <f t="shared" ref="R44:R51" si="15">Q44*1.072</f>
        <v>946.22788510811949</v>
      </c>
      <c r="S44" s="2268">
        <f t="shared" si="4"/>
        <v>914.45157553359309</v>
      </c>
      <c r="T44" s="2468">
        <f t="shared" si="13"/>
        <v>882.67526595906668</v>
      </c>
      <c r="U44" s="2296">
        <f t="shared" si="13"/>
        <v>2420.601479044652</v>
      </c>
      <c r="V44" s="2268">
        <f t="shared" si="5"/>
        <v>1651.6383725018593</v>
      </c>
      <c r="W44" s="2884">
        <f>T44/$T$272*$W$272</f>
        <v>192.30938597714655</v>
      </c>
      <c r="X44" s="2885">
        <f>U44/$T$272*$W$272</f>
        <v>527.37898305630927</v>
      </c>
      <c r="Y44" s="2268">
        <f t="shared" si="6"/>
        <v>359.84418451672792</v>
      </c>
      <c r="Z44" s="2884">
        <f t="shared" si="14"/>
        <v>690.36587998191999</v>
      </c>
      <c r="AA44" s="2885">
        <f t="shared" si="14"/>
        <v>1893.2224959883426</v>
      </c>
      <c r="AB44" s="2268">
        <f t="shared" si="7"/>
        <v>1291.7941879851314</v>
      </c>
      <c r="AC44" s="2114">
        <f t="shared" si="12"/>
        <v>0</v>
      </c>
      <c r="AD44" s="2114"/>
      <c r="AE44" s="2114"/>
      <c r="AF44" s="2113"/>
      <c r="AG44" s="2113"/>
      <c r="AH44" s="2113"/>
      <c r="AI44" s="2113"/>
    </row>
    <row r="45" spans="1:35" s="2218" customFormat="1" ht="21.75" customHeight="1">
      <c r="A45" s="2235">
        <v>9</v>
      </c>
      <c r="B45" s="2281" t="s">
        <v>1812</v>
      </c>
      <c r="C45" s="2282" t="s">
        <v>1813</v>
      </c>
      <c r="D45" s="2283" t="s">
        <v>1313</v>
      </c>
      <c r="E45" s="2284">
        <f>'[3]НВВ очистка)'!K346</f>
        <v>0</v>
      </c>
      <c r="F45" s="2285">
        <f>'[3]НВВ очистка)'!L346</f>
        <v>0</v>
      </c>
      <c r="G45" s="2257">
        <f t="shared" si="0"/>
        <v>0</v>
      </c>
      <c r="H45" s="2285">
        <f>'[3]НВВ очистка)'!T346</f>
        <v>2992.9444226892801</v>
      </c>
      <c r="I45" s="2285">
        <f>'[3]НВВ очистка)'!U346</f>
        <v>3100.6904219060925</v>
      </c>
      <c r="J45" s="2257">
        <f t="shared" si="1"/>
        <v>3046.8174222976863</v>
      </c>
      <c r="K45" s="2285">
        <f>'[3]НВВ очистка)'!AC346</f>
        <v>412.05575279550658</v>
      </c>
      <c r="L45" s="2285">
        <f>'[3]НВВ очистка)'!AD346</f>
        <v>429.77415016571331</v>
      </c>
      <c r="M45" s="2259">
        <f t="shared" si="2"/>
        <v>420.91495148060994</v>
      </c>
      <c r="N45" s="2284"/>
      <c r="O45" s="2285">
        <f>L45*1.06*1.072</f>
        <v>488.36096231630341</v>
      </c>
      <c r="P45" s="2259">
        <f t="shared" si="3"/>
        <v>244.18048115815171</v>
      </c>
      <c r="Q45" s="2294">
        <v>3080.6111645982151</v>
      </c>
      <c r="R45" s="2285">
        <f t="shared" si="15"/>
        <v>3302.4151684492867</v>
      </c>
      <c r="S45" s="2268">
        <f t="shared" si="4"/>
        <v>3191.5131665237509</v>
      </c>
      <c r="T45" s="2468">
        <f t="shared" si="13"/>
        <v>3080.6111645982151</v>
      </c>
      <c r="U45" s="2296">
        <f t="shared" si="13"/>
        <v>3790.7761307655901</v>
      </c>
      <c r="V45" s="2268">
        <f t="shared" si="5"/>
        <v>3435.6936476819028</v>
      </c>
      <c r="W45" s="2884">
        <f>T45/$T$272*$W$272</f>
        <v>671.17598549056731</v>
      </c>
      <c r="X45" s="2885">
        <f>U45/$T$272*$W$272</f>
        <v>825.90037151688</v>
      </c>
      <c r="Y45" s="2268">
        <f t="shared" si="6"/>
        <v>748.53817850372366</v>
      </c>
      <c r="Z45" s="2884">
        <f t="shared" si="14"/>
        <v>2409.4351791076474</v>
      </c>
      <c r="AA45" s="2885">
        <f t="shared" si="14"/>
        <v>2964.8757592487095</v>
      </c>
      <c r="AB45" s="2268">
        <f t="shared" si="7"/>
        <v>2687.1554691781785</v>
      </c>
      <c r="AC45" s="2114">
        <f t="shared" si="12"/>
        <v>0</v>
      </c>
      <c r="AD45" s="2114"/>
      <c r="AE45" s="2114"/>
      <c r="AF45" s="2113"/>
      <c r="AG45" s="2113"/>
      <c r="AH45" s="2113"/>
      <c r="AI45" s="2113"/>
    </row>
    <row r="46" spans="1:35" s="2218" customFormat="1" ht="21" customHeight="1">
      <c r="A46" s="2235">
        <v>91</v>
      </c>
      <c r="B46" s="2279" t="s">
        <v>1815</v>
      </c>
      <c r="C46" s="2295" t="s">
        <v>1816</v>
      </c>
      <c r="D46" s="2254" t="s">
        <v>1317</v>
      </c>
      <c r="E46" s="2255">
        <f>E47+E48+E49+E50+E51+E52</f>
        <v>1474.6029485531199</v>
      </c>
      <c r="F46" s="2256">
        <f>F47+F48+F49+F50+F51+F52</f>
        <v>1518.8410370097131</v>
      </c>
      <c r="G46" s="2257">
        <f t="shared" si="0"/>
        <v>1496.7219927814165</v>
      </c>
      <c r="H46" s="2256">
        <f>H47+H48+H49+H50+H51+H52</f>
        <v>2082.085327676215</v>
      </c>
      <c r="I46" s="2256">
        <f>I47+I48+I49+I50+I51+I52</f>
        <v>2157.0403994725589</v>
      </c>
      <c r="J46" s="2257">
        <f t="shared" si="1"/>
        <v>2119.5628635743869</v>
      </c>
      <c r="K46" s="2256">
        <f>K47+K48+K49+K50+K51+K52</f>
        <v>2301.3462909222358</v>
      </c>
      <c r="L46" s="2256">
        <f>L47+L48+L49+L50+L51+L52</f>
        <v>2400.3041814318922</v>
      </c>
      <c r="M46" s="2259">
        <f t="shared" si="2"/>
        <v>2350.8252361770637</v>
      </c>
      <c r="N46" s="2256">
        <f>N47+N48+N49+N50+N51+N52</f>
        <v>0</v>
      </c>
      <c r="O46" s="2256">
        <f>O47+O48+O49+O50+O51+O52</f>
        <v>2727.5136474446876</v>
      </c>
      <c r="P46" s="2259">
        <f t="shared" si="3"/>
        <v>1363.7568237223438</v>
      </c>
      <c r="Q46" s="2256">
        <f>Q47+Q48+Q49+Q50+Q51+Q52</f>
        <v>4374.5348936292967</v>
      </c>
      <c r="R46" s="2256">
        <f>R47+R48+R49+R50+R51+R52</f>
        <v>4689.5014059706064</v>
      </c>
      <c r="S46" s="2268">
        <f t="shared" si="4"/>
        <v>4532.0181497999511</v>
      </c>
      <c r="T46" s="2377">
        <f t="shared" si="13"/>
        <v>4374.5348936292967</v>
      </c>
      <c r="U46" s="2256">
        <f t="shared" si="13"/>
        <v>7417.0150534152945</v>
      </c>
      <c r="V46" s="2268">
        <f t="shared" si="5"/>
        <v>5895.7749735222951</v>
      </c>
      <c r="W46" s="2377">
        <f>T46/$T$272*$N$272</f>
        <v>953.08450544989569</v>
      </c>
      <c r="X46" s="2256">
        <f>U46/$T$272*$N$272</f>
        <v>1615.9528489288093</v>
      </c>
      <c r="Y46" s="2268">
        <f t="shared" si="6"/>
        <v>1284.5186771893525</v>
      </c>
      <c r="Z46" s="2886">
        <f t="shared" si="14"/>
        <v>3421.4503881794008</v>
      </c>
      <c r="AA46" s="2887">
        <f t="shared" si="14"/>
        <v>5801.0622044864849</v>
      </c>
      <c r="AB46" s="2268">
        <f t="shared" si="7"/>
        <v>4611.2562963329428</v>
      </c>
      <c r="AC46" s="2114">
        <f t="shared" si="12"/>
        <v>0</v>
      </c>
      <c r="AD46" s="2114"/>
      <c r="AE46" s="2114"/>
      <c r="AF46" s="2113"/>
      <c r="AG46" s="2113"/>
      <c r="AH46" s="2113"/>
      <c r="AI46" s="2113"/>
    </row>
    <row r="47" spans="1:35" s="2218" customFormat="1" ht="20.25" customHeight="1">
      <c r="A47" s="2235">
        <v>92</v>
      </c>
      <c r="B47" s="2281" t="s">
        <v>1817</v>
      </c>
      <c r="C47" s="2282" t="s">
        <v>1818</v>
      </c>
      <c r="D47" s="2283" t="s">
        <v>1317</v>
      </c>
      <c r="E47" s="2284">
        <f>'[3]НВВ очистка)'!K348</f>
        <v>973.87637911310185</v>
      </c>
      <c r="F47" s="2285">
        <f>'[3]НВВ очистка)'!L348</f>
        <v>1003.0926704864944</v>
      </c>
      <c r="G47" s="2257">
        <f t="shared" si="0"/>
        <v>988.48452479979812</v>
      </c>
      <c r="H47" s="2285">
        <f>'[3]НВВ очистка)'!T348</f>
        <v>1097.5967646481947</v>
      </c>
      <c r="I47" s="2285">
        <f>'[3]НВВ очистка)'!U348</f>
        <v>1137.1102481755295</v>
      </c>
      <c r="J47" s="2257">
        <f t="shared" si="1"/>
        <v>1117.3535064118621</v>
      </c>
      <c r="K47" s="2285">
        <f>'[3]НВВ очистка)'!AC348</f>
        <v>827.5361880705052</v>
      </c>
      <c r="L47" s="2285">
        <f>'[3]НВВ очистка)'!AD348</f>
        <v>863.12024415753694</v>
      </c>
      <c r="M47" s="2259">
        <f t="shared" si="2"/>
        <v>845.32821611402107</v>
      </c>
      <c r="N47" s="2284"/>
      <c r="O47" s="2285">
        <f>L47*1.06*1.072</f>
        <v>980.78079584109253</v>
      </c>
      <c r="P47" s="2259">
        <f t="shared" si="3"/>
        <v>490.39039792054626</v>
      </c>
      <c r="Q47" s="2284">
        <v>3196.4127499420538</v>
      </c>
      <c r="R47" s="2285">
        <f t="shared" si="15"/>
        <v>3426.5544679378818</v>
      </c>
      <c r="S47" s="2268">
        <f t="shared" si="4"/>
        <v>3311.4836089399678</v>
      </c>
      <c r="T47" s="2468">
        <f t="shared" si="13"/>
        <v>3196.4127499420538</v>
      </c>
      <c r="U47" s="2296">
        <f t="shared" si="13"/>
        <v>4407.335263778974</v>
      </c>
      <c r="V47" s="2268">
        <f t="shared" si="5"/>
        <v>3801.8740068605139</v>
      </c>
      <c r="W47" s="2884">
        <f t="shared" ref="W47:X52" si="16">T47/$T$272*$W$272</f>
        <v>696.40579834643859</v>
      </c>
      <c r="X47" s="2885">
        <f t="shared" si="16"/>
        <v>960.23075649665384</v>
      </c>
      <c r="Y47" s="2268">
        <f>W47/2+X47/2</f>
        <v>828.31827742154621</v>
      </c>
      <c r="Z47" s="2884">
        <f t="shared" si="14"/>
        <v>2500.0069515956147</v>
      </c>
      <c r="AA47" s="2885">
        <f t="shared" si="14"/>
        <v>3447.1045072823194</v>
      </c>
      <c r="AB47" s="2268">
        <f>Z47/2+AA47/2</f>
        <v>2973.5557294389673</v>
      </c>
      <c r="AC47" s="2114">
        <f t="shared" si="12"/>
        <v>0</v>
      </c>
      <c r="AD47" s="2114"/>
      <c r="AE47" s="2114"/>
      <c r="AF47" s="2113"/>
      <c r="AG47" s="2113"/>
      <c r="AH47" s="2113"/>
      <c r="AI47" s="2113"/>
    </row>
    <row r="48" spans="1:35" s="2218" customFormat="1" ht="38.25" customHeight="1">
      <c r="A48" s="2235">
        <v>95</v>
      </c>
      <c r="B48" s="2281" t="s">
        <v>1820</v>
      </c>
      <c r="C48" s="2282" t="s">
        <v>1821</v>
      </c>
      <c r="D48" s="2283" t="s">
        <v>1317</v>
      </c>
      <c r="E48" s="2284">
        <f>'[3]НВВ очистка)'!K349</f>
        <v>0</v>
      </c>
      <c r="F48" s="2285">
        <f>'[3]НВВ очистка)'!L349</f>
        <v>0</v>
      </c>
      <c r="G48" s="2257">
        <f t="shared" si="0"/>
        <v>0</v>
      </c>
      <c r="H48" s="2285">
        <f>'[3]НВВ очистка)'!T349</f>
        <v>0</v>
      </c>
      <c r="I48" s="2285">
        <f>'[3]НВВ очистка)'!U349</f>
        <v>0</v>
      </c>
      <c r="J48" s="2257">
        <f t="shared" si="1"/>
        <v>0</v>
      </c>
      <c r="K48" s="2285">
        <f>'[3]НВВ очистка)'!AC349</f>
        <v>0</v>
      </c>
      <c r="L48" s="2285">
        <f>'[3]НВВ очистка)'!AD349</f>
        <v>0</v>
      </c>
      <c r="M48" s="2259">
        <f t="shared" si="2"/>
        <v>0</v>
      </c>
      <c r="N48" s="2284"/>
      <c r="O48" s="2285"/>
      <c r="P48" s="2259">
        <f t="shared" si="3"/>
        <v>0</v>
      </c>
      <c r="Q48" s="2284">
        <v>0</v>
      </c>
      <c r="R48" s="2285">
        <f t="shared" si="15"/>
        <v>0</v>
      </c>
      <c r="S48" s="2268">
        <f t="shared" si="4"/>
        <v>0</v>
      </c>
      <c r="T48" s="2468">
        <f t="shared" si="13"/>
        <v>0</v>
      </c>
      <c r="U48" s="2296">
        <f t="shared" si="13"/>
        <v>0</v>
      </c>
      <c r="V48" s="2268">
        <f t="shared" si="5"/>
        <v>0</v>
      </c>
      <c r="W48" s="2884">
        <f t="shared" si="16"/>
        <v>0</v>
      </c>
      <c r="X48" s="2885">
        <f t="shared" si="16"/>
        <v>0</v>
      </c>
      <c r="Y48" s="2268">
        <f t="shared" si="6"/>
        <v>0</v>
      </c>
      <c r="Z48" s="2884">
        <f t="shared" si="14"/>
        <v>0</v>
      </c>
      <c r="AA48" s="2885">
        <f t="shared" si="14"/>
        <v>0</v>
      </c>
      <c r="AB48" s="2268">
        <f t="shared" si="7"/>
        <v>0</v>
      </c>
      <c r="AC48" s="2114">
        <f t="shared" si="12"/>
        <v>0</v>
      </c>
      <c r="AD48" s="2114"/>
      <c r="AE48" s="2114"/>
      <c r="AF48" s="2113"/>
      <c r="AG48" s="2113"/>
      <c r="AH48" s="2113"/>
      <c r="AI48" s="2113"/>
    </row>
    <row r="49" spans="1:35" s="2218" customFormat="1" ht="54.75" customHeight="1">
      <c r="A49" s="2235">
        <v>266</v>
      </c>
      <c r="B49" s="2281" t="s">
        <v>1822</v>
      </c>
      <c r="C49" s="2282" t="s">
        <v>1823</v>
      </c>
      <c r="D49" s="2283" t="s">
        <v>1313</v>
      </c>
      <c r="E49" s="2284">
        <f>'[3]НВВ очистка)'!K350</f>
        <v>491.96984479444944</v>
      </c>
      <c r="F49" s="2285">
        <f>'[3]НВВ очистка)'!L350</f>
        <v>506.72894013828295</v>
      </c>
      <c r="G49" s="2257">
        <f t="shared" si="0"/>
        <v>499.34939246636623</v>
      </c>
      <c r="H49" s="2285">
        <f>'[3]НВВ очистка)'!T350</f>
        <v>931.66636780735666</v>
      </c>
      <c r="I49" s="2285">
        <f>'[3]НВВ очистка)'!U350</f>
        <v>965.20635704842164</v>
      </c>
      <c r="J49" s="2257">
        <f t="shared" si="1"/>
        <v>948.43636242788921</v>
      </c>
      <c r="K49" s="2285">
        <f>'[3]НВВ очистка)'!AC350</f>
        <v>1035.6076133543852</v>
      </c>
      <c r="L49" s="2285">
        <f>'[3]НВВ очистка)'!AD350</f>
        <v>1080.1387407286238</v>
      </c>
      <c r="M49" s="2259">
        <f t="shared" si="2"/>
        <v>1057.8731770415045</v>
      </c>
      <c r="N49" s="2284"/>
      <c r="O49" s="2285">
        <f>L49*1.06*1.072</f>
        <v>1227.38325386475</v>
      </c>
      <c r="P49" s="2259">
        <f>N49/2+O49/2</f>
        <v>613.69162693237502</v>
      </c>
      <c r="Q49" s="2284">
        <v>588.96679633617237</v>
      </c>
      <c r="R49" s="2285">
        <f t="shared" si="15"/>
        <v>631.37240567237677</v>
      </c>
      <c r="S49" s="2268">
        <f t="shared" si="4"/>
        <v>610.16960100427457</v>
      </c>
      <c r="T49" s="2468">
        <f t="shared" si="13"/>
        <v>588.96679633617237</v>
      </c>
      <c r="U49" s="2296">
        <f t="shared" si="13"/>
        <v>1858.7556595371268</v>
      </c>
      <c r="V49" s="2268">
        <f t="shared" si="5"/>
        <v>1223.8612279366496</v>
      </c>
      <c r="W49" s="2884">
        <f t="shared" si="16"/>
        <v>128.31881364804093</v>
      </c>
      <c r="X49" s="2885">
        <f t="shared" si="16"/>
        <v>404.96904507541467</v>
      </c>
      <c r="Y49" s="2268">
        <f t="shared" si="6"/>
        <v>266.64392936172783</v>
      </c>
      <c r="Z49" s="2884">
        <f t="shared" si="14"/>
        <v>460.64798268813132</v>
      </c>
      <c r="AA49" s="2885">
        <f t="shared" si="14"/>
        <v>1453.7866144617119</v>
      </c>
      <c r="AB49" s="2268">
        <f t="shared" si="7"/>
        <v>957.21729857492164</v>
      </c>
      <c r="AC49" s="2114">
        <f t="shared" si="12"/>
        <v>0</v>
      </c>
      <c r="AD49" s="2114"/>
      <c r="AE49" s="2114"/>
      <c r="AF49" s="2113"/>
      <c r="AG49" s="2113"/>
      <c r="AH49" s="2113"/>
      <c r="AI49" s="2113"/>
    </row>
    <row r="50" spans="1:35" s="2218" customFormat="1" ht="30.75" customHeight="1">
      <c r="A50" s="2235">
        <v>267</v>
      </c>
      <c r="B50" s="2281" t="s">
        <v>1825</v>
      </c>
      <c r="C50" s="2282" t="s">
        <v>1826</v>
      </c>
      <c r="D50" s="2283" t="s">
        <v>1128</v>
      </c>
      <c r="E50" s="2284">
        <f>'[3]НВВ очистка)'!K351</f>
        <v>0</v>
      </c>
      <c r="F50" s="2285">
        <f>'[3]НВВ очистка)'!L351</f>
        <v>0</v>
      </c>
      <c r="G50" s="2257">
        <f t="shared" si="0"/>
        <v>0</v>
      </c>
      <c r="H50" s="2285">
        <f>'[3]НВВ очистка)'!T351</f>
        <v>44.523256124396482</v>
      </c>
      <c r="I50" s="2285">
        <f>'[3]НВВ очистка)'!U351</f>
        <v>46.126093344874789</v>
      </c>
      <c r="J50" s="2257">
        <f t="shared" si="1"/>
        <v>45.324674734635636</v>
      </c>
      <c r="K50" s="2285">
        <f>'[3]НВВ очистка)'!AC351</f>
        <v>42.210467960390076</v>
      </c>
      <c r="L50" s="2285">
        <f>'[3]НВВ очистка)'!AD351</f>
        <v>44.025518082686801</v>
      </c>
      <c r="M50" s="2259">
        <f t="shared" si="2"/>
        <v>43.117993021538439</v>
      </c>
      <c r="N50" s="2284"/>
      <c r="O50" s="2285">
        <f>L50*1.06*1.072</f>
        <v>50.02707670771867</v>
      </c>
      <c r="P50" s="2259">
        <f>N50/2+O50/2</f>
        <v>25.013538353859335</v>
      </c>
      <c r="Q50" s="2284">
        <v>500.24347613899329</v>
      </c>
      <c r="R50" s="2285">
        <f t="shared" si="15"/>
        <v>536.26100642100084</v>
      </c>
      <c r="S50" s="2268">
        <f t="shared" si="4"/>
        <v>518.25224127999707</v>
      </c>
      <c r="T50" s="2468">
        <f t="shared" si="13"/>
        <v>500.24347613899329</v>
      </c>
      <c r="U50" s="2296">
        <f t="shared" si="13"/>
        <v>586.28808312871956</v>
      </c>
      <c r="V50" s="2268">
        <f t="shared" si="5"/>
        <v>543.26577963385648</v>
      </c>
      <c r="W50" s="2884">
        <f t="shared" si="16"/>
        <v>108.98857082036378</v>
      </c>
      <c r="X50" s="2885">
        <f t="shared" si="16"/>
        <v>127.73519959199915</v>
      </c>
      <c r="Y50" s="2268">
        <f t="shared" si="6"/>
        <v>118.36188520618146</v>
      </c>
      <c r="Z50" s="2884">
        <f t="shared" si="14"/>
        <v>391.25490531862948</v>
      </c>
      <c r="AA50" s="2885">
        <f t="shared" si="14"/>
        <v>458.55288353672029</v>
      </c>
      <c r="AB50" s="2268">
        <f t="shared" si="7"/>
        <v>424.90389442767491</v>
      </c>
      <c r="AC50" s="2114">
        <f t="shared" si="12"/>
        <v>0</v>
      </c>
      <c r="AD50" s="2114"/>
      <c r="AE50" s="2114"/>
      <c r="AF50" s="2113"/>
      <c r="AG50" s="2113"/>
      <c r="AH50" s="2113"/>
      <c r="AI50" s="2113"/>
    </row>
    <row r="51" spans="1:35" s="2218" customFormat="1" ht="42.75" customHeight="1">
      <c r="A51" s="2235">
        <v>93</v>
      </c>
      <c r="B51" s="2281" t="s">
        <v>1828</v>
      </c>
      <c r="C51" s="2282" t="s">
        <v>1829</v>
      </c>
      <c r="D51" s="2283" t="s">
        <v>1317</v>
      </c>
      <c r="E51" s="2284">
        <f>'[3]НВВ очистка)'!K352</f>
        <v>8.7567246455686103</v>
      </c>
      <c r="F51" s="2285">
        <f>'[3]НВВ очистка)'!L352</f>
        <v>9.0194263849356844</v>
      </c>
      <c r="G51" s="2257">
        <f t="shared" si="0"/>
        <v>8.8880755152521473</v>
      </c>
      <c r="H51" s="2285">
        <f>'[3]НВВ очистка)'!T352</f>
        <v>8.2989390962671905</v>
      </c>
      <c r="I51" s="2285">
        <f>'[3]НВВ очистка)'!U352</f>
        <v>8.5977009037328287</v>
      </c>
      <c r="J51" s="2257">
        <f t="shared" si="1"/>
        <v>8.4483200000000096</v>
      </c>
      <c r="K51" s="2285">
        <f>'[3]НВВ очистка)'!AC352</f>
        <v>395.99202153695541</v>
      </c>
      <c r="L51" s="2285">
        <f>'[3]НВВ очистка)'!AD352</f>
        <v>413.01967846304444</v>
      </c>
      <c r="M51" s="2259">
        <f t="shared" si="2"/>
        <v>404.5058499999999</v>
      </c>
      <c r="N51" s="2284"/>
      <c r="O51" s="2285">
        <f>L51*1.06*1.072</f>
        <v>469.32252103112671</v>
      </c>
      <c r="P51" s="2259">
        <f t="shared" si="3"/>
        <v>234.66126051556336</v>
      </c>
      <c r="Q51" s="2284">
        <v>88.911871212076903</v>
      </c>
      <c r="R51" s="2285">
        <f t="shared" si="15"/>
        <v>95.313525939346448</v>
      </c>
      <c r="S51" s="2268">
        <f t="shared" si="4"/>
        <v>92.112698575711676</v>
      </c>
      <c r="T51" s="2468">
        <f t="shared" si="13"/>
        <v>88.911871212076903</v>
      </c>
      <c r="U51" s="2296">
        <f t="shared" si="13"/>
        <v>564.63604697047322</v>
      </c>
      <c r="V51" s="2268">
        <f t="shared" si="5"/>
        <v>326.77395909127506</v>
      </c>
      <c r="W51" s="2884">
        <f t="shared" si="16"/>
        <v>19.371322635052262</v>
      </c>
      <c r="X51" s="2885">
        <f t="shared" si="16"/>
        <v>123.01784776474129</v>
      </c>
      <c r="Y51" s="2268">
        <f t="shared" si="6"/>
        <v>71.194585199896778</v>
      </c>
      <c r="Z51" s="2884">
        <f t="shared" si="14"/>
        <v>69.540548577024637</v>
      </c>
      <c r="AA51" s="2885">
        <f t="shared" si="14"/>
        <v>441.61819920573186</v>
      </c>
      <c r="AB51" s="2268">
        <f t="shared" si="7"/>
        <v>255.57937389137825</v>
      </c>
      <c r="AC51" s="2114">
        <f t="shared" si="12"/>
        <v>0</v>
      </c>
      <c r="AD51" s="2114"/>
      <c r="AE51" s="2114"/>
      <c r="AF51" s="2113"/>
      <c r="AG51" s="2113"/>
      <c r="AH51" s="2113"/>
      <c r="AI51" s="2113"/>
    </row>
    <row r="52" spans="1:35" s="2218" customFormat="1" ht="30.75" customHeight="1" thickBot="1">
      <c r="A52" s="2235">
        <v>94</v>
      </c>
      <c r="B52" s="2297" t="s">
        <v>1830</v>
      </c>
      <c r="C52" s="2298" t="s">
        <v>1831</v>
      </c>
      <c r="D52" s="2299" t="s">
        <v>1317</v>
      </c>
      <c r="E52" s="2300">
        <f>'[3]НВВ очистка)'!K353</f>
        <v>0</v>
      </c>
      <c r="F52" s="2301">
        <f>'[3]НВВ очистка)'!L353</f>
        <v>0</v>
      </c>
      <c r="G52" s="2266">
        <f t="shared" si="0"/>
        <v>0</v>
      </c>
      <c r="H52" s="2301">
        <f>'[3]НВВ очистка)'!T353</f>
        <v>0</v>
      </c>
      <c r="I52" s="2301">
        <f>'[3]НВВ очистка)'!U353</f>
        <v>0</v>
      </c>
      <c r="J52" s="2266">
        <f t="shared" si="1"/>
        <v>0</v>
      </c>
      <c r="K52" s="2301">
        <f>'[3]НВВ очистка)'!AC353</f>
        <v>0</v>
      </c>
      <c r="L52" s="2301">
        <f>'[3]НВВ очистка)'!AD353</f>
        <v>0</v>
      </c>
      <c r="M52" s="2268">
        <f t="shared" si="2"/>
        <v>0</v>
      </c>
      <c r="N52" s="2300"/>
      <c r="O52" s="2301"/>
      <c r="P52" s="2268">
        <f t="shared" si="3"/>
        <v>0</v>
      </c>
      <c r="Q52" s="2300">
        <v>0</v>
      </c>
      <c r="R52" s="2301">
        <v>0</v>
      </c>
      <c r="S52" s="2268">
        <f t="shared" si="4"/>
        <v>0</v>
      </c>
      <c r="T52" s="2468">
        <f t="shared" si="13"/>
        <v>0</v>
      </c>
      <c r="U52" s="2296">
        <f t="shared" si="13"/>
        <v>0</v>
      </c>
      <c r="V52" s="2268">
        <f t="shared" si="5"/>
        <v>0</v>
      </c>
      <c r="W52" s="2888">
        <f t="shared" si="16"/>
        <v>0</v>
      </c>
      <c r="X52" s="2889">
        <f t="shared" si="16"/>
        <v>0</v>
      </c>
      <c r="Y52" s="2268">
        <f t="shared" si="6"/>
        <v>0</v>
      </c>
      <c r="Z52" s="2888">
        <f t="shared" si="14"/>
        <v>0</v>
      </c>
      <c r="AA52" s="2889">
        <f t="shared" si="14"/>
        <v>0</v>
      </c>
      <c r="AB52" s="2268">
        <f t="shared" si="7"/>
        <v>0</v>
      </c>
      <c r="AC52" s="2114">
        <f t="shared" si="12"/>
        <v>0</v>
      </c>
      <c r="AD52" s="2114"/>
      <c r="AE52" s="2114"/>
      <c r="AF52" s="2113"/>
      <c r="AG52" s="2113"/>
      <c r="AH52" s="2113"/>
      <c r="AI52" s="2113"/>
    </row>
    <row r="53" spans="1:35" s="2218" customFormat="1" ht="24.75" customHeight="1" thickBot="1">
      <c r="A53" s="2235">
        <v>101</v>
      </c>
      <c r="B53" s="2270" t="s">
        <v>119</v>
      </c>
      <c r="C53" s="2271" t="s">
        <v>1832</v>
      </c>
      <c r="D53" s="2272" t="s">
        <v>1317</v>
      </c>
      <c r="E53" s="2273">
        <f>E54+E55+E56</f>
        <v>41312.707256709495</v>
      </c>
      <c r="F53" s="2275">
        <f>F54+F55+F56</f>
        <v>42659.799012846219</v>
      </c>
      <c r="G53" s="2303">
        <f t="shared" si="0"/>
        <v>41986.253134777857</v>
      </c>
      <c r="H53" s="2275">
        <f>H54+H55+H56</f>
        <v>40273.161793680345</v>
      </c>
      <c r="I53" s="2275">
        <f>I54+I55+I56</f>
        <v>42216.96812099318</v>
      </c>
      <c r="J53" s="2303">
        <f t="shared" si="1"/>
        <v>41245.064957336763</v>
      </c>
      <c r="K53" s="2275">
        <f>K54+K55+K56</f>
        <v>46474.295549924274</v>
      </c>
      <c r="L53" s="2275">
        <f>L54+L55+L56</f>
        <v>48545.344879815522</v>
      </c>
      <c r="M53" s="2303">
        <f t="shared" si="2"/>
        <v>47509.820214869898</v>
      </c>
      <c r="N53" s="2275">
        <f>N54+N55+N56</f>
        <v>0</v>
      </c>
      <c r="O53" s="2275">
        <f>O54+O55+O56</f>
        <v>54853.872664366514</v>
      </c>
      <c r="P53" s="2303">
        <f t="shared" si="3"/>
        <v>27426.936332183257</v>
      </c>
      <c r="Q53" s="2275">
        <f>Q54+Q55+Q56</f>
        <v>11391.821370062442</v>
      </c>
      <c r="R53" s="2275">
        <f>R54+R55+R56</f>
        <v>12212.032508706932</v>
      </c>
      <c r="S53" s="2268">
        <f t="shared" si="4"/>
        <v>11801.926939384688</v>
      </c>
      <c r="T53" s="2916">
        <f t="shared" si="13"/>
        <v>11391.821370062442</v>
      </c>
      <c r="U53" s="2917">
        <f t="shared" si="13"/>
        <v>67065.90517307345</v>
      </c>
      <c r="V53" s="2918">
        <f t="shared" si="5"/>
        <v>39228.863271567949</v>
      </c>
      <c r="W53" s="2916">
        <f>T53/$T$272*$N$272</f>
        <v>2481.9480700614072</v>
      </c>
      <c r="X53" s="2275">
        <f>U53/$T$272*$N$272</f>
        <v>14611.719101272969</v>
      </c>
      <c r="Y53" s="2274">
        <f>W53/2+X53/2</f>
        <v>8546.8335856671874</v>
      </c>
      <c r="Z53" s="2916">
        <f t="shared" si="14"/>
        <v>8909.8733000010343</v>
      </c>
      <c r="AA53" s="2275">
        <f t="shared" si="14"/>
        <v>52454.186071800475</v>
      </c>
      <c r="AB53" s="2303">
        <f>Z53/2+AA53/2</f>
        <v>30682.029685900754</v>
      </c>
      <c r="AC53" s="2114"/>
      <c r="AD53" s="2114"/>
      <c r="AE53" s="2114"/>
      <c r="AF53" s="2113"/>
      <c r="AG53" s="2113"/>
      <c r="AH53" s="2113"/>
      <c r="AI53" s="2113"/>
    </row>
    <row r="54" spans="1:35" s="2218" customFormat="1" ht="68.25" customHeight="1">
      <c r="A54" s="2235">
        <v>102</v>
      </c>
      <c r="B54" s="2305" t="s">
        <v>1833</v>
      </c>
      <c r="C54" s="2306" t="s">
        <v>1834</v>
      </c>
      <c r="D54" s="2307" t="s">
        <v>1317</v>
      </c>
      <c r="E54" s="2308">
        <f>'[3]НВВ очистка)'!K355</f>
        <v>226.23714329118036</v>
      </c>
      <c r="F54" s="2309">
        <f>'[3]НВВ очистка)'!L355</f>
        <v>233.02425758991581</v>
      </c>
      <c r="G54" s="2248">
        <f t="shared" si="0"/>
        <v>229.63070044054808</v>
      </c>
      <c r="H54" s="2309">
        <f>'[3]НВВ очистка)'!T355</f>
        <v>142.18687119940654</v>
      </c>
      <c r="I54" s="2309">
        <f>'[3]НВВ очистка)'!U355</f>
        <v>147.3055985625852</v>
      </c>
      <c r="J54" s="2248">
        <f t="shared" si="1"/>
        <v>144.74623488099587</v>
      </c>
      <c r="K54" s="2309">
        <f>'[3]НВВ очистка)'!AC355</f>
        <v>2106.6479978540783</v>
      </c>
      <c r="L54" s="2309">
        <f>'[3]НВВ очистка)'!AD355</f>
        <v>2197.2338617618034</v>
      </c>
      <c r="M54" s="2250">
        <f t="shared" si="2"/>
        <v>2151.9409298079408</v>
      </c>
      <c r="N54" s="2308"/>
      <c r="O54" s="2285">
        <f>L54*1.06*1.072</f>
        <v>2496.7607817971725</v>
      </c>
      <c r="P54" s="2250">
        <f t="shared" si="3"/>
        <v>1248.3803908985863</v>
      </c>
      <c r="Q54" s="2308">
        <v>0</v>
      </c>
      <c r="R54" s="2309">
        <v>0</v>
      </c>
      <c r="S54" s="2268">
        <f t="shared" si="4"/>
        <v>0</v>
      </c>
      <c r="T54" s="2919">
        <f t="shared" si="13"/>
        <v>0</v>
      </c>
      <c r="U54" s="2920">
        <f t="shared" si="13"/>
        <v>2496.7607817971725</v>
      </c>
      <c r="V54" s="2410">
        <f t="shared" si="5"/>
        <v>1248.3803908985863</v>
      </c>
      <c r="W54" s="2921">
        <f>T54/$T$272*$W$272</f>
        <v>0</v>
      </c>
      <c r="X54" s="2922">
        <f>U54/$T$272*$W$272</f>
        <v>543.9718902257099</v>
      </c>
      <c r="Y54" s="2486">
        <f>W54/2+X54/2</f>
        <v>271.98594511285495</v>
      </c>
      <c r="Z54" s="2921">
        <f t="shared" si="14"/>
        <v>0</v>
      </c>
      <c r="AA54" s="2922">
        <f t="shared" si="14"/>
        <v>1952.7888915714625</v>
      </c>
      <c r="AB54" s="2410">
        <f t="shared" si="7"/>
        <v>976.39444578573125</v>
      </c>
      <c r="AC54" s="2114">
        <f>Y54+AB54-V54</f>
        <v>0</v>
      </c>
      <c r="AD54" s="2114"/>
      <c r="AE54" s="2114"/>
      <c r="AF54" s="2113"/>
      <c r="AG54" s="2113"/>
      <c r="AH54" s="2113"/>
      <c r="AI54" s="2113"/>
    </row>
    <row r="55" spans="1:35" s="2218" customFormat="1" ht="67.5" customHeight="1">
      <c r="A55" s="2235">
        <v>103</v>
      </c>
      <c r="B55" s="2281" t="s">
        <v>1836</v>
      </c>
      <c r="C55" s="2293" t="s">
        <v>1837</v>
      </c>
      <c r="D55" s="2283" t="s">
        <v>1317</v>
      </c>
      <c r="E55" s="2284">
        <f>'[3]НВВ очистка)'!K356</f>
        <v>946.23527495473854</v>
      </c>
      <c r="F55" s="2285">
        <f>'[3]НВВ очистка)'!L356</f>
        <v>974.622333203381</v>
      </c>
      <c r="G55" s="2257">
        <f t="shared" si="0"/>
        <v>960.42880407905977</v>
      </c>
      <c r="H55" s="2285">
        <f>'[3]НВВ очистка)'!T356</f>
        <v>2679.4537080488817</v>
      </c>
      <c r="I55" s="2285">
        <f>'[3]НВВ очистка)'!U356</f>
        <v>2775.914041538641</v>
      </c>
      <c r="J55" s="2257">
        <f t="shared" si="1"/>
        <v>2727.6838747937613</v>
      </c>
      <c r="K55" s="2285">
        <f>'[3]НВВ очистка)'!AC356</f>
        <v>684.59620115213318</v>
      </c>
      <c r="L55" s="2285">
        <f>'[3]НВВ очистка)'!AD356</f>
        <v>714.03383780167496</v>
      </c>
      <c r="M55" s="2259">
        <f t="shared" si="2"/>
        <v>699.31501947690413</v>
      </c>
      <c r="N55" s="2284"/>
      <c r="O55" s="2285">
        <v>76.703638799999993</v>
      </c>
      <c r="P55" s="2259">
        <f t="shared" si="3"/>
        <v>38.351819399999997</v>
      </c>
      <c r="Q55" s="2294">
        <v>0</v>
      </c>
      <c r="R55" s="2296">
        <v>0</v>
      </c>
      <c r="S55" s="2268">
        <f t="shared" si="4"/>
        <v>0</v>
      </c>
      <c r="T55" s="2919">
        <f t="shared" si="13"/>
        <v>0</v>
      </c>
      <c r="U55" s="2309">
        <f t="shared" si="13"/>
        <v>76.703638799999993</v>
      </c>
      <c r="V55" s="2268">
        <f t="shared" si="5"/>
        <v>38.351819399999997</v>
      </c>
      <c r="W55" s="2923">
        <f>T55/$T$272*$W$272</f>
        <v>0</v>
      </c>
      <c r="X55" s="2924">
        <f>U55/$T$272*$W$272</f>
        <v>16.711502234984899</v>
      </c>
      <c r="Y55" s="2410">
        <f t="shared" si="6"/>
        <v>8.3557511174924493</v>
      </c>
      <c r="Z55" s="2923">
        <f t="shared" si="14"/>
        <v>0</v>
      </c>
      <c r="AA55" s="2924">
        <f t="shared" si="14"/>
        <v>59.992136565015088</v>
      </c>
      <c r="AB55" s="2268">
        <f t="shared" si="7"/>
        <v>29.996068282507544</v>
      </c>
      <c r="AC55" s="2114">
        <f>Y55+AB55-V55</f>
        <v>0</v>
      </c>
      <c r="AD55" s="2114"/>
      <c r="AE55" s="2114"/>
      <c r="AF55" s="2113"/>
      <c r="AG55" s="2113"/>
      <c r="AH55" s="2113"/>
      <c r="AI55" s="2113"/>
    </row>
    <row r="56" spans="1:35" s="2218" customFormat="1" ht="49.5" customHeight="1">
      <c r="A56" s="2235">
        <v>104</v>
      </c>
      <c r="B56" s="2279" t="s">
        <v>1839</v>
      </c>
      <c r="C56" s="2280" t="s">
        <v>1840</v>
      </c>
      <c r="D56" s="2254" t="s">
        <v>1317</v>
      </c>
      <c r="E56" s="2255">
        <f>E57+E67</f>
        <v>40140.234838463577</v>
      </c>
      <c r="F56" s="2256">
        <f>F57+F67</f>
        <v>41452.152422052925</v>
      </c>
      <c r="G56" s="2257">
        <f t="shared" si="0"/>
        <v>40796.193630258247</v>
      </c>
      <c r="H56" s="2256">
        <f>H57+H67</f>
        <v>37451.521214432054</v>
      </c>
      <c r="I56" s="2256">
        <f>I57+I67</f>
        <v>39293.748480891954</v>
      </c>
      <c r="J56" s="2257">
        <f t="shared" si="1"/>
        <v>38372.634847662004</v>
      </c>
      <c r="K56" s="2256">
        <f>K57+K67</f>
        <v>43683.05135091806</v>
      </c>
      <c r="L56" s="2256">
        <f>L57+L67</f>
        <v>45634.077180252047</v>
      </c>
      <c r="M56" s="2259">
        <f t="shared" si="2"/>
        <v>44658.564265585053</v>
      </c>
      <c r="N56" s="2255">
        <v>0</v>
      </c>
      <c r="O56" s="2256">
        <f>O57+O67</f>
        <v>52280.408243769343</v>
      </c>
      <c r="P56" s="2259">
        <f t="shared" si="3"/>
        <v>26140.204121884672</v>
      </c>
      <c r="Q56" s="2256">
        <f>Q57+Q67</f>
        <v>11391.821370062442</v>
      </c>
      <c r="R56" s="2256">
        <f>R57+R67</f>
        <v>12212.032508706932</v>
      </c>
      <c r="S56" s="2268">
        <f t="shared" si="4"/>
        <v>11801.926939384688</v>
      </c>
      <c r="T56" s="2467">
        <f t="shared" si="13"/>
        <v>11391.821370062442</v>
      </c>
      <c r="U56" s="2291">
        <f t="shared" si="13"/>
        <v>64492.440752476279</v>
      </c>
      <c r="V56" s="2268">
        <f t="shared" si="5"/>
        <v>37942.131061269363</v>
      </c>
      <c r="W56" s="2377">
        <f>T56/$T$272*$N$272</f>
        <v>2481.9480700614072</v>
      </c>
      <c r="X56" s="2256">
        <f>U56/$T$272*$N$272</f>
        <v>14051.035708812275</v>
      </c>
      <c r="Y56" s="2268">
        <f t="shared" si="6"/>
        <v>8266.4918894368402</v>
      </c>
      <c r="Z56" s="2886">
        <f t="shared" si="14"/>
        <v>8909.8733000010343</v>
      </c>
      <c r="AA56" s="2887">
        <f t="shared" si="14"/>
        <v>50441.405043664003</v>
      </c>
      <c r="AB56" s="2268">
        <f t="shared" si="7"/>
        <v>29675.639171832518</v>
      </c>
      <c r="AC56" s="2114">
        <f>Y56+AB56-V56</f>
        <v>0</v>
      </c>
      <c r="AD56" s="2114"/>
      <c r="AE56" s="2114"/>
      <c r="AF56" s="2113"/>
      <c r="AG56" s="2113"/>
      <c r="AH56" s="2113"/>
      <c r="AI56" s="2113"/>
    </row>
    <row r="57" spans="1:35" s="2218" customFormat="1" ht="34.5" customHeight="1">
      <c r="A57" s="2235">
        <v>105</v>
      </c>
      <c r="B57" s="2279" t="s">
        <v>1841</v>
      </c>
      <c r="C57" s="2280" t="s">
        <v>1842</v>
      </c>
      <c r="D57" s="2254" t="s">
        <v>1317</v>
      </c>
      <c r="E57" s="2255">
        <f>E58*E66*12/1000</f>
        <v>30912.347795408696</v>
      </c>
      <c r="F57" s="2256">
        <f>F58*F66*12/1000</f>
        <v>31947.428767706395</v>
      </c>
      <c r="G57" s="2257">
        <f t="shared" si="0"/>
        <v>31429.888281557545</v>
      </c>
      <c r="H57" s="2256">
        <f>H58*H66*12/1000</f>
        <v>27739.607579677955</v>
      </c>
      <c r="I57" s="2256">
        <f>I58*I66*12/1000</f>
        <v>29296.121343904964</v>
      </c>
      <c r="J57" s="2257">
        <f t="shared" si="1"/>
        <v>28517.864461791462</v>
      </c>
      <c r="K57" s="2256">
        <f>K58*K66*12/1000</f>
        <v>33890.223486155599</v>
      </c>
      <c r="L57" s="2256">
        <f>L58*L66*12/1000</f>
        <v>35336.809509919134</v>
      </c>
      <c r="M57" s="2259">
        <f t="shared" si="2"/>
        <v>34613.516498037367</v>
      </c>
      <c r="N57" s="2255">
        <v>0</v>
      </c>
      <c r="O57" s="2256">
        <f>O58*O66*12/1000</f>
        <v>40153.923382311325</v>
      </c>
      <c r="P57" s="2259">
        <f t="shared" si="3"/>
        <v>20076.961691155662</v>
      </c>
      <c r="Q57" s="2256">
        <f>Q58*Q66*12/1000</f>
        <v>8749.4787788498015</v>
      </c>
      <c r="R57" s="2256">
        <f>R58*R66*12/1000</f>
        <v>9379.4412509269841</v>
      </c>
      <c r="S57" s="2268">
        <f t="shared" si="4"/>
        <v>9064.4600148883928</v>
      </c>
      <c r="T57" s="2256">
        <f>T58*T66*12/1000</f>
        <v>8749.4793405341625</v>
      </c>
      <c r="U57" s="2256">
        <f>U58*U66*12/1000</f>
        <v>49533.366240878757</v>
      </c>
      <c r="V57" s="2268">
        <f t="shared" si="5"/>
        <v>29141.42279070646</v>
      </c>
      <c r="W57" s="2256">
        <f>W58*W66*12/1000</f>
        <v>1906.2583630762538</v>
      </c>
      <c r="X57" s="2256">
        <f>X58*X66*12/1000</f>
        <v>10791.887429165356</v>
      </c>
      <c r="Y57" s="2268">
        <f t="shared" si="6"/>
        <v>6349.0728961208042</v>
      </c>
      <c r="Z57" s="2256">
        <f>Z58*Z66*12/1000</f>
        <v>6843.221817575507</v>
      </c>
      <c r="AA57" s="2256">
        <f>AA58*AA66*12/1000</f>
        <v>38741.479246648662</v>
      </c>
      <c r="AB57" s="2268">
        <f t="shared" si="7"/>
        <v>22792.350532112083</v>
      </c>
      <c r="AC57" s="2114"/>
      <c r="AD57" s="2114"/>
      <c r="AE57" s="2114"/>
      <c r="AF57" s="2113">
        <v>6843.2206605230676</v>
      </c>
      <c r="AG57" s="2113">
        <v>37837.992555021687</v>
      </c>
      <c r="AH57" s="2113"/>
      <c r="AI57" s="2113"/>
    </row>
    <row r="58" spans="1:35" s="2218" customFormat="1" ht="33.75" customHeight="1">
      <c r="A58" s="2235">
        <v>610</v>
      </c>
      <c r="B58" s="2279" t="s">
        <v>1843</v>
      </c>
      <c r="C58" s="2280" t="s">
        <v>1844</v>
      </c>
      <c r="D58" s="2254"/>
      <c r="E58" s="2255">
        <f>E59+E60+E63+E64+E65</f>
        <v>32896.001820456455</v>
      </c>
      <c r="F58" s="2256">
        <f>F59+F60+F63+F64+F65</f>
        <v>33997.504228956212</v>
      </c>
      <c r="G58" s="2257">
        <f t="shared" si="0"/>
        <v>33446.753024706333</v>
      </c>
      <c r="H58" s="2256">
        <f>H59+H60+H63+H64+H65</f>
        <v>24789.447896381214</v>
      </c>
      <c r="I58" s="2256">
        <f>I59+I60+I63+I64+I65</f>
        <v>26180.423480569836</v>
      </c>
      <c r="J58" s="2257">
        <f t="shared" si="1"/>
        <v>25484.935688475525</v>
      </c>
      <c r="K58" s="2256">
        <f>K59+K60+K63+K64+K65</f>
        <v>33371.594629623287</v>
      </c>
      <c r="L58" s="2256">
        <f>L59+L60+L63+L64+L65</f>
        <v>34796.043258639736</v>
      </c>
      <c r="M58" s="2259">
        <f t="shared" si="2"/>
        <v>34083.818944131512</v>
      </c>
      <c r="N58" s="2255">
        <v>0</v>
      </c>
      <c r="O58" s="2256">
        <f>O59+O60+O63+O64+O65</f>
        <v>39539.43987565751</v>
      </c>
      <c r="P58" s="2259">
        <f t="shared" si="3"/>
        <v>19769.719937828755</v>
      </c>
      <c r="Q58" s="2256">
        <f>Q59+Q60+Q63+Q64+Q65</f>
        <v>20832.092330594762</v>
      </c>
      <c r="R58" s="2256">
        <f>R59+R60+R63+R64+R65</f>
        <v>22332.002978397584</v>
      </c>
      <c r="S58" s="2268">
        <f t="shared" si="4"/>
        <v>21582.047654496171</v>
      </c>
      <c r="T58" s="2256">
        <f>T59+T60+T63+T64+T65</f>
        <v>20832.093667938479</v>
      </c>
      <c r="U58" s="2256">
        <f>U59+U60+U63+U64+U65</f>
        <v>34505.016092030048</v>
      </c>
      <c r="V58" s="2268">
        <f t="shared" si="5"/>
        <v>27668.554879984265</v>
      </c>
      <c r="W58" s="2256">
        <f>W59+W60+W63+W64+W65</f>
        <v>20832.095005282186</v>
      </c>
      <c r="X58" s="2256">
        <f>X59+X60+X63+X64+X65</f>
        <v>34505.019205662502</v>
      </c>
      <c r="Y58" s="2268">
        <f t="shared" si="6"/>
        <v>27668.557105472344</v>
      </c>
      <c r="Z58" s="2256">
        <f>Z59+Z60+Z63+Z64+Z65</f>
        <v>20832.09585288704</v>
      </c>
      <c r="AA58" s="2256">
        <f>AA59+AA60+AA63+AA64+AA65</f>
        <v>34505.015612065952</v>
      </c>
      <c r="AB58" s="2268">
        <f t="shared" si="7"/>
        <v>27668.555732476496</v>
      </c>
      <c r="AC58" s="2114"/>
      <c r="AD58" s="2114"/>
      <c r="AE58" s="2114"/>
      <c r="AF58" s="2114">
        <f>AF57-Z57</f>
        <v>-1.1570524393391679E-3</v>
      </c>
      <c r="AG58" s="2114">
        <f>AG57-AA57</f>
        <v>-903.48669162697479</v>
      </c>
      <c r="AH58" s="2113"/>
      <c r="AI58" s="2113"/>
    </row>
    <row r="59" spans="1:35" s="2218" customFormat="1" ht="21" customHeight="1">
      <c r="A59" s="2235">
        <v>311</v>
      </c>
      <c r="B59" s="2281" t="s">
        <v>1845</v>
      </c>
      <c r="C59" s="2282" t="s">
        <v>1846</v>
      </c>
      <c r="D59" s="2283" t="s">
        <v>1847</v>
      </c>
      <c r="E59" s="2284"/>
      <c r="F59" s="2285"/>
      <c r="G59" s="2257">
        <f t="shared" si="0"/>
        <v>0</v>
      </c>
      <c r="H59" s="2285"/>
      <c r="I59" s="2285"/>
      <c r="J59" s="2257">
        <f t="shared" si="1"/>
        <v>0</v>
      </c>
      <c r="K59" s="2285"/>
      <c r="L59" s="2285"/>
      <c r="M59" s="2259">
        <f t="shared" si="2"/>
        <v>0</v>
      </c>
      <c r="N59" s="2284"/>
      <c r="O59" s="2285"/>
      <c r="P59" s="2259">
        <f t="shared" si="3"/>
        <v>0</v>
      </c>
      <c r="Q59" s="2285"/>
      <c r="R59" s="2285"/>
      <c r="S59" s="2268">
        <f t="shared" si="4"/>
        <v>0</v>
      </c>
      <c r="T59" s="2284">
        <v>0</v>
      </c>
      <c r="U59" s="2285">
        <v>0</v>
      </c>
      <c r="V59" s="2268">
        <f t="shared" si="5"/>
        <v>0</v>
      </c>
      <c r="W59" s="2284">
        <v>0</v>
      </c>
      <c r="X59" s="2285">
        <v>0</v>
      </c>
      <c r="Y59" s="2268">
        <f t="shared" si="6"/>
        <v>0</v>
      </c>
      <c r="Z59" s="2284">
        <v>0</v>
      </c>
      <c r="AA59" s="2285">
        <v>0</v>
      </c>
      <c r="AB59" s="2268">
        <f t="shared" si="7"/>
        <v>0</v>
      </c>
      <c r="AC59" s="2114"/>
      <c r="AD59" s="2114"/>
      <c r="AE59" s="2114"/>
      <c r="AF59" s="2113"/>
      <c r="AG59" s="2113">
        <f>AG58/12/AA66*1000</f>
        <v>-804.68848908445761</v>
      </c>
      <c r="AH59" s="2113"/>
      <c r="AI59" s="2113"/>
    </row>
    <row r="60" spans="1:35" s="2218" customFormat="1" ht="21" customHeight="1">
      <c r="A60" s="2235">
        <v>611</v>
      </c>
      <c r="B60" s="2279" t="s">
        <v>1848</v>
      </c>
      <c r="C60" s="2280" t="s">
        <v>1786</v>
      </c>
      <c r="D60" s="2254" t="s">
        <v>1849</v>
      </c>
      <c r="E60" s="2255">
        <f>E61*E62</f>
        <v>14391.101553436596</v>
      </c>
      <c r="F60" s="2256">
        <f>F61*F62</f>
        <v>14981.781094808994</v>
      </c>
      <c r="G60" s="2257">
        <f t="shared" si="0"/>
        <v>14686.441324122796</v>
      </c>
      <c r="H60" s="2256">
        <f>H61*H62</f>
        <v>14987.677394633854</v>
      </c>
      <c r="I60" s="2256">
        <f>I61*I62</f>
        <v>15444.291222068936</v>
      </c>
      <c r="J60" s="2257">
        <f t="shared" si="1"/>
        <v>15215.984308351395</v>
      </c>
      <c r="K60" s="2256">
        <f>K61*K62</f>
        <v>16641.526753594586</v>
      </c>
      <c r="L60" s="2256">
        <f>L61*L62</f>
        <v>17480.83853768892</v>
      </c>
      <c r="M60" s="2259">
        <f t="shared" si="2"/>
        <v>17061.182645641755</v>
      </c>
      <c r="N60" s="2255">
        <v>0</v>
      </c>
      <c r="O60" s="2256">
        <f>O61*O62</f>
        <v>19863.826447146675</v>
      </c>
      <c r="P60" s="2259">
        <f t="shared" si="3"/>
        <v>9931.9132235733377</v>
      </c>
      <c r="Q60" s="2256">
        <f>Q61*Q62</f>
        <v>16868.806175262831</v>
      </c>
      <c r="R60" s="2256">
        <f>R61*R62</f>
        <v>18083.360219881757</v>
      </c>
      <c r="S60" s="2268">
        <f t="shared" si="4"/>
        <v>17476.083197572294</v>
      </c>
      <c r="T60" s="2256">
        <f>T61*T62</f>
        <v>17699.247512606547</v>
      </c>
      <c r="U60" s="2256">
        <f>U61*U62</f>
        <v>18973.593333514218</v>
      </c>
      <c r="V60" s="2267">
        <f t="shared" si="5"/>
        <v>18336.420423060383</v>
      </c>
      <c r="W60" s="2256">
        <f>W61*W62</f>
        <v>18529.688849950257</v>
      </c>
      <c r="X60" s="2256">
        <f>X61*X62</f>
        <v>19863.826447146675</v>
      </c>
      <c r="Y60" s="2268">
        <f t="shared" si="6"/>
        <v>19196.757648548468</v>
      </c>
      <c r="Z60" s="2256">
        <f>Z61*Z62</f>
        <v>16868.806175262831</v>
      </c>
      <c r="AA60" s="2256">
        <f>AA61*AA62</f>
        <v>18083.360219881757</v>
      </c>
      <c r="AB60" s="2268">
        <f t="shared" si="7"/>
        <v>17476.083197572294</v>
      </c>
      <c r="AC60" s="2114"/>
      <c r="AD60" s="2114"/>
      <c r="AE60" s="2114"/>
      <c r="AF60" s="2113"/>
      <c r="AG60" s="2113"/>
      <c r="AH60" s="2113"/>
      <c r="AI60" s="2113"/>
    </row>
    <row r="61" spans="1:35" s="2218" customFormat="1" ht="21" customHeight="1">
      <c r="A61" s="2235">
        <v>110</v>
      </c>
      <c r="B61" s="2281" t="s">
        <v>1850</v>
      </c>
      <c r="C61" s="2282" t="s">
        <v>1788</v>
      </c>
      <c r="D61" s="2283" t="s">
        <v>1784</v>
      </c>
      <c r="E61" s="2284">
        <f>'[3]НВВ очистка)'!K362</f>
        <v>5360</v>
      </c>
      <c r="F61" s="2285">
        <f>'[3]НВВ очистка)'!L362</f>
        <v>5580</v>
      </c>
      <c r="G61" s="2257">
        <f t="shared" si="0"/>
        <v>5470</v>
      </c>
      <c r="H61" s="2285">
        <f>'[3]НВВ очистка)'!T362</f>
        <v>5580</v>
      </c>
      <c r="I61" s="2285">
        <f>'[3]НВВ очистка)'!U362</f>
        <v>5750</v>
      </c>
      <c r="J61" s="2257">
        <f t="shared" si="1"/>
        <v>5665</v>
      </c>
      <c r="K61" s="2285">
        <f>'[3]НВВ очистка)'!AC362</f>
        <v>5750</v>
      </c>
      <c r="L61" s="2285">
        <f>'[3]НВВ очистка)'!AD362</f>
        <v>6040</v>
      </c>
      <c r="M61" s="2259">
        <f t="shared" si="2"/>
        <v>5895</v>
      </c>
      <c r="N61" s="2284">
        <v>0</v>
      </c>
      <c r="O61" s="2285">
        <f>L61*1.06*1.072</f>
        <v>6863.372800000001</v>
      </c>
      <c r="P61" s="2259">
        <f>N61/2+O61/2</f>
        <v>3431.6864000000005</v>
      </c>
      <c r="Q61" s="2284">
        <v>6402.4000000000005</v>
      </c>
      <c r="R61" s="2285">
        <f>Q61*1.072</f>
        <v>6863.372800000001</v>
      </c>
      <c r="S61" s="2268">
        <f t="shared" si="4"/>
        <v>6632.8864000000012</v>
      </c>
      <c r="T61" s="2284">
        <f>Q61</f>
        <v>6402.4000000000005</v>
      </c>
      <c r="U61" s="2285">
        <f>R61</f>
        <v>6863.372800000001</v>
      </c>
      <c r="V61" s="2268">
        <f t="shared" si="5"/>
        <v>6632.8864000000012</v>
      </c>
      <c r="W61" s="2284">
        <f>T61</f>
        <v>6402.4000000000005</v>
      </c>
      <c r="X61" s="2285">
        <f>U61</f>
        <v>6863.372800000001</v>
      </c>
      <c r="Y61" s="2268">
        <f t="shared" si="6"/>
        <v>6632.8864000000012</v>
      </c>
      <c r="Z61" s="2284">
        <f>W61</f>
        <v>6402.4000000000005</v>
      </c>
      <c r="AA61" s="2285">
        <f>X61</f>
        <v>6863.372800000001</v>
      </c>
      <c r="AB61" s="2268">
        <f t="shared" si="7"/>
        <v>6632.8864000000012</v>
      </c>
      <c r="AC61" s="2114">
        <f t="shared" ref="AC61:AC76" si="17">Y61+AB61-V61</f>
        <v>6632.8864000000012</v>
      </c>
      <c r="AD61" s="2114"/>
      <c r="AE61" s="2114"/>
      <c r="AF61" s="2113"/>
      <c r="AG61" s="2113"/>
      <c r="AH61" s="2113"/>
      <c r="AI61" s="2113"/>
    </row>
    <row r="62" spans="1:35" s="2218" customFormat="1" ht="21" customHeight="1">
      <c r="A62" s="2235">
        <v>113</v>
      </c>
      <c r="B62" s="2281" t="s">
        <v>1851</v>
      </c>
      <c r="C62" s="2282" t="s">
        <v>1790</v>
      </c>
      <c r="D62" s="2283"/>
      <c r="E62" s="2284">
        <f>'[3]НВВ очистка)'!K363</f>
        <v>2.6849070062381708</v>
      </c>
      <c r="F62" s="2285">
        <f>'[3]НВВ очистка)'!L363</f>
        <v>2.6849070062381708</v>
      </c>
      <c r="G62" s="2257">
        <f t="shared" si="0"/>
        <v>2.6849070062381708</v>
      </c>
      <c r="H62" s="2285">
        <f>'[3]НВВ очистка)'!T363</f>
        <v>2.6859636907945976</v>
      </c>
      <c r="I62" s="2285">
        <f>'[3]НВВ очистка)'!U363</f>
        <v>2.6859636907945976</v>
      </c>
      <c r="J62" s="2257">
        <f t="shared" si="1"/>
        <v>2.6859636907945976</v>
      </c>
      <c r="K62" s="2285">
        <f>'[3]НВВ очистка)'!AC363</f>
        <v>2.8941785658425365</v>
      </c>
      <c r="L62" s="2285">
        <f>'[3]НВВ очистка)'!AD363</f>
        <v>2.8941785658425365</v>
      </c>
      <c r="M62" s="2259">
        <f t="shared" si="2"/>
        <v>2.8941785658425365</v>
      </c>
      <c r="N62" s="2284">
        <v>2.8941785658425365</v>
      </c>
      <c r="O62" s="2285">
        <v>2.8941785658425365</v>
      </c>
      <c r="P62" s="2259">
        <f t="shared" si="3"/>
        <v>2.8941785658425365</v>
      </c>
      <c r="Q62" s="2284">
        <v>2.6347629287865222</v>
      </c>
      <c r="R62" s="2285">
        <v>2.6347629287865222</v>
      </c>
      <c r="S62" s="2268">
        <f t="shared" si="4"/>
        <v>2.6347629287865222</v>
      </c>
      <c r="T62" s="2294">
        <f>(N62+Q62)/2</f>
        <v>2.7644707473145296</v>
      </c>
      <c r="U62" s="2294">
        <f>(O62+R62)/2</f>
        <v>2.7644707473145296</v>
      </c>
      <c r="V62" s="2268">
        <f t="shared" si="5"/>
        <v>2.7644707473145296</v>
      </c>
      <c r="W62" s="2294">
        <v>2.8941785658425365</v>
      </c>
      <c r="X62" s="2296">
        <v>2.8941785658425365</v>
      </c>
      <c r="Y62" s="2268">
        <f t="shared" si="6"/>
        <v>2.8941785658425365</v>
      </c>
      <c r="Z62" s="2294">
        <v>2.6347629287865222</v>
      </c>
      <c r="AA62" s="2296">
        <v>2.6347629287865222</v>
      </c>
      <c r="AB62" s="2268">
        <f t="shared" si="7"/>
        <v>2.6347629287865222</v>
      </c>
      <c r="AC62" s="2114">
        <f t="shared" si="17"/>
        <v>2.7644707473145296</v>
      </c>
      <c r="AD62" s="2114"/>
      <c r="AE62" s="2114"/>
      <c r="AF62" s="2113"/>
      <c r="AG62" s="2113"/>
      <c r="AH62" s="2113"/>
      <c r="AI62" s="2113"/>
    </row>
    <row r="63" spans="1:35" s="2218" customFormat="1" ht="30.75" customHeight="1">
      <c r="A63" s="2235">
        <v>612</v>
      </c>
      <c r="B63" s="2281" t="s">
        <v>1852</v>
      </c>
      <c r="C63" s="2282" t="s">
        <v>1853</v>
      </c>
      <c r="D63" s="2283" t="s">
        <v>1847</v>
      </c>
      <c r="E63" s="2284">
        <f>'[3]НВВ очистка)'!K364</f>
        <v>10625.54449024811</v>
      </c>
      <c r="F63" s="2285">
        <f>'[3]НВВ очистка)'!L364</f>
        <v>10808.359131897041</v>
      </c>
      <c r="G63" s="2257">
        <f t="shared" si="0"/>
        <v>10716.951811072577</v>
      </c>
      <c r="H63" s="2285">
        <f>'[3]НВВ очистка)'!T364</f>
        <v>4719.8804419297248</v>
      </c>
      <c r="I63" s="2285">
        <f>'[3]НВВ очистка)'!U364</f>
        <v>4922.8912876294762</v>
      </c>
      <c r="J63" s="2257">
        <f t="shared" si="1"/>
        <v>4821.3858647796005</v>
      </c>
      <c r="K63" s="2285">
        <f>'[3]НВВ очистка)'!AC364</f>
        <v>8153.4023017006748</v>
      </c>
      <c r="L63" s="2285">
        <f>'[3]НВВ очистка)'!AD364</f>
        <v>8164.3604474378808</v>
      </c>
      <c r="M63" s="2259">
        <f t="shared" si="2"/>
        <v>8158.8813745692778</v>
      </c>
      <c r="N63" s="2284">
        <v>0</v>
      </c>
      <c r="O63" s="2285">
        <f>L63*1.06*1.072</f>
        <v>9277.326063632614</v>
      </c>
      <c r="P63" s="2259">
        <f t="shared" si="3"/>
        <v>4638.663031816307</v>
      </c>
      <c r="Q63" s="2284">
        <v>1749.5680401261582</v>
      </c>
      <c r="R63" s="2285">
        <f>Q63*1.072</f>
        <v>1875.5369390152416</v>
      </c>
      <c r="S63" s="2268">
        <f t="shared" si="4"/>
        <v>1812.5524895706999</v>
      </c>
      <c r="T63" s="2385">
        <f>1749.56804012616-830.44</f>
        <v>919.12804012615993</v>
      </c>
      <c r="U63" s="2285">
        <f>1875.53693901524+5000</f>
        <v>6875.53693901524</v>
      </c>
      <c r="V63" s="2268">
        <f t="shared" si="5"/>
        <v>3897.3324895707001</v>
      </c>
      <c r="W63" s="2888">
        <f>919.12804012616-830.44</f>
        <v>88.68804012615999</v>
      </c>
      <c r="X63" s="2889">
        <f>6875.53693901524-890.23</f>
        <v>5985.3069390152395</v>
      </c>
      <c r="Y63" s="2268">
        <f t="shared" si="6"/>
        <v>3036.9974895706996</v>
      </c>
      <c r="Z63" s="2888">
        <f>T63/$T$272*$Z$272+1513/2</f>
        <v>1475.3766500082033</v>
      </c>
      <c r="AA63" s="2889">
        <f>U63/$T$272*$Z$272+2100</f>
        <v>7477.5564947931534</v>
      </c>
      <c r="AB63" s="2268">
        <f t="shared" si="7"/>
        <v>4476.4665724006782</v>
      </c>
      <c r="AC63" s="2114">
        <f t="shared" si="17"/>
        <v>3616.1315724006772</v>
      </c>
      <c r="AD63" s="2114"/>
      <c r="AE63" s="2114"/>
      <c r="AF63" s="2113"/>
      <c r="AG63" s="2113"/>
      <c r="AH63" s="2113"/>
      <c r="AI63" s="2113"/>
    </row>
    <row r="64" spans="1:35" s="2218" customFormat="1" ht="21" customHeight="1">
      <c r="A64" s="2235">
        <v>613</v>
      </c>
      <c r="B64" s="2281" t="s">
        <v>1854</v>
      </c>
      <c r="C64" s="2282" t="s">
        <v>1795</v>
      </c>
      <c r="D64" s="2283" t="s">
        <v>1847</v>
      </c>
      <c r="E64" s="2284">
        <f>'[3]НВВ очистка)'!K365</f>
        <v>7879.3557767717466</v>
      </c>
      <c r="F64" s="2285">
        <f>'[3]НВВ очистка)'!L365</f>
        <v>8207.364002250175</v>
      </c>
      <c r="G64" s="2257">
        <f t="shared" si="0"/>
        <v>8043.3598895109608</v>
      </c>
      <c r="H64" s="2285">
        <f>'[3]НВВ очистка)'!T365</f>
        <v>5081.8900598176351</v>
      </c>
      <c r="I64" s="2285">
        <f>'[3]НВВ очистка)'!U365</f>
        <v>5813.2409708714276</v>
      </c>
      <c r="J64" s="2257">
        <f t="shared" si="1"/>
        <v>5447.5655153445314</v>
      </c>
      <c r="K64" s="2285">
        <f>'[3]НВВ очистка)'!AC365</f>
        <v>8576.6655743280317</v>
      </c>
      <c r="L64" s="2285">
        <f>'[3]НВВ очистка)'!AD365</f>
        <v>9150.844273512932</v>
      </c>
      <c r="M64" s="2259">
        <f t="shared" si="2"/>
        <v>8863.7549239204818</v>
      </c>
      <c r="N64" s="2284">
        <v>0</v>
      </c>
      <c r="O64" s="2285">
        <f>L64*1.06*1.072</f>
        <v>10398.287364878215</v>
      </c>
      <c r="P64" s="2259">
        <f t="shared" si="3"/>
        <v>5199.1436824391076</v>
      </c>
      <c r="Q64" s="2284">
        <v>2213.7181152057719</v>
      </c>
      <c r="R64" s="2285">
        <f>Q64*1.072</f>
        <v>2373.1058195005876</v>
      </c>
      <c r="S64" s="2268">
        <f t="shared" si="4"/>
        <v>2293.4119673531795</v>
      </c>
      <c r="T64" s="2385">
        <v>2213.7181152057719</v>
      </c>
      <c r="U64" s="2285">
        <f>2373.10581950059+6282.78</f>
        <v>8655.8858195005887</v>
      </c>
      <c r="V64" s="2268">
        <f t="shared" si="5"/>
        <v>5434.8019673531799</v>
      </c>
      <c r="W64" s="2888">
        <v>2213.7181152057719</v>
      </c>
      <c r="X64" s="2889">
        <v>8655.8858195005887</v>
      </c>
      <c r="Y64" s="2268">
        <f t="shared" si="6"/>
        <v>5434.8019673531799</v>
      </c>
      <c r="Z64" s="2888">
        <f>T64/$T$272*$Z$272+756.5</f>
        <v>2487.9130276160049</v>
      </c>
      <c r="AA64" s="2889">
        <f>U64/$T$272*$Z$272+2174.08</f>
        <v>8944.0988973910426</v>
      </c>
      <c r="AB64" s="2268">
        <f t="shared" si="7"/>
        <v>5716.0059625035237</v>
      </c>
      <c r="AC64" s="2114">
        <f t="shared" si="17"/>
        <v>5716.0059625035228</v>
      </c>
      <c r="AD64" s="2114"/>
      <c r="AE64" s="2114"/>
      <c r="AF64" s="2113"/>
      <c r="AG64" s="2113"/>
      <c r="AH64" s="2113"/>
      <c r="AI64" s="2113"/>
    </row>
    <row r="65" spans="1:35" s="2218" customFormat="1" ht="34.5" customHeight="1">
      <c r="A65" s="2235">
        <v>614</v>
      </c>
      <c r="B65" s="2281" t="s">
        <v>1855</v>
      </c>
      <c r="C65" s="2282" t="s">
        <v>1856</v>
      </c>
      <c r="D65" s="2283" t="s">
        <v>1847</v>
      </c>
      <c r="E65" s="2284">
        <f>'[3]НВВ очистка)'!K366</f>
        <v>0</v>
      </c>
      <c r="F65" s="2285">
        <f>'[3]НВВ очистка)'!L366</f>
        <v>0</v>
      </c>
      <c r="G65" s="2257">
        <f t="shared" si="0"/>
        <v>0</v>
      </c>
      <c r="H65" s="2285">
        <f>'[3]НВВ очистка)'!T366</f>
        <v>0</v>
      </c>
      <c r="I65" s="2285">
        <f>'[3]НВВ очистка)'!U366</f>
        <v>0</v>
      </c>
      <c r="J65" s="2257">
        <f t="shared" si="1"/>
        <v>0</v>
      </c>
      <c r="K65" s="2285">
        <f>'[3]НВВ очистка)'!AC366</f>
        <v>0</v>
      </c>
      <c r="L65" s="2285">
        <f>'[3]НВВ очистка)'!AD366</f>
        <v>0</v>
      </c>
      <c r="M65" s="2259">
        <f t="shared" si="2"/>
        <v>0</v>
      </c>
      <c r="N65" s="2284"/>
      <c r="O65" s="2285"/>
      <c r="P65" s="2259">
        <f t="shared" si="3"/>
        <v>0</v>
      </c>
      <c r="Q65" s="2284">
        <v>0</v>
      </c>
      <c r="R65" s="2285">
        <v>0</v>
      </c>
      <c r="S65" s="2268">
        <f t="shared" si="4"/>
        <v>0</v>
      </c>
      <c r="T65" s="2294">
        <v>0</v>
      </c>
      <c r="U65" s="2296">
        <v>0</v>
      </c>
      <c r="V65" s="2268">
        <f t="shared" si="5"/>
        <v>0</v>
      </c>
      <c r="W65" s="2294">
        <v>0</v>
      </c>
      <c r="X65" s="2296">
        <v>0</v>
      </c>
      <c r="Y65" s="2268">
        <f t="shared" si="6"/>
        <v>0</v>
      </c>
      <c r="Z65" s="2294">
        <v>0</v>
      </c>
      <c r="AA65" s="2296">
        <v>0</v>
      </c>
      <c r="AB65" s="2268">
        <f t="shared" si="7"/>
        <v>0</v>
      </c>
      <c r="AC65" s="2114">
        <f t="shared" si="17"/>
        <v>0</v>
      </c>
      <c r="AD65" s="2114"/>
      <c r="AE65" s="2114"/>
      <c r="AF65" s="2113"/>
      <c r="AG65" s="2113"/>
      <c r="AH65" s="2113"/>
      <c r="AI65" s="2113"/>
    </row>
    <row r="66" spans="1:35" s="2218" customFormat="1" ht="34.5" customHeight="1">
      <c r="A66" s="2235">
        <v>106</v>
      </c>
      <c r="B66" s="2281" t="s">
        <v>1857</v>
      </c>
      <c r="C66" s="2282" t="s">
        <v>1799</v>
      </c>
      <c r="D66" s="2283" t="s">
        <v>1800</v>
      </c>
      <c r="E66" s="2284">
        <f>'[3]НВВ очистка)'!K367</f>
        <v>78.308269710418585</v>
      </c>
      <c r="F66" s="2285">
        <f>'[3]НВВ очистка)'!L367</f>
        <v>78.308269710418585</v>
      </c>
      <c r="G66" s="2257">
        <f t="shared" si="0"/>
        <v>78.308269710418585</v>
      </c>
      <c r="H66" s="2285">
        <f>'[3]НВВ очистка)'!T367</f>
        <v>93.250724043378852</v>
      </c>
      <c r="I66" s="2285">
        <f>'[3]НВВ очистка)'!U367</f>
        <v>93.250724043378852</v>
      </c>
      <c r="J66" s="2257">
        <f t="shared" si="1"/>
        <v>93.250724043378852</v>
      </c>
      <c r="K66" s="2285">
        <f>'[3]НВВ очистка)'!AC367</f>
        <v>84.628418925057744</v>
      </c>
      <c r="L66" s="2285">
        <f>'[3]НВВ очистка)'!AD367</f>
        <v>84.628418925057744</v>
      </c>
      <c r="M66" s="2259">
        <f t="shared" si="2"/>
        <v>84.628418925057744</v>
      </c>
      <c r="N66" s="2294">
        <v>0</v>
      </c>
      <c r="O66" s="2285">
        <v>84.628418925057744</v>
      </c>
      <c r="P66" s="2259">
        <f t="shared" si="3"/>
        <v>42.314209462528872</v>
      </c>
      <c r="Q66" s="2284">
        <v>35</v>
      </c>
      <c r="R66" s="2285">
        <v>35</v>
      </c>
      <c r="S66" s="2268">
        <f t="shared" si="4"/>
        <v>35</v>
      </c>
      <c r="T66" s="2385">
        <f>N66+Q66</f>
        <v>35</v>
      </c>
      <c r="U66" s="2285">
        <f>O66+R66</f>
        <v>119.62841892505774</v>
      </c>
      <c r="V66" s="2268">
        <f t="shared" si="5"/>
        <v>77.314209462528879</v>
      </c>
      <c r="W66" s="2888">
        <f>T66/$T$272*$W$272</f>
        <v>7.6254867093016134</v>
      </c>
      <c r="X66" s="2889">
        <f>U66/$T$272*$W$272</f>
        <v>26.063569101936952</v>
      </c>
      <c r="Y66" s="2268">
        <f>W66/2+X66/2</f>
        <v>16.844527905619284</v>
      </c>
      <c r="Z66" s="2888">
        <f t="shared" ref="Z66:AA76" si="18">T66/$T$272*$Z$272</f>
        <v>27.374513290698381</v>
      </c>
      <c r="AA66" s="2889">
        <f t="shared" si="18"/>
        <v>93.564849823120767</v>
      </c>
      <c r="AB66" s="2268">
        <f t="shared" si="7"/>
        <v>60.469681556909578</v>
      </c>
      <c r="AC66" s="2114">
        <f t="shared" si="17"/>
        <v>0</v>
      </c>
      <c r="AD66" s="2114"/>
      <c r="AE66" s="2114"/>
      <c r="AF66" s="2113"/>
      <c r="AG66" s="2113"/>
      <c r="AH66" s="2113"/>
      <c r="AI66" s="2113"/>
    </row>
    <row r="67" spans="1:35" s="2218" customFormat="1" ht="54" customHeight="1" thickBot="1">
      <c r="A67" s="2235">
        <v>116</v>
      </c>
      <c r="B67" s="2311" t="s">
        <v>1859</v>
      </c>
      <c r="C67" s="2312" t="s">
        <v>1860</v>
      </c>
      <c r="D67" s="2313" t="s">
        <v>1317</v>
      </c>
      <c r="E67" s="2314">
        <f>'[3]НВВ очистка)'!K368</f>
        <v>9227.8870430548832</v>
      </c>
      <c r="F67" s="2315">
        <f>'[3]НВВ очистка)'!L368</f>
        <v>9504.7236543465297</v>
      </c>
      <c r="G67" s="2266">
        <f t="shared" si="0"/>
        <v>9366.3053487007055</v>
      </c>
      <c r="H67" s="2315">
        <f>'[3]НВВ очистка)'!T368</f>
        <v>9711.9136347540989</v>
      </c>
      <c r="I67" s="2315">
        <f>'[3]НВВ очистка)'!U368</f>
        <v>9997.6271369869919</v>
      </c>
      <c r="J67" s="2266">
        <f t="shared" si="1"/>
        <v>9854.7703858705463</v>
      </c>
      <c r="K67" s="2315">
        <f>'[3]НВВ очистка)'!AC368</f>
        <v>9792.8278647624575</v>
      </c>
      <c r="L67" s="2315">
        <f>'[3]НВВ очистка)'!AD368</f>
        <v>10297.267670332914</v>
      </c>
      <c r="M67" s="2268">
        <f t="shared" si="2"/>
        <v>10045.047767547687</v>
      </c>
      <c r="N67" s="2469">
        <v>0</v>
      </c>
      <c r="O67" s="2314">
        <f>O57*0.302</f>
        <v>12126.484861458021</v>
      </c>
      <c r="P67" s="2268">
        <f t="shared" si="3"/>
        <v>6063.2424307290103</v>
      </c>
      <c r="Q67" s="2470">
        <f>Q57*0.302</f>
        <v>2642.3425912126399</v>
      </c>
      <c r="R67" s="2470">
        <f>R57*0.302</f>
        <v>2832.591257779949</v>
      </c>
      <c r="S67" s="2268">
        <f t="shared" si="4"/>
        <v>2737.4669244962943</v>
      </c>
      <c r="T67" s="2467">
        <f>N67+Q67</f>
        <v>2642.3425912126399</v>
      </c>
      <c r="U67" s="2291">
        <f>O67+R67</f>
        <v>14959.076119237969</v>
      </c>
      <c r="V67" s="2268">
        <f t="shared" si="5"/>
        <v>8800.7093552253045</v>
      </c>
      <c r="W67" s="2377">
        <f t="shared" ref="W67:X69" si="19">T67/$T$272*$N$272</f>
        <v>575.68995173467351</v>
      </c>
      <c r="X67" s="2256">
        <f t="shared" si="19"/>
        <v>3259.1496037337224</v>
      </c>
      <c r="Y67" s="2268">
        <f>W67/2+X67/2</f>
        <v>1917.4197777341979</v>
      </c>
      <c r="Z67" s="2886">
        <f t="shared" si="18"/>
        <v>2066.6526394779662</v>
      </c>
      <c r="AA67" s="2887">
        <f t="shared" si="18"/>
        <v>11699.926515504245</v>
      </c>
      <c r="AB67" s="2268">
        <f t="shared" si="7"/>
        <v>6883.2895774911058</v>
      </c>
      <c r="AC67" s="2114">
        <f t="shared" si="17"/>
        <v>0</v>
      </c>
      <c r="AD67" s="2114"/>
      <c r="AE67" s="2114"/>
      <c r="AF67" s="2113"/>
      <c r="AG67" s="2113"/>
      <c r="AH67" s="2113"/>
      <c r="AI67" s="2113"/>
    </row>
    <row r="68" spans="1:35" s="2218" customFormat="1" ht="24" customHeight="1" thickBot="1">
      <c r="A68" s="2235">
        <v>117</v>
      </c>
      <c r="B68" s="2317" t="s">
        <v>120</v>
      </c>
      <c r="C68" s="2318" t="s">
        <v>1862</v>
      </c>
      <c r="D68" s="2319" t="s">
        <v>1317</v>
      </c>
      <c r="E68" s="2320">
        <f>E69+E76+E89+E90+E91+E92+E88</f>
        <v>864.99320870355439</v>
      </c>
      <c r="F68" s="2321">
        <f>F69+F76+F89+F90+F91+F92+F88</f>
        <v>890.94300496466099</v>
      </c>
      <c r="G68" s="2303">
        <f t="shared" si="0"/>
        <v>877.96810683410763</v>
      </c>
      <c r="H68" s="2321">
        <f>H69+H76+H89+H90+H91+H92+H88</f>
        <v>850.23466618995951</v>
      </c>
      <c r="I68" s="2321">
        <f>I69+I76+I89+I90+I91+I92+I88</f>
        <v>880.8431141727981</v>
      </c>
      <c r="J68" s="2303">
        <f t="shared" si="1"/>
        <v>865.53889018137875</v>
      </c>
      <c r="K68" s="2321">
        <f>K69+K76+K89+K90+K91+K92+K88</f>
        <v>1106.8461778181409</v>
      </c>
      <c r="L68" s="2321">
        <f>L69+L76+L89+L90+L91+L92+L88</f>
        <v>1154.228265282286</v>
      </c>
      <c r="M68" s="2303">
        <f t="shared" si="2"/>
        <v>1130.5372215502134</v>
      </c>
      <c r="N68" s="2320">
        <f>N69+N76+N89+N90+N91+N92+N88</f>
        <v>0</v>
      </c>
      <c r="O68" s="2321">
        <f>O69+O76+O89+O90+O91+O92+O88</f>
        <v>1311.5726624055674</v>
      </c>
      <c r="P68" s="2274">
        <f t="shared" si="3"/>
        <v>655.78633120278369</v>
      </c>
      <c r="Q68" s="2321">
        <f>Q69+Q76+Q89+Q90+Q91+Q92+Q88</f>
        <v>34669.746114285677</v>
      </c>
      <c r="R68" s="2321">
        <f>R69+R76+R89+R90+R91+R92+R88</f>
        <v>37165.967834514253</v>
      </c>
      <c r="S68" s="2925">
        <f t="shared" si="4"/>
        <v>35917.856974399969</v>
      </c>
      <c r="T68" s="2916">
        <f t="shared" ref="T68:U79" si="20">N68+Q68</f>
        <v>34669.746114285677</v>
      </c>
      <c r="U68" s="2275">
        <f t="shared" si="20"/>
        <v>38477.540496919821</v>
      </c>
      <c r="V68" s="2925">
        <f t="shared" si="5"/>
        <v>36573.643305602745</v>
      </c>
      <c r="W68" s="2916">
        <f t="shared" si="19"/>
        <v>7553.533948838477</v>
      </c>
      <c r="X68" s="2275">
        <f t="shared" si="19"/>
        <v>8383.1421047393342</v>
      </c>
      <c r="Y68" s="2274">
        <f>W68/2+X68/2</f>
        <v>7968.3380267889061</v>
      </c>
      <c r="Z68" s="2916">
        <f t="shared" si="18"/>
        <v>27116.212165447199</v>
      </c>
      <c r="AA68" s="2275">
        <f t="shared" si="18"/>
        <v>30094.398392180487</v>
      </c>
      <c r="AB68" s="2925">
        <f t="shared" si="7"/>
        <v>28605.305278813845</v>
      </c>
      <c r="AC68" s="2114">
        <f t="shared" si="17"/>
        <v>0</v>
      </c>
      <c r="AD68" s="2114"/>
      <c r="AE68" s="2114"/>
      <c r="AF68" s="2113"/>
      <c r="AG68" s="2113"/>
      <c r="AH68" s="2113"/>
      <c r="AI68" s="2113"/>
    </row>
    <row r="69" spans="1:35" s="2218" customFormat="1" ht="37.5" customHeight="1" thickBot="1">
      <c r="A69" s="2235">
        <v>118</v>
      </c>
      <c r="B69" s="2243" t="s">
        <v>1863</v>
      </c>
      <c r="C69" s="2278" t="s">
        <v>1864</v>
      </c>
      <c r="D69" s="2245" t="s">
        <v>1317</v>
      </c>
      <c r="E69" s="2246">
        <f>E70+E71+E72+E73+E74+E75</f>
        <v>0</v>
      </c>
      <c r="F69" s="2247">
        <f>F70+F71+F72+F73+F74+F75</f>
        <v>0</v>
      </c>
      <c r="G69" s="2248">
        <f t="shared" ref="G69:G132" si="21">E69/2+F69/2</f>
        <v>0</v>
      </c>
      <c r="H69" s="2247">
        <f>H70+H71+H72+H73+H74+H75</f>
        <v>131.51107072691553</v>
      </c>
      <c r="I69" s="2247">
        <f>I70+I71+I72+I73+I74+I75</f>
        <v>136.2454692730845</v>
      </c>
      <c r="J69" s="2248">
        <f t="shared" ref="J69:J132" si="22">H69/2+I69/2</f>
        <v>133.87827000000001</v>
      </c>
      <c r="K69" s="2247">
        <f>K70+K71+K72+K73+K74+K75</f>
        <v>232.51053705623758</v>
      </c>
      <c r="L69" s="2247">
        <f>L70+L71+L72+L73+L74+L75</f>
        <v>242.29619196762076</v>
      </c>
      <c r="M69" s="2250">
        <f t="shared" ref="M69:M132" si="23">K69/2+L69/2</f>
        <v>237.40336451192917</v>
      </c>
      <c r="N69" s="2247">
        <f>N70+N71+N72+N73+N74+N75</f>
        <v>0</v>
      </c>
      <c r="O69" s="2247">
        <f>O70+O71+O72+O73+O74+O75</f>
        <v>275.32600885664681</v>
      </c>
      <c r="P69" s="2250">
        <f t="shared" ref="P69:P132" si="24">N69/2+O69/2</f>
        <v>137.6630044283234</v>
      </c>
      <c r="Q69" s="2247">
        <f>Q70+Q71+Q72+Q73+Q74+Q75</f>
        <v>1378.0964928780838</v>
      </c>
      <c r="R69" s="2247">
        <f>R70+R71+R72+R73+R74+R75</f>
        <v>1477.3194403653063</v>
      </c>
      <c r="S69" s="2268">
        <f t="shared" ref="S69:S132" si="25">Q69/2+R69/2</f>
        <v>1427.707966621695</v>
      </c>
      <c r="T69" s="2469">
        <f t="shared" si="20"/>
        <v>1378.0964928780838</v>
      </c>
      <c r="U69" s="2470">
        <f t="shared" si="20"/>
        <v>1752.6454492219532</v>
      </c>
      <c r="V69" s="2268">
        <f t="shared" ref="V69:V132" si="26">T69/2+U69/2</f>
        <v>1565.3709710500184</v>
      </c>
      <c r="W69" s="2377">
        <f t="shared" si="19"/>
        <v>300.24732830219978</v>
      </c>
      <c r="X69" s="2256">
        <f t="shared" si="19"/>
        <v>381.85070226171314</v>
      </c>
      <c r="Y69" s="2268">
        <f>W69/2+X69/2</f>
        <v>341.04901528195649</v>
      </c>
      <c r="Z69" s="2886">
        <f t="shared" si="18"/>
        <v>1077.8491645758838</v>
      </c>
      <c r="AA69" s="2887">
        <f t="shared" si="18"/>
        <v>1370.79474696024</v>
      </c>
      <c r="AB69" s="2268">
        <f t="shared" ref="AB69:AB132" si="27">Z69/2+AA69/2</f>
        <v>1224.3219557680618</v>
      </c>
      <c r="AC69" s="2114">
        <f t="shared" si="17"/>
        <v>0</v>
      </c>
      <c r="AD69" s="2114"/>
      <c r="AE69" s="2114"/>
      <c r="AF69" s="2113"/>
      <c r="AG69" s="2113"/>
      <c r="AH69" s="2113"/>
      <c r="AI69" s="2113"/>
    </row>
    <row r="70" spans="1:35" s="2218" customFormat="1" ht="27" customHeight="1">
      <c r="A70" s="2235">
        <v>119</v>
      </c>
      <c r="B70" s="2281" t="s">
        <v>1865</v>
      </c>
      <c r="C70" s="2282" t="s">
        <v>1866</v>
      </c>
      <c r="D70" s="2283" t="s">
        <v>1317</v>
      </c>
      <c r="E70" s="2284"/>
      <c r="F70" s="2285"/>
      <c r="G70" s="2257">
        <f t="shared" si="21"/>
        <v>0</v>
      </c>
      <c r="H70" s="2285"/>
      <c r="I70" s="2285"/>
      <c r="J70" s="2257">
        <f t="shared" si="22"/>
        <v>0</v>
      </c>
      <c r="K70" s="2285"/>
      <c r="L70" s="2285"/>
      <c r="M70" s="2259">
        <f t="shared" si="23"/>
        <v>0</v>
      </c>
      <c r="N70" s="2284"/>
      <c r="O70" s="2285"/>
      <c r="P70" s="2259">
        <f t="shared" si="24"/>
        <v>0</v>
      </c>
      <c r="Q70" s="2284">
        <v>1282.4804777003528</v>
      </c>
      <c r="R70" s="2285">
        <f t="shared" ref="R70:R75" si="28">Q70*1.072</f>
        <v>1374.8190720947782</v>
      </c>
      <c r="S70" s="2268">
        <f t="shared" si="25"/>
        <v>1328.6497748975655</v>
      </c>
      <c r="T70" s="2385">
        <f t="shared" si="20"/>
        <v>1282.4804777003528</v>
      </c>
      <c r="U70" s="2285">
        <f t="shared" si="20"/>
        <v>1374.8190720947782</v>
      </c>
      <c r="V70" s="2268">
        <f t="shared" si="26"/>
        <v>1328.6497748975655</v>
      </c>
      <c r="W70" s="2888">
        <f t="shared" ref="W70:X75" si="29">T70/$T$272*$W$272</f>
        <v>279.41536678979497</v>
      </c>
      <c r="X70" s="2889">
        <f t="shared" si="29"/>
        <v>299.5332731986602</v>
      </c>
      <c r="Y70" s="2268">
        <f>W70/2+X70/2</f>
        <v>289.47431999422759</v>
      </c>
      <c r="Z70" s="2888">
        <f t="shared" si="18"/>
        <v>1003.0651109105578</v>
      </c>
      <c r="AA70" s="2889">
        <f t="shared" si="18"/>
        <v>1075.2857988961177</v>
      </c>
      <c r="AB70" s="2268">
        <f t="shared" si="27"/>
        <v>1039.1754549033378</v>
      </c>
      <c r="AC70" s="2114">
        <f t="shared" si="17"/>
        <v>0</v>
      </c>
      <c r="AD70" s="2114"/>
      <c r="AE70" s="2114"/>
      <c r="AF70" s="2113"/>
      <c r="AG70" s="2113"/>
      <c r="AH70" s="2113"/>
      <c r="AI70" s="2113"/>
    </row>
    <row r="71" spans="1:35" s="2218" customFormat="1" ht="21.75" customHeight="1">
      <c r="A71" s="2235">
        <v>120</v>
      </c>
      <c r="B71" s="2281" t="s">
        <v>1868</v>
      </c>
      <c r="C71" s="2282" t="s">
        <v>1869</v>
      </c>
      <c r="D71" s="2283" t="s">
        <v>1317</v>
      </c>
      <c r="E71" s="2284"/>
      <c r="F71" s="2285"/>
      <c r="G71" s="2257">
        <f t="shared" si="21"/>
        <v>0</v>
      </c>
      <c r="H71" s="2285"/>
      <c r="I71" s="2285"/>
      <c r="J71" s="2257">
        <f t="shared" si="22"/>
        <v>0</v>
      </c>
      <c r="K71" s="2285"/>
      <c r="L71" s="2285"/>
      <c r="M71" s="2259">
        <f t="shared" si="23"/>
        <v>0</v>
      </c>
      <c r="N71" s="2284"/>
      <c r="O71" s="2285"/>
      <c r="P71" s="2259">
        <f t="shared" si="24"/>
        <v>0</v>
      </c>
      <c r="Q71" s="2284">
        <v>0</v>
      </c>
      <c r="R71" s="2285">
        <f t="shared" si="28"/>
        <v>0</v>
      </c>
      <c r="S71" s="2268">
        <f t="shared" si="25"/>
        <v>0</v>
      </c>
      <c r="T71" s="2385">
        <f t="shared" si="20"/>
        <v>0</v>
      </c>
      <c r="U71" s="2285">
        <f t="shared" si="20"/>
        <v>0</v>
      </c>
      <c r="V71" s="2268">
        <f t="shared" si="26"/>
        <v>0</v>
      </c>
      <c r="W71" s="2888">
        <f t="shared" si="29"/>
        <v>0</v>
      </c>
      <c r="X71" s="2889">
        <f t="shared" si="29"/>
        <v>0</v>
      </c>
      <c r="Y71" s="2268">
        <f t="shared" ref="Y71:Y134" si="30">W71/2+X71/2</f>
        <v>0</v>
      </c>
      <c r="Z71" s="2888">
        <f t="shared" si="18"/>
        <v>0</v>
      </c>
      <c r="AA71" s="2889">
        <f t="shared" si="18"/>
        <v>0</v>
      </c>
      <c r="AB71" s="2268">
        <f t="shared" si="27"/>
        <v>0</v>
      </c>
      <c r="AC71" s="2114">
        <f t="shared" si="17"/>
        <v>0</v>
      </c>
      <c r="AD71" s="2114"/>
      <c r="AE71" s="2114"/>
      <c r="AF71" s="2113"/>
      <c r="AG71" s="2113"/>
      <c r="AH71" s="2113"/>
      <c r="AI71" s="2113"/>
    </row>
    <row r="72" spans="1:35" s="2218" customFormat="1" ht="22.5" customHeight="1">
      <c r="A72" s="2235">
        <v>121</v>
      </c>
      <c r="B72" s="2281" t="s">
        <v>1870</v>
      </c>
      <c r="C72" s="2282" t="s">
        <v>1871</v>
      </c>
      <c r="D72" s="2283" t="s">
        <v>1317</v>
      </c>
      <c r="E72" s="2284"/>
      <c r="F72" s="2285"/>
      <c r="G72" s="2257">
        <f t="shared" si="21"/>
        <v>0</v>
      </c>
      <c r="H72" s="2285"/>
      <c r="I72" s="2285"/>
      <c r="J72" s="2257">
        <f t="shared" si="22"/>
        <v>0</v>
      </c>
      <c r="K72" s="2285"/>
      <c r="L72" s="2285"/>
      <c r="M72" s="2259">
        <f t="shared" si="23"/>
        <v>0</v>
      </c>
      <c r="N72" s="2284"/>
      <c r="O72" s="2285"/>
      <c r="P72" s="2259">
        <f t="shared" si="24"/>
        <v>0</v>
      </c>
      <c r="Q72" s="2284">
        <v>10.00664206172844</v>
      </c>
      <c r="R72" s="2285">
        <f t="shared" si="28"/>
        <v>10.727120290172889</v>
      </c>
      <c r="S72" s="2268">
        <f t="shared" si="25"/>
        <v>10.366881175950665</v>
      </c>
      <c r="T72" s="2385">
        <f t="shared" si="20"/>
        <v>10.00664206172844</v>
      </c>
      <c r="U72" s="2285">
        <f t="shared" si="20"/>
        <v>10.727120290172889</v>
      </c>
      <c r="V72" s="2268">
        <f t="shared" si="26"/>
        <v>10.366881175950665</v>
      </c>
      <c r="W72" s="2888">
        <f t="shared" si="29"/>
        <v>2.1801576013271062</v>
      </c>
      <c r="X72" s="2889">
        <f t="shared" si="29"/>
        <v>2.3371289486226581</v>
      </c>
      <c r="Y72" s="2268">
        <f t="shared" si="30"/>
        <v>2.2586432749748822</v>
      </c>
      <c r="Z72" s="2888">
        <f t="shared" si="18"/>
        <v>7.8264844604013337</v>
      </c>
      <c r="AA72" s="2889">
        <f t="shared" si="18"/>
        <v>8.3899913415502301</v>
      </c>
      <c r="AB72" s="2268">
        <f t="shared" si="27"/>
        <v>8.1082379009757819</v>
      </c>
      <c r="AC72" s="2114">
        <f t="shared" si="17"/>
        <v>0</v>
      </c>
      <c r="AD72" s="2114"/>
      <c r="AE72" s="2114"/>
      <c r="AF72" s="2113"/>
      <c r="AG72" s="2113"/>
      <c r="AH72" s="2113"/>
      <c r="AI72" s="2113"/>
    </row>
    <row r="73" spans="1:35" s="2218" customFormat="1" ht="22.5" customHeight="1">
      <c r="A73" s="2235">
        <v>122</v>
      </c>
      <c r="B73" s="2281" t="s">
        <v>1873</v>
      </c>
      <c r="C73" s="2282" t="s">
        <v>1874</v>
      </c>
      <c r="D73" s="2283" t="s">
        <v>1317</v>
      </c>
      <c r="E73" s="2284"/>
      <c r="F73" s="2285"/>
      <c r="G73" s="2257">
        <f t="shared" si="21"/>
        <v>0</v>
      </c>
      <c r="H73" s="2285"/>
      <c r="I73" s="2285"/>
      <c r="J73" s="2257">
        <f t="shared" si="22"/>
        <v>0</v>
      </c>
      <c r="K73" s="2285"/>
      <c r="L73" s="2285"/>
      <c r="M73" s="2259">
        <f t="shared" si="23"/>
        <v>0</v>
      </c>
      <c r="N73" s="2284"/>
      <c r="O73" s="2285"/>
      <c r="P73" s="2259">
        <f t="shared" si="24"/>
        <v>0</v>
      </c>
      <c r="Q73" s="2284">
        <v>11.007306267901285</v>
      </c>
      <c r="R73" s="2285">
        <f t="shared" si="28"/>
        <v>11.799832319190179</v>
      </c>
      <c r="S73" s="2268">
        <f t="shared" si="25"/>
        <v>11.403569293545733</v>
      </c>
      <c r="T73" s="2385">
        <f t="shared" si="20"/>
        <v>11.007306267901285</v>
      </c>
      <c r="U73" s="2285">
        <f t="shared" si="20"/>
        <v>11.799832319190179</v>
      </c>
      <c r="V73" s="2268">
        <f t="shared" si="26"/>
        <v>11.403569293545733</v>
      </c>
      <c r="W73" s="2888">
        <f t="shared" si="29"/>
        <v>2.3981733614598166</v>
      </c>
      <c r="X73" s="2889">
        <f t="shared" si="29"/>
        <v>2.5708418434849243</v>
      </c>
      <c r="Y73" s="2268">
        <f t="shared" si="30"/>
        <v>2.4845076024723705</v>
      </c>
      <c r="Z73" s="2888">
        <f t="shared" si="18"/>
        <v>8.6091329064414666</v>
      </c>
      <c r="AA73" s="2889">
        <f t="shared" si="18"/>
        <v>9.2289904757052543</v>
      </c>
      <c r="AB73" s="2268">
        <f t="shared" si="27"/>
        <v>8.9190616910733596</v>
      </c>
      <c r="AC73" s="2114">
        <f t="shared" si="17"/>
        <v>0</v>
      </c>
      <c r="AD73" s="2114"/>
      <c r="AE73" s="2114"/>
      <c r="AF73" s="2113"/>
      <c r="AG73" s="2113"/>
      <c r="AH73" s="2113"/>
      <c r="AI73" s="2113"/>
    </row>
    <row r="74" spans="1:35" s="2218" customFormat="1" ht="42" customHeight="1">
      <c r="A74" s="2235">
        <v>123</v>
      </c>
      <c r="B74" s="2281" t="s">
        <v>1876</v>
      </c>
      <c r="C74" s="2282" t="s">
        <v>1877</v>
      </c>
      <c r="D74" s="2283" t="s">
        <v>1317</v>
      </c>
      <c r="E74" s="2284"/>
      <c r="F74" s="2285"/>
      <c r="G74" s="2257">
        <f t="shared" si="21"/>
        <v>0</v>
      </c>
      <c r="H74" s="2285">
        <f>'[3]НВВ очистка)'!T375</f>
        <v>131.51107072691553</v>
      </c>
      <c r="I74" s="2285">
        <f>'[3]НВВ очистка)'!U375</f>
        <v>136.2454692730845</v>
      </c>
      <c r="J74" s="2257">
        <f t="shared" si="22"/>
        <v>133.87827000000001</v>
      </c>
      <c r="K74" s="2285">
        <f>'[3]НВВ очистка)'!AC375</f>
        <v>232.51053705623758</v>
      </c>
      <c r="L74" s="2285">
        <f>'[3]НВВ очистка)'!AD375</f>
        <v>242.29619196762076</v>
      </c>
      <c r="M74" s="2259">
        <f t="shared" si="23"/>
        <v>237.40336451192917</v>
      </c>
      <c r="N74" s="2284"/>
      <c r="O74" s="2285">
        <f>L74*1.06*1.072</f>
        <v>275.32600885664681</v>
      </c>
      <c r="P74" s="2259">
        <f t="shared" si="24"/>
        <v>137.6630044283234</v>
      </c>
      <c r="Q74" s="2284">
        <v>70.681992955786271</v>
      </c>
      <c r="R74" s="2285">
        <f t="shared" si="28"/>
        <v>75.77109644860289</v>
      </c>
      <c r="S74" s="2268">
        <f t="shared" si="25"/>
        <v>73.226544702194587</v>
      </c>
      <c r="T74" s="2385">
        <f t="shared" si="20"/>
        <v>70.681992955786271</v>
      </c>
      <c r="U74" s="2285">
        <f t="shared" si="20"/>
        <v>351.09710530524967</v>
      </c>
      <c r="V74" s="2268">
        <f t="shared" si="26"/>
        <v>210.88954913051796</v>
      </c>
      <c r="W74" s="2888">
        <f t="shared" si="29"/>
        <v>15.399559939179955</v>
      </c>
      <c r="X74" s="2889">
        <f t="shared" si="29"/>
        <v>76.493894576555718</v>
      </c>
      <c r="Y74" s="2268">
        <f t="shared" si="30"/>
        <v>45.946727257867835</v>
      </c>
      <c r="Z74" s="2888">
        <f t="shared" si="18"/>
        <v>55.282433016606305</v>
      </c>
      <c r="AA74" s="2889">
        <f t="shared" si="18"/>
        <v>274.60321072869391</v>
      </c>
      <c r="AB74" s="2268">
        <f t="shared" si="27"/>
        <v>164.94282187265011</v>
      </c>
      <c r="AC74" s="2114">
        <f t="shared" si="17"/>
        <v>0</v>
      </c>
      <c r="AD74" s="2114"/>
      <c r="AE74" s="2114"/>
      <c r="AF74" s="2113"/>
      <c r="AG74" s="2113"/>
      <c r="AH74" s="2113"/>
      <c r="AI74" s="2113"/>
    </row>
    <row r="75" spans="1:35" s="2218" customFormat="1" ht="18.75" customHeight="1">
      <c r="A75" s="2235">
        <v>124</v>
      </c>
      <c r="B75" s="2281" t="s">
        <v>1879</v>
      </c>
      <c r="C75" s="2282" t="s">
        <v>1880</v>
      </c>
      <c r="D75" s="2283" t="s">
        <v>1317</v>
      </c>
      <c r="E75" s="2284"/>
      <c r="F75" s="2285"/>
      <c r="G75" s="2257">
        <f t="shared" si="21"/>
        <v>0</v>
      </c>
      <c r="H75" s="2285"/>
      <c r="I75" s="2285"/>
      <c r="J75" s="2257">
        <f t="shared" si="22"/>
        <v>0</v>
      </c>
      <c r="K75" s="2285"/>
      <c r="L75" s="2285"/>
      <c r="M75" s="2259">
        <f t="shared" si="23"/>
        <v>0</v>
      </c>
      <c r="N75" s="2284"/>
      <c r="O75" s="2285"/>
      <c r="P75" s="2259">
        <f t="shared" si="24"/>
        <v>0</v>
      </c>
      <c r="Q75" s="2284">
        <v>3.9200738923152225</v>
      </c>
      <c r="R75" s="2285">
        <f t="shared" si="28"/>
        <v>4.2023192125619184</v>
      </c>
      <c r="S75" s="2268">
        <f t="shared" si="25"/>
        <v>4.0611965524385703</v>
      </c>
      <c r="T75" s="2385">
        <f t="shared" si="20"/>
        <v>3.9200738923152225</v>
      </c>
      <c r="U75" s="2285">
        <f t="shared" si="20"/>
        <v>4.2023192125619184</v>
      </c>
      <c r="V75" s="2268">
        <f t="shared" si="26"/>
        <v>4.0611965524385703</v>
      </c>
      <c r="W75" s="2888">
        <f t="shared" si="29"/>
        <v>0.85407061043799926</v>
      </c>
      <c r="X75" s="2889">
        <f t="shared" si="29"/>
        <v>0.91556369438953511</v>
      </c>
      <c r="Y75" s="2268">
        <f t="shared" si="30"/>
        <v>0.88481715241376713</v>
      </c>
      <c r="Z75" s="2888">
        <f t="shared" si="18"/>
        <v>3.0660032818772232</v>
      </c>
      <c r="AA75" s="2889">
        <f t="shared" si="18"/>
        <v>3.2867555181723827</v>
      </c>
      <c r="AB75" s="2268">
        <f t="shared" si="27"/>
        <v>3.1763794000248029</v>
      </c>
      <c r="AC75" s="2114">
        <f t="shared" si="17"/>
        <v>0</v>
      </c>
      <c r="AD75" s="2114"/>
      <c r="AE75" s="2114"/>
      <c r="AF75" s="2113"/>
      <c r="AG75" s="2113"/>
      <c r="AH75" s="2113"/>
      <c r="AI75" s="2113"/>
    </row>
    <row r="76" spans="1:35" s="2218" customFormat="1" ht="63">
      <c r="A76" s="2235">
        <v>125</v>
      </c>
      <c r="B76" s="2279" t="s">
        <v>1882</v>
      </c>
      <c r="C76" s="2295" t="s">
        <v>1883</v>
      </c>
      <c r="D76" s="2254" t="s">
        <v>1317</v>
      </c>
      <c r="E76" s="2255">
        <f>E77+E87</f>
        <v>0</v>
      </c>
      <c r="F76" s="2256">
        <f>F77+F87</f>
        <v>0</v>
      </c>
      <c r="G76" s="2257">
        <f t="shared" si="21"/>
        <v>0</v>
      </c>
      <c r="H76" s="2256">
        <f>H77+H87</f>
        <v>0</v>
      </c>
      <c r="I76" s="2256">
        <f>I77+I87</f>
        <v>0</v>
      </c>
      <c r="J76" s="2257">
        <f t="shared" si="22"/>
        <v>0</v>
      </c>
      <c r="K76" s="2256">
        <f>K77+K87</f>
        <v>0</v>
      </c>
      <c r="L76" s="2256">
        <f>L77+L87</f>
        <v>0</v>
      </c>
      <c r="M76" s="2259">
        <f t="shared" si="23"/>
        <v>0</v>
      </c>
      <c r="N76" s="2255">
        <v>0</v>
      </c>
      <c r="O76" s="2256">
        <v>0</v>
      </c>
      <c r="P76" s="2259">
        <f t="shared" si="24"/>
        <v>0</v>
      </c>
      <c r="Q76" s="2256">
        <f>Q77+Q87</f>
        <v>32707.545265107576</v>
      </c>
      <c r="R76" s="2256">
        <f>R77+R87</f>
        <v>35062.488524195323</v>
      </c>
      <c r="S76" s="2268">
        <f t="shared" si="25"/>
        <v>33885.016894651446</v>
      </c>
      <c r="T76" s="2469">
        <f t="shared" si="20"/>
        <v>32707.545265107576</v>
      </c>
      <c r="U76" s="2291">
        <f t="shared" si="20"/>
        <v>35062.488524195323</v>
      </c>
      <c r="V76" s="2268">
        <f t="shared" si="26"/>
        <v>33885.016894651446</v>
      </c>
      <c r="W76" s="2377">
        <f>T76/$T$272*$N$272</f>
        <v>7126.0271917988211</v>
      </c>
      <c r="X76" s="2256">
        <f>U76/$T$272*$N$272</f>
        <v>7639.1011496083365</v>
      </c>
      <c r="Y76" s="2268">
        <f t="shared" si="30"/>
        <v>7382.5641707035793</v>
      </c>
      <c r="Z76" s="2886">
        <f t="shared" si="18"/>
        <v>25581.518073308751</v>
      </c>
      <c r="AA76" s="2887">
        <f t="shared" si="18"/>
        <v>27423.387374586982</v>
      </c>
      <c r="AB76" s="2268">
        <f t="shared" si="27"/>
        <v>26502.452723947867</v>
      </c>
      <c r="AC76" s="2114">
        <f t="shared" si="17"/>
        <v>0</v>
      </c>
      <c r="AD76" s="2114"/>
      <c r="AE76" s="2114"/>
      <c r="AF76" s="2113"/>
      <c r="AG76" s="2113"/>
      <c r="AH76" s="2113"/>
      <c r="AI76" s="2113"/>
    </row>
    <row r="77" spans="1:35" s="2218" customFormat="1" ht="30.75" customHeight="1">
      <c r="A77" s="2235">
        <v>126</v>
      </c>
      <c r="B77" s="2279" t="s">
        <v>1884</v>
      </c>
      <c r="C77" s="2280" t="s">
        <v>1885</v>
      </c>
      <c r="D77" s="2254" t="s">
        <v>1317</v>
      </c>
      <c r="E77" s="2255">
        <f>E78*E86*12/1000</f>
        <v>0</v>
      </c>
      <c r="F77" s="2256">
        <f>F78*F86*12/1000</f>
        <v>0</v>
      </c>
      <c r="G77" s="2257">
        <f t="shared" si="21"/>
        <v>0</v>
      </c>
      <c r="H77" s="2256">
        <f>H78*H86*12/1000</f>
        <v>0</v>
      </c>
      <c r="I77" s="2256">
        <f>I78*I86*12/1000</f>
        <v>0</v>
      </c>
      <c r="J77" s="2257">
        <f t="shared" si="22"/>
        <v>0</v>
      </c>
      <c r="K77" s="2256">
        <f>K78*K86*12/1000</f>
        <v>0</v>
      </c>
      <c r="L77" s="2256">
        <f>L78*L86*12/1000</f>
        <v>0</v>
      </c>
      <c r="M77" s="2259">
        <f t="shared" si="23"/>
        <v>0</v>
      </c>
      <c r="N77" s="2255">
        <v>0</v>
      </c>
      <c r="O77" s="2256">
        <v>0</v>
      </c>
      <c r="P77" s="2259">
        <f t="shared" si="24"/>
        <v>0</v>
      </c>
      <c r="Q77" s="2256">
        <f>Q78*Q86*12/1000</f>
        <v>25121.002507763114</v>
      </c>
      <c r="R77" s="2256">
        <f>R78*R86*12/1000</f>
        <v>26929.714688322059</v>
      </c>
      <c r="S77" s="2268">
        <f t="shared" si="25"/>
        <v>26025.358598042585</v>
      </c>
      <c r="T77" s="2256">
        <f>T78*T86*12/1000</f>
        <v>25121.002507763114</v>
      </c>
      <c r="U77" s="2256">
        <f>U78*U86*12/1000</f>
        <v>26929.714688322059</v>
      </c>
      <c r="V77" s="2268">
        <f t="shared" si="26"/>
        <v>26025.358598042585</v>
      </c>
      <c r="W77" s="2256">
        <f>W78*W86*12/1000</f>
        <v>5473.1391642080034</v>
      </c>
      <c r="X77" s="2256">
        <f>X78*X86*12/1000</f>
        <v>5867.2051840309796</v>
      </c>
      <c r="Y77" s="2268">
        <f t="shared" si="30"/>
        <v>5670.1721741194915</v>
      </c>
      <c r="Z77" s="2256">
        <f>Z78*Z86*12/1000</f>
        <v>19647.863343555109</v>
      </c>
      <c r="AA77" s="2256">
        <f>AA78*AA86*12/1000</f>
        <v>21062.509504291076</v>
      </c>
      <c r="AB77" s="2268">
        <f t="shared" si="27"/>
        <v>20355.186423923093</v>
      </c>
      <c r="AC77" s="2114"/>
      <c r="AD77" s="2114"/>
      <c r="AE77" s="2114"/>
      <c r="AF77" s="2113"/>
      <c r="AG77" s="2113"/>
      <c r="AH77" s="2113"/>
      <c r="AI77" s="2113"/>
    </row>
    <row r="78" spans="1:35" s="2218" customFormat="1" ht="30.75" customHeight="1">
      <c r="A78" s="2235">
        <v>617</v>
      </c>
      <c r="B78" s="2279" t="s">
        <v>1886</v>
      </c>
      <c r="C78" s="2280" t="s">
        <v>1887</v>
      </c>
      <c r="D78" s="2254" t="s">
        <v>1888</v>
      </c>
      <c r="E78" s="2255">
        <f>E79+E80+E81+E84+E85</f>
        <v>0</v>
      </c>
      <c r="F78" s="2256">
        <f>F79+F80+F81+F84+F85</f>
        <v>0</v>
      </c>
      <c r="G78" s="2257">
        <f t="shared" si="21"/>
        <v>0</v>
      </c>
      <c r="H78" s="2256">
        <f>H79+H80+H81+H84+H85</f>
        <v>0</v>
      </c>
      <c r="I78" s="2256">
        <f>I79+I80+I81+I84+I85</f>
        <v>0</v>
      </c>
      <c r="J78" s="2257">
        <f t="shared" si="22"/>
        <v>0</v>
      </c>
      <c r="K78" s="2256">
        <f>K79+K80+K81+K84+K85</f>
        <v>0</v>
      </c>
      <c r="L78" s="2256">
        <f>L79+L80+L81+L84+L85</f>
        <v>0</v>
      </c>
      <c r="M78" s="2259">
        <f t="shared" si="23"/>
        <v>0</v>
      </c>
      <c r="N78" s="2255">
        <v>0</v>
      </c>
      <c r="O78" s="2256">
        <v>0</v>
      </c>
      <c r="P78" s="2259">
        <f t="shared" si="24"/>
        <v>0</v>
      </c>
      <c r="Q78" s="2256">
        <f>Q79+Q80+Q81+Q84+Q85</f>
        <v>58150.468767970175</v>
      </c>
      <c r="R78" s="2256">
        <f>R79+R80+R81+R84+R85</f>
        <v>62337.302519264027</v>
      </c>
      <c r="S78" s="2268">
        <f t="shared" si="25"/>
        <v>60243.885643617105</v>
      </c>
      <c r="T78" s="2256">
        <f>T79+T80+T81+T84+T85</f>
        <v>58150.468767970175</v>
      </c>
      <c r="U78" s="2256">
        <f>U79+U80+U81+U84+U85</f>
        <v>62337.302519264027</v>
      </c>
      <c r="V78" s="2268">
        <f t="shared" si="26"/>
        <v>60243.885643617105</v>
      </c>
      <c r="W78" s="2256">
        <f>W79+W80+W81+W84+W85</f>
        <v>58150.468767970175</v>
      </c>
      <c r="X78" s="2256">
        <f>X79+X80+X81+X84+X85</f>
        <v>62337.302519264027</v>
      </c>
      <c r="Y78" s="2268">
        <f t="shared" si="30"/>
        <v>60243.885643617105</v>
      </c>
      <c r="Z78" s="2256">
        <f>Z79+Z80+Z81+Z84+Z85</f>
        <v>58150.468767970175</v>
      </c>
      <c r="AA78" s="2256">
        <f>AA79+AA80+AA81+AA84+AA85</f>
        <v>62337.302519264027</v>
      </c>
      <c r="AB78" s="2268">
        <f t="shared" si="27"/>
        <v>60243.885643617105</v>
      </c>
      <c r="AC78" s="2114"/>
      <c r="AD78" s="2114"/>
      <c r="AE78" s="2114"/>
      <c r="AF78" s="2113"/>
      <c r="AG78" s="2113"/>
      <c r="AH78" s="2113"/>
      <c r="AI78" s="2113"/>
    </row>
    <row r="79" spans="1:35" s="2218" customFormat="1" ht="30.75" customHeight="1">
      <c r="A79" s="2235">
        <v>288</v>
      </c>
      <c r="B79" s="2281" t="s">
        <v>1889</v>
      </c>
      <c r="C79" s="2282" t="s">
        <v>1890</v>
      </c>
      <c r="D79" s="2283" t="s">
        <v>1793</v>
      </c>
      <c r="E79" s="2284"/>
      <c r="F79" s="2285"/>
      <c r="G79" s="2257">
        <f t="shared" si="21"/>
        <v>0</v>
      </c>
      <c r="H79" s="2285"/>
      <c r="I79" s="2285"/>
      <c r="J79" s="2257">
        <f t="shared" si="22"/>
        <v>0</v>
      </c>
      <c r="K79" s="2285"/>
      <c r="L79" s="2285"/>
      <c r="M79" s="2259">
        <f t="shared" si="23"/>
        <v>0</v>
      </c>
      <c r="N79" s="2284"/>
      <c r="O79" s="2285"/>
      <c r="P79" s="2259">
        <f t="shared" si="24"/>
        <v>0</v>
      </c>
      <c r="Q79" s="2284">
        <v>17796.257301724141</v>
      </c>
      <c r="R79" s="2285">
        <f>Q79*1.072</f>
        <v>19077.587827448282</v>
      </c>
      <c r="S79" s="2268">
        <f t="shared" si="25"/>
        <v>18436.92256458621</v>
      </c>
      <c r="T79" s="2284">
        <f t="shared" si="20"/>
        <v>17796.257301724141</v>
      </c>
      <c r="U79" s="2285">
        <f t="shared" si="20"/>
        <v>19077.587827448282</v>
      </c>
      <c r="V79" s="2268">
        <f t="shared" si="26"/>
        <v>18436.92256458621</v>
      </c>
      <c r="W79" s="2888">
        <v>17796.257301724141</v>
      </c>
      <c r="X79" s="2889">
        <v>19077.587827448282</v>
      </c>
      <c r="Y79" s="2268">
        <f t="shared" si="30"/>
        <v>18436.92256458621</v>
      </c>
      <c r="Z79" s="2888">
        <v>17796.257301724141</v>
      </c>
      <c r="AA79" s="2889">
        <v>19077.587827448282</v>
      </c>
      <c r="AB79" s="2268">
        <f t="shared" si="27"/>
        <v>18436.92256458621</v>
      </c>
      <c r="AC79" s="2114"/>
      <c r="AD79" s="2114"/>
      <c r="AE79" s="2114"/>
      <c r="AF79" s="2113"/>
      <c r="AG79" s="2113"/>
      <c r="AH79" s="2113"/>
      <c r="AI79" s="2113"/>
    </row>
    <row r="80" spans="1:35" s="2218" customFormat="1" ht="21" customHeight="1">
      <c r="A80" s="2235">
        <v>297</v>
      </c>
      <c r="B80" s="2281" t="s">
        <v>1891</v>
      </c>
      <c r="C80" s="2282" t="s">
        <v>1846</v>
      </c>
      <c r="D80" s="2283" t="s">
        <v>1784</v>
      </c>
      <c r="E80" s="2284"/>
      <c r="F80" s="2285"/>
      <c r="G80" s="2257">
        <f t="shared" si="21"/>
        <v>0</v>
      </c>
      <c r="H80" s="2285"/>
      <c r="I80" s="2285"/>
      <c r="J80" s="2257">
        <f t="shared" si="22"/>
        <v>0</v>
      </c>
      <c r="K80" s="2285"/>
      <c r="L80" s="2285"/>
      <c r="M80" s="2259">
        <f t="shared" si="23"/>
        <v>0</v>
      </c>
      <c r="N80" s="2284"/>
      <c r="O80" s="2285"/>
      <c r="P80" s="2259">
        <f t="shared" si="24"/>
        <v>0</v>
      </c>
      <c r="Q80" s="2284">
        <v>0</v>
      </c>
      <c r="R80" s="2285">
        <v>0</v>
      </c>
      <c r="S80" s="2268">
        <f t="shared" si="25"/>
        <v>0</v>
      </c>
      <c r="T80" s="2284">
        <v>0</v>
      </c>
      <c r="U80" s="2285">
        <v>0</v>
      </c>
      <c r="V80" s="2268">
        <f t="shared" si="26"/>
        <v>0</v>
      </c>
      <c r="W80" s="2294">
        <v>0</v>
      </c>
      <c r="X80" s="2296">
        <v>0</v>
      </c>
      <c r="Y80" s="2268">
        <f t="shared" si="30"/>
        <v>0</v>
      </c>
      <c r="Z80" s="2294">
        <v>0</v>
      </c>
      <c r="AA80" s="2296">
        <v>0</v>
      </c>
      <c r="AB80" s="2268">
        <f t="shared" si="27"/>
        <v>0</v>
      </c>
      <c r="AC80" s="2114"/>
      <c r="AD80" s="2114"/>
      <c r="AE80" s="2114"/>
      <c r="AF80" s="2113"/>
      <c r="AG80" s="2113"/>
      <c r="AH80" s="2113"/>
      <c r="AI80" s="2113"/>
    </row>
    <row r="81" spans="1:35" s="2218" customFormat="1" ht="21" customHeight="1">
      <c r="A81" s="2235">
        <v>615</v>
      </c>
      <c r="B81" s="2279" t="s">
        <v>1892</v>
      </c>
      <c r="C81" s="2280" t="s">
        <v>1786</v>
      </c>
      <c r="D81" s="2254" t="s">
        <v>1893</v>
      </c>
      <c r="E81" s="2255">
        <f>E82*E83</f>
        <v>0</v>
      </c>
      <c r="F81" s="2256">
        <f>F82*F83</f>
        <v>0</v>
      </c>
      <c r="G81" s="2257">
        <f t="shared" si="21"/>
        <v>0</v>
      </c>
      <c r="H81" s="2256">
        <f>H82*H83</f>
        <v>0</v>
      </c>
      <c r="I81" s="2256">
        <f>I82*I83</f>
        <v>0</v>
      </c>
      <c r="J81" s="2257">
        <f t="shared" si="22"/>
        <v>0</v>
      </c>
      <c r="K81" s="2256">
        <f>K82*K83</f>
        <v>0</v>
      </c>
      <c r="L81" s="2256">
        <f>L82*L83</f>
        <v>0</v>
      </c>
      <c r="M81" s="2259">
        <f t="shared" si="23"/>
        <v>0</v>
      </c>
      <c r="N81" s="2255">
        <v>0</v>
      </c>
      <c r="O81" s="2256">
        <v>0</v>
      </c>
      <c r="P81" s="2259">
        <f t="shared" si="24"/>
        <v>0</v>
      </c>
      <c r="Q81" s="2255">
        <f>Q82*Q83</f>
        <v>17796.257301724145</v>
      </c>
      <c r="R81" s="2256">
        <f>R82*R83</f>
        <v>19077.587827448282</v>
      </c>
      <c r="S81" s="2268">
        <f t="shared" si="25"/>
        <v>18436.922564586213</v>
      </c>
      <c r="T81" s="2255">
        <f>T82*T83</f>
        <v>17796.257301724145</v>
      </c>
      <c r="U81" s="2256">
        <f>U82*U83</f>
        <v>19077.587827448282</v>
      </c>
      <c r="V81" s="2268">
        <f t="shared" si="26"/>
        <v>18436.922564586213</v>
      </c>
      <c r="W81" s="2255">
        <f>W82*W83</f>
        <v>17796.257301724145</v>
      </c>
      <c r="X81" s="2256">
        <f>X82*X83</f>
        <v>19077.587827448282</v>
      </c>
      <c r="Y81" s="2268">
        <f t="shared" si="30"/>
        <v>18436.922564586213</v>
      </c>
      <c r="Z81" s="2255">
        <f>Z82*Z83</f>
        <v>17796.257301724145</v>
      </c>
      <c r="AA81" s="2256">
        <f>AA82*AA83</f>
        <v>19077.587827448282</v>
      </c>
      <c r="AB81" s="2268">
        <f t="shared" si="27"/>
        <v>18436.922564586213</v>
      </c>
      <c r="AC81" s="2114">
        <f t="shared" ref="AC81:AC112" si="31">Y81+AB81-V81</f>
        <v>18436.922564586213</v>
      </c>
      <c r="AD81" s="2114"/>
      <c r="AE81" s="2114"/>
      <c r="AF81" s="2113"/>
      <c r="AG81" s="2113"/>
      <c r="AH81" s="2113"/>
      <c r="AI81" s="2113"/>
    </row>
    <row r="82" spans="1:35" s="2218" customFormat="1" ht="21" customHeight="1">
      <c r="A82" s="2235">
        <v>131</v>
      </c>
      <c r="B82" s="2281" t="s">
        <v>1894</v>
      </c>
      <c r="C82" s="2282" t="s">
        <v>1788</v>
      </c>
      <c r="D82" s="2283" t="s">
        <v>1784</v>
      </c>
      <c r="E82" s="2284"/>
      <c r="F82" s="2285"/>
      <c r="G82" s="2257">
        <f t="shared" si="21"/>
        <v>0</v>
      </c>
      <c r="H82" s="2285"/>
      <c r="I82" s="2285"/>
      <c r="J82" s="2257">
        <f t="shared" si="22"/>
        <v>0</v>
      </c>
      <c r="K82" s="2285"/>
      <c r="L82" s="2285"/>
      <c r="M82" s="2259">
        <f t="shared" si="23"/>
        <v>0</v>
      </c>
      <c r="N82" s="2284"/>
      <c r="O82" s="2285"/>
      <c r="P82" s="2259">
        <f t="shared" si="24"/>
        <v>0</v>
      </c>
      <c r="Q82" s="2284">
        <v>6402.4000000000005</v>
      </c>
      <c r="R82" s="2285">
        <f>Q82*1.072</f>
        <v>6863.372800000001</v>
      </c>
      <c r="S82" s="2268">
        <f t="shared" si="25"/>
        <v>6632.8864000000012</v>
      </c>
      <c r="T82" s="2284">
        <f>Q82</f>
        <v>6402.4000000000005</v>
      </c>
      <c r="U82" s="2285">
        <f>R82</f>
        <v>6863.372800000001</v>
      </c>
      <c r="V82" s="2268">
        <f t="shared" si="26"/>
        <v>6632.8864000000012</v>
      </c>
      <c r="W82" s="2284">
        <f>T82</f>
        <v>6402.4000000000005</v>
      </c>
      <c r="X82" s="2285">
        <f>U82</f>
        <v>6863.372800000001</v>
      </c>
      <c r="Y82" s="2268">
        <f t="shared" si="30"/>
        <v>6632.8864000000012</v>
      </c>
      <c r="Z82" s="2284">
        <f>W82</f>
        <v>6402.4000000000005</v>
      </c>
      <c r="AA82" s="2285">
        <f>X82</f>
        <v>6863.372800000001</v>
      </c>
      <c r="AB82" s="2268">
        <f t="shared" si="27"/>
        <v>6632.8864000000012</v>
      </c>
      <c r="AC82" s="2114">
        <f t="shared" si="31"/>
        <v>6632.8864000000012</v>
      </c>
      <c r="AD82" s="2114"/>
      <c r="AE82" s="2114"/>
      <c r="AF82" s="2113"/>
      <c r="AG82" s="2113"/>
      <c r="AH82" s="2113"/>
      <c r="AI82" s="2113"/>
    </row>
    <row r="83" spans="1:35" s="2218" customFormat="1" ht="21" customHeight="1">
      <c r="A83" s="2235">
        <v>134</v>
      </c>
      <c r="B83" s="2281" t="s">
        <v>1895</v>
      </c>
      <c r="C83" s="2282" t="s">
        <v>1790</v>
      </c>
      <c r="D83" s="2283"/>
      <c r="E83" s="2284"/>
      <c r="F83" s="2285"/>
      <c r="G83" s="2257">
        <f t="shared" si="21"/>
        <v>0</v>
      </c>
      <c r="H83" s="2285"/>
      <c r="I83" s="2285"/>
      <c r="J83" s="2257">
        <f t="shared" si="22"/>
        <v>0</v>
      </c>
      <c r="K83" s="2285"/>
      <c r="L83" s="2285"/>
      <c r="M83" s="2259">
        <f t="shared" si="23"/>
        <v>0</v>
      </c>
      <c r="N83" s="2284"/>
      <c r="O83" s="2285"/>
      <c r="P83" s="2259">
        <f t="shared" si="24"/>
        <v>0</v>
      </c>
      <c r="Q83" s="2284">
        <v>2.7796228448275868</v>
      </c>
      <c r="R83" s="2285">
        <v>2.7796228448275868</v>
      </c>
      <c r="S83" s="2268">
        <f t="shared" si="25"/>
        <v>2.7796228448275868</v>
      </c>
      <c r="T83" s="2284">
        <v>2.7796228448275868</v>
      </c>
      <c r="U83" s="2285">
        <v>2.7796228448275868</v>
      </c>
      <c r="V83" s="2268">
        <f t="shared" si="26"/>
        <v>2.7796228448275868</v>
      </c>
      <c r="W83" s="2294">
        <v>2.7796228448275868</v>
      </c>
      <c r="X83" s="2296">
        <v>2.7796228448275868</v>
      </c>
      <c r="Y83" s="2268">
        <f t="shared" si="30"/>
        <v>2.7796228448275868</v>
      </c>
      <c r="Z83" s="2294">
        <v>2.7796228448275868</v>
      </c>
      <c r="AA83" s="2296">
        <v>2.7796228448275868</v>
      </c>
      <c r="AB83" s="2268">
        <f t="shared" si="27"/>
        <v>2.7796228448275868</v>
      </c>
      <c r="AC83" s="2114">
        <f t="shared" si="31"/>
        <v>2.7796228448275868</v>
      </c>
      <c r="AD83" s="2114"/>
      <c r="AE83" s="2114"/>
      <c r="AF83" s="2113"/>
      <c r="AG83" s="2113"/>
      <c r="AH83" s="2113"/>
      <c r="AI83" s="2113"/>
    </row>
    <row r="84" spans="1:35" s="2218" customFormat="1" ht="21" customHeight="1">
      <c r="A84" s="2235">
        <v>618</v>
      </c>
      <c r="B84" s="2281" t="s">
        <v>1896</v>
      </c>
      <c r="C84" s="2282" t="s">
        <v>1795</v>
      </c>
      <c r="D84" s="2283" t="s">
        <v>1784</v>
      </c>
      <c r="E84" s="2284"/>
      <c r="F84" s="2285"/>
      <c r="G84" s="2257">
        <f t="shared" si="21"/>
        <v>0</v>
      </c>
      <c r="H84" s="2285"/>
      <c r="I84" s="2285"/>
      <c r="J84" s="2257">
        <f t="shared" si="22"/>
        <v>0</v>
      </c>
      <c r="K84" s="2285"/>
      <c r="L84" s="2285"/>
      <c r="M84" s="2259">
        <f t="shared" si="23"/>
        <v>0</v>
      </c>
      <c r="N84" s="2284"/>
      <c r="O84" s="2285"/>
      <c r="P84" s="2259">
        <f t="shared" si="24"/>
        <v>0</v>
      </c>
      <c r="Q84" s="2284">
        <v>22557.954164521885</v>
      </c>
      <c r="R84" s="2285">
        <f>Q84*1.072</f>
        <v>24182.126864367463</v>
      </c>
      <c r="S84" s="2268">
        <f t="shared" si="25"/>
        <v>23370.040514444674</v>
      </c>
      <c r="T84" s="2284">
        <f>N84+Q84</f>
        <v>22557.954164521885</v>
      </c>
      <c r="U84" s="2285">
        <f>O84+R84</f>
        <v>24182.126864367463</v>
      </c>
      <c r="V84" s="2268">
        <f t="shared" si="26"/>
        <v>23370.040514444674</v>
      </c>
      <c r="W84" s="2888">
        <v>22557.954164521885</v>
      </c>
      <c r="X84" s="2889">
        <v>24182.126864367463</v>
      </c>
      <c r="Y84" s="2268">
        <f t="shared" si="30"/>
        <v>23370.040514444674</v>
      </c>
      <c r="Z84" s="2888">
        <v>22557.954164521885</v>
      </c>
      <c r="AA84" s="2889">
        <v>24182.126864367463</v>
      </c>
      <c r="AB84" s="2268">
        <f t="shared" si="27"/>
        <v>23370.040514444674</v>
      </c>
      <c r="AC84" s="2114">
        <f t="shared" si="31"/>
        <v>23370.040514444674</v>
      </c>
      <c r="AD84" s="2114"/>
      <c r="AE84" s="2114"/>
      <c r="AF84" s="2113"/>
      <c r="AG84" s="2113"/>
      <c r="AH84" s="2113"/>
      <c r="AI84" s="2113"/>
    </row>
    <row r="85" spans="1:35" s="2218" customFormat="1" ht="33" customHeight="1">
      <c r="A85" s="2235">
        <v>619</v>
      </c>
      <c r="B85" s="2281" t="s">
        <v>1897</v>
      </c>
      <c r="C85" s="2282" t="s">
        <v>1898</v>
      </c>
      <c r="D85" s="2283" t="s">
        <v>1784</v>
      </c>
      <c r="E85" s="2284"/>
      <c r="F85" s="2285"/>
      <c r="G85" s="2257">
        <f t="shared" si="21"/>
        <v>0</v>
      </c>
      <c r="H85" s="2285"/>
      <c r="I85" s="2285"/>
      <c r="J85" s="2257">
        <f t="shared" si="22"/>
        <v>0</v>
      </c>
      <c r="K85" s="2285"/>
      <c r="L85" s="2285"/>
      <c r="M85" s="2259">
        <f t="shared" si="23"/>
        <v>0</v>
      </c>
      <c r="N85" s="2284"/>
      <c r="O85" s="2285"/>
      <c r="P85" s="2259">
        <f t="shared" si="24"/>
        <v>0</v>
      </c>
      <c r="Q85" s="2284">
        <v>0</v>
      </c>
      <c r="R85" s="2285">
        <v>0</v>
      </c>
      <c r="S85" s="2268">
        <f t="shared" si="25"/>
        <v>0</v>
      </c>
      <c r="T85" s="2284">
        <v>0</v>
      </c>
      <c r="U85" s="2285">
        <v>0</v>
      </c>
      <c r="V85" s="2268">
        <f t="shared" si="26"/>
        <v>0</v>
      </c>
      <c r="W85" s="2294">
        <v>0</v>
      </c>
      <c r="X85" s="2296">
        <v>0</v>
      </c>
      <c r="Y85" s="2268">
        <f t="shared" si="30"/>
        <v>0</v>
      </c>
      <c r="Z85" s="2294">
        <v>0</v>
      </c>
      <c r="AA85" s="2296">
        <v>0</v>
      </c>
      <c r="AB85" s="2268">
        <f t="shared" si="27"/>
        <v>0</v>
      </c>
      <c r="AC85" s="2114">
        <f t="shared" si="31"/>
        <v>0</v>
      </c>
      <c r="AD85" s="2114"/>
      <c r="AE85" s="2114"/>
      <c r="AF85" s="2113"/>
      <c r="AG85" s="2113"/>
      <c r="AH85" s="2113"/>
      <c r="AI85" s="2113"/>
    </row>
    <row r="86" spans="1:35" s="2218" customFormat="1" ht="42.75" customHeight="1">
      <c r="A86" s="2235">
        <v>127</v>
      </c>
      <c r="B86" s="2281" t="s">
        <v>1899</v>
      </c>
      <c r="C86" s="2282" t="s">
        <v>1799</v>
      </c>
      <c r="D86" s="2283" t="s">
        <v>1800</v>
      </c>
      <c r="E86" s="2284"/>
      <c r="F86" s="2285"/>
      <c r="G86" s="2257">
        <f t="shared" si="21"/>
        <v>0</v>
      </c>
      <c r="H86" s="2285"/>
      <c r="I86" s="2285"/>
      <c r="J86" s="2257">
        <f t="shared" si="22"/>
        <v>0</v>
      </c>
      <c r="K86" s="2285"/>
      <c r="L86" s="2285"/>
      <c r="M86" s="2259">
        <f t="shared" si="23"/>
        <v>0</v>
      </c>
      <c r="N86" s="2284"/>
      <c r="O86" s="2285"/>
      <c r="P86" s="2259">
        <f t="shared" si="24"/>
        <v>0</v>
      </c>
      <c r="Q86" s="2284">
        <v>36</v>
      </c>
      <c r="R86" s="2285">
        <v>36</v>
      </c>
      <c r="S86" s="2268">
        <f t="shared" si="25"/>
        <v>36</v>
      </c>
      <c r="T86" s="2284">
        <f t="shared" ref="T86:U91" si="32">N86+Q86</f>
        <v>36</v>
      </c>
      <c r="U86" s="2285">
        <f t="shared" si="32"/>
        <v>36</v>
      </c>
      <c r="V86" s="2268">
        <f t="shared" si="26"/>
        <v>36</v>
      </c>
      <c r="W86" s="2888">
        <f>T86/$T$272*$W$272</f>
        <v>7.8433577581388016</v>
      </c>
      <c r="X86" s="2889">
        <f>U86/$T$272*$W$272</f>
        <v>7.8433577581388016</v>
      </c>
      <c r="Y86" s="2268">
        <f>W86/2+X86/2</f>
        <v>7.8433577581388016</v>
      </c>
      <c r="Z86" s="2888">
        <f t="shared" ref="Z86:AA112" si="33">T86/$T$272*$Z$272</f>
        <v>28.156642241861192</v>
      </c>
      <c r="AA86" s="2889">
        <f t="shared" si="33"/>
        <v>28.156642241861192</v>
      </c>
      <c r="AB86" s="2268">
        <f t="shared" si="27"/>
        <v>28.156642241861192</v>
      </c>
      <c r="AC86" s="2114">
        <f t="shared" si="31"/>
        <v>0</v>
      </c>
      <c r="AD86" s="2114"/>
      <c r="AE86" s="2114"/>
      <c r="AF86" s="2113"/>
      <c r="AG86" s="2113"/>
      <c r="AH86" s="2113"/>
      <c r="AI86" s="2113"/>
    </row>
    <row r="87" spans="1:35" s="2218" customFormat="1" ht="50.25" customHeight="1">
      <c r="A87" s="2235">
        <v>137</v>
      </c>
      <c r="B87" s="2287" t="s">
        <v>1901</v>
      </c>
      <c r="C87" s="2288" t="s">
        <v>1902</v>
      </c>
      <c r="D87" s="2289" t="s">
        <v>1317</v>
      </c>
      <c r="E87" s="2290"/>
      <c r="F87" s="2291"/>
      <c r="G87" s="2257">
        <f t="shared" si="21"/>
        <v>0</v>
      </c>
      <c r="H87" s="2291"/>
      <c r="I87" s="2291"/>
      <c r="J87" s="2257">
        <f t="shared" si="22"/>
        <v>0</v>
      </c>
      <c r="K87" s="2291"/>
      <c r="L87" s="2291"/>
      <c r="M87" s="2259">
        <f t="shared" si="23"/>
        <v>0</v>
      </c>
      <c r="N87" s="2290"/>
      <c r="O87" s="2291"/>
      <c r="P87" s="2259">
        <f t="shared" si="24"/>
        <v>0</v>
      </c>
      <c r="Q87" s="2290">
        <v>7586.5427573444604</v>
      </c>
      <c r="R87" s="2291">
        <f>R77*0.302</f>
        <v>8132.7738358732613</v>
      </c>
      <c r="S87" s="2268">
        <f t="shared" si="25"/>
        <v>7859.6582966088608</v>
      </c>
      <c r="T87" s="2469">
        <f>N87+Q87</f>
        <v>7586.5427573444604</v>
      </c>
      <c r="U87" s="2291">
        <f t="shared" si="32"/>
        <v>8132.7738358732613</v>
      </c>
      <c r="V87" s="2268">
        <f t="shared" si="26"/>
        <v>7859.6582966088608</v>
      </c>
      <c r="W87" s="2377">
        <f>T87/$T$272*$N$272</f>
        <v>1652.8880275908173</v>
      </c>
      <c r="X87" s="2256">
        <f>U87/$T$272*$N$272</f>
        <v>1771.8959655773558</v>
      </c>
      <c r="Y87" s="2268">
        <f>W87/2+X87/2</f>
        <v>1712.3919965840864</v>
      </c>
      <c r="Z87" s="2886">
        <f t="shared" si="33"/>
        <v>5933.6547297536426</v>
      </c>
      <c r="AA87" s="2887">
        <f t="shared" si="33"/>
        <v>6360.8778702959053</v>
      </c>
      <c r="AB87" s="2268">
        <f t="shared" si="27"/>
        <v>6147.266300024774</v>
      </c>
      <c r="AC87" s="2114">
        <f t="shared" si="31"/>
        <v>0</v>
      </c>
      <c r="AD87" s="2114"/>
      <c r="AE87" s="2114"/>
      <c r="AF87" s="2113"/>
      <c r="AG87" s="2113"/>
      <c r="AH87" s="2113"/>
      <c r="AI87" s="2113"/>
    </row>
    <row r="88" spans="1:35" s="2218" customFormat="1" ht="85.5" customHeight="1">
      <c r="A88" s="2235">
        <v>138</v>
      </c>
      <c r="B88" s="2281" t="s">
        <v>1904</v>
      </c>
      <c r="C88" s="2293" t="s">
        <v>1905</v>
      </c>
      <c r="D88" s="2283" t="s">
        <v>1317</v>
      </c>
      <c r="E88" s="2284">
        <f>'[3]НВВ очистка)'!K389</f>
        <v>548.39370331151315</v>
      </c>
      <c r="F88" s="2285">
        <f>'[3]НВВ очистка)'!L389</f>
        <v>564.84551441085853</v>
      </c>
      <c r="G88" s="2257">
        <f t="shared" si="21"/>
        <v>556.61960886118584</v>
      </c>
      <c r="H88" s="2285">
        <f>'[3]НВВ очистка)'!T389</f>
        <v>558.55997929319733</v>
      </c>
      <c r="I88" s="2285">
        <f>'[3]НВВ очистка)'!U389</f>
        <v>578.66813854775239</v>
      </c>
      <c r="J88" s="2257">
        <f t="shared" si="22"/>
        <v>568.61405892047492</v>
      </c>
      <c r="K88" s="2285">
        <f>'[3]НВВ очистка)'!AC389</f>
        <v>695.10551434820422</v>
      </c>
      <c r="L88" s="2285">
        <f>'[3]НВВ очистка)'!AD389</f>
        <v>724.99505146517697</v>
      </c>
      <c r="M88" s="2259">
        <f t="shared" si="23"/>
        <v>710.05028290669065</v>
      </c>
      <c r="N88" s="2284"/>
      <c r="O88" s="2285">
        <f>L88*1.06*1.072</f>
        <v>823.82637688091006</v>
      </c>
      <c r="P88" s="2259">
        <f t="shared" si="24"/>
        <v>411.91318844045503</v>
      </c>
      <c r="Q88" s="2284">
        <v>5.0662297065100335</v>
      </c>
      <c r="R88" s="2285">
        <f>Q88*1.072</f>
        <v>5.4309982453787562</v>
      </c>
      <c r="S88" s="2268">
        <f t="shared" si="25"/>
        <v>5.2486139759443944</v>
      </c>
      <c r="T88" s="2284">
        <f t="shared" si="32"/>
        <v>5.0662297065100335</v>
      </c>
      <c r="U88" s="2285">
        <f t="shared" si="32"/>
        <v>829.25737512628882</v>
      </c>
      <c r="V88" s="2268">
        <f t="shared" si="26"/>
        <v>417.16180241639944</v>
      </c>
      <c r="W88" s="2888">
        <f t="shared" ref="W88:X91" si="34">T88/$T$272*$W$272</f>
        <v>1.1037847798074649</v>
      </c>
      <c r="X88" s="2889">
        <f t="shared" si="34"/>
        <v>180.67117407473879</v>
      </c>
      <c r="Y88" s="2268">
        <f>W88/2+X88/2</f>
        <v>90.887479427273121</v>
      </c>
      <c r="Z88" s="2888">
        <f t="shared" si="33"/>
        <v>3.9624449267025676</v>
      </c>
      <c r="AA88" s="2889">
        <f t="shared" si="33"/>
        <v>648.58620105154989</v>
      </c>
      <c r="AB88" s="2268">
        <f t="shared" si="27"/>
        <v>326.27432298912623</v>
      </c>
      <c r="AC88" s="2114">
        <f t="shared" si="31"/>
        <v>0</v>
      </c>
      <c r="AD88" s="2114"/>
      <c r="AE88" s="2114"/>
      <c r="AF88" s="2113"/>
      <c r="AG88" s="2113"/>
      <c r="AH88" s="2113"/>
      <c r="AI88" s="2113"/>
    </row>
    <row r="89" spans="1:35" s="2218" customFormat="1" ht="23.25" customHeight="1">
      <c r="A89" s="2235">
        <v>139</v>
      </c>
      <c r="B89" s="2281" t="s">
        <v>1907</v>
      </c>
      <c r="C89" s="2293" t="s">
        <v>1908</v>
      </c>
      <c r="D89" s="2283" t="s">
        <v>1317</v>
      </c>
      <c r="E89" s="2284">
        <f>'[3]НВВ очистка)'!K390</f>
        <v>308.06455795710031</v>
      </c>
      <c r="F89" s="2285">
        <f>'[3]НВВ очистка)'!L390</f>
        <v>317.30649469581329</v>
      </c>
      <c r="G89" s="2257">
        <f t="shared" si="21"/>
        <v>312.6855263264568</v>
      </c>
      <c r="H89" s="2285">
        <f>'[3]НВВ очистка)'!T390</f>
        <v>158.87561302164121</v>
      </c>
      <c r="I89" s="2285">
        <f>'[3]НВВ очистка)'!U390</f>
        <v>164.59513509042031</v>
      </c>
      <c r="J89" s="2257">
        <f t="shared" si="22"/>
        <v>161.73537405603076</v>
      </c>
      <c r="K89" s="2285">
        <f>'[3]НВВ очистка)'!AC390</f>
        <v>162.01980278041626</v>
      </c>
      <c r="L89" s="2285">
        <f>'[3]НВВ очистка)'!AD390</f>
        <v>168.98665429997422</v>
      </c>
      <c r="M89" s="2259">
        <f t="shared" si="23"/>
        <v>165.50322854019524</v>
      </c>
      <c r="N89" s="2284"/>
      <c r="O89" s="2285">
        <f>L89*1.06*1.072</f>
        <v>192.02291501414672</v>
      </c>
      <c r="P89" s="2259">
        <f t="shared" si="24"/>
        <v>96.011457507073359</v>
      </c>
      <c r="Q89" s="2284">
        <v>240.72650780602058</v>
      </c>
      <c r="R89" s="2285">
        <f>Q89*1.072</f>
        <v>258.05881636805407</v>
      </c>
      <c r="S89" s="2268">
        <f t="shared" si="25"/>
        <v>249.39266208703731</v>
      </c>
      <c r="T89" s="2284">
        <f t="shared" si="32"/>
        <v>240.72650780602058</v>
      </c>
      <c r="U89" s="2285">
        <f t="shared" si="32"/>
        <v>450.08173138220081</v>
      </c>
      <c r="V89" s="2268">
        <f t="shared" si="26"/>
        <v>345.40411959411068</v>
      </c>
      <c r="W89" s="2888">
        <f t="shared" si="34"/>
        <v>52.447336738611455</v>
      </c>
      <c r="X89" s="2889">
        <f t="shared" si="34"/>
        <v>98.059778878698026</v>
      </c>
      <c r="Y89" s="2268">
        <f t="shared" si="30"/>
        <v>75.253557808654733</v>
      </c>
      <c r="Z89" s="2888">
        <f t="shared" si="33"/>
        <v>188.2791710674091</v>
      </c>
      <c r="AA89" s="2889">
        <f t="shared" si="33"/>
        <v>352.02195250350275</v>
      </c>
      <c r="AB89" s="2268">
        <f t="shared" si="27"/>
        <v>270.15056178545592</v>
      </c>
      <c r="AC89" s="2114">
        <f t="shared" si="31"/>
        <v>0</v>
      </c>
      <c r="AD89" s="2114"/>
      <c r="AE89" s="2114"/>
      <c r="AF89" s="2113"/>
      <c r="AG89" s="2113"/>
      <c r="AH89" s="2113"/>
      <c r="AI89" s="2113"/>
    </row>
    <row r="90" spans="1:35" s="2218" customFormat="1" ht="24" customHeight="1">
      <c r="A90" s="2235">
        <v>140</v>
      </c>
      <c r="B90" s="2281" t="s">
        <v>1909</v>
      </c>
      <c r="C90" s="2293" t="s">
        <v>1910</v>
      </c>
      <c r="D90" s="2283" t="s">
        <v>1317</v>
      </c>
      <c r="E90" s="2284">
        <f>'[3]НВВ очистка)'!K391</f>
        <v>0</v>
      </c>
      <c r="F90" s="2285">
        <f>'[3]НВВ очистка)'!L391</f>
        <v>0</v>
      </c>
      <c r="G90" s="2257">
        <f t="shared" si="21"/>
        <v>0</v>
      </c>
      <c r="H90" s="2285">
        <f>'[3]НВВ очистка)'!T391</f>
        <v>0</v>
      </c>
      <c r="I90" s="2285">
        <f>'[3]НВВ очистка)'!U391</f>
        <v>0</v>
      </c>
      <c r="J90" s="2257">
        <f t="shared" si="22"/>
        <v>0</v>
      </c>
      <c r="K90" s="2285">
        <f>'[3]НВВ очистка)'!AC391</f>
        <v>0</v>
      </c>
      <c r="L90" s="2285">
        <f>'[3]НВВ очистка)'!AD391</f>
        <v>0</v>
      </c>
      <c r="M90" s="2259">
        <f t="shared" si="23"/>
        <v>0</v>
      </c>
      <c r="N90" s="2284"/>
      <c r="O90" s="2285">
        <f>L90*1.06*1.072</f>
        <v>0</v>
      </c>
      <c r="P90" s="2259">
        <f t="shared" si="24"/>
        <v>0</v>
      </c>
      <c r="Q90" s="2284">
        <v>264.76034539565416</v>
      </c>
      <c r="R90" s="2285">
        <f>Q90*1.072</f>
        <v>283.82309026414129</v>
      </c>
      <c r="S90" s="2268">
        <f t="shared" si="25"/>
        <v>274.29171782989772</v>
      </c>
      <c r="T90" s="2284">
        <f t="shared" si="32"/>
        <v>264.76034539565416</v>
      </c>
      <c r="U90" s="2285">
        <f t="shared" si="32"/>
        <v>283.82309026414129</v>
      </c>
      <c r="V90" s="2268">
        <f t="shared" si="26"/>
        <v>274.29171782989772</v>
      </c>
      <c r="W90" s="2888">
        <f t="shared" si="34"/>
        <v>57.683614141847585</v>
      </c>
      <c r="X90" s="2889">
        <f t="shared" si="34"/>
        <v>61.836834360060621</v>
      </c>
      <c r="Y90" s="2268">
        <f t="shared" si="30"/>
        <v>59.760224250954103</v>
      </c>
      <c r="Z90" s="2888">
        <f t="shared" si="33"/>
        <v>207.07673125380654</v>
      </c>
      <c r="AA90" s="2889">
        <f t="shared" si="33"/>
        <v>221.98625590408065</v>
      </c>
      <c r="AB90" s="2268">
        <f t="shared" si="27"/>
        <v>214.53149357894358</v>
      </c>
      <c r="AC90" s="2114">
        <f t="shared" si="31"/>
        <v>0</v>
      </c>
      <c r="AD90" s="2114"/>
      <c r="AE90" s="2114"/>
      <c r="AF90" s="2113"/>
      <c r="AG90" s="2113"/>
      <c r="AH90" s="2113"/>
      <c r="AI90" s="2113"/>
    </row>
    <row r="91" spans="1:35" s="2218" customFormat="1" ht="21" customHeight="1">
      <c r="A91" s="2235">
        <v>141</v>
      </c>
      <c r="B91" s="2281" t="s">
        <v>1912</v>
      </c>
      <c r="C91" s="2293" t="s">
        <v>1913</v>
      </c>
      <c r="D91" s="2283" t="s">
        <v>1317</v>
      </c>
      <c r="E91" s="2284">
        <f>'[3]НВВ очистка)'!K392</f>
        <v>8.5349474349409604</v>
      </c>
      <c r="F91" s="2285">
        <f>'[3]НВВ очистка)'!L392</f>
        <v>8.7909958579891878</v>
      </c>
      <c r="G91" s="2257">
        <f t="shared" si="21"/>
        <v>8.6629716464650741</v>
      </c>
      <c r="H91" s="2285">
        <f>'[3]НВВ очистка)'!T392</f>
        <v>1.2880031482054761</v>
      </c>
      <c r="I91" s="2285">
        <f>'[3]НВВ очистка)'!U392</f>
        <v>1.3343712615408663</v>
      </c>
      <c r="J91" s="2257">
        <f t="shared" si="22"/>
        <v>1.3111872048731712</v>
      </c>
      <c r="K91" s="2285">
        <f>'[3]НВВ очистка)'!AC392</f>
        <v>17.210323633282854</v>
      </c>
      <c r="L91" s="2285">
        <f>'[3]НВВ очистка)'!AD392</f>
        <v>17.950367549514013</v>
      </c>
      <c r="M91" s="2259">
        <f t="shared" si="23"/>
        <v>17.580345591398434</v>
      </c>
      <c r="N91" s="2284"/>
      <c r="O91" s="2285">
        <f>L91*1.06*1.072</f>
        <v>20.397361653863769</v>
      </c>
      <c r="P91" s="2259">
        <f t="shared" si="24"/>
        <v>10.198680826931884</v>
      </c>
      <c r="Q91" s="2284">
        <v>73.551273391839473</v>
      </c>
      <c r="R91" s="2285">
        <f>Q91*1.072</f>
        <v>78.846965076051916</v>
      </c>
      <c r="S91" s="2268">
        <f t="shared" si="25"/>
        <v>76.199119233945694</v>
      </c>
      <c r="T91" s="2284">
        <f t="shared" si="32"/>
        <v>73.551273391839473</v>
      </c>
      <c r="U91" s="2285">
        <f t="shared" si="32"/>
        <v>99.244326729915684</v>
      </c>
      <c r="V91" s="2268">
        <f t="shared" si="26"/>
        <v>86.397800060877586</v>
      </c>
      <c r="W91" s="2888">
        <f t="shared" si="34"/>
        <v>16.024693077190893</v>
      </c>
      <c r="X91" s="2889">
        <f t="shared" si="34"/>
        <v>21.622465555787397</v>
      </c>
      <c r="Y91" s="2268">
        <f t="shared" si="30"/>
        <v>18.823579316489145</v>
      </c>
      <c r="Z91" s="2888">
        <f t="shared" si="33"/>
        <v>57.526580314648569</v>
      </c>
      <c r="AA91" s="2889">
        <f t="shared" si="33"/>
        <v>77.62186117412827</v>
      </c>
      <c r="AB91" s="2268">
        <f t="shared" si="27"/>
        <v>67.574220744388413</v>
      </c>
      <c r="AC91" s="2114">
        <f t="shared" si="31"/>
        <v>0</v>
      </c>
      <c r="AD91" s="2114"/>
      <c r="AE91" s="2114"/>
      <c r="AF91" s="2113"/>
      <c r="AG91" s="2113"/>
      <c r="AH91" s="2113"/>
      <c r="AI91" s="2113"/>
    </row>
    <row r="92" spans="1:35" s="2218" customFormat="1" ht="21" customHeight="1">
      <c r="A92" s="2235">
        <v>142</v>
      </c>
      <c r="B92" s="2279" t="s">
        <v>1915</v>
      </c>
      <c r="C92" s="2295" t="s">
        <v>1916</v>
      </c>
      <c r="D92" s="2254" t="s">
        <v>1317</v>
      </c>
      <c r="E92" s="2255">
        <f>E93+E94</f>
        <v>0</v>
      </c>
      <c r="F92" s="2256">
        <f>F93+F94</f>
        <v>0</v>
      </c>
      <c r="G92" s="2257">
        <f t="shared" si="21"/>
        <v>0</v>
      </c>
      <c r="H92" s="2256">
        <f>H93+H94</f>
        <v>0</v>
      </c>
      <c r="I92" s="2256">
        <f>I93+I94</f>
        <v>0</v>
      </c>
      <c r="J92" s="2257">
        <f t="shared" si="22"/>
        <v>0</v>
      </c>
      <c r="K92" s="2256">
        <f>K93+K94</f>
        <v>0</v>
      </c>
      <c r="L92" s="2256">
        <f>L93+L94</f>
        <v>0</v>
      </c>
      <c r="M92" s="2259">
        <f t="shared" si="23"/>
        <v>0</v>
      </c>
      <c r="N92" s="2255">
        <v>0</v>
      </c>
      <c r="O92" s="2256">
        <v>0</v>
      </c>
      <c r="P92" s="2259">
        <f t="shared" si="24"/>
        <v>0</v>
      </c>
      <c r="Q92" s="2255">
        <v>0</v>
      </c>
      <c r="R92" s="2256">
        <v>0</v>
      </c>
      <c r="S92" s="2268">
        <f t="shared" si="25"/>
        <v>0</v>
      </c>
      <c r="T92" s="2255">
        <v>0</v>
      </c>
      <c r="U92" s="2256">
        <v>0</v>
      </c>
      <c r="V92" s="2268">
        <f t="shared" si="26"/>
        <v>0</v>
      </c>
      <c r="W92" s="2377">
        <f>T92/$T$272*$N$272</f>
        <v>0</v>
      </c>
      <c r="X92" s="2256">
        <f>U92/$T$272*$N$272</f>
        <v>0</v>
      </c>
      <c r="Y92" s="2268">
        <f>W92/2+X92/2</f>
        <v>0</v>
      </c>
      <c r="Z92" s="2886">
        <f t="shared" si="33"/>
        <v>0</v>
      </c>
      <c r="AA92" s="2887">
        <f t="shared" si="33"/>
        <v>0</v>
      </c>
      <c r="AB92" s="2268">
        <f t="shared" si="27"/>
        <v>0</v>
      </c>
      <c r="AC92" s="2114">
        <f t="shared" si="31"/>
        <v>0</v>
      </c>
      <c r="AD92" s="2114"/>
      <c r="AE92" s="2114"/>
      <c r="AF92" s="2113"/>
      <c r="AG92" s="2113"/>
      <c r="AH92" s="2113"/>
      <c r="AI92" s="2113"/>
    </row>
    <row r="93" spans="1:35" s="2218" customFormat="1" ht="44.25" customHeight="1">
      <c r="A93" s="2235">
        <v>143</v>
      </c>
      <c r="B93" s="2281" t="s">
        <v>1917</v>
      </c>
      <c r="C93" s="2282" t="s">
        <v>1918</v>
      </c>
      <c r="D93" s="2283" t="s">
        <v>1317</v>
      </c>
      <c r="E93" s="2284"/>
      <c r="F93" s="2285"/>
      <c r="G93" s="2257">
        <f t="shared" si="21"/>
        <v>0</v>
      </c>
      <c r="H93" s="2285"/>
      <c r="I93" s="2285"/>
      <c r="J93" s="2257">
        <f t="shared" si="22"/>
        <v>0</v>
      </c>
      <c r="K93" s="2285"/>
      <c r="L93" s="2285"/>
      <c r="M93" s="2259">
        <f t="shared" si="23"/>
        <v>0</v>
      </c>
      <c r="N93" s="2284"/>
      <c r="O93" s="2285"/>
      <c r="P93" s="2259">
        <f t="shared" si="24"/>
        <v>0</v>
      </c>
      <c r="Q93" s="2284">
        <v>0</v>
      </c>
      <c r="R93" s="2285">
        <v>0</v>
      </c>
      <c r="S93" s="2268">
        <f t="shared" si="25"/>
        <v>0</v>
      </c>
      <c r="T93" s="2284">
        <f t="shared" ref="T93:U112" si="35">N93+Q93</f>
        <v>0</v>
      </c>
      <c r="U93" s="2285">
        <f t="shared" si="35"/>
        <v>0</v>
      </c>
      <c r="V93" s="2268">
        <f t="shared" si="26"/>
        <v>0</v>
      </c>
      <c r="W93" s="2888">
        <f>T93/$T$272*$W$272</f>
        <v>0</v>
      </c>
      <c r="X93" s="2889">
        <f>U93/$T$272*$W$272</f>
        <v>0</v>
      </c>
      <c r="Y93" s="2268">
        <f t="shared" si="30"/>
        <v>0</v>
      </c>
      <c r="Z93" s="2888">
        <f t="shared" si="33"/>
        <v>0</v>
      </c>
      <c r="AA93" s="2889">
        <f t="shared" si="33"/>
        <v>0</v>
      </c>
      <c r="AB93" s="2268">
        <f t="shared" si="27"/>
        <v>0</v>
      </c>
      <c r="AC93" s="2114">
        <f t="shared" si="31"/>
        <v>0</v>
      </c>
      <c r="AD93" s="2114"/>
      <c r="AE93" s="2114"/>
      <c r="AF93" s="2113"/>
      <c r="AG93" s="2113"/>
      <c r="AH93" s="2113"/>
      <c r="AI93" s="2113"/>
    </row>
    <row r="94" spans="1:35" s="2218" customFormat="1" ht="20.25" customHeight="1" thickBot="1">
      <c r="A94" s="2235">
        <v>144</v>
      </c>
      <c r="B94" s="2297" t="s">
        <v>1919</v>
      </c>
      <c r="C94" s="2298" t="s">
        <v>1920</v>
      </c>
      <c r="D94" s="2299" t="s">
        <v>1317</v>
      </c>
      <c r="E94" s="2300"/>
      <c r="F94" s="2301"/>
      <c r="G94" s="2266">
        <f t="shared" si="21"/>
        <v>0</v>
      </c>
      <c r="H94" s="2301"/>
      <c r="I94" s="2301"/>
      <c r="J94" s="2266">
        <f t="shared" si="22"/>
        <v>0</v>
      </c>
      <c r="K94" s="2301"/>
      <c r="L94" s="2301"/>
      <c r="M94" s="2268">
        <f t="shared" si="23"/>
        <v>0</v>
      </c>
      <c r="N94" s="2300"/>
      <c r="O94" s="2301"/>
      <c r="P94" s="2268">
        <f t="shared" si="24"/>
        <v>0</v>
      </c>
      <c r="Q94" s="2300">
        <v>0</v>
      </c>
      <c r="R94" s="2301">
        <v>0</v>
      </c>
      <c r="S94" s="2268">
        <f t="shared" si="25"/>
        <v>0</v>
      </c>
      <c r="T94" s="2284">
        <f t="shared" si="35"/>
        <v>0</v>
      </c>
      <c r="U94" s="2285">
        <f t="shared" si="35"/>
        <v>0</v>
      </c>
      <c r="V94" s="2268">
        <f t="shared" si="26"/>
        <v>0</v>
      </c>
      <c r="W94" s="2888">
        <f>T94/$T$272*$W$272</f>
        <v>0</v>
      </c>
      <c r="X94" s="2889">
        <f>U94/$T$272*$W$272</f>
        <v>0</v>
      </c>
      <c r="Y94" s="2268">
        <f t="shared" si="30"/>
        <v>0</v>
      </c>
      <c r="Z94" s="2888">
        <f t="shared" si="33"/>
        <v>0</v>
      </c>
      <c r="AA94" s="2889">
        <f t="shared" si="33"/>
        <v>0</v>
      </c>
      <c r="AB94" s="2268">
        <f t="shared" si="27"/>
        <v>0</v>
      </c>
      <c r="AC94" s="2114">
        <f t="shared" si="31"/>
        <v>0</v>
      </c>
      <c r="AD94" s="2114"/>
      <c r="AE94" s="2114"/>
      <c r="AF94" s="2113"/>
      <c r="AG94" s="2113"/>
      <c r="AH94" s="2113"/>
      <c r="AI94" s="2113"/>
    </row>
    <row r="95" spans="1:35" s="2218" customFormat="1" ht="38.25" thickBot="1">
      <c r="A95" s="2235">
        <v>5</v>
      </c>
      <c r="B95" s="2323" t="s">
        <v>85</v>
      </c>
      <c r="C95" s="2324" t="s">
        <v>1921</v>
      </c>
      <c r="D95" s="2323" t="s">
        <v>1313</v>
      </c>
      <c r="E95" s="2325">
        <f>E96+E97+E101+E102+E103+E104</f>
        <v>0</v>
      </c>
      <c r="F95" s="2325">
        <f>F96+F97+F101+F102+F103+F104</f>
        <v>0</v>
      </c>
      <c r="G95" s="2326">
        <f t="shared" si="21"/>
        <v>0</v>
      </c>
      <c r="H95" s="2325">
        <f>H96+H97+H101+H102+H103+H104</f>
        <v>0</v>
      </c>
      <c r="I95" s="2325">
        <f>I96+I97+I101+I102+I103+I104</f>
        <v>0</v>
      </c>
      <c r="J95" s="2326">
        <f t="shared" si="22"/>
        <v>0</v>
      </c>
      <c r="K95" s="2325">
        <f>K96+K97+K101+K102+K103+K104+K112</f>
        <v>3667.8100010942044</v>
      </c>
      <c r="L95" s="2325">
        <f>L96+L97+L101+L102+L103+L104+L112</f>
        <v>3838.5729469003245</v>
      </c>
      <c r="M95" s="2326">
        <f t="shared" si="23"/>
        <v>3753.1914739972644</v>
      </c>
      <c r="N95" s="2325">
        <f>N96+N97+N101+N102+N103+N104+N112</f>
        <v>0</v>
      </c>
      <c r="O95" s="2325">
        <f>O96+O97+O101+O102+O103+O104+O112</f>
        <v>9652.0881442627742</v>
      </c>
      <c r="P95" s="2926">
        <f t="shared" si="24"/>
        <v>4826.0440721313871</v>
      </c>
      <c r="Q95" s="2325">
        <f>Q96+Q97+Q101+Q102+Q103+Q104+Q112</f>
        <v>20245.135656151426</v>
      </c>
      <c r="R95" s="2325">
        <f>R96+R97+R101+R102+R103+R104+R112</f>
        <v>21702.785423394329</v>
      </c>
      <c r="S95" s="2268">
        <f t="shared" si="25"/>
        <v>20973.960539772877</v>
      </c>
      <c r="T95" s="2666">
        <f t="shared" si="35"/>
        <v>20245.135656151426</v>
      </c>
      <c r="U95" s="2479">
        <f t="shared" si="35"/>
        <v>31354.873567657101</v>
      </c>
      <c r="V95" s="2268">
        <f t="shared" si="26"/>
        <v>25800.004611904264</v>
      </c>
      <c r="W95" s="2927">
        <f>T95/$T$272*$N$272</f>
        <v>4410.8289392568822</v>
      </c>
      <c r="X95" s="2928">
        <f>U95/$T$272*$N$272</f>
        <v>6831.3191903429051</v>
      </c>
      <c r="Y95" s="2274">
        <f t="shared" si="30"/>
        <v>5621.0740647998937</v>
      </c>
      <c r="Z95" s="2927">
        <f t="shared" si="33"/>
        <v>15834.30671689454</v>
      </c>
      <c r="AA95" s="2928">
        <f t="shared" si="33"/>
        <v>24523.554377314191</v>
      </c>
      <c r="AB95" s="2925">
        <f t="shared" si="27"/>
        <v>20178.930547104366</v>
      </c>
      <c r="AC95" s="2114">
        <f t="shared" si="31"/>
        <v>0</v>
      </c>
      <c r="AD95" s="2114"/>
      <c r="AE95" s="2114"/>
      <c r="AF95" s="2113"/>
      <c r="AG95" s="2113"/>
      <c r="AH95" s="2113"/>
      <c r="AI95" s="2113"/>
    </row>
    <row r="96" spans="1:35" s="2218" customFormat="1" ht="78.75" customHeight="1" outlineLevel="1">
      <c r="A96" s="2235"/>
      <c r="B96" s="2328" t="s">
        <v>14982</v>
      </c>
      <c r="C96" s="2329" t="s">
        <v>14983</v>
      </c>
      <c r="D96" s="2330" t="s">
        <v>1317</v>
      </c>
      <c r="E96" s="2331"/>
      <c r="F96" s="2331"/>
      <c r="G96" s="2332">
        <f t="shared" si="21"/>
        <v>0</v>
      </c>
      <c r="H96" s="2331"/>
      <c r="I96" s="2331"/>
      <c r="J96" s="2332">
        <f t="shared" si="22"/>
        <v>0</v>
      </c>
      <c r="K96" s="2331"/>
      <c r="L96" s="2331"/>
      <c r="M96" s="2332">
        <f t="shared" si="23"/>
        <v>0</v>
      </c>
      <c r="N96" s="2331"/>
      <c r="O96" s="2331"/>
      <c r="P96" s="2332">
        <f t="shared" si="24"/>
        <v>0</v>
      </c>
      <c r="Q96" s="2523">
        <v>33.7765413626366</v>
      </c>
      <c r="R96" s="2285">
        <f t="shared" ref="R96:R101" si="36">Q96*1.072</f>
        <v>36.20845234074644</v>
      </c>
      <c r="S96" s="2268">
        <f t="shared" si="25"/>
        <v>34.99249685169152</v>
      </c>
      <c r="T96" s="2284">
        <f t="shared" si="35"/>
        <v>33.7765413626366</v>
      </c>
      <c r="U96" s="2285">
        <f t="shared" si="35"/>
        <v>36.20845234074644</v>
      </c>
      <c r="V96" s="2268">
        <f t="shared" si="26"/>
        <v>34.99249685169152</v>
      </c>
      <c r="W96" s="2888">
        <f>T96/$T$272*$W$272</f>
        <v>7.3589304927703312</v>
      </c>
      <c r="X96" s="2889">
        <f>U96/$T$272*$W$272</f>
        <v>7.8887734882497975</v>
      </c>
      <c r="Y96" s="2268">
        <f t="shared" si="30"/>
        <v>7.6238519905100643</v>
      </c>
      <c r="Z96" s="2888">
        <f t="shared" si="33"/>
        <v>26.417610869866266</v>
      </c>
      <c r="AA96" s="2889">
        <f t="shared" si="33"/>
        <v>28.319678852496644</v>
      </c>
      <c r="AB96" s="2268">
        <f t="shared" si="27"/>
        <v>27.368644861181455</v>
      </c>
      <c r="AC96" s="2114">
        <f t="shared" si="31"/>
        <v>0</v>
      </c>
      <c r="AD96" s="2114"/>
      <c r="AE96" s="2114"/>
      <c r="AF96" s="2113"/>
      <c r="AG96" s="2113"/>
      <c r="AH96" s="2113"/>
      <c r="AI96" s="2113"/>
    </row>
    <row r="97" spans="1:35" s="2218" customFormat="1" ht="47.25" customHeight="1" outlineLevel="1">
      <c r="A97" s="2235"/>
      <c r="B97" s="2328" t="s">
        <v>14984</v>
      </c>
      <c r="C97" s="2336" t="s">
        <v>14985</v>
      </c>
      <c r="D97" s="2337" t="s">
        <v>1128</v>
      </c>
      <c r="E97" s="2331">
        <f>E98+E99+E100</f>
        <v>0</v>
      </c>
      <c r="F97" s="2331">
        <f>F98+F99+F100</f>
        <v>0</v>
      </c>
      <c r="G97" s="2332">
        <f t="shared" si="21"/>
        <v>0</v>
      </c>
      <c r="H97" s="2331">
        <f>H98+H99+H100</f>
        <v>0</v>
      </c>
      <c r="I97" s="2331">
        <f>I98+I99+I100</f>
        <v>0</v>
      </c>
      <c r="J97" s="2332">
        <f t="shared" si="22"/>
        <v>0</v>
      </c>
      <c r="K97" s="2331">
        <f>K98+K99+K100</f>
        <v>0</v>
      </c>
      <c r="L97" s="2331">
        <f>L98+L99+L100</f>
        <v>0</v>
      </c>
      <c r="M97" s="2332">
        <f t="shared" si="23"/>
        <v>0</v>
      </c>
      <c r="N97" s="2331">
        <f>N98+N99+N100</f>
        <v>0</v>
      </c>
      <c r="O97" s="2331">
        <f>O98+O99+O100</f>
        <v>0</v>
      </c>
      <c r="P97" s="2332">
        <f t="shared" si="24"/>
        <v>0</v>
      </c>
      <c r="Q97" s="2331">
        <f>Q98+Q99+Q100</f>
        <v>61.984050914044808</v>
      </c>
      <c r="R97" s="2331">
        <f>R98+R99+R100</f>
        <v>66.446902579856044</v>
      </c>
      <c r="S97" s="2268">
        <f t="shared" si="25"/>
        <v>64.215476746950429</v>
      </c>
      <c r="T97" s="2929">
        <f t="shared" si="35"/>
        <v>61.984050914044808</v>
      </c>
      <c r="U97" s="2594">
        <f t="shared" si="35"/>
        <v>66.446902579856044</v>
      </c>
      <c r="V97" s="2268">
        <f t="shared" si="26"/>
        <v>64.215476746950429</v>
      </c>
      <c r="W97" s="2377">
        <f>T97/$T$272*$N$272</f>
        <v>13.504530183820663</v>
      </c>
      <c r="X97" s="2256">
        <f>U97/$T$272*$N$272</f>
        <v>14.476856357055752</v>
      </c>
      <c r="Y97" s="2268">
        <f t="shared" si="30"/>
        <v>13.990693270438207</v>
      </c>
      <c r="Z97" s="2886">
        <f t="shared" si="33"/>
        <v>48.479520730224138</v>
      </c>
      <c r="AA97" s="2887">
        <f t="shared" si="33"/>
        <v>51.970046222800285</v>
      </c>
      <c r="AB97" s="2268">
        <f t="shared" si="27"/>
        <v>50.224783476512215</v>
      </c>
      <c r="AC97" s="2114">
        <f t="shared" si="31"/>
        <v>0</v>
      </c>
      <c r="AD97" s="2114"/>
      <c r="AE97" s="2114"/>
      <c r="AF97" s="2113"/>
      <c r="AG97" s="2113"/>
      <c r="AH97" s="2113"/>
      <c r="AI97" s="2113"/>
    </row>
    <row r="98" spans="1:35" s="2218" customFormat="1" ht="31.5" customHeight="1" outlineLevel="1">
      <c r="A98" s="2235"/>
      <c r="B98" s="2338" t="s">
        <v>14986</v>
      </c>
      <c r="C98" s="2329" t="s">
        <v>14987</v>
      </c>
      <c r="D98" s="2330" t="s">
        <v>1317</v>
      </c>
      <c r="E98" s="2331"/>
      <c r="F98" s="2331"/>
      <c r="G98" s="2332">
        <f t="shared" si="21"/>
        <v>0</v>
      </c>
      <c r="H98" s="2331"/>
      <c r="I98" s="2331"/>
      <c r="J98" s="2332">
        <f t="shared" si="22"/>
        <v>0</v>
      </c>
      <c r="K98" s="2331"/>
      <c r="L98" s="2331"/>
      <c r="M98" s="2332">
        <f t="shared" si="23"/>
        <v>0</v>
      </c>
      <c r="N98" s="2331"/>
      <c r="O98" s="2331"/>
      <c r="P98" s="2332">
        <f t="shared" si="24"/>
        <v>0</v>
      </c>
      <c r="Q98" s="2523">
        <v>0</v>
      </c>
      <c r="R98" s="2285">
        <f t="shared" si="36"/>
        <v>0</v>
      </c>
      <c r="S98" s="2268">
        <f t="shared" si="25"/>
        <v>0</v>
      </c>
      <c r="T98" s="2284">
        <f t="shared" si="35"/>
        <v>0</v>
      </c>
      <c r="U98" s="2285">
        <f t="shared" si="35"/>
        <v>0</v>
      </c>
      <c r="V98" s="2268">
        <f t="shared" si="26"/>
        <v>0</v>
      </c>
      <c r="W98" s="2888">
        <f t="shared" ref="W98:X103" si="37">T98/$T$272*$W$272</f>
        <v>0</v>
      </c>
      <c r="X98" s="2889">
        <f t="shared" si="37"/>
        <v>0</v>
      </c>
      <c r="Y98" s="2268">
        <f>W98/2+X98/2</f>
        <v>0</v>
      </c>
      <c r="Z98" s="2888">
        <f t="shared" si="33"/>
        <v>0</v>
      </c>
      <c r="AA98" s="2889">
        <f t="shared" si="33"/>
        <v>0</v>
      </c>
      <c r="AB98" s="2268">
        <f t="shared" si="27"/>
        <v>0</v>
      </c>
      <c r="AC98" s="2114">
        <f t="shared" si="31"/>
        <v>0</v>
      </c>
      <c r="AD98" s="2114"/>
      <c r="AE98" s="2114"/>
      <c r="AF98" s="2113"/>
      <c r="AG98" s="2113"/>
      <c r="AH98" s="2113"/>
      <c r="AI98" s="2113"/>
    </row>
    <row r="99" spans="1:35" s="2218" customFormat="1" ht="63" customHeight="1" outlineLevel="1">
      <c r="A99" s="2235"/>
      <c r="B99" s="2338" t="s">
        <v>14988</v>
      </c>
      <c r="C99" s="2329" t="s">
        <v>14989</v>
      </c>
      <c r="D99" s="2330" t="s">
        <v>1317</v>
      </c>
      <c r="E99" s="2331"/>
      <c r="F99" s="2331"/>
      <c r="G99" s="2332">
        <f t="shared" si="21"/>
        <v>0</v>
      </c>
      <c r="H99" s="2331"/>
      <c r="I99" s="2331"/>
      <c r="J99" s="2332">
        <f t="shared" si="22"/>
        <v>0</v>
      </c>
      <c r="K99" s="2331"/>
      <c r="L99" s="2331"/>
      <c r="M99" s="2332">
        <f t="shared" si="23"/>
        <v>0</v>
      </c>
      <c r="N99" s="2331"/>
      <c r="O99" s="2331"/>
      <c r="P99" s="2332">
        <f t="shared" si="24"/>
        <v>0</v>
      </c>
      <c r="Q99" s="2595">
        <v>56.640504053081827</v>
      </c>
      <c r="R99" s="2285">
        <f t="shared" si="36"/>
        <v>60.718620344903719</v>
      </c>
      <c r="S99" s="2268">
        <f t="shared" si="25"/>
        <v>58.67956219899277</v>
      </c>
      <c r="T99" s="2284">
        <f t="shared" si="35"/>
        <v>56.640504053081827</v>
      </c>
      <c r="U99" s="2285">
        <f t="shared" si="35"/>
        <v>60.718620344903719</v>
      </c>
      <c r="V99" s="2268">
        <f t="shared" si="26"/>
        <v>58.67956219899277</v>
      </c>
      <c r="W99" s="2888">
        <f t="shared" si="37"/>
        <v>12.34032602471199</v>
      </c>
      <c r="X99" s="2889">
        <f t="shared" si="37"/>
        <v>13.228829498491253</v>
      </c>
      <c r="Y99" s="2268">
        <f t="shared" si="30"/>
        <v>12.784577761601621</v>
      </c>
      <c r="Z99" s="2888">
        <f t="shared" si="33"/>
        <v>44.300178028369835</v>
      </c>
      <c r="AA99" s="2889">
        <f t="shared" si="33"/>
        <v>47.489790846412461</v>
      </c>
      <c r="AB99" s="2268">
        <f t="shared" si="27"/>
        <v>45.894984437391145</v>
      </c>
      <c r="AC99" s="2114">
        <f t="shared" si="31"/>
        <v>0</v>
      </c>
      <c r="AD99" s="2114"/>
      <c r="AE99" s="2114"/>
      <c r="AF99" s="2113"/>
      <c r="AG99" s="2113"/>
      <c r="AH99" s="2113"/>
      <c r="AI99" s="2113"/>
    </row>
    <row r="100" spans="1:35" s="2218" customFormat="1" ht="63" customHeight="1" outlineLevel="1">
      <c r="A100" s="2235"/>
      <c r="B100" s="2338" t="s">
        <v>14990</v>
      </c>
      <c r="C100" s="2329" t="s">
        <v>14991</v>
      </c>
      <c r="D100" s="2330" t="s">
        <v>1317</v>
      </c>
      <c r="E100" s="2339"/>
      <c r="F100" s="2339"/>
      <c r="G100" s="2332">
        <f t="shared" si="21"/>
        <v>0</v>
      </c>
      <c r="H100" s="2339"/>
      <c r="I100" s="2339"/>
      <c r="J100" s="2332">
        <f t="shared" si="22"/>
        <v>0</v>
      </c>
      <c r="K100" s="2339"/>
      <c r="L100" s="2339"/>
      <c r="M100" s="2332">
        <f t="shared" si="23"/>
        <v>0</v>
      </c>
      <c r="N100" s="2339"/>
      <c r="O100" s="2339"/>
      <c r="P100" s="2332">
        <f t="shared" si="24"/>
        <v>0</v>
      </c>
      <c r="Q100" s="2341">
        <v>5.3435468609629826</v>
      </c>
      <c r="R100" s="2285">
        <f t="shared" si="36"/>
        <v>5.7282822349523173</v>
      </c>
      <c r="S100" s="2268">
        <f t="shared" si="25"/>
        <v>5.5359145479576499</v>
      </c>
      <c r="T100" s="2284">
        <f t="shared" si="35"/>
        <v>5.3435468609629826</v>
      </c>
      <c r="U100" s="2285">
        <f t="shared" si="35"/>
        <v>5.7282822349523173</v>
      </c>
      <c r="V100" s="2268">
        <f t="shared" si="26"/>
        <v>5.5359145479576499</v>
      </c>
      <c r="W100" s="2888">
        <f t="shared" si="37"/>
        <v>1.1642041591086736</v>
      </c>
      <c r="X100" s="2889">
        <f t="shared" si="37"/>
        <v>1.2480268585644982</v>
      </c>
      <c r="Y100" s="2268">
        <f t="shared" si="30"/>
        <v>1.2061155088365858</v>
      </c>
      <c r="Z100" s="2888">
        <f t="shared" si="33"/>
        <v>4.1793427018543081</v>
      </c>
      <c r="AA100" s="2889">
        <f t="shared" si="33"/>
        <v>4.4802553763878183</v>
      </c>
      <c r="AB100" s="2268">
        <f t="shared" si="27"/>
        <v>4.3297990391210632</v>
      </c>
      <c r="AC100" s="2114">
        <f t="shared" si="31"/>
        <v>0</v>
      </c>
      <c r="AD100" s="2114"/>
      <c r="AE100" s="2114"/>
      <c r="AF100" s="2113"/>
      <c r="AG100" s="2113"/>
      <c r="AH100" s="2113"/>
      <c r="AI100" s="2113"/>
    </row>
    <row r="101" spans="1:35" s="2218" customFormat="1" ht="47.25" customHeight="1" outlineLevel="1">
      <c r="A101" s="2235"/>
      <c r="B101" s="2328" t="s">
        <v>14992</v>
      </c>
      <c r="C101" s="2338" t="s">
        <v>14993</v>
      </c>
      <c r="D101" s="2342" t="s">
        <v>1317</v>
      </c>
      <c r="E101" s="2331"/>
      <c r="F101" s="2331"/>
      <c r="G101" s="2332">
        <f t="shared" si="21"/>
        <v>0</v>
      </c>
      <c r="H101" s="2331"/>
      <c r="I101" s="2331"/>
      <c r="J101" s="2332">
        <f t="shared" si="22"/>
        <v>0</v>
      </c>
      <c r="K101" s="2331"/>
      <c r="L101" s="2331"/>
      <c r="M101" s="2332">
        <f t="shared" si="23"/>
        <v>0</v>
      </c>
      <c r="N101" s="2331"/>
      <c r="O101" s="2331"/>
      <c r="P101" s="2332">
        <f t="shared" si="24"/>
        <v>0</v>
      </c>
      <c r="Q101" s="2523">
        <v>0</v>
      </c>
      <c r="R101" s="2285">
        <f t="shared" si="36"/>
        <v>0</v>
      </c>
      <c r="S101" s="2268">
        <f t="shared" si="25"/>
        <v>0</v>
      </c>
      <c r="T101" s="2284">
        <f t="shared" si="35"/>
        <v>0</v>
      </c>
      <c r="U101" s="2285">
        <f t="shared" si="35"/>
        <v>0</v>
      </c>
      <c r="V101" s="2268">
        <f t="shared" si="26"/>
        <v>0</v>
      </c>
      <c r="W101" s="2888">
        <f t="shared" si="37"/>
        <v>0</v>
      </c>
      <c r="X101" s="2889">
        <f t="shared" si="37"/>
        <v>0</v>
      </c>
      <c r="Y101" s="2268">
        <f t="shared" si="30"/>
        <v>0</v>
      </c>
      <c r="Z101" s="2888">
        <f t="shared" si="33"/>
        <v>0</v>
      </c>
      <c r="AA101" s="2889">
        <f t="shared" si="33"/>
        <v>0</v>
      </c>
      <c r="AB101" s="2268">
        <f t="shared" si="27"/>
        <v>0</v>
      </c>
      <c r="AC101" s="2114">
        <f t="shared" si="31"/>
        <v>0</v>
      </c>
      <c r="AD101" s="2114"/>
      <c r="AE101" s="2114"/>
      <c r="AF101" s="2113"/>
      <c r="AG101" s="2113"/>
      <c r="AH101" s="2113"/>
      <c r="AI101" s="2113"/>
    </row>
    <row r="102" spans="1:35" s="2218" customFormat="1" ht="47.25" customHeight="1" outlineLevel="1">
      <c r="A102" s="2235"/>
      <c r="B102" s="2343" t="s">
        <v>14994</v>
      </c>
      <c r="C102" s="2329" t="s">
        <v>14995</v>
      </c>
      <c r="D102" s="2329" t="s">
        <v>1317</v>
      </c>
      <c r="E102" s="2331"/>
      <c r="F102" s="2331"/>
      <c r="G102" s="2332">
        <f t="shared" si="21"/>
        <v>0</v>
      </c>
      <c r="H102" s="2331"/>
      <c r="I102" s="2331"/>
      <c r="J102" s="2332">
        <f t="shared" si="22"/>
        <v>0</v>
      </c>
      <c r="K102" s="2331"/>
      <c r="L102" s="2331"/>
      <c r="M102" s="2332">
        <f t="shared" si="23"/>
        <v>0</v>
      </c>
      <c r="N102" s="2331"/>
      <c r="O102" s="2331"/>
      <c r="P102" s="2332">
        <f t="shared" si="24"/>
        <v>0</v>
      </c>
      <c r="Q102" s="2333">
        <v>0</v>
      </c>
      <c r="R102" s="2331">
        <v>0</v>
      </c>
      <c r="S102" s="2268">
        <f t="shared" si="25"/>
        <v>0</v>
      </c>
      <c r="T102" s="2284">
        <f t="shared" si="35"/>
        <v>0</v>
      </c>
      <c r="U102" s="2285">
        <f t="shared" si="35"/>
        <v>0</v>
      </c>
      <c r="V102" s="2268">
        <f t="shared" si="26"/>
        <v>0</v>
      </c>
      <c r="W102" s="2888">
        <f t="shared" si="37"/>
        <v>0</v>
      </c>
      <c r="X102" s="2889">
        <f t="shared" si="37"/>
        <v>0</v>
      </c>
      <c r="Y102" s="2268">
        <f t="shared" si="30"/>
        <v>0</v>
      </c>
      <c r="Z102" s="2888">
        <f t="shared" si="33"/>
        <v>0</v>
      </c>
      <c r="AA102" s="2889">
        <f t="shared" si="33"/>
        <v>0</v>
      </c>
      <c r="AB102" s="2268">
        <f t="shared" si="27"/>
        <v>0</v>
      </c>
      <c r="AC102" s="2114">
        <f t="shared" si="31"/>
        <v>0</v>
      </c>
      <c r="AD102" s="2114"/>
      <c r="AE102" s="2114"/>
      <c r="AF102" s="2113"/>
      <c r="AG102" s="2113"/>
      <c r="AH102" s="2113"/>
      <c r="AI102" s="2113"/>
    </row>
    <row r="103" spans="1:35" s="2218" customFormat="1" ht="94.5" customHeight="1" outlineLevel="1">
      <c r="A103" s="2235"/>
      <c r="B103" s="2344" t="s">
        <v>14996</v>
      </c>
      <c r="C103" s="2345" t="s">
        <v>14997</v>
      </c>
      <c r="D103" s="2329" t="s">
        <v>1317</v>
      </c>
      <c r="E103" s="2346"/>
      <c r="F103" s="2346"/>
      <c r="G103" s="2332">
        <f t="shared" si="21"/>
        <v>0</v>
      </c>
      <c r="H103" s="2346"/>
      <c r="I103" s="2346"/>
      <c r="J103" s="2332">
        <f t="shared" si="22"/>
        <v>0</v>
      </c>
      <c r="K103" s="2346"/>
      <c r="L103" s="2346"/>
      <c r="M103" s="2332">
        <f t="shared" si="23"/>
        <v>0</v>
      </c>
      <c r="N103" s="2346"/>
      <c r="O103" s="2346"/>
      <c r="P103" s="2332">
        <f t="shared" si="24"/>
        <v>0</v>
      </c>
      <c r="Q103" s="2347">
        <v>0</v>
      </c>
      <c r="R103" s="2346">
        <v>0</v>
      </c>
      <c r="S103" s="2268">
        <f t="shared" si="25"/>
        <v>0</v>
      </c>
      <c r="T103" s="2284">
        <f t="shared" si="35"/>
        <v>0</v>
      </c>
      <c r="U103" s="2285">
        <f t="shared" si="35"/>
        <v>0</v>
      </c>
      <c r="V103" s="2268">
        <f t="shared" si="26"/>
        <v>0</v>
      </c>
      <c r="W103" s="2888">
        <f t="shared" si="37"/>
        <v>0</v>
      </c>
      <c r="X103" s="2889">
        <f t="shared" si="37"/>
        <v>0</v>
      </c>
      <c r="Y103" s="2268">
        <f t="shared" si="30"/>
        <v>0</v>
      </c>
      <c r="Z103" s="2888">
        <f t="shared" si="33"/>
        <v>0</v>
      </c>
      <c r="AA103" s="2889">
        <f t="shared" si="33"/>
        <v>0</v>
      </c>
      <c r="AB103" s="2268">
        <f t="shared" si="27"/>
        <v>0</v>
      </c>
      <c r="AC103" s="2114">
        <f t="shared" si="31"/>
        <v>0</v>
      </c>
      <c r="AD103" s="2114"/>
      <c r="AE103" s="2114"/>
      <c r="AF103" s="2113"/>
      <c r="AG103" s="2113"/>
      <c r="AH103" s="2113"/>
      <c r="AI103" s="2113"/>
    </row>
    <row r="104" spans="1:35" s="2218" customFormat="1" ht="78.75" outlineLevel="1">
      <c r="A104" s="2235"/>
      <c r="B104" s="2349" t="s">
        <v>14998</v>
      </c>
      <c r="C104" s="2336" t="s">
        <v>14999</v>
      </c>
      <c r="D104" s="2336" t="s">
        <v>1128</v>
      </c>
      <c r="E104" s="2346">
        <f>E105+E106+E107+E108+E109+E110+E111</f>
        <v>0</v>
      </c>
      <c r="F104" s="2346"/>
      <c r="G104" s="2332">
        <f t="shared" si="21"/>
        <v>0</v>
      </c>
      <c r="H104" s="2346">
        <f>H105+H106+H107+H108+H109+H110+H111</f>
        <v>0</v>
      </c>
      <c r="I104" s="2346"/>
      <c r="J104" s="2332">
        <f t="shared" si="22"/>
        <v>0</v>
      </c>
      <c r="K104" s="2346">
        <f>K105+K106+K107+K108+K109+K110+K111</f>
        <v>0</v>
      </c>
      <c r="L104" s="2346"/>
      <c r="M104" s="2332">
        <f t="shared" si="23"/>
        <v>0</v>
      </c>
      <c r="N104" s="2346">
        <v>0</v>
      </c>
      <c r="O104" s="2346">
        <f>O110</f>
        <v>5297.6685669835733</v>
      </c>
      <c r="P104" s="2332">
        <f t="shared" si="24"/>
        <v>2648.8342834917867</v>
      </c>
      <c r="Q104" s="2594">
        <f>Q105+Q106+Q107+Q108+Q109+Q110+Q111</f>
        <v>15024.284461927018</v>
      </c>
      <c r="R104" s="2594">
        <f>R105+R106+R107+R108+R109+R110+R111</f>
        <v>16106.032943185763</v>
      </c>
      <c r="S104" s="2268">
        <f t="shared" si="25"/>
        <v>15565.158702556389</v>
      </c>
      <c r="T104" s="2929">
        <f t="shared" si="35"/>
        <v>15024.284461927018</v>
      </c>
      <c r="U104" s="2594">
        <f t="shared" si="35"/>
        <v>21403.701510169336</v>
      </c>
      <c r="V104" s="2268">
        <f t="shared" si="26"/>
        <v>18213.992986048179</v>
      </c>
      <c r="W104" s="2377">
        <f>T104/$T$272*$N$272</f>
        <v>3273.3566137483203</v>
      </c>
      <c r="X104" s="2256">
        <f>U104/$T$272*$N$272</f>
        <v>4663.2468970187183</v>
      </c>
      <c r="Y104" s="2268">
        <f>W104/2+X104/2</f>
        <v>3968.3017553835193</v>
      </c>
      <c r="Z104" s="2886">
        <f t="shared" si="33"/>
        <v>11750.927848178697</v>
      </c>
      <c r="AA104" s="2887">
        <f t="shared" si="33"/>
        <v>16740.454613150618</v>
      </c>
      <c r="AB104" s="2268">
        <f t="shared" si="27"/>
        <v>14245.691230664657</v>
      </c>
      <c r="AC104" s="2114">
        <f t="shared" si="31"/>
        <v>0</v>
      </c>
      <c r="AD104" s="2114"/>
      <c r="AE104" s="2114"/>
      <c r="AF104" s="2113"/>
      <c r="AG104" s="2113"/>
      <c r="AH104" s="2113"/>
      <c r="AI104" s="2113"/>
    </row>
    <row r="105" spans="1:35" s="2218" customFormat="1" ht="31.5" customHeight="1" outlineLevel="1">
      <c r="A105" s="2235"/>
      <c r="B105" s="2350" t="s">
        <v>15000</v>
      </c>
      <c r="C105" s="2329" t="s">
        <v>15001</v>
      </c>
      <c r="D105" s="2329" t="s">
        <v>1317</v>
      </c>
      <c r="E105" s="2346"/>
      <c r="F105" s="2346"/>
      <c r="G105" s="2332">
        <f t="shared" si="21"/>
        <v>0</v>
      </c>
      <c r="H105" s="2346"/>
      <c r="I105" s="2346"/>
      <c r="J105" s="2332">
        <f t="shared" si="22"/>
        <v>0</v>
      </c>
      <c r="K105" s="2346"/>
      <c r="L105" s="2346"/>
      <c r="M105" s="2332">
        <f t="shared" si="23"/>
        <v>0</v>
      </c>
      <c r="N105" s="2346"/>
      <c r="O105" s="2346"/>
      <c r="P105" s="2332">
        <f t="shared" si="24"/>
        <v>0</v>
      </c>
      <c r="Q105" s="2596">
        <v>1895.1541875400003</v>
      </c>
      <c r="R105" s="2285">
        <f t="shared" ref="R105:R111" si="38">Q105*1.072</f>
        <v>2031.6052890428805</v>
      </c>
      <c r="S105" s="2268">
        <f t="shared" si="25"/>
        <v>1963.3797382914404</v>
      </c>
      <c r="T105" s="2284">
        <f t="shared" si="35"/>
        <v>1895.1541875400003</v>
      </c>
      <c r="U105" s="2285">
        <f t="shared" si="35"/>
        <v>2031.6052890428805</v>
      </c>
      <c r="V105" s="2268">
        <f t="shared" si="26"/>
        <v>1963.3797382914404</v>
      </c>
      <c r="W105" s="2888">
        <f t="shared" ref="W105:X111" si="39">T105/$T$272*$W$272</f>
        <v>412.89923054753052</v>
      </c>
      <c r="X105" s="2889">
        <f t="shared" si="39"/>
        <v>442.62797514695279</v>
      </c>
      <c r="Y105" s="2268">
        <f>W105/2+X105/2</f>
        <v>427.76360284724166</v>
      </c>
      <c r="Z105" s="2888">
        <f t="shared" si="33"/>
        <v>1482.2549569924695</v>
      </c>
      <c r="AA105" s="2889">
        <f t="shared" si="33"/>
        <v>1588.9773138959276</v>
      </c>
      <c r="AB105" s="2268">
        <f t="shared" si="27"/>
        <v>1535.6161354441986</v>
      </c>
      <c r="AC105" s="2114">
        <f t="shared" si="31"/>
        <v>0</v>
      </c>
      <c r="AD105" s="2114"/>
      <c r="AE105" s="2114"/>
      <c r="AF105" s="2113"/>
      <c r="AG105" s="2113"/>
      <c r="AH105" s="2113"/>
      <c r="AI105" s="2113"/>
    </row>
    <row r="106" spans="1:35" s="2218" customFormat="1" ht="15.75" customHeight="1" outlineLevel="1">
      <c r="A106" s="2235"/>
      <c r="B106" s="2350" t="s">
        <v>15002</v>
      </c>
      <c r="C106" s="2329" t="s">
        <v>15003</v>
      </c>
      <c r="D106" s="2329" t="s">
        <v>1317</v>
      </c>
      <c r="E106" s="2346"/>
      <c r="F106" s="2346"/>
      <c r="G106" s="2332">
        <f t="shared" si="21"/>
        <v>0</v>
      </c>
      <c r="H106" s="2346"/>
      <c r="I106" s="2346"/>
      <c r="J106" s="2332">
        <f t="shared" si="22"/>
        <v>0</v>
      </c>
      <c r="K106" s="2346"/>
      <c r="L106" s="2346"/>
      <c r="M106" s="2332">
        <f t="shared" si="23"/>
        <v>0</v>
      </c>
      <c r="N106" s="2346"/>
      <c r="O106" s="2346"/>
      <c r="P106" s="2332">
        <f t="shared" si="24"/>
        <v>0</v>
      </c>
      <c r="Q106" s="2347">
        <v>0</v>
      </c>
      <c r="R106" s="2285">
        <f t="shared" si="38"/>
        <v>0</v>
      </c>
      <c r="S106" s="2268">
        <f t="shared" si="25"/>
        <v>0</v>
      </c>
      <c r="T106" s="2284">
        <f t="shared" si="35"/>
        <v>0</v>
      </c>
      <c r="U106" s="2285">
        <f t="shared" si="35"/>
        <v>0</v>
      </c>
      <c r="V106" s="2268">
        <f t="shared" si="26"/>
        <v>0</v>
      </c>
      <c r="W106" s="2888">
        <f t="shared" si="39"/>
        <v>0</v>
      </c>
      <c r="X106" s="2889">
        <f t="shared" si="39"/>
        <v>0</v>
      </c>
      <c r="Y106" s="2268">
        <f t="shared" si="30"/>
        <v>0</v>
      </c>
      <c r="Z106" s="2888">
        <f t="shared" si="33"/>
        <v>0</v>
      </c>
      <c r="AA106" s="2889">
        <f t="shared" si="33"/>
        <v>0</v>
      </c>
      <c r="AB106" s="2268">
        <f t="shared" si="27"/>
        <v>0</v>
      </c>
      <c r="AC106" s="2114">
        <f t="shared" si="31"/>
        <v>0</v>
      </c>
      <c r="AD106" s="2114"/>
      <c r="AE106" s="2114"/>
      <c r="AF106" s="2113"/>
      <c r="AG106" s="2113"/>
      <c r="AH106" s="2113"/>
      <c r="AI106" s="2113"/>
    </row>
    <row r="107" spans="1:35" s="2218" customFormat="1" ht="31.5" customHeight="1" outlineLevel="1">
      <c r="A107" s="2235"/>
      <c r="B107" s="2350" t="s">
        <v>15004</v>
      </c>
      <c r="C107" s="2329" t="s">
        <v>15005</v>
      </c>
      <c r="D107" s="2329" t="s">
        <v>1317</v>
      </c>
      <c r="E107" s="2346"/>
      <c r="F107" s="2346"/>
      <c r="G107" s="2332">
        <f t="shared" si="21"/>
        <v>0</v>
      </c>
      <c r="H107" s="2346"/>
      <c r="I107" s="2346"/>
      <c r="J107" s="2332">
        <f t="shared" si="22"/>
        <v>0</v>
      </c>
      <c r="K107" s="2346"/>
      <c r="L107" s="2346"/>
      <c r="M107" s="2332">
        <f t="shared" si="23"/>
        <v>0</v>
      </c>
      <c r="N107" s="2346"/>
      <c r="O107" s="2346"/>
      <c r="P107" s="2332">
        <f t="shared" si="24"/>
        <v>0</v>
      </c>
      <c r="Q107" s="2347">
        <v>36.023911422222383</v>
      </c>
      <c r="R107" s="2285">
        <f t="shared" si="38"/>
        <v>38.617633044622394</v>
      </c>
      <c r="S107" s="2268">
        <f t="shared" si="25"/>
        <v>37.320772233422389</v>
      </c>
      <c r="T107" s="2284">
        <f t="shared" si="35"/>
        <v>36.023911422222383</v>
      </c>
      <c r="U107" s="2285">
        <f t="shared" si="35"/>
        <v>38.617633044622394</v>
      </c>
      <c r="V107" s="2268">
        <f t="shared" si="26"/>
        <v>37.320772233422389</v>
      </c>
      <c r="W107" s="2888">
        <f t="shared" si="39"/>
        <v>7.8485673647775815</v>
      </c>
      <c r="X107" s="2889">
        <f t="shared" si="39"/>
        <v>8.4136642150415675</v>
      </c>
      <c r="Y107" s="2268">
        <f t="shared" si="30"/>
        <v>8.1311157899095754</v>
      </c>
      <c r="Z107" s="2888">
        <f t="shared" si="33"/>
        <v>28.175344057444796</v>
      </c>
      <c r="AA107" s="2889">
        <f t="shared" si="33"/>
        <v>30.20396882958082</v>
      </c>
      <c r="AB107" s="2268">
        <f t="shared" si="27"/>
        <v>29.18965644351281</v>
      </c>
      <c r="AC107" s="2114">
        <f t="shared" si="31"/>
        <v>0</v>
      </c>
      <c r="AD107" s="2114"/>
      <c r="AE107" s="2114"/>
      <c r="AF107" s="2113"/>
      <c r="AG107" s="2113"/>
      <c r="AH107" s="2113"/>
      <c r="AI107" s="2113"/>
    </row>
    <row r="108" spans="1:35" s="2218" customFormat="1" ht="15.75" customHeight="1" outlineLevel="1">
      <c r="A108" s="2235"/>
      <c r="B108" s="2350" t="s">
        <v>15006</v>
      </c>
      <c r="C108" s="2329" t="s">
        <v>15007</v>
      </c>
      <c r="D108" s="2329" t="s">
        <v>1317</v>
      </c>
      <c r="E108" s="2346"/>
      <c r="F108" s="2346"/>
      <c r="G108" s="2332">
        <f t="shared" si="21"/>
        <v>0</v>
      </c>
      <c r="H108" s="2346"/>
      <c r="I108" s="2346"/>
      <c r="J108" s="2332">
        <f t="shared" si="22"/>
        <v>0</v>
      </c>
      <c r="K108" s="2346"/>
      <c r="L108" s="2346"/>
      <c r="M108" s="2332">
        <f t="shared" si="23"/>
        <v>0</v>
      </c>
      <c r="N108" s="2346"/>
      <c r="O108" s="2346"/>
      <c r="P108" s="2332">
        <f t="shared" si="24"/>
        <v>0</v>
      </c>
      <c r="Q108" s="2347">
        <v>10.550362964794516</v>
      </c>
      <c r="R108" s="2285">
        <f t="shared" si="38"/>
        <v>11.309989098259722</v>
      </c>
      <c r="S108" s="2268">
        <f t="shared" si="25"/>
        <v>10.930176031527118</v>
      </c>
      <c r="T108" s="2284">
        <f t="shared" si="35"/>
        <v>10.550362964794516</v>
      </c>
      <c r="U108" s="2285">
        <f t="shared" si="35"/>
        <v>11.309989098259722</v>
      </c>
      <c r="V108" s="2268">
        <f t="shared" si="26"/>
        <v>10.930176031527118</v>
      </c>
      <c r="W108" s="2888">
        <f t="shared" si="39"/>
        <v>2.2986186447528159</v>
      </c>
      <c r="X108" s="2889">
        <f t="shared" si="39"/>
        <v>2.4641191871750188</v>
      </c>
      <c r="Y108" s="2268">
        <f t="shared" si="30"/>
        <v>2.3813689159639173</v>
      </c>
      <c r="Z108" s="2888">
        <f t="shared" si="33"/>
        <v>8.2517443200417002</v>
      </c>
      <c r="AA108" s="2889">
        <f t="shared" si="33"/>
        <v>8.8458699110847032</v>
      </c>
      <c r="AB108" s="2268">
        <f t="shared" si="27"/>
        <v>8.5488071155632017</v>
      </c>
      <c r="AC108" s="2114">
        <f t="shared" si="31"/>
        <v>0</v>
      </c>
      <c r="AD108" s="2114"/>
      <c r="AE108" s="2114"/>
      <c r="AF108" s="2113"/>
      <c r="AG108" s="2113"/>
      <c r="AH108" s="2113"/>
      <c r="AI108" s="2113"/>
    </row>
    <row r="109" spans="1:35" s="2218" customFormat="1" ht="47.25" customHeight="1" outlineLevel="1">
      <c r="A109" s="2235"/>
      <c r="B109" s="2350" t="s">
        <v>15008</v>
      </c>
      <c r="C109" s="2329" t="s">
        <v>15009</v>
      </c>
      <c r="D109" s="2329" t="s">
        <v>1317</v>
      </c>
      <c r="E109" s="2346"/>
      <c r="F109" s="2346"/>
      <c r="G109" s="2332">
        <f t="shared" si="21"/>
        <v>0</v>
      </c>
      <c r="H109" s="2346"/>
      <c r="I109" s="2346"/>
      <c r="J109" s="2332">
        <f t="shared" si="22"/>
        <v>0</v>
      </c>
      <c r="K109" s="2346"/>
      <c r="L109" s="2346"/>
      <c r="M109" s="2332">
        <f t="shared" si="23"/>
        <v>0</v>
      </c>
      <c r="N109" s="2346"/>
      <c r="O109" s="2346"/>
      <c r="P109" s="2332">
        <f t="shared" si="24"/>
        <v>0</v>
      </c>
      <c r="Q109" s="2347">
        <v>0</v>
      </c>
      <c r="R109" s="2285">
        <f t="shared" si="38"/>
        <v>0</v>
      </c>
      <c r="S109" s="2268">
        <f t="shared" si="25"/>
        <v>0</v>
      </c>
      <c r="T109" s="2284">
        <f t="shared" si="35"/>
        <v>0</v>
      </c>
      <c r="U109" s="2285">
        <f t="shared" si="35"/>
        <v>0</v>
      </c>
      <c r="V109" s="2268">
        <f t="shared" si="26"/>
        <v>0</v>
      </c>
      <c r="W109" s="2888">
        <f t="shared" si="39"/>
        <v>0</v>
      </c>
      <c r="X109" s="2889">
        <f t="shared" si="39"/>
        <v>0</v>
      </c>
      <c r="Y109" s="2268">
        <f t="shared" si="30"/>
        <v>0</v>
      </c>
      <c r="Z109" s="2888">
        <f t="shared" si="33"/>
        <v>0</v>
      </c>
      <c r="AA109" s="2889">
        <f t="shared" si="33"/>
        <v>0</v>
      </c>
      <c r="AB109" s="2268">
        <f t="shared" si="27"/>
        <v>0</v>
      </c>
      <c r="AC109" s="2114">
        <f t="shared" si="31"/>
        <v>0</v>
      </c>
      <c r="AD109" s="2114"/>
      <c r="AE109" s="2114"/>
      <c r="AF109" s="2113"/>
      <c r="AG109" s="2113"/>
      <c r="AH109" s="2113"/>
      <c r="AI109" s="2113"/>
    </row>
    <row r="110" spans="1:35" s="2218" customFormat="1" ht="94.5" outlineLevel="1">
      <c r="A110" s="2235"/>
      <c r="B110" s="2351" t="s">
        <v>15010</v>
      </c>
      <c r="C110" s="2345" t="s">
        <v>15011</v>
      </c>
      <c r="D110" s="2345" t="s">
        <v>1317</v>
      </c>
      <c r="E110" s="2352"/>
      <c r="F110" s="2346"/>
      <c r="G110" s="2332">
        <f t="shared" si="21"/>
        <v>0</v>
      </c>
      <c r="H110" s="2352"/>
      <c r="I110" s="2346"/>
      <c r="J110" s="2332">
        <f t="shared" si="22"/>
        <v>0</v>
      </c>
      <c r="K110" s="2352"/>
      <c r="L110" s="2346"/>
      <c r="M110" s="2332">
        <f t="shared" si="23"/>
        <v>0</v>
      </c>
      <c r="N110" s="2352"/>
      <c r="O110" s="2346">
        <f>5174.12219182071/1.047*1.072</f>
        <v>5297.6685669835733</v>
      </c>
      <c r="P110" s="2332">
        <f t="shared" si="24"/>
        <v>2648.8342834917867</v>
      </c>
      <c r="Q110" s="2597">
        <v>9504.48</v>
      </c>
      <c r="R110" s="2930">
        <f t="shared" si="38"/>
        <v>10188.80256</v>
      </c>
      <c r="S110" s="2268">
        <f t="shared" si="25"/>
        <v>9846.6412799999998</v>
      </c>
      <c r="T110" s="2931">
        <f t="shared" si="35"/>
        <v>9504.48</v>
      </c>
      <c r="U110" s="2930">
        <f t="shared" si="35"/>
        <v>15486.471126983573</v>
      </c>
      <c r="V110" s="2268">
        <f t="shared" si="26"/>
        <v>12495.475563491786</v>
      </c>
      <c r="W110" s="2932">
        <f t="shared" si="39"/>
        <v>2070.7510262520859</v>
      </c>
      <c r="X110" s="2933">
        <f t="shared" si="39"/>
        <v>3374.0537072227548</v>
      </c>
      <c r="Y110" s="2268">
        <f t="shared" si="30"/>
        <v>2722.4023667374204</v>
      </c>
      <c r="Z110" s="2932">
        <f t="shared" si="33"/>
        <v>7433.7289737479141</v>
      </c>
      <c r="AA110" s="2933">
        <f t="shared" si="33"/>
        <v>12112.417419760817</v>
      </c>
      <c r="AB110" s="2268">
        <f t="shared" si="27"/>
        <v>9773.0731967543652</v>
      </c>
      <c r="AC110" s="2114">
        <f t="shared" si="31"/>
        <v>0</v>
      </c>
      <c r="AD110" s="2114">
        <f>R110/Q110</f>
        <v>1.0720000000000001</v>
      </c>
      <c r="AE110" s="2114"/>
      <c r="AF110" s="2113"/>
      <c r="AG110" s="2113"/>
      <c r="AH110" s="2113"/>
      <c r="AI110" s="2113"/>
    </row>
    <row r="111" spans="1:35" s="2218" customFormat="1" ht="31.5" outlineLevel="1">
      <c r="A111" s="2235"/>
      <c r="B111" s="2353" t="s">
        <v>15012</v>
      </c>
      <c r="C111" s="2354" t="s">
        <v>15013</v>
      </c>
      <c r="D111" s="2354" t="s">
        <v>1317</v>
      </c>
      <c r="E111" s="2346"/>
      <c r="F111" s="2346"/>
      <c r="G111" s="2332">
        <f t="shared" si="21"/>
        <v>0</v>
      </c>
      <c r="H111" s="2346"/>
      <c r="I111" s="2346"/>
      <c r="J111" s="2332">
        <f t="shared" si="22"/>
        <v>0</v>
      </c>
      <c r="K111" s="2346"/>
      <c r="L111" s="2346"/>
      <c r="M111" s="2332">
        <f t="shared" si="23"/>
        <v>0</v>
      </c>
      <c r="N111" s="2346"/>
      <c r="O111" s="2346"/>
      <c r="P111" s="2332">
        <f t="shared" si="24"/>
        <v>0</v>
      </c>
      <c r="Q111" s="2596">
        <v>3578.076</v>
      </c>
      <c r="R111" s="2285">
        <f t="shared" si="38"/>
        <v>3835.6974720000003</v>
      </c>
      <c r="S111" s="2268">
        <f t="shared" si="25"/>
        <v>3706.8867360000004</v>
      </c>
      <c r="T111" s="2284">
        <f t="shared" si="35"/>
        <v>3578.076</v>
      </c>
      <c r="U111" s="2285">
        <f t="shared" si="35"/>
        <v>3835.6974720000003</v>
      </c>
      <c r="V111" s="2268">
        <f t="shared" si="26"/>
        <v>3706.8867360000004</v>
      </c>
      <c r="W111" s="2888">
        <f t="shared" si="39"/>
        <v>779.55917093917378</v>
      </c>
      <c r="X111" s="2889">
        <f t="shared" si="39"/>
        <v>835.68743124679429</v>
      </c>
      <c r="Y111" s="2268">
        <f t="shared" si="30"/>
        <v>807.62330109298409</v>
      </c>
      <c r="Z111" s="2888">
        <f t="shared" si="33"/>
        <v>2798.5168290608262</v>
      </c>
      <c r="AA111" s="2889">
        <f t="shared" si="33"/>
        <v>3000.0100407532059</v>
      </c>
      <c r="AB111" s="2268">
        <f t="shared" si="27"/>
        <v>2899.2634349070158</v>
      </c>
      <c r="AC111" s="2114">
        <f t="shared" si="31"/>
        <v>0</v>
      </c>
      <c r="AD111" s="2114"/>
      <c r="AE111" s="2114"/>
      <c r="AF111" s="2113"/>
      <c r="AG111" s="2113"/>
      <c r="AH111" s="2113"/>
      <c r="AI111" s="2113"/>
    </row>
    <row r="112" spans="1:35" s="2218" customFormat="1" ht="47.25" outlineLevel="1">
      <c r="A112" s="2235"/>
      <c r="B112" s="2349" t="s">
        <v>15014</v>
      </c>
      <c r="C112" s="2355" t="s">
        <v>15015</v>
      </c>
      <c r="D112" s="2356" t="s">
        <v>1317</v>
      </c>
      <c r="E112" s="2357">
        <f>E113+E123</f>
        <v>0</v>
      </c>
      <c r="F112" s="2357">
        <f>F113+F123</f>
        <v>0</v>
      </c>
      <c r="G112" s="2358">
        <f t="shared" si="21"/>
        <v>0</v>
      </c>
      <c r="H112" s="2357">
        <f>H113+H123</f>
        <v>0</v>
      </c>
      <c r="I112" s="2357">
        <f>I113+I123</f>
        <v>0</v>
      </c>
      <c r="J112" s="2358">
        <f t="shared" si="22"/>
        <v>0</v>
      </c>
      <c r="K112" s="2357">
        <f>K113+K123</f>
        <v>3667.8100010942044</v>
      </c>
      <c r="L112" s="2357">
        <f>L113+L123</f>
        <v>3838.5729469003245</v>
      </c>
      <c r="M112" s="2358">
        <f t="shared" si="23"/>
        <v>3753.1914739972644</v>
      </c>
      <c r="N112" s="2357">
        <v>0</v>
      </c>
      <c r="O112" s="2357">
        <f>O113+O123</f>
        <v>4354.4195772792009</v>
      </c>
      <c r="P112" s="2358">
        <f t="shared" si="24"/>
        <v>2177.2097886396004</v>
      </c>
      <c r="Q112" s="2357">
        <f>Q113+Q123</f>
        <v>5125.090601947727</v>
      </c>
      <c r="R112" s="2357">
        <f>R113+R123</f>
        <v>5494.0971252879644</v>
      </c>
      <c r="S112" s="2268">
        <f t="shared" si="25"/>
        <v>5309.5938636178453</v>
      </c>
      <c r="T112" s="2934">
        <f t="shared" si="35"/>
        <v>5125.090601947727</v>
      </c>
      <c r="U112" s="2935">
        <f t="shared" si="35"/>
        <v>9848.5167025671653</v>
      </c>
      <c r="V112" s="2268">
        <f t="shared" si="26"/>
        <v>7486.8036522574457</v>
      </c>
      <c r="W112" s="2377">
        <f>T112/$T$272*$N$272</f>
        <v>1116.6088648319715</v>
      </c>
      <c r="X112" s="2256">
        <f>U112/$T$272*$N$272</f>
        <v>2145.7066634788821</v>
      </c>
      <c r="Y112" s="2268">
        <f t="shared" si="30"/>
        <v>1631.1577641554268</v>
      </c>
      <c r="Z112" s="2886">
        <f t="shared" si="33"/>
        <v>4008.4817371157555</v>
      </c>
      <c r="AA112" s="2887">
        <f t="shared" si="33"/>
        <v>7702.8100390882828</v>
      </c>
      <c r="AB112" s="2268">
        <f>Z112/2+AA112/2</f>
        <v>5855.6458881020189</v>
      </c>
      <c r="AC112" s="2114">
        <f t="shared" si="31"/>
        <v>0</v>
      </c>
      <c r="AD112" s="2114"/>
      <c r="AE112" s="2114"/>
      <c r="AF112" s="2113"/>
      <c r="AG112" s="2113"/>
      <c r="AH112" s="2113"/>
      <c r="AI112" s="2113"/>
    </row>
    <row r="113" spans="1:35" s="2218" customFormat="1" ht="31.5" outlineLevel="1">
      <c r="A113" s="2235"/>
      <c r="B113" s="2349" t="s">
        <v>15016</v>
      </c>
      <c r="C113" s="2356" t="s">
        <v>15017</v>
      </c>
      <c r="D113" s="2356" t="s">
        <v>1317</v>
      </c>
      <c r="E113" s="2357">
        <f>E114*E122*12/1000</f>
        <v>0</v>
      </c>
      <c r="F113" s="2357">
        <f>F114*F122*12/1000</f>
        <v>0</v>
      </c>
      <c r="G113" s="2358">
        <f t="shared" si="21"/>
        <v>0</v>
      </c>
      <c r="H113" s="2357">
        <f>H114*H122*12/1000</f>
        <v>0</v>
      </c>
      <c r="I113" s="2357">
        <f>I114*I122*12/1000</f>
        <v>0</v>
      </c>
      <c r="J113" s="2358">
        <f t="shared" si="22"/>
        <v>0</v>
      </c>
      <c r="K113" s="2357">
        <f>K114*K122*12/1000</f>
        <v>2815.5770756974739</v>
      </c>
      <c r="L113" s="2357">
        <f>L114*L122*12/1000</f>
        <v>2949.6940057115348</v>
      </c>
      <c r="M113" s="2358">
        <f t="shared" si="23"/>
        <v>2882.6355407045044</v>
      </c>
      <c r="N113" s="2357">
        <v>0</v>
      </c>
      <c r="O113" s="2357">
        <f>O114*O122*12/1000</f>
        <v>3344.408277480185</v>
      </c>
      <c r="P113" s="2358">
        <f t="shared" si="24"/>
        <v>1672.2041387400925</v>
      </c>
      <c r="Q113" s="2357">
        <f>Q114*Q122*12/1000</f>
        <v>3942.377386113636</v>
      </c>
      <c r="R113" s="2357">
        <f>R114*R122*12/1000</f>
        <v>4226.2285579138188</v>
      </c>
      <c r="S113" s="2268">
        <f t="shared" si="25"/>
        <v>4084.3029720137274</v>
      </c>
      <c r="T113" s="2357">
        <f>T114*T122*12/1000</f>
        <v>3942.3774701920684</v>
      </c>
      <c r="U113" s="2357">
        <f>U114*U122*12/1000</f>
        <v>7570.6365733823859</v>
      </c>
      <c r="V113" s="2268">
        <f t="shared" si="26"/>
        <v>5756.5070217872271</v>
      </c>
      <c r="W113" s="2357">
        <f>W114*W122*12/1000</f>
        <v>858.92993266110568</v>
      </c>
      <c r="X113" s="2357">
        <f>X114*X122*12/1000</f>
        <v>1649.4225559332551</v>
      </c>
      <c r="Y113" s="2268">
        <f>W113/2+X113/2</f>
        <v>1254.1762442971803</v>
      </c>
      <c r="Z113" s="2357">
        <f>Z114*Z122*12/1000</f>
        <v>3083.4474900890423</v>
      </c>
      <c r="AA113" s="2357">
        <f>AA114*AA122*12/1000</f>
        <v>5921.2139518599943</v>
      </c>
      <c r="AB113" s="2268">
        <f>Z113/2+AA113/2</f>
        <v>4502.330720974518</v>
      </c>
      <c r="AC113" s="2114"/>
      <c r="AD113" s="2114"/>
      <c r="AE113" s="2114"/>
      <c r="AF113" s="2113">
        <v>3083.4474900890423</v>
      </c>
      <c r="AG113" s="2113">
        <v>5783.1262288649368</v>
      </c>
      <c r="AH113" s="2113"/>
      <c r="AI113" s="2113"/>
    </row>
    <row r="114" spans="1:35" s="2218" customFormat="1" ht="31.5" outlineLevel="1">
      <c r="A114" s="2235"/>
      <c r="B114" s="2336" t="s">
        <v>15018</v>
      </c>
      <c r="C114" s="2356" t="s">
        <v>15019</v>
      </c>
      <c r="D114" s="2356" t="s">
        <v>1888</v>
      </c>
      <c r="E114" s="2357">
        <f>E115+E116+E117+E120+E121</f>
        <v>0</v>
      </c>
      <c r="F114" s="2357">
        <f>F115+F116+F117+F120+F121</f>
        <v>0</v>
      </c>
      <c r="G114" s="2358">
        <f t="shared" si="21"/>
        <v>0</v>
      </c>
      <c r="H114" s="2357">
        <f>H115+H116+H117+H120+H121</f>
        <v>0</v>
      </c>
      <c r="I114" s="2357">
        <f>I115+I116+I117+I120+I121</f>
        <v>0</v>
      </c>
      <c r="J114" s="2358">
        <f t="shared" si="22"/>
        <v>0</v>
      </c>
      <c r="K114" s="2357">
        <f>K115+K116+K117+K120+K121</f>
        <v>23468.598892486541</v>
      </c>
      <c r="L114" s="2357">
        <f>L115+L116+L117+L120+L121</f>
        <v>24586.49989486346</v>
      </c>
      <c r="M114" s="2358">
        <f t="shared" si="23"/>
        <v>24027.549393674999</v>
      </c>
      <c r="N114" s="2357">
        <v>0</v>
      </c>
      <c r="O114" s="2357">
        <f>O115+O116+O117+O120+O121</f>
        <v>27938.131560531252</v>
      </c>
      <c r="P114" s="2358">
        <f t="shared" si="24"/>
        <v>13969.065780265626</v>
      </c>
      <c r="Q114" s="2357">
        <f>Q115+Q116+Q117+Q120+Q121</f>
        <v>41066.431105350377</v>
      </c>
      <c r="R114" s="2357">
        <f>R115+R116+R117+R120+R121</f>
        <v>44023.214144935606</v>
      </c>
      <c r="S114" s="2268">
        <f t="shared" si="25"/>
        <v>42544.822625142988</v>
      </c>
      <c r="T114" s="2357">
        <f>T115+T116+T117+T120+T121</f>
        <v>41066.431981167378</v>
      </c>
      <c r="U114" s="2357">
        <f>U115+U116+U117+U120+U121</f>
        <v>35096.744683811405</v>
      </c>
      <c r="V114" s="2268">
        <f t="shared" si="26"/>
        <v>38081.588332489395</v>
      </c>
      <c r="W114" s="2357">
        <f>W115+W116+W117+W120+W121</f>
        <v>41066.432856984378</v>
      </c>
      <c r="X114" s="2357">
        <f>X115+X116+X117+X120+X121</f>
        <v>35096.745222687226</v>
      </c>
      <c r="Y114" s="2268">
        <f t="shared" si="30"/>
        <v>38081.589039835802</v>
      </c>
      <c r="Z114" s="2357">
        <f>Z115+Z116+Z117+Z120+Z121</f>
        <v>41066.431105350377</v>
      </c>
      <c r="AA114" s="2357">
        <f>AA115+AA116+AA117+AA120+AA121</f>
        <v>35096.744144935583</v>
      </c>
      <c r="AB114" s="2268">
        <f t="shared" si="27"/>
        <v>38081.58762514298</v>
      </c>
      <c r="AC114" s="2114"/>
      <c r="AD114" s="2114"/>
      <c r="AE114" s="2114"/>
      <c r="AF114" s="2114">
        <f>AF113-Z113</f>
        <v>0</v>
      </c>
      <c r="AG114" s="2114">
        <f>AG113-AA113</f>
        <v>-138.08772299505745</v>
      </c>
      <c r="AH114" s="2113"/>
      <c r="AI114" s="2113"/>
    </row>
    <row r="115" spans="1:35" s="2218" customFormat="1" ht="31.5" outlineLevel="1">
      <c r="A115" s="2235"/>
      <c r="B115" s="2329" t="s">
        <v>15020</v>
      </c>
      <c r="C115" s="2363" t="s">
        <v>1890</v>
      </c>
      <c r="D115" s="2363" t="s">
        <v>15021</v>
      </c>
      <c r="E115" s="2364"/>
      <c r="F115" s="2364"/>
      <c r="G115" s="2358">
        <f t="shared" si="21"/>
        <v>0</v>
      </c>
      <c r="H115" s="2364"/>
      <c r="I115" s="2364"/>
      <c r="J115" s="2358">
        <f t="shared" si="22"/>
        <v>0</v>
      </c>
      <c r="K115" s="2364">
        <f>'[3]НВВ очистка)'!AC416</f>
        <v>4404.1776798825258</v>
      </c>
      <c r="L115" s="2364">
        <f>'[3]НВВ очистка)'!AD416</f>
        <v>4593.5573201174739</v>
      </c>
      <c r="M115" s="2358">
        <f t="shared" si="23"/>
        <v>4498.8675000000003</v>
      </c>
      <c r="N115" s="2364">
        <v>0</v>
      </c>
      <c r="O115" s="2285">
        <f>L115*1.06*1.072</f>
        <v>5219.7510539958885</v>
      </c>
      <c r="P115" s="2358">
        <f t="shared" si="24"/>
        <v>2609.8755269979442</v>
      </c>
      <c r="Q115" s="2365">
        <v>9925.3695182171487</v>
      </c>
      <c r="R115" s="2930">
        <f>Q115*1.072</f>
        <v>10639.996123528785</v>
      </c>
      <c r="S115" s="2268">
        <f t="shared" si="25"/>
        <v>10282.682820872968</v>
      </c>
      <c r="T115" s="2365">
        <f>9925.36951821715-1029.3</f>
        <v>8896.0695182171512</v>
      </c>
      <c r="U115" s="2936">
        <f>10639.9961235288-5000</f>
        <v>5639.9961235287992</v>
      </c>
      <c r="V115" s="2268">
        <f t="shared" si="26"/>
        <v>7268.0328208729752</v>
      </c>
      <c r="W115" s="2888">
        <v>8896.0695182171512</v>
      </c>
      <c r="X115" s="2889">
        <v>5639.9961235287992</v>
      </c>
      <c r="Y115" s="2268">
        <f t="shared" si="30"/>
        <v>7268.0328208729752</v>
      </c>
      <c r="Z115" s="2888">
        <v>9925.3695182171487</v>
      </c>
      <c r="AA115" s="2889">
        <f>10639.9961235288-4000</f>
        <v>6639.9961235287992</v>
      </c>
      <c r="AB115" s="2268">
        <f t="shared" si="27"/>
        <v>8282.6828208729748</v>
      </c>
      <c r="AC115" s="2114"/>
      <c r="AD115" s="2114"/>
      <c r="AE115" s="2114"/>
      <c r="AF115" s="2113"/>
      <c r="AG115" s="2113">
        <f>AG114/12/AA122*1000</f>
        <v>-818.48579073753785</v>
      </c>
      <c r="AH115" s="2113"/>
      <c r="AI115" s="2113"/>
    </row>
    <row r="116" spans="1:35" s="2218" customFormat="1" ht="31.5" outlineLevel="1">
      <c r="A116" s="2235"/>
      <c r="B116" s="2329" t="s">
        <v>15022</v>
      </c>
      <c r="C116" s="2363" t="s">
        <v>1846</v>
      </c>
      <c r="D116" s="2363" t="s">
        <v>15021</v>
      </c>
      <c r="E116" s="2364"/>
      <c r="F116" s="2364"/>
      <c r="G116" s="2358">
        <f t="shared" si="21"/>
        <v>0</v>
      </c>
      <c r="H116" s="2364"/>
      <c r="I116" s="2364"/>
      <c r="J116" s="2358">
        <f t="shared" si="22"/>
        <v>0</v>
      </c>
      <c r="K116" s="2364"/>
      <c r="L116" s="2364"/>
      <c r="M116" s="2358">
        <f t="shared" si="23"/>
        <v>0</v>
      </c>
      <c r="N116" s="2364"/>
      <c r="O116" s="2364"/>
      <c r="P116" s="2358">
        <f t="shared" si="24"/>
        <v>0</v>
      </c>
      <c r="Q116" s="2365">
        <v>0</v>
      </c>
      <c r="R116" s="2364">
        <v>0</v>
      </c>
      <c r="S116" s="2268">
        <f t="shared" si="25"/>
        <v>0</v>
      </c>
      <c r="T116" s="2365">
        <v>0</v>
      </c>
      <c r="U116" s="2937">
        <v>0</v>
      </c>
      <c r="V116" s="2268">
        <f t="shared" si="26"/>
        <v>0</v>
      </c>
      <c r="W116" s="2365">
        <v>0</v>
      </c>
      <c r="X116" s="2364">
        <v>0</v>
      </c>
      <c r="Y116" s="2268">
        <f t="shared" si="30"/>
        <v>0</v>
      </c>
      <c r="Z116" s="2365">
        <v>0</v>
      </c>
      <c r="AA116" s="2364">
        <v>0</v>
      </c>
      <c r="AB116" s="2268">
        <f t="shared" si="27"/>
        <v>0</v>
      </c>
      <c r="AC116" s="2114"/>
      <c r="AD116" s="2114"/>
      <c r="AE116" s="2114"/>
      <c r="AF116" s="2114">
        <f>Z123+Z113</f>
        <v>4008.4817371157551</v>
      </c>
      <c r="AG116" s="2114">
        <f>AA123+AA113</f>
        <v>7702.8097432470222</v>
      </c>
      <c r="AH116" s="2113"/>
      <c r="AI116" s="2113"/>
    </row>
    <row r="117" spans="1:35" s="2218" customFormat="1" ht="31.5" outlineLevel="1">
      <c r="A117" s="2235"/>
      <c r="B117" s="2336" t="s">
        <v>15023</v>
      </c>
      <c r="C117" s="2356" t="s">
        <v>1786</v>
      </c>
      <c r="D117" s="2367" t="s">
        <v>15021</v>
      </c>
      <c r="E117" s="2357">
        <f>E118*E119</f>
        <v>0</v>
      </c>
      <c r="F117" s="2357">
        <f>F118*F119</f>
        <v>0</v>
      </c>
      <c r="G117" s="2358">
        <f t="shared" si="21"/>
        <v>0</v>
      </c>
      <c r="H117" s="2357">
        <f>H118*H119</f>
        <v>0</v>
      </c>
      <c r="I117" s="2357">
        <f>I118*I119</f>
        <v>0</v>
      </c>
      <c r="J117" s="2358">
        <f t="shared" si="22"/>
        <v>0</v>
      </c>
      <c r="K117" s="2357">
        <f>K118*K119</f>
        <v>14627.361111111113</v>
      </c>
      <c r="L117" s="2357">
        <f>L118*L119</f>
        <v>15365.088888888889</v>
      </c>
      <c r="M117" s="2358">
        <f t="shared" si="23"/>
        <v>14996.225000000002</v>
      </c>
      <c r="N117" s="2357">
        <v>0</v>
      </c>
      <c r="O117" s="2357">
        <f>O118*O119</f>
        <v>17459.657806222225</v>
      </c>
      <c r="P117" s="2358">
        <f t="shared" si="24"/>
        <v>8729.8289031111126</v>
      </c>
      <c r="Q117" s="2357">
        <f>Q118*Q119</f>
        <v>14228.392470588235</v>
      </c>
      <c r="R117" s="2357">
        <f>R118*R119</f>
        <v>15252.836728470589</v>
      </c>
      <c r="S117" s="2268">
        <f t="shared" si="25"/>
        <v>14740.614599529412</v>
      </c>
      <c r="T117" s="2357">
        <f>T118*T119</f>
        <v>15257.693346405231</v>
      </c>
      <c r="U117" s="2357">
        <f>U118*U119</f>
        <v>16356.247267346407</v>
      </c>
      <c r="V117" s="2268">
        <f t="shared" si="26"/>
        <v>15806.970306875819</v>
      </c>
      <c r="W117" s="2357">
        <f>W118*W119</f>
        <v>16286.994222222225</v>
      </c>
      <c r="X117" s="2357">
        <f>X118*X119</f>
        <v>17459.657806222225</v>
      </c>
      <c r="Y117" s="2268">
        <f t="shared" si="30"/>
        <v>16873.326014222224</v>
      </c>
      <c r="Z117" s="2357">
        <f>Z118*Z119</f>
        <v>14228.392470588235</v>
      </c>
      <c r="AA117" s="2357">
        <f>AA118*AA119</f>
        <v>15252.836728470589</v>
      </c>
      <c r="AB117" s="2268">
        <f t="shared" si="27"/>
        <v>14740.614599529412</v>
      </c>
      <c r="AC117" s="2114">
        <f t="shared" ref="AC117:AC123" si="40">Y117+AB117-V117</f>
        <v>15806.970306875815</v>
      </c>
      <c r="AD117" s="2114"/>
      <c r="AE117" s="2114"/>
      <c r="AF117" s="2113"/>
      <c r="AG117" s="2113"/>
      <c r="AH117" s="2113"/>
      <c r="AI117" s="2113"/>
    </row>
    <row r="118" spans="1:35" s="2218" customFormat="1" ht="31.5" outlineLevel="1">
      <c r="A118" s="2235"/>
      <c r="B118" s="2329" t="s">
        <v>15024</v>
      </c>
      <c r="C118" s="2363" t="s">
        <v>1788</v>
      </c>
      <c r="D118" s="2363" t="s">
        <v>15021</v>
      </c>
      <c r="E118" s="2364"/>
      <c r="F118" s="2364"/>
      <c r="G118" s="2358">
        <f t="shared" si="21"/>
        <v>0</v>
      </c>
      <c r="H118" s="2364"/>
      <c r="I118" s="2364"/>
      <c r="J118" s="2358">
        <f t="shared" si="22"/>
        <v>0</v>
      </c>
      <c r="K118" s="2364">
        <f>'[3]НВВ очистка)'!AC419</f>
        <v>5750</v>
      </c>
      <c r="L118" s="2364">
        <f>'[3]НВВ очистка)'!AD419</f>
        <v>6040</v>
      </c>
      <c r="M118" s="2358">
        <f t="shared" si="23"/>
        <v>5895</v>
      </c>
      <c r="N118" s="2364">
        <v>0</v>
      </c>
      <c r="O118" s="2285">
        <f>L118*1.06*1.072</f>
        <v>6863.372800000001</v>
      </c>
      <c r="P118" s="2358">
        <f t="shared" si="24"/>
        <v>3431.6864000000005</v>
      </c>
      <c r="Q118" s="2365">
        <v>6402.4000000000005</v>
      </c>
      <c r="R118" s="2285">
        <f>Q118*1.072</f>
        <v>6863.372800000001</v>
      </c>
      <c r="S118" s="2268">
        <f t="shared" si="25"/>
        <v>6632.8864000000012</v>
      </c>
      <c r="T118" s="2365">
        <f>Q118</f>
        <v>6402.4000000000005</v>
      </c>
      <c r="U118" s="2936">
        <f>R118</f>
        <v>6863.372800000001</v>
      </c>
      <c r="V118" s="2268">
        <f t="shared" si="26"/>
        <v>6632.8864000000012</v>
      </c>
      <c r="W118" s="2365">
        <f>T118</f>
        <v>6402.4000000000005</v>
      </c>
      <c r="X118" s="2364">
        <f>U118</f>
        <v>6863.372800000001</v>
      </c>
      <c r="Y118" s="2268">
        <f t="shared" si="30"/>
        <v>6632.8864000000012</v>
      </c>
      <c r="Z118" s="2365">
        <f>W118</f>
        <v>6402.4000000000005</v>
      </c>
      <c r="AA118" s="2364">
        <f>X118</f>
        <v>6863.372800000001</v>
      </c>
      <c r="AB118" s="2268">
        <f t="shared" si="27"/>
        <v>6632.8864000000012</v>
      </c>
      <c r="AC118" s="2114">
        <f t="shared" si="40"/>
        <v>6632.8864000000012</v>
      </c>
      <c r="AD118" s="2114"/>
      <c r="AE118" s="2114"/>
      <c r="AF118" s="2113"/>
      <c r="AG118" s="2113"/>
      <c r="AH118" s="2113"/>
      <c r="AI118" s="2113"/>
    </row>
    <row r="119" spans="1:35" s="2218" customFormat="1" ht="31.5" outlineLevel="1">
      <c r="A119" s="2235"/>
      <c r="B119" s="2329" t="s">
        <v>15025</v>
      </c>
      <c r="C119" s="2363" t="s">
        <v>1790</v>
      </c>
      <c r="D119" s="2363"/>
      <c r="E119" s="2364"/>
      <c r="F119" s="2364"/>
      <c r="G119" s="2358">
        <f t="shared" si="21"/>
        <v>0</v>
      </c>
      <c r="H119" s="2364"/>
      <c r="I119" s="2364"/>
      <c r="J119" s="2358">
        <f t="shared" si="22"/>
        <v>0</v>
      </c>
      <c r="K119" s="2364">
        <f>'[3]НВВ очистка)'!AC420</f>
        <v>2.5438888888888891</v>
      </c>
      <c r="L119" s="2364">
        <f>'[3]НВВ очистка)'!AD420</f>
        <v>2.5438888888888891</v>
      </c>
      <c r="M119" s="2358">
        <f t="shared" si="23"/>
        <v>2.5438888888888891</v>
      </c>
      <c r="N119" s="2364">
        <v>2.5438888888888891</v>
      </c>
      <c r="O119" s="2364">
        <v>2.5438888888888891</v>
      </c>
      <c r="P119" s="2358">
        <f t="shared" si="24"/>
        <v>2.5438888888888891</v>
      </c>
      <c r="Q119" s="2365">
        <v>2.2223529411764704</v>
      </c>
      <c r="R119" s="2364">
        <v>2.2223529411764704</v>
      </c>
      <c r="S119" s="2268">
        <f t="shared" si="25"/>
        <v>2.2223529411764704</v>
      </c>
      <c r="T119" s="2938">
        <f>(N119+Q119)/2</f>
        <v>2.3831209150326798</v>
      </c>
      <c r="U119" s="2938">
        <f>(O119+R119)/2</f>
        <v>2.3831209150326798</v>
      </c>
      <c r="V119" s="2268">
        <f t="shared" si="26"/>
        <v>2.3831209150326798</v>
      </c>
      <c r="W119" s="2939">
        <f>N119</f>
        <v>2.5438888888888891</v>
      </c>
      <c r="X119" s="2480">
        <f>O119</f>
        <v>2.5438888888888891</v>
      </c>
      <c r="Y119" s="2268">
        <f t="shared" si="30"/>
        <v>2.5438888888888891</v>
      </c>
      <c r="Z119" s="2939">
        <v>2.2223529411764704</v>
      </c>
      <c r="AA119" s="2480">
        <v>2.2223529411764704</v>
      </c>
      <c r="AB119" s="2268">
        <f t="shared" si="27"/>
        <v>2.2223529411764704</v>
      </c>
      <c r="AC119" s="2114">
        <f t="shared" si="40"/>
        <v>2.3831209150326798</v>
      </c>
      <c r="AD119" s="2114"/>
      <c r="AE119" s="2114"/>
      <c r="AF119" s="2113"/>
      <c r="AG119" s="2113"/>
      <c r="AH119" s="2113"/>
      <c r="AI119" s="2113"/>
    </row>
    <row r="120" spans="1:35" s="2218" customFormat="1" ht="31.5" outlineLevel="1">
      <c r="A120" s="2235"/>
      <c r="B120" s="2336" t="s">
        <v>15026</v>
      </c>
      <c r="C120" s="2363" t="s">
        <v>1795</v>
      </c>
      <c r="D120" s="2363" t="s">
        <v>15021</v>
      </c>
      <c r="E120" s="2364"/>
      <c r="F120" s="2364"/>
      <c r="G120" s="2358">
        <f t="shared" si="21"/>
        <v>0</v>
      </c>
      <c r="H120" s="2364"/>
      <c r="I120" s="2364"/>
      <c r="J120" s="2358">
        <f t="shared" si="22"/>
        <v>0</v>
      </c>
      <c r="K120" s="2364">
        <f>'[3]НВВ очистка)'!AC421</f>
        <v>4437.0601014929025</v>
      </c>
      <c r="L120" s="2364">
        <f>'[3]НВВ очистка)'!AD421</f>
        <v>4627.8536858570969</v>
      </c>
      <c r="M120" s="2358">
        <f t="shared" si="23"/>
        <v>4532.4568936750002</v>
      </c>
      <c r="N120" s="2364">
        <v>0</v>
      </c>
      <c r="O120" s="2285">
        <f>L120*1.06*1.072</f>
        <v>5258.7227003131366</v>
      </c>
      <c r="P120" s="2358">
        <f t="shared" si="24"/>
        <v>2629.3613501565683</v>
      </c>
      <c r="Q120" s="2365">
        <v>16912.669116544992</v>
      </c>
      <c r="R120" s="2930">
        <f>Q120*1.072</f>
        <v>18130.381292936232</v>
      </c>
      <c r="S120" s="2268">
        <f t="shared" si="25"/>
        <v>17521.52520474061</v>
      </c>
      <c r="T120" s="2365">
        <v>16912.669116544992</v>
      </c>
      <c r="U120" s="2364">
        <f>18130.3812929362-5029.88</f>
        <v>13100.501292936198</v>
      </c>
      <c r="V120" s="2268">
        <f t="shared" si="26"/>
        <v>15006.585204740595</v>
      </c>
      <c r="W120" s="2888">
        <f>16912.669116545-1029.3</f>
        <v>15883.369116545</v>
      </c>
      <c r="X120" s="2889">
        <f>13100.5012929362-1103.41</f>
        <v>11997.0912929362</v>
      </c>
      <c r="Y120" s="2268">
        <f t="shared" si="30"/>
        <v>13940.230204740601</v>
      </c>
      <c r="Z120" s="2888">
        <v>16912.669116544992</v>
      </c>
      <c r="AA120" s="2889">
        <f>18130.3812929362-4926.47</f>
        <v>13203.911292936198</v>
      </c>
      <c r="AB120" s="2268">
        <f t="shared" si="27"/>
        <v>15058.290204740595</v>
      </c>
      <c r="AC120" s="2114">
        <f t="shared" si="40"/>
        <v>13991.935204740601</v>
      </c>
      <c r="AD120" s="2114"/>
      <c r="AE120" s="2114"/>
      <c r="AF120" s="2113"/>
      <c r="AG120" s="2113"/>
      <c r="AH120" s="2113"/>
      <c r="AI120" s="2113"/>
    </row>
    <row r="121" spans="1:35" s="2218" customFormat="1" ht="31.5" outlineLevel="1">
      <c r="A121" s="2235"/>
      <c r="B121" s="2336" t="s">
        <v>15027</v>
      </c>
      <c r="C121" s="2363" t="s">
        <v>1898</v>
      </c>
      <c r="D121" s="2363" t="s">
        <v>15021</v>
      </c>
      <c r="E121" s="2364"/>
      <c r="F121" s="2364"/>
      <c r="G121" s="2358">
        <f>E121/2+F121/2</f>
        <v>0</v>
      </c>
      <c r="H121" s="2364"/>
      <c r="I121" s="2364"/>
      <c r="J121" s="2358">
        <f>H121/2+I121/2</f>
        <v>0</v>
      </c>
      <c r="K121" s="2364">
        <f>'[3]НВВ очистка)'!AC422</f>
        <v>0</v>
      </c>
      <c r="L121" s="2364">
        <f>'[3]НВВ очистка)'!AD422</f>
        <v>0</v>
      </c>
      <c r="M121" s="2358">
        <f>K121/2+L121/2</f>
        <v>0</v>
      </c>
      <c r="N121" s="2364"/>
      <c r="O121" s="2364"/>
      <c r="P121" s="2358">
        <f>N121/2+O121/2</f>
        <v>0</v>
      </c>
      <c r="Q121" s="2365">
        <v>0</v>
      </c>
      <c r="R121" s="2364">
        <v>0</v>
      </c>
      <c r="S121" s="2268">
        <f t="shared" si="25"/>
        <v>0</v>
      </c>
      <c r="T121" s="2939">
        <v>0</v>
      </c>
      <c r="U121" s="2480">
        <v>0</v>
      </c>
      <c r="V121" s="2268">
        <f t="shared" si="26"/>
        <v>0</v>
      </c>
      <c r="W121" s="2939">
        <v>0</v>
      </c>
      <c r="X121" s="2480">
        <v>0</v>
      </c>
      <c r="Y121" s="2268">
        <f t="shared" si="30"/>
        <v>0</v>
      </c>
      <c r="Z121" s="2939">
        <v>0</v>
      </c>
      <c r="AA121" s="2480">
        <v>0</v>
      </c>
      <c r="AB121" s="2268">
        <f t="shared" si="27"/>
        <v>0</v>
      </c>
      <c r="AC121" s="2114">
        <f t="shared" si="40"/>
        <v>0</v>
      </c>
      <c r="AD121" s="2114"/>
      <c r="AE121" s="2114"/>
      <c r="AF121" s="2113"/>
      <c r="AG121" s="2113"/>
      <c r="AH121" s="2113"/>
      <c r="AI121" s="2113"/>
    </row>
    <row r="122" spans="1:35" s="2218" customFormat="1" ht="31.5" outlineLevel="1">
      <c r="A122" s="2235"/>
      <c r="B122" s="2329" t="s">
        <v>15028</v>
      </c>
      <c r="C122" s="2363" t="s">
        <v>1799</v>
      </c>
      <c r="D122" s="2363" t="s">
        <v>1800</v>
      </c>
      <c r="E122" s="2364"/>
      <c r="F122" s="2364"/>
      <c r="G122" s="2358">
        <f>E122/2+F122/2</f>
        <v>0</v>
      </c>
      <c r="H122" s="2364"/>
      <c r="I122" s="2364"/>
      <c r="J122" s="2358">
        <f>H122/2+I122/2</f>
        <v>0</v>
      </c>
      <c r="K122" s="2364">
        <f>'[3]НВВ очистка)'!AC423</f>
        <v>9.9976749378893093</v>
      </c>
      <c r="L122" s="2364">
        <f>'[3]НВВ очистка)'!AD423</f>
        <v>9.9976749378893093</v>
      </c>
      <c r="M122" s="2358">
        <f>K122/2+L122/2</f>
        <v>9.9976749378893093</v>
      </c>
      <c r="N122" s="2364">
        <v>0</v>
      </c>
      <c r="O122" s="2364">
        <v>9.9756381054394261</v>
      </c>
      <c r="P122" s="2358">
        <f>N122/2+O122/2</f>
        <v>4.987819052719713</v>
      </c>
      <c r="Q122" s="2365">
        <v>8</v>
      </c>
      <c r="R122" s="2364">
        <v>8</v>
      </c>
      <c r="S122" s="2268">
        <f t="shared" si="25"/>
        <v>8</v>
      </c>
      <c r="T122" s="2365">
        <f t="shared" ref="T122:U127" si="41">N122+Q122</f>
        <v>8</v>
      </c>
      <c r="U122" s="2364">
        <f t="shared" si="41"/>
        <v>17.975638105439426</v>
      </c>
      <c r="V122" s="2268">
        <f t="shared" si="26"/>
        <v>12.987819052719713</v>
      </c>
      <c r="W122" s="2888">
        <f>T122/$T$272*$W$272</f>
        <v>1.7429683906975115</v>
      </c>
      <c r="X122" s="2889">
        <f>U122/$T$272*$W$272</f>
        <v>3.9163711275498279</v>
      </c>
      <c r="Y122" s="2268">
        <f>W122/2+X122/2</f>
        <v>2.8296697591236697</v>
      </c>
      <c r="Z122" s="2888">
        <f t="shared" ref="Z122:AA127" si="42">T122/$T$272*$Z$272</f>
        <v>6.2570316093024871</v>
      </c>
      <c r="AA122" s="2889">
        <f t="shared" si="42"/>
        <v>14.059266977889596</v>
      </c>
      <c r="AB122" s="2268">
        <f>Z122/2+AA122/2</f>
        <v>10.158149293596042</v>
      </c>
      <c r="AC122" s="2114">
        <f t="shared" si="40"/>
        <v>0</v>
      </c>
      <c r="AD122" s="2114"/>
      <c r="AE122" s="2114"/>
      <c r="AF122" s="2113"/>
      <c r="AG122" s="2113"/>
      <c r="AH122" s="2113"/>
      <c r="AI122" s="2113"/>
    </row>
    <row r="123" spans="1:35" s="2218" customFormat="1" ht="48" outlineLevel="1" thickBot="1">
      <c r="A123" s="2235"/>
      <c r="B123" s="2368" t="s">
        <v>15029</v>
      </c>
      <c r="C123" s="2369" t="s">
        <v>15030</v>
      </c>
      <c r="D123" s="2369" t="s">
        <v>1317</v>
      </c>
      <c r="E123" s="2370"/>
      <c r="F123" s="2370"/>
      <c r="G123" s="2358">
        <f>E123/2+F123/2</f>
        <v>0</v>
      </c>
      <c r="H123" s="2370"/>
      <c r="I123" s="2370"/>
      <c r="J123" s="2358">
        <f>H123/2+I123/2</f>
        <v>0</v>
      </c>
      <c r="K123" s="2370">
        <f>'[3]НВВ очистка)'!AC424</f>
        <v>852.23292539673037</v>
      </c>
      <c r="L123" s="2370">
        <f>'[3]НВВ очистка)'!AD424</f>
        <v>888.87894118878967</v>
      </c>
      <c r="M123" s="2358">
        <f>K123/2+L123/2</f>
        <v>870.55593329276007</v>
      </c>
      <c r="N123" s="2370">
        <v>0</v>
      </c>
      <c r="O123" s="2370">
        <f>O113*0.302</f>
        <v>1010.0112997990159</v>
      </c>
      <c r="P123" s="2358">
        <f>N123/2+O123/2</f>
        <v>505.00564989950794</v>
      </c>
      <c r="Q123" s="2370">
        <f>Q113*0.3</f>
        <v>1182.7132158340908</v>
      </c>
      <c r="R123" s="2370">
        <f>R113*0.3</f>
        <v>1267.8685673741456</v>
      </c>
      <c r="S123" s="2268">
        <f t="shared" si="25"/>
        <v>1225.2908916041183</v>
      </c>
      <c r="T123" s="2934">
        <f t="shared" si="41"/>
        <v>1182.7132158340908</v>
      </c>
      <c r="U123" s="2940">
        <f t="shared" si="41"/>
        <v>2277.8798671731615</v>
      </c>
      <c r="V123" s="2268">
        <f t="shared" si="26"/>
        <v>1730.296541503626</v>
      </c>
      <c r="W123" s="2941">
        <f t="shared" ref="W123:X126" si="43">T123/$T$272*$N$272</f>
        <v>257.67896880737794</v>
      </c>
      <c r="X123" s="2942">
        <f t="shared" si="43"/>
        <v>496.28407578613343</v>
      </c>
      <c r="Y123" s="2268">
        <f t="shared" si="30"/>
        <v>376.98152229675566</v>
      </c>
      <c r="Z123" s="2943">
        <f t="shared" si="42"/>
        <v>925.03424702671259</v>
      </c>
      <c r="AA123" s="2944">
        <f t="shared" si="42"/>
        <v>1781.5957913870282</v>
      </c>
      <c r="AB123" s="2268">
        <f t="shared" si="27"/>
        <v>1353.3150192068704</v>
      </c>
      <c r="AC123" s="2114">
        <f t="shared" si="40"/>
        <v>0</v>
      </c>
      <c r="AD123" s="2114"/>
      <c r="AE123" s="2114"/>
      <c r="AF123" s="2113"/>
      <c r="AG123" s="2113"/>
      <c r="AH123" s="2113"/>
      <c r="AI123" s="2113"/>
    </row>
    <row r="124" spans="1:35" s="2218" customFormat="1" ht="21" customHeight="1" thickBot="1">
      <c r="A124" s="2235">
        <v>9</v>
      </c>
      <c r="B124" s="1260" t="s">
        <v>1175</v>
      </c>
      <c r="C124" s="2318" t="s">
        <v>1924</v>
      </c>
      <c r="D124" s="2371" t="s">
        <v>1317</v>
      </c>
      <c r="E124" s="2372">
        <f>E125+E141</f>
        <v>48152.13509342727</v>
      </c>
      <c r="F124" s="2373">
        <f>F125+F141</f>
        <v>50855.007521659209</v>
      </c>
      <c r="G124" s="2374">
        <f t="shared" si="21"/>
        <v>49503.571307543243</v>
      </c>
      <c r="H124" s="2373">
        <f>H125+H141</f>
        <v>59387.183797930011</v>
      </c>
      <c r="I124" s="2373">
        <f>I125+I141</f>
        <v>62712.866090614101</v>
      </c>
      <c r="J124" s="2374">
        <f t="shared" si="22"/>
        <v>61050.024944272052</v>
      </c>
      <c r="K124" s="2373">
        <f>K125+K141</f>
        <v>59775.558773326811</v>
      </c>
      <c r="L124" s="2373">
        <f>L125+L141</f>
        <v>62585.010035673171</v>
      </c>
      <c r="M124" s="2374">
        <f t="shared" si="23"/>
        <v>61180.284404499995</v>
      </c>
      <c r="N124" s="2372">
        <f>N125+N141</f>
        <v>63112.88481807342</v>
      </c>
      <c r="O124" s="2373">
        <f>O125+O141</f>
        <v>68793.044451700029</v>
      </c>
      <c r="P124" s="2374">
        <f t="shared" si="24"/>
        <v>65952.964634886725</v>
      </c>
      <c r="Q124" s="2373">
        <f>Q125+Q141</f>
        <v>1369.3451337565414</v>
      </c>
      <c r="R124" s="2373">
        <f>R125+R141</f>
        <v>1492.5861957946304</v>
      </c>
      <c r="S124" s="2374">
        <f t="shared" si="25"/>
        <v>1430.965664775586</v>
      </c>
      <c r="T124" s="2372">
        <f t="shared" si="41"/>
        <v>64482.229951829962</v>
      </c>
      <c r="U124" s="2373">
        <f t="shared" si="41"/>
        <v>70285.630647494661</v>
      </c>
      <c r="V124" s="2374">
        <f t="shared" si="26"/>
        <v>67383.930299662316</v>
      </c>
      <c r="W124" s="2945">
        <f t="shared" si="43"/>
        <v>14048.811070965994</v>
      </c>
      <c r="X124" s="2373">
        <f t="shared" si="43"/>
        <v>15313.204067352934</v>
      </c>
      <c r="Y124" s="2374">
        <f t="shared" si="30"/>
        <v>14681.007569159465</v>
      </c>
      <c r="Z124" s="2945">
        <f t="shared" si="42"/>
        <v>50433.418880863959</v>
      </c>
      <c r="AA124" s="2373">
        <f t="shared" si="42"/>
        <v>54972.42658014172</v>
      </c>
      <c r="AB124" s="2946">
        <f t="shared" si="27"/>
        <v>52702.92273050284</v>
      </c>
      <c r="AC124" s="2114">
        <f>AB124+Y124</f>
        <v>67383.930299662301</v>
      </c>
      <c r="AD124" s="2114"/>
      <c r="AE124" s="2114"/>
      <c r="AF124" s="2113"/>
      <c r="AG124" s="2113"/>
      <c r="AH124" s="2113"/>
      <c r="AI124" s="2113"/>
    </row>
    <row r="125" spans="1:35" s="2218" customFormat="1" ht="30.75" customHeight="1">
      <c r="A125" s="2235">
        <v>198</v>
      </c>
      <c r="B125" s="2243"/>
      <c r="C125" s="2278" t="s">
        <v>1925</v>
      </c>
      <c r="D125" s="2245" t="s">
        <v>1926</v>
      </c>
      <c r="E125" s="2246">
        <f>E126+E129+E132+E135+E138</f>
        <v>48152.13509342727</v>
      </c>
      <c r="F125" s="2247">
        <f>F126+F129+F132+F135+F138</f>
        <v>50855.007521659209</v>
      </c>
      <c r="G125" s="2248">
        <f t="shared" si="21"/>
        <v>49503.571307543243</v>
      </c>
      <c r="H125" s="2247">
        <f>H126+H129+H132+H135+H138</f>
        <v>59387.183797930011</v>
      </c>
      <c r="I125" s="2247">
        <f>I126+I129+I132+I135+I138</f>
        <v>62712.866090614101</v>
      </c>
      <c r="J125" s="2248">
        <f t="shared" si="22"/>
        <v>61050.024944272052</v>
      </c>
      <c r="K125" s="2247">
        <f>K126+K129+K132+K135+K138</f>
        <v>59775.558773326811</v>
      </c>
      <c r="L125" s="2247">
        <f>L126+L129+L132+L135+L138</f>
        <v>62585.010035673171</v>
      </c>
      <c r="M125" s="2250">
        <f t="shared" si="23"/>
        <v>61180.284404499995</v>
      </c>
      <c r="N125" s="2246">
        <f>N126+N129+N132+N135+N138</f>
        <v>63112.88481807342</v>
      </c>
      <c r="O125" s="2247">
        <f>O126+O129+O132+O135+O138</f>
        <v>68793.044451700029</v>
      </c>
      <c r="P125" s="2250">
        <f t="shared" si="24"/>
        <v>65952.964634886725</v>
      </c>
      <c r="Q125" s="2247">
        <f>Q126+Q129+Q132+Q135+Q138</f>
        <v>1369.3451337565414</v>
      </c>
      <c r="R125" s="2247">
        <f>R126+R129+R132+R135+R138</f>
        <v>1492.5861957946304</v>
      </c>
      <c r="S125" s="2268">
        <f t="shared" si="25"/>
        <v>1430.965664775586</v>
      </c>
      <c r="T125" s="2465">
        <f t="shared" si="41"/>
        <v>64482.229951829962</v>
      </c>
      <c r="U125" s="2466">
        <f t="shared" si="41"/>
        <v>70285.630647494661</v>
      </c>
      <c r="V125" s="2268">
        <f t="shared" si="26"/>
        <v>67383.930299662316</v>
      </c>
      <c r="W125" s="2377">
        <f t="shared" si="43"/>
        <v>14048.811070965994</v>
      </c>
      <c r="X125" s="2256">
        <f t="shared" si="43"/>
        <v>15313.204067352934</v>
      </c>
      <c r="Y125" s="2268">
        <f>W125/2+X125/2</f>
        <v>14681.007569159465</v>
      </c>
      <c r="Z125" s="2886">
        <f t="shared" si="42"/>
        <v>50433.418880863959</v>
      </c>
      <c r="AA125" s="2887">
        <f t="shared" si="42"/>
        <v>54972.42658014172</v>
      </c>
      <c r="AB125" s="2268">
        <f>Z125/2+AA125/2</f>
        <v>52702.92273050284</v>
      </c>
      <c r="AC125" s="2114">
        <f t="shared" ref="AC125:AC188" si="44">Y125+AB125-V125</f>
        <v>0</v>
      </c>
      <c r="AD125" s="2114"/>
      <c r="AE125" s="2114"/>
      <c r="AF125" s="2113"/>
      <c r="AG125" s="2113"/>
      <c r="AH125" s="2113"/>
      <c r="AI125" s="2113"/>
    </row>
    <row r="126" spans="1:35" s="2218" customFormat="1" ht="18.75" customHeight="1">
      <c r="A126" s="2235">
        <v>201</v>
      </c>
      <c r="B126" s="2279"/>
      <c r="C126" s="2280" t="s">
        <v>1927</v>
      </c>
      <c r="D126" s="2254" t="s">
        <v>1317</v>
      </c>
      <c r="E126" s="2255">
        <f>E127*E128</f>
        <v>36034.919099839506</v>
      </c>
      <c r="F126" s="2256">
        <f>F127*F128</f>
        <v>38052.874569430525</v>
      </c>
      <c r="G126" s="2257">
        <f t="shared" si="21"/>
        <v>37043.896834635016</v>
      </c>
      <c r="H126" s="2256">
        <f>H127*H128</f>
        <v>26035.19941634241</v>
      </c>
      <c r="I126" s="2256">
        <f>I127*I128</f>
        <v>27493.170583657589</v>
      </c>
      <c r="J126" s="2257">
        <f t="shared" si="22"/>
        <v>26764.184999999998</v>
      </c>
      <c r="K126" s="2256">
        <f>K127*K128</f>
        <v>25926.521215925743</v>
      </c>
      <c r="L126" s="2256">
        <f>L127*L128</f>
        <v>27145.067713074252</v>
      </c>
      <c r="M126" s="2259">
        <f t="shared" si="23"/>
        <v>26535.794464499995</v>
      </c>
      <c r="N126" s="2255">
        <f>N127*N128</f>
        <v>27145.067713074252</v>
      </c>
      <c r="O126" s="2256">
        <f>O127*O128</f>
        <v>29588.123807250937</v>
      </c>
      <c r="P126" s="2259">
        <f t="shared" si="24"/>
        <v>28366.595760162592</v>
      </c>
      <c r="Q126" s="2256">
        <f>Q127*Q128</f>
        <v>0</v>
      </c>
      <c r="R126" s="2256">
        <f>R127*R128</f>
        <v>0</v>
      </c>
      <c r="S126" s="2268">
        <f t="shared" si="25"/>
        <v>0</v>
      </c>
      <c r="T126" s="2465">
        <f t="shared" si="41"/>
        <v>27145.067713074252</v>
      </c>
      <c r="U126" s="2247">
        <f t="shared" si="41"/>
        <v>29588.123807250937</v>
      </c>
      <c r="V126" s="2268">
        <f t="shared" si="26"/>
        <v>28366.595760162592</v>
      </c>
      <c r="W126" s="2377">
        <f t="shared" si="43"/>
        <v>5914.1243734040017</v>
      </c>
      <c r="X126" s="2256">
        <f t="shared" si="43"/>
        <v>6446.3955670103624</v>
      </c>
      <c r="Y126" s="2268">
        <f>W126/2+X126/2</f>
        <v>6180.2599702071821</v>
      </c>
      <c r="Z126" s="2886">
        <f t="shared" si="42"/>
        <v>21230.943339670248</v>
      </c>
      <c r="AA126" s="2887">
        <f t="shared" si="42"/>
        <v>23141.728240240573</v>
      </c>
      <c r="AB126" s="2268">
        <f>Z126/2+AA126/2</f>
        <v>22186.33578995541</v>
      </c>
      <c r="AC126" s="2114">
        <f t="shared" si="44"/>
        <v>0</v>
      </c>
      <c r="AD126" s="2114"/>
      <c r="AE126" s="2114"/>
      <c r="AF126" s="2113"/>
      <c r="AG126" s="2113"/>
      <c r="AH126" s="2113"/>
      <c r="AI126" s="2113"/>
    </row>
    <row r="127" spans="1:35" s="2218" customFormat="1" ht="21" customHeight="1">
      <c r="A127" s="2235">
        <v>206</v>
      </c>
      <c r="B127" s="2281" t="s">
        <v>1928</v>
      </c>
      <c r="C127" s="2282" t="s">
        <v>1929</v>
      </c>
      <c r="D127" s="2283" t="s">
        <v>1930</v>
      </c>
      <c r="E127" s="2284">
        <f>'[3]НВВ очистка)'!K428</f>
        <v>5752.8</v>
      </c>
      <c r="F127" s="2285">
        <f>'[3]НВВ очистка)'!L428</f>
        <v>5752.8</v>
      </c>
      <c r="G127" s="2257">
        <f t="shared" si="21"/>
        <v>5752.8</v>
      </c>
      <c r="H127" s="2285">
        <f>'[3]НВВ очистка)'!T428</f>
        <v>3730.2</v>
      </c>
      <c r="I127" s="2285">
        <f>'[3]НВВ очистка)'!U428</f>
        <v>3730.2</v>
      </c>
      <c r="J127" s="2257">
        <f t="shared" si="22"/>
        <v>3730.2</v>
      </c>
      <c r="K127" s="2285">
        <f>'[3]НВВ очистка)'!AC428</f>
        <v>3810</v>
      </c>
      <c r="L127" s="2285">
        <f>'[3]НВВ очистка)'!AD428</f>
        <v>3810</v>
      </c>
      <c r="M127" s="2259">
        <f t="shared" si="23"/>
        <v>3810</v>
      </c>
      <c r="N127" s="2284">
        <v>3810</v>
      </c>
      <c r="O127" s="2285">
        <v>3810</v>
      </c>
      <c r="P127" s="2259">
        <f t="shared" si="24"/>
        <v>3810</v>
      </c>
      <c r="Q127" s="2284">
        <v>0</v>
      </c>
      <c r="R127" s="2285">
        <v>0</v>
      </c>
      <c r="S127" s="2268">
        <f t="shared" si="25"/>
        <v>0</v>
      </c>
      <c r="T127" s="2284">
        <f t="shared" si="41"/>
        <v>3810</v>
      </c>
      <c r="U127" s="2285">
        <f t="shared" si="41"/>
        <v>3810</v>
      </c>
      <c r="V127" s="2268">
        <f t="shared" si="26"/>
        <v>3810</v>
      </c>
      <c r="W127" s="2888">
        <f>T127/$T$272*$W$272</f>
        <v>830.08869606968995</v>
      </c>
      <c r="X127" s="2889">
        <f>U127/$T$272*$W$272</f>
        <v>830.08869606968995</v>
      </c>
      <c r="Y127" s="2268">
        <f>W127/2+X127/2</f>
        <v>830.08869606968995</v>
      </c>
      <c r="Z127" s="2888">
        <f t="shared" si="42"/>
        <v>2979.9113039303097</v>
      </c>
      <c r="AA127" s="2889">
        <f t="shared" si="42"/>
        <v>2979.9113039303097</v>
      </c>
      <c r="AB127" s="2268">
        <f>Z127/2+AA127/2</f>
        <v>2979.9113039303097</v>
      </c>
      <c r="AC127" s="2114">
        <f t="shared" si="44"/>
        <v>0</v>
      </c>
      <c r="AD127" s="2114"/>
      <c r="AE127" s="2114"/>
      <c r="AF127" s="2113"/>
      <c r="AG127" s="2113"/>
      <c r="AH127" s="2113"/>
      <c r="AI127" s="2113"/>
    </row>
    <row r="128" spans="1:35" s="2218" customFormat="1" ht="18.75" customHeight="1">
      <c r="A128" s="2235">
        <v>207</v>
      </c>
      <c r="B128" s="2281" t="s">
        <v>1932</v>
      </c>
      <c r="C128" s="2282" t="s">
        <v>1933</v>
      </c>
      <c r="D128" s="2283" t="s">
        <v>1934</v>
      </c>
      <c r="E128" s="2284">
        <f>'[3]НВВ очистка)'!K429</f>
        <v>6.2638922089833651</v>
      </c>
      <c r="F128" s="2285">
        <f>'[3]НВВ очистка)'!L429</f>
        <v>6.6146701726864352</v>
      </c>
      <c r="G128" s="2257">
        <f t="shared" si="21"/>
        <v>6.4392811908349001</v>
      </c>
      <c r="H128" s="2285">
        <f>'[3]НВВ очистка)'!T429</f>
        <v>6.9795719844357968</v>
      </c>
      <c r="I128" s="2285">
        <f>'[3]НВВ очистка)'!U429</f>
        <v>7.3704280155642028</v>
      </c>
      <c r="J128" s="2257">
        <f t="shared" si="22"/>
        <v>7.1749999999999998</v>
      </c>
      <c r="K128" s="2285">
        <f>'[3]НВВ очистка)'!AC429</f>
        <v>6.8048612115290661</v>
      </c>
      <c r="L128" s="2285">
        <f>'[3]НВВ очистка)'!AD429</f>
        <v>7.1246896884709319</v>
      </c>
      <c r="M128" s="2259">
        <f t="shared" si="23"/>
        <v>6.9647754499999994</v>
      </c>
      <c r="N128" s="2284">
        <v>7.1246896884709319</v>
      </c>
      <c r="O128" s="2285">
        <f>N128*1.09</f>
        <v>7.7659117604333163</v>
      </c>
      <c r="P128" s="2259">
        <f t="shared" si="24"/>
        <v>7.4453007244521245</v>
      </c>
      <c r="Q128" s="2284">
        <v>0</v>
      </c>
      <c r="R128" s="2285">
        <v>0</v>
      </c>
      <c r="S128" s="2268">
        <f t="shared" si="25"/>
        <v>0</v>
      </c>
      <c r="T128" s="2385">
        <f>T126/T127</f>
        <v>7.1246896884709319</v>
      </c>
      <c r="U128" s="2285">
        <f>U126/U127</f>
        <v>7.7659117604333163</v>
      </c>
      <c r="V128" s="2268">
        <f t="shared" si="26"/>
        <v>7.4453007244521245</v>
      </c>
      <c r="W128" s="2385">
        <f>W126/W127</f>
        <v>7.1246896884709328</v>
      </c>
      <c r="X128" s="2285">
        <f>X126/X127</f>
        <v>7.7659117604333172</v>
      </c>
      <c r="Y128" s="2268">
        <f t="shared" si="30"/>
        <v>7.4453007244521245</v>
      </c>
      <c r="Z128" s="2385">
        <f>Z126/Z127</f>
        <v>7.1246896884709319</v>
      </c>
      <c r="AA128" s="2285">
        <f>AA126/AA127</f>
        <v>7.7659117604333172</v>
      </c>
      <c r="AB128" s="2268">
        <f t="shared" si="27"/>
        <v>7.4453007244521245</v>
      </c>
      <c r="AC128" s="2114">
        <f t="shared" si="44"/>
        <v>7.4453007244521245</v>
      </c>
      <c r="AD128" s="2114"/>
      <c r="AE128" s="2114"/>
      <c r="AF128" s="2113"/>
      <c r="AG128" s="2113"/>
      <c r="AH128" s="2113"/>
      <c r="AI128" s="2113"/>
    </row>
    <row r="129" spans="1:35" s="2218" customFormat="1" ht="19.5" customHeight="1">
      <c r="A129" s="2235">
        <v>202</v>
      </c>
      <c r="B129" s="2279"/>
      <c r="C129" s="2280" t="s">
        <v>1936</v>
      </c>
      <c r="D129" s="2254" t="s">
        <v>1317</v>
      </c>
      <c r="E129" s="2255">
        <f>E130*E131</f>
        <v>0</v>
      </c>
      <c r="F129" s="2256">
        <f>F130*F131</f>
        <v>0</v>
      </c>
      <c r="G129" s="2257">
        <f t="shared" si="21"/>
        <v>0</v>
      </c>
      <c r="H129" s="2256">
        <f>H130*H131</f>
        <v>0</v>
      </c>
      <c r="I129" s="2256">
        <f>I130*I131</f>
        <v>0</v>
      </c>
      <c r="J129" s="2257">
        <f t="shared" si="22"/>
        <v>0</v>
      </c>
      <c r="K129" s="2256">
        <f>K130*K131</f>
        <v>0</v>
      </c>
      <c r="L129" s="2256">
        <f>L130*L131</f>
        <v>0</v>
      </c>
      <c r="M129" s="2259">
        <f t="shared" si="23"/>
        <v>0</v>
      </c>
      <c r="N129" s="2255">
        <v>0</v>
      </c>
      <c r="O129" s="2256">
        <v>0</v>
      </c>
      <c r="P129" s="2259">
        <f t="shared" si="24"/>
        <v>0</v>
      </c>
      <c r="Q129" s="2255">
        <v>0</v>
      </c>
      <c r="R129" s="2256">
        <v>0</v>
      </c>
      <c r="S129" s="2268">
        <f t="shared" si="25"/>
        <v>0</v>
      </c>
      <c r="T129" s="2465">
        <f>N129+Q129</f>
        <v>0</v>
      </c>
      <c r="U129" s="2247">
        <f>O129+R129</f>
        <v>0</v>
      </c>
      <c r="V129" s="2268">
        <f t="shared" si="26"/>
        <v>0</v>
      </c>
      <c r="W129" s="2465">
        <f>Q129+T129</f>
        <v>0</v>
      </c>
      <c r="X129" s="2247">
        <f>R129+U129</f>
        <v>0</v>
      </c>
      <c r="Y129" s="2268">
        <f t="shared" si="30"/>
        <v>0</v>
      </c>
      <c r="Z129" s="2465">
        <f>T129+W129</f>
        <v>0</v>
      </c>
      <c r="AA129" s="2247">
        <f>U129+X129</f>
        <v>0</v>
      </c>
      <c r="AB129" s="2268">
        <f t="shared" si="27"/>
        <v>0</v>
      </c>
      <c r="AC129" s="2114">
        <f t="shared" si="44"/>
        <v>0</v>
      </c>
      <c r="AD129" s="2114"/>
      <c r="AE129" s="2114"/>
      <c r="AF129" s="2113"/>
      <c r="AG129" s="2113"/>
      <c r="AH129" s="2113"/>
      <c r="AI129" s="2113"/>
    </row>
    <row r="130" spans="1:35" s="2218" customFormat="1" ht="21" customHeight="1">
      <c r="A130" s="2235">
        <v>208</v>
      </c>
      <c r="B130" s="2281" t="s">
        <v>1937</v>
      </c>
      <c r="C130" s="2282" t="s">
        <v>1929</v>
      </c>
      <c r="D130" s="2283" t="s">
        <v>1930</v>
      </c>
      <c r="E130" s="2284"/>
      <c r="F130" s="2285"/>
      <c r="G130" s="2257">
        <f t="shared" si="21"/>
        <v>0</v>
      </c>
      <c r="H130" s="2285"/>
      <c r="I130" s="2285"/>
      <c r="J130" s="2257">
        <f t="shared" si="22"/>
        <v>0</v>
      </c>
      <c r="K130" s="2285"/>
      <c r="L130" s="2285"/>
      <c r="M130" s="2259">
        <f t="shared" si="23"/>
        <v>0</v>
      </c>
      <c r="N130" s="2284"/>
      <c r="O130" s="2285"/>
      <c r="P130" s="2259">
        <f t="shared" si="24"/>
        <v>0</v>
      </c>
      <c r="Q130" s="2284">
        <v>0</v>
      </c>
      <c r="R130" s="2285">
        <v>0</v>
      </c>
      <c r="S130" s="2268">
        <f t="shared" si="25"/>
        <v>0</v>
      </c>
      <c r="T130" s="2284">
        <f>N130+Q130</f>
        <v>0</v>
      </c>
      <c r="U130" s="2285">
        <f>O130+R130</f>
        <v>0</v>
      </c>
      <c r="V130" s="2268">
        <f t="shared" si="26"/>
        <v>0</v>
      </c>
      <c r="W130" s="2284">
        <f>Q130+T130</f>
        <v>0</v>
      </c>
      <c r="X130" s="2285">
        <f>R130+U130</f>
        <v>0</v>
      </c>
      <c r="Y130" s="2268">
        <f t="shared" si="30"/>
        <v>0</v>
      </c>
      <c r="Z130" s="2284">
        <f>T130+W130</f>
        <v>0</v>
      </c>
      <c r="AA130" s="2285">
        <f>U130+X130</f>
        <v>0</v>
      </c>
      <c r="AB130" s="2268">
        <f t="shared" si="27"/>
        <v>0</v>
      </c>
      <c r="AC130" s="2114">
        <f t="shared" si="44"/>
        <v>0</v>
      </c>
      <c r="AD130" s="2114"/>
      <c r="AE130" s="2114"/>
      <c r="AF130" s="2113"/>
      <c r="AG130" s="2113"/>
      <c r="AH130" s="2113"/>
      <c r="AI130" s="2113"/>
    </row>
    <row r="131" spans="1:35" s="2218" customFormat="1" ht="18" customHeight="1">
      <c r="A131" s="2235">
        <v>209</v>
      </c>
      <c r="B131" s="2281" t="s">
        <v>1938</v>
      </c>
      <c r="C131" s="2282" t="s">
        <v>1933</v>
      </c>
      <c r="D131" s="2283" t="s">
        <v>1934</v>
      </c>
      <c r="E131" s="2284"/>
      <c r="F131" s="2285"/>
      <c r="G131" s="2257">
        <f t="shared" si="21"/>
        <v>0</v>
      </c>
      <c r="H131" s="2285"/>
      <c r="I131" s="2285"/>
      <c r="J131" s="2257">
        <f t="shared" si="22"/>
        <v>0</v>
      </c>
      <c r="K131" s="2285"/>
      <c r="L131" s="2285"/>
      <c r="M131" s="2259">
        <f t="shared" si="23"/>
        <v>0</v>
      </c>
      <c r="N131" s="2284"/>
      <c r="O131" s="2285"/>
      <c r="P131" s="2259">
        <f t="shared" si="24"/>
        <v>0</v>
      </c>
      <c r="Q131" s="2284">
        <v>0</v>
      </c>
      <c r="R131" s="2285">
        <v>0</v>
      </c>
      <c r="S131" s="2268">
        <f t="shared" si="25"/>
        <v>0</v>
      </c>
      <c r="T131" s="2284">
        <v>0</v>
      </c>
      <c r="U131" s="2285">
        <v>0</v>
      </c>
      <c r="V131" s="2268">
        <f t="shared" si="26"/>
        <v>0</v>
      </c>
      <c r="W131" s="2284">
        <v>0</v>
      </c>
      <c r="X131" s="2285">
        <v>0</v>
      </c>
      <c r="Y131" s="2268">
        <f t="shared" si="30"/>
        <v>0</v>
      </c>
      <c r="Z131" s="2284">
        <v>0</v>
      </c>
      <c r="AA131" s="2285">
        <v>0</v>
      </c>
      <c r="AB131" s="2268">
        <f t="shared" si="27"/>
        <v>0</v>
      </c>
      <c r="AC131" s="2114">
        <f t="shared" si="44"/>
        <v>0</v>
      </c>
      <c r="AD131" s="2114"/>
      <c r="AE131" s="2114"/>
      <c r="AF131" s="2113"/>
      <c r="AG131" s="2113"/>
      <c r="AH131" s="2113"/>
      <c r="AI131" s="2113"/>
    </row>
    <row r="132" spans="1:35" s="2218" customFormat="1" ht="17.25" customHeight="1">
      <c r="A132" s="2235">
        <v>203</v>
      </c>
      <c r="B132" s="2279"/>
      <c r="C132" s="2280" t="s">
        <v>1939</v>
      </c>
      <c r="D132" s="2254" t="s">
        <v>1317</v>
      </c>
      <c r="E132" s="2255">
        <f>E133*E134</f>
        <v>12117.215993587766</v>
      </c>
      <c r="F132" s="2256">
        <f>F133*F134</f>
        <v>12802.132952228687</v>
      </c>
      <c r="G132" s="2257">
        <f t="shared" si="21"/>
        <v>12459.674472908227</v>
      </c>
      <c r="H132" s="2256">
        <f>H133*H134</f>
        <v>33351.984381587601</v>
      </c>
      <c r="I132" s="2256">
        <f>I133*I134</f>
        <v>35219.695506956516</v>
      </c>
      <c r="J132" s="2257">
        <f t="shared" si="22"/>
        <v>34285.839944272055</v>
      </c>
      <c r="K132" s="2256">
        <f>K133*K134</f>
        <v>33849.037557401069</v>
      </c>
      <c r="L132" s="2256">
        <f>L133*L134</f>
        <v>35439.942322598923</v>
      </c>
      <c r="M132" s="2259">
        <f t="shared" si="23"/>
        <v>34644.489939999999</v>
      </c>
      <c r="N132" s="2255">
        <f>N133*N134</f>
        <v>35967.817104999165</v>
      </c>
      <c r="O132" s="2256">
        <f>O133*O134</f>
        <v>39204.920644449092</v>
      </c>
      <c r="P132" s="2259">
        <f t="shared" si="24"/>
        <v>37586.368874724125</v>
      </c>
      <c r="Q132" s="2256">
        <f>Q133*Q134</f>
        <v>1369.3451337565414</v>
      </c>
      <c r="R132" s="2256">
        <f>R133*R134</f>
        <v>1492.5861957946304</v>
      </c>
      <c r="S132" s="2268">
        <f t="shared" si="25"/>
        <v>1430.965664775586</v>
      </c>
      <c r="T132" s="2465">
        <f>N132+Q132</f>
        <v>37337.162238755707</v>
      </c>
      <c r="U132" s="2247">
        <f>O132+R132</f>
        <v>40697.506840243725</v>
      </c>
      <c r="V132" s="2268">
        <f t="shared" si="26"/>
        <v>39017.334539499716</v>
      </c>
      <c r="W132" s="2377">
        <f>T132/$T$272*$N$272</f>
        <v>8134.6866975619914</v>
      </c>
      <c r="X132" s="2256">
        <f>U132/$T$272*$N$272</f>
        <v>8866.8085003425713</v>
      </c>
      <c r="Y132" s="2268">
        <f t="shared" si="30"/>
        <v>8500.7475989522809</v>
      </c>
      <c r="Z132" s="2886">
        <f>T132/$T$272*$Z$272</f>
        <v>29202.475541193711</v>
      </c>
      <c r="AA132" s="2887">
        <f>U132/$T$272*$Z$272</f>
        <v>31830.698339901144</v>
      </c>
      <c r="AB132" s="2268">
        <f t="shared" si="27"/>
        <v>30516.58694054743</v>
      </c>
      <c r="AC132" s="2114">
        <f t="shared" si="44"/>
        <v>0</v>
      </c>
      <c r="AD132" s="2114"/>
      <c r="AE132" s="2114"/>
      <c r="AF132" s="2113"/>
      <c r="AG132" s="2113"/>
      <c r="AH132" s="2113"/>
      <c r="AI132" s="2113"/>
    </row>
    <row r="133" spans="1:35" s="2218" customFormat="1" ht="21" customHeight="1">
      <c r="A133" s="2235">
        <v>210</v>
      </c>
      <c r="B133" s="2281" t="s">
        <v>1940</v>
      </c>
      <c r="C133" s="2282" t="s">
        <v>1929</v>
      </c>
      <c r="D133" s="2283" t="s">
        <v>1930</v>
      </c>
      <c r="E133" s="2284">
        <f>'[3]НВВ очистка)'!K434</f>
        <v>2171.8463418672172</v>
      </c>
      <c r="F133" s="2285">
        <f>'[3]НВВ очистка)'!L434</f>
        <v>2171.8463418672181</v>
      </c>
      <c r="G133" s="2257">
        <f t="shared" ref="G133:G223" si="45">E133/2+F133/2</f>
        <v>2171.8463418672177</v>
      </c>
      <c r="H133" s="2285">
        <f>'[3]НВВ очистка)'!T434</f>
        <v>5331.9519123265509</v>
      </c>
      <c r="I133" s="2285">
        <f>'[3]НВВ очистка)'!U434</f>
        <v>5331.9519123265509</v>
      </c>
      <c r="J133" s="2257">
        <f t="shared" ref="J133:J223" si="46">H133/2+I133/2</f>
        <v>5331.9519123265509</v>
      </c>
      <c r="K133" s="2285">
        <f>'[3]НВВ очистка)'!AC434</f>
        <v>5194.9021040431589</v>
      </c>
      <c r="L133" s="2285">
        <f>'[3]НВВ очистка)'!AD434</f>
        <v>5194.9021040431589</v>
      </c>
      <c r="M133" s="2259">
        <f t="shared" ref="M133:M223" si="47">K133/2+L133/2</f>
        <v>5194.9021040431589</v>
      </c>
      <c r="N133" s="2284">
        <v>5194.9021040431589</v>
      </c>
      <c r="O133" s="2285">
        <v>5194.9021040431589</v>
      </c>
      <c r="P133" s="2259">
        <f t="shared" ref="P133:P223" si="48">N133/2+O133/2</f>
        <v>5194.9021040431589</v>
      </c>
      <c r="Q133" s="2284">
        <v>177.3</v>
      </c>
      <c r="R133" s="2285">
        <v>177.3</v>
      </c>
      <c r="S133" s="2268">
        <f t="shared" ref="S133:S196" si="49">Q133/2+R133/2</f>
        <v>177.3</v>
      </c>
      <c r="T133" s="2284">
        <f>N133+Q133</f>
        <v>5372.2021040431591</v>
      </c>
      <c r="U133" s="2285">
        <f>O133+R133</f>
        <v>5372.2021040431591</v>
      </c>
      <c r="V133" s="2268">
        <f t="shared" ref="V133:V196" si="50">T133/2+U133/2</f>
        <v>5372.2021040431591</v>
      </c>
      <c r="W133" s="2888">
        <f>T133/$T$272*$W$272</f>
        <v>1170.4473069732364</v>
      </c>
      <c r="X133" s="2889">
        <f>U133/$T$272*$W$272</f>
        <v>1170.4473069732364</v>
      </c>
      <c r="Y133" s="2268">
        <f t="shared" si="30"/>
        <v>1170.4473069732364</v>
      </c>
      <c r="Z133" s="2888">
        <f>T133/$T$272*$Z$272</f>
        <v>4201.7547970699225</v>
      </c>
      <c r="AA133" s="2889">
        <f>U133/$T$272*$Z$272</f>
        <v>4201.7547970699225</v>
      </c>
      <c r="AB133" s="2268">
        <f t="shared" ref="AB133:AB196" si="51">Z133/2+AA133/2</f>
        <v>4201.7547970699225</v>
      </c>
      <c r="AC133" s="2114">
        <f t="shared" si="44"/>
        <v>0</v>
      </c>
      <c r="AD133" s="2114"/>
      <c r="AE133" s="2114"/>
      <c r="AF133" s="2113"/>
      <c r="AG133" s="2113"/>
      <c r="AH133" s="2113"/>
      <c r="AI133" s="2113"/>
    </row>
    <row r="134" spans="1:35" s="2218" customFormat="1" ht="18" customHeight="1">
      <c r="A134" s="2235">
        <v>211</v>
      </c>
      <c r="B134" s="2281" t="s">
        <v>1941</v>
      </c>
      <c r="C134" s="2282" t="s">
        <v>1933</v>
      </c>
      <c r="D134" s="2283" t="s">
        <v>1934</v>
      </c>
      <c r="E134" s="2284">
        <f>'[3]НВВ очистка)'!K435</f>
        <v>5.5792234284724511</v>
      </c>
      <c r="F134" s="2285">
        <f>'[3]НВВ очистка)'!L435</f>
        <v>5.8945850382869214</v>
      </c>
      <c r="G134" s="2257">
        <f t="shared" si="45"/>
        <v>5.7369042333796862</v>
      </c>
      <c r="H134" s="2285">
        <f>'[3]НВВ очистка)'!T435</f>
        <v>6.2551172497418026</v>
      </c>
      <c r="I134" s="2285">
        <f>'[3]НВВ очистка)'!U435</f>
        <v>6.6054038157273451</v>
      </c>
      <c r="J134" s="2257">
        <f t="shared" si="46"/>
        <v>6.4302605327345734</v>
      </c>
      <c r="K134" s="2285">
        <f>'[3]НВВ очистка)'!AC435</f>
        <v>6.515818177027163</v>
      </c>
      <c r="L134" s="2285">
        <f>'[3]НВВ очистка)'!AD435</f>
        <v>6.8220616313474407</v>
      </c>
      <c r="M134" s="2259">
        <f t="shared" si="47"/>
        <v>6.6689399041873019</v>
      </c>
      <c r="N134" s="2284">
        <v>6.9236756313474404</v>
      </c>
      <c r="O134" s="2285">
        <f>N134*1.09</f>
        <v>7.5468064381687103</v>
      </c>
      <c r="P134" s="2259">
        <f>N134/2+O134/2</f>
        <v>7.2352410347580758</v>
      </c>
      <c r="Q134" s="2284">
        <v>7.7233228074255011</v>
      </c>
      <c r="R134" s="2285">
        <f>Q134*1.09</f>
        <v>8.4184218600937974</v>
      </c>
      <c r="S134" s="2268">
        <f t="shared" si="49"/>
        <v>8.0708723337596489</v>
      </c>
      <c r="T134" s="2385">
        <f>T132/T133</f>
        <v>6.9500665677963758</v>
      </c>
      <c r="U134" s="2285">
        <f>U132/U133</f>
        <v>7.5755725588980498</v>
      </c>
      <c r="V134" s="2268">
        <f t="shared" si="50"/>
        <v>7.2628195633472128</v>
      </c>
      <c r="W134" s="2385">
        <f>W132/W133</f>
        <v>6.9500665677963749</v>
      </c>
      <c r="X134" s="2285">
        <f>X132/X133</f>
        <v>7.5755725588980489</v>
      </c>
      <c r="Y134" s="2268">
        <f t="shared" si="30"/>
        <v>7.2628195633472119</v>
      </c>
      <c r="Z134" s="2385">
        <f>Z132/Z133</f>
        <v>6.9500665677963749</v>
      </c>
      <c r="AA134" s="2285">
        <f>AA132/AA133</f>
        <v>7.5755725588980489</v>
      </c>
      <c r="AB134" s="2268">
        <f t="shared" si="51"/>
        <v>7.2628195633472119</v>
      </c>
      <c r="AC134" s="2114">
        <f t="shared" si="44"/>
        <v>7.262819563347211</v>
      </c>
      <c r="AD134" s="2114"/>
      <c r="AE134" s="2114"/>
      <c r="AF134" s="2113"/>
      <c r="AG134" s="2113"/>
      <c r="AH134" s="2113"/>
      <c r="AI134" s="2113"/>
    </row>
    <row r="135" spans="1:35" s="2218" customFormat="1" ht="18" customHeight="1">
      <c r="A135" s="2235">
        <v>204</v>
      </c>
      <c r="B135" s="2279"/>
      <c r="C135" s="2280" t="s">
        <v>1942</v>
      </c>
      <c r="D135" s="2254" t="s">
        <v>1317</v>
      </c>
      <c r="E135" s="2255">
        <f>E136*E137</f>
        <v>0</v>
      </c>
      <c r="F135" s="2256">
        <f>F136*F137</f>
        <v>0</v>
      </c>
      <c r="G135" s="2257">
        <f t="shared" si="45"/>
        <v>0</v>
      </c>
      <c r="H135" s="2256">
        <f>H136*H137</f>
        <v>0</v>
      </c>
      <c r="I135" s="2256">
        <f>I136*I137</f>
        <v>0</v>
      </c>
      <c r="J135" s="2257">
        <f t="shared" si="46"/>
        <v>0</v>
      </c>
      <c r="K135" s="2256">
        <f>K136*K137</f>
        <v>0</v>
      </c>
      <c r="L135" s="2256">
        <f>L136*L137</f>
        <v>0</v>
      </c>
      <c r="M135" s="2259">
        <f t="shared" si="47"/>
        <v>0</v>
      </c>
      <c r="N135" s="2255">
        <v>0</v>
      </c>
      <c r="O135" s="2256">
        <v>0</v>
      </c>
      <c r="P135" s="2259">
        <f t="shared" si="48"/>
        <v>0</v>
      </c>
      <c r="Q135" s="2255">
        <v>0</v>
      </c>
      <c r="R135" s="2256">
        <v>0</v>
      </c>
      <c r="S135" s="2268">
        <f t="shared" si="49"/>
        <v>0</v>
      </c>
      <c r="T135" s="2465">
        <f>N135+Q135</f>
        <v>0</v>
      </c>
      <c r="U135" s="2247">
        <f>O135+R135</f>
        <v>0</v>
      </c>
      <c r="V135" s="2268">
        <f t="shared" si="50"/>
        <v>0</v>
      </c>
      <c r="W135" s="2377">
        <f>T135/$T$272*$N$272</f>
        <v>0</v>
      </c>
      <c r="X135" s="2256">
        <f>U135/$T$272*$N$272</f>
        <v>0</v>
      </c>
      <c r="Y135" s="2268">
        <f t="shared" ref="Y135:Y198" si="52">W135/2+X135/2</f>
        <v>0</v>
      </c>
      <c r="Z135" s="2886">
        <f>T135/$T$272*$Z$272</f>
        <v>0</v>
      </c>
      <c r="AA135" s="2887">
        <f>U135/$T$272*$Z$272</f>
        <v>0</v>
      </c>
      <c r="AB135" s="2268">
        <f t="shared" si="51"/>
        <v>0</v>
      </c>
      <c r="AC135" s="2114">
        <f t="shared" si="44"/>
        <v>0</v>
      </c>
      <c r="AD135" s="2114"/>
      <c r="AE135" s="2114"/>
      <c r="AF135" s="2113"/>
      <c r="AG135" s="2113"/>
      <c r="AH135" s="2113"/>
      <c r="AI135" s="2113"/>
    </row>
    <row r="136" spans="1:35" s="2218" customFormat="1" ht="21" customHeight="1">
      <c r="A136" s="2235">
        <v>212</v>
      </c>
      <c r="B136" s="2281" t="s">
        <v>1943</v>
      </c>
      <c r="C136" s="2282" t="s">
        <v>1929</v>
      </c>
      <c r="D136" s="2283" t="s">
        <v>1930</v>
      </c>
      <c r="E136" s="2284"/>
      <c r="F136" s="2285"/>
      <c r="G136" s="2257">
        <f t="shared" si="45"/>
        <v>0</v>
      </c>
      <c r="H136" s="2285"/>
      <c r="I136" s="2285"/>
      <c r="J136" s="2257">
        <f t="shared" si="46"/>
        <v>0</v>
      </c>
      <c r="K136" s="2285"/>
      <c r="L136" s="2285"/>
      <c r="M136" s="2259">
        <f t="shared" si="47"/>
        <v>0</v>
      </c>
      <c r="N136" s="2284"/>
      <c r="O136" s="2285"/>
      <c r="P136" s="2259">
        <f t="shared" si="48"/>
        <v>0</v>
      </c>
      <c r="Q136" s="2284">
        <v>0</v>
      </c>
      <c r="R136" s="2285">
        <v>0</v>
      </c>
      <c r="S136" s="2268">
        <f t="shared" si="49"/>
        <v>0</v>
      </c>
      <c r="T136" s="2284">
        <f>N136+Q136</f>
        <v>0</v>
      </c>
      <c r="U136" s="2285">
        <f>O136+R136</f>
        <v>0</v>
      </c>
      <c r="V136" s="2268">
        <f t="shared" si="50"/>
        <v>0</v>
      </c>
      <c r="W136" s="2888">
        <f>T136/$T$272*$W$272</f>
        <v>0</v>
      </c>
      <c r="X136" s="2889">
        <f>U136/$T$272*$W$272</f>
        <v>0</v>
      </c>
      <c r="Y136" s="2268">
        <f t="shared" si="52"/>
        <v>0</v>
      </c>
      <c r="Z136" s="2888">
        <f>T136/$T$272*$Z$272</f>
        <v>0</v>
      </c>
      <c r="AA136" s="2889">
        <f>U136/$T$272*$Z$272</f>
        <v>0</v>
      </c>
      <c r="AB136" s="2268">
        <f t="shared" si="51"/>
        <v>0</v>
      </c>
      <c r="AC136" s="2114">
        <f t="shared" si="44"/>
        <v>0</v>
      </c>
      <c r="AD136" s="2114"/>
      <c r="AE136" s="2114"/>
      <c r="AF136" s="2113"/>
      <c r="AG136" s="2113"/>
      <c r="AH136" s="2113"/>
      <c r="AI136" s="2113"/>
    </row>
    <row r="137" spans="1:35" s="2218" customFormat="1" ht="21.75" customHeight="1">
      <c r="A137" s="2235">
        <v>213</v>
      </c>
      <c r="B137" s="2281" t="s">
        <v>1944</v>
      </c>
      <c r="C137" s="2282" t="s">
        <v>1933</v>
      </c>
      <c r="D137" s="2283" t="s">
        <v>1934</v>
      </c>
      <c r="E137" s="2284"/>
      <c r="F137" s="2285"/>
      <c r="G137" s="2257">
        <f t="shared" si="45"/>
        <v>0</v>
      </c>
      <c r="H137" s="2285"/>
      <c r="I137" s="2285"/>
      <c r="J137" s="2257">
        <f t="shared" si="46"/>
        <v>0</v>
      </c>
      <c r="K137" s="2285"/>
      <c r="L137" s="2285"/>
      <c r="M137" s="2259">
        <f t="shared" si="47"/>
        <v>0</v>
      </c>
      <c r="N137" s="2284"/>
      <c r="O137" s="2285"/>
      <c r="P137" s="2259">
        <f t="shared" si="48"/>
        <v>0</v>
      </c>
      <c r="Q137" s="2284">
        <v>0</v>
      </c>
      <c r="R137" s="2285">
        <v>0</v>
      </c>
      <c r="S137" s="2268">
        <f t="shared" si="49"/>
        <v>0</v>
      </c>
      <c r="T137" s="2284">
        <v>0</v>
      </c>
      <c r="U137" s="2285">
        <v>0</v>
      </c>
      <c r="V137" s="2268">
        <f t="shared" si="50"/>
        <v>0</v>
      </c>
      <c r="W137" s="2284">
        <v>0</v>
      </c>
      <c r="X137" s="2285">
        <v>0</v>
      </c>
      <c r="Y137" s="2268">
        <f t="shared" si="52"/>
        <v>0</v>
      </c>
      <c r="Z137" s="2284">
        <v>0</v>
      </c>
      <c r="AA137" s="2285">
        <v>0</v>
      </c>
      <c r="AB137" s="2268">
        <f t="shared" si="51"/>
        <v>0</v>
      </c>
      <c r="AC137" s="2114">
        <f t="shared" si="44"/>
        <v>0</v>
      </c>
      <c r="AD137" s="2114"/>
      <c r="AE137" s="2114"/>
      <c r="AF137" s="2113"/>
      <c r="AG137" s="2113"/>
      <c r="AH137" s="2113"/>
      <c r="AI137" s="2113"/>
    </row>
    <row r="138" spans="1:35" s="2218" customFormat="1" ht="14.25" customHeight="1">
      <c r="A138" s="2235">
        <v>205</v>
      </c>
      <c r="B138" s="2279"/>
      <c r="C138" s="2280" t="s">
        <v>1945</v>
      </c>
      <c r="D138" s="2254" t="s">
        <v>1317</v>
      </c>
      <c r="E138" s="2255">
        <f>E139*E140</f>
        <v>0</v>
      </c>
      <c r="F138" s="2256">
        <f>F139*F140</f>
        <v>0</v>
      </c>
      <c r="G138" s="2257">
        <f t="shared" si="45"/>
        <v>0</v>
      </c>
      <c r="H138" s="2256">
        <f>H139*H140</f>
        <v>0</v>
      </c>
      <c r="I138" s="2256">
        <f>I139*I140</f>
        <v>0</v>
      </c>
      <c r="J138" s="2257">
        <f t="shared" si="46"/>
        <v>0</v>
      </c>
      <c r="K138" s="2256">
        <f>K139*K140</f>
        <v>0</v>
      </c>
      <c r="L138" s="2256">
        <f>L139*L140</f>
        <v>0</v>
      </c>
      <c r="M138" s="2259">
        <f t="shared" si="47"/>
        <v>0</v>
      </c>
      <c r="N138" s="2255">
        <v>0</v>
      </c>
      <c r="O138" s="2256">
        <v>0</v>
      </c>
      <c r="P138" s="2259">
        <f t="shared" si="48"/>
        <v>0</v>
      </c>
      <c r="Q138" s="2255">
        <v>0</v>
      </c>
      <c r="R138" s="2256">
        <v>0</v>
      </c>
      <c r="S138" s="2268">
        <f t="shared" si="49"/>
        <v>0</v>
      </c>
      <c r="T138" s="2465">
        <f>N138+Q138</f>
        <v>0</v>
      </c>
      <c r="U138" s="2247">
        <f>O138+R138</f>
        <v>0</v>
      </c>
      <c r="V138" s="2268">
        <f t="shared" si="50"/>
        <v>0</v>
      </c>
      <c r="W138" s="2377">
        <f>T138/$T$272*$N$272</f>
        <v>0</v>
      </c>
      <c r="X138" s="2256">
        <f>U138/$T$272*$N$272</f>
        <v>0</v>
      </c>
      <c r="Y138" s="2268">
        <f t="shared" si="52"/>
        <v>0</v>
      </c>
      <c r="Z138" s="2886">
        <f>T138/$T$272*$Z$272</f>
        <v>0</v>
      </c>
      <c r="AA138" s="2887">
        <f>U138/$T$272*$Z$272</f>
        <v>0</v>
      </c>
      <c r="AB138" s="2268">
        <f t="shared" si="51"/>
        <v>0</v>
      </c>
      <c r="AC138" s="2114">
        <f t="shared" si="44"/>
        <v>0</v>
      </c>
      <c r="AD138" s="2114"/>
      <c r="AE138" s="2114"/>
      <c r="AF138" s="2113"/>
      <c r="AG138" s="2113"/>
      <c r="AH138" s="2113"/>
      <c r="AI138" s="2113"/>
    </row>
    <row r="139" spans="1:35" s="2218" customFormat="1" ht="21" customHeight="1">
      <c r="A139" s="2235">
        <v>214</v>
      </c>
      <c r="B139" s="2281" t="s">
        <v>1946</v>
      </c>
      <c r="C139" s="2282" t="s">
        <v>1929</v>
      </c>
      <c r="D139" s="2283" t="s">
        <v>1930</v>
      </c>
      <c r="E139" s="2284"/>
      <c r="F139" s="2285"/>
      <c r="G139" s="2257">
        <f t="shared" si="45"/>
        <v>0</v>
      </c>
      <c r="H139" s="2285"/>
      <c r="I139" s="2285"/>
      <c r="J139" s="2257">
        <f t="shared" si="46"/>
        <v>0</v>
      </c>
      <c r="K139" s="2285"/>
      <c r="L139" s="2285"/>
      <c r="M139" s="2259">
        <f t="shared" si="47"/>
        <v>0</v>
      </c>
      <c r="N139" s="2284"/>
      <c r="O139" s="2285"/>
      <c r="P139" s="2259">
        <f t="shared" si="48"/>
        <v>0</v>
      </c>
      <c r="Q139" s="2284">
        <v>0</v>
      </c>
      <c r="R139" s="2285">
        <v>0</v>
      </c>
      <c r="S139" s="2268">
        <f t="shared" si="49"/>
        <v>0</v>
      </c>
      <c r="T139" s="2284">
        <f>N139+Q139</f>
        <v>0</v>
      </c>
      <c r="U139" s="2285">
        <f>O139+R139</f>
        <v>0</v>
      </c>
      <c r="V139" s="2268">
        <f t="shared" si="50"/>
        <v>0</v>
      </c>
      <c r="W139" s="2888">
        <f>T139/$T$272*$W$272</f>
        <v>0</v>
      </c>
      <c r="X139" s="2889">
        <f>U139/$T$272*$W$272</f>
        <v>0</v>
      </c>
      <c r="Y139" s="2268">
        <f t="shared" si="52"/>
        <v>0</v>
      </c>
      <c r="Z139" s="2888">
        <f>T139/$T$272*$Z$272</f>
        <v>0</v>
      </c>
      <c r="AA139" s="2889">
        <f>U139/$T$272*$Z$272</f>
        <v>0</v>
      </c>
      <c r="AB139" s="2268">
        <f t="shared" si="51"/>
        <v>0</v>
      </c>
      <c r="AC139" s="2114">
        <f t="shared" si="44"/>
        <v>0</v>
      </c>
      <c r="AD139" s="2114"/>
      <c r="AE139" s="2114"/>
      <c r="AF139" s="2113"/>
      <c r="AG139" s="2113"/>
      <c r="AH139" s="2113"/>
      <c r="AI139" s="2113"/>
    </row>
    <row r="140" spans="1:35" s="2218" customFormat="1" ht="18.75" customHeight="1">
      <c r="A140" s="2235">
        <v>215</v>
      </c>
      <c r="B140" s="2281" t="s">
        <v>1947</v>
      </c>
      <c r="C140" s="2282" t="s">
        <v>1933</v>
      </c>
      <c r="D140" s="2283" t="s">
        <v>1317</v>
      </c>
      <c r="E140" s="2284"/>
      <c r="F140" s="2285"/>
      <c r="G140" s="2257">
        <f t="shared" si="45"/>
        <v>0</v>
      </c>
      <c r="H140" s="2285"/>
      <c r="I140" s="2285"/>
      <c r="J140" s="2257">
        <f t="shared" si="46"/>
        <v>0</v>
      </c>
      <c r="K140" s="2285"/>
      <c r="L140" s="2285"/>
      <c r="M140" s="2259">
        <f t="shared" si="47"/>
        <v>0</v>
      </c>
      <c r="N140" s="2284"/>
      <c r="O140" s="2285"/>
      <c r="P140" s="2259">
        <f t="shared" si="48"/>
        <v>0</v>
      </c>
      <c r="Q140" s="2284">
        <v>0</v>
      </c>
      <c r="R140" s="2285">
        <v>0</v>
      </c>
      <c r="S140" s="2268">
        <f t="shared" si="49"/>
        <v>0</v>
      </c>
      <c r="T140" s="2385">
        <v>0</v>
      </c>
      <c r="U140" s="2285">
        <v>0</v>
      </c>
      <c r="V140" s="2268">
        <f t="shared" si="50"/>
        <v>0</v>
      </c>
      <c r="W140" s="2385">
        <v>0</v>
      </c>
      <c r="X140" s="2285">
        <v>0</v>
      </c>
      <c r="Y140" s="2268">
        <f t="shared" si="52"/>
        <v>0</v>
      </c>
      <c r="Z140" s="2385">
        <v>0</v>
      </c>
      <c r="AA140" s="2285">
        <v>0</v>
      </c>
      <c r="AB140" s="2268">
        <f t="shared" si="51"/>
        <v>0</v>
      </c>
      <c r="AC140" s="2114">
        <f t="shared" si="44"/>
        <v>0</v>
      </c>
      <c r="AD140" s="2114"/>
      <c r="AE140" s="2114"/>
      <c r="AF140" s="2113"/>
      <c r="AG140" s="2113"/>
      <c r="AH140" s="2113"/>
      <c r="AI140" s="2113"/>
    </row>
    <row r="141" spans="1:35" s="2218" customFormat="1" ht="30.75" customHeight="1">
      <c r="A141" s="2235">
        <v>200</v>
      </c>
      <c r="B141" s="2279"/>
      <c r="C141" s="2295" t="s">
        <v>1948</v>
      </c>
      <c r="D141" s="2254" t="s">
        <v>1317</v>
      </c>
      <c r="E141" s="2255">
        <f>E142+E158</f>
        <v>0</v>
      </c>
      <c r="F141" s="2256">
        <f>F142+F158</f>
        <v>0</v>
      </c>
      <c r="G141" s="2257">
        <f t="shared" si="45"/>
        <v>0</v>
      </c>
      <c r="H141" s="2256">
        <f>H142+H158</f>
        <v>0</v>
      </c>
      <c r="I141" s="2256">
        <f>I142+I158</f>
        <v>0</v>
      </c>
      <c r="J141" s="2257">
        <f t="shared" si="46"/>
        <v>0</v>
      </c>
      <c r="K141" s="2256">
        <f>K142+K158</f>
        <v>0</v>
      </c>
      <c r="L141" s="2256">
        <f>L142+L158</f>
        <v>0</v>
      </c>
      <c r="M141" s="2259">
        <f t="shared" si="47"/>
        <v>0</v>
      </c>
      <c r="N141" s="2255">
        <v>0</v>
      </c>
      <c r="O141" s="2256">
        <v>0</v>
      </c>
      <c r="P141" s="2259">
        <f t="shared" si="48"/>
        <v>0</v>
      </c>
      <c r="Q141" s="2255">
        <v>0</v>
      </c>
      <c r="R141" s="2256">
        <v>0</v>
      </c>
      <c r="S141" s="2268">
        <f t="shared" si="49"/>
        <v>0</v>
      </c>
      <c r="T141" s="2465">
        <f t="shared" ref="T141:U143" si="53">N141+Q141</f>
        <v>0</v>
      </c>
      <c r="U141" s="2247">
        <f t="shared" si="53"/>
        <v>0</v>
      </c>
      <c r="V141" s="2268">
        <f t="shared" si="50"/>
        <v>0</v>
      </c>
      <c r="W141" s="2377">
        <f t="shared" ref="W141:X143" si="54">T141/$T$272*$N$272</f>
        <v>0</v>
      </c>
      <c r="X141" s="2256">
        <f t="shared" si="54"/>
        <v>0</v>
      </c>
      <c r="Y141" s="2268">
        <f t="shared" si="52"/>
        <v>0</v>
      </c>
      <c r="Z141" s="2886">
        <f t="shared" ref="Z141:AA144" si="55">T141/$T$272*$Z$272</f>
        <v>0</v>
      </c>
      <c r="AA141" s="2887">
        <f t="shared" si="55"/>
        <v>0</v>
      </c>
      <c r="AB141" s="2268">
        <f t="shared" si="51"/>
        <v>0</v>
      </c>
      <c r="AC141" s="2114">
        <f t="shared" si="44"/>
        <v>0</v>
      </c>
      <c r="AD141" s="2114"/>
      <c r="AE141" s="2114"/>
      <c r="AF141" s="2113"/>
      <c r="AG141" s="2113"/>
      <c r="AH141" s="2113"/>
      <c r="AI141" s="2113"/>
    </row>
    <row r="142" spans="1:35" s="2218" customFormat="1" ht="22.5" customHeight="1">
      <c r="A142" s="2235">
        <v>216</v>
      </c>
      <c r="B142" s="2279"/>
      <c r="C142" s="2280" t="s">
        <v>1949</v>
      </c>
      <c r="D142" s="2254" t="s">
        <v>1317</v>
      </c>
      <c r="E142" s="2255">
        <f>E143+E146+E149+E152+E155</f>
        <v>0</v>
      </c>
      <c r="F142" s="2256">
        <f>F143+F146+F149+F152+F155</f>
        <v>0</v>
      </c>
      <c r="G142" s="2257">
        <f t="shared" si="45"/>
        <v>0</v>
      </c>
      <c r="H142" s="2256">
        <f>H143+H146+H149+H152+H155</f>
        <v>0</v>
      </c>
      <c r="I142" s="2256">
        <f>I143+I146+I149+I152+I155</f>
        <v>0</v>
      </c>
      <c r="J142" s="2257">
        <f t="shared" si="46"/>
        <v>0</v>
      </c>
      <c r="K142" s="2256">
        <f>K143+K146+K149+K152+K155</f>
        <v>0</v>
      </c>
      <c r="L142" s="2256">
        <f>L143+L146+L149+L152+L155</f>
        <v>0</v>
      </c>
      <c r="M142" s="2259">
        <f t="shared" si="47"/>
        <v>0</v>
      </c>
      <c r="N142" s="2255">
        <v>0</v>
      </c>
      <c r="O142" s="2256">
        <v>0</v>
      </c>
      <c r="P142" s="2259">
        <f t="shared" si="48"/>
        <v>0</v>
      </c>
      <c r="Q142" s="2255">
        <v>0</v>
      </c>
      <c r="R142" s="2256">
        <v>0</v>
      </c>
      <c r="S142" s="2268">
        <f t="shared" si="49"/>
        <v>0</v>
      </c>
      <c r="T142" s="2465">
        <f t="shared" si="53"/>
        <v>0</v>
      </c>
      <c r="U142" s="2247">
        <f t="shared" si="53"/>
        <v>0</v>
      </c>
      <c r="V142" s="2268">
        <f t="shared" si="50"/>
        <v>0</v>
      </c>
      <c r="W142" s="2377">
        <f t="shared" si="54"/>
        <v>0</v>
      </c>
      <c r="X142" s="2256">
        <f t="shared" si="54"/>
        <v>0</v>
      </c>
      <c r="Y142" s="2268">
        <f t="shared" si="52"/>
        <v>0</v>
      </c>
      <c r="Z142" s="2886">
        <f t="shared" si="55"/>
        <v>0</v>
      </c>
      <c r="AA142" s="2887">
        <f t="shared" si="55"/>
        <v>0</v>
      </c>
      <c r="AB142" s="2268">
        <f t="shared" si="51"/>
        <v>0</v>
      </c>
      <c r="AC142" s="2114">
        <f t="shared" si="44"/>
        <v>0</v>
      </c>
      <c r="AD142" s="2114"/>
      <c r="AE142" s="2114"/>
      <c r="AF142" s="2113"/>
      <c r="AG142" s="2113"/>
      <c r="AH142" s="2113"/>
      <c r="AI142" s="2113"/>
    </row>
    <row r="143" spans="1:35" s="2218" customFormat="1" ht="17.25" customHeight="1">
      <c r="A143" s="2235">
        <v>218</v>
      </c>
      <c r="B143" s="2279"/>
      <c r="C143" s="2280" t="s">
        <v>1927</v>
      </c>
      <c r="D143" s="2254" t="s">
        <v>1317</v>
      </c>
      <c r="E143" s="2255">
        <f>E144*E145</f>
        <v>0</v>
      </c>
      <c r="F143" s="2256">
        <f>F144*F145</f>
        <v>0</v>
      </c>
      <c r="G143" s="2257">
        <f t="shared" si="45"/>
        <v>0</v>
      </c>
      <c r="H143" s="2256">
        <f>H144*H145</f>
        <v>0</v>
      </c>
      <c r="I143" s="2256">
        <f>I144*I145</f>
        <v>0</v>
      </c>
      <c r="J143" s="2257">
        <f t="shared" si="46"/>
        <v>0</v>
      </c>
      <c r="K143" s="2256">
        <f>K144*K145</f>
        <v>0</v>
      </c>
      <c r="L143" s="2256">
        <f>L144*L145</f>
        <v>0</v>
      </c>
      <c r="M143" s="2259">
        <f t="shared" si="47"/>
        <v>0</v>
      </c>
      <c r="N143" s="2255">
        <v>0</v>
      </c>
      <c r="O143" s="2256">
        <v>0</v>
      </c>
      <c r="P143" s="2259">
        <f t="shared" si="48"/>
        <v>0</v>
      </c>
      <c r="Q143" s="2255">
        <v>0</v>
      </c>
      <c r="R143" s="2256">
        <v>0</v>
      </c>
      <c r="S143" s="2268">
        <f t="shared" si="49"/>
        <v>0</v>
      </c>
      <c r="T143" s="2465">
        <f t="shared" si="53"/>
        <v>0</v>
      </c>
      <c r="U143" s="2247">
        <f t="shared" si="53"/>
        <v>0</v>
      </c>
      <c r="V143" s="2268">
        <f t="shared" si="50"/>
        <v>0</v>
      </c>
      <c r="W143" s="2377">
        <f t="shared" si="54"/>
        <v>0</v>
      </c>
      <c r="X143" s="2256">
        <f t="shared" si="54"/>
        <v>0</v>
      </c>
      <c r="Y143" s="2268">
        <f t="shared" si="52"/>
        <v>0</v>
      </c>
      <c r="Z143" s="2886">
        <f t="shared" si="55"/>
        <v>0</v>
      </c>
      <c r="AA143" s="2887">
        <f t="shared" si="55"/>
        <v>0</v>
      </c>
      <c r="AB143" s="2268">
        <f t="shared" si="51"/>
        <v>0</v>
      </c>
      <c r="AC143" s="2114">
        <f t="shared" si="44"/>
        <v>0</v>
      </c>
      <c r="AD143" s="2114"/>
      <c r="AE143" s="2114"/>
      <c r="AF143" s="2113"/>
      <c r="AG143" s="2113"/>
      <c r="AH143" s="2113"/>
      <c r="AI143" s="2113"/>
    </row>
    <row r="144" spans="1:35" s="2218" customFormat="1" ht="24.75" customHeight="1" outlineLevel="1">
      <c r="A144" s="2235">
        <v>223</v>
      </c>
      <c r="B144" s="2281" t="s">
        <v>1950</v>
      </c>
      <c r="C144" s="2282" t="s">
        <v>1929</v>
      </c>
      <c r="D144" s="2283" t="s">
        <v>1951</v>
      </c>
      <c r="E144" s="2284"/>
      <c r="F144" s="2285"/>
      <c r="G144" s="2257">
        <f t="shared" si="45"/>
        <v>0</v>
      </c>
      <c r="H144" s="2285"/>
      <c r="I144" s="2285"/>
      <c r="J144" s="2257">
        <f t="shared" si="46"/>
        <v>0</v>
      </c>
      <c r="K144" s="2285"/>
      <c r="L144" s="2285"/>
      <c r="M144" s="2259">
        <f t="shared" si="47"/>
        <v>0</v>
      </c>
      <c r="N144" s="2284"/>
      <c r="O144" s="2285"/>
      <c r="P144" s="2259">
        <f t="shared" si="48"/>
        <v>0</v>
      </c>
      <c r="Q144" s="2284">
        <v>0</v>
      </c>
      <c r="R144" s="2285">
        <v>0</v>
      </c>
      <c r="S144" s="2268">
        <f t="shared" si="49"/>
        <v>0</v>
      </c>
      <c r="T144" s="2284">
        <v>0</v>
      </c>
      <c r="U144" s="2285">
        <v>0</v>
      </c>
      <c r="V144" s="2268">
        <f t="shared" si="50"/>
        <v>0</v>
      </c>
      <c r="W144" s="2888">
        <f>T144/$T$272*$W$272</f>
        <v>0</v>
      </c>
      <c r="X144" s="2889">
        <f>U144/$T$272*$W$272</f>
        <v>0</v>
      </c>
      <c r="Y144" s="2268">
        <f t="shared" si="52"/>
        <v>0</v>
      </c>
      <c r="Z144" s="2888">
        <f t="shared" si="55"/>
        <v>0</v>
      </c>
      <c r="AA144" s="2889">
        <f t="shared" si="55"/>
        <v>0</v>
      </c>
      <c r="AB144" s="2268">
        <f t="shared" si="51"/>
        <v>0</v>
      </c>
      <c r="AC144" s="2114">
        <f t="shared" si="44"/>
        <v>0</v>
      </c>
      <c r="AD144" s="2114"/>
      <c r="AE144" s="2114"/>
      <c r="AF144" s="2113"/>
      <c r="AG144" s="2113"/>
      <c r="AH144" s="2113"/>
      <c r="AI144" s="2113"/>
    </row>
    <row r="145" spans="1:35" s="2218" customFormat="1" ht="21" customHeight="1" outlineLevel="1">
      <c r="A145" s="2235">
        <v>224</v>
      </c>
      <c r="B145" s="2281" t="s">
        <v>1952</v>
      </c>
      <c r="C145" s="2282" t="s">
        <v>1953</v>
      </c>
      <c r="D145" s="2283" t="s">
        <v>1954</v>
      </c>
      <c r="E145" s="2284"/>
      <c r="F145" s="2285"/>
      <c r="G145" s="2257">
        <f t="shared" si="45"/>
        <v>0</v>
      </c>
      <c r="H145" s="2285"/>
      <c r="I145" s="2285"/>
      <c r="J145" s="2257">
        <f t="shared" si="46"/>
        <v>0</v>
      </c>
      <c r="K145" s="2285"/>
      <c r="L145" s="2285"/>
      <c r="M145" s="2259">
        <f t="shared" si="47"/>
        <v>0</v>
      </c>
      <c r="N145" s="2284"/>
      <c r="O145" s="2285"/>
      <c r="P145" s="2259">
        <f t="shared" si="48"/>
        <v>0</v>
      </c>
      <c r="Q145" s="2284">
        <v>0</v>
      </c>
      <c r="R145" s="2285">
        <v>0</v>
      </c>
      <c r="S145" s="2268">
        <f t="shared" si="49"/>
        <v>0</v>
      </c>
      <c r="T145" s="2284">
        <v>0</v>
      </c>
      <c r="U145" s="2285">
        <v>0</v>
      </c>
      <c r="V145" s="2268">
        <f t="shared" si="50"/>
        <v>0</v>
      </c>
      <c r="W145" s="2385" t="e">
        <f>W143/W144</f>
        <v>#DIV/0!</v>
      </c>
      <c r="X145" s="2285" t="e">
        <f>X143/X144</f>
        <v>#DIV/0!</v>
      </c>
      <c r="Y145" s="2268" t="e">
        <f t="shared" si="52"/>
        <v>#DIV/0!</v>
      </c>
      <c r="Z145" s="2385" t="e">
        <f>Z143/Z144</f>
        <v>#DIV/0!</v>
      </c>
      <c r="AA145" s="2285" t="e">
        <f>AA143/AA144</f>
        <v>#DIV/0!</v>
      </c>
      <c r="AB145" s="2268" t="e">
        <f t="shared" si="51"/>
        <v>#DIV/0!</v>
      </c>
      <c r="AC145" s="2114" t="e">
        <f t="shared" si="44"/>
        <v>#DIV/0!</v>
      </c>
      <c r="AD145" s="2114"/>
      <c r="AE145" s="2114"/>
      <c r="AF145" s="2113"/>
      <c r="AG145" s="2113"/>
      <c r="AH145" s="2113"/>
      <c r="AI145" s="2113"/>
    </row>
    <row r="146" spans="1:35" s="2218" customFormat="1" ht="21.75" customHeight="1" outlineLevel="1">
      <c r="A146" s="2235">
        <v>219</v>
      </c>
      <c r="B146" s="2279"/>
      <c r="C146" s="2280" t="s">
        <v>1936</v>
      </c>
      <c r="D146" s="2254" t="s">
        <v>1317</v>
      </c>
      <c r="E146" s="2255">
        <f>E147*E148</f>
        <v>0</v>
      </c>
      <c r="F146" s="2256">
        <f>F147*F148</f>
        <v>0</v>
      </c>
      <c r="G146" s="2257">
        <f t="shared" si="45"/>
        <v>0</v>
      </c>
      <c r="H146" s="2256">
        <f>H147*H148</f>
        <v>0</v>
      </c>
      <c r="I146" s="2256">
        <f>I147*I148</f>
        <v>0</v>
      </c>
      <c r="J146" s="2257">
        <f t="shared" si="46"/>
        <v>0</v>
      </c>
      <c r="K146" s="2256">
        <f>K147*K148</f>
        <v>0</v>
      </c>
      <c r="L146" s="2256">
        <f>L147*L148</f>
        <v>0</v>
      </c>
      <c r="M146" s="2259">
        <f t="shared" si="47"/>
        <v>0</v>
      </c>
      <c r="N146" s="2255">
        <v>0</v>
      </c>
      <c r="O146" s="2256">
        <v>0</v>
      </c>
      <c r="P146" s="2259">
        <f t="shared" si="48"/>
        <v>0</v>
      </c>
      <c r="Q146" s="2255">
        <v>0</v>
      </c>
      <c r="R146" s="2256">
        <v>0</v>
      </c>
      <c r="S146" s="2268">
        <f t="shared" si="49"/>
        <v>0</v>
      </c>
      <c r="T146" s="2255">
        <v>0</v>
      </c>
      <c r="U146" s="2256">
        <v>0</v>
      </c>
      <c r="V146" s="2268">
        <f t="shared" si="50"/>
        <v>0</v>
      </c>
      <c r="W146" s="2377">
        <f>T146/$T$272*$N$272</f>
        <v>0</v>
      </c>
      <c r="X146" s="2256">
        <f>U146/$T$272*$N$272</f>
        <v>0</v>
      </c>
      <c r="Y146" s="2268">
        <f t="shared" si="52"/>
        <v>0</v>
      </c>
      <c r="Z146" s="2886">
        <f>T146/$T$272*$Z$272</f>
        <v>0</v>
      </c>
      <c r="AA146" s="2887">
        <f>U146/$T$272*$Z$272</f>
        <v>0</v>
      </c>
      <c r="AB146" s="2268">
        <f t="shared" si="51"/>
        <v>0</v>
      </c>
      <c r="AC146" s="2114">
        <f t="shared" si="44"/>
        <v>0</v>
      </c>
      <c r="AD146" s="2114"/>
      <c r="AE146" s="2114"/>
      <c r="AF146" s="2113"/>
      <c r="AG146" s="2113"/>
      <c r="AH146" s="2113"/>
      <c r="AI146" s="2113"/>
    </row>
    <row r="147" spans="1:35" s="2218" customFormat="1" ht="21" customHeight="1" outlineLevel="1">
      <c r="A147" s="2235">
        <v>225</v>
      </c>
      <c r="B147" s="2281" t="s">
        <v>1955</v>
      </c>
      <c r="C147" s="2282" t="s">
        <v>1929</v>
      </c>
      <c r="D147" s="2283" t="s">
        <v>1951</v>
      </c>
      <c r="E147" s="2284"/>
      <c r="F147" s="2285"/>
      <c r="G147" s="2257">
        <f t="shared" si="45"/>
        <v>0</v>
      </c>
      <c r="H147" s="2285"/>
      <c r="I147" s="2285"/>
      <c r="J147" s="2257">
        <f t="shared" si="46"/>
        <v>0</v>
      </c>
      <c r="K147" s="2285"/>
      <c r="L147" s="2285"/>
      <c r="M147" s="2259">
        <f t="shared" si="47"/>
        <v>0</v>
      </c>
      <c r="N147" s="2284"/>
      <c r="O147" s="2285"/>
      <c r="P147" s="2259">
        <f t="shared" si="48"/>
        <v>0</v>
      </c>
      <c r="Q147" s="2284">
        <v>0</v>
      </c>
      <c r="R147" s="2285">
        <v>0</v>
      </c>
      <c r="S147" s="2268">
        <f t="shared" si="49"/>
        <v>0</v>
      </c>
      <c r="T147" s="2284">
        <v>0</v>
      </c>
      <c r="U147" s="2285">
        <v>0</v>
      </c>
      <c r="V147" s="2268">
        <f t="shared" si="50"/>
        <v>0</v>
      </c>
      <c r="W147" s="2888">
        <f>T147/$T$272*$W$272</f>
        <v>0</v>
      </c>
      <c r="X147" s="2889">
        <f>U147/$T$272*$W$272</f>
        <v>0</v>
      </c>
      <c r="Y147" s="2268">
        <f t="shared" si="52"/>
        <v>0</v>
      </c>
      <c r="Z147" s="2888">
        <f>T147/$T$272*$Z$272</f>
        <v>0</v>
      </c>
      <c r="AA147" s="2889">
        <f>U147/$T$272*$Z$272</f>
        <v>0</v>
      </c>
      <c r="AB147" s="2268">
        <f t="shared" si="51"/>
        <v>0</v>
      </c>
      <c r="AC147" s="2114">
        <f t="shared" si="44"/>
        <v>0</v>
      </c>
      <c r="AD147" s="2114"/>
      <c r="AE147" s="2114"/>
      <c r="AF147" s="2113"/>
      <c r="AG147" s="2113"/>
      <c r="AH147" s="2113"/>
      <c r="AI147" s="2113"/>
    </row>
    <row r="148" spans="1:35" s="2218" customFormat="1" ht="21" customHeight="1" outlineLevel="1">
      <c r="A148" s="2235">
        <v>226</v>
      </c>
      <c r="B148" s="2281" t="s">
        <v>1956</v>
      </c>
      <c r="C148" s="2282" t="s">
        <v>1953</v>
      </c>
      <c r="D148" s="2283" t="s">
        <v>1954</v>
      </c>
      <c r="E148" s="2284"/>
      <c r="F148" s="2285"/>
      <c r="G148" s="2257">
        <f t="shared" si="45"/>
        <v>0</v>
      </c>
      <c r="H148" s="2285"/>
      <c r="I148" s="2285"/>
      <c r="J148" s="2257">
        <f t="shared" si="46"/>
        <v>0</v>
      </c>
      <c r="K148" s="2285"/>
      <c r="L148" s="2285"/>
      <c r="M148" s="2259">
        <f t="shared" si="47"/>
        <v>0</v>
      </c>
      <c r="N148" s="2284"/>
      <c r="O148" s="2285"/>
      <c r="P148" s="2259">
        <f t="shared" si="48"/>
        <v>0</v>
      </c>
      <c r="Q148" s="2284">
        <v>0</v>
      </c>
      <c r="R148" s="2285">
        <v>0</v>
      </c>
      <c r="S148" s="2268">
        <f t="shared" si="49"/>
        <v>0</v>
      </c>
      <c r="T148" s="2284">
        <v>0</v>
      </c>
      <c r="U148" s="2285">
        <v>0</v>
      </c>
      <c r="V148" s="2268">
        <f t="shared" si="50"/>
        <v>0</v>
      </c>
      <c r="W148" s="2385" t="e">
        <f>W146/W147</f>
        <v>#DIV/0!</v>
      </c>
      <c r="X148" s="2285" t="e">
        <f>X146/X147</f>
        <v>#DIV/0!</v>
      </c>
      <c r="Y148" s="2268" t="e">
        <f t="shared" si="52"/>
        <v>#DIV/0!</v>
      </c>
      <c r="Z148" s="2385" t="e">
        <f>Z146/Z147</f>
        <v>#DIV/0!</v>
      </c>
      <c r="AA148" s="2285" t="e">
        <f>AA146/AA147</f>
        <v>#DIV/0!</v>
      </c>
      <c r="AB148" s="2268" t="e">
        <f t="shared" si="51"/>
        <v>#DIV/0!</v>
      </c>
      <c r="AC148" s="2114" t="e">
        <f t="shared" si="44"/>
        <v>#DIV/0!</v>
      </c>
      <c r="AD148" s="2114"/>
      <c r="AE148" s="2114"/>
      <c r="AF148" s="2113"/>
      <c r="AG148" s="2113"/>
      <c r="AH148" s="2113"/>
      <c r="AI148" s="2113"/>
    </row>
    <row r="149" spans="1:35" s="2218" customFormat="1" ht="15.75" customHeight="1" outlineLevel="1">
      <c r="A149" s="2235">
        <v>220</v>
      </c>
      <c r="B149" s="2279"/>
      <c r="C149" s="2280" t="s">
        <v>1939</v>
      </c>
      <c r="D149" s="2254" t="s">
        <v>1317</v>
      </c>
      <c r="E149" s="2255">
        <f>E150*E151</f>
        <v>0</v>
      </c>
      <c r="F149" s="2256">
        <f>F150*F151</f>
        <v>0</v>
      </c>
      <c r="G149" s="2257">
        <f t="shared" si="45"/>
        <v>0</v>
      </c>
      <c r="H149" s="2256">
        <f>H150*H151</f>
        <v>0</v>
      </c>
      <c r="I149" s="2256">
        <f>I150*I151</f>
        <v>0</v>
      </c>
      <c r="J149" s="2257">
        <f t="shared" si="46"/>
        <v>0</v>
      </c>
      <c r="K149" s="2256">
        <f>K150*K151</f>
        <v>0</v>
      </c>
      <c r="L149" s="2256">
        <f>L150*L151</f>
        <v>0</v>
      </c>
      <c r="M149" s="2259">
        <f t="shared" si="47"/>
        <v>0</v>
      </c>
      <c r="N149" s="2255">
        <v>0</v>
      </c>
      <c r="O149" s="2256">
        <v>0</v>
      </c>
      <c r="P149" s="2259">
        <f t="shared" si="48"/>
        <v>0</v>
      </c>
      <c r="Q149" s="2255">
        <v>0</v>
      </c>
      <c r="R149" s="2256">
        <v>0</v>
      </c>
      <c r="S149" s="2268">
        <f t="shared" si="49"/>
        <v>0</v>
      </c>
      <c r="T149" s="2255">
        <v>0</v>
      </c>
      <c r="U149" s="2256">
        <v>0</v>
      </c>
      <c r="V149" s="2268">
        <f t="shared" si="50"/>
        <v>0</v>
      </c>
      <c r="W149" s="2377">
        <f>T149/$T$272*$N$272</f>
        <v>0</v>
      </c>
      <c r="X149" s="2256">
        <f>U149/$T$272*$N$272</f>
        <v>0</v>
      </c>
      <c r="Y149" s="2268">
        <f t="shared" si="52"/>
        <v>0</v>
      </c>
      <c r="Z149" s="2886">
        <f>T149/$T$272*$Z$272</f>
        <v>0</v>
      </c>
      <c r="AA149" s="2887">
        <f>U149/$T$272*$Z$272</f>
        <v>0</v>
      </c>
      <c r="AB149" s="2268">
        <f t="shared" si="51"/>
        <v>0</v>
      </c>
      <c r="AC149" s="2114">
        <f t="shared" si="44"/>
        <v>0</v>
      </c>
      <c r="AD149" s="2114"/>
      <c r="AE149" s="2114"/>
      <c r="AF149" s="2113"/>
      <c r="AG149" s="2113"/>
      <c r="AH149" s="2113"/>
      <c r="AI149" s="2113"/>
    </row>
    <row r="150" spans="1:35" s="2218" customFormat="1" ht="21" customHeight="1" outlineLevel="1">
      <c r="A150" s="2235">
        <v>227</v>
      </c>
      <c r="B150" s="2281" t="s">
        <v>1957</v>
      </c>
      <c r="C150" s="2282" t="s">
        <v>1929</v>
      </c>
      <c r="D150" s="2283" t="s">
        <v>1951</v>
      </c>
      <c r="E150" s="2284"/>
      <c r="F150" s="2285"/>
      <c r="G150" s="2257">
        <f t="shared" si="45"/>
        <v>0</v>
      </c>
      <c r="H150" s="2285"/>
      <c r="I150" s="2285"/>
      <c r="J150" s="2257">
        <f t="shared" si="46"/>
        <v>0</v>
      </c>
      <c r="K150" s="2285"/>
      <c r="L150" s="2285"/>
      <c r="M150" s="2259">
        <f t="shared" si="47"/>
        <v>0</v>
      </c>
      <c r="N150" s="2284"/>
      <c r="O150" s="2285"/>
      <c r="P150" s="2259">
        <f t="shared" si="48"/>
        <v>0</v>
      </c>
      <c r="Q150" s="2284">
        <v>0</v>
      </c>
      <c r="R150" s="2285">
        <v>0</v>
      </c>
      <c r="S150" s="2268">
        <f t="shared" si="49"/>
        <v>0</v>
      </c>
      <c r="T150" s="2284">
        <v>0</v>
      </c>
      <c r="U150" s="2285">
        <v>0</v>
      </c>
      <c r="V150" s="2268">
        <f t="shared" si="50"/>
        <v>0</v>
      </c>
      <c r="W150" s="2888">
        <f>T150/$T$272*$W$272</f>
        <v>0</v>
      </c>
      <c r="X150" s="2889">
        <f>U150/$T$272*$W$272</f>
        <v>0</v>
      </c>
      <c r="Y150" s="2268">
        <f t="shared" si="52"/>
        <v>0</v>
      </c>
      <c r="Z150" s="2888">
        <f>T150/$T$272*$Z$272</f>
        <v>0</v>
      </c>
      <c r="AA150" s="2889">
        <f>U150/$T$272*$Z$272</f>
        <v>0</v>
      </c>
      <c r="AB150" s="2268">
        <f t="shared" si="51"/>
        <v>0</v>
      </c>
      <c r="AC150" s="2114">
        <f t="shared" si="44"/>
        <v>0</v>
      </c>
      <c r="AD150" s="2114"/>
      <c r="AE150" s="2114"/>
      <c r="AF150" s="2113"/>
      <c r="AG150" s="2113"/>
      <c r="AH150" s="2113"/>
      <c r="AI150" s="2113"/>
    </row>
    <row r="151" spans="1:35" s="2218" customFormat="1" ht="21" customHeight="1" outlineLevel="1">
      <c r="A151" s="2235">
        <v>228</v>
      </c>
      <c r="B151" s="2281" t="s">
        <v>1958</v>
      </c>
      <c r="C151" s="2282" t="s">
        <v>1953</v>
      </c>
      <c r="D151" s="2283" t="s">
        <v>1954</v>
      </c>
      <c r="E151" s="2284"/>
      <c r="F151" s="2285"/>
      <c r="G151" s="2257">
        <f t="shared" si="45"/>
        <v>0</v>
      </c>
      <c r="H151" s="2285"/>
      <c r="I151" s="2285"/>
      <c r="J151" s="2257">
        <f t="shared" si="46"/>
        <v>0</v>
      </c>
      <c r="K151" s="2285"/>
      <c r="L151" s="2285"/>
      <c r="M151" s="2259">
        <f t="shared" si="47"/>
        <v>0</v>
      </c>
      <c r="N151" s="2284"/>
      <c r="O151" s="2285"/>
      <c r="P151" s="2259">
        <f t="shared" si="48"/>
        <v>0</v>
      </c>
      <c r="Q151" s="2284">
        <v>0</v>
      </c>
      <c r="R151" s="2285">
        <v>0</v>
      </c>
      <c r="S151" s="2268">
        <f t="shared" si="49"/>
        <v>0</v>
      </c>
      <c r="T151" s="2284">
        <v>0</v>
      </c>
      <c r="U151" s="2285">
        <v>0</v>
      </c>
      <c r="V151" s="2268">
        <f t="shared" si="50"/>
        <v>0</v>
      </c>
      <c r="W151" s="2385" t="e">
        <f>W149/W150</f>
        <v>#DIV/0!</v>
      </c>
      <c r="X151" s="2285" t="e">
        <f>X149/X150</f>
        <v>#DIV/0!</v>
      </c>
      <c r="Y151" s="2268" t="e">
        <f t="shared" si="52"/>
        <v>#DIV/0!</v>
      </c>
      <c r="Z151" s="2385" t="e">
        <f>Z149/Z150</f>
        <v>#DIV/0!</v>
      </c>
      <c r="AA151" s="2285" t="e">
        <f>AA149/AA150</f>
        <v>#DIV/0!</v>
      </c>
      <c r="AB151" s="2268" t="e">
        <f t="shared" si="51"/>
        <v>#DIV/0!</v>
      </c>
      <c r="AC151" s="2114" t="e">
        <f t="shared" si="44"/>
        <v>#DIV/0!</v>
      </c>
      <c r="AD151" s="2114"/>
      <c r="AE151" s="2114"/>
      <c r="AF151" s="2113"/>
      <c r="AG151" s="2113"/>
      <c r="AH151" s="2113"/>
      <c r="AI151" s="2113"/>
    </row>
    <row r="152" spans="1:35" s="2218" customFormat="1" ht="18" customHeight="1" outlineLevel="1">
      <c r="A152" s="2235">
        <v>221</v>
      </c>
      <c r="B152" s="2279"/>
      <c r="C152" s="2280" t="s">
        <v>1942</v>
      </c>
      <c r="D152" s="2254" t="s">
        <v>1317</v>
      </c>
      <c r="E152" s="2255">
        <f>E153*E154</f>
        <v>0</v>
      </c>
      <c r="F152" s="2256">
        <f>F153*F154</f>
        <v>0</v>
      </c>
      <c r="G152" s="2257">
        <f t="shared" si="45"/>
        <v>0</v>
      </c>
      <c r="H152" s="2256">
        <f>H153*H154</f>
        <v>0</v>
      </c>
      <c r="I152" s="2256">
        <f>I153*I154</f>
        <v>0</v>
      </c>
      <c r="J152" s="2257">
        <f t="shared" si="46"/>
        <v>0</v>
      </c>
      <c r="K152" s="2256">
        <f>K153*K154</f>
        <v>0</v>
      </c>
      <c r="L152" s="2256">
        <f>L153*L154</f>
        <v>0</v>
      </c>
      <c r="M152" s="2259">
        <f t="shared" si="47"/>
        <v>0</v>
      </c>
      <c r="N152" s="2255">
        <v>0</v>
      </c>
      <c r="O152" s="2256">
        <v>0</v>
      </c>
      <c r="P152" s="2259">
        <f t="shared" si="48"/>
        <v>0</v>
      </c>
      <c r="Q152" s="2255">
        <v>0</v>
      </c>
      <c r="R152" s="2256">
        <v>0</v>
      </c>
      <c r="S152" s="2268">
        <f t="shared" si="49"/>
        <v>0</v>
      </c>
      <c r="T152" s="2255">
        <v>0</v>
      </c>
      <c r="U152" s="2256">
        <v>0</v>
      </c>
      <c r="V152" s="2268">
        <f t="shared" si="50"/>
        <v>0</v>
      </c>
      <c r="W152" s="2377">
        <f>T152/$T$272*$N$272</f>
        <v>0</v>
      </c>
      <c r="X152" s="2256">
        <f>U152/$T$272*$N$272</f>
        <v>0</v>
      </c>
      <c r="Y152" s="2268">
        <f t="shared" si="52"/>
        <v>0</v>
      </c>
      <c r="Z152" s="2886">
        <f>T152/$T$272*$Z$272</f>
        <v>0</v>
      </c>
      <c r="AA152" s="2887">
        <f>U152/$T$272*$Z$272</f>
        <v>0</v>
      </c>
      <c r="AB152" s="2268">
        <f t="shared" si="51"/>
        <v>0</v>
      </c>
      <c r="AC152" s="2114">
        <f t="shared" si="44"/>
        <v>0</v>
      </c>
      <c r="AD152" s="2114"/>
      <c r="AE152" s="2114"/>
      <c r="AF152" s="2113"/>
      <c r="AG152" s="2113"/>
      <c r="AH152" s="2113"/>
      <c r="AI152" s="2113"/>
    </row>
    <row r="153" spans="1:35" s="2218" customFormat="1" ht="21" customHeight="1" outlineLevel="1">
      <c r="A153" s="2235">
        <v>229</v>
      </c>
      <c r="B153" s="2281" t="s">
        <v>1959</v>
      </c>
      <c r="C153" s="2282" t="s">
        <v>1929</v>
      </c>
      <c r="D153" s="2283" t="s">
        <v>1951</v>
      </c>
      <c r="E153" s="2284"/>
      <c r="F153" s="2285"/>
      <c r="G153" s="2257">
        <f t="shared" si="45"/>
        <v>0</v>
      </c>
      <c r="H153" s="2285"/>
      <c r="I153" s="2285"/>
      <c r="J153" s="2257">
        <f t="shared" si="46"/>
        <v>0</v>
      </c>
      <c r="K153" s="2285"/>
      <c r="L153" s="2285"/>
      <c r="M153" s="2259">
        <f t="shared" si="47"/>
        <v>0</v>
      </c>
      <c r="N153" s="2284"/>
      <c r="O153" s="2285"/>
      <c r="P153" s="2259">
        <f t="shared" si="48"/>
        <v>0</v>
      </c>
      <c r="Q153" s="2284">
        <v>0</v>
      </c>
      <c r="R153" s="2285">
        <v>0</v>
      </c>
      <c r="S153" s="2268">
        <f t="shared" si="49"/>
        <v>0</v>
      </c>
      <c r="T153" s="2284">
        <v>0</v>
      </c>
      <c r="U153" s="2285">
        <v>0</v>
      </c>
      <c r="V153" s="2268">
        <f t="shared" si="50"/>
        <v>0</v>
      </c>
      <c r="W153" s="2888">
        <f>T153/$T$272*$W$272</f>
        <v>0</v>
      </c>
      <c r="X153" s="2889">
        <f>U153/$T$272*$W$272</f>
        <v>0</v>
      </c>
      <c r="Y153" s="2268">
        <f t="shared" si="52"/>
        <v>0</v>
      </c>
      <c r="Z153" s="2888">
        <f>T153/$T$272*$Z$272</f>
        <v>0</v>
      </c>
      <c r="AA153" s="2889">
        <f>U153/$T$272*$Z$272</f>
        <v>0</v>
      </c>
      <c r="AB153" s="2268">
        <f t="shared" si="51"/>
        <v>0</v>
      </c>
      <c r="AC153" s="2114">
        <f t="shared" si="44"/>
        <v>0</v>
      </c>
      <c r="AD153" s="2114"/>
      <c r="AE153" s="2114"/>
      <c r="AF153" s="2113"/>
      <c r="AG153" s="2113"/>
      <c r="AH153" s="2113"/>
      <c r="AI153" s="2113"/>
    </row>
    <row r="154" spans="1:35" s="2218" customFormat="1" ht="21" customHeight="1" outlineLevel="1">
      <c r="A154" s="2235">
        <v>230</v>
      </c>
      <c r="B154" s="2281" t="s">
        <v>1960</v>
      </c>
      <c r="C154" s="2282" t="s">
        <v>1953</v>
      </c>
      <c r="D154" s="2283" t="s">
        <v>1954</v>
      </c>
      <c r="E154" s="2284"/>
      <c r="F154" s="2285"/>
      <c r="G154" s="2257">
        <f t="shared" si="45"/>
        <v>0</v>
      </c>
      <c r="H154" s="2285"/>
      <c r="I154" s="2285"/>
      <c r="J154" s="2257">
        <f t="shared" si="46"/>
        <v>0</v>
      </c>
      <c r="K154" s="2285"/>
      <c r="L154" s="2285"/>
      <c r="M154" s="2259">
        <f t="shared" si="47"/>
        <v>0</v>
      </c>
      <c r="N154" s="2284"/>
      <c r="O154" s="2285"/>
      <c r="P154" s="2259">
        <f t="shared" si="48"/>
        <v>0</v>
      </c>
      <c r="Q154" s="2284">
        <v>0</v>
      </c>
      <c r="R154" s="2285">
        <v>0</v>
      </c>
      <c r="S154" s="2268">
        <f t="shared" si="49"/>
        <v>0</v>
      </c>
      <c r="T154" s="2284">
        <v>0</v>
      </c>
      <c r="U154" s="2285">
        <v>0</v>
      </c>
      <c r="V154" s="2268">
        <f t="shared" si="50"/>
        <v>0</v>
      </c>
      <c r="W154" s="2385" t="e">
        <f>W152/W153</f>
        <v>#DIV/0!</v>
      </c>
      <c r="X154" s="2285" t="e">
        <f>X152/X153</f>
        <v>#DIV/0!</v>
      </c>
      <c r="Y154" s="2268" t="e">
        <f t="shared" si="52"/>
        <v>#DIV/0!</v>
      </c>
      <c r="Z154" s="2385" t="e">
        <f>Z152/Z153</f>
        <v>#DIV/0!</v>
      </c>
      <c r="AA154" s="2285" t="e">
        <f>AA152/AA153</f>
        <v>#DIV/0!</v>
      </c>
      <c r="AB154" s="2268" t="e">
        <f t="shared" si="51"/>
        <v>#DIV/0!</v>
      </c>
      <c r="AC154" s="2114" t="e">
        <f t="shared" si="44"/>
        <v>#DIV/0!</v>
      </c>
      <c r="AD154" s="2114"/>
      <c r="AE154" s="2114"/>
      <c r="AF154" s="2113"/>
      <c r="AG154" s="2113"/>
      <c r="AH154" s="2113"/>
      <c r="AI154" s="2113"/>
    </row>
    <row r="155" spans="1:35" s="2218" customFormat="1" ht="17.25" customHeight="1" outlineLevel="1">
      <c r="A155" s="2235">
        <v>222</v>
      </c>
      <c r="B155" s="2279"/>
      <c r="C155" s="2280" t="s">
        <v>1961</v>
      </c>
      <c r="D155" s="2254" t="s">
        <v>1317</v>
      </c>
      <c r="E155" s="2255">
        <f>E156*E157</f>
        <v>0</v>
      </c>
      <c r="F155" s="2256">
        <f>F156*F157</f>
        <v>0</v>
      </c>
      <c r="G155" s="2257">
        <f t="shared" si="45"/>
        <v>0</v>
      </c>
      <c r="H155" s="2256">
        <f>H156*H157</f>
        <v>0</v>
      </c>
      <c r="I155" s="2256">
        <f>I156*I157</f>
        <v>0</v>
      </c>
      <c r="J155" s="2257">
        <f t="shared" si="46"/>
        <v>0</v>
      </c>
      <c r="K155" s="2256">
        <f>K156*K157</f>
        <v>0</v>
      </c>
      <c r="L155" s="2256">
        <f>L156*L157</f>
        <v>0</v>
      </c>
      <c r="M155" s="2259">
        <f t="shared" si="47"/>
        <v>0</v>
      </c>
      <c r="N155" s="2255">
        <v>0</v>
      </c>
      <c r="O155" s="2256">
        <v>0</v>
      </c>
      <c r="P155" s="2259">
        <f t="shared" si="48"/>
        <v>0</v>
      </c>
      <c r="Q155" s="2255">
        <v>0</v>
      </c>
      <c r="R155" s="2256">
        <v>0</v>
      </c>
      <c r="S155" s="2268">
        <f t="shared" si="49"/>
        <v>0</v>
      </c>
      <c r="T155" s="2255">
        <v>0</v>
      </c>
      <c r="U155" s="2256">
        <v>0</v>
      </c>
      <c r="V155" s="2268">
        <f t="shared" si="50"/>
        <v>0</v>
      </c>
      <c r="W155" s="2377">
        <f>T155/$T$272*$N$272</f>
        <v>0</v>
      </c>
      <c r="X155" s="2256">
        <f>U155/$T$272*$N$272</f>
        <v>0</v>
      </c>
      <c r="Y155" s="2268">
        <f t="shared" si="52"/>
        <v>0</v>
      </c>
      <c r="Z155" s="2886">
        <f>T155/$T$272*$Z$272</f>
        <v>0</v>
      </c>
      <c r="AA155" s="2887">
        <f>U155/$T$272*$Z$272</f>
        <v>0</v>
      </c>
      <c r="AB155" s="2268">
        <f t="shared" si="51"/>
        <v>0</v>
      </c>
      <c r="AC155" s="2114">
        <f t="shared" si="44"/>
        <v>0</v>
      </c>
      <c r="AD155" s="2114"/>
      <c r="AE155" s="2114"/>
      <c r="AF155" s="2113"/>
      <c r="AG155" s="2113"/>
      <c r="AH155" s="2113"/>
      <c r="AI155" s="2113"/>
    </row>
    <row r="156" spans="1:35" s="2218" customFormat="1" ht="21" customHeight="1" outlineLevel="1">
      <c r="A156" s="2235">
        <v>231</v>
      </c>
      <c r="B156" s="2281" t="s">
        <v>1962</v>
      </c>
      <c r="C156" s="2282" t="s">
        <v>1929</v>
      </c>
      <c r="D156" s="2283" t="s">
        <v>1951</v>
      </c>
      <c r="E156" s="2284"/>
      <c r="F156" s="2285"/>
      <c r="G156" s="2257">
        <f t="shared" si="45"/>
        <v>0</v>
      </c>
      <c r="H156" s="2285"/>
      <c r="I156" s="2285"/>
      <c r="J156" s="2257">
        <f t="shared" si="46"/>
        <v>0</v>
      </c>
      <c r="K156" s="2285"/>
      <c r="L156" s="2285"/>
      <c r="M156" s="2259">
        <f t="shared" si="47"/>
        <v>0</v>
      </c>
      <c r="N156" s="2284"/>
      <c r="O156" s="2285"/>
      <c r="P156" s="2259">
        <f t="shared" si="48"/>
        <v>0</v>
      </c>
      <c r="Q156" s="2284">
        <v>0</v>
      </c>
      <c r="R156" s="2285">
        <v>0</v>
      </c>
      <c r="S156" s="2268">
        <f t="shared" si="49"/>
        <v>0</v>
      </c>
      <c r="T156" s="2284">
        <v>0</v>
      </c>
      <c r="U156" s="2285">
        <v>0</v>
      </c>
      <c r="V156" s="2268">
        <f t="shared" si="50"/>
        <v>0</v>
      </c>
      <c r="W156" s="2888">
        <f>T156/$T$272*$W$272</f>
        <v>0</v>
      </c>
      <c r="X156" s="2889">
        <f>U156/$T$272*$W$272</f>
        <v>0</v>
      </c>
      <c r="Y156" s="2268">
        <f t="shared" si="52"/>
        <v>0</v>
      </c>
      <c r="Z156" s="2888">
        <f>T156/$T$272*$Z$272</f>
        <v>0</v>
      </c>
      <c r="AA156" s="2889">
        <f>U156/$T$272*$Z$272</f>
        <v>0</v>
      </c>
      <c r="AB156" s="2268">
        <f t="shared" si="51"/>
        <v>0</v>
      </c>
      <c r="AC156" s="2114">
        <f t="shared" si="44"/>
        <v>0</v>
      </c>
      <c r="AD156" s="2114"/>
      <c r="AE156" s="2114"/>
      <c r="AF156" s="2113"/>
      <c r="AG156" s="2113"/>
      <c r="AH156" s="2113"/>
      <c r="AI156" s="2113"/>
    </row>
    <row r="157" spans="1:35" s="2218" customFormat="1" ht="21" customHeight="1" outlineLevel="1">
      <c r="A157" s="2235">
        <v>232</v>
      </c>
      <c r="B157" s="2281" t="s">
        <v>1963</v>
      </c>
      <c r="C157" s="2282" t="s">
        <v>1953</v>
      </c>
      <c r="D157" s="2283" t="s">
        <v>1954</v>
      </c>
      <c r="E157" s="2284"/>
      <c r="F157" s="2285"/>
      <c r="G157" s="2257">
        <f t="shared" si="45"/>
        <v>0</v>
      </c>
      <c r="H157" s="2285"/>
      <c r="I157" s="2285"/>
      <c r="J157" s="2257">
        <f t="shared" si="46"/>
        <v>0</v>
      </c>
      <c r="K157" s="2285"/>
      <c r="L157" s="2285"/>
      <c r="M157" s="2259">
        <f t="shared" si="47"/>
        <v>0</v>
      </c>
      <c r="N157" s="2284"/>
      <c r="O157" s="2285"/>
      <c r="P157" s="2259">
        <f t="shared" si="48"/>
        <v>0</v>
      </c>
      <c r="Q157" s="2284">
        <v>0</v>
      </c>
      <c r="R157" s="2285">
        <v>0</v>
      </c>
      <c r="S157" s="2268">
        <f t="shared" si="49"/>
        <v>0</v>
      </c>
      <c r="T157" s="2284">
        <v>0</v>
      </c>
      <c r="U157" s="2285">
        <v>0</v>
      </c>
      <c r="V157" s="2268">
        <f t="shared" si="50"/>
        <v>0</v>
      </c>
      <c r="W157" s="2385" t="e">
        <f>W155/W156</f>
        <v>#DIV/0!</v>
      </c>
      <c r="X157" s="2285" t="e">
        <f>X155/X156</f>
        <v>#DIV/0!</v>
      </c>
      <c r="Y157" s="2268" t="e">
        <f t="shared" si="52"/>
        <v>#DIV/0!</v>
      </c>
      <c r="Z157" s="2385" t="e">
        <f>Z155/Z156</f>
        <v>#DIV/0!</v>
      </c>
      <c r="AA157" s="2285" t="e">
        <f>AA155/AA156</f>
        <v>#DIV/0!</v>
      </c>
      <c r="AB157" s="2268" t="e">
        <f t="shared" si="51"/>
        <v>#DIV/0!</v>
      </c>
      <c r="AC157" s="2114" t="e">
        <f t="shared" si="44"/>
        <v>#DIV/0!</v>
      </c>
      <c r="AD157" s="2114"/>
      <c r="AE157" s="2114"/>
      <c r="AF157" s="2113"/>
      <c r="AG157" s="2113"/>
      <c r="AH157" s="2113"/>
      <c r="AI157" s="2113"/>
    </row>
    <row r="158" spans="1:35" s="2218" customFormat="1" ht="16.5" customHeight="1" outlineLevel="1">
      <c r="A158" s="2235">
        <v>217</v>
      </c>
      <c r="B158" s="2279"/>
      <c r="C158" s="2280" t="s">
        <v>1964</v>
      </c>
      <c r="D158" s="2254" t="s">
        <v>1317</v>
      </c>
      <c r="E158" s="2255">
        <f>E159+E162+E165+E168+E171</f>
        <v>0</v>
      </c>
      <c r="F158" s="2256"/>
      <c r="G158" s="2257">
        <f t="shared" si="45"/>
        <v>0</v>
      </c>
      <c r="H158" s="2256">
        <f>H159+H162+H165+H168+H171</f>
        <v>0</v>
      </c>
      <c r="I158" s="2256"/>
      <c r="J158" s="2257">
        <f t="shared" si="46"/>
        <v>0</v>
      </c>
      <c r="K158" s="2256">
        <f>K159+K162+K165+K168+K171</f>
        <v>0</v>
      </c>
      <c r="L158" s="2256"/>
      <c r="M158" s="2259">
        <f t="shared" si="47"/>
        <v>0</v>
      </c>
      <c r="N158" s="2255">
        <v>0</v>
      </c>
      <c r="O158" s="2256"/>
      <c r="P158" s="2259">
        <f t="shared" si="48"/>
        <v>0</v>
      </c>
      <c r="Q158" s="2377">
        <v>0</v>
      </c>
      <c r="R158" s="2256">
        <v>0</v>
      </c>
      <c r="S158" s="2268">
        <f t="shared" si="49"/>
        <v>0</v>
      </c>
      <c r="T158" s="2377">
        <v>0</v>
      </c>
      <c r="U158" s="2256">
        <v>0</v>
      </c>
      <c r="V158" s="2268">
        <f t="shared" si="50"/>
        <v>0</v>
      </c>
      <c r="W158" s="2377">
        <f>T158/$T$272*$N$272</f>
        <v>0</v>
      </c>
      <c r="X158" s="2256">
        <f>U158/$T$272*$N$272</f>
        <v>0</v>
      </c>
      <c r="Y158" s="2268">
        <f t="shared" si="52"/>
        <v>0</v>
      </c>
      <c r="Z158" s="2886">
        <f t="shared" ref="Z158:AA160" si="56">T158/$T$272*$Z$272</f>
        <v>0</v>
      </c>
      <c r="AA158" s="2887">
        <f t="shared" si="56"/>
        <v>0</v>
      </c>
      <c r="AB158" s="2268">
        <f t="shared" si="51"/>
        <v>0</v>
      </c>
      <c r="AC158" s="2114">
        <f t="shared" si="44"/>
        <v>0</v>
      </c>
      <c r="AD158" s="2114"/>
      <c r="AE158" s="2114"/>
      <c r="AF158" s="2113"/>
      <c r="AG158" s="2113"/>
      <c r="AH158" s="2113"/>
      <c r="AI158" s="2113"/>
    </row>
    <row r="159" spans="1:35" s="2218" customFormat="1" ht="17.25" customHeight="1" outlineLevel="1">
      <c r="A159" s="2235">
        <v>233</v>
      </c>
      <c r="B159" s="2279"/>
      <c r="C159" s="2280" t="s">
        <v>1927</v>
      </c>
      <c r="D159" s="2254" t="s">
        <v>1317</v>
      </c>
      <c r="E159" s="2255">
        <f>E160*E161</f>
        <v>0</v>
      </c>
      <c r="F159" s="2256">
        <f>F160*F161</f>
        <v>0</v>
      </c>
      <c r="G159" s="2257">
        <f t="shared" si="45"/>
        <v>0</v>
      </c>
      <c r="H159" s="2256">
        <f>H160*H161</f>
        <v>0</v>
      </c>
      <c r="I159" s="2256">
        <f>I160*I161</f>
        <v>0</v>
      </c>
      <c r="J159" s="2257">
        <f t="shared" si="46"/>
        <v>0</v>
      </c>
      <c r="K159" s="2256">
        <f>K160*K161</f>
        <v>0</v>
      </c>
      <c r="L159" s="2256">
        <f>L160*L161</f>
        <v>0</v>
      </c>
      <c r="M159" s="2259">
        <f t="shared" si="47"/>
        <v>0</v>
      </c>
      <c r="N159" s="2255">
        <v>0</v>
      </c>
      <c r="O159" s="2256">
        <v>0</v>
      </c>
      <c r="P159" s="2259">
        <f t="shared" si="48"/>
        <v>0</v>
      </c>
      <c r="Q159" s="2255">
        <v>0</v>
      </c>
      <c r="R159" s="2256">
        <v>0</v>
      </c>
      <c r="S159" s="2268">
        <f t="shared" si="49"/>
        <v>0</v>
      </c>
      <c r="T159" s="2255">
        <v>0</v>
      </c>
      <c r="U159" s="2256">
        <v>0</v>
      </c>
      <c r="V159" s="2268">
        <f t="shared" si="50"/>
        <v>0</v>
      </c>
      <c r="W159" s="2377">
        <f>T159/$T$272*$N$272</f>
        <v>0</v>
      </c>
      <c r="X159" s="2256">
        <f>U159/$T$272*$N$272</f>
        <v>0</v>
      </c>
      <c r="Y159" s="2268">
        <f t="shared" si="52"/>
        <v>0</v>
      </c>
      <c r="Z159" s="2886">
        <f t="shared" si="56"/>
        <v>0</v>
      </c>
      <c r="AA159" s="2887">
        <f t="shared" si="56"/>
        <v>0</v>
      </c>
      <c r="AB159" s="2268">
        <f t="shared" si="51"/>
        <v>0</v>
      </c>
      <c r="AC159" s="2114">
        <f t="shared" si="44"/>
        <v>0</v>
      </c>
      <c r="AD159" s="2114"/>
      <c r="AE159" s="2114"/>
      <c r="AF159" s="2113"/>
      <c r="AG159" s="2113"/>
      <c r="AH159" s="2113"/>
      <c r="AI159" s="2113"/>
    </row>
    <row r="160" spans="1:35" s="2218" customFormat="1" ht="21" customHeight="1" outlineLevel="1">
      <c r="A160" s="2235">
        <v>242</v>
      </c>
      <c r="B160" s="2281" t="s">
        <v>1965</v>
      </c>
      <c r="C160" s="2282" t="s">
        <v>1929</v>
      </c>
      <c r="D160" s="2283" t="s">
        <v>1951</v>
      </c>
      <c r="E160" s="2284"/>
      <c r="F160" s="2285"/>
      <c r="G160" s="2257">
        <f t="shared" si="45"/>
        <v>0</v>
      </c>
      <c r="H160" s="2285"/>
      <c r="I160" s="2285"/>
      <c r="J160" s="2257">
        <f t="shared" si="46"/>
        <v>0</v>
      </c>
      <c r="K160" s="2285"/>
      <c r="L160" s="2285"/>
      <c r="M160" s="2259">
        <f t="shared" si="47"/>
        <v>0</v>
      </c>
      <c r="N160" s="2284"/>
      <c r="O160" s="2285"/>
      <c r="P160" s="2259">
        <f t="shared" si="48"/>
        <v>0</v>
      </c>
      <c r="Q160" s="2284">
        <v>0</v>
      </c>
      <c r="R160" s="2285">
        <v>0</v>
      </c>
      <c r="S160" s="2268">
        <f t="shared" si="49"/>
        <v>0</v>
      </c>
      <c r="T160" s="2284">
        <v>0</v>
      </c>
      <c r="U160" s="2285">
        <v>0</v>
      </c>
      <c r="V160" s="2268">
        <f t="shared" si="50"/>
        <v>0</v>
      </c>
      <c r="W160" s="2888">
        <f>T160/$T$272*$W$272</f>
        <v>0</v>
      </c>
      <c r="X160" s="2889">
        <f>U160/$T$272*$W$272</f>
        <v>0</v>
      </c>
      <c r="Y160" s="2268">
        <f t="shared" si="52"/>
        <v>0</v>
      </c>
      <c r="Z160" s="2888">
        <f t="shared" si="56"/>
        <v>0</v>
      </c>
      <c r="AA160" s="2889">
        <f t="shared" si="56"/>
        <v>0</v>
      </c>
      <c r="AB160" s="2268">
        <f t="shared" si="51"/>
        <v>0</v>
      </c>
      <c r="AC160" s="2114">
        <f t="shared" si="44"/>
        <v>0</v>
      </c>
      <c r="AD160" s="2114"/>
      <c r="AE160" s="2114"/>
      <c r="AF160" s="2113"/>
      <c r="AG160" s="2113"/>
      <c r="AH160" s="2113"/>
      <c r="AI160" s="2113"/>
    </row>
    <row r="161" spans="1:35" s="2218" customFormat="1" ht="21" customHeight="1" outlineLevel="1">
      <c r="A161" s="2235">
        <v>243</v>
      </c>
      <c r="B161" s="2281" t="s">
        <v>1966</v>
      </c>
      <c r="C161" s="2282" t="s">
        <v>1967</v>
      </c>
      <c r="D161" s="2283" t="s">
        <v>1954</v>
      </c>
      <c r="E161" s="2284"/>
      <c r="F161" s="2285"/>
      <c r="G161" s="2257">
        <f t="shared" si="45"/>
        <v>0</v>
      </c>
      <c r="H161" s="2285"/>
      <c r="I161" s="2285"/>
      <c r="J161" s="2257">
        <f t="shared" si="46"/>
        <v>0</v>
      </c>
      <c r="K161" s="2285"/>
      <c r="L161" s="2285"/>
      <c r="M161" s="2259">
        <f t="shared" si="47"/>
        <v>0</v>
      </c>
      <c r="N161" s="2284"/>
      <c r="O161" s="2285"/>
      <c r="P161" s="2259">
        <f t="shared" si="48"/>
        <v>0</v>
      </c>
      <c r="Q161" s="2284">
        <v>0</v>
      </c>
      <c r="R161" s="2285">
        <v>0</v>
      </c>
      <c r="S161" s="2268">
        <f t="shared" si="49"/>
        <v>0</v>
      </c>
      <c r="T161" s="2284">
        <v>0</v>
      </c>
      <c r="U161" s="2285">
        <v>0</v>
      </c>
      <c r="V161" s="2268">
        <f t="shared" si="50"/>
        <v>0</v>
      </c>
      <c r="W161" s="2385" t="e">
        <f>W159/W160</f>
        <v>#DIV/0!</v>
      </c>
      <c r="X161" s="2285" t="e">
        <f>X159/X160</f>
        <v>#DIV/0!</v>
      </c>
      <c r="Y161" s="2268" t="e">
        <f t="shared" si="52"/>
        <v>#DIV/0!</v>
      </c>
      <c r="Z161" s="2385" t="e">
        <f>Z159/Z160</f>
        <v>#DIV/0!</v>
      </c>
      <c r="AA161" s="2285" t="e">
        <f>AA159/AA160</f>
        <v>#DIV/0!</v>
      </c>
      <c r="AB161" s="2268" t="e">
        <f t="shared" si="51"/>
        <v>#DIV/0!</v>
      </c>
      <c r="AC161" s="2114" t="e">
        <f t="shared" si="44"/>
        <v>#DIV/0!</v>
      </c>
      <c r="AD161" s="2114"/>
      <c r="AE161" s="2114"/>
      <c r="AF161" s="2113"/>
      <c r="AG161" s="2113"/>
      <c r="AH161" s="2113"/>
      <c r="AI161" s="2113"/>
    </row>
    <row r="162" spans="1:35" s="2218" customFormat="1" ht="18.75" customHeight="1" outlineLevel="1">
      <c r="A162" s="2235">
        <v>234</v>
      </c>
      <c r="B162" s="2279"/>
      <c r="C162" s="2280" t="s">
        <v>1936</v>
      </c>
      <c r="D162" s="2254" t="s">
        <v>1317</v>
      </c>
      <c r="E162" s="2255">
        <f>E163*E164</f>
        <v>0</v>
      </c>
      <c r="F162" s="2256">
        <f>F163*F164</f>
        <v>0</v>
      </c>
      <c r="G162" s="2257">
        <f t="shared" si="45"/>
        <v>0</v>
      </c>
      <c r="H162" s="2256">
        <f>H163*H164</f>
        <v>0</v>
      </c>
      <c r="I162" s="2256">
        <f>I163*I164</f>
        <v>0</v>
      </c>
      <c r="J162" s="2257">
        <f t="shared" si="46"/>
        <v>0</v>
      </c>
      <c r="K162" s="2256">
        <f>K163*K164</f>
        <v>0</v>
      </c>
      <c r="L162" s="2256">
        <f>L163*L164</f>
        <v>0</v>
      </c>
      <c r="M162" s="2259">
        <f t="shared" si="47"/>
        <v>0</v>
      </c>
      <c r="N162" s="2255">
        <v>0</v>
      </c>
      <c r="O162" s="2256">
        <v>0</v>
      </c>
      <c r="P162" s="2259">
        <f t="shared" si="48"/>
        <v>0</v>
      </c>
      <c r="Q162" s="2255">
        <v>0</v>
      </c>
      <c r="R162" s="2256">
        <v>0</v>
      </c>
      <c r="S162" s="2268">
        <f t="shared" si="49"/>
        <v>0</v>
      </c>
      <c r="T162" s="2255">
        <v>0</v>
      </c>
      <c r="U162" s="2256">
        <v>0</v>
      </c>
      <c r="V162" s="2268">
        <f t="shared" si="50"/>
        <v>0</v>
      </c>
      <c r="W162" s="2377">
        <f>T162/$T$272*$N$272</f>
        <v>0</v>
      </c>
      <c r="X162" s="2256">
        <f>U162/$T$272*$N$272</f>
        <v>0</v>
      </c>
      <c r="Y162" s="2268">
        <f t="shared" si="52"/>
        <v>0</v>
      </c>
      <c r="Z162" s="2886">
        <f>T162/$T$272*$Z$272</f>
        <v>0</v>
      </c>
      <c r="AA162" s="2887">
        <f>U162/$T$272*$Z$272</f>
        <v>0</v>
      </c>
      <c r="AB162" s="2268">
        <f t="shared" si="51"/>
        <v>0</v>
      </c>
      <c r="AC162" s="2114">
        <f t="shared" si="44"/>
        <v>0</v>
      </c>
      <c r="AD162" s="2114"/>
      <c r="AE162" s="2114"/>
      <c r="AF162" s="2113"/>
      <c r="AG162" s="2113"/>
      <c r="AH162" s="2113"/>
      <c r="AI162" s="2113"/>
    </row>
    <row r="163" spans="1:35" s="2218" customFormat="1" ht="21" customHeight="1" outlineLevel="1">
      <c r="A163" s="2235">
        <v>244</v>
      </c>
      <c r="B163" s="2281" t="s">
        <v>1968</v>
      </c>
      <c r="C163" s="2282" t="s">
        <v>1929</v>
      </c>
      <c r="D163" s="2283" t="s">
        <v>1951</v>
      </c>
      <c r="E163" s="2284"/>
      <c r="F163" s="2285"/>
      <c r="G163" s="2257">
        <f t="shared" si="45"/>
        <v>0</v>
      </c>
      <c r="H163" s="2285"/>
      <c r="I163" s="2285"/>
      <c r="J163" s="2257">
        <f t="shared" si="46"/>
        <v>0</v>
      </c>
      <c r="K163" s="2285"/>
      <c r="L163" s="2285"/>
      <c r="M163" s="2259">
        <f t="shared" si="47"/>
        <v>0</v>
      </c>
      <c r="N163" s="2284"/>
      <c r="O163" s="2285"/>
      <c r="P163" s="2259">
        <f t="shared" si="48"/>
        <v>0</v>
      </c>
      <c r="Q163" s="2284">
        <v>0</v>
      </c>
      <c r="R163" s="2285">
        <v>0</v>
      </c>
      <c r="S163" s="2268">
        <f t="shared" si="49"/>
        <v>0</v>
      </c>
      <c r="T163" s="2284">
        <v>0</v>
      </c>
      <c r="U163" s="2285">
        <v>0</v>
      </c>
      <c r="V163" s="2268">
        <f t="shared" si="50"/>
        <v>0</v>
      </c>
      <c r="W163" s="2888">
        <f>T163/$T$272*$W$272</f>
        <v>0</v>
      </c>
      <c r="X163" s="2889">
        <f>U163/$T$272*$W$272</f>
        <v>0</v>
      </c>
      <c r="Y163" s="2268">
        <f t="shared" si="52"/>
        <v>0</v>
      </c>
      <c r="Z163" s="2888">
        <f>T163/$T$272*$Z$272</f>
        <v>0</v>
      </c>
      <c r="AA163" s="2889">
        <f>U163/$T$272*$Z$272</f>
        <v>0</v>
      </c>
      <c r="AB163" s="2268">
        <f t="shared" si="51"/>
        <v>0</v>
      </c>
      <c r="AC163" s="2114">
        <f t="shared" si="44"/>
        <v>0</v>
      </c>
      <c r="AD163" s="2114"/>
      <c r="AE163" s="2114"/>
      <c r="AF163" s="2113"/>
      <c r="AG163" s="2113"/>
      <c r="AH163" s="2113"/>
      <c r="AI163" s="2113"/>
    </row>
    <row r="164" spans="1:35" s="2218" customFormat="1" ht="21" customHeight="1" outlineLevel="1">
      <c r="A164" s="2235">
        <v>245</v>
      </c>
      <c r="B164" s="2281" t="s">
        <v>1969</v>
      </c>
      <c r="C164" s="2282" t="s">
        <v>1967</v>
      </c>
      <c r="D164" s="2283" t="s">
        <v>1954</v>
      </c>
      <c r="E164" s="2284"/>
      <c r="F164" s="2285"/>
      <c r="G164" s="2257">
        <f t="shared" si="45"/>
        <v>0</v>
      </c>
      <c r="H164" s="2285"/>
      <c r="I164" s="2285"/>
      <c r="J164" s="2257">
        <f t="shared" si="46"/>
        <v>0</v>
      </c>
      <c r="K164" s="2285"/>
      <c r="L164" s="2285"/>
      <c r="M164" s="2259">
        <f t="shared" si="47"/>
        <v>0</v>
      </c>
      <c r="N164" s="2284"/>
      <c r="O164" s="2285"/>
      <c r="P164" s="2259">
        <f t="shared" si="48"/>
        <v>0</v>
      </c>
      <c r="Q164" s="2284">
        <v>0</v>
      </c>
      <c r="R164" s="2285">
        <v>0</v>
      </c>
      <c r="S164" s="2268">
        <f t="shared" si="49"/>
        <v>0</v>
      </c>
      <c r="T164" s="2284">
        <v>0</v>
      </c>
      <c r="U164" s="2285">
        <v>0</v>
      </c>
      <c r="V164" s="2268">
        <f t="shared" si="50"/>
        <v>0</v>
      </c>
      <c r="W164" s="2385" t="e">
        <f>W162/W163</f>
        <v>#DIV/0!</v>
      </c>
      <c r="X164" s="2285" t="e">
        <f>X162/X163</f>
        <v>#DIV/0!</v>
      </c>
      <c r="Y164" s="2268" t="e">
        <f t="shared" si="52"/>
        <v>#DIV/0!</v>
      </c>
      <c r="Z164" s="2385" t="e">
        <f>Z162/Z163</f>
        <v>#DIV/0!</v>
      </c>
      <c r="AA164" s="2285" t="e">
        <f>AA162/AA163</f>
        <v>#DIV/0!</v>
      </c>
      <c r="AB164" s="2268" t="e">
        <f t="shared" si="51"/>
        <v>#DIV/0!</v>
      </c>
      <c r="AC164" s="2114" t="e">
        <f t="shared" si="44"/>
        <v>#DIV/0!</v>
      </c>
      <c r="AD164" s="2114"/>
      <c r="AE164" s="2114"/>
      <c r="AF164" s="2113"/>
      <c r="AG164" s="2113"/>
      <c r="AH164" s="2113"/>
      <c r="AI164" s="2113"/>
    </row>
    <row r="165" spans="1:35" s="2218" customFormat="1" ht="15.75" customHeight="1" outlineLevel="1">
      <c r="A165" s="2235">
        <v>235</v>
      </c>
      <c r="B165" s="2279"/>
      <c r="C165" s="2280" t="s">
        <v>1939</v>
      </c>
      <c r="D165" s="2254" t="s">
        <v>1317</v>
      </c>
      <c r="E165" s="2255">
        <f>E166*E167</f>
        <v>0</v>
      </c>
      <c r="F165" s="2256">
        <f>F166*F167</f>
        <v>0</v>
      </c>
      <c r="G165" s="2257">
        <f t="shared" si="45"/>
        <v>0</v>
      </c>
      <c r="H165" s="2256">
        <f>H166*H167</f>
        <v>0</v>
      </c>
      <c r="I165" s="2256">
        <f>I166*I167</f>
        <v>0</v>
      </c>
      <c r="J165" s="2257">
        <f t="shared" si="46"/>
        <v>0</v>
      </c>
      <c r="K165" s="2256">
        <f>K166*K167</f>
        <v>0</v>
      </c>
      <c r="L165" s="2256">
        <f>L166*L167</f>
        <v>0</v>
      </c>
      <c r="M165" s="2259">
        <f t="shared" si="47"/>
        <v>0</v>
      </c>
      <c r="N165" s="2255">
        <v>0</v>
      </c>
      <c r="O165" s="2256">
        <v>0</v>
      </c>
      <c r="P165" s="2259">
        <f t="shared" si="48"/>
        <v>0</v>
      </c>
      <c r="Q165" s="2255">
        <v>0</v>
      </c>
      <c r="R165" s="2256">
        <v>0</v>
      </c>
      <c r="S165" s="2268">
        <f t="shared" si="49"/>
        <v>0</v>
      </c>
      <c r="T165" s="2255">
        <v>0</v>
      </c>
      <c r="U165" s="2256">
        <v>0</v>
      </c>
      <c r="V165" s="2268">
        <f t="shared" si="50"/>
        <v>0</v>
      </c>
      <c r="W165" s="2377">
        <f>T165/$T$272*$N$272</f>
        <v>0</v>
      </c>
      <c r="X165" s="2256">
        <f>U165/$T$272*$N$272</f>
        <v>0</v>
      </c>
      <c r="Y165" s="2268">
        <f t="shared" si="52"/>
        <v>0</v>
      </c>
      <c r="Z165" s="2886">
        <f>T165/$T$272*$Z$272</f>
        <v>0</v>
      </c>
      <c r="AA165" s="2887">
        <f>U165/$T$272*$Z$272</f>
        <v>0</v>
      </c>
      <c r="AB165" s="2268">
        <f t="shared" si="51"/>
        <v>0</v>
      </c>
      <c r="AC165" s="2114">
        <f t="shared" si="44"/>
        <v>0</v>
      </c>
      <c r="AD165" s="2114"/>
      <c r="AE165" s="2114"/>
      <c r="AF165" s="2113"/>
      <c r="AG165" s="2113"/>
      <c r="AH165" s="2113"/>
      <c r="AI165" s="2113"/>
    </row>
    <row r="166" spans="1:35" s="2218" customFormat="1" ht="21" customHeight="1" outlineLevel="1">
      <c r="A166" s="2235">
        <v>246</v>
      </c>
      <c r="B166" s="2281" t="s">
        <v>1970</v>
      </c>
      <c r="C166" s="2282" t="s">
        <v>1929</v>
      </c>
      <c r="D166" s="2283" t="s">
        <v>1951</v>
      </c>
      <c r="E166" s="2284"/>
      <c r="F166" s="2285"/>
      <c r="G166" s="2257">
        <f t="shared" si="45"/>
        <v>0</v>
      </c>
      <c r="H166" s="2285"/>
      <c r="I166" s="2285"/>
      <c r="J166" s="2257">
        <f t="shared" si="46"/>
        <v>0</v>
      </c>
      <c r="K166" s="2285"/>
      <c r="L166" s="2285"/>
      <c r="M166" s="2259">
        <f t="shared" si="47"/>
        <v>0</v>
      </c>
      <c r="N166" s="2284"/>
      <c r="O166" s="2285"/>
      <c r="P166" s="2259">
        <f t="shared" si="48"/>
        <v>0</v>
      </c>
      <c r="Q166" s="2294">
        <v>0</v>
      </c>
      <c r="R166" s="2285">
        <v>0</v>
      </c>
      <c r="S166" s="2268">
        <f t="shared" si="49"/>
        <v>0</v>
      </c>
      <c r="T166" s="2294">
        <v>0</v>
      </c>
      <c r="U166" s="2285">
        <v>0</v>
      </c>
      <c r="V166" s="2268">
        <f t="shared" si="50"/>
        <v>0</v>
      </c>
      <c r="W166" s="2888">
        <f>T166/$T$272*$W$272</f>
        <v>0</v>
      </c>
      <c r="X166" s="2889">
        <f>U166/$T$272*$W$272</f>
        <v>0</v>
      </c>
      <c r="Y166" s="2268">
        <f t="shared" si="52"/>
        <v>0</v>
      </c>
      <c r="Z166" s="2888">
        <f>T166/$T$272*$Z$272</f>
        <v>0</v>
      </c>
      <c r="AA166" s="2889">
        <f>U166/$T$272*$Z$272</f>
        <v>0</v>
      </c>
      <c r="AB166" s="2268">
        <f t="shared" si="51"/>
        <v>0</v>
      </c>
      <c r="AC166" s="2114">
        <f t="shared" si="44"/>
        <v>0</v>
      </c>
      <c r="AD166" s="2114"/>
      <c r="AE166" s="2114"/>
      <c r="AF166" s="2113"/>
      <c r="AG166" s="2113"/>
      <c r="AH166" s="2113"/>
      <c r="AI166" s="2113"/>
    </row>
    <row r="167" spans="1:35" s="2218" customFormat="1" ht="21" customHeight="1" outlineLevel="1">
      <c r="A167" s="2235">
        <v>247</v>
      </c>
      <c r="B167" s="2281" t="s">
        <v>1971</v>
      </c>
      <c r="C167" s="2282" t="s">
        <v>1967</v>
      </c>
      <c r="D167" s="2283" t="s">
        <v>1954</v>
      </c>
      <c r="E167" s="2284"/>
      <c r="F167" s="2285"/>
      <c r="G167" s="2257">
        <f t="shared" si="45"/>
        <v>0</v>
      </c>
      <c r="H167" s="2285"/>
      <c r="I167" s="2285"/>
      <c r="J167" s="2257">
        <f t="shared" si="46"/>
        <v>0</v>
      </c>
      <c r="K167" s="2285"/>
      <c r="L167" s="2285"/>
      <c r="M167" s="2259">
        <f t="shared" si="47"/>
        <v>0</v>
      </c>
      <c r="N167" s="2284"/>
      <c r="O167" s="2285"/>
      <c r="P167" s="2259">
        <f t="shared" si="48"/>
        <v>0</v>
      </c>
      <c r="Q167" s="2284">
        <v>0</v>
      </c>
      <c r="R167" s="2285">
        <v>0</v>
      </c>
      <c r="S167" s="2268">
        <f t="shared" si="49"/>
        <v>0</v>
      </c>
      <c r="T167" s="2284">
        <v>0</v>
      </c>
      <c r="U167" s="2285">
        <v>0</v>
      </c>
      <c r="V167" s="2268">
        <f t="shared" si="50"/>
        <v>0</v>
      </c>
      <c r="W167" s="2385" t="e">
        <f>W165/W166</f>
        <v>#DIV/0!</v>
      </c>
      <c r="X167" s="2285" t="e">
        <f>X165/X166</f>
        <v>#DIV/0!</v>
      </c>
      <c r="Y167" s="2268" t="e">
        <f t="shared" si="52"/>
        <v>#DIV/0!</v>
      </c>
      <c r="Z167" s="2385" t="e">
        <f>Z165/Z166</f>
        <v>#DIV/0!</v>
      </c>
      <c r="AA167" s="2285" t="e">
        <f>AA165/AA166</f>
        <v>#DIV/0!</v>
      </c>
      <c r="AB167" s="2268" t="e">
        <f t="shared" si="51"/>
        <v>#DIV/0!</v>
      </c>
      <c r="AC167" s="2114" t="e">
        <f t="shared" si="44"/>
        <v>#DIV/0!</v>
      </c>
      <c r="AD167" s="2114"/>
      <c r="AE167" s="2114"/>
      <c r="AF167" s="2113"/>
      <c r="AG167" s="2113"/>
      <c r="AH167" s="2113"/>
      <c r="AI167" s="2113"/>
    </row>
    <row r="168" spans="1:35" s="2218" customFormat="1" ht="19.5" customHeight="1" outlineLevel="1">
      <c r="A168" s="2235">
        <v>236</v>
      </c>
      <c r="B168" s="2279"/>
      <c r="C168" s="2280" t="s">
        <v>1942</v>
      </c>
      <c r="D168" s="2254" t="s">
        <v>1317</v>
      </c>
      <c r="E168" s="2255">
        <f>E169*E170</f>
        <v>0</v>
      </c>
      <c r="F168" s="2256">
        <f>F169*F170</f>
        <v>0</v>
      </c>
      <c r="G168" s="2257">
        <f t="shared" si="45"/>
        <v>0</v>
      </c>
      <c r="H168" s="2256">
        <f>H169*H170</f>
        <v>0</v>
      </c>
      <c r="I168" s="2256">
        <f>I169*I170</f>
        <v>0</v>
      </c>
      <c r="J168" s="2257">
        <f t="shared" si="46"/>
        <v>0</v>
      </c>
      <c r="K168" s="2256">
        <f>K169*K170</f>
        <v>0</v>
      </c>
      <c r="L168" s="2256">
        <f>L169*L170</f>
        <v>0</v>
      </c>
      <c r="M168" s="2259">
        <f t="shared" si="47"/>
        <v>0</v>
      </c>
      <c r="N168" s="2255">
        <v>0</v>
      </c>
      <c r="O168" s="2256">
        <v>0</v>
      </c>
      <c r="P168" s="2259">
        <f t="shared" si="48"/>
        <v>0</v>
      </c>
      <c r="Q168" s="2255">
        <v>0</v>
      </c>
      <c r="R168" s="2256">
        <v>0</v>
      </c>
      <c r="S168" s="2268">
        <f t="shared" si="49"/>
        <v>0</v>
      </c>
      <c r="T168" s="2255">
        <v>0</v>
      </c>
      <c r="U168" s="2256">
        <v>0</v>
      </c>
      <c r="V168" s="2268">
        <f t="shared" si="50"/>
        <v>0</v>
      </c>
      <c r="W168" s="2377">
        <f>T168/$T$272*$N$272</f>
        <v>0</v>
      </c>
      <c r="X168" s="2256">
        <f>U168/$T$272*$N$272</f>
        <v>0</v>
      </c>
      <c r="Y168" s="2268">
        <f t="shared" si="52"/>
        <v>0</v>
      </c>
      <c r="Z168" s="2886">
        <f>T168/$T$272*$Z$272</f>
        <v>0</v>
      </c>
      <c r="AA168" s="2887">
        <f>U168/$T$272*$Z$272</f>
        <v>0</v>
      </c>
      <c r="AB168" s="2268">
        <f t="shared" si="51"/>
        <v>0</v>
      </c>
      <c r="AC168" s="2114">
        <f t="shared" si="44"/>
        <v>0</v>
      </c>
      <c r="AD168" s="2114"/>
      <c r="AE168" s="2114"/>
      <c r="AF168" s="2113"/>
      <c r="AG168" s="2113"/>
      <c r="AH168" s="2113"/>
      <c r="AI168" s="2113"/>
    </row>
    <row r="169" spans="1:35" s="2218" customFormat="1" ht="21" customHeight="1" outlineLevel="1">
      <c r="A169" s="2235">
        <v>238</v>
      </c>
      <c r="B169" s="2281" t="s">
        <v>1972</v>
      </c>
      <c r="C169" s="2282" t="s">
        <v>1929</v>
      </c>
      <c r="D169" s="2283" t="s">
        <v>1951</v>
      </c>
      <c r="E169" s="2284"/>
      <c r="F169" s="2285"/>
      <c r="G169" s="2257">
        <f t="shared" si="45"/>
        <v>0</v>
      </c>
      <c r="H169" s="2285"/>
      <c r="I169" s="2285"/>
      <c r="J169" s="2257">
        <f t="shared" si="46"/>
        <v>0</v>
      </c>
      <c r="K169" s="2285"/>
      <c r="L169" s="2285"/>
      <c r="M169" s="2259">
        <f t="shared" si="47"/>
        <v>0</v>
      </c>
      <c r="N169" s="2284"/>
      <c r="O169" s="2285"/>
      <c r="P169" s="2259">
        <f t="shared" si="48"/>
        <v>0</v>
      </c>
      <c r="Q169" s="2284">
        <v>0</v>
      </c>
      <c r="R169" s="2285">
        <v>0</v>
      </c>
      <c r="S169" s="2268">
        <f t="shared" si="49"/>
        <v>0</v>
      </c>
      <c r="T169" s="2284">
        <v>0</v>
      </c>
      <c r="U169" s="2285">
        <v>0</v>
      </c>
      <c r="V169" s="2268">
        <f t="shared" si="50"/>
        <v>0</v>
      </c>
      <c r="W169" s="2888">
        <f>T169/$T$272*$W$272</f>
        <v>0</v>
      </c>
      <c r="X169" s="2889">
        <f>U169/$T$272*$W$272</f>
        <v>0</v>
      </c>
      <c r="Y169" s="2268">
        <f t="shared" si="52"/>
        <v>0</v>
      </c>
      <c r="Z169" s="2888">
        <f>T169/$T$272*$Z$272</f>
        <v>0</v>
      </c>
      <c r="AA169" s="2889">
        <f>U169/$T$272*$Z$272</f>
        <v>0</v>
      </c>
      <c r="AB169" s="2268">
        <f t="shared" si="51"/>
        <v>0</v>
      </c>
      <c r="AC169" s="2114">
        <f t="shared" si="44"/>
        <v>0</v>
      </c>
      <c r="AD169" s="2114"/>
      <c r="AE169" s="2114"/>
      <c r="AF169" s="2113"/>
      <c r="AG169" s="2113"/>
      <c r="AH169" s="2113"/>
      <c r="AI169" s="2113"/>
    </row>
    <row r="170" spans="1:35" s="2218" customFormat="1" ht="21" customHeight="1" outlineLevel="1">
      <c r="A170" s="2235">
        <v>239</v>
      </c>
      <c r="B170" s="2281" t="s">
        <v>1973</v>
      </c>
      <c r="C170" s="2282" t="s">
        <v>1967</v>
      </c>
      <c r="D170" s="2283" t="s">
        <v>1954</v>
      </c>
      <c r="E170" s="2284"/>
      <c r="F170" s="2285"/>
      <c r="G170" s="2257">
        <f t="shared" si="45"/>
        <v>0</v>
      </c>
      <c r="H170" s="2285"/>
      <c r="I170" s="2285"/>
      <c r="J170" s="2257">
        <f t="shared" si="46"/>
        <v>0</v>
      </c>
      <c r="K170" s="2285"/>
      <c r="L170" s="2285"/>
      <c r="M170" s="2259">
        <f t="shared" si="47"/>
        <v>0</v>
      </c>
      <c r="N170" s="2284"/>
      <c r="O170" s="2285"/>
      <c r="P170" s="2259">
        <f t="shared" si="48"/>
        <v>0</v>
      </c>
      <c r="Q170" s="2284">
        <v>0</v>
      </c>
      <c r="R170" s="2285">
        <v>0</v>
      </c>
      <c r="S170" s="2268">
        <f t="shared" si="49"/>
        <v>0</v>
      </c>
      <c r="T170" s="2284">
        <v>0</v>
      </c>
      <c r="U170" s="2285">
        <v>0</v>
      </c>
      <c r="V170" s="2268">
        <f t="shared" si="50"/>
        <v>0</v>
      </c>
      <c r="W170" s="2385" t="e">
        <f>W168/W169</f>
        <v>#DIV/0!</v>
      </c>
      <c r="X170" s="2285" t="e">
        <f>X168/X169</f>
        <v>#DIV/0!</v>
      </c>
      <c r="Y170" s="2268" t="e">
        <f t="shared" si="52"/>
        <v>#DIV/0!</v>
      </c>
      <c r="Z170" s="2385" t="e">
        <f>Z168/Z169</f>
        <v>#DIV/0!</v>
      </c>
      <c r="AA170" s="2285" t="e">
        <f>AA168/AA169</f>
        <v>#DIV/0!</v>
      </c>
      <c r="AB170" s="2268" t="e">
        <f t="shared" si="51"/>
        <v>#DIV/0!</v>
      </c>
      <c r="AC170" s="2114" t="e">
        <f t="shared" si="44"/>
        <v>#DIV/0!</v>
      </c>
      <c r="AD170" s="2114"/>
      <c r="AE170" s="2114"/>
      <c r="AF170" s="2113"/>
      <c r="AG170" s="2113"/>
      <c r="AH170" s="2113"/>
      <c r="AI170" s="2113"/>
    </row>
    <row r="171" spans="1:35" s="2218" customFormat="1" ht="18.75" customHeight="1" outlineLevel="1">
      <c r="A171" s="2235">
        <v>237</v>
      </c>
      <c r="B171" s="2279"/>
      <c r="C171" s="2280" t="s">
        <v>1961</v>
      </c>
      <c r="D171" s="2254" t="s">
        <v>1317</v>
      </c>
      <c r="E171" s="2255">
        <f>E172*E173</f>
        <v>0</v>
      </c>
      <c r="F171" s="2256">
        <f>F172*F173</f>
        <v>0</v>
      </c>
      <c r="G171" s="2257">
        <f t="shared" si="45"/>
        <v>0</v>
      </c>
      <c r="H171" s="2256">
        <f>H172*H173</f>
        <v>0</v>
      </c>
      <c r="I171" s="2256">
        <f>I172*I173</f>
        <v>0</v>
      </c>
      <c r="J171" s="2257">
        <f t="shared" si="46"/>
        <v>0</v>
      </c>
      <c r="K171" s="2256">
        <f>K172*K173</f>
        <v>0</v>
      </c>
      <c r="L171" s="2256">
        <f>L172*L173</f>
        <v>0</v>
      </c>
      <c r="M171" s="2259">
        <f t="shared" si="47"/>
        <v>0</v>
      </c>
      <c r="N171" s="2255">
        <v>0</v>
      </c>
      <c r="O171" s="2256">
        <v>0</v>
      </c>
      <c r="P171" s="2259">
        <f t="shared" si="48"/>
        <v>0</v>
      </c>
      <c r="Q171" s="2255">
        <v>0</v>
      </c>
      <c r="R171" s="2256">
        <v>0</v>
      </c>
      <c r="S171" s="2268">
        <f t="shared" si="49"/>
        <v>0</v>
      </c>
      <c r="T171" s="2255">
        <v>0</v>
      </c>
      <c r="U171" s="2256">
        <v>0</v>
      </c>
      <c r="V171" s="2268">
        <f t="shared" si="50"/>
        <v>0</v>
      </c>
      <c r="W171" s="2377">
        <f>T171/$T$272*$N$272</f>
        <v>0</v>
      </c>
      <c r="X171" s="2256">
        <f>U171/$T$272*$N$272</f>
        <v>0</v>
      </c>
      <c r="Y171" s="2268">
        <f t="shared" si="52"/>
        <v>0</v>
      </c>
      <c r="Z171" s="2886">
        <f>T171/$T$272*$Z$272</f>
        <v>0</v>
      </c>
      <c r="AA171" s="2887">
        <f>U171/$T$272*$Z$272</f>
        <v>0</v>
      </c>
      <c r="AB171" s="2268">
        <f t="shared" si="51"/>
        <v>0</v>
      </c>
      <c r="AC171" s="2114">
        <f t="shared" si="44"/>
        <v>0</v>
      </c>
      <c r="AD171" s="2114"/>
      <c r="AE171" s="2114"/>
      <c r="AF171" s="2113"/>
      <c r="AG171" s="2113"/>
      <c r="AH171" s="2113"/>
      <c r="AI171" s="2113"/>
    </row>
    <row r="172" spans="1:35" s="2218" customFormat="1" ht="21" customHeight="1" outlineLevel="1">
      <c r="A172" s="2235">
        <v>248</v>
      </c>
      <c r="B172" s="2281" t="s">
        <v>1974</v>
      </c>
      <c r="C172" s="2282" t="s">
        <v>1929</v>
      </c>
      <c r="D172" s="2283" t="s">
        <v>1951</v>
      </c>
      <c r="E172" s="2284"/>
      <c r="F172" s="2285"/>
      <c r="G172" s="2257">
        <f t="shared" si="45"/>
        <v>0</v>
      </c>
      <c r="H172" s="2285"/>
      <c r="I172" s="2285"/>
      <c r="J172" s="2257">
        <f t="shared" si="46"/>
        <v>0</v>
      </c>
      <c r="K172" s="2285"/>
      <c r="L172" s="2285"/>
      <c r="M172" s="2259">
        <f t="shared" si="47"/>
        <v>0</v>
      </c>
      <c r="N172" s="2284"/>
      <c r="O172" s="2285"/>
      <c r="P172" s="2259">
        <f t="shared" si="48"/>
        <v>0</v>
      </c>
      <c r="Q172" s="2284">
        <v>0</v>
      </c>
      <c r="R172" s="2285">
        <v>0</v>
      </c>
      <c r="S172" s="2268">
        <f t="shared" si="49"/>
        <v>0</v>
      </c>
      <c r="T172" s="2284">
        <v>0</v>
      </c>
      <c r="U172" s="2285">
        <v>0</v>
      </c>
      <c r="V172" s="2268">
        <f t="shared" si="50"/>
        <v>0</v>
      </c>
      <c r="W172" s="2888">
        <f>T172/$T$272*$W$272</f>
        <v>0</v>
      </c>
      <c r="X172" s="2889">
        <f>U172/$T$272*$W$272</f>
        <v>0</v>
      </c>
      <c r="Y172" s="2268">
        <f t="shared" si="52"/>
        <v>0</v>
      </c>
      <c r="Z172" s="2888">
        <f>T172/$T$272*$Z$272</f>
        <v>0</v>
      </c>
      <c r="AA172" s="2889">
        <f>U172/$T$272*$Z$272</f>
        <v>0</v>
      </c>
      <c r="AB172" s="2268">
        <f t="shared" si="51"/>
        <v>0</v>
      </c>
      <c r="AC172" s="2114">
        <f t="shared" si="44"/>
        <v>0</v>
      </c>
      <c r="AD172" s="2114"/>
      <c r="AE172" s="2114"/>
      <c r="AF172" s="2113"/>
      <c r="AG172" s="2113"/>
      <c r="AH172" s="2113"/>
      <c r="AI172" s="2113"/>
    </row>
    <row r="173" spans="1:35" s="2218" customFormat="1" ht="21" customHeight="1" outlineLevel="1" thickBot="1">
      <c r="A173" s="2235">
        <v>249</v>
      </c>
      <c r="B173" s="2297" t="s">
        <v>1975</v>
      </c>
      <c r="C173" s="2298" t="s">
        <v>1967</v>
      </c>
      <c r="D173" s="2299" t="s">
        <v>1954</v>
      </c>
      <c r="E173" s="2300"/>
      <c r="F173" s="2301"/>
      <c r="G173" s="2266">
        <f t="shared" si="45"/>
        <v>0</v>
      </c>
      <c r="H173" s="2301"/>
      <c r="I173" s="2301"/>
      <c r="J173" s="2266">
        <f t="shared" si="46"/>
        <v>0</v>
      </c>
      <c r="K173" s="2301"/>
      <c r="L173" s="2301"/>
      <c r="M173" s="2268">
        <f t="shared" si="47"/>
        <v>0</v>
      </c>
      <c r="N173" s="2300"/>
      <c r="O173" s="2301"/>
      <c r="P173" s="2268">
        <f t="shared" si="48"/>
        <v>0</v>
      </c>
      <c r="Q173" s="2300">
        <v>0</v>
      </c>
      <c r="R173" s="2301">
        <v>0</v>
      </c>
      <c r="S173" s="2268">
        <f t="shared" si="49"/>
        <v>0</v>
      </c>
      <c r="T173" s="2300">
        <v>0</v>
      </c>
      <c r="U173" s="2301">
        <v>0</v>
      </c>
      <c r="V173" s="2268">
        <f t="shared" si="50"/>
        <v>0</v>
      </c>
      <c r="W173" s="2385" t="e">
        <f>W171/W172</f>
        <v>#DIV/0!</v>
      </c>
      <c r="X173" s="2285" t="e">
        <f>X171/X172</f>
        <v>#DIV/0!</v>
      </c>
      <c r="Y173" s="2268" t="e">
        <f t="shared" si="52"/>
        <v>#DIV/0!</v>
      </c>
      <c r="Z173" s="2385" t="e">
        <f>Z171/Z172</f>
        <v>#DIV/0!</v>
      </c>
      <c r="AA173" s="2285" t="e">
        <f>AA171/AA172</f>
        <v>#DIV/0!</v>
      </c>
      <c r="AB173" s="2268" t="e">
        <f t="shared" si="51"/>
        <v>#DIV/0!</v>
      </c>
      <c r="AC173" s="2114" t="e">
        <f t="shared" si="44"/>
        <v>#DIV/0!</v>
      </c>
      <c r="AD173" s="2114"/>
      <c r="AE173" s="2114"/>
      <c r="AF173" s="2113"/>
      <c r="AG173" s="2113"/>
      <c r="AH173" s="2113"/>
      <c r="AI173" s="2113"/>
    </row>
    <row r="174" spans="1:35" s="2218" customFormat="1" ht="28.5" customHeight="1" thickBot="1">
      <c r="A174" s="2235">
        <v>255</v>
      </c>
      <c r="B174" s="2378" t="s">
        <v>1181</v>
      </c>
      <c r="C174" s="2318" t="s">
        <v>1976</v>
      </c>
      <c r="D174" s="2379" t="s">
        <v>1313</v>
      </c>
      <c r="E174" s="2070">
        <f>E175+E207+E217+E223+E224+E225+E229+E206+E232+E233+E234</f>
        <v>18480.358137729585</v>
      </c>
      <c r="F174" s="2070">
        <f>F175+F207+F217+F223+F224+F225+F229+F206+F232+F233+F234</f>
        <v>18991.914724772538</v>
      </c>
      <c r="G174" s="2071">
        <f t="shared" si="45"/>
        <v>18736.136431251063</v>
      </c>
      <c r="H174" s="2070">
        <f>H175+H207+H217+H223+H224+H225+H229+H206+H232+H233+H234</f>
        <v>34671.200335677509</v>
      </c>
      <c r="I174" s="2070">
        <f>I175+I207+I217+I223+I224+I225+I229+I206+I232+I233+I234</f>
        <v>35790.189563118998</v>
      </c>
      <c r="J174" s="2071">
        <f t="shared" si="46"/>
        <v>35230.694949398254</v>
      </c>
      <c r="K174" s="2070">
        <f>K175+K207+K217+K223+K224+K225+K229+K206+K232+K233+K234</f>
        <v>40604.734957267377</v>
      </c>
      <c r="L174" s="2070">
        <f>L175+L207+L217+L223+L224+L225+L229+L206+L232+L233+L234</f>
        <v>41648.933855569754</v>
      </c>
      <c r="M174" s="2071">
        <f t="shared" si="47"/>
        <v>41126.834406418566</v>
      </c>
      <c r="N174" s="2070">
        <f>N175+N207+N217+N223+N224+N225+N229+N206+N232+N233+N234</f>
        <v>1059.4963280311031</v>
      </c>
      <c r="O174" s="2070">
        <f>O175+O207+O217+O223+O224+O225+O229+O206+O232+O233+O234</f>
        <v>29057.833593564617</v>
      </c>
      <c r="P174" s="2071">
        <f t="shared" si="48"/>
        <v>15058.66496079786</v>
      </c>
      <c r="Q174" s="2473">
        <f>Q175+Q207+Q217+Q223+Q224+Q225+Q229+Q206+Q232+Q233+Q234</f>
        <v>133521.43390197004</v>
      </c>
      <c r="R174" s="2413">
        <f>R175+R207+R217+R223+R224+R225+R229+R206+R232+R233+R234</f>
        <v>141945.98631503715</v>
      </c>
      <c r="S174" s="2268">
        <f t="shared" si="49"/>
        <v>137733.71010850358</v>
      </c>
      <c r="T174" s="2372">
        <f t="shared" ref="T174:U178" si="57">N174+Q174</f>
        <v>134580.93023000113</v>
      </c>
      <c r="U174" s="2373">
        <f t="shared" si="57"/>
        <v>171003.81990860176</v>
      </c>
      <c r="V174" s="2374">
        <f t="shared" si="50"/>
        <v>152792.37506930146</v>
      </c>
      <c r="W174" s="2947">
        <f>W175+W207+W217+W223+W224+W225+W229+W206+W232+W233+W234</f>
        <v>29321.288422694899</v>
      </c>
      <c r="X174" s="2948">
        <f>X175+X207+X217+X223+X224+X225+X229+X206+X232+X233+X234</f>
        <v>14693.471641447006</v>
      </c>
      <c r="Y174" s="2374">
        <f t="shared" si="52"/>
        <v>22007.380032070952</v>
      </c>
      <c r="Z174" s="2947">
        <f>Z175+Z207+Z217+Z223+Z224+Z225+Z229+Z206+Z232+Z233+Z234</f>
        <v>105259.64180730624</v>
      </c>
      <c r="AA174" s="2948">
        <f>AA175+AA207+AA217+AA223+AA224+AA225+AA229+AA206+AA232+AA233+AA234</f>
        <v>133747.04086870592</v>
      </c>
      <c r="AB174" s="2946">
        <f t="shared" si="51"/>
        <v>119503.34133800608</v>
      </c>
      <c r="AC174" s="2114">
        <f t="shared" si="44"/>
        <v>-11281.653699224436</v>
      </c>
      <c r="AD174" s="2114"/>
      <c r="AE174" s="2114"/>
      <c r="AF174" s="2113"/>
      <c r="AG174" s="2113"/>
      <c r="AH174" s="2113"/>
      <c r="AI174" s="2113"/>
    </row>
    <row r="175" spans="1:35" s="2218" customFormat="1" ht="99.75" customHeight="1">
      <c r="A175" s="2235">
        <v>256</v>
      </c>
      <c r="B175" s="2243" t="s">
        <v>1977</v>
      </c>
      <c r="C175" s="2278" t="s">
        <v>1774</v>
      </c>
      <c r="D175" s="2245" t="s">
        <v>1313</v>
      </c>
      <c r="E175" s="2246">
        <f>E176+E187+E191+E194+E197+E198+E199+E200+E203+E190</f>
        <v>12641.652141389326</v>
      </c>
      <c r="F175" s="2246">
        <f>F176+F187+F191+F194+F197+F198+F199+F200+F203+F190</f>
        <v>13145.234223309128</v>
      </c>
      <c r="G175" s="2248">
        <f t="shared" si="45"/>
        <v>12893.443182349227</v>
      </c>
      <c r="H175" s="2246">
        <f>H176+H187+H191+H194+H197+H198+H199+H200+H203+H190</f>
        <v>31540.388103138037</v>
      </c>
      <c r="I175" s="2246">
        <f>I176+I187+I191+I194+I197+I198+I199+I200+I203+I190</f>
        <v>32658.955944567748</v>
      </c>
      <c r="J175" s="2248">
        <f t="shared" si="46"/>
        <v>32099.672023852894</v>
      </c>
      <c r="K175" s="2246">
        <f>K176+K187+K191+K194+K197+K198+K199+K200+K203+K190</f>
        <v>34361.932440345125</v>
      </c>
      <c r="L175" s="2246">
        <f>L176+L187+L191+L194+L197+L198+L199+L200+L203+L190</f>
        <v>35402.407827418916</v>
      </c>
      <c r="M175" s="2250">
        <f t="shared" si="47"/>
        <v>34882.17013388202</v>
      </c>
      <c r="N175" s="2465">
        <f>N176+N187+N191+N194+N197+N198+N199+N200+N203+N190</f>
        <v>1059.4963280311031</v>
      </c>
      <c r="O175" s="2466">
        <f>O176+O187+O191+O194+O197+O198+O199+O200+O203+O190</f>
        <v>28069.196025346824</v>
      </c>
      <c r="P175" s="2250">
        <f t="shared" si="48"/>
        <v>14564.346176688963</v>
      </c>
      <c r="Q175" s="2465">
        <f>Q176+Q187+Q191+Q194+Q197+Q198+Q199+Q200+Q203+Q190</f>
        <v>133198.42541713169</v>
      </c>
      <c r="R175" s="2247">
        <f>R176+R187+R191+R194+R197+R198+R199+R200+R203+R190</f>
        <v>141599.72121929043</v>
      </c>
      <c r="S175" s="2268">
        <f t="shared" si="49"/>
        <v>137399.07331821107</v>
      </c>
      <c r="T175" s="2465">
        <f t="shared" si="57"/>
        <v>134257.92174516278</v>
      </c>
      <c r="U175" s="2466">
        <f t="shared" si="57"/>
        <v>169668.91724463724</v>
      </c>
      <c r="V175" s="2268">
        <f t="shared" si="50"/>
        <v>151963.41949490001</v>
      </c>
      <c r="W175" s="2465">
        <f>W176+W187+W191+W194+W197+W198+W199+W200+W203+W190</f>
        <v>29250.914225319852</v>
      </c>
      <c r="X175" s="2466">
        <f>X176+X187+X191+X194+X197+X198+X199+X200+X203+X190</f>
        <v>14402.634997953495</v>
      </c>
      <c r="Y175" s="2268">
        <f t="shared" si="52"/>
        <v>21826.774611636672</v>
      </c>
      <c r="Z175" s="2465">
        <f>Z176+Z187+Z191+Z194+Z197+Z198+Z199+Z200+Z203+Z190</f>
        <v>105007.00751984291</v>
      </c>
      <c r="AA175" s="2466">
        <f>AA176+AA187+AA191+AA194+AA197+AA198+AA199+AA200+AA203+AA190</f>
        <v>132702.97484823491</v>
      </c>
      <c r="AB175" s="2268">
        <f t="shared" si="51"/>
        <v>118854.99118403891</v>
      </c>
      <c r="AC175" s="2114">
        <f t="shared" si="44"/>
        <v>-11281.653699224436</v>
      </c>
      <c r="AD175" s="2114"/>
      <c r="AE175" s="2114"/>
      <c r="AF175" s="2113"/>
      <c r="AG175" s="2113"/>
      <c r="AH175" s="2113"/>
      <c r="AI175" s="2113"/>
    </row>
    <row r="176" spans="1:35" s="2218" customFormat="1" ht="16.5" customHeight="1">
      <c r="A176" s="2235">
        <v>333</v>
      </c>
      <c r="B176" s="2279" t="s">
        <v>1978</v>
      </c>
      <c r="C176" s="2280" t="s">
        <v>1979</v>
      </c>
      <c r="D176" s="2254"/>
      <c r="E176" s="2255">
        <f>E177+E180+E183+E186</f>
        <v>105.91157635467974</v>
      </c>
      <c r="F176" s="2256">
        <f>F177+F180+F183+F186</f>
        <v>109.08892364532012</v>
      </c>
      <c r="G176" s="2257">
        <f t="shared" si="45"/>
        <v>107.50024999999994</v>
      </c>
      <c r="H176" s="2256">
        <f>H177+H180+H183+H186</f>
        <v>275.08021027417811</v>
      </c>
      <c r="I176" s="2256">
        <f>I177+I180+I183+I186</f>
        <v>284.30288972582184</v>
      </c>
      <c r="J176" s="2257">
        <f t="shared" si="46"/>
        <v>279.69155000000001</v>
      </c>
      <c r="K176" s="2256">
        <f>K177+K180+K183+K186</f>
        <v>339.27823339642697</v>
      </c>
      <c r="L176" s="2256">
        <f>L177+L180+L183+L186</f>
        <v>355.38185160426076</v>
      </c>
      <c r="M176" s="2259">
        <f t="shared" si="47"/>
        <v>347.33004250034389</v>
      </c>
      <c r="N176" s="2255">
        <f>N177+N180+N183+N186</f>
        <v>240.56778430320526</v>
      </c>
      <c r="O176" s="2256">
        <f>O177+O180+O183+O186</f>
        <v>267.51137614516426</v>
      </c>
      <c r="P176" s="2259">
        <f t="shared" si="48"/>
        <v>254.03958022418476</v>
      </c>
      <c r="Q176" s="2256">
        <f>Q177+Q180+Q183+Q186</f>
        <v>199.89797713167295</v>
      </c>
      <c r="R176" s="2256">
        <f>R177+R180+R183+R186</f>
        <v>222.28655057042033</v>
      </c>
      <c r="S176" s="2268">
        <f t="shared" si="49"/>
        <v>211.09226385104665</v>
      </c>
      <c r="T176" s="2465">
        <f t="shared" si="57"/>
        <v>440.46576143487823</v>
      </c>
      <c r="U176" s="2247">
        <f t="shared" si="57"/>
        <v>489.79792671558459</v>
      </c>
      <c r="V176" s="2268">
        <f t="shared" si="50"/>
        <v>465.13184407523141</v>
      </c>
      <c r="W176" s="2377">
        <f>T176/$T$272*$N$272</f>
        <v>95.964737420687982</v>
      </c>
      <c r="X176" s="2256">
        <f>U176/$T$272*$N$272</f>
        <v>106.71278801180503</v>
      </c>
      <c r="Y176" s="2268">
        <f t="shared" si="52"/>
        <v>101.33876271624651</v>
      </c>
      <c r="Z176" s="2886">
        <f t="shared" ref="Z176:AA178" si="58">T176/$T$272*$Z$272</f>
        <v>344.50102401419025</v>
      </c>
      <c r="AA176" s="2887">
        <f t="shared" si="58"/>
        <v>383.08513870377953</v>
      </c>
      <c r="AB176" s="2268">
        <f t="shared" si="51"/>
        <v>363.79308135898486</v>
      </c>
      <c r="AC176" s="2114">
        <f t="shared" si="44"/>
        <v>0</v>
      </c>
      <c r="AD176" s="2114"/>
      <c r="AE176" s="2114"/>
      <c r="AF176" s="2113"/>
      <c r="AG176" s="2113"/>
      <c r="AH176" s="2113"/>
      <c r="AI176" s="2113"/>
    </row>
    <row r="177" spans="1:35" s="2218" customFormat="1" ht="22.5" customHeight="1">
      <c r="A177" s="2235">
        <v>334</v>
      </c>
      <c r="B177" s="2279" t="s">
        <v>1980</v>
      </c>
      <c r="C177" s="2280" t="s">
        <v>1981</v>
      </c>
      <c r="D177" s="2254"/>
      <c r="E177" s="2255">
        <f>E178*E179</f>
        <v>102.31154767039078</v>
      </c>
      <c r="F177" s="2256">
        <f>F178*F179</f>
        <v>105.3808941005025</v>
      </c>
      <c r="G177" s="2257">
        <f t="shared" si="45"/>
        <v>103.84622088544664</v>
      </c>
      <c r="H177" s="2256">
        <f>H178*H179</f>
        <v>256.07895805797511</v>
      </c>
      <c r="I177" s="2256">
        <f>I178*I179</f>
        <v>264.6175924298355</v>
      </c>
      <c r="J177" s="2257">
        <f t="shared" si="46"/>
        <v>260.34827524390528</v>
      </c>
      <c r="K177" s="2256">
        <f>K178*K179</f>
        <v>302.93083435748315</v>
      </c>
      <c r="L177" s="2256">
        <f>L178*L179</f>
        <v>317.47151440664237</v>
      </c>
      <c r="M177" s="2259">
        <f t="shared" si="47"/>
        <v>310.20117438206273</v>
      </c>
      <c r="N177" s="2255">
        <f>N178*N179</f>
        <v>240.56778430320526</v>
      </c>
      <c r="O177" s="2256">
        <f>O178*O179</f>
        <v>267.51137614516426</v>
      </c>
      <c r="P177" s="2259">
        <f t="shared" si="48"/>
        <v>254.03958022418476</v>
      </c>
      <c r="Q177" s="2256">
        <f>Q178*Q179</f>
        <v>199.89797713167295</v>
      </c>
      <c r="R177" s="2256">
        <f>R178*R179</f>
        <v>222.28655057042033</v>
      </c>
      <c r="S177" s="2268">
        <f t="shared" si="49"/>
        <v>211.09226385104665</v>
      </c>
      <c r="T177" s="2255">
        <f t="shared" si="57"/>
        <v>440.46576143487823</v>
      </c>
      <c r="U177" s="2256">
        <f t="shared" si="57"/>
        <v>489.79792671558459</v>
      </c>
      <c r="V177" s="2268">
        <f t="shared" si="50"/>
        <v>465.13184407523141</v>
      </c>
      <c r="W177" s="2377">
        <f>T177/$T$272*$N$272</f>
        <v>95.964737420687982</v>
      </c>
      <c r="X177" s="2256">
        <f>U177/$T$272*$N$272</f>
        <v>106.71278801180503</v>
      </c>
      <c r="Y177" s="2268">
        <f t="shared" si="52"/>
        <v>101.33876271624651</v>
      </c>
      <c r="Z177" s="2886">
        <f t="shared" si="58"/>
        <v>344.50102401419025</v>
      </c>
      <c r="AA177" s="2887">
        <f t="shared" si="58"/>
        <v>383.08513870377953</v>
      </c>
      <c r="AB177" s="2268">
        <f t="shared" si="51"/>
        <v>363.79308135898486</v>
      </c>
      <c r="AC177" s="2114">
        <f t="shared" si="44"/>
        <v>0</v>
      </c>
      <c r="AD177" s="2114"/>
      <c r="AE177" s="2114"/>
      <c r="AF177" s="2113"/>
      <c r="AG177" s="2113"/>
      <c r="AH177" s="2113"/>
      <c r="AI177" s="2113"/>
    </row>
    <row r="178" spans="1:35" s="2218" customFormat="1" ht="25.5" customHeight="1">
      <c r="A178" s="2235">
        <v>337</v>
      </c>
      <c r="B178" s="2281" t="s">
        <v>1982</v>
      </c>
      <c r="C178" s="2282" t="s">
        <v>1327</v>
      </c>
      <c r="D178" s="2283" t="s">
        <v>1983</v>
      </c>
      <c r="E178" s="2284">
        <f>'[3]НВВ очистка)'!K479</f>
        <v>15.334880205183399</v>
      </c>
      <c r="F178" s="2285">
        <f>'[3]НВВ очистка)'!L479</f>
        <v>15.334880205183399</v>
      </c>
      <c r="G178" s="2257">
        <f t="shared" si="45"/>
        <v>15.334880205183399</v>
      </c>
      <c r="H178" s="2285">
        <f>'[3]НВВ очистка)'!T479</f>
        <v>38.0910413778128</v>
      </c>
      <c r="I178" s="2285">
        <f>'[3]НВВ очистка)'!U479</f>
        <v>38.0910413778128</v>
      </c>
      <c r="J178" s="2257">
        <f t="shared" si="46"/>
        <v>38.0910413778128</v>
      </c>
      <c r="K178" s="2285">
        <f>'[3]НВВ очистка)'!AC479</f>
        <v>42.766600501803552</v>
      </c>
      <c r="L178" s="2285">
        <f>'[3]НВВ очистка)'!AD479</f>
        <v>42.766600501803552</v>
      </c>
      <c r="M178" s="2259">
        <f t="shared" si="47"/>
        <v>42.766600501803552</v>
      </c>
      <c r="N178" s="2284">
        <v>29.868106838588869</v>
      </c>
      <c r="O178" s="2285">
        <v>29.868106838588869</v>
      </c>
      <c r="P178" s="2259">
        <f t="shared" si="48"/>
        <v>29.868106838588869</v>
      </c>
      <c r="Q178" s="2294">
        <v>25.609755665075856</v>
      </c>
      <c r="R178" s="2285">
        <v>25.609755665075856</v>
      </c>
      <c r="S178" s="2268">
        <f t="shared" si="49"/>
        <v>25.609755665075856</v>
      </c>
      <c r="T178" s="2294">
        <f t="shared" si="57"/>
        <v>55.477862503664724</v>
      </c>
      <c r="U178" s="2285">
        <f t="shared" si="57"/>
        <v>55.477862503664724</v>
      </c>
      <c r="V178" s="2268">
        <f t="shared" si="50"/>
        <v>55.477862503664724</v>
      </c>
      <c r="W178" s="2888">
        <f>T178/$T$272*$W$272</f>
        <v>12.08702009091879</v>
      </c>
      <c r="X178" s="2889">
        <f>U178/$T$272*$W$272</f>
        <v>12.08702009091879</v>
      </c>
      <c r="Y178" s="2268">
        <f t="shared" si="52"/>
        <v>12.08702009091879</v>
      </c>
      <c r="Z178" s="2888">
        <f t="shared" si="58"/>
        <v>43.390842412745926</v>
      </c>
      <c r="AA178" s="2889">
        <f t="shared" si="58"/>
        <v>43.390842412745926</v>
      </c>
      <c r="AB178" s="2268">
        <f t="shared" si="51"/>
        <v>43.390842412745926</v>
      </c>
      <c r="AC178" s="2114">
        <f t="shared" si="44"/>
        <v>0</v>
      </c>
      <c r="AD178" s="2114"/>
      <c r="AE178" s="2114"/>
      <c r="AF178" s="2113"/>
      <c r="AG178" s="2113"/>
      <c r="AH178" s="2113"/>
      <c r="AI178" s="2113"/>
    </row>
    <row r="179" spans="1:35" s="2218" customFormat="1" ht="24" customHeight="1">
      <c r="A179" s="2235">
        <v>338</v>
      </c>
      <c r="B179" s="2281" t="s">
        <v>1985</v>
      </c>
      <c r="C179" s="2282" t="s">
        <v>1330</v>
      </c>
      <c r="D179" s="2283" t="s">
        <v>1986</v>
      </c>
      <c r="E179" s="2284">
        <f>'[3]НВВ очистка)'!K480</f>
        <v>6.6718191665956459</v>
      </c>
      <c r="F179" s="2285">
        <f>'[3]НВВ очистка)'!L480</f>
        <v>6.8719737415935152</v>
      </c>
      <c r="G179" s="2257">
        <f t="shared" si="45"/>
        <v>6.7718964540945805</v>
      </c>
      <c r="H179" s="2285">
        <f>'[3]НВВ очистка)'!T480</f>
        <v>6.72281325989516</v>
      </c>
      <c r="I179" s="2285">
        <f>'[3]НВВ очистка)'!U480</f>
        <v>6.9469771069049706</v>
      </c>
      <c r="J179" s="2257">
        <f t="shared" si="46"/>
        <v>6.8348951834000653</v>
      </c>
      <c r="K179" s="2285">
        <f>'[3]НВВ очистка)'!AC480</f>
        <v>7.083350811217926</v>
      </c>
      <c r="L179" s="2285">
        <f>'[3]НВВ очистка)'!AD480</f>
        <v>7.4233516501563868</v>
      </c>
      <c r="M179" s="2259">
        <f t="shared" si="47"/>
        <v>7.2533512306871568</v>
      </c>
      <c r="N179" s="2284">
        <v>8.0543365404196798</v>
      </c>
      <c r="O179" s="2285">
        <f>N179*1.112</f>
        <v>8.956422232946684</v>
      </c>
      <c r="P179" s="2259">
        <f t="shared" si="48"/>
        <v>8.5053793866831811</v>
      </c>
      <c r="Q179" s="2284">
        <v>7.8055401912434004</v>
      </c>
      <c r="R179" s="2285">
        <f>Q179*1.112</f>
        <v>8.6797606926626614</v>
      </c>
      <c r="S179" s="2268">
        <f t="shared" si="49"/>
        <v>8.2426504419530318</v>
      </c>
      <c r="T179" s="2284">
        <f>T177/T178</f>
        <v>7.9394868792174931</v>
      </c>
      <c r="U179" s="2285">
        <f>U177/U178</f>
        <v>8.8287094096898517</v>
      </c>
      <c r="V179" s="2268">
        <f t="shared" si="50"/>
        <v>8.384098144453672</v>
      </c>
      <c r="W179" s="2284">
        <f>W177/W178</f>
        <v>7.9394868792174949</v>
      </c>
      <c r="X179" s="2285">
        <f>X177/X178</f>
        <v>8.8287094096898535</v>
      </c>
      <c r="Y179" s="2268">
        <f t="shared" si="52"/>
        <v>8.3840981444536737</v>
      </c>
      <c r="Z179" s="2284">
        <f>Z177/Z178</f>
        <v>7.9394868792174949</v>
      </c>
      <c r="AA179" s="2285">
        <f>AA177/AA178</f>
        <v>8.8287094096898535</v>
      </c>
      <c r="AB179" s="2268">
        <f t="shared" si="51"/>
        <v>8.3840981444536737</v>
      </c>
      <c r="AC179" s="2114">
        <f t="shared" si="44"/>
        <v>8.3840981444536755</v>
      </c>
      <c r="AD179" s="2114"/>
      <c r="AE179" s="2114"/>
      <c r="AF179" s="2113"/>
      <c r="AG179" s="2113"/>
      <c r="AH179" s="2113"/>
      <c r="AI179" s="2113"/>
    </row>
    <row r="180" spans="1:35" s="2218" customFormat="1" ht="29.25" customHeight="1">
      <c r="A180" s="2235">
        <v>335</v>
      </c>
      <c r="B180" s="2279" t="s">
        <v>1988</v>
      </c>
      <c r="C180" s="2280" t="s">
        <v>1989</v>
      </c>
      <c r="D180" s="2254"/>
      <c r="E180" s="2255">
        <f>E181*E182</f>
        <v>3.6000286842889548</v>
      </c>
      <c r="F180" s="2256">
        <f>F181*F182</f>
        <v>3.7080295448176233</v>
      </c>
      <c r="G180" s="2257">
        <f t="shared" si="45"/>
        <v>3.654029114553289</v>
      </c>
      <c r="H180" s="2256">
        <f>H181*H182</f>
        <v>19.001252216203014</v>
      </c>
      <c r="I180" s="2256">
        <f>I181*I182</f>
        <v>19.685297295986324</v>
      </c>
      <c r="J180" s="2257">
        <f t="shared" si="46"/>
        <v>19.343274756094669</v>
      </c>
      <c r="K180" s="2256">
        <f>K181*K182</f>
        <v>36.347399038943827</v>
      </c>
      <c r="L180" s="2256">
        <f>L181*L182</f>
        <v>37.910337197618411</v>
      </c>
      <c r="M180" s="2259">
        <f t="shared" si="47"/>
        <v>37.128868118281119</v>
      </c>
      <c r="N180" s="2255">
        <v>0</v>
      </c>
      <c r="O180" s="2256">
        <v>0</v>
      </c>
      <c r="P180" s="2259">
        <f t="shared" si="48"/>
        <v>0</v>
      </c>
      <c r="Q180" s="2255">
        <v>0</v>
      </c>
      <c r="R180" s="2256">
        <v>0</v>
      </c>
      <c r="S180" s="2268">
        <f t="shared" si="49"/>
        <v>0</v>
      </c>
      <c r="T180" s="2255">
        <f>N180+Q180</f>
        <v>0</v>
      </c>
      <c r="U180" s="2256">
        <f>O180+R180</f>
        <v>0</v>
      </c>
      <c r="V180" s="2268">
        <f t="shared" si="50"/>
        <v>0</v>
      </c>
      <c r="W180" s="2377">
        <f>T180/$T$272*$N$272</f>
        <v>0</v>
      </c>
      <c r="X180" s="2256">
        <f>U180/$T$272*$N$272</f>
        <v>0</v>
      </c>
      <c r="Y180" s="2268">
        <f t="shared" si="52"/>
        <v>0</v>
      </c>
      <c r="Z180" s="2886">
        <f>T180/$T$272*$Z$272</f>
        <v>0</v>
      </c>
      <c r="AA180" s="2887">
        <f>U180/$T$272*$Z$272</f>
        <v>0</v>
      </c>
      <c r="AB180" s="2268">
        <f t="shared" si="51"/>
        <v>0</v>
      </c>
      <c r="AC180" s="2114">
        <f t="shared" si="44"/>
        <v>0</v>
      </c>
      <c r="AD180" s="2114"/>
      <c r="AE180" s="2114"/>
      <c r="AF180" s="2113"/>
      <c r="AG180" s="2113"/>
      <c r="AH180" s="2113"/>
      <c r="AI180" s="2113"/>
    </row>
    <row r="181" spans="1:35" s="2218" customFormat="1" ht="24" customHeight="1">
      <c r="A181" s="2235">
        <v>339</v>
      </c>
      <c r="B181" s="2281" t="s">
        <v>1990</v>
      </c>
      <c r="C181" s="2282" t="s">
        <v>1327</v>
      </c>
      <c r="D181" s="2283" t="s">
        <v>1991</v>
      </c>
      <c r="E181" s="2284">
        <f>'[3]НВВ очистка)'!K482</f>
        <v>7.4856876074820403E-4</v>
      </c>
      <c r="F181" s="2285">
        <f>'[3]НВВ очистка)'!L482</f>
        <v>7.4856876074820403E-4</v>
      </c>
      <c r="G181" s="2257">
        <f t="shared" si="45"/>
        <v>7.4856876074820403E-4</v>
      </c>
      <c r="H181" s="2285">
        <f>'[3]НВВ очистка)'!T482</f>
        <v>3.9326346610561993E-3</v>
      </c>
      <c r="I181" s="2285">
        <f>'[3]НВВ очистка)'!U482</f>
        <v>3.9326346610561993E-3</v>
      </c>
      <c r="J181" s="2257">
        <f t="shared" si="46"/>
        <v>3.9326346610561993E-3</v>
      </c>
      <c r="K181" s="2285">
        <f>'[3]НВВ очистка)'!AC482</f>
        <v>7.5024835741897737</v>
      </c>
      <c r="L181" s="2285">
        <f>'[3]НВВ очистка)'!AD482</f>
        <v>7.5024835741897737</v>
      </c>
      <c r="M181" s="2259">
        <f t="shared" si="47"/>
        <v>7.5024835741897737</v>
      </c>
      <c r="N181" s="2284"/>
      <c r="O181" s="2285"/>
      <c r="P181" s="2259">
        <f t="shared" si="48"/>
        <v>0</v>
      </c>
      <c r="Q181" s="2284">
        <v>0</v>
      </c>
      <c r="R181" s="2285">
        <v>0</v>
      </c>
      <c r="S181" s="2268">
        <f t="shared" si="49"/>
        <v>0</v>
      </c>
      <c r="T181" s="2294">
        <f>N181+Q181</f>
        <v>0</v>
      </c>
      <c r="U181" s="2285">
        <f>O181+R181</f>
        <v>0</v>
      </c>
      <c r="V181" s="2268">
        <f t="shared" si="50"/>
        <v>0</v>
      </c>
      <c r="W181" s="2888">
        <f>T181/$T$272*$W$272</f>
        <v>0</v>
      </c>
      <c r="X181" s="2889">
        <f>U181/$T$272*$W$272</f>
        <v>0</v>
      </c>
      <c r="Y181" s="2268">
        <f t="shared" si="52"/>
        <v>0</v>
      </c>
      <c r="Z181" s="2888">
        <f>T181/$T$272*$Z$272</f>
        <v>0</v>
      </c>
      <c r="AA181" s="2889">
        <f>U181/$T$272*$Z$272</f>
        <v>0</v>
      </c>
      <c r="AB181" s="2268">
        <f t="shared" si="51"/>
        <v>0</v>
      </c>
      <c r="AC181" s="2114">
        <f t="shared" si="44"/>
        <v>0</v>
      </c>
      <c r="AD181" s="2114"/>
      <c r="AE181" s="2114"/>
      <c r="AF181" s="2113"/>
      <c r="AG181" s="2113"/>
      <c r="AH181" s="2113"/>
      <c r="AI181" s="2113"/>
    </row>
    <row r="182" spans="1:35" s="2218" customFormat="1" ht="26.25" customHeight="1">
      <c r="A182" s="2235">
        <v>340</v>
      </c>
      <c r="B182" s="2281" t="s">
        <v>1992</v>
      </c>
      <c r="C182" s="2282" t="s">
        <v>1330</v>
      </c>
      <c r="D182" s="2283" t="s">
        <v>1993</v>
      </c>
      <c r="E182" s="2284">
        <f>'[3]НВВ очистка)'!K483</f>
        <v>4809.2157635467984</v>
      </c>
      <c r="F182" s="2285">
        <f>'[3]НВВ очистка)'!L483</f>
        <v>4953.4922364532022</v>
      </c>
      <c r="G182" s="2257">
        <f t="shared" si="45"/>
        <v>4881.3540000000003</v>
      </c>
      <c r="H182" s="2285">
        <f>'[3]НВВ очистка)'!T483</f>
        <v>4831.6850798186761</v>
      </c>
      <c r="I182" s="2285">
        <f>'[3]НВВ очистка)'!U483</f>
        <v>5005.6257426921484</v>
      </c>
      <c r="J182" s="2257">
        <f t="shared" si="46"/>
        <v>4918.6554112554122</v>
      </c>
      <c r="K182" s="2285">
        <f>'[3]НВВ очистка)'!AC483</f>
        <v>4.8447155771172934</v>
      </c>
      <c r="L182" s="2285">
        <f>'[3]НВВ очистка)'!AD483</f>
        <v>5.0530383469333371</v>
      </c>
      <c r="M182" s="2259">
        <f t="shared" si="47"/>
        <v>4.9488769620253148</v>
      </c>
      <c r="N182" s="2284"/>
      <c r="O182" s="2285"/>
      <c r="P182" s="2259">
        <f t="shared" si="48"/>
        <v>0</v>
      </c>
      <c r="Q182" s="2284">
        <v>0</v>
      </c>
      <c r="R182" s="2285">
        <v>0</v>
      </c>
      <c r="S182" s="2268">
        <f t="shared" si="49"/>
        <v>0</v>
      </c>
      <c r="T182" s="2284">
        <v>0</v>
      </c>
      <c r="U182" s="2285">
        <v>0</v>
      </c>
      <c r="V182" s="2268">
        <f t="shared" si="50"/>
        <v>0</v>
      </c>
      <c r="W182" s="2284" t="e">
        <f>W180/W181</f>
        <v>#DIV/0!</v>
      </c>
      <c r="X182" s="2285" t="e">
        <f>X180/X181</f>
        <v>#DIV/0!</v>
      </c>
      <c r="Y182" s="2268" t="e">
        <f t="shared" si="52"/>
        <v>#DIV/0!</v>
      </c>
      <c r="Z182" s="2284" t="e">
        <f>Z180/Z181</f>
        <v>#DIV/0!</v>
      </c>
      <c r="AA182" s="2285" t="e">
        <f>AA180/AA181</f>
        <v>#DIV/0!</v>
      </c>
      <c r="AB182" s="2268" t="e">
        <f t="shared" si="51"/>
        <v>#DIV/0!</v>
      </c>
      <c r="AC182" s="2114" t="e">
        <f t="shared" si="44"/>
        <v>#DIV/0!</v>
      </c>
      <c r="AD182" s="2114"/>
      <c r="AE182" s="2114"/>
      <c r="AF182" s="2113"/>
      <c r="AG182" s="2113"/>
      <c r="AH182" s="2113"/>
      <c r="AI182" s="2113"/>
    </row>
    <row r="183" spans="1:35" s="2218" customFormat="1" ht="25.5" customHeight="1">
      <c r="A183" s="2235">
        <v>336</v>
      </c>
      <c r="B183" s="2279" t="s">
        <v>1994</v>
      </c>
      <c r="C183" s="2280" t="s">
        <v>1995</v>
      </c>
      <c r="D183" s="2254"/>
      <c r="E183" s="2255">
        <f>E184*E185</f>
        <v>0</v>
      </c>
      <c r="F183" s="2256">
        <f>F184*F185</f>
        <v>0</v>
      </c>
      <c r="G183" s="2257">
        <f t="shared" si="45"/>
        <v>0</v>
      </c>
      <c r="H183" s="2256">
        <f>H184*H185</f>
        <v>0</v>
      </c>
      <c r="I183" s="2256">
        <f>I184*I185</f>
        <v>0</v>
      </c>
      <c r="J183" s="2257">
        <f t="shared" si="46"/>
        <v>0</v>
      </c>
      <c r="K183" s="2256">
        <f>K184*K185</f>
        <v>0</v>
      </c>
      <c r="L183" s="2256">
        <f>L184*L185</f>
        <v>0</v>
      </c>
      <c r="M183" s="2259">
        <f t="shared" si="47"/>
        <v>0</v>
      </c>
      <c r="N183" s="2255">
        <v>0</v>
      </c>
      <c r="O183" s="2256">
        <v>0</v>
      </c>
      <c r="P183" s="2259">
        <f t="shared" si="48"/>
        <v>0</v>
      </c>
      <c r="Q183" s="2255">
        <v>0</v>
      </c>
      <c r="R183" s="2256">
        <v>0</v>
      </c>
      <c r="S183" s="2268">
        <f t="shared" si="49"/>
        <v>0</v>
      </c>
      <c r="T183" s="2255">
        <f>N183+Q183</f>
        <v>0</v>
      </c>
      <c r="U183" s="2256">
        <f>O183+R183</f>
        <v>0</v>
      </c>
      <c r="V183" s="2268">
        <f t="shared" si="50"/>
        <v>0</v>
      </c>
      <c r="W183" s="2377">
        <f>T183/$T$272*$N$272</f>
        <v>0</v>
      </c>
      <c r="X183" s="2256">
        <f>U183/$T$272*$N$272</f>
        <v>0</v>
      </c>
      <c r="Y183" s="2268">
        <f t="shared" si="52"/>
        <v>0</v>
      </c>
      <c r="Z183" s="2886">
        <f>T183/$T$272*$Z$272</f>
        <v>0</v>
      </c>
      <c r="AA183" s="2887">
        <f>U183/$T$272*$Z$272</f>
        <v>0</v>
      </c>
      <c r="AB183" s="2268">
        <f t="shared" si="51"/>
        <v>0</v>
      </c>
      <c r="AC183" s="2114">
        <f t="shared" si="44"/>
        <v>0</v>
      </c>
      <c r="AD183" s="2114"/>
      <c r="AE183" s="2114"/>
      <c r="AF183" s="2113"/>
      <c r="AG183" s="2113"/>
      <c r="AH183" s="2113"/>
      <c r="AI183" s="2113"/>
    </row>
    <row r="184" spans="1:35" s="2218" customFormat="1" ht="21.75" hidden="1" customHeight="1">
      <c r="A184" s="2235">
        <v>341</v>
      </c>
      <c r="B184" s="2281" t="s">
        <v>1996</v>
      </c>
      <c r="C184" s="2282" t="s">
        <v>1327</v>
      </c>
      <c r="D184" s="2283" t="s">
        <v>1991</v>
      </c>
      <c r="E184" s="2284"/>
      <c r="F184" s="2285"/>
      <c r="G184" s="2257">
        <f t="shared" si="45"/>
        <v>0</v>
      </c>
      <c r="H184" s="2285"/>
      <c r="I184" s="2285"/>
      <c r="J184" s="2257">
        <f t="shared" si="46"/>
        <v>0</v>
      </c>
      <c r="K184" s="2285"/>
      <c r="L184" s="2285"/>
      <c r="M184" s="2259">
        <f t="shared" si="47"/>
        <v>0</v>
      </c>
      <c r="N184" s="2284"/>
      <c r="O184" s="2285"/>
      <c r="P184" s="2259">
        <f t="shared" si="48"/>
        <v>0</v>
      </c>
      <c r="Q184" s="2284">
        <v>0</v>
      </c>
      <c r="R184" s="2285">
        <v>0</v>
      </c>
      <c r="S184" s="2268">
        <f t="shared" si="49"/>
        <v>0</v>
      </c>
      <c r="T184" s="2284">
        <v>0</v>
      </c>
      <c r="U184" s="2285">
        <v>0</v>
      </c>
      <c r="V184" s="2268">
        <f t="shared" si="50"/>
        <v>0</v>
      </c>
      <c r="W184" s="2284">
        <v>0</v>
      </c>
      <c r="X184" s="2285">
        <v>0</v>
      </c>
      <c r="Y184" s="2268">
        <f t="shared" si="52"/>
        <v>0</v>
      </c>
      <c r="Z184" s="2284">
        <v>0</v>
      </c>
      <c r="AA184" s="2285">
        <v>0</v>
      </c>
      <c r="AB184" s="2268">
        <f t="shared" si="51"/>
        <v>0</v>
      </c>
      <c r="AC184" s="2114">
        <f t="shared" si="44"/>
        <v>0</v>
      </c>
      <c r="AD184" s="2114"/>
      <c r="AE184" s="2114"/>
      <c r="AF184" s="2113"/>
      <c r="AG184" s="2113"/>
      <c r="AH184" s="2113"/>
      <c r="AI184" s="2113"/>
    </row>
    <row r="185" spans="1:35" s="2218" customFormat="1" ht="20.25" hidden="1" customHeight="1">
      <c r="A185" s="2235">
        <v>342</v>
      </c>
      <c r="B185" s="2281" t="s">
        <v>1997</v>
      </c>
      <c r="C185" s="2282" t="s">
        <v>1330</v>
      </c>
      <c r="D185" s="2283" t="s">
        <v>1993</v>
      </c>
      <c r="E185" s="2284"/>
      <c r="F185" s="2285"/>
      <c r="G185" s="2257">
        <f t="shared" si="45"/>
        <v>0</v>
      </c>
      <c r="H185" s="2285"/>
      <c r="I185" s="2285"/>
      <c r="J185" s="2257">
        <f t="shared" si="46"/>
        <v>0</v>
      </c>
      <c r="K185" s="2285"/>
      <c r="L185" s="2285"/>
      <c r="M185" s="2259">
        <f t="shared" si="47"/>
        <v>0</v>
      </c>
      <c r="N185" s="2284"/>
      <c r="O185" s="2285"/>
      <c r="P185" s="2259">
        <f t="shared" si="48"/>
        <v>0</v>
      </c>
      <c r="Q185" s="2284">
        <v>0</v>
      </c>
      <c r="R185" s="2285">
        <v>0</v>
      </c>
      <c r="S185" s="2268">
        <f t="shared" si="49"/>
        <v>0</v>
      </c>
      <c r="T185" s="2284">
        <v>0</v>
      </c>
      <c r="U185" s="2285">
        <v>0</v>
      </c>
      <c r="V185" s="2268">
        <f t="shared" si="50"/>
        <v>0</v>
      </c>
      <c r="W185" s="2284">
        <v>0</v>
      </c>
      <c r="X185" s="2285">
        <v>0</v>
      </c>
      <c r="Y185" s="2268">
        <f t="shared" si="52"/>
        <v>0</v>
      </c>
      <c r="Z185" s="2284">
        <v>0</v>
      </c>
      <c r="AA185" s="2285">
        <v>0</v>
      </c>
      <c r="AB185" s="2268">
        <f t="shared" si="51"/>
        <v>0</v>
      </c>
      <c r="AC185" s="2114">
        <f t="shared" si="44"/>
        <v>0</v>
      </c>
      <c r="AD185" s="2114"/>
      <c r="AE185" s="2114"/>
      <c r="AF185" s="2113"/>
      <c r="AG185" s="2113"/>
      <c r="AH185" s="2113"/>
      <c r="AI185" s="2113"/>
    </row>
    <row r="186" spans="1:35" s="2218" customFormat="1" ht="24" hidden="1" customHeight="1">
      <c r="A186" s="2235">
        <v>71</v>
      </c>
      <c r="B186" s="2281" t="s">
        <v>1998</v>
      </c>
      <c r="C186" s="2282" t="s">
        <v>1999</v>
      </c>
      <c r="D186" s="2283" t="s">
        <v>1317</v>
      </c>
      <c r="E186" s="2284"/>
      <c r="F186" s="2285"/>
      <c r="G186" s="2257">
        <f t="shared" si="45"/>
        <v>0</v>
      </c>
      <c r="H186" s="2285"/>
      <c r="I186" s="2285"/>
      <c r="J186" s="2257">
        <f t="shared" si="46"/>
        <v>0</v>
      </c>
      <c r="K186" s="2285"/>
      <c r="L186" s="2285"/>
      <c r="M186" s="2259">
        <f t="shared" si="47"/>
        <v>0</v>
      </c>
      <c r="N186" s="2284"/>
      <c r="O186" s="2285"/>
      <c r="P186" s="2259">
        <f t="shared" si="48"/>
        <v>0</v>
      </c>
      <c r="Q186" s="2284">
        <v>0</v>
      </c>
      <c r="R186" s="2285">
        <v>0</v>
      </c>
      <c r="S186" s="2268">
        <f t="shared" si="49"/>
        <v>0</v>
      </c>
      <c r="T186" s="2284">
        <v>0</v>
      </c>
      <c r="U186" s="2285">
        <v>0</v>
      </c>
      <c r="V186" s="2268">
        <f t="shared" si="50"/>
        <v>0</v>
      </c>
      <c r="W186" s="2284">
        <v>0</v>
      </c>
      <c r="X186" s="2285">
        <v>0</v>
      </c>
      <c r="Y186" s="2268">
        <f t="shared" si="52"/>
        <v>0</v>
      </c>
      <c r="Z186" s="2284">
        <v>0</v>
      </c>
      <c r="AA186" s="2285">
        <v>0</v>
      </c>
      <c r="AB186" s="2268">
        <f t="shared" si="51"/>
        <v>0</v>
      </c>
      <c r="AC186" s="2114">
        <f t="shared" si="44"/>
        <v>0</v>
      </c>
      <c r="AD186" s="2114"/>
      <c r="AE186" s="2114"/>
      <c r="AF186" s="2113"/>
      <c r="AG186" s="2113"/>
      <c r="AH186" s="2113"/>
      <c r="AI186" s="2113"/>
    </row>
    <row r="187" spans="1:35" s="2218" customFormat="1" ht="20.25" customHeight="1">
      <c r="A187" s="2235">
        <v>270</v>
      </c>
      <c r="B187" s="2279" t="s">
        <v>2000</v>
      </c>
      <c r="C187" s="2280" t="s">
        <v>2001</v>
      </c>
      <c r="D187" s="2254" t="s">
        <v>1313</v>
      </c>
      <c r="E187" s="2255">
        <f>E188*E189+E190</f>
        <v>204.97759444649103</v>
      </c>
      <c r="F187" s="2256">
        <f>F188*F189+F190</f>
        <v>212.15181025211848</v>
      </c>
      <c r="G187" s="2257">
        <f t="shared" si="45"/>
        <v>208.56470234930475</v>
      </c>
      <c r="H187" s="2256">
        <f>H188*H189+H190</f>
        <v>525.07295444006922</v>
      </c>
      <c r="I187" s="2256">
        <f>I188*I189+I190</f>
        <v>527.81513609929164</v>
      </c>
      <c r="J187" s="2257">
        <f t="shared" si="46"/>
        <v>526.44404526968037</v>
      </c>
      <c r="K187" s="2256">
        <f>K188*K189+K190</f>
        <v>673.3569163082343</v>
      </c>
      <c r="L187" s="2256">
        <f>L188*L189+L190</f>
        <v>697.24976645496974</v>
      </c>
      <c r="M187" s="2259">
        <f t="shared" si="47"/>
        <v>685.30334138160197</v>
      </c>
      <c r="N187" s="2255">
        <v>818.92854372789793</v>
      </c>
      <c r="O187" s="2256">
        <v>870.52104198275538</v>
      </c>
      <c r="P187" s="2259">
        <f t="shared" si="48"/>
        <v>844.72479285532665</v>
      </c>
      <c r="Q187" s="2255">
        <v>0</v>
      </c>
      <c r="R187" s="2256">
        <v>0</v>
      </c>
      <c r="S187" s="2268">
        <f t="shared" si="49"/>
        <v>0</v>
      </c>
      <c r="T187" s="2255">
        <f>N187+Q187</f>
        <v>818.92854372789793</v>
      </c>
      <c r="U187" s="2256">
        <f>O187+R187</f>
        <v>870.52104198275538</v>
      </c>
      <c r="V187" s="2268">
        <f t="shared" si="50"/>
        <v>844.72479285532665</v>
      </c>
      <c r="W187" s="2377">
        <f>T187/$T$272*$N$272</f>
        <v>178.42082074470886</v>
      </c>
      <c r="X187" s="2256">
        <f>U187/$T$272*$N$272</f>
        <v>189.66133245162553</v>
      </c>
      <c r="Y187" s="2268">
        <f t="shared" si="52"/>
        <v>184.04107659816719</v>
      </c>
      <c r="Z187" s="2886">
        <f>T187/$T$272*$Z$272</f>
        <v>640.50772298318896</v>
      </c>
      <c r="AA187" s="2887">
        <f>U187/$T$272*$Z$272</f>
        <v>680.85970953112985</v>
      </c>
      <c r="AB187" s="2268">
        <f t="shared" si="51"/>
        <v>660.6837162571594</v>
      </c>
      <c r="AC187" s="2114">
        <f t="shared" si="44"/>
        <v>0</v>
      </c>
      <c r="AD187" s="2114"/>
      <c r="AE187" s="2114"/>
      <c r="AF187" s="2113"/>
      <c r="AG187" s="2113"/>
      <c r="AH187" s="2113"/>
      <c r="AI187" s="2113"/>
    </row>
    <row r="188" spans="1:35" s="2218" customFormat="1">
      <c r="A188" s="2235">
        <v>271</v>
      </c>
      <c r="B188" s="2281" t="s">
        <v>2002</v>
      </c>
      <c r="C188" s="2282" t="s">
        <v>1505</v>
      </c>
      <c r="D188" s="2283"/>
      <c r="E188" s="2284">
        <f>'[3]НВВ очистка)'!K489</f>
        <v>0.11936326075252701</v>
      </c>
      <c r="F188" s="2285">
        <f>'[3]НВВ очистка)'!L489</f>
        <v>0.11936326075252701</v>
      </c>
      <c r="G188" s="2257">
        <f t="shared" si="45"/>
        <v>0.11936326075252701</v>
      </c>
      <c r="H188" s="2285">
        <f>'[3]НВВ очистка)'!T489</f>
        <v>0.2863514265825523</v>
      </c>
      <c r="I188" s="2285">
        <f>'[3]НВВ очистка)'!U489</f>
        <v>0.28035092164034037</v>
      </c>
      <c r="J188" s="2257">
        <f t="shared" si="46"/>
        <v>0.28335117411144634</v>
      </c>
      <c r="K188" s="2285">
        <f>'[3]НВВ очистка)'!AC489</f>
        <v>0.32876748898836572</v>
      </c>
      <c r="L188" s="2285">
        <f>'[3]НВВ очистка)'!AD489</f>
        <v>0.32876748898836572</v>
      </c>
      <c r="M188" s="2259">
        <f t="shared" si="47"/>
        <v>0.32876748898836572</v>
      </c>
      <c r="N188" s="2284">
        <v>0.35425827041852065</v>
      </c>
      <c r="O188" s="2285">
        <v>0.35425827041852065</v>
      </c>
      <c r="P188" s="2259">
        <f t="shared" si="48"/>
        <v>0.35425827041852065</v>
      </c>
      <c r="Q188" s="2381">
        <v>0</v>
      </c>
      <c r="R188" s="2382">
        <v>0</v>
      </c>
      <c r="S188" s="2268">
        <f t="shared" si="49"/>
        <v>0</v>
      </c>
      <c r="T188" s="2294">
        <f>N188+Q188</f>
        <v>0.35425827041852065</v>
      </c>
      <c r="U188" s="2285">
        <f>O188+R188</f>
        <v>0.35425827041852065</v>
      </c>
      <c r="V188" s="2268">
        <f t="shared" si="50"/>
        <v>0.35425827041852065</v>
      </c>
      <c r="W188" s="2888">
        <f>T188/$T$272*$W$272</f>
        <v>7.7182620935331611E-2</v>
      </c>
      <c r="X188" s="2889">
        <f>U188/$T$272*$W$272</f>
        <v>7.7182620935331611E-2</v>
      </c>
      <c r="Y188" s="2268">
        <f t="shared" si="52"/>
        <v>7.7182620935331611E-2</v>
      </c>
      <c r="Z188" s="2888">
        <f>T188/$T$272*$Z$272</f>
        <v>0.27707564948318902</v>
      </c>
      <c r="AA188" s="2889">
        <f>U188/$T$272*$Z$272</f>
        <v>0.27707564948318902</v>
      </c>
      <c r="AB188" s="2268">
        <f t="shared" si="51"/>
        <v>0.27707564948318902</v>
      </c>
      <c r="AC188" s="2114">
        <f t="shared" si="44"/>
        <v>0</v>
      </c>
      <c r="AD188" s="2114"/>
      <c r="AE188" s="2114"/>
      <c r="AF188" s="2113"/>
      <c r="AG188" s="2113"/>
      <c r="AH188" s="2113"/>
      <c r="AI188" s="2113"/>
    </row>
    <row r="189" spans="1:35" s="2218" customFormat="1">
      <c r="A189" s="2235">
        <v>272</v>
      </c>
      <c r="B189" s="2281" t="s">
        <v>2004</v>
      </c>
      <c r="C189" s="2282" t="s">
        <v>2005</v>
      </c>
      <c r="D189" s="2283" t="s">
        <v>1934</v>
      </c>
      <c r="E189" s="2284">
        <f>'[3]НВВ очистка)'!K490</f>
        <v>1717.2586703329607</v>
      </c>
      <c r="F189" s="2285">
        <f>'[3]НВВ очистка)'!L490</f>
        <v>1777.3627237946166</v>
      </c>
      <c r="G189" s="2257">
        <f t="shared" si="45"/>
        <v>1747.3106970637887</v>
      </c>
      <c r="H189" s="2285">
        <f>'[3]НВВ очистка)'!T490</f>
        <v>1833.5129792772705</v>
      </c>
      <c r="I189" s="2285">
        <f>'[3]НВВ очистка)'!U490</f>
        <v>1882.6944923563362</v>
      </c>
      <c r="J189" s="2257">
        <f t="shared" si="46"/>
        <v>1858.1037358168032</v>
      </c>
      <c r="K189" s="2285">
        <f>'[3]НВВ очистка)'!AC490</f>
        <v>2048.125008893634</v>
      </c>
      <c r="L189" s="2285">
        <f>'[3]НВВ очистка)'!AD490</f>
        <v>2120.7990139184467</v>
      </c>
      <c r="M189" s="2259">
        <f t="shared" si="47"/>
        <v>2084.4620114060403</v>
      </c>
      <c r="N189" s="2284">
        <v>2311.6709251711072</v>
      </c>
      <c r="O189" s="2285">
        <v>2457.3061934568868</v>
      </c>
      <c r="P189" s="2259">
        <f t="shared" si="48"/>
        <v>2384.488559313997</v>
      </c>
      <c r="Q189" s="2284">
        <v>0</v>
      </c>
      <c r="R189" s="2285">
        <v>0</v>
      </c>
      <c r="S189" s="2268">
        <f t="shared" si="49"/>
        <v>0</v>
      </c>
      <c r="T189" s="2284">
        <f>T187/T188</f>
        <v>2311.6709251711072</v>
      </c>
      <c r="U189" s="2285">
        <f>U187/U188</f>
        <v>2457.3061934568868</v>
      </c>
      <c r="V189" s="2268">
        <f t="shared" si="50"/>
        <v>2384.488559313997</v>
      </c>
      <c r="W189" s="2284">
        <f>W187/W188</f>
        <v>2311.6709251711068</v>
      </c>
      <c r="X189" s="2285">
        <f>X187/X188</f>
        <v>2457.3061934568864</v>
      </c>
      <c r="Y189" s="2268">
        <f t="shared" si="52"/>
        <v>2384.4885593139966</v>
      </c>
      <c r="Z189" s="2284">
        <f>Z187/Z188</f>
        <v>2311.6709251711072</v>
      </c>
      <c r="AA189" s="2285">
        <f>AA187/AA188</f>
        <v>2457.3061934568868</v>
      </c>
      <c r="AB189" s="2268">
        <f t="shared" si="51"/>
        <v>2384.488559313997</v>
      </c>
      <c r="AC189" s="2114"/>
      <c r="AD189" s="2114"/>
      <c r="AE189" s="2114"/>
      <c r="AF189" s="2113"/>
      <c r="AG189" s="2113"/>
      <c r="AH189" s="2113"/>
      <c r="AI189" s="2113"/>
    </row>
    <row r="190" spans="1:35" s="2218" customFormat="1" ht="19.5" customHeight="1">
      <c r="A190" s="2235">
        <v>70</v>
      </c>
      <c r="B190" s="2281" t="s">
        <v>2007</v>
      </c>
      <c r="C190" s="2282" t="s">
        <v>2008</v>
      </c>
      <c r="D190" s="2283" t="s">
        <v>1317</v>
      </c>
      <c r="E190" s="2284">
        <f>'[3]НВВ очистка)'!K491</f>
        <v>0</v>
      </c>
      <c r="F190" s="2285">
        <f>'[3]НВВ очистка)'!L491</f>
        <v>0</v>
      </c>
      <c r="G190" s="2257">
        <f t="shared" si="45"/>
        <v>0</v>
      </c>
      <c r="H190" s="2285">
        <f>'[3]НВВ очистка)'!T491</f>
        <v>4.3897166397182642E-2</v>
      </c>
      <c r="I190" s="2285">
        <f>'[3]НВВ очистка)'!U491</f>
        <v>0</v>
      </c>
      <c r="J190" s="2257">
        <f t="shared" si="46"/>
        <v>2.1948583198591321E-2</v>
      </c>
      <c r="K190" s="2285">
        <f>'[3]НВВ очистка)'!AC491</f>
        <v>0</v>
      </c>
      <c r="L190" s="2285">
        <f>'[3]НВВ очистка)'!AD491</f>
        <v>0</v>
      </c>
      <c r="M190" s="2259">
        <f t="shared" si="47"/>
        <v>0</v>
      </c>
      <c r="N190" s="2284"/>
      <c r="O190" s="2285"/>
      <c r="P190" s="2259">
        <f t="shared" si="48"/>
        <v>0</v>
      </c>
      <c r="Q190" s="2284">
        <v>0</v>
      </c>
      <c r="R190" s="2285">
        <v>0</v>
      </c>
      <c r="S190" s="2268">
        <f t="shared" si="49"/>
        <v>0</v>
      </c>
      <c r="T190" s="2284">
        <v>0</v>
      </c>
      <c r="U190" s="2285">
        <v>0</v>
      </c>
      <c r="V190" s="2268">
        <f t="shared" si="50"/>
        <v>0</v>
      </c>
      <c r="W190" s="2888">
        <f>T190/$T$272*$W$272</f>
        <v>0</v>
      </c>
      <c r="X190" s="2889">
        <f>U190/$T$272*$W$272</f>
        <v>0</v>
      </c>
      <c r="Y190" s="2268">
        <f t="shared" si="52"/>
        <v>0</v>
      </c>
      <c r="Z190" s="2888">
        <f t="shared" ref="Z190:AA192" si="59">T190/$T$272*$Z$272</f>
        <v>0</v>
      </c>
      <c r="AA190" s="2889">
        <f t="shared" si="59"/>
        <v>0</v>
      </c>
      <c r="AB190" s="2268">
        <f t="shared" si="51"/>
        <v>0</v>
      </c>
      <c r="AC190" s="2114">
        <f t="shared" ref="AC190:AC239" si="60">Y190+AB190-V190</f>
        <v>0</v>
      </c>
      <c r="AD190" s="2114"/>
      <c r="AE190" s="2114"/>
      <c r="AF190" s="2113"/>
      <c r="AG190" s="2113"/>
      <c r="AH190" s="2113"/>
      <c r="AI190" s="2113"/>
    </row>
    <row r="191" spans="1:35" s="2218" customFormat="1" ht="24" customHeight="1">
      <c r="A191" s="2235">
        <v>273</v>
      </c>
      <c r="B191" s="2279" t="s">
        <v>2009</v>
      </c>
      <c r="C191" s="2280" t="s">
        <v>2010</v>
      </c>
      <c r="D191" s="2254" t="s">
        <v>1313</v>
      </c>
      <c r="E191" s="2255">
        <f>E192*E193</f>
        <v>0</v>
      </c>
      <c r="F191" s="2256">
        <f>F192*F193</f>
        <v>0</v>
      </c>
      <c r="G191" s="2257">
        <f t="shared" si="45"/>
        <v>0</v>
      </c>
      <c r="H191" s="2256">
        <f>H192*H193</f>
        <v>0</v>
      </c>
      <c r="I191" s="2256">
        <f>I192*I193</f>
        <v>0</v>
      </c>
      <c r="J191" s="2257">
        <f t="shared" si="46"/>
        <v>0</v>
      </c>
      <c r="K191" s="2256">
        <f>K192*K193</f>
        <v>0</v>
      </c>
      <c r="L191" s="2256">
        <f>L192*L193</f>
        <v>0</v>
      </c>
      <c r="M191" s="2259">
        <f t="shared" si="47"/>
        <v>0</v>
      </c>
      <c r="N191" s="2255">
        <v>0</v>
      </c>
      <c r="O191" s="2256">
        <v>0</v>
      </c>
      <c r="P191" s="2259">
        <f t="shared" si="48"/>
        <v>0</v>
      </c>
      <c r="Q191" s="2255">
        <v>0</v>
      </c>
      <c r="R191" s="2256">
        <v>0</v>
      </c>
      <c r="S191" s="2268">
        <f t="shared" si="49"/>
        <v>0</v>
      </c>
      <c r="T191" s="2255">
        <v>0</v>
      </c>
      <c r="U191" s="2256">
        <v>0</v>
      </c>
      <c r="V191" s="2268">
        <f t="shared" si="50"/>
        <v>0</v>
      </c>
      <c r="W191" s="2377">
        <f>T191/$T$272*$N$272</f>
        <v>0</v>
      </c>
      <c r="X191" s="2256">
        <f>U191/$T$272*$N$272</f>
        <v>0</v>
      </c>
      <c r="Y191" s="2268">
        <f t="shared" si="52"/>
        <v>0</v>
      </c>
      <c r="Z191" s="2886">
        <f t="shared" si="59"/>
        <v>0</v>
      </c>
      <c r="AA191" s="2887">
        <f t="shared" si="59"/>
        <v>0</v>
      </c>
      <c r="AB191" s="2268">
        <f t="shared" si="51"/>
        <v>0</v>
      </c>
      <c r="AC191" s="2114">
        <f t="shared" si="60"/>
        <v>0</v>
      </c>
      <c r="AD191" s="2114"/>
      <c r="AE191" s="2114"/>
      <c r="AF191" s="2113"/>
      <c r="AG191" s="2113"/>
      <c r="AH191" s="2113"/>
      <c r="AI191" s="2113"/>
    </row>
    <row r="192" spans="1:35" s="2218" customFormat="1" ht="24" customHeight="1">
      <c r="A192" s="2235">
        <v>274</v>
      </c>
      <c r="B192" s="2281" t="s">
        <v>2011</v>
      </c>
      <c r="C192" s="2282" t="s">
        <v>1505</v>
      </c>
      <c r="D192" s="2283" t="s">
        <v>2012</v>
      </c>
      <c r="E192" s="2284"/>
      <c r="F192" s="2285"/>
      <c r="G192" s="2257">
        <f t="shared" si="45"/>
        <v>0</v>
      </c>
      <c r="H192" s="2285"/>
      <c r="I192" s="2285"/>
      <c r="J192" s="2257">
        <f t="shared" si="46"/>
        <v>0</v>
      </c>
      <c r="K192" s="2285"/>
      <c r="L192" s="2285"/>
      <c r="M192" s="2259">
        <f t="shared" si="47"/>
        <v>0</v>
      </c>
      <c r="N192" s="2284"/>
      <c r="O192" s="2285"/>
      <c r="P192" s="2259">
        <f t="shared" si="48"/>
        <v>0</v>
      </c>
      <c r="Q192" s="2294">
        <v>0</v>
      </c>
      <c r="R192" s="2296">
        <v>0</v>
      </c>
      <c r="S192" s="2268">
        <f t="shared" si="49"/>
        <v>0</v>
      </c>
      <c r="T192" s="2294">
        <v>0</v>
      </c>
      <c r="U192" s="2296">
        <v>0</v>
      </c>
      <c r="V192" s="2268">
        <f t="shared" si="50"/>
        <v>0</v>
      </c>
      <c r="W192" s="2888">
        <f>T192/$T$272*$W$272</f>
        <v>0</v>
      </c>
      <c r="X192" s="2889">
        <f>U192/$T$272*$W$272</f>
        <v>0</v>
      </c>
      <c r="Y192" s="2268">
        <f t="shared" si="52"/>
        <v>0</v>
      </c>
      <c r="Z192" s="2888">
        <f t="shared" si="59"/>
        <v>0</v>
      </c>
      <c r="AA192" s="2889">
        <f t="shared" si="59"/>
        <v>0</v>
      </c>
      <c r="AB192" s="2268">
        <f t="shared" si="51"/>
        <v>0</v>
      </c>
      <c r="AC192" s="2114">
        <f t="shared" si="60"/>
        <v>0</v>
      </c>
      <c r="AD192" s="2114"/>
      <c r="AE192" s="2114"/>
      <c r="AF192" s="2113"/>
      <c r="AG192" s="2113"/>
      <c r="AH192" s="2113"/>
      <c r="AI192" s="2113"/>
    </row>
    <row r="193" spans="1:39" s="2218" customFormat="1" ht="24" customHeight="1">
      <c r="A193" s="2235">
        <v>275</v>
      </c>
      <c r="B193" s="2281" t="s">
        <v>2014</v>
      </c>
      <c r="C193" s="2282" t="s">
        <v>2005</v>
      </c>
      <c r="D193" s="2283" t="s">
        <v>1934</v>
      </c>
      <c r="E193" s="2284"/>
      <c r="F193" s="2285"/>
      <c r="G193" s="2257">
        <f t="shared" si="45"/>
        <v>0</v>
      </c>
      <c r="H193" s="2285"/>
      <c r="I193" s="2285"/>
      <c r="J193" s="2257">
        <f t="shared" si="46"/>
        <v>0</v>
      </c>
      <c r="K193" s="2285"/>
      <c r="L193" s="2285"/>
      <c r="M193" s="2259">
        <f t="shared" si="47"/>
        <v>0</v>
      </c>
      <c r="N193" s="2284"/>
      <c r="O193" s="2285"/>
      <c r="P193" s="2259">
        <f t="shared" si="48"/>
        <v>0</v>
      </c>
      <c r="Q193" s="2284">
        <v>0</v>
      </c>
      <c r="R193" s="2474">
        <v>0</v>
      </c>
      <c r="S193" s="2268">
        <f t="shared" si="49"/>
        <v>0</v>
      </c>
      <c r="T193" s="2284">
        <v>0</v>
      </c>
      <c r="U193" s="2474">
        <v>0</v>
      </c>
      <c r="V193" s="2268">
        <f t="shared" si="50"/>
        <v>0</v>
      </c>
      <c r="W193" s="2284" t="e">
        <f>W191/W192</f>
        <v>#DIV/0!</v>
      </c>
      <c r="X193" s="2285" t="e">
        <f>X191/X192</f>
        <v>#DIV/0!</v>
      </c>
      <c r="Y193" s="2268" t="e">
        <f t="shared" si="52"/>
        <v>#DIV/0!</v>
      </c>
      <c r="Z193" s="2284" t="e">
        <f>Z191/Z192</f>
        <v>#DIV/0!</v>
      </c>
      <c r="AA193" s="2285" t="e">
        <f>AA191/AA192</f>
        <v>#DIV/0!</v>
      </c>
      <c r="AB193" s="2268" t="e">
        <f t="shared" si="51"/>
        <v>#DIV/0!</v>
      </c>
      <c r="AC193" s="2114" t="e">
        <f t="shared" si="60"/>
        <v>#DIV/0!</v>
      </c>
      <c r="AD193" s="2114"/>
      <c r="AE193" s="2114"/>
      <c r="AF193" s="2113"/>
      <c r="AG193" s="2113"/>
      <c r="AH193" s="2113"/>
      <c r="AI193" s="2113"/>
    </row>
    <row r="194" spans="1:39" s="2218" customFormat="1" ht="20.25" customHeight="1">
      <c r="A194" s="2235">
        <v>72</v>
      </c>
      <c r="B194" s="2279" t="s">
        <v>2015</v>
      </c>
      <c r="C194" s="2280" t="s">
        <v>2016</v>
      </c>
      <c r="D194" s="2254" t="s">
        <v>1317</v>
      </c>
      <c r="E194" s="2255">
        <f>E195*E196</f>
        <v>0</v>
      </c>
      <c r="F194" s="2256">
        <f>F195*F196</f>
        <v>0</v>
      </c>
      <c r="G194" s="2257">
        <f t="shared" si="45"/>
        <v>0</v>
      </c>
      <c r="H194" s="2256">
        <f>H195*H196</f>
        <v>0</v>
      </c>
      <c r="I194" s="2256">
        <f>I195*I196</f>
        <v>0</v>
      </c>
      <c r="J194" s="2257">
        <f t="shared" si="46"/>
        <v>0</v>
      </c>
      <c r="K194" s="2256">
        <f>K195*K196</f>
        <v>0</v>
      </c>
      <c r="L194" s="2256">
        <f>L195*L196</f>
        <v>0</v>
      </c>
      <c r="M194" s="2259">
        <f t="shared" si="47"/>
        <v>0</v>
      </c>
      <c r="N194" s="2255">
        <v>0</v>
      </c>
      <c r="O194" s="2256">
        <v>0</v>
      </c>
      <c r="P194" s="2259">
        <f t="shared" si="48"/>
        <v>0</v>
      </c>
      <c r="Q194" s="2255">
        <v>0</v>
      </c>
      <c r="R194" s="2256">
        <v>0</v>
      </c>
      <c r="S194" s="2268">
        <f t="shared" si="49"/>
        <v>0</v>
      </c>
      <c r="T194" s="2255">
        <v>0</v>
      </c>
      <c r="U194" s="2256">
        <v>0</v>
      </c>
      <c r="V194" s="2268">
        <f t="shared" si="50"/>
        <v>0</v>
      </c>
      <c r="W194" s="2377">
        <f>T194/$T$272*$N$272</f>
        <v>0</v>
      </c>
      <c r="X194" s="2256">
        <f>U194/$T$272*$N$272</f>
        <v>0</v>
      </c>
      <c r="Y194" s="2268">
        <f t="shared" si="52"/>
        <v>0</v>
      </c>
      <c r="Z194" s="2886">
        <f>T194/$T$272*$Z$272</f>
        <v>0</v>
      </c>
      <c r="AA194" s="2887">
        <f>U194/$T$272*$Z$272</f>
        <v>0</v>
      </c>
      <c r="AB194" s="2268">
        <f t="shared" si="51"/>
        <v>0</v>
      </c>
      <c r="AC194" s="2114">
        <f t="shared" si="60"/>
        <v>0</v>
      </c>
      <c r="AD194" s="2114"/>
      <c r="AE194" s="2114"/>
      <c r="AF194" s="2113"/>
      <c r="AG194" s="2113"/>
      <c r="AH194" s="2113"/>
      <c r="AI194" s="2113"/>
    </row>
    <row r="195" spans="1:39" s="2218" customFormat="1" ht="24" customHeight="1">
      <c r="A195" s="2235">
        <v>74</v>
      </c>
      <c r="B195" s="2281" t="s">
        <v>2017</v>
      </c>
      <c r="C195" s="2282" t="s">
        <v>2018</v>
      </c>
      <c r="D195" s="2283" t="s">
        <v>1983</v>
      </c>
      <c r="E195" s="2284"/>
      <c r="F195" s="2285"/>
      <c r="G195" s="2257">
        <f t="shared" si="45"/>
        <v>0</v>
      </c>
      <c r="H195" s="2285"/>
      <c r="I195" s="2285"/>
      <c r="J195" s="2257">
        <f t="shared" si="46"/>
        <v>0</v>
      </c>
      <c r="K195" s="2285"/>
      <c r="L195" s="2285"/>
      <c r="M195" s="2259">
        <f t="shared" si="47"/>
        <v>0</v>
      </c>
      <c r="N195" s="2284"/>
      <c r="O195" s="2285"/>
      <c r="P195" s="2259">
        <f t="shared" si="48"/>
        <v>0</v>
      </c>
      <c r="Q195" s="2294">
        <v>0</v>
      </c>
      <c r="R195" s="2296">
        <v>0</v>
      </c>
      <c r="S195" s="2268">
        <f t="shared" si="49"/>
        <v>0</v>
      </c>
      <c r="T195" s="2294">
        <v>0</v>
      </c>
      <c r="U195" s="2296">
        <v>0</v>
      </c>
      <c r="V195" s="2268">
        <f t="shared" si="50"/>
        <v>0</v>
      </c>
      <c r="W195" s="2888">
        <f>T195/$T$272*$W$272</f>
        <v>0</v>
      </c>
      <c r="X195" s="2889">
        <f>U195/$T$272*$W$272</f>
        <v>0</v>
      </c>
      <c r="Y195" s="2268">
        <f t="shared" si="52"/>
        <v>0</v>
      </c>
      <c r="Z195" s="2888">
        <f>T195/$T$272*$Z$272</f>
        <v>0</v>
      </c>
      <c r="AA195" s="2889">
        <f>U195/$T$272*$Z$272</f>
        <v>0</v>
      </c>
      <c r="AB195" s="2268">
        <f t="shared" si="51"/>
        <v>0</v>
      </c>
      <c r="AC195" s="2114">
        <f t="shared" si="60"/>
        <v>0</v>
      </c>
      <c r="AD195" s="2114"/>
      <c r="AE195" s="2114"/>
      <c r="AF195" s="2113"/>
      <c r="AG195" s="2113"/>
      <c r="AH195" s="2113"/>
      <c r="AI195" s="2113"/>
    </row>
    <row r="196" spans="1:39" s="2218" customFormat="1" ht="18.75" customHeight="1">
      <c r="A196" s="2235">
        <v>73</v>
      </c>
      <c r="B196" s="2281" t="s">
        <v>2020</v>
      </c>
      <c r="C196" s="2282" t="s">
        <v>2005</v>
      </c>
      <c r="D196" s="2283" t="s">
        <v>1986</v>
      </c>
      <c r="E196" s="2284"/>
      <c r="F196" s="2285"/>
      <c r="G196" s="2257">
        <f t="shared" si="45"/>
        <v>0</v>
      </c>
      <c r="H196" s="2285"/>
      <c r="I196" s="2285"/>
      <c r="J196" s="2257">
        <f t="shared" si="46"/>
        <v>0</v>
      </c>
      <c r="K196" s="2285"/>
      <c r="L196" s="2285"/>
      <c r="M196" s="2259">
        <f t="shared" si="47"/>
        <v>0</v>
      </c>
      <c r="N196" s="2284"/>
      <c r="O196" s="2285"/>
      <c r="P196" s="2259">
        <f t="shared" si="48"/>
        <v>0</v>
      </c>
      <c r="Q196" s="2284">
        <v>0</v>
      </c>
      <c r="R196" s="2474">
        <v>0</v>
      </c>
      <c r="S196" s="2268">
        <f t="shared" si="49"/>
        <v>0</v>
      </c>
      <c r="T196" s="2284">
        <v>0</v>
      </c>
      <c r="U196" s="2474">
        <v>0</v>
      </c>
      <c r="V196" s="2268">
        <f t="shared" si="50"/>
        <v>0</v>
      </c>
      <c r="W196" s="2284" t="e">
        <f>W194/W195</f>
        <v>#DIV/0!</v>
      </c>
      <c r="X196" s="2285" t="e">
        <f>X194/X195</f>
        <v>#DIV/0!</v>
      </c>
      <c r="Y196" s="2268" t="e">
        <f t="shared" si="52"/>
        <v>#DIV/0!</v>
      </c>
      <c r="Z196" s="2284" t="e">
        <f>Z194/Z195</f>
        <v>#DIV/0!</v>
      </c>
      <c r="AA196" s="2285" t="e">
        <f>AA194/AA195</f>
        <v>#DIV/0!</v>
      </c>
      <c r="AB196" s="2268" t="e">
        <f t="shared" si="51"/>
        <v>#DIV/0!</v>
      </c>
      <c r="AC196" s="2114" t="e">
        <f t="shared" si="60"/>
        <v>#DIV/0!</v>
      </c>
      <c r="AD196" s="2114"/>
      <c r="AE196" s="2114"/>
      <c r="AF196" s="2113"/>
      <c r="AG196" s="2113"/>
      <c r="AH196" s="2113"/>
      <c r="AI196" s="2113"/>
    </row>
    <row r="197" spans="1:39" s="2218" customFormat="1" ht="22.5" customHeight="1">
      <c r="A197" s="2235">
        <v>260</v>
      </c>
      <c r="B197" s="2281" t="s">
        <v>2021</v>
      </c>
      <c r="C197" s="2282" t="s">
        <v>2022</v>
      </c>
      <c r="D197" s="2283" t="s">
        <v>1313</v>
      </c>
      <c r="E197" s="2284"/>
      <c r="F197" s="2285"/>
      <c r="G197" s="2257">
        <f t="shared" si="45"/>
        <v>0</v>
      </c>
      <c r="H197" s="2285"/>
      <c r="I197" s="2285"/>
      <c r="J197" s="2257">
        <f t="shared" si="46"/>
        <v>0</v>
      </c>
      <c r="K197" s="2285"/>
      <c r="L197" s="2285"/>
      <c r="M197" s="2259">
        <f t="shared" si="47"/>
        <v>0</v>
      </c>
      <c r="N197" s="2284"/>
      <c r="O197" s="2285"/>
      <c r="P197" s="2259">
        <f t="shared" si="48"/>
        <v>0</v>
      </c>
      <c r="Q197" s="2284">
        <v>0</v>
      </c>
      <c r="R197" s="2285">
        <v>0</v>
      </c>
      <c r="S197" s="2268">
        <f t="shared" ref="S197:S260" si="61">Q197/2+R197/2</f>
        <v>0</v>
      </c>
      <c r="T197" s="2284">
        <v>0</v>
      </c>
      <c r="U197" s="2285">
        <v>0</v>
      </c>
      <c r="V197" s="2268">
        <f t="shared" ref="V197:V260" si="62">T197/2+U197/2</f>
        <v>0</v>
      </c>
      <c r="W197" s="2284">
        <v>0</v>
      </c>
      <c r="X197" s="2285">
        <v>0</v>
      </c>
      <c r="Y197" s="2268">
        <f t="shared" si="52"/>
        <v>0</v>
      </c>
      <c r="Z197" s="2284">
        <v>0</v>
      </c>
      <c r="AA197" s="2285">
        <v>0</v>
      </c>
      <c r="AB197" s="2268">
        <f t="shared" ref="AB197:AB260" si="63">Z197/2+AA197/2</f>
        <v>0</v>
      </c>
      <c r="AC197" s="2114">
        <f t="shared" si="60"/>
        <v>0</v>
      </c>
      <c r="AD197" s="2114"/>
      <c r="AE197" s="2114"/>
      <c r="AF197" s="2113"/>
      <c r="AG197" s="2113"/>
      <c r="AH197" s="2113"/>
      <c r="AI197" s="2113"/>
    </row>
    <row r="198" spans="1:39" s="2218" customFormat="1" ht="30.75" customHeight="1">
      <c r="A198" s="2235">
        <v>261</v>
      </c>
      <c r="B198" s="2281" t="s">
        <v>2023</v>
      </c>
      <c r="C198" s="2282" t="s">
        <v>2024</v>
      </c>
      <c r="D198" s="2283" t="s">
        <v>1313</v>
      </c>
      <c r="E198" s="2284"/>
      <c r="F198" s="2285"/>
      <c r="G198" s="2257">
        <f t="shared" si="45"/>
        <v>0</v>
      </c>
      <c r="H198" s="2285"/>
      <c r="I198" s="2285"/>
      <c r="J198" s="2257">
        <f t="shared" si="46"/>
        <v>0</v>
      </c>
      <c r="K198" s="2285"/>
      <c r="L198" s="2285"/>
      <c r="M198" s="2259">
        <f t="shared" si="47"/>
        <v>0</v>
      </c>
      <c r="N198" s="2284"/>
      <c r="O198" s="2285"/>
      <c r="P198" s="2259">
        <f t="shared" si="48"/>
        <v>0</v>
      </c>
      <c r="Q198" s="2284">
        <v>0</v>
      </c>
      <c r="R198" s="2285">
        <v>0</v>
      </c>
      <c r="S198" s="2268">
        <f t="shared" si="61"/>
        <v>0</v>
      </c>
      <c r="T198" s="2284">
        <v>0</v>
      </c>
      <c r="U198" s="2285">
        <v>0</v>
      </c>
      <c r="V198" s="2268">
        <f t="shared" si="62"/>
        <v>0</v>
      </c>
      <c r="W198" s="2284">
        <v>0</v>
      </c>
      <c r="X198" s="2285">
        <v>0</v>
      </c>
      <c r="Y198" s="2268">
        <f t="shared" si="52"/>
        <v>0</v>
      </c>
      <c r="Z198" s="2284">
        <v>0</v>
      </c>
      <c r="AA198" s="2285">
        <v>0</v>
      </c>
      <c r="AB198" s="2268">
        <f t="shared" si="63"/>
        <v>0</v>
      </c>
      <c r="AC198" s="2114">
        <f t="shared" si="60"/>
        <v>0</v>
      </c>
      <c r="AD198" s="2114"/>
      <c r="AE198" s="2114"/>
      <c r="AF198" s="2113"/>
      <c r="AG198" s="2113"/>
      <c r="AH198" s="2113"/>
      <c r="AI198" s="2113"/>
    </row>
    <row r="199" spans="1:39" s="2218" customFormat="1" ht="21" customHeight="1">
      <c r="A199" s="2235">
        <v>262</v>
      </c>
      <c r="B199" s="2281" t="s">
        <v>2025</v>
      </c>
      <c r="C199" s="2282" t="s">
        <v>2026</v>
      </c>
      <c r="D199" s="2283" t="s">
        <v>1313</v>
      </c>
      <c r="E199" s="2284"/>
      <c r="F199" s="2285"/>
      <c r="G199" s="2257">
        <f t="shared" si="45"/>
        <v>0</v>
      </c>
      <c r="H199" s="2285"/>
      <c r="I199" s="2285"/>
      <c r="J199" s="2257">
        <f t="shared" si="46"/>
        <v>0</v>
      </c>
      <c r="K199" s="2285"/>
      <c r="L199" s="2285"/>
      <c r="M199" s="2259">
        <f t="shared" si="47"/>
        <v>0</v>
      </c>
      <c r="N199" s="2284"/>
      <c r="O199" s="2285"/>
      <c r="P199" s="2259">
        <f t="shared" si="48"/>
        <v>0</v>
      </c>
      <c r="Q199" s="2284">
        <v>0</v>
      </c>
      <c r="R199" s="2285">
        <v>0</v>
      </c>
      <c r="S199" s="2268">
        <f t="shared" si="61"/>
        <v>0</v>
      </c>
      <c r="T199" s="2284">
        <v>0</v>
      </c>
      <c r="U199" s="2285">
        <v>0</v>
      </c>
      <c r="V199" s="2268">
        <f t="shared" si="62"/>
        <v>0</v>
      </c>
      <c r="W199" s="2284">
        <v>0</v>
      </c>
      <c r="X199" s="2285">
        <v>0</v>
      </c>
      <c r="Y199" s="2268">
        <f t="shared" ref="Y199:Y262" si="64">W199/2+X199/2</f>
        <v>0</v>
      </c>
      <c r="Z199" s="2284">
        <v>0</v>
      </c>
      <c r="AA199" s="2285">
        <v>0</v>
      </c>
      <c r="AB199" s="2268">
        <f t="shared" si="63"/>
        <v>0</v>
      </c>
      <c r="AC199" s="2114">
        <f t="shared" si="60"/>
        <v>0</v>
      </c>
      <c r="AD199" s="2114"/>
      <c r="AE199" s="2114"/>
      <c r="AF199" s="2113"/>
      <c r="AG199" s="2113"/>
      <c r="AH199" s="2113"/>
      <c r="AI199" s="2113"/>
    </row>
    <row r="200" spans="1:39" s="2218" customFormat="1" ht="35.25" customHeight="1">
      <c r="A200" s="2235">
        <v>279</v>
      </c>
      <c r="B200" s="2279" t="s">
        <v>2027</v>
      </c>
      <c r="C200" s="2280" t="s">
        <v>2028</v>
      </c>
      <c r="D200" s="2254" t="s">
        <v>1313</v>
      </c>
      <c r="E200" s="2255">
        <f>E201*E202</f>
        <v>12330.762970588155</v>
      </c>
      <c r="F200" s="2256">
        <f>F201*F202</f>
        <v>12823.993489411689</v>
      </c>
      <c r="G200" s="2257">
        <f t="shared" si="45"/>
        <v>12577.378229999922</v>
      </c>
      <c r="H200" s="2256">
        <f>H201*H202</f>
        <v>30740.191041257392</v>
      </c>
      <c r="I200" s="2256">
        <f>I201*I202</f>
        <v>31846.837918742633</v>
      </c>
      <c r="J200" s="2257">
        <f t="shared" si="46"/>
        <v>31293.514480000013</v>
      </c>
      <c r="K200" s="2256">
        <f>K201*K202</f>
        <v>33349.297290640461</v>
      </c>
      <c r="L200" s="2256">
        <f>L201*L202</f>
        <v>34349.776209359683</v>
      </c>
      <c r="M200" s="2259">
        <f t="shared" si="47"/>
        <v>33849.536750000072</v>
      </c>
      <c r="N200" s="2255">
        <v>0</v>
      </c>
      <c r="O200" s="2256">
        <f>O201*O202</f>
        <v>26931.163607218903</v>
      </c>
      <c r="P200" s="2259">
        <f t="shared" si="48"/>
        <v>13465.581803609452</v>
      </c>
      <c r="Q200" s="2377">
        <v>132998.52744000001</v>
      </c>
      <c r="R200" s="2256">
        <f>R201*R202</f>
        <v>141377.43466872</v>
      </c>
      <c r="S200" s="2268">
        <f t="shared" si="61"/>
        <v>137187.98105435999</v>
      </c>
      <c r="T200" s="2255">
        <f>N200+Q200</f>
        <v>132998.52744000001</v>
      </c>
      <c r="U200" s="2256">
        <f>O200+R200</f>
        <v>168308.59827593892</v>
      </c>
      <c r="V200" s="2268">
        <f t="shared" si="62"/>
        <v>150653.56285796946</v>
      </c>
      <c r="W200" s="2949">
        <f>W201*W202</f>
        <v>28976.528667154456</v>
      </c>
      <c r="X200" s="2949">
        <f>X201*X202</f>
        <v>14106.260877490065</v>
      </c>
      <c r="Y200" s="2268">
        <f t="shared" si="64"/>
        <v>21541.394772322259</v>
      </c>
      <c r="Z200" s="2949">
        <f>Z201*Z202</f>
        <v>104021.99877284553</v>
      </c>
      <c r="AA200" s="2949">
        <v>131639.03</v>
      </c>
      <c r="AB200" s="2268">
        <f t="shared" si="63"/>
        <v>117830.51438642276</v>
      </c>
      <c r="AC200" s="2114">
        <f t="shared" si="60"/>
        <v>-11281.653699224436</v>
      </c>
      <c r="AD200" s="2950">
        <v>-908.5370997759519</v>
      </c>
      <c r="AE200" s="2950">
        <v>-3261.5309502240489</v>
      </c>
      <c r="AF200" s="2114">
        <f>W200+Z200</f>
        <v>132998.52743999998</v>
      </c>
      <c r="AG200" s="2114">
        <f>X200+AA200</f>
        <v>145745.29087749007</v>
      </c>
      <c r="AH200" s="2113"/>
      <c r="AI200" s="2114">
        <f>R200+O200</f>
        <v>168308.59827593892</v>
      </c>
      <c r="AJ200" s="2593"/>
      <c r="AK200" s="2593">
        <f>AA200+X200</f>
        <v>145745.29087749007</v>
      </c>
      <c r="AL200" s="2593">
        <f>R200+O200</f>
        <v>168308.59827593892</v>
      </c>
      <c r="AM200" s="2593">
        <f>AL200-AK200</f>
        <v>22563.307398448844</v>
      </c>
    </row>
    <row r="201" spans="1:39" s="2218" customFormat="1" ht="17.25" customHeight="1">
      <c r="A201" s="2235">
        <v>280</v>
      </c>
      <c r="B201" s="2281" t="s">
        <v>2029</v>
      </c>
      <c r="C201" s="2282" t="s">
        <v>1505</v>
      </c>
      <c r="D201" s="2283" t="s">
        <v>2012</v>
      </c>
      <c r="E201" s="2284">
        <f>'[3]НВВ очистка)'!K502</f>
        <v>3856.0000087313674</v>
      </c>
      <c r="F201" s="2285">
        <f>'[3]НВВ очистка)'!L502</f>
        <v>3856.0000087313674</v>
      </c>
      <c r="G201" s="2257">
        <f t="shared" si="45"/>
        <v>3856.0000087313674</v>
      </c>
      <c r="H201" s="2285">
        <f>'[3]НВВ очистка)'!T502</f>
        <v>8585.3658584040459</v>
      </c>
      <c r="I201" s="2285">
        <f>'[3]НВВ очистка)'!U502</f>
        <v>8585.3658584040386</v>
      </c>
      <c r="J201" s="2257">
        <f t="shared" si="46"/>
        <v>8585.3658584040422</v>
      </c>
      <c r="K201" s="2285">
        <f>'[3]НВВ очистка)'!AC502</f>
        <v>2408.7849500000011</v>
      </c>
      <c r="L201" s="2285">
        <f>'[3]НВВ очистка)'!AD502</f>
        <v>2408.7849500000011</v>
      </c>
      <c r="M201" s="2259">
        <f t="shared" si="47"/>
        <v>2408.7849500000011</v>
      </c>
      <c r="N201" s="2284"/>
      <c r="O201" s="2285">
        <v>1629.9319500000001</v>
      </c>
      <c r="P201" s="2259">
        <f t="shared" si="48"/>
        <v>814.96597500000007</v>
      </c>
      <c r="Q201" s="2284">
        <v>40180.824000000001</v>
      </c>
      <c r="R201" s="2834">
        <f>40180.824</f>
        <v>40180.824000000001</v>
      </c>
      <c r="S201" s="2268">
        <f t="shared" si="61"/>
        <v>40180.824000000001</v>
      </c>
      <c r="T201" s="2294">
        <f>N201+Q201</f>
        <v>40180.824000000001</v>
      </c>
      <c r="U201" s="2285">
        <f>O201+R201</f>
        <v>41810.755949999999</v>
      </c>
      <c r="V201" s="2268">
        <f t="shared" si="62"/>
        <v>40995.789975</v>
      </c>
      <c r="W201" s="2951">
        <f>T201/$T$272*$W$272</f>
        <v>8754.2382680224946</v>
      </c>
      <c r="X201" s="2949">
        <f>W201-5250</f>
        <v>3504.2382680224946</v>
      </c>
      <c r="Y201" s="2268">
        <f t="shared" si="64"/>
        <v>6129.2382680224946</v>
      </c>
      <c r="Z201" s="2951">
        <f>T201/$T$272*$Z$272</f>
        <v>31426.585731977502</v>
      </c>
      <c r="AA201" s="2952">
        <v>32701.4</v>
      </c>
      <c r="AB201" s="2268">
        <f t="shared" si="63"/>
        <v>32063.992865988752</v>
      </c>
      <c r="AC201" s="2114">
        <f t="shared" si="60"/>
        <v>-2802.5588409887496</v>
      </c>
      <c r="AD201" s="2114">
        <f>X201+AA201</f>
        <v>36205.638268022492</v>
      </c>
      <c r="AE201" s="2114">
        <f>R201+O201-U201</f>
        <v>0</v>
      </c>
      <c r="AF201" s="2113"/>
      <c r="AG201" s="2114">
        <f>AG200-U200</f>
        <v>-22563.307398448844</v>
      </c>
      <c r="AH201" s="2113"/>
      <c r="AI201" s="2114">
        <f>R201+O201</f>
        <v>41810.755949999999</v>
      </c>
    </row>
    <row r="202" spans="1:39" s="2218" customFormat="1" ht="18.75" customHeight="1">
      <c r="A202" s="2235">
        <v>281</v>
      </c>
      <c r="B202" s="2281" t="s">
        <v>2030</v>
      </c>
      <c r="C202" s="2282" t="s">
        <v>2005</v>
      </c>
      <c r="D202" s="2283" t="s">
        <v>1934</v>
      </c>
      <c r="E202" s="2284">
        <f>'[3]НВВ очистка)'!K503</f>
        <v>3.1978119664592541</v>
      </c>
      <c r="F202" s="2285">
        <f>'[3]НВВ очистка)'!L503</f>
        <v>3.325724445117626</v>
      </c>
      <c r="G202" s="2257">
        <f t="shared" si="45"/>
        <v>3.2617682057884401</v>
      </c>
      <c r="H202" s="2285">
        <f>'[3]НВВ очистка)'!T503</f>
        <v>3.5805336136218848</v>
      </c>
      <c r="I202" s="2285">
        <f>'[3]НВВ очистка)'!U503</f>
        <v>3.7094328237122727</v>
      </c>
      <c r="J202" s="2257">
        <f t="shared" si="46"/>
        <v>3.644983218667079</v>
      </c>
      <c r="K202" s="2285">
        <f>'[3]НВВ очистка)'!AC503</f>
        <v>13.844862859443076</v>
      </c>
      <c r="L202" s="2285">
        <f>'[3]НВВ очистка)'!AD503</f>
        <v>14.260208745226372</v>
      </c>
      <c r="M202" s="2259">
        <f t="shared" si="47"/>
        <v>14.052535802334724</v>
      </c>
      <c r="N202" s="2284"/>
      <c r="O202" s="2285">
        <v>16.52287606683144</v>
      </c>
      <c r="P202" s="2259">
        <f t="shared" si="48"/>
        <v>8.26143803341572</v>
      </c>
      <c r="Q202" s="2284">
        <v>3.31</v>
      </c>
      <c r="R202" s="2296">
        <v>3.5185299999999997</v>
      </c>
      <c r="S202" s="2268">
        <f t="shared" si="61"/>
        <v>3.4142649999999999</v>
      </c>
      <c r="T202" s="2285">
        <f>T200/T201</f>
        <v>3.31</v>
      </c>
      <c r="U202" s="2285">
        <f>U200/U201</f>
        <v>4.0254856543903008</v>
      </c>
      <c r="V202" s="2268">
        <f t="shared" si="62"/>
        <v>3.6677428271951502</v>
      </c>
      <c r="W202" s="2468">
        <f>T202</f>
        <v>3.31</v>
      </c>
      <c r="X202" s="2296">
        <f>U202</f>
        <v>4.0254856543903008</v>
      </c>
      <c r="Y202" s="2268">
        <f t="shared" si="64"/>
        <v>3.6677428271951502</v>
      </c>
      <c r="Z202" s="2294">
        <f>W202</f>
        <v>3.31</v>
      </c>
      <c r="AA202" s="2834">
        <f>AA200/AA201</f>
        <v>4.0254860648167963</v>
      </c>
      <c r="AB202" s="2268">
        <f t="shared" si="63"/>
        <v>3.6677430324083984</v>
      </c>
      <c r="AC202" s="2114">
        <f t="shared" si="60"/>
        <v>3.6677430324083984</v>
      </c>
      <c r="AD202" s="2114">
        <f>R200-18000</f>
        <v>123377.43466872</v>
      </c>
      <c r="AE202" s="2950">
        <f>R202/Q202</f>
        <v>1.0629999999999999</v>
      </c>
      <c r="AF202" s="2113"/>
      <c r="AG202" s="2113">
        <f>AA202/Z202</f>
        <v>1.2161589319688206</v>
      </c>
      <c r="AH202" s="2113"/>
      <c r="AI202" s="2113">
        <f>AI200/AI201</f>
        <v>4.0254856543903008</v>
      </c>
    </row>
    <row r="203" spans="1:39" s="2218" customFormat="1" ht="21" customHeight="1">
      <c r="A203" s="2235">
        <v>276</v>
      </c>
      <c r="B203" s="2279" t="s">
        <v>2031</v>
      </c>
      <c r="C203" s="2280" t="s">
        <v>2032</v>
      </c>
      <c r="D203" s="2254" t="s">
        <v>1313</v>
      </c>
      <c r="E203" s="2255">
        <f>E204*E205</f>
        <v>0</v>
      </c>
      <c r="F203" s="2256">
        <f>F204*F205</f>
        <v>0</v>
      </c>
      <c r="G203" s="2257">
        <f t="shared" si="45"/>
        <v>0</v>
      </c>
      <c r="H203" s="2256">
        <f>H204*H205</f>
        <v>0</v>
      </c>
      <c r="I203" s="2256">
        <f>I204*I205</f>
        <v>0</v>
      </c>
      <c r="J203" s="2257">
        <f t="shared" si="46"/>
        <v>0</v>
      </c>
      <c r="K203" s="2256">
        <f>K204*K205</f>
        <v>0</v>
      </c>
      <c r="L203" s="2256">
        <f>L204*L205</f>
        <v>0</v>
      </c>
      <c r="M203" s="2259">
        <f t="shared" si="47"/>
        <v>0</v>
      </c>
      <c r="N203" s="2255">
        <v>0</v>
      </c>
      <c r="O203" s="2256">
        <v>0</v>
      </c>
      <c r="P203" s="2259">
        <f t="shared" si="48"/>
        <v>0</v>
      </c>
      <c r="Q203" s="2255">
        <v>0</v>
      </c>
      <c r="R203" s="2256">
        <v>0</v>
      </c>
      <c r="S203" s="2268">
        <f t="shared" si="61"/>
        <v>0</v>
      </c>
      <c r="T203" s="2255">
        <f t="shared" ref="T203:U223" si="65">N203+Q203</f>
        <v>0</v>
      </c>
      <c r="U203" s="2256">
        <f t="shared" si="65"/>
        <v>0</v>
      </c>
      <c r="V203" s="2268">
        <f t="shared" si="62"/>
        <v>0</v>
      </c>
      <c r="W203" s="2377">
        <f>T203/$T$272*$N$272</f>
        <v>0</v>
      </c>
      <c r="X203" s="2256">
        <f>U203/$T$272*$N$272</f>
        <v>0</v>
      </c>
      <c r="Y203" s="2268">
        <f t="shared" si="64"/>
        <v>0</v>
      </c>
      <c r="Z203" s="2886">
        <f>T203/$T$272*$Z$272</f>
        <v>0</v>
      </c>
      <c r="AA203" s="2887">
        <f>U203/$T$272*$Z$272</f>
        <v>0</v>
      </c>
      <c r="AB203" s="2268">
        <f t="shared" si="63"/>
        <v>0</v>
      </c>
      <c r="AC203" s="2114">
        <f t="shared" si="60"/>
        <v>0</v>
      </c>
      <c r="AD203" s="2114">
        <f>AD202/R202</f>
        <v>35065.051219890127</v>
      </c>
      <c r="AE203" s="2114">
        <f>AD203-R201</f>
        <v>-5115.7727801098736</v>
      </c>
      <c r="AF203" s="2113"/>
      <c r="AG203" s="2113"/>
      <c r="AH203" s="2113"/>
      <c r="AI203" s="2113"/>
    </row>
    <row r="204" spans="1:39" s="2218" customFormat="1" ht="17.25" customHeight="1">
      <c r="A204" s="2235">
        <v>277</v>
      </c>
      <c r="B204" s="2281" t="s">
        <v>2033</v>
      </c>
      <c r="C204" s="2282" t="s">
        <v>1505</v>
      </c>
      <c r="D204" s="2283" t="s">
        <v>2012</v>
      </c>
      <c r="E204" s="2284"/>
      <c r="F204" s="2285"/>
      <c r="G204" s="2257">
        <f t="shared" si="45"/>
        <v>0</v>
      </c>
      <c r="H204" s="2285"/>
      <c r="I204" s="2285"/>
      <c r="J204" s="2257">
        <f t="shared" si="46"/>
        <v>0</v>
      </c>
      <c r="K204" s="2285"/>
      <c r="L204" s="2285"/>
      <c r="M204" s="2259">
        <f t="shared" si="47"/>
        <v>0</v>
      </c>
      <c r="N204" s="2284"/>
      <c r="O204" s="2285"/>
      <c r="P204" s="2259">
        <f t="shared" si="48"/>
        <v>0</v>
      </c>
      <c r="Q204" s="2284">
        <v>0</v>
      </c>
      <c r="R204" s="2285">
        <v>0</v>
      </c>
      <c r="S204" s="2268">
        <f t="shared" si="61"/>
        <v>0</v>
      </c>
      <c r="T204" s="2294">
        <f t="shared" si="65"/>
        <v>0</v>
      </c>
      <c r="U204" s="2285">
        <f t="shared" si="65"/>
        <v>0</v>
      </c>
      <c r="V204" s="2268">
        <f t="shared" si="62"/>
        <v>0</v>
      </c>
      <c r="W204" s="2888">
        <f>T204/$T$272*$W$272</f>
        <v>0</v>
      </c>
      <c r="X204" s="2889">
        <f>U204/$T$272*$W$272</f>
        <v>0</v>
      </c>
      <c r="Y204" s="2268">
        <f t="shared" si="64"/>
        <v>0</v>
      </c>
      <c r="Z204" s="2888">
        <f>T204/$T$272*$Z$272</f>
        <v>0</v>
      </c>
      <c r="AA204" s="2889">
        <f>U204/$T$272*$Z$272</f>
        <v>0</v>
      </c>
      <c r="AB204" s="2268">
        <f t="shared" si="63"/>
        <v>0</v>
      </c>
      <c r="AC204" s="2114">
        <f t="shared" si="60"/>
        <v>0</v>
      </c>
      <c r="AD204" s="2114"/>
      <c r="AE204" s="2950">
        <f>AE200+AD200</f>
        <v>-4170.0680500000008</v>
      </c>
      <c r="AF204" s="2113"/>
      <c r="AG204" s="2113"/>
      <c r="AH204" s="2113"/>
      <c r="AI204" s="2113"/>
    </row>
    <row r="205" spans="1:39" s="2218" customFormat="1" ht="18" customHeight="1">
      <c r="A205" s="2235">
        <v>278</v>
      </c>
      <c r="B205" s="2281" t="s">
        <v>2034</v>
      </c>
      <c r="C205" s="2282" t="s">
        <v>2005</v>
      </c>
      <c r="D205" s="2283" t="s">
        <v>1934</v>
      </c>
      <c r="E205" s="2284"/>
      <c r="F205" s="2285"/>
      <c r="G205" s="2257">
        <f t="shared" si="45"/>
        <v>0</v>
      </c>
      <c r="H205" s="2285"/>
      <c r="I205" s="2285"/>
      <c r="J205" s="2257">
        <f t="shared" si="46"/>
        <v>0</v>
      </c>
      <c r="K205" s="2285"/>
      <c r="L205" s="2285"/>
      <c r="M205" s="2259">
        <f t="shared" si="47"/>
        <v>0</v>
      </c>
      <c r="N205" s="2284"/>
      <c r="O205" s="2285"/>
      <c r="P205" s="2259">
        <f t="shared" si="48"/>
        <v>0</v>
      </c>
      <c r="Q205" s="2284">
        <v>0</v>
      </c>
      <c r="R205" s="2285">
        <v>0</v>
      </c>
      <c r="S205" s="2268">
        <f t="shared" si="61"/>
        <v>0</v>
      </c>
      <c r="T205" s="2294">
        <f t="shared" si="65"/>
        <v>0</v>
      </c>
      <c r="U205" s="2285">
        <f t="shared" si="65"/>
        <v>0</v>
      </c>
      <c r="V205" s="2268">
        <f t="shared" si="62"/>
        <v>0</v>
      </c>
      <c r="W205" s="2284" t="e">
        <f>W203/W204</f>
        <v>#DIV/0!</v>
      </c>
      <c r="X205" s="2285" t="e">
        <f>X203/X204</f>
        <v>#DIV/0!</v>
      </c>
      <c r="Y205" s="2268" t="e">
        <f t="shared" si="64"/>
        <v>#DIV/0!</v>
      </c>
      <c r="Z205" s="2284" t="e">
        <f>Z203/Z204</f>
        <v>#DIV/0!</v>
      </c>
      <c r="AA205" s="2285" t="e">
        <f>AA203/AA204</f>
        <v>#DIV/0!</v>
      </c>
      <c r="AB205" s="2268" t="e">
        <f t="shared" si="63"/>
        <v>#DIV/0!</v>
      </c>
      <c r="AC205" s="2114" t="e">
        <f t="shared" si="60"/>
        <v>#DIV/0!</v>
      </c>
      <c r="AD205" s="2114"/>
      <c r="AE205" s="2114"/>
      <c r="AF205" s="2113"/>
      <c r="AG205" s="2113"/>
      <c r="AH205" s="2113"/>
      <c r="AI205" s="2113"/>
    </row>
    <row r="206" spans="1:39" s="2218" customFormat="1" ht="18" customHeight="1">
      <c r="A206" s="2235"/>
      <c r="B206" s="2383" t="s">
        <v>141</v>
      </c>
      <c r="C206" s="2293" t="s">
        <v>2035</v>
      </c>
      <c r="D206" s="2384" t="s">
        <v>1313</v>
      </c>
      <c r="E206" s="2284">
        <f>[8]Химреагенты!D5</f>
        <v>265.8168374384237</v>
      </c>
      <c r="F206" s="2284">
        <f>[8]Химреагенты!E5</f>
        <v>273.79134256157636</v>
      </c>
      <c r="G206" s="2257">
        <f t="shared" si="45"/>
        <v>269.80409000000003</v>
      </c>
      <c r="H206" s="2284">
        <f>[8]Химреагенты!G5</f>
        <v>11.70516699410609</v>
      </c>
      <c r="I206" s="2284">
        <f>[8]Химреагенты!H5</f>
        <v>12.126553005893909</v>
      </c>
      <c r="J206" s="2257">
        <f t="shared" si="46"/>
        <v>11.915859999999999</v>
      </c>
      <c r="K206" s="2284">
        <f>[8]Химреагенты!J5</f>
        <v>86.593284385707278</v>
      </c>
      <c r="L206" s="2284">
        <f>[8]Химреагенты!K5</f>
        <v>90.316795614292701</v>
      </c>
      <c r="M206" s="2259">
        <f t="shared" si="47"/>
        <v>88.455039999999997</v>
      </c>
      <c r="N206" s="2284"/>
      <c r="O206" s="2284">
        <v>44.923292702964517</v>
      </c>
      <c r="P206" s="2259">
        <f t="shared" si="48"/>
        <v>22.461646351482258</v>
      </c>
      <c r="Q206" s="2385">
        <v>0</v>
      </c>
      <c r="R206" s="2481">
        <v>0</v>
      </c>
      <c r="S206" s="2268">
        <f t="shared" si="61"/>
        <v>0</v>
      </c>
      <c r="T206" s="2294">
        <f t="shared" si="65"/>
        <v>0</v>
      </c>
      <c r="U206" s="2285">
        <f t="shared" si="65"/>
        <v>44.923292702964517</v>
      </c>
      <c r="V206" s="2268">
        <f t="shared" si="62"/>
        <v>22.461646351482258</v>
      </c>
      <c r="W206" s="2888">
        <f>T206/$T$272*$W$272</f>
        <v>0</v>
      </c>
      <c r="X206" s="2889">
        <f>U206/$T$272*$W$272</f>
        <v>9.7874848984149168</v>
      </c>
      <c r="Y206" s="2268">
        <f t="shared" si="64"/>
        <v>4.8937424492074584</v>
      </c>
      <c r="Z206" s="2888">
        <f t="shared" ref="Z206:AA229" si="66">T206/$T$272*$Z$272</f>
        <v>0</v>
      </c>
      <c r="AA206" s="2889">
        <f t="shared" si="66"/>
        <v>35.135807804549593</v>
      </c>
      <c r="AB206" s="2268">
        <f>Z206/2+AA206/2</f>
        <v>17.567903902274796</v>
      </c>
      <c r="AC206" s="2114">
        <f t="shared" si="60"/>
        <v>0</v>
      </c>
      <c r="AD206" s="2114"/>
      <c r="AE206" s="2114"/>
      <c r="AF206" s="2113"/>
      <c r="AG206" s="2113"/>
      <c r="AH206" s="2113"/>
      <c r="AI206" s="2113"/>
    </row>
    <row r="207" spans="1:39" s="2218" customFormat="1" ht="33.75" customHeight="1">
      <c r="A207" s="2235">
        <v>155</v>
      </c>
      <c r="B207" s="2279" t="s">
        <v>134</v>
      </c>
      <c r="C207" s="2295" t="s">
        <v>2036</v>
      </c>
      <c r="D207" s="2254" t="s">
        <v>1313</v>
      </c>
      <c r="E207" s="2255">
        <f>E208+E209+E210+E211+E214+E215+E216</f>
        <v>3300.5646624272913</v>
      </c>
      <c r="F207" s="2256">
        <f>F208+F209+F210+F211+F214+F215+F216</f>
        <v>3300.5646624272913</v>
      </c>
      <c r="G207" s="2257">
        <f t="shared" si="45"/>
        <v>3300.5646624272913</v>
      </c>
      <c r="H207" s="2256">
        <f>H208+H209+H210+H211+H214+H215+H216</f>
        <v>-175.31666137452487</v>
      </c>
      <c r="I207" s="2256">
        <f>I208+I209+I210+I211+I214+I215+I216</f>
        <v>-175.31666137452487</v>
      </c>
      <c r="J207" s="2257">
        <f t="shared" si="46"/>
        <v>-175.31666137452487</v>
      </c>
      <c r="K207" s="2256">
        <f>K208+K209+K210+K211+K214+K215+K216</f>
        <v>5374.1724892726625</v>
      </c>
      <c r="L207" s="2256">
        <f>L208+L209+L210+L211+L214+L215+L216</f>
        <v>5374.1724892726625</v>
      </c>
      <c r="M207" s="2259">
        <f t="shared" si="47"/>
        <v>5374.1724892726625</v>
      </c>
      <c r="N207" s="2255">
        <v>0</v>
      </c>
      <c r="O207" s="2256">
        <f>O208+O209+O210+O211+O214+O215+O216</f>
        <v>55.070283409213822</v>
      </c>
      <c r="P207" s="2259">
        <f t="shared" si="48"/>
        <v>27.535141704606911</v>
      </c>
      <c r="Q207" s="2256">
        <f>Q208+Q209+Q210+Q211+Q214+Q215+Q216</f>
        <v>52.784340086896158</v>
      </c>
      <c r="R207" s="2256">
        <f>R208+R209+R210+R211+R214+R215+R216</f>
        <v>56.584812573152682</v>
      </c>
      <c r="S207" s="2268">
        <f t="shared" si="61"/>
        <v>54.68457633002442</v>
      </c>
      <c r="T207" s="2255">
        <f t="shared" si="65"/>
        <v>52.784340086896158</v>
      </c>
      <c r="U207" s="2256">
        <f t="shared" si="65"/>
        <v>111.6550959823665</v>
      </c>
      <c r="V207" s="2268">
        <f t="shared" si="62"/>
        <v>82.219718034631327</v>
      </c>
      <c r="W207" s="2377">
        <f>T207/$T$272*$N$272</f>
        <v>11.500179536910943</v>
      </c>
      <c r="X207" s="2256">
        <f>U207/$T$272*$N$272</f>
        <v>24.326412869695194</v>
      </c>
      <c r="Y207" s="2268">
        <f t="shared" si="64"/>
        <v>17.913296203303069</v>
      </c>
      <c r="Z207" s="2886">
        <f t="shared" si="66"/>
        <v>41.284160549985209</v>
      </c>
      <c r="AA207" s="2887">
        <f t="shared" si="66"/>
        <v>87.3286831126713</v>
      </c>
      <c r="AB207" s="2268">
        <f>Z207/2+AA207/2</f>
        <v>64.306421831328251</v>
      </c>
      <c r="AC207" s="2114">
        <f t="shared" si="60"/>
        <v>0</v>
      </c>
      <c r="AD207" s="2114"/>
      <c r="AE207" s="2114"/>
      <c r="AF207" s="2113"/>
      <c r="AG207" s="2113"/>
      <c r="AH207" s="2113"/>
      <c r="AI207" s="2113"/>
    </row>
    <row r="208" spans="1:39" s="2218" customFormat="1" ht="18" customHeight="1">
      <c r="A208" s="2235">
        <v>156</v>
      </c>
      <c r="B208" s="2281" t="s">
        <v>2037</v>
      </c>
      <c r="C208" s="2282" t="s">
        <v>1182</v>
      </c>
      <c r="D208" s="2283" t="s">
        <v>1317</v>
      </c>
      <c r="E208" s="2284"/>
      <c r="F208" s="2285"/>
      <c r="G208" s="2257">
        <f t="shared" si="45"/>
        <v>0</v>
      </c>
      <c r="H208" s="2285"/>
      <c r="I208" s="2285"/>
      <c r="J208" s="2257">
        <f t="shared" si="46"/>
        <v>0</v>
      </c>
      <c r="K208" s="2285"/>
      <c r="L208" s="2285"/>
      <c r="M208" s="2259">
        <f t="shared" si="47"/>
        <v>0</v>
      </c>
      <c r="N208" s="2284"/>
      <c r="O208" s="2285"/>
      <c r="P208" s="2259">
        <f t="shared" si="48"/>
        <v>0</v>
      </c>
      <c r="Q208" s="2284">
        <v>0</v>
      </c>
      <c r="R208" s="2285">
        <v>0</v>
      </c>
      <c r="S208" s="2268">
        <f t="shared" si="61"/>
        <v>0</v>
      </c>
      <c r="T208" s="2294">
        <f t="shared" si="65"/>
        <v>0</v>
      </c>
      <c r="U208" s="2285">
        <f t="shared" si="65"/>
        <v>0</v>
      </c>
      <c r="V208" s="2268">
        <f t="shared" si="62"/>
        <v>0</v>
      </c>
      <c r="W208" s="2888">
        <f t="shared" ref="W208:X210" si="67">T208/$T$272*$W$272</f>
        <v>0</v>
      </c>
      <c r="X208" s="2889">
        <f t="shared" si="67"/>
        <v>0</v>
      </c>
      <c r="Y208" s="2268">
        <f t="shared" si="64"/>
        <v>0</v>
      </c>
      <c r="Z208" s="2888">
        <f t="shared" si="66"/>
        <v>0</v>
      </c>
      <c r="AA208" s="2889">
        <f t="shared" si="66"/>
        <v>0</v>
      </c>
      <c r="AB208" s="2268">
        <f t="shared" si="63"/>
        <v>0</v>
      </c>
      <c r="AC208" s="2114">
        <f t="shared" si="60"/>
        <v>0</v>
      </c>
      <c r="AD208" s="2114">
        <f>R202*Q201</f>
        <v>141377.43466872</v>
      </c>
      <c r="AE208" s="2114">
        <f>AD208-R200</f>
        <v>0</v>
      </c>
      <c r="AF208" s="2113"/>
      <c r="AG208" s="2113"/>
      <c r="AH208" s="2113"/>
      <c r="AI208" s="2113"/>
    </row>
    <row r="209" spans="1:35" s="2218" customFormat="1" ht="21" customHeight="1">
      <c r="A209" s="2235">
        <v>157</v>
      </c>
      <c r="B209" s="2281" t="s">
        <v>2038</v>
      </c>
      <c r="C209" s="2282" t="s">
        <v>2039</v>
      </c>
      <c r="D209" s="2283" t="s">
        <v>1317</v>
      </c>
      <c r="E209" s="2284"/>
      <c r="F209" s="2285"/>
      <c r="G209" s="2257">
        <f t="shared" si="45"/>
        <v>0</v>
      </c>
      <c r="H209" s="2285"/>
      <c r="I209" s="2285"/>
      <c r="J209" s="2257">
        <f t="shared" si="46"/>
        <v>0</v>
      </c>
      <c r="K209" s="2285"/>
      <c r="L209" s="2285"/>
      <c r="M209" s="2259">
        <f t="shared" si="47"/>
        <v>0</v>
      </c>
      <c r="N209" s="2284"/>
      <c r="O209" s="2285"/>
      <c r="P209" s="2259">
        <f t="shared" si="48"/>
        <v>0</v>
      </c>
      <c r="Q209" s="2284">
        <v>0</v>
      </c>
      <c r="R209" s="2285">
        <v>0</v>
      </c>
      <c r="S209" s="2268">
        <f t="shared" si="61"/>
        <v>0</v>
      </c>
      <c r="T209" s="2294">
        <f t="shared" si="65"/>
        <v>0</v>
      </c>
      <c r="U209" s="2285">
        <f t="shared" si="65"/>
        <v>0</v>
      </c>
      <c r="V209" s="2268">
        <f t="shared" si="62"/>
        <v>0</v>
      </c>
      <c r="W209" s="2888">
        <f t="shared" si="67"/>
        <v>0</v>
      </c>
      <c r="X209" s="2889">
        <f t="shared" si="67"/>
        <v>0</v>
      </c>
      <c r="Y209" s="2268">
        <f t="shared" si="64"/>
        <v>0</v>
      </c>
      <c r="Z209" s="2888">
        <f t="shared" si="66"/>
        <v>0</v>
      </c>
      <c r="AA209" s="2889">
        <f t="shared" si="66"/>
        <v>0</v>
      </c>
      <c r="AB209" s="2268">
        <f t="shared" si="63"/>
        <v>0</v>
      </c>
      <c r="AC209" s="2114">
        <f t="shared" si="60"/>
        <v>0</v>
      </c>
      <c r="AD209" s="2114"/>
      <c r="AE209" s="2114"/>
      <c r="AF209" s="2113"/>
      <c r="AG209" s="2113"/>
      <c r="AH209" s="2113"/>
      <c r="AI209" s="2113"/>
    </row>
    <row r="210" spans="1:35" s="2218" customFormat="1" ht="21.75" customHeight="1">
      <c r="A210" s="2235">
        <v>160</v>
      </c>
      <c r="B210" s="2281" t="s">
        <v>2040</v>
      </c>
      <c r="C210" s="2282" t="s">
        <v>2041</v>
      </c>
      <c r="D210" s="2283" t="s">
        <v>1317</v>
      </c>
      <c r="E210" s="2284">
        <f>'[3]НВВ очистка)'!K511</f>
        <v>25.591982427291985</v>
      </c>
      <c r="F210" s="2285">
        <f>'[3]НВВ очистка)'!L511</f>
        <v>25.591982427291985</v>
      </c>
      <c r="G210" s="2257">
        <f t="shared" si="45"/>
        <v>25.591982427291985</v>
      </c>
      <c r="H210" s="2285">
        <f>'[3]НВВ очистка)'!T511</f>
        <v>33.121252210865912</v>
      </c>
      <c r="I210" s="2285">
        <f>'[3]НВВ очистка)'!U511</f>
        <v>33.121252210865912</v>
      </c>
      <c r="J210" s="2257">
        <f t="shared" si="46"/>
        <v>33.121252210865912</v>
      </c>
      <c r="K210" s="2285">
        <f>'[3]НВВ очистка)'!AC511</f>
        <v>31.629723165996179</v>
      </c>
      <c r="L210" s="2285">
        <f>'[3]НВВ очистка)'!AD511</f>
        <v>31.629723165996179</v>
      </c>
      <c r="M210" s="2259">
        <f t="shared" si="47"/>
        <v>31.629723165996179</v>
      </c>
      <c r="N210" s="2284"/>
      <c r="O210" s="2285">
        <v>31.629723165996179</v>
      </c>
      <c r="P210" s="2259">
        <f t="shared" si="48"/>
        <v>15.814861582998089</v>
      </c>
      <c r="Q210" s="2284">
        <v>0.402468486896149</v>
      </c>
      <c r="R210" s="2285">
        <f>Q210*1.072</f>
        <v>0.43144621795267174</v>
      </c>
      <c r="S210" s="2268">
        <f t="shared" si="61"/>
        <v>0.41695735242441034</v>
      </c>
      <c r="T210" s="2294">
        <f t="shared" si="65"/>
        <v>0.402468486896149</v>
      </c>
      <c r="U210" s="2285">
        <f t="shared" si="65"/>
        <v>32.061169383948851</v>
      </c>
      <c r="V210" s="2268">
        <f t="shared" si="62"/>
        <v>16.231818935422499</v>
      </c>
      <c r="W210" s="2888">
        <f t="shared" si="67"/>
        <v>8.7686231363980419E-2</v>
      </c>
      <c r="X210" s="2889">
        <f t="shared" si="67"/>
        <v>6.9852006006277074</v>
      </c>
      <c r="Y210" s="2268">
        <f t="shared" si="64"/>
        <v>3.5364434159958438</v>
      </c>
      <c r="Z210" s="2888">
        <f t="shared" si="66"/>
        <v>0.31478225553216854</v>
      </c>
      <c r="AA210" s="2889">
        <f t="shared" si="66"/>
        <v>25.075968783321141</v>
      </c>
      <c r="AB210" s="2268">
        <f t="shared" si="63"/>
        <v>12.695375519426655</v>
      </c>
      <c r="AC210" s="2114">
        <f t="shared" si="60"/>
        <v>0</v>
      </c>
      <c r="AD210" s="2114"/>
      <c r="AE210" s="2114"/>
      <c r="AF210" s="2113"/>
      <c r="AG210" s="2113"/>
      <c r="AH210" s="2113"/>
      <c r="AI210" s="2113"/>
    </row>
    <row r="211" spans="1:35" s="2218" customFormat="1" ht="30.75" customHeight="1">
      <c r="A211" s="2235">
        <v>10</v>
      </c>
      <c r="B211" s="2279" t="s">
        <v>2043</v>
      </c>
      <c r="C211" s="2280" t="s">
        <v>2044</v>
      </c>
      <c r="D211" s="2254" t="s">
        <v>1313</v>
      </c>
      <c r="E211" s="2255">
        <f>E212+E213</f>
        <v>0</v>
      </c>
      <c r="F211" s="2256">
        <f>F212+F213</f>
        <v>0</v>
      </c>
      <c r="G211" s="2257">
        <f t="shared" si="45"/>
        <v>0</v>
      </c>
      <c r="H211" s="2256">
        <f>H212+H213</f>
        <v>0</v>
      </c>
      <c r="I211" s="2256">
        <f>I212+I213</f>
        <v>0</v>
      </c>
      <c r="J211" s="2257">
        <f t="shared" si="46"/>
        <v>0</v>
      </c>
      <c r="K211" s="2256">
        <f>K212+K213</f>
        <v>0</v>
      </c>
      <c r="L211" s="2256">
        <f>L212+L213</f>
        <v>0</v>
      </c>
      <c r="M211" s="2259">
        <f t="shared" si="47"/>
        <v>0</v>
      </c>
      <c r="N211" s="2256">
        <f>N212+N213</f>
        <v>0</v>
      </c>
      <c r="O211" s="2256">
        <f>O212+O213</f>
        <v>0</v>
      </c>
      <c r="P211" s="2259">
        <f t="shared" si="48"/>
        <v>0</v>
      </c>
      <c r="Q211" s="2256">
        <f>Q212+Q213</f>
        <v>0</v>
      </c>
      <c r="R211" s="2256">
        <f>R212+R213</f>
        <v>0</v>
      </c>
      <c r="S211" s="2268">
        <f t="shared" si="61"/>
        <v>0</v>
      </c>
      <c r="T211" s="2255">
        <f t="shared" si="65"/>
        <v>0</v>
      </c>
      <c r="U211" s="2256">
        <f t="shared" si="65"/>
        <v>0</v>
      </c>
      <c r="V211" s="2268">
        <f t="shared" si="62"/>
        <v>0</v>
      </c>
      <c r="W211" s="2377">
        <f>T211/$T$272*$N$272</f>
        <v>0</v>
      </c>
      <c r="X211" s="2256">
        <f>U211/$T$272*$N$272</f>
        <v>0</v>
      </c>
      <c r="Y211" s="2268">
        <f t="shared" si="64"/>
        <v>0</v>
      </c>
      <c r="Z211" s="2886">
        <f t="shared" si="66"/>
        <v>0</v>
      </c>
      <c r="AA211" s="2887">
        <f t="shared" si="66"/>
        <v>0</v>
      </c>
      <c r="AB211" s="2268">
        <f t="shared" si="63"/>
        <v>0</v>
      </c>
      <c r="AC211" s="2114">
        <f t="shared" si="60"/>
        <v>0</v>
      </c>
      <c r="AD211" s="2114"/>
      <c r="AE211" s="2114"/>
      <c r="AF211" s="2113"/>
      <c r="AG211" s="2113"/>
      <c r="AH211" s="2113"/>
      <c r="AI211" s="2113"/>
    </row>
    <row r="212" spans="1:35" s="2218" customFormat="1" ht="15" customHeight="1">
      <c r="A212" s="2235">
        <v>11</v>
      </c>
      <c r="B212" s="2281" t="s">
        <v>2045</v>
      </c>
      <c r="C212" s="2282" t="s">
        <v>2046</v>
      </c>
      <c r="D212" s="2283" t="s">
        <v>1317</v>
      </c>
      <c r="E212" s="2284"/>
      <c r="F212" s="2285"/>
      <c r="G212" s="2257">
        <f t="shared" si="45"/>
        <v>0</v>
      </c>
      <c r="H212" s="2285"/>
      <c r="I212" s="2285"/>
      <c r="J212" s="2257">
        <f t="shared" si="46"/>
        <v>0</v>
      </c>
      <c r="K212" s="2285"/>
      <c r="L212" s="2285"/>
      <c r="M212" s="2259">
        <f t="shared" si="47"/>
        <v>0</v>
      </c>
      <c r="N212" s="2284"/>
      <c r="O212" s="2284"/>
      <c r="P212" s="2259">
        <f t="shared" si="48"/>
        <v>0</v>
      </c>
      <c r="Q212" s="2294">
        <v>0</v>
      </c>
      <c r="R212" s="2285">
        <v>0</v>
      </c>
      <c r="S212" s="2268">
        <f t="shared" si="61"/>
        <v>0</v>
      </c>
      <c r="T212" s="2294">
        <f t="shared" si="65"/>
        <v>0</v>
      </c>
      <c r="U212" s="2285">
        <f t="shared" si="65"/>
        <v>0</v>
      </c>
      <c r="V212" s="2268">
        <f t="shared" si="62"/>
        <v>0</v>
      </c>
      <c r="W212" s="2888">
        <f t="shared" ref="W212:X216" si="68">T212/$T$272*$W$272</f>
        <v>0</v>
      </c>
      <c r="X212" s="2889">
        <f t="shared" si="68"/>
        <v>0</v>
      </c>
      <c r="Y212" s="2268">
        <f t="shared" si="64"/>
        <v>0</v>
      </c>
      <c r="Z212" s="2888">
        <f t="shared" si="66"/>
        <v>0</v>
      </c>
      <c r="AA212" s="2889">
        <f t="shared" si="66"/>
        <v>0</v>
      </c>
      <c r="AB212" s="2268">
        <f t="shared" si="63"/>
        <v>0</v>
      </c>
      <c r="AC212" s="2114">
        <f t="shared" si="60"/>
        <v>0</v>
      </c>
      <c r="AD212" s="2114"/>
      <c r="AE212" s="2114"/>
      <c r="AF212" s="2113"/>
      <c r="AG212" s="2113"/>
      <c r="AH212" s="2113"/>
      <c r="AI212" s="2113"/>
    </row>
    <row r="213" spans="1:35" s="2218" customFormat="1" ht="21" customHeight="1">
      <c r="A213" s="2235">
        <v>159</v>
      </c>
      <c r="B213" s="2281" t="s">
        <v>2048</v>
      </c>
      <c r="C213" s="2282" t="s">
        <v>2049</v>
      </c>
      <c r="D213" s="2283" t="s">
        <v>1317</v>
      </c>
      <c r="E213" s="2284"/>
      <c r="F213" s="2285"/>
      <c r="G213" s="2257">
        <f t="shared" si="45"/>
        <v>0</v>
      </c>
      <c r="H213" s="2285"/>
      <c r="I213" s="2285"/>
      <c r="J213" s="2257">
        <f t="shared" si="46"/>
        <v>0</v>
      </c>
      <c r="K213" s="2285"/>
      <c r="L213" s="2285"/>
      <c r="M213" s="2259">
        <f t="shared" si="47"/>
        <v>0</v>
      </c>
      <c r="N213" s="2284"/>
      <c r="O213" s="2285"/>
      <c r="P213" s="2259">
        <f t="shared" si="48"/>
        <v>0</v>
      </c>
      <c r="Q213" s="2284">
        <v>0</v>
      </c>
      <c r="R213" s="2285">
        <v>0</v>
      </c>
      <c r="S213" s="2268">
        <f t="shared" si="61"/>
        <v>0</v>
      </c>
      <c r="T213" s="2294">
        <f t="shared" si="65"/>
        <v>0</v>
      </c>
      <c r="U213" s="2285">
        <f t="shared" si="65"/>
        <v>0</v>
      </c>
      <c r="V213" s="2268">
        <f t="shared" si="62"/>
        <v>0</v>
      </c>
      <c r="W213" s="2888">
        <f t="shared" si="68"/>
        <v>0</v>
      </c>
      <c r="X213" s="2889">
        <f t="shared" si="68"/>
        <v>0</v>
      </c>
      <c r="Y213" s="2268">
        <f t="shared" si="64"/>
        <v>0</v>
      </c>
      <c r="Z213" s="2888">
        <f t="shared" si="66"/>
        <v>0</v>
      </c>
      <c r="AA213" s="2889">
        <f t="shared" si="66"/>
        <v>0</v>
      </c>
      <c r="AB213" s="2268">
        <f t="shared" si="63"/>
        <v>0</v>
      </c>
      <c r="AC213" s="2114">
        <f t="shared" si="60"/>
        <v>0</v>
      </c>
      <c r="AD213" s="2114"/>
      <c r="AE213" s="2114"/>
      <c r="AF213" s="2113"/>
      <c r="AG213" s="2113"/>
      <c r="AH213" s="2113"/>
      <c r="AI213" s="2113"/>
    </row>
    <row r="214" spans="1:35" s="2218" customFormat="1" ht="17.25" customHeight="1">
      <c r="A214" s="2235">
        <v>161</v>
      </c>
      <c r="B214" s="2281" t="s">
        <v>2051</v>
      </c>
      <c r="C214" s="2282" t="s">
        <v>2052</v>
      </c>
      <c r="D214" s="2283" t="s">
        <v>1317</v>
      </c>
      <c r="E214" s="2284">
        <f>'[3]НВВ очистка)'!K515</f>
        <v>14.343249999999998</v>
      </c>
      <c r="F214" s="2285">
        <f>'[3]НВВ очистка)'!L515</f>
        <v>14.343249999999998</v>
      </c>
      <c r="G214" s="2257">
        <f t="shared" si="45"/>
        <v>14.343249999999998</v>
      </c>
      <c r="H214" s="2285">
        <f>'[3]НВВ очистка)'!T515</f>
        <v>16.041650000000004</v>
      </c>
      <c r="I214" s="2285">
        <f>'[3]НВВ очистка)'!U515</f>
        <v>16.041650000000004</v>
      </c>
      <c r="J214" s="2257">
        <f t="shared" si="46"/>
        <v>16.041650000000004</v>
      </c>
      <c r="K214" s="2285">
        <f>'[3]НВВ очистка)'!AC515</f>
        <v>15.20944999999999</v>
      </c>
      <c r="L214" s="2285">
        <f>'[3]НВВ очистка)'!AD515</f>
        <v>15.20944999999999</v>
      </c>
      <c r="M214" s="2259">
        <f t="shared" si="47"/>
        <v>15.20944999999999</v>
      </c>
      <c r="N214" s="2284"/>
      <c r="O214" s="2285">
        <f>L214*1.06*1.072</f>
        <v>17.28280222399999</v>
      </c>
      <c r="P214" s="2259">
        <f>N214/2+O214/2</f>
        <v>8.6414011119999952</v>
      </c>
      <c r="Q214" s="2284">
        <v>51.888515800000008</v>
      </c>
      <c r="R214" s="2285">
        <f>Q214*1.072</f>
        <v>55.624488937600013</v>
      </c>
      <c r="S214" s="2268">
        <f t="shared" si="61"/>
        <v>53.756502368800014</v>
      </c>
      <c r="T214" s="2294">
        <f t="shared" si="65"/>
        <v>51.888515800000008</v>
      </c>
      <c r="U214" s="2285">
        <f t="shared" si="65"/>
        <v>72.9072911616</v>
      </c>
      <c r="V214" s="2268">
        <f t="shared" si="62"/>
        <v>62.397903480800004</v>
      </c>
      <c r="W214" s="2888">
        <f t="shared" si="68"/>
        <v>11.305005359951052</v>
      </c>
      <c r="X214" s="2889">
        <f t="shared" si="68"/>
        <v>15.884387993256107</v>
      </c>
      <c r="Y214" s="2268">
        <f t="shared" si="64"/>
        <v>13.594696676603579</v>
      </c>
      <c r="Z214" s="2888">
        <f t="shared" si="66"/>
        <v>40.583510440048947</v>
      </c>
      <c r="AA214" s="2889">
        <f t="shared" si="66"/>
        <v>57.022903168343881</v>
      </c>
      <c r="AB214" s="2268">
        <f t="shared" si="63"/>
        <v>48.803206804196414</v>
      </c>
      <c r="AC214" s="2114">
        <f t="shared" si="60"/>
        <v>0</v>
      </c>
      <c r="AD214" s="2114"/>
      <c r="AE214" s="2114"/>
      <c r="AF214" s="2113"/>
      <c r="AG214" s="2113"/>
      <c r="AH214" s="2113"/>
      <c r="AI214" s="2113"/>
    </row>
    <row r="215" spans="1:35" s="2218" customFormat="1" ht="30.75" customHeight="1">
      <c r="A215" s="2235">
        <v>158</v>
      </c>
      <c r="B215" s="2281" t="s">
        <v>2054</v>
      </c>
      <c r="C215" s="2282" t="s">
        <v>2055</v>
      </c>
      <c r="D215" s="2283" t="s">
        <v>1317</v>
      </c>
      <c r="E215" s="2284">
        <f>'[3]НВВ очистка)'!K516</f>
        <v>3260.6220899999994</v>
      </c>
      <c r="F215" s="2285">
        <f>'[3]НВВ очистка)'!L516</f>
        <v>3260.6220899999994</v>
      </c>
      <c r="G215" s="2257">
        <f t="shared" si="45"/>
        <v>3260.6220899999994</v>
      </c>
      <c r="H215" s="2285">
        <f>'[3]НВВ очистка)'!T516</f>
        <v>-225.1806135853908</v>
      </c>
      <c r="I215" s="2285">
        <f>'[3]НВВ очистка)'!U516</f>
        <v>-225.1806135853908</v>
      </c>
      <c r="J215" s="2257">
        <f t="shared" si="46"/>
        <v>-225.1806135853908</v>
      </c>
      <c r="K215" s="2285">
        <f>'[3]НВВ очистка)'!AC516</f>
        <v>5326.7083061066669</v>
      </c>
      <c r="L215" s="2285">
        <f>'[3]НВВ очистка)'!AD516</f>
        <v>5326.7083061066669</v>
      </c>
      <c r="M215" s="2259">
        <f t="shared" si="47"/>
        <v>5326.7083061066669</v>
      </c>
      <c r="N215" s="2284"/>
      <c r="O215" s="2285">
        <v>6.15775801921765</v>
      </c>
      <c r="P215" s="2259">
        <f t="shared" si="48"/>
        <v>3.078879009608825</v>
      </c>
      <c r="Q215" s="2284">
        <v>0.49335580000000001</v>
      </c>
      <c r="R215" s="2285">
        <f>Q215*1.072</f>
        <v>0.52887741760000007</v>
      </c>
      <c r="S215" s="2268">
        <f t="shared" si="61"/>
        <v>0.51111660880000009</v>
      </c>
      <c r="T215" s="2294">
        <f t="shared" si="65"/>
        <v>0.49335580000000001</v>
      </c>
      <c r="U215" s="2285">
        <f t="shared" si="65"/>
        <v>6.6866354368176504</v>
      </c>
      <c r="V215" s="2268">
        <f t="shared" si="62"/>
        <v>3.5899956184088251</v>
      </c>
      <c r="W215" s="2888">
        <f t="shared" si="68"/>
        <v>0.10748794559591042</v>
      </c>
      <c r="X215" s="2889">
        <f t="shared" si="68"/>
        <v>1.4568242758113767</v>
      </c>
      <c r="Y215" s="2268">
        <f t="shared" si="64"/>
        <v>0.78215611070364355</v>
      </c>
      <c r="Z215" s="2888">
        <f t="shared" si="66"/>
        <v>0.38586785440408949</v>
      </c>
      <c r="AA215" s="2889">
        <f t="shared" si="66"/>
        <v>5.229811161006273</v>
      </c>
      <c r="AB215" s="2268">
        <f t="shared" si="63"/>
        <v>2.8078395077051814</v>
      </c>
      <c r="AC215" s="2114">
        <f t="shared" si="60"/>
        <v>0</v>
      </c>
      <c r="AD215" s="2114"/>
      <c r="AE215" s="2114"/>
      <c r="AF215" s="2113"/>
      <c r="AG215" s="2113"/>
      <c r="AH215" s="2113"/>
      <c r="AI215" s="2113"/>
    </row>
    <row r="216" spans="1:35" s="2218" customFormat="1" ht="63">
      <c r="A216" s="2235">
        <v>162</v>
      </c>
      <c r="B216" s="2281" t="s">
        <v>2056</v>
      </c>
      <c r="C216" s="2282" t="s">
        <v>2057</v>
      </c>
      <c r="D216" s="2283" t="s">
        <v>1317</v>
      </c>
      <c r="E216" s="2284">
        <f>'[3]НВВ очистка)'!K517</f>
        <v>7.3400000000000002E-3</v>
      </c>
      <c r="F216" s="2285">
        <f>'[3]НВВ очистка)'!L517</f>
        <v>7.3400000000000002E-3</v>
      </c>
      <c r="G216" s="2257">
        <f t="shared" si="45"/>
        <v>7.3400000000000002E-3</v>
      </c>
      <c r="H216" s="2285">
        <f>'[3]НВВ очистка)'!T517</f>
        <v>0.70104999999999995</v>
      </c>
      <c r="I216" s="2285">
        <f>'[3]НВВ очистка)'!U517</f>
        <v>0.70104999999999995</v>
      </c>
      <c r="J216" s="2257">
        <f t="shared" si="46"/>
        <v>0.70104999999999995</v>
      </c>
      <c r="K216" s="2285">
        <f>'[3]НВВ очистка)'!AC517</f>
        <v>0.62500999999999995</v>
      </c>
      <c r="L216" s="2285">
        <f>'[3]НВВ очистка)'!AD517</f>
        <v>0.62500999999999995</v>
      </c>
      <c r="M216" s="2259">
        <f t="shared" si="47"/>
        <v>0.62500999999999995</v>
      </c>
      <c r="N216" s="2284"/>
      <c r="O216" s="2285"/>
      <c r="P216" s="2259">
        <f t="shared" si="48"/>
        <v>0</v>
      </c>
      <c r="Q216" s="2284">
        <v>0</v>
      </c>
      <c r="R216" s="2285">
        <v>0</v>
      </c>
      <c r="S216" s="2268">
        <f t="shared" si="61"/>
        <v>0</v>
      </c>
      <c r="T216" s="2294">
        <f t="shared" si="65"/>
        <v>0</v>
      </c>
      <c r="U216" s="2285">
        <f t="shared" si="65"/>
        <v>0</v>
      </c>
      <c r="V216" s="2268">
        <f t="shared" si="62"/>
        <v>0</v>
      </c>
      <c r="W216" s="2888">
        <f t="shared" si="68"/>
        <v>0</v>
      </c>
      <c r="X216" s="2889">
        <f t="shared" si="68"/>
        <v>0</v>
      </c>
      <c r="Y216" s="2268">
        <f t="shared" si="64"/>
        <v>0</v>
      </c>
      <c r="Z216" s="2888">
        <f t="shared" si="66"/>
        <v>0</v>
      </c>
      <c r="AA216" s="2889">
        <f t="shared" si="66"/>
        <v>0</v>
      </c>
      <c r="AB216" s="2268">
        <f t="shared" si="63"/>
        <v>0</v>
      </c>
      <c r="AC216" s="2114">
        <f t="shared" si="60"/>
        <v>0</v>
      </c>
      <c r="AD216" s="2114"/>
      <c r="AE216" s="2114"/>
      <c r="AF216" s="2113"/>
      <c r="AG216" s="2113"/>
      <c r="AH216" s="2113"/>
      <c r="AI216" s="2113"/>
    </row>
    <row r="217" spans="1:35" s="2218" customFormat="1" ht="31.5">
      <c r="A217" s="2235">
        <v>149</v>
      </c>
      <c r="B217" s="2388">
        <v>2</v>
      </c>
      <c r="C217" s="2295" t="s">
        <v>2058</v>
      </c>
      <c r="D217" s="2254" t="s">
        <v>1313</v>
      </c>
      <c r="E217" s="2255">
        <f>E218+E219+E220+E221+E222</f>
        <v>136.78594170630959</v>
      </c>
      <c r="F217" s="2256">
        <f>F218+F219+F220+F221+F222</f>
        <v>136.78594170630959</v>
      </c>
      <c r="G217" s="2257">
        <f t="shared" si="45"/>
        <v>136.78594170630959</v>
      </c>
      <c r="H217" s="2256">
        <f>H218+H219+H220+H221+H222</f>
        <v>445.31952432053674</v>
      </c>
      <c r="I217" s="2256">
        <f>I218+I219+I220+I221+I222</f>
        <v>445.31952432053674</v>
      </c>
      <c r="J217" s="2257">
        <f t="shared" si="46"/>
        <v>445.31952432053674</v>
      </c>
      <c r="K217" s="2256">
        <f>K218+K219+K220+K221+K222</f>
        <v>782.03674326387807</v>
      </c>
      <c r="L217" s="2256">
        <f>L218+L219+L220+L221+L222</f>
        <v>782.03674326387807</v>
      </c>
      <c r="M217" s="2259">
        <f t="shared" si="47"/>
        <v>782.03674326387807</v>
      </c>
      <c r="N217" s="2255">
        <f>SUM(N218:N222)</f>
        <v>0</v>
      </c>
      <c r="O217" s="2255">
        <f>SUM(O218:O222)</f>
        <v>888.64399210560998</v>
      </c>
      <c r="P217" s="2259">
        <f t="shared" si="48"/>
        <v>444.32199605280499</v>
      </c>
      <c r="Q217" s="2255">
        <f>SUM(Q218:Q222)</f>
        <v>270.22414475147741</v>
      </c>
      <c r="R217" s="2255">
        <f>SUM(R218:R222)</f>
        <v>289.6802831735838</v>
      </c>
      <c r="S217" s="2268">
        <f t="shared" si="61"/>
        <v>279.95221396253061</v>
      </c>
      <c r="T217" s="2255">
        <f t="shared" si="65"/>
        <v>270.22414475147741</v>
      </c>
      <c r="U217" s="2256">
        <f t="shared" si="65"/>
        <v>1178.3242752791939</v>
      </c>
      <c r="V217" s="2268">
        <f t="shared" si="62"/>
        <v>724.27421001533571</v>
      </c>
      <c r="W217" s="2377">
        <f>T217/$T$272*$N$272</f>
        <v>58.874017838136751</v>
      </c>
      <c r="X217" s="2256">
        <f>U217/$T$272*$N$272</f>
        <v>256.72274572539851</v>
      </c>
      <c r="Y217" s="2268">
        <f t="shared" si="64"/>
        <v>157.79838178176763</v>
      </c>
      <c r="Z217" s="2886">
        <f t="shared" si="66"/>
        <v>211.35012691334063</v>
      </c>
      <c r="AA217" s="2887">
        <f t="shared" si="66"/>
        <v>921.60152955379522</v>
      </c>
      <c r="AB217" s="2268">
        <f t="shared" si="63"/>
        <v>566.47582823356788</v>
      </c>
      <c r="AC217" s="2114">
        <f t="shared" si="60"/>
        <v>0</v>
      </c>
      <c r="AD217" s="2114"/>
      <c r="AE217" s="2114"/>
      <c r="AF217" s="2113"/>
      <c r="AG217" s="2113"/>
      <c r="AH217" s="2113"/>
      <c r="AI217" s="2113"/>
    </row>
    <row r="218" spans="1:35" s="2218" customFormat="1" ht="24" customHeight="1">
      <c r="A218" s="2235">
        <v>150</v>
      </c>
      <c r="B218" s="2281" t="s">
        <v>135</v>
      </c>
      <c r="C218" s="2282" t="s">
        <v>2059</v>
      </c>
      <c r="D218" s="2283" t="s">
        <v>1317</v>
      </c>
      <c r="E218" s="2284"/>
      <c r="F218" s="2285"/>
      <c r="G218" s="2257">
        <f t="shared" si="45"/>
        <v>0</v>
      </c>
      <c r="H218" s="2285"/>
      <c r="I218" s="2285"/>
      <c r="J218" s="2257">
        <f t="shared" si="46"/>
        <v>0</v>
      </c>
      <c r="K218" s="2285"/>
      <c r="L218" s="2285"/>
      <c r="M218" s="2259">
        <f t="shared" si="47"/>
        <v>0</v>
      </c>
      <c r="N218" s="2284"/>
      <c r="O218" s="2285"/>
      <c r="P218" s="2259">
        <f t="shared" si="48"/>
        <v>0</v>
      </c>
      <c r="Q218" s="2284">
        <v>0</v>
      </c>
      <c r="R218" s="2285">
        <v>0</v>
      </c>
      <c r="S218" s="2268">
        <f t="shared" si="61"/>
        <v>0</v>
      </c>
      <c r="T218" s="2294">
        <f t="shared" si="65"/>
        <v>0</v>
      </c>
      <c r="U218" s="2285">
        <f t="shared" si="65"/>
        <v>0</v>
      </c>
      <c r="V218" s="2268">
        <f t="shared" si="62"/>
        <v>0</v>
      </c>
      <c r="W218" s="2888">
        <f t="shared" ref="W218:X222" si="69">T218/$T$272*$W$272</f>
        <v>0</v>
      </c>
      <c r="X218" s="2889">
        <f t="shared" si="69"/>
        <v>0</v>
      </c>
      <c r="Y218" s="2268">
        <f t="shared" si="64"/>
        <v>0</v>
      </c>
      <c r="Z218" s="2888">
        <f t="shared" si="66"/>
        <v>0</v>
      </c>
      <c r="AA218" s="2889">
        <f t="shared" si="66"/>
        <v>0</v>
      </c>
      <c r="AB218" s="2268">
        <f t="shared" si="63"/>
        <v>0</v>
      </c>
      <c r="AC218" s="2114">
        <f t="shared" si="60"/>
        <v>0</v>
      </c>
      <c r="AD218" s="2114"/>
      <c r="AE218" s="2114"/>
      <c r="AF218" s="2113"/>
      <c r="AG218" s="2113"/>
      <c r="AH218" s="2113"/>
      <c r="AI218" s="2113"/>
    </row>
    <row r="219" spans="1:35" s="2218" customFormat="1">
      <c r="A219" s="2235">
        <v>151</v>
      </c>
      <c r="B219" s="2281" t="s">
        <v>2060</v>
      </c>
      <c r="C219" s="2282" t="s">
        <v>2061</v>
      </c>
      <c r="D219" s="2283" t="s">
        <v>1317</v>
      </c>
      <c r="E219" s="2284"/>
      <c r="F219" s="2285"/>
      <c r="G219" s="2257">
        <f t="shared" si="45"/>
        <v>0</v>
      </c>
      <c r="H219" s="2285"/>
      <c r="I219" s="2285"/>
      <c r="J219" s="2257">
        <f t="shared" si="46"/>
        <v>0</v>
      </c>
      <c r="K219" s="2285"/>
      <c r="L219" s="2285"/>
      <c r="M219" s="2259">
        <f t="shared" si="47"/>
        <v>0</v>
      </c>
      <c r="N219" s="2284"/>
      <c r="O219" s="2285"/>
      <c r="P219" s="2259">
        <f t="shared" si="48"/>
        <v>0</v>
      </c>
      <c r="Q219" s="2284">
        <v>0</v>
      </c>
      <c r="R219" s="2285">
        <v>0</v>
      </c>
      <c r="S219" s="2268">
        <f t="shared" si="61"/>
        <v>0</v>
      </c>
      <c r="T219" s="2294">
        <f t="shared" si="65"/>
        <v>0</v>
      </c>
      <c r="U219" s="2285">
        <f t="shared" si="65"/>
        <v>0</v>
      </c>
      <c r="V219" s="2268">
        <f t="shared" si="62"/>
        <v>0</v>
      </c>
      <c r="W219" s="2888">
        <f t="shared" si="69"/>
        <v>0</v>
      </c>
      <c r="X219" s="2889">
        <f t="shared" si="69"/>
        <v>0</v>
      </c>
      <c r="Y219" s="2268">
        <f t="shared" si="64"/>
        <v>0</v>
      </c>
      <c r="Z219" s="2888">
        <f t="shared" si="66"/>
        <v>0</v>
      </c>
      <c r="AA219" s="2889">
        <f t="shared" si="66"/>
        <v>0</v>
      </c>
      <c r="AB219" s="2268">
        <f t="shared" si="63"/>
        <v>0</v>
      </c>
      <c r="AC219" s="2114">
        <f t="shared" si="60"/>
        <v>0</v>
      </c>
      <c r="AD219" s="2114"/>
      <c r="AE219" s="2114"/>
      <c r="AF219" s="2113"/>
      <c r="AG219" s="2113"/>
      <c r="AH219" s="2113"/>
      <c r="AI219" s="2113"/>
    </row>
    <row r="220" spans="1:35" s="2218" customFormat="1" ht="22.5" customHeight="1">
      <c r="A220" s="2235">
        <v>152</v>
      </c>
      <c r="B220" s="2281" t="s">
        <v>2062</v>
      </c>
      <c r="C220" s="2282" t="s">
        <v>2063</v>
      </c>
      <c r="D220" s="2283" t="s">
        <v>1317</v>
      </c>
      <c r="E220" s="2284"/>
      <c r="F220" s="2285"/>
      <c r="G220" s="2257">
        <f t="shared" si="45"/>
        <v>0</v>
      </c>
      <c r="H220" s="2285"/>
      <c r="I220" s="2285"/>
      <c r="J220" s="2257">
        <f t="shared" si="46"/>
        <v>0</v>
      </c>
      <c r="K220" s="2285"/>
      <c r="L220" s="2285"/>
      <c r="M220" s="2259">
        <f t="shared" si="47"/>
        <v>0</v>
      </c>
      <c r="N220" s="2284"/>
      <c r="O220" s="2285"/>
      <c r="P220" s="2259">
        <f t="shared" si="48"/>
        <v>0</v>
      </c>
      <c r="Q220" s="2284">
        <v>0</v>
      </c>
      <c r="R220" s="2285">
        <v>0</v>
      </c>
      <c r="S220" s="2268">
        <f t="shared" si="61"/>
        <v>0</v>
      </c>
      <c r="T220" s="2294">
        <f t="shared" si="65"/>
        <v>0</v>
      </c>
      <c r="U220" s="2285">
        <f t="shared" si="65"/>
        <v>0</v>
      </c>
      <c r="V220" s="2268">
        <f t="shared" si="62"/>
        <v>0</v>
      </c>
      <c r="W220" s="2888">
        <f t="shared" si="69"/>
        <v>0</v>
      </c>
      <c r="X220" s="2889">
        <f t="shared" si="69"/>
        <v>0</v>
      </c>
      <c r="Y220" s="2268">
        <f t="shared" si="64"/>
        <v>0</v>
      </c>
      <c r="Z220" s="2888">
        <f t="shared" si="66"/>
        <v>0</v>
      </c>
      <c r="AA220" s="2889">
        <f t="shared" si="66"/>
        <v>0</v>
      </c>
      <c r="AB220" s="2268">
        <f t="shared" si="63"/>
        <v>0</v>
      </c>
      <c r="AC220" s="2114">
        <f t="shared" si="60"/>
        <v>0</v>
      </c>
      <c r="AD220" s="2114"/>
      <c r="AE220" s="2114"/>
      <c r="AF220" s="2113"/>
      <c r="AG220" s="2113"/>
      <c r="AH220" s="2113"/>
      <c r="AI220" s="2113"/>
    </row>
    <row r="221" spans="1:35" s="2218" customFormat="1" ht="19.5" customHeight="1">
      <c r="A221" s="2235">
        <v>153</v>
      </c>
      <c r="B221" s="2281" t="s">
        <v>2064</v>
      </c>
      <c r="C221" s="2282" t="s">
        <v>2065</v>
      </c>
      <c r="D221" s="2283" t="s">
        <v>1317</v>
      </c>
      <c r="E221" s="2284">
        <f>'[3]НВВ очистка)'!K522</f>
        <v>136.78594170630959</v>
      </c>
      <c r="F221" s="2285">
        <f>'[3]НВВ очистка)'!L522</f>
        <v>136.78594170630959</v>
      </c>
      <c r="G221" s="2257">
        <f t="shared" si="45"/>
        <v>136.78594170630959</v>
      </c>
      <c r="H221" s="2285">
        <f>'[3]НВВ очистка)'!T522</f>
        <v>445.31952432053674</v>
      </c>
      <c r="I221" s="2285">
        <f>'[3]НВВ очистка)'!U522</f>
        <v>445.31952432053674</v>
      </c>
      <c r="J221" s="2257">
        <f t="shared" si="46"/>
        <v>445.31952432053674</v>
      </c>
      <c r="K221" s="2285">
        <f>'[3]НВВ очистка)'!AC522</f>
        <v>782.03674326387807</v>
      </c>
      <c r="L221" s="2285">
        <f>'[3]НВВ очистка)'!AD522</f>
        <v>782.03674326387807</v>
      </c>
      <c r="M221" s="2259">
        <f t="shared" si="47"/>
        <v>782.03674326387807</v>
      </c>
      <c r="N221" s="2284"/>
      <c r="O221" s="2285">
        <f>L221*1.06*1.072</f>
        <v>888.64399210560998</v>
      </c>
      <c r="P221" s="2259">
        <f t="shared" si="48"/>
        <v>444.32199605280499</v>
      </c>
      <c r="Q221" s="2284">
        <v>270.22414475147741</v>
      </c>
      <c r="R221" s="2285">
        <f>Q221*1.072</f>
        <v>289.6802831735838</v>
      </c>
      <c r="S221" s="2268">
        <f t="shared" si="61"/>
        <v>279.95221396253061</v>
      </c>
      <c r="T221" s="2294">
        <f t="shared" si="65"/>
        <v>270.22414475147741</v>
      </c>
      <c r="U221" s="2285">
        <f t="shared" si="65"/>
        <v>1178.3242752791939</v>
      </c>
      <c r="V221" s="2268">
        <f t="shared" si="62"/>
        <v>724.27421001533571</v>
      </c>
      <c r="W221" s="2888">
        <f t="shared" si="69"/>
        <v>58.874017838136751</v>
      </c>
      <c r="X221" s="2889">
        <f t="shared" si="69"/>
        <v>256.72274572539851</v>
      </c>
      <c r="Y221" s="2268">
        <f t="shared" si="64"/>
        <v>157.79838178176763</v>
      </c>
      <c r="Z221" s="2888">
        <f t="shared" si="66"/>
        <v>211.35012691334063</v>
      </c>
      <c r="AA221" s="2889">
        <f t="shared" si="66"/>
        <v>921.60152955379522</v>
      </c>
      <c r="AB221" s="2268">
        <f t="shared" si="63"/>
        <v>566.47582823356788</v>
      </c>
      <c r="AC221" s="2114">
        <f t="shared" si="60"/>
        <v>0</v>
      </c>
      <c r="AD221" s="2114"/>
      <c r="AE221" s="2114"/>
      <c r="AF221" s="2113"/>
      <c r="AG221" s="2113"/>
      <c r="AH221" s="2113"/>
      <c r="AI221" s="2113"/>
    </row>
    <row r="222" spans="1:35" s="2218" customFormat="1" ht="22.5" customHeight="1">
      <c r="A222" s="2235">
        <v>154</v>
      </c>
      <c r="B222" s="2281" t="s">
        <v>2067</v>
      </c>
      <c r="C222" s="2282" t="s">
        <v>2068</v>
      </c>
      <c r="D222" s="2283" t="s">
        <v>1317</v>
      </c>
      <c r="E222" s="2284"/>
      <c r="F222" s="2285"/>
      <c r="G222" s="2257">
        <f t="shared" si="45"/>
        <v>0</v>
      </c>
      <c r="H222" s="2285"/>
      <c r="I222" s="2285"/>
      <c r="J222" s="2257">
        <f t="shared" si="46"/>
        <v>0</v>
      </c>
      <c r="K222" s="2285"/>
      <c r="L222" s="2285"/>
      <c r="M222" s="2259">
        <f t="shared" si="47"/>
        <v>0</v>
      </c>
      <c r="N222" s="2284"/>
      <c r="O222" s="2285"/>
      <c r="P222" s="2259">
        <f t="shared" si="48"/>
        <v>0</v>
      </c>
      <c r="Q222" s="2284">
        <v>0</v>
      </c>
      <c r="R222" s="2285">
        <v>0</v>
      </c>
      <c r="S222" s="2268">
        <f t="shared" si="61"/>
        <v>0</v>
      </c>
      <c r="T222" s="2294">
        <f t="shared" si="65"/>
        <v>0</v>
      </c>
      <c r="U222" s="2285">
        <f t="shared" si="65"/>
        <v>0</v>
      </c>
      <c r="V222" s="2268">
        <f t="shared" si="62"/>
        <v>0</v>
      </c>
      <c r="W222" s="2888">
        <f t="shared" si="69"/>
        <v>0</v>
      </c>
      <c r="X222" s="2889">
        <f t="shared" si="69"/>
        <v>0</v>
      </c>
      <c r="Y222" s="2268">
        <f t="shared" si="64"/>
        <v>0</v>
      </c>
      <c r="Z222" s="2888">
        <f t="shared" si="66"/>
        <v>0</v>
      </c>
      <c r="AA222" s="2889">
        <f t="shared" si="66"/>
        <v>0</v>
      </c>
      <c r="AB222" s="2268">
        <f t="shared" si="63"/>
        <v>0</v>
      </c>
      <c r="AC222" s="2114">
        <f t="shared" si="60"/>
        <v>0</v>
      </c>
      <c r="AD222" s="2114"/>
      <c r="AE222" s="2114"/>
      <c r="AF222" s="2113"/>
      <c r="AG222" s="2113"/>
      <c r="AH222" s="2113"/>
      <c r="AI222" s="2113"/>
    </row>
    <row r="223" spans="1:35" s="2218" customFormat="1" ht="31.5">
      <c r="A223" s="2235">
        <v>169</v>
      </c>
      <c r="B223" s="2389">
        <v>13</v>
      </c>
      <c r="C223" s="2390" t="s">
        <v>2071</v>
      </c>
      <c r="D223" s="2289" t="s">
        <v>1317</v>
      </c>
      <c r="E223" s="2290"/>
      <c r="F223" s="2291"/>
      <c r="G223" s="2257">
        <f t="shared" si="45"/>
        <v>0</v>
      </c>
      <c r="H223" s="2291"/>
      <c r="I223" s="2291"/>
      <c r="J223" s="2257">
        <f t="shared" si="46"/>
        <v>0</v>
      </c>
      <c r="K223" s="2291"/>
      <c r="L223" s="2291"/>
      <c r="M223" s="2259">
        <f t="shared" si="47"/>
        <v>0</v>
      </c>
      <c r="N223" s="2290"/>
      <c r="O223" s="2291"/>
      <c r="P223" s="2259">
        <f t="shared" si="48"/>
        <v>0</v>
      </c>
      <c r="Q223" s="2290">
        <v>0</v>
      </c>
      <c r="R223" s="2291">
        <v>0</v>
      </c>
      <c r="S223" s="2268">
        <f t="shared" si="61"/>
        <v>0</v>
      </c>
      <c r="T223" s="2255">
        <f t="shared" si="65"/>
        <v>0</v>
      </c>
      <c r="U223" s="2256">
        <f t="shared" si="65"/>
        <v>0</v>
      </c>
      <c r="V223" s="2268">
        <f t="shared" si="62"/>
        <v>0</v>
      </c>
      <c r="W223" s="2377">
        <f t="shared" ref="W223:X229" si="70">T223/$T$272*$N$272</f>
        <v>0</v>
      </c>
      <c r="X223" s="2256">
        <f t="shared" si="70"/>
        <v>0</v>
      </c>
      <c r="Y223" s="2268">
        <f>W223/2+X223/2</f>
        <v>0</v>
      </c>
      <c r="Z223" s="2886">
        <f t="shared" si="66"/>
        <v>0</v>
      </c>
      <c r="AA223" s="2887">
        <f t="shared" si="66"/>
        <v>0</v>
      </c>
      <c r="AB223" s="2268">
        <f>Z223/2+AA223/2</f>
        <v>0</v>
      </c>
      <c r="AC223" s="2114">
        <f t="shared" si="60"/>
        <v>0</v>
      </c>
      <c r="AD223" s="2114"/>
      <c r="AE223" s="2114"/>
      <c r="AF223" s="2113"/>
      <c r="AG223" s="2113"/>
      <c r="AH223" s="2113"/>
      <c r="AI223" s="2113"/>
    </row>
    <row r="224" spans="1:35" s="2218" customFormat="1" ht="31.5">
      <c r="A224" s="2235">
        <v>164</v>
      </c>
      <c r="B224" s="2287" t="s">
        <v>140</v>
      </c>
      <c r="C224" s="2390" t="s">
        <v>2072</v>
      </c>
      <c r="D224" s="2289" t="s">
        <v>1317</v>
      </c>
      <c r="E224" s="2290"/>
      <c r="F224" s="2291"/>
      <c r="G224" s="2257">
        <f t="shared" ref="G224:G272" si="71">E224/2+F224/2</f>
        <v>0</v>
      </c>
      <c r="H224" s="2291"/>
      <c r="I224" s="2291"/>
      <c r="J224" s="2257">
        <f t="shared" ref="J224:J268" si="72">H224/2+I224/2</f>
        <v>0</v>
      </c>
      <c r="K224" s="2291"/>
      <c r="L224" s="2291"/>
      <c r="M224" s="2259">
        <f t="shared" ref="M224:M268" si="73">K224/2+L224/2</f>
        <v>0</v>
      </c>
      <c r="N224" s="2290"/>
      <c r="O224" s="2291"/>
      <c r="P224" s="2259">
        <f t="shared" ref="P224:P268" si="74">N224/2+O224/2</f>
        <v>0</v>
      </c>
      <c r="Q224" s="2290">
        <v>0</v>
      </c>
      <c r="R224" s="2291">
        <v>0</v>
      </c>
      <c r="S224" s="2268">
        <f t="shared" si="61"/>
        <v>0</v>
      </c>
      <c r="T224" s="2255">
        <f t="shared" ref="T224:U229" si="75">N224+Q224</f>
        <v>0</v>
      </c>
      <c r="U224" s="2256">
        <f t="shared" si="75"/>
        <v>0</v>
      </c>
      <c r="V224" s="2268">
        <f t="shared" si="62"/>
        <v>0</v>
      </c>
      <c r="W224" s="2377">
        <f t="shared" si="70"/>
        <v>0</v>
      </c>
      <c r="X224" s="2256">
        <f t="shared" si="70"/>
        <v>0</v>
      </c>
      <c r="Y224" s="2268">
        <f t="shared" ref="Y224:Y229" si="76">W224/2+X224/2</f>
        <v>0</v>
      </c>
      <c r="Z224" s="2886">
        <f t="shared" si="66"/>
        <v>0</v>
      </c>
      <c r="AA224" s="2887">
        <f t="shared" si="66"/>
        <v>0</v>
      </c>
      <c r="AB224" s="2268">
        <f t="shared" ref="AB224:AB229" si="77">Z224/2+AA224/2</f>
        <v>0</v>
      </c>
      <c r="AC224" s="2114">
        <f t="shared" si="60"/>
        <v>0</v>
      </c>
      <c r="AD224" s="2114"/>
      <c r="AE224" s="2114"/>
      <c r="AF224" s="2113"/>
      <c r="AG224" s="2113"/>
      <c r="AH224" s="2113"/>
      <c r="AI224" s="2113"/>
    </row>
    <row r="225" spans="1:35" s="2218" customFormat="1" ht="30.75" customHeight="1">
      <c r="A225" s="2235">
        <v>12</v>
      </c>
      <c r="B225" s="2388">
        <v>12</v>
      </c>
      <c r="C225" s="2295" t="s">
        <v>2073</v>
      </c>
      <c r="D225" s="2254" t="s">
        <v>1313</v>
      </c>
      <c r="E225" s="2255">
        <f>E226+E227+E228</f>
        <v>0</v>
      </c>
      <c r="F225" s="2256">
        <f>F226+F227+F228</f>
        <v>0</v>
      </c>
      <c r="G225" s="2257">
        <f t="shared" si="71"/>
        <v>0</v>
      </c>
      <c r="H225" s="2256">
        <f>H226+H227+H228</f>
        <v>0</v>
      </c>
      <c r="I225" s="2256">
        <f>I226+I227+I228</f>
        <v>0</v>
      </c>
      <c r="J225" s="2257">
        <f t="shared" si="72"/>
        <v>0</v>
      </c>
      <c r="K225" s="2256">
        <f>K226+K227+K228</f>
        <v>0</v>
      </c>
      <c r="L225" s="2256">
        <f>L226+L227+L228</f>
        <v>0</v>
      </c>
      <c r="M225" s="2259">
        <f t="shared" si="73"/>
        <v>0</v>
      </c>
      <c r="N225" s="2255">
        <v>0</v>
      </c>
      <c r="O225" s="2256">
        <v>0</v>
      </c>
      <c r="P225" s="2259">
        <f t="shared" si="74"/>
        <v>0</v>
      </c>
      <c r="Q225" s="2255">
        <v>0</v>
      </c>
      <c r="R225" s="2256">
        <v>0</v>
      </c>
      <c r="S225" s="2268">
        <f t="shared" si="61"/>
        <v>0</v>
      </c>
      <c r="T225" s="2255">
        <f t="shared" si="75"/>
        <v>0</v>
      </c>
      <c r="U225" s="2256">
        <f t="shared" si="75"/>
        <v>0</v>
      </c>
      <c r="V225" s="2268">
        <f t="shared" si="62"/>
        <v>0</v>
      </c>
      <c r="W225" s="2377">
        <f t="shared" si="70"/>
        <v>0</v>
      </c>
      <c r="X225" s="2256">
        <f t="shared" si="70"/>
        <v>0</v>
      </c>
      <c r="Y225" s="2268">
        <f t="shared" si="76"/>
        <v>0</v>
      </c>
      <c r="Z225" s="2886">
        <f t="shared" si="66"/>
        <v>0</v>
      </c>
      <c r="AA225" s="2887">
        <f t="shared" si="66"/>
        <v>0</v>
      </c>
      <c r="AB225" s="2268">
        <f t="shared" si="77"/>
        <v>0</v>
      </c>
      <c r="AC225" s="2114">
        <f t="shared" si="60"/>
        <v>0</v>
      </c>
      <c r="AD225" s="2114"/>
      <c r="AE225" s="2114"/>
      <c r="AF225" s="2113"/>
      <c r="AG225" s="2113"/>
      <c r="AH225" s="2113"/>
      <c r="AI225" s="2113"/>
    </row>
    <row r="226" spans="1:35" s="2218" customFormat="1" ht="60" hidden="1" customHeight="1">
      <c r="A226" s="2235">
        <v>166</v>
      </c>
      <c r="B226" s="2281" t="s">
        <v>2074</v>
      </c>
      <c r="C226" s="2282" t="s">
        <v>2075</v>
      </c>
      <c r="D226" s="2283" t="s">
        <v>1317</v>
      </c>
      <c r="E226" s="2284"/>
      <c r="F226" s="2285"/>
      <c r="G226" s="2257">
        <f t="shared" si="71"/>
        <v>0</v>
      </c>
      <c r="H226" s="2285"/>
      <c r="I226" s="2285"/>
      <c r="J226" s="2257">
        <f t="shared" si="72"/>
        <v>0</v>
      </c>
      <c r="K226" s="2285"/>
      <c r="L226" s="2285"/>
      <c r="M226" s="2259">
        <f t="shared" si="73"/>
        <v>0</v>
      </c>
      <c r="N226" s="2284"/>
      <c r="O226" s="2285"/>
      <c r="P226" s="2259">
        <f t="shared" si="74"/>
        <v>0</v>
      </c>
      <c r="Q226" s="2284">
        <v>0</v>
      </c>
      <c r="R226" s="2285">
        <v>0</v>
      </c>
      <c r="S226" s="2268">
        <f t="shared" si="61"/>
        <v>0</v>
      </c>
      <c r="T226" s="2255">
        <f t="shared" si="75"/>
        <v>0</v>
      </c>
      <c r="U226" s="2256">
        <f t="shared" si="75"/>
        <v>0</v>
      </c>
      <c r="V226" s="2268">
        <f t="shared" si="62"/>
        <v>0</v>
      </c>
      <c r="W226" s="2377">
        <f t="shared" si="70"/>
        <v>0</v>
      </c>
      <c r="X226" s="2256">
        <f t="shared" si="70"/>
        <v>0</v>
      </c>
      <c r="Y226" s="2268">
        <f t="shared" si="76"/>
        <v>0</v>
      </c>
      <c r="Z226" s="2886">
        <f t="shared" si="66"/>
        <v>0</v>
      </c>
      <c r="AA226" s="2887">
        <f t="shared" si="66"/>
        <v>0</v>
      </c>
      <c r="AB226" s="2268">
        <f t="shared" si="77"/>
        <v>0</v>
      </c>
      <c r="AC226" s="2114">
        <f t="shared" si="60"/>
        <v>0</v>
      </c>
      <c r="AD226" s="2114"/>
      <c r="AE226" s="2114"/>
      <c r="AF226" s="2113"/>
      <c r="AG226" s="2113"/>
      <c r="AH226" s="2113"/>
      <c r="AI226" s="2113"/>
    </row>
    <row r="227" spans="1:35" s="2218" customFormat="1" ht="30.75" hidden="1" customHeight="1">
      <c r="A227" s="2235">
        <v>167</v>
      </c>
      <c r="B227" s="2281" t="s">
        <v>2076</v>
      </c>
      <c r="C227" s="2282" t="s">
        <v>2077</v>
      </c>
      <c r="D227" s="2283" t="s">
        <v>1317</v>
      </c>
      <c r="E227" s="2284"/>
      <c r="F227" s="2285"/>
      <c r="G227" s="2257">
        <f t="shared" si="71"/>
        <v>0</v>
      </c>
      <c r="H227" s="2285"/>
      <c r="I227" s="2285"/>
      <c r="J227" s="2257">
        <f t="shared" si="72"/>
        <v>0</v>
      </c>
      <c r="K227" s="2285"/>
      <c r="L227" s="2285"/>
      <c r="M227" s="2259">
        <f t="shared" si="73"/>
        <v>0</v>
      </c>
      <c r="N227" s="2284"/>
      <c r="O227" s="2285"/>
      <c r="P227" s="2259">
        <f t="shared" si="74"/>
        <v>0</v>
      </c>
      <c r="Q227" s="2284">
        <v>0</v>
      </c>
      <c r="R227" s="2285">
        <v>0</v>
      </c>
      <c r="S227" s="2268">
        <f t="shared" si="61"/>
        <v>0</v>
      </c>
      <c r="T227" s="2255">
        <f t="shared" si="75"/>
        <v>0</v>
      </c>
      <c r="U227" s="2256">
        <f t="shared" si="75"/>
        <v>0</v>
      </c>
      <c r="V227" s="2268">
        <f t="shared" si="62"/>
        <v>0</v>
      </c>
      <c r="W227" s="2377">
        <f t="shared" si="70"/>
        <v>0</v>
      </c>
      <c r="X227" s="2256">
        <f t="shared" si="70"/>
        <v>0</v>
      </c>
      <c r="Y227" s="2268">
        <f t="shared" si="76"/>
        <v>0</v>
      </c>
      <c r="Z227" s="2886">
        <f t="shared" si="66"/>
        <v>0</v>
      </c>
      <c r="AA227" s="2887">
        <f t="shared" si="66"/>
        <v>0</v>
      </c>
      <c r="AB227" s="2268">
        <f t="shared" si="77"/>
        <v>0</v>
      </c>
      <c r="AC227" s="2114">
        <f t="shared" si="60"/>
        <v>0</v>
      </c>
      <c r="AD227" s="2114"/>
      <c r="AE227" s="2114"/>
      <c r="AF227" s="2113"/>
      <c r="AG227" s="2113"/>
      <c r="AH227" s="2113"/>
      <c r="AI227" s="2113"/>
    </row>
    <row r="228" spans="1:35" s="2218" customFormat="1" ht="63" hidden="1" customHeight="1">
      <c r="A228" s="2235">
        <v>168</v>
      </c>
      <c r="B228" s="2281" t="s">
        <v>2078</v>
      </c>
      <c r="C228" s="2282" t="s">
        <v>2079</v>
      </c>
      <c r="D228" s="2283" t="s">
        <v>1317</v>
      </c>
      <c r="E228" s="2284"/>
      <c r="F228" s="2285"/>
      <c r="G228" s="2257">
        <f t="shared" si="71"/>
        <v>0</v>
      </c>
      <c r="H228" s="2285"/>
      <c r="I228" s="2285"/>
      <c r="J228" s="2257">
        <f t="shared" si="72"/>
        <v>0</v>
      </c>
      <c r="K228" s="2285"/>
      <c r="L228" s="2285"/>
      <c r="M228" s="2259">
        <f t="shared" si="73"/>
        <v>0</v>
      </c>
      <c r="N228" s="2284"/>
      <c r="O228" s="2285"/>
      <c r="P228" s="2259">
        <f t="shared" si="74"/>
        <v>0</v>
      </c>
      <c r="Q228" s="2284">
        <v>0</v>
      </c>
      <c r="R228" s="2285">
        <v>0</v>
      </c>
      <c r="S228" s="2268">
        <f t="shared" si="61"/>
        <v>0</v>
      </c>
      <c r="T228" s="2255">
        <f t="shared" si="75"/>
        <v>0</v>
      </c>
      <c r="U228" s="2256">
        <f t="shared" si="75"/>
        <v>0</v>
      </c>
      <c r="V228" s="2268">
        <f t="shared" si="62"/>
        <v>0</v>
      </c>
      <c r="W228" s="2377">
        <f t="shared" si="70"/>
        <v>0</v>
      </c>
      <c r="X228" s="2256">
        <f t="shared" si="70"/>
        <v>0</v>
      </c>
      <c r="Y228" s="2268">
        <f t="shared" si="76"/>
        <v>0</v>
      </c>
      <c r="Z228" s="2886">
        <f t="shared" si="66"/>
        <v>0</v>
      </c>
      <c r="AA228" s="2887">
        <f t="shared" si="66"/>
        <v>0</v>
      </c>
      <c r="AB228" s="2268">
        <f t="shared" si="77"/>
        <v>0</v>
      </c>
      <c r="AC228" s="2114">
        <f t="shared" si="60"/>
        <v>0</v>
      </c>
      <c r="AD228" s="2114"/>
      <c r="AE228" s="2114"/>
      <c r="AF228" s="2113"/>
      <c r="AG228" s="2113"/>
      <c r="AH228" s="2113"/>
      <c r="AI228" s="2113"/>
    </row>
    <row r="229" spans="1:35" s="2218" customFormat="1" ht="31.5" customHeight="1" thickBot="1">
      <c r="A229" s="2235">
        <v>13</v>
      </c>
      <c r="B229" s="2279" t="s">
        <v>142</v>
      </c>
      <c r="C229" s="2295" t="s">
        <v>2080</v>
      </c>
      <c r="D229" s="2254" t="s">
        <v>1313</v>
      </c>
      <c r="E229" s="2255">
        <f>E230+E231</f>
        <v>12.511732328354572</v>
      </c>
      <c r="F229" s="2256">
        <f>F230+F231</f>
        <v>12.511732328354572</v>
      </c>
      <c r="G229" s="2257">
        <f t="shared" si="71"/>
        <v>12.511732328354572</v>
      </c>
      <c r="H229" s="2256">
        <f>H230+H231</f>
        <v>186.49387580385712</v>
      </c>
      <c r="I229" s="2256">
        <f>I230+I231</f>
        <v>186.49387580385712</v>
      </c>
      <c r="J229" s="2257">
        <f t="shared" si="72"/>
        <v>186.49387580385712</v>
      </c>
      <c r="K229" s="2256">
        <f>K230+K231</f>
        <v>0</v>
      </c>
      <c r="L229" s="2256">
        <f>L230+L231</f>
        <v>0</v>
      </c>
      <c r="M229" s="2259">
        <f t="shared" si="73"/>
        <v>0</v>
      </c>
      <c r="N229" s="2255">
        <v>0</v>
      </c>
      <c r="O229" s="2256">
        <v>0</v>
      </c>
      <c r="P229" s="2259">
        <f t="shared" si="74"/>
        <v>0</v>
      </c>
      <c r="Q229" s="2255">
        <v>0</v>
      </c>
      <c r="R229" s="2256">
        <v>0</v>
      </c>
      <c r="S229" s="2268">
        <f t="shared" si="61"/>
        <v>0</v>
      </c>
      <c r="T229" s="2255">
        <f t="shared" si="75"/>
        <v>0</v>
      </c>
      <c r="U229" s="2256">
        <f t="shared" si="75"/>
        <v>0</v>
      </c>
      <c r="V229" s="2268">
        <f t="shared" si="62"/>
        <v>0</v>
      </c>
      <c r="W229" s="2377">
        <f t="shared" si="70"/>
        <v>0</v>
      </c>
      <c r="X229" s="2256">
        <f t="shared" si="70"/>
        <v>0</v>
      </c>
      <c r="Y229" s="2268">
        <f t="shared" si="76"/>
        <v>0</v>
      </c>
      <c r="Z229" s="2886">
        <f t="shared" si="66"/>
        <v>0</v>
      </c>
      <c r="AA229" s="2887">
        <f t="shared" si="66"/>
        <v>0</v>
      </c>
      <c r="AB229" s="2268">
        <f t="shared" si="77"/>
        <v>0</v>
      </c>
      <c r="AC229" s="2114">
        <f t="shared" si="60"/>
        <v>0</v>
      </c>
      <c r="AD229" s="2114"/>
      <c r="AE229" s="2114"/>
      <c r="AF229" s="2113"/>
      <c r="AG229" s="2113"/>
      <c r="AH229" s="2113"/>
      <c r="AI229" s="2113"/>
    </row>
    <row r="230" spans="1:35" s="2218" customFormat="1" ht="20.25" hidden="1" customHeight="1">
      <c r="A230" s="2235">
        <v>14</v>
      </c>
      <c r="B230" s="2281" t="s">
        <v>2081</v>
      </c>
      <c r="C230" s="2282" t="s">
        <v>2082</v>
      </c>
      <c r="D230" s="2283" t="s">
        <v>1313</v>
      </c>
      <c r="E230" s="2284"/>
      <c r="F230" s="2285"/>
      <c r="G230" s="2257">
        <f t="shared" si="71"/>
        <v>0</v>
      </c>
      <c r="H230" s="2285"/>
      <c r="I230" s="2285"/>
      <c r="J230" s="2257">
        <f t="shared" si="72"/>
        <v>0</v>
      </c>
      <c r="K230" s="2285"/>
      <c r="L230" s="2285"/>
      <c r="M230" s="2259">
        <f t="shared" si="73"/>
        <v>0</v>
      </c>
      <c r="N230" s="2284"/>
      <c r="O230" s="2285"/>
      <c r="P230" s="2259">
        <f t="shared" si="74"/>
        <v>0</v>
      </c>
      <c r="Q230" s="2284">
        <v>0</v>
      </c>
      <c r="R230" s="2285">
        <v>0</v>
      </c>
      <c r="S230" s="2268">
        <f t="shared" si="61"/>
        <v>0</v>
      </c>
      <c r="T230" s="2284">
        <v>0</v>
      </c>
      <c r="U230" s="2285">
        <v>0</v>
      </c>
      <c r="V230" s="2268">
        <f t="shared" si="62"/>
        <v>0</v>
      </c>
      <c r="W230" s="2284">
        <v>0</v>
      </c>
      <c r="X230" s="2285">
        <v>0</v>
      </c>
      <c r="Y230" s="2268">
        <f t="shared" si="64"/>
        <v>0</v>
      </c>
      <c r="Z230" s="2284">
        <v>0</v>
      </c>
      <c r="AA230" s="2285">
        <v>0</v>
      </c>
      <c r="AB230" s="2268">
        <f t="shared" si="63"/>
        <v>0</v>
      </c>
      <c r="AC230" s="2114">
        <f t="shared" si="60"/>
        <v>0</v>
      </c>
      <c r="AD230" s="2114"/>
      <c r="AE230" s="2114"/>
      <c r="AF230" s="2113"/>
      <c r="AG230" s="2113"/>
      <c r="AH230" s="2113"/>
      <c r="AI230" s="2113"/>
    </row>
    <row r="231" spans="1:35" s="2218" customFormat="1" ht="31.5" hidden="1" customHeight="1">
      <c r="A231" s="2235">
        <v>89</v>
      </c>
      <c r="B231" s="2297" t="s">
        <v>2083</v>
      </c>
      <c r="C231" s="2298" t="s">
        <v>1806</v>
      </c>
      <c r="D231" s="2299" t="s">
        <v>1313</v>
      </c>
      <c r="E231" s="2300">
        <f>'[3]НВВ очистка)'!K530</f>
        <v>12.511732328354572</v>
      </c>
      <c r="F231" s="2301">
        <f>'[3]НВВ очистка)'!L530</f>
        <v>12.511732328354572</v>
      </c>
      <c r="G231" s="2266">
        <f t="shared" si="71"/>
        <v>12.511732328354572</v>
      </c>
      <c r="H231" s="2301">
        <f>'[3]НВВ очистка)'!T530</f>
        <v>186.49387580385712</v>
      </c>
      <c r="I231" s="2301">
        <f>'[3]НВВ очистка)'!U530</f>
        <v>186.49387580385712</v>
      </c>
      <c r="J231" s="2266">
        <f t="shared" si="72"/>
        <v>186.49387580385712</v>
      </c>
      <c r="K231" s="2301">
        <f>'[3]НВВ очистка)'!AC530</f>
        <v>0</v>
      </c>
      <c r="L231" s="2301">
        <f>'[3]НВВ очистка)'!AD530</f>
        <v>0</v>
      </c>
      <c r="M231" s="2268">
        <f t="shared" si="73"/>
        <v>0</v>
      </c>
      <c r="N231" s="2300"/>
      <c r="O231" s="2301"/>
      <c r="P231" s="2268">
        <f t="shared" si="74"/>
        <v>0</v>
      </c>
      <c r="Q231" s="2300">
        <v>0</v>
      </c>
      <c r="R231" s="2301">
        <v>0</v>
      </c>
      <c r="S231" s="2268">
        <f t="shared" si="61"/>
        <v>0</v>
      </c>
      <c r="T231" s="2300">
        <v>0</v>
      </c>
      <c r="U231" s="2301">
        <v>0</v>
      </c>
      <c r="V231" s="2268">
        <f t="shared" si="62"/>
        <v>0</v>
      </c>
      <c r="W231" s="2300">
        <v>0</v>
      </c>
      <c r="X231" s="2301">
        <v>0</v>
      </c>
      <c r="Y231" s="2268">
        <f t="shared" si="64"/>
        <v>0</v>
      </c>
      <c r="Z231" s="2300">
        <v>0</v>
      </c>
      <c r="AA231" s="2301">
        <v>0</v>
      </c>
      <c r="AB231" s="2268">
        <f t="shared" si="63"/>
        <v>0</v>
      </c>
      <c r="AC231" s="2114">
        <f t="shared" si="60"/>
        <v>0</v>
      </c>
      <c r="AD231" s="2114"/>
      <c r="AE231" s="2114"/>
      <c r="AF231" s="2113"/>
      <c r="AG231" s="2113"/>
      <c r="AH231" s="2113"/>
      <c r="AI231" s="2113"/>
    </row>
    <row r="232" spans="1:35" s="2218" customFormat="1" ht="141.75" hidden="1" customHeight="1">
      <c r="A232" s="2235"/>
      <c r="B232" s="2391" t="s">
        <v>137</v>
      </c>
      <c r="C232" s="2392" t="s">
        <v>15031</v>
      </c>
      <c r="D232" s="2299" t="s">
        <v>1313</v>
      </c>
      <c r="E232" s="2301">
        <f>'[3]НВВ очистка)'!K525</f>
        <v>2123.0268224398801</v>
      </c>
      <c r="F232" s="2301">
        <f>'[3]НВВ очистка)'!L525</f>
        <v>2123.0268224398801</v>
      </c>
      <c r="G232" s="2266">
        <f t="shared" si="71"/>
        <v>2123.0268224398801</v>
      </c>
      <c r="H232" s="2301">
        <f>'[3]НВВ очистка)'!T525</f>
        <v>2662.6103267954904</v>
      </c>
      <c r="I232" s="2301">
        <f>'[3]НВВ очистка)'!U525</f>
        <v>2662.6103267954904</v>
      </c>
      <c r="J232" s="2266">
        <f t="shared" si="72"/>
        <v>2662.6103267954904</v>
      </c>
      <c r="K232" s="2301">
        <f>'[3]НВВ очистка)'!AC525</f>
        <v>0</v>
      </c>
      <c r="L232" s="2301">
        <f>'[3]НВВ очистка)'!AD525</f>
        <v>0</v>
      </c>
      <c r="M232" s="2268">
        <f t="shared" si="73"/>
        <v>0</v>
      </c>
      <c r="N232" s="2301"/>
      <c r="O232" s="2301"/>
      <c r="P232" s="2268">
        <f t="shared" si="74"/>
        <v>0</v>
      </c>
      <c r="Q232" s="2300">
        <v>0</v>
      </c>
      <c r="R232" s="2301">
        <v>0</v>
      </c>
      <c r="S232" s="2268">
        <f t="shared" si="61"/>
        <v>0</v>
      </c>
      <c r="T232" s="2300">
        <v>0</v>
      </c>
      <c r="U232" s="2301">
        <v>0</v>
      </c>
      <c r="V232" s="2268">
        <f t="shared" si="62"/>
        <v>0</v>
      </c>
      <c r="W232" s="2300">
        <v>0</v>
      </c>
      <c r="X232" s="2301">
        <v>0</v>
      </c>
      <c r="Y232" s="2268">
        <f t="shared" si="64"/>
        <v>0</v>
      </c>
      <c r="Z232" s="2300">
        <v>0</v>
      </c>
      <c r="AA232" s="2301">
        <v>0</v>
      </c>
      <c r="AB232" s="2268">
        <f t="shared" si="63"/>
        <v>0</v>
      </c>
      <c r="AC232" s="2114">
        <f t="shared" si="60"/>
        <v>0</v>
      </c>
      <c r="AD232" s="2114"/>
      <c r="AE232" s="2114"/>
      <c r="AF232" s="2113"/>
      <c r="AG232" s="2113"/>
      <c r="AH232" s="2113"/>
      <c r="AI232" s="2113"/>
    </row>
    <row r="233" spans="1:35" s="2218" customFormat="1" ht="31.5" hidden="1" customHeight="1">
      <c r="A233" s="2235"/>
      <c r="B233" s="2393" t="s">
        <v>15032</v>
      </c>
      <c r="C233" s="2293" t="s">
        <v>15033</v>
      </c>
      <c r="D233" s="2299" t="s">
        <v>1313</v>
      </c>
      <c r="E233" s="2285"/>
      <c r="F233" s="2285"/>
      <c r="G233" s="2257"/>
      <c r="H233" s="2285"/>
      <c r="I233" s="2285"/>
      <c r="J233" s="2257"/>
      <c r="K233" s="2285"/>
      <c r="L233" s="2285"/>
      <c r="M233" s="2257"/>
      <c r="N233" s="2285"/>
      <c r="O233" s="2285"/>
      <c r="P233" s="2257"/>
      <c r="Q233" s="2284">
        <v>0</v>
      </c>
      <c r="R233" s="2285">
        <v>0</v>
      </c>
      <c r="S233" s="2268">
        <f t="shared" si="61"/>
        <v>0</v>
      </c>
      <c r="T233" s="2284">
        <v>0</v>
      </c>
      <c r="U233" s="2285">
        <v>0</v>
      </c>
      <c r="V233" s="2268">
        <f t="shared" si="62"/>
        <v>0</v>
      </c>
      <c r="W233" s="2284">
        <v>0</v>
      </c>
      <c r="X233" s="2285">
        <v>0</v>
      </c>
      <c r="Y233" s="2268">
        <f t="shared" si="64"/>
        <v>0</v>
      </c>
      <c r="Z233" s="2284">
        <v>0</v>
      </c>
      <c r="AA233" s="2285">
        <v>0</v>
      </c>
      <c r="AB233" s="2268">
        <f t="shared" si="63"/>
        <v>0</v>
      </c>
      <c r="AC233" s="2114">
        <f t="shared" si="60"/>
        <v>0</v>
      </c>
      <c r="AD233" s="2114"/>
      <c r="AE233" s="2114"/>
      <c r="AF233" s="2113"/>
      <c r="AG233" s="2113"/>
      <c r="AH233" s="2113"/>
      <c r="AI233" s="2113"/>
    </row>
    <row r="234" spans="1:35" s="2218" customFormat="1" ht="63" hidden="1" customHeight="1">
      <c r="A234" s="2235"/>
      <c r="B234" s="2393" t="s">
        <v>15034</v>
      </c>
      <c r="C234" s="2293" t="s">
        <v>15035</v>
      </c>
      <c r="D234" s="2299" t="s">
        <v>1313</v>
      </c>
      <c r="E234" s="2285"/>
      <c r="F234" s="2285"/>
      <c r="G234" s="2257"/>
      <c r="H234" s="2285"/>
      <c r="I234" s="2285"/>
      <c r="J234" s="2257"/>
      <c r="K234" s="2285"/>
      <c r="L234" s="2285"/>
      <c r="M234" s="2257"/>
      <c r="N234" s="2285"/>
      <c r="O234" s="2285"/>
      <c r="P234" s="2257"/>
      <c r="Q234" s="2284">
        <v>0</v>
      </c>
      <c r="R234" s="2285">
        <v>0</v>
      </c>
      <c r="S234" s="2268">
        <f t="shared" si="61"/>
        <v>0</v>
      </c>
      <c r="T234" s="2284">
        <v>0</v>
      </c>
      <c r="U234" s="2285">
        <v>0</v>
      </c>
      <c r="V234" s="2268">
        <f t="shared" si="62"/>
        <v>0</v>
      </c>
      <c r="W234" s="2284">
        <v>0</v>
      </c>
      <c r="X234" s="2285">
        <v>0</v>
      </c>
      <c r="Y234" s="2268">
        <f t="shared" si="64"/>
        <v>0</v>
      </c>
      <c r="Z234" s="2284">
        <v>0</v>
      </c>
      <c r="AA234" s="2285">
        <v>0</v>
      </c>
      <c r="AB234" s="2268">
        <f t="shared" si="63"/>
        <v>0</v>
      </c>
      <c r="AC234" s="2114">
        <f t="shared" si="60"/>
        <v>0</v>
      </c>
      <c r="AD234" s="2114"/>
      <c r="AE234" s="2114"/>
      <c r="AF234" s="2113"/>
      <c r="AG234" s="2113"/>
      <c r="AH234" s="2113"/>
      <c r="AI234" s="2113"/>
    </row>
    <row r="235" spans="1:35" s="2218" customFormat="1" ht="30" customHeight="1" thickBot="1">
      <c r="A235" s="2235">
        <v>147</v>
      </c>
      <c r="B235" s="2394">
        <v>2</v>
      </c>
      <c r="C235" s="2395" t="s">
        <v>2084</v>
      </c>
      <c r="D235" s="2396" t="s">
        <v>1317</v>
      </c>
      <c r="E235" s="2397">
        <f>E236</f>
        <v>18879.524703136503</v>
      </c>
      <c r="F235" s="2398">
        <f>F236</f>
        <v>18879.524703136503</v>
      </c>
      <c r="G235" s="2399">
        <f t="shared" si="71"/>
        <v>18879.524703136503</v>
      </c>
      <c r="H235" s="2398">
        <f>H236</f>
        <v>13612.386745960759</v>
      </c>
      <c r="I235" s="2398">
        <f>I236</f>
        <v>13612.386745960759</v>
      </c>
      <c r="J235" s="2399">
        <f t="shared" si="72"/>
        <v>13612.386745960759</v>
      </c>
      <c r="K235" s="2398">
        <f>K236</f>
        <v>42688.607803697923</v>
      </c>
      <c r="L235" s="2398">
        <f>L236</f>
        <v>42688.607803697923</v>
      </c>
      <c r="M235" s="2399">
        <f t="shared" si="73"/>
        <v>42688.607803697923</v>
      </c>
      <c r="N235" s="2397">
        <v>0</v>
      </c>
      <c r="O235" s="2398">
        <f>O236</f>
        <v>24778.778763417798</v>
      </c>
      <c r="P235" s="2399">
        <f t="shared" si="74"/>
        <v>12389.389381708899</v>
      </c>
      <c r="Q235" s="2397">
        <f>Q236</f>
        <v>2344.0654328837636</v>
      </c>
      <c r="R235" s="2398">
        <f>R236</f>
        <v>2344.0654328837636</v>
      </c>
      <c r="S235" s="2399">
        <f t="shared" si="61"/>
        <v>2344.0654328837636</v>
      </c>
      <c r="T235" s="2372">
        <f>T236</f>
        <v>2344.0654328837636</v>
      </c>
      <c r="U235" s="2373">
        <f>U236</f>
        <v>27122.844196301561</v>
      </c>
      <c r="V235" s="2399">
        <f t="shared" si="62"/>
        <v>14733.454814592662</v>
      </c>
      <c r="W235" s="2372">
        <f>W236</f>
        <v>510.70399440538489</v>
      </c>
      <c r="X235" s="2373">
        <f>X236</f>
        <v>0</v>
      </c>
      <c r="Y235" s="2399">
        <f t="shared" si="64"/>
        <v>255.35199720269244</v>
      </c>
      <c r="Z235" s="2372">
        <f>Z236</f>
        <v>1833.3614384783782</v>
      </c>
      <c r="AA235" s="2373">
        <f>AA236</f>
        <v>0</v>
      </c>
      <c r="AB235" s="2399">
        <f t="shared" si="63"/>
        <v>916.6807192391891</v>
      </c>
      <c r="AC235" s="2114">
        <f t="shared" si="60"/>
        <v>-13561.422098150781</v>
      </c>
      <c r="AD235" s="2114"/>
      <c r="AE235" s="2114"/>
      <c r="AF235" s="2113"/>
      <c r="AG235" s="2113"/>
      <c r="AH235" s="2113"/>
      <c r="AI235" s="2113"/>
    </row>
    <row r="236" spans="1:35" s="2218" customFormat="1" ht="63.75" thickBot="1">
      <c r="A236" s="2235">
        <v>148</v>
      </c>
      <c r="B236" s="2402" t="s">
        <v>1224</v>
      </c>
      <c r="C236" s="2403" t="s">
        <v>2085</v>
      </c>
      <c r="D236" s="2404" t="s">
        <v>1317</v>
      </c>
      <c r="E236" s="2405">
        <f>'[3]НВВ очистка)'!K532</f>
        <v>18879.524703136503</v>
      </c>
      <c r="F236" s="2406">
        <f>'[3]НВВ очистка)'!L532</f>
        <v>18879.524703136503</v>
      </c>
      <c r="G236" s="2407">
        <f t="shared" si="71"/>
        <v>18879.524703136503</v>
      </c>
      <c r="H236" s="2406">
        <f>'[3]НВВ очистка)'!T532</f>
        <v>13612.386745960759</v>
      </c>
      <c r="I236" s="2406">
        <f>'[3]НВВ очистка)'!U532</f>
        <v>13612.386745960759</v>
      </c>
      <c r="J236" s="2407">
        <f t="shared" si="72"/>
        <v>13612.386745960759</v>
      </c>
      <c r="K236" s="2406">
        <f>'[3]НВВ очистка)'!AC532</f>
        <v>42688.607803697923</v>
      </c>
      <c r="L236" s="2406">
        <f>'[3]НВВ очистка)'!AD532</f>
        <v>42688.607803697923</v>
      </c>
      <c r="M236" s="2410">
        <f t="shared" si="73"/>
        <v>42688.607803697923</v>
      </c>
      <c r="N236" s="2284"/>
      <c r="O236" s="2285">
        <v>24778.778763417798</v>
      </c>
      <c r="P236" s="2259">
        <f>N236/2+O236/2</f>
        <v>12389.389381708899</v>
      </c>
      <c r="Q236" s="2405">
        <v>2344.0654328837636</v>
      </c>
      <c r="R236" s="2406">
        <v>2344.0654328837636</v>
      </c>
      <c r="S236" s="2268">
        <f t="shared" si="61"/>
        <v>2344.0654328837636</v>
      </c>
      <c r="T236" s="2294">
        <f>N236+Q236</f>
        <v>2344.0654328837636</v>
      </c>
      <c r="U236" s="2285">
        <f>O236+R236</f>
        <v>27122.844196301561</v>
      </c>
      <c r="V236" s="2268">
        <f t="shared" si="62"/>
        <v>14733.454814592662</v>
      </c>
      <c r="W236" s="2888">
        <f>T236/$T$272*$W$272</f>
        <v>510.70399440538489</v>
      </c>
      <c r="X236" s="2952"/>
      <c r="Y236" s="2268">
        <f>W236/2+X236/2</f>
        <v>255.35199720269244</v>
      </c>
      <c r="Z236" s="2888">
        <f>T236/$T$272*$Z$272</f>
        <v>1833.3614384783782</v>
      </c>
      <c r="AA236" s="2952"/>
      <c r="AB236" s="2268">
        <f t="shared" si="63"/>
        <v>916.6807192391891</v>
      </c>
      <c r="AC236" s="2114">
        <f t="shared" si="60"/>
        <v>-13561.422098150781</v>
      </c>
      <c r="AD236" s="2114"/>
      <c r="AE236" s="2114"/>
      <c r="AF236" s="2113"/>
      <c r="AG236" s="2113"/>
      <c r="AH236" s="2113"/>
      <c r="AI236" s="2113"/>
    </row>
    <row r="237" spans="1:35" s="2218" customFormat="1" ht="35.25" customHeight="1" thickBot="1">
      <c r="A237" s="2235">
        <v>171</v>
      </c>
      <c r="B237" s="2412">
        <v>15</v>
      </c>
      <c r="C237" s="2318" t="s">
        <v>2088</v>
      </c>
      <c r="D237" s="2379" t="s">
        <v>1128</v>
      </c>
      <c r="E237" s="2070">
        <f>E238+E269</f>
        <v>3109.4886018000338</v>
      </c>
      <c r="F237" s="2413">
        <f>F238+F269</f>
        <v>3109.4886018000338</v>
      </c>
      <c r="G237" s="2071">
        <f t="shared" si="71"/>
        <v>3109.4886018000338</v>
      </c>
      <c r="H237" s="2413">
        <f>H238+H269</f>
        <v>3465.8219572198468</v>
      </c>
      <c r="I237" s="2413">
        <f>I238+I269</f>
        <v>3465.8219572198468</v>
      </c>
      <c r="J237" s="2071">
        <f t="shared" si="72"/>
        <v>3465.8219572198468</v>
      </c>
      <c r="K237" s="2413">
        <f>K238+K269</f>
        <v>130.62148879999995</v>
      </c>
      <c r="L237" s="2413">
        <f>L238+L269</f>
        <v>130.62148879999995</v>
      </c>
      <c r="M237" s="2071">
        <f t="shared" si="73"/>
        <v>130.62148879999995</v>
      </c>
      <c r="N237" s="2413">
        <f>N238+N269</f>
        <v>0</v>
      </c>
      <c r="O237" s="2413">
        <f>O238+O269</f>
        <v>140.02623599359995</v>
      </c>
      <c r="P237" s="2071">
        <f t="shared" si="74"/>
        <v>70.013117996799977</v>
      </c>
      <c r="Q237" s="2413">
        <f>Q238+Q269</f>
        <v>6922.2571015414906</v>
      </c>
      <c r="R237" s="2413">
        <f>R238+R269</f>
        <v>7420.6596128524779</v>
      </c>
      <c r="S237" s="2071">
        <f t="shared" si="61"/>
        <v>7171.4583571969843</v>
      </c>
      <c r="T237" s="2473">
        <f>T238+T269</f>
        <v>6547.2571015414906</v>
      </c>
      <c r="U237" s="2413">
        <f>U238+U269</f>
        <v>7560.6858488460775</v>
      </c>
      <c r="V237" s="2071">
        <f t="shared" si="62"/>
        <v>7053.9714751937845</v>
      </c>
      <c r="W237" s="2945">
        <f>T237/$T$272*$N$272</f>
        <v>1426.4577717195782</v>
      </c>
      <c r="X237" s="2373">
        <f>U237/$T$272*$N$272</f>
        <v>1647.2545558165871</v>
      </c>
      <c r="Y237" s="2374">
        <f>W237/2+X237/2</f>
        <v>1536.8561637680828</v>
      </c>
      <c r="Z237" s="2945">
        <f>T237/$T$272*$Z$272</f>
        <v>5120.7993298219117</v>
      </c>
      <c r="AA237" s="2373">
        <f>U237/$T$272*$Z$272</f>
        <v>5913.4312930294891</v>
      </c>
      <c r="AB237" s="2946">
        <f t="shared" si="63"/>
        <v>5517.1153114257004</v>
      </c>
      <c r="AC237" s="2114">
        <f t="shared" si="60"/>
        <v>0</v>
      </c>
      <c r="AD237" s="2114"/>
      <c r="AE237" s="2114"/>
      <c r="AF237" s="2113"/>
      <c r="AG237" s="2113"/>
      <c r="AH237" s="2113"/>
      <c r="AI237" s="2113"/>
    </row>
    <row r="238" spans="1:35" s="2218" customFormat="1" ht="25.5" customHeight="1">
      <c r="A238" s="2235">
        <v>172</v>
      </c>
      <c r="B238" s="2243" t="s">
        <v>2089</v>
      </c>
      <c r="C238" s="2414" t="s">
        <v>105</v>
      </c>
      <c r="D238" s="2245" t="s">
        <v>1128</v>
      </c>
      <c r="E238" s="2246">
        <f>E239+E240+E241</f>
        <v>3109.4886018000338</v>
      </c>
      <c r="F238" s="2247">
        <f>F239+F240+F241</f>
        <v>3109.4886018000338</v>
      </c>
      <c r="G238" s="2248">
        <f t="shared" si="71"/>
        <v>3109.4886018000338</v>
      </c>
      <c r="H238" s="2247">
        <f>H239+H240+H241</f>
        <v>3465.8219572198468</v>
      </c>
      <c r="I238" s="2247">
        <f>I239+I240+I241</f>
        <v>3465.8219572198468</v>
      </c>
      <c r="J238" s="2248">
        <f t="shared" si="72"/>
        <v>3465.8219572198468</v>
      </c>
      <c r="K238" s="2247">
        <f>K239+K240+K241</f>
        <v>130.62148879999995</v>
      </c>
      <c r="L238" s="2247">
        <f>L239+L240+L241</f>
        <v>130.62148879999995</v>
      </c>
      <c r="M238" s="2250">
        <f t="shared" si="73"/>
        <v>130.62148879999995</v>
      </c>
      <c r="N238" s="2246">
        <v>0</v>
      </c>
      <c r="O238" s="2247">
        <f>O239+O240+O241</f>
        <v>140.02623599359995</v>
      </c>
      <c r="P238" s="2250">
        <f t="shared" si="74"/>
        <v>70.013117996799977</v>
      </c>
      <c r="Q238" s="2247">
        <f>Q239+Q240+Q241</f>
        <v>6922.2571015414906</v>
      </c>
      <c r="R238" s="2247">
        <f>R239+R240+R241</f>
        <v>7420.6596128524779</v>
      </c>
      <c r="S238" s="2268">
        <f t="shared" si="61"/>
        <v>7171.4583571969843</v>
      </c>
      <c r="T238" s="2465">
        <f>T239+T240+T241+T242</f>
        <v>6547.2571015414906</v>
      </c>
      <c r="U238" s="2466">
        <f>U239+U240+U241+U242</f>
        <v>7560.6858488460775</v>
      </c>
      <c r="V238" s="2268">
        <f t="shared" si="62"/>
        <v>7053.9714751937845</v>
      </c>
      <c r="W238" s="2377">
        <f>T238/$T$272*$N$272</f>
        <v>1426.4577717195782</v>
      </c>
      <c r="X238" s="2256">
        <f>U238/$T$272*$N$272</f>
        <v>1647.2545558165871</v>
      </c>
      <c r="Y238" s="2268">
        <f t="shared" si="64"/>
        <v>1536.8561637680828</v>
      </c>
      <c r="Z238" s="2886">
        <f>T238/$T$272*$Z$272</f>
        <v>5120.7993298219117</v>
      </c>
      <c r="AA238" s="2887">
        <f>U238/$T$272*$Z$272</f>
        <v>5913.4312930294891</v>
      </c>
      <c r="AB238" s="2268">
        <f t="shared" si="63"/>
        <v>5517.1153114257004</v>
      </c>
      <c r="AC238" s="2114">
        <f t="shared" si="60"/>
        <v>0</v>
      </c>
      <c r="AD238" s="2114"/>
      <c r="AE238" s="2114"/>
      <c r="AF238" s="2113"/>
      <c r="AG238" s="2113"/>
      <c r="AH238" s="2113"/>
      <c r="AI238" s="2113"/>
    </row>
    <row r="239" spans="1:35" s="2218" customFormat="1" ht="63">
      <c r="A239" s="2235">
        <v>196</v>
      </c>
      <c r="B239" s="2281" t="s">
        <v>2090</v>
      </c>
      <c r="C239" s="2282" t="s">
        <v>2091</v>
      </c>
      <c r="D239" s="2283" t="s">
        <v>1128</v>
      </c>
      <c r="E239" s="2284">
        <f>'[3]НВВ очистка)'!K537</f>
        <v>3109.4886018000338</v>
      </c>
      <c r="F239" s="2285">
        <f>'[3]НВВ очистка)'!L537</f>
        <v>3109.4886018000338</v>
      </c>
      <c r="G239" s="2257">
        <f t="shared" si="71"/>
        <v>3109.4886018000338</v>
      </c>
      <c r="H239" s="2285">
        <f>'[3]НВВ очистка)'!T537</f>
        <v>3465.8219572198468</v>
      </c>
      <c r="I239" s="2285">
        <f>'[3]НВВ очистка)'!U537</f>
        <v>3465.8219572198468</v>
      </c>
      <c r="J239" s="2257">
        <f t="shared" si="72"/>
        <v>3465.8219572198468</v>
      </c>
      <c r="K239" s="2285">
        <f>'[3]НВВ очистка)'!AC537</f>
        <v>130.62148879999995</v>
      </c>
      <c r="L239" s="2285">
        <f>'[3]НВВ очистка)'!AD537</f>
        <v>130.62148879999995</v>
      </c>
      <c r="M239" s="2259">
        <f t="shared" si="73"/>
        <v>130.62148879999995</v>
      </c>
      <c r="N239" s="2284"/>
      <c r="O239" s="2285">
        <f>L239*1.072</f>
        <v>140.02623599359995</v>
      </c>
      <c r="P239" s="2259">
        <f t="shared" si="74"/>
        <v>70.013117996799977</v>
      </c>
      <c r="Q239" s="2294">
        <v>6922.2571015414906</v>
      </c>
      <c r="R239" s="2285">
        <f>Q239*1.072</f>
        <v>7420.6596128524779</v>
      </c>
      <c r="S239" s="2268">
        <f t="shared" si="61"/>
        <v>7171.4583571969843</v>
      </c>
      <c r="T239" s="2294">
        <f>N239+Q239-375</f>
        <v>6547.2571015414906</v>
      </c>
      <c r="U239" s="2285">
        <f>O239+R239</f>
        <v>7560.6858488460775</v>
      </c>
      <c r="V239" s="2268">
        <f t="shared" si="62"/>
        <v>7053.9714751937845</v>
      </c>
      <c r="W239" s="2888">
        <f>T239/$T$272*$W$272</f>
        <v>1426.4577717195782</v>
      </c>
      <c r="X239" s="2889">
        <f>U239/$T$272*$W$272</f>
        <v>1647.2545558165871</v>
      </c>
      <c r="Y239" s="2268">
        <f>W239/2+X239/2</f>
        <v>1536.8561637680828</v>
      </c>
      <c r="Z239" s="2888">
        <f>T239/$T$272*$Z$272</f>
        <v>5120.7993298219117</v>
      </c>
      <c r="AA239" s="2889">
        <f>U239/$T$272*$Z$272</f>
        <v>5913.4312930294891</v>
      </c>
      <c r="AB239" s="2268">
        <f t="shared" si="63"/>
        <v>5517.1153114257004</v>
      </c>
      <c r="AC239" s="2114">
        <f t="shared" si="60"/>
        <v>0</v>
      </c>
      <c r="AD239" s="2114"/>
      <c r="AE239" s="2114"/>
      <c r="AF239" s="2113"/>
      <c r="AG239" s="2113"/>
      <c r="AH239" s="2113"/>
      <c r="AI239" s="2113"/>
    </row>
    <row r="240" spans="1:35" s="2218" customFormat="1" ht="31.5">
      <c r="A240" s="2235">
        <v>15</v>
      </c>
      <c r="B240" s="2281" t="s">
        <v>2093</v>
      </c>
      <c r="C240" s="2282" t="s">
        <v>2094</v>
      </c>
      <c r="D240" s="2283" t="s">
        <v>1128</v>
      </c>
      <c r="E240" s="2284"/>
      <c r="F240" s="2285"/>
      <c r="G240" s="2257">
        <f t="shared" si="71"/>
        <v>0</v>
      </c>
      <c r="H240" s="2285"/>
      <c r="I240" s="2285"/>
      <c r="J240" s="2257">
        <f t="shared" si="72"/>
        <v>0</v>
      </c>
      <c r="K240" s="2285"/>
      <c r="L240" s="2285"/>
      <c r="M240" s="2259">
        <f t="shared" si="73"/>
        <v>0</v>
      </c>
      <c r="N240" s="2284"/>
      <c r="O240" s="2285"/>
      <c r="P240" s="2259">
        <f t="shared" si="74"/>
        <v>0</v>
      </c>
      <c r="Q240" s="2284">
        <v>0</v>
      </c>
      <c r="R240" s="2285">
        <v>0</v>
      </c>
      <c r="S240" s="2268">
        <f t="shared" si="61"/>
        <v>0</v>
      </c>
      <c r="T240" s="2294">
        <f>N240+Q240</f>
        <v>0</v>
      </c>
      <c r="U240" s="2285">
        <f>O240+R240</f>
        <v>0</v>
      </c>
      <c r="V240" s="2268">
        <f t="shared" si="62"/>
        <v>0</v>
      </c>
      <c r="W240" s="2294">
        <f t="shared" ref="W240:X242" si="78">Q240+T240</f>
        <v>0</v>
      </c>
      <c r="X240" s="2285">
        <f t="shared" si="78"/>
        <v>0</v>
      </c>
      <c r="Y240" s="2268">
        <f t="shared" si="64"/>
        <v>0</v>
      </c>
      <c r="Z240" s="2294">
        <f t="shared" ref="Z240:AA242" si="79">T240+W240</f>
        <v>0</v>
      </c>
      <c r="AA240" s="2285">
        <f t="shared" si="79"/>
        <v>0</v>
      </c>
      <c r="AB240" s="2268">
        <f t="shared" si="63"/>
        <v>0</v>
      </c>
      <c r="AC240" s="2113"/>
      <c r="AD240" s="2114"/>
      <c r="AE240" s="2114"/>
      <c r="AF240" s="2113"/>
      <c r="AG240" s="2113"/>
      <c r="AH240" s="2113"/>
      <c r="AI240" s="2113"/>
    </row>
    <row r="241" spans="1:35" s="2218" customFormat="1" ht="21" customHeight="1" thickBot="1">
      <c r="A241" s="2235">
        <v>16</v>
      </c>
      <c r="B241" s="2415" t="s">
        <v>2095</v>
      </c>
      <c r="C241" s="2416" t="s">
        <v>2096</v>
      </c>
      <c r="D241" s="2417" t="s">
        <v>1128</v>
      </c>
      <c r="E241" s="2418">
        <f>E242</f>
        <v>0</v>
      </c>
      <c r="F241" s="2419">
        <f>F242</f>
        <v>0</v>
      </c>
      <c r="G241" s="2257">
        <f t="shared" si="71"/>
        <v>0</v>
      </c>
      <c r="H241" s="2419">
        <f>H242</f>
        <v>0</v>
      </c>
      <c r="I241" s="2419">
        <f>I242</f>
        <v>0</v>
      </c>
      <c r="J241" s="2257">
        <f t="shared" si="72"/>
        <v>0</v>
      </c>
      <c r="K241" s="2419">
        <f>K242</f>
        <v>0</v>
      </c>
      <c r="L241" s="2419">
        <f>L242</f>
        <v>0</v>
      </c>
      <c r="M241" s="2259">
        <f t="shared" si="73"/>
        <v>0</v>
      </c>
      <c r="N241" s="2418">
        <v>0</v>
      </c>
      <c r="O241" s="2419">
        <v>0</v>
      </c>
      <c r="P241" s="2259">
        <f t="shared" si="74"/>
        <v>0</v>
      </c>
      <c r="Q241" s="2418">
        <v>0</v>
      </c>
      <c r="R241" s="2419">
        <v>0</v>
      </c>
      <c r="S241" s="2268">
        <f t="shared" si="61"/>
        <v>0</v>
      </c>
      <c r="T241" s="2294">
        <f>N241+Q241</f>
        <v>0</v>
      </c>
      <c r="U241" s="2285">
        <f>O241+R241</f>
        <v>0</v>
      </c>
      <c r="V241" s="2268">
        <f t="shared" si="62"/>
        <v>0</v>
      </c>
      <c r="W241" s="2294">
        <f t="shared" si="78"/>
        <v>0</v>
      </c>
      <c r="X241" s="2285">
        <f t="shared" si="78"/>
        <v>0</v>
      </c>
      <c r="Y241" s="2268">
        <f t="shared" si="64"/>
        <v>0</v>
      </c>
      <c r="Z241" s="2294">
        <f t="shared" si="79"/>
        <v>0</v>
      </c>
      <c r="AA241" s="2285">
        <f t="shared" si="79"/>
        <v>0</v>
      </c>
      <c r="AB241" s="2268">
        <f t="shared" si="63"/>
        <v>0</v>
      </c>
      <c r="AC241" s="2113"/>
      <c r="AD241" s="2114"/>
      <c r="AE241" s="2114"/>
      <c r="AF241" s="2113"/>
      <c r="AG241" s="2113"/>
      <c r="AH241" s="2113"/>
      <c r="AI241" s="2113"/>
    </row>
    <row r="242" spans="1:35" s="2218" customFormat="1" ht="26.25" customHeight="1">
      <c r="A242" s="2235">
        <v>17</v>
      </c>
      <c r="B242" s="2420" t="s">
        <v>2097</v>
      </c>
      <c r="C242" s="2421" t="s">
        <v>2098</v>
      </c>
      <c r="D242" s="2422" t="s">
        <v>1313</v>
      </c>
      <c r="E242" s="2255">
        <f>E243+E244+E245+E246+E247+E248+E249+E250</f>
        <v>0</v>
      </c>
      <c r="F242" s="2256">
        <f>F243+F244+F245+F246+F247+F248+F249+F250</f>
        <v>0</v>
      </c>
      <c r="G242" s="2257">
        <f t="shared" si="71"/>
        <v>0</v>
      </c>
      <c r="H242" s="2256">
        <f>H243+H244+H245+H246+H247+H248+H249+H250</f>
        <v>0</v>
      </c>
      <c r="I242" s="2256">
        <f>I243+I244+I245+I246+I247+I248+I249+I250</f>
        <v>0</v>
      </c>
      <c r="J242" s="2257">
        <f t="shared" si="72"/>
        <v>0</v>
      </c>
      <c r="K242" s="2256">
        <f>K243+K244+K245+K246+K247+K248+K249+K250</f>
        <v>0</v>
      </c>
      <c r="L242" s="2256">
        <f>L243+L244+L245+L246+L247+L248+L249+L250</f>
        <v>0</v>
      </c>
      <c r="M242" s="2259">
        <f t="shared" si="73"/>
        <v>0</v>
      </c>
      <c r="N242" s="2255">
        <v>0</v>
      </c>
      <c r="O242" s="2256">
        <v>0</v>
      </c>
      <c r="P242" s="2259">
        <f t="shared" si="74"/>
        <v>0</v>
      </c>
      <c r="Q242" s="2255">
        <v>0</v>
      </c>
      <c r="R242" s="2256">
        <v>0</v>
      </c>
      <c r="S242" s="2268">
        <f t="shared" si="61"/>
        <v>0</v>
      </c>
      <c r="T242" s="2246">
        <f>N242+Q242</f>
        <v>0</v>
      </c>
      <c r="U242" s="2247">
        <f>O242+R242</f>
        <v>0</v>
      </c>
      <c r="V242" s="2268">
        <f t="shared" si="62"/>
        <v>0</v>
      </c>
      <c r="W242" s="2246">
        <f t="shared" si="78"/>
        <v>0</v>
      </c>
      <c r="X242" s="2247">
        <f t="shared" si="78"/>
        <v>0</v>
      </c>
      <c r="Y242" s="2268">
        <f t="shared" si="64"/>
        <v>0</v>
      </c>
      <c r="Z242" s="2246">
        <f t="shared" si="79"/>
        <v>0</v>
      </c>
      <c r="AA242" s="2247">
        <f t="shared" si="79"/>
        <v>0</v>
      </c>
      <c r="AB242" s="2268">
        <f t="shared" si="63"/>
        <v>0</v>
      </c>
      <c r="AC242" s="2113"/>
      <c r="AD242" s="2114"/>
      <c r="AE242" s="2114"/>
      <c r="AF242" s="2113"/>
      <c r="AG242" s="2113"/>
      <c r="AH242" s="2113"/>
      <c r="AI242" s="2113"/>
    </row>
    <row r="243" spans="1:35" s="2218" customFormat="1" ht="26.25" hidden="1" customHeight="1">
      <c r="A243" s="2235">
        <v>18</v>
      </c>
      <c r="B243" s="2423" t="s">
        <v>2099</v>
      </c>
      <c r="C243" s="2424" t="s">
        <v>2100</v>
      </c>
      <c r="D243" s="2425" t="s">
        <v>1128</v>
      </c>
      <c r="E243" s="2284"/>
      <c r="F243" s="2285"/>
      <c r="G243" s="2257">
        <f t="shared" si="71"/>
        <v>0</v>
      </c>
      <c r="H243" s="2285"/>
      <c r="I243" s="2285"/>
      <c r="J243" s="2257">
        <f t="shared" si="72"/>
        <v>0</v>
      </c>
      <c r="K243" s="2285"/>
      <c r="L243" s="2285"/>
      <c r="M243" s="2259">
        <f t="shared" si="73"/>
        <v>0</v>
      </c>
      <c r="N243" s="2284"/>
      <c r="O243" s="2285"/>
      <c r="P243" s="2259">
        <f t="shared" si="74"/>
        <v>0</v>
      </c>
      <c r="Q243" s="2284">
        <v>0</v>
      </c>
      <c r="R243" s="2285">
        <v>0</v>
      </c>
      <c r="S243" s="2268">
        <f t="shared" si="61"/>
        <v>0</v>
      </c>
      <c r="T243" s="2284">
        <v>0</v>
      </c>
      <c r="U243" s="2285">
        <v>0</v>
      </c>
      <c r="V243" s="2268">
        <f t="shared" si="62"/>
        <v>0</v>
      </c>
      <c r="W243" s="2284">
        <v>0</v>
      </c>
      <c r="X243" s="2285">
        <v>0</v>
      </c>
      <c r="Y243" s="2268">
        <f t="shared" si="64"/>
        <v>0</v>
      </c>
      <c r="Z243" s="2284">
        <v>0</v>
      </c>
      <c r="AA243" s="2285">
        <v>0</v>
      </c>
      <c r="AB243" s="2268">
        <f t="shared" si="63"/>
        <v>0</v>
      </c>
      <c r="AC243" s="2113"/>
      <c r="AD243" s="2114"/>
      <c r="AE243" s="2114"/>
      <c r="AF243" s="2113"/>
      <c r="AG243" s="2113"/>
      <c r="AH243" s="2113"/>
      <c r="AI243" s="2113"/>
    </row>
    <row r="244" spans="1:35" s="2218" customFormat="1" ht="24" hidden="1" customHeight="1">
      <c r="A244" s="2235">
        <v>19</v>
      </c>
      <c r="B244" s="2423" t="s">
        <v>2101</v>
      </c>
      <c r="C244" s="2424" t="s">
        <v>2102</v>
      </c>
      <c r="D244" s="2425" t="s">
        <v>1313</v>
      </c>
      <c r="E244" s="2284"/>
      <c r="F244" s="2285"/>
      <c r="G244" s="2257">
        <f t="shared" si="71"/>
        <v>0</v>
      </c>
      <c r="H244" s="2285"/>
      <c r="I244" s="2285"/>
      <c r="J244" s="2257">
        <f t="shared" si="72"/>
        <v>0</v>
      </c>
      <c r="K244" s="2285"/>
      <c r="L244" s="2285"/>
      <c r="M244" s="2259">
        <f t="shared" si="73"/>
        <v>0</v>
      </c>
      <c r="N244" s="2284"/>
      <c r="O244" s="2285"/>
      <c r="P244" s="2259">
        <f t="shared" si="74"/>
        <v>0</v>
      </c>
      <c r="Q244" s="2284">
        <v>0</v>
      </c>
      <c r="R244" s="2285">
        <v>0</v>
      </c>
      <c r="S244" s="2268">
        <f t="shared" si="61"/>
        <v>0</v>
      </c>
      <c r="T244" s="2284">
        <v>0</v>
      </c>
      <c r="U244" s="2285">
        <v>0</v>
      </c>
      <c r="V244" s="2268">
        <f t="shared" si="62"/>
        <v>0</v>
      </c>
      <c r="W244" s="2284">
        <v>0</v>
      </c>
      <c r="X244" s="2285">
        <v>0</v>
      </c>
      <c r="Y244" s="2268">
        <f t="shared" si="64"/>
        <v>0</v>
      </c>
      <c r="Z244" s="2284">
        <v>0</v>
      </c>
      <c r="AA244" s="2285">
        <v>0</v>
      </c>
      <c r="AB244" s="2268">
        <f t="shared" si="63"/>
        <v>0</v>
      </c>
      <c r="AC244" s="2113"/>
      <c r="AD244" s="2114"/>
      <c r="AE244" s="2114"/>
      <c r="AF244" s="2113"/>
      <c r="AG244" s="2113"/>
      <c r="AH244" s="2113"/>
      <c r="AI244" s="2113"/>
    </row>
    <row r="245" spans="1:35" s="2218" customFormat="1" ht="16.5" customHeight="1">
      <c r="A245" s="2235">
        <v>20</v>
      </c>
      <c r="B245" s="2423" t="s">
        <v>2103</v>
      </c>
      <c r="C245" s="2424" t="s">
        <v>2104</v>
      </c>
      <c r="D245" s="2425" t="s">
        <v>1128</v>
      </c>
      <c r="E245" s="2284"/>
      <c r="F245" s="2285"/>
      <c r="G245" s="2257">
        <f t="shared" si="71"/>
        <v>0</v>
      </c>
      <c r="H245" s="2285"/>
      <c r="I245" s="2285"/>
      <c r="J245" s="2257">
        <f t="shared" si="72"/>
        <v>0</v>
      </c>
      <c r="K245" s="2285"/>
      <c r="L245" s="2285"/>
      <c r="M245" s="2259">
        <f t="shared" si="73"/>
        <v>0</v>
      </c>
      <c r="N245" s="2284"/>
      <c r="O245" s="2285"/>
      <c r="P245" s="2259">
        <f t="shared" si="74"/>
        <v>0</v>
      </c>
      <c r="Q245" s="2294">
        <v>0</v>
      </c>
      <c r="R245" s="2285">
        <v>0</v>
      </c>
      <c r="S245" s="2268">
        <f t="shared" si="61"/>
        <v>0</v>
      </c>
      <c r="T245" s="2294">
        <f t="shared" ref="T245:U272" si="80">N245+Q245</f>
        <v>0</v>
      </c>
      <c r="U245" s="2285">
        <f t="shared" si="80"/>
        <v>0</v>
      </c>
      <c r="V245" s="2268">
        <f t="shared" si="62"/>
        <v>0</v>
      </c>
      <c r="W245" s="2294">
        <f t="shared" ref="W245:X268" si="81">Q245+T245</f>
        <v>0</v>
      </c>
      <c r="X245" s="2285">
        <f t="shared" si="81"/>
        <v>0</v>
      </c>
      <c r="Y245" s="2268">
        <f t="shared" si="64"/>
        <v>0</v>
      </c>
      <c r="Z245" s="2294">
        <f t="shared" ref="Z245:AA268" si="82">T245+W245</f>
        <v>0</v>
      </c>
      <c r="AA245" s="2285">
        <f t="shared" si="82"/>
        <v>0</v>
      </c>
      <c r="AB245" s="2268">
        <f t="shared" si="63"/>
        <v>0</v>
      </c>
      <c r="AC245" s="2113"/>
      <c r="AD245" s="2114"/>
      <c r="AE245" s="2114"/>
      <c r="AF245" s="2113"/>
      <c r="AG245" s="2113"/>
      <c r="AH245" s="2113"/>
      <c r="AI245" s="2113"/>
    </row>
    <row r="246" spans="1:35" s="2218" customFormat="1" ht="18" customHeight="1">
      <c r="A246" s="2235">
        <v>21</v>
      </c>
      <c r="B246" s="2423" t="s">
        <v>2105</v>
      </c>
      <c r="C246" s="2424" t="s">
        <v>2106</v>
      </c>
      <c r="D246" s="2425" t="s">
        <v>1128</v>
      </c>
      <c r="E246" s="2284"/>
      <c r="F246" s="2285"/>
      <c r="G246" s="2257">
        <f t="shared" si="71"/>
        <v>0</v>
      </c>
      <c r="H246" s="2285"/>
      <c r="I246" s="2285"/>
      <c r="J246" s="2257">
        <f t="shared" si="72"/>
        <v>0</v>
      </c>
      <c r="K246" s="2285"/>
      <c r="L246" s="2285"/>
      <c r="M246" s="2259">
        <f t="shared" si="73"/>
        <v>0</v>
      </c>
      <c r="N246" s="2284"/>
      <c r="O246" s="2285"/>
      <c r="P246" s="2259">
        <f t="shared" si="74"/>
        <v>0</v>
      </c>
      <c r="Q246" s="2284">
        <v>0</v>
      </c>
      <c r="R246" s="2285">
        <v>0</v>
      </c>
      <c r="S246" s="2268">
        <f t="shared" si="61"/>
        <v>0</v>
      </c>
      <c r="T246" s="2294">
        <f t="shared" si="80"/>
        <v>0</v>
      </c>
      <c r="U246" s="2285">
        <f t="shared" si="80"/>
        <v>0</v>
      </c>
      <c r="V246" s="2268">
        <f t="shared" si="62"/>
        <v>0</v>
      </c>
      <c r="W246" s="2294">
        <f t="shared" si="81"/>
        <v>0</v>
      </c>
      <c r="X246" s="2285">
        <f t="shared" si="81"/>
        <v>0</v>
      </c>
      <c r="Y246" s="2268">
        <f t="shared" si="64"/>
        <v>0</v>
      </c>
      <c r="Z246" s="2294">
        <f t="shared" si="82"/>
        <v>0</v>
      </c>
      <c r="AA246" s="2285">
        <f t="shared" si="82"/>
        <v>0</v>
      </c>
      <c r="AB246" s="2268">
        <f t="shared" si="63"/>
        <v>0</v>
      </c>
      <c r="AC246" s="2113"/>
      <c r="AD246" s="2114"/>
      <c r="AE246" s="2114"/>
      <c r="AF246" s="2113"/>
      <c r="AG246" s="2113"/>
      <c r="AH246" s="2113"/>
      <c r="AI246" s="2113"/>
    </row>
    <row r="247" spans="1:35" s="2218" customFormat="1" ht="18" customHeight="1">
      <c r="A247" s="2235">
        <v>40</v>
      </c>
      <c r="B247" s="2423" t="s">
        <v>2107</v>
      </c>
      <c r="C247" s="2424" t="s">
        <v>2108</v>
      </c>
      <c r="D247" s="2425" t="s">
        <v>1128</v>
      </c>
      <c r="E247" s="2284"/>
      <c r="F247" s="2285"/>
      <c r="G247" s="2257">
        <f t="shared" si="71"/>
        <v>0</v>
      </c>
      <c r="H247" s="2285"/>
      <c r="I247" s="2285"/>
      <c r="J247" s="2257">
        <f t="shared" si="72"/>
        <v>0</v>
      </c>
      <c r="K247" s="2285"/>
      <c r="L247" s="2285"/>
      <c r="M247" s="2259">
        <f t="shared" si="73"/>
        <v>0</v>
      </c>
      <c r="N247" s="2284"/>
      <c r="O247" s="2285"/>
      <c r="P247" s="2259">
        <f t="shared" si="74"/>
        <v>0</v>
      </c>
      <c r="Q247" s="2284">
        <v>0</v>
      </c>
      <c r="R247" s="2285">
        <v>0</v>
      </c>
      <c r="S247" s="2268">
        <f t="shared" si="61"/>
        <v>0</v>
      </c>
      <c r="T247" s="2294">
        <f t="shared" si="80"/>
        <v>0</v>
      </c>
      <c r="U247" s="2285">
        <f t="shared" si="80"/>
        <v>0</v>
      </c>
      <c r="V247" s="2268">
        <f t="shared" si="62"/>
        <v>0</v>
      </c>
      <c r="W247" s="2294">
        <f t="shared" si="81"/>
        <v>0</v>
      </c>
      <c r="X247" s="2285">
        <f t="shared" si="81"/>
        <v>0</v>
      </c>
      <c r="Y247" s="2268">
        <f t="shared" si="64"/>
        <v>0</v>
      </c>
      <c r="Z247" s="2294">
        <f t="shared" si="82"/>
        <v>0</v>
      </c>
      <c r="AA247" s="2285">
        <f t="shared" si="82"/>
        <v>0</v>
      </c>
      <c r="AB247" s="2268">
        <f t="shared" si="63"/>
        <v>0</v>
      </c>
      <c r="AC247" s="2113"/>
      <c r="AD247" s="2114"/>
      <c r="AE247" s="2114"/>
      <c r="AF247" s="2113"/>
      <c r="AG247" s="2113"/>
      <c r="AH247" s="2113"/>
      <c r="AI247" s="2113"/>
    </row>
    <row r="248" spans="1:35" s="2218" customFormat="1" ht="22.5" customHeight="1">
      <c r="A248" s="2235">
        <v>41</v>
      </c>
      <c r="B248" s="2423" t="s">
        <v>2109</v>
      </c>
      <c r="C248" s="2424" t="s">
        <v>2110</v>
      </c>
      <c r="D248" s="2425" t="s">
        <v>1128</v>
      </c>
      <c r="E248" s="2284"/>
      <c r="F248" s="2285"/>
      <c r="G248" s="2257">
        <f t="shared" si="71"/>
        <v>0</v>
      </c>
      <c r="H248" s="2285"/>
      <c r="I248" s="2285"/>
      <c r="J248" s="2257">
        <f t="shared" si="72"/>
        <v>0</v>
      </c>
      <c r="K248" s="2285"/>
      <c r="L248" s="2285"/>
      <c r="M248" s="2259">
        <f t="shared" si="73"/>
        <v>0</v>
      </c>
      <c r="N248" s="2284"/>
      <c r="O248" s="2285"/>
      <c r="P248" s="2259">
        <f t="shared" si="74"/>
        <v>0</v>
      </c>
      <c r="Q248" s="2284">
        <v>0</v>
      </c>
      <c r="R248" s="2285">
        <v>0</v>
      </c>
      <c r="S248" s="2268">
        <f t="shared" si="61"/>
        <v>0</v>
      </c>
      <c r="T248" s="2294">
        <f t="shared" si="80"/>
        <v>0</v>
      </c>
      <c r="U248" s="2285">
        <f t="shared" si="80"/>
        <v>0</v>
      </c>
      <c r="V248" s="2268">
        <f t="shared" si="62"/>
        <v>0</v>
      </c>
      <c r="W248" s="2294">
        <f t="shared" si="81"/>
        <v>0</v>
      </c>
      <c r="X248" s="2285">
        <f t="shared" si="81"/>
        <v>0</v>
      </c>
      <c r="Y248" s="2268">
        <f t="shared" si="64"/>
        <v>0</v>
      </c>
      <c r="Z248" s="2294">
        <f t="shared" si="82"/>
        <v>0</v>
      </c>
      <c r="AA248" s="2285">
        <f t="shared" si="82"/>
        <v>0</v>
      </c>
      <c r="AB248" s="2268">
        <f t="shared" si="63"/>
        <v>0</v>
      </c>
      <c r="AC248" s="2113"/>
      <c r="AD248" s="2114"/>
      <c r="AE248" s="2114"/>
      <c r="AF248" s="2113"/>
      <c r="AG248" s="2113"/>
      <c r="AH248" s="2113"/>
      <c r="AI248" s="2113"/>
    </row>
    <row r="249" spans="1:35" s="2218" customFormat="1" ht="18.75" customHeight="1">
      <c r="A249" s="2235">
        <v>42</v>
      </c>
      <c r="B249" s="2423" t="s">
        <v>2111</v>
      </c>
      <c r="C249" s="2424" t="s">
        <v>2112</v>
      </c>
      <c r="D249" s="2425" t="s">
        <v>1128</v>
      </c>
      <c r="E249" s="2284"/>
      <c r="F249" s="2285"/>
      <c r="G249" s="2257">
        <f t="shared" si="71"/>
        <v>0</v>
      </c>
      <c r="H249" s="2285"/>
      <c r="I249" s="2285"/>
      <c r="J249" s="2257">
        <f t="shared" si="72"/>
        <v>0</v>
      </c>
      <c r="K249" s="2285"/>
      <c r="L249" s="2285"/>
      <c r="M249" s="2259">
        <f t="shared" si="73"/>
        <v>0</v>
      </c>
      <c r="N249" s="2284"/>
      <c r="O249" s="2285"/>
      <c r="P249" s="2259">
        <f t="shared" si="74"/>
        <v>0</v>
      </c>
      <c r="Q249" s="2284">
        <v>0</v>
      </c>
      <c r="R249" s="2285">
        <v>0</v>
      </c>
      <c r="S249" s="2268">
        <f t="shared" si="61"/>
        <v>0</v>
      </c>
      <c r="T249" s="2294">
        <f t="shared" si="80"/>
        <v>0</v>
      </c>
      <c r="U249" s="2285">
        <f t="shared" si="80"/>
        <v>0</v>
      </c>
      <c r="V249" s="2268">
        <f t="shared" si="62"/>
        <v>0</v>
      </c>
      <c r="W249" s="2294">
        <f t="shared" si="81"/>
        <v>0</v>
      </c>
      <c r="X249" s="2285">
        <f t="shared" si="81"/>
        <v>0</v>
      </c>
      <c r="Y249" s="2268">
        <f t="shared" si="64"/>
        <v>0</v>
      </c>
      <c r="Z249" s="2294">
        <f t="shared" si="82"/>
        <v>0</v>
      </c>
      <c r="AA249" s="2285">
        <f t="shared" si="82"/>
        <v>0</v>
      </c>
      <c r="AB249" s="2268">
        <f t="shared" si="63"/>
        <v>0</v>
      </c>
      <c r="AC249" s="2113"/>
      <c r="AD249" s="2114"/>
      <c r="AE249" s="2114"/>
      <c r="AF249" s="2113"/>
      <c r="AG249" s="2113"/>
      <c r="AH249" s="2113"/>
      <c r="AI249" s="2113"/>
    </row>
    <row r="250" spans="1:35" s="2218" customFormat="1" ht="18.75" customHeight="1">
      <c r="A250" s="2235">
        <v>43</v>
      </c>
      <c r="B250" s="2423" t="s">
        <v>2113</v>
      </c>
      <c r="C250" s="2424" t="s">
        <v>2106</v>
      </c>
      <c r="D250" s="2425" t="s">
        <v>1128</v>
      </c>
      <c r="E250" s="2284"/>
      <c r="F250" s="2285"/>
      <c r="G250" s="2257">
        <f t="shared" si="71"/>
        <v>0</v>
      </c>
      <c r="H250" s="2285"/>
      <c r="I250" s="2285"/>
      <c r="J250" s="2257">
        <f t="shared" si="72"/>
        <v>0</v>
      </c>
      <c r="K250" s="2285"/>
      <c r="L250" s="2285"/>
      <c r="M250" s="2259">
        <f t="shared" si="73"/>
        <v>0</v>
      </c>
      <c r="N250" s="2284"/>
      <c r="O250" s="2285"/>
      <c r="P250" s="2259">
        <f t="shared" si="74"/>
        <v>0</v>
      </c>
      <c r="Q250" s="2284">
        <v>0</v>
      </c>
      <c r="R250" s="2285">
        <v>0</v>
      </c>
      <c r="S250" s="2268">
        <f t="shared" si="61"/>
        <v>0</v>
      </c>
      <c r="T250" s="2294">
        <f t="shared" si="80"/>
        <v>0</v>
      </c>
      <c r="U250" s="2285">
        <f t="shared" si="80"/>
        <v>0</v>
      </c>
      <c r="V250" s="2268">
        <f t="shared" si="62"/>
        <v>0</v>
      </c>
      <c r="W250" s="2294">
        <f t="shared" si="81"/>
        <v>0</v>
      </c>
      <c r="X250" s="2285">
        <f t="shared" si="81"/>
        <v>0</v>
      </c>
      <c r="Y250" s="2268">
        <f t="shared" si="64"/>
        <v>0</v>
      </c>
      <c r="Z250" s="2294">
        <f t="shared" si="82"/>
        <v>0</v>
      </c>
      <c r="AA250" s="2285">
        <f t="shared" si="82"/>
        <v>0</v>
      </c>
      <c r="AB250" s="2268">
        <f t="shared" si="63"/>
        <v>0</v>
      </c>
      <c r="AC250" s="2113"/>
      <c r="AD250" s="2114"/>
      <c r="AE250" s="2114"/>
      <c r="AF250" s="2113"/>
      <c r="AG250" s="2113"/>
      <c r="AH250" s="2113"/>
      <c r="AI250" s="2113"/>
    </row>
    <row r="251" spans="1:35" s="2218" customFormat="1" ht="32.25" customHeight="1">
      <c r="A251" s="2235">
        <v>22</v>
      </c>
      <c r="B251" s="2423" t="s">
        <v>2114</v>
      </c>
      <c r="C251" s="2426" t="s">
        <v>2115</v>
      </c>
      <c r="D251" s="2425" t="s">
        <v>1128</v>
      </c>
      <c r="E251" s="2255">
        <f>E252+E255+E259</f>
        <v>0</v>
      </c>
      <c r="F251" s="2256">
        <f>F252+F255+F259</f>
        <v>0</v>
      </c>
      <c r="G251" s="2257">
        <f t="shared" si="71"/>
        <v>0</v>
      </c>
      <c r="H251" s="2256">
        <f>H252+H255+H259</f>
        <v>0</v>
      </c>
      <c r="I251" s="2256">
        <f>I252+I255+I259</f>
        <v>0</v>
      </c>
      <c r="J251" s="2257">
        <f t="shared" si="72"/>
        <v>0</v>
      </c>
      <c r="K251" s="2256">
        <f>K252+K255+K259</f>
        <v>0</v>
      </c>
      <c r="L251" s="2256">
        <f>L252+L255+L259</f>
        <v>0</v>
      </c>
      <c r="M251" s="2259">
        <f t="shared" si="73"/>
        <v>0</v>
      </c>
      <c r="N251" s="2255">
        <v>0</v>
      </c>
      <c r="O251" s="2256">
        <v>0</v>
      </c>
      <c r="P251" s="2259">
        <f t="shared" si="74"/>
        <v>0</v>
      </c>
      <c r="Q251" s="2255">
        <v>0</v>
      </c>
      <c r="R251" s="2256">
        <v>0</v>
      </c>
      <c r="S251" s="2268">
        <f t="shared" si="61"/>
        <v>0</v>
      </c>
      <c r="T251" s="2246">
        <f t="shared" si="80"/>
        <v>0</v>
      </c>
      <c r="U251" s="2247">
        <f t="shared" si="80"/>
        <v>0</v>
      </c>
      <c r="V251" s="2268">
        <f t="shared" si="62"/>
        <v>0</v>
      </c>
      <c r="W251" s="2246">
        <f t="shared" si="81"/>
        <v>0</v>
      </c>
      <c r="X251" s="2247">
        <f t="shared" si="81"/>
        <v>0</v>
      </c>
      <c r="Y251" s="2268">
        <f t="shared" si="64"/>
        <v>0</v>
      </c>
      <c r="Z251" s="2246">
        <f t="shared" si="82"/>
        <v>0</v>
      </c>
      <c r="AA251" s="2247">
        <f t="shared" si="82"/>
        <v>0</v>
      </c>
      <c r="AB251" s="2268">
        <f t="shared" si="63"/>
        <v>0</v>
      </c>
      <c r="AC251" s="2113"/>
      <c r="AD251" s="2114"/>
      <c r="AE251" s="2114"/>
      <c r="AF251" s="2113"/>
      <c r="AG251" s="2113"/>
      <c r="AH251" s="2113"/>
      <c r="AI251" s="2113"/>
    </row>
    <row r="252" spans="1:35" s="2218" customFormat="1" ht="24" customHeight="1">
      <c r="A252" s="2235">
        <v>23</v>
      </c>
      <c r="B252" s="2423" t="s">
        <v>2116</v>
      </c>
      <c r="C252" s="2427" t="s">
        <v>2084</v>
      </c>
      <c r="D252" s="2425" t="s">
        <v>1128</v>
      </c>
      <c r="E252" s="2255">
        <f>E253+E254</f>
        <v>0</v>
      </c>
      <c r="F252" s="2256">
        <f>F253+F254</f>
        <v>0</v>
      </c>
      <c r="G252" s="2257">
        <f t="shared" si="71"/>
        <v>0</v>
      </c>
      <c r="H252" s="2256">
        <f>H253+H254</f>
        <v>0</v>
      </c>
      <c r="I252" s="2256">
        <f>I253+I254</f>
        <v>0</v>
      </c>
      <c r="J252" s="2257">
        <f t="shared" si="72"/>
        <v>0</v>
      </c>
      <c r="K252" s="2256">
        <f>K253+K254</f>
        <v>0</v>
      </c>
      <c r="L252" s="2256">
        <f>L253+L254</f>
        <v>0</v>
      </c>
      <c r="M252" s="2259">
        <f t="shared" si="73"/>
        <v>0</v>
      </c>
      <c r="N252" s="2255">
        <v>0</v>
      </c>
      <c r="O252" s="2256">
        <v>0</v>
      </c>
      <c r="P252" s="2259">
        <f t="shared" si="74"/>
        <v>0</v>
      </c>
      <c r="Q252" s="2255">
        <v>0</v>
      </c>
      <c r="R252" s="2256">
        <v>0</v>
      </c>
      <c r="S252" s="2268">
        <f t="shared" si="61"/>
        <v>0</v>
      </c>
      <c r="T252" s="2246">
        <f t="shared" si="80"/>
        <v>0</v>
      </c>
      <c r="U252" s="2247">
        <f t="shared" si="80"/>
        <v>0</v>
      </c>
      <c r="V252" s="2268">
        <f t="shared" si="62"/>
        <v>0</v>
      </c>
      <c r="W252" s="2246">
        <f t="shared" si="81"/>
        <v>0</v>
      </c>
      <c r="X252" s="2247">
        <f t="shared" si="81"/>
        <v>0</v>
      </c>
      <c r="Y252" s="2268">
        <f t="shared" si="64"/>
        <v>0</v>
      </c>
      <c r="Z252" s="2246">
        <f t="shared" si="82"/>
        <v>0</v>
      </c>
      <c r="AA252" s="2247">
        <f t="shared" si="82"/>
        <v>0</v>
      </c>
      <c r="AB252" s="2268">
        <f t="shared" si="63"/>
        <v>0</v>
      </c>
      <c r="AC252" s="2113"/>
      <c r="AD252" s="2114"/>
      <c r="AE252" s="2114"/>
      <c r="AF252" s="2113"/>
      <c r="AG252" s="2113"/>
      <c r="AH252" s="2113"/>
      <c r="AI252" s="2113"/>
    </row>
    <row r="253" spans="1:35" s="2218" customFormat="1" ht="25.5" customHeight="1">
      <c r="A253" s="2235">
        <v>24</v>
      </c>
      <c r="B253" s="2423" t="s">
        <v>2117</v>
      </c>
      <c r="C253" s="2424" t="s">
        <v>2118</v>
      </c>
      <c r="D253" s="2425" t="s">
        <v>1128</v>
      </c>
      <c r="E253" s="2284"/>
      <c r="F253" s="2285"/>
      <c r="G253" s="2257">
        <f t="shared" si="71"/>
        <v>0</v>
      </c>
      <c r="H253" s="2285"/>
      <c r="I253" s="2285"/>
      <c r="J253" s="2257">
        <f t="shared" si="72"/>
        <v>0</v>
      </c>
      <c r="K253" s="2285"/>
      <c r="L253" s="2285"/>
      <c r="M253" s="2259">
        <f t="shared" si="73"/>
        <v>0</v>
      </c>
      <c r="N253" s="2284"/>
      <c r="O253" s="2285"/>
      <c r="P253" s="2259">
        <f t="shared" si="74"/>
        <v>0</v>
      </c>
      <c r="Q253" s="2284">
        <v>0</v>
      </c>
      <c r="R253" s="2285">
        <v>0</v>
      </c>
      <c r="S253" s="2268">
        <f t="shared" si="61"/>
        <v>0</v>
      </c>
      <c r="T253" s="2294">
        <f t="shared" si="80"/>
        <v>0</v>
      </c>
      <c r="U253" s="2285">
        <f t="shared" si="80"/>
        <v>0</v>
      </c>
      <c r="V253" s="2268">
        <f t="shared" si="62"/>
        <v>0</v>
      </c>
      <c r="W253" s="2294">
        <f t="shared" si="81"/>
        <v>0</v>
      </c>
      <c r="X253" s="2285">
        <f t="shared" si="81"/>
        <v>0</v>
      </c>
      <c r="Y253" s="2268">
        <f t="shared" si="64"/>
        <v>0</v>
      </c>
      <c r="Z253" s="2294">
        <f t="shared" si="82"/>
        <v>0</v>
      </c>
      <c r="AA253" s="2285">
        <f t="shared" si="82"/>
        <v>0</v>
      </c>
      <c r="AB253" s="2268">
        <f t="shared" si="63"/>
        <v>0</v>
      </c>
      <c r="AC253" s="2113"/>
      <c r="AD253" s="2114"/>
      <c r="AE253" s="2114"/>
      <c r="AF253" s="2113"/>
      <c r="AG253" s="2113"/>
      <c r="AH253" s="2113"/>
      <c r="AI253" s="2113"/>
    </row>
    <row r="254" spans="1:35" s="2218" customFormat="1" ht="15.75" customHeight="1">
      <c r="A254" s="2235">
        <v>38</v>
      </c>
      <c r="B254" s="2423"/>
      <c r="C254" s="2424" t="s">
        <v>2119</v>
      </c>
      <c r="D254" s="2425" t="s">
        <v>1128</v>
      </c>
      <c r="E254" s="2284"/>
      <c r="F254" s="2285"/>
      <c r="G254" s="2257">
        <f t="shared" si="71"/>
        <v>0</v>
      </c>
      <c r="H254" s="2285"/>
      <c r="I254" s="2285"/>
      <c r="J254" s="2257">
        <f t="shared" si="72"/>
        <v>0</v>
      </c>
      <c r="K254" s="2285"/>
      <c r="L254" s="2285"/>
      <c r="M254" s="2259">
        <f t="shared" si="73"/>
        <v>0</v>
      </c>
      <c r="N254" s="2284"/>
      <c r="O254" s="2285"/>
      <c r="P254" s="2259">
        <f t="shared" si="74"/>
        <v>0</v>
      </c>
      <c r="Q254" s="2284">
        <v>0</v>
      </c>
      <c r="R254" s="2285">
        <v>0</v>
      </c>
      <c r="S254" s="2268">
        <f t="shared" si="61"/>
        <v>0</v>
      </c>
      <c r="T254" s="2294">
        <f t="shared" si="80"/>
        <v>0</v>
      </c>
      <c r="U254" s="2285">
        <f t="shared" si="80"/>
        <v>0</v>
      </c>
      <c r="V254" s="2268">
        <f t="shared" si="62"/>
        <v>0</v>
      </c>
      <c r="W254" s="2294">
        <f t="shared" si="81"/>
        <v>0</v>
      </c>
      <c r="X254" s="2285">
        <f t="shared" si="81"/>
        <v>0</v>
      </c>
      <c r="Y254" s="2268">
        <f t="shared" si="64"/>
        <v>0</v>
      </c>
      <c r="Z254" s="2294">
        <f t="shared" si="82"/>
        <v>0</v>
      </c>
      <c r="AA254" s="2285">
        <f t="shared" si="82"/>
        <v>0</v>
      </c>
      <c r="AB254" s="2268">
        <f t="shared" si="63"/>
        <v>0</v>
      </c>
      <c r="AC254" s="2113"/>
      <c r="AD254" s="2114"/>
      <c r="AE254" s="2114"/>
      <c r="AF254" s="2113"/>
      <c r="AG254" s="2113"/>
      <c r="AH254" s="2113"/>
      <c r="AI254" s="2113"/>
    </row>
    <row r="255" spans="1:35" s="2218" customFormat="1" ht="22.5" customHeight="1">
      <c r="A255" s="2235">
        <v>25</v>
      </c>
      <c r="B255" s="2423" t="s">
        <v>2120</v>
      </c>
      <c r="C255" s="2427" t="s">
        <v>2088</v>
      </c>
      <c r="D255" s="2425" t="s">
        <v>1128</v>
      </c>
      <c r="E255" s="2255">
        <f>E256+E257+E258</f>
        <v>0</v>
      </c>
      <c r="F255" s="2256">
        <f>F256+F257+F258</f>
        <v>0</v>
      </c>
      <c r="G255" s="2257">
        <f t="shared" si="71"/>
        <v>0</v>
      </c>
      <c r="H255" s="2256">
        <f>H256+H257+H258</f>
        <v>0</v>
      </c>
      <c r="I255" s="2256">
        <f>I256+I257+I258</f>
        <v>0</v>
      </c>
      <c r="J255" s="2257">
        <f t="shared" si="72"/>
        <v>0</v>
      </c>
      <c r="K255" s="2256">
        <f>K256+K257+K258</f>
        <v>0</v>
      </c>
      <c r="L255" s="2256">
        <f>L256+L257+L258</f>
        <v>0</v>
      </c>
      <c r="M255" s="2259">
        <f t="shared" si="73"/>
        <v>0</v>
      </c>
      <c r="N255" s="2255">
        <v>0</v>
      </c>
      <c r="O255" s="2256">
        <v>0</v>
      </c>
      <c r="P255" s="2259">
        <f t="shared" si="74"/>
        <v>0</v>
      </c>
      <c r="Q255" s="2255">
        <v>0</v>
      </c>
      <c r="R255" s="2256">
        <v>0</v>
      </c>
      <c r="S255" s="2268">
        <f t="shared" si="61"/>
        <v>0</v>
      </c>
      <c r="T255" s="2246">
        <f t="shared" si="80"/>
        <v>0</v>
      </c>
      <c r="U255" s="2247">
        <f t="shared" si="80"/>
        <v>0</v>
      </c>
      <c r="V255" s="2268">
        <f t="shared" si="62"/>
        <v>0</v>
      </c>
      <c r="W255" s="2246">
        <f t="shared" si="81"/>
        <v>0</v>
      </c>
      <c r="X255" s="2247">
        <f t="shared" si="81"/>
        <v>0</v>
      </c>
      <c r="Y255" s="2268">
        <f t="shared" si="64"/>
        <v>0</v>
      </c>
      <c r="Z255" s="2246">
        <f t="shared" si="82"/>
        <v>0</v>
      </c>
      <c r="AA255" s="2247">
        <f t="shared" si="82"/>
        <v>0</v>
      </c>
      <c r="AB255" s="2268">
        <f t="shared" si="63"/>
        <v>0</v>
      </c>
      <c r="AC255" s="2113"/>
      <c r="AD255" s="2114"/>
      <c r="AE255" s="2114"/>
      <c r="AF255" s="2113"/>
      <c r="AG255" s="2113"/>
      <c r="AH255" s="2113"/>
      <c r="AI255" s="2113"/>
    </row>
    <row r="256" spans="1:35" s="2218" customFormat="1" ht="18" customHeight="1">
      <c r="A256" s="2235">
        <v>26</v>
      </c>
      <c r="B256" s="2423" t="s">
        <v>2121</v>
      </c>
      <c r="C256" s="2424" t="s">
        <v>2122</v>
      </c>
      <c r="D256" s="2425" t="s">
        <v>1128</v>
      </c>
      <c r="E256" s="2284"/>
      <c r="F256" s="2285"/>
      <c r="G256" s="2257">
        <f t="shared" si="71"/>
        <v>0</v>
      </c>
      <c r="H256" s="2285"/>
      <c r="I256" s="2285"/>
      <c r="J256" s="2257">
        <f t="shared" si="72"/>
        <v>0</v>
      </c>
      <c r="K256" s="2285"/>
      <c r="L256" s="2285"/>
      <c r="M256" s="2259">
        <f t="shared" si="73"/>
        <v>0</v>
      </c>
      <c r="N256" s="2284"/>
      <c r="O256" s="2285"/>
      <c r="P256" s="2259">
        <f t="shared" si="74"/>
        <v>0</v>
      </c>
      <c r="Q256" s="2284">
        <v>0</v>
      </c>
      <c r="R256" s="2285">
        <v>0</v>
      </c>
      <c r="S256" s="2268">
        <f t="shared" si="61"/>
        <v>0</v>
      </c>
      <c r="T256" s="2294">
        <f t="shared" si="80"/>
        <v>0</v>
      </c>
      <c r="U256" s="2285">
        <f t="shared" si="80"/>
        <v>0</v>
      </c>
      <c r="V256" s="2268">
        <f t="shared" si="62"/>
        <v>0</v>
      </c>
      <c r="W256" s="2294">
        <f t="shared" si="81"/>
        <v>0</v>
      </c>
      <c r="X256" s="2285">
        <f t="shared" si="81"/>
        <v>0</v>
      </c>
      <c r="Y256" s="2268">
        <f t="shared" si="64"/>
        <v>0</v>
      </c>
      <c r="Z256" s="2294">
        <f t="shared" si="82"/>
        <v>0</v>
      </c>
      <c r="AA256" s="2285">
        <f t="shared" si="82"/>
        <v>0</v>
      </c>
      <c r="AB256" s="2268">
        <f t="shared" si="63"/>
        <v>0</v>
      </c>
      <c r="AC256" s="2113"/>
      <c r="AD256" s="2114"/>
      <c r="AE256" s="2114"/>
      <c r="AF256" s="2113"/>
      <c r="AG256" s="2113"/>
      <c r="AH256" s="2113"/>
      <c r="AI256" s="2113"/>
    </row>
    <row r="257" spans="1:35" s="2218" customFormat="1" ht="15.75" customHeight="1">
      <c r="A257" s="2235">
        <v>39</v>
      </c>
      <c r="B257" s="2423"/>
      <c r="C257" s="2424" t="s">
        <v>2123</v>
      </c>
      <c r="D257" s="2425" t="s">
        <v>1128</v>
      </c>
      <c r="E257" s="2284"/>
      <c r="F257" s="2285"/>
      <c r="G257" s="2257">
        <f t="shared" si="71"/>
        <v>0</v>
      </c>
      <c r="H257" s="2285"/>
      <c r="I257" s="2285"/>
      <c r="J257" s="2257">
        <f t="shared" si="72"/>
        <v>0</v>
      </c>
      <c r="K257" s="2285"/>
      <c r="L257" s="2285"/>
      <c r="M257" s="2259">
        <f t="shared" si="73"/>
        <v>0</v>
      </c>
      <c r="N257" s="2284"/>
      <c r="O257" s="2285"/>
      <c r="P257" s="2259">
        <f t="shared" si="74"/>
        <v>0</v>
      </c>
      <c r="Q257" s="2284">
        <v>0</v>
      </c>
      <c r="R257" s="2285">
        <v>0</v>
      </c>
      <c r="S257" s="2268">
        <f t="shared" si="61"/>
        <v>0</v>
      </c>
      <c r="T257" s="2294">
        <f t="shared" si="80"/>
        <v>0</v>
      </c>
      <c r="U257" s="2285">
        <f t="shared" si="80"/>
        <v>0</v>
      </c>
      <c r="V257" s="2268">
        <f t="shared" si="62"/>
        <v>0</v>
      </c>
      <c r="W257" s="2294">
        <f t="shared" si="81"/>
        <v>0</v>
      </c>
      <c r="X257" s="2285">
        <f t="shared" si="81"/>
        <v>0</v>
      </c>
      <c r="Y257" s="2268">
        <f t="shared" si="64"/>
        <v>0</v>
      </c>
      <c r="Z257" s="2294">
        <f t="shared" si="82"/>
        <v>0</v>
      </c>
      <c r="AA257" s="2285">
        <f t="shared" si="82"/>
        <v>0</v>
      </c>
      <c r="AB257" s="2268">
        <f t="shared" si="63"/>
        <v>0</v>
      </c>
      <c r="AC257" s="2113"/>
      <c r="AD257" s="2114"/>
      <c r="AE257" s="2114"/>
      <c r="AF257" s="2113"/>
      <c r="AG257" s="2113"/>
      <c r="AH257" s="2113"/>
      <c r="AI257" s="2113"/>
    </row>
    <row r="258" spans="1:35" s="2218" customFormat="1" ht="20.25" customHeight="1">
      <c r="A258" s="2235">
        <v>27</v>
      </c>
      <c r="B258" s="2423" t="s">
        <v>2124</v>
      </c>
      <c r="C258" s="2424" t="s">
        <v>2125</v>
      </c>
      <c r="D258" s="2425" t="s">
        <v>1128</v>
      </c>
      <c r="E258" s="2284"/>
      <c r="F258" s="2285"/>
      <c r="G258" s="2257">
        <f t="shared" si="71"/>
        <v>0</v>
      </c>
      <c r="H258" s="2285"/>
      <c r="I258" s="2285"/>
      <c r="J258" s="2257">
        <f t="shared" si="72"/>
        <v>0</v>
      </c>
      <c r="K258" s="2285"/>
      <c r="L258" s="2285"/>
      <c r="M258" s="2259">
        <f t="shared" si="73"/>
        <v>0</v>
      </c>
      <c r="N258" s="2284"/>
      <c r="O258" s="2285"/>
      <c r="P258" s="2259">
        <f t="shared" si="74"/>
        <v>0</v>
      </c>
      <c r="Q258" s="2284">
        <v>0</v>
      </c>
      <c r="R258" s="2285">
        <v>0</v>
      </c>
      <c r="S258" s="2268">
        <f t="shared" si="61"/>
        <v>0</v>
      </c>
      <c r="T258" s="2294">
        <f t="shared" si="80"/>
        <v>0</v>
      </c>
      <c r="U258" s="2285">
        <f t="shared" si="80"/>
        <v>0</v>
      </c>
      <c r="V258" s="2268">
        <f t="shared" si="62"/>
        <v>0</v>
      </c>
      <c r="W258" s="2294">
        <f t="shared" si="81"/>
        <v>0</v>
      </c>
      <c r="X258" s="2285">
        <f t="shared" si="81"/>
        <v>0</v>
      </c>
      <c r="Y258" s="2268">
        <f t="shared" si="64"/>
        <v>0</v>
      </c>
      <c r="Z258" s="2294">
        <f t="shared" si="82"/>
        <v>0</v>
      </c>
      <c r="AA258" s="2285">
        <f t="shared" si="82"/>
        <v>0</v>
      </c>
      <c r="AB258" s="2268">
        <f t="shared" si="63"/>
        <v>0</v>
      </c>
      <c r="AC258" s="2113"/>
      <c r="AD258" s="2114"/>
      <c r="AE258" s="2114"/>
      <c r="AF258" s="2113"/>
      <c r="AG258" s="2113"/>
      <c r="AH258" s="2113"/>
      <c r="AI258" s="2113"/>
    </row>
    <row r="259" spans="1:35" s="2218" customFormat="1" ht="22.5" customHeight="1">
      <c r="A259" s="2235">
        <v>28</v>
      </c>
      <c r="B259" s="2423" t="s">
        <v>2126</v>
      </c>
      <c r="C259" s="2427" t="s">
        <v>2127</v>
      </c>
      <c r="D259" s="2425" t="s">
        <v>1128</v>
      </c>
      <c r="E259" s="2255">
        <f>E260+E261+E262+E263+E264</f>
        <v>0</v>
      </c>
      <c r="F259" s="2256">
        <f>F260+F261+F262+F263+F264</f>
        <v>0</v>
      </c>
      <c r="G259" s="2257">
        <f t="shared" si="71"/>
        <v>0</v>
      </c>
      <c r="H259" s="2256">
        <f>H260+H261+H262+H263+H264</f>
        <v>0</v>
      </c>
      <c r="I259" s="2256">
        <f>I260+I261+I262+I263+I264</f>
        <v>0</v>
      </c>
      <c r="J259" s="2257">
        <f t="shared" si="72"/>
        <v>0</v>
      </c>
      <c r="K259" s="2256">
        <f>K260+K261+K262+K263+K264</f>
        <v>0</v>
      </c>
      <c r="L259" s="2256">
        <f>L260+L261+L262+L263+L264</f>
        <v>0</v>
      </c>
      <c r="M259" s="2259">
        <f t="shared" si="73"/>
        <v>0</v>
      </c>
      <c r="N259" s="2255">
        <v>0</v>
      </c>
      <c r="O259" s="2256">
        <v>0</v>
      </c>
      <c r="P259" s="2259">
        <f t="shared" si="74"/>
        <v>0</v>
      </c>
      <c r="Q259" s="2255">
        <v>0</v>
      </c>
      <c r="R259" s="2256">
        <v>0</v>
      </c>
      <c r="S259" s="2268">
        <f t="shared" si="61"/>
        <v>0</v>
      </c>
      <c r="T259" s="2246">
        <f t="shared" si="80"/>
        <v>0</v>
      </c>
      <c r="U259" s="2247">
        <f t="shared" si="80"/>
        <v>0</v>
      </c>
      <c r="V259" s="2268">
        <f t="shared" si="62"/>
        <v>0</v>
      </c>
      <c r="W259" s="2246">
        <f t="shared" si="81"/>
        <v>0</v>
      </c>
      <c r="X259" s="2247">
        <f t="shared" si="81"/>
        <v>0</v>
      </c>
      <c r="Y259" s="2268">
        <f t="shared" si="64"/>
        <v>0</v>
      </c>
      <c r="Z259" s="2246">
        <f t="shared" si="82"/>
        <v>0</v>
      </c>
      <c r="AA259" s="2247">
        <f t="shared" si="82"/>
        <v>0</v>
      </c>
      <c r="AB259" s="2268">
        <f t="shared" si="63"/>
        <v>0</v>
      </c>
      <c r="AC259" s="2113"/>
      <c r="AD259" s="2114"/>
      <c r="AE259" s="2114"/>
      <c r="AF259" s="2113"/>
      <c r="AG259" s="2113"/>
      <c r="AH259" s="2113"/>
      <c r="AI259" s="2113"/>
    </row>
    <row r="260" spans="1:35" s="2218" customFormat="1" ht="24" customHeight="1">
      <c r="A260" s="2235">
        <v>29</v>
      </c>
      <c r="B260" s="2423" t="s">
        <v>2128</v>
      </c>
      <c r="C260" s="2424" t="s">
        <v>2129</v>
      </c>
      <c r="D260" s="2425" t="s">
        <v>1128</v>
      </c>
      <c r="E260" s="2284"/>
      <c r="F260" s="2285"/>
      <c r="G260" s="2257">
        <f t="shared" si="71"/>
        <v>0</v>
      </c>
      <c r="H260" s="2285"/>
      <c r="I260" s="2285"/>
      <c r="J260" s="2257">
        <f t="shared" si="72"/>
        <v>0</v>
      </c>
      <c r="K260" s="2285"/>
      <c r="L260" s="2285"/>
      <c r="M260" s="2259">
        <f t="shared" si="73"/>
        <v>0</v>
      </c>
      <c r="N260" s="2284"/>
      <c r="O260" s="2285"/>
      <c r="P260" s="2259">
        <f t="shared" si="74"/>
        <v>0</v>
      </c>
      <c r="Q260" s="2284">
        <v>0</v>
      </c>
      <c r="R260" s="2285">
        <v>0</v>
      </c>
      <c r="S260" s="2268">
        <f t="shared" si="61"/>
        <v>0</v>
      </c>
      <c r="T260" s="2294">
        <f t="shared" si="80"/>
        <v>0</v>
      </c>
      <c r="U260" s="2285">
        <f t="shared" si="80"/>
        <v>0</v>
      </c>
      <c r="V260" s="2268">
        <f t="shared" si="62"/>
        <v>0</v>
      </c>
      <c r="W260" s="2294">
        <f t="shared" si="81"/>
        <v>0</v>
      </c>
      <c r="X260" s="2285">
        <f t="shared" si="81"/>
        <v>0</v>
      </c>
      <c r="Y260" s="2268">
        <f t="shared" si="64"/>
        <v>0</v>
      </c>
      <c r="Z260" s="2294">
        <f t="shared" si="82"/>
        <v>0</v>
      </c>
      <c r="AA260" s="2285">
        <f t="shared" si="82"/>
        <v>0</v>
      </c>
      <c r="AB260" s="2268">
        <f t="shared" si="63"/>
        <v>0</v>
      </c>
      <c r="AC260" s="2113"/>
      <c r="AD260" s="2114"/>
      <c r="AE260" s="2114"/>
      <c r="AF260" s="2113"/>
      <c r="AG260" s="2113"/>
      <c r="AH260" s="2113"/>
      <c r="AI260" s="2113"/>
    </row>
    <row r="261" spans="1:35" s="2218" customFormat="1" ht="22.5" customHeight="1">
      <c r="A261" s="2235">
        <v>30</v>
      </c>
      <c r="B261" s="2423" t="s">
        <v>2130</v>
      </c>
      <c r="C261" s="2424" t="s">
        <v>2131</v>
      </c>
      <c r="D261" s="2425" t="s">
        <v>1128</v>
      </c>
      <c r="E261" s="2284"/>
      <c r="F261" s="2285"/>
      <c r="G261" s="2257">
        <f t="shared" si="71"/>
        <v>0</v>
      </c>
      <c r="H261" s="2285"/>
      <c r="I261" s="2285"/>
      <c r="J261" s="2257">
        <f t="shared" si="72"/>
        <v>0</v>
      </c>
      <c r="K261" s="2285"/>
      <c r="L261" s="2285"/>
      <c r="M261" s="2259">
        <f t="shared" si="73"/>
        <v>0</v>
      </c>
      <c r="N261" s="2284"/>
      <c r="O261" s="2285"/>
      <c r="P261" s="2259">
        <f t="shared" si="74"/>
        <v>0</v>
      </c>
      <c r="Q261" s="2284">
        <v>0</v>
      </c>
      <c r="R261" s="2285">
        <v>0</v>
      </c>
      <c r="S261" s="2268">
        <f t="shared" ref="S261:S272" si="83">Q261/2+R261/2</f>
        <v>0</v>
      </c>
      <c r="T261" s="2294">
        <f t="shared" si="80"/>
        <v>0</v>
      </c>
      <c r="U261" s="2285">
        <f t="shared" si="80"/>
        <v>0</v>
      </c>
      <c r="V261" s="2268">
        <f t="shared" ref="V261:V272" si="84">T261/2+U261/2</f>
        <v>0</v>
      </c>
      <c r="W261" s="2294">
        <f t="shared" si="81"/>
        <v>0</v>
      </c>
      <c r="X261" s="2285">
        <f t="shared" si="81"/>
        <v>0</v>
      </c>
      <c r="Y261" s="2268">
        <f t="shared" si="64"/>
        <v>0</v>
      </c>
      <c r="Z261" s="2294">
        <f t="shared" si="82"/>
        <v>0</v>
      </c>
      <c r="AA261" s="2285">
        <f t="shared" si="82"/>
        <v>0</v>
      </c>
      <c r="AB261" s="2268">
        <f t="shared" ref="AB261:AB272" si="85">Z261/2+AA261/2</f>
        <v>0</v>
      </c>
      <c r="AC261" s="2113"/>
      <c r="AD261" s="2114"/>
      <c r="AE261" s="2114"/>
      <c r="AF261" s="2113"/>
      <c r="AG261" s="2113"/>
      <c r="AH261" s="2113"/>
      <c r="AI261" s="2113"/>
    </row>
    <row r="262" spans="1:35" s="2218" customFormat="1" ht="24" customHeight="1">
      <c r="A262" s="2235">
        <v>31</v>
      </c>
      <c r="B262" s="2423" t="s">
        <v>2132</v>
      </c>
      <c r="C262" s="2424" t="s">
        <v>2133</v>
      </c>
      <c r="D262" s="2425" t="s">
        <v>1128</v>
      </c>
      <c r="E262" s="2284"/>
      <c r="F262" s="2285"/>
      <c r="G262" s="2257">
        <f t="shared" si="71"/>
        <v>0</v>
      </c>
      <c r="H262" s="2285"/>
      <c r="I262" s="2285"/>
      <c r="J262" s="2257">
        <f t="shared" si="72"/>
        <v>0</v>
      </c>
      <c r="K262" s="2285"/>
      <c r="L262" s="2285"/>
      <c r="M262" s="2259">
        <f t="shared" si="73"/>
        <v>0</v>
      </c>
      <c r="N262" s="2284"/>
      <c r="O262" s="2285"/>
      <c r="P262" s="2259">
        <f t="shared" si="74"/>
        <v>0</v>
      </c>
      <c r="Q262" s="2284">
        <v>0</v>
      </c>
      <c r="R262" s="2285">
        <v>0</v>
      </c>
      <c r="S262" s="2268">
        <f t="shared" si="83"/>
        <v>0</v>
      </c>
      <c r="T262" s="2294">
        <f t="shared" si="80"/>
        <v>0</v>
      </c>
      <c r="U262" s="2285">
        <f t="shared" si="80"/>
        <v>0</v>
      </c>
      <c r="V262" s="2268">
        <f t="shared" si="84"/>
        <v>0</v>
      </c>
      <c r="W262" s="2294">
        <f t="shared" si="81"/>
        <v>0</v>
      </c>
      <c r="X262" s="2285">
        <f t="shared" si="81"/>
        <v>0</v>
      </c>
      <c r="Y262" s="2268">
        <f t="shared" si="64"/>
        <v>0</v>
      </c>
      <c r="Z262" s="2294">
        <f t="shared" si="82"/>
        <v>0</v>
      </c>
      <c r="AA262" s="2285">
        <f t="shared" si="82"/>
        <v>0</v>
      </c>
      <c r="AB262" s="2268">
        <f t="shared" si="85"/>
        <v>0</v>
      </c>
      <c r="AC262" s="2113"/>
      <c r="AD262" s="2114"/>
      <c r="AE262" s="2114"/>
      <c r="AF262" s="2113"/>
      <c r="AG262" s="2113"/>
      <c r="AH262" s="2113"/>
      <c r="AI262" s="2113"/>
    </row>
    <row r="263" spans="1:35" s="2218" customFormat="1" ht="24" customHeight="1">
      <c r="A263" s="2235">
        <v>32</v>
      </c>
      <c r="B263" s="2423" t="s">
        <v>2134</v>
      </c>
      <c r="C263" s="2424" t="s">
        <v>2135</v>
      </c>
      <c r="D263" s="2425" t="s">
        <v>1128</v>
      </c>
      <c r="E263" s="2284"/>
      <c r="F263" s="2285"/>
      <c r="G263" s="2257">
        <f t="shared" si="71"/>
        <v>0</v>
      </c>
      <c r="H263" s="2285"/>
      <c r="I263" s="2285"/>
      <c r="J263" s="2257">
        <f t="shared" si="72"/>
        <v>0</v>
      </c>
      <c r="K263" s="2285"/>
      <c r="L263" s="2285"/>
      <c r="M263" s="2259">
        <f t="shared" si="73"/>
        <v>0</v>
      </c>
      <c r="N263" s="2284"/>
      <c r="O263" s="2285"/>
      <c r="P263" s="2259">
        <f t="shared" si="74"/>
        <v>0</v>
      </c>
      <c r="Q263" s="2284">
        <v>0</v>
      </c>
      <c r="R263" s="2285">
        <v>0</v>
      </c>
      <c r="S263" s="2268">
        <f t="shared" si="83"/>
        <v>0</v>
      </c>
      <c r="T263" s="2294">
        <f t="shared" si="80"/>
        <v>0</v>
      </c>
      <c r="U263" s="2285">
        <f t="shared" si="80"/>
        <v>0</v>
      </c>
      <c r="V263" s="2268">
        <f t="shared" si="84"/>
        <v>0</v>
      </c>
      <c r="W263" s="2294">
        <f t="shared" si="81"/>
        <v>0</v>
      </c>
      <c r="X263" s="2285">
        <f t="shared" si="81"/>
        <v>0</v>
      </c>
      <c r="Y263" s="2268">
        <f t="shared" ref="Y263:Y271" si="86">W263/2+X263/2</f>
        <v>0</v>
      </c>
      <c r="Z263" s="2294">
        <f t="shared" si="82"/>
        <v>0</v>
      </c>
      <c r="AA263" s="2285">
        <f t="shared" si="82"/>
        <v>0</v>
      </c>
      <c r="AB263" s="2268">
        <f t="shared" si="85"/>
        <v>0</v>
      </c>
      <c r="AC263" s="2113"/>
      <c r="AD263" s="2114"/>
      <c r="AE263" s="2114"/>
      <c r="AF263" s="2113"/>
      <c r="AG263" s="2113"/>
      <c r="AH263" s="2113"/>
      <c r="AI263" s="2113"/>
    </row>
    <row r="264" spans="1:35" s="2218" customFormat="1" ht="23.25" customHeight="1">
      <c r="A264" s="2235">
        <v>33</v>
      </c>
      <c r="B264" s="2423" t="s">
        <v>2136</v>
      </c>
      <c r="C264" s="2424" t="s">
        <v>2137</v>
      </c>
      <c r="D264" s="2425" t="s">
        <v>1128</v>
      </c>
      <c r="E264" s="2284"/>
      <c r="F264" s="2285"/>
      <c r="G264" s="2257">
        <f t="shared" si="71"/>
        <v>0</v>
      </c>
      <c r="H264" s="2285"/>
      <c r="I264" s="2285"/>
      <c r="J264" s="2257">
        <f t="shared" si="72"/>
        <v>0</v>
      </c>
      <c r="K264" s="2285"/>
      <c r="L264" s="2285"/>
      <c r="M264" s="2259">
        <f t="shared" si="73"/>
        <v>0</v>
      </c>
      <c r="N264" s="2284"/>
      <c r="O264" s="2285"/>
      <c r="P264" s="2259">
        <f t="shared" si="74"/>
        <v>0</v>
      </c>
      <c r="Q264" s="2284">
        <v>0</v>
      </c>
      <c r="R264" s="2285">
        <v>0</v>
      </c>
      <c r="S264" s="2268">
        <f t="shared" si="83"/>
        <v>0</v>
      </c>
      <c r="T264" s="2294">
        <f t="shared" si="80"/>
        <v>0</v>
      </c>
      <c r="U264" s="2285">
        <f t="shared" si="80"/>
        <v>0</v>
      </c>
      <c r="V264" s="2268">
        <f t="shared" si="84"/>
        <v>0</v>
      </c>
      <c r="W264" s="2294">
        <f t="shared" si="81"/>
        <v>0</v>
      </c>
      <c r="X264" s="2285">
        <f t="shared" si="81"/>
        <v>0</v>
      </c>
      <c r="Y264" s="2268">
        <f t="shared" si="86"/>
        <v>0</v>
      </c>
      <c r="Z264" s="2294">
        <f t="shared" si="82"/>
        <v>0</v>
      </c>
      <c r="AA264" s="2285">
        <f t="shared" si="82"/>
        <v>0</v>
      </c>
      <c r="AB264" s="2268">
        <f t="shared" si="85"/>
        <v>0</v>
      </c>
      <c r="AC264" s="2113"/>
      <c r="AD264" s="2114"/>
      <c r="AE264" s="2114"/>
      <c r="AF264" s="2113"/>
      <c r="AG264" s="2113"/>
      <c r="AH264" s="2113"/>
      <c r="AI264" s="2113"/>
    </row>
    <row r="265" spans="1:35" s="2218" customFormat="1" ht="22.5" customHeight="1">
      <c r="A265" s="2235">
        <v>34</v>
      </c>
      <c r="B265" s="2423" t="s">
        <v>2138</v>
      </c>
      <c r="C265" s="2424" t="s">
        <v>2139</v>
      </c>
      <c r="D265" s="2425" t="s">
        <v>1313</v>
      </c>
      <c r="E265" s="2255">
        <f>E266+E267</f>
        <v>0</v>
      </c>
      <c r="F265" s="2256">
        <f>F266+F267</f>
        <v>0</v>
      </c>
      <c r="G265" s="2257">
        <f t="shared" si="71"/>
        <v>0</v>
      </c>
      <c r="H265" s="2256">
        <f>H266+H267</f>
        <v>0</v>
      </c>
      <c r="I265" s="2256">
        <f>I266+I267</f>
        <v>0</v>
      </c>
      <c r="J265" s="2257">
        <f t="shared" si="72"/>
        <v>0</v>
      </c>
      <c r="K265" s="2256">
        <f>K266+K267</f>
        <v>0</v>
      </c>
      <c r="L265" s="2256">
        <f>L266+L267</f>
        <v>0</v>
      </c>
      <c r="M265" s="2259">
        <f t="shared" si="73"/>
        <v>0</v>
      </c>
      <c r="N265" s="2255">
        <v>0</v>
      </c>
      <c r="O265" s="2256">
        <v>0</v>
      </c>
      <c r="P265" s="2259">
        <f t="shared" si="74"/>
        <v>0</v>
      </c>
      <c r="Q265" s="2255">
        <v>0</v>
      </c>
      <c r="R265" s="2256">
        <v>0</v>
      </c>
      <c r="S265" s="2268">
        <f t="shared" si="83"/>
        <v>0</v>
      </c>
      <c r="T265" s="2246">
        <f t="shared" si="80"/>
        <v>0</v>
      </c>
      <c r="U265" s="2247">
        <f t="shared" si="80"/>
        <v>0</v>
      </c>
      <c r="V265" s="2268">
        <f t="shared" si="84"/>
        <v>0</v>
      </c>
      <c r="W265" s="2246">
        <f t="shared" si="81"/>
        <v>0</v>
      </c>
      <c r="X265" s="2247">
        <f t="shared" si="81"/>
        <v>0</v>
      </c>
      <c r="Y265" s="2268">
        <f t="shared" si="86"/>
        <v>0</v>
      </c>
      <c r="Z265" s="2246">
        <f t="shared" si="82"/>
        <v>0</v>
      </c>
      <c r="AA265" s="2247">
        <f t="shared" si="82"/>
        <v>0</v>
      </c>
      <c r="AB265" s="2268">
        <f t="shared" si="85"/>
        <v>0</v>
      </c>
      <c r="AC265" s="2113"/>
      <c r="AD265" s="2114"/>
      <c r="AE265" s="2114"/>
      <c r="AF265" s="2113"/>
      <c r="AG265" s="2113"/>
      <c r="AH265" s="2113"/>
      <c r="AI265" s="2113"/>
    </row>
    <row r="266" spans="1:35" s="2218" customFormat="1" ht="25.5" customHeight="1">
      <c r="A266" s="2235">
        <v>35</v>
      </c>
      <c r="B266" s="2423" t="s">
        <v>2140</v>
      </c>
      <c r="C266" s="2424" t="s">
        <v>2084</v>
      </c>
      <c r="D266" s="2425" t="s">
        <v>1128</v>
      </c>
      <c r="E266" s="2284"/>
      <c r="F266" s="2285"/>
      <c r="G266" s="2257">
        <f t="shared" si="71"/>
        <v>0</v>
      </c>
      <c r="H266" s="2285"/>
      <c r="I266" s="2285"/>
      <c r="J266" s="2257">
        <f t="shared" si="72"/>
        <v>0</v>
      </c>
      <c r="K266" s="2285"/>
      <c r="L266" s="2285"/>
      <c r="M266" s="2259">
        <f t="shared" si="73"/>
        <v>0</v>
      </c>
      <c r="N266" s="2284"/>
      <c r="O266" s="2285"/>
      <c r="P266" s="2259">
        <f t="shared" si="74"/>
        <v>0</v>
      </c>
      <c r="Q266" s="2284">
        <v>0</v>
      </c>
      <c r="R266" s="2285">
        <v>0</v>
      </c>
      <c r="S266" s="2268">
        <f t="shared" si="83"/>
        <v>0</v>
      </c>
      <c r="T266" s="2294">
        <f t="shared" si="80"/>
        <v>0</v>
      </c>
      <c r="U266" s="2285">
        <f t="shared" si="80"/>
        <v>0</v>
      </c>
      <c r="V266" s="2268">
        <f t="shared" si="84"/>
        <v>0</v>
      </c>
      <c r="W266" s="2294">
        <f t="shared" si="81"/>
        <v>0</v>
      </c>
      <c r="X266" s="2285">
        <f t="shared" si="81"/>
        <v>0</v>
      </c>
      <c r="Y266" s="2268">
        <f t="shared" si="86"/>
        <v>0</v>
      </c>
      <c r="Z266" s="2294">
        <f t="shared" si="82"/>
        <v>0</v>
      </c>
      <c r="AA266" s="2285">
        <f t="shared" si="82"/>
        <v>0</v>
      </c>
      <c r="AB266" s="2268">
        <f t="shared" si="85"/>
        <v>0</v>
      </c>
      <c r="AC266" s="2113"/>
      <c r="AD266" s="2114"/>
      <c r="AE266" s="2114"/>
      <c r="AF266" s="2113"/>
      <c r="AG266" s="2113"/>
      <c r="AH266" s="2113"/>
      <c r="AI266" s="2113"/>
    </row>
    <row r="267" spans="1:35" s="2218" customFormat="1" ht="23.25" customHeight="1">
      <c r="A267" s="2235">
        <v>36</v>
      </c>
      <c r="B267" s="2423" t="s">
        <v>2141</v>
      </c>
      <c r="C267" s="2424" t="s">
        <v>2088</v>
      </c>
      <c r="D267" s="2425" t="s">
        <v>1128</v>
      </c>
      <c r="E267" s="2284"/>
      <c r="F267" s="2285"/>
      <c r="G267" s="2257">
        <f t="shared" si="71"/>
        <v>0</v>
      </c>
      <c r="H267" s="2285"/>
      <c r="I267" s="2285"/>
      <c r="J267" s="2257">
        <f t="shared" si="72"/>
        <v>0</v>
      </c>
      <c r="K267" s="2285"/>
      <c r="L267" s="2285"/>
      <c r="M267" s="2259">
        <f t="shared" si="73"/>
        <v>0</v>
      </c>
      <c r="N267" s="2284"/>
      <c r="O267" s="2285"/>
      <c r="P267" s="2259">
        <f t="shared" si="74"/>
        <v>0</v>
      </c>
      <c r="Q267" s="2284">
        <v>0</v>
      </c>
      <c r="R267" s="2285">
        <v>0</v>
      </c>
      <c r="S267" s="2268">
        <f t="shared" si="83"/>
        <v>0</v>
      </c>
      <c r="T267" s="2294">
        <f t="shared" si="80"/>
        <v>0</v>
      </c>
      <c r="U267" s="2285">
        <f t="shared" si="80"/>
        <v>0</v>
      </c>
      <c r="V267" s="2268">
        <f t="shared" si="84"/>
        <v>0</v>
      </c>
      <c r="W267" s="2294">
        <f t="shared" si="81"/>
        <v>0</v>
      </c>
      <c r="X267" s="2285">
        <f t="shared" si="81"/>
        <v>0</v>
      </c>
      <c r="Y267" s="2268">
        <f t="shared" si="86"/>
        <v>0</v>
      </c>
      <c r="Z267" s="2294">
        <f t="shared" si="82"/>
        <v>0</v>
      </c>
      <c r="AA267" s="2285">
        <f t="shared" si="82"/>
        <v>0</v>
      </c>
      <c r="AB267" s="2268">
        <f t="shared" si="85"/>
        <v>0</v>
      </c>
      <c r="AC267" s="2113"/>
      <c r="AD267" s="2114"/>
      <c r="AE267" s="2114"/>
      <c r="AF267" s="2113"/>
      <c r="AG267" s="2113"/>
      <c r="AH267" s="2113"/>
      <c r="AI267" s="2113"/>
    </row>
    <row r="268" spans="1:35" s="2218" customFormat="1" ht="20.25" customHeight="1" thickBot="1">
      <c r="A268" s="2235">
        <v>37</v>
      </c>
      <c r="B268" s="2428" t="s">
        <v>2142</v>
      </c>
      <c r="C268" s="2429" t="s">
        <v>2143</v>
      </c>
      <c r="D268" s="2430" t="s">
        <v>1128</v>
      </c>
      <c r="E268" s="2300"/>
      <c r="F268" s="2301"/>
      <c r="G268" s="2266">
        <f t="shared" si="71"/>
        <v>0</v>
      </c>
      <c r="H268" s="2301"/>
      <c r="I268" s="2301"/>
      <c r="J268" s="2266">
        <f t="shared" si="72"/>
        <v>0</v>
      </c>
      <c r="K268" s="2301"/>
      <c r="L268" s="2301"/>
      <c r="M268" s="2268">
        <f t="shared" si="73"/>
        <v>0</v>
      </c>
      <c r="N268" s="2300"/>
      <c r="O268" s="2301"/>
      <c r="P268" s="2268">
        <f t="shared" si="74"/>
        <v>0</v>
      </c>
      <c r="Q268" s="2300">
        <v>0</v>
      </c>
      <c r="R268" s="2301">
        <v>0</v>
      </c>
      <c r="S268" s="2268">
        <f t="shared" si="83"/>
        <v>0</v>
      </c>
      <c r="T268" s="2294">
        <f t="shared" si="80"/>
        <v>0</v>
      </c>
      <c r="U268" s="2285">
        <f t="shared" si="80"/>
        <v>0</v>
      </c>
      <c r="V268" s="2268">
        <f t="shared" si="84"/>
        <v>0</v>
      </c>
      <c r="W268" s="2294">
        <f t="shared" si="81"/>
        <v>0</v>
      </c>
      <c r="X268" s="2285">
        <f t="shared" si="81"/>
        <v>0</v>
      </c>
      <c r="Y268" s="2268">
        <f t="shared" si="86"/>
        <v>0</v>
      </c>
      <c r="Z268" s="2294">
        <f t="shared" si="82"/>
        <v>0</v>
      </c>
      <c r="AA268" s="2285">
        <f t="shared" si="82"/>
        <v>0</v>
      </c>
      <c r="AB268" s="2268">
        <f t="shared" si="85"/>
        <v>0</v>
      </c>
      <c r="AC268" s="2113"/>
      <c r="AD268" s="2114"/>
      <c r="AE268" s="2114"/>
      <c r="AF268" s="2113"/>
      <c r="AG268" s="2113"/>
      <c r="AH268" s="2113"/>
      <c r="AI268" s="2113"/>
    </row>
    <row r="269" spans="1:35" s="2218" customFormat="1" ht="57" thickBot="1">
      <c r="A269" s="2235">
        <v>197</v>
      </c>
      <c r="B269" s="2317" t="s">
        <v>2144</v>
      </c>
      <c r="C269" s="2318" t="s">
        <v>2145</v>
      </c>
      <c r="D269" s="2319" t="s">
        <v>1317</v>
      </c>
      <c r="E269" s="2431"/>
      <c r="F269" s="2432"/>
      <c r="G269" s="2374">
        <f>E269/2+F269/2</f>
        <v>0</v>
      </c>
      <c r="H269" s="2432"/>
      <c r="I269" s="2432"/>
      <c r="J269" s="2374">
        <f>H269/2+I269/2</f>
        <v>0</v>
      </c>
      <c r="K269" s="2432"/>
      <c r="L269" s="2432"/>
      <c r="M269" s="2374">
        <f>K269/2+L269/2</f>
        <v>0</v>
      </c>
      <c r="N269" s="2431"/>
      <c r="O269" s="2432"/>
      <c r="P269" s="2374">
        <f>N269/2+O269/2</f>
        <v>0</v>
      </c>
      <c r="Q269" s="2431">
        <v>0</v>
      </c>
      <c r="R269" s="2432">
        <v>0</v>
      </c>
      <c r="S269" s="2374">
        <f>Q269/2+R269/2</f>
        <v>0</v>
      </c>
      <c r="T269" s="2070">
        <f t="shared" si="80"/>
        <v>0</v>
      </c>
      <c r="U269" s="2413">
        <f t="shared" si="80"/>
        <v>0</v>
      </c>
      <c r="V269" s="2071">
        <f t="shared" si="84"/>
        <v>0</v>
      </c>
      <c r="W269" s="2945">
        <f>T269/$T$272*$N$272</f>
        <v>0</v>
      </c>
      <c r="X269" s="2373">
        <f>U269/$T$272*$N$272</f>
        <v>0</v>
      </c>
      <c r="Y269" s="2374">
        <f t="shared" si="86"/>
        <v>0</v>
      </c>
      <c r="Z269" s="2945">
        <f>T269/$T$272*$Z$272</f>
        <v>0</v>
      </c>
      <c r="AA269" s="2373">
        <f>U269/$T$272*$Z$272</f>
        <v>0</v>
      </c>
      <c r="AB269" s="2946">
        <f t="shared" si="85"/>
        <v>0</v>
      </c>
      <c r="AC269" s="2113"/>
      <c r="AD269" s="2114"/>
      <c r="AE269" s="2114"/>
      <c r="AF269" s="2113"/>
      <c r="AG269" s="2113"/>
      <c r="AH269" s="2113"/>
      <c r="AI269" s="2113"/>
    </row>
    <row r="270" spans="1:35" ht="126">
      <c r="B270" s="2434"/>
      <c r="C270" s="2435" t="s">
        <v>2146</v>
      </c>
      <c r="D270" s="2307" t="s">
        <v>1317</v>
      </c>
      <c r="E270" s="2436"/>
      <c r="F270" s="2437"/>
      <c r="G270" s="2438">
        <f t="shared" si="71"/>
        <v>0</v>
      </c>
      <c r="H270" s="2437"/>
      <c r="I270" s="2437"/>
      <c r="J270" s="2438">
        <f>H270/2+I270/2</f>
        <v>0</v>
      </c>
      <c r="K270" s="2437"/>
      <c r="L270" s="2437"/>
      <c r="M270" s="2440">
        <f>K270/2+L270/2</f>
        <v>0</v>
      </c>
      <c r="N270" s="2436"/>
      <c r="O270" s="2437"/>
      <c r="P270" s="2440">
        <f>N270/2+O270/2</f>
        <v>0</v>
      </c>
      <c r="Q270" s="2436">
        <v>0</v>
      </c>
      <c r="R270" s="2437">
        <v>0</v>
      </c>
      <c r="S270" s="2268">
        <f t="shared" si="83"/>
        <v>0</v>
      </c>
      <c r="T270" s="2294">
        <f t="shared" si="80"/>
        <v>0</v>
      </c>
      <c r="U270" s="2285">
        <f t="shared" si="80"/>
        <v>0</v>
      </c>
      <c r="V270" s="2268">
        <f t="shared" si="84"/>
        <v>0</v>
      </c>
      <c r="W270" s="2294">
        <f>Q270+T270</f>
        <v>0</v>
      </c>
      <c r="X270" s="2285">
        <f>R270+U270</f>
        <v>0</v>
      </c>
      <c r="Y270" s="2268">
        <f t="shared" si="86"/>
        <v>0</v>
      </c>
      <c r="Z270" s="2294">
        <f>T270+W270</f>
        <v>0</v>
      </c>
      <c r="AA270" s="2285">
        <f>U270+X270</f>
        <v>0</v>
      </c>
      <c r="AB270" s="2268">
        <f t="shared" si="85"/>
        <v>0</v>
      </c>
      <c r="AD270" s="2114"/>
      <c r="AE270" s="2114"/>
    </row>
    <row r="271" spans="1:35">
      <c r="B271" s="2442" t="s">
        <v>15036</v>
      </c>
      <c r="C271" s="2435" t="s">
        <v>15037</v>
      </c>
      <c r="D271" s="2307" t="s">
        <v>1317</v>
      </c>
      <c r="E271" s="2436"/>
      <c r="F271" s="2437"/>
      <c r="G271" s="2438"/>
      <c r="H271" s="2437"/>
      <c r="I271" s="2437"/>
      <c r="J271" s="2438"/>
      <c r="K271" s="2437"/>
      <c r="L271" s="2437"/>
      <c r="M271" s="2440"/>
      <c r="N271" s="2436"/>
      <c r="O271" s="2437"/>
      <c r="P271" s="2440"/>
      <c r="Q271" s="2436">
        <v>0</v>
      </c>
      <c r="R271" s="2437">
        <v>0</v>
      </c>
      <c r="S271" s="2268">
        <f t="shared" si="83"/>
        <v>0</v>
      </c>
      <c r="T271" s="2294">
        <f t="shared" si="80"/>
        <v>0</v>
      </c>
      <c r="U271" s="2285">
        <f t="shared" si="80"/>
        <v>0</v>
      </c>
      <c r="V271" s="2268">
        <f t="shared" si="84"/>
        <v>0</v>
      </c>
      <c r="W271" s="2294">
        <f>Q271+T271</f>
        <v>0</v>
      </c>
      <c r="X271" s="2387">
        <v>-8350</v>
      </c>
      <c r="Y271" s="2268">
        <f t="shared" si="86"/>
        <v>-4175</v>
      </c>
      <c r="Z271" s="2294">
        <f>T271+W271</f>
        <v>0</v>
      </c>
      <c r="AA271" s="2387">
        <v>-38700</v>
      </c>
      <c r="AB271" s="2268">
        <f t="shared" si="85"/>
        <v>-19350</v>
      </c>
      <c r="AD271" s="2114"/>
      <c r="AE271" s="2114"/>
    </row>
    <row r="272" spans="1:35" ht="37.5">
      <c r="B272" s="2443"/>
      <c r="C272" s="2444" t="s">
        <v>2147</v>
      </c>
      <c r="D272" s="2445" t="s">
        <v>1983</v>
      </c>
      <c r="E272" s="2446">
        <f>'[3]НВВ очистка)'!K548</f>
        <v>6890.9175800000012</v>
      </c>
      <c r="F272" s="2447">
        <f>'[3]НВВ очистка)'!L548</f>
        <v>6836.3007739999957</v>
      </c>
      <c r="G272" s="2448">
        <f t="shared" si="71"/>
        <v>6863.6091769999985</v>
      </c>
      <c r="H272" s="2447">
        <f>'[3]НВВ очистка)'!T548</f>
        <v>7008.2988574905794</v>
      </c>
      <c r="I272" s="2447">
        <f>'[3]НВВ очистка)'!U548</f>
        <v>7183.469754509435</v>
      </c>
      <c r="J272" s="2448">
        <f>H272/2+I272/2</f>
        <v>7095.8843060000072</v>
      </c>
      <c r="K272" s="2447">
        <f>'[3]НВВ очистка)'!AC548</f>
        <v>8274.2879129999856</v>
      </c>
      <c r="L272" s="2447">
        <f>'[3]НВВ очистка)'!AD548</f>
        <v>7381.8117049999928</v>
      </c>
      <c r="M272" s="2450">
        <f>K272/2+L272/2</f>
        <v>7828.0498089999892</v>
      </c>
      <c r="N272" s="2953">
        <v>7880.9439999999995</v>
      </c>
      <c r="O272" s="2954">
        <v>7880.9439999999995</v>
      </c>
      <c r="P272" s="2955">
        <f>N272/2+O272/2</f>
        <v>7880.9439999999995</v>
      </c>
      <c r="Q272" s="2953">
        <v>28291.572</v>
      </c>
      <c r="R272" s="2954">
        <v>28291.572</v>
      </c>
      <c r="S272" s="2956">
        <f t="shared" si="83"/>
        <v>28291.572</v>
      </c>
      <c r="T272" s="2953">
        <f t="shared" si="80"/>
        <v>36172.516000000003</v>
      </c>
      <c r="U272" s="2954">
        <f t="shared" si="80"/>
        <v>36172.516000000003</v>
      </c>
      <c r="V272" s="2956">
        <f t="shared" si="84"/>
        <v>36172.516000000003</v>
      </c>
      <c r="W272" s="2953">
        <v>7880.9439999999995</v>
      </c>
      <c r="X272" s="2954">
        <v>7880.9439999999995</v>
      </c>
      <c r="Y272" s="2955">
        <f>W272/2+X272/2</f>
        <v>7880.9439999999995</v>
      </c>
      <c r="Z272" s="2953">
        <v>28291.572</v>
      </c>
      <c r="AA272" s="2954">
        <v>28291.572</v>
      </c>
      <c r="AB272" s="2956">
        <f t="shared" si="85"/>
        <v>28291.572</v>
      </c>
    </row>
    <row r="273" spans="1:35" s="2491" customFormat="1" ht="38.25" thickBot="1">
      <c r="A273" s="2218"/>
      <c r="B273" s="2451"/>
      <c r="C273" s="2452" t="s">
        <v>2148</v>
      </c>
      <c r="D273" s="2453" t="s">
        <v>1986</v>
      </c>
      <c r="E273" s="2454">
        <f>E5/E272</f>
        <v>25.645918641313102</v>
      </c>
      <c r="F273" s="2455">
        <f>F5/F272</f>
        <v>26.746730197398975</v>
      </c>
      <c r="G273" s="2455"/>
      <c r="H273" s="2455">
        <f>H5/H272</f>
        <v>28.989263301172802</v>
      </c>
      <c r="I273" s="2455">
        <f>I5/I272</f>
        <v>29.406881556099378</v>
      </c>
      <c r="J273" s="2455"/>
      <c r="K273" s="2455">
        <f>K5/K272</f>
        <v>29.447410159132708</v>
      </c>
      <c r="L273" s="2455">
        <f>L5/L272</f>
        <v>34.145736403039493</v>
      </c>
      <c r="M273" s="2456"/>
      <c r="N273" s="2454">
        <f>N5/N272</f>
        <v>8.1427277171496879</v>
      </c>
      <c r="O273" s="2455">
        <f>O5/O272</f>
        <v>31.218038097493409</v>
      </c>
      <c r="P273" s="2456"/>
      <c r="Q273" s="2454">
        <f>Q5/Q272</f>
        <v>8.081480750343415</v>
      </c>
      <c r="R273" s="2455">
        <v>8.5334238536149538</v>
      </c>
      <c r="S273" s="2456"/>
      <c r="T273" s="2957">
        <f>T5/T272</f>
        <v>8.0844577043261037</v>
      </c>
      <c r="U273" s="2455">
        <f>U5/U272</f>
        <v>13.540507119538182</v>
      </c>
      <c r="V273" s="2456"/>
      <c r="W273" s="2454">
        <f>W5/W272</f>
        <v>8.0844577043261037</v>
      </c>
      <c r="X273" s="2455">
        <f>X5/X272</f>
        <v>8.8681490277027706</v>
      </c>
      <c r="Y273" s="2456"/>
      <c r="Z273" s="2454">
        <f>Z5/Z272</f>
        <v>8.0844577043261037</v>
      </c>
      <c r="AA273" s="2455">
        <f>AA5/AA272</f>
        <v>11.422789548911542</v>
      </c>
      <c r="AB273" s="2456"/>
      <c r="AC273" s="2116"/>
      <c r="AD273" s="2116"/>
      <c r="AE273" s="2116"/>
      <c r="AF273" s="2116"/>
      <c r="AG273" s="2116"/>
      <c r="AH273" s="2116"/>
      <c r="AI273" s="2116"/>
    </row>
    <row r="274" spans="1:35" s="2491" customFormat="1" ht="14.25" customHeight="1">
      <c r="A274" s="2218"/>
      <c r="B274" s="3353"/>
      <c r="C274" s="3354"/>
      <c r="D274" s="3354"/>
      <c r="E274" s="3354"/>
      <c r="F274" s="3354"/>
      <c r="G274" s="3354"/>
      <c r="H274" s="3354"/>
      <c r="I274" s="3354"/>
      <c r="J274" s="3354"/>
      <c r="K274" s="3354"/>
      <c r="L274" s="3354"/>
      <c r="M274" s="2116"/>
      <c r="N274" s="2116"/>
      <c r="O274" s="2116"/>
      <c r="P274" s="2116"/>
      <c r="Q274" s="2116"/>
      <c r="R274" s="2116"/>
      <c r="S274" s="2116">
        <f>S273*S272</f>
        <v>0</v>
      </c>
      <c r="T274" s="2116"/>
      <c r="U274" s="2116"/>
      <c r="V274" s="2116"/>
      <c r="W274" s="2116"/>
      <c r="X274" s="2116"/>
      <c r="Y274" s="2116"/>
      <c r="Z274" s="2116"/>
      <c r="AA274" s="2116"/>
      <c r="AB274" s="2116"/>
      <c r="AC274" s="2116"/>
      <c r="AD274" s="2116"/>
      <c r="AE274" s="2116"/>
      <c r="AF274" s="2116"/>
      <c r="AG274" s="2116"/>
      <c r="AH274" s="2116"/>
      <c r="AI274" s="2116"/>
    </row>
    <row r="275" spans="1:35" s="2491" customFormat="1">
      <c r="A275" s="2218"/>
      <c r="B275" s="2218"/>
      <c r="C275" s="2459"/>
      <c r="D275" s="2459"/>
      <c r="E275" s="2459"/>
      <c r="F275" s="2459"/>
      <c r="G275" s="2459"/>
      <c r="H275" s="2459"/>
      <c r="I275" s="2459"/>
      <c r="J275" s="2459"/>
      <c r="K275" s="2459"/>
      <c r="L275" s="2459"/>
      <c r="M275" s="2958"/>
      <c r="N275" s="2959" t="s">
        <v>15210</v>
      </c>
      <c r="O275" s="2959"/>
      <c r="P275" s="2960"/>
      <c r="Q275"/>
      <c r="R275"/>
      <c r="S275" s="2960"/>
      <c r="T275" s="2960"/>
      <c r="U275" s="2961">
        <f>U273/T273</f>
        <v>1.6748813111227574</v>
      </c>
      <c r="V275" s="2960"/>
      <c r="W275" s="2960"/>
      <c r="X275" s="2961">
        <f>X273/W273</f>
        <v>1.0969380200922201</v>
      </c>
      <c r="Y275" s="2962"/>
      <c r="Z275" s="2962"/>
      <c r="AA275" s="2961">
        <f>AA273/Z273</f>
        <v>1.4129320687520019</v>
      </c>
      <c r="AB275" s="2960"/>
      <c r="AC275" s="2116"/>
      <c r="AD275" s="2116"/>
      <c r="AE275" s="2116"/>
      <c r="AF275" s="2116"/>
      <c r="AG275" s="2116"/>
      <c r="AH275" s="2116"/>
      <c r="AI275" s="2116"/>
    </row>
    <row r="276" spans="1:35" s="2491" customFormat="1" ht="15" customHeight="1">
      <c r="A276" s="2218"/>
      <c r="B276" s="2218"/>
      <c r="C276" s="3351"/>
      <c r="D276" s="3351"/>
      <c r="E276" s="3351"/>
      <c r="F276" s="3351"/>
      <c r="G276" s="3351"/>
      <c r="H276" s="2963"/>
      <c r="I276" s="2963"/>
      <c r="J276"/>
      <c r="K276"/>
      <c r="L276"/>
      <c r="M276" s="2899" t="s">
        <v>2018</v>
      </c>
      <c r="N276" s="2899">
        <f>'[5]ГП вода  без Калуги'!$G$3505</f>
        <v>537.89</v>
      </c>
      <c r="O276" s="2899">
        <f>N276</f>
        <v>537.89</v>
      </c>
      <c r="P276" s="2658"/>
      <c r="Q276"/>
      <c r="R276"/>
      <c r="S276" s="2658"/>
      <c r="T276" s="2658"/>
      <c r="U276" s="2658"/>
      <c r="V276" s="2658"/>
      <c r="W276" s="2658"/>
      <c r="X276" s="2658"/>
      <c r="Y276" s="2658"/>
      <c r="Z276" s="2658"/>
      <c r="AA276" s="2658"/>
      <c r="AB276" s="2658"/>
      <c r="AC276" s="2116"/>
      <c r="AD276" s="2116"/>
      <c r="AE276" s="2116"/>
      <c r="AF276" s="2116"/>
      <c r="AG276" s="2116"/>
      <c r="AH276" s="2116"/>
      <c r="AI276" s="2116"/>
    </row>
    <row r="277" spans="1:35" s="2491" customFormat="1" ht="21">
      <c r="A277" s="2218"/>
      <c r="B277" s="2462"/>
      <c r="C277" s="2964" t="s">
        <v>15211</v>
      </c>
      <c r="D277" s="2965"/>
      <c r="E277" s="2966"/>
      <c r="F277" s="2967"/>
      <c r="G277" s="2968"/>
      <c r="H277" s="2969" t="s">
        <v>15212</v>
      </c>
      <c r="I277" s="2459"/>
      <c r="J277" s="2459"/>
      <c r="K277" s="2459"/>
      <c r="L277" s="2459"/>
      <c r="M277" s="2958" t="s">
        <v>15213</v>
      </c>
      <c r="N277" s="2958">
        <v>30.1</v>
      </c>
      <c r="O277" s="2958">
        <f>N277</f>
        <v>30.1</v>
      </c>
      <c r="P277" s="2658"/>
      <c r="Q277"/>
      <c r="R277"/>
      <c r="S277" s="2658"/>
      <c r="T277" s="2658"/>
      <c r="U277" s="2658"/>
      <c r="V277" s="2658"/>
      <c r="W277" s="2658"/>
      <c r="X277" s="2970">
        <f>X271/X5</f>
        <v>-0.11947450812365991</v>
      </c>
      <c r="Y277" s="2971"/>
      <c r="Z277" s="2971"/>
      <c r="AA277" s="2970">
        <f>AA271/AA5</f>
        <v>-0.11975170626865067</v>
      </c>
      <c r="AB277" s="2658"/>
      <c r="AC277" s="2116"/>
      <c r="AD277" s="2116"/>
      <c r="AE277" s="2116"/>
      <c r="AF277" s="2116"/>
      <c r="AG277" s="2116"/>
      <c r="AH277" s="2116"/>
      <c r="AI277" s="2116"/>
    </row>
    <row r="278" spans="1:35" s="2491" customFormat="1" ht="21">
      <c r="A278" s="2218"/>
      <c r="B278" s="2462"/>
      <c r="C278" s="2972"/>
      <c r="D278" s="2973"/>
      <c r="E278" s="3352" t="s">
        <v>15038</v>
      </c>
      <c r="F278" s="3352"/>
      <c r="G278" s="2974"/>
      <c r="H278" s="2965"/>
      <c r="I278" s="2460"/>
      <c r="J278" s="2460"/>
      <c r="K278" s="2460"/>
      <c r="L278"/>
      <c r="M278" s="2899" t="s">
        <v>15214</v>
      </c>
      <c r="N278" s="2975">
        <f>N277*N276</f>
        <v>16190.489</v>
      </c>
      <c r="O278" s="2975">
        <f>O277*O276</f>
        <v>16190.489</v>
      </c>
      <c r="P278" s="2658"/>
      <c r="Q278"/>
      <c r="R278"/>
      <c r="S278" s="2658"/>
      <c r="T278" s="2658"/>
      <c r="U278" s="2658"/>
      <c r="V278" s="2658"/>
      <c r="W278" s="2658"/>
      <c r="X278" s="2971"/>
      <c r="Y278" s="2971"/>
      <c r="Z278" s="2971"/>
      <c r="AA278" s="2971"/>
      <c r="AB278" s="2658"/>
      <c r="AC278" s="2116"/>
      <c r="AD278" s="2116"/>
      <c r="AE278" s="2116"/>
      <c r="AF278" s="2116"/>
      <c r="AG278" s="2116"/>
      <c r="AH278" s="2116"/>
      <c r="AI278" s="2116"/>
    </row>
    <row r="279" spans="1:35" s="2491" customFormat="1" ht="21">
      <c r="A279" s="2218"/>
      <c r="B279" s="2462"/>
      <c r="C279" s="2973"/>
      <c r="D279" s="2974" t="s">
        <v>15039</v>
      </c>
      <c r="E279" s="2976"/>
      <c r="F279" s="2977"/>
      <c r="G279" s="2977"/>
      <c r="H279" s="2965"/>
      <c r="I279" s="2460"/>
      <c r="J279" s="2460"/>
      <c r="K279" s="2460"/>
      <c r="L279" s="2219"/>
      <c r="M279" s="2978"/>
      <c r="N279" s="2899"/>
      <c r="O279" s="2979"/>
      <c r="P279" s="2658"/>
      <c r="Q279"/>
      <c r="R279"/>
      <c r="S279" s="2658"/>
      <c r="T279" s="2658"/>
      <c r="U279" s="2658"/>
      <c r="V279" s="2658"/>
      <c r="W279" s="2658"/>
      <c r="X279" s="2971"/>
      <c r="Y279" s="2971"/>
      <c r="Z279" s="2971"/>
      <c r="AA279" s="2971"/>
      <c r="AB279" s="2658"/>
      <c r="AC279" s="2116"/>
      <c r="AD279" s="2116"/>
      <c r="AE279" s="2116"/>
      <c r="AF279" s="2116"/>
      <c r="AG279" s="2116"/>
      <c r="AH279" s="2116"/>
      <c r="AI279" s="2116"/>
    </row>
    <row r="280" spans="1:35" s="2491" customFormat="1">
      <c r="A280" s="2218"/>
      <c r="B280" s="2462"/>
      <c r="C280" s="2461"/>
      <c r="D280" s="2461"/>
      <c r="E280" s="2980"/>
      <c r="F280" s="2981"/>
      <c r="G280" s="2980"/>
      <c r="H280" s="2980"/>
      <c r="I280" s="2463"/>
      <c r="J280" s="2463"/>
      <c r="K280" s="2463"/>
      <c r="L280" s="2219"/>
      <c r="M280" s="2978"/>
      <c r="N280" s="3348" t="s">
        <v>15215</v>
      </c>
      <c r="O280" s="3348"/>
      <c r="P280" s="2658"/>
      <c r="Q280"/>
      <c r="R280"/>
      <c r="S280" s="2658"/>
      <c r="T280" s="2658"/>
      <c r="U280" s="2658"/>
      <c r="V280" s="2658"/>
      <c r="W280" s="2658"/>
      <c r="X280" s="2971"/>
      <c r="Y280" s="2971"/>
      <c r="Z280" s="2971"/>
      <c r="AA280" s="2971"/>
      <c r="AB280" s="2658"/>
      <c r="AC280" s="2116"/>
      <c r="AD280" s="2116"/>
      <c r="AE280" s="2116"/>
      <c r="AF280" s="2116"/>
      <c r="AG280" s="2116"/>
      <c r="AH280" s="2116"/>
      <c r="AI280" s="2116"/>
    </row>
    <row r="281" spans="1:35" s="2491" customFormat="1" ht="21">
      <c r="A281" s="2218"/>
      <c r="B281" s="2982" t="s">
        <v>15216</v>
      </c>
      <c r="C281" s="2983"/>
      <c r="D281" s="2983"/>
      <c r="E281" s="2984"/>
      <c r="F281" s="2984"/>
      <c r="G281" s="2985"/>
      <c r="H281" s="2985"/>
      <c r="I281" s="2219"/>
      <c r="J281" s="2219"/>
      <c r="K281" s="2219"/>
      <c r="L281" s="2219"/>
      <c r="M281" s="2899" t="s">
        <v>2018</v>
      </c>
      <c r="N281" s="2986">
        <f>N272-N276</f>
        <v>7343.0539999999992</v>
      </c>
      <c r="O281" s="2986">
        <f>O272-O276</f>
        <v>7343.0539999999992</v>
      </c>
      <c r="P281" s="2658"/>
      <c r="Q281"/>
      <c r="R281"/>
      <c r="S281" s="2658"/>
      <c r="T281" s="2658"/>
      <c r="U281" s="2658"/>
      <c r="V281" s="2658"/>
      <c r="W281" s="2658"/>
      <c r="X281" s="2971"/>
      <c r="Y281" s="2971"/>
      <c r="Z281" s="2971"/>
      <c r="AA281" s="2971"/>
      <c r="AB281" s="2658"/>
      <c r="AC281" s="2116"/>
      <c r="AD281" s="2116"/>
      <c r="AE281" s="2116"/>
      <c r="AF281" s="2116"/>
      <c r="AG281" s="2116"/>
      <c r="AH281" s="2116"/>
      <c r="AI281" s="2116"/>
    </row>
    <row r="282" spans="1:35" s="2491" customFormat="1">
      <c r="A282" s="2218"/>
      <c r="B282" s="3349" t="s">
        <v>15217</v>
      </c>
      <c r="C282" s="3349"/>
      <c r="D282" s="3349"/>
      <c r="E282" s="2987"/>
      <c r="F282" s="2987"/>
      <c r="G282" s="2987"/>
      <c r="H282" s="2987"/>
      <c r="I282" s="2219"/>
      <c r="J282" s="2219"/>
      <c r="K282" s="2219"/>
      <c r="L282" s="2219"/>
      <c r="M282" s="2958" t="s">
        <v>15213</v>
      </c>
      <c r="N282" s="2978">
        <v>28.16</v>
      </c>
      <c r="O282" s="2978">
        <f>N282</f>
        <v>28.16</v>
      </c>
      <c r="P282" s="2658"/>
      <c r="Q282"/>
      <c r="R282"/>
      <c r="S282" s="2658"/>
      <c r="T282" s="2658"/>
      <c r="U282" s="2658"/>
      <c r="V282" s="2658"/>
      <c r="W282" s="2658"/>
      <c r="X282" s="2971">
        <f>X272*11.42</f>
        <v>90000.380479999993</v>
      </c>
      <c r="Y282" s="2971"/>
      <c r="Z282" s="2971"/>
      <c r="AA282" s="2971">
        <f>11.42*AA272</f>
        <v>323089.75224</v>
      </c>
      <c r="AB282" s="2658"/>
      <c r="AC282" s="2116"/>
      <c r="AD282" s="2116"/>
      <c r="AE282" s="2116"/>
      <c r="AF282" s="2116"/>
      <c r="AG282" s="2116"/>
      <c r="AH282" s="2116"/>
      <c r="AI282" s="2116"/>
    </row>
    <row r="283" spans="1:35" s="2491" customFormat="1">
      <c r="A283" s="2218"/>
      <c r="B283" s="2218"/>
      <c r="C283" s="2219"/>
      <c r="D283" s="2219"/>
      <c r="E283" s="2219"/>
      <c r="F283" s="2219"/>
      <c r="G283" s="2219"/>
      <c r="H283" s="2219"/>
      <c r="I283" s="2219"/>
      <c r="J283" s="2219"/>
      <c r="K283" s="2219"/>
      <c r="L283" s="2219"/>
      <c r="M283" s="2899" t="s">
        <v>15214</v>
      </c>
      <c r="N283" s="2975">
        <f>N282*N281</f>
        <v>206780.40063999998</v>
      </c>
      <c r="O283" s="2975">
        <f>O282*O281</f>
        <v>206780.40063999998</v>
      </c>
      <c r="P283" s="2658"/>
      <c r="Q283"/>
      <c r="R283"/>
      <c r="S283" s="2658"/>
      <c r="T283" s="2658"/>
      <c r="U283" s="2658"/>
      <c r="V283" s="2658"/>
      <c r="W283" s="2658"/>
      <c r="X283" s="2971">
        <f>X282-18000</f>
        <v>72000.380479999993</v>
      </c>
      <c r="Y283" s="2971"/>
      <c r="Z283" s="2971"/>
      <c r="AA283" s="2971">
        <f>AA282-AA5</f>
        <v>-78.920723878429271</v>
      </c>
      <c r="AB283" s="2658"/>
      <c r="AC283" s="2116"/>
      <c r="AD283" s="2116"/>
      <c r="AE283" s="2116"/>
      <c r="AF283" s="2116"/>
      <c r="AG283" s="2116"/>
      <c r="AH283" s="2116"/>
      <c r="AI283" s="2116"/>
    </row>
    <row r="284" spans="1:35" s="2491" customFormat="1">
      <c r="A284" s="2218"/>
      <c r="B284" s="2218"/>
      <c r="C284" s="2219"/>
      <c r="D284" s="2219"/>
      <c r="E284" s="2219"/>
      <c r="F284" s="2219"/>
      <c r="G284" s="2219"/>
      <c r="H284" s="2219"/>
      <c r="I284" s="2219"/>
      <c r="J284" s="2219"/>
      <c r="K284" s="2219"/>
      <c r="L284" s="2219"/>
      <c r="M284" s="2978"/>
      <c r="N284" s="2978"/>
      <c r="O284" s="2978"/>
      <c r="P284" s="2658">
        <f>Z273+'[6]2024 Калуга+область перекачка'!Z273+'[6]2024 Калуга+область транспортир'!Z273</f>
        <v>19.414916032996778</v>
      </c>
      <c r="Q284" s="2658">
        <f>AA273+'[6]2024 Калуга+область перекачка'!AA273+'[6]2024 Калуга+область транспортир'!AA273</f>
        <v>24.784971874663505</v>
      </c>
      <c r="R284"/>
      <c r="S284" s="2658"/>
      <c r="T284" s="2658"/>
      <c r="U284" s="2658"/>
      <c r="V284" s="2658"/>
      <c r="W284" s="2658"/>
      <c r="X284" s="2971">
        <f>X283/X272</f>
        <v>9.1360096556960677</v>
      </c>
      <c r="Y284" s="2971">
        <f>X284/W273</f>
        <v>1.1300708086835884</v>
      </c>
      <c r="Z284" s="2971"/>
      <c r="AA284" s="2971"/>
      <c r="AB284" s="2658"/>
      <c r="AC284" s="2116"/>
      <c r="AD284" s="2116"/>
      <c r="AE284" s="2116"/>
      <c r="AF284" s="2116"/>
      <c r="AG284" s="2116"/>
      <c r="AH284" s="2116"/>
      <c r="AI284" s="2116"/>
    </row>
    <row r="285" spans="1:35" s="2491" customFormat="1">
      <c r="A285" s="2218"/>
      <c r="B285" s="2218"/>
      <c r="C285" s="2219"/>
      <c r="D285" s="2219"/>
      <c r="E285" s="2219"/>
      <c r="F285" s="2219"/>
      <c r="G285" s="2219"/>
      <c r="H285" s="2219"/>
      <c r="I285" s="2219"/>
      <c r="J285" s="2219"/>
      <c r="K285" s="2219"/>
      <c r="L285" s="2219"/>
      <c r="M285" s="2978"/>
      <c r="N285" s="3348" t="s">
        <v>14949</v>
      </c>
      <c r="O285" s="3348"/>
      <c r="P285" s="2658"/>
      <c r="Q285"/>
      <c r="R285"/>
      <c r="S285" s="2658"/>
      <c r="T285" s="2658"/>
      <c r="U285" s="2658"/>
      <c r="V285" s="2658"/>
      <c r="W285" s="2658"/>
      <c r="X285" s="2971"/>
      <c r="Y285" s="2971"/>
      <c r="Z285" s="2971"/>
      <c r="AA285" s="2971"/>
      <c r="AB285" s="2658"/>
      <c r="AC285" s="2116"/>
      <c r="AD285" s="2116"/>
      <c r="AE285" s="2116"/>
      <c r="AF285" s="2116"/>
      <c r="AG285" s="2116"/>
      <c r="AH285" s="2116"/>
      <c r="AI285" s="2116"/>
    </row>
    <row r="286" spans="1:35" s="2491" customFormat="1">
      <c r="A286" s="2218"/>
      <c r="B286" s="2218"/>
      <c r="C286" s="2219"/>
      <c r="D286" s="2219"/>
      <c r="E286" s="2219"/>
      <c r="F286" s="2219"/>
      <c r="G286" s="2219"/>
      <c r="H286" s="2219"/>
      <c r="I286" s="2219"/>
      <c r="J286" s="2219"/>
      <c r="K286" s="2219"/>
      <c r="L286" s="2219"/>
      <c r="M286" s="2899" t="s">
        <v>2018</v>
      </c>
      <c r="N286" s="2986">
        <f>N276+N281</f>
        <v>7880.9439999999995</v>
      </c>
      <c r="O286" s="2986">
        <f>O276+O281</f>
        <v>7880.9439999999995</v>
      </c>
      <c r="P286" s="2658"/>
      <c r="Q286"/>
      <c r="R286"/>
      <c r="S286" s="2658"/>
      <c r="T286" s="2658"/>
      <c r="U286" s="2658"/>
      <c r="V286" s="2658"/>
      <c r="W286" s="2658"/>
      <c r="X286" s="2971"/>
      <c r="Y286" s="2971"/>
      <c r="Z286" s="2971"/>
      <c r="AA286" s="2971"/>
      <c r="AB286" s="2658"/>
      <c r="AC286" s="2116"/>
      <c r="AD286" s="2116"/>
      <c r="AE286" s="2116"/>
      <c r="AF286" s="2116"/>
      <c r="AG286" s="2116"/>
      <c r="AH286" s="2116"/>
      <c r="AI286" s="2116"/>
    </row>
    <row r="287" spans="1:35" s="2491" customFormat="1">
      <c r="A287" s="2218"/>
      <c r="B287" s="2218"/>
      <c r="C287" s="2219"/>
      <c r="D287" s="2219"/>
      <c r="E287" s="2219"/>
      <c r="F287" s="2219"/>
      <c r="G287" s="2219"/>
      <c r="H287" s="2219"/>
      <c r="I287" s="2219"/>
      <c r="J287" s="2219"/>
      <c r="K287" s="2219"/>
      <c r="L287" s="2219"/>
      <c r="M287" s="2958" t="s">
        <v>15213</v>
      </c>
      <c r="N287" s="2988">
        <f>N288/N286</f>
        <v>28.292408833256523</v>
      </c>
      <c r="O287" s="2988">
        <f>O288/O286</f>
        <v>28.292408833256523</v>
      </c>
      <c r="P287" s="2658"/>
      <c r="Q287"/>
      <c r="R287"/>
      <c r="S287" s="2658"/>
      <c r="T287" s="2658"/>
      <c r="U287" s="2658"/>
      <c r="V287" s="2658"/>
      <c r="W287" s="2658"/>
      <c r="X287" s="2971"/>
      <c r="Y287" s="2971"/>
      <c r="Z287" s="2971"/>
      <c r="AA287" s="2971"/>
      <c r="AB287" s="2658"/>
      <c r="AC287" s="2116"/>
      <c r="AD287" s="2116"/>
      <c r="AE287" s="2116"/>
      <c r="AF287" s="2116"/>
      <c r="AG287" s="2116"/>
      <c r="AH287" s="2116"/>
      <c r="AI287" s="2116"/>
    </row>
    <row r="288" spans="1:35" s="2491" customFormat="1">
      <c r="A288" s="2218"/>
      <c r="B288" s="2218"/>
      <c r="C288" s="2219"/>
      <c r="D288" s="2219"/>
      <c r="E288" s="2219"/>
      <c r="F288" s="2219"/>
      <c r="G288" s="2219"/>
      <c r="H288" s="2219"/>
      <c r="I288" s="2219"/>
      <c r="J288" s="2219"/>
      <c r="K288" s="2219"/>
      <c r="L288" s="2219"/>
      <c r="M288" s="2899" t="s">
        <v>15214</v>
      </c>
      <c r="N288" s="2986">
        <f>N283+N278</f>
        <v>222970.88963999998</v>
      </c>
      <c r="O288" s="2986">
        <f>O283+O278</f>
        <v>222970.88963999998</v>
      </c>
      <c r="P288" s="2658"/>
      <c r="Q288"/>
      <c r="R288"/>
      <c r="S288" s="2658"/>
      <c r="T288" s="2658"/>
      <c r="U288" s="2658"/>
      <c r="V288" s="2658"/>
      <c r="W288" s="2658"/>
      <c r="X288" s="2989"/>
      <c r="Y288" s="2989"/>
      <c r="Z288" s="2989"/>
      <c r="AA288" s="2989"/>
      <c r="AB288" s="2658"/>
      <c r="AC288" s="2116"/>
      <c r="AD288" s="2116"/>
      <c r="AE288" s="2116"/>
      <c r="AF288" s="2116"/>
      <c r="AG288" s="2116"/>
      <c r="AH288" s="2116"/>
      <c r="AI288" s="2116"/>
    </row>
    <row r="289" spans="1:35" s="2491" customFormat="1">
      <c r="A289" s="2218"/>
      <c r="B289" s="2218"/>
      <c r="C289" s="2219"/>
      <c r="D289" s="2219"/>
      <c r="E289" s="2219"/>
      <c r="F289" s="2219"/>
      <c r="G289" s="2219"/>
      <c r="H289" s="2219"/>
      <c r="I289" s="2219"/>
      <c r="J289" s="2219"/>
      <c r="K289" s="2219"/>
      <c r="L289" s="2219"/>
      <c r="M289" s="2978"/>
      <c r="N289" s="2986">
        <f>N5</f>
        <v>64172.381146104526</v>
      </c>
      <c r="O289" s="2986">
        <f>O5</f>
        <v>246027.61003621208</v>
      </c>
      <c r="P289" s="2658"/>
      <c r="Q289"/>
      <c r="R289"/>
      <c r="S289" s="2658"/>
      <c r="T289" s="2658"/>
      <c r="U289" s="2658"/>
      <c r="V289" s="2658"/>
      <c r="W289" s="2658"/>
      <c r="X289" s="2658"/>
      <c r="Y289" s="2658"/>
      <c r="Z289" s="2658"/>
      <c r="AA289" s="2658"/>
      <c r="AB289" s="2658"/>
      <c r="AC289" s="2116"/>
      <c r="AD289" s="2116"/>
      <c r="AE289" s="2116"/>
      <c r="AF289" s="2116"/>
      <c r="AG289" s="2116"/>
      <c r="AH289" s="2116"/>
      <c r="AI289" s="2116"/>
    </row>
    <row r="290" spans="1:35" s="2491" customFormat="1">
      <c r="A290" s="2218"/>
      <c r="B290" s="2218"/>
      <c r="C290" s="2219"/>
      <c r="D290" s="2219"/>
      <c r="E290" s="2219"/>
      <c r="F290" s="2219"/>
      <c r="G290" s="2219"/>
      <c r="H290" s="2219"/>
      <c r="I290" s="2219"/>
      <c r="J290" s="2219"/>
      <c r="K290" s="2219"/>
      <c r="L290" s="2219"/>
      <c r="M290" s="2978"/>
      <c r="N290" s="2986">
        <f>N289-N288</f>
        <v>-158798.50849389547</v>
      </c>
      <c r="O290" s="2986">
        <f>O289-O288</f>
        <v>23056.720396212098</v>
      </c>
      <c r="P290" s="2658"/>
      <c r="Q290"/>
      <c r="R290"/>
      <c r="S290" s="2658"/>
      <c r="T290" s="2658"/>
      <c r="U290" s="2658"/>
      <c r="V290" s="2658"/>
      <c r="W290" s="2658"/>
      <c r="X290" s="2658"/>
      <c r="Y290" s="2658"/>
      <c r="Z290" s="2658"/>
      <c r="AA290" s="2658"/>
      <c r="AB290" s="2658"/>
      <c r="AC290" s="2116"/>
      <c r="AD290" s="2116"/>
      <c r="AE290" s="2116"/>
      <c r="AF290" s="2116"/>
      <c r="AG290" s="2116"/>
      <c r="AH290" s="2116"/>
      <c r="AI290" s="2116"/>
    </row>
    <row r="291" spans="1:35" s="2491" customFormat="1">
      <c r="A291" s="2218"/>
      <c r="B291" s="2218"/>
      <c r="C291" s="2219"/>
      <c r="D291" s="2219"/>
      <c r="E291" s="2219"/>
      <c r="F291" s="2219"/>
      <c r="G291" s="2219"/>
      <c r="H291" s="2219"/>
      <c r="I291" s="2219"/>
      <c r="J291" s="2219"/>
      <c r="K291" s="2219"/>
      <c r="L291" s="2219"/>
      <c r="M291" s="2990"/>
      <c r="N291" s="2991"/>
      <c r="O291" s="2990"/>
      <c r="P291" s="2601"/>
      <c r="Q291"/>
      <c r="R291"/>
      <c r="S291" s="2601"/>
      <c r="T291" s="2601"/>
      <c r="U291" s="2601"/>
      <c r="V291" s="2601"/>
      <c r="W291" s="2601"/>
      <c r="X291" s="2601"/>
      <c r="Y291" s="2601"/>
      <c r="Z291" s="2601"/>
      <c r="AA291" s="2601"/>
      <c r="AB291" s="2601"/>
      <c r="AC291" s="2116"/>
      <c r="AD291" s="2116"/>
      <c r="AE291" s="2116"/>
      <c r="AF291" s="2116"/>
      <c r="AG291" s="2116"/>
      <c r="AH291" s="2116"/>
      <c r="AI291" s="2116"/>
    </row>
    <row r="292" spans="1:35" s="2491" customFormat="1">
      <c r="A292" s="2218"/>
      <c r="B292" s="2218"/>
      <c r="C292" s="2219"/>
      <c r="D292" s="2219"/>
      <c r="E292" s="2219"/>
      <c r="F292" s="2219"/>
      <c r="G292" s="2219"/>
      <c r="H292" s="2219"/>
      <c r="I292" s="2219"/>
      <c r="J292" s="2219"/>
      <c r="K292" s="2219"/>
      <c r="L292" s="2219"/>
      <c r="M292" s="2990"/>
      <c r="N292" s="2991"/>
      <c r="O292" s="2990"/>
      <c r="P292" s="2601"/>
      <c r="Q292"/>
      <c r="R292"/>
      <c r="S292" s="2601"/>
      <c r="T292" s="2601"/>
      <c r="U292" s="2601"/>
      <c r="V292" s="2601"/>
      <c r="W292" s="2601"/>
      <c r="X292" s="2601"/>
      <c r="Y292" s="2601"/>
      <c r="Z292" s="2601"/>
      <c r="AA292" s="2601"/>
      <c r="AB292" s="2601"/>
      <c r="AC292" s="2116"/>
      <c r="AD292" s="2116"/>
      <c r="AE292" s="2116"/>
      <c r="AF292" s="2116"/>
      <c r="AG292" s="2116"/>
      <c r="AH292" s="2116"/>
      <c r="AI292" s="2116"/>
    </row>
    <row r="293" spans="1:35" s="2491" customFormat="1">
      <c r="A293" s="2218"/>
      <c r="B293" s="2218"/>
      <c r="C293" s="2219"/>
      <c r="D293" s="2219"/>
      <c r="E293" s="2219"/>
      <c r="F293" s="2219"/>
      <c r="G293" s="2219"/>
      <c r="H293" s="2219"/>
      <c r="I293" s="2219"/>
      <c r="J293" s="2219"/>
      <c r="K293" s="2219"/>
      <c r="L293" s="2219"/>
      <c r="M293" s="2990"/>
      <c r="N293" s="2990"/>
      <c r="O293" s="2990"/>
      <c r="P293" s="2219"/>
      <c r="Q293"/>
      <c r="R293"/>
      <c r="S293" s="2219"/>
      <c r="T293" s="2219"/>
      <c r="U293" s="2219"/>
      <c r="V293" s="2219"/>
      <c r="W293" s="2219"/>
      <c r="X293" s="2219"/>
      <c r="Y293" s="2219"/>
      <c r="Z293" s="2219"/>
      <c r="AA293" s="2219"/>
      <c r="AB293" s="2219"/>
      <c r="AC293" s="2116"/>
      <c r="AD293" s="2116"/>
      <c r="AE293" s="2116"/>
      <c r="AF293" s="2116"/>
      <c r="AG293" s="2116"/>
      <c r="AH293" s="2116"/>
      <c r="AI293" s="2116"/>
    </row>
    <row r="294" spans="1:35" s="2491" customFormat="1">
      <c r="A294" s="2218"/>
      <c r="B294" s="2218"/>
      <c r="C294" s="2219"/>
      <c r="D294" s="2219"/>
      <c r="E294" s="2219"/>
      <c r="F294" s="2219"/>
      <c r="G294" s="2219"/>
      <c r="H294" s="2219"/>
      <c r="I294" s="2219"/>
      <c r="J294" s="2219"/>
      <c r="K294" s="2219"/>
      <c r="L294" s="2219"/>
      <c r="M294" s="2219"/>
      <c r="N294" s="2464"/>
      <c r="O294" s="2219"/>
      <c r="P294" s="2219"/>
      <c r="Q294"/>
      <c r="R294"/>
      <c r="S294" s="2219"/>
      <c r="T294" s="2219"/>
      <c r="U294" s="2219"/>
      <c r="V294" s="2219"/>
      <c r="W294" s="2219"/>
      <c r="X294" s="2219"/>
      <c r="Y294" s="2219"/>
      <c r="Z294" s="2219"/>
      <c r="AA294" s="2219"/>
      <c r="AB294" s="2219"/>
      <c r="AC294" s="2116"/>
      <c r="AD294" s="2116"/>
      <c r="AE294" s="2116"/>
      <c r="AF294" s="2116"/>
      <c r="AG294" s="2116"/>
      <c r="AH294" s="2116"/>
      <c r="AI294" s="2116"/>
    </row>
    <row r="297" spans="1:35" s="2491" customFormat="1">
      <c r="A297" s="2218"/>
      <c r="B297" s="2218"/>
      <c r="C297" s="2219"/>
      <c r="D297" s="2219"/>
      <c r="E297" s="2219"/>
      <c r="F297" s="2219"/>
      <c r="G297" s="2219"/>
      <c r="H297" s="2219"/>
      <c r="I297" s="2219"/>
      <c r="J297" s="2219"/>
      <c r="K297" s="2219"/>
      <c r="L297" s="2219"/>
      <c r="M297" s="2219"/>
      <c r="N297" s="2464"/>
      <c r="O297" s="2464"/>
      <c r="P297" s="2219"/>
      <c r="Q297" s="2219"/>
      <c r="R297"/>
      <c r="S297" s="2464"/>
      <c r="T297" s="2219"/>
      <c r="U297" s="2219"/>
      <c r="V297" s="2219"/>
      <c r="W297" s="2219"/>
      <c r="X297" s="2219"/>
      <c r="Y297" s="2219"/>
      <c r="Z297" s="2219"/>
      <c r="AA297" s="2219"/>
      <c r="AB297" s="2219"/>
      <c r="AC297" s="2116"/>
      <c r="AD297" s="2116"/>
      <c r="AE297" s="2116"/>
      <c r="AF297" s="2116"/>
      <c r="AG297" s="2116"/>
      <c r="AH297" s="2116"/>
      <c r="AI297" s="2116"/>
    </row>
    <row r="298" spans="1:35" s="2491" customFormat="1">
      <c r="A298" s="2218"/>
      <c r="B298" s="2218"/>
      <c r="C298" s="2219"/>
      <c r="D298" s="2219"/>
      <c r="E298" s="2219"/>
      <c r="F298" s="2219"/>
      <c r="G298" s="2219"/>
      <c r="H298" s="2219"/>
      <c r="I298" s="2219"/>
      <c r="J298" s="2219"/>
      <c r="K298" s="2219"/>
      <c r="L298" s="2219"/>
      <c r="M298" s="2219"/>
      <c r="N298" s="2464"/>
      <c r="O298" s="2464"/>
      <c r="P298" s="2219"/>
      <c r="Q298" s="2464"/>
      <c r="R298" s="2600"/>
      <c r="S298" s="2219"/>
      <c r="T298" s="2219"/>
      <c r="U298" s="2219"/>
      <c r="V298" s="2219"/>
      <c r="W298" s="2219"/>
      <c r="X298" s="2219"/>
      <c r="Y298" s="2219"/>
      <c r="Z298" s="2219"/>
      <c r="AA298" s="2219"/>
      <c r="AB298" s="2219"/>
      <c r="AC298" s="2116"/>
      <c r="AD298" s="2116"/>
      <c r="AE298" s="2116"/>
      <c r="AF298" s="2116"/>
      <c r="AG298" s="2116"/>
      <c r="AH298" s="2116"/>
      <c r="AI298" s="2116"/>
    </row>
    <row r="299" spans="1:35" s="2491" customFormat="1">
      <c r="A299" s="2218"/>
      <c r="B299" s="2218"/>
      <c r="C299" s="2219"/>
      <c r="D299" s="2219"/>
      <c r="E299" s="2219"/>
      <c r="F299" s="2219"/>
      <c r="G299" s="2219"/>
      <c r="H299" s="2219"/>
      <c r="I299" s="2219"/>
      <c r="J299" s="2219"/>
      <c r="K299" s="2219"/>
      <c r="L299" s="2219"/>
      <c r="M299" s="2219"/>
      <c r="N299" s="2219"/>
      <c r="O299" s="2219"/>
      <c r="P299" s="2219"/>
      <c r="Q299" s="2219"/>
      <c r="R299"/>
      <c r="S299" s="2219"/>
      <c r="T299" s="2219"/>
      <c r="U299" s="2219"/>
      <c r="V299" s="2219"/>
      <c r="W299" s="2219"/>
      <c r="X299" s="2219"/>
      <c r="Y299" s="2219"/>
      <c r="Z299" s="2219"/>
      <c r="AA299" s="2219"/>
      <c r="AB299" s="2219"/>
      <c r="AC299" s="2116"/>
      <c r="AD299" s="2116"/>
      <c r="AE299" s="2116"/>
      <c r="AF299" s="2116"/>
      <c r="AG299" s="2116"/>
      <c r="AH299" s="2116"/>
      <c r="AI299" s="2116"/>
    </row>
  </sheetData>
  <mergeCells count="18">
    <mergeCell ref="B282:D282"/>
    <mergeCell ref="N285:O285"/>
    <mergeCell ref="W2:Y2"/>
    <mergeCell ref="Z2:AB2"/>
    <mergeCell ref="B274:L274"/>
    <mergeCell ref="C276:G276"/>
    <mergeCell ref="E278:F278"/>
    <mergeCell ref="N280:O280"/>
    <mergeCell ref="C1:D1"/>
    <mergeCell ref="E1:M1"/>
    <mergeCell ref="N1:V1"/>
    <mergeCell ref="B2:B3"/>
    <mergeCell ref="C2:C3"/>
    <mergeCell ref="D2:D3"/>
    <mergeCell ref="K2:M2"/>
    <mergeCell ref="N2:P2"/>
    <mergeCell ref="Q2:S2"/>
    <mergeCell ref="T2:V2"/>
  </mergeCells>
  <printOptions horizontalCentered="1"/>
  <pageMargins left="0" right="0" top="0.39370078740157483" bottom="0.39370078740157483" header="0.31496062992125984" footer="0.31496062992125984"/>
  <pageSetup paperSize="9" scale="33" fitToHeight="10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67"/>
  <sheetViews>
    <sheetView view="pageBreakPreview" topLeftCell="A31" zoomScale="65" zoomScaleNormal="100" zoomScaleSheetLayoutView="65" workbookViewId="0">
      <selection activeCell="C48" sqref="C48"/>
    </sheetView>
  </sheetViews>
  <sheetFormatPr defaultRowHeight="15" outlineLevelRow="1" outlineLevelCol="1"/>
  <cols>
    <col min="1" max="1" width="16.85546875" customWidth="1"/>
    <col min="2" max="2" width="100.28515625" customWidth="1"/>
    <col min="3" max="3" width="20.85546875" bestFit="1" customWidth="1"/>
    <col min="4" max="4" width="13.85546875" customWidth="1"/>
    <col min="5" max="5" width="29.28515625" customWidth="1"/>
    <col min="6" max="6" width="23.42578125" customWidth="1"/>
    <col min="7" max="10" width="18.140625" hidden="1" customWidth="1" outlineLevel="1"/>
    <col min="11" max="12" width="26" hidden="1" customWidth="1" outlineLevel="1"/>
    <col min="13" max="13" width="12" bestFit="1" customWidth="1" collapsed="1"/>
    <col min="14" max="14" width="12" bestFit="1" customWidth="1"/>
    <col min="15" max="15" width="11.85546875" customWidth="1"/>
  </cols>
  <sheetData>
    <row r="1" spans="1:15" s="257" customFormat="1" ht="51" thickTop="1" thickBot="1">
      <c r="A1" s="252" t="s">
        <v>559</v>
      </c>
      <c r="B1" s="253" t="s">
        <v>615</v>
      </c>
      <c r="C1" s="254" t="s">
        <v>608</v>
      </c>
      <c r="D1" s="255">
        <v>516</v>
      </c>
      <c r="E1" s="256">
        <v>42702</v>
      </c>
      <c r="K1" s="257" t="s">
        <v>563</v>
      </c>
    </row>
    <row r="2" spans="1:15" s="257" customFormat="1" ht="51" thickTop="1" thickBot="1">
      <c r="A2" s="252" t="s">
        <v>564</v>
      </c>
      <c r="B2" s="253" t="s">
        <v>616</v>
      </c>
      <c r="C2" s="254" t="s">
        <v>610</v>
      </c>
      <c r="D2" s="255">
        <v>517</v>
      </c>
      <c r="E2" s="256">
        <v>42702</v>
      </c>
      <c r="F2" s="258"/>
      <c r="K2" s="257" t="s">
        <v>568</v>
      </c>
    </row>
    <row r="3" spans="1:15" s="257" customFormat="1" ht="17.25" thickTop="1">
      <c r="A3" s="259"/>
      <c r="G3" s="260" t="str">
        <f>[21]ЗАО_ВОЛЬВО_ВОСТОК!G3</f>
        <v>на 01.01.2016 г.</v>
      </c>
    </row>
    <row r="4" spans="1:15" s="257" customFormat="1" ht="49.5">
      <c r="A4" s="261"/>
      <c r="B4" s="262" t="s">
        <v>569</v>
      </c>
      <c r="C4" s="262"/>
      <c r="D4" s="262"/>
      <c r="E4" s="263"/>
      <c r="F4" s="264" t="s">
        <v>570</v>
      </c>
      <c r="G4" s="263"/>
      <c r="H4" s="264" t="s">
        <v>571</v>
      </c>
      <c r="I4" s="262"/>
      <c r="J4" s="265"/>
    </row>
    <row r="5" spans="1:15" s="257" customFormat="1" ht="16.5">
      <c r="A5" s="266"/>
      <c r="B5" s="267"/>
      <c r="C5" s="267"/>
      <c r="D5" s="267"/>
      <c r="E5" s="267"/>
      <c r="F5" s="268">
        <f>SUM(F6:F8)</f>
        <v>47111.588159999999</v>
      </c>
      <c r="G5" s="269"/>
      <c r="H5" s="270">
        <f>SUM(H6:H8)</f>
        <v>0</v>
      </c>
      <c r="I5" s="267"/>
      <c r="J5" s="271"/>
    </row>
    <row r="6" spans="1:15" s="280" customFormat="1" ht="17.25">
      <c r="A6" s="272"/>
      <c r="B6" s="273" t="s">
        <v>611</v>
      </c>
      <c r="C6" s="274"/>
      <c r="D6" s="274"/>
      <c r="E6" s="275"/>
      <c r="F6" s="276">
        <v>7111.7382200000002</v>
      </c>
      <c r="G6" s="277"/>
      <c r="H6" s="277"/>
      <c r="I6" s="274"/>
      <c r="J6" s="278"/>
      <c r="K6" s="279"/>
      <c r="L6" s="279"/>
      <c r="M6" s="279"/>
    </row>
    <row r="7" spans="1:15" s="280" customFormat="1" ht="17.25">
      <c r="A7" s="272"/>
      <c r="B7" s="273" t="s">
        <v>573</v>
      </c>
      <c r="C7" s="274"/>
      <c r="D7" s="274"/>
      <c r="E7" s="275"/>
      <c r="F7" s="276">
        <v>23405.79408</v>
      </c>
      <c r="G7" s="277"/>
      <c r="H7" s="277"/>
      <c r="I7" s="274"/>
      <c r="J7" s="278"/>
      <c r="K7" s="279"/>
      <c r="L7" s="279"/>
      <c r="M7" s="279"/>
    </row>
    <row r="8" spans="1:15" s="280" customFormat="1" ht="17.25">
      <c r="A8" s="281"/>
      <c r="B8" s="282" t="s">
        <v>612</v>
      </c>
      <c r="C8" s="283"/>
      <c r="D8" s="283"/>
      <c r="E8" s="284"/>
      <c r="F8" s="285">
        <v>16594.05586</v>
      </c>
      <c r="G8" s="286"/>
      <c r="H8" s="286"/>
      <c r="I8" s="283"/>
      <c r="J8" s="287"/>
      <c r="K8" s="279"/>
      <c r="L8" s="279"/>
      <c r="M8" s="279"/>
    </row>
    <row r="9" spans="1:15" s="257" customFormat="1" ht="16.5">
      <c r="A9" s="259"/>
      <c r="G9" s="288"/>
      <c r="N9" s="289"/>
    </row>
    <row r="10" spans="1:15" s="257" customFormat="1" ht="76.5" customHeight="1">
      <c r="A10" s="3556" t="s">
        <v>21</v>
      </c>
      <c r="B10" s="3558" t="s">
        <v>7</v>
      </c>
      <c r="C10" s="3560" t="s">
        <v>575</v>
      </c>
      <c r="D10" s="3562" t="s">
        <v>576</v>
      </c>
      <c r="E10" s="3564" t="s">
        <v>617</v>
      </c>
      <c r="F10" s="3565"/>
      <c r="G10" s="3554" t="s">
        <v>578</v>
      </c>
      <c r="H10" s="3555"/>
      <c r="I10" s="3554" t="s">
        <v>579</v>
      </c>
      <c r="J10" s="3555"/>
      <c r="K10" s="3554" t="s">
        <v>580</v>
      </c>
      <c r="L10" s="3555"/>
      <c r="N10" s="289"/>
    </row>
    <row r="11" spans="1:15" s="257" customFormat="1" ht="66">
      <c r="A11" s="3557"/>
      <c r="B11" s="3559"/>
      <c r="C11" s="3561"/>
      <c r="D11" s="3563"/>
      <c r="E11" s="290" t="s">
        <v>581</v>
      </c>
      <c r="F11" s="291" t="s">
        <v>582</v>
      </c>
      <c r="G11" s="290" t="s">
        <v>581</v>
      </c>
      <c r="H11" s="291" t="s">
        <v>582</v>
      </c>
      <c r="I11" s="290" t="s">
        <v>581</v>
      </c>
      <c r="J11" s="291" t="s">
        <v>582</v>
      </c>
      <c r="K11" s="290" t="s">
        <v>583</v>
      </c>
      <c r="L11" s="291" t="s">
        <v>582</v>
      </c>
      <c r="N11" s="289"/>
      <c r="O11" s="289"/>
    </row>
    <row r="12" spans="1:15" s="257" customFormat="1" ht="16.5">
      <c r="A12" s="292"/>
      <c r="B12" s="293" t="s">
        <v>584</v>
      </c>
      <c r="C12" s="294"/>
      <c r="D12" s="295"/>
      <c r="E12" s="296">
        <f>SUM(E18,E42)</f>
        <v>40179.312218254861</v>
      </c>
      <c r="F12" s="297">
        <f>SUM(F18,F42)</f>
        <v>47411.588417540734</v>
      </c>
      <c r="G12" s="298">
        <f t="shared" ref="E12:J17" si="0">SUM(G18,G42)</f>
        <v>0</v>
      </c>
      <c r="H12" s="299">
        <f t="shared" si="0"/>
        <v>0</v>
      </c>
      <c r="I12" s="298">
        <f t="shared" si="0"/>
        <v>0</v>
      </c>
      <c r="J12" s="299">
        <f t="shared" si="0"/>
        <v>0</v>
      </c>
      <c r="K12" s="296"/>
      <c r="L12" s="297"/>
    </row>
    <row r="13" spans="1:15" s="257" customFormat="1" ht="16.5">
      <c r="A13" s="300"/>
      <c r="B13" s="301" t="s">
        <v>10</v>
      </c>
      <c r="C13" s="302"/>
      <c r="D13" s="303"/>
      <c r="E13" s="304">
        <f t="shared" si="0"/>
        <v>2329.7640000000001</v>
      </c>
      <c r="F13" s="305">
        <f t="shared" si="0"/>
        <v>2749.1215200000001</v>
      </c>
      <c r="G13" s="306">
        <f t="shared" si="0"/>
        <v>0</v>
      </c>
      <c r="H13" s="307">
        <f t="shared" si="0"/>
        <v>0</v>
      </c>
      <c r="I13" s="306">
        <f t="shared" si="0"/>
        <v>0</v>
      </c>
      <c r="J13" s="307">
        <f t="shared" si="0"/>
        <v>0</v>
      </c>
      <c r="K13" s="304"/>
      <c r="L13" s="305"/>
    </row>
    <row r="14" spans="1:15" s="257" customFormat="1" ht="16.5">
      <c r="A14" s="300"/>
      <c r="B14" s="301" t="s">
        <v>9</v>
      </c>
      <c r="C14" s="302"/>
      <c r="D14" s="303"/>
      <c r="E14" s="304">
        <f t="shared" si="0"/>
        <v>27695.502754564601</v>
      </c>
      <c r="F14" s="305">
        <f t="shared" si="0"/>
        <v>32680.693250386226</v>
      </c>
      <c r="G14" s="306">
        <f t="shared" si="0"/>
        <v>0</v>
      </c>
      <c r="H14" s="307">
        <f t="shared" si="0"/>
        <v>0</v>
      </c>
      <c r="I14" s="306">
        <f t="shared" si="0"/>
        <v>0</v>
      </c>
      <c r="J14" s="307">
        <f t="shared" si="0"/>
        <v>0</v>
      </c>
      <c r="K14" s="304"/>
      <c r="L14" s="305"/>
    </row>
    <row r="15" spans="1:15" s="257" customFormat="1" ht="16.5">
      <c r="A15" s="300"/>
      <c r="B15" s="301" t="s">
        <v>12</v>
      </c>
      <c r="C15" s="302"/>
      <c r="D15" s="303"/>
      <c r="E15" s="304">
        <f t="shared" si="0"/>
        <v>1878.4716977332309</v>
      </c>
      <c r="F15" s="305">
        <f t="shared" si="0"/>
        <v>2216.5966033252121</v>
      </c>
      <c r="G15" s="306">
        <f t="shared" si="0"/>
        <v>0</v>
      </c>
      <c r="H15" s="307">
        <f t="shared" si="0"/>
        <v>0</v>
      </c>
      <c r="I15" s="306">
        <f t="shared" si="0"/>
        <v>0</v>
      </c>
      <c r="J15" s="307">
        <f t="shared" si="0"/>
        <v>0</v>
      </c>
      <c r="K15" s="304"/>
      <c r="L15" s="305"/>
    </row>
    <row r="16" spans="1:15" s="257" customFormat="1" ht="16.5">
      <c r="A16" s="300"/>
      <c r="B16" s="301" t="s">
        <v>13</v>
      </c>
      <c r="C16" s="302"/>
      <c r="D16" s="303"/>
      <c r="E16" s="304">
        <f t="shared" si="0"/>
        <v>239.71132230605878</v>
      </c>
      <c r="F16" s="305">
        <f t="shared" si="0"/>
        <v>282.85936032114932</v>
      </c>
      <c r="G16" s="306">
        <f t="shared" si="0"/>
        <v>0</v>
      </c>
      <c r="H16" s="307">
        <f t="shared" si="0"/>
        <v>0</v>
      </c>
      <c r="I16" s="306">
        <f t="shared" si="0"/>
        <v>0</v>
      </c>
      <c r="J16" s="307">
        <f t="shared" si="0"/>
        <v>0</v>
      </c>
      <c r="K16" s="304"/>
      <c r="L16" s="305"/>
    </row>
    <row r="17" spans="1:14" s="257" customFormat="1" ht="16.5">
      <c r="A17" s="308"/>
      <c r="B17" s="309" t="s">
        <v>14</v>
      </c>
      <c r="C17" s="310"/>
      <c r="D17" s="311"/>
      <c r="E17" s="312">
        <f t="shared" si="0"/>
        <v>8035.8624436509726</v>
      </c>
      <c r="F17" s="313">
        <f t="shared" si="0"/>
        <v>9482.3176835081467</v>
      </c>
      <c r="G17" s="314">
        <f t="shared" si="0"/>
        <v>0</v>
      </c>
      <c r="H17" s="315">
        <f t="shared" si="0"/>
        <v>0</v>
      </c>
      <c r="I17" s="314">
        <f t="shared" si="0"/>
        <v>0</v>
      </c>
      <c r="J17" s="315">
        <f t="shared" si="0"/>
        <v>0</v>
      </c>
      <c r="K17" s="312"/>
      <c r="L17" s="313"/>
    </row>
    <row r="18" spans="1:14" s="318" customFormat="1" ht="16.5">
      <c r="A18" s="316">
        <v>1</v>
      </c>
      <c r="B18" s="293" t="s">
        <v>5</v>
      </c>
      <c r="C18" s="317">
        <f>C24+C30</f>
        <v>805</v>
      </c>
      <c r="D18" s="317">
        <f>D24+D30</f>
        <v>1220</v>
      </c>
      <c r="E18" s="296">
        <f t="shared" ref="E18:J18" si="1">SUM(E19:E23)</f>
        <v>9967.5460000000003</v>
      </c>
      <c r="F18" s="297">
        <f t="shared" si="1"/>
        <v>11761.704279999998</v>
      </c>
      <c r="G18" s="298">
        <f t="shared" si="1"/>
        <v>0</v>
      </c>
      <c r="H18" s="299">
        <f t="shared" si="1"/>
        <v>0</v>
      </c>
      <c r="I18" s="298">
        <f t="shared" si="1"/>
        <v>0</v>
      </c>
      <c r="J18" s="299">
        <f t="shared" si="1"/>
        <v>0</v>
      </c>
      <c r="K18" s="296"/>
      <c r="L18" s="297"/>
    </row>
    <row r="19" spans="1:14" s="318" customFormat="1" ht="16.5">
      <c r="A19" s="319"/>
      <c r="B19" s="301" t="s">
        <v>10</v>
      </c>
      <c r="C19" s="302"/>
      <c r="D19" s="303"/>
      <c r="E19" s="304">
        <f>SUM(E25,E31,E37)</f>
        <v>998.46</v>
      </c>
      <c r="F19" s="305">
        <f t="shared" ref="E19:J23" si="2">SUM(F25,F31,F37)</f>
        <v>1178.1828</v>
      </c>
      <c r="G19" s="306">
        <f t="shared" si="2"/>
        <v>0</v>
      </c>
      <c r="H19" s="307">
        <f t="shared" si="2"/>
        <v>0</v>
      </c>
      <c r="I19" s="306">
        <f t="shared" si="2"/>
        <v>0</v>
      </c>
      <c r="J19" s="307">
        <f t="shared" si="2"/>
        <v>0</v>
      </c>
      <c r="K19" s="304"/>
      <c r="L19" s="305"/>
    </row>
    <row r="20" spans="1:14" s="318" customFormat="1" ht="16.5">
      <c r="A20" s="319"/>
      <c r="B20" s="301" t="s">
        <v>9</v>
      </c>
      <c r="C20" s="302"/>
      <c r="D20" s="303"/>
      <c r="E20" s="304">
        <f t="shared" si="2"/>
        <v>6457.1640000000007</v>
      </c>
      <c r="F20" s="305">
        <f t="shared" si="2"/>
        <v>7619.45352</v>
      </c>
      <c r="G20" s="306">
        <f t="shared" si="2"/>
        <v>0</v>
      </c>
      <c r="H20" s="307">
        <f t="shared" si="2"/>
        <v>0</v>
      </c>
      <c r="I20" s="306">
        <f t="shared" si="2"/>
        <v>0</v>
      </c>
      <c r="J20" s="307">
        <f t="shared" si="2"/>
        <v>0</v>
      </c>
      <c r="K20" s="304"/>
      <c r="L20" s="305"/>
    </row>
    <row r="21" spans="1:14" s="318" customFormat="1" ht="16.5">
      <c r="A21" s="319"/>
      <c r="B21" s="301" t="s">
        <v>12</v>
      </c>
      <c r="C21" s="302"/>
      <c r="D21" s="303"/>
      <c r="E21" s="304">
        <f t="shared" si="2"/>
        <v>446.36</v>
      </c>
      <c r="F21" s="305">
        <f t="shared" si="2"/>
        <v>526.70479999999998</v>
      </c>
      <c r="G21" s="306">
        <f t="shared" si="2"/>
        <v>0</v>
      </c>
      <c r="H21" s="307">
        <f t="shared" si="2"/>
        <v>0</v>
      </c>
      <c r="I21" s="306">
        <f t="shared" si="2"/>
        <v>0</v>
      </c>
      <c r="J21" s="307">
        <f t="shared" si="2"/>
        <v>0</v>
      </c>
      <c r="K21" s="304"/>
      <c r="L21" s="305"/>
    </row>
    <row r="22" spans="1:14" s="318" customFormat="1" ht="16.5">
      <c r="A22" s="319"/>
      <c r="B22" s="301" t="s">
        <v>13</v>
      </c>
      <c r="C22" s="302"/>
      <c r="D22" s="303"/>
      <c r="E22" s="304">
        <f t="shared" si="2"/>
        <v>72.052999999999997</v>
      </c>
      <c r="F22" s="305">
        <f t="shared" si="2"/>
        <v>85.022539999999992</v>
      </c>
      <c r="G22" s="306">
        <f t="shared" si="2"/>
        <v>0</v>
      </c>
      <c r="H22" s="307">
        <f t="shared" si="2"/>
        <v>0</v>
      </c>
      <c r="I22" s="306">
        <f t="shared" si="2"/>
        <v>0</v>
      </c>
      <c r="J22" s="307">
        <f t="shared" si="2"/>
        <v>0</v>
      </c>
      <c r="K22" s="304"/>
      <c r="L22" s="305"/>
    </row>
    <row r="23" spans="1:14" s="318" customFormat="1" ht="16.5">
      <c r="A23" s="320"/>
      <c r="B23" s="309" t="s">
        <v>14</v>
      </c>
      <c r="C23" s="310"/>
      <c r="D23" s="311"/>
      <c r="E23" s="312">
        <f t="shared" si="2"/>
        <v>1993.509</v>
      </c>
      <c r="F23" s="313">
        <f t="shared" si="2"/>
        <v>2352.3406199999999</v>
      </c>
      <c r="G23" s="314">
        <f t="shared" si="2"/>
        <v>0</v>
      </c>
      <c r="H23" s="315">
        <f t="shared" si="2"/>
        <v>0</v>
      </c>
      <c r="I23" s="314">
        <f t="shared" si="2"/>
        <v>0</v>
      </c>
      <c r="J23" s="315">
        <f t="shared" si="2"/>
        <v>0</v>
      </c>
      <c r="K23" s="312"/>
      <c r="L23" s="313"/>
    </row>
    <row r="24" spans="1:14" s="318" customFormat="1" ht="148.5">
      <c r="A24" s="316" t="s">
        <v>25</v>
      </c>
      <c r="B24" s="321" t="s">
        <v>618</v>
      </c>
      <c r="C24" s="322">
        <f>345+25</f>
        <v>370</v>
      </c>
      <c r="D24" s="323"/>
      <c r="E24" s="323">
        <f t="shared" ref="E24:J24" si="3">SUM(E25:E29)</f>
        <v>5378.5309999999999</v>
      </c>
      <c r="F24" s="324">
        <f t="shared" si="3"/>
        <v>6346.6665799999992</v>
      </c>
      <c r="G24" s="325">
        <f t="shared" si="3"/>
        <v>0</v>
      </c>
      <c r="H24" s="326">
        <f t="shared" si="3"/>
        <v>0</v>
      </c>
      <c r="I24" s="325">
        <f t="shared" si="3"/>
        <v>0</v>
      </c>
      <c r="J24" s="326">
        <f t="shared" si="3"/>
        <v>0</v>
      </c>
      <c r="K24" s="323"/>
      <c r="L24" s="324"/>
      <c r="M24" s="752">
        <f>E24*1.2</f>
        <v>6454.2371999999996</v>
      </c>
      <c r="N24" s="752">
        <f>M24+M30</f>
        <v>11961.055199999999</v>
      </c>
    </row>
    <row r="25" spans="1:14" s="334" customFormat="1" ht="16.5">
      <c r="A25" s="327"/>
      <c r="B25" s="328" t="s">
        <v>10</v>
      </c>
      <c r="C25" s="329"/>
      <c r="D25" s="330"/>
      <c r="E25" s="330">
        <v>998.46</v>
      </c>
      <c r="F25" s="331">
        <f>E25*1.18</f>
        <v>1178.1828</v>
      </c>
      <c r="G25" s="332"/>
      <c r="H25" s="333"/>
      <c r="I25" s="332"/>
      <c r="J25" s="333"/>
      <c r="K25" s="330"/>
      <c r="L25" s="331"/>
      <c r="M25" s="753"/>
      <c r="N25" s="753"/>
    </row>
    <row r="26" spans="1:14" s="334" customFormat="1" ht="16.5">
      <c r="A26" s="327"/>
      <c r="B26" s="328" t="s">
        <v>9</v>
      </c>
      <c r="C26" s="329"/>
      <c r="D26" s="330"/>
      <c r="E26" s="330">
        <v>3039.087</v>
      </c>
      <c r="F26" s="331">
        <f>E26*1.18</f>
        <v>3586.12266</v>
      </c>
      <c r="G26" s="332"/>
      <c r="H26" s="333"/>
      <c r="I26" s="332"/>
      <c r="J26" s="333"/>
      <c r="K26" s="330"/>
      <c r="L26" s="331"/>
      <c r="M26" s="753"/>
      <c r="N26" s="753"/>
    </row>
    <row r="27" spans="1:14" s="334" customFormat="1" ht="16.5">
      <c r="A27" s="327"/>
      <c r="B27" s="328" t="s">
        <v>12</v>
      </c>
      <c r="C27" s="329"/>
      <c r="D27" s="330"/>
      <c r="E27" s="330">
        <f>6.078+59.178+65.036+83.357+15.228</f>
        <v>228.87700000000001</v>
      </c>
      <c r="F27" s="331">
        <f>E27*1.18</f>
        <v>270.07486</v>
      </c>
      <c r="G27" s="332"/>
      <c r="H27" s="333"/>
      <c r="I27" s="332"/>
      <c r="J27" s="333"/>
      <c r="K27" s="330"/>
      <c r="L27" s="331"/>
      <c r="M27" s="753"/>
      <c r="N27" s="753"/>
    </row>
    <row r="28" spans="1:14" s="334" customFormat="1" ht="16.5">
      <c r="A28" s="327"/>
      <c r="B28" s="328" t="s">
        <v>13</v>
      </c>
      <c r="C28" s="329"/>
      <c r="D28" s="330"/>
      <c r="E28" s="330">
        <v>36.401000000000003</v>
      </c>
      <c r="F28" s="331">
        <f>E28*1.18</f>
        <v>42.953180000000003</v>
      </c>
      <c r="G28" s="332"/>
      <c r="H28" s="333"/>
      <c r="I28" s="332"/>
      <c r="J28" s="333"/>
      <c r="K28" s="330"/>
      <c r="L28" s="331"/>
      <c r="M28" s="753"/>
      <c r="N28" s="753"/>
    </row>
    <row r="29" spans="1:14" s="334" customFormat="1" ht="16.5">
      <c r="A29" s="335"/>
      <c r="B29" s="336" t="s">
        <v>14</v>
      </c>
      <c r="C29" s="337"/>
      <c r="D29" s="338"/>
      <c r="E29" s="338">
        <v>1075.7059999999999</v>
      </c>
      <c r="F29" s="339">
        <f>E29*1.18</f>
        <v>1269.3330799999999</v>
      </c>
      <c r="G29" s="332"/>
      <c r="H29" s="333"/>
      <c r="I29" s="332"/>
      <c r="J29" s="333"/>
      <c r="K29" s="330"/>
      <c r="L29" s="331"/>
      <c r="M29" s="753"/>
      <c r="N29" s="753"/>
    </row>
    <row r="30" spans="1:14" s="318" customFormat="1" ht="205.5" customHeight="1">
      <c r="A30" s="316" t="s">
        <v>3</v>
      </c>
      <c r="B30" s="321" t="s">
        <v>619</v>
      </c>
      <c r="C30" s="322">
        <v>435</v>
      </c>
      <c r="D30" s="322">
        <v>1220</v>
      </c>
      <c r="E30" s="323">
        <f>SUM(E31:E35)</f>
        <v>4589.0150000000003</v>
      </c>
      <c r="F30" s="324">
        <f>SUM(F31:F35)</f>
        <v>5415.0376999999999</v>
      </c>
      <c r="G30" s="340"/>
      <c r="H30" s="340"/>
      <c r="I30" s="340"/>
      <c r="J30" s="340"/>
      <c r="K30" s="341"/>
      <c r="L30" s="341"/>
      <c r="M30" s="752">
        <f>E30*1.2</f>
        <v>5506.8180000000002</v>
      </c>
      <c r="N30" s="752"/>
    </row>
    <row r="31" spans="1:14" s="334" customFormat="1" ht="16.5">
      <c r="A31" s="327"/>
      <c r="B31" s="328" t="s">
        <v>10</v>
      </c>
      <c r="C31" s="329"/>
      <c r="D31" s="330"/>
      <c r="E31" s="330"/>
      <c r="F31" s="331">
        <f>E31*1.18</f>
        <v>0</v>
      </c>
      <c r="G31" s="342"/>
      <c r="H31" s="342"/>
      <c r="I31" s="342"/>
      <c r="J31" s="342"/>
      <c r="K31" s="343"/>
      <c r="L31" s="343"/>
      <c r="M31" s="753"/>
      <c r="N31" s="753"/>
    </row>
    <row r="32" spans="1:14" s="334" customFormat="1" ht="16.5">
      <c r="A32" s="327"/>
      <c r="B32" s="328" t="s">
        <v>9</v>
      </c>
      <c r="C32" s="329"/>
      <c r="D32" s="330"/>
      <c r="E32" s="330">
        <v>3418.0770000000002</v>
      </c>
      <c r="F32" s="331">
        <f t="shared" ref="F32:F41" si="4">E32*1.18</f>
        <v>4033.33086</v>
      </c>
      <c r="G32" s="342"/>
      <c r="H32" s="342"/>
      <c r="I32" s="342"/>
      <c r="J32" s="342"/>
      <c r="K32" s="343"/>
      <c r="L32" s="343"/>
      <c r="M32" s="753"/>
      <c r="N32" s="753"/>
    </row>
    <row r="33" spans="1:14" s="334" customFormat="1" ht="16.5">
      <c r="A33" s="327"/>
      <c r="B33" s="328" t="s">
        <v>12</v>
      </c>
      <c r="C33" s="329"/>
      <c r="D33" s="330"/>
      <c r="E33" s="330">
        <v>217.483</v>
      </c>
      <c r="F33" s="331">
        <f t="shared" si="4"/>
        <v>256.62993999999998</v>
      </c>
      <c r="G33" s="342"/>
      <c r="H33" s="342"/>
      <c r="I33" s="342"/>
      <c r="J33" s="342"/>
      <c r="K33" s="343"/>
      <c r="L33" s="343"/>
      <c r="M33" s="753"/>
      <c r="N33" s="753"/>
    </row>
    <row r="34" spans="1:14" s="334" customFormat="1" ht="16.5">
      <c r="A34" s="327"/>
      <c r="B34" s="328" t="s">
        <v>13</v>
      </c>
      <c r="C34" s="329"/>
      <c r="D34" s="330"/>
      <c r="E34" s="330">
        <v>35.652000000000001</v>
      </c>
      <c r="F34" s="331">
        <f t="shared" si="4"/>
        <v>42.069359999999996</v>
      </c>
      <c r="G34" s="342"/>
      <c r="H34" s="342"/>
      <c r="I34" s="342"/>
      <c r="J34" s="342"/>
      <c r="K34" s="343"/>
      <c r="L34" s="343"/>
      <c r="M34" s="753"/>
      <c r="N34" s="753"/>
    </row>
    <row r="35" spans="1:14" s="334" customFormat="1" ht="16.5">
      <c r="A35" s="335"/>
      <c r="B35" s="336" t="s">
        <v>14</v>
      </c>
      <c r="C35" s="337"/>
      <c r="D35" s="338"/>
      <c r="E35" s="338">
        <v>917.803</v>
      </c>
      <c r="F35" s="339">
        <f t="shared" si="4"/>
        <v>1083.0075399999998</v>
      </c>
      <c r="G35" s="342"/>
      <c r="H35" s="342"/>
      <c r="I35" s="342"/>
      <c r="J35" s="342"/>
      <c r="K35" s="343"/>
      <c r="L35" s="343"/>
      <c r="M35" s="753"/>
      <c r="N35" s="753"/>
    </row>
    <row r="36" spans="1:14" s="318" customFormat="1" ht="16.5" hidden="1" outlineLevel="1">
      <c r="A36" s="316" t="s">
        <v>2</v>
      </c>
      <c r="B36" s="344"/>
      <c r="C36" s="322"/>
      <c r="D36" s="323"/>
      <c r="E36" s="323">
        <f>SUM(E37:E41)</f>
        <v>0</v>
      </c>
      <c r="F36" s="345">
        <f t="shared" si="4"/>
        <v>0</v>
      </c>
      <c r="G36" s="340"/>
      <c r="H36" s="340"/>
      <c r="I36" s="340"/>
      <c r="J36" s="340"/>
      <c r="K36" s="341"/>
      <c r="L36" s="341"/>
      <c r="M36" s="752"/>
      <c r="N36" s="752"/>
    </row>
    <row r="37" spans="1:14" s="334" customFormat="1" ht="16.5" hidden="1" outlineLevel="1">
      <c r="A37" s="327"/>
      <c r="B37" s="328" t="s">
        <v>10</v>
      </c>
      <c r="C37" s="329"/>
      <c r="D37" s="330"/>
      <c r="E37" s="330"/>
      <c r="F37" s="331">
        <f t="shared" si="4"/>
        <v>0</v>
      </c>
      <c r="G37" s="342"/>
      <c r="H37" s="342"/>
      <c r="I37" s="342"/>
      <c r="J37" s="342"/>
      <c r="K37" s="343"/>
      <c r="L37" s="343"/>
      <c r="M37" s="753"/>
      <c r="N37" s="753"/>
    </row>
    <row r="38" spans="1:14" s="334" customFormat="1" ht="16.5" hidden="1" outlineLevel="1">
      <c r="A38" s="327"/>
      <c r="B38" s="328" t="s">
        <v>9</v>
      </c>
      <c r="C38" s="329"/>
      <c r="D38" s="330"/>
      <c r="E38" s="330"/>
      <c r="F38" s="331">
        <f t="shared" si="4"/>
        <v>0</v>
      </c>
      <c r="G38" s="342"/>
      <c r="H38" s="342"/>
      <c r="I38" s="342"/>
      <c r="J38" s="342"/>
      <c r="K38" s="343"/>
      <c r="L38" s="343"/>
      <c r="M38" s="753"/>
      <c r="N38" s="753"/>
    </row>
    <row r="39" spans="1:14" s="334" customFormat="1" ht="16.5" hidden="1" outlineLevel="1">
      <c r="A39" s="327"/>
      <c r="B39" s="328" t="s">
        <v>12</v>
      </c>
      <c r="C39" s="329"/>
      <c r="D39" s="330"/>
      <c r="E39" s="330"/>
      <c r="F39" s="331">
        <f t="shared" si="4"/>
        <v>0</v>
      </c>
      <c r="G39" s="342"/>
      <c r="H39" s="342"/>
      <c r="I39" s="342"/>
      <c r="J39" s="342"/>
      <c r="K39" s="343"/>
      <c r="L39" s="343"/>
      <c r="M39" s="753"/>
      <c r="N39" s="753"/>
    </row>
    <row r="40" spans="1:14" s="334" customFormat="1" ht="16.5" hidden="1" outlineLevel="1">
      <c r="A40" s="327"/>
      <c r="B40" s="328" t="s">
        <v>13</v>
      </c>
      <c r="C40" s="329"/>
      <c r="D40" s="330"/>
      <c r="E40" s="330"/>
      <c r="F40" s="331">
        <f t="shared" si="4"/>
        <v>0</v>
      </c>
      <c r="G40" s="342"/>
      <c r="H40" s="342"/>
      <c r="I40" s="342"/>
      <c r="J40" s="342"/>
      <c r="K40" s="343"/>
      <c r="L40" s="343"/>
      <c r="M40" s="753"/>
      <c r="N40" s="753"/>
    </row>
    <row r="41" spans="1:14" s="334" customFormat="1" ht="16.5" hidden="1" outlineLevel="1">
      <c r="A41" s="335"/>
      <c r="B41" s="336" t="s">
        <v>14</v>
      </c>
      <c r="C41" s="337"/>
      <c r="D41" s="338"/>
      <c r="E41" s="338"/>
      <c r="F41" s="339">
        <f t="shared" si="4"/>
        <v>0</v>
      </c>
      <c r="G41" s="342"/>
      <c r="H41" s="342"/>
      <c r="I41" s="342"/>
      <c r="J41" s="342"/>
      <c r="K41" s="343"/>
      <c r="L41" s="343"/>
      <c r="M41" s="753"/>
      <c r="N41" s="753"/>
    </row>
    <row r="42" spans="1:14" s="349" customFormat="1" ht="16.5" collapsed="1">
      <c r="A42" s="346">
        <v>2</v>
      </c>
      <c r="B42" s="347" t="s">
        <v>0</v>
      </c>
      <c r="C42" s="348">
        <f>SUM(C48,C54)</f>
        <v>1728</v>
      </c>
      <c r="D42" s="348">
        <f>SUM(D48,D54)</f>
        <v>1131</v>
      </c>
      <c r="E42" s="323">
        <f t="shared" ref="E42:J42" si="5">SUM(E43:E47)</f>
        <v>30211.766218254863</v>
      </c>
      <c r="F42" s="324">
        <f t="shared" si="5"/>
        <v>35649.884137540736</v>
      </c>
      <c r="G42" s="325">
        <f t="shared" si="5"/>
        <v>0</v>
      </c>
      <c r="H42" s="326">
        <f t="shared" si="5"/>
        <v>0</v>
      </c>
      <c r="I42" s="325">
        <f t="shared" si="5"/>
        <v>0</v>
      </c>
      <c r="J42" s="326">
        <f t="shared" si="5"/>
        <v>0</v>
      </c>
      <c r="K42" s="323"/>
      <c r="L42" s="324"/>
      <c r="M42" s="754"/>
      <c r="N42" s="754"/>
    </row>
    <row r="43" spans="1:14" s="349" customFormat="1" ht="16.5">
      <c r="A43" s="319"/>
      <c r="B43" s="301" t="s">
        <v>10</v>
      </c>
      <c r="C43" s="350"/>
      <c r="D43" s="351"/>
      <c r="E43" s="351">
        <f>E49+E55+E61</f>
        <v>1331.3040000000001</v>
      </c>
      <c r="F43" s="352">
        <f t="shared" ref="F43:J47" si="6">SUM(F49,F55,F61)</f>
        <v>1570.9387200000001</v>
      </c>
      <c r="G43" s="353">
        <f t="shared" si="6"/>
        <v>0</v>
      </c>
      <c r="H43" s="354">
        <f t="shared" si="6"/>
        <v>0</v>
      </c>
      <c r="I43" s="353">
        <f t="shared" si="6"/>
        <v>0</v>
      </c>
      <c r="J43" s="354">
        <f t="shared" si="6"/>
        <v>0</v>
      </c>
      <c r="K43" s="351"/>
      <c r="L43" s="352"/>
      <c r="M43" s="754"/>
      <c r="N43" s="754"/>
    </row>
    <row r="44" spans="1:14" s="349" customFormat="1" ht="16.5">
      <c r="A44" s="319"/>
      <c r="B44" s="301" t="s">
        <v>9</v>
      </c>
      <c r="C44" s="350"/>
      <c r="D44" s="351"/>
      <c r="E44" s="351">
        <f>E50+E56+E62</f>
        <v>21238.3387545646</v>
      </c>
      <c r="F44" s="352">
        <f t="shared" si="6"/>
        <v>25061.239730386227</v>
      </c>
      <c r="G44" s="353">
        <f t="shared" si="6"/>
        <v>0</v>
      </c>
      <c r="H44" s="354">
        <f t="shared" si="6"/>
        <v>0</v>
      </c>
      <c r="I44" s="353">
        <f t="shared" si="6"/>
        <v>0</v>
      </c>
      <c r="J44" s="354">
        <f t="shared" si="6"/>
        <v>0</v>
      </c>
      <c r="K44" s="351"/>
      <c r="L44" s="352"/>
      <c r="M44" s="754"/>
      <c r="N44" s="754"/>
    </row>
    <row r="45" spans="1:14" s="349" customFormat="1" ht="16.5">
      <c r="A45" s="319"/>
      <c r="B45" s="301" t="s">
        <v>12</v>
      </c>
      <c r="C45" s="350"/>
      <c r="D45" s="351"/>
      <c r="E45" s="351">
        <f>E51+E57+E63</f>
        <v>1432.1116977332308</v>
      </c>
      <c r="F45" s="352">
        <f t="shared" si="6"/>
        <v>1689.8918033252121</v>
      </c>
      <c r="G45" s="353">
        <f t="shared" si="6"/>
        <v>0</v>
      </c>
      <c r="H45" s="354">
        <f t="shared" si="6"/>
        <v>0</v>
      </c>
      <c r="I45" s="353">
        <f t="shared" si="6"/>
        <v>0</v>
      </c>
      <c r="J45" s="354">
        <f t="shared" si="6"/>
        <v>0</v>
      </c>
      <c r="K45" s="351"/>
      <c r="L45" s="352"/>
      <c r="M45" s="754"/>
      <c r="N45" s="754"/>
    </row>
    <row r="46" spans="1:14" s="349" customFormat="1" ht="16.5">
      <c r="A46" s="319"/>
      <c r="B46" s="301" t="s">
        <v>13</v>
      </c>
      <c r="C46" s="350"/>
      <c r="D46" s="351"/>
      <c r="E46" s="351">
        <f>E52+E58+E64</f>
        <v>167.65832230605878</v>
      </c>
      <c r="F46" s="352">
        <f t="shared" si="6"/>
        <v>197.83682032114933</v>
      </c>
      <c r="G46" s="353">
        <f t="shared" si="6"/>
        <v>0</v>
      </c>
      <c r="H46" s="354">
        <f t="shared" si="6"/>
        <v>0</v>
      </c>
      <c r="I46" s="353">
        <f t="shared" si="6"/>
        <v>0</v>
      </c>
      <c r="J46" s="354">
        <f t="shared" si="6"/>
        <v>0</v>
      </c>
      <c r="K46" s="351"/>
      <c r="L46" s="352"/>
      <c r="M46" s="754"/>
      <c r="N46" s="754"/>
    </row>
    <row r="47" spans="1:14" s="349" customFormat="1" ht="16.5">
      <c r="A47" s="355"/>
      <c r="B47" s="356" t="s">
        <v>14</v>
      </c>
      <c r="C47" s="357"/>
      <c r="D47" s="358"/>
      <c r="E47" s="351">
        <f>E53+E59+E65</f>
        <v>6042.3534436509726</v>
      </c>
      <c r="F47" s="359">
        <f t="shared" si="6"/>
        <v>7129.9770635081468</v>
      </c>
      <c r="G47" s="360">
        <f t="shared" si="6"/>
        <v>0</v>
      </c>
      <c r="H47" s="361">
        <f t="shared" si="6"/>
        <v>0</v>
      </c>
      <c r="I47" s="360">
        <f t="shared" si="6"/>
        <v>0</v>
      </c>
      <c r="J47" s="361">
        <f t="shared" si="6"/>
        <v>0</v>
      </c>
      <c r="K47" s="358"/>
      <c r="L47" s="359"/>
      <c r="M47" s="754"/>
      <c r="N47" s="754"/>
    </row>
    <row r="48" spans="1:14" s="349" customFormat="1" ht="213.75" customHeight="1">
      <c r="A48" s="316" t="s">
        <v>26</v>
      </c>
      <c r="B48" s="362" t="s">
        <v>620</v>
      </c>
      <c r="C48" s="322">
        <f>864*2</f>
        <v>1728</v>
      </c>
      <c r="D48" s="323"/>
      <c r="E48" s="323">
        <f t="shared" ref="E48:J48" si="7">SUM(E49:E53)</f>
        <v>17286.659</v>
      </c>
      <c r="F48" s="324">
        <f t="shared" si="7"/>
        <v>20398.257619999997</v>
      </c>
      <c r="G48" s="325">
        <f t="shared" si="7"/>
        <v>0</v>
      </c>
      <c r="H48" s="326">
        <f t="shared" si="7"/>
        <v>0</v>
      </c>
      <c r="I48" s="325">
        <f t="shared" si="7"/>
        <v>0</v>
      </c>
      <c r="J48" s="326">
        <f t="shared" si="7"/>
        <v>0</v>
      </c>
      <c r="K48" s="323"/>
      <c r="L48" s="324"/>
      <c r="M48" s="754">
        <f>E48*1.2</f>
        <v>20743.9908</v>
      </c>
      <c r="N48" s="754">
        <f>M48+M54</f>
        <v>36254.119461905837</v>
      </c>
    </row>
    <row r="49" spans="1:14" s="363" customFormat="1" ht="16.5">
      <c r="A49" s="327"/>
      <c r="B49" s="328" t="s">
        <v>10</v>
      </c>
      <c r="C49" s="329"/>
      <c r="D49" s="330"/>
      <c r="E49" s="330">
        <v>1331.3040000000001</v>
      </c>
      <c r="F49" s="331">
        <f>E49*1.18</f>
        <v>1570.9387200000001</v>
      </c>
      <c r="G49" s="332"/>
      <c r="H49" s="333"/>
      <c r="I49" s="332"/>
      <c r="J49" s="333"/>
      <c r="K49" s="330"/>
      <c r="L49" s="331"/>
      <c r="M49" s="755"/>
      <c r="N49" s="755"/>
    </row>
    <row r="50" spans="1:14" s="363" customFormat="1" ht="16.5">
      <c r="A50" s="327"/>
      <c r="B50" s="328" t="s">
        <v>9</v>
      </c>
      <c r="C50" s="329"/>
      <c r="D50" s="330"/>
      <c r="E50" s="330">
        <v>11629.968999999999</v>
      </c>
      <c r="F50" s="331">
        <f t="shared" ref="F50:F65" si="8">E50*1.18</f>
        <v>13723.363419999998</v>
      </c>
      <c r="G50" s="332"/>
      <c r="H50" s="333"/>
      <c r="I50" s="332"/>
      <c r="J50" s="333"/>
      <c r="K50" s="330"/>
      <c r="L50" s="331"/>
      <c r="M50" s="755"/>
      <c r="N50" s="755"/>
    </row>
    <row r="51" spans="1:14" s="363" customFormat="1" ht="16.5">
      <c r="A51" s="327"/>
      <c r="B51" s="328" t="s">
        <v>12</v>
      </c>
      <c r="C51" s="329"/>
      <c r="D51" s="330"/>
      <c r="E51" s="330">
        <v>772.88099999999997</v>
      </c>
      <c r="F51" s="331">
        <f t="shared" si="8"/>
        <v>911.99957999999992</v>
      </c>
      <c r="G51" s="332"/>
      <c r="H51" s="333"/>
      <c r="I51" s="332"/>
      <c r="J51" s="333"/>
      <c r="K51" s="330"/>
      <c r="L51" s="331"/>
      <c r="M51" s="755"/>
      <c r="N51" s="755"/>
    </row>
    <row r="52" spans="1:14" s="363" customFormat="1" ht="16.5">
      <c r="A52" s="327"/>
      <c r="B52" s="328" t="s">
        <v>13</v>
      </c>
      <c r="C52" s="329"/>
      <c r="D52" s="330"/>
      <c r="E52" s="330">
        <v>95.173000000000002</v>
      </c>
      <c r="F52" s="331">
        <f t="shared" si="8"/>
        <v>112.30413999999999</v>
      </c>
      <c r="G52" s="332"/>
      <c r="H52" s="333"/>
      <c r="I52" s="332"/>
      <c r="J52" s="333"/>
      <c r="K52" s="330"/>
      <c r="L52" s="331"/>
      <c r="M52" s="755"/>
      <c r="N52" s="755"/>
    </row>
    <row r="53" spans="1:14" s="363" customFormat="1" ht="16.5">
      <c r="A53" s="335"/>
      <c r="B53" s="336" t="s">
        <v>14</v>
      </c>
      <c r="C53" s="337"/>
      <c r="D53" s="338"/>
      <c r="E53" s="338">
        <v>3457.3319999999999</v>
      </c>
      <c r="F53" s="339">
        <f t="shared" si="8"/>
        <v>4079.6517599999997</v>
      </c>
      <c r="G53" s="364"/>
      <c r="H53" s="365"/>
      <c r="I53" s="364"/>
      <c r="J53" s="365"/>
      <c r="K53" s="338"/>
      <c r="L53" s="339"/>
      <c r="M53" s="755"/>
      <c r="N53" s="755"/>
    </row>
    <row r="54" spans="1:14" s="349" customFormat="1" ht="77.25" customHeight="1">
      <c r="A54" s="316" t="s">
        <v>27</v>
      </c>
      <c r="B54" s="362" t="s">
        <v>63</v>
      </c>
      <c r="C54" s="322"/>
      <c r="D54" s="323">
        <v>1131</v>
      </c>
      <c r="E54" s="323">
        <f>SUM(E55:E59)</f>
        <v>12925.107218254861</v>
      </c>
      <c r="F54" s="324">
        <f t="shared" si="8"/>
        <v>15251.626517540735</v>
      </c>
      <c r="G54" s="325"/>
      <c r="H54" s="326"/>
      <c r="I54" s="325"/>
      <c r="J54" s="326"/>
      <c r="K54" s="323"/>
      <c r="L54" s="324"/>
      <c r="M54" s="754">
        <f>E54*1.2</f>
        <v>15510.128661905834</v>
      </c>
      <c r="N54" s="754"/>
    </row>
    <row r="55" spans="1:14" s="363" customFormat="1" ht="16.5">
      <c r="A55" s="327"/>
      <c r="B55" s="328" t="s">
        <v>10</v>
      </c>
      <c r="C55" s="329"/>
      <c r="D55" s="330"/>
      <c r="E55" s="330"/>
      <c r="F55" s="331">
        <f t="shared" si="8"/>
        <v>0</v>
      </c>
      <c r="G55" s="332"/>
      <c r="H55" s="333"/>
      <c r="I55" s="332"/>
      <c r="J55" s="333"/>
      <c r="K55" s="330"/>
      <c r="L55" s="331"/>
      <c r="M55" s="755"/>
      <c r="N55" s="755"/>
    </row>
    <row r="56" spans="1:14" s="363" customFormat="1" ht="16.5">
      <c r="A56" s="327"/>
      <c r="B56" s="328" t="s">
        <v>9</v>
      </c>
      <c r="C56" s="329"/>
      <c r="D56" s="330"/>
      <c r="E56" s="330">
        <v>9608.369754564601</v>
      </c>
      <c r="F56" s="331">
        <f t="shared" si="8"/>
        <v>11337.876310386229</v>
      </c>
      <c r="G56" s="332"/>
      <c r="H56" s="333"/>
      <c r="I56" s="332"/>
      <c r="J56" s="333"/>
      <c r="K56" s="330"/>
      <c r="L56" s="331"/>
    </row>
    <row r="57" spans="1:14" s="363" customFormat="1" ht="16.5">
      <c r="A57" s="327"/>
      <c r="B57" s="328" t="s">
        <v>12</v>
      </c>
      <c r="C57" s="329"/>
      <c r="D57" s="330"/>
      <c r="E57" s="330">
        <v>659.23069773323073</v>
      </c>
      <c r="F57" s="331">
        <f t="shared" si="8"/>
        <v>777.89222332521217</v>
      </c>
      <c r="G57" s="332"/>
      <c r="H57" s="333"/>
      <c r="I57" s="332"/>
      <c r="J57" s="333"/>
      <c r="K57" s="330"/>
      <c r="L57" s="331"/>
    </row>
    <row r="58" spans="1:14" s="363" customFormat="1" ht="16.5">
      <c r="A58" s="327"/>
      <c r="B58" s="328" t="s">
        <v>13</v>
      </c>
      <c r="C58" s="329"/>
      <c r="D58" s="330"/>
      <c r="E58" s="330">
        <v>72.485322306058762</v>
      </c>
      <c r="F58" s="331">
        <f t="shared" si="8"/>
        <v>85.532680321149329</v>
      </c>
      <c r="G58" s="332"/>
      <c r="H58" s="333"/>
      <c r="I58" s="332"/>
      <c r="J58" s="333"/>
      <c r="K58" s="330"/>
      <c r="L58" s="331"/>
    </row>
    <row r="59" spans="1:14" s="363" customFormat="1" ht="16.5">
      <c r="A59" s="335"/>
      <c r="B59" s="336" t="s">
        <v>14</v>
      </c>
      <c r="C59" s="337"/>
      <c r="D59" s="338"/>
      <c r="E59" s="338">
        <v>2585.0214436509723</v>
      </c>
      <c r="F59" s="339">
        <f t="shared" si="8"/>
        <v>3050.325303508147</v>
      </c>
      <c r="G59" s="364"/>
      <c r="H59" s="365"/>
      <c r="I59" s="364"/>
      <c r="J59" s="365"/>
      <c r="K59" s="338"/>
      <c r="L59" s="339"/>
    </row>
    <row r="60" spans="1:14" s="349" customFormat="1" ht="16.5" hidden="1" outlineLevel="1">
      <c r="A60" s="316" t="s">
        <v>592</v>
      </c>
      <c r="B60" s="344"/>
      <c r="C60" s="366"/>
      <c r="D60" s="325"/>
      <c r="E60" s="325">
        <v>0</v>
      </c>
      <c r="F60" s="326">
        <f t="shared" si="8"/>
        <v>0</v>
      </c>
      <c r="G60" s="325"/>
      <c r="H60" s="326"/>
      <c r="I60" s="325"/>
      <c r="J60" s="326"/>
      <c r="K60" s="323"/>
      <c r="L60" s="324"/>
    </row>
    <row r="61" spans="1:14" s="363" customFormat="1" ht="16.5" hidden="1" outlineLevel="1">
      <c r="A61" s="327"/>
      <c r="B61" s="328" t="s">
        <v>10</v>
      </c>
      <c r="C61" s="367"/>
      <c r="D61" s="332"/>
      <c r="E61" s="332"/>
      <c r="F61" s="333">
        <f t="shared" si="8"/>
        <v>0</v>
      </c>
      <c r="G61" s="332"/>
      <c r="H61" s="333"/>
      <c r="I61" s="332"/>
      <c r="J61" s="333"/>
      <c r="K61" s="330"/>
      <c r="L61" s="331"/>
    </row>
    <row r="62" spans="1:14" s="363" customFormat="1" ht="16.5" hidden="1" outlineLevel="1">
      <c r="A62" s="327"/>
      <c r="B62" s="328" t="s">
        <v>9</v>
      </c>
      <c r="C62" s="367"/>
      <c r="D62" s="332"/>
      <c r="E62" s="332"/>
      <c r="F62" s="333">
        <f t="shared" si="8"/>
        <v>0</v>
      </c>
      <c r="G62" s="332"/>
      <c r="H62" s="333"/>
      <c r="I62" s="332"/>
      <c r="J62" s="333"/>
      <c r="K62" s="330"/>
      <c r="L62" s="331"/>
    </row>
    <row r="63" spans="1:14" s="363" customFormat="1" ht="16.5" hidden="1" outlineLevel="1">
      <c r="A63" s="327"/>
      <c r="B63" s="328" t="s">
        <v>12</v>
      </c>
      <c r="C63" s="367"/>
      <c r="D63" s="332"/>
      <c r="E63" s="332"/>
      <c r="F63" s="333">
        <f t="shared" si="8"/>
        <v>0</v>
      </c>
      <c r="G63" s="332"/>
      <c r="H63" s="333"/>
      <c r="I63" s="332"/>
      <c r="J63" s="333"/>
      <c r="K63" s="330"/>
      <c r="L63" s="331"/>
    </row>
    <row r="64" spans="1:14" s="363" customFormat="1" ht="16.5" hidden="1" outlineLevel="1">
      <c r="A64" s="327"/>
      <c r="B64" s="328" t="s">
        <v>13</v>
      </c>
      <c r="C64" s="367"/>
      <c r="D64" s="332"/>
      <c r="E64" s="332"/>
      <c r="F64" s="333">
        <f t="shared" si="8"/>
        <v>0</v>
      </c>
      <c r="G64" s="332"/>
      <c r="H64" s="333"/>
      <c r="I64" s="332"/>
      <c r="J64" s="333"/>
      <c r="K64" s="330"/>
      <c r="L64" s="331"/>
    </row>
    <row r="65" spans="1:12" s="363" customFormat="1" ht="16.5" hidden="1" outlineLevel="1">
      <c r="A65" s="335"/>
      <c r="B65" s="336" t="s">
        <v>14</v>
      </c>
      <c r="C65" s="368"/>
      <c r="D65" s="364"/>
      <c r="E65" s="364"/>
      <c r="F65" s="365">
        <f t="shared" si="8"/>
        <v>0</v>
      </c>
      <c r="G65" s="364"/>
      <c r="H65" s="365"/>
      <c r="I65" s="364"/>
      <c r="J65" s="365"/>
      <c r="K65" s="338"/>
      <c r="L65" s="339"/>
    </row>
    <row r="66" spans="1:12" ht="16.5" collapsed="1">
      <c r="A66" s="369"/>
      <c r="B66" s="279"/>
      <c r="C66" s="279"/>
      <c r="D66" s="370"/>
      <c r="E66" s="370"/>
      <c r="F66" s="370"/>
      <c r="G66" s="279"/>
      <c r="H66" s="279"/>
      <c r="I66" s="279"/>
      <c r="J66" s="279"/>
      <c r="K66" s="279"/>
      <c r="L66" s="279"/>
    </row>
    <row r="67" spans="1:12" ht="16.5">
      <c r="A67" s="369"/>
      <c r="B67" s="279"/>
      <c r="C67" s="279"/>
      <c r="D67" s="279"/>
      <c r="E67" s="279"/>
      <c r="F67" s="279"/>
      <c r="G67" s="279"/>
      <c r="H67" s="279"/>
      <c r="I67" s="279"/>
      <c r="J67" s="279"/>
      <c r="K67" s="279"/>
      <c r="L67" s="279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rintOptions horizontalCentered="1"/>
  <pageMargins left="0" right="0" top="0.39370078740157483" bottom="0.39370078740157483" header="0.31496062992125984" footer="0.31496062992125984"/>
  <pageSetup paperSize="9" scale="4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7"/>
  <sheetViews>
    <sheetView view="pageBreakPreview" topLeftCell="A4" zoomScale="60" zoomScaleNormal="100" workbookViewId="0">
      <selection activeCell="B49" sqref="B49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18.85546875" customWidth="1" collapsed="1"/>
    <col min="14" max="14" width="15.42578125" bestFit="1" customWidth="1"/>
    <col min="15" max="15" width="11.85546875" customWidth="1"/>
    <col min="18" max="18" width="11.5703125" bestFit="1" customWidth="1"/>
    <col min="19" max="20" width="12.42578125" bestFit="1" customWidth="1"/>
  </cols>
  <sheetData>
    <row r="1" spans="1:19" s="18" customFormat="1" ht="67.5" thickTop="1" thickBot="1">
      <c r="A1" s="15" t="s">
        <v>559</v>
      </c>
      <c r="B1" s="16" t="s">
        <v>782</v>
      </c>
      <c r="C1" s="17" t="s">
        <v>561</v>
      </c>
      <c r="D1" s="133"/>
      <c r="E1" s="134"/>
      <c r="K1" s="18" t="s">
        <v>563</v>
      </c>
    </row>
    <row r="2" spans="1:19" s="18" customFormat="1" ht="67.5" thickTop="1" thickBot="1">
      <c r="A2" s="15" t="s">
        <v>564</v>
      </c>
      <c r="B2" s="16" t="s">
        <v>783</v>
      </c>
      <c r="C2" s="17" t="s">
        <v>566</v>
      </c>
      <c r="D2" s="133">
        <v>601</v>
      </c>
      <c r="E2" s="134">
        <v>44537</v>
      </c>
      <c r="F2" s="19"/>
      <c r="K2" s="18" t="s">
        <v>568</v>
      </c>
    </row>
    <row r="3" spans="1:19" s="18" customFormat="1" ht="18.75" thickTop="1">
      <c r="A3" s="20"/>
      <c r="C3" s="15"/>
      <c r="G3" s="21" t="str">
        <f>[21]ЗАО_ВОЛЬВО_ВОСТОК!G3</f>
        <v>на 01.01.2016 г.</v>
      </c>
    </row>
    <row r="4" spans="1:19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9" s="18" customFormat="1" ht="18">
      <c r="A5" s="27"/>
      <c r="B5" s="28"/>
      <c r="C5" s="28"/>
      <c r="D5" s="28"/>
      <c r="E5" s="29">
        <f>SUM(E6:E8)</f>
        <v>0</v>
      </c>
      <c r="F5" s="29">
        <f>SUM(F6:F8)</f>
        <v>37423.490999999995</v>
      </c>
      <c r="G5" s="30"/>
      <c r="H5" s="31">
        <f>SUM(H6:H8)</f>
        <v>0</v>
      </c>
      <c r="I5" s="28"/>
      <c r="J5" s="32"/>
    </row>
    <row r="6" spans="1:19" s="41" customFormat="1" ht="18.75">
      <c r="A6" s="33"/>
      <c r="B6" s="34" t="s">
        <v>572</v>
      </c>
      <c r="C6" s="35"/>
      <c r="D6" s="35"/>
      <c r="E6" s="37">
        <f>F18*0.35</f>
        <v>0</v>
      </c>
      <c r="F6" s="37">
        <f>F42*0.35</f>
        <v>13098.221849999998</v>
      </c>
      <c r="G6" s="38"/>
      <c r="H6" s="38"/>
      <c r="I6" s="35"/>
      <c r="J6" s="39"/>
      <c r="K6" s="40"/>
      <c r="L6" s="40"/>
      <c r="M6" s="40"/>
      <c r="O6" s="41" t="s">
        <v>15</v>
      </c>
    </row>
    <row r="7" spans="1:19" s="41" customFormat="1" ht="18.75">
      <c r="A7" s="33"/>
      <c r="B7" s="34" t="s">
        <v>573</v>
      </c>
      <c r="C7" s="35"/>
      <c r="D7" s="35"/>
      <c r="E7" s="37">
        <f>F18*0.5</f>
        <v>0</v>
      </c>
      <c r="F7" s="37">
        <f>F42*0.5</f>
        <v>18711.745499999997</v>
      </c>
      <c r="G7" s="38"/>
      <c r="H7" s="38"/>
      <c r="I7" s="35"/>
      <c r="J7" s="39"/>
      <c r="K7" s="40"/>
      <c r="L7" s="40"/>
      <c r="M7" s="40"/>
    </row>
    <row r="8" spans="1:19" s="41" customFormat="1" ht="18.75">
      <c r="A8" s="42"/>
      <c r="B8" s="43" t="s">
        <v>574</v>
      </c>
      <c r="C8" s="44"/>
      <c r="D8" s="44"/>
      <c r="E8" s="46">
        <f>F18*0.15</f>
        <v>0</v>
      </c>
      <c r="F8" s="46">
        <f>F42*0.15</f>
        <v>5613.5236499999992</v>
      </c>
      <c r="G8" s="47"/>
      <c r="H8" s="47"/>
      <c r="I8" s="44"/>
      <c r="J8" s="48"/>
      <c r="K8" s="40"/>
      <c r="L8" s="40"/>
      <c r="M8" s="40"/>
    </row>
    <row r="9" spans="1:19" s="18" customFormat="1" ht="18">
      <c r="A9" s="20"/>
      <c r="G9" s="49"/>
      <c r="N9" s="50"/>
    </row>
    <row r="10" spans="1:19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784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  <c r="S10" s="135"/>
    </row>
    <row r="11" spans="1:19" s="18" customFormat="1" ht="90">
      <c r="A11" s="3535"/>
      <c r="B11" s="3537"/>
      <c r="C11" s="3539"/>
      <c r="D11" s="3541"/>
      <c r="E11" s="395" t="s">
        <v>581</v>
      </c>
      <c r="F11" s="52" t="s">
        <v>582</v>
      </c>
      <c r="G11" s="395" t="s">
        <v>581</v>
      </c>
      <c r="H11" s="52" t="s">
        <v>582</v>
      </c>
      <c r="I11" s="395" t="s">
        <v>581</v>
      </c>
      <c r="J11" s="52" t="s">
        <v>582</v>
      </c>
      <c r="K11" s="395" t="s">
        <v>583</v>
      </c>
      <c r="L11" s="52" t="s">
        <v>582</v>
      </c>
      <c r="N11" s="50"/>
      <c r="O11" s="50"/>
    </row>
    <row r="12" spans="1:19" s="18" customFormat="1" ht="18">
      <c r="A12" s="393"/>
      <c r="B12" s="54" t="s">
        <v>584</v>
      </c>
      <c r="C12" s="55"/>
      <c r="D12" s="394"/>
      <c r="E12" s="57">
        <f>SUM(E18,E42)</f>
        <v>31186.2425</v>
      </c>
      <c r="F12" s="58">
        <f t="shared" ref="E12:J17" si="0">SUM(F18,F42)</f>
        <v>37423.490999999995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</row>
    <row r="13" spans="1:19" s="18" customFormat="1" ht="18">
      <c r="A13" s="61"/>
      <c r="B13" s="62" t="s">
        <v>10</v>
      </c>
      <c r="C13" s="63"/>
      <c r="D13" s="64"/>
      <c r="E13" s="65">
        <f t="shared" si="0"/>
        <v>1608.2260000000001</v>
      </c>
      <c r="F13" s="66">
        <f t="shared" si="0"/>
        <v>1929.8712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9" s="18" customFormat="1" ht="18">
      <c r="A14" s="61"/>
      <c r="B14" s="62" t="s">
        <v>9</v>
      </c>
      <c r="C14" s="63"/>
      <c r="D14" s="64"/>
      <c r="E14" s="65">
        <f t="shared" si="0"/>
        <v>22604.298999999999</v>
      </c>
      <c r="F14" s="66">
        <f t="shared" si="0"/>
        <v>27125.158799999997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9" s="18" customFormat="1" ht="18">
      <c r="A15" s="61"/>
      <c r="B15" s="62" t="s">
        <v>12</v>
      </c>
      <c r="C15" s="63"/>
      <c r="D15" s="64"/>
      <c r="E15" s="65">
        <f t="shared" si="0"/>
        <v>736.46900000000005</v>
      </c>
      <c r="F15" s="66">
        <f t="shared" si="0"/>
        <v>883.76280000000008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9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9" s="18" customFormat="1" ht="18">
      <c r="A17" s="69"/>
      <c r="B17" s="70" t="s">
        <v>14</v>
      </c>
      <c r="C17" s="71"/>
      <c r="D17" s="72"/>
      <c r="E17" s="73">
        <f t="shared" si="0"/>
        <v>6237.2484999999997</v>
      </c>
      <c r="F17" s="74">
        <f t="shared" si="0"/>
        <v>7484.6981999999989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9" s="79" customFormat="1" ht="18" hidden="1">
      <c r="A18" s="77">
        <v>1</v>
      </c>
      <c r="B18" s="54" t="s">
        <v>5</v>
      </c>
      <c r="C18" s="78"/>
      <c r="D18" s="78"/>
      <c r="E18" s="57">
        <f>(E19+E20+E23)</f>
        <v>0</v>
      </c>
      <c r="F18" s="58">
        <f>SUM(F19:F23)</f>
        <v>0</v>
      </c>
      <c r="G18" s="59">
        <f>SUM(G19:G23)</f>
        <v>0</v>
      </c>
      <c r="H18" s="60">
        <f>SUM(H19:H23)</f>
        <v>0</v>
      </c>
      <c r="I18" s="59">
        <f>SUM(I19:I23)</f>
        <v>0</v>
      </c>
      <c r="J18" s="60">
        <f>SUM(J19:J23)</f>
        <v>0</v>
      </c>
      <c r="K18" s="57"/>
      <c r="L18" s="58"/>
    </row>
    <row r="19" spans="1:19" s="79" customFormat="1" ht="18" hidden="1">
      <c r="A19" s="80"/>
      <c r="B19" s="62" t="s">
        <v>10</v>
      </c>
      <c r="C19" s="63"/>
      <c r="D19" s="64"/>
      <c r="E19" s="65">
        <f>SUM(E25,E31,E37)</f>
        <v>0</v>
      </c>
      <c r="F19" s="66">
        <f t="shared" ref="E19:J23" si="1">SUM(F25,F31,F37)</f>
        <v>0</v>
      </c>
      <c r="G19" s="67">
        <f t="shared" si="1"/>
        <v>0</v>
      </c>
      <c r="H19" s="68">
        <f t="shared" si="1"/>
        <v>0</v>
      </c>
      <c r="I19" s="67">
        <f t="shared" si="1"/>
        <v>0</v>
      </c>
      <c r="J19" s="68">
        <f t="shared" si="1"/>
        <v>0</v>
      </c>
      <c r="K19" s="65"/>
      <c r="L19" s="66"/>
      <c r="S19" s="135"/>
    </row>
    <row r="20" spans="1:19" s="79" customFormat="1" ht="18" hidden="1">
      <c r="A20" s="80"/>
      <c r="B20" s="62" t="s">
        <v>9</v>
      </c>
      <c r="C20" s="63"/>
      <c r="D20" s="64"/>
      <c r="E20" s="65">
        <f>SUM(E26,E32,E38)</f>
        <v>0</v>
      </c>
      <c r="F20" s="66">
        <f t="shared" si="1"/>
        <v>0</v>
      </c>
      <c r="G20" s="67">
        <f t="shared" si="1"/>
        <v>0</v>
      </c>
      <c r="H20" s="68">
        <f t="shared" si="1"/>
        <v>0</v>
      </c>
      <c r="I20" s="67">
        <f t="shared" si="1"/>
        <v>0</v>
      </c>
      <c r="J20" s="68">
        <f t="shared" si="1"/>
        <v>0</v>
      </c>
      <c r="K20" s="65"/>
      <c r="L20" s="66"/>
    </row>
    <row r="21" spans="1:19" s="79" customFormat="1" ht="18" hidden="1">
      <c r="A21" s="80"/>
      <c r="B21" s="62" t="s">
        <v>12</v>
      </c>
      <c r="C21" s="63"/>
      <c r="D21" s="64"/>
      <c r="E21" s="65">
        <f t="shared" si="1"/>
        <v>0</v>
      </c>
      <c r="F21" s="66">
        <f t="shared" si="1"/>
        <v>0</v>
      </c>
      <c r="G21" s="67">
        <f t="shared" si="1"/>
        <v>0</v>
      </c>
      <c r="H21" s="68">
        <f t="shared" si="1"/>
        <v>0</v>
      </c>
      <c r="I21" s="67">
        <f t="shared" si="1"/>
        <v>0</v>
      </c>
      <c r="J21" s="68">
        <f t="shared" si="1"/>
        <v>0</v>
      </c>
      <c r="K21" s="65"/>
      <c r="L21" s="66"/>
    </row>
    <row r="22" spans="1:19" s="79" customFormat="1" ht="18" hidden="1">
      <c r="A22" s="80"/>
      <c r="B22" s="62" t="s">
        <v>13</v>
      </c>
      <c r="C22" s="63"/>
      <c r="D22" s="64"/>
      <c r="E22" s="65">
        <f t="shared" si="1"/>
        <v>0</v>
      </c>
      <c r="F22" s="66">
        <f t="shared" si="1"/>
        <v>0</v>
      </c>
      <c r="G22" s="67">
        <f t="shared" si="1"/>
        <v>0</v>
      </c>
      <c r="H22" s="68">
        <f t="shared" si="1"/>
        <v>0</v>
      </c>
      <c r="I22" s="67">
        <f t="shared" si="1"/>
        <v>0</v>
      </c>
      <c r="J22" s="68">
        <f t="shared" si="1"/>
        <v>0</v>
      </c>
      <c r="K22" s="65"/>
      <c r="L22" s="66"/>
    </row>
    <row r="23" spans="1:19" s="79" customFormat="1" ht="18" hidden="1">
      <c r="A23" s="81"/>
      <c r="B23" s="70" t="s">
        <v>14</v>
      </c>
      <c r="C23" s="71"/>
      <c r="D23" s="72"/>
      <c r="E23" s="73">
        <f>SUM(E29,E35,E41)</f>
        <v>0</v>
      </c>
      <c r="F23" s="74">
        <f t="shared" si="1"/>
        <v>0</v>
      </c>
      <c r="G23" s="75">
        <f t="shared" si="1"/>
        <v>0</v>
      </c>
      <c r="H23" s="76">
        <f t="shared" si="1"/>
        <v>0</v>
      </c>
      <c r="I23" s="75">
        <f t="shared" si="1"/>
        <v>0</v>
      </c>
      <c r="J23" s="76">
        <f t="shared" si="1"/>
        <v>0</v>
      </c>
      <c r="K23" s="73"/>
      <c r="L23" s="74"/>
    </row>
    <row r="24" spans="1:19" s="79" customFormat="1" ht="18" hidden="1">
      <c r="A24" s="371" t="s">
        <v>25</v>
      </c>
      <c r="B24" s="372"/>
      <c r="C24" s="385">
        <v>695</v>
      </c>
      <c r="D24" s="386">
        <v>253.26</v>
      </c>
      <c r="E24" s="84">
        <f>(E25+E26+E29)</f>
        <v>0</v>
      </c>
      <c r="F24" s="390"/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</row>
    <row r="25" spans="1:19" s="95" customFormat="1" ht="18" hidden="1">
      <c r="A25" s="88"/>
      <c r="B25" s="89" t="s">
        <v>10</v>
      </c>
      <c r="C25" s="90"/>
      <c r="D25" s="91"/>
      <c r="E25" s="91"/>
      <c r="F25" s="92">
        <f>E25*1.2</f>
        <v>0</v>
      </c>
      <c r="G25" s="93"/>
      <c r="H25" s="94"/>
      <c r="I25" s="93"/>
      <c r="J25" s="94"/>
      <c r="K25" s="91"/>
      <c r="L25" s="92"/>
      <c r="N25" s="96"/>
    </row>
    <row r="26" spans="1:19" s="95" customFormat="1" ht="18" hidden="1">
      <c r="A26" s="88"/>
      <c r="B26" s="89" t="s">
        <v>9</v>
      </c>
      <c r="C26" s="90"/>
      <c r="D26" s="91"/>
      <c r="E26" s="91"/>
      <c r="F26" s="92">
        <f>E26*1.2</f>
        <v>0</v>
      </c>
      <c r="G26" s="93"/>
      <c r="H26" s="94"/>
      <c r="I26" s="93"/>
      <c r="J26" s="94"/>
      <c r="K26" s="91"/>
      <c r="L26" s="92"/>
    </row>
    <row r="27" spans="1:19" s="95" customFormat="1" ht="18" hidden="1">
      <c r="A27" s="88"/>
      <c r="B27" s="89" t="s">
        <v>12</v>
      </c>
      <c r="C27" s="90"/>
      <c r="D27" s="91"/>
      <c r="E27" s="91"/>
      <c r="F27" s="92">
        <f>E27*1.2</f>
        <v>0</v>
      </c>
      <c r="G27" s="93"/>
      <c r="H27" s="94"/>
      <c r="I27" s="93"/>
      <c r="J27" s="94"/>
      <c r="K27" s="91"/>
      <c r="L27" s="92"/>
      <c r="N27" s="96"/>
    </row>
    <row r="28" spans="1:19" s="95" customFormat="1" ht="18" hidden="1">
      <c r="A28" s="88"/>
      <c r="B28" s="89" t="s">
        <v>13</v>
      </c>
      <c r="C28" s="90"/>
      <c r="D28" s="91"/>
      <c r="E28" s="91"/>
      <c r="F28" s="92">
        <f>E28*1.2</f>
        <v>0</v>
      </c>
      <c r="G28" s="93"/>
      <c r="H28" s="94"/>
      <c r="I28" s="93"/>
      <c r="J28" s="94"/>
      <c r="K28" s="91"/>
      <c r="L28" s="92"/>
    </row>
    <row r="29" spans="1:19" s="95" customFormat="1" ht="18" hidden="1">
      <c r="A29" s="97"/>
      <c r="B29" s="98" t="s">
        <v>14</v>
      </c>
      <c r="C29" s="99"/>
      <c r="D29" s="100"/>
      <c r="E29" s="100">
        <f>(E25+E26+E27)/80%*20%</f>
        <v>0</v>
      </c>
      <c r="F29" s="101">
        <f>E29*1.2</f>
        <v>0</v>
      </c>
      <c r="G29" s="93"/>
      <c r="H29" s="94"/>
      <c r="I29" s="93"/>
      <c r="J29" s="94"/>
      <c r="K29" s="91"/>
      <c r="L29" s="92"/>
    </row>
    <row r="30" spans="1:19" s="79" customFormat="1" ht="70.5" hidden="1" customHeight="1" outlineLevel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</row>
    <row r="31" spans="1:19" s="95" customFormat="1" ht="18" hidden="1" customHeight="1" outlineLevel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9" s="95" customFormat="1" ht="15" hidden="1" customHeight="1" outlineLevel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</row>
    <row r="33" spans="1:16" s="95" customFormat="1" ht="18" hidden="1" customHeight="1" outlineLevel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</row>
    <row r="34" spans="1:16" s="95" customFormat="1" ht="18" hidden="1" customHeight="1" outlineLevel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6" s="95" customFormat="1" ht="18" hidden="1" customHeight="1" outlineLevel="1">
      <c r="A35" s="97"/>
      <c r="B35" s="98" t="s">
        <v>14</v>
      </c>
      <c r="C35" s="99"/>
      <c r="D35" s="100"/>
      <c r="E35" s="100">
        <f>(E31+E32+E33)/80%*20%</f>
        <v>0</v>
      </c>
      <c r="F35" s="92">
        <f>E35*1.2</f>
        <v>0</v>
      </c>
      <c r="G35" s="104"/>
      <c r="H35" s="104"/>
      <c r="I35" s="104"/>
      <c r="J35" s="104"/>
      <c r="K35" s="96"/>
      <c r="L35" s="96"/>
    </row>
    <row r="36" spans="1:16" s="79" customFormat="1" ht="18" hidden="1" customHeight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2">E36*1.18</f>
        <v>0</v>
      </c>
      <c r="G36" s="102"/>
      <c r="H36" s="102"/>
      <c r="I36" s="102"/>
      <c r="J36" s="102"/>
      <c r="K36" s="103"/>
      <c r="L36" s="103"/>
    </row>
    <row r="37" spans="1:16" s="95" customFormat="1" ht="18" hidden="1" customHeight="1" outlineLevel="1">
      <c r="A37" s="88"/>
      <c r="B37" s="89" t="s">
        <v>10</v>
      </c>
      <c r="C37" s="90"/>
      <c r="D37" s="91"/>
      <c r="E37" s="91"/>
      <c r="F37" s="92">
        <f t="shared" si="2"/>
        <v>0</v>
      </c>
      <c r="G37" s="104"/>
      <c r="H37" s="104"/>
      <c r="I37" s="104"/>
      <c r="J37" s="104"/>
      <c r="K37" s="96"/>
      <c r="L37" s="96"/>
    </row>
    <row r="38" spans="1:16" s="95" customFormat="1" ht="18" hidden="1" outlineLevel="1">
      <c r="A38" s="88"/>
      <c r="B38" s="89" t="s">
        <v>9</v>
      </c>
      <c r="C38" s="90"/>
      <c r="D38" s="91"/>
      <c r="E38" s="91"/>
      <c r="F38" s="92">
        <f t="shared" si="2"/>
        <v>0</v>
      </c>
      <c r="G38" s="104"/>
      <c r="H38" s="104"/>
      <c r="I38" s="104"/>
      <c r="J38" s="104"/>
      <c r="K38" s="96"/>
      <c r="L38" s="96"/>
    </row>
    <row r="39" spans="1:16" s="95" customFormat="1" ht="18" hidden="1" outlineLevel="1">
      <c r="A39" s="88"/>
      <c r="B39" s="89" t="s">
        <v>12</v>
      </c>
      <c r="C39" s="90"/>
      <c r="D39" s="91"/>
      <c r="E39" s="91"/>
      <c r="F39" s="92">
        <f t="shared" si="2"/>
        <v>0</v>
      </c>
      <c r="G39" s="104"/>
      <c r="H39" s="104"/>
      <c r="I39" s="104"/>
      <c r="J39" s="104"/>
      <c r="K39" s="96"/>
      <c r="L39" s="96"/>
    </row>
    <row r="40" spans="1:16" s="95" customFormat="1" ht="18" hidden="1" outlineLevel="1">
      <c r="A40" s="88"/>
      <c r="B40" s="89" t="s">
        <v>13</v>
      </c>
      <c r="C40" s="90"/>
      <c r="D40" s="91"/>
      <c r="E40" s="91"/>
      <c r="F40" s="92">
        <f t="shared" si="2"/>
        <v>0</v>
      </c>
      <c r="G40" s="104"/>
      <c r="H40" s="104"/>
      <c r="I40" s="104"/>
      <c r="J40" s="104"/>
      <c r="K40" s="96"/>
      <c r="L40" s="96"/>
    </row>
    <row r="41" spans="1:16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2"/>
        <v>0</v>
      </c>
      <c r="G41" s="104"/>
      <c r="H41" s="104"/>
      <c r="I41" s="104"/>
      <c r="J41" s="104"/>
      <c r="K41" s="96"/>
      <c r="L41" s="96"/>
    </row>
    <row r="42" spans="1:16" s="110" customFormat="1" ht="18" collapsed="1">
      <c r="A42" s="107">
        <v>2</v>
      </c>
      <c r="B42" s="108" t="s">
        <v>0</v>
      </c>
      <c r="C42" s="109"/>
      <c r="D42" s="109"/>
      <c r="E42" s="84">
        <f t="shared" ref="E42:J42" si="3">SUM(E43:E47)</f>
        <v>31186.2425</v>
      </c>
      <c r="F42" s="85">
        <f t="shared" si="3"/>
        <v>37423.490999999995</v>
      </c>
      <c r="G42" s="86">
        <f t="shared" si="3"/>
        <v>0</v>
      </c>
      <c r="H42" s="87">
        <f t="shared" si="3"/>
        <v>0</v>
      </c>
      <c r="I42" s="86">
        <f t="shared" si="3"/>
        <v>0</v>
      </c>
      <c r="J42" s="87">
        <f t="shared" si="3"/>
        <v>0</v>
      </c>
      <c r="K42" s="84"/>
      <c r="L42" s="85"/>
      <c r="M42" s="375">
        <v>31186.242999999999</v>
      </c>
    </row>
    <row r="43" spans="1:16" s="110" customFormat="1" ht="18">
      <c r="A43" s="80"/>
      <c r="B43" s="62" t="s">
        <v>10</v>
      </c>
      <c r="C43" s="111"/>
      <c r="D43" s="112"/>
      <c r="E43" s="112">
        <f>E49+E55+E61</f>
        <v>1608.2260000000001</v>
      </c>
      <c r="F43" s="113">
        <f t="shared" ref="F43:J47" si="4">SUM(F49,F55,F61)</f>
        <v>1929.8712</v>
      </c>
      <c r="G43" s="114">
        <f t="shared" si="4"/>
        <v>0</v>
      </c>
      <c r="H43" s="115">
        <f t="shared" si="4"/>
        <v>0</v>
      </c>
      <c r="I43" s="114">
        <f t="shared" si="4"/>
        <v>0</v>
      </c>
      <c r="J43" s="115">
        <f t="shared" si="4"/>
        <v>0</v>
      </c>
      <c r="K43" s="112"/>
      <c r="L43" s="113"/>
    </row>
    <row r="44" spans="1:16" s="110" customFormat="1" ht="18">
      <c r="A44" s="80"/>
      <c r="B44" s="62" t="s">
        <v>9</v>
      </c>
      <c r="C44" s="111"/>
      <c r="D44" s="112"/>
      <c r="E44" s="112">
        <f>E50+E56+E62</f>
        <v>22604.298999999999</v>
      </c>
      <c r="F44" s="113">
        <f t="shared" si="4"/>
        <v>27125.158799999997</v>
      </c>
      <c r="G44" s="114">
        <f t="shared" si="4"/>
        <v>0</v>
      </c>
      <c r="H44" s="115">
        <f t="shared" si="4"/>
        <v>0</v>
      </c>
      <c r="I44" s="114">
        <f t="shared" si="4"/>
        <v>0</v>
      </c>
      <c r="J44" s="115">
        <f t="shared" si="4"/>
        <v>0</v>
      </c>
      <c r="K44" s="112"/>
      <c r="L44" s="113"/>
    </row>
    <row r="45" spans="1:16" s="110" customFormat="1" ht="18">
      <c r="A45" s="80"/>
      <c r="B45" s="62" t="s">
        <v>12</v>
      </c>
      <c r="C45" s="111"/>
      <c r="D45" s="112"/>
      <c r="E45" s="112">
        <f>E51+E57+E63</f>
        <v>736.46900000000005</v>
      </c>
      <c r="F45" s="113">
        <f t="shared" si="4"/>
        <v>883.76280000000008</v>
      </c>
      <c r="G45" s="114">
        <f t="shared" si="4"/>
        <v>0</v>
      </c>
      <c r="H45" s="115">
        <f t="shared" si="4"/>
        <v>0</v>
      </c>
      <c r="I45" s="114">
        <f t="shared" si="4"/>
        <v>0</v>
      </c>
      <c r="J45" s="115">
        <f t="shared" si="4"/>
        <v>0</v>
      </c>
      <c r="K45" s="112"/>
      <c r="L45" s="113"/>
      <c r="N45" s="375"/>
    </row>
    <row r="46" spans="1:16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4"/>
        <v>0</v>
      </c>
      <c r="G46" s="114">
        <f t="shared" si="4"/>
        <v>0</v>
      </c>
      <c r="H46" s="115">
        <f t="shared" si="4"/>
        <v>0</v>
      </c>
      <c r="I46" s="114">
        <f t="shared" si="4"/>
        <v>0</v>
      </c>
      <c r="J46" s="115">
        <f t="shared" si="4"/>
        <v>0</v>
      </c>
      <c r="K46" s="112"/>
      <c r="L46" s="113"/>
    </row>
    <row r="47" spans="1:16" s="110" customFormat="1" ht="18">
      <c r="A47" s="116"/>
      <c r="B47" s="117" t="s">
        <v>14</v>
      </c>
      <c r="C47" s="118"/>
      <c r="D47" s="376"/>
      <c r="E47" s="112">
        <f>E53+E59+E65</f>
        <v>6237.2484999999997</v>
      </c>
      <c r="F47" s="120">
        <f t="shared" si="4"/>
        <v>7484.6981999999989</v>
      </c>
      <c r="G47" s="121">
        <f t="shared" si="4"/>
        <v>0</v>
      </c>
      <c r="H47" s="122">
        <f t="shared" si="4"/>
        <v>0</v>
      </c>
      <c r="I47" s="121">
        <f t="shared" si="4"/>
        <v>0</v>
      </c>
      <c r="J47" s="122">
        <f t="shared" si="4"/>
        <v>0</v>
      </c>
      <c r="K47" s="119"/>
      <c r="L47" s="120"/>
    </row>
    <row r="48" spans="1:16" s="110" customFormat="1" ht="120.75" customHeight="1">
      <c r="A48" s="77" t="s">
        <v>26</v>
      </c>
      <c r="B48" s="127" t="s">
        <v>785</v>
      </c>
      <c r="C48" s="402"/>
      <c r="D48" s="386"/>
      <c r="E48" s="84">
        <f t="shared" ref="E48:J48" si="5">SUM(E49:E53)</f>
        <v>31186.2425</v>
      </c>
      <c r="F48" s="85">
        <f>SUM(F49:F53)</f>
        <v>37423.490999999995</v>
      </c>
      <c r="G48" s="86">
        <f t="shared" si="5"/>
        <v>0</v>
      </c>
      <c r="H48" s="87">
        <f t="shared" si="5"/>
        <v>0</v>
      </c>
      <c r="I48" s="86">
        <f t="shared" si="5"/>
        <v>0</v>
      </c>
      <c r="J48" s="87">
        <f t="shared" si="5"/>
        <v>0</v>
      </c>
      <c r="K48" s="84"/>
      <c r="L48" s="85"/>
      <c r="N48" s="110">
        <f>E48/504</f>
        <v>61.87746527777778</v>
      </c>
      <c r="P48" s="110" t="s">
        <v>786</v>
      </c>
    </row>
    <row r="49" spans="1:14" s="124" customFormat="1" ht="18">
      <c r="A49" s="88"/>
      <c r="B49" s="89" t="s">
        <v>10</v>
      </c>
      <c r="C49" s="90"/>
      <c r="D49" s="91"/>
      <c r="E49" s="91">
        <f>1266.458+341.768</f>
        <v>1608.2260000000001</v>
      </c>
      <c r="F49" s="92">
        <f t="shared" ref="F49:F59" si="6">E49*1.2</f>
        <v>1929.8712</v>
      </c>
      <c r="G49" s="93"/>
      <c r="H49" s="94"/>
      <c r="I49" s="93"/>
      <c r="J49" s="94"/>
      <c r="K49" s="91"/>
      <c r="L49" s="92"/>
    </row>
    <row r="50" spans="1:14" s="124" customFormat="1" ht="18">
      <c r="A50" s="88"/>
      <c r="B50" s="89" t="s">
        <v>9</v>
      </c>
      <c r="C50" s="90"/>
      <c r="D50" s="91"/>
      <c r="E50" s="91">
        <f>10938.521+11665.778</f>
        <v>22604.298999999999</v>
      </c>
      <c r="F50" s="92">
        <f t="shared" si="6"/>
        <v>27125.158799999997</v>
      </c>
      <c r="G50" s="93"/>
      <c r="H50" s="94"/>
      <c r="I50" s="93"/>
      <c r="J50" s="94"/>
      <c r="K50" s="91"/>
      <c r="L50" s="92"/>
    </row>
    <row r="51" spans="1:14" s="124" customFormat="1" ht="18">
      <c r="A51" s="88"/>
      <c r="B51" s="89" t="s">
        <v>12</v>
      </c>
      <c r="C51" s="90"/>
      <c r="D51" s="91"/>
      <c r="E51" s="91">
        <f>736.469</f>
        <v>736.46900000000005</v>
      </c>
      <c r="F51" s="92">
        <f t="shared" si="6"/>
        <v>883.76280000000008</v>
      </c>
      <c r="G51" s="93"/>
      <c r="H51" s="94"/>
      <c r="I51" s="93"/>
      <c r="J51" s="94"/>
      <c r="K51" s="91"/>
      <c r="L51" s="92"/>
    </row>
    <row r="52" spans="1:14" s="124" customFormat="1" ht="18">
      <c r="A52" s="88"/>
      <c r="B52" s="89" t="s">
        <v>13</v>
      </c>
      <c r="C52" s="90"/>
      <c r="D52" s="91"/>
      <c r="E52" s="91"/>
      <c r="F52" s="92">
        <f t="shared" si="6"/>
        <v>0</v>
      </c>
      <c r="G52" s="93"/>
      <c r="H52" s="94"/>
      <c r="I52" s="93"/>
      <c r="J52" s="94"/>
      <c r="K52" s="91"/>
      <c r="L52" s="92"/>
    </row>
    <row r="53" spans="1:14" s="124" customFormat="1" ht="18">
      <c r="A53" s="97"/>
      <c r="B53" s="98" t="s">
        <v>14</v>
      </c>
      <c r="C53" s="99"/>
      <c r="D53" s="100"/>
      <c r="E53" s="100">
        <f>(E49+E50+E51)/80%*20%</f>
        <v>6237.2484999999997</v>
      </c>
      <c r="F53" s="92">
        <f t="shared" si="6"/>
        <v>7484.6981999999989</v>
      </c>
      <c r="G53" s="125"/>
      <c r="H53" s="126"/>
      <c r="I53" s="125"/>
      <c r="J53" s="126"/>
      <c r="K53" s="100"/>
      <c r="L53" s="101"/>
    </row>
    <row r="54" spans="1:14" s="110" customFormat="1" ht="51" hidden="1" customHeight="1">
      <c r="A54" s="77" t="s">
        <v>27</v>
      </c>
      <c r="B54" s="127" t="s">
        <v>787</v>
      </c>
      <c r="C54" s="385"/>
      <c r="D54" s="386"/>
      <c r="E54" s="84">
        <f>SUM(E55:E59)</f>
        <v>0</v>
      </c>
      <c r="F54" s="85">
        <f t="shared" si="6"/>
        <v>0</v>
      </c>
      <c r="G54" s="86"/>
      <c r="H54" s="87"/>
      <c r="I54" s="86"/>
      <c r="J54" s="87"/>
      <c r="K54" s="84"/>
      <c r="L54" s="85"/>
      <c r="N54" s="375">
        <f>E48+E54</f>
        <v>31186.2425</v>
      </c>
    </row>
    <row r="55" spans="1:14" s="124" customFormat="1" ht="18" hidden="1">
      <c r="A55" s="88"/>
      <c r="B55" s="89" t="s">
        <v>10</v>
      </c>
      <c r="C55" s="90"/>
      <c r="D55" s="91"/>
      <c r="E55" s="91"/>
      <c r="F55" s="92">
        <f t="shared" si="6"/>
        <v>0</v>
      </c>
      <c r="G55" s="93"/>
      <c r="H55" s="94"/>
      <c r="I55" s="93"/>
      <c r="J55" s="94"/>
      <c r="K55" s="91"/>
      <c r="L55" s="92"/>
    </row>
    <row r="56" spans="1:14" s="124" customFormat="1" ht="18" hidden="1">
      <c r="A56" s="88"/>
      <c r="B56" s="89" t="s">
        <v>9</v>
      </c>
      <c r="C56" s="90"/>
      <c r="D56" s="91"/>
      <c r="E56" s="91"/>
      <c r="F56" s="92">
        <f t="shared" si="6"/>
        <v>0</v>
      </c>
      <c r="G56" s="93"/>
      <c r="H56" s="94"/>
      <c r="I56" s="93"/>
      <c r="J56" s="94"/>
      <c r="K56" s="91"/>
      <c r="L56" s="92"/>
    </row>
    <row r="57" spans="1:14" s="124" customFormat="1" ht="18" hidden="1">
      <c r="A57" s="88"/>
      <c r="B57" s="89" t="s">
        <v>12</v>
      </c>
      <c r="C57" s="90"/>
      <c r="D57" s="91"/>
      <c r="E57" s="91"/>
      <c r="F57" s="92">
        <f t="shared" si="6"/>
        <v>0</v>
      </c>
      <c r="G57" s="93"/>
      <c r="H57" s="94"/>
      <c r="I57" s="93"/>
      <c r="J57" s="94"/>
      <c r="K57" s="91"/>
      <c r="L57" s="92"/>
    </row>
    <row r="58" spans="1:14" s="124" customFormat="1" ht="18" hidden="1">
      <c r="A58" s="88"/>
      <c r="B58" s="89" t="s">
        <v>13</v>
      </c>
      <c r="C58" s="90"/>
      <c r="D58" s="91"/>
      <c r="E58" s="91"/>
      <c r="F58" s="92">
        <f t="shared" si="6"/>
        <v>0</v>
      </c>
      <c r="G58" s="93"/>
      <c r="H58" s="94"/>
      <c r="I58" s="93"/>
      <c r="J58" s="94"/>
      <c r="K58" s="91"/>
      <c r="L58" s="92"/>
    </row>
    <row r="59" spans="1:14" s="124" customFormat="1" ht="18" hidden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6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7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7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7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7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7"/>
        <v>0</v>
      </c>
      <c r="G64" s="93"/>
      <c r="H64" s="94"/>
      <c r="I64" s="93"/>
      <c r="J64" s="94"/>
      <c r="K64" s="91"/>
      <c r="L64" s="92"/>
    </row>
    <row r="65" spans="1:40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7"/>
        <v>0</v>
      </c>
      <c r="G65" s="125"/>
      <c r="H65" s="126"/>
      <c r="I65" s="125"/>
      <c r="J65" s="126"/>
      <c r="K65" s="100"/>
      <c r="L65" s="101"/>
    </row>
    <row r="66" spans="1:40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</row>
    <row r="67" spans="1:40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7"/>
  <sheetViews>
    <sheetView view="pageBreakPreview" topLeftCell="A7" zoomScale="60" zoomScaleNormal="60" workbookViewId="0">
      <selection activeCell="B75" sqref="B75"/>
    </sheetView>
  </sheetViews>
  <sheetFormatPr defaultRowHeight="15" outlineLevelRow="2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21.28515625" customWidth="1" collapsed="1"/>
    <col min="14" max="14" width="15.42578125" bestFit="1" customWidth="1"/>
    <col min="15" max="15" width="11.85546875" customWidth="1"/>
    <col min="18" max="18" width="11.5703125" bestFit="1" customWidth="1"/>
    <col min="19" max="20" width="12.42578125" bestFit="1" customWidth="1"/>
  </cols>
  <sheetData>
    <row r="1" spans="1:19" s="18" customFormat="1" ht="67.5" thickTop="1" thickBot="1">
      <c r="A1" s="15" t="s">
        <v>559</v>
      </c>
      <c r="B1" s="16" t="s">
        <v>143</v>
      </c>
      <c r="C1" s="17" t="s">
        <v>561</v>
      </c>
      <c r="D1" s="133">
        <v>24</v>
      </c>
      <c r="E1" s="134">
        <v>44588</v>
      </c>
      <c r="K1" s="18" t="s">
        <v>563</v>
      </c>
    </row>
    <row r="2" spans="1:19" s="18" customFormat="1" ht="67.5" thickTop="1" thickBot="1">
      <c r="A2" s="15" t="s">
        <v>564</v>
      </c>
      <c r="B2" s="16" t="s">
        <v>621</v>
      </c>
      <c r="C2" s="17" t="s">
        <v>566</v>
      </c>
      <c r="D2" s="133"/>
      <c r="E2" s="134"/>
      <c r="F2" s="19"/>
      <c r="K2" s="18" t="s">
        <v>568</v>
      </c>
    </row>
    <row r="3" spans="1:19" s="18" customFormat="1" ht="18.75" thickTop="1">
      <c r="A3" s="20"/>
      <c r="C3" s="15"/>
      <c r="G3" s="21" t="str">
        <f>[21]ЗАО_ВОЛЬВО_ВОСТОК!G3</f>
        <v>на 01.01.2016 г.</v>
      </c>
    </row>
    <row r="4" spans="1:19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9" s="18" customFormat="1" ht="18">
      <c r="A5" s="27"/>
      <c r="B5" s="28"/>
      <c r="C5" s="28"/>
      <c r="D5" s="28"/>
      <c r="E5" s="29">
        <f>SUM(E6:E8)</f>
        <v>3576.3554999999997</v>
      </c>
      <c r="F5" s="29">
        <f>SUM(F6:F8)</f>
        <v>0</v>
      </c>
      <c r="G5" s="30"/>
      <c r="H5" s="31">
        <f>SUM(H6:H8)</f>
        <v>0</v>
      </c>
      <c r="I5" s="28"/>
      <c r="J5" s="32"/>
    </row>
    <row r="6" spans="1:19" s="41" customFormat="1" ht="18.75">
      <c r="A6" s="33"/>
      <c r="B6" s="34" t="s">
        <v>572</v>
      </c>
      <c r="C6" s="35"/>
      <c r="D6" s="35"/>
      <c r="E6" s="37">
        <f>F18*0.35</f>
        <v>1251.7244249999999</v>
      </c>
      <c r="F6" s="37">
        <f>F42*0.35</f>
        <v>0</v>
      </c>
      <c r="G6" s="38"/>
      <c r="H6" s="38"/>
      <c r="I6" s="35"/>
      <c r="J6" s="39"/>
      <c r="K6" s="40"/>
      <c r="L6" s="40"/>
      <c r="M6" s="40"/>
    </row>
    <row r="7" spans="1:19" s="41" customFormat="1" ht="18.75">
      <c r="A7" s="33"/>
      <c r="B7" s="34" t="s">
        <v>573</v>
      </c>
      <c r="C7" s="35"/>
      <c r="D7" s="35"/>
      <c r="E7" s="37">
        <f>F18*0.5</f>
        <v>1788.1777499999998</v>
      </c>
      <c r="F7" s="37">
        <f>F42*0.5</f>
        <v>0</v>
      </c>
      <c r="G7" s="38"/>
      <c r="H7" s="38"/>
      <c r="I7" s="35"/>
      <c r="J7" s="39"/>
      <c r="K7" s="40"/>
      <c r="L7" s="40"/>
      <c r="M7" s="40"/>
    </row>
    <row r="8" spans="1:19" s="41" customFormat="1" ht="18.75">
      <c r="A8" s="42"/>
      <c r="B8" s="43" t="s">
        <v>574</v>
      </c>
      <c r="C8" s="44"/>
      <c r="D8" s="44"/>
      <c r="E8" s="46">
        <f>F18*0.15</f>
        <v>536.45332499999995</v>
      </c>
      <c r="F8" s="46">
        <f>F42*0.15</f>
        <v>0</v>
      </c>
      <c r="G8" s="47"/>
      <c r="H8" s="47"/>
      <c r="I8" s="44"/>
      <c r="J8" s="48"/>
      <c r="K8" s="40"/>
      <c r="L8" s="40"/>
      <c r="M8" s="40"/>
    </row>
    <row r="9" spans="1:19" s="18" customFormat="1" ht="18">
      <c r="A9" s="20"/>
      <c r="G9" s="49"/>
      <c r="N9" s="50"/>
    </row>
    <row r="10" spans="1:19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622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  <c r="S10" s="135"/>
    </row>
    <row r="11" spans="1:19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9" s="18" customFormat="1" ht="18">
      <c r="A12" s="53"/>
      <c r="B12" s="54" t="s">
        <v>584</v>
      </c>
      <c r="C12" s="55"/>
      <c r="D12" s="56"/>
      <c r="E12" s="57">
        <f t="shared" ref="E12:J17" si="0">SUM(E18,E42)</f>
        <v>2980.2962500000003</v>
      </c>
      <c r="F12" s="58">
        <f>SUM(F18,F42)</f>
        <v>3576.3554999999997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  <c r="M12" s="18">
        <f>E12*1.2</f>
        <v>3576.3555000000001</v>
      </c>
    </row>
    <row r="13" spans="1:19" s="18" customFormat="1" ht="18">
      <c r="A13" s="61"/>
      <c r="B13" s="62" t="s">
        <v>10</v>
      </c>
      <c r="C13" s="63"/>
      <c r="D13" s="64"/>
      <c r="E13" s="65">
        <f t="shared" si="0"/>
        <v>101.52200000000001</v>
      </c>
      <c r="F13" s="66">
        <f t="shared" si="0"/>
        <v>121.82640000000001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9" s="18" customFormat="1" ht="18">
      <c r="A14" s="61"/>
      <c r="B14" s="62" t="s">
        <v>9</v>
      </c>
      <c r="C14" s="63"/>
      <c r="D14" s="64"/>
      <c r="E14" s="65">
        <f t="shared" si="0"/>
        <v>2279.598</v>
      </c>
      <c r="F14" s="66">
        <f t="shared" si="0"/>
        <v>2735.5175999999997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9" s="18" customFormat="1" ht="18">
      <c r="A15" s="61"/>
      <c r="B15" s="62" t="s">
        <v>12</v>
      </c>
      <c r="C15" s="63"/>
      <c r="D15" s="64"/>
      <c r="E15" s="65">
        <f t="shared" si="0"/>
        <v>3.117</v>
      </c>
      <c r="F15" s="66">
        <f t="shared" si="0"/>
        <v>3.7403999999999997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9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9" s="18" customFormat="1" ht="18">
      <c r="A17" s="69"/>
      <c r="B17" s="70" t="s">
        <v>14</v>
      </c>
      <c r="C17" s="71"/>
      <c r="D17" s="72"/>
      <c r="E17" s="73">
        <f t="shared" si="0"/>
        <v>596.05925000000002</v>
      </c>
      <c r="F17" s="74">
        <f t="shared" si="0"/>
        <v>715.27110000000005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9" s="79" customFormat="1" ht="18">
      <c r="A18" s="77">
        <v>1</v>
      </c>
      <c r="B18" s="54" t="s">
        <v>5</v>
      </c>
      <c r="C18" s="78"/>
      <c r="D18" s="78"/>
      <c r="E18" s="57">
        <f t="shared" ref="E18:J18" si="1">SUM(E19:E23)</f>
        <v>2980.2962500000003</v>
      </c>
      <c r="F18" s="58">
        <f t="shared" si="1"/>
        <v>3576.3554999999997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  <c r="M18" s="103">
        <v>2980.2962499999999</v>
      </c>
    </row>
    <row r="19" spans="1:19" s="79" customFormat="1" ht="18">
      <c r="A19" s="80"/>
      <c r="B19" s="62" t="s">
        <v>10</v>
      </c>
      <c r="C19" s="63"/>
      <c r="D19" s="64"/>
      <c r="E19" s="65">
        <f>SUM(E25,E31,E37)</f>
        <v>101.52200000000001</v>
      </c>
      <c r="F19" s="66">
        <f t="shared" ref="E19:J23" si="2">SUM(F25,F31,F37)</f>
        <v>121.82640000000001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  <c r="S19" s="135"/>
    </row>
    <row r="20" spans="1:19" s="79" customFormat="1" ht="18">
      <c r="A20" s="80"/>
      <c r="B20" s="62" t="s">
        <v>9</v>
      </c>
      <c r="C20" s="63"/>
      <c r="D20" s="64"/>
      <c r="E20" s="65">
        <f>SUM(E26,E32,E38)</f>
        <v>2279.598</v>
      </c>
      <c r="F20" s="66">
        <f t="shared" si="2"/>
        <v>2735.5175999999997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9" s="79" customFormat="1" ht="18">
      <c r="A21" s="80"/>
      <c r="B21" s="62" t="s">
        <v>12</v>
      </c>
      <c r="C21" s="63"/>
      <c r="D21" s="64"/>
      <c r="E21" s="65">
        <f t="shared" si="2"/>
        <v>3.117</v>
      </c>
      <c r="F21" s="66">
        <f t="shared" si="2"/>
        <v>3.7403999999999997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9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9" s="79" customFormat="1" ht="18">
      <c r="A23" s="81"/>
      <c r="B23" s="70" t="s">
        <v>14</v>
      </c>
      <c r="C23" s="71"/>
      <c r="D23" s="72"/>
      <c r="E23" s="73">
        <f>SUM(E29,E35,E41)</f>
        <v>596.05925000000002</v>
      </c>
      <c r="F23" s="74">
        <f t="shared" si="2"/>
        <v>715.27110000000005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9" s="79" customFormat="1" ht="140.25" customHeight="1">
      <c r="A24" s="371" t="s">
        <v>25</v>
      </c>
      <c r="B24" s="372" t="s">
        <v>623</v>
      </c>
      <c r="C24" s="373"/>
      <c r="D24" s="374">
        <v>2000</v>
      </c>
      <c r="E24" s="84">
        <f>SUM(E25:E29)</f>
        <v>2980.2962500000003</v>
      </c>
      <c r="F24" s="84">
        <f>E24*1.2</f>
        <v>3576.3555000000001</v>
      </c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  <c r="M24" s="103">
        <f>F25+F26+F29</f>
        <v>3572.6150999999995</v>
      </c>
    </row>
    <row r="25" spans="1:19" s="95" customFormat="1" ht="18">
      <c r="A25" s="88"/>
      <c r="B25" s="89" t="s">
        <v>10</v>
      </c>
      <c r="C25" s="90"/>
      <c r="D25" s="91"/>
      <c r="E25" s="91">
        <v>101.52200000000001</v>
      </c>
      <c r="F25" s="92">
        <f>E25*1.2</f>
        <v>121.82640000000001</v>
      </c>
      <c r="G25" s="93"/>
      <c r="H25" s="94"/>
      <c r="I25" s="93"/>
      <c r="J25" s="94"/>
      <c r="K25" s="91"/>
      <c r="L25" s="92"/>
      <c r="N25" s="96"/>
    </row>
    <row r="26" spans="1:19" s="95" customFormat="1" ht="18">
      <c r="A26" s="88"/>
      <c r="B26" s="89" t="s">
        <v>9</v>
      </c>
      <c r="C26" s="90"/>
      <c r="D26" s="91"/>
      <c r="E26" s="91">
        <v>2279.598</v>
      </c>
      <c r="F26" s="92">
        <f>E26*1.2</f>
        <v>2735.5175999999997</v>
      </c>
      <c r="G26" s="93"/>
      <c r="H26" s="94"/>
      <c r="I26" s="93"/>
      <c r="J26" s="94"/>
      <c r="K26" s="91"/>
      <c r="L26" s="92"/>
    </row>
    <row r="27" spans="1:19" s="95" customFormat="1" ht="18">
      <c r="A27" s="88"/>
      <c r="B27" s="89" t="s">
        <v>12</v>
      </c>
      <c r="C27" s="90"/>
      <c r="D27" s="91"/>
      <c r="E27" s="91">
        <v>3.117</v>
      </c>
      <c r="F27" s="92">
        <f>E27*1.2</f>
        <v>3.7403999999999997</v>
      </c>
      <c r="G27" s="93"/>
      <c r="H27" s="94"/>
      <c r="I27" s="93"/>
      <c r="J27" s="94"/>
      <c r="K27" s="91"/>
      <c r="L27" s="92"/>
      <c r="N27" s="96"/>
    </row>
    <row r="28" spans="1:19" s="95" customFormat="1" ht="18">
      <c r="A28" s="88"/>
      <c r="B28" s="89" t="s">
        <v>13</v>
      </c>
      <c r="C28" s="90"/>
      <c r="D28" s="91"/>
      <c r="E28" s="91"/>
      <c r="F28" s="92"/>
      <c r="G28" s="93"/>
      <c r="H28" s="94"/>
      <c r="I28" s="93"/>
      <c r="J28" s="94"/>
      <c r="K28" s="91"/>
      <c r="L28" s="92"/>
    </row>
    <row r="29" spans="1:19" s="95" customFormat="1" ht="18">
      <c r="A29" s="97"/>
      <c r="B29" s="98" t="s">
        <v>14</v>
      </c>
      <c r="C29" s="99"/>
      <c r="D29" s="100"/>
      <c r="E29" s="100">
        <f>(E25+E26+E27)/80%*20%</f>
        <v>596.05925000000002</v>
      </c>
      <c r="F29" s="101">
        <f>E29*1.2</f>
        <v>715.27110000000005</v>
      </c>
      <c r="G29" s="93"/>
      <c r="H29" s="94"/>
      <c r="I29" s="93"/>
      <c r="J29" s="94"/>
      <c r="K29" s="91"/>
      <c r="L29" s="92"/>
    </row>
    <row r="30" spans="1:19" s="79" customFormat="1" ht="70.5" hidden="1" customHeight="1" outlineLevel="2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</row>
    <row r="31" spans="1:19" s="95" customFormat="1" ht="18" hidden="1" customHeight="1" outlineLevel="2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9" s="95" customFormat="1" ht="15" hidden="1" customHeight="1" outlineLevel="2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</row>
    <row r="33" spans="1:14" s="95" customFormat="1" ht="18" hidden="1" customHeight="1" outlineLevel="2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</row>
    <row r="34" spans="1:14" s="95" customFormat="1" ht="18" hidden="1" customHeight="1" outlineLevel="2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4" s="95" customFormat="1" ht="18" hidden="1" customHeight="1" outlineLevel="2">
      <c r="A35" s="97"/>
      <c r="B35" s="98" t="s">
        <v>14</v>
      </c>
      <c r="C35" s="99"/>
      <c r="D35" s="100"/>
      <c r="E35" s="100">
        <f>(E31+E32+E33)/80%*20%</f>
        <v>0</v>
      </c>
      <c r="F35" s="92">
        <f>E35*1.2</f>
        <v>0</v>
      </c>
      <c r="G35" s="104"/>
      <c r="H35" s="104"/>
      <c r="I35" s="104"/>
      <c r="J35" s="104"/>
      <c r="K35" s="96"/>
      <c r="L35" s="96"/>
    </row>
    <row r="36" spans="1:14" s="79" customFormat="1" ht="18" hidden="1" customHeight="1" outlineLevel="2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customHeight="1" outlineLevel="2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2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2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2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2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14" s="110" customFormat="1" ht="18" hidden="1" outlineLevel="2">
      <c r="A42" s="107">
        <v>2</v>
      </c>
      <c r="B42" s="108" t="s">
        <v>0</v>
      </c>
      <c r="C42" s="109"/>
      <c r="D42" s="109"/>
      <c r="E42" s="84">
        <f t="shared" ref="E42:J42" si="4">SUM(E43:E47)</f>
        <v>0</v>
      </c>
      <c r="F42" s="85">
        <f t="shared" si="4"/>
        <v>0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14" s="110" customFormat="1" ht="18" hidden="1" outlineLevel="2">
      <c r="A43" s="80"/>
      <c r="B43" s="62" t="s">
        <v>10</v>
      </c>
      <c r="C43" s="111"/>
      <c r="D43" s="112"/>
      <c r="E43" s="112">
        <f>E49+E55+E61</f>
        <v>0</v>
      </c>
      <c r="F43" s="113">
        <f t="shared" ref="F43:J47" si="5">SUM(F49,F55,F61)</f>
        <v>0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14" s="110" customFormat="1" ht="18" hidden="1" outlineLevel="2">
      <c r="A44" s="80"/>
      <c r="B44" s="62" t="s">
        <v>9</v>
      </c>
      <c r="C44" s="111"/>
      <c r="D44" s="112"/>
      <c r="E44" s="112">
        <f>E50+E56+E62</f>
        <v>0</v>
      </c>
      <c r="F44" s="113">
        <f t="shared" si="5"/>
        <v>0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14" s="110" customFormat="1" ht="18" hidden="1" outlineLevel="2">
      <c r="A45" s="80"/>
      <c r="B45" s="62" t="s">
        <v>12</v>
      </c>
      <c r="C45" s="111"/>
      <c r="D45" s="112"/>
      <c r="E45" s="112">
        <f>E51+E57+E63</f>
        <v>0</v>
      </c>
      <c r="F45" s="113">
        <f t="shared" si="5"/>
        <v>0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14" s="110" customFormat="1" ht="18" hidden="1" outlineLevel="2">
      <c r="A46" s="80"/>
      <c r="B46" s="62" t="s">
        <v>13</v>
      </c>
      <c r="C46" s="111"/>
      <c r="D46" s="112"/>
      <c r="E46" s="112">
        <f>E52+E58+E64</f>
        <v>0</v>
      </c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14" s="110" customFormat="1" ht="18" hidden="1" outlineLevel="2">
      <c r="A47" s="116"/>
      <c r="B47" s="117" t="s">
        <v>14</v>
      </c>
      <c r="C47" s="118"/>
      <c r="D47" s="376"/>
      <c r="E47" s="112">
        <f>E53+E59+E65</f>
        <v>0</v>
      </c>
      <c r="F47" s="120">
        <f t="shared" si="5"/>
        <v>0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</row>
    <row r="48" spans="1:14" s="110" customFormat="1" ht="55.5" hidden="1" customHeight="1" outlineLevel="2">
      <c r="A48" s="77" t="s">
        <v>26</v>
      </c>
      <c r="B48" s="377" t="s">
        <v>624</v>
      </c>
      <c r="C48" s="378"/>
      <c r="D48" s="379"/>
      <c r="E48" s="380">
        <f t="shared" ref="E48:J48" si="6">SUM(E49:E53)</f>
        <v>0</v>
      </c>
      <c r="F48" s="381">
        <f>SUM(F49:F53)</f>
        <v>0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</row>
    <row r="49" spans="1:14" s="124" customFormat="1" ht="18" hidden="1" outlineLevel="2">
      <c r="A49" s="88"/>
      <c r="B49" s="382" t="s">
        <v>10</v>
      </c>
      <c r="C49" s="383"/>
      <c r="D49" s="384"/>
      <c r="E49" s="384"/>
      <c r="F49" s="106">
        <f>E49*1.2</f>
        <v>0</v>
      </c>
      <c r="G49" s="93"/>
      <c r="H49" s="94"/>
      <c r="I49" s="93"/>
      <c r="J49" s="94"/>
      <c r="K49" s="91"/>
      <c r="L49" s="92"/>
    </row>
    <row r="50" spans="1:14" s="124" customFormat="1" ht="18" hidden="1" outlineLevel="2">
      <c r="A50" s="88"/>
      <c r="B50" s="89" t="s">
        <v>9</v>
      </c>
      <c r="C50" s="90"/>
      <c r="D50" s="91"/>
      <c r="E50" s="91"/>
      <c r="F50" s="92">
        <f>E50*1.2</f>
        <v>0</v>
      </c>
      <c r="G50" s="93"/>
      <c r="H50" s="94"/>
      <c r="I50" s="93"/>
      <c r="J50" s="94"/>
      <c r="K50" s="91"/>
      <c r="L50" s="92"/>
    </row>
    <row r="51" spans="1:14" s="124" customFormat="1" ht="18" hidden="1" outlineLevel="2">
      <c r="A51" s="88"/>
      <c r="B51" s="89" t="s">
        <v>12</v>
      </c>
      <c r="C51" s="90"/>
      <c r="D51" s="91"/>
      <c r="E51" s="91"/>
      <c r="F51" s="92"/>
      <c r="G51" s="93"/>
      <c r="H51" s="94"/>
      <c r="I51" s="93"/>
      <c r="J51" s="94"/>
      <c r="K51" s="91"/>
      <c r="L51" s="92"/>
    </row>
    <row r="52" spans="1:14" s="124" customFormat="1" ht="18" hidden="1" outlineLevel="2">
      <c r="A52" s="88"/>
      <c r="B52" s="89" t="s">
        <v>13</v>
      </c>
      <c r="C52" s="90"/>
      <c r="D52" s="91"/>
      <c r="E52" s="91"/>
      <c r="F52" s="92"/>
      <c r="G52" s="93"/>
      <c r="H52" s="94"/>
      <c r="I52" s="93"/>
      <c r="J52" s="94"/>
      <c r="K52" s="91"/>
      <c r="L52" s="92"/>
    </row>
    <row r="53" spans="1:14" s="124" customFormat="1" ht="18" hidden="1" outlineLevel="2">
      <c r="A53" s="97"/>
      <c r="B53" s="98" t="s">
        <v>14</v>
      </c>
      <c r="C53" s="99"/>
      <c r="D53" s="100"/>
      <c r="E53" s="100">
        <f>(E49+E50)/80%*20%</f>
        <v>0</v>
      </c>
      <c r="F53" s="92">
        <f t="shared" ref="F53:F59" si="7">E53*1.2</f>
        <v>0</v>
      </c>
      <c r="G53" s="125"/>
      <c r="H53" s="126"/>
      <c r="I53" s="125"/>
      <c r="J53" s="126"/>
      <c r="K53" s="100"/>
      <c r="L53" s="101"/>
    </row>
    <row r="54" spans="1:14" s="110" customFormat="1" ht="51" hidden="1" customHeight="1" outlineLevel="1" collapsed="1">
      <c r="A54" s="77" t="s">
        <v>27</v>
      </c>
      <c r="B54" s="127"/>
      <c r="C54" s="385"/>
      <c r="D54" s="386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  <c r="N54" s="375">
        <f>E48+E54</f>
        <v>0</v>
      </c>
    </row>
    <row r="55" spans="1:14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4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4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4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4" s="124" customFormat="1" ht="18" hidden="1" outlineLevel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40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40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</row>
    <row r="67" spans="1:40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  <colBreaks count="1" manualBreakCount="1">
    <brk id="12" max="52" man="1"/>
  </colBreak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7"/>
  <sheetViews>
    <sheetView view="pageBreakPreview" zoomScale="50" zoomScaleNormal="100" zoomScaleSheetLayoutView="50" workbookViewId="0">
      <selection activeCell="U24" sqref="U24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25.5703125" customWidth="1" collapsed="1"/>
    <col min="14" max="14" width="15.42578125" bestFit="1" customWidth="1"/>
    <col min="15" max="15" width="11.85546875" customWidth="1"/>
    <col min="18" max="18" width="11.5703125" bestFit="1" customWidth="1"/>
  </cols>
  <sheetData>
    <row r="1" spans="1:15" s="18" customFormat="1" ht="67.5" thickTop="1" thickBot="1">
      <c r="A1" s="15" t="s">
        <v>559</v>
      </c>
      <c r="B1" s="16" t="s">
        <v>112</v>
      </c>
      <c r="C1" s="17" t="s">
        <v>561</v>
      </c>
      <c r="D1" s="133">
        <v>97</v>
      </c>
      <c r="E1" s="134">
        <v>44672</v>
      </c>
      <c r="K1" s="18" t="s">
        <v>563</v>
      </c>
    </row>
    <row r="2" spans="1:15" s="18" customFormat="1" ht="67.5" thickTop="1" thickBot="1">
      <c r="A2" s="15" t="s">
        <v>564</v>
      </c>
      <c r="B2" s="16" t="s">
        <v>625</v>
      </c>
      <c r="C2" s="17" t="s">
        <v>566</v>
      </c>
      <c r="D2" s="133">
        <v>98</v>
      </c>
      <c r="E2" s="134">
        <v>44672</v>
      </c>
      <c r="F2" s="19"/>
      <c r="K2" s="18" t="s">
        <v>568</v>
      </c>
    </row>
    <row r="3" spans="1:15" s="18" customFormat="1" ht="18.75" thickTop="1">
      <c r="A3" s="20"/>
      <c r="C3" s="15"/>
      <c r="G3" s="21" t="str">
        <f>[21]ЗАО_ВОЛЬВО_ВОСТОК!G3</f>
        <v>на 01.01.2016 г.</v>
      </c>
    </row>
    <row r="4" spans="1:15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5" s="18" customFormat="1" ht="18">
      <c r="A5" s="27"/>
      <c r="B5" s="28"/>
      <c r="C5" s="28"/>
      <c r="D5" s="28"/>
      <c r="E5" s="29">
        <f>SUM(E6:E8)</f>
        <v>13751.449799999999</v>
      </c>
      <c r="F5" s="29">
        <f>SUM(F6:F8)</f>
        <v>3752.4499500000002</v>
      </c>
      <c r="G5" s="30"/>
      <c r="H5" s="31">
        <f>SUM(H6:H8)</f>
        <v>0</v>
      </c>
      <c r="I5" s="28"/>
      <c r="J5" s="32"/>
    </row>
    <row r="6" spans="1:15" s="41" customFormat="1" ht="18.75">
      <c r="A6" s="33"/>
      <c r="B6" s="34" t="s">
        <v>572</v>
      </c>
      <c r="C6" s="35"/>
      <c r="D6" s="35"/>
      <c r="E6" s="37">
        <f>F18*0.35</f>
        <v>4813.0074299999987</v>
      </c>
      <c r="F6" s="37">
        <f>F42*0.35</f>
        <v>1313.3574825000001</v>
      </c>
      <c r="G6" s="38"/>
      <c r="H6" s="38"/>
      <c r="I6" s="35"/>
      <c r="J6" s="39"/>
      <c r="K6" s="40"/>
      <c r="L6" s="40"/>
      <c r="M6" s="40"/>
    </row>
    <row r="7" spans="1:15" s="41" customFormat="1" ht="18.75">
      <c r="A7" s="33"/>
      <c r="B7" s="34" t="s">
        <v>573</v>
      </c>
      <c r="C7" s="35"/>
      <c r="D7" s="35"/>
      <c r="E7" s="37">
        <f>F18*0.5</f>
        <v>6875.7248999999993</v>
      </c>
      <c r="F7" s="37">
        <f>F42*0.5</f>
        <v>1876.2249750000001</v>
      </c>
      <c r="G7" s="38"/>
      <c r="H7" s="38"/>
      <c r="I7" s="35"/>
      <c r="J7" s="39"/>
      <c r="K7" s="40"/>
      <c r="L7" s="40"/>
      <c r="M7" s="40"/>
    </row>
    <row r="8" spans="1:15" s="41" customFormat="1" ht="18.75">
      <c r="A8" s="42"/>
      <c r="B8" s="43" t="s">
        <v>574</v>
      </c>
      <c r="C8" s="44"/>
      <c r="D8" s="44"/>
      <c r="E8" s="46">
        <f>F18*0.15</f>
        <v>2062.7174699999996</v>
      </c>
      <c r="F8" s="46">
        <f>F42*0.15</f>
        <v>562.86749250000003</v>
      </c>
      <c r="G8" s="47"/>
      <c r="H8" s="47"/>
      <c r="I8" s="44"/>
      <c r="J8" s="48"/>
      <c r="K8" s="40"/>
      <c r="L8" s="40"/>
      <c r="M8" s="40"/>
    </row>
    <row r="9" spans="1:15" s="18" customFormat="1" ht="18">
      <c r="A9" s="20"/>
      <c r="G9" s="49"/>
      <c r="N9" s="50"/>
    </row>
    <row r="10" spans="1:15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626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</row>
    <row r="11" spans="1:15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5" s="18" customFormat="1" ht="18">
      <c r="A12" s="53"/>
      <c r="B12" s="54" t="s">
        <v>584</v>
      </c>
      <c r="C12" s="55"/>
      <c r="D12" s="56"/>
      <c r="E12" s="57">
        <f t="shared" ref="E12:J17" si="0">SUM(E18,E42)</f>
        <v>14586.583124999999</v>
      </c>
      <c r="F12" s="58">
        <f t="shared" si="0"/>
        <v>17503.899749999997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  <c r="M12" s="50">
        <v>14586.583124999999</v>
      </c>
    </row>
    <row r="13" spans="1:15" s="18" customFormat="1" ht="18">
      <c r="A13" s="61"/>
      <c r="B13" s="62" t="s">
        <v>10</v>
      </c>
      <c r="C13" s="63"/>
      <c r="D13" s="64"/>
      <c r="E13" s="65">
        <f t="shared" si="0"/>
        <v>1749.5916999999999</v>
      </c>
      <c r="F13" s="66">
        <f t="shared" si="0"/>
        <v>2099.5100400000001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5" s="18" customFormat="1" ht="18">
      <c r="A14" s="61"/>
      <c r="B14" s="62" t="s">
        <v>9</v>
      </c>
      <c r="C14" s="63"/>
      <c r="D14" s="64"/>
      <c r="E14" s="65">
        <f t="shared" si="0"/>
        <v>9368.6149000000005</v>
      </c>
      <c r="F14" s="66">
        <f t="shared" si="0"/>
        <v>11242.337879999999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5" s="18" customFormat="1" ht="18">
      <c r="A15" s="61"/>
      <c r="B15" s="62" t="s">
        <v>12</v>
      </c>
      <c r="C15" s="63"/>
      <c r="D15" s="64"/>
      <c r="E15" s="65">
        <f t="shared" si="0"/>
        <v>551.05989999999997</v>
      </c>
      <c r="F15" s="66">
        <f t="shared" si="0"/>
        <v>661.27188000000001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5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4" s="18" customFormat="1" ht="18">
      <c r="A17" s="69"/>
      <c r="B17" s="70" t="s">
        <v>14</v>
      </c>
      <c r="C17" s="71"/>
      <c r="D17" s="72"/>
      <c r="E17" s="73">
        <f t="shared" si="0"/>
        <v>2917.3166249999999</v>
      </c>
      <c r="F17" s="74">
        <f t="shared" si="0"/>
        <v>3500.7799499999996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4" s="79" customFormat="1" ht="18">
      <c r="A18" s="77">
        <v>1</v>
      </c>
      <c r="B18" s="54" t="s">
        <v>5</v>
      </c>
      <c r="C18" s="78"/>
      <c r="D18" s="78"/>
      <c r="E18" s="57">
        <f t="shared" ref="E18:J18" si="1">SUM(E19:E23)</f>
        <v>11459.541499999999</v>
      </c>
      <c r="F18" s="58">
        <f t="shared" si="1"/>
        <v>13751.449799999999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4" s="79" customFormat="1" ht="18">
      <c r="A19" s="80"/>
      <c r="B19" s="62" t="s">
        <v>10</v>
      </c>
      <c r="C19" s="63"/>
      <c r="D19" s="64"/>
      <c r="E19" s="65">
        <f>SUM(E25,E31,E37)</f>
        <v>1245.1333999999999</v>
      </c>
      <c r="F19" s="66">
        <f t="shared" ref="E19:J23" si="2">SUM(F25,F31,F37)</f>
        <v>1494.1600799999999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</row>
    <row r="20" spans="1:14" s="79" customFormat="1" ht="18">
      <c r="A20" s="80"/>
      <c r="B20" s="62" t="s">
        <v>9</v>
      </c>
      <c r="C20" s="63"/>
      <c r="D20" s="64"/>
      <c r="E20" s="65">
        <f>SUM(E26,E32,E38)</f>
        <v>7420.4919</v>
      </c>
      <c r="F20" s="66">
        <f t="shared" si="2"/>
        <v>8904.5902799999985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4" s="79" customFormat="1" ht="18">
      <c r="A21" s="80"/>
      <c r="B21" s="62" t="s">
        <v>12</v>
      </c>
      <c r="C21" s="63"/>
      <c r="D21" s="64"/>
      <c r="E21" s="65">
        <f t="shared" si="2"/>
        <v>502.00790000000001</v>
      </c>
      <c r="F21" s="66">
        <f t="shared" si="2"/>
        <v>602.40948000000003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4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4" s="79" customFormat="1" ht="18">
      <c r="A23" s="81"/>
      <c r="B23" s="70" t="s">
        <v>14</v>
      </c>
      <c r="C23" s="71"/>
      <c r="D23" s="72"/>
      <c r="E23" s="73">
        <f>SUM(E29,E35,E41)</f>
        <v>2291.9083000000001</v>
      </c>
      <c r="F23" s="74">
        <f t="shared" si="2"/>
        <v>2750.2899599999996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4" s="79" customFormat="1" ht="140.25" customHeight="1">
      <c r="A24" s="371" t="s">
        <v>25</v>
      </c>
      <c r="B24" s="372" t="s">
        <v>627</v>
      </c>
      <c r="C24" s="373"/>
      <c r="D24" s="386">
        <v>146.24</v>
      </c>
      <c r="E24" s="84">
        <f>SUM(E25:E29)</f>
        <v>195.25874999999999</v>
      </c>
      <c r="F24" s="84">
        <f>E24*1.2</f>
        <v>234.31049999999999</v>
      </c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  <c r="M24" s="103"/>
    </row>
    <row r="25" spans="1:14" s="95" customFormat="1" ht="18">
      <c r="A25" s="88"/>
      <c r="B25" s="89" t="s">
        <v>10</v>
      </c>
      <c r="C25" s="90"/>
      <c r="D25" s="91"/>
      <c r="E25" s="91"/>
      <c r="F25" s="92">
        <f>E25*1.2</f>
        <v>0</v>
      </c>
      <c r="G25" s="93"/>
      <c r="H25" s="94"/>
      <c r="I25" s="93"/>
      <c r="J25" s="94"/>
      <c r="K25" s="91"/>
      <c r="L25" s="92"/>
      <c r="M25" s="96"/>
      <c r="N25" s="96"/>
    </row>
    <row r="26" spans="1:14" s="95" customFormat="1" ht="18">
      <c r="A26" s="88"/>
      <c r="B26" s="89" t="s">
        <v>9</v>
      </c>
      <c r="C26" s="90"/>
      <c r="D26" s="91"/>
      <c r="E26" s="91">
        <v>146.8665</v>
      </c>
      <c r="F26" s="92">
        <f>E26*1.2</f>
        <v>176.2398</v>
      </c>
      <c r="G26" s="93"/>
      <c r="H26" s="94"/>
      <c r="I26" s="93"/>
      <c r="J26" s="94"/>
      <c r="K26" s="91"/>
      <c r="L26" s="92"/>
      <c r="M26" s="96"/>
    </row>
    <row r="27" spans="1:14" s="95" customFormat="1" ht="18">
      <c r="A27" s="88"/>
      <c r="B27" s="89" t="s">
        <v>12</v>
      </c>
      <c r="C27" s="90"/>
      <c r="D27" s="91"/>
      <c r="E27" s="91">
        <v>9.3405000000000005</v>
      </c>
      <c r="F27" s="92">
        <f>E27*1.2</f>
        <v>11.208600000000001</v>
      </c>
      <c r="G27" s="93"/>
      <c r="H27" s="94"/>
      <c r="I27" s="93"/>
      <c r="J27" s="94"/>
      <c r="K27" s="91"/>
      <c r="L27" s="92"/>
      <c r="M27" s="96"/>
      <c r="N27" s="96"/>
    </row>
    <row r="28" spans="1:14" s="95" customFormat="1" ht="18">
      <c r="A28" s="88"/>
      <c r="B28" s="89" t="s">
        <v>13</v>
      </c>
      <c r="C28" s="90"/>
      <c r="D28" s="91"/>
      <c r="E28" s="91"/>
      <c r="F28" s="92"/>
      <c r="G28" s="93"/>
      <c r="H28" s="94"/>
      <c r="I28" s="93"/>
      <c r="J28" s="94"/>
      <c r="K28" s="91"/>
      <c r="L28" s="92"/>
      <c r="M28" s="96"/>
    </row>
    <row r="29" spans="1:14" s="95" customFormat="1" ht="18">
      <c r="A29" s="97"/>
      <c r="B29" s="98" t="s">
        <v>14</v>
      </c>
      <c r="C29" s="99"/>
      <c r="D29" s="100"/>
      <c r="E29" s="100">
        <f>(E25+E26+E27)/80%*20%</f>
        <v>39.051749999999998</v>
      </c>
      <c r="F29" s="101">
        <f>E29*1.2</f>
        <v>46.862099999999998</v>
      </c>
      <c r="G29" s="93"/>
      <c r="H29" s="94"/>
      <c r="I29" s="93"/>
      <c r="J29" s="94"/>
      <c r="K29" s="91"/>
      <c r="L29" s="92"/>
    </row>
    <row r="30" spans="1:14" s="79" customFormat="1" ht="144" customHeight="1">
      <c r="A30" s="77" t="s">
        <v>3</v>
      </c>
      <c r="B30" s="82" t="s">
        <v>628</v>
      </c>
      <c r="C30" s="83"/>
      <c r="D30" s="83"/>
      <c r="E30" s="84">
        <f>SUM(E31:E35)</f>
        <v>11264.28275</v>
      </c>
      <c r="F30" s="85">
        <f>SUM(F31:F35)</f>
        <v>13517.139299999999</v>
      </c>
      <c r="G30" s="102"/>
      <c r="H30" s="102"/>
      <c r="I30" s="102"/>
      <c r="J30" s="102"/>
      <c r="K30" s="103"/>
      <c r="L30" s="103"/>
      <c r="M30" s="103">
        <v>11264.282999999999</v>
      </c>
      <c r="N30" s="103"/>
    </row>
    <row r="31" spans="1:14" s="95" customFormat="1" ht="18" customHeight="1">
      <c r="A31" s="88"/>
      <c r="B31" s="89" t="s">
        <v>10</v>
      </c>
      <c r="C31" s="90"/>
      <c r="D31" s="91"/>
      <c r="E31" s="91">
        <v>1245.1333999999999</v>
      </c>
      <c r="F31" s="92">
        <f>E31*1.2</f>
        <v>1494.1600799999999</v>
      </c>
      <c r="G31" s="104"/>
      <c r="H31" s="104"/>
      <c r="I31" s="104"/>
      <c r="J31" s="104"/>
      <c r="K31" s="96"/>
      <c r="L31" s="96"/>
      <c r="M31" s="96"/>
    </row>
    <row r="32" spans="1:14" s="95" customFormat="1" ht="15" customHeight="1">
      <c r="A32" s="88"/>
      <c r="B32" s="89" t="s">
        <v>9</v>
      </c>
      <c r="C32" s="90"/>
      <c r="D32" s="91"/>
      <c r="E32" s="91">
        <v>7273.6253999999999</v>
      </c>
      <c r="F32" s="92">
        <f>E32*1.2</f>
        <v>8728.3504799999992</v>
      </c>
      <c r="G32" s="104"/>
      <c r="H32" s="104"/>
      <c r="I32" s="104"/>
      <c r="J32" s="104"/>
      <c r="K32" s="96"/>
      <c r="L32" s="96"/>
      <c r="M32" s="96"/>
    </row>
    <row r="33" spans="1:14" s="95" customFormat="1" ht="18" customHeight="1">
      <c r="A33" s="88"/>
      <c r="B33" s="89" t="s">
        <v>12</v>
      </c>
      <c r="C33" s="90"/>
      <c r="D33" s="91"/>
      <c r="E33" s="91">
        <v>492.66739999999999</v>
      </c>
      <c r="F33" s="92">
        <f>E33*1.2</f>
        <v>591.20087999999998</v>
      </c>
      <c r="G33" s="104"/>
      <c r="H33" s="104"/>
      <c r="I33" s="104"/>
      <c r="J33" s="104"/>
      <c r="K33" s="96"/>
      <c r="L33" s="96"/>
      <c r="M33" s="96"/>
    </row>
    <row r="34" spans="1:14" s="95" customFormat="1" ht="18" customHeight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4" s="95" customFormat="1" ht="18" customHeight="1">
      <c r="A35" s="97"/>
      <c r="B35" s="98" t="s">
        <v>14</v>
      </c>
      <c r="C35" s="99"/>
      <c r="D35" s="100"/>
      <c r="E35" s="100">
        <f>(E31+E32+E33)/80%*20%</f>
        <v>2252.85655</v>
      </c>
      <c r="F35" s="92">
        <f>E35*1.2</f>
        <v>2703.4278599999998</v>
      </c>
      <c r="G35" s="104"/>
      <c r="H35" s="104"/>
      <c r="I35" s="104"/>
      <c r="J35" s="104"/>
      <c r="K35" s="96"/>
      <c r="L35" s="96"/>
    </row>
    <row r="36" spans="1:14" s="79" customFormat="1" ht="18" hidden="1" customHeight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customHeight="1" outlineLevel="1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1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1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1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14" s="110" customFormat="1" ht="18" collapsed="1">
      <c r="A42" s="107">
        <v>2</v>
      </c>
      <c r="B42" s="108" t="s">
        <v>0</v>
      </c>
      <c r="C42" s="109"/>
      <c r="D42" s="109"/>
      <c r="E42" s="84">
        <f t="shared" ref="E42:J42" si="4">SUM(E43:E47)</f>
        <v>3127.0416249999998</v>
      </c>
      <c r="F42" s="85">
        <f t="shared" si="4"/>
        <v>3752.4499500000002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14" s="110" customFormat="1" ht="18">
      <c r="A43" s="80"/>
      <c r="B43" s="62" t="s">
        <v>10</v>
      </c>
      <c r="C43" s="111"/>
      <c r="D43" s="112"/>
      <c r="E43" s="112">
        <f>E49+E55+E61</f>
        <v>504.45830000000001</v>
      </c>
      <c r="F43" s="113">
        <f t="shared" ref="F43:J47" si="5">SUM(F49,F55,F61)</f>
        <v>605.34996000000001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14" s="110" customFormat="1" ht="18">
      <c r="A44" s="80"/>
      <c r="B44" s="62" t="s">
        <v>9</v>
      </c>
      <c r="C44" s="111"/>
      <c r="D44" s="112"/>
      <c r="E44" s="112">
        <f>E50+E56+E62</f>
        <v>1948.123</v>
      </c>
      <c r="F44" s="113">
        <f t="shared" si="5"/>
        <v>2337.7476000000001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14" s="110" customFormat="1" ht="18">
      <c r="A45" s="80"/>
      <c r="B45" s="62" t="s">
        <v>12</v>
      </c>
      <c r="C45" s="111"/>
      <c r="D45" s="112"/>
      <c r="E45" s="112">
        <f>E51+E57+E63</f>
        <v>49.052</v>
      </c>
      <c r="F45" s="113">
        <f t="shared" si="5"/>
        <v>58.862399999999994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14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14" s="110" customFormat="1" ht="18">
      <c r="A47" s="116"/>
      <c r="B47" s="117" t="s">
        <v>14</v>
      </c>
      <c r="C47" s="118"/>
      <c r="D47" s="376"/>
      <c r="E47" s="112">
        <f>E53+E59+E65</f>
        <v>625.40832499999999</v>
      </c>
      <c r="F47" s="120">
        <f t="shared" si="5"/>
        <v>750.48998999999992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</row>
    <row r="48" spans="1:14" s="110" customFormat="1" ht="88.5" customHeight="1">
      <c r="A48" s="77" t="s">
        <v>26</v>
      </c>
      <c r="B48" s="377" t="s">
        <v>629</v>
      </c>
      <c r="C48" s="378"/>
      <c r="D48" s="387">
        <v>140.28</v>
      </c>
      <c r="E48" s="380">
        <f t="shared" ref="E48:J48" si="6">SUM(E49:E53)</f>
        <v>3127.0416249999998</v>
      </c>
      <c r="F48" s="381">
        <f t="shared" si="6"/>
        <v>3752.4499500000002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  <c r="M48" s="375">
        <v>3127.0419999999999</v>
      </c>
    </row>
    <row r="49" spans="1:14" s="124" customFormat="1" ht="18">
      <c r="A49" s="88"/>
      <c r="B49" s="382" t="s">
        <v>10</v>
      </c>
      <c r="C49" s="383"/>
      <c r="D49" s="384"/>
      <c r="E49" s="384">
        <v>504.45830000000001</v>
      </c>
      <c r="F49" s="106">
        <f>E49*1.2</f>
        <v>605.34996000000001</v>
      </c>
      <c r="G49" s="93"/>
      <c r="H49" s="94"/>
      <c r="I49" s="93"/>
      <c r="J49" s="94"/>
      <c r="K49" s="91"/>
      <c r="L49" s="92"/>
    </row>
    <row r="50" spans="1:14" s="124" customFormat="1" ht="18">
      <c r="A50" s="88"/>
      <c r="B50" s="89" t="s">
        <v>9</v>
      </c>
      <c r="C50" s="90"/>
      <c r="D50" s="91"/>
      <c r="E50" s="91">
        <v>1948.123</v>
      </c>
      <c r="F50" s="92">
        <f>E50*1.2</f>
        <v>2337.7476000000001</v>
      </c>
      <c r="G50" s="93"/>
      <c r="H50" s="94"/>
      <c r="I50" s="93"/>
      <c r="J50" s="94"/>
      <c r="K50" s="91"/>
      <c r="L50" s="92"/>
    </row>
    <row r="51" spans="1:14" s="124" customFormat="1" ht="18">
      <c r="A51" s="88"/>
      <c r="B51" s="89" t="s">
        <v>12</v>
      </c>
      <c r="C51" s="90"/>
      <c r="D51" s="91"/>
      <c r="E51" s="91">
        <v>49.052</v>
      </c>
      <c r="F51" s="92">
        <f>E51*1.2</f>
        <v>58.862399999999994</v>
      </c>
      <c r="G51" s="93"/>
      <c r="H51" s="94"/>
      <c r="I51" s="93"/>
      <c r="J51" s="94"/>
      <c r="K51" s="91"/>
      <c r="L51" s="92"/>
    </row>
    <row r="52" spans="1:14" s="124" customFormat="1" ht="18">
      <c r="A52" s="88"/>
      <c r="B52" s="89" t="s">
        <v>13</v>
      </c>
      <c r="C52" s="90"/>
      <c r="D52" s="91"/>
      <c r="E52" s="91"/>
      <c r="F52" s="92"/>
      <c r="G52" s="93"/>
      <c r="H52" s="94"/>
      <c r="I52" s="93"/>
      <c r="J52" s="94"/>
      <c r="K52" s="91"/>
      <c r="L52" s="92"/>
    </row>
    <row r="53" spans="1:14" s="124" customFormat="1" ht="18">
      <c r="A53" s="97"/>
      <c r="B53" s="98" t="s">
        <v>14</v>
      </c>
      <c r="C53" s="99"/>
      <c r="D53" s="100"/>
      <c r="E53" s="100">
        <f>(E49+E50+E51)/80%*20%</f>
        <v>625.40832499999999</v>
      </c>
      <c r="F53" s="92">
        <f t="shared" ref="F53:F59" si="7">E53*1.2</f>
        <v>750.48998999999992</v>
      </c>
      <c r="G53" s="125"/>
      <c r="H53" s="126"/>
      <c r="I53" s="125"/>
      <c r="J53" s="126"/>
      <c r="K53" s="100"/>
      <c r="L53" s="101"/>
    </row>
    <row r="54" spans="1:14" s="110" customFormat="1" ht="51" hidden="1" customHeight="1" outlineLevel="1">
      <c r="A54" s="77" t="s">
        <v>27</v>
      </c>
      <c r="B54" s="127"/>
      <c r="C54" s="385"/>
      <c r="D54" s="386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  <c r="N54" s="375">
        <f>E48+E54</f>
        <v>3127.0416249999998</v>
      </c>
    </row>
    <row r="55" spans="1:14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4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4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4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4" s="124" customFormat="1" ht="18" hidden="1" outlineLevel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37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37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</row>
    <row r="67" spans="1:37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  <colBreaks count="1" manualBreakCount="1">
    <brk id="12" max="52" man="1"/>
  </colBreaks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7"/>
  <sheetViews>
    <sheetView view="pageBreakPreview" topLeftCell="A12" zoomScale="60" zoomScaleNormal="100" workbookViewId="0">
      <selection activeCell="F28" sqref="F28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9.140625" collapsed="1"/>
    <col min="14" max="14" width="15.42578125" bestFit="1" customWidth="1"/>
    <col min="15" max="15" width="11.85546875" customWidth="1"/>
    <col min="18" max="18" width="11.5703125" bestFit="1" customWidth="1"/>
    <col min="19" max="20" width="12.42578125" bestFit="1" customWidth="1"/>
  </cols>
  <sheetData>
    <row r="1" spans="1:19" s="18" customFormat="1" ht="67.5" thickTop="1" thickBot="1">
      <c r="A1" s="15" t="s">
        <v>559</v>
      </c>
      <c r="B1" s="16" t="s">
        <v>301</v>
      </c>
      <c r="C1" s="17" t="s">
        <v>561</v>
      </c>
      <c r="D1" s="133">
        <v>492</v>
      </c>
      <c r="E1" s="134">
        <v>44462</v>
      </c>
      <c r="K1" s="18" t="s">
        <v>563</v>
      </c>
    </row>
    <row r="2" spans="1:19" s="18" customFormat="1" ht="67.5" thickTop="1" thickBot="1">
      <c r="A2" s="15" t="s">
        <v>564</v>
      </c>
      <c r="B2" s="16" t="s">
        <v>630</v>
      </c>
      <c r="C2" s="17" t="s">
        <v>566</v>
      </c>
      <c r="D2" s="133">
        <v>493</v>
      </c>
      <c r="E2" s="134">
        <v>44462</v>
      </c>
      <c r="F2" s="19"/>
      <c r="K2" s="18" t="s">
        <v>568</v>
      </c>
    </row>
    <row r="3" spans="1:19" s="18" customFormat="1" ht="18.75" thickTop="1">
      <c r="A3" s="20"/>
      <c r="C3" s="15"/>
      <c r="G3" s="21" t="str">
        <f>[21]ЗАО_ВОЛЬВО_ВОСТОК!G3</f>
        <v>на 01.01.2016 г.</v>
      </c>
    </row>
    <row r="4" spans="1:19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9" s="18" customFormat="1" ht="18">
      <c r="A5" s="27"/>
      <c r="B5" s="28"/>
      <c r="C5" s="28"/>
      <c r="D5" s="28"/>
      <c r="E5" s="29">
        <f>SUM(E6:E8)</f>
        <v>180.3741</v>
      </c>
      <c r="F5" s="29">
        <f>SUM(F6:F8)</f>
        <v>72.018900000000002</v>
      </c>
      <c r="G5" s="30"/>
      <c r="H5" s="31">
        <f>SUM(H6:H8)</f>
        <v>0</v>
      </c>
      <c r="I5" s="28"/>
      <c r="J5" s="32"/>
    </row>
    <row r="6" spans="1:19" s="41" customFormat="1" ht="18.75">
      <c r="A6" s="33"/>
      <c r="B6" s="34" t="s">
        <v>572</v>
      </c>
      <c r="C6" s="35"/>
      <c r="D6" s="35"/>
      <c r="E6" s="37">
        <f>F18*0.35</f>
        <v>63.130934999999994</v>
      </c>
      <c r="F6" s="37">
        <f>F42*0.35</f>
        <v>25.206614999999999</v>
      </c>
      <c r="G6" s="38"/>
      <c r="H6" s="38"/>
      <c r="I6" s="35"/>
      <c r="J6" s="39"/>
      <c r="K6" s="40"/>
      <c r="L6" s="40"/>
      <c r="M6" s="40"/>
    </row>
    <row r="7" spans="1:19" s="41" customFormat="1" ht="18.75">
      <c r="A7" s="33"/>
      <c r="B7" s="34" t="s">
        <v>573</v>
      </c>
      <c r="C7" s="35"/>
      <c r="D7" s="35"/>
      <c r="E7" s="37">
        <f>F18*0.5</f>
        <v>90.187049999999999</v>
      </c>
      <c r="F7" s="37">
        <f>F42*0.5</f>
        <v>36.009450000000001</v>
      </c>
      <c r="G7" s="38"/>
      <c r="H7" s="38"/>
      <c r="I7" s="35"/>
      <c r="J7" s="39"/>
      <c r="K7" s="40"/>
      <c r="L7" s="40"/>
      <c r="M7" s="40"/>
    </row>
    <row r="8" spans="1:19" s="41" customFormat="1" ht="18.75">
      <c r="A8" s="42"/>
      <c r="B8" s="43" t="s">
        <v>574</v>
      </c>
      <c r="C8" s="44"/>
      <c r="D8" s="44"/>
      <c r="E8" s="46">
        <f>F18*0.15</f>
        <v>27.056114999999998</v>
      </c>
      <c r="F8" s="46">
        <f>F42*0.15</f>
        <v>10.802835</v>
      </c>
      <c r="G8" s="47"/>
      <c r="H8" s="47"/>
      <c r="I8" s="44"/>
      <c r="J8" s="48"/>
      <c r="K8" s="40"/>
      <c r="L8" s="40"/>
      <c r="M8" s="40"/>
    </row>
    <row r="9" spans="1:19" s="18" customFormat="1" ht="18">
      <c r="A9" s="20"/>
      <c r="G9" s="49"/>
      <c r="N9" s="50"/>
    </row>
    <row r="10" spans="1:19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631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  <c r="S10" s="135"/>
    </row>
    <row r="11" spans="1:19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9" s="18" customFormat="1" ht="18">
      <c r="A12" s="53"/>
      <c r="B12" s="54" t="s">
        <v>584</v>
      </c>
      <c r="C12" s="55"/>
      <c r="D12" s="56"/>
      <c r="E12" s="57">
        <f t="shared" ref="E12:J17" si="0">SUM(E18,E42)</f>
        <v>210.32749999999999</v>
      </c>
      <c r="F12" s="58">
        <f t="shared" si="0"/>
        <v>252.393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</row>
    <row r="13" spans="1:19" s="18" customFormat="1" ht="18">
      <c r="A13" s="61"/>
      <c r="B13" s="62" t="s">
        <v>10</v>
      </c>
      <c r="C13" s="63"/>
      <c r="D13" s="64"/>
      <c r="E13" s="65">
        <f t="shared" si="0"/>
        <v>6.4186999999999994</v>
      </c>
      <c r="F13" s="66">
        <f t="shared" si="0"/>
        <v>7.7024399999999993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9" s="18" customFormat="1" ht="18">
      <c r="A14" s="61"/>
      <c r="B14" s="62" t="s">
        <v>9</v>
      </c>
      <c r="C14" s="63"/>
      <c r="D14" s="64"/>
      <c r="E14" s="65">
        <f t="shared" si="0"/>
        <v>161.8433</v>
      </c>
      <c r="F14" s="66">
        <f t="shared" si="0"/>
        <v>194.21196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9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9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9" s="18" customFormat="1" ht="18">
      <c r="A17" s="69"/>
      <c r="B17" s="70" t="s">
        <v>14</v>
      </c>
      <c r="C17" s="71"/>
      <c r="D17" s="72"/>
      <c r="E17" s="73">
        <f t="shared" si="0"/>
        <v>42.0655</v>
      </c>
      <c r="F17" s="74">
        <f t="shared" si="0"/>
        <v>50.478599999999993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9" s="79" customFormat="1" ht="18">
      <c r="A18" s="77">
        <v>1</v>
      </c>
      <c r="B18" s="54" t="s">
        <v>5</v>
      </c>
      <c r="C18" s="78">
        <f>C24+C30</f>
        <v>17.5</v>
      </c>
      <c r="D18" s="78">
        <f>D24+D30</f>
        <v>64.430000000000007</v>
      </c>
      <c r="E18" s="57">
        <f t="shared" ref="E18:J18" si="1">SUM(E19:E23)</f>
        <v>150.31174999999999</v>
      </c>
      <c r="F18" s="58">
        <f t="shared" si="1"/>
        <v>180.3741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9" s="79" customFormat="1" ht="18">
      <c r="A19" s="80"/>
      <c r="B19" s="62" t="s">
        <v>10</v>
      </c>
      <c r="C19" s="63"/>
      <c r="D19" s="64"/>
      <c r="E19" s="65">
        <f>SUM(E25,E31,E37)</f>
        <v>2.6574</v>
      </c>
      <c r="F19" s="66">
        <f t="shared" ref="E19:J23" si="2">SUM(F25,F31,F37)</f>
        <v>3.1888799999999997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  <c r="S19" s="135"/>
    </row>
    <row r="20" spans="1:19" s="79" customFormat="1" ht="18">
      <c r="A20" s="80"/>
      <c r="B20" s="62" t="s">
        <v>9</v>
      </c>
      <c r="C20" s="63"/>
      <c r="D20" s="64"/>
      <c r="E20" s="65">
        <f t="shared" si="2"/>
        <v>117.592</v>
      </c>
      <c r="F20" s="66">
        <f t="shared" si="2"/>
        <v>141.1104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9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9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9" s="79" customFormat="1" ht="18">
      <c r="A23" s="81"/>
      <c r="B23" s="70" t="s">
        <v>14</v>
      </c>
      <c r="C23" s="71"/>
      <c r="D23" s="72"/>
      <c r="E23" s="73">
        <f t="shared" si="2"/>
        <v>30.062349999999999</v>
      </c>
      <c r="F23" s="74">
        <f t="shared" si="2"/>
        <v>36.074819999999995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9" s="79" customFormat="1" ht="138.75" customHeight="1">
      <c r="A24" s="371" t="s">
        <v>25</v>
      </c>
      <c r="B24" s="388" t="s">
        <v>632</v>
      </c>
      <c r="C24" s="386">
        <v>17.5</v>
      </c>
      <c r="D24" s="389">
        <v>64.430000000000007</v>
      </c>
      <c r="E24" s="389">
        <f>SUM(E25:E29)</f>
        <v>150.31174999999999</v>
      </c>
      <c r="F24" s="390"/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</row>
    <row r="25" spans="1:19" s="95" customFormat="1" ht="18">
      <c r="A25" s="88"/>
      <c r="B25" s="89" t="s">
        <v>10</v>
      </c>
      <c r="C25" s="90"/>
      <c r="D25" s="91"/>
      <c r="E25" s="91">
        <v>2.6574</v>
      </c>
      <c r="F25" s="92">
        <f>E25*1.2</f>
        <v>3.1888799999999997</v>
      </c>
      <c r="G25" s="93"/>
      <c r="H25" s="94"/>
      <c r="I25" s="93"/>
      <c r="J25" s="94"/>
      <c r="K25" s="91"/>
      <c r="L25" s="92"/>
      <c r="N25" s="96"/>
    </row>
    <row r="26" spans="1:19" s="95" customFormat="1" ht="18">
      <c r="A26" s="88"/>
      <c r="B26" s="89" t="s">
        <v>9</v>
      </c>
      <c r="C26" s="90"/>
      <c r="D26" s="91"/>
      <c r="E26" s="91">
        <v>117.592</v>
      </c>
      <c r="F26" s="92">
        <f>E26*1.2</f>
        <v>141.1104</v>
      </c>
      <c r="G26" s="93"/>
      <c r="H26" s="94"/>
      <c r="I26" s="93"/>
      <c r="J26" s="94"/>
      <c r="K26" s="91"/>
      <c r="L26" s="92"/>
    </row>
    <row r="27" spans="1:19" s="95" customFormat="1" ht="18">
      <c r="A27" s="88"/>
      <c r="B27" s="89" t="s">
        <v>12</v>
      </c>
      <c r="C27" s="90"/>
      <c r="D27" s="91"/>
      <c r="E27" s="91"/>
      <c r="F27" s="92">
        <f>E27*1.2</f>
        <v>0</v>
      </c>
      <c r="G27" s="93"/>
      <c r="H27" s="94"/>
      <c r="I27" s="93"/>
      <c r="J27" s="94"/>
      <c r="K27" s="91"/>
      <c r="L27" s="92"/>
    </row>
    <row r="28" spans="1:19" s="95" customFormat="1" ht="18">
      <c r="A28" s="88"/>
      <c r="B28" s="89" t="s">
        <v>13</v>
      </c>
      <c r="C28" s="90"/>
      <c r="D28" s="91"/>
      <c r="E28" s="91"/>
      <c r="F28" s="92">
        <f>E28*1.2</f>
        <v>0</v>
      </c>
      <c r="G28" s="93"/>
      <c r="H28" s="94"/>
      <c r="I28" s="93"/>
      <c r="J28" s="94"/>
      <c r="K28" s="91"/>
      <c r="L28" s="92"/>
    </row>
    <row r="29" spans="1:19" s="95" customFormat="1" ht="18">
      <c r="A29" s="97"/>
      <c r="B29" s="98" t="s">
        <v>14</v>
      </c>
      <c r="C29" s="99"/>
      <c r="D29" s="100"/>
      <c r="E29" s="100">
        <f>(E25+E26+E27)/80%*20%</f>
        <v>30.062349999999999</v>
      </c>
      <c r="F29" s="101">
        <f>E29*1.2</f>
        <v>36.074819999999995</v>
      </c>
      <c r="G29" s="93"/>
      <c r="H29" s="94"/>
      <c r="I29" s="93"/>
      <c r="J29" s="94"/>
      <c r="K29" s="91"/>
      <c r="L29" s="92"/>
    </row>
    <row r="30" spans="1:19" s="79" customFormat="1" ht="18" hidden="1" outlineLevel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</row>
    <row r="31" spans="1:19" s="95" customFormat="1" ht="18" hidden="1" outlineLevel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9" s="95" customFormat="1" ht="15" hidden="1" customHeight="1" outlineLevel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</row>
    <row r="33" spans="1:14" s="95" customFormat="1" ht="18" hidden="1" outlineLevel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</row>
    <row r="34" spans="1:14" s="95" customFormat="1" ht="18" hidden="1" outlineLevel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4" s="95" customFormat="1" ht="18" hidden="1" outlineLevel="1">
      <c r="A35" s="97"/>
      <c r="B35" s="98" t="s">
        <v>14</v>
      </c>
      <c r="C35" s="99"/>
      <c r="D35" s="100"/>
      <c r="E35" s="100"/>
      <c r="F35" s="92">
        <f>E35*1.2</f>
        <v>0</v>
      </c>
      <c r="G35" s="104"/>
      <c r="H35" s="104"/>
      <c r="I35" s="104"/>
      <c r="J35" s="104"/>
      <c r="K35" s="96"/>
      <c r="L35" s="96"/>
    </row>
    <row r="36" spans="1:14" s="79" customFormat="1" ht="18" hidden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outlineLevel="1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1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1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1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14" s="110" customFormat="1" ht="18" collapsed="1">
      <c r="A42" s="107">
        <v>2</v>
      </c>
      <c r="B42" s="108" t="s">
        <v>0</v>
      </c>
      <c r="C42" s="109">
        <f>C48+C54</f>
        <v>10</v>
      </c>
      <c r="D42" s="109">
        <f>D48+D54</f>
        <v>64.430000000000007</v>
      </c>
      <c r="E42" s="84">
        <f t="shared" ref="E42:J42" si="4">SUM(E43:E47)</f>
        <v>60.015749999999997</v>
      </c>
      <c r="F42" s="85">
        <f t="shared" si="4"/>
        <v>72.018900000000002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14" s="110" customFormat="1" ht="18">
      <c r="A43" s="80"/>
      <c r="B43" s="62" t="s">
        <v>10</v>
      </c>
      <c r="C43" s="111"/>
      <c r="D43" s="112"/>
      <c r="E43" s="112">
        <f>E49+E55+E61</f>
        <v>3.7612999999999999</v>
      </c>
      <c r="F43" s="113">
        <f t="shared" ref="F43:J47" si="5">SUM(F49,F55,F61)</f>
        <v>4.51356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14" s="110" customFormat="1" ht="18">
      <c r="A44" s="80"/>
      <c r="B44" s="62" t="s">
        <v>9</v>
      </c>
      <c r="C44" s="111"/>
      <c r="D44" s="112"/>
      <c r="E44" s="112">
        <f>E50+E56+E62</f>
        <v>44.251300000000001</v>
      </c>
      <c r="F44" s="113">
        <f t="shared" si="5"/>
        <v>53.101559999999999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14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5"/>
        <v>0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14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14" s="110" customFormat="1" ht="18">
      <c r="A47" s="116"/>
      <c r="B47" s="117" t="s">
        <v>14</v>
      </c>
      <c r="C47" s="118"/>
      <c r="D47" s="119"/>
      <c r="E47" s="112">
        <f>E53+E59+E65</f>
        <v>12.00315</v>
      </c>
      <c r="F47" s="120">
        <f t="shared" si="5"/>
        <v>14.403779999999999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</row>
    <row r="48" spans="1:14" s="110" customFormat="1" ht="63.75" customHeight="1">
      <c r="A48" s="77" t="s">
        <v>26</v>
      </c>
      <c r="B48" s="127" t="s">
        <v>633</v>
      </c>
      <c r="C48" s="83">
        <v>10</v>
      </c>
      <c r="D48" s="84">
        <v>64.430000000000007</v>
      </c>
      <c r="E48" s="84">
        <f t="shared" ref="E48:J48" si="6">SUM(E49:E53)</f>
        <v>60.015749999999997</v>
      </c>
      <c r="F48" s="85">
        <f>SUM(F49:F53)</f>
        <v>72.018900000000002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</row>
    <row r="49" spans="1:12" s="124" customFormat="1" ht="18">
      <c r="A49" s="88"/>
      <c r="B49" s="89" t="s">
        <v>10</v>
      </c>
      <c r="C49" s="90"/>
      <c r="D49" s="91"/>
      <c r="E49" s="91">
        <v>3.7612999999999999</v>
      </c>
      <c r="F49" s="92">
        <f t="shared" ref="F49:F59" si="7">E49*1.2</f>
        <v>4.51356</v>
      </c>
      <c r="G49" s="93"/>
      <c r="H49" s="94"/>
      <c r="I49" s="93"/>
      <c r="J49" s="94"/>
      <c r="K49" s="91"/>
      <c r="L49" s="92"/>
    </row>
    <row r="50" spans="1:12" s="124" customFormat="1" ht="18">
      <c r="A50" s="88"/>
      <c r="B50" s="89" t="s">
        <v>9</v>
      </c>
      <c r="C50" s="90"/>
      <c r="D50" s="91"/>
      <c r="E50" s="91">
        <v>44.251300000000001</v>
      </c>
      <c r="F50" s="92">
        <f t="shared" si="7"/>
        <v>53.101559999999999</v>
      </c>
      <c r="G50" s="93"/>
      <c r="H50" s="94"/>
      <c r="I50" s="93"/>
      <c r="J50" s="94"/>
      <c r="K50" s="91"/>
      <c r="L50" s="92"/>
    </row>
    <row r="51" spans="1:12" s="124" customFormat="1" ht="18">
      <c r="A51" s="88"/>
      <c r="B51" s="89" t="s">
        <v>12</v>
      </c>
      <c r="C51" s="90"/>
      <c r="D51" s="91"/>
      <c r="E51" s="91"/>
      <c r="F51" s="92">
        <f t="shared" si="7"/>
        <v>0</v>
      </c>
      <c r="G51" s="93"/>
      <c r="H51" s="94"/>
      <c r="I51" s="93"/>
      <c r="J51" s="94"/>
      <c r="K51" s="91"/>
      <c r="L51" s="92"/>
    </row>
    <row r="52" spans="1:12" s="124" customFormat="1" ht="18">
      <c r="A52" s="88"/>
      <c r="B52" s="89" t="s">
        <v>13</v>
      </c>
      <c r="C52" s="90"/>
      <c r="D52" s="91"/>
      <c r="E52" s="91"/>
      <c r="F52" s="92">
        <f t="shared" si="7"/>
        <v>0</v>
      </c>
      <c r="G52" s="93"/>
      <c r="H52" s="94"/>
      <c r="I52" s="93"/>
      <c r="J52" s="94"/>
      <c r="K52" s="91"/>
      <c r="L52" s="92"/>
    </row>
    <row r="53" spans="1:12" s="124" customFormat="1" ht="18">
      <c r="A53" s="97"/>
      <c r="B53" s="98" t="s">
        <v>14</v>
      </c>
      <c r="C53" s="99"/>
      <c r="D53" s="100"/>
      <c r="E53" s="100">
        <f>(E49+E50)/80%*20%</f>
        <v>12.00315</v>
      </c>
      <c r="F53" s="92">
        <f t="shared" si="7"/>
        <v>14.403779999999999</v>
      </c>
      <c r="G53" s="125"/>
      <c r="H53" s="126"/>
      <c r="I53" s="125"/>
      <c r="J53" s="126"/>
      <c r="K53" s="100"/>
      <c r="L53" s="101"/>
    </row>
    <row r="54" spans="1:12" s="110" customFormat="1" ht="18" hidden="1" outlineLevel="1">
      <c r="A54" s="77" t="s">
        <v>27</v>
      </c>
      <c r="B54" s="127"/>
      <c r="C54" s="83"/>
      <c r="D54" s="83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</row>
    <row r="55" spans="1:12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2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2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2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2" s="124" customFormat="1" ht="18" hidden="1" outlineLevel="1">
      <c r="A59" s="97"/>
      <c r="B59" s="98" t="s">
        <v>14</v>
      </c>
      <c r="C59" s="99"/>
      <c r="D59" s="100"/>
      <c r="E59" s="100"/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2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2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2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2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2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40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40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</row>
    <row r="67" spans="1:40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K67"/>
  <sheetViews>
    <sheetView view="pageBreakPreview" zoomScale="50" zoomScaleNormal="100" zoomScaleSheetLayoutView="50" workbookViewId="0">
      <selection activeCell="Q32" sqref="Q32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25.5703125" customWidth="1" collapsed="1"/>
    <col min="14" max="14" width="15.42578125" bestFit="1" customWidth="1"/>
    <col min="15" max="15" width="11.85546875" customWidth="1"/>
    <col min="18" max="18" width="11.5703125" bestFit="1" customWidth="1"/>
  </cols>
  <sheetData>
    <row r="1" spans="1:15" s="18" customFormat="1" ht="67.5" thickTop="1" thickBot="1">
      <c r="A1" s="15" t="s">
        <v>559</v>
      </c>
      <c r="B1" s="16" t="s">
        <v>776</v>
      </c>
      <c r="C1" s="17" t="s">
        <v>561</v>
      </c>
      <c r="D1" s="133">
        <v>456</v>
      </c>
      <c r="E1" s="134">
        <v>44844</v>
      </c>
      <c r="K1" s="18" t="s">
        <v>563</v>
      </c>
    </row>
    <row r="2" spans="1:15" s="18" customFormat="1" ht="109.5" thickTop="1" thickBot="1">
      <c r="A2" s="15" t="s">
        <v>564</v>
      </c>
      <c r="B2" s="16" t="s">
        <v>777</v>
      </c>
      <c r="C2" s="17" t="s">
        <v>566</v>
      </c>
      <c r="D2" s="133">
        <v>455</v>
      </c>
      <c r="E2" s="134">
        <v>44844</v>
      </c>
      <c r="F2" s="19"/>
      <c r="K2" s="18" t="s">
        <v>568</v>
      </c>
    </row>
    <row r="3" spans="1:15" s="18" customFormat="1" ht="18.75" thickTop="1">
      <c r="A3" s="20"/>
      <c r="C3" s="15"/>
      <c r="G3" s="21" t="str">
        <f>[21]ЗАО_ВОЛЬВО_ВОСТОК!G3</f>
        <v>на 01.01.2016 г.</v>
      </c>
    </row>
    <row r="4" spans="1:15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5" s="18" customFormat="1" ht="18">
      <c r="A5" s="27"/>
      <c r="B5" s="28"/>
      <c r="C5" s="28"/>
      <c r="D5" s="28"/>
      <c r="E5" s="29">
        <f>SUM(E6:E8)</f>
        <v>2189.9250000000002</v>
      </c>
      <c r="F5" s="29">
        <f>SUM(F6:F8)</f>
        <v>34.714500000000001</v>
      </c>
      <c r="G5" s="30"/>
      <c r="H5" s="31">
        <f>SUM(H6:H8)</f>
        <v>0</v>
      </c>
      <c r="I5" s="28"/>
      <c r="J5" s="32"/>
    </row>
    <row r="6" spans="1:15" s="41" customFormat="1" ht="18.75">
      <c r="A6" s="33"/>
      <c r="B6" s="34" t="s">
        <v>572</v>
      </c>
      <c r="C6" s="35"/>
      <c r="D6" s="35"/>
      <c r="E6" s="37">
        <f>F18*0.35</f>
        <v>766.47375</v>
      </c>
      <c r="F6" s="37">
        <f>F42*0.35</f>
        <v>12.150074999999999</v>
      </c>
      <c r="G6" s="38"/>
      <c r="H6" s="38"/>
      <c r="I6" s="35"/>
      <c r="J6" s="39"/>
      <c r="K6" s="40"/>
      <c r="L6" s="40"/>
      <c r="M6" s="40"/>
    </row>
    <row r="7" spans="1:15" s="41" customFormat="1" ht="18.75">
      <c r="A7" s="33"/>
      <c r="B7" s="34" t="s">
        <v>573</v>
      </c>
      <c r="C7" s="35"/>
      <c r="D7" s="35"/>
      <c r="E7" s="37">
        <f>F18*0.5</f>
        <v>1094.9625000000001</v>
      </c>
      <c r="F7" s="37">
        <f>F42*0.5</f>
        <v>17.357250000000001</v>
      </c>
      <c r="G7" s="38"/>
      <c r="H7" s="38"/>
      <c r="I7" s="35"/>
      <c r="J7" s="39"/>
      <c r="K7" s="40"/>
      <c r="L7" s="40"/>
      <c r="M7" s="40"/>
    </row>
    <row r="8" spans="1:15" s="41" customFormat="1" ht="18.75">
      <c r="A8" s="42"/>
      <c r="B8" s="43" t="s">
        <v>574</v>
      </c>
      <c r="C8" s="44"/>
      <c r="D8" s="44"/>
      <c r="E8" s="46">
        <f>F18*0.15</f>
        <v>328.48875000000004</v>
      </c>
      <c r="F8" s="46">
        <f>F42*0.15</f>
        <v>5.2071750000000003</v>
      </c>
      <c r="G8" s="47"/>
      <c r="H8" s="47"/>
      <c r="I8" s="44"/>
      <c r="J8" s="48"/>
      <c r="K8" s="40"/>
      <c r="L8" s="40"/>
      <c r="M8" s="40"/>
    </row>
    <row r="9" spans="1:15" s="18" customFormat="1" ht="18">
      <c r="A9" s="20"/>
      <c r="G9" s="49"/>
      <c r="N9" s="50"/>
    </row>
    <row r="10" spans="1:15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778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</row>
    <row r="11" spans="1:15" s="18" customFormat="1" ht="90">
      <c r="A11" s="3535"/>
      <c r="B11" s="3537"/>
      <c r="C11" s="3539"/>
      <c r="D11" s="3541"/>
      <c r="E11" s="395" t="s">
        <v>581</v>
      </c>
      <c r="F11" s="52" t="s">
        <v>582</v>
      </c>
      <c r="G11" s="395" t="s">
        <v>581</v>
      </c>
      <c r="H11" s="52" t="s">
        <v>582</v>
      </c>
      <c r="I11" s="395" t="s">
        <v>581</v>
      </c>
      <c r="J11" s="52" t="s">
        <v>582</v>
      </c>
      <c r="K11" s="395" t="s">
        <v>583</v>
      </c>
      <c r="L11" s="52" t="s">
        <v>582</v>
      </c>
      <c r="N11" s="50"/>
      <c r="O11" s="50"/>
    </row>
    <row r="12" spans="1:15" s="18" customFormat="1" ht="18">
      <c r="A12" s="393"/>
      <c r="B12" s="54" t="s">
        <v>584</v>
      </c>
      <c r="C12" s="55"/>
      <c r="D12" s="394"/>
      <c r="E12" s="57">
        <f t="shared" ref="E12:J17" si="0">SUM(E18,E42)</f>
        <v>1853.86625</v>
      </c>
      <c r="F12" s="58">
        <f t="shared" si="0"/>
        <v>2224.6395000000002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  <c r="M12" s="50"/>
    </row>
    <row r="13" spans="1:15" s="18" customFormat="1" ht="18">
      <c r="A13" s="61"/>
      <c r="B13" s="62" t="s">
        <v>10</v>
      </c>
      <c r="C13" s="63"/>
      <c r="D13" s="64"/>
      <c r="E13" s="65">
        <f t="shared" si="0"/>
        <v>0</v>
      </c>
      <c r="F13" s="66">
        <f t="shared" si="0"/>
        <v>0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5" s="18" customFormat="1" ht="18">
      <c r="A14" s="61"/>
      <c r="B14" s="62" t="s">
        <v>9</v>
      </c>
      <c r="C14" s="63"/>
      <c r="D14" s="64"/>
      <c r="E14" s="65">
        <f t="shared" si="0"/>
        <v>1483.0930000000001</v>
      </c>
      <c r="F14" s="66">
        <f t="shared" si="0"/>
        <v>1779.7116000000001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5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5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4" s="18" customFormat="1" ht="18">
      <c r="A17" s="69"/>
      <c r="B17" s="70" t="s">
        <v>14</v>
      </c>
      <c r="C17" s="71"/>
      <c r="D17" s="72"/>
      <c r="E17" s="73">
        <f t="shared" si="0"/>
        <v>370.77325000000002</v>
      </c>
      <c r="F17" s="74">
        <f t="shared" si="0"/>
        <v>444.92790000000002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4" s="79" customFormat="1" ht="18">
      <c r="A18" s="77">
        <v>1</v>
      </c>
      <c r="B18" s="54" t="s">
        <v>5</v>
      </c>
      <c r="C18" s="78"/>
      <c r="D18" s="78"/>
      <c r="E18" s="57">
        <f t="shared" ref="E18:J18" si="1">SUM(E19:E23)</f>
        <v>1824.9375</v>
      </c>
      <c r="F18" s="58">
        <f t="shared" si="1"/>
        <v>2189.9250000000002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4" s="79" customFormat="1" ht="18">
      <c r="A19" s="80"/>
      <c r="B19" s="62" t="s">
        <v>10</v>
      </c>
      <c r="C19" s="63"/>
      <c r="D19" s="64"/>
      <c r="E19" s="65">
        <f>SUM(E25,E31,E37)</f>
        <v>0</v>
      </c>
      <c r="F19" s="66">
        <f t="shared" ref="E19:J23" si="2">SUM(F25,F31,F37)</f>
        <v>0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</row>
    <row r="20" spans="1:14" s="79" customFormat="1" ht="18">
      <c r="A20" s="80"/>
      <c r="B20" s="62" t="s">
        <v>9</v>
      </c>
      <c r="C20" s="63"/>
      <c r="D20" s="64"/>
      <c r="E20" s="65">
        <f>SUM(E26,E32,E38)</f>
        <v>1459.95</v>
      </c>
      <c r="F20" s="66">
        <f t="shared" si="2"/>
        <v>1751.94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4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4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4" s="79" customFormat="1" ht="18">
      <c r="A23" s="81"/>
      <c r="B23" s="70" t="s">
        <v>14</v>
      </c>
      <c r="C23" s="71"/>
      <c r="D23" s="72"/>
      <c r="E23" s="73">
        <f>SUM(E29,E35,E41)</f>
        <v>364.98750000000001</v>
      </c>
      <c r="F23" s="74">
        <f t="shared" si="2"/>
        <v>437.98500000000001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4" s="79" customFormat="1" ht="72">
      <c r="A24" s="371" t="s">
        <v>25</v>
      </c>
      <c r="B24" s="401" t="s">
        <v>779</v>
      </c>
      <c r="C24" s="373"/>
      <c r="D24" s="386">
        <v>351</v>
      </c>
      <c r="E24" s="84">
        <f>SUM(E25:E29)</f>
        <v>41.217499999999994</v>
      </c>
      <c r="F24" s="84">
        <f>E24*1.2</f>
        <v>49.460999999999991</v>
      </c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  <c r="M24" s="103"/>
    </row>
    <row r="25" spans="1:14" s="95" customFormat="1" ht="18">
      <c r="A25" s="88"/>
      <c r="B25" s="89" t="s">
        <v>10</v>
      </c>
      <c r="C25" s="90"/>
      <c r="D25" s="91"/>
      <c r="E25" s="91"/>
      <c r="F25" s="92">
        <f>E25*1.2</f>
        <v>0</v>
      </c>
      <c r="G25" s="93"/>
      <c r="H25" s="94"/>
      <c r="I25" s="93"/>
      <c r="J25" s="94"/>
      <c r="K25" s="91"/>
      <c r="L25" s="92"/>
      <c r="M25" s="96"/>
      <c r="N25" s="96"/>
    </row>
    <row r="26" spans="1:14" s="95" customFormat="1" ht="18">
      <c r="A26" s="88"/>
      <c r="B26" s="89" t="s">
        <v>9</v>
      </c>
      <c r="C26" s="90"/>
      <c r="D26" s="91"/>
      <c r="E26" s="91">
        <v>32.973999999999997</v>
      </c>
      <c r="F26" s="92">
        <f>E26*1.2</f>
        <v>39.568799999999996</v>
      </c>
      <c r="G26" s="93"/>
      <c r="H26" s="94"/>
      <c r="I26" s="93"/>
      <c r="J26" s="94"/>
      <c r="K26" s="91"/>
      <c r="L26" s="92"/>
      <c r="M26" s="96"/>
    </row>
    <row r="27" spans="1:14" s="95" customFormat="1" ht="18">
      <c r="A27" s="88"/>
      <c r="B27" s="89" t="s">
        <v>12</v>
      </c>
      <c r="C27" s="90"/>
      <c r="D27" s="91"/>
      <c r="E27" s="91"/>
      <c r="F27" s="92"/>
      <c r="G27" s="93"/>
      <c r="H27" s="94"/>
      <c r="I27" s="93"/>
      <c r="J27" s="94"/>
      <c r="K27" s="91"/>
      <c r="L27" s="92"/>
      <c r="M27" s="96"/>
      <c r="N27" s="96"/>
    </row>
    <row r="28" spans="1:14" s="95" customFormat="1" ht="18">
      <c r="A28" s="88"/>
      <c r="B28" s="89" t="s">
        <v>13</v>
      </c>
      <c r="C28" s="90"/>
      <c r="D28" s="91"/>
      <c r="E28" s="91"/>
      <c r="F28" s="92"/>
      <c r="G28" s="93"/>
      <c r="H28" s="94"/>
      <c r="I28" s="93"/>
      <c r="J28" s="94"/>
      <c r="K28" s="91"/>
      <c r="L28" s="92"/>
      <c r="M28" s="96"/>
    </row>
    <row r="29" spans="1:14" s="95" customFormat="1" ht="18">
      <c r="A29" s="97"/>
      <c r="B29" s="98" t="s">
        <v>14</v>
      </c>
      <c r="C29" s="99"/>
      <c r="D29" s="100"/>
      <c r="E29" s="100">
        <f>(E25+E26+E27)/80%*20%</f>
        <v>8.2434999999999992</v>
      </c>
      <c r="F29" s="101">
        <f>E29*1.2</f>
        <v>9.892199999999999</v>
      </c>
      <c r="G29" s="93"/>
      <c r="H29" s="94"/>
      <c r="I29" s="93"/>
      <c r="J29" s="94"/>
      <c r="K29" s="91"/>
      <c r="L29" s="92"/>
    </row>
    <row r="30" spans="1:14" s="79" customFormat="1" ht="36">
      <c r="A30" s="77" t="s">
        <v>3</v>
      </c>
      <c r="B30" s="400" t="s">
        <v>780</v>
      </c>
      <c r="C30" s="83"/>
      <c r="D30" s="83"/>
      <c r="E30" s="84">
        <f>SUM(E31:E35)</f>
        <v>1783.7200000000003</v>
      </c>
      <c r="F30" s="85">
        <f>SUM(F31:F35)</f>
        <v>2140.4639999999999</v>
      </c>
      <c r="G30" s="102"/>
      <c r="H30" s="102"/>
      <c r="I30" s="102"/>
      <c r="J30" s="102"/>
      <c r="K30" s="103"/>
      <c r="L30" s="103"/>
      <c r="M30" s="103"/>
      <c r="N30" s="103"/>
    </row>
    <row r="31" spans="1:14" s="95" customFormat="1" ht="18" customHeight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  <c r="M31" s="96"/>
    </row>
    <row r="32" spans="1:14" s="95" customFormat="1" ht="15" customHeight="1">
      <c r="A32" s="88"/>
      <c r="B32" s="89" t="s">
        <v>9</v>
      </c>
      <c r="C32" s="90"/>
      <c r="D32" s="91"/>
      <c r="E32" s="91">
        <v>1426.9760000000001</v>
      </c>
      <c r="F32" s="92">
        <f>E32*1.2</f>
        <v>1712.3712</v>
      </c>
      <c r="G32" s="104"/>
      <c r="H32" s="104"/>
      <c r="I32" s="104"/>
      <c r="J32" s="104"/>
      <c r="K32" s="96"/>
      <c r="L32" s="96"/>
      <c r="M32" s="96"/>
    </row>
    <row r="33" spans="1:14" s="95" customFormat="1" ht="18" customHeight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  <c r="M33" s="96"/>
    </row>
    <row r="34" spans="1:14" s="95" customFormat="1" ht="18" customHeight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4" s="95" customFormat="1" ht="18" customHeight="1">
      <c r="A35" s="97"/>
      <c r="B35" s="98" t="s">
        <v>14</v>
      </c>
      <c r="C35" s="99"/>
      <c r="D35" s="100"/>
      <c r="E35" s="100">
        <f>(E31+E32+E33)/80%*20%</f>
        <v>356.74400000000003</v>
      </c>
      <c r="F35" s="92">
        <f>E35*1.2</f>
        <v>428.09280000000001</v>
      </c>
      <c r="G35" s="104"/>
      <c r="H35" s="104"/>
      <c r="I35" s="104"/>
      <c r="J35" s="104"/>
      <c r="K35" s="96"/>
      <c r="L35" s="96"/>
    </row>
    <row r="36" spans="1:14" s="79" customFormat="1" ht="18" hidden="1" customHeight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customHeight="1" outlineLevel="1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1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1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1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14" s="110" customFormat="1" ht="18" collapsed="1">
      <c r="A42" s="107">
        <v>2</v>
      </c>
      <c r="B42" s="108" t="s">
        <v>0</v>
      </c>
      <c r="C42" s="109"/>
      <c r="D42" s="109"/>
      <c r="E42" s="84">
        <f t="shared" ref="E42:J42" si="4">SUM(E43:E47)</f>
        <v>28.928750000000001</v>
      </c>
      <c r="F42" s="85">
        <f t="shared" si="4"/>
        <v>34.714500000000001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14" s="110" customFormat="1" ht="18">
      <c r="A43" s="80"/>
      <c r="B43" s="62" t="s">
        <v>10</v>
      </c>
      <c r="C43" s="111"/>
      <c r="D43" s="112"/>
      <c r="E43" s="112">
        <f>E49+E55+E61</f>
        <v>0</v>
      </c>
      <c r="F43" s="113">
        <f t="shared" ref="F43:J47" si="5">SUM(F49,F55,F61)</f>
        <v>0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14" s="110" customFormat="1" ht="18">
      <c r="A44" s="80"/>
      <c r="B44" s="62" t="s">
        <v>9</v>
      </c>
      <c r="C44" s="111"/>
      <c r="D44" s="112"/>
      <c r="E44" s="112">
        <f>E50+E56+E62</f>
        <v>23.143000000000001</v>
      </c>
      <c r="F44" s="113">
        <f t="shared" si="5"/>
        <v>27.771599999999999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14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5"/>
        <v>0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14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14" s="110" customFormat="1" ht="18">
      <c r="A47" s="116"/>
      <c r="B47" s="117" t="s">
        <v>14</v>
      </c>
      <c r="C47" s="118"/>
      <c r="D47" s="376"/>
      <c r="E47" s="112">
        <f>E53+E59+E65</f>
        <v>5.7857500000000002</v>
      </c>
      <c r="F47" s="120">
        <f t="shared" si="5"/>
        <v>6.9428999999999998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</row>
    <row r="48" spans="1:14" s="110" customFormat="1" ht="54">
      <c r="A48" s="77" t="s">
        <v>26</v>
      </c>
      <c r="B48" s="377" t="s">
        <v>781</v>
      </c>
      <c r="C48" s="378"/>
      <c r="D48" s="387">
        <v>351</v>
      </c>
      <c r="E48" s="380">
        <f t="shared" ref="E48:J48" si="6">SUM(E49:E53)</f>
        <v>28.928750000000001</v>
      </c>
      <c r="F48" s="381">
        <f t="shared" si="6"/>
        <v>34.714500000000001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  <c r="M48" s="375"/>
    </row>
    <row r="49" spans="1:14" s="124" customFormat="1" ht="18">
      <c r="A49" s="88"/>
      <c r="B49" s="382" t="s">
        <v>10</v>
      </c>
      <c r="C49" s="383"/>
      <c r="D49" s="384"/>
      <c r="E49" s="384"/>
      <c r="F49" s="106">
        <f>E49*1.2</f>
        <v>0</v>
      </c>
      <c r="G49" s="93"/>
      <c r="H49" s="94"/>
      <c r="I49" s="93"/>
      <c r="J49" s="94"/>
      <c r="K49" s="91"/>
      <c r="L49" s="92"/>
    </row>
    <row r="50" spans="1:14" s="124" customFormat="1" ht="18">
      <c r="A50" s="88"/>
      <c r="B50" s="89" t="s">
        <v>9</v>
      </c>
      <c r="C50" s="90"/>
      <c r="D50" s="91"/>
      <c r="E50" s="91">
        <v>23.143000000000001</v>
      </c>
      <c r="F50" s="92">
        <f>E50*1.2</f>
        <v>27.771599999999999</v>
      </c>
      <c r="G50" s="93"/>
      <c r="H50" s="94"/>
      <c r="I50" s="93"/>
      <c r="J50" s="94"/>
      <c r="K50" s="91"/>
      <c r="L50" s="92"/>
    </row>
    <row r="51" spans="1:14" s="124" customFormat="1" ht="18">
      <c r="A51" s="88"/>
      <c r="B51" s="89" t="s">
        <v>12</v>
      </c>
      <c r="C51" s="90"/>
      <c r="D51" s="91"/>
      <c r="E51" s="91"/>
      <c r="F51" s="92"/>
      <c r="G51" s="93"/>
      <c r="H51" s="94"/>
      <c r="I51" s="93"/>
      <c r="J51" s="94"/>
      <c r="K51" s="91"/>
      <c r="L51" s="92"/>
    </row>
    <row r="52" spans="1:14" s="124" customFormat="1" ht="18">
      <c r="A52" s="88"/>
      <c r="B52" s="89" t="s">
        <v>13</v>
      </c>
      <c r="C52" s="90"/>
      <c r="D52" s="91"/>
      <c r="E52" s="91"/>
      <c r="F52" s="92"/>
      <c r="G52" s="93"/>
      <c r="H52" s="94"/>
      <c r="I52" s="93"/>
      <c r="J52" s="94"/>
      <c r="K52" s="91"/>
      <c r="L52" s="92"/>
    </row>
    <row r="53" spans="1:14" s="124" customFormat="1" ht="18">
      <c r="A53" s="97"/>
      <c r="B53" s="98" t="s">
        <v>14</v>
      </c>
      <c r="C53" s="99"/>
      <c r="D53" s="100"/>
      <c r="E53" s="100">
        <f>(E49+E50+E51)/80%*20%</f>
        <v>5.7857500000000002</v>
      </c>
      <c r="F53" s="92">
        <f t="shared" ref="F53:F59" si="7">E53*1.2</f>
        <v>6.9428999999999998</v>
      </c>
      <c r="G53" s="125"/>
      <c r="H53" s="126"/>
      <c r="I53" s="125"/>
      <c r="J53" s="126"/>
      <c r="K53" s="100"/>
      <c r="L53" s="101"/>
    </row>
    <row r="54" spans="1:14" s="110" customFormat="1" ht="51" hidden="1" customHeight="1" outlineLevel="1">
      <c r="A54" s="77" t="s">
        <v>27</v>
      </c>
      <c r="B54" s="127"/>
      <c r="C54" s="385"/>
      <c r="D54" s="386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  <c r="N54" s="375">
        <f>E48+E54</f>
        <v>28.928750000000001</v>
      </c>
    </row>
    <row r="55" spans="1:14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4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4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4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4" s="124" customFormat="1" ht="18" hidden="1" outlineLevel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37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37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</row>
    <row r="67" spans="1:37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  <colBreaks count="2" manualBreakCount="2">
    <brk id="6" max="52" man="1"/>
    <brk id="12" max="52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7"/>
  <sheetViews>
    <sheetView view="pageBreakPreview" topLeftCell="A9" zoomScale="55" zoomScaleNormal="60" zoomScaleSheetLayoutView="55" workbookViewId="0">
      <selection activeCell="B45" sqref="B45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570312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25.5703125" customWidth="1" collapsed="1"/>
    <col min="14" max="14" width="15.42578125" bestFit="1" customWidth="1"/>
    <col min="15" max="15" width="11.85546875" customWidth="1"/>
    <col min="18" max="18" width="11.5703125" bestFit="1" customWidth="1"/>
  </cols>
  <sheetData>
    <row r="1" spans="1:15" s="18" customFormat="1" ht="67.5" thickTop="1" thickBot="1">
      <c r="A1" s="15" t="s">
        <v>559</v>
      </c>
      <c r="B1" s="16" t="s">
        <v>634</v>
      </c>
      <c r="C1" s="17" t="s">
        <v>561</v>
      </c>
      <c r="D1" s="133">
        <v>535</v>
      </c>
      <c r="E1" s="134">
        <v>44861</v>
      </c>
      <c r="K1" s="18" t="s">
        <v>563</v>
      </c>
    </row>
    <row r="2" spans="1:15" s="18" customFormat="1" ht="67.5" thickTop="1" thickBot="1">
      <c r="A2" s="15" t="s">
        <v>564</v>
      </c>
      <c r="B2" s="16" t="s">
        <v>635</v>
      </c>
      <c r="C2" s="17" t="s">
        <v>566</v>
      </c>
      <c r="D2" s="133">
        <v>536</v>
      </c>
      <c r="E2" s="134">
        <v>44861</v>
      </c>
      <c r="F2" s="19"/>
      <c r="K2" s="18" t="s">
        <v>568</v>
      </c>
    </row>
    <row r="3" spans="1:15" s="18" customFormat="1" ht="18.75" thickTop="1">
      <c r="A3" s="20"/>
      <c r="C3" s="15"/>
      <c r="G3" s="21" t="str">
        <f>[21]ЗАО_ВОЛЬВО_ВОСТОК!G3</f>
        <v>на 01.01.2016 г.</v>
      </c>
    </row>
    <row r="4" spans="1:15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5" s="18" customFormat="1" ht="18">
      <c r="A5" s="27"/>
      <c r="B5" s="28"/>
      <c r="C5" s="28"/>
      <c r="D5" s="28"/>
      <c r="E5" s="29">
        <f>SUM(E6:E8)</f>
        <v>5710.3784999999989</v>
      </c>
      <c r="F5" s="29">
        <f>SUM(F6:F8)</f>
        <v>4276.4549999999999</v>
      </c>
      <c r="G5" s="30"/>
      <c r="H5" s="31">
        <f>SUM(H6:H8)</f>
        <v>0</v>
      </c>
      <c r="I5" s="28"/>
      <c r="J5" s="32"/>
    </row>
    <row r="6" spans="1:15" s="41" customFormat="1" ht="18.75">
      <c r="A6" s="33"/>
      <c r="B6" s="34" t="s">
        <v>572</v>
      </c>
      <c r="C6" s="35"/>
      <c r="D6" s="35"/>
      <c r="E6" s="37">
        <f>F18*0.35</f>
        <v>1998.6324749999994</v>
      </c>
      <c r="F6" s="37">
        <f>F42*0.35</f>
        <v>1496.7592499999998</v>
      </c>
      <c r="G6" s="38"/>
      <c r="H6" s="38"/>
      <c r="I6" s="35"/>
      <c r="J6" s="39"/>
      <c r="K6" s="40"/>
      <c r="L6" s="40"/>
      <c r="M6" s="40"/>
    </row>
    <row r="7" spans="1:15" s="41" customFormat="1" ht="18.75">
      <c r="A7" s="33"/>
      <c r="B7" s="34" t="s">
        <v>573</v>
      </c>
      <c r="C7" s="35"/>
      <c r="D7" s="35"/>
      <c r="E7" s="37">
        <f>F18*0.5</f>
        <v>2855.1892499999994</v>
      </c>
      <c r="F7" s="37">
        <f>F42*0.5</f>
        <v>2138.2275</v>
      </c>
      <c r="G7" s="38"/>
      <c r="H7" s="38"/>
      <c r="I7" s="35"/>
      <c r="J7" s="39"/>
      <c r="K7" s="40"/>
      <c r="L7" s="40"/>
      <c r="M7" s="40"/>
    </row>
    <row r="8" spans="1:15" s="41" customFormat="1" ht="18.75">
      <c r="A8" s="42"/>
      <c r="B8" s="43" t="s">
        <v>574</v>
      </c>
      <c r="C8" s="44"/>
      <c r="D8" s="44"/>
      <c r="E8" s="46">
        <f>F18*0.15</f>
        <v>856.55677499999979</v>
      </c>
      <c r="F8" s="46">
        <f>F42*0.15</f>
        <v>641.46825000000001</v>
      </c>
      <c r="G8" s="47"/>
      <c r="H8" s="47"/>
      <c r="I8" s="44"/>
      <c r="J8" s="48"/>
      <c r="K8" s="40"/>
      <c r="L8" s="40"/>
      <c r="M8" s="40"/>
    </row>
    <row r="9" spans="1:15" s="18" customFormat="1" ht="18">
      <c r="A9" s="20"/>
      <c r="G9" s="49"/>
      <c r="N9" s="50"/>
    </row>
    <row r="10" spans="1:15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636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</row>
    <row r="11" spans="1:15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5" s="18" customFormat="1" ht="18">
      <c r="A12" s="53"/>
      <c r="B12" s="54" t="s">
        <v>584</v>
      </c>
      <c r="C12" s="55"/>
      <c r="D12" s="56"/>
      <c r="E12" s="57">
        <f t="shared" ref="E12:J17" si="0">SUM(E18,E42)</f>
        <v>8322.3612500000017</v>
      </c>
      <c r="F12" s="58">
        <f t="shared" si="0"/>
        <v>9986.8334999999988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  <c r="M12" s="50"/>
    </row>
    <row r="13" spans="1:15" s="18" customFormat="1" ht="18">
      <c r="A13" s="61"/>
      <c r="B13" s="62" t="s">
        <v>10</v>
      </c>
      <c r="C13" s="63"/>
      <c r="D13" s="64"/>
      <c r="E13" s="65">
        <f t="shared" si="0"/>
        <v>329.45000000000005</v>
      </c>
      <c r="F13" s="66">
        <f t="shared" si="0"/>
        <v>395.34000000000003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5" s="18" customFormat="1" ht="18">
      <c r="A14" s="61"/>
      <c r="B14" s="62" t="s">
        <v>9</v>
      </c>
      <c r="C14" s="63"/>
      <c r="D14" s="64"/>
      <c r="E14" s="65">
        <f t="shared" si="0"/>
        <v>6328.4390000000003</v>
      </c>
      <c r="F14" s="66">
        <f t="shared" si="0"/>
        <v>7594.1268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5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5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4" s="18" customFormat="1" ht="18">
      <c r="A17" s="69"/>
      <c r="B17" s="70" t="s">
        <v>14</v>
      </c>
      <c r="C17" s="71"/>
      <c r="D17" s="72"/>
      <c r="E17" s="73">
        <f t="shared" si="0"/>
        <v>1664.47225</v>
      </c>
      <c r="F17" s="74">
        <f t="shared" si="0"/>
        <v>1997.3667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4" s="79" customFormat="1" ht="18">
      <c r="A18" s="77">
        <v>1</v>
      </c>
      <c r="B18" s="54" t="s">
        <v>5</v>
      </c>
      <c r="C18" s="78"/>
      <c r="D18" s="78"/>
      <c r="E18" s="57">
        <f t="shared" ref="E18:J18" si="1">SUM(E19:E23)</f>
        <v>4758.6487500000003</v>
      </c>
      <c r="F18" s="58">
        <f t="shared" si="1"/>
        <v>5710.3784999999989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4" s="79" customFormat="1" ht="18">
      <c r="A19" s="80"/>
      <c r="B19" s="62" t="s">
        <v>10</v>
      </c>
      <c r="C19" s="63"/>
      <c r="D19" s="64"/>
      <c r="E19" s="65">
        <f>SUM(E25,E31,E37)</f>
        <v>199.14400000000001</v>
      </c>
      <c r="F19" s="66">
        <f t="shared" ref="E19:J23" si="2">SUM(F25,F31,F37)</f>
        <v>238.97280000000001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</row>
    <row r="20" spans="1:14" s="79" customFormat="1" ht="18">
      <c r="A20" s="80"/>
      <c r="B20" s="62" t="s">
        <v>9</v>
      </c>
      <c r="C20" s="63"/>
      <c r="D20" s="64"/>
      <c r="E20" s="65">
        <f>SUM(E26,E32,E38)</f>
        <v>3607.7750000000001</v>
      </c>
      <c r="F20" s="66">
        <f t="shared" si="2"/>
        <v>4329.33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4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4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4" s="79" customFormat="1" ht="18">
      <c r="A23" s="81"/>
      <c r="B23" s="70" t="s">
        <v>14</v>
      </c>
      <c r="C23" s="71"/>
      <c r="D23" s="72"/>
      <c r="E23" s="73">
        <f>SUM(E29,E35,E41)</f>
        <v>951.72974999999997</v>
      </c>
      <c r="F23" s="74">
        <f t="shared" si="2"/>
        <v>1142.0756999999999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4" s="79" customFormat="1" ht="126">
      <c r="A24" s="371" t="s">
        <v>25</v>
      </c>
      <c r="B24" s="372" t="s">
        <v>637</v>
      </c>
      <c r="C24" s="373"/>
      <c r="D24" s="386">
        <v>52.98</v>
      </c>
      <c r="E24" s="84">
        <f>SUM(E25:E29)</f>
        <v>4758.6487500000003</v>
      </c>
      <c r="F24" s="84">
        <f>E24*1.2</f>
        <v>5710.3784999999998</v>
      </c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  <c r="M24" s="103"/>
    </row>
    <row r="25" spans="1:14" s="95" customFormat="1" ht="18">
      <c r="A25" s="88"/>
      <c r="B25" s="89" t="s">
        <v>10</v>
      </c>
      <c r="C25" s="90"/>
      <c r="D25" s="91"/>
      <c r="E25" s="91">
        <v>199.14400000000001</v>
      </c>
      <c r="F25" s="92">
        <f>E25*1.2</f>
        <v>238.97280000000001</v>
      </c>
      <c r="G25" s="93"/>
      <c r="H25" s="94"/>
      <c r="I25" s="93"/>
      <c r="J25" s="94"/>
      <c r="K25" s="91"/>
      <c r="L25" s="92"/>
      <c r="M25" s="96"/>
      <c r="N25" s="96"/>
    </row>
    <row r="26" spans="1:14" s="95" customFormat="1" ht="18">
      <c r="A26" s="88"/>
      <c r="B26" s="89" t="s">
        <v>9</v>
      </c>
      <c r="C26" s="90"/>
      <c r="D26" s="91"/>
      <c r="E26" s="91">
        <v>3607.7750000000001</v>
      </c>
      <c r="F26" s="92">
        <f>E26*1.2</f>
        <v>4329.33</v>
      </c>
      <c r="G26" s="93"/>
      <c r="H26" s="94"/>
      <c r="I26" s="93"/>
      <c r="J26" s="94"/>
      <c r="K26" s="91"/>
      <c r="L26" s="92"/>
      <c r="M26" s="96"/>
    </row>
    <row r="27" spans="1:14" s="95" customFormat="1" ht="18">
      <c r="A27" s="88"/>
      <c r="B27" s="89" t="s">
        <v>12</v>
      </c>
      <c r="C27" s="90"/>
      <c r="D27" s="91"/>
      <c r="E27" s="91"/>
      <c r="F27" s="92"/>
      <c r="G27" s="93"/>
      <c r="H27" s="94"/>
      <c r="I27" s="93"/>
      <c r="J27" s="94"/>
      <c r="K27" s="91"/>
      <c r="L27" s="92"/>
      <c r="M27" s="96"/>
      <c r="N27" s="96"/>
    </row>
    <row r="28" spans="1:14" s="95" customFormat="1" ht="18">
      <c r="A28" s="88"/>
      <c r="B28" s="89" t="s">
        <v>13</v>
      </c>
      <c r="C28" s="90"/>
      <c r="D28" s="91"/>
      <c r="E28" s="91"/>
      <c r="F28" s="92"/>
      <c r="G28" s="93"/>
      <c r="H28" s="94"/>
      <c r="I28" s="93"/>
      <c r="J28" s="94"/>
      <c r="K28" s="91"/>
      <c r="L28" s="92"/>
      <c r="M28" s="96"/>
    </row>
    <row r="29" spans="1:14" s="95" customFormat="1" ht="18">
      <c r="A29" s="97"/>
      <c r="B29" s="98" t="s">
        <v>14</v>
      </c>
      <c r="C29" s="99"/>
      <c r="D29" s="100"/>
      <c r="E29" s="100">
        <f>(E25+E26+E27)/80%*20%</f>
        <v>951.72974999999997</v>
      </c>
      <c r="F29" s="101">
        <f>E29*1.2</f>
        <v>1142.0756999999999</v>
      </c>
      <c r="G29" s="93"/>
      <c r="H29" s="94"/>
      <c r="I29" s="93"/>
      <c r="J29" s="94"/>
      <c r="K29" s="91"/>
      <c r="L29" s="92"/>
    </row>
    <row r="30" spans="1:14" s="79" customFormat="1" ht="144" hidden="1" customHeight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  <c r="M30" s="103">
        <v>11264.282999999999</v>
      </c>
      <c r="N30" s="103"/>
    </row>
    <row r="31" spans="1:14" s="95" customFormat="1" ht="18" hidden="1" customHeight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  <c r="M31" s="96"/>
    </row>
    <row r="32" spans="1:14" s="95" customFormat="1" ht="15" hidden="1" customHeight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  <c r="M32" s="96"/>
    </row>
    <row r="33" spans="1:14" s="95" customFormat="1" ht="18" hidden="1" customHeight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  <c r="M33" s="96"/>
    </row>
    <row r="34" spans="1:14" s="95" customFormat="1" ht="18" hidden="1" customHeight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4" s="95" customFormat="1" ht="18" hidden="1" customHeight="1">
      <c r="A35" s="97"/>
      <c r="B35" s="98" t="s">
        <v>14</v>
      </c>
      <c r="C35" s="99"/>
      <c r="D35" s="100"/>
      <c r="E35" s="100">
        <f>(E31+E32+E33)/80%*20%</f>
        <v>0</v>
      </c>
      <c r="F35" s="92">
        <f>E35*1.2</f>
        <v>0</v>
      </c>
      <c r="G35" s="104"/>
      <c r="H35" s="104"/>
      <c r="I35" s="104"/>
      <c r="J35" s="104"/>
      <c r="K35" s="96"/>
      <c r="L35" s="96"/>
    </row>
    <row r="36" spans="1:14" s="79" customFormat="1" ht="18" hidden="1" customHeight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customHeight="1" outlineLevel="1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1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1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1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14" s="110" customFormat="1" ht="18" collapsed="1">
      <c r="A42" s="107">
        <v>2</v>
      </c>
      <c r="B42" s="108" t="s">
        <v>0</v>
      </c>
      <c r="C42" s="109"/>
      <c r="D42" s="109"/>
      <c r="E42" s="84">
        <f t="shared" ref="E42:J42" si="4">SUM(E43:E47)</f>
        <v>3563.7125000000005</v>
      </c>
      <c r="F42" s="85">
        <f t="shared" si="4"/>
        <v>4276.4549999999999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14" s="110" customFormat="1" ht="18">
      <c r="A43" s="80"/>
      <c r="B43" s="62" t="s">
        <v>10</v>
      </c>
      <c r="C43" s="111"/>
      <c r="D43" s="112"/>
      <c r="E43" s="112">
        <f>E49+E55+E61</f>
        <v>130.30600000000001</v>
      </c>
      <c r="F43" s="113">
        <f t="shared" ref="F43:J47" si="5">SUM(F49,F55,F61)</f>
        <v>156.3672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14" s="110" customFormat="1" ht="18">
      <c r="A44" s="80"/>
      <c r="B44" s="62" t="s">
        <v>9</v>
      </c>
      <c r="C44" s="111"/>
      <c r="D44" s="112"/>
      <c r="E44" s="112">
        <f>E50+E56+E62</f>
        <v>2720.6640000000002</v>
      </c>
      <c r="F44" s="113">
        <f t="shared" si="5"/>
        <v>3264.7968000000001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14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5"/>
        <v>0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14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14" s="110" customFormat="1" ht="18">
      <c r="A47" s="116"/>
      <c r="B47" s="117" t="s">
        <v>14</v>
      </c>
      <c r="C47" s="118"/>
      <c r="D47" s="376"/>
      <c r="E47" s="112">
        <f>E53+E59+E65</f>
        <v>712.74250000000006</v>
      </c>
      <c r="F47" s="120">
        <f t="shared" si="5"/>
        <v>855.29100000000005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</row>
    <row r="48" spans="1:14" s="110" customFormat="1" ht="108">
      <c r="A48" s="77" t="s">
        <v>26</v>
      </c>
      <c r="B48" s="377" t="s">
        <v>638</v>
      </c>
      <c r="C48" s="378"/>
      <c r="D48" s="387">
        <v>52.98</v>
      </c>
      <c r="E48" s="380">
        <f t="shared" ref="E48:J48" si="6">SUM(E49:E53)</f>
        <v>3563.7125000000005</v>
      </c>
      <c r="F48" s="381">
        <f t="shared" si="6"/>
        <v>4276.4549999999999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  <c r="M48" s="375"/>
    </row>
    <row r="49" spans="1:14" s="124" customFormat="1" ht="18">
      <c r="A49" s="88"/>
      <c r="B49" s="382" t="s">
        <v>10</v>
      </c>
      <c r="C49" s="383"/>
      <c r="D49" s="384"/>
      <c r="E49" s="384">
        <v>130.30600000000001</v>
      </c>
      <c r="F49" s="106">
        <f>E49*1.2</f>
        <v>156.3672</v>
      </c>
      <c r="G49" s="93"/>
      <c r="H49" s="94"/>
      <c r="I49" s="93"/>
      <c r="J49" s="94"/>
      <c r="K49" s="91"/>
      <c r="L49" s="92"/>
    </row>
    <row r="50" spans="1:14" s="124" customFormat="1" ht="18">
      <c r="A50" s="88"/>
      <c r="B50" s="89" t="s">
        <v>9</v>
      </c>
      <c r="C50" s="90"/>
      <c r="D50" s="91"/>
      <c r="E50" s="91">
        <v>2720.6640000000002</v>
      </c>
      <c r="F50" s="92">
        <f>E50*1.2</f>
        <v>3264.7968000000001</v>
      </c>
      <c r="G50" s="93"/>
      <c r="H50" s="94"/>
      <c r="I50" s="93"/>
      <c r="J50" s="94"/>
      <c r="K50" s="91"/>
      <c r="L50" s="92"/>
    </row>
    <row r="51" spans="1:14" s="124" customFormat="1" ht="18">
      <c r="A51" s="88"/>
      <c r="B51" s="89" t="s">
        <v>12</v>
      </c>
      <c r="C51" s="90"/>
      <c r="D51" s="91"/>
      <c r="E51" s="91"/>
      <c r="F51" s="92"/>
      <c r="G51" s="93"/>
      <c r="H51" s="94"/>
      <c r="I51" s="93"/>
      <c r="J51" s="94"/>
      <c r="K51" s="91"/>
      <c r="L51" s="92"/>
    </row>
    <row r="52" spans="1:14" s="124" customFormat="1" ht="18">
      <c r="A52" s="88"/>
      <c r="B52" s="89" t="s">
        <v>13</v>
      </c>
      <c r="C52" s="90"/>
      <c r="D52" s="91"/>
      <c r="E52" s="91"/>
      <c r="F52" s="92"/>
      <c r="G52" s="93"/>
      <c r="H52" s="94"/>
      <c r="I52" s="93"/>
      <c r="J52" s="94"/>
      <c r="K52" s="91"/>
      <c r="L52" s="92"/>
    </row>
    <row r="53" spans="1:14" s="124" customFormat="1" ht="18">
      <c r="A53" s="97"/>
      <c r="B53" s="98" t="s">
        <v>14</v>
      </c>
      <c r="C53" s="99"/>
      <c r="D53" s="100"/>
      <c r="E53" s="100">
        <f>(E49+E50+E51)/80%*20%</f>
        <v>712.74250000000006</v>
      </c>
      <c r="F53" s="92">
        <f t="shared" ref="F53:F59" si="7">E53*1.2</f>
        <v>855.29100000000005</v>
      </c>
      <c r="G53" s="125"/>
      <c r="H53" s="126"/>
      <c r="I53" s="125"/>
      <c r="J53" s="126"/>
      <c r="K53" s="100"/>
      <c r="L53" s="101"/>
    </row>
    <row r="54" spans="1:14" s="110" customFormat="1" ht="51" hidden="1" customHeight="1" outlineLevel="1">
      <c r="A54" s="77" t="s">
        <v>27</v>
      </c>
      <c r="B54" s="127"/>
      <c r="C54" s="385"/>
      <c r="D54" s="386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  <c r="N54" s="375">
        <f>E48+E54</f>
        <v>3563.7125000000005</v>
      </c>
    </row>
    <row r="55" spans="1:14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4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4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4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4" s="124" customFormat="1" ht="18" hidden="1" outlineLevel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37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37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</row>
    <row r="67" spans="1:37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7"/>
  <sheetViews>
    <sheetView view="pageBreakPreview" topLeftCell="A7" zoomScale="60" zoomScaleNormal="100" workbookViewId="0">
      <selection activeCell="B24" sqref="B24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25.5703125" customWidth="1" collapsed="1"/>
    <col min="14" max="14" width="15.42578125" bestFit="1" customWidth="1"/>
    <col min="15" max="15" width="11.85546875" customWidth="1"/>
    <col min="18" max="18" width="11.5703125" bestFit="1" customWidth="1"/>
  </cols>
  <sheetData>
    <row r="1" spans="1:15" s="18" customFormat="1" ht="67.5" thickTop="1" thickBot="1">
      <c r="A1" s="15" t="s">
        <v>559</v>
      </c>
      <c r="B1" s="16" t="s">
        <v>178</v>
      </c>
      <c r="C1" s="17" t="s">
        <v>561</v>
      </c>
      <c r="D1" s="133">
        <v>476</v>
      </c>
      <c r="E1" s="134">
        <v>44865</v>
      </c>
      <c r="K1" s="18" t="s">
        <v>563</v>
      </c>
    </row>
    <row r="2" spans="1:15" s="18" customFormat="1" ht="67.5" thickTop="1" thickBot="1">
      <c r="A2" s="15" t="s">
        <v>564</v>
      </c>
      <c r="B2" s="16" t="s">
        <v>639</v>
      </c>
      <c r="C2" s="17" t="s">
        <v>566</v>
      </c>
      <c r="D2" s="133">
        <v>476</v>
      </c>
      <c r="E2" s="134">
        <v>44865</v>
      </c>
      <c r="F2" s="19"/>
      <c r="K2" s="18" t="s">
        <v>568</v>
      </c>
    </row>
    <row r="3" spans="1:15" s="18" customFormat="1" ht="18.75" thickTop="1">
      <c r="A3" s="20"/>
      <c r="C3" s="15"/>
      <c r="G3" s="21" t="str">
        <f>[21]ЗАО_ВОЛЬВО_ВОСТОК!G3</f>
        <v>на 01.01.2016 г.</v>
      </c>
    </row>
    <row r="4" spans="1:15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5" s="18" customFormat="1" ht="18">
      <c r="A5" s="27"/>
      <c r="B5" s="28"/>
      <c r="C5" s="28"/>
      <c r="D5" s="28"/>
      <c r="E5" s="29">
        <f>SUM(E6:E8)</f>
        <v>5978.7964799999991</v>
      </c>
      <c r="F5" s="29">
        <f>SUM(F6:F8)</f>
        <v>10750.03758</v>
      </c>
      <c r="G5" s="30"/>
      <c r="H5" s="31">
        <f>SUM(H6:H8)</f>
        <v>0</v>
      </c>
      <c r="I5" s="28"/>
      <c r="J5" s="32"/>
    </row>
    <row r="6" spans="1:15" s="41" customFormat="1" ht="18.75">
      <c r="A6" s="33"/>
      <c r="B6" s="34" t="s">
        <v>572</v>
      </c>
      <c r="C6" s="35"/>
      <c r="D6" s="35"/>
      <c r="E6" s="37">
        <f>F18*0.35</f>
        <v>2092.5787679999994</v>
      </c>
      <c r="F6" s="37">
        <f>F42*0.35</f>
        <v>3762.5131529999999</v>
      </c>
      <c r="G6" s="38"/>
      <c r="H6" s="38"/>
      <c r="I6" s="35"/>
      <c r="J6" s="39"/>
      <c r="K6" s="40"/>
      <c r="L6" s="40"/>
      <c r="M6" s="40"/>
    </row>
    <row r="7" spans="1:15" s="41" customFormat="1" ht="18.75">
      <c r="A7" s="33"/>
      <c r="B7" s="34" t="s">
        <v>573</v>
      </c>
      <c r="C7" s="35"/>
      <c r="D7" s="35"/>
      <c r="E7" s="37">
        <f>F18*0.5</f>
        <v>2989.3982399999995</v>
      </c>
      <c r="F7" s="37">
        <f>F42*0.5</f>
        <v>5375.0187900000001</v>
      </c>
      <c r="G7" s="38"/>
      <c r="H7" s="38"/>
      <c r="I7" s="35"/>
      <c r="J7" s="39"/>
      <c r="K7" s="40"/>
      <c r="L7" s="40"/>
      <c r="M7" s="40"/>
    </row>
    <row r="8" spans="1:15" s="41" customFormat="1" ht="18.75">
      <c r="A8" s="42"/>
      <c r="B8" s="43" t="s">
        <v>574</v>
      </c>
      <c r="C8" s="44"/>
      <c r="D8" s="44"/>
      <c r="E8" s="46">
        <f>F18*0.15</f>
        <v>896.81947199999979</v>
      </c>
      <c r="F8" s="46">
        <f>F42*0.15</f>
        <v>1612.505637</v>
      </c>
      <c r="G8" s="47"/>
      <c r="H8" s="47"/>
      <c r="I8" s="44"/>
      <c r="J8" s="48"/>
      <c r="K8" s="40"/>
      <c r="L8" s="40"/>
      <c r="M8" s="40"/>
    </row>
    <row r="9" spans="1:15" s="18" customFormat="1" ht="18">
      <c r="A9" s="20"/>
      <c r="G9" s="49"/>
      <c r="N9" s="50"/>
    </row>
    <row r="10" spans="1:15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640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</row>
    <row r="11" spans="1:15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5" s="18" customFormat="1" ht="18">
      <c r="A12" s="53"/>
      <c r="B12" s="54" t="s">
        <v>584</v>
      </c>
      <c r="C12" s="55"/>
      <c r="D12" s="56"/>
      <c r="E12" s="57">
        <f t="shared" ref="E12:J17" si="0">SUM(E18,E42)</f>
        <v>13940.695049999998</v>
      </c>
      <c r="F12" s="58">
        <f t="shared" si="0"/>
        <v>16728.834060000001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  <c r="M12" s="50">
        <v>14586.583124999999</v>
      </c>
    </row>
    <row r="13" spans="1:15" s="18" customFormat="1" ht="18">
      <c r="A13" s="61"/>
      <c r="B13" s="62" t="s">
        <v>10</v>
      </c>
      <c r="C13" s="63"/>
      <c r="D13" s="64"/>
      <c r="E13" s="65">
        <f t="shared" si="0"/>
        <v>475.55099999999999</v>
      </c>
      <c r="F13" s="66">
        <f t="shared" si="0"/>
        <v>570.66120000000001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5" s="18" customFormat="1" ht="18">
      <c r="A14" s="61"/>
      <c r="B14" s="62" t="s">
        <v>9</v>
      </c>
      <c r="C14" s="63"/>
      <c r="D14" s="64"/>
      <c r="E14" s="65">
        <f t="shared" si="0"/>
        <v>10677.00504</v>
      </c>
      <c r="F14" s="66">
        <f t="shared" si="0"/>
        <v>12812.406048000001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5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5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4" s="18" customFormat="1" ht="18">
      <c r="A17" s="69"/>
      <c r="B17" s="70" t="s">
        <v>14</v>
      </c>
      <c r="C17" s="71"/>
      <c r="D17" s="72"/>
      <c r="E17" s="73">
        <f t="shared" si="0"/>
        <v>2788.1390099999999</v>
      </c>
      <c r="F17" s="74">
        <f t="shared" si="0"/>
        <v>3345.7668119999994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4" s="79" customFormat="1" ht="18">
      <c r="A18" s="77">
        <v>1</v>
      </c>
      <c r="B18" s="54" t="s">
        <v>5</v>
      </c>
      <c r="C18" s="78"/>
      <c r="D18" s="78"/>
      <c r="E18" s="57">
        <f t="shared" ref="E18:J18" si="1">SUM(E19:E23)</f>
        <v>4982.3303999999998</v>
      </c>
      <c r="F18" s="58">
        <f t="shared" si="1"/>
        <v>5978.7964799999991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4" s="79" customFormat="1" ht="18">
      <c r="A19" s="80"/>
      <c r="B19" s="62" t="s">
        <v>10</v>
      </c>
      <c r="C19" s="63"/>
      <c r="D19" s="64"/>
      <c r="E19" s="65">
        <f>SUM(E25,E31,E37)</f>
        <v>226.178</v>
      </c>
      <c r="F19" s="66">
        <f t="shared" ref="E19:J23" si="2">SUM(F25,F31,F37)</f>
        <v>271.41359999999997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</row>
    <row r="20" spans="1:14" s="79" customFormat="1" ht="18">
      <c r="A20" s="80"/>
      <c r="B20" s="62" t="s">
        <v>9</v>
      </c>
      <c r="C20" s="63"/>
      <c r="D20" s="64"/>
      <c r="E20" s="65">
        <f>SUM(E26,E32,E38)</f>
        <v>3759.6863199999998</v>
      </c>
      <c r="F20" s="66">
        <f t="shared" si="2"/>
        <v>4511.6235839999999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4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4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4" s="79" customFormat="1" ht="18">
      <c r="A23" s="81"/>
      <c r="B23" s="70" t="s">
        <v>14</v>
      </c>
      <c r="C23" s="71"/>
      <c r="D23" s="72"/>
      <c r="E23" s="73">
        <f>SUM(E29,E35,E41)</f>
        <v>996.46607999999981</v>
      </c>
      <c r="F23" s="74">
        <f t="shared" si="2"/>
        <v>1195.7592959999997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4" s="79" customFormat="1" ht="126">
      <c r="A24" s="371" t="s">
        <v>25</v>
      </c>
      <c r="B24" s="372" t="s">
        <v>641</v>
      </c>
      <c r="C24" s="373"/>
      <c r="D24" s="386">
        <v>79.05</v>
      </c>
      <c r="E24" s="84">
        <f>SUM(E25:E29)</f>
        <v>4982.3303999999998</v>
      </c>
      <c r="F24" s="84">
        <f>E24*1.2</f>
        <v>5978.79648</v>
      </c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  <c r="M24" s="103"/>
    </row>
    <row r="25" spans="1:14" s="95" customFormat="1" ht="18">
      <c r="A25" s="88"/>
      <c r="B25" s="89" t="s">
        <v>10</v>
      </c>
      <c r="C25" s="90"/>
      <c r="D25" s="91"/>
      <c r="E25" s="91">
        <v>226.178</v>
      </c>
      <c r="F25" s="92">
        <f>E25*1.2</f>
        <v>271.41359999999997</v>
      </c>
      <c r="G25" s="93"/>
      <c r="H25" s="94"/>
      <c r="I25" s="93"/>
      <c r="J25" s="94"/>
      <c r="K25" s="91"/>
      <c r="L25" s="92"/>
      <c r="M25" s="96"/>
      <c r="N25" s="96"/>
    </row>
    <row r="26" spans="1:14" s="95" customFormat="1" ht="18">
      <c r="A26" s="88"/>
      <c r="B26" s="89" t="s">
        <v>9</v>
      </c>
      <c r="C26" s="90"/>
      <c r="D26" s="91"/>
      <c r="E26" s="91">
        <v>3759.6863199999998</v>
      </c>
      <c r="F26" s="92">
        <f>E26*1.2</f>
        <v>4511.6235839999999</v>
      </c>
      <c r="G26" s="93"/>
      <c r="H26" s="94"/>
      <c r="I26" s="93"/>
      <c r="J26" s="94"/>
      <c r="K26" s="91"/>
      <c r="L26" s="92"/>
      <c r="M26" s="96"/>
    </row>
    <row r="27" spans="1:14" s="95" customFormat="1" ht="18">
      <c r="A27" s="88"/>
      <c r="B27" s="89" t="s">
        <v>12</v>
      </c>
      <c r="C27" s="90"/>
      <c r="D27" s="91"/>
      <c r="E27" s="91"/>
      <c r="F27" s="92"/>
      <c r="G27" s="93"/>
      <c r="H27" s="94"/>
      <c r="I27" s="93"/>
      <c r="J27" s="94"/>
      <c r="K27" s="91"/>
      <c r="L27" s="92"/>
      <c r="M27" s="96"/>
      <c r="N27" s="96"/>
    </row>
    <row r="28" spans="1:14" s="95" customFormat="1" ht="18">
      <c r="A28" s="88"/>
      <c r="B28" s="89" t="s">
        <v>13</v>
      </c>
      <c r="C28" s="90"/>
      <c r="D28" s="91"/>
      <c r="E28" s="91"/>
      <c r="F28" s="92"/>
      <c r="G28" s="93"/>
      <c r="H28" s="94"/>
      <c r="I28" s="93"/>
      <c r="J28" s="94"/>
      <c r="K28" s="91"/>
      <c r="L28" s="92"/>
      <c r="M28" s="96"/>
    </row>
    <row r="29" spans="1:14" s="95" customFormat="1" ht="18">
      <c r="A29" s="97"/>
      <c r="B29" s="98" t="s">
        <v>14</v>
      </c>
      <c r="C29" s="99"/>
      <c r="D29" s="100"/>
      <c r="E29" s="100">
        <f>(E25+E26+E27)/80%*20%</f>
        <v>996.46607999999981</v>
      </c>
      <c r="F29" s="101">
        <f>E29*1.2</f>
        <v>1195.7592959999997</v>
      </c>
      <c r="G29" s="93"/>
      <c r="H29" s="94"/>
      <c r="I29" s="93"/>
      <c r="J29" s="94"/>
      <c r="K29" s="91"/>
      <c r="L29" s="92"/>
    </row>
    <row r="30" spans="1:14" s="79" customFormat="1" ht="144" hidden="1" customHeight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  <c r="M30" s="103">
        <v>11264.282999999999</v>
      </c>
      <c r="N30" s="103"/>
    </row>
    <row r="31" spans="1:14" s="95" customFormat="1" ht="18" hidden="1" customHeight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  <c r="M31" s="96"/>
    </row>
    <row r="32" spans="1:14" s="95" customFormat="1" ht="15" hidden="1" customHeight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  <c r="M32" s="96"/>
    </row>
    <row r="33" spans="1:14" s="95" customFormat="1" ht="18" hidden="1" customHeight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  <c r="M33" s="96"/>
    </row>
    <row r="34" spans="1:14" s="95" customFormat="1" ht="18" hidden="1" customHeight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4" s="95" customFormat="1" ht="18" hidden="1" customHeight="1">
      <c r="A35" s="97"/>
      <c r="B35" s="98" t="s">
        <v>14</v>
      </c>
      <c r="C35" s="99"/>
      <c r="D35" s="100"/>
      <c r="E35" s="100">
        <f>(E31+E32+E33)/80%*20%</f>
        <v>0</v>
      </c>
      <c r="F35" s="92">
        <f>E35*1.2</f>
        <v>0</v>
      </c>
      <c r="G35" s="104"/>
      <c r="H35" s="104"/>
      <c r="I35" s="104"/>
      <c r="J35" s="104"/>
      <c r="K35" s="96"/>
      <c r="L35" s="96"/>
    </row>
    <row r="36" spans="1:14" s="79" customFormat="1" ht="18" hidden="1" customHeight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customHeight="1" outlineLevel="1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1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1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1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14" s="110" customFormat="1" ht="18" collapsed="1">
      <c r="A42" s="107">
        <v>2</v>
      </c>
      <c r="B42" s="108" t="s">
        <v>0</v>
      </c>
      <c r="C42" s="109"/>
      <c r="D42" s="109"/>
      <c r="E42" s="84">
        <f t="shared" ref="E42:J42" si="4">SUM(E43:E47)</f>
        <v>8958.3646499999995</v>
      </c>
      <c r="F42" s="85">
        <f t="shared" si="4"/>
        <v>10750.03758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14" s="110" customFormat="1" ht="18">
      <c r="A43" s="80"/>
      <c r="B43" s="62" t="s">
        <v>10</v>
      </c>
      <c r="C43" s="111"/>
      <c r="D43" s="112"/>
      <c r="E43" s="112">
        <f>E49+E55+E61</f>
        <v>249.37299999999999</v>
      </c>
      <c r="F43" s="113">
        <f t="shared" ref="F43:J47" si="5">SUM(F49,F55,F61)</f>
        <v>299.24759999999998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14" s="110" customFormat="1" ht="18">
      <c r="A44" s="80"/>
      <c r="B44" s="62" t="s">
        <v>9</v>
      </c>
      <c r="C44" s="111"/>
      <c r="D44" s="112"/>
      <c r="E44" s="112">
        <f>E50+E56+E62</f>
        <v>6917.3187200000002</v>
      </c>
      <c r="F44" s="113">
        <f t="shared" si="5"/>
        <v>8300.7824639999999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14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5"/>
        <v>0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14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14" s="110" customFormat="1" ht="18">
      <c r="A47" s="116"/>
      <c r="B47" s="117" t="s">
        <v>14</v>
      </c>
      <c r="C47" s="118"/>
      <c r="D47" s="376"/>
      <c r="E47" s="112">
        <f>E53+E59+E65</f>
        <v>1791.67293</v>
      </c>
      <c r="F47" s="120">
        <f t="shared" si="5"/>
        <v>2150.0075159999997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</row>
    <row r="48" spans="1:14" s="110" customFormat="1" ht="108">
      <c r="A48" s="77" t="s">
        <v>26</v>
      </c>
      <c r="B48" s="377" t="s">
        <v>642</v>
      </c>
      <c r="C48" s="378"/>
      <c r="D48" s="387">
        <v>46.04</v>
      </c>
      <c r="E48" s="380">
        <f t="shared" ref="E48:J48" si="6">SUM(E49:E53)</f>
        <v>8958.3646499999995</v>
      </c>
      <c r="F48" s="381">
        <f t="shared" si="6"/>
        <v>10750.03758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  <c r="M48" s="375">
        <v>3127.0419999999999</v>
      </c>
    </row>
    <row r="49" spans="1:14" s="124" customFormat="1" ht="18">
      <c r="A49" s="88"/>
      <c r="B49" s="382" t="s">
        <v>10</v>
      </c>
      <c r="C49" s="383"/>
      <c r="D49" s="384"/>
      <c r="E49" s="384">
        <v>249.37299999999999</v>
      </c>
      <c r="F49" s="106">
        <f>E49*1.2</f>
        <v>299.24759999999998</v>
      </c>
      <c r="G49" s="93"/>
      <c r="H49" s="94"/>
      <c r="I49" s="93"/>
      <c r="J49" s="94"/>
      <c r="K49" s="91"/>
      <c r="L49" s="92"/>
    </row>
    <row r="50" spans="1:14" s="124" customFormat="1" ht="18">
      <c r="A50" s="88"/>
      <c r="B50" s="89" t="s">
        <v>9</v>
      </c>
      <c r="C50" s="90"/>
      <c r="D50" s="91"/>
      <c r="E50" s="91">
        <v>6917.3187200000002</v>
      </c>
      <c r="F50" s="92">
        <f>E50*1.2</f>
        <v>8300.7824639999999</v>
      </c>
      <c r="G50" s="93"/>
      <c r="H50" s="94"/>
      <c r="I50" s="93"/>
      <c r="J50" s="94"/>
      <c r="K50" s="91"/>
      <c r="L50" s="92"/>
    </row>
    <row r="51" spans="1:14" s="124" customFormat="1" ht="18">
      <c r="A51" s="88"/>
      <c r="B51" s="89" t="s">
        <v>12</v>
      </c>
      <c r="C51" s="90"/>
      <c r="D51" s="91"/>
      <c r="E51" s="91"/>
      <c r="F51" s="92"/>
      <c r="G51" s="93"/>
      <c r="H51" s="94"/>
      <c r="I51" s="93"/>
      <c r="J51" s="94"/>
      <c r="K51" s="91"/>
      <c r="L51" s="92"/>
    </row>
    <row r="52" spans="1:14" s="124" customFormat="1" ht="18">
      <c r="A52" s="88"/>
      <c r="B52" s="89" t="s">
        <v>13</v>
      </c>
      <c r="C52" s="90"/>
      <c r="D52" s="91"/>
      <c r="E52" s="91"/>
      <c r="F52" s="92"/>
      <c r="G52" s="93"/>
      <c r="H52" s="94"/>
      <c r="I52" s="93"/>
      <c r="J52" s="94"/>
      <c r="K52" s="91"/>
      <c r="L52" s="92"/>
    </row>
    <row r="53" spans="1:14" s="124" customFormat="1" ht="18">
      <c r="A53" s="97"/>
      <c r="B53" s="98" t="s">
        <v>14</v>
      </c>
      <c r="C53" s="99"/>
      <c r="D53" s="100"/>
      <c r="E53" s="100">
        <f>(E49+E50+E51)/80%*20%</f>
        <v>1791.67293</v>
      </c>
      <c r="F53" s="92">
        <f t="shared" ref="F53:F59" si="7">E53*1.2</f>
        <v>2150.0075159999997</v>
      </c>
      <c r="G53" s="125"/>
      <c r="H53" s="126"/>
      <c r="I53" s="125"/>
      <c r="J53" s="126"/>
      <c r="K53" s="100"/>
      <c r="L53" s="101"/>
    </row>
    <row r="54" spans="1:14" s="110" customFormat="1" ht="51" hidden="1" customHeight="1" outlineLevel="1">
      <c r="A54" s="77" t="s">
        <v>27</v>
      </c>
      <c r="B54" s="127"/>
      <c r="C54" s="385"/>
      <c r="D54" s="386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  <c r="N54" s="375">
        <f>E48+E54</f>
        <v>8958.3646499999995</v>
      </c>
    </row>
    <row r="55" spans="1:14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4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4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4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4" s="124" customFormat="1" ht="18" hidden="1" outlineLevel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37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37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</row>
    <row r="67" spans="1:37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  <colBreaks count="1" manualBreakCount="1">
    <brk id="12" max="52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7"/>
  <sheetViews>
    <sheetView view="pageBreakPreview" topLeftCell="A10" zoomScale="50" zoomScaleNormal="100" zoomScaleSheetLayoutView="50" workbookViewId="0">
      <selection activeCell="B24" sqref="B24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9.140625" collapsed="1"/>
    <col min="14" max="14" width="17" bestFit="1" customWidth="1"/>
    <col min="15" max="15" width="11.85546875" customWidth="1"/>
    <col min="18" max="18" width="11.5703125" bestFit="1" customWidth="1"/>
    <col min="19" max="20" width="12.42578125" bestFit="1" customWidth="1"/>
  </cols>
  <sheetData>
    <row r="1" spans="1:19" s="18" customFormat="1" ht="67.5" thickTop="1" thickBot="1">
      <c r="A1" s="15" t="s">
        <v>559</v>
      </c>
      <c r="B1" s="16" t="s">
        <v>242</v>
      </c>
      <c r="C1" s="17" t="s">
        <v>561</v>
      </c>
      <c r="D1" s="133"/>
      <c r="E1" s="134"/>
      <c r="K1" s="18" t="s">
        <v>563</v>
      </c>
    </row>
    <row r="2" spans="1:19" s="18" customFormat="1" ht="67.5" thickTop="1" thickBot="1">
      <c r="A2" s="15" t="s">
        <v>564</v>
      </c>
      <c r="B2" s="16" t="s">
        <v>643</v>
      </c>
      <c r="C2" s="17" t="s">
        <v>566</v>
      </c>
      <c r="D2" s="133"/>
      <c r="E2" s="134"/>
      <c r="F2" s="19"/>
      <c r="K2" s="18" t="s">
        <v>568</v>
      </c>
    </row>
    <row r="3" spans="1:19" s="18" customFormat="1" ht="18.75" thickTop="1">
      <c r="A3" s="20"/>
      <c r="C3" s="15"/>
      <c r="G3" s="21" t="str">
        <f>[21]ЗАО_ВОЛЬВО_ВОСТОК!G3</f>
        <v>на 01.01.2016 г.</v>
      </c>
    </row>
    <row r="4" spans="1:19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9" s="18" customFormat="1" ht="18">
      <c r="A5" s="27"/>
      <c r="B5" s="28"/>
      <c r="C5" s="28"/>
      <c r="D5" s="28"/>
      <c r="E5" s="29">
        <f>SUM(E6:E8)</f>
        <v>141.7029</v>
      </c>
      <c r="F5" s="29">
        <f>SUM(F6:F8)</f>
        <v>230.50649999999996</v>
      </c>
      <c r="G5" s="30"/>
      <c r="H5" s="31">
        <f>SUM(H6:H8)</f>
        <v>0</v>
      </c>
      <c r="I5" s="28"/>
      <c r="J5" s="32"/>
    </row>
    <row r="6" spans="1:19" s="41" customFormat="1" ht="18.75">
      <c r="A6" s="33"/>
      <c r="B6" s="34" t="s">
        <v>572</v>
      </c>
      <c r="C6" s="35"/>
      <c r="D6" s="35"/>
      <c r="E6" s="37">
        <f>F18*0.35</f>
        <v>49.596014999999994</v>
      </c>
      <c r="F6" s="37">
        <f>F42*0.35</f>
        <v>80.67727499999998</v>
      </c>
      <c r="G6" s="38"/>
      <c r="H6" s="38"/>
      <c r="I6" s="35"/>
      <c r="J6" s="39"/>
      <c r="K6" s="40"/>
      <c r="L6" s="40"/>
      <c r="M6" s="40"/>
    </row>
    <row r="7" spans="1:19" s="41" customFormat="1" ht="18.75">
      <c r="A7" s="33"/>
      <c r="B7" s="34" t="s">
        <v>573</v>
      </c>
      <c r="C7" s="35"/>
      <c r="D7" s="35"/>
      <c r="E7" s="37">
        <f>F18*0.5</f>
        <v>70.85145</v>
      </c>
      <c r="F7" s="37">
        <f>F42*0.5</f>
        <v>115.25324999999998</v>
      </c>
      <c r="G7" s="38"/>
      <c r="H7" s="38"/>
      <c r="I7" s="35"/>
      <c r="J7" s="39"/>
      <c r="K7" s="40"/>
      <c r="L7" s="40"/>
      <c r="M7" s="40"/>
    </row>
    <row r="8" spans="1:19" s="41" customFormat="1" ht="18.75">
      <c r="A8" s="42"/>
      <c r="B8" s="43" t="s">
        <v>574</v>
      </c>
      <c r="C8" s="44"/>
      <c r="D8" s="44"/>
      <c r="E8" s="46">
        <f>F18*0.15</f>
        <v>21.255434999999999</v>
      </c>
      <c r="F8" s="46">
        <f>F42*0.15</f>
        <v>34.575974999999993</v>
      </c>
      <c r="G8" s="47"/>
      <c r="H8" s="47"/>
      <c r="I8" s="44"/>
      <c r="J8" s="48"/>
      <c r="K8" s="40"/>
      <c r="L8" s="40"/>
      <c r="M8" s="40"/>
    </row>
    <row r="9" spans="1:19" s="18" customFormat="1" ht="18">
      <c r="A9" s="20"/>
      <c r="G9" s="49"/>
      <c r="N9" s="50"/>
    </row>
    <row r="10" spans="1:19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644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  <c r="S10" s="135"/>
    </row>
    <row r="11" spans="1:19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9" s="18" customFormat="1" ht="18">
      <c r="A12" s="53"/>
      <c r="B12" s="54" t="s">
        <v>584</v>
      </c>
      <c r="C12" s="55"/>
      <c r="D12" s="56"/>
      <c r="E12" s="57">
        <f t="shared" ref="E12:J17" si="0">SUM(E18,E42)</f>
        <v>310.17449999999997</v>
      </c>
      <c r="F12" s="58">
        <f t="shared" si="0"/>
        <v>372.20939999999996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</row>
    <row r="13" spans="1:19" s="18" customFormat="1" ht="18">
      <c r="A13" s="61"/>
      <c r="B13" s="62" t="s">
        <v>10</v>
      </c>
      <c r="C13" s="63"/>
      <c r="D13" s="64"/>
      <c r="E13" s="65">
        <f t="shared" si="0"/>
        <v>12.183299999999999</v>
      </c>
      <c r="F13" s="66">
        <f t="shared" si="0"/>
        <v>14.619959999999999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9" s="18" customFormat="1" ht="18">
      <c r="A14" s="61"/>
      <c r="B14" s="62" t="s">
        <v>9</v>
      </c>
      <c r="C14" s="63"/>
      <c r="D14" s="64"/>
      <c r="E14" s="65">
        <f t="shared" si="0"/>
        <v>235.9563</v>
      </c>
      <c r="F14" s="66">
        <f t="shared" si="0"/>
        <v>283.14756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9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9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9" s="18" customFormat="1" ht="18">
      <c r="A17" s="69"/>
      <c r="B17" s="70" t="s">
        <v>14</v>
      </c>
      <c r="C17" s="71"/>
      <c r="D17" s="72"/>
      <c r="E17" s="73">
        <f t="shared" si="0"/>
        <v>62.034899999999993</v>
      </c>
      <c r="F17" s="74">
        <f t="shared" si="0"/>
        <v>74.441879999999998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9" s="79" customFormat="1" ht="18">
      <c r="A18" s="77">
        <v>1</v>
      </c>
      <c r="B18" s="54" t="s">
        <v>5</v>
      </c>
      <c r="C18" s="78"/>
      <c r="D18" s="78"/>
      <c r="E18" s="57">
        <f t="shared" ref="E18:J18" si="1">SUM(E19:E23)</f>
        <v>118.08574999999999</v>
      </c>
      <c r="F18" s="58">
        <f t="shared" si="1"/>
        <v>141.7029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9" s="79" customFormat="1" ht="18">
      <c r="A19" s="80"/>
      <c r="B19" s="62" t="s">
        <v>10</v>
      </c>
      <c r="C19" s="63"/>
      <c r="D19" s="64"/>
      <c r="E19" s="65">
        <f>SUM(E25,E31,E37)</f>
        <v>4.4642999999999997</v>
      </c>
      <c r="F19" s="66">
        <f t="shared" ref="E19:J23" si="2">SUM(F25,F31,F37)</f>
        <v>5.3571599999999995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  <c r="S19" s="135"/>
    </row>
    <row r="20" spans="1:19" s="79" customFormat="1" ht="18">
      <c r="A20" s="80"/>
      <c r="B20" s="62" t="s">
        <v>9</v>
      </c>
      <c r="C20" s="63"/>
      <c r="D20" s="64"/>
      <c r="E20" s="65">
        <f>SUM(E26,E32,E38)</f>
        <v>90.004300000000001</v>
      </c>
      <c r="F20" s="66">
        <f t="shared" si="2"/>
        <v>108.00516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9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9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9" s="79" customFormat="1" ht="18">
      <c r="A23" s="81"/>
      <c r="B23" s="70" t="s">
        <v>14</v>
      </c>
      <c r="C23" s="71"/>
      <c r="D23" s="72"/>
      <c r="E23" s="73">
        <f>SUM(E29,E35,E41)</f>
        <v>23.617149999999999</v>
      </c>
      <c r="F23" s="74">
        <f t="shared" si="2"/>
        <v>28.340579999999999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9" s="79" customFormat="1" ht="211.5" customHeight="1">
      <c r="A24" s="371" t="s">
        <v>25</v>
      </c>
      <c r="B24" s="372" t="s">
        <v>645</v>
      </c>
      <c r="C24" s="373"/>
      <c r="D24" s="386"/>
      <c r="E24" s="84">
        <f>SUM(E25:E29)</f>
        <v>118.08574999999999</v>
      </c>
      <c r="F24" s="84">
        <f>E24*1.2</f>
        <v>141.70289999999997</v>
      </c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  <c r="N24" s="103">
        <f>D24*9.293</f>
        <v>0</v>
      </c>
    </row>
    <row r="25" spans="1:19" s="95" customFormat="1" ht="18">
      <c r="A25" s="88"/>
      <c r="B25" s="89" t="s">
        <v>10</v>
      </c>
      <c r="C25" s="90"/>
      <c r="D25" s="91"/>
      <c r="E25" s="91">
        <v>4.4642999999999997</v>
      </c>
      <c r="F25" s="92">
        <f>E25*1.2</f>
        <v>5.3571599999999995</v>
      </c>
      <c r="G25" s="93"/>
      <c r="H25" s="94"/>
      <c r="I25" s="93"/>
      <c r="J25" s="94"/>
      <c r="K25" s="91"/>
      <c r="L25" s="92"/>
      <c r="N25" s="96">
        <f>25*5.816121</f>
        <v>145.40302499999999</v>
      </c>
    </row>
    <row r="26" spans="1:19" s="95" customFormat="1" ht="18">
      <c r="A26" s="88"/>
      <c r="B26" s="89" t="s">
        <v>9</v>
      </c>
      <c r="C26" s="90"/>
      <c r="D26" s="91"/>
      <c r="E26" s="91">
        <v>90.004300000000001</v>
      </c>
      <c r="F26" s="92">
        <f>E26*1.2</f>
        <v>108.00516</v>
      </c>
      <c r="G26" s="93"/>
      <c r="H26" s="94"/>
      <c r="I26" s="93"/>
      <c r="J26" s="94"/>
      <c r="K26" s="91"/>
      <c r="L26" s="92"/>
      <c r="N26" s="96">
        <f>N24+N25</f>
        <v>145.40302499999999</v>
      </c>
    </row>
    <row r="27" spans="1:19" s="95" customFormat="1" ht="18">
      <c r="A27" s="88"/>
      <c r="B27" s="89" t="s">
        <v>12</v>
      </c>
      <c r="C27" s="90"/>
      <c r="D27" s="91"/>
      <c r="E27" s="91"/>
      <c r="F27" s="92"/>
      <c r="G27" s="93"/>
      <c r="H27" s="94"/>
      <c r="I27" s="93"/>
      <c r="J27" s="94"/>
      <c r="K27" s="91"/>
      <c r="L27" s="92"/>
      <c r="N27" s="96"/>
    </row>
    <row r="28" spans="1:19" s="95" customFormat="1" ht="18">
      <c r="A28" s="88"/>
      <c r="B28" s="89" t="s">
        <v>13</v>
      </c>
      <c r="C28" s="90"/>
      <c r="D28" s="91"/>
      <c r="E28" s="91"/>
      <c r="F28" s="92"/>
      <c r="G28" s="93"/>
      <c r="H28" s="94"/>
      <c r="I28" s="93"/>
      <c r="J28" s="94"/>
      <c r="K28" s="91"/>
      <c r="L28" s="92"/>
    </row>
    <row r="29" spans="1:19" s="95" customFormat="1" ht="18">
      <c r="A29" s="97"/>
      <c r="B29" s="98" t="s">
        <v>14</v>
      </c>
      <c r="C29" s="99"/>
      <c r="D29" s="100"/>
      <c r="E29" s="100">
        <f>(E25+E26)/80%*20%</f>
        <v>23.617149999999999</v>
      </c>
      <c r="F29" s="101">
        <f>E29*1.2</f>
        <v>28.340579999999999</v>
      </c>
      <c r="G29" s="93"/>
      <c r="H29" s="94"/>
      <c r="I29" s="93"/>
      <c r="J29" s="94"/>
      <c r="K29" s="91"/>
      <c r="L29" s="92"/>
    </row>
    <row r="30" spans="1:19" s="79" customFormat="1" ht="70.5" hidden="1" customHeight="1" outlineLevel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</row>
    <row r="31" spans="1:19" s="95" customFormat="1" ht="18" hidden="1" customHeight="1" outlineLevel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9" s="95" customFormat="1" ht="15" hidden="1" customHeight="1" outlineLevel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</row>
    <row r="33" spans="1:20" s="95" customFormat="1" ht="18" hidden="1" customHeight="1" outlineLevel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</row>
    <row r="34" spans="1:20" s="95" customFormat="1" ht="18" hidden="1" customHeight="1" outlineLevel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20" s="95" customFormat="1" ht="18" hidden="1" customHeight="1" outlineLevel="1">
      <c r="A35" s="97"/>
      <c r="B35" s="98" t="s">
        <v>14</v>
      </c>
      <c r="C35" s="99"/>
      <c r="D35" s="100"/>
      <c r="E35" s="100">
        <f>(E31+E32+E33)/80%*20%</f>
        <v>0</v>
      </c>
      <c r="F35" s="92">
        <f>E35*1.2</f>
        <v>0</v>
      </c>
      <c r="G35" s="104"/>
      <c r="H35" s="104"/>
      <c r="I35" s="104"/>
      <c r="J35" s="104"/>
      <c r="K35" s="96"/>
      <c r="L35" s="96"/>
    </row>
    <row r="36" spans="1:20" s="79" customFormat="1" ht="18" hidden="1" customHeight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20" s="95" customFormat="1" ht="18" hidden="1" customHeight="1" outlineLevel="1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20" s="95" customFormat="1" ht="18" hidden="1" outlineLevel="1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20" s="95" customFormat="1" ht="18" hidden="1" outlineLevel="1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20" s="95" customFormat="1" ht="18" hidden="1" outlineLevel="1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20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20" s="110" customFormat="1" ht="18" collapsed="1">
      <c r="A42" s="107">
        <v>2</v>
      </c>
      <c r="B42" s="108" t="s">
        <v>0</v>
      </c>
      <c r="C42" s="109"/>
      <c r="D42" s="109"/>
      <c r="E42" s="84">
        <f t="shared" ref="E42:J42" si="4">SUM(E43:E47)</f>
        <v>192.08875</v>
      </c>
      <c r="F42" s="85">
        <f t="shared" si="4"/>
        <v>230.50649999999996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20" s="110" customFormat="1" ht="18">
      <c r="A43" s="80"/>
      <c r="B43" s="62" t="s">
        <v>10</v>
      </c>
      <c r="C43" s="111"/>
      <c r="D43" s="112"/>
      <c r="E43" s="112">
        <f>E49+E55+E61</f>
        <v>7.7190000000000003</v>
      </c>
      <c r="F43" s="113">
        <f t="shared" ref="F43:J47" si="5">SUM(F49,F55,F61)</f>
        <v>9.2628000000000004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20" s="110" customFormat="1" ht="18">
      <c r="A44" s="80"/>
      <c r="B44" s="62" t="s">
        <v>9</v>
      </c>
      <c r="C44" s="111"/>
      <c r="D44" s="112"/>
      <c r="E44" s="112">
        <f>E50+E56+E62</f>
        <v>145.952</v>
      </c>
      <c r="F44" s="113">
        <f t="shared" si="5"/>
        <v>175.14239999999998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20" s="110" customFormat="1" ht="18">
      <c r="A45" s="80"/>
      <c r="B45" s="62" t="s">
        <v>12</v>
      </c>
      <c r="C45" s="111"/>
      <c r="D45" s="112"/>
      <c r="E45" s="112"/>
      <c r="F45" s="113">
        <f t="shared" si="5"/>
        <v>0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20" s="110" customFormat="1" ht="18">
      <c r="A46" s="80"/>
      <c r="B46" s="62" t="s">
        <v>13</v>
      </c>
      <c r="C46" s="111"/>
      <c r="D46" s="112"/>
      <c r="E46" s="112"/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20" s="110" customFormat="1" ht="18">
      <c r="A47" s="116"/>
      <c r="B47" s="117" t="s">
        <v>14</v>
      </c>
      <c r="C47" s="118"/>
      <c r="D47" s="376"/>
      <c r="E47" s="112">
        <f>E53+E59+E65</f>
        <v>38.417749999999998</v>
      </c>
      <c r="F47" s="120">
        <f t="shared" si="5"/>
        <v>46.101299999999995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  <c r="T47" s="391">
        <v>44580</v>
      </c>
    </row>
    <row r="48" spans="1:20" s="110" customFormat="1" ht="79.5" customHeight="1">
      <c r="A48" s="77" t="s">
        <v>26</v>
      </c>
      <c r="B48" s="377" t="s">
        <v>646</v>
      </c>
      <c r="C48" s="378"/>
      <c r="D48" s="387"/>
      <c r="E48" s="380">
        <f t="shared" ref="E48:J48" si="6">SUM(E49:E53)</f>
        <v>192.08875</v>
      </c>
      <c r="F48" s="381">
        <f>SUM(F49:F53)</f>
        <v>230.50649999999996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  <c r="N48" s="375">
        <f>D48*4.972</f>
        <v>0</v>
      </c>
    </row>
    <row r="49" spans="1:14" s="124" customFormat="1" ht="18">
      <c r="A49" s="88"/>
      <c r="B49" s="382" t="s">
        <v>10</v>
      </c>
      <c r="C49" s="383"/>
      <c r="D49" s="384"/>
      <c r="E49" s="384">
        <v>7.7190000000000003</v>
      </c>
      <c r="F49" s="106">
        <f>E49*1.2</f>
        <v>9.2628000000000004</v>
      </c>
      <c r="G49" s="93"/>
      <c r="H49" s="94"/>
      <c r="I49" s="93"/>
      <c r="J49" s="94"/>
      <c r="K49" s="91"/>
      <c r="L49" s="92"/>
      <c r="N49" s="124">
        <f>50*5.816121</f>
        <v>290.80604999999997</v>
      </c>
    </row>
    <row r="50" spans="1:14" s="124" customFormat="1" ht="18">
      <c r="A50" s="88"/>
      <c r="B50" s="89" t="s">
        <v>9</v>
      </c>
      <c r="C50" s="90"/>
      <c r="D50" s="91"/>
      <c r="E50" s="91">
        <v>145.952</v>
      </c>
      <c r="F50" s="92">
        <f>E50*1.2</f>
        <v>175.14239999999998</v>
      </c>
      <c r="G50" s="93"/>
      <c r="H50" s="94"/>
      <c r="I50" s="93"/>
      <c r="J50" s="94"/>
      <c r="K50" s="91"/>
      <c r="L50" s="92"/>
      <c r="N50" s="392">
        <f>N49+N48</f>
        <v>290.80604999999997</v>
      </c>
    </row>
    <row r="51" spans="1:14" s="124" customFormat="1" ht="18">
      <c r="A51" s="88"/>
      <c r="B51" s="89" t="s">
        <v>12</v>
      </c>
      <c r="C51" s="90"/>
      <c r="D51" s="91"/>
      <c r="E51" s="91"/>
      <c r="F51" s="92"/>
      <c r="G51" s="93"/>
      <c r="H51" s="94"/>
      <c r="I51" s="93"/>
      <c r="J51" s="94"/>
      <c r="K51" s="91"/>
      <c r="L51" s="92"/>
    </row>
    <row r="52" spans="1:14" s="124" customFormat="1" ht="18">
      <c r="A52" s="88"/>
      <c r="B52" s="89" t="s">
        <v>13</v>
      </c>
      <c r="C52" s="90"/>
      <c r="D52" s="91"/>
      <c r="E52" s="91"/>
      <c r="F52" s="92"/>
      <c r="G52" s="93"/>
      <c r="H52" s="94"/>
      <c r="I52" s="93"/>
      <c r="J52" s="94"/>
      <c r="K52" s="91"/>
      <c r="L52" s="92"/>
    </row>
    <row r="53" spans="1:14" s="124" customFormat="1" ht="18">
      <c r="A53" s="97"/>
      <c r="B53" s="98" t="s">
        <v>14</v>
      </c>
      <c r="C53" s="99"/>
      <c r="D53" s="100"/>
      <c r="E53" s="100">
        <f>(E49+E50)/80%*20%</f>
        <v>38.417749999999998</v>
      </c>
      <c r="F53" s="92">
        <f t="shared" ref="F53:F59" si="7">E53*1.2</f>
        <v>46.101299999999995</v>
      </c>
      <c r="G53" s="125"/>
      <c r="H53" s="126"/>
      <c r="I53" s="125"/>
      <c r="J53" s="126"/>
      <c r="K53" s="100"/>
      <c r="L53" s="101"/>
    </row>
    <row r="54" spans="1:14" s="110" customFormat="1" ht="51" hidden="1" customHeight="1" outlineLevel="1">
      <c r="A54" s="77" t="s">
        <v>27</v>
      </c>
      <c r="B54" s="127"/>
      <c r="C54" s="385"/>
      <c r="D54" s="386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  <c r="N54" s="375">
        <f>E48+E54</f>
        <v>192.08875</v>
      </c>
    </row>
    <row r="55" spans="1:14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4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4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4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4" s="124" customFormat="1" ht="18" hidden="1" outlineLevel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40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40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</row>
    <row r="67" spans="1:40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7"/>
  <sheetViews>
    <sheetView view="pageBreakPreview" zoomScale="60" zoomScaleNormal="70" workbookViewId="0">
      <selection activeCell="B24" sqref="B24"/>
    </sheetView>
  </sheetViews>
  <sheetFormatPr defaultRowHeight="15" outlineLevelRow="1" outlineLevelCol="1"/>
  <cols>
    <col min="1" max="1" width="12.140625" bestFit="1" customWidth="1"/>
    <col min="2" max="2" width="181.42578125" customWidth="1"/>
    <col min="3" max="3" width="29.140625" customWidth="1"/>
    <col min="4" max="4" width="13.85546875" customWidth="1"/>
    <col min="5" max="5" width="21.85546875" customWidth="1"/>
    <col min="6" max="6" width="19.42578125" customWidth="1"/>
    <col min="7" max="10" width="18.140625" hidden="1" customWidth="1" outlineLevel="1"/>
    <col min="11" max="12" width="26" hidden="1" customWidth="1" outlineLevel="1"/>
    <col min="13" max="13" width="16.28515625" customWidth="1" collapsed="1"/>
    <col min="14" max="14" width="15.42578125" bestFit="1" customWidth="1"/>
    <col min="15" max="15" width="11.85546875" customWidth="1"/>
    <col min="18" max="18" width="11.5703125" bestFit="1" customWidth="1"/>
    <col min="19" max="20" width="12.42578125" bestFit="1" customWidth="1"/>
  </cols>
  <sheetData>
    <row r="1" spans="1:19" s="18" customFormat="1" ht="67.5" thickTop="1" thickBot="1">
      <c r="A1" s="15" t="s">
        <v>559</v>
      </c>
      <c r="B1" s="16" t="s">
        <v>647</v>
      </c>
      <c r="C1" s="17" t="s">
        <v>561</v>
      </c>
      <c r="D1" s="133">
        <v>640</v>
      </c>
      <c r="E1" s="134">
        <v>44529</v>
      </c>
      <c r="K1" s="18" t="s">
        <v>563</v>
      </c>
    </row>
    <row r="2" spans="1:19" s="18" customFormat="1" ht="67.5" thickTop="1" thickBot="1">
      <c r="A2" s="15" t="s">
        <v>564</v>
      </c>
      <c r="B2" s="16" t="s">
        <v>648</v>
      </c>
      <c r="C2" s="17" t="s">
        <v>566</v>
      </c>
      <c r="D2" s="133">
        <v>641</v>
      </c>
      <c r="E2" s="134">
        <v>44529</v>
      </c>
      <c r="F2" s="19"/>
      <c r="K2" s="18" t="s">
        <v>568</v>
      </c>
    </row>
    <row r="3" spans="1:19" s="18" customFormat="1" ht="18.75" thickTop="1">
      <c r="A3" s="20"/>
      <c r="C3" s="15"/>
      <c r="G3" s="21" t="str">
        <f>[21]ЗАО_ВОЛЬВО_ВОСТОК!G3</f>
        <v>на 01.01.2016 г.</v>
      </c>
    </row>
    <row r="4" spans="1:19" s="18" customFormat="1" ht="72">
      <c r="A4" s="22"/>
      <c r="B4" s="23" t="s">
        <v>569</v>
      </c>
      <c r="C4" s="23"/>
      <c r="D4" s="23"/>
      <c r="E4" s="25" t="s">
        <v>595</v>
      </c>
      <c r="F4" s="25" t="s">
        <v>596</v>
      </c>
      <c r="G4" s="24"/>
      <c r="H4" s="25" t="s">
        <v>571</v>
      </c>
      <c r="I4" s="23"/>
      <c r="J4" s="26"/>
    </row>
    <row r="5" spans="1:19" s="18" customFormat="1" ht="18">
      <c r="A5" s="27"/>
      <c r="B5" s="28"/>
      <c r="C5" s="28"/>
      <c r="D5" s="28"/>
      <c r="E5" s="29">
        <f>SUM(E6:E8)</f>
        <v>3380.5135499999992</v>
      </c>
      <c r="F5" s="29">
        <f>SUM(F6:F8)</f>
        <v>4465.7226000000001</v>
      </c>
      <c r="G5" s="30"/>
      <c r="H5" s="31">
        <f>SUM(H6:H8)</f>
        <v>0</v>
      </c>
      <c r="I5" s="28"/>
      <c r="J5" s="32"/>
    </row>
    <row r="6" spans="1:19" s="41" customFormat="1" ht="18.75">
      <c r="A6" s="33"/>
      <c r="B6" s="34" t="s">
        <v>572</v>
      </c>
      <c r="C6" s="35"/>
      <c r="D6" s="35"/>
      <c r="E6" s="37">
        <f>F18*0.35</f>
        <v>1183.1797424999997</v>
      </c>
      <c r="F6" s="37">
        <f>F42*0.35</f>
        <v>1563.0029099999999</v>
      </c>
      <c r="G6" s="38"/>
      <c r="H6" s="38"/>
      <c r="I6" s="35"/>
      <c r="J6" s="39"/>
      <c r="K6" s="40"/>
      <c r="L6" s="40"/>
      <c r="M6" s="40"/>
    </row>
    <row r="7" spans="1:19" s="41" customFormat="1" ht="18.75">
      <c r="A7" s="33"/>
      <c r="B7" s="34" t="s">
        <v>573</v>
      </c>
      <c r="C7" s="35"/>
      <c r="D7" s="35"/>
      <c r="E7" s="37">
        <f>F18*0.5</f>
        <v>1690.2567749999998</v>
      </c>
      <c r="F7" s="37">
        <f>F42*0.5</f>
        <v>2232.8613</v>
      </c>
      <c r="G7" s="38"/>
      <c r="H7" s="38"/>
      <c r="I7" s="35"/>
      <c r="J7" s="39"/>
      <c r="K7" s="40"/>
      <c r="L7" s="40"/>
      <c r="M7" s="40"/>
    </row>
    <row r="8" spans="1:19" s="41" customFormat="1" ht="18.75">
      <c r="A8" s="42"/>
      <c r="B8" s="43" t="s">
        <v>574</v>
      </c>
      <c r="C8" s="44"/>
      <c r="D8" s="44"/>
      <c r="E8" s="46">
        <f>F18*0.15</f>
        <v>507.07703249999992</v>
      </c>
      <c r="F8" s="46">
        <f>F42*0.15</f>
        <v>669.85838999999999</v>
      </c>
      <c r="G8" s="47"/>
      <c r="H8" s="47"/>
      <c r="I8" s="44"/>
      <c r="J8" s="48"/>
      <c r="K8" s="40"/>
      <c r="L8" s="40"/>
      <c r="M8" s="40"/>
    </row>
    <row r="9" spans="1:19" s="18" customFormat="1" ht="18">
      <c r="A9" s="20"/>
      <c r="G9" s="49"/>
      <c r="N9" s="50"/>
    </row>
    <row r="10" spans="1:19" s="18" customFormat="1" ht="85.5" customHeight="1">
      <c r="A10" s="3534" t="s">
        <v>21</v>
      </c>
      <c r="B10" s="3536" t="s">
        <v>7</v>
      </c>
      <c r="C10" s="3538" t="s">
        <v>575</v>
      </c>
      <c r="D10" s="3540" t="s">
        <v>576</v>
      </c>
      <c r="E10" s="3542" t="s">
        <v>649</v>
      </c>
      <c r="F10" s="3543"/>
      <c r="G10" s="3531" t="s">
        <v>578</v>
      </c>
      <c r="H10" s="3532"/>
      <c r="I10" s="3531" t="s">
        <v>579</v>
      </c>
      <c r="J10" s="3532"/>
      <c r="K10" s="3531" t="s">
        <v>580</v>
      </c>
      <c r="L10" s="3532"/>
      <c r="N10" s="50"/>
      <c r="S10" s="135"/>
    </row>
    <row r="11" spans="1:19" s="18" customFormat="1" ht="90">
      <c r="A11" s="3535"/>
      <c r="B11" s="3537"/>
      <c r="C11" s="3539"/>
      <c r="D11" s="3541"/>
      <c r="E11" s="51" t="s">
        <v>581</v>
      </c>
      <c r="F11" s="52" t="s">
        <v>582</v>
      </c>
      <c r="G11" s="51" t="s">
        <v>581</v>
      </c>
      <c r="H11" s="52" t="s">
        <v>582</v>
      </c>
      <c r="I11" s="51" t="s">
        <v>581</v>
      </c>
      <c r="J11" s="52" t="s">
        <v>582</v>
      </c>
      <c r="K11" s="51" t="s">
        <v>583</v>
      </c>
      <c r="L11" s="52" t="s">
        <v>582</v>
      </c>
      <c r="N11" s="50"/>
      <c r="O11" s="50"/>
    </row>
    <row r="12" spans="1:19" s="18" customFormat="1" ht="18">
      <c r="A12" s="53"/>
      <c r="B12" s="54" t="s">
        <v>584</v>
      </c>
      <c r="C12" s="55"/>
      <c r="D12" s="56"/>
      <c r="E12" s="57">
        <f t="shared" ref="E12:J17" si="0">SUM(E18,E42)</f>
        <v>6538.5301249999993</v>
      </c>
      <c r="F12" s="58">
        <f t="shared" si="0"/>
        <v>7846.2361499999997</v>
      </c>
      <c r="G12" s="59">
        <f t="shared" si="0"/>
        <v>0</v>
      </c>
      <c r="H12" s="60">
        <f t="shared" si="0"/>
        <v>0</v>
      </c>
      <c r="I12" s="59">
        <f t="shared" si="0"/>
        <v>0</v>
      </c>
      <c r="J12" s="60">
        <f t="shared" si="0"/>
        <v>0</v>
      </c>
      <c r="K12" s="57"/>
      <c r="L12" s="58"/>
      <c r="M12" s="50">
        <v>6538.5301250000002</v>
      </c>
    </row>
    <row r="13" spans="1:19" s="18" customFormat="1" ht="18">
      <c r="A13" s="61"/>
      <c r="B13" s="62" t="s">
        <v>10</v>
      </c>
      <c r="C13" s="63"/>
      <c r="D13" s="64"/>
      <c r="E13" s="65">
        <f t="shared" si="0"/>
        <v>217.85969999999998</v>
      </c>
      <c r="F13" s="66">
        <f t="shared" si="0"/>
        <v>261.43164000000002</v>
      </c>
      <c r="G13" s="67">
        <f t="shared" si="0"/>
        <v>0</v>
      </c>
      <c r="H13" s="68">
        <f t="shared" si="0"/>
        <v>0</v>
      </c>
      <c r="I13" s="67">
        <f t="shared" si="0"/>
        <v>0</v>
      </c>
      <c r="J13" s="68">
        <f t="shared" si="0"/>
        <v>0</v>
      </c>
      <c r="K13" s="65"/>
      <c r="L13" s="66"/>
    </row>
    <row r="14" spans="1:19" s="18" customFormat="1" ht="18">
      <c r="A14" s="61"/>
      <c r="B14" s="62" t="s">
        <v>9</v>
      </c>
      <c r="C14" s="63"/>
      <c r="D14" s="64"/>
      <c r="E14" s="65">
        <f t="shared" si="0"/>
        <v>5012.9643999999998</v>
      </c>
      <c r="F14" s="66">
        <f t="shared" si="0"/>
        <v>6015.5572799999991</v>
      </c>
      <c r="G14" s="67">
        <f t="shared" si="0"/>
        <v>0</v>
      </c>
      <c r="H14" s="68">
        <f t="shared" si="0"/>
        <v>0</v>
      </c>
      <c r="I14" s="67">
        <f t="shared" si="0"/>
        <v>0</v>
      </c>
      <c r="J14" s="68">
        <f t="shared" si="0"/>
        <v>0</v>
      </c>
      <c r="K14" s="65"/>
      <c r="L14" s="66"/>
    </row>
    <row r="15" spans="1:19" s="18" customFormat="1" ht="18">
      <c r="A15" s="61"/>
      <c r="B15" s="62" t="s">
        <v>12</v>
      </c>
      <c r="C15" s="63"/>
      <c r="D15" s="64"/>
      <c r="E15" s="65">
        <f t="shared" si="0"/>
        <v>0</v>
      </c>
      <c r="F15" s="66">
        <f t="shared" si="0"/>
        <v>0</v>
      </c>
      <c r="G15" s="67">
        <f t="shared" si="0"/>
        <v>0</v>
      </c>
      <c r="H15" s="68">
        <f t="shared" si="0"/>
        <v>0</v>
      </c>
      <c r="I15" s="67">
        <f t="shared" si="0"/>
        <v>0</v>
      </c>
      <c r="J15" s="68">
        <f t="shared" si="0"/>
        <v>0</v>
      </c>
      <c r="K15" s="65"/>
      <c r="L15" s="66"/>
    </row>
    <row r="16" spans="1:19" s="18" customFormat="1" ht="18">
      <c r="A16" s="61"/>
      <c r="B16" s="62" t="s">
        <v>13</v>
      </c>
      <c r="C16" s="63"/>
      <c r="D16" s="64"/>
      <c r="E16" s="65">
        <f t="shared" si="0"/>
        <v>0</v>
      </c>
      <c r="F16" s="66">
        <f t="shared" si="0"/>
        <v>0</v>
      </c>
      <c r="G16" s="67">
        <f t="shared" si="0"/>
        <v>0</v>
      </c>
      <c r="H16" s="68">
        <f t="shared" si="0"/>
        <v>0</v>
      </c>
      <c r="I16" s="67">
        <f t="shared" si="0"/>
        <v>0</v>
      </c>
      <c r="J16" s="68">
        <f t="shared" si="0"/>
        <v>0</v>
      </c>
      <c r="K16" s="65"/>
      <c r="L16" s="66"/>
    </row>
    <row r="17" spans="1:19" s="18" customFormat="1" ht="18">
      <c r="A17" s="69"/>
      <c r="B17" s="70" t="s">
        <v>14</v>
      </c>
      <c r="C17" s="71"/>
      <c r="D17" s="72"/>
      <c r="E17" s="73">
        <f t="shared" si="0"/>
        <v>1307.706025</v>
      </c>
      <c r="F17" s="74">
        <f t="shared" si="0"/>
        <v>1569.2472299999999</v>
      </c>
      <c r="G17" s="75">
        <f t="shared" si="0"/>
        <v>0</v>
      </c>
      <c r="H17" s="76">
        <f t="shared" si="0"/>
        <v>0</v>
      </c>
      <c r="I17" s="75">
        <f t="shared" si="0"/>
        <v>0</v>
      </c>
      <c r="J17" s="76">
        <f t="shared" si="0"/>
        <v>0</v>
      </c>
      <c r="K17" s="73"/>
      <c r="L17" s="74"/>
    </row>
    <row r="18" spans="1:19" s="79" customFormat="1" ht="18">
      <c r="A18" s="77">
        <v>1</v>
      </c>
      <c r="B18" s="54" t="s">
        <v>5</v>
      </c>
      <c r="C18" s="78"/>
      <c r="D18" s="78"/>
      <c r="E18" s="57">
        <f t="shared" ref="E18:J18" si="1">SUM(E19:E23)</f>
        <v>2817.0946249999997</v>
      </c>
      <c r="F18" s="58">
        <f t="shared" si="1"/>
        <v>3380.5135499999997</v>
      </c>
      <c r="G18" s="59">
        <f t="shared" si="1"/>
        <v>0</v>
      </c>
      <c r="H18" s="60">
        <f t="shared" si="1"/>
        <v>0</v>
      </c>
      <c r="I18" s="59">
        <f t="shared" si="1"/>
        <v>0</v>
      </c>
      <c r="J18" s="60">
        <f t="shared" si="1"/>
        <v>0</v>
      </c>
      <c r="K18" s="57"/>
      <c r="L18" s="58"/>
    </row>
    <row r="19" spans="1:19" s="79" customFormat="1" ht="18">
      <c r="A19" s="80"/>
      <c r="B19" s="62" t="s">
        <v>10</v>
      </c>
      <c r="C19" s="63"/>
      <c r="D19" s="64"/>
      <c r="E19" s="65">
        <f>SUM(E25,E31,E37)</f>
        <v>97.818299999999994</v>
      </c>
      <c r="F19" s="66">
        <f t="shared" ref="E19:J23" si="2">SUM(F25,F31,F37)</f>
        <v>117.38195999999999</v>
      </c>
      <c r="G19" s="67">
        <f t="shared" si="2"/>
        <v>0</v>
      </c>
      <c r="H19" s="68">
        <f t="shared" si="2"/>
        <v>0</v>
      </c>
      <c r="I19" s="67">
        <f t="shared" si="2"/>
        <v>0</v>
      </c>
      <c r="J19" s="68">
        <f t="shared" si="2"/>
        <v>0</v>
      </c>
      <c r="K19" s="65"/>
      <c r="L19" s="66"/>
      <c r="S19" s="135"/>
    </row>
    <row r="20" spans="1:19" s="79" customFormat="1" ht="18">
      <c r="A20" s="80"/>
      <c r="B20" s="62" t="s">
        <v>9</v>
      </c>
      <c r="C20" s="63"/>
      <c r="D20" s="64"/>
      <c r="E20" s="65">
        <f>SUM(E26,E32,E38)</f>
        <v>2155.8573999999999</v>
      </c>
      <c r="F20" s="66">
        <f t="shared" si="2"/>
        <v>2587.0288799999998</v>
      </c>
      <c r="G20" s="67">
        <f t="shared" si="2"/>
        <v>0</v>
      </c>
      <c r="H20" s="68">
        <f t="shared" si="2"/>
        <v>0</v>
      </c>
      <c r="I20" s="67">
        <f t="shared" si="2"/>
        <v>0</v>
      </c>
      <c r="J20" s="68">
        <f t="shared" si="2"/>
        <v>0</v>
      </c>
      <c r="K20" s="65"/>
      <c r="L20" s="66"/>
    </row>
    <row r="21" spans="1:19" s="79" customFormat="1" ht="18">
      <c r="A21" s="80"/>
      <c r="B21" s="62" t="s">
        <v>12</v>
      </c>
      <c r="C21" s="63"/>
      <c r="D21" s="64"/>
      <c r="E21" s="65">
        <f t="shared" si="2"/>
        <v>0</v>
      </c>
      <c r="F21" s="66">
        <f t="shared" si="2"/>
        <v>0</v>
      </c>
      <c r="G21" s="67">
        <f t="shared" si="2"/>
        <v>0</v>
      </c>
      <c r="H21" s="68">
        <f t="shared" si="2"/>
        <v>0</v>
      </c>
      <c r="I21" s="67">
        <f t="shared" si="2"/>
        <v>0</v>
      </c>
      <c r="J21" s="68">
        <f t="shared" si="2"/>
        <v>0</v>
      </c>
      <c r="K21" s="65"/>
      <c r="L21" s="66"/>
    </row>
    <row r="22" spans="1:19" s="79" customFormat="1" ht="18">
      <c r="A22" s="80"/>
      <c r="B22" s="62" t="s">
        <v>13</v>
      </c>
      <c r="C22" s="63"/>
      <c r="D22" s="64"/>
      <c r="E22" s="65">
        <f t="shared" si="2"/>
        <v>0</v>
      </c>
      <c r="F22" s="66">
        <f t="shared" si="2"/>
        <v>0</v>
      </c>
      <c r="G22" s="67">
        <f t="shared" si="2"/>
        <v>0</v>
      </c>
      <c r="H22" s="68">
        <f t="shared" si="2"/>
        <v>0</v>
      </c>
      <c r="I22" s="67">
        <f t="shared" si="2"/>
        <v>0</v>
      </c>
      <c r="J22" s="68">
        <f t="shared" si="2"/>
        <v>0</v>
      </c>
      <c r="K22" s="65"/>
      <c r="L22" s="66"/>
    </row>
    <row r="23" spans="1:19" s="79" customFormat="1" ht="18">
      <c r="A23" s="81"/>
      <c r="B23" s="70" t="s">
        <v>14</v>
      </c>
      <c r="C23" s="71"/>
      <c r="D23" s="72"/>
      <c r="E23" s="73">
        <f>SUM(E29,E35,E41)</f>
        <v>563.41892499999994</v>
      </c>
      <c r="F23" s="74">
        <f t="shared" si="2"/>
        <v>676.10270999999989</v>
      </c>
      <c r="G23" s="75">
        <f t="shared" si="2"/>
        <v>0</v>
      </c>
      <c r="H23" s="76">
        <f t="shared" si="2"/>
        <v>0</v>
      </c>
      <c r="I23" s="75">
        <f t="shared" si="2"/>
        <v>0</v>
      </c>
      <c r="J23" s="76">
        <f t="shared" si="2"/>
        <v>0</v>
      </c>
      <c r="K23" s="73"/>
      <c r="L23" s="74"/>
    </row>
    <row r="24" spans="1:19" s="79" customFormat="1" ht="121.5" customHeight="1">
      <c r="A24" s="371" t="s">
        <v>25</v>
      </c>
      <c r="B24" s="372" t="s">
        <v>650</v>
      </c>
      <c r="C24" s="373">
        <v>435</v>
      </c>
      <c r="D24" s="374">
        <v>169.62</v>
      </c>
      <c r="E24" s="84">
        <f>SUM(E25:E29)</f>
        <v>2817.0946249999997</v>
      </c>
      <c r="F24" s="84">
        <f>E24*1.2</f>
        <v>3380.5135499999997</v>
      </c>
      <c r="G24" s="86">
        <f>SUM(G25:G29)</f>
        <v>0</v>
      </c>
      <c r="H24" s="87">
        <f>SUM(H25:H29)</f>
        <v>0</v>
      </c>
      <c r="I24" s="86">
        <f>SUM(I25:I29)</f>
        <v>0</v>
      </c>
      <c r="J24" s="87">
        <f>SUM(J25:J29)</f>
        <v>0</v>
      </c>
      <c r="K24" s="84"/>
      <c r="L24" s="85"/>
      <c r="M24" s="103">
        <v>2817.0949999999998</v>
      </c>
    </row>
    <row r="25" spans="1:19" s="95" customFormat="1" ht="18">
      <c r="A25" s="88"/>
      <c r="B25" s="89" t="s">
        <v>10</v>
      </c>
      <c r="C25" s="90"/>
      <c r="D25" s="91"/>
      <c r="E25" s="91">
        <v>97.818299999999994</v>
      </c>
      <c r="F25" s="92">
        <f>E25*1.2</f>
        <v>117.38195999999999</v>
      </c>
      <c r="G25" s="93"/>
      <c r="H25" s="94"/>
      <c r="I25" s="93"/>
      <c r="J25" s="94"/>
      <c r="K25" s="91"/>
      <c r="L25" s="92"/>
      <c r="N25" s="96"/>
    </row>
    <row r="26" spans="1:19" s="95" customFormat="1" ht="18">
      <c r="A26" s="88"/>
      <c r="B26" s="89" t="s">
        <v>9</v>
      </c>
      <c r="C26" s="90"/>
      <c r="D26" s="91"/>
      <c r="E26" s="91">
        <v>2155.8573999999999</v>
      </c>
      <c r="F26" s="92">
        <f>E26*1.2</f>
        <v>2587.0288799999998</v>
      </c>
      <c r="G26" s="93"/>
      <c r="H26" s="94"/>
      <c r="I26" s="93"/>
      <c r="J26" s="94"/>
      <c r="K26" s="91"/>
      <c r="L26" s="92"/>
    </row>
    <row r="27" spans="1:19" s="95" customFormat="1" ht="18">
      <c r="A27" s="88"/>
      <c r="B27" s="89" t="s">
        <v>12</v>
      </c>
      <c r="C27" s="90"/>
      <c r="D27" s="91"/>
      <c r="E27" s="91"/>
      <c r="F27" s="92"/>
      <c r="G27" s="93"/>
      <c r="H27" s="94"/>
      <c r="I27" s="93"/>
      <c r="J27" s="94"/>
      <c r="K27" s="91"/>
      <c r="L27" s="92"/>
      <c r="N27" s="96"/>
    </row>
    <row r="28" spans="1:19" s="95" customFormat="1" ht="18">
      <c r="A28" s="88"/>
      <c r="B28" s="89" t="s">
        <v>13</v>
      </c>
      <c r="C28" s="90"/>
      <c r="D28" s="91"/>
      <c r="E28" s="91"/>
      <c r="F28" s="92"/>
      <c r="G28" s="93"/>
      <c r="H28" s="94"/>
      <c r="I28" s="93"/>
      <c r="J28" s="94"/>
      <c r="K28" s="91"/>
      <c r="L28" s="92"/>
    </row>
    <row r="29" spans="1:19" s="95" customFormat="1" ht="18">
      <c r="A29" s="97"/>
      <c r="B29" s="98" t="s">
        <v>14</v>
      </c>
      <c r="C29" s="99"/>
      <c r="D29" s="100"/>
      <c r="E29" s="100">
        <f>(E25+E26)/80%*20%</f>
        <v>563.41892499999994</v>
      </c>
      <c r="F29" s="101">
        <f>E29*1.2</f>
        <v>676.10270999999989</v>
      </c>
      <c r="G29" s="93"/>
      <c r="H29" s="94"/>
      <c r="I29" s="93"/>
      <c r="J29" s="94"/>
      <c r="K29" s="91"/>
      <c r="L29" s="92"/>
    </row>
    <row r="30" spans="1:19" s="79" customFormat="1" ht="70.5" hidden="1" customHeight="1" outlineLevel="1">
      <c r="A30" s="77" t="s">
        <v>3</v>
      </c>
      <c r="B30" s="82"/>
      <c r="C30" s="83"/>
      <c r="D30" s="83"/>
      <c r="E30" s="84">
        <f>SUM(E31:E35)</f>
        <v>0</v>
      </c>
      <c r="F30" s="85">
        <f>SUM(F31:F35)</f>
        <v>0</v>
      </c>
      <c r="G30" s="102"/>
      <c r="H30" s="102"/>
      <c r="I30" s="102"/>
      <c r="J30" s="102"/>
      <c r="K30" s="103"/>
      <c r="L30" s="103"/>
    </row>
    <row r="31" spans="1:19" s="95" customFormat="1" ht="18" hidden="1" customHeight="1" outlineLevel="1">
      <c r="A31" s="88"/>
      <c r="B31" s="89" t="s">
        <v>10</v>
      </c>
      <c r="C31" s="90"/>
      <c r="D31" s="91"/>
      <c r="E31" s="91"/>
      <c r="F31" s="92">
        <f>E31*1.2</f>
        <v>0</v>
      </c>
      <c r="G31" s="104"/>
      <c r="H31" s="104"/>
      <c r="I31" s="104"/>
      <c r="J31" s="104"/>
      <c r="K31" s="96"/>
      <c r="L31" s="96"/>
    </row>
    <row r="32" spans="1:19" s="95" customFormat="1" ht="15" hidden="1" customHeight="1" outlineLevel="1">
      <c r="A32" s="88"/>
      <c r="B32" s="89" t="s">
        <v>9</v>
      </c>
      <c r="C32" s="90"/>
      <c r="D32" s="91"/>
      <c r="E32" s="91"/>
      <c r="F32" s="92">
        <f>E32*1.2</f>
        <v>0</v>
      </c>
      <c r="G32" s="104"/>
      <c r="H32" s="104"/>
      <c r="I32" s="104"/>
      <c r="J32" s="104"/>
      <c r="K32" s="96"/>
      <c r="L32" s="96"/>
    </row>
    <row r="33" spans="1:14" s="95" customFormat="1" ht="18" hidden="1" customHeight="1" outlineLevel="1">
      <c r="A33" s="88"/>
      <c r="B33" s="89" t="s">
        <v>12</v>
      </c>
      <c r="C33" s="90"/>
      <c r="D33" s="91"/>
      <c r="E33" s="91"/>
      <c r="F33" s="92">
        <f>E33*1.2</f>
        <v>0</v>
      </c>
      <c r="G33" s="104"/>
      <c r="H33" s="104"/>
      <c r="I33" s="104"/>
      <c r="J33" s="104"/>
      <c r="K33" s="96"/>
      <c r="L33" s="96"/>
    </row>
    <row r="34" spans="1:14" s="95" customFormat="1" ht="18" hidden="1" customHeight="1" outlineLevel="1">
      <c r="A34" s="88"/>
      <c r="B34" s="89" t="s">
        <v>13</v>
      </c>
      <c r="C34" s="90"/>
      <c r="D34" s="91"/>
      <c r="E34" s="91"/>
      <c r="F34" s="92">
        <f>E34*1.2</f>
        <v>0</v>
      </c>
      <c r="G34" s="104"/>
      <c r="H34" s="104"/>
      <c r="I34" s="104"/>
      <c r="J34" s="104"/>
      <c r="K34" s="96"/>
      <c r="L34" s="96"/>
    </row>
    <row r="35" spans="1:14" s="95" customFormat="1" ht="18" hidden="1" customHeight="1" outlineLevel="1">
      <c r="A35" s="97"/>
      <c r="B35" s="98" t="s">
        <v>14</v>
      </c>
      <c r="C35" s="99"/>
      <c r="D35" s="100"/>
      <c r="E35" s="100">
        <f>(E31+E32+E33)/80%*20%</f>
        <v>0</v>
      </c>
      <c r="F35" s="92">
        <f>E35*1.2</f>
        <v>0</v>
      </c>
      <c r="G35" s="104"/>
      <c r="H35" s="104"/>
      <c r="I35" s="104"/>
      <c r="J35" s="104"/>
      <c r="K35" s="96"/>
      <c r="L35" s="96"/>
    </row>
    <row r="36" spans="1:14" s="79" customFormat="1" ht="18" hidden="1" customHeight="1" outlineLevel="1">
      <c r="A36" s="77" t="s">
        <v>2</v>
      </c>
      <c r="B36" s="105"/>
      <c r="C36" s="83"/>
      <c r="D36" s="84"/>
      <c r="E36" s="84">
        <f>SUM(E37:E41)</f>
        <v>0</v>
      </c>
      <c r="F36" s="106">
        <f t="shared" ref="F36:F41" si="3">E36*1.18</f>
        <v>0</v>
      </c>
      <c r="G36" s="102"/>
      <c r="H36" s="102"/>
      <c r="I36" s="102"/>
      <c r="J36" s="102"/>
      <c r="K36" s="103"/>
      <c r="L36" s="103"/>
    </row>
    <row r="37" spans="1:14" s="95" customFormat="1" ht="18" hidden="1" customHeight="1" outlineLevel="1">
      <c r="A37" s="88"/>
      <c r="B37" s="89" t="s">
        <v>10</v>
      </c>
      <c r="C37" s="90"/>
      <c r="D37" s="91"/>
      <c r="E37" s="91"/>
      <c r="F37" s="92">
        <f t="shared" si="3"/>
        <v>0</v>
      </c>
      <c r="G37" s="104"/>
      <c r="H37" s="104"/>
      <c r="I37" s="104"/>
      <c r="J37" s="104"/>
      <c r="K37" s="96"/>
      <c r="L37" s="96"/>
    </row>
    <row r="38" spans="1:14" s="95" customFormat="1" ht="18" hidden="1" outlineLevel="1">
      <c r="A38" s="88"/>
      <c r="B38" s="89" t="s">
        <v>9</v>
      </c>
      <c r="C38" s="90"/>
      <c r="D38" s="91"/>
      <c r="E38" s="91"/>
      <c r="F38" s="92">
        <f t="shared" si="3"/>
        <v>0</v>
      </c>
      <c r="G38" s="104"/>
      <c r="H38" s="104"/>
      <c r="I38" s="104"/>
      <c r="J38" s="104"/>
      <c r="K38" s="96"/>
      <c r="L38" s="96"/>
    </row>
    <row r="39" spans="1:14" s="95" customFormat="1" ht="18" hidden="1" outlineLevel="1">
      <c r="A39" s="88"/>
      <c r="B39" s="89" t="s">
        <v>12</v>
      </c>
      <c r="C39" s="90"/>
      <c r="D39" s="91"/>
      <c r="E39" s="91"/>
      <c r="F39" s="92">
        <f t="shared" si="3"/>
        <v>0</v>
      </c>
      <c r="G39" s="104"/>
      <c r="H39" s="104"/>
      <c r="I39" s="104"/>
      <c r="J39" s="104"/>
      <c r="K39" s="96"/>
      <c r="L39" s="96"/>
    </row>
    <row r="40" spans="1:14" s="95" customFormat="1" ht="18" hidden="1" outlineLevel="1">
      <c r="A40" s="88"/>
      <c r="B40" s="89" t="s">
        <v>13</v>
      </c>
      <c r="C40" s="90"/>
      <c r="D40" s="91"/>
      <c r="E40" s="91"/>
      <c r="F40" s="92">
        <f t="shared" si="3"/>
        <v>0</v>
      </c>
      <c r="G40" s="104"/>
      <c r="H40" s="104"/>
      <c r="I40" s="104"/>
      <c r="J40" s="104"/>
      <c r="K40" s="96"/>
      <c r="L40" s="96"/>
    </row>
    <row r="41" spans="1:14" s="95" customFormat="1" ht="18" hidden="1" outlineLevel="1">
      <c r="A41" s="97"/>
      <c r="B41" s="98" t="s">
        <v>14</v>
      </c>
      <c r="C41" s="99"/>
      <c r="D41" s="100"/>
      <c r="E41" s="100"/>
      <c r="F41" s="101">
        <f t="shared" si="3"/>
        <v>0</v>
      </c>
      <c r="G41" s="104"/>
      <c r="H41" s="104"/>
      <c r="I41" s="104"/>
      <c r="J41" s="104"/>
      <c r="K41" s="96"/>
      <c r="L41" s="96"/>
    </row>
    <row r="42" spans="1:14" s="110" customFormat="1" ht="18" collapsed="1">
      <c r="A42" s="107">
        <v>2</v>
      </c>
      <c r="B42" s="108" t="s">
        <v>0</v>
      </c>
      <c r="C42" s="109"/>
      <c r="D42" s="109"/>
      <c r="E42" s="84">
        <f t="shared" ref="E42:J42" si="4">SUM(E43:E47)</f>
        <v>3721.4355</v>
      </c>
      <c r="F42" s="85">
        <f t="shared" si="4"/>
        <v>4465.7226000000001</v>
      </c>
      <c r="G42" s="86">
        <f t="shared" si="4"/>
        <v>0</v>
      </c>
      <c r="H42" s="87">
        <f t="shared" si="4"/>
        <v>0</v>
      </c>
      <c r="I42" s="86">
        <f t="shared" si="4"/>
        <v>0</v>
      </c>
      <c r="J42" s="87">
        <f t="shared" si="4"/>
        <v>0</v>
      </c>
      <c r="K42" s="84"/>
      <c r="L42" s="85"/>
    </row>
    <row r="43" spans="1:14" s="110" customFormat="1" ht="18">
      <c r="A43" s="80"/>
      <c r="B43" s="62" t="s">
        <v>10</v>
      </c>
      <c r="C43" s="111"/>
      <c r="D43" s="112"/>
      <c r="E43" s="112">
        <f>E49+E55+E61</f>
        <v>120.0414</v>
      </c>
      <c r="F43" s="113">
        <f t="shared" ref="F43:J47" si="5">SUM(F49,F55,F61)</f>
        <v>144.04968</v>
      </c>
      <c r="G43" s="114">
        <f t="shared" si="5"/>
        <v>0</v>
      </c>
      <c r="H43" s="115">
        <f t="shared" si="5"/>
        <v>0</v>
      </c>
      <c r="I43" s="114">
        <f t="shared" si="5"/>
        <v>0</v>
      </c>
      <c r="J43" s="115">
        <f t="shared" si="5"/>
        <v>0</v>
      </c>
      <c r="K43" s="112"/>
      <c r="L43" s="113"/>
    </row>
    <row r="44" spans="1:14" s="110" customFormat="1" ht="18">
      <c r="A44" s="80"/>
      <c r="B44" s="62" t="s">
        <v>9</v>
      </c>
      <c r="C44" s="111"/>
      <c r="D44" s="112"/>
      <c r="E44" s="112">
        <f>E50+E56+E62</f>
        <v>2857.107</v>
      </c>
      <c r="F44" s="113">
        <f t="shared" si="5"/>
        <v>3428.5283999999997</v>
      </c>
      <c r="G44" s="114">
        <f t="shared" si="5"/>
        <v>0</v>
      </c>
      <c r="H44" s="115">
        <f t="shared" si="5"/>
        <v>0</v>
      </c>
      <c r="I44" s="114">
        <f t="shared" si="5"/>
        <v>0</v>
      </c>
      <c r="J44" s="115">
        <f t="shared" si="5"/>
        <v>0</v>
      </c>
      <c r="K44" s="112"/>
      <c r="L44" s="113"/>
    </row>
    <row r="45" spans="1:14" s="110" customFormat="1" ht="18">
      <c r="A45" s="80"/>
      <c r="B45" s="62" t="s">
        <v>12</v>
      </c>
      <c r="C45" s="111"/>
      <c r="D45" s="112"/>
      <c r="E45" s="112">
        <f>E51+E57+E63</f>
        <v>0</v>
      </c>
      <c r="F45" s="113">
        <f t="shared" si="5"/>
        <v>0</v>
      </c>
      <c r="G45" s="114">
        <f t="shared" si="5"/>
        <v>0</v>
      </c>
      <c r="H45" s="115">
        <f t="shared" si="5"/>
        <v>0</v>
      </c>
      <c r="I45" s="114">
        <f t="shared" si="5"/>
        <v>0</v>
      </c>
      <c r="J45" s="115">
        <f t="shared" si="5"/>
        <v>0</v>
      </c>
      <c r="K45" s="112"/>
      <c r="L45" s="113"/>
      <c r="N45" s="375"/>
    </row>
    <row r="46" spans="1:14" s="110" customFormat="1" ht="18">
      <c r="A46" s="80"/>
      <c r="B46" s="62" t="s">
        <v>13</v>
      </c>
      <c r="C46" s="111"/>
      <c r="D46" s="112"/>
      <c r="E46" s="112">
        <f>E52+E58+E64</f>
        <v>0</v>
      </c>
      <c r="F46" s="113">
        <f t="shared" si="5"/>
        <v>0</v>
      </c>
      <c r="G46" s="114">
        <f t="shared" si="5"/>
        <v>0</v>
      </c>
      <c r="H46" s="115">
        <f t="shared" si="5"/>
        <v>0</v>
      </c>
      <c r="I46" s="114">
        <f t="shared" si="5"/>
        <v>0</v>
      </c>
      <c r="J46" s="115">
        <f t="shared" si="5"/>
        <v>0</v>
      </c>
      <c r="K46" s="112"/>
      <c r="L46" s="113"/>
    </row>
    <row r="47" spans="1:14" s="110" customFormat="1" ht="18">
      <c r="A47" s="116"/>
      <c r="B47" s="117" t="s">
        <v>14</v>
      </c>
      <c r="C47" s="118"/>
      <c r="D47" s="376"/>
      <c r="E47" s="112">
        <f>E53+E59+E65</f>
        <v>744.28710000000001</v>
      </c>
      <c r="F47" s="120">
        <f t="shared" si="5"/>
        <v>893.14451999999994</v>
      </c>
      <c r="G47" s="121">
        <f t="shared" si="5"/>
        <v>0</v>
      </c>
      <c r="H47" s="122">
        <f t="shared" si="5"/>
        <v>0</v>
      </c>
      <c r="I47" s="121">
        <f t="shared" si="5"/>
        <v>0</v>
      </c>
      <c r="J47" s="122">
        <f t="shared" si="5"/>
        <v>0</v>
      </c>
      <c r="K47" s="119"/>
      <c r="L47" s="120"/>
    </row>
    <row r="48" spans="1:14" s="110" customFormat="1" ht="149.25" customHeight="1">
      <c r="A48" s="77" t="s">
        <v>26</v>
      </c>
      <c r="B48" s="377" t="s">
        <v>770</v>
      </c>
      <c r="C48" s="378">
        <v>900</v>
      </c>
      <c r="D48" s="379">
        <v>119.38</v>
      </c>
      <c r="E48" s="380">
        <f t="shared" ref="E48:J48" si="6">SUM(E49:E53)</f>
        <v>3721.4355</v>
      </c>
      <c r="F48" s="381">
        <f>SUM(F49:F53)</f>
        <v>4465.7226000000001</v>
      </c>
      <c r="G48" s="86">
        <f t="shared" si="6"/>
        <v>0</v>
      </c>
      <c r="H48" s="87">
        <f t="shared" si="6"/>
        <v>0</v>
      </c>
      <c r="I48" s="86">
        <f t="shared" si="6"/>
        <v>0</v>
      </c>
      <c r="J48" s="87">
        <f t="shared" si="6"/>
        <v>0</v>
      </c>
      <c r="K48" s="84"/>
      <c r="L48" s="85"/>
      <c r="M48" s="375">
        <v>3721.4360000000001</v>
      </c>
    </row>
    <row r="49" spans="1:14" s="124" customFormat="1" ht="18">
      <c r="A49" s="88"/>
      <c r="B49" s="382" t="s">
        <v>10</v>
      </c>
      <c r="C49" s="383"/>
      <c r="D49" s="384"/>
      <c r="E49" s="384">
        <v>120.0414</v>
      </c>
      <c r="F49" s="106">
        <f>E49*1.2</f>
        <v>144.04968</v>
      </c>
      <c r="G49" s="93"/>
      <c r="H49" s="94"/>
      <c r="I49" s="93"/>
      <c r="J49" s="94"/>
      <c r="K49" s="91"/>
      <c r="L49" s="92"/>
    </row>
    <row r="50" spans="1:14" s="124" customFormat="1" ht="18">
      <c r="A50" s="88"/>
      <c r="B50" s="89" t="s">
        <v>9</v>
      </c>
      <c r="C50" s="90"/>
      <c r="D50" s="91"/>
      <c r="E50" s="91">
        <v>2857.107</v>
      </c>
      <c r="F50" s="92">
        <f>E50*1.2</f>
        <v>3428.5283999999997</v>
      </c>
      <c r="G50" s="93"/>
      <c r="H50" s="94"/>
      <c r="I50" s="93"/>
      <c r="J50" s="94"/>
      <c r="K50" s="91"/>
      <c r="L50" s="92"/>
    </row>
    <row r="51" spans="1:14" s="124" customFormat="1" ht="18">
      <c r="A51" s="88"/>
      <c r="B51" s="89" t="s">
        <v>12</v>
      </c>
      <c r="C51" s="90"/>
      <c r="D51" s="91"/>
      <c r="E51" s="91"/>
      <c r="F51" s="92"/>
      <c r="G51" s="93"/>
      <c r="H51" s="94"/>
      <c r="I51" s="93"/>
      <c r="J51" s="94"/>
      <c r="K51" s="91"/>
      <c r="L51" s="92"/>
    </row>
    <row r="52" spans="1:14" s="124" customFormat="1" ht="18">
      <c r="A52" s="88"/>
      <c r="B52" s="89" t="s">
        <v>13</v>
      </c>
      <c r="C52" s="90"/>
      <c r="D52" s="91"/>
      <c r="E52" s="91"/>
      <c r="F52" s="92"/>
      <c r="G52" s="93"/>
      <c r="H52" s="94"/>
      <c r="I52" s="93"/>
      <c r="J52" s="94"/>
      <c r="K52" s="91"/>
      <c r="L52" s="92"/>
    </row>
    <row r="53" spans="1:14" s="124" customFormat="1" ht="18">
      <c r="A53" s="97"/>
      <c r="B53" s="98" t="s">
        <v>14</v>
      </c>
      <c r="C53" s="99"/>
      <c r="D53" s="100"/>
      <c r="E53" s="100">
        <f>(E49+E50)/80%*20%</f>
        <v>744.28710000000001</v>
      </c>
      <c r="F53" s="92">
        <f t="shared" ref="F53:F59" si="7">E53*1.2</f>
        <v>893.14451999999994</v>
      </c>
      <c r="G53" s="125"/>
      <c r="H53" s="126"/>
      <c r="I53" s="125"/>
      <c r="J53" s="126"/>
      <c r="K53" s="100"/>
      <c r="L53" s="101"/>
    </row>
    <row r="54" spans="1:14" s="110" customFormat="1" ht="51" hidden="1" customHeight="1" outlineLevel="1">
      <c r="A54" s="77" t="s">
        <v>27</v>
      </c>
      <c r="B54" s="127"/>
      <c r="C54" s="385"/>
      <c r="D54" s="386"/>
      <c r="E54" s="84">
        <f>SUM(E55:E59)</f>
        <v>0</v>
      </c>
      <c r="F54" s="85">
        <f t="shared" si="7"/>
        <v>0</v>
      </c>
      <c r="G54" s="86"/>
      <c r="H54" s="87"/>
      <c r="I54" s="86"/>
      <c r="J54" s="87"/>
      <c r="K54" s="84"/>
      <c r="L54" s="85"/>
      <c r="N54" s="375">
        <f>E48+E54</f>
        <v>3721.4355</v>
      </c>
    </row>
    <row r="55" spans="1:14" s="124" customFormat="1" ht="18" hidden="1" outlineLevel="1">
      <c r="A55" s="88"/>
      <c r="B55" s="89" t="s">
        <v>10</v>
      </c>
      <c r="C55" s="90"/>
      <c r="D55" s="91"/>
      <c r="E55" s="91"/>
      <c r="F55" s="92">
        <f t="shared" si="7"/>
        <v>0</v>
      </c>
      <c r="G55" s="93"/>
      <c r="H55" s="94"/>
      <c r="I55" s="93"/>
      <c r="J55" s="94"/>
      <c r="K55" s="91"/>
      <c r="L55" s="92"/>
    </row>
    <row r="56" spans="1:14" s="124" customFormat="1" ht="18" hidden="1" outlineLevel="1">
      <c r="A56" s="88"/>
      <c r="B56" s="89" t="s">
        <v>9</v>
      </c>
      <c r="C56" s="90"/>
      <c r="D56" s="91"/>
      <c r="E56" s="91"/>
      <c r="F56" s="92">
        <f t="shared" si="7"/>
        <v>0</v>
      </c>
      <c r="G56" s="93"/>
      <c r="H56" s="94"/>
      <c r="I56" s="93"/>
      <c r="J56" s="94"/>
      <c r="K56" s="91"/>
      <c r="L56" s="92"/>
    </row>
    <row r="57" spans="1:14" s="124" customFormat="1" ht="18" hidden="1" outlineLevel="1">
      <c r="A57" s="88"/>
      <c r="B57" s="89" t="s">
        <v>12</v>
      </c>
      <c r="C57" s="90"/>
      <c r="D57" s="91"/>
      <c r="E57" s="91"/>
      <c r="F57" s="92">
        <f t="shared" si="7"/>
        <v>0</v>
      </c>
      <c r="G57" s="93"/>
      <c r="H57" s="94"/>
      <c r="I57" s="93"/>
      <c r="J57" s="94"/>
      <c r="K57" s="91"/>
      <c r="L57" s="92"/>
    </row>
    <row r="58" spans="1:14" s="124" customFormat="1" ht="18" hidden="1" outlineLevel="1">
      <c r="A58" s="88"/>
      <c r="B58" s="89" t="s">
        <v>13</v>
      </c>
      <c r="C58" s="90"/>
      <c r="D58" s="91"/>
      <c r="E58" s="91"/>
      <c r="F58" s="92">
        <f t="shared" si="7"/>
        <v>0</v>
      </c>
      <c r="G58" s="93"/>
      <c r="H58" s="94"/>
      <c r="I58" s="93"/>
      <c r="J58" s="94"/>
      <c r="K58" s="91"/>
      <c r="L58" s="92"/>
    </row>
    <row r="59" spans="1:14" s="124" customFormat="1" ht="18" hidden="1" outlineLevel="1">
      <c r="A59" s="97"/>
      <c r="B59" s="98" t="s">
        <v>14</v>
      </c>
      <c r="C59" s="99"/>
      <c r="D59" s="100"/>
      <c r="E59" s="100">
        <f>(E55+E56)/80%*20%</f>
        <v>0</v>
      </c>
      <c r="F59" s="101">
        <f t="shared" si="7"/>
        <v>0</v>
      </c>
      <c r="G59" s="125"/>
      <c r="H59" s="126"/>
      <c r="I59" s="125"/>
      <c r="J59" s="126"/>
      <c r="K59" s="100"/>
      <c r="L59" s="101"/>
    </row>
    <row r="60" spans="1:14" s="110" customFormat="1" ht="18" hidden="1" outlineLevel="1">
      <c r="A60" s="77" t="s">
        <v>592</v>
      </c>
      <c r="B60" s="105"/>
      <c r="C60" s="128"/>
      <c r="D60" s="86"/>
      <c r="E60" s="86">
        <v>0</v>
      </c>
      <c r="F60" s="87">
        <f t="shared" ref="F60:F65" si="8">E60*1.18</f>
        <v>0</v>
      </c>
      <c r="G60" s="86"/>
      <c r="H60" s="87"/>
      <c r="I60" s="86"/>
      <c r="J60" s="87"/>
      <c r="K60" s="84"/>
      <c r="L60" s="85"/>
    </row>
    <row r="61" spans="1:14" s="124" customFormat="1" ht="18" hidden="1" outlineLevel="1">
      <c r="A61" s="88"/>
      <c r="B61" s="89" t="s">
        <v>10</v>
      </c>
      <c r="C61" s="129"/>
      <c r="D61" s="93"/>
      <c r="E61" s="93"/>
      <c r="F61" s="94">
        <f t="shared" si="8"/>
        <v>0</v>
      </c>
      <c r="G61" s="93"/>
      <c r="H61" s="94"/>
      <c r="I61" s="93"/>
      <c r="J61" s="94"/>
      <c r="K61" s="91"/>
      <c r="L61" s="92"/>
    </row>
    <row r="62" spans="1:14" s="124" customFormat="1" ht="18" hidden="1" outlineLevel="1">
      <c r="A62" s="88"/>
      <c r="B62" s="89" t="s">
        <v>9</v>
      </c>
      <c r="C62" s="129"/>
      <c r="D62" s="93"/>
      <c r="E62" s="93"/>
      <c r="F62" s="94">
        <f t="shared" si="8"/>
        <v>0</v>
      </c>
      <c r="G62" s="93"/>
      <c r="H62" s="94"/>
      <c r="I62" s="93"/>
      <c r="J62" s="94"/>
      <c r="K62" s="91"/>
      <c r="L62" s="92"/>
    </row>
    <row r="63" spans="1:14" s="124" customFormat="1" ht="18" hidden="1" outlineLevel="1">
      <c r="A63" s="88"/>
      <c r="B63" s="89" t="s">
        <v>12</v>
      </c>
      <c r="C63" s="129"/>
      <c r="D63" s="93"/>
      <c r="E63" s="93"/>
      <c r="F63" s="94">
        <f t="shared" si="8"/>
        <v>0</v>
      </c>
      <c r="G63" s="93"/>
      <c r="H63" s="94"/>
      <c r="I63" s="93"/>
      <c r="J63" s="94"/>
      <c r="K63" s="91"/>
      <c r="L63" s="92"/>
    </row>
    <row r="64" spans="1:14" s="124" customFormat="1" ht="18" hidden="1" outlineLevel="1">
      <c r="A64" s="88"/>
      <c r="B64" s="89" t="s">
        <v>13</v>
      </c>
      <c r="C64" s="129"/>
      <c r="D64" s="93"/>
      <c r="E64" s="93"/>
      <c r="F64" s="94">
        <f t="shared" si="8"/>
        <v>0</v>
      </c>
      <c r="G64" s="93"/>
      <c r="H64" s="94"/>
      <c r="I64" s="93"/>
      <c r="J64" s="94"/>
      <c r="K64" s="91"/>
      <c r="L64" s="92"/>
    </row>
    <row r="65" spans="1:40" s="124" customFormat="1" ht="18" hidden="1" outlineLevel="1">
      <c r="A65" s="97"/>
      <c r="B65" s="98" t="s">
        <v>14</v>
      </c>
      <c r="C65" s="130"/>
      <c r="D65" s="125"/>
      <c r="E65" s="125"/>
      <c r="F65" s="126">
        <f t="shared" si="8"/>
        <v>0</v>
      </c>
      <c r="G65" s="125"/>
      <c r="H65" s="126"/>
      <c r="I65" s="125"/>
      <c r="J65" s="126"/>
      <c r="K65" s="100"/>
      <c r="L65" s="101"/>
    </row>
    <row r="66" spans="1:40" ht="18" collapsed="1">
      <c r="A66" s="131"/>
      <c r="B66" s="40"/>
      <c r="C66" s="40"/>
      <c r="D66" s="132"/>
      <c r="E66" s="132"/>
      <c r="F66" s="13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</row>
    <row r="67" spans="1:40" ht="18.75">
      <c r="A67" s="13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</row>
  </sheetData>
  <mergeCells count="8">
    <mergeCell ref="I10:J10"/>
    <mergeCell ref="K10:L10"/>
    <mergeCell ref="A10:A11"/>
    <mergeCell ref="B10:B11"/>
    <mergeCell ref="C10:C11"/>
    <mergeCell ref="D10:D11"/>
    <mergeCell ref="E10:F10"/>
    <mergeCell ref="G10:H10"/>
  </mergeCells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04"/>
  <sheetViews>
    <sheetView view="pageBreakPreview" zoomScale="70" zoomScaleNormal="100" zoomScaleSheetLayoutView="70" workbookViewId="0">
      <pane xSplit="1" ySplit="2" topLeftCell="B65" activePane="bottomRight" state="frozen"/>
      <selection pane="topRight" activeCell="B1" sqref="B1"/>
      <selection pane="bottomLeft" activeCell="A3" sqref="A3"/>
      <selection pane="bottomRight" activeCell="E88" sqref="E88"/>
    </sheetView>
  </sheetViews>
  <sheetFormatPr defaultRowHeight="12.75"/>
  <cols>
    <col min="1" max="1" width="32.28515625" style="2714" customWidth="1"/>
    <col min="2" max="2" width="22.7109375" style="2714" customWidth="1"/>
    <col min="3" max="3" width="19.28515625" style="2714" customWidth="1"/>
    <col min="4" max="5" width="14.7109375" style="2714" customWidth="1"/>
    <col min="6" max="6" width="14.140625" style="2714" customWidth="1"/>
    <col min="7" max="7" width="15.85546875" style="2714" customWidth="1"/>
    <col min="8" max="8" width="14" style="2714" customWidth="1"/>
    <col min="9" max="9" width="15" style="2714" customWidth="1"/>
    <col min="10" max="10" width="14.5703125" style="2714" customWidth="1"/>
    <col min="11" max="11" width="41" style="2714" bestFit="1" customWidth="1"/>
    <col min="12" max="12" width="22.7109375" style="2714" customWidth="1"/>
    <col min="13" max="13" width="14.5703125" style="2714" customWidth="1"/>
    <col min="14" max="14" width="13.28515625" style="2714" customWidth="1"/>
    <col min="15" max="15" width="12.42578125" style="2714" customWidth="1"/>
    <col min="16" max="17" width="13.85546875" style="2714" customWidth="1"/>
    <col min="18" max="18" width="12.85546875" style="2714" bestFit="1" customWidth="1"/>
    <col min="19" max="19" width="21.140625" style="2714" customWidth="1"/>
    <col min="20" max="20" width="9.140625" style="2714"/>
    <col min="21" max="21" width="10.140625" style="2714" bestFit="1" customWidth="1"/>
    <col min="22" max="16384" width="9.140625" style="2714"/>
  </cols>
  <sheetData>
    <row r="1" spans="1:19" ht="36.75" customHeight="1">
      <c r="A1" s="3365" t="s">
        <v>15149</v>
      </c>
      <c r="B1" s="3377" t="s">
        <v>15127</v>
      </c>
      <c r="C1" s="3371" t="s">
        <v>15175</v>
      </c>
      <c r="D1" s="3374" t="s">
        <v>15198</v>
      </c>
      <c r="E1" s="3375"/>
      <c r="F1" s="3376"/>
      <c r="G1" s="3374" t="s">
        <v>15199</v>
      </c>
      <c r="H1" s="3375"/>
      <c r="I1" s="3376"/>
      <c r="J1" s="3367" t="s">
        <v>15179</v>
      </c>
      <c r="K1" s="3369" t="s">
        <v>15126</v>
      </c>
      <c r="L1" s="3371" t="s">
        <v>15176</v>
      </c>
      <c r="M1" s="3373" t="s">
        <v>15189</v>
      </c>
      <c r="N1" s="3373"/>
      <c r="O1" s="3373"/>
      <c r="P1" s="3373" t="s">
        <v>15196</v>
      </c>
      <c r="Q1" s="3373"/>
      <c r="R1" s="3373"/>
      <c r="S1" s="3379" t="s">
        <v>15188</v>
      </c>
    </row>
    <row r="2" spans="1:19" ht="24.75" customHeight="1">
      <c r="A2" s="3366"/>
      <c r="B2" s="3378"/>
      <c r="C2" s="3372"/>
      <c r="D2" s="2705" t="s">
        <v>1310</v>
      </c>
      <c r="E2" s="2704" t="s">
        <v>15194</v>
      </c>
      <c r="F2" s="2704" t="s">
        <v>1813</v>
      </c>
      <c r="G2" s="2705" t="s">
        <v>1310</v>
      </c>
      <c r="H2" s="2704" t="s">
        <v>15194</v>
      </c>
      <c r="I2" s="2704" t="s">
        <v>1813</v>
      </c>
      <c r="J2" s="3368"/>
      <c r="K2" s="3370"/>
      <c r="L2" s="3372"/>
      <c r="M2" s="2707" t="s">
        <v>1310</v>
      </c>
      <c r="N2" s="2708" t="s">
        <v>15194</v>
      </c>
      <c r="O2" s="2708" t="s">
        <v>1813</v>
      </c>
      <c r="P2" s="2707" t="s">
        <v>1310</v>
      </c>
      <c r="Q2" s="2708" t="s">
        <v>15194</v>
      </c>
      <c r="R2" s="2708" t="s">
        <v>1813</v>
      </c>
      <c r="S2" s="3380"/>
    </row>
    <row r="3" spans="1:19" ht="22.5" customHeight="1">
      <c r="A3" s="2786" t="s">
        <v>15157</v>
      </c>
      <c r="B3" s="2715"/>
      <c r="C3" s="2716"/>
      <c r="D3" s="2717"/>
      <c r="E3" s="2718"/>
      <c r="F3" s="2718"/>
      <c r="G3" s="2718"/>
      <c r="H3" s="2718"/>
      <c r="I3" s="2718"/>
      <c r="J3" s="2719"/>
      <c r="K3" s="2720"/>
      <c r="L3" s="2716"/>
      <c r="M3" s="2717"/>
      <c r="N3" s="2718"/>
      <c r="O3" s="2718"/>
      <c r="P3" s="2718"/>
      <c r="Q3" s="2718"/>
      <c r="R3" s="2718"/>
      <c r="S3" s="2721"/>
    </row>
    <row r="4" spans="1:19" ht="18" customHeight="1">
      <c r="A4" s="2780" t="s">
        <v>15177</v>
      </c>
      <c r="B4" s="2722"/>
      <c r="C4" s="2723"/>
      <c r="D4" s="2724">
        <v>29027553.879999999</v>
      </c>
      <c r="E4" s="2725">
        <v>17591195.18</v>
      </c>
      <c r="F4" s="2725">
        <v>11436358.699999999</v>
      </c>
      <c r="G4" s="2726">
        <v>29438996</v>
      </c>
      <c r="H4" s="2726">
        <v>17872421</v>
      </c>
      <c r="I4" s="2726">
        <v>11566575</v>
      </c>
      <c r="J4" s="2727"/>
      <c r="K4" s="2728"/>
      <c r="L4" s="2723"/>
      <c r="M4" s="2724">
        <v>28007175.913000003</v>
      </c>
      <c r="N4" s="2725">
        <v>20269787</v>
      </c>
      <c r="O4" s="2725">
        <f>O86</f>
        <v>7927371.2930000015</v>
      </c>
      <c r="P4" s="2725">
        <v>28291572</v>
      </c>
      <c r="Q4" s="2725">
        <v>20282577</v>
      </c>
      <c r="R4" s="2725">
        <f>P4-Q4</f>
        <v>8008995</v>
      </c>
      <c r="S4" s="2729"/>
    </row>
    <row r="5" spans="1:19" ht="19.5" customHeight="1">
      <c r="A5" s="2781" t="s">
        <v>15047</v>
      </c>
      <c r="B5" s="2730" t="s">
        <v>15146</v>
      </c>
      <c r="C5" s="2731" t="s">
        <v>15142</v>
      </c>
      <c r="D5" s="2732"/>
      <c r="E5" s="2733"/>
      <c r="F5" s="2733"/>
      <c r="G5" s="2733"/>
      <c r="H5" s="2733"/>
      <c r="I5" s="2733"/>
      <c r="J5" s="2734" t="s">
        <v>15169</v>
      </c>
      <c r="K5" s="2735" t="s">
        <v>15048</v>
      </c>
      <c r="L5" s="2731" t="s">
        <v>15142</v>
      </c>
      <c r="M5" s="2732"/>
      <c r="N5" s="2733"/>
      <c r="O5" s="2733"/>
      <c r="P5" s="2733"/>
      <c r="Q5" s="2733"/>
      <c r="R5" s="2733"/>
      <c r="S5" s="2736"/>
    </row>
    <row r="6" spans="1:19" ht="19.5" customHeight="1">
      <c r="A6" s="2781" t="s">
        <v>15049</v>
      </c>
      <c r="B6" s="2730" t="s">
        <v>15146</v>
      </c>
      <c r="C6" s="2731" t="s">
        <v>15142</v>
      </c>
      <c r="D6" s="2732"/>
      <c r="E6" s="2737"/>
      <c r="F6" s="2737"/>
      <c r="G6" s="2737"/>
      <c r="H6" s="2737"/>
      <c r="I6" s="2737"/>
      <c r="J6" s="3385" t="s">
        <v>15182</v>
      </c>
      <c r="K6" s="2735" t="s">
        <v>15048</v>
      </c>
      <c r="L6" s="2731" t="s">
        <v>15142</v>
      </c>
      <c r="M6" s="2732"/>
      <c r="N6" s="2733"/>
      <c r="O6" s="2733"/>
      <c r="P6" s="2733"/>
      <c r="Q6" s="2733"/>
      <c r="R6" s="2733"/>
      <c r="S6" s="2736"/>
    </row>
    <row r="7" spans="1:19" ht="19.5" customHeight="1">
      <c r="A7" s="2781" t="s">
        <v>15054</v>
      </c>
      <c r="B7" s="2730" t="s">
        <v>15146</v>
      </c>
      <c r="C7" s="2731" t="s">
        <v>15142</v>
      </c>
      <c r="D7" s="2732"/>
      <c r="E7" s="2738"/>
      <c r="F7" s="2738"/>
      <c r="G7" s="2738"/>
      <c r="H7" s="2738"/>
      <c r="I7" s="2738"/>
      <c r="J7" s="3386"/>
      <c r="K7" s="2739" t="s">
        <v>15053</v>
      </c>
      <c r="L7" s="2740"/>
      <c r="M7" s="2741"/>
      <c r="N7" s="2742"/>
      <c r="O7" s="2742"/>
      <c r="P7" s="2742"/>
      <c r="Q7" s="2742"/>
      <c r="R7" s="2742"/>
      <c r="S7" s="2743"/>
    </row>
    <row r="8" spans="1:19" ht="19.5" customHeight="1">
      <c r="A8" s="2781" t="s">
        <v>15055</v>
      </c>
      <c r="B8" s="2730" t="s">
        <v>15146</v>
      </c>
      <c r="C8" s="2731" t="s">
        <v>15142</v>
      </c>
      <c r="D8" s="2732"/>
      <c r="E8" s="2738"/>
      <c r="F8" s="2738"/>
      <c r="G8" s="2738"/>
      <c r="H8" s="2738"/>
      <c r="I8" s="2738"/>
      <c r="J8" s="3386"/>
      <c r="K8" s="2739" t="s">
        <v>15053</v>
      </c>
      <c r="L8" s="2740"/>
      <c r="M8" s="2741"/>
      <c r="N8" s="2742"/>
      <c r="O8" s="2742"/>
      <c r="P8" s="2742"/>
      <c r="Q8" s="2742"/>
      <c r="R8" s="2742"/>
      <c r="S8" s="2743"/>
    </row>
    <row r="9" spans="1:19" ht="19.5" customHeight="1">
      <c r="A9" s="2781" t="s">
        <v>15056</v>
      </c>
      <c r="B9" s="2730" t="s">
        <v>15146</v>
      </c>
      <c r="C9" s="2731" t="s">
        <v>15142</v>
      </c>
      <c r="D9" s="2732"/>
      <c r="E9" s="2738"/>
      <c r="F9" s="2738"/>
      <c r="G9" s="2738"/>
      <c r="H9" s="2738"/>
      <c r="I9" s="2738"/>
      <c r="J9" s="3386"/>
      <c r="K9" s="2739" t="s">
        <v>15053</v>
      </c>
      <c r="L9" s="2740"/>
      <c r="M9" s="2741"/>
      <c r="N9" s="2742"/>
      <c r="O9" s="2742"/>
      <c r="P9" s="2742"/>
      <c r="Q9" s="2742"/>
      <c r="R9" s="2742"/>
      <c r="S9" s="2743"/>
    </row>
    <row r="10" spans="1:19" ht="19.5" customHeight="1">
      <c r="A10" s="2781" t="s">
        <v>15060</v>
      </c>
      <c r="B10" s="2730" t="s">
        <v>15146</v>
      </c>
      <c r="C10" s="2731" t="s">
        <v>15142</v>
      </c>
      <c r="D10" s="2732"/>
      <c r="E10" s="2738"/>
      <c r="F10" s="2738"/>
      <c r="G10" s="2738"/>
      <c r="H10" s="2738"/>
      <c r="I10" s="2738"/>
      <c r="J10" s="3386"/>
      <c r="K10" s="2739" t="s">
        <v>15053</v>
      </c>
      <c r="L10" s="2740"/>
      <c r="M10" s="2741"/>
      <c r="N10" s="2742"/>
      <c r="O10" s="2742"/>
      <c r="P10" s="2742"/>
      <c r="Q10" s="2742"/>
      <c r="R10" s="2742"/>
      <c r="S10" s="2743"/>
    </row>
    <row r="11" spans="1:19" ht="19.5" customHeight="1">
      <c r="A11" s="2781" t="s">
        <v>15061</v>
      </c>
      <c r="B11" s="2730" t="s">
        <v>15146</v>
      </c>
      <c r="C11" s="2731" t="s">
        <v>15142</v>
      </c>
      <c r="D11" s="2732"/>
      <c r="E11" s="2738"/>
      <c r="F11" s="2738"/>
      <c r="G11" s="2738"/>
      <c r="H11" s="2738"/>
      <c r="I11" s="2738"/>
      <c r="J11" s="3386"/>
      <c r="K11" s="2739" t="s">
        <v>15053</v>
      </c>
      <c r="L11" s="2740"/>
      <c r="M11" s="2741"/>
      <c r="N11" s="2742"/>
      <c r="O11" s="2742"/>
      <c r="P11" s="2742"/>
      <c r="Q11" s="2742"/>
      <c r="R11" s="2742"/>
      <c r="S11" s="2743"/>
    </row>
    <row r="12" spans="1:19" ht="19.5" customHeight="1">
      <c r="A12" s="2781" t="s">
        <v>15062</v>
      </c>
      <c r="B12" s="2730" t="s">
        <v>15146</v>
      </c>
      <c r="C12" s="2731" t="s">
        <v>15142</v>
      </c>
      <c r="D12" s="2732"/>
      <c r="E12" s="2738"/>
      <c r="F12" s="2738"/>
      <c r="G12" s="2738"/>
      <c r="H12" s="2738"/>
      <c r="I12" s="2738"/>
      <c r="J12" s="3386"/>
      <c r="K12" s="2735" t="s">
        <v>15048</v>
      </c>
      <c r="L12" s="2731" t="s">
        <v>15142</v>
      </c>
      <c r="M12" s="2732"/>
      <c r="N12" s="2733"/>
      <c r="O12" s="2733"/>
      <c r="P12" s="2733"/>
      <c r="Q12" s="2733"/>
      <c r="R12" s="2733"/>
      <c r="S12" s="2736"/>
    </row>
    <row r="13" spans="1:19" ht="19.5" customHeight="1">
      <c r="A13" s="2781" t="s">
        <v>15063</v>
      </c>
      <c r="B13" s="2730" t="s">
        <v>15146</v>
      </c>
      <c r="C13" s="2731" t="s">
        <v>15142</v>
      </c>
      <c r="D13" s="2732"/>
      <c r="E13" s="2738"/>
      <c r="F13" s="2738"/>
      <c r="G13" s="2738"/>
      <c r="H13" s="2738"/>
      <c r="I13" s="2738"/>
      <c r="J13" s="3386"/>
      <c r="K13" s="2739" t="s">
        <v>15053</v>
      </c>
      <c r="L13" s="2740"/>
      <c r="M13" s="2741"/>
      <c r="N13" s="2742"/>
      <c r="O13" s="2742"/>
      <c r="P13" s="2742"/>
      <c r="Q13" s="2742"/>
      <c r="R13" s="2742"/>
      <c r="S13" s="2743"/>
    </row>
    <row r="14" spans="1:19" ht="19.5" customHeight="1">
      <c r="A14" s="2781" t="s">
        <v>15064</v>
      </c>
      <c r="B14" s="2730" t="s">
        <v>15146</v>
      </c>
      <c r="C14" s="2731" t="s">
        <v>15142</v>
      </c>
      <c r="D14" s="2732"/>
      <c r="E14" s="2738"/>
      <c r="F14" s="2738"/>
      <c r="G14" s="2738"/>
      <c r="H14" s="2738"/>
      <c r="I14" s="2738"/>
      <c r="J14" s="3386"/>
      <c r="K14" s="2735" t="s">
        <v>15048</v>
      </c>
      <c r="L14" s="2731" t="s">
        <v>15142</v>
      </c>
      <c r="M14" s="2732"/>
      <c r="N14" s="2733"/>
      <c r="O14" s="2733"/>
      <c r="P14" s="2733"/>
      <c r="Q14" s="2733"/>
      <c r="R14" s="2733"/>
      <c r="S14" s="2736"/>
    </row>
    <row r="15" spans="1:19" ht="19.5" customHeight="1">
      <c r="A15" s="2781" t="s">
        <v>15065</v>
      </c>
      <c r="B15" s="2730" t="s">
        <v>15146</v>
      </c>
      <c r="C15" s="2731" t="s">
        <v>15142</v>
      </c>
      <c r="D15" s="2732"/>
      <c r="E15" s="2738"/>
      <c r="F15" s="2738"/>
      <c r="G15" s="2738"/>
      <c r="H15" s="2738"/>
      <c r="I15" s="2738"/>
      <c r="J15" s="3386"/>
      <c r="K15" s="2739" t="s">
        <v>15053</v>
      </c>
      <c r="L15" s="2740"/>
      <c r="M15" s="2741"/>
      <c r="N15" s="2742"/>
      <c r="O15" s="2742"/>
      <c r="P15" s="2742"/>
      <c r="Q15" s="2742"/>
      <c r="R15" s="2742"/>
      <c r="S15" s="2743"/>
    </row>
    <row r="16" spans="1:19" ht="19.5" customHeight="1">
      <c r="A16" s="2781" t="s">
        <v>15066</v>
      </c>
      <c r="B16" s="2730" t="s">
        <v>15146</v>
      </c>
      <c r="C16" s="2731" t="s">
        <v>15142</v>
      </c>
      <c r="D16" s="2732"/>
      <c r="E16" s="2738"/>
      <c r="F16" s="2738"/>
      <c r="G16" s="2738"/>
      <c r="H16" s="2738"/>
      <c r="I16" s="2738"/>
      <c r="J16" s="3386"/>
      <c r="K16" s="2739" t="s">
        <v>15053</v>
      </c>
      <c r="L16" s="2740"/>
      <c r="M16" s="2741"/>
      <c r="N16" s="2742"/>
      <c r="O16" s="2742"/>
      <c r="P16" s="2742"/>
      <c r="Q16" s="2742"/>
      <c r="R16" s="2742"/>
      <c r="S16" s="2743"/>
    </row>
    <row r="17" spans="1:19" ht="19.5" customHeight="1">
      <c r="A17" s="2781" t="s">
        <v>15067</v>
      </c>
      <c r="B17" s="2730" t="s">
        <v>15146</v>
      </c>
      <c r="C17" s="2731" t="s">
        <v>15142</v>
      </c>
      <c r="D17" s="2732"/>
      <c r="E17" s="2738"/>
      <c r="F17" s="2738"/>
      <c r="G17" s="2738"/>
      <c r="H17" s="2738"/>
      <c r="I17" s="2738"/>
      <c r="J17" s="3386"/>
      <c r="K17" s="2735" t="s">
        <v>15048</v>
      </c>
      <c r="L17" s="2731" t="s">
        <v>15142</v>
      </c>
      <c r="M17" s="2732"/>
      <c r="N17" s="2733"/>
      <c r="O17" s="2733"/>
      <c r="P17" s="2733"/>
      <c r="Q17" s="2733"/>
      <c r="R17" s="2733"/>
      <c r="S17" s="2736"/>
    </row>
    <row r="18" spans="1:19" ht="19.5" customHeight="1">
      <c r="A18" s="2781" t="s">
        <v>15068</v>
      </c>
      <c r="B18" s="2730" t="s">
        <v>15146</v>
      </c>
      <c r="C18" s="2731" t="s">
        <v>15142</v>
      </c>
      <c r="D18" s="2732"/>
      <c r="E18" s="2738"/>
      <c r="F18" s="2738"/>
      <c r="G18" s="2738"/>
      <c r="H18" s="2738"/>
      <c r="I18" s="2738"/>
      <c r="J18" s="3386"/>
      <c r="K18" s="2739" t="s">
        <v>15053</v>
      </c>
      <c r="L18" s="2740"/>
      <c r="M18" s="2741"/>
      <c r="N18" s="2742"/>
      <c r="O18" s="2742"/>
      <c r="P18" s="2742"/>
      <c r="Q18" s="2742"/>
      <c r="R18" s="2742"/>
      <c r="S18" s="2743"/>
    </row>
    <row r="19" spans="1:19" ht="19.5" customHeight="1">
      <c r="A19" s="2781" t="s">
        <v>15069</v>
      </c>
      <c r="B19" s="2730" t="s">
        <v>15146</v>
      </c>
      <c r="C19" s="2731" t="s">
        <v>15142</v>
      </c>
      <c r="D19" s="2732"/>
      <c r="E19" s="2738"/>
      <c r="F19" s="2738"/>
      <c r="G19" s="2738"/>
      <c r="H19" s="2738"/>
      <c r="I19" s="2738"/>
      <c r="J19" s="3386"/>
      <c r="K19" s="2739" t="s">
        <v>15053</v>
      </c>
      <c r="L19" s="2740"/>
      <c r="M19" s="2741"/>
      <c r="N19" s="2742"/>
      <c r="O19" s="2742"/>
      <c r="P19" s="2742"/>
      <c r="Q19" s="2742"/>
      <c r="R19" s="2742"/>
      <c r="S19" s="2743"/>
    </row>
    <row r="20" spans="1:19" ht="19.5" customHeight="1">
      <c r="A20" s="2781" t="s">
        <v>15070</v>
      </c>
      <c r="B20" s="2730" t="s">
        <v>15146</v>
      </c>
      <c r="C20" s="2731" t="s">
        <v>15142</v>
      </c>
      <c r="D20" s="2732"/>
      <c r="E20" s="2738"/>
      <c r="F20" s="2738"/>
      <c r="G20" s="2738"/>
      <c r="H20" s="2738"/>
      <c r="I20" s="2738"/>
      <c r="J20" s="3386"/>
      <c r="K20" s="2739" t="s">
        <v>15053</v>
      </c>
      <c r="L20" s="2740"/>
      <c r="M20" s="2741"/>
      <c r="N20" s="2742"/>
      <c r="O20" s="2742"/>
      <c r="P20" s="2742"/>
      <c r="Q20" s="2742"/>
      <c r="R20" s="2742"/>
      <c r="S20" s="2743"/>
    </row>
    <row r="21" spans="1:19" ht="19.5" customHeight="1">
      <c r="A21" s="2781" t="s">
        <v>15071</v>
      </c>
      <c r="B21" s="2730" t="s">
        <v>15146</v>
      </c>
      <c r="C21" s="2731" t="s">
        <v>15142</v>
      </c>
      <c r="D21" s="2732"/>
      <c r="E21" s="2738"/>
      <c r="F21" s="2738"/>
      <c r="G21" s="2738"/>
      <c r="H21" s="2738"/>
      <c r="I21" s="2738"/>
      <c r="J21" s="3386"/>
      <c r="K21" s="2739" t="s">
        <v>15053</v>
      </c>
      <c r="L21" s="2740"/>
      <c r="M21" s="2741"/>
      <c r="N21" s="2742"/>
      <c r="O21" s="2742"/>
      <c r="P21" s="2742"/>
      <c r="Q21" s="2742"/>
      <c r="R21" s="2742"/>
      <c r="S21" s="2743"/>
    </row>
    <row r="22" spans="1:19" ht="19.5" customHeight="1">
      <c r="A22" s="2781" t="s">
        <v>15072</v>
      </c>
      <c r="B22" s="2730" t="s">
        <v>15146</v>
      </c>
      <c r="C22" s="2731" t="s">
        <v>15142</v>
      </c>
      <c r="D22" s="2732"/>
      <c r="E22" s="2738"/>
      <c r="F22" s="2738"/>
      <c r="G22" s="2738"/>
      <c r="H22" s="2738"/>
      <c r="I22" s="2738"/>
      <c r="J22" s="3386"/>
      <c r="K22" s="2739" t="s">
        <v>15053</v>
      </c>
      <c r="L22" s="2740"/>
      <c r="M22" s="2741"/>
      <c r="N22" s="2742"/>
      <c r="O22" s="2742"/>
      <c r="P22" s="2742"/>
      <c r="Q22" s="2742"/>
      <c r="R22" s="2742"/>
      <c r="S22" s="2743"/>
    </row>
    <row r="23" spans="1:19" ht="19.5" customHeight="1">
      <c r="A23" s="2781" t="s">
        <v>15074</v>
      </c>
      <c r="B23" s="2730" t="s">
        <v>15146</v>
      </c>
      <c r="C23" s="2731" t="s">
        <v>15142</v>
      </c>
      <c r="D23" s="2732"/>
      <c r="E23" s="2738"/>
      <c r="F23" s="2738"/>
      <c r="G23" s="2738"/>
      <c r="H23" s="2738"/>
      <c r="I23" s="2738"/>
      <c r="J23" s="3386"/>
      <c r="K23" s="2739" t="s">
        <v>15053</v>
      </c>
      <c r="L23" s="2740"/>
      <c r="M23" s="2741"/>
      <c r="N23" s="2742"/>
      <c r="O23" s="2742"/>
      <c r="P23" s="2742"/>
      <c r="Q23" s="2742"/>
      <c r="R23" s="2742"/>
      <c r="S23" s="2743"/>
    </row>
    <row r="24" spans="1:19" ht="19.5" customHeight="1">
      <c r="A24" s="2781" t="s">
        <v>15075</v>
      </c>
      <c r="B24" s="2730" t="s">
        <v>15146</v>
      </c>
      <c r="C24" s="2731" t="s">
        <v>15142</v>
      </c>
      <c r="D24" s="2732"/>
      <c r="E24" s="2738"/>
      <c r="F24" s="2738"/>
      <c r="G24" s="2738"/>
      <c r="H24" s="2738"/>
      <c r="I24" s="2738"/>
      <c r="J24" s="3386"/>
      <c r="K24" s="2739" t="s">
        <v>15053</v>
      </c>
      <c r="L24" s="2740"/>
      <c r="M24" s="2741"/>
      <c r="N24" s="2742"/>
      <c r="O24" s="2742"/>
      <c r="P24" s="2742"/>
      <c r="Q24" s="2742"/>
      <c r="R24" s="2742"/>
      <c r="S24" s="2743"/>
    </row>
    <row r="25" spans="1:19" ht="19.5" customHeight="1">
      <c r="A25" s="2781" t="s">
        <v>15076</v>
      </c>
      <c r="B25" s="2730" t="s">
        <v>15146</v>
      </c>
      <c r="C25" s="2731" t="s">
        <v>15142</v>
      </c>
      <c r="D25" s="2732"/>
      <c r="E25" s="2738"/>
      <c r="F25" s="2738"/>
      <c r="G25" s="2738"/>
      <c r="H25" s="2738"/>
      <c r="I25" s="2738"/>
      <c r="J25" s="3386"/>
      <c r="K25" s="2739" t="s">
        <v>15053</v>
      </c>
      <c r="L25" s="2740"/>
      <c r="M25" s="2741"/>
      <c r="N25" s="2742"/>
      <c r="O25" s="2742"/>
      <c r="P25" s="2742"/>
      <c r="Q25" s="2742"/>
      <c r="R25" s="2742"/>
      <c r="S25" s="2743"/>
    </row>
    <row r="26" spans="1:19" ht="19.5" customHeight="1">
      <c r="A26" s="2781" t="s">
        <v>15078</v>
      </c>
      <c r="B26" s="2730" t="s">
        <v>15146</v>
      </c>
      <c r="C26" s="2731" t="s">
        <v>15142</v>
      </c>
      <c r="D26" s="2732"/>
      <c r="E26" s="2738"/>
      <c r="F26" s="2738"/>
      <c r="G26" s="2738"/>
      <c r="H26" s="2738"/>
      <c r="I26" s="2738"/>
      <c r="J26" s="3386"/>
      <c r="K26" s="2739" t="s">
        <v>15053</v>
      </c>
      <c r="L26" s="2740"/>
      <c r="M26" s="2741"/>
      <c r="N26" s="2742"/>
      <c r="O26" s="2742"/>
      <c r="P26" s="2742"/>
      <c r="Q26" s="2742"/>
      <c r="R26" s="2742"/>
      <c r="S26" s="2743"/>
    </row>
    <row r="27" spans="1:19" ht="19.5" customHeight="1">
      <c r="A27" s="2781" t="s">
        <v>15079</v>
      </c>
      <c r="B27" s="2730" t="s">
        <v>15146</v>
      </c>
      <c r="C27" s="2731" t="s">
        <v>15142</v>
      </c>
      <c r="D27" s="2732"/>
      <c r="E27" s="2738"/>
      <c r="F27" s="2738"/>
      <c r="G27" s="2738"/>
      <c r="H27" s="2738"/>
      <c r="I27" s="2738"/>
      <c r="J27" s="3386"/>
      <c r="K27" s="2739" t="s">
        <v>15053</v>
      </c>
      <c r="L27" s="2740"/>
      <c r="M27" s="2741"/>
      <c r="N27" s="2742"/>
      <c r="O27" s="2742"/>
      <c r="P27" s="2742"/>
      <c r="Q27" s="2742"/>
      <c r="R27" s="2742"/>
      <c r="S27" s="2743"/>
    </row>
    <row r="28" spans="1:19" ht="19.5" customHeight="1">
      <c r="A28" s="2781" t="s">
        <v>15080</v>
      </c>
      <c r="B28" s="2730" t="s">
        <v>15146</v>
      </c>
      <c r="C28" s="2731" t="s">
        <v>15142</v>
      </c>
      <c r="D28" s="2732"/>
      <c r="E28" s="2738"/>
      <c r="F28" s="2738"/>
      <c r="G28" s="2738"/>
      <c r="H28" s="2738"/>
      <c r="I28" s="2738"/>
      <c r="J28" s="3386"/>
      <c r="K28" s="2739" t="s">
        <v>15053</v>
      </c>
      <c r="L28" s="2740"/>
      <c r="M28" s="2741"/>
      <c r="N28" s="2742"/>
      <c r="O28" s="2742"/>
      <c r="P28" s="2742"/>
      <c r="Q28" s="2742"/>
      <c r="R28" s="2742"/>
      <c r="S28" s="2743"/>
    </row>
    <row r="29" spans="1:19" ht="19.5" customHeight="1">
      <c r="A29" s="2781" t="s">
        <v>15084</v>
      </c>
      <c r="B29" s="2730" t="s">
        <v>15146</v>
      </c>
      <c r="C29" s="2731" t="s">
        <v>15142</v>
      </c>
      <c r="D29" s="2732"/>
      <c r="E29" s="2738"/>
      <c r="F29" s="2738"/>
      <c r="G29" s="2738"/>
      <c r="H29" s="2738"/>
      <c r="I29" s="2738"/>
      <c r="J29" s="3386"/>
      <c r="K29" s="2739" t="s">
        <v>15053</v>
      </c>
      <c r="L29" s="2740"/>
      <c r="M29" s="2741"/>
      <c r="N29" s="2742"/>
      <c r="O29" s="2742"/>
      <c r="P29" s="2742"/>
      <c r="Q29" s="2742"/>
      <c r="R29" s="2742"/>
      <c r="S29" s="2743"/>
    </row>
    <row r="30" spans="1:19" ht="19.5" customHeight="1">
      <c r="A30" s="2781" t="s">
        <v>15087</v>
      </c>
      <c r="B30" s="2730" t="s">
        <v>15146</v>
      </c>
      <c r="C30" s="2731" t="s">
        <v>15142</v>
      </c>
      <c r="D30" s="2732"/>
      <c r="E30" s="2738"/>
      <c r="F30" s="2738"/>
      <c r="G30" s="2738"/>
      <c r="H30" s="2738"/>
      <c r="I30" s="2738"/>
      <c r="J30" s="3386"/>
      <c r="K30" s="2739" t="s">
        <v>15053</v>
      </c>
      <c r="L30" s="2740"/>
      <c r="M30" s="2741"/>
      <c r="N30" s="2742"/>
      <c r="O30" s="2742"/>
      <c r="P30" s="2742"/>
      <c r="Q30" s="2742"/>
      <c r="R30" s="2742"/>
      <c r="S30" s="2743"/>
    </row>
    <row r="31" spans="1:19" ht="19.5" customHeight="1">
      <c r="A31" s="2781" t="s">
        <v>15088</v>
      </c>
      <c r="B31" s="2730" t="s">
        <v>15146</v>
      </c>
      <c r="C31" s="2731" t="s">
        <v>15142</v>
      </c>
      <c r="D31" s="2732"/>
      <c r="E31" s="2738"/>
      <c r="F31" s="2738"/>
      <c r="G31" s="2738"/>
      <c r="H31" s="2738"/>
      <c r="I31" s="2738"/>
      <c r="J31" s="3386"/>
      <c r="K31" s="2739" t="s">
        <v>15053</v>
      </c>
      <c r="L31" s="2740"/>
      <c r="M31" s="2741"/>
      <c r="N31" s="2742"/>
      <c r="O31" s="2742"/>
      <c r="P31" s="2742"/>
      <c r="Q31" s="2742"/>
      <c r="R31" s="2742"/>
      <c r="S31" s="2743"/>
    </row>
    <row r="32" spans="1:19" ht="19.5" customHeight="1">
      <c r="A32" s="2781" t="s">
        <v>15090</v>
      </c>
      <c r="B32" s="2730" t="s">
        <v>15146</v>
      </c>
      <c r="C32" s="2731" t="s">
        <v>15142</v>
      </c>
      <c r="D32" s="2732"/>
      <c r="E32" s="2738"/>
      <c r="F32" s="2738"/>
      <c r="G32" s="2738"/>
      <c r="H32" s="2738"/>
      <c r="I32" s="2738"/>
      <c r="J32" s="3386"/>
      <c r="K32" s="2739" t="s">
        <v>15053</v>
      </c>
      <c r="L32" s="2740"/>
      <c r="M32" s="2741"/>
      <c r="N32" s="2742"/>
      <c r="O32" s="2742"/>
      <c r="P32" s="2742"/>
      <c r="Q32" s="2742"/>
      <c r="R32" s="2742"/>
      <c r="S32" s="2743"/>
    </row>
    <row r="33" spans="1:19" ht="19.5" customHeight="1">
      <c r="A33" s="2781" t="s">
        <v>15092</v>
      </c>
      <c r="B33" s="2730" t="s">
        <v>15146</v>
      </c>
      <c r="C33" s="2731" t="s">
        <v>15142</v>
      </c>
      <c r="D33" s="2732"/>
      <c r="E33" s="2738"/>
      <c r="F33" s="2738"/>
      <c r="G33" s="2738"/>
      <c r="H33" s="2738"/>
      <c r="I33" s="2738"/>
      <c r="J33" s="3386"/>
      <c r="K33" s="2739" t="s">
        <v>15053</v>
      </c>
      <c r="L33" s="2740"/>
      <c r="M33" s="2741"/>
      <c r="N33" s="2742"/>
      <c r="O33" s="2742"/>
      <c r="P33" s="2742"/>
      <c r="Q33" s="2742"/>
      <c r="R33" s="2742"/>
      <c r="S33" s="2743"/>
    </row>
    <row r="34" spans="1:19" ht="19.5" customHeight="1">
      <c r="A34" s="2781" t="s">
        <v>15093</v>
      </c>
      <c r="B34" s="2730" t="s">
        <v>15146</v>
      </c>
      <c r="C34" s="2731" t="s">
        <v>15142</v>
      </c>
      <c r="D34" s="2732"/>
      <c r="E34" s="2738"/>
      <c r="F34" s="2738"/>
      <c r="G34" s="2738"/>
      <c r="H34" s="2738"/>
      <c r="I34" s="2738"/>
      <c r="J34" s="3386"/>
      <c r="K34" s="2739" t="s">
        <v>15053</v>
      </c>
      <c r="L34" s="2740"/>
      <c r="M34" s="2741"/>
      <c r="N34" s="2742"/>
      <c r="O34" s="2742"/>
      <c r="P34" s="2742"/>
      <c r="Q34" s="2742"/>
      <c r="R34" s="2742"/>
      <c r="S34" s="2743"/>
    </row>
    <row r="35" spans="1:19" ht="19.5" customHeight="1">
      <c r="A35" s="2781" t="s">
        <v>15094</v>
      </c>
      <c r="B35" s="2730" t="s">
        <v>15146</v>
      </c>
      <c r="C35" s="2731" t="s">
        <v>15142</v>
      </c>
      <c r="D35" s="2732"/>
      <c r="E35" s="2738"/>
      <c r="F35" s="2738"/>
      <c r="G35" s="2738"/>
      <c r="H35" s="2738"/>
      <c r="I35" s="2738"/>
      <c r="J35" s="3386"/>
      <c r="K35" s="2739" t="s">
        <v>15053</v>
      </c>
      <c r="L35" s="2740"/>
      <c r="M35" s="2741"/>
      <c r="N35" s="2742"/>
      <c r="O35" s="2742"/>
      <c r="P35" s="2742"/>
      <c r="Q35" s="2742"/>
      <c r="R35" s="2742"/>
      <c r="S35" s="2743"/>
    </row>
    <row r="36" spans="1:19" ht="19.5" customHeight="1">
      <c r="A36" s="2781" t="s">
        <v>15095</v>
      </c>
      <c r="B36" s="2730" t="s">
        <v>15146</v>
      </c>
      <c r="C36" s="2731" t="s">
        <v>15142</v>
      </c>
      <c r="D36" s="2732"/>
      <c r="E36" s="2738"/>
      <c r="F36" s="2738"/>
      <c r="G36" s="2738"/>
      <c r="H36" s="2738"/>
      <c r="I36" s="2738"/>
      <c r="J36" s="3386"/>
      <c r="K36" s="2739" t="s">
        <v>15053</v>
      </c>
      <c r="L36" s="2740"/>
      <c r="M36" s="2741"/>
      <c r="N36" s="2742"/>
      <c r="O36" s="2742"/>
      <c r="P36" s="2742"/>
      <c r="Q36" s="2742"/>
      <c r="R36" s="2742"/>
      <c r="S36" s="2743"/>
    </row>
    <row r="37" spans="1:19" ht="19.5" customHeight="1">
      <c r="A37" s="2781" t="s">
        <v>15100</v>
      </c>
      <c r="B37" s="2730" t="s">
        <v>15146</v>
      </c>
      <c r="C37" s="2731" t="s">
        <v>15142</v>
      </c>
      <c r="D37" s="2732"/>
      <c r="E37" s="2738"/>
      <c r="F37" s="2738"/>
      <c r="G37" s="2738"/>
      <c r="H37" s="2738"/>
      <c r="I37" s="2738"/>
      <c r="J37" s="3386"/>
      <c r="K37" s="2739" t="s">
        <v>15053</v>
      </c>
      <c r="L37" s="2740"/>
      <c r="M37" s="2741"/>
      <c r="N37" s="2742"/>
      <c r="O37" s="2742"/>
      <c r="P37" s="2742"/>
      <c r="Q37" s="2742"/>
      <c r="R37" s="2742"/>
      <c r="S37" s="2743"/>
    </row>
    <row r="38" spans="1:19" ht="19.5" customHeight="1">
      <c r="A38" s="2781" t="s">
        <v>15102</v>
      </c>
      <c r="B38" s="2730" t="s">
        <v>15146</v>
      </c>
      <c r="C38" s="2731" t="s">
        <v>15142</v>
      </c>
      <c r="D38" s="2732"/>
      <c r="E38" s="2738"/>
      <c r="F38" s="2738"/>
      <c r="G38" s="2738"/>
      <c r="H38" s="2738"/>
      <c r="I38" s="2738"/>
      <c r="J38" s="3386"/>
      <c r="K38" s="2739" t="s">
        <v>15053</v>
      </c>
      <c r="L38" s="2740"/>
      <c r="M38" s="2741"/>
      <c r="N38" s="2742"/>
      <c r="O38" s="2742"/>
      <c r="P38" s="2742"/>
      <c r="Q38" s="2742"/>
      <c r="R38" s="2742"/>
      <c r="S38" s="2743"/>
    </row>
    <row r="39" spans="1:19" ht="19.5" customHeight="1">
      <c r="A39" s="2781" t="s">
        <v>15104</v>
      </c>
      <c r="B39" s="2730" t="s">
        <v>15146</v>
      </c>
      <c r="C39" s="2731" t="s">
        <v>15142</v>
      </c>
      <c r="D39" s="2732"/>
      <c r="E39" s="2738"/>
      <c r="F39" s="2738"/>
      <c r="G39" s="2738"/>
      <c r="H39" s="2738"/>
      <c r="I39" s="2738"/>
      <c r="J39" s="3386"/>
      <c r="K39" s="2735" t="s">
        <v>15048</v>
      </c>
      <c r="L39" s="2731" t="s">
        <v>15142</v>
      </c>
      <c r="M39" s="2732"/>
      <c r="N39" s="2733"/>
      <c r="O39" s="2733"/>
      <c r="P39" s="2733"/>
      <c r="Q39" s="2733"/>
      <c r="R39" s="2733"/>
      <c r="S39" s="2736"/>
    </row>
    <row r="40" spans="1:19" ht="19.5" customHeight="1">
      <c r="A40" s="2781" t="s">
        <v>15105</v>
      </c>
      <c r="B40" s="2730" t="s">
        <v>15146</v>
      </c>
      <c r="C40" s="2731" t="s">
        <v>15142</v>
      </c>
      <c r="D40" s="2732"/>
      <c r="E40" s="2738"/>
      <c r="F40" s="2738"/>
      <c r="G40" s="2738"/>
      <c r="H40" s="2738"/>
      <c r="I40" s="2738"/>
      <c r="J40" s="3386"/>
      <c r="K40" s="2739" t="s">
        <v>15053</v>
      </c>
      <c r="L40" s="2740"/>
      <c r="M40" s="2741"/>
      <c r="N40" s="2742"/>
      <c r="O40" s="2742"/>
      <c r="P40" s="2742"/>
      <c r="Q40" s="2742"/>
      <c r="R40" s="2742"/>
      <c r="S40" s="2743"/>
    </row>
    <row r="41" spans="1:19" ht="19.5" customHeight="1">
      <c r="A41" s="2781" t="s">
        <v>15106</v>
      </c>
      <c r="B41" s="2730" t="s">
        <v>15146</v>
      </c>
      <c r="C41" s="2731" t="s">
        <v>15142</v>
      </c>
      <c r="D41" s="2732"/>
      <c r="E41" s="2738"/>
      <c r="F41" s="2738"/>
      <c r="G41" s="2738"/>
      <c r="H41" s="2738"/>
      <c r="I41" s="2738"/>
      <c r="J41" s="3386"/>
      <c r="K41" s="2739" t="s">
        <v>15053</v>
      </c>
      <c r="L41" s="2740"/>
      <c r="M41" s="2741"/>
      <c r="N41" s="2742"/>
      <c r="O41" s="2742"/>
      <c r="P41" s="2742"/>
      <c r="Q41" s="2742"/>
      <c r="R41" s="2742"/>
      <c r="S41" s="2743"/>
    </row>
    <row r="42" spans="1:19" ht="19.5" customHeight="1">
      <c r="A42" s="2781" t="s">
        <v>15107</v>
      </c>
      <c r="B42" s="2730" t="s">
        <v>15146</v>
      </c>
      <c r="C42" s="2731" t="s">
        <v>15142</v>
      </c>
      <c r="D42" s="2732"/>
      <c r="E42" s="2738"/>
      <c r="F42" s="2738"/>
      <c r="G42" s="2738"/>
      <c r="H42" s="2738"/>
      <c r="I42" s="2738"/>
      <c r="J42" s="3386"/>
      <c r="K42" s="2739" t="s">
        <v>15053</v>
      </c>
      <c r="L42" s="2740"/>
      <c r="M42" s="2741"/>
      <c r="N42" s="2742"/>
      <c r="O42" s="2742"/>
      <c r="P42" s="2742"/>
      <c r="Q42" s="2742"/>
      <c r="R42" s="2742"/>
      <c r="S42" s="2743"/>
    </row>
    <row r="43" spans="1:19" ht="19.5" customHeight="1">
      <c r="A43" s="2781" t="s">
        <v>15108</v>
      </c>
      <c r="B43" s="2730" t="s">
        <v>15146</v>
      </c>
      <c r="C43" s="2731" t="s">
        <v>15142</v>
      </c>
      <c r="D43" s="2732"/>
      <c r="E43" s="2738"/>
      <c r="F43" s="2738"/>
      <c r="G43" s="2738"/>
      <c r="H43" s="2738"/>
      <c r="I43" s="2738"/>
      <c r="J43" s="3386"/>
      <c r="K43" s="2739" t="s">
        <v>15053</v>
      </c>
      <c r="L43" s="2740"/>
      <c r="M43" s="2741"/>
      <c r="N43" s="2742"/>
      <c r="O43" s="2742"/>
      <c r="P43" s="2742"/>
      <c r="Q43" s="2742"/>
      <c r="R43" s="2742"/>
      <c r="S43" s="2743"/>
    </row>
    <row r="44" spans="1:19" ht="19.5" customHeight="1">
      <c r="A44" s="2781" t="s">
        <v>15109</v>
      </c>
      <c r="B44" s="2730" t="s">
        <v>15146</v>
      </c>
      <c r="C44" s="2731" t="s">
        <v>15142</v>
      </c>
      <c r="D44" s="2732"/>
      <c r="E44" s="2738"/>
      <c r="F44" s="2738"/>
      <c r="G44" s="2738"/>
      <c r="H44" s="2738"/>
      <c r="I44" s="2738"/>
      <c r="J44" s="3386"/>
      <c r="K44" s="2739" t="s">
        <v>15053</v>
      </c>
      <c r="L44" s="2740"/>
      <c r="M44" s="2741"/>
      <c r="N44" s="2742"/>
      <c r="O44" s="2742"/>
      <c r="P44" s="2742"/>
      <c r="Q44" s="2742"/>
      <c r="R44" s="2742"/>
      <c r="S44" s="2743"/>
    </row>
    <row r="45" spans="1:19" ht="19.5" customHeight="1">
      <c r="A45" s="2781" t="s">
        <v>15110</v>
      </c>
      <c r="B45" s="2730" t="s">
        <v>15146</v>
      </c>
      <c r="C45" s="2731" t="s">
        <v>15142</v>
      </c>
      <c r="D45" s="2732"/>
      <c r="E45" s="2738"/>
      <c r="F45" s="2738"/>
      <c r="G45" s="2738"/>
      <c r="H45" s="2738"/>
      <c r="I45" s="2738"/>
      <c r="J45" s="3386"/>
      <c r="K45" s="2739" t="s">
        <v>15053</v>
      </c>
      <c r="L45" s="2740"/>
      <c r="M45" s="2741"/>
      <c r="N45" s="2742"/>
      <c r="O45" s="2742"/>
      <c r="P45" s="2742"/>
      <c r="Q45" s="2742"/>
      <c r="R45" s="2742"/>
      <c r="S45" s="2743"/>
    </row>
    <row r="46" spans="1:19" ht="19.5" customHeight="1">
      <c r="A46" s="2781" t="s">
        <v>15111</v>
      </c>
      <c r="B46" s="2730" t="s">
        <v>15146</v>
      </c>
      <c r="C46" s="2731" t="s">
        <v>15142</v>
      </c>
      <c r="D46" s="2732"/>
      <c r="E46" s="2738"/>
      <c r="F46" s="2738"/>
      <c r="G46" s="2738"/>
      <c r="H46" s="2738"/>
      <c r="I46" s="2738"/>
      <c r="J46" s="3386"/>
      <c r="K46" s="2735" t="s">
        <v>15048</v>
      </c>
      <c r="L46" s="2731" t="s">
        <v>15142</v>
      </c>
      <c r="M46" s="2732"/>
      <c r="N46" s="2733"/>
      <c r="O46" s="2733"/>
      <c r="P46" s="2733"/>
      <c r="Q46" s="2733"/>
      <c r="R46" s="2733"/>
      <c r="S46" s="2736"/>
    </row>
    <row r="47" spans="1:19" ht="19.5" customHeight="1">
      <c r="A47" s="2781" t="s">
        <v>15115</v>
      </c>
      <c r="B47" s="2730" t="s">
        <v>15146</v>
      </c>
      <c r="C47" s="2731" t="s">
        <v>15142</v>
      </c>
      <c r="D47" s="2732"/>
      <c r="E47" s="2738"/>
      <c r="F47" s="2738"/>
      <c r="G47" s="2738"/>
      <c r="H47" s="2738"/>
      <c r="I47" s="2738"/>
      <c r="J47" s="3386"/>
      <c r="K47" s="2739" t="s">
        <v>15053</v>
      </c>
      <c r="L47" s="2740"/>
      <c r="M47" s="2741"/>
      <c r="N47" s="2742"/>
      <c r="O47" s="2742"/>
      <c r="P47" s="2742"/>
      <c r="Q47" s="2742"/>
      <c r="R47" s="2742"/>
      <c r="S47" s="2743"/>
    </row>
    <row r="48" spans="1:19" ht="19.5" customHeight="1">
      <c r="A48" s="2781" t="s">
        <v>15116</v>
      </c>
      <c r="B48" s="2730" t="s">
        <v>15146</v>
      </c>
      <c r="C48" s="2731" t="s">
        <v>15142</v>
      </c>
      <c r="D48" s="2732"/>
      <c r="E48" s="2738"/>
      <c r="F48" s="2738"/>
      <c r="G48" s="2738"/>
      <c r="H48" s="2738"/>
      <c r="I48" s="2738"/>
      <c r="J48" s="3386"/>
      <c r="K48" s="2739" t="s">
        <v>15053</v>
      </c>
      <c r="L48" s="2740"/>
      <c r="M48" s="2741"/>
      <c r="N48" s="2742"/>
      <c r="O48" s="2742"/>
      <c r="P48" s="2742"/>
      <c r="Q48" s="2742"/>
      <c r="R48" s="2742"/>
      <c r="S48" s="2743"/>
    </row>
    <row r="49" spans="1:19" ht="19.5" customHeight="1">
      <c r="A49" s="2781" t="s">
        <v>15117</v>
      </c>
      <c r="B49" s="2730" t="s">
        <v>15146</v>
      </c>
      <c r="C49" s="2731" t="s">
        <v>15142</v>
      </c>
      <c r="D49" s="2732"/>
      <c r="E49" s="2738"/>
      <c r="F49" s="2738"/>
      <c r="G49" s="2738"/>
      <c r="H49" s="2738"/>
      <c r="I49" s="2738"/>
      <c r="J49" s="3386"/>
      <c r="K49" s="2739" t="s">
        <v>15053</v>
      </c>
      <c r="L49" s="2740"/>
      <c r="M49" s="2741"/>
      <c r="N49" s="2742"/>
      <c r="O49" s="2742"/>
      <c r="P49" s="2742"/>
      <c r="Q49" s="2742"/>
      <c r="R49" s="2742"/>
      <c r="S49" s="2743"/>
    </row>
    <row r="50" spans="1:19" ht="19.5" customHeight="1">
      <c r="A50" s="2781" t="s">
        <v>15121</v>
      </c>
      <c r="B50" s="2730" t="s">
        <v>15146</v>
      </c>
      <c r="C50" s="2731" t="s">
        <v>15142</v>
      </c>
      <c r="D50" s="2732"/>
      <c r="E50" s="2738"/>
      <c r="F50" s="2738"/>
      <c r="G50" s="2738"/>
      <c r="H50" s="2738"/>
      <c r="I50" s="2738"/>
      <c r="J50" s="3386"/>
      <c r="K50" s="2739" t="s">
        <v>15053</v>
      </c>
      <c r="L50" s="2740"/>
      <c r="M50" s="2741"/>
      <c r="N50" s="2742"/>
      <c r="O50" s="2742"/>
      <c r="P50" s="2742"/>
      <c r="Q50" s="2742"/>
      <c r="R50" s="2742"/>
      <c r="S50" s="2743"/>
    </row>
    <row r="51" spans="1:19" ht="19.5" customHeight="1">
      <c r="A51" s="2781" t="s">
        <v>15122</v>
      </c>
      <c r="B51" s="2730" t="s">
        <v>15146</v>
      </c>
      <c r="C51" s="2731" t="s">
        <v>15142</v>
      </c>
      <c r="D51" s="2732"/>
      <c r="E51" s="2738"/>
      <c r="F51" s="2738"/>
      <c r="G51" s="2738"/>
      <c r="H51" s="2738"/>
      <c r="I51" s="2738"/>
      <c r="J51" s="3386"/>
      <c r="K51" s="2739" t="s">
        <v>15053</v>
      </c>
      <c r="L51" s="2740"/>
      <c r="M51" s="2741"/>
      <c r="N51" s="2742"/>
      <c r="O51" s="2742"/>
      <c r="P51" s="2742"/>
      <c r="Q51" s="2742"/>
      <c r="R51" s="2742"/>
      <c r="S51" s="2743"/>
    </row>
    <row r="52" spans="1:19" ht="19.5" customHeight="1">
      <c r="A52" s="2781" t="s">
        <v>15123</v>
      </c>
      <c r="B52" s="2730" t="s">
        <v>15146</v>
      </c>
      <c r="C52" s="2731" t="s">
        <v>15142</v>
      </c>
      <c r="D52" s="2732"/>
      <c r="E52" s="2738"/>
      <c r="F52" s="2738"/>
      <c r="G52" s="2738"/>
      <c r="H52" s="2738"/>
      <c r="I52" s="2738"/>
      <c r="J52" s="3386"/>
      <c r="K52" s="2739" t="s">
        <v>15053</v>
      </c>
      <c r="L52" s="2740"/>
      <c r="M52" s="2741"/>
      <c r="N52" s="2742"/>
      <c r="O52" s="2742"/>
      <c r="P52" s="2742"/>
      <c r="Q52" s="2742"/>
      <c r="R52" s="2742"/>
      <c r="S52" s="2743"/>
    </row>
    <row r="53" spans="1:19" ht="19.5" customHeight="1">
      <c r="A53" s="2781" t="s">
        <v>15124</v>
      </c>
      <c r="B53" s="2730" t="s">
        <v>15146</v>
      </c>
      <c r="C53" s="2731" t="s">
        <v>15142</v>
      </c>
      <c r="D53" s="2732"/>
      <c r="E53" s="2738"/>
      <c r="F53" s="2738"/>
      <c r="G53" s="2738"/>
      <c r="H53" s="2738"/>
      <c r="I53" s="2738"/>
      <c r="J53" s="3386"/>
      <c r="K53" s="2739" t="s">
        <v>15053</v>
      </c>
      <c r="L53" s="2740"/>
      <c r="M53" s="2741"/>
      <c r="N53" s="2742"/>
      <c r="O53" s="2742"/>
      <c r="P53" s="2742"/>
      <c r="Q53" s="2742"/>
      <c r="R53" s="2742"/>
      <c r="S53" s="2743"/>
    </row>
    <row r="54" spans="1:19" ht="19.5" customHeight="1">
      <c r="A54" s="2781" t="s">
        <v>15125</v>
      </c>
      <c r="B54" s="2730" t="s">
        <v>15146</v>
      </c>
      <c r="C54" s="2731" t="s">
        <v>15142</v>
      </c>
      <c r="D54" s="2732"/>
      <c r="E54" s="2738"/>
      <c r="F54" s="2738"/>
      <c r="G54" s="2738"/>
      <c r="H54" s="2738"/>
      <c r="I54" s="2738"/>
      <c r="J54" s="3386"/>
      <c r="K54" s="2739" t="s">
        <v>15053</v>
      </c>
      <c r="L54" s="2740"/>
      <c r="M54" s="2741"/>
      <c r="N54" s="2742"/>
      <c r="O54" s="2742"/>
      <c r="P54" s="2742"/>
      <c r="Q54" s="2742"/>
      <c r="R54" s="2742"/>
      <c r="S54" s="2743"/>
    </row>
    <row r="55" spans="1:19" ht="30">
      <c r="A55" s="2782" t="s">
        <v>15178</v>
      </c>
      <c r="B55" s="2730"/>
      <c r="C55" s="2731"/>
      <c r="D55" s="2732"/>
      <c r="E55" s="2733"/>
      <c r="F55" s="2733"/>
      <c r="G55" s="2733"/>
      <c r="H55" s="2733"/>
      <c r="I55" s="2733"/>
      <c r="J55" s="2744"/>
      <c r="K55" s="2735"/>
      <c r="L55" s="2731"/>
      <c r="M55" s="2732"/>
      <c r="N55" s="2733"/>
      <c r="O55" s="2733"/>
      <c r="P55" s="2733"/>
      <c r="Q55" s="2733"/>
      <c r="R55" s="2733"/>
      <c r="S55" s="2736"/>
    </row>
    <row r="56" spans="1:19" s="2746" customFormat="1" ht="25.5">
      <c r="A56" s="2781" t="s">
        <v>15050</v>
      </c>
      <c r="B56" s="2730" t="s">
        <v>15128</v>
      </c>
      <c r="C56" s="2731" t="s">
        <v>15143</v>
      </c>
      <c r="D56" s="2711">
        <v>4703</v>
      </c>
      <c r="E56" s="2733">
        <v>4329</v>
      </c>
      <c r="F56" s="2733">
        <v>374</v>
      </c>
      <c r="G56" s="2745">
        <v>3926</v>
      </c>
      <c r="H56" s="2733">
        <v>3573</v>
      </c>
      <c r="I56" s="2733">
        <v>353</v>
      </c>
      <c r="J56" s="2736" t="s">
        <v>15169</v>
      </c>
      <c r="K56" s="2735" t="s">
        <v>15051</v>
      </c>
      <c r="L56" s="2731" t="s">
        <v>15143</v>
      </c>
      <c r="M56" s="2711">
        <v>4703</v>
      </c>
      <c r="N56" s="2733">
        <v>4329</v>
      </c>
      <c r="O56" s="2733">
        <f>374</f>
        <v>374</v>
      </c>
      <c r="P56" s="2745">
        <v>3926</v>
      </c>
      <c r="Q56" s="2733">
        <v>3573</v>
      </c>
      <c r="R56" s="2733">
        <v>353</v>
      </c>
      <c r="S56" s="2736" t="s">
        <v>15191</v>
      </c>
    </row>
    <row r="57" spans="1:19" s="2746" customFormat="1" ht="25.5">
      <c r="A57" s="2781" t="s">
        <v>15052</v>
      </c>
      <c r="B57" s="2730" t="s">
        <v>15128</v>
      </c>
      <c r="C57" s="2731" t="s">
        <v>15143</v>
      </c>
      <c r="D57" s="2711">
        <v>10047</v>
      </c>
      <c r="E57" s="2733">
        <f>D57</f>
        <v>10047</v>
      </c>
      <c r="F57" s="2733"/>
      <c r="G57" s="2745">
        <v>8054</v>
      </c>
      <c r="H57" s="2733">
        <v>8054</v>
      </c>
      <c r="I57" s="2733">
        <v>0</v>
      </c>
      <c r="J57" s="2736" t="s">
        <v>15169</v>
      </c>
      <c r="K57" s="2739" t="s">
        <v>15053</v>
      </c>
      <c r="L57" s="2740"/>
      <c r="M57" s="2741"/>
      <c r="N57" s="2742"/>
      <c r="O57" s="2742"/>
      <c r="P57" s="2742"/>
      <c r="Q57" s="2742"/>
      <c r="R57" s="2742"/>
      <c r="S57" s="2743"/>
    </row>
    <row r="58" spans="1:19" s="2746" customFormat="1" ht="25.5">
      <c r="A58" s="2781" t="s">
        <v>15057</v>
      </c>
      <c r="B58" s="2730" t="s">
        <v>15128</v>
      </c>
      <c r="C58" s="2731" t="s">
        <v>15143</v>
      </c>
      <c r="D58" s="2711">
        <v>5520</v>
      </c>
      <c r="E58" s="2733">
        <f>D58</f>
        <v>5520</v>
      </c>
      <c r="F58" s="2733"/>
      <c r="G58" s="2745">
        <v>5275</v>
      </c>
      <c r="H58" s="2733">
        <v>5275</v>
      </c>
      <c r="I58" s="2733">
        <v>0</v>
      </c>
      <c r="J58" s="2736" t="s">
        <v>15170</v>
      </c>
      <c r="K58" s="2739" t="s">
        <v>15053</v>
      </c>
      <c r="L58" s="2740"/>
      <c r="M58" s="2741"/>
      <c r="N58" s="2742"/>
      <c r="O58" s="2742"/>
      <c r="P58" s="2742"/>
      <c r="Q58" s="2742"/>
      <c r="R58" s="2742"/>
      <c r="S58" s="2743"/>
    </row>
    <row r="59" spans="1:19" s="2746" customFormat="1" ht="25.5">
      <c r="A59" s="2781" t="s">
        <v>15058</v>
      </c>
      <c r="B59" s="2730" t="s">
        <v>15128</v>
      </c>
      <c r="C59" s="2731" t="s">
        <v>15143</v>
      </c>
      <c r="D59" s="2711">
        <v>70335</v>
      </c>
      <c r="E59" s="2733">
        <v>68425</v>
      </c>
      <c r="F59" s="2733">
        <v>1910</v>
      </c>
      <c r="G59" s="2745">
        <v>69462</v>
      </c>
      <c r="H59" s="2733">
        <v>67605</v>
      </c>
      <c r="I59" s="2733">
        <v>1857</v>
      </c>
      <c r="J59" s="2736" t="s">
        <v>15169</v>
      </c>
      <c r="K59" s="2735" t="s">
        <v>15059</v>
      </c>
      <c r="L59" s="2731" t="s">
        <v>15143</v>
      </c>
      <c r="M59" s="2711">
        <v>49077</v>
      </c>
      <c r="N59" s="2733">
        <v>47167</v>
      </c>
      <c r="O59" s="2733">
        <v>1910</v>
      </c>
      <c r="P59" s="2745">
        <v>48105</v>
      </c>
      <c r="Q59" s="2733">
        <v>46248</v>
      </c>
      <c r="R59" s="2733">
        <v>1857</v>
      </c>
      <c r="S59" s="2736" t="s">
        <v>15190</v>
      </c>
    </row>
    <row r="60" spans="1:19" ht="45" customHeight="1">
      <c r="A60" s="2781" t="s">
        <v>15073</v>
      </c>
      <c r="B60" s="2822" t="s">
        <v>15201</v>
      </c>
      <c r="C60" s="2731"/>
      <c r="D60" s="2732"/>
      <c r="E60" s="2733"/>
      <c r="F60" s="2733"/>
      <c r="G60" s="2733"/>
      <c r="H60" s="2733"/>
      <c r="I60" s="2733"/>
      <c r="J60" s="2736" t="s">
        <v>15173</v>
      </c>
      <c r="K60" s="2739" t="s">
        <v>15053</v>
      </c>
      <c r="L60" s="2740"/>
      <c r="M60" s="2741"/>
      <c r="N60" s="2742"/>
      <c r="O60" s="2742"/>
      <c r="P60" s="2742"/>
      <c r="Q60" s="2742"/>
      <c r="R60" s="2742"/>
      <c r="S60" s="2743"/>
    </row>
    <row r="61" spans="1:19" s="2746" customFormat="1" ht="25.5">
      <c r="A61" s="2781" t="s">
        <v>15077</v>
      </c>
      <c r="B61" s="2730" t="s">
        <v>15128</v>
      </c>
      <c r="C61" s="2731" t="s">
        <v>15143</v>
      </c>
      <c r="D61" s="2745">
        <v>1280</v>
      </c>
      <c r="E61" s="2733">
        <f>D61</f>
        <v>1280</v>
      </c>
      <c r="F61" s="2733"/>
      <c r="G61" s="2745">
        <v>1257</v>
      </c>
      <c r="H61" s="2733">
        <v>1257</v>
      </c>
      <c r="I61" s="2733">
        <v>0</v>
      </c>
      <c r="J61" s="2736" t="s">
        <v>15169</v>
      </c>
      <c r="K61" s="2739" t="s">
        <v>15053</v>
      </c>
      <c r="L61" s="2740"/>
      <c r="M61" s="2741"/>
      <c r="N61" s="2742"/>
      <c r="O61" s="2742"/>
      <c r="P61" s="2742"/>
      <c r="Q61" s="2742"/>
      <c r="R61" s="2742"/>
      <c r="S61" s="2743"/>
    </row>
    <row r="62" spans="1:19" s="2746" customFormat="1" ht="25.5">
      <c r="A62" s="2781" t="s">
        <v>15085</v>
      </c>
      <c r="B62" s="2730" t="s">
        <v>15128</v>
      </c>
      <c r="C62" s="2731" t="s">
        <v>15143</v>
      </c>
      <c r="D62" s="2711">
        <v>1140</v>
      </c>
      <c r="E62" s="2733">
        <f>D62</f>
        <v>1140</v>
      </c>
      <c r="F62" s="2747"/>
      <c r="G62" s="2745">
        <v>1453</v>
      </c>
      <c r="H62" s="2733">
        <f>G62</f>
        <v>1453</v>
      </c>
      <c r="I62" s="2747"/>
      <c r="J62" s="2736" t="s">
        <v>15169</v>
      </c>
      <c r="K62" s="2739" t="s">
        <v>15053</v>
      </c>
      <c r="L62" s="2740"/>
      <c r="M62" s="2741"/>
      <c r="N62" s="2742"/>
      <c r="O62" s="2742"/>
      <c r="P62" s="2742"/>
      <c r="Q62" s="2742"/>
      <c r="R62" s="2742"/>
      <c r="S62" s="2743"/>
    </row>
    <row r="63" spans="1:19" s="2746" customFormat="1" ht="25.5">
      <c r="A63" s="2781" t="s">
        <v>15086</v>
      </c>
      <c r="B63" s="2730" t="s">
        <v>15128</v>
      </c>
      <c r="C63" s="2731" t="s">
        <v>15143</v>
      </c>
      <c r="D63" s="2745">
        <v>1715</v>
      </c>
      <c r="E63" s="2733">
        <f>D63</f>
        <v>1715</v>
      </c>
      <c r="F63" s="2733"/>
      <c r="G63" s="2745">
        <v>1731</v>
      </c>
      <c r="H63" s="2733">
        <f>G63</f>
        <v>1731</v>
      </c>
      <c r="I63" s="2733"/>
      <c r="J63" s="2736" t="s">
        <v>15169</v>
      </c>
      <c r="K63" s="2739" t="s">
        <v>15053</v>
      </c>
      <c r="L63" s="2740"/>
      <c r="M63" s="2741"/>
      <c r="N63" s="2742"/>
      <c r="O63" s="2742"/>
      <c r="P63" s="2742"/>
      <c r="Q63" s="2742"/>
      <c r="R63" s="2742"/>
      <c r="S63" s="2743"/>
    </row>
    <row r="64" spans="1:19" s="2746" customFormat="1" ht="26.25" customHeight="1">
      <c r="A64" s="2781" t="s">
        <v>15091</v>
      </c>
      <c r="B64" s="2730" t="s">
        <v>15128</v>
      </c>
      <c r="C64" s="2731" t="s">
        <v>15143</v>
      </c>
      <c r="D64" s="3381">
        <v>22704</v>
      </c>
      <c r="E64" s="3383">
        <f>D64</f>
        <v>22704</v>
      </c>
      <c r="F64" s="2733"/>
      <c r="G64" s="3381">
        <v>33060</v>
      </c>
      <c r="H64" s="3363">
        <f>G64</f>
        <v>33060</v>
      </c>
      <c r="I64" s="3363"/>
      <c r="J64" s="2736" t="s">
        <v>15169</v>
      </c>
      <c r="K64" s="2739" t="s">
        <v>15053</v>
      </c>
      <c r="L64" s="2740"/>
      <c r="M64" s="2741"/>
      <c r="N64" s="2742"/>
      <c r="O64" s="2742"/>
      <c r="P64" s="2742"/>
      <c r="Q64" s="2742"/>
      <c r="R64" s="2742"/>
      <c r="S64" s="2743"/>
    </row>
    <row r="65" spans="1:19" s="2746" customFormat="1" ht="25.5">
      <c r="A65" s="2781" t="s">
        <v>15144</v>
      </c>
      <c r="B65" s="2730" t="s">
        <v>15128</v>
      </c>
      <c r="C65" s="2731" t="s">
        <v>15143</v>
      </c>
      <c r="D65" s="3382"/>
      <c r="E65" s="3384"/>
      <c r="F65" s="2747"/>
      <c r="G65" s="3382"/>
      <c r="H65" s="3364"/>
      <c r="I65" s="3364"/>
      <c r="J65" s="2736" t="s">
        <v>15169</v>
      </c>
      <c r="K65" s="2735" t="s">
        <v>15048</v>
      </c>
      <c r="L65" s="2731" t="s">
        <v>15142</v>
      </c>
      <c r="M65" s="2732"/>
      <c r="N65" s="2733"/>
      <c r="O65" s="2733"/>
      <c r="P65" s="2733"/>
      <c r="Q65" s="2733"/>
      <c r="R65" s="2733"/>
      <c r="S65" s="2736"/>
    </row>
    <row r="66" spans="1:19" s="2746" customFormat="1" ht="25.5">
      <c r="A66" s="2783" t="s">
        <v>15081</v>
      </c>
      <c r="B66" s="2722" t="s">
        <v>15128</v>
      </c>
      <c r="C66" s="2748" t="s">
        <v>15141</v>
      </c>
      <c r="D66" s="2724">
        <v>47748</v>
      </c>
      <c r="E66" s="2749">
        <f>D66</f>
        <v>47748</v>
      </c>
      <c r="F66" s="2750"/>
      <c r="G66" s="2725">
        <v>46876</v>
      </c>
      <c r="H66" s="2749">
        <v>46876</v>
      </c>
      <c r="I66" s="2750"/>
      <c r="J66" s="2751" t="s">
        <v>15169</v>
      </c>
      <c r="K66" s="2735" t="s">
        <v>15048</v>
      </c>
      <c r="L66" s="2731" t="s">
        <v>15142</v>
      </c>
      <c r="M66" s="2732"/>
      <c r="N66" s="2733"/>
      <c r="O66" s="2733"/>
      <c r="P66" s="2733"/>
      <c r="Q66" s="2733"/>
      <c r="R66" s="2733"/>
      <c r="S66" s="2736"/>
    </row>
    <row r="67" spans="1:19" s="2746" customFormat="1" ht="25.5" customHeight="1">
      <c r="A67" s="2783" t="s">
        <v>15089</v>
      </c>
      <c r="B67" s="2722" t="s">
        <v>15128</v>
      </c>
      <c r="C67" s="2748" t="s">
        <v>15141</v>
      </c>
      <c r="D67" s="2724">
        <v>60</v>
      </c>
      <c r="E67" s="2749">
        <f>D67</f>
        <v>60</v>
      </c>
      <c r="F67" s="2750"/>
      <c r="G67" s="2725">
        <v>110</v>
      </c>
      <c r="H67" s="2749">
        <f>G67</f>
        <v>110</v>
      </c>
      <c r="I67" s="2750"/>
      <c r="J67" s="2751" t="s">
        <v>15169</v>
      </c>
      <c r="K67" s="2739" t="s">
        <v>15053</v>
      </c>
      <c r="L67" s="2740"/>
      <c r="M67" s="2741"/>
      <c r="N67" s="2742"/>
      <c r="O67" s="2742"/>
      <c r="P67" s="2742"/>
      <c r="Q67" s="2742"/>
      <c r="R67" s="2742"/>
      <c r="S67" s="2743"/>
    </row>
    <row r="68" spans="1:19" s="2746" customFormat="1" ht="25.5">
      <c r="A68" s="2781" t="s">
        <v>15096</v>
      </c>
      <c r="B68" s="2730" t="s">
        <v>15128</v>
      </c>
      <c r="C68" s="2731" t="s">
        <v>15143</v>
      </c>
      <c r="D68" s="2711">
        <v>13898</v>
      </c>
      <c r="E68" s="2733">
        <f>D68</f>
        <v>13898</v>
      </c>
      <c r="F68" s="2733"/>
      <c r="G68" s="2745">
        <v>17566</v>
      </c>
      <c r="H68" s="2733">
        <f>G68</f>
        <v>17566</v>
      </c>
      <c r="I68" s="2733"/>
      <c r="J68" s="2736" t="s">
        <v>15169</v>
      </c>
      <c r="K68" s="2739" t="s">
        <v>15053</v>
      </c>
      <c r="L68" s="2740"/>
      <c r="M68" s="2741"/>
      <c r="N68" s="2742"/>
      <c r="O68" s="2742"/>
      <c r="P68" s="2742"/>
      <c r="Q68" s="2742"/>
      <c r="R68" s="2742"/>
      <c r="S68" s="2743"/>
    </row>
    <row r="69" spans="1:19" s="2746" customFormat="1" ht="61.5" customHeight="1">
      <c r="A69" s="2781" t="s">
        <v>15097</v>
      </c>
      <c r="B69" s="2730" t="s">
        <v>15128</v>
      </c>
      <c r="C69" s="2731" t="s">
        <v>15143</v>
      </c>
      <c r="D69" s="3362">
        <v>35928</v>
      </c>
      <c r="E69" s="3363">
        <v>35118</v>
      </c>
      <c r="F69" s="3363">
        <f>810</f>
        <v>810</v>
      </c>
      <c r="G69" s="2709">
        <v>31543</v>
      </c>
      <c r="H69" s="2703">
        <v>30816</v>
      </c>
      <c r="I69" s="2703">
        <v>727</v>
      </c>
      <c r="J69" s="2736" t="s">
        <v>15184</v>
      </c>
      <c r="K69" s="3360" t="s">
        <v>15098</v>
      </c>
      <c r="L69" s="2826" t="s">
        <v>15202</v>
      </c>
      <c r="M69" s="3362">
        <v>20015</v>
      </c>
      <c r="N69" s="3363">
        <v>19972</v>
      </c>
      <c r="O69" s="2702">
        <v>43</v>
      </c>
      <c r="P69" s="2712">
        <v>15943</v>
      </c>
      <c r="Q69" s="2702">
        <v>15900</v>
      </c>
      <c r="R69" s="2702">
        <f>P69-Q69</f>
        <v>43</v>
      </c>
      <c r="S69" s="3358" t="s">
        <v>15190</v>
      </c>
    </row>
    <row r="70" spans="1:19" s="2746" customFormat="1" ht="25.5">
      <c r="A70" s="2781" t="s">
        <v>15099</v>
      </c>
      <c r="B70" s="2730" t="s">
        <v>15128</v>
      </c>
      <c r="C70" s="2731" t="s">
        <v>15143</v>
      </c>
      <c r="D70" s="3362"/>
      <c r="E70" s="3364"/>
      <c r="F70" s="3364"/>
      <c r="G70" s="2709">
        <v>7006</v>
      </c>
      <c r="H70" s="2703">
        <f>G70</f>
        <v>7006</v>
      </c>
      <c r="I70" s="2703">
        <v>0</v>
      </c>
      <c r="J70" s="2736" t="s">
        <v>15169</v>
      </c>
      <c r="K70" s="3361"/>
      <c r="L70" s="2731" t="s">
        <v>15143</v>
      </c>
      <c r="M70" s="3362"/>
      <c r="N70" s="3364"/>
      <c r="O70" s="2706"/>
      <c r="P70" s="2713">
        <v>4231</v>
      </c>
      <c r="Q70" s="2706">
        <f>P70</f>
        <v>4231</v>
      </c>
      <c r="R70" s="2706"/>
      <c r="S70" s="3359"/>
    </row>
    <row r="71" spans="1:19" s="2746" customFormat="1" ht="25.5">
      <c r="A71" s="2781" t="s">
        <v>15101</v>
      </c>
      <c r="B71" s="2730" t="s">
        <v>15128</v>
      </c>
      <c r="C71" s="2731" t="s">
        <v>15143</v>
      </c>
      <c r="D71" s="2711">
        <v>1185</v>
      </c>
      <c r="E71" s="2733">
        <f>D71</f>
        <v>1185</v>
      </c>
      <c r="F71" s="2733"/>
      <c r="G71" s="2745">
        <v>1155</v>
      </c>
      <c r="H71" s="2733">
        <f>G71</f>
        <v>1155</v>
      </c>
      <c r="I71" s="2733">
        <v>0</v>
      </c>
      <c r="J71" s="2736" t="s">
        <v>15169</v>
      </c>
      <c r="K71" s="2739" t="s">
        <v>15053</v>
      </c>
      <c r="L71" s="2740"/>
      <c r="M71" s="2741"/>
      <c r="N71" s="2742"/>
      <c r="O71" s="2742"/>
      <c r="P71" s="2742"/>
      <c r="Q71" s="2742"/>
      <c r="R71" s="2742"/>
      <c r="S71" s="2743"/>
    </row>
    <row r="72" spans="1:19" s="2746" customFormat="1" ht="25.5">
      <c r="A72" s="2781" t="s">
        <v>15103</v>
      </c>
      <c r="B72" s="2730" t="s">
        <v>15128</v>
      </c>
      <c r="C72" s="2731" t="s">
        <v>15143</v>
      </c>
      <c r="D72" s="2711">
        <v>4031</v>
      </c>
      <c r="E72" s="2733">
        <f>D72</f>
        <v>4031</v>
      </c>
      <c r="F72" s="2733"/>
      <c r="G72" s="2745">
        <v>5362</v>
      </c>
      <c r="H72" s="2733">
        <f>G72</f>
        <v>5362</v>
      </c>
      <c r="I72" s="2733">
        <v>0</v>
      </c>
      <c r="J72" s="2736" t="s">
        <v>15169</v>
      </c>
      <c r="K72" s="2739" t="s">
        <v>15053</v>
      </c>
      <c r="L72" s="2740"/>
      <c r="M72" s="2741"/>
      <c r="N72" s="2742"/>
      <c r="O72" s="2742"/>
      <c r="P72" s="2742"/>
      <c r="Q72" s="2742"/>
      <c r="R72" s="2742"/>
      <c r="S72" s="2743"/>
    </row>
    <row r="73" spans="1:19" s="2746" customFormat="1" ht="25.5">
      <c r="A73" s="2781" t="s">
        <v>15112</v>
      </c>
      <c r="B73" s="2730" t="s">
        <v>15128</v>
      </c>
      <c r="C73" s="2731" t="s">
        <v>15143</v>
      </c>
      <c r="D73" s="2711">
        <v>2927</v>
      </c>
      <c r="E73" s="2733">
        <f>D73</f>
        <v>2927</v>
      </c>
      <c r="F73" s="2733"/>
      <c r="G73" s="2745">
        <v>2618</v>
      </c>
      <c r="H73" s="2733">
        <f>G73</f>
        <v>2618</v>
      </c>
      <c r="I73" s="2733"/>
      <c r="J73" s="2736" t="s">
        <v>15169</v>
      </c>
      <c r="K73" s="2739" t="s">
        <v>15053</v>
      </c>
      <c r="L73" s="2740"/>
      <c r="M73" s="2741"/>
      <c r="N73" s="2742"/>
      <c r="O73" s="2742"/>
      <c r="P73" s="2742"/>
      <c r="Q73" s="2742"/>
      <c r="R73" s="2742"/>
      <c r="S73" s="2743"/>
    </row>
    <row r="74" spans="1:19" s="2746" customFormat="1" ht="38.25">
      <c r="A74" s="2781" t="s">
        <v>15113</v>
      </c>
      <c r="B74" s="2730" t="s">
        <v>15128</v>
      </c>
      <c r="C74" s="2731" t="s">
        <v>15143</v>
      </c>
      <c r="D74" s="3362">
        <v>3552</v>
      </c>
      <c r="E74" s="3363">
        <f>D74</f>
        <v>3552</v>
      </c>
      <c r="F74" s="2703"/>
      <c r="G74" s="2711">
        <v>1911</v>
      </c>
      <c r="H74" s="2702">
        <v>1911</v>
      </c>
      <c r="I74" s="2710">
        <v>0</v>
      </c>
      <c r="J74" s="2736" t="s">
        <v>15171</v>
      </c>
      <c r="K74" s="2739" t="s">
        <v>15053</v>
      </c>
      <c r="L74" s="2740"/>
      <c r="M74" s="2741"/>
      <c r="N74" s="2742"/>
      <c r="O74" s="2742"/>
      <c r="P74" s="2742"/>
      <c r="Q74" s="2742"/>
      <c r="R74" s="2742"/>
      <c r="S74" s="2743"/>
    </row>
    <row r="75" spans="1:19" s="2746" customFormat="1" ht="38.25">
      <c r="A75" s="2781" t="s">
        <v>15114</v>
      </c>
      <c r="B75" s="2730" t="s">
        <v>15128</v>
      </c>
      <c r="C75" s="2731" t="s">
        <v>15143</v>
      </c>
      <c r="D75" s="3362"/>
      <c r="E75" s="3364"/>
      <c r="F75" s="2703"/>
      <c r="G75" s="2711">
        <v>1930</v>
      </c>
      <c r="H75" s="2702">
        <v>1930</v>
      </c>
      <c r="I75" s="2710">
        <v>0</v>
      </c>
      <c r="J75" s="2736" t="s">
        <v>15171</v>
      </c>
      <c r="K75" s="2739" t="s">
        <v>15053</v>
      </c>
      <c r="L75" s="2740"/>
      <c r="M75" s="2741"/>
      <c r="N75" s="2742"/>
      <c r="O75" s="2742"/>
      <c r="P75" s="2742"/>
      <c r="Q75" s="2742"/>
      <c r="R75" s="2742"/>
      <c r="S75" s="2743"/>
    </row>
    <row r="76" spans="1:19" s="2746" customFormat="1" ht="25.5">
      <c r="A76" s="2781" t="s">
        <v>15118</v>
      </c>
      <c r="B76" s="2730" t="s">
        <v>15128</v>
      </c>
      <c r="C76" s="2731" t="s">
        <v>15143</v>
      </c>
      <c r="D76" s="2732">
        <v>0</v>
      </c>
      <c r="E76" s="2733"/>
      <c r="F76" s="2733"/>
      <c r="G76" s="2733">
        <v>0</v>
      </c>
      <c r="H76" s="2733">
        <v>0</v>
      </c>
      <c r="I76" s="2733">
        <v>0</v>
      </c>
      <c r="J76" s="2736" t="s">
        <v>15169</v>
      </c>
      <c r="K76" s="2739" t="s">
        <v>15053</v>
      </c>
      <c r="L76" s="2740"/>
      <c r="M76" s="2741"/>
      <c r="N76" s="2742"/>
      <c r="O76" s="2742"/>
      <c r="P76" s="2742"/>
      <c r="Q76" s="2742"/>
      <c r="R76" s="2742"/>
      <c r="S76" s="2743"/>
    </row>
    <row r="77" spans="1:19" s="2746" customFormat="1" ht="25.5">
      <c r="A77" s="2781" t="s">
        <v>15119</v>
      </c>
      <c r="B77" s="2730" t="s">
        <v>15128</v>
      </c>
      <c r="C77" s="2731" t="s">
        <v>15143</v>
      </c>
      <c r="D77" s="2711">
        <v>1590.12</v>
      </c>
      <c r="E77" s="2733">
        <f>D77</f>
        <v>1590.12</v>
      </c>
      <c r="F77" s="2733"/>
      <c r="G77" s="2745">
        <v>1869</v>
      </c>
      <c r="H77" s="2733">
        <f>G77</f>
        <v>1869</v>
      </c>
      <c r="I77" s="2733">
        <v>0</v>
      </c>
      <c r="J77" s="2736" t="s">
        <v>15170</v>
      </c>
      <c r="K77" s="2739" t="s">
        <v>15053</v>
      </c>
      <c r="L77" s="2740"/>
      <c r="M77" s="2741"/>
      <c r="N77" s="2742"/>
      <c r="O77" s="2742"/>
      <c r="P77" s="2742"/>
      <c r="Q77" s="2742"/>
      <c r="R77" s="2742"/>
      <c r="S77" s="2743"/>
    </row>
    <row r="78" spans="1:19" s="2746" customFormat="1" ht="25.5">
      <c r="A78" s="2781" t="s">
        <v>15120</v>
      </c>
      <c r="B78" s="2730" t="s">
        <v>15128</v>
      </c>
      <c r="C78" s="2731" t="s">
        <v>15143</v>
      </c>
      <c r="D78" s="2711">
        <v>881</v>
      </c>
      <c r="E78" s="2733">
        <f>D78</f>
        <v>881</v>
      </c>
      <c r="F78" s="2733"/>
      <c r="G78" s="2745">
        <v>840</v>
      </c>
      <c r="H78" s="2733">
        <f>G78</f>
        <v>840</v>
      </c>
      <c r="I78" s="2733">
        <v>0</v>
      </c>
      <c r="J78" s="2736" t="s">
        <v>15169</v>
      </c>
      <c r="K78" s="2739" t="s">
        <v>15053</v>
      </c>
      <c r="L78" s="2740"/>
      <c r="M78" s="2741"/>
      <c r="N78" s="2742"/>
      <c r="O78" s="2742"/>
      <c r="P78" s="2742"/>
      <c r="Q78" s="2742"/>
      <c r="R78" s="2742"/>
      <c r="S78" s="2743"/>
    </row>
    <row r="79" spans="1:19" s="2746" customFormat="1" ht="25.5">
      <c r="A79" s="2781" t="s">
        <v>15186</v>
      </c>
      <c r="B79" s="2730" t="s">
        <v>15128</v>
      </c>
      <c r="C79" s="2731" t="s">
        <v>15143</v>
      </c>
      <c r="D79" s="2711">
        <v>126013</v>
      </c>
      <c r="E79" s="2733">
        <f>D79*0.9</f>
        <v>113411.7</v>
      </c>
      <c r="F79" s="2733">
        <f>D79-E79</f>
        <v>12601.300000000003</v>
      </c>
      <c r="G79" s="2745">
        <v>155497</v>
      </c>
      <c r="H79" s="2733">
        <v>139933</v>
      </c>
      <c r="I79" s="2733">
        <v>15564</v>
      </c>
      <c r="J79" s="2736" t="s">
        <v>15169</v>
      </c>
      <c r="K79" s="2735" t="s">
        <v>15048</v>
      </c>
      <c r="L79" s="2731" t="s">
        <v>15142</v>
      </c>
      <c r="M79" s="2733"/>
      <c r="N79" s="2733"/>
      <c r="O79" s="2733"/>
      <c r="P79" s="2733"/>
      <c r="Q79" s="2733"/>
      <c r="R79" s="2733"/>
      <c r="S79" s="2736"/>
    </row>
    <row r="80" spans="1:19" ht="26.25" customHeight="1">
      <c r="A80" s="3356" t="s">
        <v>15145</v>
      </c>
      <c r="B80" s="3357"/>
      <c r="C80" s="2752"/>
      <c r="D80" s="2753"/>
      <c r="E80" s="2754"/>
      <c r="F80" s="2754"/>
      <c r="G80" s="2754"/>
      <c r="H80" s="2754"/>
      <c r="I80" s="2754"/>
      <c r="J80" s="2755"/>
      <c r="K80" s="2756"/>
      <c r="L80" s="2752"/>
      <c r="M80" s="2753"/>
      <c r="N80" s="2754"/>
      <c r="O80" s="2754"/>
      <c r="P80" s="2754"/>
      <c r="Q80" s="2754"/>
      <c r="R80" s="2754"/>
      <c r="S80" s="2757"/>
    </row>
    <row r="81" spans="1:21" ht="25.5">
      <c r="A81" s="2781" t="s">
        <v>15129</v>
      </c>
      <c r="B81" s="2730" t="s">
        <v>15133</v>
      </c>
      <c r="C81" s="2731" t="s">
        <v>15142</v>
      </c>
      <c r="D81" s="2732"/>
      <c r="E81" s="2733"/>
      <c r="F81" s="2733"/>
      <c r="G81" s="2733"/>
      <c r="H81" s="2733"/>
      <c r="I81" s="2733"/>
      <c r="J81" s="2744"/>
      <c r="K81" s="2739" t="s">
        <v>15053</v>
      </c>
      <c r="L81" s="2740"/>
      <c r="M81" s="2741"/>
      <c r="N81" s="2742"/>
      <c r="O81" s="2742"/>
      <c r="P81" s="2742"/>
      <c r="Q81" s="2742"/>
      <c r="R81" s="2742"/>
      <c r="S81" s="2743"/>
      <c r="U81" s="2758"/>
    </row>
    <row r="82" spans="1:21" ht="25.5">
      <c r="A82" s="2781" t="s">
        <v>15130</v>
      </c>
      <c r="B82" s="2730" t="s">
        <v>15133</v>
      </c>
      <c r="C82" s="2731" t="s">
        <v>15142</v>
      </c>
      <c r="D82" s="2732"/>
      <c r="E82" s="2733"/>
      <c r="F82" s="2733"/>
      <c r="G82" s="2733"/>
      <c r="H82" s="2733"/>
      <c r="I82" s="2733"/>
      <c r="J82" s="2744"/>
      <c r="K82" s="2739" t="s">
        <v>15053</v>
      </c>
      <c r="L82" s="2740"/>
      <c r="M82" s="2741"/>
      <c r="N82" s="2742"/>
      <c r="O82" s="2742"/>
      <c r="P82" s="2742"/>
      <c r="Q82" s="2742"/>
      <c r="R82" s="2742"/>
      <c r="S82" s="2743"/>
    </row>
    <row r="83" spans="1:21" s="2746" customFormat="1" ht="25.5">
      <c r="A83" s="2821" t="s">
        <v>15131</v>
      </c>
      <c r="B83" s="2759" t="s">
        <v>15128</v>
      </c>
      <c r="C83" s="2760" t="s">
        <v>15143</v>
      </c>
      <c r="D83" s="2761">
        <v>18459.91</v>
      </c>
      <c r="E83" s="2762">
        <v>18212.91</v>
      </c>
      <c r="F83" s="2762">
        <v>247</v>
      </c>
      <c r="G83" s="2763">
        <v>18456</v>
      </c>
      <c r="H83" s="2762">
        <v>18207</v>
      </c>
      <c r="I83" s="2762">
        <v>249</v>
      </c>
      <c r="J83" s="2764"/>
      <c r="K83" s="2739" t="s">
        <v>15053</v>
      </c>
      <c r="L83" s="2740"/>
      <c r="M83" s="2741"/>
      <c r="N83" s="2742"/>
      <c r="O83" s="2742"/>
      <c r="P83" s="2742"/>
      <c r="Q83" s="2742"/>
      <c r="R83" s="2742"/>
      <c r="S83" s="2743"/>
    </row>
    <row r="84" spans="1:21" ht="42" customHeight="1">
      <c r="A84" s="2781" t="s">
        <v>15180</v>
      </c>
      <c r="B84" s="2730" t="s">
        <v>15181</v>
      </c>
      <c r="C84" s="2731" t="s">
        <v>15142</v>
      </c>
      <c r="D84" s="2732"/>
      <c r="E84" s="2733"/>
      <c r="F84" s="2733"/>
      <c r="G84" s="2733"/>
      <c r="H84" s="2733"/>
      <c r="I84" s="2733"/>
      <c r="J84" s="2744"/>
      <c r="K84" s="2735" t="s">
        <v>15134</v>
      </c>
      <c r="L84" s="2731" t="s">
        <v>15142</v>
      </c>
      <c r="M84" s="2732"/>
      <c r="N84" s="2733"/>
      <c r="O84" s="2733"/>
      <c r="P84" s="2733"/>
      <c r="Q84" s="2733"/>
      <c r="R84" s="2733"/>
      <c r="S84" s="2736"/>
    </row>
    <row r="85" spans="1:21" ht="26.25" thickBot="1">
      <c r="A85" s="2802" t="s">
        <v>15132</v>
      </c>
      <c r="B85" s="2788" t="s">
        <v>15133</v>
      </c>
      <c r="C85" s="2789" t="s">
        <v>15142</v>
      </c>
      <c r="D85" s="2803"/>
      <c r="E85" s="2737"/>
      <c r="F85" s="2737"/>
      <c r="G85" s="2737"/>
      <c r="H85" s="2737"/>
      <c r="I85" s="2737"/>
      <c r="J85" s="2804"/>
      <c r="K85" s="2805" t="s">
        <v>15053</v>
      </c>
      <c r="L85" s="2806"/>
      <c r="M85" s="2807"/>
      <c r="N85" s="2808"/>
      <c r="O85" s="2808"/>
      <c r="P85" s="2808"/>
      <c r="Q85" s="2808"/>
      <c r="R85" s="2808"/>
      <c r="S85" s="2809"/>
    </row>
    <row r="86" spans="1:21" s="2801" customFormat="1" ht="26.25" thickBot="1">
      <c r="A86" s="2784" t="s">
        <v>15183</v>
      </c>
      <c r="B86" s="2793"/>
      <c r="C86" s="2794"/>
      <c r="D86" s="2799">
        <f>D4</f>
        <v>29027553.879999999</v>
      </c>
      <c r="E86" s="2800">
        <f t="shared" ref="E86:I86" si="0">E4</f>
        <v>17591195.18</v>
      </c>
      <c r="F86" s="2800">
        <f t="shared" si="0"/>
        <v>11436358.699999999</v>
      </c>
      <c r="G86" s="2799">
        <f>G4</f>
        <v>29438996</v>
      </c>
      <c r="H86" s="2800">
        <f t="shared" si="0"/>
        <v>17872421</v>
      </c>
      <c r="I86" s="2800">
        <f t="shared" si="0"/>
        <v>11566575</v>
      </c>
      <c r="J86" s="2797"/>
      <c r="K86" s="2798"/>
      <c r="L86" s="2794"/>
      <c r="M86" s="2799">
        <f t="shared" ref="M86:R86" si="1">M89-M88</f>
        <v>28197158.293000001</v>
      </c>
      <c r="N86" s="2800">
        <f t="shared" si="1"/>
        <v>20269787</v>
      </c>
      <c r="O86" s="2800">
        <f t="shared" si="1"/>
        <v>7927371.2930000015</v>
      </c>
      <c r="P86" s="2799">
        <f t="shared" si="1"/>
        <v>28291572</v>
      </c>
      <c r="Q86" s="2800">
        <f t="shared" si="1"/>
        <v>20282577</v>
      </c>
      <c r="R86" s="2800">
        <f t="shared" si="1"/>
        <v>8008995</v>
      </c>
      <c r="S86" s="2815"/>
    </row>
    <row r="87" spans="1:21" ht="9.75" customHeight="1" thickBot="1">
      <c r="A87" s="2785"/>
      <c r="B87" s="2810"/>
      <c r="C87" s="2811"/>
      <c r="D87" s="2811"/>
      <c r="E87" s="2812"/>
      <c r="F87" s="2812"/>
      <c r="G87" s="2812"/>
      <c r="H87" s="2812"/>
      <c r="I87" s="2812"/>
      <c r="J87" s="2813"/>
      <c r="K87" s="2814"/>
      <c r="L87" s="2811"/>
      <c r="M87" s="2811"/>
      <c r="N87" s="2812"/>
      <c r="O87" s="2812"/>
      <c r="P87" s="2812"/>
      <c r="Q87" s="2812"/>
      <c r="R87" s="2812"/>
      <c r="S87" s="2813"/>
    </row>
    <row r="88" spans="1:21" s="2801" customFormat="1" ht="26.25" thickBot="1">
      <c r="A88" s="2784" t="s">
        <v>15187</v>
      </c>
      <c r="B88" s="2793"/>
      <c r="C88" s="2794"/>
      <c r="D88" s="2795">
        <f>SUM(D56:D79)</f>
        <v>355257.12</v>
      </c>
      <c r="E88" s="2796">
        <f>SUM(E56:E79)</f>
        <v>339561.82</v>
      </c>
      <c r="F88" s="2796">
        <f t="shared" ref="F88:I88" si="2">SUM(F56:F79)</f>
        <v>15695.300000000003</v>
      </c>
      <c r="G88" s="2795">
        <f>SUM(G56:G79)</f>
        <v>398501</v>
      </c>
      <c r="H88" s="2796">
        <f>SUM(H56:H79)</f>
        <v>380000</v>
      </c>
      <c r="I88" s="2796">
        <f t="shared" si="2"/>
        <v>18501</v>
      </c>
      <c r="J88" s="2797"/>
      <c r="K88" s="2798"/>
      <c r="L88" s="2794"/>
      <c r="M88" s="2795">
        <f>SUM(M56:M79)</f>
        <v>73795</v>
      </c>
      <c r="N88" s="2796">
        <f t="shared" ref="N88:R88" si="3">SUM(N56:N79)</f>
        <v>71468</v>
      </c>
      <c r="O88" s="2796">
        <f t="shared" si="3"/>
        <v>2327</v>
      </c>
      <c r="P88" s="2795">
        <f t="shared" si="3"/>
        <v>72205</v>
      </c>
      <c r="Q88" s="2796">
        <f t="shared" si="3"/>
        <v>69952</v>
      </c>
      <c r="R88" s="2796">
        <f t="shared" si="3"/>
        <v>2253</v>
      </c>
      <c r="S88" s="2784"/>
    </row>
    <row r="89" spans="1:21" s="2801" customFormat="1" ht="21.75" customHeight="1" thickBot="1">
      <c r="A89" s="2784" t="s">
        <v>15197</v>
      </c>
      <c r="B89" s="2793"/>
      <c r="C89" s="2794"/>
      <c r="D89" s="2799">
        <v>29382811</v>
      </c>
      <c r="E89" s="2800">
        <v>17930757</v>
      </c>
      <c r="F89" s="2800">
        <f>D89-E89</f>
        <v>11452054</v>
      </c>
      <c r="G89" s="2799">
        <f>G86+G88</f>
        <v>29837497</v>
      </c>
      <c r="H89" s="2800">
        <f t="shared" ref="H89:I89" si="4">H86+H88</f>
        <v>18252421</v>
      </c>
      <c r="I89" s="2800">
        <f t="shared" si="4"/>
        <v>11585076</v>
      </c>
      <c r="J89" s="2797"/>
      <c r="K89" s="2798"/>
      <c r="L89" s="2794"/>
      <c r="M89" s="2799">
        <v>28270953.293000001</v>
      </c>
      <c r="N89" s="2796">
        <v>20341255</v>
      </c>
      <c r="O89" s="2796">
        <f>M89-N89</f>
        <v>7929698.2930000015</v>
      </c>
      <c r="P89" s="2795">
        <f>P4+P88</f>
        <v>28363777</v>
      </c>
      <c r="Q89" s="2796">
        <f>Q4+Q88</f>
        <v>20352529</v>
      </c>
      <c r="R89" s="2796">
        <f>R4+R88</f>
        <v>8011248</v>
      </c>
      <c r="S89" s="2815"/>
    </row>
    <row r="90" spans="1:21" ht="18.75" customHeight="1">
      <c r="A90" s="2816" t="s">
        <v>15192</v>
      </c>
      <c r="B90" s="2817"/>
      <c r="C90" s="2818"/>
      <c r="D90" s="2819">
        <f t="shared" ref="D90:I90" si="5">D4+D66+D67</f>
        <v>29075361.879999999</v>
      </c>
      <c r="E90" s="2824">
        <f t="shared" si="5"/>
        <v>17639003.18</v>
      </c>
      <c r="F90" s="2824">
        <f t="shared" si="5"/>
        <v>11436358.699999999</v>
      </c>
      <c r="G90" s="2819">
        <f>G4+G66+G67</f>
        <v>29485982</v>
      </c>
      <c r="H90" s="2824">
        <f>H4+H66+H67</f>
        <v>17919407</v>
      </c>
      <c r="I90" s="2824">
        <f t="shared" si="5"/>
        <v>11566575</v>
      </c>
      <c r="J90" s="2791"/>
      <c r="K90" s="2792"/>
      <c r="L90" s="2790"/>
      <c r="M90" s="2819">
        <f t="shared" ref="M90:O90" si="6">M4+M66+M67</f>
        <v>28007175.913000003</v>
      </c>
      <c r="N90" s="2824">
        <f t="shared" si="6"/>
        <v>20269787</v>
      </c>
      <c r="O90" s="2824">
        <f t="shared" si="6"/>
        <v>7927371.2930000015</v>
      </c>
      <c r="P90" s="2819">
        <f>P4+P66+P67</f>
        <v>28291572</v>
      </c>
      <c r="Q90" s="2824">
        <f>Q4+Q66+Q67</f>
        <v>20282577</v>
      </c>
      <c r="R90" s="2824">
        <f>R4+R66+R67</f>
        <v>8008995</v>
      </c>
      <c r="S90" s="2820"/>
    </row>
    <row r="91" spans="1:21" ht="26.25" thickBot="1">
      <c r="A91" s="2787" t="s">
        <v>15200</v>
      </c>
      <c r="B91" s="2776"/>
      <c r="C91" s="2777"/>
      <c r="D91" s="2778">
        <f t="shared" ref="D91:I91" si="7">D88-D66-D67</f>
        <v>307449.12</v>
      </c>
      <c r="E91" s="2825">
        <f t="shared" si="7"/>
        <v>291753.82</v>
      </c>
      <c r="F91" s="2825">
        <f t="shared" si="7"/>
        <v>15695.300000000003</v>
      </c>
      <c r="G91" s="2778">
        <f>G88-G66-G67</f>
        <v>351515</v>
      </c>
      <c r="H91" s="2825">
        <f>H88-H66-H67</f>
        <v>333014</v>
      </c>
      <c r="I91" s="2825">
        <f t="shared" si="7"/>
        <v>18501</v>
      </c>
      <c r="J91" s="2779"/>
      <c r="K91" s="2766"/>
      <c r="L91" s="2765"/>
      <c r="M91" s="2778">
        <f t="shared" ref="M91:O91" si="8">M88-M66-M67</f>
        <v>73795</v>
      </c>
      <c r="N91" s="2825">
        <f t="shared" si="8"/>
        <v>71468</v>
      </c>
      <c r="O91" s="2825">
        <f t="shared" si="8"/>
        <v>2327</v>
      </c>
      <c r="P91" s="2778">
        <f>P88-P66-P67</f>
        <v>72205</v>
      </c>
      <c r="Q91" s="2825">
        <f>Q88-Q66-Q67</f>
        <v>69952</v>
      </c>
      <c r="R91" s="2825">
        <f>R88-R66-R67</f>
        <v>2253</v>
      </c>
      <c r="S91" s="2767"/>
    </row>
    <row r="92" spans="1:21">
      <c r="D92" s="2758">
        <f>D90+D91</f>
        <v>29382811</v>
      </c>
      <c r="M92" s="2768"/>
      <c r="N92" s="2768"/>
      <c r="O92" s="2768"/>
      <c r="P92" s="2768"/>
      <c r="Q92" s="2768"/>
      <c r="R92" s="2768"/>
    </row>
    <row r="93" spans="1:21">
      <c r="D93" s="2758">
        <f t="shared" ref="D93:I93" si="9">D89-D88</f>
        <v>29027553.879999999</v>
      </c>
      <c r="E93" s="2758">
        <f t="shared" si="9"/>
        <v>17591195.18</v>
      </c>
      <c r="F93" s="2758">
        <f t="shared" si="9"/>
        <v>11436358.699999999</v>
      </c>
      <c r="G93" s="2758">
        <f t="shared" si="9"/>
        <v>29438996</v>
      </c>
      <c r="H93" s="2758">
        <f t="shared" si="9"/>
        <v>17872421</v>
      </c>
      <c r="I93" s="2758">
        <f t="shared" si="9"/>
        <v>11566575</v>
      </c>
      <c r="M93" s="2768"/>
      <c r="N93" s="2768"/>
      <c r="O93" s="2768"/>
      <c r="P93" s="2768"/>
      <c r="Q93" s="2768"/>
      <c r="R93" s="2768"/>
    </row>
    <row r="94" spans="1:21" ht="51">
      <c r="D94" s="2769">
        <v>29382.811373999997</v>
      </c>
      <c r="E94" s="2769"/>
      <c r="F94" s="2769"/>
      <c r="G94" s="2769"/>
      <c r="H94" s="2769"/>
      <c r="I94" s="2769"/>
      <c r="J94" s="2714" t="s">
        <v>15193</v>
      </c>
      <c r="M94" s="2768"/>
      <c r="N94" s="2768"/>
      <c r="O94" s="2768"/>
      <c r="P94" s="2768"/>
      <c r="Q94" s="2768"/>
      <c r="R94" s="2768"/>
    </row>
    <row r="95" spans="1:21">
      <c r="D95" s="2769"/>
      <c r="E95" s="2769"/>
      <c r="F95" s="2769"/>
      <c r="G95" s="2770"/>
      <c r="H95" s="2770"/>
      <c r="I95" s="2770"/>
      <c r="M95" s="2768"/>
      <c r="N95" s="2768"/>
      <c r="O95" s="2768"/>
      <c r="P95" s="2768"/>
      <c r="Q95" s="2768"/>
      <c r="R95" s="2768"/>
    </row>
    <row r="96" spans="1:21" ht="25.5">
      <c r="C96" s="2714" t="s">
        <v>15185</v>
      </c>
      <c r="D96" s="2769">
        <v>17930.756893999998</v>
      </c>
      <c r="E96" s="2769"/>
      <c r="F96" s="2769"/>
      <c r="G96" s="2823"/>
      <c r="H96" s="2769"/>
      <c r="I96" s="2769"/>
      <c r="J96" s="2758"/>
      <c r="M96" s="2768"/>
      <c r="N96" s="2768"/>
      <c r="O96" s="2768"/>
      <c r="P96" s="2768"/>
      <c r="Q96" s="2768"/>
      <c r="R96" s="2768"/>
    </row>
    <row r="97" spans="3:18">
      <c r="C97" s="2771" t="s">
        <v>962</v>
      </c>
      <c r="D97" s="2772">
        <v>29485.982</v>
      </c>
      <c r="E97" s="2772"/>
      <c r="F97" s="2772"/>
      <c r="G97" s="2772">
        <v>29485982</v>
      </c>
      <c r="H97" s="2772">
        <v>17919407</v>
      </c>
      <c r="I97" s="2772"/>
      <c r="J97" s="2771"/>
      <c r="K97" s="2771"/>
      <c r="L97" s="2771"/>
      <c r="M97" s="2773"/>
      <c r="N97" s="2773"/>
      <c r="O97" s="2773"/>
      <c r="P97" s="2773"/>
      <c r="Q97" s="2773"/>
      <c r="R97" s="2773"/>
    </row>
    <row r="98" spans="3:18" ht="25.5">
      <c r="C98" s="2771" t="s">
        <v>15185</v>
      </c>
      <c r="D98" s="2772">
        <v>17919.406999999999</v>
      </c>
      <c r="E98" s="2772"/>
      <c r="F98" s="2772"/>
      <c r="G98" s="2772"/>
      <c r="H98" s="2772"/>
      <c r="I98" s="2772"/>
      <c r="J98" s="2771"/>
      <c r="K98" s="2771"/>
      <c r="L98" s="2771"/>
      <c r="M98" s="2773"/>
      <c r="N98" s="2773"/>
      <c r="O98" s="2773"/>
      <c r="P98" s="2773"/>
      <c r="Q98" s="2773"/>
      <c r="R98" s="2773"/>
    </row>
    <row r="99" spans="3:18">
      <c r="D99" s="2758"/>
      <c r="E99" s="2758"/>
      <c r="F99" s="2758"/>
      <c r="G99" s="2823"/>
      <c r="H99" s="2823"/>
      <c r="I99" s="2758"/>
    </row>
    <row r="100" spans="3:18">
      <c r="D100" s="2758"/>
      <c r="E100" s="2758"/>
      <c r="F100" s="2758"/>
      <c r="G100" s="2758"/>
      <c r="H100" s="2758"/>
      <c r="I100" s="2758"/>
    </row>
    <row r="101" spans="3:18">
      <c r="C101" s="2774" t="s">
        <v>15195</v>
      </c>
      <c r="D101" s="2775">
        <f>12591.285+494.255</f>
        <v>13085.539999999999</v>
      </c>
      <c r="E101" s="2775"/>
      <c r="F101" s="2775"/>
      <c r="G101" s="2775"/>
      <c r="H101" s="2775"/>
      <c r="I101" s="2775"/>
      <c r="J101" s="2774"/>
    </row>
    <row r="102" spans="3:18" ht="25.5">
      <c r="C102" s="2774" t="s">
        <v>15194</v>
      </c>
      <c r="D102" s="2774">
        <f>9165.364+294.764</f>
        <v>9460.1279999999988</v>
      </c>
      <c r="E102" s="2774"/>
      <c r="F102" s="2774"/>
      <c r="G102" s="2774"/>
      <c r="H102" s="2774"/>
      <c r="I102" s="2774"/>
      <c r="J102" s="2774"/>
    </row>
    <row r="104" spans="3:18">
      <c r="C104" s="2714" t="s">
        <v>962</v>
      </c>
    </row>
  </sheetData>
  <mergeCells count="27">
    <mergeCell ref="P1:R1"/>
    <mergeCell ref="S1:S2"/>
    <mergeCell ref="D64:D65"/>
    <mergeCell ref="E64:E65"/>
    <mergeCell ref="G64:G65"/>
    <mergeCell ref="H64:H65"/>
    <mergeCell ref="I64:I65"/>
    <mergeCell ref="J6:J54"/>
    <mergeCell ref="A1:A2"/>
    <mergeCell ref="J1:J2"/>
    <mergeCell ref="K1:K2"/>
    <mergeCell ref="L1:L2"/>
    <mergeCell ref="M1:O1"/>
    <mergeCell ref="G1:I1"/>
    <mergeCell ref="D1:F1"/>
    <mergeCell ref="C1:C2"/>
    <mergeCell ref="B1:B2"/>
    <mergeCell ref="A80:B80"/>
    <mergeCell ref="S69:S70"/>
    <mergeCell ref="K69:K70"/>
    <mergeCell ref="D69:D70"/>
    <mergeCell ref="M69:M70"/>
    <mergeCell ref="D74:D75"/>
    <mergeCell ref="E69:E70"/>
    <mergeCell ref="F69:F70"/>
    <mergeCell ref="E74:E75"/>
    <mergeCell ref="N69:N70"/>
  </mergeCells>
  <pageMargins left="0.25" right="0.25" top="0.75" bottom="0.75" header="0.3" footer="0.3"/>
  <pageSetup paperSize="9" scale="41" fitToHeight="0" orientation="landscape" r:id="rId1"/>
  <rowBreaks count="1" manualBreakCount="1">
    <brk id="54" max="16383" man="1"/>
  </rowBreaks>
  <colBreaks count="1" manualBreakCount="1">
    <brk id="10" max="91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B1:BZ119"/>
  <sheetViews>
    <sheetView view="pageBreakPreview" zoomScale="40" zoomScaleNormal="100" zoomScaleSheetLayoutView="40" workbookViewId="0">
      <selection activeCell="B24" sqref="B24"/>
    </sheetView>
  </sheetViews>
  <sheetFormatPr defaultColWidth="0.85546875" defaultRowHeight="20.25" outlineLevelRow="2" outlineLevelCol="2"/>
  <cols>
    <col min="1" max="1" width="3.28515625" style="846" customWidth="1"/>
    <col min="2" max="2" width="15.85546875" style="969" bestFit="1" customWidth="1"/>
    <col min="3" max="3" width="101.28515625" style="846" customWidth="1"/>
    <col min="4" max="4" width="23.7109375" style="846" customWidth="1"/>
    <col min="5" max="5" width="23.42578125" style="970" customWidth="1"/>
    <col min="6" max="6" width="26.85546875" style="970" customWidth="1"/>
    <col min="7" max="7" width="26" style="971" customWidth="1"/>
    <col min="8" max="8" width="11.5703125" style="972" hidden="1" customWidth="1" outlineLevel="1"/>
    <col min="9" max="9" width="11.5703125" style="972" hidden="1" customWidth="1" outlineLevel="1" collapsed="1"/>
    <col min="10" max="10" width="11.5703125" style="972" hidden="1" customWidth="1" outlineLevel="1"/>
    <col min="11" max="12" width="11.5703125" style="973" hidden="1" customWidth="1" outlineLevel="1"/>
    <col min="13" max="13" width="22.28515625" style="973" hidden="1" customWidth="1" outlineLevel="1"/>
    <col min="14" max="15" width="21.5703125" style="973" hidden="1" customWidth="1"/>
    <col min="16" max="16" width="23.42578125" style="973" hidden="1" customWidth="1"/>
    <col min="17" max="17" width="26.5703125" style="973" hidden="1" customWidth="1"/>
    <col min="18" max="19" width="25.85546875" style="973" customWidth="1"/>
    <col min="20" max="20" width="24.140625" style="974" hidden="1" customWidth="1" outlineLevel="1"/>
    <col min="21" max="23" width="13.42578125" style="973" hidden="1" customWidth="1" outlineLevel="2"/>
    <col min="24" max="24" width="17.7109375" style="973" hidden="1" customWidth="1" outlineLevel="2"/>
    <col min="25" max="25" width="13.42578125" style="973" hidden="1" customWidth="1" outlineLevel="2"/>
    <col min="26" max="26" width="23.42578125" style="973" hidden="1" customWidth="1" outlineLevel="1" collapsed="1"/>
    <col min="27" max="27" width="22" style="973" hidden="1" customWidth="1" collapsed="1"/>
    <col min="28" max="28" width="22" style="973" hidden="1" customWidth="1" outlineLevel="1"/>
    <col min="29" max="29" width="25.42578125" style="980" customWidth="1" collapsed="1"/>
    <col min="30" max="30" width="26.42578125" style="974" hidden="1" customWidth="1"/>
    <col min="31" max="31" width="13.42578125" style="973" hidden="1" customWidth="1" outlineLevel="1"/>
    <col min="32" max="32" width="13.42578125" style="973" hidden="1" customWidth="1" outlineLevel="1" collapsed="1"/>
    <col min="33" max="33" width="13.42578125" style="973" hidden="1" customWidth="1" outlineLevel="1"/>
    <col min="34" max="34" width="13.7109375" style="973" hidden="1" customWidth="1" outlineLevel="1"/>
    <col min="35" max="35" width="13.42578125" style="973" hidden="1" customWidth="1" outlineLevel="1"/>
    <col min="36" max="36" width="18.7109375" style="973" hidden="1" customWidth="1" outlineLevel="1"/>
    <col min="37" max="38" width="23.140625" style="973" hidden="1" customWidth="1" outlineLevel="1"/>
    <col min="39" max="39" width="28" style="973" hidden="1" customWidth="1"/>
    <col min="40" max="40" width="22.7109375" style="973" hidden="1" customWidth="1"/>
    <col min="41" max="41" width="25.140625" style="977" customWidth="1" outlineLevel="1"/>
    <col min="42" max="42" width="14.85546875" style="973" hidden="1" customWidth="1" outlineLevel="1"/>
    <col min="43" max="43" width="14.85546875" style="973" hidden="1" customWidth="1" outlineLevel="1" collapsed="1"/>
    <col min="44" max="46" width="14.85546875" style="973" hidden="1" customWidth="1" outlineLevel="1"/>
    <col min="47" max="47" width="14.7109375" style="973" hidden="1" customWidth="1" outlineLevel="1"/>
    <col min="48" max="48" width="16.5703125" style="973" hidden="1" customWidth="1" outlineLevel="1"/>
    <col min="49" max="49" width="23.85546875" style="973" hidden="1" customWidth="1" outlineLevel="1"/>
    <col min="50" max="50" width="23.140625" style="973" hidden="1" customWidth="1" outlineLevel="1"/>
    <col min="51" max="52" width="23.140625" style="973" customWidth="1" outlineLevel="1"/>
    <col min="53" max="76" width="0.85546875" style="846"/>
    <col min="77" max="77" width="23.42578125" style="846" bestFit="1" customWidth="1"/>
    <col min="78" max="160" width="0.85546875" style="846"/>
    <col min="161" max="161" width="7.28515625" style="846" customWidth="1"/>
    <col min="162" max="162" width="57.5703125" style="846" customWidth="1"/>
    <col min="163" max="163" width="13.140625" style="846" customWidth="1"/>
    <col min="164" max="164" width="13.5703125" style="846" customWidth="1"/>
    <col min="165" max="165" width="18.7109375" style="846" bestFit="1" customWidth="1"/>
    <col min="166" max="166" width="20.7109375" style="846" customWidth="1"/>
    <col min="167" max="167" width="16.140625" style="846" customWidth="1"/>
    <col min="168" max="168" width="19" style="846" customWidth="1"/>
    <col min="169" max="169" width="20" style="846" bestFit="1" customWidth="1"/>
    <col min="170" max="170" width="16.7109375" style="846" bestFit="1" customWidth="1"/>
    <col min="171" max="171" width="43.28515625" style="846" customWidth="1"/>
    <col min="172" max="416" width="0.85546875" style="846"/>
    <col min="417" max="417" width="7.28515625" style="846" customWidth="1"/>
    <col min="418" max="418" width="57.5703125" style="846" customWidth="1"/>
    <col min="419" max="419" width="13.140625" style="846" customWidth="1"/>
    <col min="420" max="420" width="13.5703125" style="846" customWidth="1"/>
    <col min="421" max="421" width="18.7109375" style="846" bestFit="1" customWidth="1"/>
    <col min="422" max="422" width="20.7109375" style="846" customWidth="1"/>
    <col min="423" max="423" width="16.140625" style="846" customWidth="1"/>
    <col min="424" max="424" width="19" style="846" customWidth="1"/>
    <col min="425" max="425" width="20" style="846" bestFit="1" customWidth="1"/>
    <col min="426" max="426" width="16.7109375" style="846" bestFit="1" customWidth="1"/>
    <col min="427" max="427" width="43.28515625" style="846" customWidth="1"/>
    <col min="428" max="672" width="0.85546875" style="846"/>
    <col min="673" max="673" width="7.28515625" style="846" customWidth="1"/>
    <col min="674" max="674" width="57.5703125" style="846" customWidth="1"/>
    <col min="675" max="675" width="13.140625" style="846" customWidth="1"/>
    <col min="676" max="676" width="13.5703125" style="846" customWidth="1"/>
    <col min="677" max="677" width="18.7109375" style="846" bestFit="1" customWidth="1"/>
    <col min="678" max="678" width="20.7109375" style="846" customWidth="1"/>
    <col min="679" max="679" width="16.140625" style="846" customWidth="1"/>
    <col min="680" max="680" width="19" style="846" customWidth="1"/>
    <col min="681" max="681" width="20" style="846" bestFit="1" customWidth="1"/>
    <col min="682" max="682" width="16.7109375" style="846" bestFit="1" customWidth="1"/>
    <col min="683" max="683" width="43.28515625" style="846" customWidth="1"/>
    <col min="684" max="928" width="0.85546875" style="846"/>
    <col min="929" max="929" width="7.28515625" style="846" customWidth="1"/>
    <col min="930" max="930" width="57.5703125" style="846" customWidth="1"/>
    <col min="931" max="931" width="13.140625" style="846" customWidth="1"/>
    <col min="932" max="932" width="13.5703125" style="846" customWidth="1"/>
    <col min="933" max="933" width="18.7109375" style="846" bestFit="1" customWidth="1"/>
    <col min="934" max="934" width="20.7109375" style="846" customWidth="1"/>
    <col min="935" max="935" width="16.140625" style="846" customWidth="1"/>
    <col min="936" max="936" width="19" style="846" customWidth="1"/>
    <col min="937" max="937" width="20" style="846" bestFit="1" customWidth="1"/>
    <col min="938" max="938" width="16.7109375" style="846" bestFit="1" customWidth="1"/>
    <col min="939" max="939" width="43.28515625" style="846" customWidth="1"/>
    <col min="940" max="1184" width="0.85546875" style="846"/>
    <col min="1185" max="1185" width="7.28515625" style="846" customWidth="1"/>
    <col min="1186" max="1186" width="57.5703125" style="846" customWidth="1"/>
    <col min="1187" max="1187" width="13.140625" style="846" customWidth="1"/>
    <col min="1188" max="1188" width="13.5703125" style="846" customWidth="1"/>
    <col min="1189" max="1189" width="18.7109375" style="846" bestFit="1" customWidth="1"/>
    <col min="1190" max="1190" width="20.7109375" style="846" customWidth="1"/>
    <col min="1191" max="1191" width="16.140625" style="846" customWidth="1"/>
    <col min="1192" max="1192" width="19" style="846" customWidth="1"/>
    <col min="1193" max="1193" width="20" style="846" bestFit="1" customWidth="1"/>
    <col min="1194" max="1194" width="16.7109375" style="846" bestFit="1" customWidth="1"/>
    <col min="1195" max="1195" width="43.28515625" style="846" customWidth="1"/>
    <col min="1196" max="1440" width="0.85546875" style="846"/>
    <col min="1441" max="1441" width="7.28515625" style="846" customWidth="1"/>
    <col min="1442" max="1442" width="57.5703125" style="846" customWidth="1"/>
    <col min="1443" max="1443" width="13.140625" style="846" customWidth="1"/>
    <col min="1444" max="1444" width="13.5703125" style="846" customWidth="1"/>
    <col min="1445" max="1445" width="18.7109375" style="846" bestFit="1" customWidth="1"/>
    <col min="1446" max="1446" width="20.7109375" style="846" customWidth="1"/>
    <col min="1447" max="1447" width="16.140625" style="846" customWidth="1"/>
    <col min="1448" max="1448" width="19" style="846" customWidth="1"/>
    <col min="1449" max="1449" width="20" style="846" bestFit="1" customWidth="1"/>
    <col min="1450" max="1450" width="16.7109375" style="846" bestFit="1" customWidth="1"/>
    <col min="1451" max="1451" width="43.28515625" style="846" customWidth="1"/>
    <col min="1452" max="1696" width="0.85546875" style="846"/>
    <col min="1697" max="1697" width="7.28515625" style="846" customWidth="1"/>
    <col min="1698" max="1698" width="57.5703125" style="846" customWidth="1"/>
    <col min="1699" max="1699" width="13.140625" style="846" customWidth="1"/>
    <col min="1700" max="1700" width="13.5703125" style="846" customWidth="1"/>
    <col min="1701" max="1701" width="18.7109375" style="846" bestFit="1" customWidth="1"/>
    <col min="1702" max="1702" width="20.7109375" style="846" customWidth="1"/>
    <col min="1703" max="1703" width="16.140625" style="846" customWidth="1"/>
    <col min="1704" max="1704" width="19" style="846" customWidth="1"/>
    <col min="1705" max="1705" width="20" style="846" bestFit="1" customWidth="1"/>
    <col min="1706" max="1706" width="16.7109375" style="846" bestFit="1" customWidth="1"/>
    <col min="1707" max="1707" width="43.28515625" style="846" customWidth="1"/>
    <col min="1708" max="1952" width="0.85546875" style="846"/>
    <col min="1953" max="1953" width="7.28515625" style="846" customWidth="1"/>
    <col min="1954" max="1954" width="57.5703125" style="846" customWidth="1"/>
    <col min="1955" max="1955" width="13.140625" style="846" customWidth="1"/>
    <col min="1956" max="1956" width="13.5703125" style="846" customWidth="1"/>
    <col min="1957" max="1957" width="18.7109375" style="846" bestFit="1" customWidth="1"/>
    <col min="1958" max="1958" width="20.7109375" style="846" customWidth="1"/>
    <col min="1959" max="1959" width="16.140625" style="846" customWidth="1"/>
    <col min="1960" max="1960" width="19" style="846" customWidth="1"/>
    <col min="1961" max="1961" width="20" style="846" bestFit="1" customWidth="1"/>
    <col min="1962" max="1962" width="16.7109375" style="846" bestFit="1" customWidth="1"/>
    <col min="1963" max="1963" width="43.28515625" style="846" customWidth="1"/>
    <col min="1964" max="2208" width="0.85546875" style="846"/>
    <col min="2209" max="2209" width="7.28515625" style="846" customWidth="1"/>
    <col min="2210" max="2210" width="57.5703125" style="846" customWidth="1"/>
    <col min="2211" max="2211" width="13.140625" style="846" customWidth="1"/>
    <col min="2212" max="2212" width="13.5703125" style="846" customWidth="1"/>
    <col min="2213" max="2213" width="18.7109375" style="846" bestFit="1" customWidth="1"/>
    <col min="2214" max="2214" width="20.7109375" style="846" customWidth="1"/>
    <col min="2215" max="2215" width="16.140625" style="846" customWidth="1"/>
    <col min="2216" max="2216" width="19" style="846" customWidth="1"/>
    <col min="2217" max="2217" width="20" style="846" bestFit="1" customWidth="1"/>
    <col min="2218" max="2218" width="16.7109375" style="846" bestFit="1" customWidth="1"/>
    <col min="2219" max="2219" width="43.28515625" style="846" customWidth="1"/>
    <col min="2220" max="2464" width="0.85546875" style="846"/>
    <col min="2465" max="2465" width="7.28515625" style="846" customWidth="1"/>
    <col min="2466" max="2466" width="57.5703125" style="846" customWidth="1"/>
    <col min="2467" max="2467" width="13.140625" style="846" customWidth="1"/>
    <col min="2468" max="2468" width="13.5703125" style="846" customWidth="1"/>
    <col min="2469" max="2469" width="18.7109375" style="846" bestFit="1" customWidth="1"/>
    <col min="2470" max="2470" width="20.7109375" style="846" customWidth="1"/>
    <col min="2471" max="2471" width="16.140625" style="846" customWidth="1"/>
    <col min="2472" max="2472" width="19" style="846" customWidth="1"/>
    <col min="2473" max="2473" width="20" style="846" bestFit="1" customWidth="1"/>
    <col min="2474" max="2474" width="16.7109375" style="846" bestFit="1" customWidth="1"/>
    <col min="2475" max="2475" width="43.28515625" style="846" customWidth="1"/>
    <col min="2476" max="2720" width="0.85546875" style="846"/>
    <col min="2721" max="2721" width="7.28515625" style="846" customWidth="1"/>
    <col min="2722" max="2722" width="57.5703125" style="846" customWidth="1"/>
    <col min="2723" max="2723" width="13.140625" style="846" customWidth="1"/>
    <col min="2724" max="2724" width="13.5703125" style="846" customWidth="1"/>
    <col min="2725" max="2725" width="18.7109375" style="846" bestFit="1" customWidth="1"/>
    <col min="2726" max="2726" width="20.7109375" style="846" customWidth="1"/>
    <col min="2727" max="2727" width="16.140625" style="846" customWidth="1"/>
    <col min="2728" max="2728" width="19" style="846" customWidth="1"/>
    <col min="2729" max="2729" width="20" style="846" bestFit="1" customWidth="1"/>
    <col min="2730" max="2730" width="16.7109375" style="846" bestFit="1" customWidth="1"/>
    <col min="2731" max="2731" width="43.28515625" style="846" customWidth="1"/>
    <col min="2732" max="2976" width="0.85546875" style="846"/>
    <col min="2977" max="2977" width="7.28515625" style="846" customWidth="1"/>
    <col min="2978" max="2978" width="57.5703125" style="846" customWidth="1"/>
    <col min="2979" max="2979" width="13.140625" style="846" customWidth="1"/>
    <col min="2980" max="2980" width="13.5703125" style="846" customWidth="1"/>
    <col min="2981" max="2981" width="18.7109375" style="846" bestFit="1" customWidth="1"/>
    <col min="2982" max="2982" width="20.7109375" style="846" customWidth="1"/>
    <col min="2983" max="2983" width="16.140625" style="846" customWidth="1"/>
    <col min="2984" max="2984" width="19" style="846" customWidth="1"/>
    <col min="2985" max="2985" width="20" style="846" bestFit="1" customWidth="1"/>
    <col min="2986" max="2986" width="16.7109375" style="846" bestFit="1" customWidth="1"/>
    <col min="2987" max="2987" width="43.28515625" style="846" customWidth="1"/>
    <col min="2988" max="3232" width="0.85546875" style="846"/>
    <col min="3233" max="3233" width="7.28515625" style="846" customWidth="1"/>
    <col min="3234" max="3234" width="57.5703125" style="846" customWidth="1"/>
    <col min="3235" max="3235" width="13.140625" style="846" customWidth="1"/>
    <col min="3236" max="3236" width="13.5703125" style="846" customWidth="1"/>
    <col min="3237" max="3237" width="18.7109375" style="846" bestFit="1" customWidth="1"/>
    <col min="3238" max="3238" width="20.7109375" style="846" customWidth="1"/>
    <col min="3239" max="3239" width="16.140625" style="846" customWidth="1"/>
    <col min="3240" max="3240" width="19" style="846" customWidth="1"/>
    <col min="3241" max="3241" width="20" style="846" bestFit="1" customWidth="1"/>
    <col min="3242" max="3242" width="16.7109375" style="846" bestFit="1" customWidth="1"/>
    <col min="3243" max="3243" width="43.28515625" style="846" customWidth="1"/>
    <col min="3244" max="3488" width="0.85546875" style="846"/>
    <col min="3489" max="3489" width="7.28515625" style="846" customWidth="1"/>
    <col min="3490" max="3490" width="57.5703125" style="846" customWidth="1"/>
    <col min="3491" max="3491" width="13.140625" style="846" customWidth="1"/>
    <col min="3492" max="3492" width="13.5703125" style="846" customWidth="1"/>
    <col min="3493" max="3493" width="18.7109375" style="846" bestFit="1" customWidth="1"/>
    <col min="3494" max="3494" width="20.7109375" style="846" customWidth="1"/>
    <col min="3495" max="3495" width="16.140625" style="846" customWidth="1"/>
    <col min="3496" max="3496" width="19" style="846" customWidth="1"/>
    <col min="3497" max="3497" width="20" style="846" bestFit="1" customWidth="1"/>
    <col min="3498" max="3498" width="16.7109375" style="846" bestFit="1" customWidth="1"/>
    <col min="3499" max="3499" width="43.28515625" style="846" customWidth="1"/>
    <col min="3500" max="3744" width="0.85546875" style="846"/>
    <col min="3745" max="3745" width="7.28515625" style="846" customWidth="1"/>
    <col min="3746" max="3746" width="57.5703125" style="846" customWidth="1"/>
    <col min="3747" max="3747" width="13.140625" style="846" customWidth="1"/>
    <col min="3748" max="3748" width="13.5703125" style="846" customWidth="1"/>
    <col min="3749" max="3749" width="18.7109375" style="846" bestFit="1" customWidth="1"/>
    <col min="3750" max="3750" width="20.7109375" style="846" customWidth="1"/>
    <col min="3751" max="3751" width="16.140625" style="846" customWidth="1"/>
    <col min="3752" max="3752" width="19" style="846" customWidth="1"/>
    <col min="3753" max="3753" width="20" style="846" bestFit="1" customWidth="1"/>
    <col min="3754" max="3754" width="16.7109375" style="846" bestFit="1" customWidth="1"/>
    <col min="3755" max="3755" width="43.28515625" style="846" customWidth="1"/>
    <col min="3756" max="4000" width="0.85546875" style="846"/>
    <col min="4001" max="4001" width="7.28515625" style="846" customWidth="1"/>
    <col min="4002" max="4002" width="57.5703125" style="846" customWidth="1"/>
    <col min="4003" max="4003" width="13.140625" style="846" customWidth="1"/>
    <col min="4004" max="4004" width="13.5703125" style="846" customWidth="1"/>
    <col min="4005" max="4005" width="18.7109375" style="846" bestFit="1" customWidth="1"/>
    <col min="4006" max="4006" width="20.7109375" style="846" customWidth="1"/>
    <col min="4007" max="4007" width="16.140625" style="846" customWidth="1"/>
    <col min="4008" max="4008" width="19" style="846" customWidth="1"/>
    <col min="4009" max="4009" width="20" style="846" bestFit="1" customWidth="1"/>
    <col min="4010" max="4010" width="16.7109375" style="846" bestFit="1" customWidth="1"/>
    <col min="4011" max="4011" width="43.28515625" style="846" customWidth="1"/>
    <col min="4012" max="4256" width="0.85546875" style="846"/>
    <col min="4257" max="4257" width="7.28515625" style="846" customWidth="1"/>
    <col min="4258" max="4258" width="57.5703125" style="846" customWidth="1"/>
    <col min="4259" max="4259" width="13.140625" style="846" customWidth="1"/>
    <col min="4260" max="4260" width="13.5703125" style="846" customWidth="1"/>
    <col min="4261" max="4261" width="18.7109375" style="846" bestFit="1" customWidth="1"/>
    <col min="4262" max="4262" width="20.7109375" style="846" customWidth="1"/>
    <col min="4263" max="4263" width="16.140625" style="846" customWidth="1"/>
    <col min="4264" max="4264" width="19" style="846" customWidth="1"/>
    <col min="4265" max="4265" width="20" style="846" bestFit="1" customWidth="1"/>
    <col min="4266" max="4266" width="16.7109375" style="846" bestFit="1" customWidth="1"/>
    <col min="4267" max="4267" width="43.28515625" style="846" customWidth="1"/>
    <col min="4268" max="4512" width="0.85546875" style="846"/>
    <col min="4513" max="4513" width="7.28515625" style="846" customWidth="1"/>
    <col min="4514" max="4514" width="57.5703125" style="846" customWidth="1"/>
    <col min="4515" max="4515" width="13.140625" style="846" customWidth="1"/>
    <col min="4516" max="4516" width="13.5703125" style="846" customWidth="1"/>
    <col min="4517" max="4517" width="18.7109375" style="846" bestFit="1" customWidth="1"/>
    <col min="4518" max="4518" width="20.7109375" style="846" customWidth="1"/>
    <col min="4519" max="4519" width="16.140625" style="846" customWidth="1"/>
    <col min="4520" max="4520" width="19" style="846" customWidth="1"/>
    <col min="4521" max="4521" width="20" style="846" bestFit="1" customWidth="1"/>
    <col min="4522" max="4522" width="16.7109375" style="846" bestFit="1" customWidth="1"/>
    <col min="4523" max="4523" width="43.28515625" style="846" customWidth="1"/>
    <col min="4524" max="4768" width="0.85546875" style="846"/>
    <col min="4769" max="4769" width="7.28515625" style="846" customWidth="1"/>
    <col min="4770" max="4770" width="57.5703125" style="846" customWidth="1"/>
    <col min="4771" max="4771" width="13.140625" style="846" customWidth="1"/>
    <col min="4772" max="4772" width="13.5703125" style="846" customWidth="1"/>
    <col min="4773" max="4773" width="18.7109375" style="846" bestFit="1" customWidth="1"/>
    <col min="4774" max="4774" width="20.7109375" style="846" customWidth="1"/>
    <col min="4775" max="4775" width="16.140625" style="846" customWidth="1"/>
    <col min="4776" max="4776" width="19" style="846" customWidth="1"/>
    <col min="4777" max="4777" width="20" style="846" bestFit="1" customWidth="1"/>
    <col min="4778" max="4778" width="16.7109375" style="846" bestFit="1" customWidth="1"/>
    <col min="4779" max="4779" width="43.28515625" style="846" customWidth="1"/>
    <col min="4780" max="5024" width="0.85546875" style="846"/>
    <col min="5025" max="5025" width="7.28515625" style="846" customWidth="1"/>
    <col min="5026" max="5026" width="57.5703125" style="846" customWidth="1"/>
    <col min="5027" max="5027" width="13.140625" style="846" customWidth="1"/>
    <col min="5028" max="5028" width="13.5703125" style="846" customWidth="1"/>
    <col min="5029" max="5029" width="18.7109375" style="846" bestFit="1" customWidth="1"/>
    <col min="5030" max="5030" width="20.7109375" style="846" customWidth="1"/>
    <col min="5031" max="5031" width="16.140625" style="846" customWidth="1"/>
    <col min="5032" max="5032" width="19" style="846" customWidth="1"/>
    <col min="5033" max="5033" width="20" style="846" bestFit="1" customWidth="1"/>
    <col min="5034" max="5034" width="16.7109375" style="846" bestFit="1" customWidth="1"/>
    <col min="5035" max="5035" width="43.28515625" style="846" customWidth="1"/>
    <col min="5036" max="5280" width="0.85546875" style="846"/>
    <col min="5281" max="5281" width="7.28515625" style="846" customWidth="1"/>
    <col min="5282" max="5282" width="57.5703125" style="846" customWidth="1"/>
    <col min="5283" max="5283" width="13.140625" style="846" customWidth="1"/>
    <col min="5284" max="5284" width="13.5703125" style="846" customWidth="1"/>
    <col min="5285" max="5285" width="18.7109375" style="846" bestFit="1" customWidth="1"/>
    <col min="5286" max="5286" width="20.7109375" style="846" customWidth="1"/>
    <col min="5287" max="5287" width="16.140625" style="846" customWidth="1"/>
    <col min="5288" max="5288" width="19" style="846" customWidth="1"/>
    <col min="5289" max="5289" width="20" style="846" bestFit="1" customWidth="1"/>
    <col min="5290" max="5290" width="16.7109375" style="846" bestFit="1" customWidth="1"/>
    <col min="5291" max="5291" width="43.28515625" style="846" customWidth="1"/>
    <col min="5292" max="5536" width="0.85546875" style="846"/>
    <col min="5537" max="5537" width="7.28515625" style="846" customWidth="1"/>
    <col min="5538" max="5538" width="57.5703125" style="846" customWidth="1"/>
    <col min="5539" max="5539" width="13.140625" style="846" customWidth="1"/>
    <col min="5540" max="5540" width="13.5703125" style="846" customWidth="1"/>
    <col min="5541" max="5541" width="18.7109375" style="846" bestFit="1" customWidth="1"/>
    <col min="5542" max="5542" width="20.7109375" style="846" customWidth="1"/>
    <col min="5543" max="5543" width="16.140625" style="846" customWidth="1"/>
    <col min="5544" max="5544" width="19" style="846" customWidth="1"/>
    <col min="5545" max="5545" width="20" style="846" bestFit="1" customWidth="1"/>
    <col min="5546" max="5546" width="16.7109375" style="846" bestFit="1" customWidth="1"/>
    <col min="5547" max="5547" width="43.28515625" style="846" customWidth="1"/>
    <col min="5548" max="5792" width="0.85546875" style="846"/>
    <col min="5793" max="5793" width="7.28515625" style="846" customWidth="1"/>
    <col min="5794" max="5794" width="57.5703125" style="846" customWidth="1"/>
    <col min="5795" max="5795" width="13.140625" style="846" customWidth="1"/>
    <col min="5796" max="5796" width="13.5703125" style="846" customWidth="1"/>
    <col min="5797" max="5797" width="18.7109375" style="846" bestFit="1" customWidth="1"/>
    <col min="5798" max="5798" width="20.7109375" style="846" customWidth="1"/>
    <col min="5799" max="5799" width="16.140625" style="846" customWidth="1"/>
    <col min="5800" max="5800" width="19" style="846" customWidth="1"/>
    <col min="5801" max="5801" width="20" style="846" bestFit="1" customWidth="1"/>
    <col min="5802" max="5802" width="16.7109375" style="846" bestFit="1" customWidth="1"/>
    <col min="5803" max="5803" width="43.28515625" style="846" customWidth="1"/>
    <col min="5804" max="6048" width="0.85546875" style="846"/>
    <col min="6049" max="6049" width="7.28515625" style="846" customWidth="1"/>
    <col min="6050" max="6050" width="57.5703125" style="846" customWidth="1"/>
    <col min="6051" max="6051" width="13.140625" style="846" customWidth="1"/>
    <col min="6052" max="6052" width="13.5703125" style="846" customWidth="1"/>
    <col min="6053" max="6053" width="18.7109375" style="846" bestFit="1" customWidth="1"/>
    <col min="6054" max="6054" width="20.7109375" style="846" customWidth="1"/>
    <col min="6055" max="6055" width="16.140625" style="846" customWidth="1"/>
    <col min="6056" max="6056" width="19" style="846" customWidth="1"/>
    <col min="6057" max="6057" width="20" style="846" bestFit="1" customWidth="1"/>
    <col min="6058" max="6058" width="16.7109375" style="846" bestFit="1" customWidth="1"/>
    <col min="6059" max="6059" width="43.28515625" style="846" customWidth="1"/>
    <col min="6060" max="6304" width="0.85546875" style="846"/>
    <col min="6305" max="6305" width="7.28515625" style="846" customWidth="1"/>
    <col min="6306" max="6306" width="57.5703125" style="846" customWidth="1"/>
    <col min="6307" max="6307" width="13.140625" style="846" customWidth="1"/>
    <col min="6308" max="6308" width="13.5703125" style="846" customWidth="1"/>
    <col min="6309" max="6309" width="18.7109375" style="846" bestFit="1" customWidth="1"/>
    <col min="6310" max="6310" width="20.7109375" style="846" customWidth="1"/>
    <col min="6311" max="6311" width="16.140625" style="846" customWidth="1"/>
    <col min="6312" max="6312" width="19" style="846" customWidth="1"/>
    <col min="6313" max="6313" width="20" style="846" bestFit="1" customWidth="1"/>
    <col min="6314" max="6314" width="16.7109375" style="846" bestFit="1" customWidth="1"/>
    <col min="6315" max="6315" width="43.28515625" style="846" customWidth="1"/>
    <col min="6316" max="6560" width="0.85546875" style="846"/>
    <col min="6561" max="6561" width="7.28515625" style="846" customWidth="1"/>
    <col min="6562" max="6562" width="57.5703125" style="846" customWidth="1"/>
    <col min="6563" max="6563" width="13.140625" style="846" customWidth="1"/>
    <col min="6564" max="6564" width="13.5703125" style="846" customWidth="1"/>
    <col min="6565" max="6565" width="18.7109375" style="846" bestFit="1" customWidth="1"/>
    <col min="6566" max="6566" width="20.7109375" style="846" customWidth="1"/>
    <col min="6567" max="6567" width="16.140625" style="846" customWidth="1"/>
    <col min="6568" max="6568" width="19" style="846" customWidth="1"/>
    <col min="6569" max="6569" width="20" style="846" bestFit="1" customWidth="1"/>
    <col min="6570" max="6570" width="16.7109375" style="846" bestFit="1" customWidth="1"/>
    <col min="6571" max="6571" width="43.28515625" style="846" customWidth="1"/>
    <col min="6572" max="6816" width="0.85546875" style="846"/>
    <col min="6817" max="6817" width="7.28515625" style="846" customWidth="1"/>
    <col min="6818" max="6818" width="57.5703125" style="846" customWidth="1"/>
    <col min="6819" max="6819" width="13.140625" style="846" customWidth="1"/>
    <col min="6820" max="6820" width="13.5703125" style="846" customWidth="1"/>
    <col min="6821" max="6821" width="18.7109375" style="846" bestFit="1" customWidth="1"/>
    <col min="6822" max="6822" width="20.7109375" style="846" customWidth="1"/>
    <col min="6823" max="6823" width="16.140625" style="846" customWidth="1"/>
    <col min="6824" max="6824" width="19" style="846" customWidth="1"/>
    <col min="6825" max="6825" width="20" style="846" bestFit="1" customWidth="1"/>
    <col min="6826" max="6826" width="16.7109375" style="846" bestFit="1" customWidth="1"/>
    <col min="6827" max="6827" width="43.28515625" style="846" customWidth="1"/>
    <col min="6828" max="7072" width="0.85546875" style="846"/>
    <col min="7073" max="7073" width="7.28515625" style="846" customWidth="1"/>
    <col min="7074" max="7074" width="57.5703125" style="846" customWidth="1"/>
    <col min="7075" max="7075" width="13.140625" style="846" customWidth="1"/>
    <col min="7076" max="7076" width="13.5703125" style="846" customWidth="1"/>
    <col min="7077" max="7077" width="18.7109375" style="846" bestFit="1" customWidth="1"/>
    <col min="7078" max="7078" width="20.7109375" style="846" customWidth="1"/>
    <col min="7079" max="7079" width="16.140625" style="846" customWidth="1"/>
    <col min="7080" max="7080" width="19" style="846" customWidth="1"/>
    <col min="7081" max="7081" width="20" style="846" bestFit="1" customWidth="1"/>
    <col min="7082" max="7082" width="16.7109375" style="846" bestFit="1" customWidth="1"/>
    <col min="7083" max="7083" width="43.28515625" style="846" customWidth="1"/>
    <col min="7084" max="7328" width="0.85546875" style="846"/>
    <col min="7329" max="7329" width="7.28515625" style="846" customWidth="1"/>
    <col min="7330" max="7330" width="57.5703125" style="846" customWidth="1"/>
    <col min="7331" max="7331" width="13.140625" style="846" customWidth="1"/>
    <col min="7332" max="7332" width="13.5703125" style="846" customWidth="1"/>
    <col min="7333" max="7333" width="18.7109375" style="846" bestFit="1" customWidth="1"/>
    <col min="7334" max="7334" width="20.7109375" style="846" customWidth="1"/>
    <col min="7335" max="7335" width="16.140625" style="846" customWidth="1"/>
    <col min="7336" max="7336" width="19" style="846" customWidth="1"/>
    <col min="7337" max="7337" width="20" style="846" bestFit="1" customWidth="1"/>
    <col min="7338" max="7338" width="16.7109375" style="846" bestFit="1" customWidth="1"/>
    <col min="7339" max="7339" width="43.28515625" style="846" customWidth="1"/>
    <col min="7340" max="7584" width="0.85546875" style="846"/>
    <col min="7585" max="7585" width="7.28515625" style="846" customWidth="1"/>
    <col min="7586" max="7586" width="57.5703125" style="846" customWidth="1"/>
    <col min="7587" max="7587" width="13.140625" style="846" customWidth="1"/>
    <col min="7588" max="7588" width="13.5703125" style="846" customWidth="1"/>
    <col min="7589" max="7589" width="18.7109375" style="846" bestFit="1" customWidth="1"/>
    <col min="7590" max="7590" width="20.7109375" style="846" customWidth="1"/>
    <col min="7591" max="7591" width="16.140625" style="846" customWidth="1"/>
    <col min="7592" max="7592" width="19" style="846" customWidth="1"/>
    <col min="7593" max="7593" width="20" style="846" bestFit="1" customWidth="1"/>
    <col min="7594" max="7594" width="16.7109375" style="846" bestFit="1" customWidth="1"/>
    <col min="7595" max="7595" width="43.28515625" style="846" customWidth="1"/>
    <col min="7596" max="7840" width="0.85546875" style="846"/>
    <col min="7841" max="7841" width="7.28515625" style="846" customWidth="1"/>
    <col min="7842" max="7842" width="57.5703125" style="846" customWidth="1"/>
    <col min="7843" max="7843" width="13.140625" style="846" customWidth="1"/>
    <col min="7844" max="7844" width="13.5703125" style="846" customWidth="1"/>
    <col min="7845" max="7845" width="18.7109375" style="846" bestFit="1" customWidth="1"/>
    <col min="7846" max="7846" width="20.7109375" style="846" customWidth="1"/>
    <col min="7847" max="7847" width="16.140625" style="846" customWidth="1"/>
    <col min="7848" max="7848" width="19" style="846" customWidth="1"/>
    <col min="7849" max="7849" width="20" style="846" bestFit="1" customWidth="1"/>
    <col min="7850" max="7850" width="16.7109375" style="846" bestFit="1" customWidth="1"/>
    <col min="7851" max="7851" width="43.28515625" style="846" customWidth="1"/>
    <col min="7852" max="8096" width="0.85546875" style="846"/>
    <col min="8097" max="8097" width="7.28515625" style="846" customWidth="1"/>
    <col min="8098" max="8098" width="57.5703125" style="846" customWidth="1"/>
    <col min="8099" max="8099" width="13.140625" style="846" customWidth="1"/>
    <col min="8100" max="8100" width="13.5703125" style="846" customWidth="1"/>
    <col min="8101" max="8101" width="18.7109375" style="846" bestFit="1" customWidth="1"/>
    <col min="8102" max="8102" width="20.7109375" style="846" customWidth="1"/>
    <col min="8103" max="8103" width="16.140625" style="846" customWidth="1"/>
    <col min="8104" max="8104" width="19" style="846" customWidth="1"/>
    <col min="8105" max="8105" width="20" style="846" bestFit="1" customWidth="1"/>
    <col min="8106" max="8106" width="16.7109375" style="846" bestFit="1" customWidth="1"/>
    <col min="8107" max="8107" width="43.28515625" style="846" customWidth="1"/>
    <col min="8108" max="8352" width="0.85546875" style="846"/>
    <col min="8353" max="8353" width="7.28515625" style="846" customWidth="1"/>
    <col min="8354" max="8354" width="57.5703125" style="846" customWidth="1"/>
    <col min="8355" max="8355" width="13.140625" style="846" customWidth="1"/>
    <col min="8356" max="8356" width="13.5703125" style="846" customWidth="1"/>
    <col min="8357" max="8357" width="18.7109375" style="846" bestFit="1" customWidth="1"/>
    <col min="8358" max="8358" width="20.7109375" style="846" customWidth="1"/>
    <col min="8359" max="8359" width="16.140625" style="846" customWidth="1"/>
    <col min="8360" max="8360" width="19" style="846" customWidth="1"/>
    <col min="8361" max="8361" width="20" style="846" bestFit="1" customWidth="1"/>
    <col min="8362" max="8362" width="16.7109375" style="846" bestFit="1" customWidth="1"/>
    <col min="8363" max="8363" width="43.28515625" style="846" customWidth="1"/>
    <col min="8364" max="8608" width="0.85546875" style="846"/>
    <col min="8609" max="8609" width="7.28515625" style="846" customWidth="1"/>
    <col min="8610" max="8610" width="57.5703125" style="846" customWidth="1"/>
    <col min="8611" max="8611" width="13.140625" style="846" customWidth="1"/>
    <col min="8612" max="8612" width="13.5703125" style="846" customWidth="1"/>
    <col min="8613" max="8613" width="18.7109375" style="846" bestFit="1" customWidth="1"/>
    <col min="8614" max="8614" width="20.7109375" style="846" customWidth="1"/>
    <col min="8615" max="8615" width="16.140625" style="846" customWidth="1"/>
    <col min="8616" max="8616" width="19" style="846" customWidth="1"/>
    <col min="8617" max="8617" width="20" style="846" bestFit="1" customWidth="1"/>
    <col min="8618" max="8618" width="16.7109375" style="846" bestFit="1" customWidth="1"/>
    <col min="8619" max="8619" width="43.28515625" style="846" customWidth="1"/>
    <col min="8620" max="8864" width="0.85546875" style="846"/>
    <col min="8865" max="8865" width="7.28515625" style="846" customWidth="1"/>
    <col min="8866" max="8866" width="57.5703125" style="846" customWidth="1"/>
    <col min="8867" max="8867" width="13.140625" style="846" customWidth="1"/>
    <col min="8868" max="8868" width="13.5703125" style="846" customWidth="1"/>
    <col min="8869" max="8869" width="18.7109375" style="846" bestFit="1" customWidth="1"/>
    <col min="8870" max="8870" width="20.7109375" style="846" customWidth="1"/>
    <col min="8871" max="8871" width="16.140625" style="846" customWidth="1"/>
    <col min="8872" max="8872" width="19" style="846" customWidth="1"/>
    <col min="8873" max="8873" width="20" style="846" bestFit="1" customWidth="1"/>
    <col min="8874" max="8874" width="16.7109375" style="846" bestFit="1" customWidth="1"/>
    <col min="8875" max="8875" width="43.28515625" style="846" customWidth="1"/>
    <col min="8876" max="9120" width="0.85546875" style="846"/>
    <col min="9121" max="9121" width="7.28515625" style="846" customWidth="1"/>
    <col min="9122" max="9122" width="57.5703125" style="846" customWidth="1"/>
    <col min="9123" max="9123" width="13.140625" style="846" customWidth="1"/>
    <col min="9124" max="9124" width="13.5703125" style="846" customWidth="1"/>
    <col min="9125" max="9125" width="18.7109375" style="846" bestFit="1" customWidth="1"/>
    <col min="9126" max="9126" width="20.7109375" style="846" customWidth="1"/>
    <col min="9127" max="9127" width="16.140625" style="846" customWidth="1"/>
    <col min="9128" max="9128" width="19" style="846" customWidth="1"/>
    <col min="9129" max="9129" width="20" style="846" bestFit="1" customWidth="1"/>
    <col min="9130" max="9130" width="16.7109375" style="846" bestFit="1" customWidth="1"/>
    <col min="9131" max="9131" width="43.28515625" style="846" customWidth="1"/>
    <col min="9132" max="9376" width="0.85546875" style="846"/>
    <col min="9377" max="9377" width="7.28515625" style="846" customWidth="1"/>
    <col min="9378" max="9378" width="57.5703125" style="846" customWidth="1"/>
    <col min="9379" max="9379" width="13.140625" style="846" customWidth="1"/>
    <col min="9380" max="9380" width="13.5703125" style="846" customWidth="1"/>
    <col min="9381" max="9381" width="18.7109375" style="846" bestFit="1" customWidth="1"/>
    <col min="9382" max="9382" width="20.7109375" style="846" customWidth="1"/>
    <col min="9383" max="9383" width="16.140625" style="846" customWidth="1"/>
    <col min="9384" max="9384" width="19" style="846" customWidth="1"/>
    <col min="9385" max="9385" width="20" style="846" bestFit="1" customWidth="1"/>
    <col min="9386" max="9386" width="16.7109375" style="846" bestFit="1" customWidth="1"/>
    <col min="9387" max="9387" width="43.28515625" style="846" customWidth="1"/>
    <col min="9388" max="9632" width="0.85546875" style="846"/>
    <col min="9633" max="9633" width="7.28515625" style="846" customWidth="1"/>
    <col min="9634" max="9634" width="57.5703125" style="846" customWidth="1"/>
    <col min="9635" max="9635" width="13.140625" style="846" customWidth="1"/>
    <col min="9636" max="9636" width="13.5703125" style="846" customWidth="1"/>
    <col min="9637" max="9637" width="18.7109375" style="846" bestFit="1" customWidth="1"/>
    <col min="9638" max="9638" width="20.7109375" style="846" customWidth="1"/>
    <col min="9639" max="9639" width="16.140625" style="846" customWidth="1"/>
    <col min="9640" max="9640" width="19" style="846" customWidth="1"/>
    <col min="9641" max="9641" width="20" style="846" bestFit="1" customWidth="1"/>
    <col min="9642" max="9642" width="16.7109375" style="846" bestFit="1" customWidth="1"/>
    <col min="9643" max="9643" width="43.28515625" style="846" customWidth="1"/>
    <col min="9644" max="9888" width="0.85546875" style="846"/>
    <col min="9889" max="9889" width="7.28515625" style="846" customWidth="1"/>
    <col min="9890" max="9890" width="57.5703125" style="846" customWidth="1"/>
    <col min="9891" max="9891" width="13.140625" style="846" customWidth="1"/>
    <col min="9892" max="9892" width="13.5703125" style="846" customWidth="1"/>
    <col min="9893" max="9893" width="18.7109375" style="846" bestFit="1" customWidth="1"/>
    <col min="9894" max="9894" width="20.7109375" style="846" customWidth="1"/>
    <col min="9895" max="9895" width="16.140625" style="846" customWidth="1"/>
    <col min="9896" max="9896" width="19" style="846" customWidth="1"/>
    <col min="9897" max="9897" width="20" style="846" bestFit="1" customWidth="1"/>
    <col min="9898" max="9898" width="16.7109375" style="846" bestFit="1" customWidth="1"/>
    <col min="9899" max="9899" width="43.28515625" style="846" customWidth="1"/>
    <col min="9900" max="10144" width="0.85546875" style="846"/>
    <col min="10145" max="10145" width="7.28515625" style="846" customWidth="1"/>
    <col min="10146" max="10146" width="57.5703125" style="846" customWidth="1"/>
    <col min="10147" max="10147" width="13.140625" style="846" customWidth="1"/>
    <col min="10148" max="10148" width="13.5703125" style="846" customWidth="1"/>
    <col min="10149" max="10149" width="18.7109375" style="846" bestFit="1" customWidth="1"/>
    <col min="10150" max="10150" width="20.7109375" style="846" customWidth="1"/>
    <col min="10151" max="10151" width="16.140625" style="846" customWidth="1"/>
    <col min="10152" max="10152" width="19" style="846" customWidth="1"/>
    <col min="10153" max="10153" width="20" style="846" bestFit="1" customWidth="1"/>
    <col min="10154" max="10154" width="16.7109375" style="846" bestFit="1" customWidth="1"/>
    <col min="10155" max="10155" width="43.28515625" style="846" customWidth="1"/>
    <col min="10156" max="10400" width="0.85546875" style="846"/>
    <col min="10401" max="10401" width="7.28515625" style="846" customWidth="1"/>
    <col min="10402" max="10402" width="57.5703125" style="846" customWidth="1"/>
    <col min="10403" max="10403" width="13.140625" style="846" customWidth="1"/>
    <col min="10404" max="10404" width="13.5703125" style="846" customWidth="1"/>
    <col min="10405" max="10405" width="18.7109375" style="846" bestFit="1" customWidth="1"/>
    <col min="10406" max="10406" width="20.7109375" style="846" customWidth="1"/>
    <col min="10407" max="10407" width="16.140625" style="846" customWidth="1"/>
    <col min="10408" max="10408" width="19" style="846" customWidth="1"/>
    <col min="10409" max="10409" width="20" style="846" bestFit="1" customWidth="1"/>
    <col min="10410" max="10410" width="16.7109375" style="846" bestFit="1" customWidth="1"/>
    <col min="10411" max="10411" width="43.28515625" style="846" customWidth="1"/>
    <col min="10412" max="10656" width="0.85546875" style="846"/>
    <col min="10657" max="10657" width="7.28515625" style="846" customWidth="1"/>
    <col min="10658" max="10658" width="57.5703125" style="846" customWidth="1"/>
    <col min="10659" max="10659" width="13.140625" style="846" customWidth="1"/>
    <col min="10660" max="10660" width="13.5703125" style="846" customWidth="1"/>
    <col min="10661" max="10661" width="18.7109375" style="846" bestFit="1" customWidth="1"/>
    <col min="10662" max="10662" width="20.7109375" style="846" customWidth="1"/>
    <col min="10663" max="10663" width="16.140625" style="846" customWidth="1"/>
    <col min="10664" max="10664" width="19" style="846" customWidth="1"/>
    <col min="10665" max="10665" width="20" style="846" bestFit="1" customWidth="1"/>
    <col min="10666" max="10666" width="16.7109375" style="846" bestFit="1" customWidth="1"/>
    <col min="10667" max="10667" width="43.28515625" style="846" customWidth="1"/>
    <col min="10668" max="10912" width="0.85546875" style="846"/>
    <col min="10913" max="10913" width="7.28515625" style="846" customWidth="1"/>
    <col min="10914" max="10914" width="57.5703125" style="846" customWidth="1"/>
    <col min="10915" max="10915" width="13.140625" style="846" customWidth="1"/>
    <col min="10916" max="10916" width="13.5703125" style="846" customWidth="1"/>
    <col min="10917" max="10917" width="18.7109375" style="846" bestFit="1" customWidth="1"/>
    <col min="10918" max="10918" width="20.7109375" style="846" customWidth="1"/>
    <col min="10919" max="10919" width="16.140625" style="846" customWidth="1"/>
    <col min="10920" max="10920" width="19" style="846" customWidth="1"/>
    <col min="10921" max="10921" width="20" style="846" bestFit="1" customWidth="1"/>
    <col min="10922" max="10922" width="16.7109375" style="846" bestFit="1" customWidth="1"/>
    <col min="10923" max="10923" width="43.28515625" style="846" customWidth="1"/>
    <col min="10924" max="11168" width="0.85546875" style="846"/>
    <col min="11169" max="11169" width="7.28515625" style="846" customWidth="1"/>
    <col min="11170" max="11170" width="57.5703125" style="846" customWidth="1"/>
    <col min="11171" max="11171" width="13.140625" style="846" customWidth="1"/>
    <col min="11172" max="11172" width="13.5703125" style="846" customWidth="1"/>
    <col min="11173" max="11173" width="18.7109375" style="846" bestFit="1" customWidth="1"/>
    <col min="11174" max="11174" width="20.7109375" style="846" customWidth="1"/>
    <col min="11175" max="11175" width="16.140625" style="846" customWidth="1"/>
    <col min="11176" max="11176" width="19" style="846" customWidth="1"/>
    <col min="11177" max="11177" width="20" style="846" bestFit="1" customWidth="1"/>
    <col min="11178" max="11178" width="16.7109375" style="846" bestFit="1" customWidth="1"/>
    <col min="11179" max="11179" width="43.28515625" style="846" customWidth="1"/>
    <col min="11180" max="11424" width="0.85546875" style="846"/>
    <col min="11425" max="11425" width="7.28515625" style="846" customWidth="1"/>
    <col min="11426" max="11426" width="57.5703125" style="846" customWidth="1"/>
    <col min="11427" max="11427" width="13.140625" style="846" customWidth="1"/>
    <col min="11428" max="11428" width="13.5703125" style="846" customWidth="1"/>
    <col min="11429" max="11429" width="18.7109375" style="846" bestFit="1" customWidth="1"/>
    <col min="11430" max="11430" width="20.7109375" style="846" customWidth="1"/>
    <col min="11431" max="11431" width="16.140625" style="846" customWidth="1"/>
    <col min="11432" max="11432" width="19" style="846" customWidth="1"/>
    <col min="11433" max="11433" width="20" style="846" bestFit="1" customWidth="1"/>
    <col min="11434" max="11434" width="16.7109375" style="846" bestFit="1" customWidth="1"/>
    <col min="11435" max="11435" width="43.28515625" style="846" customWidth="1"/>
    <col min="11436" max="11680" width="0.85546875" style="846"/>
    <col min="11681" max="11681" width="7.28515625" style="846" customWidth="1"/>
    <col min="11682" max="11682" width="57.5703125" style="846" customWidth="1"/>
    <col min="11683" max="11683" width="13.140625" style="846" customWidth="1"/>
    <col min="11684" max="11684" width="13.5703125" style="846" customWidth="1"/>
    <col min="11685" max="11685" width="18.7109375" style="846" bestFit="1" customWidth="1"/>
    <col min="11686" max="11686" width="20.7109375" style="846" customWidth="1"/>
    <col min="11687" max="11687" width="16.140625" style="846" customWidth="1"/>
    <col min="11688" max="11688" width="19" style="846" customWidth="1"/>
    <col min="11689" max="11689" width="20" style="846" bestFit="1" customWidth="1"/>
    <col min="11690" max="11690" width="16.7109375" style="846" bestFit="1" customWidth="1"/>
    <col min="11691" max="11691" width="43.28515625" style="846" customWidth="1"/>
    <col min="11692" max="11936" width="0.85546875" style="846"/>
    <col min="11937" max="11937" width="7.28515625" style="846" customWidth="1"/>
    <col min="11938" max="11938" width="57.5703125" style="846" customWidth="1"/>
    <col min="11939" max="11939" width="13.140625" style="846" customWidth="1"/>
    <col min="11940" max="11940" width="13.5703125" style="846" customWidth="1"/>
    <col min="11941" max="11941" width="18.7109375" style="846" bestFit="1" customWidth="1"/>
    <col min="11942" max="11942" width="20.7109375" style="846" customWidth="1"/>
    <col min="11943" max="11943" width="16.140625" style="846" customWidth="1"/>
    <col min="11944" max="11944" width="19" style="846" customWidth="1"/>
    <col min="11945" max="11945" width="20" style="846" bestFit="1" customWidth="1"/>
    <col min="11946" max="11946" width="16.7109375" style="846" bestFit="1" customWidth="1"/>
    <col min="11947" max="11947" width="43.28515625" style="846" customWidth="1"/>
    <col min="11948" max="12192" width="0.85546875" style="846"/>
    <col min="12193" max="12193" width="7.28515625" style="846" customWidth="1"/>
    <col min="12194" max="12194" width="57.5703125" style="846" customWidth="1"/>
    <col min="12195" max="12195" width="13.140625" style="846" customWidth="1"/>
    <col min="12196" max="12196" width="13.5703125" style="846" customWidth="1"/>
    <col min="12197" max="12197" width="18.7109375" style="846" bestFit="1" customWidth="1"/>
    <col min="12198" max="12198" width="20.7109375" style="846" customWidth="1"/>
    <col min="12199" max="12199" width="16.140625" style="846" customWidth="1"/>
    <col min="12200" max="12200" width="19" style="846" customWidth="1"/>
    <col min="12201" max="12201" width="20" style="846" bestFit="1" customWidth="1"/>
    <col min="12202" max="12202" width="16.7109375" style="846" bestFit="1" customWidth="1"/>
    <col min="12203" max="12203" width="43.28515625" style="846" customWidth="1"/>
    <col min="12204" max="12448" width="0.85546875" style="846"/>
    <col min="12449" max="12449" width="7.28515625" style="846" customWidth="1"/>
    <col min="12450" max="12450" width="57.5703125" style="846" customWidth="1"/>
    <col min="12451" max="12451" width="13.140625" style="846" customWidth="1"/>
    <col min="12452" max="12452" width="13.5703125" style="846" customWidth="1"/>
    <col min="12453" max="12453" width="18.7109375" style="846" bestFit="1" customWidth="1"/>
    <col min="12454" max="12454" width="20.7109375" style="846" customWidth="1"/>
    <col min="12455" max="12455" width="16.140625" style="846" customWidth="1"/>
    <col min="12456" max="12456" width="19" style="846" customWidth="1"/>
    <col min="12457" max="12457" width="20" style="846" bestFit="1" customWidth="1"/>
    <col min="12458" max="12458" width="16.7109375" style="846" bestFit="1" customWidth="1"/>
    <col min="12459" max="12459" width="43.28515625" style="846" customWidth="1"/>
    <col min="12460" max="12704" width="0.85546875" style="846"/>
    <col min="12705" max="12705" width="7.28515625" style="846" customWidth="1"/>
    <col min="12706" max="12706" width="57.5703125" style="846" customWidth="1"/>
    <col min="12707" max="12707" width="13.140625" style="846" customWidth="1"/>
    <col min="12708" max="12708" width="13.5703125" style="846" customWidth="1"/>
    <col min="12709" max="12709" width="18.7109375" style="846" bestFit="1" customWidth="1"/>
    <col min="12710" max="12710" width="20.7109375" style="846" customWidth="1"/>
    <col min="12711" max="12711" width="16.140625" style="846" customWidth="1"/>
    <col min="12712" max="12712" width="19" style="846" customWidth="1"/>
    <col min="12713" max="12713" width="20" style="846" bestFit="1" customWidth="1"/>
    <col min="12714" max="12714" width="16.7109375" style="846" bestFit="1" customWidth="1"/>
    <col min="12715" max="12715" width="43.28515625" style="846" customWidth="1"/>
    <col min="12716" max="12960" width="0.85546875" style="846"/>
    <col min="12961" max="12961" width="7.28515625" style="846" customWidth="1"/>
    <col min="12962" max="12962" width="57.5703125" style="846" customWidth="1"/>
    <col min="12963" max="12963" width="13.140625" style="846" customWidth="1"/>
    <col min="12964" max="12964" width="13.5703125" style="846" customWidth="1"/>
    <col min="12965" max="12965" width="18.7109375" style="846" bestFit="1" customWidth="1"/>
    <col min="12966" max="12966" width="20.7109375" style="846" customWidth="1"/>
    <col min="12967" max="12967" width="16.140625" style="846" customWidth="1"/>
    <col min="12968" max="12968" width="19" style="846" customWidth="1"/>
    <col min="12969" max="12969" width="20" style="846" bestFit="1" customWidth="1"/>
    <col min="12970" max="12970" width="16.7109375" style="846" bestFit="1" customWidth="1"/>
    <col min="12971" max="12971" width="43.28515625" style="846" customWidth="1"/>
    <col min="12972" max="13216" width="0.85546875" style="846"/>
    <col min="13217" max="13217" width="7.28515625" style="846" customWidth="1"/>
    <col min="13218" max="13218" width="57.5703125" style="846" customWidth="1"/>
    <col min="13219" max="13219" width="13.140625" style="846" customWidth="1"/>
    <col min="13220" max="13220" width="13.5703125" style="846" customWidth="1"/>
    <col min="13221" max="13221" width="18.7109375" style="846" bestFit="1" customWidth="1"/>
    <col min="13222" max="13222" width="20.7109375" style="846" customWidth="1"/>
    <col min="13223" max="13223" width="16.140625" style="846" customWidth="1"/>
    <col min="13224" max="13224" width="19" style="846" customWidth="1"/>
    <col min="13225" max="13225" width="20" style="846" bestFit="1" customWidth="1"/>
    <col min="13226" max="13226" width="16.7109375" style="846" bestFit="1" customWidth="1"/>
    <col min="13227" max="13227" width="43.28515625" style="846" customWidth="1"/>
    <col min="13228" max="13472" width="0.85546875" style="846"/>
    <col min="13473" max="13473" width="7.28515625" style="846" customWidth="1"/>
    <col min="13474" max="13474" width="57.5703125" style="846" customWidth="1"/>
    <col min="13475" max="13475" width="13.140625" style="846" customWidth="1"/>
    <col min="13476" max="13476" width="13.5703125" style="846" customWidth="1"/>
    <col min="13477" max="13477" width="18.7109375" style="846" bestFit="1" customWidth="1"/>
    <col min="13478" max="13478" width="20.7109375" style="846" customWidth="1"/>
    <col min="13479" max="13479" width="16.140625" style="846" customWidth="1"/>
    <col min="13480" max="13480" width="19" style="846" customWidth="1"/>
    <col min="13481" max="13481" width="20" style="846" bestFit="1" customWidth="1"/>
    <col min="13482" max="13482" width="16.7109375" style="846" bestFit="1" customWidth="1"/>
    <col min="13483" max="13483" width="43.28515625" style="846" customWidth="1"/>
    <col min="13484" max="13728" width="0.85546875" style="846"/>
    <col min="13729" max="13729" width="7.28515625" style="846" customWidth="1"/>
    <col min="13730" max="13730" width="57.5703125" style="846" customWidth="1"/>
    <col min="13731" max="13731" width="13.140625" style="846" customWidth="1"/>
    <col min="13732" max="13732" width="13.5703125" style="846" customWidth="1"/>
    <col min="13733" max="13733" width="18.7109375" style="846" bestFit="1" customWidth="1"/>
    <col min="13734" max="13734" width="20.7109375" style="846" customWidth="1"/>
    <col min="13735" max="13735" width="16.140625" style="846" customWidth="1"/>
    <col min="13736" max="13736" width="19" style="846" customWidth="1"/>
    <col min="13737" max="13737" width="20" style="846" bestFit="1" customWidth="1"/>
    <col min="13738" max="13738" width="16.7109375" style="846" bestFit="1" customWidth="1"/>
    <col min="13739" max="13739" width="43.28515625" style="846" customWidth="1"/>
    <col min="13740" max="13984" width="0.85546875" style="846"/>
    <col min="13985" max="13985" width="7.28515625" style="846" customWidth="1"/>
    <col min="13986" max="13986" width="57.5703125" style="846" customWidth="1"/>
    <col min="13987" max="13987" width="13.140625" style="846" customWidth="1"/>
    <col min="13988" max="13988" width="13.5703125" style="846" customWidth="1"/>
    <col min="13989" max="13989" width="18.7109375" style="846" bestFit="1" customWidth="1"/>
    <col min="13990" max="13990" width="20.7109375" style="846" customWidth="1"/>
    <col min="13991" max="13991" width="16.140625" style="846" customWidth="1"/>
    <col min="13992" max="13992" width="19" style="846" customWidth="1"/>
    <col min="13993" max="13993" width="20" style="846" bestFit="1" customWidth="1"/>
    <col min="13994" max="13994" width="16.7109375" style="846" bestFit="1" customWidth="1"/>
    <col min="13995" max="13995" width="43.28515625" style="846" customWidth="1"/>
    <col min="13996" max="14240" width="0.85546875" style="846"/>
    <col min="14241" max="14241" width="7.28515625" style="846" customWidth="1"/>
    <col min="14242" max="14242" width="57.5703125" style="846" customWidth="1"/>
    <col min="14243" max="14243" width="13.140625" style="846" customWidth="1"/>
    <col min="14244" max="14244" width="13.5703125" style="846" customWidth="1"/>
    <col min="14245" max="14245" width="18.7109375" style="846" bestFit="1" customWidth="1"/>
    <col min="14246" max="14246" width="20.7109375" style="846" customWidth="1"/>
    <col min="14247" max="14247" width="16.140625" style="846" customWidth="1"/>
    <col min="14248" max="14248" width="19" style="846" customWidth="1"/>
    <col min="14249" max="14249" width="20" style="846" bestFit="1" customWidth="1"/>
    <col min="14250" max="14250" width="16.7109375" style="846" bestFit="1" customWidth="1"/>
    <col min="14251" max="14251" width="43.28515625" style="846" customWidth="1"/>
    <col min="14252" max="14496" width="0.85546875" style="846"/>
    <col min="14497" max="14497" width="7.28515625" style="846" customWidth="1"/>
    <col min="14498" max="14498" width="57.5703125" style="846" customWidth="1"/>
    <col min="14499" max="14499" width="13.140625" style="846" customWidth="1"/>
    <col min="14500" max="14500" width="13.5703125" style="846" customWidth="1"/>
    <col min="14501" max="14501" width="18.7109375" style="846" bestFit="1" customWidth="1"/>
    <col min="14502" max="14502" width="20.7109375" style="846" customWidth="1"/>
    <col min="14503" max="14503" width="16.140625" style="846" customWidth="1"/>
    <col min="14504" max="14504" width="19" style="846" customWidth="1"/>
    <col min="14505" max="14505" width="20" style="846" bestFit="1" customWidth="1"/>
    <col min="14506" max="14506" width="16.7109375" style="846" bestFit="1" customWidth="1"/>
    <col min="14507" max="14507" width="43.28515625" style="846" customWidth="1"/>
    <col min="14508" max="14752" width="0.85546875" style="846"/>
    <col min="14753" max="14753" width="7.28515625" style="846" customWidth="1"/>
    <col min="14754" max="14754" width="57.5703125" style="846" customWidth="1"/>
    <col min="14755" max="14755" width="13.140625" style="846" customWidth="1"/>
    <col min="14756" max="14756" width="13.5703125" style="846" customWidth="1"/>
    <col min="14757" max="14757" width="18.7109375" style="846" bestFit="1" customWidth="1"/>
    <col min="14758" max="14758" width="20.7109375" style="846" customWidth="1"/>
    <col min="14759" max="14759" width="16.140625" style="846" customWidth="1"/>
    <col min="14760" max="14760" width="19" style="846" customWidth="1"/>
    <col min="14761" max="14761" width="20" style="846" bestFit="1" customWidth="1"/>
    <col min="14762" max="14762" width="16.7109375" style="846" bestFit="1" customWidth="1"/>
    <col min="14763" max="14763" width="43.28515625" style="846" customWidth="1"/>
    <col min="14764" max="15008" width="0.85546875" style="846"/>
    <col min="15009" max="15009" width="7.28515625" style="846" customWidth="1"/>
    <col min="15010" max="15010" width="57.5703125" style="846" customWidth="1"/>
    <col min="15011" max="15011" width="13.140625" style="846" customWidth="1"/>
    <col min="15012" max="15012" width="13.5703125" style="846" customWidth="1"/>
    <col min="15013" max="15013" width="18.7109375" style="846" bestFit="1" customWidth="1"/>
    <col min="15014" max="15014" width="20.7109375" style="846" customWidth="1"/>
    <col min="15015" max="15015" width="16.140625" style="846" customWidth="1"/>
    <col min="15016" max="15016" width="19" style="846" customWidth="1"/>
    <col min="15017" max="15017" width="20" style="846" bestFit="1" customWidth="1"/>
    <col min="15018" max="15018" width="16.7109375" style="846" bestFit="1" customWidth="1"/>
    <col min="15019" max="15019" width="43.28515625" style="846" customWidth="1"/>
    <col min="15020" max="15264" width="0.85546875" style="846"/>
    <col min="15265" max="15265" width="7.28515625" style="846" customWidth="1"/>
    <col min="15266" max="15266" width="57.5703125" style="846" customWidth="1"/>
    <col min="15267" max="15267" width="13.140625" style="846" customWidth="1"/>
    <col min="15268" max="15268" width="13.5703125" style="846" customWidth="1"/>
    <col min="15269" max="15269" width="18.7109375" style="846" bestFit="1" customWidth="1"/>
    <col min="15270" max="15270" width="20.7109375" style="846" customWidth="1"/>
    <col min="15271" max="15271" width="16.140625" style="846" customWidth="1"/>
    <col min="15272" max="15272" width="19" style="846" customWidth="1"/>
    <col min="15273" max="15273" width="20" style="846" bestFit="1" customWidth="1"/>
    <col min="15274" max="15274" width="16.7109375" style="846" bestFit="1" customWidth="1"/>
    <col min="15275" max="15275" width="43.28515625" style="846" customWidth="1"/>
    <col min="15276" max="15520" width="0.85546875" style="846"/>
    <col min="15521" max="15521" width="7.28515625" style="846" customWidth="1"/>
    <col min="15522" max="15522" width="57.5703125" style="846" customWidth="1"/>
    <col min="15523" max="15523" width="13.140625" style="846" customWidth="1"/>
    <col min="15524" max="15524" width="13.5703125" style="846" customWidth="1"/>
    <col min="15525" max="15525" width="18.7109375" style="846" bestFit="1" customWidth="1"/>
    <col min="15526" max="15526" width="20.7109375" style="846" customWidth="1"/>
    <col min="15527" max="15527" width="16.140625" style="846" customWidth="1"/>
    <col min="15528" max="15528" width="19" style="846" customWidth="1"/>
    <col min="15529" max="15529" width="20" style="846" bestFit="1" customWidth="1"/>
    <col min="15530" max="15530" width="16.7109375" style="846" bestFit="1" customWidth="1"/>
    <col min="15531" max="15531" width="43.28515625" style="846" customWidth="1"/>
    <col min="15532" max="15776" width="0.85546875" style="846"/>
    <col min="15777" max="15777" width="7.28515625" style="846" customWidth="1"/>
    <col min="15778" max="15778" width="57.5703125" style="846" customWidth="1"/>
    <col min="15779" max="15779" width="13.140625" style="846" customWidth="1"/>
    <col min="15780" max="15780" width="13.5703125" style="846" customWidth="1"/>
    <col min="15781" max="15781" width="18.7109375" style="846" bestFit="1" customWidth="1"/>
    <col min="15782" max="15782" width="20.7109375" style="846" customWidth="1"/>
    <col min="15783" max="15783" width="16.140625" style="846" customWidth="1"/>
    <col min="15784" max="15784" width="19" style="846" customWidth="1"/>
    <col min="15785" max="15785" width="20" style="846" bestFit="1" customWidth="1"/>
    <col min="15786" max="15786" width="16.7109375" style="846" bestFit="1" customWidth="1"/>
    <col min="15787" max="15787" width="43.28515625" style="846" customWidth="1"/>
    <col min="15788" max="16032" width="0.85546875" style="846"/>
    <col min="16033" max="16033" width="7.28515625" style="846" customWidth="1"/>
    <col min="16034" max="16034" width="57.5703125" style="846" customWidth="1"/>
    <col min="16035" max="16035" width="13.140625" style="846" customWidth="1"/>
    <col min="16036" max="16036" width="13.5703125" style="846" customWidth="1"/>
    <col min="16037" max="16037" width="18.7109375" style="846" bestFit="1" customWidth="1"/>
    <col min="16038" max="16038" width="20.7109375" style="846" customWidth="1"/>
    <col min="16039" max="16039" width="16.140625" style="846" customWidth="1"/>
    <col min="16040" max="16040" width="19" style="846" customWidth="1"/>
    <col min="16041" max="16041" width="20" style="846" bestFit="1" customWidth="1"/>
    <col min="16042" max="16042" width="16.7109375" style="846" bestFit="1" customWidth="1"/>
    <col min="16043" max="16043" width="43.28515625" style="846" customWidth="1"/>
    <col min="16044" max="16384" width="0.85546875" style="846"/>
  </cols>
  <sheetData>
    <row r="1" spans="2:52" s="817" customFormat="1" ht="21" thickBot="1">
      <c r="B1" s="816"/>
      <c r="E1" s="818"/>
      <c r="F1" s="818"/>
      <c r="G1" s="819"/>
      <c r="H1" s="820"/>
      <c r="I1" s="820"/>
      <c r="J1" s="820"/>
      <c r="K1" s="821"/>
      <c r="L1" s="821"/>
      <c r="M1" s="821"/>
      <c r="N1" s="821"/>
      <c r="O1" s="821"/>
      <c r="P1" s="821"/>
      <c r="Q1" s="821"/>
      <c r="R1" s="821"/>
      <c r="S1" s="821"/>
      <c r="T1" s="822"/>
      <c r="U1" s="821"/>
      <c r="V1" s="821"/>
      <c r="W1" s="821"/>
      <c r="X1" s="821"/>
      <c r="Y1" s="823"/>
      <c r="Z1" s="823"/>
      <c r="AA1" s="823"/>
      <c r="AB1" s="823"/>
      <c r="AC1" s="824"/>
      <c r="AD1" s="824"/>
      <c r="AE1" s="824"/>
      <c r="AF1" s="821"/>
      <c r="AG1" s="824"/>
      <c r="AH1" s="821"/>
      <c r="AI1" s="821"/>
      <c r="AJ1" s="821"/>
      <c r="AK1" s="821"/>
      <c r="AL1" s="821"/>
      <c r="AM1" s="821"/>
      <c r="AN1" s="821"/>
      <c r="AO1" s="824"/>
      <c r="AP1" s="824"/>
      <c r="AQ1" s="821"/>
      <c r="AR1" s="824"/>
      <c r="AS1" s="821"/>
      <c r="AT1" s="821"/>
      <c r="AU1" s="821"/>
      <c r="AV1" s="821"/>
      <c r="AW1" s="823"/>
      <c r="AX1" s="821"/>
      <c r="AY1" s="821"/>
      <c r="AZ1" s="821"/>
    </row>
    <row r="2" spans="2:52" s="817" customFormat="1" ht="21.75" thickTop="1" thickBot="1">
      <c r="B2" s="825" t="s">
        <v>1113</v>
      </c>
      <c r="C2" s="826"/>
      <c r="D2" s="3566"/>
      <c r="E2" s="3567"/>
      <c r="F2" s="3568"/>
      <c r="G2" s="3569"/>
      <c r="H2" s="827"/>
      <c r="I2" s="827"/>
      <c r="J2" s="827"/>
      <c r="K2" s="828"/>
      <c r="L2" s="821"/>
      <c r="M2" s="821"/>
      <c r="N2" s="821"/>
      <c r="O2" s="821"/>
      <c r="P2" s="821"/>
      <c r="Q2" s="821"/>
      <c r="R2" s="821"/>
      <c r="S2" s="821"/>
      <c r="T2" s="822"/>
      <c r="U2" s="821"/>
      <c r="V2" s="821"/>
      <c r="W2" s="821"/>
      <c r="X2" s="821"/>
      <c r="Y2" s="821"/>
      <c r="Z2" s="821"/>
      <c r="AA2" s="821"/>
      <c r="AB2" s="821"/>
      <c r="AC2" s="829"/>
      <c r="AD2" s="822"/>
      <c r="AE2" s="821"/>
      <c r="AF2" s="821"/>
      <c r="AG2" s="821"/>
      <c r="AH2" s="821"/>
      <c r="AI2" s="821"/>
      <c r="AJ2" s="821"/>
      <c r="AK2" s="821"/>
      <c r="AL2" s="821"/>
      <c r="AM2" s="821"/>
      <c r="AN2" s="821"/>
      <c r="AO2" s="823"/>
      <c r="AP2" s="821"/>
      <c r="AQ2" s="821"/>
      <c r="AR2" s="821"/>
      <c r="AS2" s="821"/>
      <c r="AT2" s="821"/>
      <c r="AU2" s="821"/>
      <c r="AV2" s="821"/>
      <c r="AW2" s="821"/>
      <c r="AX2" s="821"/>
      <c r="AY2" s="821"/>
      <c r="AZ2" s="821"/>
    </row>
    <row r="3" spans="2:52" s="817" customFormat="1" ht="21.75" thickTop="1" thickBot="1">
      <c r="B3" s="825" t="s">
        <v>1114</v>
      </c>
      <c r="C3" s="826"/>
      <c r="D3" s="3570"/>
      <c r="E3" s="3571"/>
      <c r="F3" s="3569"/>
      <c r="G3" s="3569"/>
      <c r="H3" s="827"/>
      <c r="I3" s="827"/>
      <c r="J3" s="827"/>
      <c r="K3" s="828"/>
      <c r="L3" s="821"/>
      <c r="M3" s="821"/>
      <c r="N3" s="821"/>
      <c r="O3" s="821"/>
      <c r="P3" s="821"/>
      <c r="Q3" s="821"/>
      <c r="R3" s="821"/>
      <c r="S3" s="821"/>
      <c r="T3" s="822"/>
      <c r="U3" s="821"/>
      <c r="V3" s="821"/>
      <c r="W3" s="821"/>
      <c r="X3" s="821"/>
      <c r="Y3" s="821"/>
      <c r="Z3" s="821"/>
      <c r="AA3" s="821"/>
      <c r="AB3" s="821"/>
      <c r="AC3" s="829"/>
      <c r="AD3" s="822"/>
      <c r="AE3" s="821"/>
      <c r="AF3" s="821"/>
      <c r="AG3" s="821"/>
      <c r="AH3" s="821"/>
      <c r="AI3" s="821"/>
      <c r="AJ3" s="821"/>
      <c r="AK3" s="821"/>
      <c r="AL3" s="821"/>
      <c r="AM3" s="821"/>
      <c r="AN3" s="821"/>
      <c r="AO3" s="823"/>
      <c r="AP3" s="821"/>
      <c r="AQ3" s="821"/>
      <c r="AR3" s="821"/>
      <c r="AS3" s="821"/>
      <c r="AT3" s="821"/>
      <c r="AU3" s="821"/>
      <c r="AV3" s="821"/>
      <c r="AW3" s="821"/>
      <c r="AX3" s="821"/>
      <c r="AY3" s="821"/>
      <c r="AZ3" s="821"/>
    </row>
    <row r="4" spans="2:52" s="817" customFormat="1" ht="21.75" thickTop="1" thickBot="1">
      <c r="B4" s="825" t="s">
        <v>1115</v>
      </c>
      <c r="C4" s="826"/>
      <c r="D4" s="3570"/>
      <c r="E4" s="3571"/>
      <c r="F4" s="3569"/>
      <c r="G4" s="3569"/>
      <c r="H4" s="827"/>
      <c r="I4" s="827"/>
      <c r="J4" s="827"/>
      <c r="K4" s="828"/>
      <c r="L4" s="821"/>
      <c r="M4" s="821"/>
      <c r="N4" s="821"/>
      <c r="O4" s="821"/>
      <c r="P4" s="821"/>
      <c r="Q4" s="821"/>
      <c r="R4" s="821"/>
      <c r="S4" s="821"/>
      <c r="T4" s="822"/>
      <c r="U4" s="821"/>
      <c r="V4" s="821"/>
      <c r="W4" s="821"/>
      <c r="X4" s="821"/>
      <c r="Y4" s="821"/>
      <c r="Z4" s="821"/>
      <c r="AA4" s="821"/>
      <c r="AB4" s="821"/>
      <c r="AC4" s="829"/>
      <c r="AD4" s="822"/>
      <c r="AE4" s="821"/>
      <c r="AF4" s="821"/>
      <c r="AG4" s="821"/>
      <c r="AH4" s="821"/>
      <c r="AI4" s="821"/>
      <c r="AJ4" s="821"/>
      <c r="AK4" s="821"/>
      <c r="AL4" s="821"/>
      <c r="AM4" s="821"/>
      <c r="AN4" s="821"/>
      <c r="AO4" s="823"/>
      <c r="AP4" s="821"/>
      <c r="AQ4" s="821"/>
      <c r="AR4" s="821"/>
      <c r="AS4" s="821"/>
      <c r="AT4" s="821"/>
      <c r="AU4" s="821"/>
      <c r="AV4" s="821"/>
      <c r="AW4" s="821"/>
      <c r="AX4" s="821"/>
      <c r="AY4" s="821"/>
      <c r="AZ4" s="821"/>
    </row>
    <row r="5" spans="2:52" s="817" customFormat="1" ht="21.75" thickTop="1" thickBot="1">
      <c r="B5" s="825" t="s">
        <v>1116</v>
      </c>
      <c r="C5" s="826"/>
      <c r="D5" s="3570"/>
      <c r="E5" s="3571"/>
      <c r="F5" s="3569" t="s">
        <v>1083</v>
      </c>
      <c r="G5" s="3569"/>
      <c r="H5" s="827"/>
      <c r="I5" s="827"/>
      <c r="J5" s="827"/>
      <c r="K5" s="828"/>
      <c r="L5" s="821"/>
      <c r="M5" s="821"/>
      <c r="N5" s="821"/>
      <c r="O5" s="821"/>
      <c r="P5" s="821"/>
      <c r="Q5" s="821"/>
      <c r="R5" s="821"/>
      <c r="S5" s="821"/>
      <c r="T5" s="822"/>
      <c r="U5" s="821"/>
      <c r="V5" s="821"/>
      <c r="W5" s="821"/>
      <c r="X5" s="821"/>
      <c r="Y5" s="821"/>
      <c r="Z5" s="821"/>
      <c r="AA5" s="821"/>
      <c r="AB5" s="821"/>
      <c r="AC5" s="829"/>
      <c r="AD5" s="822"/>
      <c r="AE5" s="821"/>
      <c r="AF5" s="821"/>
      <c r="AG5" s="821"/>
      <c r="AH5" s="821"/>
      <c r="AI5" s="821"/>
      <c r="AJ5" s="821"/>
      <c r="AK5" s="821"/>
      <c r="AL5" s="821"/>
      <c r="AM5" s="821"/>
      <c r="AN5" s="821"/>
      <c r="AO5" s="823"/>
      <c r="AP5" s="821"/>
      <c r="AQ5" s="821"/>
      <c r="AR5" s="821"/>
      <c r="AS5" s="821"/>
      <c r="AT5" s="821"/>
      <c r="AU5" s="821"/>
      <c r="AV5" s="821"/>
      <c r="AW5" s="821"/>
      <c r="AX5" s="821"/>
      <c r="AY5" s="821"/>
      <c r="AZ5" s="821"/>
    </row>
    <row r="6" spans="2:52" s="817" customFormat="1" ht="27" customHeight="1" thickTop="1">
      <c r="B6" s="3572" t="s">
        <v>1117</v>
      </c>
      <c r="C6" s="3572"/>
      <c r="D6" s="3572"/>
      <c r="E6" s="3572"/>
      <c r="F6" s="3572"/>
      <c r="G6" s="3572"/>
      <c r="H6" s="3572"/>
      <c r="I6" s="3572"/>
      <c r="J6" s="3572"/>
      <c r="K6" s="3572"/>
      <c r="L6" s="3572"/>
      <c r="M6" s="3572"/>
      <c r="N6" s="3572"/>
      <c r="O6" s="3572"/>
      <c r="P6" s="3572"/>
      <c r="Q6" s="3572"/>
      <c r="R6" s="3572"/>
      <c r="S6" s="3572"/>
      <c r="T6" s="3572"/>
      <c r="U6" s="3572"/>
      <c r="V6" s="3572"/>
      <c r="W6" s="3572"/>
      <c r="X6" s="3572"/>
      <c r="Y6" s="3572"/>
      <c r="Z6" s="3572"/>
      <c r="AA6" s="3572"/>
      <c r="AB6" s="3572"/>
      <c r="AC6" s="3572"/>
      <c r="AD6" s="3572"/>
      <c r="AE6" s="3572"/>
      <c r="AF6" s="3572"/>
      <c r="AG6" s="3572"/>
      <c r="AH6" s="3572"/>
      <c r="AI6" s="3572"/>
      <c r="AJ6" s="3572"/>
      <c r="AK6" s="3572"/>
      <c r="AL6" s="3572"/>
      <c r="AM6" s="3572"/>
      <c r="AN6" s="3572"/>
      <c r="AO6" s="3572"/>
      <c r="AP6" s="3572"/>
      <c r="AQ6" s="3572"/>
      <c r="AR6" s="3572"/>
      <c r="AS6" s="3572"/>
      <c r="AT6" s="3572"/>
      <c r="AU6" s="3572"/>
      <c r="AV6" s="3572"/>
      <c r="AW6" s="3572"/>
    </row>
    <row r="7" spans="2:52" s="817" customFormat="1" ht="20.25" customHeight="1">
      <c r="B7" s="3572" t="s">
        <v>1118</v>
      </c>
      <c r="C7" s="3572"/>
      <c r="D7" s="3572"/>
      <c r="E7" s="3572"/>
      <c r="F7" s="3572"/>
      <c r="G7" s="3572"/>
      <c r="H7" s="3572"/>
      <c r="I7" s="3572"/>
      <c r="J7" s="3572"/>
      <c r="K7" s="3572"/>
      <c r="L7" s="3572"/>
      <c r="M7" s="3572"/>
      <c r="N7" s="3572"/>
      <c r="O7" s="3572"/>
      <c r="P7" s="3572"/>
      <c r="Q7" s="3572"/>
      <c r="R7" s="3572"/>
      <c r="S7" s="3572"/>
      <c r="T7" s="3572"/>
      <c r="U7" s="3572"/>
      <c r="V7" s="3572"/>
      <c r="W7" s="3572"/>
      <c r="X7" s="3572"/>
      <c r="Y7" s="3572"/>
      <c r="Z7" s="3572"/>
      <c r="AA7" s="3572"/>
      <c r="AB7" s="3572"/>
      <c r="AC7" s="3572"/>
      <c r="AD7" s="3572"/>
      <c r="AE7" s="3572"/>
      <c r="AF7" s="3572"/>
      <c r="AG7" s="3572"/>
      <c r="AH7" s="3572"/>
      <c r="AI7" s="3572"/>
      <c r="AJ7" s="3572"/>
      <c r="AK7" s="3572"/>
      <c r="AL7" s="3572"/>
      <c r="AM7" s="3572"/>
      <c r="AN7" s="830"/>
      <c r="AO7" s="831"/>
      <c r="AP7" s="831"/>
      <c r="AQ7" s="831"/>
      <c r="AR7" s="831"/>
      <c r="AS7" s="831"/>
      <c r="AT7" s="831"/>
      <c r="AU7" s="831"/>
      <c r="AV7" s="831"/>
      <c r="AW7" s="831"/>
    </row>
    <row r="8" spans="2:52" s="817" customFormat="1" ht="41.25" customHeight="1">
      <c r="B8" s="3572" t="s">
        <v>1119</v>
      </c>
      <c r="C8" s="3572"/>
      <c r="D8" s="3572"/>
      <c r="E8" s="3572"/>
      <c r="F8" s="3572"/>
      <c r="G8" s="3572"/>
      <c r="H8" s="832"/>
      <c r="I8" s="832"/>
      <c r="J8" s="832"/>
      <c r="K8" s="832"/>
      <c r="L8" s="832"/>
      <c r="M8" s="3573"/>
      <c r="N8" s="3573"/>
      <c r="O8" s="3573"/>
      <c r="P8" s="3573"/>
      <c r="Q8" s="3573"/>
      <c r="R8" s="3573"/>
      <c r="S8" s="3573"/>
      <c r="T8" s="3573"/>
      <c r="U8" s="3573"/>
      <c r="V8" s="3573"/>
      <c r="W8" s="3573"/>
      <c r="X8" s="3573"/>
      <c r="Y8" s="3573"/>
      <c r="Z8" s="3573"/>
      <c r="AA8" s="3573"/>
      <c r="AB8" s="3573"/>
      <c r="AC8" s="3573"/>
      <c r="AD8" s="3573"/>
      <c r="AE8" s="3573"/>
      <c r="AF8" s="3573"/>
      <c r="AG8" s="3573"/>
      <c r="AH8" s="3573"/>
      <c r="AI8" s="3573"/>
      <c r="AJ8" s="3573"/>
      <c r="AK8" s="3573"/>
      <c r="AL8" s="3573"/>
      <c r="AM8" s="832"/>
      <c r="AN8" s="832"/>
      <c r="AO8" s="830"/>
      <c r="AP8" s="830"/>
      <c r="AQ8" s="830"/>
      <c r="AR8" s="830"/>
      <c r="AS8" s="830"/>
      <c r="AT8" s="830"/>
      <c r="AU8" s="830"/>
      <c r="AV8" s="830"/>
      <c r="AW8" s="830"/>
      <c r="AX8" s="832"/>
      <c r="AY8" s="833"/>
      <c r="AZ8" s="832"/>
    </row>
    <row r="9" spans="2:52" s="817" customFormat="1" ht="35.25" customHeight="1">
      <c r="B9" s="3572" t="s">
        <v>1120</v>
      </c>
      <c r="C9" s="3572"/>
      <c r="D9" s="3572"/>
      <c r="E9" s="3572"/>
      <c r="F9" s="3572"/>
      <c r="G9" s="3572"/>
      <c r="H9" s="831"/>
      <c r="I9" s="831"/>
      <c r="J9" s="831"/>
      <c r="K9" s="831"/>
      <c r="L9" s="831"/>
      <c r="M9" s="3573"/>
      <c r="N9" s="3573"/>
      <c r="O9" s="3573"/>
      <c r="P9" s="3573"/>
      <c r="Q9" s="3573"/>
      <c r="R9" s="3573"/>
      <c r="S9" s="3573"/>
      <c r="T9" s="3573"/>
      <c r="U9" s="3573"/>
      <c r="V9" s="3573"/>
      <c r="W9" s="3573"/>
      <c r="X9" s="3573"/>
      <c r="Y9" s="3573"/>
      <c r="Z9" s="3573"/>
      <c r="AA9" s="3573"/>
      <c r="AB9" s="3573"/>
      <c r="AC9" s="3573"/>
      <c r="AD9" s="3573"/>
      <c r="AE9" s="3573"/>
      <c r="AF9" s="3573"/>
      <c r="AG9" s="3573"/>
      <c r="AH9" s="3573"/>
      <c r="AI9" s="3573"/>
      <c r="AJ9" s="3573"/>
      <c r="AK9" s="3573"/>
      <c r="AL9" s="3573"/>
      <c r="AM9" s="832"/>
      <c r="AN9" s="832"/>
      <c r="AO9" s="831"/>
      <c r="AP9" s="831"/>
      <c r="AQ9" s="831"/>
      <c r="AR9" s="831"/>
      <c r="AS9" s="831"/>
      <c r="AT9" s="831"/>
      <c r="AU9" s="831"/>
      <c r="AV9" s="831"/>
      <c r="AW9" s="831"/>
      <c r="AX9" s="832"/>
      <c r="AY9" s="833"/>
      <c r="AZ9" s="832"/>
    </row>
    <row r="10" spans="2:52" s="817" customFormat="1" ht="46.5" customHeight="1">
      <c r="B10" s="3572" t="s">
        <v>1121</v>
      </c>
      <c r="C10" s="3572"/>
      <c r="D10" s="3572"/>
      <c r="E10" s="3572"/>
      <c r="F10" s="3572"/>
      <c r="G10" s="3572"/>
      <c r="H10" s="831"/>
      <c r="I10" s="831"/>
      <c r="J10" s="831"/>
      <c r="K10" s="831"/>
      <c r="L10" s="831"/>
      <c r="M10" s="3573"/>
      <c r="N10" s="3573"/>
      <c r="O10" s="3573"/>
      <c r="P10" s="3573"/>
      <c r="Q10" s="3573"/>
      <c r="R10" s="3573"/>
      <c r="S10" s="3573"/>
      <c r="T10" s="3573"/>
      <c r="U10" s="3573"/>
      <c r="V10" s="3573"/>
      <c r="W10" s="3573"/>
      <c r="X10" s="3573"/>
      <c r="Y10" s="3573"/>
      <c r="Z10" s="3573"/>
      <c r="AA10" s="3573"/>
      <c r="AB10" s="3573"/>
      <c r="AC10" s="3573"/>
      <c r="AD10" s="3573"/>
      <c r="AE10" s="3573"/>
      <c r="AF10" s="3573"/>
      <c r="AG10" s="3573"/>
      <c r="AH10" s="3573"/>
      <c r="AI10" s="3573"/>
      <c r="AJ10" s="3573"/>
      <c r="AK10" s="3573"/>
      <c r="AL10" s="3573"/>
      <c r="AM10" s="832"/>
      <c r="AN10" s="832"/>
      <c r="AO10" s="830"/>
      <c r="AP10" s="830"/>
      <c r="AQ10" s="830"/>
      <c r="AR10" s="830"/>
      <c r="AS10" s="830"/>
      <c r="AT10" s="830"/>
      <c r="AU10" s="830"/>
      <c r="AV10" s="830"/>
      <c r="AW10" s="830"/>
      <c r="AX10" s="834"/>
      <c r="AY10" s="833"/>
      <c r="AZ10" s="832"/>
    </row>
    <row r="11" spans="2:52" s="817" customFormat="1" ht="28.5" customHeight="1">
      <c r="B11" s="816"/>
      <c r="E11" s="835"/>
      <c r="F11" s="836"/>
      <c r="G11" s="818"/>
      <c r="K11" s="823"/>
      <c r="L11" s="823"/>
      <c r="M11" s="823"/>
      <c r="N11" s="823"/>
      <c r="O11" s="823"/>
      <c r="P11" s="823"/>
      <c r="Q11" s="823"/>
      <c r="R11" s="823"/>
      <c r="S11" s="823"/>
      <c r="T11" s="829"/>
      <c r="U11" s="823"/>
      <c r="V11" s="823"/>
      <c r="W11" s="823"/>
      <c r="X11" s="823"/>
      <c r="Y11" s="823"/>
      <c r="Z11" s="823"/>
      <c r="AA11" s="823"/>
      <c r="AB11" s="823"/>
      <c r="AC11" s="837"/>
      <c r="AD11" s="838"/>
      <c r="AE11" s="839"/>
      <c r="AF11" s="839"/>
      <c r="AG11" s="839"/>
      <c r="AH11" s="839"/>
      <c r="AI11" s="839"/>
      <c r="AJ11" s="839"/>
      <c r="AK11" s="839"/>
      <c r="AL11" s="839"/>
      <c r="AM11" s="839"/>
      <c r="AN11" s="839"/>
      <c r="AO11" s="840"/>
      <c r="AP11" s="840"/>
      <c r="AQ11" s="840"/>
      <c r="AR11" s="839"/>
      <c r="AS11" s="839"/>
      <c r="AT11" s="839"/>
      <c r="AU11" s="839"/>
      <c r="AV11" s="839"/>
      <c r="AW11" s="823"/>
      <c r="AX11" s="839"/>
      <c r="AY11" s="839"/>
      <c r="AZ11" s="839"/>
    </row>
    <row r="12" spans="2:52" ht="76.5" customHeight="1" thickBot="1">
      <c r="B12" s="841" t="s">
        <v>11</v>
      </c>
      <c r="C12" s="842" t="s">
        <v>583</v>
      </c>
      <c r="D12" s="841" t="s">
        <v>1122</v>
      </c>
      <c r="E12" s="841" t="s">
        <v>1123</v>
      </c>
      <c r="F12" s="843" t="s">
        <v>18</v>
      </c>
      <c r="G12" s="841" t="s">
        <v>1124</v>
      </c>
      <c r="H12" s="844">
        <v>2014</v>
      </c>
      <c r="I12" s="844">
        <v>2015</v>
      </c>
      <c r="J12" s="844">
        <v>2016</v>
      </c>
      <c r="K12" s="844">
        <v>2017</v>
      </c>
      <c r="L12" s="844">
        <v>2018</v>
      </c>
      <c r="M12" s="844">
        <v>2019</v>
      </c>
      <c r="N12" s="844">
        <v>2020</v>
      </c>
      <c r="O12" s="844">
        <v>2021</v>
      </c>
      <c r="P12" s="844">
        <v>2022</v>
      </c>
      <c r="Q12" s="844">
        <v>2022</v>
      </c>
      <c r="R12" s="844">
        <v>2023</v>
      </c>
      <c r="S12" s="844">
        <v>2024</v>
      </c>
      <c r="T12" s="841" t="s">
        <v>1125</v>
      </c>
      <c r="U12" s="844">
        <v>2014</v>
      </c>
      <c r="V12" s="844">
        <v>2015</v>
      </c>
      <c r="W12" s="844">
        <v>2016</v>
      </c>
      <c r="X12" s="844">
        <v>2017</v>
      </c>
      <c r="Y12" s="844">
        <v>2018</v>
      </c>
      <c r="Z12" s="844">
        <v>2022</v>
      </c>
      <c r="AA12" s="844">
        <v>2023</v>
      </c>
      <c r="AB12" s="844">
        <v>2024</v>
      </c>
      <c r="AC12" s="843" t="s">
        <v>17</v>
      </c>
      <c r="AD12" s="841" t="s">
        <v>1124</v>
      </c>
      <c r="AE12" s="844">
        <v>2014</v>
      </c>
      <c r="AF12" s="844">
        <v>2015</v>
      </c>
      <c r="AG12" s="844">
        <v>2016</v>
      </c>
      <c r="AH12" s="844">
        <v>2017</v>
      </c>
      <c r="AI12" s="844">
        <v>2018</v>
      </c>
      <c r="AJ12" s="844">
        <v>2019</v>
      </c>
      <c r="AK12" s="844">
        <v>2020</v>
      </c>
      <c r="AL12" s="844">
        <v>2021</v>
      </c>
      <c r="AM12" s="844">
        <v>2022</v>
      </c>
      <c r="AN12" s="844">
        <v>2023</v>
      </c>
      <c r="AO12" s="841" t="s">
        <v>1124</v>
      </c>
      <c r="AP12" s="844">
        <v>2014</v>
      </c>
      <c r="AQ12" s="844">
        <v>2015</v>
      </c>
      <c r="AR12" s="844">
        <v>2016</v>
      </c>
      <c r="AS12" s="844">
        <v>2017</v>
      </c>
      <c r="AT12" s="845">
        <v>2018</v>
      </c>
      <c r="AU12" s="845">
        <v>2019</v>
      </c>
      <c r="AV12" s="844">
        <v>2020</v>
      </c>
      <c r="AW12" s="844">
        <v>2022</v>
      </c>
      <c r="AX12" s="844">
        <v>2022</v>
      </c>
      <c r="AY12" s="844">
        <v>2023</v>
      </c>
      <c r="AZ12" s="844">
        <v>2024</v>
      </c>
    </row>
    <row r="13" spans="2:52" s="857" customFormat="1" ht="28.5" customHeight="1" thickTop="1" thickBot="1">
      <c r="B13" s="847"/>
      <c r="C13" s="848" t="s">
        <v>1126</v>
      </c>
      <c r="D13" s="849"/>
      <c r="E13" s="850"/>
      <c r="F13" s="851"/>
      <c r="G13" s="851"/>
      <c r="H13" s="852"/>
      <c r="I13" s="852"/>
      <c r="J13" s="852"/>
      <c r="K13" s="853"/>
      <c r="L13" s="853"/>
      <c r="M13" s="853"/>
      <c r="N13" s="853"/>
      <c r="O13" s="853"/>
      <c r="P13" s="853"/>
      <c r="Q13" s="853"/>
      <c r="R13" s="854">
        <v>1.06</v>
      </c>
      <c r="S13" s="853">
        <v>1.0469999999999999</v>
      </c>
      <c r="T13" s="855"/>
      <c r="U13" s="853"/>
      <c r="V13" s="853"/>
      <c r="W13" s="853"/>
      <c r="X13" s="853"/>
      <c r="Y13" s="853"/>
      <c r="Z13" s="853"/>
      <c r="AA13" s="854"/>
      <c r="AB13" s="853"/>
      <c r="AC13" s="855"/>
      <c r="AD13" s="855"/>
      <c r="AE13" s="853"/>
      <c r="AF13" s="853"/>
      <c r="AG13" s="853"/>
      <c r="AH13" s="853"/>
      <c r="AI13" s="853"/>
      <c r="AJ13" s="853"/>
      <c r="AK13" s="853"/>
      <c r="AL13" s="853"/>
      <c r="AM13" s="853"/>
      <c r="AN13" s="853"/>
      <c r="AO13" s="853"/>
      <c r="AP13" s="853"/>
      <c r="AQ13" s="853"/>
      <c r="AR13" s="853"/>
      <c r="AS13" s="853"/>
      <c r="AT13" s="856"/>
      <c r="AU13" s="856"/>
      <c r="AV13" s="853"/>
      <c r="AW13" s="853"/>
      <c r="AX13" s="853"/>
      <c r="AY13" s="854">
        <v>1.06</v>
      </c>
      <c r="AZ13" s="853">
        <v>1.0469999999999999</v>
      </c>
    </row>
    <row r="14" spans="2:52" s="864" customFormat="1" ht="41.25" thickTop="1">
      <c r="B14" s="858">
        <v>1</v>
      </c>
      <c r="C14" s="859" t="s">
        <v>1127</v>
      </c>
      <c r="D14" s="860" t="s">
        <v>1128</v>
      </c>
      <c r="E14" s="861">
        <f>SUM(E16,E43,E46)</f>
        <v>1788.7763150643332</v>
      </c>
      <c r="F14" s="861">
        <f>SUM(F16,F43,F46)</f>
        <v>1502.9916781048332</v>
      </c>
      <c r="G14" s="861">
        <f>SUM(G16,G43,G46)</f>
        <v>1502.9916781048332</v>
      </c>
      <c r="H14" s="861">
        <f t="shared" ref="H14:AL14" si="0">SUM(H16,H43,H46)</f>
        <v>0</v>
      </c>
      <c r="I14" s="861">
        <f t="shared" si="0"/>
        <v>0</v>
      </c>
      <c r="J14" s="861">
        <f t="shared" si="0"/>
        <v>0</v>
      </c>
      <c r="K14" s="861">
        <f t="shared" si="0"/>
        <v>0</v>
      </c>
      <c r="L14" s="861">
        <f t="shared" si="0"/>
        <v>0</v>
      </c>
      <c r="M14" s="861">
        <f t="shared" si="0"/>
        <v>0</v>
      </c>
      <c r="N14" s="861">
        <f t="shared" si="0"/>
        <v>0</v>
      </c>
      <c r="O14" s="861">
        <f t="shared" si="0"/>
        <v>0</v>
      </c>
      <c r="P14" s="861">
        <f>SUM(P16,P43,P46)</f>
        <v>102.32298854166666</v>
      </c>
      <c r="Q14" s="861">
        <f>SUM(Q16,Q43,Q46)</f>
        <v>0</v>
      </c>
      <c r="R14" s="861">
        <f>SUM(R16,R43,R46)</f>
        <v>492.18789641666666</v>
      </c>
      <c r="S14" s="861">
        <f>SUM(S16,S43,S46)</f>
        <v>908.48079314649999</v>
      </c>
      <c r="T14" s="861">
        <f t="shared" ref="T14:AB14" si="1">SUM(T16,T43,T46)</f>
        <v>0</v>
      </c>
      <c r="U14" s="861">
        <f t="shared" si="1"/>
        <v>0</v>
      </c>
      <c r="V14" s="861">
        <f t="shared" si="1"/>
        <v>0</v>
      </c>
      <c r="W14" s="861">
        <f t="shared" si="1"/>
        <v>0</v>
      </c>
      <c r="X14" s="861">
        <f t="shared" si="1"/>
        <v>0</v>
      </c>
      <c r="Y14" s="861">
        <f t="shared" si="1"/>
        <v>0</v>
      </c>
      <c r="Z14" s="861">
        <f t="shared" si="1"/>
        <v>0</v>
      </c>
      <c r="AA14" s="861">
        <f t="shared" si="1"/>
        <v>0</v>
      </c>
      <c r="AB14" s="861">
        <f t="shared" si="1"/>
        <v>0</v>
      </c>
      <c r="AC14" s="861">
        <f>SUM(AC16,AC43,AC46)</f>
        <v>285.78463695950001</v>
      </c>
      <c r="AD14" s="861">
        <f>SUM(AD16,AD43,AD46)</f>
        <v>130.16535000000002</v>
      </c>
      <c r="AE14" s="861">
        <f t="shared" si="0"/>
        <v>0</v>
      </c>
      <c r="AF14" s="861">
        <f t="shared" si="0"/>
        <v>0</v>
      </c>
      <c r="AG14" s="861">
        <f t="shared" si="0"/>
        <v>0</v>
      </c>
      <c r="AH14" s="861">
        <f t="shared" si="0"/>
        <v>0</v>
      </c>
      <c r="AI14" s="861">
        <f t="shared" si="0"/>
        <v>0</v>
      </c>
      <c r="AJ14" s="861">
        <f t="shared" si="0"/>
        <v>0</v>
      </c>
      <c r="AK14" s="861">
        <f t="shared" si="0"/>
        <v>0</v>
      </c>
      <c r="AL14" s="861">
        <f t="shared" si="0"/>
        <v>0</v>
      </c>
      <c r="AM14" s="861"/>
      <c r="AN14" s="861"/>
      <c r="AO14" s="861">
        <f>SUM(AO16,AO43,AO46)</f>
        <v>285.78463695950001</v>
      </c>
      <c r="AP14" s="862">
        <f t="shared" ref="AP14:AV14" si="2">ROUND(AP16+AP43+AP46,3)</f>
        <v>0</v>
      </c>
      <c r="AQ14" s="862">
        <f t="shared" si="2"/>
        <v>0</v>
      </c>
      <c r="AR14" s="862">
        <f t="shared" si="2"/>
        <v>0</v>
      </c>
      <c r="AS14" s="862">
        <f t="shared" si="2"/>
        <v>0</v>
      </c>
      <c r="AT14" s="863">
        <f t="shared" si="2"/>
        <v>0</v>
      </c>
      <c r="AU14" s="863">
        <f t="shared" si="2"/>
        <v>0</v>
      </c>
      <c r="AV14" s="861">
        <f t="shared" si="2"/>
        <v>0</v>
      </c>
      <c r="AW14" s="861">
        <f>SUM(AW16,AW43,AW46)</f>
        <v>0</v>
      </c>
      <c r="AX14" s="861">
        <f>SUM(AX16,AX43,AX46)</f>
        <v>0</v>
      </c>
      <c r="AY14" s="861">
        <f>SUM(AY16,AY43,AY46)</f>
        <v>180.46246925000003</v>
      </c>
      <c r="AZ14" s="861">
        <f>SUM(AZ16,AZ43,AZ46)</f>
        <v>105.32216770949999</v>
      </c>
    </row>
    <row r="15" spans="2:52" s="864" customFormat="1" ht="45" customHeight="1" outlineLevel="1">
      <c r="B15" s="858"/>
      <c r="C15" s="859" t="s">
        <v>1127</v>
      </c>
      <c r="D15" s="865" t="s">
        <v>1129</v>
      </c>
      <c r="E15" s="861">
        <f>E14*1.2</f>
        <v>2146.5315780771998</v>
      </c>
      <c r="F15" s="861">
        <f>F14*1.2</f>
        <v>1803.5900137257997</v>
      </c>
      <c r="G15" s="861">
        <f>G14*1.2</f>
        <v>1803.5900137257997</v>
      </c>
      <c r="H15" s="861">
        <f t="shared" ref="H15:AT15" si="3">H14*1.2</f>
        <v>0</v>
      </c>
      <c r="I15" s="861">
        <f t="shared" si="3"/>
        <v>0</v>
      </c>
      <c r="J15" s="861">
        <f t="shared" si="3"/>
        <v>0</v>
      </c>
      <c r="K15" s="861">
        <f t="shared" si="3"/>
        <v>0</v>
      </c>
      <c r="L15" s="861">
        <f t="shared" si="3"/>
        <v>0</v>
      </c>
      <c r="M15" s="861">
        <f t="shared" si="3"/>
        <v>0</v>
      </c>
      <c r="N15" s="861">
        <f t="shared" si="3"/>
        <v>0</v>
      </c>
      <c r="O15" s="861">
        <f t="shared" si="3"/>
        <v>0</v>
      </c>
      <c r="P15" s="861">
        <f t="shared" si="3"/>
        <v>122.78758624999999</v>
      </c>
      <c r="Q15" s="861">
        <f t="shared" si="3"/>
        <v>0</v>
      </c>
      <c r="R15" s="861">
        <f>R14*1.2</f>
        <v>590.62547569999992</v>
      </c>
      <c r="S15" s="861">
        <f>S14*1.2</f>
        <v>1090.1769517758</v>
      </c>
      <c r="T15" s="861">
        <f>T14*1.2</f>
        <v>0</v>
      </c>
      <c r="U15" s="861">
        <f t="shared" si="3"/>
        <v>0</v>
      </c>
      <c r="V15" s="861">
        <f t="shared" si="3"/>
        <v>0</v>
      </c>
      <c r="W15" s="861">
        <f t="shared" si="3"/>
        <v>0</v>
      </c>
      <c r="X15" s="861">
        <f t="shared" si="3"/>
        <v>0</v>
      </c>
      <c r="Y15" s="861">
        <f t="shared" si="3"/>
        <v>0</v>
      </c>
      <c r="Z15" s="861">
        <f t="shared" si="3"/>
        <v>0</v>
      </c>
      <c r="AA15" s="861">
        <f t="shared" si="3"/>
        <v>0</v>
      </c>
      <c r="AB15" s="861">
        <f t="shared" si="3"/>
        <v>0</v>
      </c>
      <c r="AC15" s="861">
        <f t="shared" si="3"/>
        <v>342.94156435140002</v>
      </c>
      <c r="AD15" s="861">
        <f>AD14*1.2</f>
        <v>156.19842000000003</v>
      </c>
      <c r="AE15" s="861">
        <f t="shared" si="3"/>
        <v>0</v>
      </c>
      <c r="AF15" s="861">
        <f t="shared" si="3"/>
        <v>0</v>
      </c>
      <c r="AG15" s="861">
        <f t="shared" si="3"/>
        <v>0</v>
      </c>
      <c r="AH15" s="861">
        <f t="shared" si="3"/>
        <v>0</v>
      </c>
      <c r="AI15" s="861">
        <f t="shared" si="3"/>
        <v>0</v>
      </c>
      <c r="AJ15" s="861">
        <f t="shared" si="3"/>
        <v>0</v>
      </c>
      <c r="AK15" s="861">
        <f t="shared" si="3"/>
        <v>0</v>
      </c>
      <c r="AL15" s="861">
        <f t="shared" si="3"/>
        <v>0</v>
      </c>
      <c r="AM15" s="861"/>
      <c r="AN15" s="861"/>
      <c r="AO15" s="861">
        <f>AO14*1.2</f>
        <v>342.94156435140002</v>
      </c>
      <c r="AP15" s="861">
        <f t="shared" si="3"/>
        <v>0</v>
      </c>
      <c r="AQ15" s="861">
        <f t="shared" si="3"/>
        <v>0</v>
      </c>
      <c r="AR15" s="861">
        <f t="shared" si="3"/>
        <v>0</v>
      </c>
      <c r="AS15" s="861">
        <f t="shared" si="3"/>
        <v>0</v>
      </c>
      <c r="AT15" s="861">
        <f t="shared" si="3"/>
        <v>0</v>
      </c>
      <c r="AU15" s="861">
        <f t="shared" ref="AU15:AZ15" si="4">AU14*1.2</f>
        <v>0</v>
      </c>
      <c r="AV15" s="861">
        <f t="shared" si="4"/>
        <v>0</v>
      </c>
      <c r="AW15" s="861">
        <f t="shared" si="4"/>
        <v>0</v>
      </c>
      <c r="AX15" s="861">
        <f t="shared" si="4"/>
        <v>0</v>
      </c>
      <c r="AY15" s="861">
        <f t="shared" si="4"/>
        <v>216.55496310000004</v>
      </c>
      <c r="AZ15" s="861">
        <f t="shared" si="4"/>
        <v>126.38660125139998</v>
      </c>
    </row>
    <row r="16" spans="2:52" ht="48" customHeight="1" thickBot="1">
      <c r="B16" s="866" t="s">
        <v>1130</v>
      </c>
      <c r="C16" s="867" t="s">
        <v>1131</v>
      </c>
      <c r="D16" s="868" t="s">
        <v>1128</v>
      </c>
      <c r="E16" s="869">
        <f>F16+AC16</f>
        <v>1431.0210520514665</v>
      </c>
      <c r="F16" s="869">
        <f>F17+F18+F19+F20+F21+F22</f>
        <v>1202.3933424838665</v>
      </c>
      <c r="G16" s="869">
        <f>G17+G18+G19+G20+G21+G22</f>
        <v>1202.3933424838665</v>
      </c>
      <c r="H16" s="862">
        <f t="shared" ref="H16:M16" si="5">H17+H18+H19+H20+H21+H22</f>
        <v>0</v>
      </c>
      <c r="I16" s="862">
        <f t="shared" si="5"/>
        <v>0</v>
      </c>
      <c r="J16" s="862">
        <f t="shared" si="5"/>
        <v>0</v>
      </c>
      <c r="K16" s="862">
        <f t="shared" si="5"/>
        <v>0</v>
      </c>
      <c r="L16" s="862">
        <f t="shared" si="5"/>
        <v>0</v>
      </c>
      <c r="M16" s="862">
        <f t="shared" si="5"/>
        <v>0</v>
      </c>
      <c r="N16" s="862">
        <f t="shared" ref="N16:T16" si="6">N17+N18+N19+N20+N21+N22</f>
        <v>0</v>
      </c>
      <c r="O16" s="862">
        <f t="shared" si="6"/>
        <v>0</v>
      </c>
      <c r="P16" s="862">
        <f t="shared" si="6"/>
        <v>81.858390833333331</v>
      </c>
      <c r="Q16" s="862">
        <f t="shared" si="6"/>
        <v>0</v>
      </c>
      <c r="R16" s="862">
        <f t="shared" si="6"/>
        <v>393.75031713333334</v>
      </c>
      <c r="S16" s="862">
        <f t="shared" si="6"/>
        <v>726.78463451719995</v>
      </c>
      <c r="T16" s="869">
        <f t="shared" si="6"/>
        <v>0</v>
      </c>
      <c r="U16" s="862">
        <f t="shared" ref="U16:AB16" si="7">U17+U18+U19+U20+U21+U22</f>
        <v>0</v>
      </c>
      <c r="V16" s="862">
        <f t="shared" si="7"/>
        <v>0</v>
      </c>
      <c r="W16" s="862">
        <f t="shared" si="7"/>
        <v>0</v>
      </c>
      <c r="X16" s="862">
        <f t="shared" si="7"/>
        <v>0</v>
      </c>
      <c r="Y16" s="862">
        <f t="shared" si="7"/>
        <v>0</v>
      </c>
      <c r="Z16" s="862">
        <f t="shared" si="7"/>
        <v>0</v>
      </c>
      <c r="AA16" s="862">
        <f t="shared" si="7"/>
        <v>0</v>
      </c>
      <c r="AB16" s="862">
        <f t="shared" si="7"/>
        <v>0</v>
      </c>
      <c r="AC16" s="869">
        <f>AC17+AC18+AC19+AC20+AC21+AC22</f>
        <v>228.62770956759999</v>
      </c>
      <c r="AD16" s="869">
        <f>AD17+AD18+AD19+AD20+AD21+AD22</f>
        <v>104.13228000000001</v>
      </c>
      <c r="AE16" s="862">
        <f t="shared" ref="AE16:AL16" si="8">AE17+AE18+AE19+AE20+AE21+AE22</f>
        <v>0</v>
      </c>
      <c r="AF16" s="862">
        <f t="shared" si="8"/>
        <v>0</v>
      </c>
      <c r="AG16" s="862">
        <f t="shared" si="8"/>
        <v>0</v>
      </c>
      <c r="AH16" s="862">
        <f t="shared" si="8"/>
        <v>0</v>
      </c>
      <c r="AI16" s="862">
        <f t="shared" si="8"/>
        <v>0</v>
      </c>
      <c r="AJ16" s="862">
        <f t="shared" si="8"/>
        <v>0</v>
      </c>
      <c r="AK16" s="862">
        <f t="shared" si="8"/>
        <v>0</v>
      </c>
      <c r="AL16" s="862">
        <f t="shared" si="8"/>
        <v>0</v>
      </c>
      <c r="AM16" s="862"/>
      <c r="AN16" s="862"/>
      <c r="AO16" s="869">
        <f>AO17+AO18+AO19+AO20+AO21+AO22</f>
        <v>228.62770956759999</v>
      </c>
      <c r="AP16" s="862">
        <f t="shared" ref="AP16:AW16" si="9">AP17+AP18+AP19+AP20+AP21+AP22</f>
        <v>0</v>
      </c>
      <c r="AQ16" s="862">
        <f t="shared" si="9"/>
        <v>0</v>
      </c>
      <c r="AR16" s="862">
        <f t="shared" si="9"/>
        <v>0</v>
      </c>
      <c r="AS16" s="862">
        <f t="shared" si="9"/>
        <v>0</v>
      </c>
      <c r="AT16" s="863">
        <f t="shared" si="9"/>
        <v>0</v>
      </c>
      <c r="AU16" s="863">
        <f t="shared" si="9"/>
        <v>0</v>
      </c>
      <c r="AV16" s="862">
        <f t="shared" si="9"/>
        <v>0</v>
      </c>
      <c r="AW16" s="862">
        <f t="shared" si="9"/>
        <v>0</v>
      </c>
      <c r="AX16" s="862">
        <f>AX17+AX18+AX19+AX20+AX21+AX22</f>
        <v>0</v>
      </c>
      <c r="AY16" s="862">
        <f>AY17+AY18+AY19+AY20+AY21+AY22</f>
        <v>144.36997540000002</v>
      </c>
      <c r="AZ16" s="862">
        <f>AZ17+AZ18+AZ19+AZ20+AZ21+AZ22</f>
        <v>84.257734167599992</v>
      </c>
    </row>
    <row r="17" spans="2:77" ht="30.75" customHeight="1" thickTop="1" thickBot="1">
      <c r="B17" s="870" t="s">
        <v>1132</v>
      </c>
      <c r="C17" s="871" t="s">
        <v>1133</v>
      </c>
      <c r="D17" s="872" t="s">
        <v>1128</v>
      </c>
      <c r="E17" s="869">
        <f>F17+AC17</f>
        <v>150.80302</v>
      </c>
      <c r="F17" s="873">
        <f>G17+T17</f>
        <v>46.670740000000009</v>
      </c>
      <c r="G17" s="873">
        <f>SUM(M17:R17)</f>
        <v>46.670740000000009</v>
      </c>
      <c r="H17" s="874"/>
      <c r="I17" s="874"/>
      <c r="J17" s="874"/>
      <c r="K17" s="874"/>
      <c r="L17" s="874"/>
      <c r="M17" s="874"/>
      <c r="N17" s="874"/>
      <c r="O17" s="874"/>
      <c r="P17" s="874"/>
      <c r="Q17" s="874"/>
      <c r="R17" s="874">
        <f>44.029*R13</f>
        <v>46.670740000000009</v>
      </c>
      <c r="S17" s="874"/>
      <c r="T17" s="873">
        <f>SUM(Z17:AB19)</f>
        <v>0</v>
      </c>
      <c r="U17" s="874"/>
      <c r="V17" s="874"/>
      <c r="W17" s="874"/>
      <c r="X17" s="874"/>
      <c r="Y17" s="874"/>
      <c r="Z17" s="874"/>
      <c r="AA17" s="874"/>
      <c r="AB17" s="874"/>
      <c r="AC17" s="873">
        <f>AO17</f>
        <v>104.13228000000001</v>
      </c>
      <c r="AD17" s="873">
        <f>SUM(AM17:AX17)</f>
        <v>104.13228000000001</v>
      </c>
      <c r="AE17" s="874"/>
      <c r="AF17" s="874"/>
      <c r="AG17" s="874"/>
      <c r="AH17" s="874"/>
      <c r="AI17" s="874"/>
      <c r="AJ17" s="874"/>
      <c r="AK17" s="874"/>
      <c r="AL17" s="874"/>
      <c r="AM17" s="874"/>
      <c r="AN17" s="874"/>
      <c r="AO17" s="874">
        <f>SUM(AU17:AY17)</f>
        <v>104.13228000000001</v>
      </c>
      <c r="AP17" s="874"/>
      <c r="AQ17" s="874"/>
      <c r="AR17" s="874"/>
      <c r="AS17" s="874"/>
      <c r="AT17" s="874"/>
      <c r="AU17" s="875"/>
      <c r="AV17" s="874"/>
      <c r="AW17" s="874"/>
      <c r="AX17" s="874"/>
      <c r="AY17" s="874">
        <f>98.238*AY13</f>
        <v>104.13228000000001</v>
      </c>
      <c r="AZ17" s="874"/>
      <c r="BY17" s="876"/>
    </row>
    <row r="18" spans="2:77" ht="21.75" hidden="1" outlineLevel="1" thickTop="1" thickBot="1">
      <c r="B18" s="870" t="s">
        <v>119</v>
      </c>
      <c r="C18" s="871" t="s">
        <v>1134</v>
      </c>
      <c r="D18" s="872" t="s">
        <v>1128</v>
      </c>
      <c r="E18" s="869"/>
      <c r="F18" s="873"/>
      <c r="G18" s="873">
        <f>SUM(M18:P18)</f>
        <v>0</v>
      </c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3">
        <f>SUM(Z18:AB18)</f>
        <v>0</v>
      </c>
      <c r="U18" s="874"/>
      <c r="V18" s="874"/>
      <c r="W18" s="874"/>
      <c r="X18" s="874"/>
      <c r="Y18" s="874"/>
      <c r="Z18" s="874"/>
      <c r="AA18" s="874"/>
      <c r="AB18" s="874"/>
      <c r="AC18" s="873"/>
      <c r="AD18" s="873">
        <f>SUM(AM18:AX18)</f>
        <v>0</v>
      </c>
      <c r="AE18" s="874"/>
      <c r="AF18" s="874"/>
      <c r="AG18" s="874"/>
      <c r="AH18" s="874"/>
      <c r="AI18" s="874"/>
      <c r="AJ18" s="874"/>
      <c r="AK18" s="874"/>
      <c r="AL18" s="874"/>
      <c r="AM18" s="874"/>
      <c r="AN18" s="874"/>
      <c r="AO18" s="874"/>
      <c r="AP18" s="874"/>
      <c r="AQ18" s="874"/>
      <c r="AR18" s="874"/>
      <c r="AS18" s="874"/>
      <c r="AT18" s="874"/>
      <c r="AU18" s="875"/>
      <c r="AV18" s="874"/>
      <c r="AW18" s="874"/>
      <c r="AX18" s="874"/>
      <c r="AY18" s="874"/>
      <c r="AZ18" s="874"/>
    </row>
    <row r="19" spans="2:77" ht="42" hidden="1" outlineLevel="1" thickTop="1" thickBot="1">
      <c r="B19" s="870" t="s">
        <v>120</v>
      </c>
      <c r="C19" s="871" t="s">
        <v>1135</v>
      </c>
      <c r="D19" s="872" t="s">
        <v>1128</v>
      </c>
      <c r="E19" s="869"/>
      <c r="F19" s="873"/>
      <c r="G19" s="873">
        <f>SUM(M19:P19)</f>
        <v>0</v>
      </c>
      <c r="H19" s="874"/>
      <c r="I19" s="874"/>
      <c r="J19" s="874"/>
      <c r="K19" s="874"/>
      <c r="L19" s="874"/>
      <c r="M19" s="874"/>
      <c r="N19" s="874"/>
      <c r="O19" s="874"/>
      <c r="P19" s="874"/>
      <c r="Q19" s="874"/>
      <c r="R19" s="874"/>
      <c r="S19" s="874"/>
      <c r="T19" s="873">
        <f>SUM(Z19:AB19)</f>
        <v>0</v>
      </c>
      <c r="U19" s="874"/>
      <c r="V19" s="874"/>
      <c r="W19" s="874"/>
      <c r="X19" s="874"/>
      <c r="Y19" s="874"/>
      <c r="Z19" s="874"/>
      <c r="AA19" s="874"/>
      <c r="AB19" s="874"/>
      <c r="AC19" s="873"/>
      <c r="AD19" s="873">
        <f>SUM(AM19:AX19)</f>
        <v>0</v>
      </c>
      <c r="AE19" s="874"/>
      <c r="AF19" s="874"/>
      <c r="AG19" s="874"/>
      <c r="AH19" s="874"/>
      <c r="AI19" s="874"/>
      <c r="AJ19" s="874"/>
      <c r="AK19" s="874"/>
      <c r="AL19" s="874"/>
      <c r="AM19" s="874"/>
      <c r="AN19" s="874"/>
      <c r="AO19" s="874"/>
      <c r="AP19" s="874"/>
      <c r="AQ19" s="874"/>
      <c r="AR19" s="874"/>
      <c r="AS19" s="874"/>
      <c r="AT19" s="874"/>
      <c r="AU19" s="875"/>
      <c r="AV19" s="874"/>
      <c r="AW19" s="874"/>
      <c r="AX19" s="874"/>
      <c r="AY19" s="874"/>
      <c r="AZ19" s="874"/>
    </row>
    <row r="20" spans="2:77" ht="32.25" customHeight="1" collapsed="1" thickTop="1" thickBot="1">
      <c r="B20" s="870" t="s">
        <v>114</v>
      </c>
      <c r="C20" s="871" t="s">
        <v>1136</v>
      </c>
      <c r="D20" s="872" t="s">
        <v>1128</v>
      </c>
      <c r="E20" s="869">
        <f>F20+AC20</f>
        <v>1280.2180320514665</v>
      </c>
      <c r="F20" s="873">
        <f>G20+T20</f>
        <v>1155.7226024838665</v>
      </c>
      <c r="G20" s="873">
        <f>SUM(M20:S20)</f>
        <v>1155.7226024838665</v>
      </c>
      <c r="H20" s="874"/>
      <c r="I20" s="874"/>
      <c r="J20" s="874"/>
      <c r="K20" s="874"/>
      <c r="L20" s="874"/>
      <c r="M20" s="874"/>
      <c r="N20" s="874"/>
      <c r="O20" s="874"/>
      <c r="P20" s="874">
        <f>F100/12*1</f>
        <v>81.858390833333331</v>
      </c>
      <c r="Q20" s="874"/>
      <c r="R20" s="874">
        <f>F100/12*4*R13</f>
        <v>347.07957713333332</v>
      </c>
      <c r="S20" s="874">
        <f>F100/12*8*S13*R13</f>
        <v>726.78463451719995</v>
      </c>
      <c r="T20" s="873">
        <f>SUM(Z20:AB20)</f>
        <v>0</v>
      </c>
      <c r="U20" s="874"/>
      <c r="V20" s="874"/>
      <c r="W20" s="874"/>
      <c r="X20" s="874"/>
      <c r="Y20" s="874"/>
      <c r="Z20" s="874"/>
      <c r="AA20" s="874">
        <f>T100/12*5*AA13</f>
        <v>0</v>
      </c>
      <c r="AB20" s="874">
        <f>T100/12*7*AA13*AB13</f>
        <v>0</v>
      </c>
      <c r="AC20" s="873">
        <f>AO20</f>
        <v>124.49542956759998</v>
      </c>
      <c r="AD20" s="873"/>
      <c r="AE20" s="874"/>
      <c r="AF20" s="874"/>
      <c r="AG20" s="874"/>
      <c r="AH20" s="874"/>
      <c r="AI20" s="874"/>
      <c r="AJ20" s="874"/>
      <c r="AK20" s="874"/>
      <c r="AL20" s="874"/>
      <c r="AM20" s="874"/>
      <c r="AN20" s="874"/>
      <c r="AO20" s="874">
        <f>SUM(AX20:AZ20)</f>
        <v>124.49542956759998</v>
      </c>
      <c r="AP20" s="874"/>
      <c r="AQ20" s="874"/>
      <c r="AR20" s="874"/>
      <c r="AS20" s="874"/>
      <c r="AT20" s="874"/>
      <c r="AU20" s="874"/>
      <c r="AV20" s="874">
        <f>AU98/12*6*AV13</f>
        <v>0</v>
      </c>
      <c r="AW20" s="874"/>
      <c r="AX20" s="874"/>
      <c r="AY20" s="874">
        <f>AC100/12*4*AY13</f>
        <v>40.2376954</v>
      </c>
      <c r="AZ20" s="874">
        <f>AC100/12*8*AZ13*AY13</f>
        <v>84.257734167599992</v>
      </c>
      <c r="BY20" s="876"/>
    </row>
    <row r="21" spans="2:77" ht="21" hidden="1" customHeight="1" outlineLevel="1" thickTop="1">
      <c r="B21" s="870" t="s">
        <v>121</v>
      </c>
      <c r="C21" s="871" t="s">
        <v>1137</v>
      </c>
      <c r="D21" s="872" t="s">
        <v>1128</v>
      </c>
      <c r="E21" s="869"/>
      <c r="F21" s="869"/>
      <c r="G21" s="869"/>
      <c r="H21" s="877"/>
      <c r="I21" s="877"/>
      <c r="J21" s="877"/>
      <c r="K21" s="877"/>
      <c r="L21" s="877"/>
      <c r="M21" s="877"/>
      <c r="N21" s="877"/>
      <c r="O21" s="877"/>
      <c r="P21" s="877"/>
      <c r="Q21" s="877"/>
      <c r="R21" s="877"/>
      <c r="S21" s="877"/>
      <c r="T21" s="869"/>
      <c r="U21" s="877"/>
      <c r="V21" s="877"/>
      <c r="W21" s="877"/>
      <c r="X21" s="877"/>
      <c r="Y21" s="877"/>
      <c r="Z21" s="877"/>
      <c r="AA21" s="877"/>
      <c r="AB21" s="877"/>
      <c r="AC21" s="869"/>
      <c r="AD21" s="869"/>
      <c r="AE21" s="877"/>
      <c r="AF21" s="877"/>
      <c r="AG21" s="877"/>
      <c r="AH21" s="877"/>
      <c r="AI21" s="877"/>
      <c r="AJ21" s="877"/>
      <c r="AK21" s="877"/>
      <c r="AL21" s="877"/>
      <c r="AM21" s="877"/>
      <c r="AN21" s="877"/>
      <c r="AO21" s="878"/>
      <c r="AP21" s="877"/>
      <c r="AQ21" s="877"/>
      <c r="AR21" s="877"/>
      <c r="AS21" s="877"/>
      <c r="AT21" s="879"/>
      <c r="AU21" s="879"/>
      <c r="AV21" s="877"/>
      <c r="AW21" s="877"/>
      <c r="AX21" s="877"/>
      <c r="AY21" s="877"/>
      <c r="AZ21" s="877"/>
    </row>
    <row r="22" spans="2:77" ht="32.25" customHeight="1" collapsed="1" thickTop="1">
      <c r="B22" s="870" t="s">
        <v>122</v>
      </c>
      <c r="C22" s="871" t="s">
        <v>1138</v>
      </c>
      <c r="D22" s="872" t="s">
        <v>1128</v>
      </c>
      <c r="E22" s="869">
        <f>F22+AC22</f>
        <v>0</v>
      </c>
      <c r="F22" s="869">
        <f t="shared" ref="F22:F35" si="10">G22+T22</f>
        <v>0</v>
      </c>
      <c r="G22" s="869">
        <f>SUM(G23:G30)</f>
        <v>0</v>
      </c>
      <c r="H22" s="877">
        <f t="shared" ref="H22:Y22" si="11">SUM(H23:H30)</f>
        <v>0</v>
      </c>
      <c r="I22" s="877">
        <f t="shared" si="11"/>
        <v>0</v>
      </c>
      <c r="J22" s="877">
        <f t="shared" si="11"/>
        <v>0</v>
      </c>
      <c r="K22" s="877">
        <f t="shared" si="11"/>
        <v>0</v>
      </c>
      <c r="L22" s="877">
        <f t="shared" si="11"/>
        <v>0</v>
      </c>
      <c r="M22" s="877">
        <f t="shared" si="11"/>
        <v>0</v>
      </c>
      <c r="N22" s="877">
        <f t="shared" si="11"/>
        <v>0</v>
      </c>
      <c r="O22" s="877">
        <f t="shared" si="11"/>
        <v>0</v>
      </c>
      <c r="P22" s="877">
        <f>SUM(P23:P30)</f>
        <v>0</v>
      </c>
      <c r="Q22" s="877"/>
      <c r="R22" s="877"/>
      <c r="S22" s="877"/>
      <c r="T22" s="869">
        <f>SUM(T23:T30)</f>
        <v>0</v>
      </c>
      <c r="U22" s="877">
        <f t="shared" si="11"/>
        <v>0</v>
      </c>
      <c r="V22" s="877">
        <f t="shared" si="11"/>
        <v>0</v>
      </c>
      <c r="W22" s="877">
        <f t="shared" si="11"/>
        <v>0</v>
      </c>
      <c r="X22" s="877">
        <f>SUM(X23:X30)</f>
        <v>0</v>
      </c>
      <c r="Y22" s="877">
        <f t="shared" si="11"/>
        <v>0</v>
      </c>
      <c r="Z22" s="877"/>
      <c r="AA22" s="877"/>
      <c r="AB22" s="877"/>
      <c r="AC22" s="869">
        <f>AD22+AO22</f>
        <v>0</v>
      </c>
      <c r="AD22" s="869">
        <f>SUM(AD23:AD30)</f>
        <v>0</v>
      </c>
      <c r="AE22" s="877">
        <f t="shared" ref="AE22:AL22" si="12">SUM(AE23:AE30)</f>
        <v>0</v>
      </c>
      <c r="AF22" s="877">
        <f t="shared" si="12"/>
        <v>0</v>
      </c>
      <c r="AG22" s="877">
        <f>SUM(AG23:AG30)</f>
        <v>0</v>
      </c>
      <c r="AH22" s="877">
        <f>SUM(AH23:AH30)</f>
        <v>0</v>
      </c>
      <c r="AI22" s="877">
        <f t="shared" si="12"/>
        <v>0</v>
      </c>
      <c r="AJ22" s="877">
        <f t="shared" si="12"/>
        <v>0</v>
      </c>
      <c r="AK22" s="877">
        <f t="shared" si="12"/>
        <v>0</v>
      </c>
      <c r="AL22" s="877">
        <f t="shared" si="12"/>
        <v>0</v>
      </c>
      <c r="AM22" s="877"/>
      <c r="AN22" s="877"/>
      <c r="AO22" s="869">
        <f t="shared" ref="AO22:AZ22" si="13">SUM(AO23:AO30)</f>
        <v>0</v>
      </c>
      <c r="AP22" s="877">
        <f t="shared" si="13"/>
        <v>0</v>
      </c>
      <c r="AQ22" s="877">
        <f t="shared" si="13"/>
        <v>0</v>
      </c>
      <c r="AR22" s="877">
        <f t="shared" si="13"/>
        <v>0</v>
      </c>
      <c r="AS22" s="877">
        <f t="shared" si="13"/>
        <v>0</v>
      </c>
      <c r="AT22" s="877">
        <f t="shared" si="13"/>
        <v>0</v>
      </c>
      <c r="AU22" s="877">
        <f t="shared" si="13"/>
        <v>0</v>
      </c>
      <c r="AV22" s="877">
        <f t="shared" si="13"/>
        <v>0</v>
      </c>
      <c r="AW22" s="877">
        <f t="shared" si="13"/>
        <v>0</v>
      </c>
      <c r="AX22" s="877">
        <f t="shared" si="13"/>
        <v>0</v>
      </c>
      <c r="AY22" s="877">
        <f t="shared" si="13"/>
        <v>0</v>
      </c>
      <c r="AZ22" s="877">
        <f t="shared" si="13"/>
        <v>0</v>
      </c>
    </row>
    <row r="23" spans="2:77" ht="26.25" customHeight="1">
      <c r="B23" s="870" t="s">
        <v>1139</v>
      </c>
      <c r="C23" s="880" t="s">
        <v>1140</v>
      </c>
      <c r="D23" s="872" t="s">
        <v>1128</v>
      </c>
      <c r="E23" s="881">
        <f t="shared" ref="E23:E30" si="14">SUM(F23,AC23)</f>
        <v>0</v>
      </c>
      <c r="F23" s="869">
        <f t="shared" si="10"/>
        <v>0</v>
      </c>
      <c r="G23" s="869">
        <f>SUM(M23:P23)</f>
        <v>0</v>
      </c>
      <c r="H23" s="877"/>
      <c r="I23" s="877">
        <f t="shared" ref="I23:N23" si="15">I20*0.2%</f>
        <v>0</v>
      </c>
      <c r="J23" s="877">
        <f t="shared" si="15"/>
        <v>0</v>
      </c>
      <c r="K23" s="877">
        <f t="shared" si="15"/>
        <v>0</v>
      </c>
      <c r="L23" s="877">
        <f t="shared" si="15"/>
        <v>0</v>
      </c>
      <c r="M23" s="877">
        <f t="shared" si="15"/>
        <v>0</v>
      </c>
      <c r="N23" s="877">
        <f t="shared" si="15"/>
        <v>0</v>
      </c>
      <c r="O23" s="877"/>
      <c r="P23" s="877"/>
      <c r="Q23" s="877"/>
      <c r="R23" s="877"/>
      <c r="S23" s="877"/>
      <c r="T23" s="869">
        <f>SUM(Z23:AB23)</f>
        <v>0</v>
      </c>
      <c r="U23" s="877">
        <f t="shared" ref="U23:Z23" si="16">U20*0.2%</f>
        <v>0</v>
      </c>
      <c r="V23" s="877">
        <f t="shared" si="16"/>
        <v>0</v>
      </c>
      <c r="W23" s="877">
        <f t="shared" si="16"/>
        <v>0</v>
      </c>
      <c r="X23" s="877">
        <f t="shared" si="16"/>
        <v>0</v>
      </c>
      <c r="Y23" s="877">
        <f t="shared" si="16"/>
        <v>0</v>
      </c>
      <c r="Z23" s="877">
        <f t="shared" si="16"/>
        <v>0</v>
      </c>
      <c r="AA23" s="877"/>
      <c r="AB23" s="877"/>
      <c r="AC23" s="869">
        <f>AD23+AO23</f>
        <v>0</v>
      </c>
      <c r="AD23" s="869">
        <f>SUM(AJ23:AM23)</f>
        <v>0</v>
      </c>
      <c r="AE23" s="877"/>
      <c r="AF23" s="877">
        <f t="shared" ref="AF23:AK23" si="17">AF20*0.2%</f>
        <v>0</v>
      </c>
      <c r="AG23" s="877">
        <f t="shared" si="17"/>
        <v>0</v>
      </c>
      <c r="AH23" s="877">
        <f t="shared" si="17"/>
        <v>0</v>
      </c>
      <c r="AI23" s="877">
        <f t="shared" si="17"/>
        <v>0</v>
      </c>
      <c r="AJ23" s="877">
        <f t="shared" si="17"/>
        <v>0</v>
      </c>
      <c r="AK23" s="877">
        <f t="shared" si="17"/>
        <v>0</v>
      </c>
      <c r="AL23" s="877"/>
      <c r="AM23" s="877"/>
      <c r="AN23" s="877"/>
      <c r="AO23" s="878">
        <f>SUM(AU23:AX23)</f>
        <v>0</v>
      </c>
      <c r="AP23" s="877">
        <f t="shared" ref="AP23:AU23" si="18">AP20*0.2%</f>
        <v>0</v>
      </c>
      <c r="AQ23" s="877">
        <f t="shared" si="18"/>
        <v>0</v>
      </c>
      <c r="AR23" s="877">
        <f t="shared" si="18"/>
        <v>0</v>
      </c>
      <c r="AS23" s="877">
        <f t="shared" si="18"/>
        <v>0</v>
      </c>
      <c r="AT23" s="879">
        <f t="shared" si="18"/>
        <v>0</v>
      </c>
      <c r="AU23" s="879">
        <f t="shared" si="18"/>
        <v>0</v>
      </c>
      <c r="AV23" s="877">
        <f>AV20*0.2%</f>
        <v>0</v>
      </c>
      <c r="AW23" s="877"/>
      <c r="AX23" s="877"/>
      <c r="AY23" s="877"/>
      <c r="AZ23" s="877"/>
    </row>
    <row r="24" spans="2:77" ht="46.5" customHeight="1">
      <c r="B24" s="870" t="s">
        <v>1141</v>
      </c>
      <c r="C24" s="880" t="s">
        <v>1142</v>
      </c>
      <c r="D24" s="872" t="s">
        <v>1128</v>
      </c>
      <c r="E24" s="881">
        <f t="shared" si="14"/>
        <v>0</v>
      </c>
      <c r="F24" s="869">
        <f t="shared" si="10"/>
        <v>0</v>
      </c>
      <c r="G24" s="869">
        <f>SUM(M24:P24)</f>
        <v>0</v>
      </c>
      <c r="H24" s="877"/>
      <c r="I24" s="877">
        <f t="shared" ref="I24:O24" si="19">I41*2.3%</f>
        <v>0</v>
      </c>
      <c r="J24" s="877">
        <f t="shared" si="19"/>
        <v>0</v>
      </c>
      <c r="K24" s="877">
        <f t="shared" si="19"/>
        <v>0</v>
      </c>
      <c r="L24" s="877">
        <f t="shared" si="19"/>
        <v>0</v>
      </c>
      <c r="M24" s="877">
        <f t="shared" si="19"/>
        <v>0</v>
      </c>
      <c r="N24" s="877">
        <f t="shared" si="19"/>
        <v>0</v>
      </c>
      <c r="O24" s="877">
        <f t="shared" si="19"/>
        <v>0</v>
      </c>
      <c r="P24" s="877"/>
      <c r="Q24" s="877"/>
      <c r="R24" s="877"/>
      <c r="S24" s="877"/>
      <c r="T24" s="869">
        <f>SUM(Z24:AB24)</f>
        <v>0</v>
      </c>
      <c r="U24" s="877">
        <f t="shared" ref="U24:Z24" si="20">U41*2.3%</f>
        <v>0</v>
      </c>
      <c r="V24" s="877">
        <f t="shared" si="20"/>
        <v>0</v>
      </c>
      <c r="W24" s="877">
        <f t="shared" si="20"/>
        <v>0</v>
      </c>
      <c r="X24" s="877">
        <f t="shared" si="20"/>
        <v>0</v>
      </c>
      <c r="Y24" s="877">
        <f t="shared" si="20"/>
        <v>0</v>
      </c>
      <c r="Z24" s="877">
        <f t="shared" si="20"/>
        <v>0</v>
      </c>
      <c r="AA24" s="877"/>
      <c r="AB24" s="877"/>
      <c r="AC24" s="869"/>
      <c r="AD24" s="869">
        <f>SUM(AJ24:AM24)</f>
        <v>0</v>
      </c>
      <c r="AE24" s="877"/>
      <c r="AF24" s="877">
        <f t="shared" ref="AF24:AL24" si="21">AF41*2.5%</f>
        <v>0</v>
      </c>
      <c r="AG24" s="877">
        <f t="shared" si="21"/>
        <v>0</v>
      </c>
      <c r="AH24" s="877">
        <f t="shared" si="21"/>
        <v>0</v>
      </c>
      <c r="AI24" s="877">
        <f t="shared" si="21"/>
        <v>0</v>
      </c>
      <c r="AJ24" s="877">
        <f t="shared" si="21"/>
        <v>0</v>
      </c>
      <c r="AK24" s="877">
        <f t="shared" si="21"/>
        <v>0</v>
      </c>
      <c r="AL24" s="877">
        <f t="shared" si="21"/>
        <v>0</v>
      </c>
      <c r="AM24" s="877"/>
      <c r="AN24" s="877"/>
      <c r="AO24" s="878">
        <f>SUM(AU24:AX24)</f>
        <v>0</v>
      </c>
      <c r="AP24" s="877">
        <f t="shared" ref="AP24:AV24" si="22">AP41*2.5%</f>
        <v>0</v>
      </c>
      <c r="AQ24" s="877">
        <f t="shared" si="22"/>
        <v>0</v>
      </c>
      <c r="AR24" s="877">
        <f t="shared" si="22"/>
        <v>0</v>
      </c>
      <c r="AS24" s="877">
        <f t="shared" si="22"/>
        <v>0</v>
      </c>
      <c r="AT24" s="879">
        <f t="shared" si="22"/>
        <v>0</v>
      </c>
      <c r="AU24" s="879">
        <f t="shared" si="22"/>
        <v>0</v>
      </c>
      <c r="AV24" s="877">
        <f t="shared" si="22"/>
        <v>0</v>
      </c>
      <c r="AW24" s="877">
        <f>AW41*2.3%</f>
        <v>0</v>
      </c>
      <c r="AX24" s="877"/>
      <c r="AY24" s="877"/>
      <c r="AZ24" s="877"/>
    </row>
    <row r="25" spans="2:77" ht="27.75" customHeight="1">
      <c r="B25" s="870" t="s">
        <v>1143</v>
      </c>
      <c r="C25" s="880" t="s">
        <v>1144</v>
      </c>
      <c r="D25" s="872" t="s">
        <v>1128</v>
      </c>
      <c r="E25" s="881">
        <f t="shared" si="14"/>
        <v>0</v>
      </c>
      <c r="F25" s="869">
        <f t="shared" si="10"/>
        <v>0</v>
      </c>
      <c r="G25" s="869">
        <f>SUM(M25:P25)</f>
        <v>0</v>
      </c>
      <c r="H25" s="877"/>
      <c r="I25" s="877">
        <f t="shared" ref="I25:N25" si="23">I20*2.14%</f>
        <v>0</v>
      </c>
      <c r="J25" s="877">
        <f t="shared" si="23"/>
        <v>0</v>
      </c>
      <c r="K25" s="877">
        <f t="shared" si="23"/>
        <v>0</v>
      </c>
      <c r="L25" s="877">
        <f t="shared" si="23"/>
        <v>0</v>
      </c>
      <c r="M25" s="877">
        <f t="shared" si="23"/>
        <v>0</v>
      </c>
      <c r="N25" s="877">
        <f t="shared" si="23"/>
        <v>0</v>
      </c>
      <c r="O25" s="877">
        <f>O20*2.14%</f>
        <v>0</v>
      </c>
      <c r="P25" s="877"/>
      <c r="Q25" s="877"/>
      <c r="R25" s="877"/>
      <c r="S25" s="877"/>
      <c r="T25" s="869">
        <f>SUM(Z25:AB25)</f>
        <v>0</v>
      </c>
      <c r="U25" s="877">
        <f t="shared" ref="U25:Z25" si="24">U20*2.14%</f>
        <v>0</v>
      </c>
      <c r="V25" s="877">
        <f t="shared" si="24"/>
        <v>0</v>
      </c>
      <c r="W25" s="877">
        <f t="shared" si="24"/>
        <v>0</v>
      </c>
      <c r="X25" s="877">
        <f t="shared" si="24"/>
        <v>0</v>
      </c>
      <c r="Y25" s="877">
        <f t="shared" si="24"/>
        <v>0</v>
      </c>
      <c r="Z25" s="877">
        <f t="shared" si="24"/>
        <v>0</v>
      </c>
      <c r="AA25" s="877"/>
      <c r="AB25" s="877"/>
      <c r="AC25" s="869">
        <f t="shared" ref="AC25:AC35" si="25">AD25+AO25</f>
        <v>0</v>
      </c>
      <c r="AD25" s="869">
        <f>SUM(AJ25:AM25)</f>
        <v>0</v>
      </c>
      <c r="AE25" s="877"/>
      <c r="AF25" s="877">
        <f t="shared" ref="AF25:AL25" si="26">AF20*2.14%</f>
        <v>0</v>
      </c>
      <c r="AG25" s="877">
        <f t="shared" si="26"/>
        <v>0</v>
      </c>
      <c r="AH25" s="877">
        <f t="shared" si="26"/>
        <v>0</v>
      </c>
      <c r="AI25" s="877">
        <f t="shared" si="26"/>
        <v>0</v>
      </c>
      <c r="AJ25" s="877">
        <f t="shared" si="26"/>
        <v>0</v>
      </c>
      <c r="AK25" s="877">
        <f t="shared" si="26"/>
        <v>0</v>
      </c>
      <c r="AL25" s="877">
        <f t="shared" si="26"/>
        <v>0</v>
      </c>
      <c r="AM25" s="877"/>
      <c r="AN25" s="877"/>
      <c r="AO25" s="878">
        <f>SUM(AU25:AX25)</f>
        <v>0</v>
      </c>
      <c r="AP25" s="877">
        <f t="shared" ref="AP25:AW25" si="27">AP20*2.14%</f>
        <v>0</v>
      </c>
      <c r="AQ25" s="877">
        <f t="shared" si="27"/>
        <v>0</v>
      </c>
      <c r="AR25" s="877">
        <f t="shared" si="27"/>
        <v>0</v>
      </c>
      <c r="AS25" s="877">
        <f t="shared" si="27"/>
        <v>0</v>
      </c>
      <c r="AT25" s="879">
        <f t="shared" si="27"/>
        <v>0</v>
      </c>
      <c r="AU25" s="879">
        <f t="shared" si="27"/>
        <v>0</v>
      </c>
      <c r="AV25" s="877">
        <f t="shared" si="27"/>
        <v>0</v>
      </c>
      <c r="AW25" s="877">
        <f t="shared" si="27"/>
        <v>0</v>
      </c>
      <c r="AX25" s="877"/>
      <c r="AY25" s="877"/>
      <c r="AZ25" s="877"/>
    </row>
    <row r="26" spans="2:77" ht="30" customHeight="1">
      <c r="B26" s="870" t="s">
        <v>1145</v>
      </c>
      <c r="C26" s="880" t="s">
        <v>1146</v>
      </c>
      <c r="D26" s="872" t="s">
        <v>1128</v>
      </c>
      <c r="E26" s="881">
        <f t="shared" si="14"/>
        <v>0</v>
      </c>
      <c r="F26" s="869">
        <f t="shared" si="10"/>
        <v>0</v>
      </c>
      <c r="G26" s="869">
        <f>SUM(M26:R35)</f>
        <v>0</v>
      </c>
      <c r="H26" s="877"/>
      <c r="I26" s="877">
        <f t="shared" ref="I26:O26" si="28">(I17+I20+I23+I24+I25)*2%</f>
        <v>0</v>
      </c>
      <c r="J26" s="877">
        <f t="shared" si="28"/>
        <v>0</v>
      </c>
      <c r="K26" s="877">
        <f t="shared" si="28"/>
        <v>0</v>
      </c>
      <c r="L26" s="877">
        <f t="shared" si="28"/>
        <v>0</v>
      </c>
      <c r="M26" s="877">
        <f t="shared" si="28"/>
        <v>0</v>
      </c>
      <c r="N26" s="877">
        <f t="shared" si="28"/>
        <v>0</v>
      </c>
      <c r="O26" s="877">
        <f t="shared" si="28"/>
        <v>0</v>
      </c>
      <c r="P26" s="877"/>
      <c r="Q26" s="877"/>
      <c r="R26" s="877"/>
      <c r="S26" s="877"/>
      <c r="T26" s="869">
        <f>SUM(Z26:AB26)</f>
        <v>0</v>
      </c>
      <c r="U26" s="877">
        <f t="shared" ref="U26:Y27" si="29">(U17+U20+U23+U24+U25)*2%</f>
        <v>0</v>
      </c>
      <c r="V26" s="877">
        <f t="shared" si="29"/>
        <v>0</v>
      </c>
      <c r="W26" s="877">
        <f t="shared" si="29"/>
        <v>0</v>
      </c>
      <c r="X26" s="877">
        <f>(X17+X20+X23+X24+X25)*2%</f>
        <v>0</v>
      </c>
      <c r="Y26" s="877">
        <f t="shared" si="29"/>
        <v>0</v>
      </c>
      <c r="Z26" s="877"/>
      <c r="AA26" s="877"/>
      <c r="AB26" s="877"/>
      <c r="AC26" s="869">
        <f>AD26+AO26</f>
        <v>0</v>
      </c>
      <c r="AD26" s="869">
        <f>SUM(AJ26:AN26)</f>
        <v>0</v>
      </c>
      <c r="AE26" s="877"/>
      <c r="AF26" s="877">
        <f t="shared" ref="AF26:AL27" si="30">(AF17+AF20+AF23+AF24+AF25)*2%</f>
        <v>0</v>
      </c>
      <c r="AG26" s="877">
        <f>(AG17+AG20+AG23+AG24+AG25)*2%</f>
        <v>0</v>
      </c>
      <c r="AH26" s="877">
        <f t="shared" si="30"/>
        <v>0</v>
      </c>
      <c r="AI26" s="877">
        <f t="shared" si="30"/>
        <v>0</v>
      </c>
      <c r="AJ26" s="877">
        <f t="shared" si="30"/>
        <v>0</v>
      </c>
      <c r="AK26" s="877">
        <f t="shared" si="30"/>
        <v>0</v>
      </c>
      <c r="AL26" s="877">
        <f t="shared" si="30"/>
        <v>0</v>
      </c>
      <c r="AM26" s="877"/>
      <c r="AN26" s="877"/>
      <c r="AO26" s="878"/>
      <c r="AP26" s="877">
        <f t="shared" ref="AP26:AW26" si="31">(AP17+AP20+AP23+AP24+AP25)*2%</f>
        <v>0</v>
      </c>
      <c r="AQ26" s="877">
        <f t="shared" si="31"/>
        <v>0</v>
      </c>
      <c r="AR26" s="877">
        <f t="shared" si="31"/>
        <v>0</v>
      </c>
      <c r="AS26" s="877">
        <f t="shared" si="31"/>
        <v>0</v>
      </c>
      <c r="AT26" s="879">
        <f t="shared" si="31"/>
        <v>0</v>
      </c>
      <c r="AU26" s="879">
        <f t="shared" si="31"/>
        <v>0</v>
      </c>
      <c r="AV26" s="877">
        <f t="shared" si="31"/>
        <v>0</v>
      </c>
      <c r="AW26" s="877">
        <f t="shared" si="31"/>
        <v>0</v>
      </c>
      <c r="AX26" s="877"/>
      <c r="AY26" s="877"/>
      <c r="AZ26" s="877"/>
    </row>
    <row r="27" spans="2:77" ht="41.25" hidden="1" outlineLevel="1" thickBot="1">
      <c r="B27" s="870" t="s">
        <v>1147</v>
      </c>
      <c r="C27" s="882" t="s">
        <v>1148</v>
      </c>
      <c r="D27" s="872" t="s">
        <v>1128</v>
      </c>
      <c r="E27" s="881">
        <f t="shared" si="14"/>
        <v>0</v>
      </c>
      <c r="F27" s="869">
        <f t="shared" si="10"/>
        <v>0</v>
      </c>
      <c r="G27" s="869">
        <f>SUM(M27:O27)</f>
        <v>0</v>
      </c>
      <c r="H27" s="877"/>
      <c r="I27" s="877">
        <f>(I18+I21+I24+I25+I26)*2%</f>
        <v>0</v>
      </c>
      <c r="J27" s="877"/>
      <c r="K27" s="877"/>
      <c r="L27" s="877"/>
      <c r="M27" s="877"/>
      <c r="N27" s="877"/>
      <c r="O27" s="877"/>
      <c r="P27" s="877"/>
      <c r="Q27" s="877"/>
      <c r="R27" s="877"/>
      <c r="S27" s="877"/>
      <c r="T27" s="869">
        <f>SUM(Z27:AA27)</f>
        <v>0</v>
      </c>
      <c r="U27" s="877">
        <f t="shared" si="29"/>
        <v>0</v>
      </c>
      <c r="V27" s="877">
        <f t="shared" si="29"/>
        <v>0</v>
      </c>
      <c r="W27" s="877"/>
      <c r="X27" s="877"/>
      <c r="Y27" s="877"/>
      <c r="Z27" s="877"/>
      <c r="AA27" s="877"/>
      <c r="AB27" s="877"/>
      <c r="AC27" s="869">
        <f>AD27+AO27</f>
        <v>0</v>
      </c>
      <c r="AD27" s="869">
        <f>SUM(AJ27:AL27)</f>
        <v>0</v>
      </c>
      <c r="AE27" s="877"/>
      <c r="AF27" s="877">
        <f t="shared" si="30"/>
        <v>0</v>
      </c>
      <c r="AG27" s="877"/>
      <c r="AH27" s="877"/>
      <c r="AI27" s="877"/>
      <c r="AJ27" s="877"/>
      <c r="AK27" s="877"/>
      <c r="AL27" s="877"/>
      <c r="AM27" s="877"/>
      <c r="AN27" s="877"/>
      <c r="AO27" s="878">
        <f>SUM(AU27:AW27)</f>
        <v>0</v>
      </c>
      <c r="AP27" s="883"/>
      <c r="AQ27" s="883"/>
      <c r="AR27" s="883"/>
      <c r="AS27" s="883"/>
      <c r="AT27" s="884"/>
      <c r="AU27" s="885"/>
      <c r="AV27" s="877"/>
      <c r="AW27" s="877"/>
      <c r="AX27" s="877"/>
      <c r="AY27" s="877"/>
      <c r="AZ27" s="877"/>
    </row>
    <row r="28" spans="2:77" ht="82.5" hidden="1" customHeight="1" outlineLevel="1" thickTop="1" thickBot="1">
      <c r="B28" s="886" t="s">
        <v>1147</v>
      </c>
      <c r="C28" s="887" t="s">
        <v>1149</v>
      </c>
      <c r="D28" s="888" t="s">
        <v>1128</v>
      </c>
      <c r="E28" s="889">
        <f t="shared" si="14"/>
        <v>0</v>
      </c>
      <c r="F28" s="889">
        <f t="shared" si="10"/>
        <v>0</v>
      </c>
      <c r="G28" s="873">
        <f>SUM(I28:Y28)</f>
        <v>0</v>
      </c>
      <c r="H28" s="874"/>
      <c r="I28" s="874"/>
      <c r="J28" s="890"/>
      <c r="K28" s="890"/>
      <c r="L28" s="874"/>
      <c r="M28" s="874"/>
      <c r="N28" s="874"/>
      <c r="O28" s="874"/>
      <c r="P28" s="874"/>
      <c r="Q28" s="874"/>
      <c r="R28" s="874"/>
      <c r="S28" s="874"/>
      <c r="T28" s="873">
        <f>SUM(V28:AH28)</f>
        <v>0</v>
      </c>
      <c r="U28" s="874"/>
      <c r="V28" s="874"/>
      <c r="W28" s="874"/>
      <c r="X28" s="874"/>
      <c r="Y28" s="874"/>
      <c r="Z28" s="874"/>
      <c r="AA28" s="874"/>
      <c r="AB28" s="874"/>
      <c r="AC28" s="891">
        <f t="shared" si="25"/>
        <v>0</v>
      </c>
      <c r="AD28" s="873">
        <f>SUM(AF28:AI28)</f>
        <v>0</v>
      </c>
      <c r="AE28" s="874"/>
      <c r="AF28" s="874"/>
      <c r="AG28" s="874"/>
      <c r="AH28" s="874"/>
      <c r="AI28" s="874"/>
      <c r="AJ28" s="874"/>
      <c r="AK28" s="874"/>
      <c r="AL28" s="874"/>
      <c r="AM28" s="874"/>
      <c r="AN28" s="874"/>
      <c r="AO28" s="874">
        <f>SUM(AQ28:AT28)</f>
        <v>0</v>
      </c>
      <c r="AP28" s="874"/>
      <c r="AQ28" s="874"/>
      <c r="AR28" s="874"/>
      <c r="AS28" s="874"/>
      <c r="AT28" s="874"/>
      <c r="AU28" s="892"/>
      <c r="AV28" s="874"/>
      <c r="AW28" s="874"/>
      <c r="AX28" s="874"/>
      <c r="AY28" s="874"/>
      <c r="AZ28" s="874"/>
    </row>
    <row r="29" spans="2:77" ht="24.75" hidden="1" customHeight="1" outlineLevel="1" thickTop="1" thickBot="1">
      <c r="B29" s="886" t="s">
        <v>1150</v>
      </c>
      <c r="C29" s="887" t="s">
        <v>1151</v>
      </c>
      <c r="D29" s="888" t="s">
        <v>1128</v>
      </c>
      <c r="E29" s="889">
        <f t="shared" si="14"/>
        <v>0</v>
      </c>
      <c r="F29" s="889">
        <f t="shared" si="10"/>
        <v>0</v>
      </c>
      <c r="G29" s="873">
        <f>SUM(I29:L29)</f>
        <v>0</v>
      </c>
      <c r="H29" s="874"/>
      <c r="I29" s="874"/>
      <c r="J29" s="890"/>
      <c r="K29" s="890"/>
      <c r="L29" s="874"/>
      <c r="M29" s="874"/>
      <c r="N29" s="874"/>
      <c r="O29" s="874"/>
      <c r="P29" s="874"/>
      <c r="Q29" s="874"/>
      <c r="R29" s="874"/>
      <c r="S29" s="874"/>
      <c r="T29" s="873">
        <f>SUM(V29:Y29)</f>
        <v>0</v>
      </c>
      <c r="U29" s="874"/>
      <c r="V29" s="874"/>
      <c r="W29" s="874"/>
      <c r="X29" s="874"/>
      <c r="Y29" s="874"/>
      <c r="Z29" s="874"/>
      <c r="AA29" s="874"/>
      <c r="AB29" s="874"/>
      <c r="AC29" s="891">
        <f t="shared" si="25"/>
        <v>0</v>
      </c>
      <c r="AD29" s="873">
        <f>SUM(AF29:AI29)</f>
        <v>0</v>
      </c>
      <c r="AE29" s="874"/>
      <c r="AF29" s="874"/>
      <c r="AG29" s="874"/>
      <c r="AH29" s="874"/>
      <c r="AI29" s="874"/>
      <c r="AJ29" s="874"/>
      <c r="AK29" s="874"/>
      <c r="AL29" s="874"/>
      <c r="AM29" s="874"/>
      <c r="AN29" s="874"/>
      <c r="AO29" s="874">
        <f>SUM(AQ29:AT29)</f>
        <v>0</v>
      </c>
      <c r="AP29" s="874"/>
      <c r="AQ29" s="874"/>
      <c r="AR29" s="874"/>
      <c r="AS29" s="874"/>
      <c r="AT29" s="874"/>
      <c r="AU29" s="892"/>
      <c r="AV29" s="874"/>
      <c r="AW29" s="874"/>
      <c r="AX29" s="874"/>
      <c r="AY29" s="874"/>
      <c r="AZ29" s="874"/>
    </row>
    <row r="30" spans="2:77" ht="42" hidden="1" customHeight="1" outlineLevel="1" thickTop="1" thickBot="1">
      <c r="B30" s="886" t="s">
        <v>1152</v>
      </c>
      <c r="C30" s="887" t="s">
        <v>1153</v>
      </c>
      <c r="D30" s="888" t="s">
        <v>1128</v>
      </c>
      <c r="E30" s="889">
        <f t="shared" si="14"/>
        <v>0</v>
      </c>
      <c r="F30" s="889">
        <f t="shared" si="10"/>
        <v>0</v>
      </c>
      <c r="G30" s="873">
        <f>SUM(I30:L30)</f>
        <v>0</v>
      </c>
      <c r="H30" s="874"/>
      <c r="I30" s="874"/>
      <c r="J30" s="890"/>
      <c r="K30" s="890"/>
      <c r="L30" s="874"/>
      <c r="M30" s="874"/>
      <c r="N30" s="874"/>
      <c r="O30" s="874"/>
      <c r="P30" s="874"/>
      <c r="Q30" s="874"/>
      <c r="R30" s="874"/>
      <c r="S30" s="874"/>
      <c r="T30" s="873">
        <f>SUM(V30:Y30)</f>
        <v>0</v>
      </c>
      <c r="U30" s="874"/>
      <c r="V30" s="874"/>
      <c r="W30" s="874"/>
      <c r="X30" s="874">
        <f>X32*X33*X34*X35*X13</f>
        <v>0</v>
      </c>
      <c r="Y30" s="874"/>
      <c r="Z30" s="874"/>
      <c r="AA30" s="874"/>
      <c r="AB30" s="874"/>
      <c r="AC30" s="891">
        <f t="shared" si="25"/>
        <v>0</v>
      </c>
      <c r="AD30" s="873">
        <f>SUM(AF30:AI30)</f>
        <v>0</v>
      </c>
      <c r="AE30" s="874"/>
      <c r="AF30" s="874"/>
      <c r="AG30" s="874"/>
      <c r="AH30" s="874"/>
      <c r="AI30" s="874"/>
      <c r="AJ30" s="874"/>
      <c r="AK30" s="874"/>
      <c r="AL30" s="874"/>
      <c r="AM30" s="874"/>
      <c r="AN30" s="874"/>
      <c r="AO30" s="874">
        <f>SUM(AQ30:AT30)</f>
        <v>0</v>
      </c>
      <c r="AP30" s="874"/>
      <c r="AQ30" s="874"/>
      <c r="AR30" s="874"/>
      <c r="AS30" s="874">
        <f>AS32*AS33*AS34*AS35*AS13</f>
        <v>0</v>
      </c>
      <c r="AT30" s="874"/>
      <c r="AU30" s="892"/>
      <c r="AV30" s="874"/>
      <c r="AW30" s="874"/>
      <c r="AX30" s="874"/>
      <c r="AY30" s="874"/>
      <c r="AZ30" s="874"/>
    </row>
    <row r="31" spans="2:77" s="899" customFormat="1" ht="20.25" hidden="1" customHeight="1" outlineLevel="1" thickTop="1">
      <c r="B31" s="886" t="s">
        <v>1154</v>
      </c>
      <c r="C31" s="893" t="s">
        <v>1155</v>
      </c>
      <c r="D31" s="894" t="s">
        <v>1156</v>
      </c>
      <c r="E31" s="895"/>
      <c r="F31" s="895">
        <f t="shared" si="10"/>
        <v>0</v>
      </c>
      <c r="G31" s="895">
        <f>SUM(I31:J31)</f>
        <v>0</v>
      </c>
      <c r="H31" s="896"/>
      <c r="I31" s="896"/>
      <c r="J31" s="890"/>
      <c r="K31" s="890"/>
      <c r="L31" s="897"/>
      <c r="M31" s="897"/>
      <c r="N31" s="897"/>
      <c r="O31" s="897"/>
      <c r="P31" s="897"/>
      <c r="Q31" s="897"/>
      <c r="R31" s="897"/>
      <c r="S31" s="897"/>
      <c r="T31" s="898">
        <f>SUM(V31:W31)</f>
        <v>0</v>
      </c>
      <c r="U31" s="897"/>
      <c r="V31" s="897"/>
      <c r="W31" s="897"/>
      <c r="X31" s="897">
        <f>42233/11811.5</f>
        <v>3.5755831181475681</v>
      </c>
      <c r="Y31" s="897"/>
      <c r="Z31" s="897"/>
      <c r="AA31" s="897"/>
      <c r="AB31" s="897"/>
      <c r="AC31" s="898">
        <f t="shared" si="25"/>
        <v>0</v>
      </c>
      <c r="AD31" s="898">
        <f>SUM(AF31:AG31)</f>
        <v>0</v>
      </c>
      <c r="AE31" s="897"/>
      <c r="AF31" s="897"/>
      <c r="AG31" s="897"/>
      <c r="AH31" s="897">
        <f>59170/15166.2</f>
        <v>3.9014387255871608</v>
      </c>
      <c r="AI31" s="897"/>
      <c r="AJ31" s="897"/>
      <c r="AK31" s="897"/>
      <c r="AL31" s="897"/>
      <c r="AM31" s="897"/>
      <c r="AN31" s="897"/>
      <c r="AO31" s="897">
        <f>SUM(AQ31:AR31)</f>
        <v>0</v>
      </c>
      <c r="AP31" s="897"/>
      <c r="AQ31" s="897"/>
      <c r="AR31" s="897"/>
      <c r="AS31" s="897">
        <f>59170/15166.2</f>
        <v>3.9014387255871608</v>
      </c>
      <c r="AT31" s="897"/>
      <c r="AU31" s="897"/>
      <c r="AV31" s="897"/>
      <c r="AW31" s="897"/>
      <c r="AX31" s="897"/>
      <c r="AY31" s="897"/>
      <c r="AZ31" s="897"/>
    </row>
    <row r="32" spans="2:77" s="899" customFormat="1" ht="20.25" hidden="1" customHeight="1" outlineLevel="1">
      <c r="B32" s="886" t="s">
        <v>1157</v>
      </c>
      <c r="C32" s="893" t="s">
        <v>1158</v>
      </c>
      <c r="D32" s="894" t="s">
        <v>1159</v>
      </c>
      <c r="E32" s="895"/>
      <c r="F32" s="895">
        <f t="shared" si="10"/>
        <v>0</v>
      </c>
      <c r="G32" s="895">
        <f>SUM(I32:J32)</f>
        <v>0</v>
      </c>
      <c r="H32" s="896"/>
      <c r="I32" s="896"/>
      <c r="J32" s="890"/>
      <c r="K32" s="890"/>
      <c r="L32" s="897"/>
      <c r="M32" s="897"/>
      <c r="N32" s="897"/>
      <c r="O32" s="897"/>
      <c r="P32" s="897"/>
      <c r="Q32" s="897"/>
      <c r="R32" s="897"/>
      <c r="S32" s="897"/>
      <c r="T32" s="898">
        <f>SUM(V32:W32)</f>
        <v>0</v>
      </c>
      <c r="U32" s="897"/>
      <c r="V32" s="897"/>
      <c r="W32" s="897"/>
      <c r="X32" s="897">
        <f>X31*$T$59*1000</f>
        <v>0</v>
      </c>
      <c r="Y32" s="897"/>
      <c r="Z32" s="897"/>
      <c r="AA32" s="897"/>
      <c r="AB32" s="897"/>
      <c r="AC32" s="898">
        <f t="shared" si="25"/>
        <v>0</v>
      </c>
      <c r="AD32" s="898">
        <f>SUM(AF32:AG32)</f>
        <v>0</v>
      </c>
      <c r="AE32" s="897"/>
      <c r="AF32" s="897"/>
      <c r="AG32" s="897"/>
      <c r="AH32" s="897">
        <f>AH31*$AD$59*1000</f>
        <v>0</v>
      </c>
      <c r="AI32" s="897"/>
      <c r="AJ32" s="897"/>
      <c r="AK32" s="897"/>
      <c r="AL32" s="897"/>
      <c r="AM32" s="897"/>
      <c r="AN32" s="897"/>
      <c r="AO32" s="897">
        <f>SUM(AQ32:AR32)</f>
        <v>0</v>
      </c>
      <c r="AP32" s="897"/>
      <c r="AQ32" s="897"/>
      <c r="AR32" s="897"/>
      <c r="AS32" s="897">
        <f>AS31*$AO$59*1000</f>
        <v>78.028774511743208</v>
      </c>
      <c r="AT32" s="897"/>
      <c r="AU32" s="897"/>
      <c r="AV32" s="897"/>
      <c r="AW32" s="897"/>
      <c r="AX32" s="897"/>
      <c r="AY32" s="897"/>
      <c r="AZ32" s="897"/>
    </row>
    <row r="33" spans="2:77" s="899" customFormat="1" ht="20.25" hidden="1" customHeight="1" outlineLevel="1">
      <c r="B33" s="886" t="s">
        <v>1160</v>
      </c>
      <c r="C33" s="893" t="s">
        <v>1161</v>
      </c>
      <c r="D33" s="894" t="s">
        <v>1162</v>
      </c>
      <c r="E33" s="895"/>
      <c r="F33" s="895">
        <f t="shared" si="10"/>
        <v>0</v>
      </c>
      <c r="G33" s="895">
        <f>SUM(I33:J33)</f>
        <v>0</v>
      </c>
      <c r="H33" s="896"/>
      <c r="I33" s="896"/>
      <c r="J33" s="890"/>
      <c r="K33" s="890"/>
      <c r="L33" s="897"/>
      <c r="M33" s="897"/>
      <c r="N33" s="897"/>
      <c r="O33" s="897"/>
      <c r="P33" s="897"/>
      <c r="Q33" s="897"/>
      <c r="R33" s="897"/>
      <c r="S33" s="897"/>
      <c r="T33" s="898">
        <f>SUM(V33:W33)</f>
        <v>0</v>
      </c>
      <c r="U33" s="897"/>
      <c r="V33" s="897"/>
      <c r="W33" s="897"/>
      <c r="X33" s="897">
        <f>654.52/1000</f>
        <v>0.65451999999999999</v>
      </c>
      <c r="Y33" s="897"/>
      <c r="Z33" s="897"/>
      <c r="AA33" s="897"/>
      <c r="AB33" s="897"/>
      <c r="AC33" s="898">
        <f t="shared" si="25"/>
        <v>0</v>
      </c>
      <c r="AD33" s="898">
        <f>SUM(AF33:AG33)</f>
        <v>0</v>
      </c>
      <c r="AE33" s="897"/>
      <c r="AF33" s="897"/>
      <c r="AG33" s="897"/>
      <c r="AH33" s="897">
        <f>654.52/1000</f>
        <v>0.65451999999999999</v>
      </c>
      <c r="AI33" s="897"/>
      <c r="AJ33" s="897"/>
      <c r="AK33" s="897"/>
      <c r="AL33" s="897"/>
      <c r="AM33" s="897"/>
      <c r="AN33" s="897"/>
      <c r="AO33" s="897">
        <f>SUM(AQ33:AR33)</f>
        <v>0</v>
      </c>
      <c r="AP33" s="897"/>
      <c r="AQ33" s="897"/>
      <c r="AR33" s="897"/>
      <c r="AS33" s="897">
        <f>654.52/1000</f>
        <v>0.65451999999999999</v>
      </c>
      <c r="AT33" s="897"/>
      <c r="AU33" s="897"/>
      <c r="AV33" s="897"/>
      <c r="AW33" s="897"/>
      <c r="AX33" s="897"/>
      <c r="AY33" s="897"/>
      <c r="AZ33" s="897"/>
    </row>
    <row r="34" spans="2:77" s="899" customFormat="1" ht="20.25" hidden="1" customHeight="1" outlineLevel="1">
      <c r="B34" s="886" t="s">
        <v>1163</v>
      </c>
      <c r="C34" s="893" t="s">
        <v>1164</v>
      </c>
      <c r="D34" s="894" t="s">
        <v>1165</v>
      </c>
      <c r="E34" s="898"/>
      <c r="F34" s="898">
        <f t="shared" si="10"/>
        <v>0</v>
      </c>
      <c r="G34" s="898">
        <f>SUM(I34:J34)</f>
        <v>0</v>
      </c>
      <c r="H34" s="897"/>
      <c r="I34" s="897"/>
      <c r="J34" s="890"/>
      <c r="K34" s="890"/>
      <c r="L34" s="897"/>
      <c r="M34" s="897"/>
      <c r="N34" s="897"/>
      <c r="O34" s="897"/>
      <c r="P34" s="897"/>
      <c r="Q34" s="897"/>
      <c r="R34" s="897"/>
      <c r="S34" s="897"/>
      <c r="T34" s="898">
        <f>SUM(V34:W34)</f>
        <v>0</v>
      </c>
      <c r="U34" s="897"/>
      <c r="V34" s="897"/>
      <c r="W34" s="897"/>
      <c r="X34" s="897">
        <v>2.5000000000000001E-2</v>
      </c>
      <c r="Y34" s="897"/>
      <c r="Z34" s="897"/>
      <c r="AA34" s="897"/>
      <c r="AB34" s="897"/>
      <c r="AC34" s="898">
        <f t="shared" si="25"/>
        <v>0</v>
      </c>
      <c r="AD34" s="898">
        <f>SUM(AF34:AG34)</f>
        <v>0</v>
      </c>
      <c r="AE34" s="897"/>
      <c r="AF34" s="897"/>
      <c r="AG34" s="897"/>
      <c r="AH34" s="897">
        <v>2.5000000000000001E-2</v>
      </c>
      <c r="AI34" s="897"/>
      <c r="AJ34" s="897"/>
      <c r="AK34" s="897"/>
      <c r="AL34" s="897"/>
      <c r="AM34" s="897"/>
      <c r="AN34" s="897"/>
      <c r="AO34" s="897">
        <f>SUM(AQ34:AR34)</f>
        <v>0</v>
      </c>
      <c r="AP34" s="897"/>
      <c r="AQ34" s="897"/>
      <c r="AR34" s="897"/>
      <c r="AS34" s="897">
        <v>2.5000000000000001E-2</v>
      </c>
      <c r="AT34" s="897"/>
      <c r="AU34" s="897"/>
      <c r="AV34" s="897"/>
      <c r="AW34" s="897"/>
      <c r="AX34" s="897"/>
      <c r="AY34" s="897"/>
      <c r="AZ34" s="897"/>
    </row>
    <row r="35" spans="2:77" s="899" customFormat="1" ht="60.75" hidden="1" customHeight="1" outlineLevel="1">
      <c r="B35" s="886" t="s">
        <v>1166</v>
      </c>
      <c r="C35" s="893" t="s">
        <v>1167</v>
      </c>
      <c r="D35" s="894"/>
      <c r="E35" s="898"/>
      <c r="F35" s="898">
        <f t="shared" si="10"/>
        <v>0</v>
      </c>
      <c r="G35" s="898">
        <f>SUM(I35:J35)</f>
        <v>0</v>
      </c>
      <c r="H35" s="897"/>
      <c r="I35" s="897"/>
      <c r="J35" s="890"/>
      <c r="K35" s="890"/>
      <c r="L35" s="897"/>
      <c r="M35" s="897"/>
      <c r="N35" s="897"/>
      <c r="O35" s="897"/>
      <c r="P35" s="897"/>
      <c r="Q35" s="897"/>
      <c r="R35" s="897"/>
      <c r="S35" s="897"/>
      <c r="T35" s="898">
        <f>SUM(V35:W35)</f>
        <v>0</v>
      </c>
      <c r="U35" s="897"/>
      <c r="V35" s="897"/>
      <c r="W35" s="897"/>
      <c r="X35" s="897">
        <f>1.139*1.064*1.087*1.062*1.077</f>
        <v>1.5067288922928481</v>
      </c>
      <c r="Y35" s="897"/>
      <c r="Z35" s="897"/>
      <c r="AA35" s="897"/>
      <c r="AB35" s="897"/>
      <c r="AC35" s="898">
        <f t="shared" si="25"/>
        <v>0</v>
      </c>
      <c r="AD35" s="898">
        <f>SUM(AF35:AG35)</f>
        <v>0</v>
      </c>
      <c r="AE35" s="897"/>
      <c r="AF35" s="897"/>
      <c r="AG35" s="897"/>
      <c r="AH35" s="897">
        <f>1.139*1.064*1.087*1.062*1.077</f>
        <v>1.5067288922928481</v>
      </c>
      <c r="AI35" s="897"/>
      <c r="AJ35" s="897"/>
      <c r="AK35" s="897"/>
      <c r="AL35" s="897"/>
      <c r="AM35" s="897"/>
      <c r="AN35" s="897"/>
      <c r="AO35" s="897">
        <f>SUM(AQ35:AR35)</f>
        <v>0</v>
      </c>
      <c r="AP35" s="897"/>
      <c r="AQ35" s="897"/>
      <c r="AR35" s="897"/>
      <c r="AS35" s="897">
        <f>1.139*1.064*1.087*1.062*1.077</f>
        <v>1.5067288922928481</v>
      </c>
      <c r="AT35" s="897"/>
      <c r="AU35" s="897"/>
      <c r="AV35" s="897"/>
      <c r="AW35" s="897"/>
      <c r="AX35" s="897"/>
      <c r="AY35" s="897"/>
      <c r="AZ35" s="897"/>
    </row>
    <row r="36" spans="2:77" ht="27.75" customHeight="1" collapsed="1" thickBot="1">
      <c r="B36" s="900"/>
      <c r="C36" s="901" t="s">
        <v>1168</v>
      </c>
      <c r="D36" s="902" t="s">
        <v>1128</v>
      </c>
      <c r="E36" s="903"/>
      <c r="F36" s="903"/>
      <c r="G36" s="903">
        <f>G37+G38+G39+G41</f>
        <v>1155.7226024838665</v>
      </c>
      <c r="H36" s="862">
        <f t="shared" ref="H36:S36" si="32">H37+H38+H39+H41</f>
        <v>0</v>
      </c>
      <c r="I36" s="862">
        <f t="shared" si="32"/>
        <v>0</v>
      </c>
      <c r="J36" s="862">
        <f>J37+J38+J39+J41</f>
        <v>0</v>
      </c>
      <c r="K36" s="862">
        <f t="shared" si="32"/>
        <v>0</v>
      </c>
      <c r="L36" s="862">
        <f t="shared" si="32"/>
        <v>0</v>
      </c>
      <c r="M36" s="862">
        <f t="shared" si="32"/>
        <v>0</v>
      </c>
      <c r="N36" s="862">
        <f t="shared" si="32"/>
        <v>0</v>
      </c>
      <c r="O36" s="862">
        <f t="shared" si="32"/>
        <v>0</v>
      </c>
      <c r="P36" s="862">
        <f>P37+P38+P39+P41</f>
        <v>81.858390833333331</v>
      </c>
      <c r="Q36" s="862">
        <f t="shared" si="32"/>
        <v>0</v>
      </c>
      <c r="R36" s="862">
        <f t="shared" si="32"/>
        <v>347.07957713333332</v>
      </c>
      <c r="S36" s="862">
        <f t="shared" si="32"/>
        <v>726.78463451719995</v>
      </c>
      <c r="T36" s="903">
        <f>T37+T38+T39+T41</f>
        <v>0</v>
      </c>
      <c r="U36" s="862">
        <f t="shared" ref="U36:Z36" si="33">U37+U38+U39+U41</f>
        <v>0</v>
      </c>
      <c r="V36" s="862">
        <f t="shared" si="33"/>
        <v>0</v>
      </c>
      <c r="W36" s="862">
        <f t="shared" si="33"/>
        <v>0</v>
      </c>
      <c r="X36" s="862">
        <f t="shared" si="33"/>
        <v>0</v>
      </c>
      <c r="Y36" s="862">
        <f t="shared" si="33"/>
        <v>0</v>
      </c>
      <c r="Z36" s="862">
        <f t="shared" si="33"/>
        <v>0</v>
      </c>
      <c r="AA36" s="862">
        <f>AA37+AA38+AA39+AA41</f>
        <v>0</v>
      </c>
      <c r="AB36" s="862">
        <f>AB37+AB38+AB39+AB41</f>
        <v>0</v>
      </c>
      <c r="AC36" s="903"/>
      <c r="AD36" s="903">
        <f>AD37+AD38+AD39+AD41</f>
        <v>0</v>
      </c>
      <c r="AE36" s="862">
        <f t="shared" ref="AE36:AL36" si="34">AE37+AE38+AE39+AE41</f>
        <v>0</v>
      </c>
      <c r="AF36" s="862">
        <f t="shared" si="34"/>
        <v>0</v>
      </c>
      <c r="AG36" s="862">
        <f>AG37+AG38+AG39+AG41</f>
        <v>0</v>
      </c>
      <c r="AH36" s="862">
        <f t="shared" si="34"/>
        <v>0</v>
      </c>
      <c r="AI36" s="862">
        <f t="shared" si="34"/>
        <v>0</v>
      </c>
      <c r="AJ36" s="862">
        <f t="shared" si="34"/>
        <v>0</v>
      </c>
      <c r="AK36" s="862">
        <f t="shared" si="34"/>
        <v>0</v>
      </c>
      <c r="AL36" s="862">
        <f t="shared" si="34"/>
        <v>0</v>
      </c>
      <c r="AM36" s="862"/>
      <c r="AN36" s="862"/>
      <c r="AO36" s="862">
        <f>AO37+AO38+AO39+AO41</f>
        <v>124.49542956759998</v>
      </c>
      <c r="AP36" s="862">
        <f t="shared" ref="AP36:AZ36" si="35">AP37+AP38+AP39+AP41</f>
        <v>0</v>
      </c>
      <c r="AQ36" s="862">
        <f t="shared" si="35"/>
        <v>0</v>
      </c>
      <c r="AR36" s="862">
        <f t="shared" si="35"/>
        <v>0</v>
      </c>
      <c r="AS36" s="862">
        <f t="shared" si="35"/>
        <v>0</v>
      </c>
      <c r="AT36" s="862">
        <f t="shared" si="35"/>
        <v>0</v>
      </c>
      <c r="AU36" s="862">
        <f t="shared" si="35"/>
        <v>0</v>
      </c>
      <c r="AV36" s="862">
        <f t="shared" si="35"/>
        <v>0</v>
      </c>
      <c r="AW36" s="862">
        <f t="shared" si="35"/>
        <v>0</v>
      </c>
      <c r="AX36" s="862">
        <f t="shared" si="35"/>
        <v>0</v>
      </c>
      <c r="AY36" s="862">
        <f t="shared" si="35"/>
        <v>40.2376954</v>
      </c>
      <c r="AZ36" s="862">
        <f t="shared" si="35"/>
        <v>84.257734167599992</v>
      </c>
    </row>
    <row r="37" spans="2:77" ht="30.75" customHeight="1" thickTop="1" thickBot="1">
      <c r="B37" s="904"/>
      <c r="C37" s="905" t="s">
        <v>1169</v>
      </c>
      <c r="D37" s="906" t="s">
        <v>1128</v>
      </c>
      <c r="E37" s="907"/>
      <c r="F37" s="907"/>
      <c r="G37" s="873">
        <f>SUM(M37:S37)</f>
        <v>51.336462043775995</v>
      </c>
      <c r="H37" s="874"/>
      <c r="I37" s="874"/>
      <c r="J37" s="874"/>
      <c r="K37" s="874"/>
      <c r="L37" s="874"/>
      <c r="M37" s="874"/>
      <c r="N37" s="874"/>
      <c r="O37" s="874"/>
      <c r="P37" s="874"/>
      <c r="Q37" s="874"/>
      <c r="R37" s="874">
        <f>(1.59076*29.52)/12*4*R13</f>
        <v>16.592263104000001</v>
      </c>
      <c r="S37" s="874">
        <f>(1.59076*29.52)/12*8*S13*R13</f>
        <v>34.744198939775998</v>
      </c>
      <c r="T37" s="873">
        <f>SUM(Z37:AB37)</f>
        <v>0</v>
      </c>
      <c r="U37" s="874"/>
      <c r="V37" s="874"/>
      <c r="W37" s="874"/>
      <c r="X37" s="874"/>
      <c r="Y37" s="874"/>
      <c r="Z37" s="874"/>
      <c r="AA37" s="874"/>
      <c r="AB37" s="874"/>
      <c r="AC37" s="907"/>
      <c r="AD37" s="873">
        <f>AM37+AX37</f>
        <v>0</v>
      </c>
      <c r="AE37" s="874"/>
      <c r="AF37" s="874"/>
      <c r="AG37" s="874"/>
      <c r="AH37" s="874"/>
      <c r="AI37" s="874"/>
      <c r="AJ37" s="874"/>
      <c r="AK37" s="874"/>
      <c r="AL37" s="874"/>
      <c r="AM37" s="874"/>
      <c r="AN37" s="874"/>
      <c r="AO37" s="874">
        <f>AY37+AZ37</f>
        <v>29.203268395391998</v>
      </c>
      <c r="AP37" s="874"/>
      <c r="AQ37" s="874"/>
      <c r="AR37" s="874"/>
      <c r="AS37" s="874"/>
      <c r="AT37" s="874"/>
      <c r="AU37" s="874"/>
      <c r="AV37" s="874"/>
      <c r="AW37" s="874"/>
      <c r="AX37" s="874"/>
      <c r="AY37" s="874">
        <f>(0.90492*29.52)/12*4*AY13</f>
        <v>9.4386775679999992</v>
      </c>
      <c r="AZ37" s="874">
        <f>(0.90492*29.52)/12*8*AZ13*AY13</f>
        <v>19.764590827391999</v>
      </c>
    </row>
    <row r="38" spans="2:77" ht="30.75" customHeight="1" thickTop="1" thickBot="1">
      <c r="B38" s="904"/>
      <c r="C38" s="905" t="s">
        <v>1170</v>
      </c>
      <c r="D38" s="906" t="s">
        <v>1128</v>
      </c>
      <c r="E38" s="907"/>
      <c r="F38" s="907"/>
      <c r="G38" s="873">
        <f>SUM(M38:S38)</f>
        <v>30.208853246208001</v>
      </c>
      <c r="H38" s="874"/>
      <c r="I38" s="874"/>
      <c r="J38" s="874"/>
      <c r="K38" s="874"/>
      <c r="L38" s="874"/>
      <c r="M38" s="874"/>
      <c r="N38" s="874"/>
      <c r="O38" s="874"/>
      <c r="P38" s="874"/>
      <c r="Q38" s="874"/>
      <c r="R38" s="874">
        <f>(0.93608*29.52)/12*4*R13</f>
        <v>9.7636888320000015</v>
      </c>
      <c r="S38" s="874">
        <f>(0.93608*29.52)/12*8*S13*R13</f>
        <v>20.445164414207998</v>
      </c>
      <c r="T38" s="873">
        <f>SUM(Z38:AB38)</f>
        <v>0</v>
      </c>
      <c r="U38" s="874"/>
      <c r="V38" s="874"/>
      <c r="W38" s="874"/>
      <c r="X38" s="874"/>
      <c r="Y38" s="874"/>
      <c r="Z38" s="874"/>
      <c r="AA38" s="874"/>
      <c r="AB38" s="874"/>
      <c r="AC38" s="907"/>
      <c r="AD38" s="873">
        <f>AM38+AX38</f>
        <v>0</v>
      </c>
      <c r="AE38" s="874"/>
      <c r="AF38" s="874"/>
      <c r="AG38" s="874"/>
      <c r="AH38" s="874"/>
      <c r="AI38" s="874"/>
      <c r="AJ38" s="874"/>
      <c r="AK38" s="874"/>
      <c r="AL38" s="874"/>
      <c r="AM38" s="874"/>
      <c r="AN38" s="874"/>
      <c r="AO38" s="874">
        <f>AY38+AZ38</f>
        <v>16.819342507967999</v>
      </c>
      <c r="AP38" s="874"/>
      <c r="AQ38" s="874"/>
      <c r="AR38" s="874"/>
      <c r="AS38" s="874"/>
      <c r="AT38" s="874"/>
      <c r="AU38" s="874"/>
      <c r="AV38" s="874"/>
      <c r="AW38" s="874"/>
      <c r="AX38" s="874"/>
      <c r="AY38" s="874">
        <f>(0.52118*29.52)/12*4*AY13</f>
        <v>5.4361158719999993</v>
      </c>
      <c r="AZ38" s="874">
        <f>(0.52118*29.52)/12*8*AZ13*AY13</f>
        <v>11.383226635967999</v>
      </c>
      <c r="BY38" s="908"/>
    </row>
    <row r="39" spans="2:77" ht="30.75" customHeight="1" outlineLevel="1" thickTop="1">
      <c r="B39" s="900"/>
      <c r="C39" s="909" t="s">
        <v>1171</v>
      </c>
      <c r="D39" s="902" t="s">
        <v>1128</v>
      </c>
      <c r="E39" s="903"/>
      <c r="F39" s="903"/>
      <c r="G39" s="903">
        <f>SUM(M39:R39)</f>
        <v>0</v>
      </c>
      <c r="H39" s="877"/>
      <c r="I39" s="877"/>
      <c r="J39" s="877"/>
      <c r="K39" s="877"/>
      <c r="L39" s="877"/>
      <c r="M39" s="877"/>
      <c r="N39" s="877"/>
      <c r="O39" s="877"/>
      <c r="P39" s="877"/>
      <c r="Q39" s="877"/>
      <c r="R39" s="877"/>
      <c r="S39" s="877"/>
      <c r="T39" s="903">
        <f>SUM(Z39:AB39)</f>
        <v>0</v>
      </c>
      <c r="U39" s="877"/>
      <c r="V39" s="877"/>
      <c r="W39" s="877"/>
      <c r="X39" s="877"/>
      <c r="Y39" s="877"/>
      <c r="Z39" s="877"/>
      <c r="AA39" s="877"/>
      <c r="AB39" s="877"/>
      <c r="AC39" s="903"/>
      <c r="AD39" s="903">
        <f>SUM(AJ39:AN39)</f>
        <v>0</v>
      </c>
      <c r="AE39" s="877"/>
      <c r="AF39" s="877"/>
      <c r="AG39" s="877"/>
      <c r="AH39" s="877"/>
      <c r="AI39" s="877"/>
      <c r="AJ39" s="877"/>
      <c r="AK39" s="877"/>
      <c r="AL39" s="877"/>
      <c r="AM39" s="877"/>
      <c r="AN39" s="877"/>
      <c r="AO39" s="877">
        <f>SUM(AU39:AX39)</f>
        <v>0</v>
      </c>
      <c r="AP39" s="877"/>
      <c r="AQ39" s="877"/>
      <c r="AR39" s="877"/>
      <c r="AS39" s="877"/>
      <c r="AT39" s="877"/>
      <c r="AU39" s="877"/>
      <c r="AV39" s="877"/>
      <c r="AW39" s="877"/>
      <c r="AX39" s="877"/>
      <c r="AY39" s="877"/>
      <c r="AZ39" s="877"/>
      <c r="BY39" s="908"/>
    </row>
    <row r="40" spans="2:77" ht="30.75" customHeight="1">
      <c r="B40" s="904"/>
      <c r="C40" s="905" t="s">
        <v>1172</v>
      </c>
      <c r="D40" s="906" t="s">
        <v>1128</v>
      </c>
      <c r="E40" s="907"/>
      <c r="F40" s="907"/>
      <c r="G40" s="907">
        <f t="shared" ref="G40:AB40" si="36">G20-G37-G38</f>
        <v>1074.1772871938824</v>
      </c>
      <c r="H40" s="877">
        <f t="shared" si="36"/>
        <v>0</v>
      </c>
      <c r="I40" s="877">
        <f t="shared" si="36"/>
        <v>0</v>
      </c>
      <c r="J40" s="877">
        <f t="shared" si="36"/>
        <v>0</v>
      </c>
      <c r="K40" s="877">
        <f t="shared" si="36"/>
        <v>0</v>
      </c>
      <c r="L40" s="877">
        <f t="shared" si="36"/>
        <v>0</v>
      </c>
      <c r="M40" s="877">
        <f t="shared" si="36"/>
        <v>0</v>
      </c>
      <c r="N40" s="877">
        <f t="shared" si="36"/>
        <v>0</v>
      </c>
      <c r="O40" s="877">
        <f t="shared" si="36"/>
        <v>0</v>
      </c>
      <c r="P40" s="877">
        <f t="shared" si="36"/>
        <v>81.858390833333331</v>
      </c>
      <c r="Q40" s="877">
        <f t="shared" si="36"/>
        <v>0</v>
      </c>
      <c r="R40" s="877">
        <f t="shared" si="36"/>
        <v>320.72362519733332</v>
      </c>
      <c r="S40" s="877">
        <f t="shared" si="36"/>
        <v>671.59527116321601</v>
      </c>
      <c r="T40" s="907">
        <f t="shared" si="36"/>
        <v>0</v>
      </c>
      <c r="U40" s="877">
        <f t="shared" si="36"/>
        <v>0</v>
      </c>
      <c r="V40" s="877">
        <f t="shared" si="36"/>
        <v>0</v>
      </c>
      <c r="W40" s="877">
        <f t="shared" si="36"/>
        <v>0</v>
      </c>
      <c r="X40" s="877">
        <f t="shared" si="36"/>
        <v>0</v>
      </c>
      <c r="Y40" s="877">
        <f t="shared" si="36"/>
        <v>0</v>
      </c>
      <c r="Z40" s="877">
        <f t="shared" si="36"/>
        <v>0</v>
      </c>
      <c r="AA40" s="877">
        <f t="shared" si="36"/>
        <v>0</v>
      </c>
      <c r="AB40" s="877">
        <f t="shared" si="36"/>
        <v>0</v>
      </c>
      <c r="AC40" s="907"/>
      <c r="AD40" s="907">
        <f>AD20-AD37-AD38</f>
        <v>0</v>
      </c>
      <c r="AE40" s="877">
        <f t="shared" ref="AE40:AT40" si="37">AE20-AE37-AE38</f>
        <v>0</v>
      </c>
      <c r="AF40" s="877">
        <f t="shared" si="37"/>
        <v>0</v>
      </c>
      <c r="AG40" s="877">
        <f>AG20-AG37-AG38</f>
        <v>0</v>
      </c>
      <c r="AH40" s="877">
        <f t="shared" si="37"/>
        <v>0</v>
      </c>
      <c r="AI40" s="877">
        <f t="shared" si="37"/>
        <v>0</v>
      </c>
      <c r="AJ40" s="877">
        <f t="shared" si="37"/>
        <v>0</v>
      </c>
      <c r="AK40" s="877">
        <f t="shared" si="37"/>
        <v>0</v>
      </c>
      <c r="AL40" s="877">
        <f t="shared" si="37"/>
        <v>0</v>
      </c>
      <c r="AM40" s="877"/>
      <c r="AN40" s="877"/>
      <c r="AO40" s="910">
        <f>AO20-AO37-AO38</f>
        <v>78.472818664239981</v>
      </c>
      <c r="AP40" s="877">
        <f t="shared" si="37"/>
        <v>0</v>
      </c>
      <c r="AQ40" s="877">
        <f t="shared" si="37"/>
        <v>0</v>
      </c>
      <c r="AR40" s="877">
        <f t="shared" si="37"/>
        <v>0</v>
      </c>
      <c r="AS40" s="877">
        <f t="shared" si="37"/>
        <v>0</v>
      </c>
      <c r="AT40" s="879">
        <f t="shared" si="37"/>
        <v>0</v>
      </c>
      <c r="AU40" s="879">
        <f t="shared" ref="AU40:AZ40" si="38">AU20-AU37-AU38</f>
        <v>0</v>
      </c>
      <c r="AV40" s="877">
        <f t="shared" si="38"/>
        <v>0</v>
      </c>
      <c r="AW40" s="877">
        <f t="shared" si="38"/>
        <v>0</v>
      </c>
      <c r="AX40" s="877">
        <f t="shared" si="38"/>
        <v>0</v>
      </c>
      <c r="AY40" s="877">
        <f t="shared" si="38"/>
        <v>25.362901960000002</v>
      </c>
      <c r="AZ40" s="877">
        <f t="shared" si="38"/>
        <v>53.109916704239993</v>
      </c>
    </row>
    <row r="41" spans="2:77" ht="40.5">
      <c r="B41" s="900"/>
      <c r="C41" s="909" t="s">
        <v>1173</v>
      </c>
      <c r="D41" s="902" t="s">
        <v>1128</v>
      </c>
      <c r="E41" s="903"/>
      <c r="F41" s="903"/>
      <c r="G41" s="903">
        <f>G40-G39</f>
        <v>1074.1772871938824</v>
      </c>
      <c r="H41" s="877">
        <f t="shared" ref="H41:S41" si="39">H40-H39</f>
        <v>0</v>
      </c>
      <c r="I41" s="877">
        <f t="shared" si="39"/>
        <v>0</v>
      </c>
      <c r="J41" s="877">
        <f t="shared" si="39"/>
        <v>0</v>
      </c>
      <c r="K41" s="877">
        <f>K40-K39</f>
        <v>0</v>
      </c>
      <c r="L41" s="877">
        <f t="shared" si="39"/>
        <v>0</v>
      </c>
      <c r="M41" s="877">
        <f t="shared" si="39"/>
        <v>0</v>
      </c>
      <c r="N41" s="877">
        <f t="shared" si="39"/>
        <v>0</v>
      </c>
      <c r="O41" s="877">
        <f t="shared" si="39"/>
        <v>0</v>
      </c>
      <c r="P41" s="877">
        <f t="shared" si="39"/>
        <v>81.858390833333331</v>
      </c>
      <c r="Q41" s="877">
        <f t="shared" si="39"/>
        <v>0</v>
      </c>
      <c r="R41" s="877">
        <f t="shared" si="39"/>
        <v>320.72362519733332</v>
      </c>
      <c r="S41" s="877">
        <f t="shared" si="39"/>
        <v>671.59527116321601</v>
      </c>
      <c r="T41" s="903">
        <f>T40-T39</f>
        <v>0</v>
      </c>
      <c r="U41" s="877">
        <f t="shared" ref="U41:AB41" si="40">U40-U39</f>
        <v>0</v>
      </c>
      <c r="V41" s="877">
        <f t="shared" si="40"/>
        <v>0</v>
      </c>
      <c r="W41" s="877">
        <f t="shared" si="40"/>
        <v>0</v>
      </c>
      <c r="X41" s="877">
        <f>X40-X39</f>
        <v>0</v>
      </c>
      <c r="Y41" s="877">
        <f t="shared" si="40"/>
        <v>0</v>
      </c>
      <c r="Z41" s="877">
        <f t="shared" si="40"/>
        <v>0</v>
      </c>
      <c r="AA41" s="877">
        <f t="shared" si="40"/>
        <v>0</v>
      </c>
      <c r="AB41" s="877">
        <f t="shared" si="40"/>
        <v>0</v>
      </c>
      <c r="AC41" s="903"/>
      <c r="AD41" s="903">
        <f>AD40-AD39</f>
        <v>0</v>
      </c>
      <c r="AE41" s="877">
        <f t="shared" ref="AE41:AL41" si="41">AE40-AE39</f>
        <v>0</v>
      </c>
      <c r="AF41" s="877">
        <f t="shared" si="41"/>
        <v>0</v>
      </c>
      <c r="AG41" s="877">
        <f>AG40-AG39</f>
        <v>0</v>
      </c>
      <c r="AH41" s="877">
        <f t="shared" si="41"/>
        <v>0</v>
      </c>
      <c r="AI41" s="877">
        <f t="shared" si="41"/>
        <v>0</v>
      </c>
      <c r="AJ41" s="877">
        <f t="shared" si="41"/>
        <v>0</v>
      </c>
      <c r="AK41" s="877">
        <f t="shared" si="41"/>
        <v>0</v>
      </c>
      <c r="AL41" s="877">
        <f t="shared" si="41"/>
        <v>0</v>
      </c>
      <c r="AM41" s="877"/>
      <c r="AN41" s="877"/>
      <c r="AO41" s="911">
        <f>AO40-AO39</f>
        <v>78.472818664239981</v>
      </c>
      <c r="AP41" s="877">
        <f t="shared" ref="AP41:AZ41" si="42">AP40-AP39</f>
        <v>0</v>
      </c>
      <c r="AQ41" s="877">
        <f t="shared" si="42"/>
        <v>0</v>
      </c>
      <c r="AR41" s="877">
        <f>AR40-AR39</f>
        <v>0</v>
      </c>
      <c r="AS41" s="877">
        <f t="shared" si="42"/>
        <v>0</v>
      </c>
      <c r="AT41" s="879">
        <f t="shared" si="42"/>
        <v>0</v>
      </c>
      <c r="AU41" s="879">
        <f t="shared" si="42"/>
        <v>0</v>
      </c>
      <c r="AV41" s="877">
        <f t="shared" si="42"/>
        <v>0</v>
      </c>
      <c r="AW41" s="877">
        <f t="shared" si="42"/>
        <v>0</v>
      </c>
      <c r="AX41" s="877">
        <f t="shared" si="42"/>
        <v>0</v>
      </c>
      <c r="AY41" s="877">
        <f t="shared" si="42"/>
        <v>25.362901960000002</v>
      </c>
      <c r="AZ41" s="877">
        <f t="shared" si="42"/>
        <v>53.109916704239993</v>
      </c>
    </row>
    <row r="42" spans="2:77" hidden="1" outlineLevel="1">
      <c r="B42" s="904"/>
      <c r="C42" s="905" t="s">
        <v>1174</v>
      </c>
      <c r="D42" s="906" t="s">
        <v>1128</v>
      </c>
      <c r="E42" s="907"/>
      <c r="F42" s="907"/>
      <c r="G42" s="907">
        <f>G36*1.2</f>
        <v>1386.8671229806398</v>
      </c>
      <c r="H42" s="877">
        <f t="shared" ref="H42:P42" si="43">H36*1.18</f>
        <v>0</v>
      </c>
      <c r="I42" s="877">
        <f t="shared" si="43"/>
        <v>0</v>
      </c>
      <c r="J42" s="877">
        <f t="shared" si="43"/>
        <v>0</v>
      </c>
      <c r="K42" s="877">
        <f t="shared" si="43"/>
        <v>0</v>
      </c>
      <c r="L42" s="877">
        <f t="shared" si="43"/>
        <v>0</v>
      </c>
      <c r="M42" s="877">
        <f t="shared" si="43"/>
        <v>0</v>
      </c>
      <c r="N42" s="877">
        <f t="shared" si="43"/>
        <v>0</v>
      </c>
      <c r="O42" s="877">
        <f t="shared" si="43"/>
        <v>0</v>
      </c>
      <c r="P42" s="877">
        <f t="shared" si="43"/>
        <v>96.592901183333325</v>
      </c>
      <c r="Q42" s="877"/>
      <c r="R42" s="877"/>
      <c r="S42" s="877"/>
      <c r="T42" s="907">
        <f>T36*1.2</f>
        <v>0</v>
      </c>
      <c r="U42" s="877">
        <f t="shared" ref="U42:Z42" si="44">U36*1.18</f>
        <v>0</v>
      </c>
      <c r="V42" s="877">
        <f t="shared" si="44"/>
        <v>0</v>
      </c>
      <c r="W42" s="877">
        <f t="shared" si="44"/>
        <v>0</v>
      </c>
      <c r="X42" s="877">
        <f t="shared" si="44"/>
        <v>0</v>
      </c>
      <c r="Y42" s="877">
        <f t="shared" si="44"/>
        <v>0</v>
      </c>
      <c r="Z42" s="877">
        <f t="shared" si="44"/>
        <v>0</v>
      </c>
      <c r="AA42" s="877">
        <f>AA36*1.2</f>
        <v>0</v>
      </c>
      <c r="AB42" s="877">
        <f>AB36*1.2</f>
        <v>0</v>
      </c>
      <c r="AC42" s="907"/>
      <c r="AD42" s="907">
        <f>AD36*1.2</f>
        <v>0</v>
      </c>
      <c r="AE42" s="877">
        <f t="shared" ref="AE42:AL42" si="45">AE36*1.18</f>
        <v>0</v>
      </c>
      <c r="AF42" s="877">
        <f t="shared" si="45"/>
        <v>0</v>
      </c>
      <c r="AG42" s="877">
        <f t="shared" si="45"/>
        <v>0</v>
      </c>
      <c r="AH42" s="877">
        <f t="shared" si="45"/>
        <v>0</v>
      </c>
      <c r="AI42" s="877">
        <f t="shared" si="45"/>
        <v>0</v>
      </c>
      <c r="AJ42" s="877">
        <f t="shared" si="45"/>
        <v>0</v>
      </c>
      <c r="AK42" s="877">
        <f t="shared" si="45"/>
        <v>0</v>
      </c>
      <c r="AL42" s="877">
        <f t="shared" si="45"/>
        <v>0</v>
      </c>
      <c r="AM42" s="877"/>
      <c r="AN42" s="877"/>
      <c r="AO42" s="910">
        <f>AO36*1.2</f>
        <v>149.39451548111998</v>
      </c>
      <c r="AP42" s="877">
        <f t="shared" ref="AP42:AU42" si="46">AP36*1.18</f>
        <v>0</v>
      </c>
      <c r="AQ42" s="877">
        <f t="shared" si="46"/>
        <v>0</v>
      </c>
      <c r="AR42" s="877">
        <f t="shared" si="46"/>
        <v>0</v>
      </c>
      <c r="AS42" s="877">
        <f t="shared" si="46"/>
        <v>0</v>
      </c>
      <c r="AT42" s="879">
        <f t="shared" si="46"/>
        <v>0</v>
      </c>
      <c r="AU42" s="879">
        <f t="shared" si="46"/>
        <v>0</v>
      </c>
      <c r="AV42" s="877">
        <f>AV36*1.2</f>
        <v>0</v>
      </c>
      <c r="AW42" s="877">
        <f>AW36*1.2</f>
        <v>0</v>
      </c>
      <c r="AX42" s="877">
        <f>AX36*1.18</f>
        <v>0</v>
      </c>
      <c r="AY42" s="877">
        <f>AY36*1.18</f>
        <v>47.480480571999998</v>
      </c>
      <c r="AZ42" s="877">
        <f>AZ36*1.18</f>
        <v>99.424126317767985</v>
      </c>
    </row>
    <row r="43" spans="2:77" ht="31.5" customHeight="1" collapsed="1">
      <c r="B43" s="866" t="s">
        <v>1175</v>
      </c>
      <c r="C43" s="867" t="s">
        <v>1176</v>
      </c>
      <c r="D43" s="868" t="s">
        <v>1128</v>
      </c>
      <c r="E43" s="869">
        <f>F43+AC43</f>
        <v>0</v>
      </c>
      <c r="F43" s="869">
        <f>F44+F45</f>
        <v>0</v>
      </c>
      <c r="G43" s="869">
        <f>G44+G45</f>
        <v>0</v>
      </c>
      <c r="H43" s="862">
        <f t="shared" ref="H43:P43" si="47">H44+H45</f>
        <v>0</v>
      </c>
      <c r="I43" s="862">
        <f t="shared" si="47"/>
        <v>0</v>
      </c>
      <c r="J43" s="862">
        <f t="shared" si="47"/>
        <v>0</v>
      </c>
      <c r="K43" s="862">
        <f t="shared" si="47"/>
        <v>0</v>
      </c>
      <c r="L43" s="862">
        <f t="shared" si="47"/>
        <v>0</v>
      </c>
      <c r="M43" s="862">
        <f>M44+M45</f>
        <v>0</v>
      </c>
      <c r="N43" s="862">
        <f t="shared" si="47"/>
        <v>0</v>
      </c>
      <c r="O43" s="862">
        <f t="shared" si="47"/>
        <v>0</v>
      </c>
      <c r="P43" s="862">
        <f t="shared" si="47"/>
        <v>0</v>
      </c>
      <c r="Q43" s="862"/>
      <c r="R43" s="862"/>
      <c r="S43" s="862"/>
      <c r="T43" s="869">
        <f>T44+T45</f>
        <v>0</v>
      </c>
      <c r="U43" s="862">
        <f t="shared" ref="U43:Z43" si="48">U44+U45</f>
        <v>0</v>
      </c>
      <c r="V43" s="862">
        <f t="shared" si="48"/>
        <v>0</v>
      </c>
      <c r="W43" s="862">
        <f t="shared" si="48"/>
        <v>0</v>
      </c>
      <c r="X43" s="862">
        <f t="shared" si="48"/>
        <v>0</v>
      </c>
      <c r="Y43" s="862">
        <f t="shared" si="48"/>
        <v>0</v>
      </c>
      <c r="Z43" s="862">
        <f t="shared" si="48"/>
        <v>0</v>
      </c>
      <c r="AA43" s="862">
        <f>AA44+AA45</f>
        <v>0</v>
      </c>
      <c r="AB43" s="862">
        <f>AB44+AB45</f>
        <v>0</v>
      </c>
      <c r="AC43" s="869">
        <f>AC44+AC45</f>
        <v>0</v>
      </c>
      <c r="AD43" s="869">
        <f>AD44+AD45</f>
        <v>0</v>
      </c>
      <c r="AE43" s="862">
        <f t="shared" ref="AE43:AL43" si="49">AE44+AE45</f>
        <v>0</v>
      </c>
      <c r="AF43" s="862">
        <f t="shared" si="49"/>
        <v>0</v>
      </c>
      <c r="AG43" s="862">
        <f t="shared" si="49"/>
        <v>0</v>
      </c>
      <c r="AH43" s="862">
        <f t="shared" si="49"/>
        <v>0</v>
      </c>
      <c r="AI43" s="862">
        <f t="shared" si="49"/>
        <v>0</v>
      </c>
      <c r="AJ43" s="862">
        <f t="shared" si="49"/>
        <v>0</v>
      </c>
      <c r="AK43" s="862">
        <f t="shared" si="49"/>
        <v>0</v>
      </c>
      <c r="AL43" s="862">
        <f t="shared" si="49"/>
        <v>0</v>
      </c>
      <c r="AM43" s="862"/>
      <c r="AN43" s="862"/>
      <c r="AO43" s="869">
        <f>AO44+AO45</f>
        <v>0</v>
      </c>
      <c r="AP43" s="862">
        <f t="shared" ref="AP43:AZ43" si="50">AP44+AP45</f>
        <v>0</v>
      </c>
      <c r="AQ43" s="862">
        <f t="shared" si="50"/>
        <v>0</v>
      </c>
      <c r="AR43" s="862">
        <f t="shared" si="50"/>
        <v>0</v>
      </c>
      <c r="AS43" s="862">
        <f t="shared" si="50"/>
        <v>0</v>
      </c>
      <c r="AT43" s="863">
        <f t="shared" si="50"/>
        <v>0</v>
      </c>
      <c r="AU43" s="863">
        <f t="shared" si="50"/>
        <v>0</v>
      </c>
      <c r="AV43" s="862">
        <f t="shared" si="50"/>
        <v>0</v>
      </c>
      <c r="AW43" s="862">
        <f t="shared" si="50"/>
        <v>0</v>
      </c>
      <c r="AX43" s="862">
        <f t="shared" si="50"/>
        <v>0</v>
      </c>
      <c r="AY43" s="862">
        <f t="shared" si="50"/>
        <v>0</v>
      </c>
      <c r="AZ43" s="862">
        <f t="shared" si="50"/>
        <v>0</v>
      </c>
    </row>
    <row r="44" spans="2:77" ht="21" hidden="1" customHeight="1" thickBot="1">
      <c r="B44" s="870" t="s">
        <v>1177</v>
      </c>
      <c r="C44" s="871" t="s">
        <v>1178</v>
      </c>
      <c r="D44" s="872" t="s">
        <v>1128</v>
      </c>
      <c r="E44" s="869"/>
      <c r="F44" s="869"/>
      <c r="G44" s="869"/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77"/>
      <c r="T44" s="869"/>
      <c r="U44" s="877"/>
      <c r="V44" s="877"/>
      <c r="W44" s="877"/>
      <c r="X44" s="877"/>
      <c r="Y44" s="877"/>
      <c r="Z44" s="877"/>
      <c r="AA44" s="877"/>
      <c r="AB44" s="877"/>
      <c r="AC44" s="869"/>
      <c r="AD44" s="869"/>
      <c r="AE44" s="877"/>
      <c r="AF44" s="877"/>
      <c r="AG44" s="877"/>
      <c r="AH44" s="877"/>
      <c r="AI44" s="877"/>
      <c r="AJ44" s="877"/>
      <c r="AK44" s="877"/>
      <c r="AL44" s="877"/>
      <c r="AM44" s="877"/>
      <c r="AN44" s="877"/>
      <c r="AO44" s="878"/>
      <c r="AP44" s="877"/>
      <c r="AQ44" s="877"/>
      <c r="AR44" s="877"/>
      <c r="AS44" s="877"/>
      <c r="AT44" s="879"/>
      <c r="AU44" s="879"/>
      <c r="AV44" s="877"/>
      <c r="AW44" s="877"/>
      <c r="AX44" s="877"/>
      <c r="AY44" s="877"/>
      <c r="AZ44" s="877"/>
    </row>
    <row r="45" spans="2:77" hidden="1" outlineLevel="1">
      <c r="B45" s="870" t="s">
        <v>1179</v>
      </c>
      <c r="C45" s="871" t="s">
        <v>1180</v>
      </c>
      <c r="D45" s="872" t="s">
        <v>1128</v>
      </c>
      <c r="E45" s="869">
        <f>F45+AC45</f>
        <v>0</v>
      </c>
      <c r="F45" s="869">
        <f>G45+T45</f>
        <v>0</v>
      </c>
      <c r="G45" s="912">
        <f>SUM(M45:O45)</f>
        <v>0</v>
      </c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877"/>
      <c r="S45" s="877"/>
      <c r="T45" s="869">
        <f>SUM(Z45:AA45)</f>
        <v>0</v>
      </c>
      <c r="U45" s="877"/>
      <c r="V45" s="877"/>
      <c r="W45" s="877"/>
      <c r="X45" s="877"/>
      <c r="Y45" s="877"/>
      <c r="Z45" s="877"/>
      <c r="AA45" s="877"/>
      <c r="AB45" s="877"/>
      <c r="AC45" s="869">
        <f>AD45+AO45</f>
        <v>0</v>
      </c>
      <c r="AD45" s="869">
        <f>SUM(AJ45:AL45)</f>
        <v>0</v>
      </c>
      <c r="AE45" s="877"/>
      <c r="AF45" s="877"/>
      <c r="AG45" s="877"/>
      <c r="AH45" s="877"/>
      <c r="AI45" s="877"/>
      <c r="AJ45" s="877"/>
      <c r="AK45" s="877"/>
      <c r="AL45" s="877"/>
      <c r="AM45" s="877"/>
      <c r="AN45" s="877"/>
      <c r="AO45" s="878">
        <f>SUM(AU45:AW45)</f>
        <v>0</v>
      </c>
      <c r="AP45" s="877"/>
      <c r="AQ45" s="877"/>
      <c r="AR45" s="877"/>
      <c r="AS45" s="877"/>
      <c r="AT45" s="879"/>
      <c r="AU45" s="879">
        <f>-'[22]расчет_%_на_увеличение_мощн_К'!CC27</f>
        <v>0</v>
      </c>
      <c r="AV45" s="877">
        <f>-'[22]расчет_%_на_увеличение_мощн_К'!CP27</f>
        <v>0</v>
      </c>
      <c r="AW45" s="877">
        <f>-'[22]расчет_%_на_увеличение_мощн_К'!DC27</f>
        <v>0</v>
      </c>
      <c r="AX45" s="877"/>
      <c r="AY45" s="877"/>
      <c r="AZ45" s="877"/>
    </row>
    <row r="46" spans="2:77" ht="30" customHeight="1" collapsed="1">
      <c r="B46" s="866" t="s">
        <v>1181</v>
      </c>
      <c r="C46" s="867" t="s">
        <v>1182</v>
      </c>
      <c r="D46" s="842" t="s">
        <v>1128</v>
      </c>
      <c r="E46" s="869">
        <f>F46+AC46</f>
        <v>357.75526301286664</v>
      </c>
      <c r="F46" s="869">
        <f>G46+T46</f>
        <v>300.59833562096662</v>
      </c>
      <c r="G46" s="869">
        <f>G16/80%*20%+G45/80%*20%</f>
        <v>300.59833562096662</v>
      </c>
      <c r="H46" s="862">
        <f t="shared" ref="H46:AB46" si="51">H16/80%*20%+H45/80%*20%</f>
        <v>0</v>
      </c>
      <c r="I46" s="862">
        <f t="shared" si="51"/>
        <v>0</v>
      </c>
      <c r="J46" s="862">
        <f>J16/80%*20%+J45/80%*20%</f>
        <v>0</v>
      </c>
      <c r="K46" s="862">
        <f>K16/80%*20%+K45/80%*20%</f>
        <v>0</v>
      </c>
      <c r="L46" s="862">
        <f t="shared" si="51"/>
        <v>0</v>
      </c>
      <c r="M46" s="862">
        <f t="shared" si="51"/>
        <v>0</v>
      </c>
      <c r="N46" s="862">
        <f t="shared" si="51"/>
        <v>0</v>
      </c>
      <c r="O46" s="862">
        <f t="shared" si="51"/>
        <v>0</v>
      </c>
      <c r="P46" s="862">
        <f t="shared" si="51"/>
        <v>20.464597708333333</v>
      </c>
      <c r="Q46" s="862">
        <f t="shared" si="51"/>
        <v>0</v>
      </c>
      <c r="R46" s="862">
        <f t="shared" si="51"/>
        <v>98.437579283333335</v>
      </c>
      <c r="S46" s="862">
        <f>S16/80%*20%+S45/80%*20%</f>
        <v>181.69615862929999</v>
      </c>
      <c r="T46" s="869">
        <f t="shared" si="51"/>
        <v>0</v>
      </c>
      <c r="U46" s="862">
        <f t="shared" si="51"/>
        <v>0</v>
      </c>
      <c r="V46" s="862">
        <f t="shared" si="51"/>
        <v>0</v>
      </c>
      <c r="W46" s="862">
        <f t="shared" si="51"/>
        <v>0</v>
      </c>
      <c r="X46" s="862">
        <f t="shared" si="51"/>
        <v>0</v>
      </c>
      <c r="Y46" s="862">
        <f t="shared" si="51"/>
        <v>0</v>
      </c>
      <c r="Z46" s="862">
        <f t="shared" si="51"/>
        <v>0</v>
      </c>
      <c r="AA46" s="862">
        <f t="shared" si="51"/>
        <v>0</v>
      </c>
      <c r="AB46" s="862">
        <f t="shared" si="51"/>
        <v>0</v>
      </c>
      <c r="AC46" s="869">
        <f>AO46</f>
        <v>57.156927391899991</v>
      </c>
      <c r="AD46" s="869">
        <f>AD16/80%*20%+AD45/80%*20%</f>
        <v>26.033069999999999</v>
      </c>
      <c r="AE46" s="862">
        <f t="shared" ref="AE46:AT46" si="52">AE16/80%*20%+AE45/80%*20%</f>
        <v>0</v>
      </c>
      <c r="AF46" s="862">
        <f t="shared" si="52"/>
        <v>0</v>
      </c>
      <c r="AG46" s="862">
        <f t="shared" si="52"/>
        <v>0</v>
      </c>
      <c r="AH46" s="862">
        <f t="shared" si="52"/>
        <v>0</v>
      </c>
      <c r="AI46" s="862">
        <f t="shared" si="52"/>
        <v>0</v>
      </c>
      <c r="AJ46" s="862">
        <f t="shared" si="52"/>
        <v>0</v>
      </c>
      <c r="AK46" s="862">
        <f t="shared" si="52"/>
        <v>0</v>
      </c>
      <c r="AL46" s="862">
        <f t="shared" si="52"/>
        <v>0</v>
      </c>
      <c r="AM46" s="862"/>
      <c r="AN46" s="862"/>
      <c r="AO46" s="869">
        <f>AO16/80%*20%+AO45/80%*20%</f>
        <v>57.156927391899991</v>
      </c>
      <c r="AP46" s="862">
        <f t="shared" si="52"/>
        <v>0</v>
      </c>
      <c r="AQ46" s="862">
        <f t="shared" si="52"/>
        <v>0</v>
      </c>
      <c r="AR46" s="862">
        <f t="shared" si="52"/>
        <v>0</v>
      </c>
      <c r="AS46" s="862">
        <f t="shared" si="52"/>
        <v>0</v>
      </c>
      <c r="AT46" s="863">
        <f t="shared" si="52"/>
        <v>0</v>
      </c>
      <c r="AU46" s="863">
        <f t="shared" ref="AU46:AZ46" si="53">AU16/80%*20%+AU45/80%*20%</f>
        <v>0</v>
      </c>
      <c r="AV46" s="862">
        <f t="shared" si="53"/>
        <v>0</v>
      </c>
      <c r="AW46" s="862">
        <f t="shared" si="53"/>
        <v>0</v>
      </c>
      <c r="AX46" s="862">
        <f t="shared" si="53"/>
        <v>0</v>
      </c>
      <c r="AY46" s="862">
        <f t="shared" si="53"/>
        <v>36.092493850000004</v>
      </c>
      <c r="AZ46" s="862">
        <f t="shared" si="53"/>
        <v>21.064433541899998</v>
      </c>
    </row>
    <row r="47" spans="2:77" hidden="1">
      <c r="B47" s="866">
        <v>2</v>
      </c>
      <c r="C47" s="913" t="s">
        <v>1183</v>
      </c>
      <c r="D47" s="868"/>
      <c r="E47" s="869"/>
      <c r="F47" s="869"/>
      <c r="G47" s="869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9"/>
      <c r="U47" s="862"/>
      <c r="V47" s="862"/>
      <c r="W47" s="862"/>
      <c r="X47" s="862"/>
      <c r="Y47" s="862"/>
      <c r="Z47" s="862"/>
      <c r="AA47" s="862"/>
      <c r="AB47" s="862"/>
      <c r="AC47" s="869"/>
      <c r="AD47" s="869"/>
      <c r="AE47" s="862"/>
      <c r="AF47" s="862"/>
      <c r="AG47" s="862"/>
      <c r="AH47" s="862"/>
      <c r="AI47" s="862"/>
      <c r="AJ47" s="862"/>
      <c r="AK47" s="862"/>
      <c r="AL47" s="862"/>
      <c r="AM47" s="862"/>
      <c r="AN47" s="862"/>
      <c r="AO47" s="869"/>
      <c r="AP47" s="862"/>
      <c r="AQ47" s="862"/>
      <c r="AR47" s="862"/>
      <c r="AS47" s="862"/>
      <c r="AT47" s="863"/>
      <c r="AU47" s="863"/>
      <c r="AV47" s="862"/>
      <c r="AW47" s="862"/>
      <c r="AX47" s="862"/>
      <c r="AY47" s="862"/>
      <c r="AZ47" s="862"/>
    </row>
    <row r="48" spans="2:77" hidden="1" outlineLevel="1">
      <c r="B48" s="866" t="s">
        <v>1184</v>
      </c>
      <c r="C48" s="867" t="s">
        <v>1185</v>
      </c>
      <c r="D48" s="868" t="s">
        <v>1128</v>
      </c>
      <c r="E48" s="869"/>
      <c r="F48" s="869"/>
      <c r="G48" s="869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9"/>
      <c r="U48" s="862"/>
      <c r="V48" s="862"/>
      <c r="W48" s="862"/>
      <c r="X48" s="862"/>
      <c r="Y48" s="862"/>
      <c r="Z48" s="862"/>
      <c r="AA48" s="862"/>
      <c r="AB48" s="862"/>
      <c r="AC48" s="869"/>
      <c r="AD48" s="869"/>
      <c r="AE48" s="862"/>
      <c r="AF48" s="862"/>
      <c r="AG48" s="862"/>
      <c r="AH48" s="862"/>
      <c r="AI48" s="862"/>
      <c r="AJ48" s="862"/>
      <c r="AK48" s="862"/>
      <c r="AL48" s="862"/>
      <c r="AM48" s="862"/>
      <c r="AN48" s="862"/>
      <c r="AO48" s="869"/>
      <c r="AP48" s="862"/>
      <c r="AQ48" s="862"/>
      <c r="AR48" s="862"/>
      <c r="AS48" s="862"/>
      <c r="AT48" s="863"/>
      <c r="AU48" s="863"/>
      <c r="AV48" s="862"/>
      <c r="AW48" s="862"/>
      <c r="AX48" s="862"/>
      <c r="AY48" s="862"/>
      <c r="AZ48" s="862"/>
    </row>
    <row r="49" spans="2:52" hidden="1" outlineLevel="2">
      <c r="B49" s="914" t="s">
        <v>1186</v>
      </c>
      <c r="C49" s="915" t="s">
        <v>1187</v>
      </c>
      <c r="D49" s="916" t="s">
        <v>1128</v>
      </c>
      <c r="E49" s="869"/>
      <c r="F49" s="869"/>
      <c r="G49" s="869"/>
      <c r="H49" s="877"/>
      <c r="I49" s="877"/>
      <c r="J49" s="877"/>
      <c r="K49" s="877"/>
      <c r="L49" s="877"/>
      <c r="M49" s="877"/>
      <c r="N49" s="877"/>
      <c r="O49" s="877"/>
      <c r="P49" s="877"/>
      <c r="Q49" s="877"/>
      <c r="R49" s="877"/>
      <c r="S49" s="877"/>
      <c r="T49" s="869"/>
      <c r="U49" s="877"/>
      <c r="V49" s="877"/>
      <c r="W49" s="877"/>
      <c r="X49" s="877"/>
      <c r="Y49" s="877"/>
      <c r="Z49" s="877"/>
      <c r="AA49" s="877"/>
      <c r="AB49" s="877"/>
      <c r="AC49" s="869"/>
      <c r="AD49" s="869"/>
      <c r="AE49" s="877"/>
      <c r="AF49" s="877"/>
      <c r="AG49" s="877"/>
      <c r="AH49" s="877"/>
      <c r="AI49" s="877"/>
      <c r="AJ49" s="877"/>
      <c r="AK49" s="877"/>
      <c r="AL49" s="877"/>
      <c r="AM49" s="877"/>
      <c r="AN49" s="877"/>
      <c r="AO49" s="878"/>
      <c r="AP49" s="877"/>
      <c r="AQ49" s="877"/>
      <c r="AR49" s="877"/>
      <c r="AS49" s="877"/>
      <c r="AT49" s="879"/>
      <c r="AU49" s="879"/>
      <c r="AV49" s="877"/>
      <c r="AW49" s="877"/>
      <c r="AX49" s="877"/>
      <c r="AY49" s="877"/>
      <c r="AZ49" s="877"/>
    </row>
    <row r="50" spans="2:52" ht="40.5" hidden="1" outlineLevel="2">
      <c r="B50" s="914" t="s">
        <v>1188</v>
      </c>
      <c r="C50" s="915" t="s">
        <v>1189</v>
      </c>
      <c r="D50" s="916" t="s">
        <v>1128</v>
      </c>
      <c r="E50" s="869"/>
      <c r="F50" s="869"/>
      <c r="G50" s="869"/>
      <c r="H50" s="877"/>
      <c r="I50" s="877"/>
      <c r="J50" s="877"/>
      <c r="K50" s="877"/>
      <c r="L50" s="877"/>
      <c r="M50" s="877"/>
      <c r="N50" s="877"/>
      <c r="O50" s="877"/>
      <c r="P50" s="877"/>
      <c r="Q50" s="877"/>
      <c r="R50" s="877"/>
      <c r="S50" s="877"/>
      <c r="T50" s="869"/>
      <c r="U50" s="877"/>
      <c r="V50" s="877"/>
      <c r="W50" s="877"/>
      <c r="X50" s="877"/>
      <c r="Y50" s="877"/>
      <c r="Z50" s="877"/>
      <c r="AA50" s="877"/>
      <c r="AB50" s="877"/>
      <c r="AC50" s="869"/>
      <c r="AD50" s="869"/>
      <c r="AE50" s="877"/>
      <c r="AF50" s="877"/>
      <c r="AG50" s="877"/>
      <c r="AH50" s="877"/>
      <c r="AI50" s="877"/>
      <c r="AJ50" s="877"/>
      <c r="AK50" s="877"/>
      <c r="AL50" s="877"/>
      <c r="AM50" s="877"/>
      <c r="AN50" s="877"/>
      <c r="AO50" s="878"/>
      <c r="AP50" s="877"/>
      <c r="AQ50" s="877"/>
      <c r="AR50" s="877"/>
      <c r="AS50" s="877"/>
      <c r="AT50" s="879"/>
      <c r="AU50" s="879"/>
      <c r="AV50" s="877"/>
      <c r="AW50" s="877"/>
      <c r="AX50" s="877"/>
      <c r="AY50" s="877"/>
      <c r="AZ50" s="877"/>
    </row>
    <row r="51" spans="2:52" ht="40.5" hidden="1" outlineLevel="2">
      <c r="B51" s="914" t="s">
        <v>1190</v>
      </c>
      <c r="C51" s="915" t="s">
        <v>1191</v>
      </c>
      <c r="D51" s="916" t="s">
        <v>1128</v>
      </c>
      <c r="E51" s="869"/>
      <c r="F51" s="869"/>
      <c r="G51" s="869"/>
      <c r="H51" s="877"/>
      <c r="I51" s="877"/>
      <c r="J51" s="877"/>
      <c r="K51" s="877"/>
      <c r="L51" s="877"/>
      <c r="M51" s="877"/>
      <c r="N51" s="877"/>
      <c r="O51" s="877"/>
      <c r="P51" s="877"/>
      <c r="Q51" s="877"/>
      <c r="R51" s="877"/>
      <c r="S51" s="877"/>
      <c r="T51" s="869"/>
      <c r="U51" s="877"/>
      <c r="V51" s="877"/>
      <c r="W51" s="877"/>
      <c r="X51" s="877"/>
      <c r="Y51" s="877"/>
      <c r="Z51" s="877"/>
      <c r="AA51" s="877"/>
      <c r="AB51" s="877"/>
      <c r="AC51" s="869"/>
      <c r="AD51" s="869"/>
      <c r="AE51" s="877"/>
      <c r="AF51" s="877"/>
      <c r="AG51" s="877"/>
      <c r="AH51" s="877"/>
      <c r="AI51" s="877"/>
      <c r="AJ51" s="877"/>
      <c r="AK51" s="877"/>
      <c r="AL51" s="877"/>
      <c r="AM51" s="877"/>
      <c r="AN51" s="877"/>
      <c r="AO51" s="878"/>
      <c r="AP51" s="877"/>
      <c r="AQ51" s="877"/>
      <c r="AR51" s="877"/>
      <c r="AS51" s="877"/>
      <c r="AT51" s="879"/>
      <c r="AU51" s="879"/>
      <c r="AV51" s="877"/>
      <c r="AW51" s="877"/>
      <c r="AX51" s="877"/>
      <c r="AY51" s="877"/>
      <c r="AZ51" s="877"/>
    </row>
    <row r="52" spans="2:52" ht="40.5" hidden="1" outlineLevel="2">
      <c r="B52" s="914" t="s">
        <v>1192</v>
      </c>
      <c r="C52" s="915" t="s">
        <v>1193</v>
      </c>
      <c r="D52" s="916" t="s">
        <v>1128</v>
      </c>
      <c r="E52" s="869"/>
      <c r="F52" s="869"/>
      <c r="G52" s="869"/>
      <c r="H52" s="877"/>
      <c r="I52" s="877"/>
      <c r="J52" s="877"/>
      <c r="K52" s="877"/>
      <c r="L52" s="877"/>
      <c r="M52" s="877"/>
      <c r="N52" s="877"/>
      <c r="O52" s="877"/>
      <c r="P52" s="877"/>
      <c r="Q52" s="877"/>
      <c r="R52" s="877"/>
      <c r="S52" s="877"/>
      <c r="T52" s="869"/>
      <c r="U52" s="877"/>
      <c r="V52" s="877"/>
      <c r="W52" s="877"/>
      <c r="X52" s="877"/>
      <c r="Y52" s="877"/>
      <c r="Z52" s="877"/>
      <c r="AA52" s="877"/>
      <c r="AB52" s="877"/>
      <c r="AC52" s="869"/>
      <c r="AD52" s="869"/>
      <c r="AE52" s="877"/>
      <c r="AF52" s="877"/>
      <c r="AG52" s="877"/>
      <c r="AH52" s="877"/>
      <c r="AI52" s="877"/>
      <c r="AJ52" s="877"/>
      <c r="AK52" s="877"/>
      <c r="AL52" s="877"/>
      <c r="AM52" s="877"/>
      <c r="AN52" s="877"/>
      <c r="AO52" s="878"/>
      <c r="AP52" s="877"/>
      <c r="AQ52" s="877"/>
      <c r="AR52" s="877"/>
      <c r="AS52" s="877"/>
      <c r="AT52" s="879"/>
      <c r="AU52" s="879"/>
      <c r="AV52" s="877"/>
      <c r="AW52" s="877"/>
      <c r="AX52" s="877"/>
      <c r="AY52" s="877"/>
      <c r="AZ52" s="877"/>
    </row>
    <row r="53" spans="2:52" ht="40.5" hidden="1" outlineLevel="2">
      <c r="B53" s="914"/>
      <c r="C53" s="915" t="s">
        <v>1194</v>
      </c>
      <c r="D53" s="916" t="s">
        <v>1128</v>
      </c>
      <c r="E53" s="869"/>
      <c r="F53" s="869"/>
      <c r="G53" s="869"/>
      <c r="H53" s="877"/>
      <c r="I53" s="877"/>
      <c r="J53" s="877"/>
      <c r="K53" s="877"/>
      <c r="L53" s="877"/>
      <c r="M53" s="877"/>
      <c r="N53" s="877"/>
      <c r="O53" s="877"/>
      <c r="P53" s="877"/>
      <c r="Q53" s="877"/>
      <c r="R53" s="877"/>
      <c r="S53" s="877"/>
      <c r="T53" s="869"/>
      <c r="U53" s="877"/>
      <c r="V53" s="877"/>
      <c r="W53" s="877"/>
      <c r="X53" s="877"/>
      <c r="Y53" s="877"/>
      <c r="Z53" s="877"/>
      <c r="AA53" s="877"/>
      <c r="AB53" s="877"/>
      <c r="AC53" s="869"/>
      <c r="AD53" s="869"/>
      <c r="AE53" s="877"/>
      <c r="AF53" s="877"/>
      <c r="AG53" s="877"/>
      <c r="AH53" s="877"/>
      <c r="AI53" s="877"/>
      <c r="AJ53" s="877"/>
      <c r="AK53" s="877"/>
      <c r="AL53" s="877"/>
      <c r="AM53" s="877"/>
      <c r="AN53" s="877"/>
      <c r="AO53" s="878"/>
      <c r="AP53" s="877"/>
      <c r="AQ53" s="877"/>
      <c r="AR53" s="877"/>
      <c r="AS53" s="877"/>
      <c r="AT53" s="879"/>
      <c r="AU53" s="879"/>
      <c r="AV53" s="877"/>
      <c r="AW53" s="877"/>
      <c r="AX53" s="877"/>
      <c r="AY53" s="877"/>
      <c r="AZ53" s="877"/>
    </row>
    <row r="54" spans="2:52" ht="40.5" hidden="1" outlineLevel="2">
      <c r="B54" s="914" t="s">
        <v>1195</v>
      </c>
      <c r="C54" s="915" t="s">
        <v>1196</v>
      </c>
      <c r="D54" s="916" t="s">
        <v>1128</v>
      </c>
      <c r="E54" s="869"/>
      <c r="F54" s="869"/>
      <c r="G54" s="869"/>
      <c r="H54" s="877"/>
      <c r="I54" s="877"/>
      <c r="J54" s="877"/>
      <c r="K54" s="877"/>
      <c r="L54" s="877"/>
      <c r="M54" s="877"/>
      <c r="N54" s="877"/>
      <c r="O54" s="877"/>
      <c r="P54" s="877"/>
      <c r="Q54" s="877"/>
      <c r="R54" s="877"/>
      <c r="S54" s="877"/>
      <c r="T54" s="869"/>
      <c r="U54" s="877"/>
      <c r="V54" s="877"/>
      <c r="W54" s="877"/>
      <c r="X54" s="877"/>
      <c r="Y54" s="877"/>
      <c r="Z54" s="877"/>
      <c r="AA54" s="877"/>
      <c r="AB54" s="877"/>
      <c r="AC54" s="869"/>
      <c r="AD54" s="869"/>
      <c r="AE54" s="877"/>
      <c r="AF54" s="877"/>
      <c r="AG54" s="877"/>
      <c r="AH54" s="877"/>
      <c r="AI54" s="877"/>
      <c r="AJ54" s="877"/>
      <c r="AK54" s="877"/>
      <c r="AL54" s="877"/>
      <c r="AM54" s="877"/>
      <c r="AN54" s="877"/>
      <c r="AO54" s="878"/>
      <c r="AP54" s="877"/>
      <c r="AQ54" s="877"/>
      <c r="AR54" s="877"/>
      <c r="AS54" s="877"/>
      <c r="AT54" s="879"/>
      <c r="AU54" s="879"/>
      <c r="AV54" s="877"/>
      <c r="AW54" s="877"/>
      <c r="AX54" s="877"/>
      <c r="AY54" s="877"/>
      <c r="AZ54" s="877"/>
    </row>
    <row r="55" spans="2:52" hidden="1" outlineLevel="2">
      <c r="B55" s="914" t="s">
        <v>1197</v>
      </c>
      <c r="C55" s="915" t="s">
        <v>1198</v>
      </c>
      <c r="D55" s="916" t="s">
        <v>1128</v>
      </c>
      <c r="E55" s="869"/>
      <c r="F55" s="869"/>
      <c r="G55" s="869"/>
      <c r="H55" s="877"/>
      <c r="I55" s="877"/>
      <c r="J55" s="877"/>
      <c r="K55" s="877"/>
      <c r="L55" s="877"/>
      <c r="M55" s="877"/>
      <c r="N55" s="877"/>
      <c r="O55" s="877"/>
      <c r="P55" s="877"/>
      <c r="Q55" s="877"/>
      <c r="R55" s="877"/>
      <c r="S55" s="877"/>
      <c r="T55" s="869"/>
      <c r="U55" s="877"/>
      <c r="V55" s="877"/>
      <c r="W55" s="877"/>
      <c r="X55" s="877"/>
      <c r="Y55" s="877"/>
      <c r="Z55" s="877"/>
      <c r="AA55" s="877"/>
      <c r="AB55" s="877"/>
      <c r="AC55" s="869"/>
      <c r="AD55" s="869"/>
      <c r="AE55" s="877"/>
      <c r="AF55" s="877"/>
      <c r="AG55" s="877"/>
      <c r="AH55" s="877"/>
      <c r="AI55" s="877"/>
      <c r="AJ55" s="877"/>
      <c r="AK55" s="877"/>
      <c r="AL55" s="877"/>
      <c r="AM55" s="877"/>
      <c r="AN55" s="877"/>
      <c r="AO55" s="878"/>
      <c r="AP55" s="877"/>
      <c r="AQ55" s="877"/>
      <c r="AR55" s="877"/>
      <c r="AS55" s="877"/>
      <c r="AT55" s="879"/>
      <c r="AU55" s="879"/>
      <c r="AV55" s="877"/>
      <c r="AW55" s="877"/>
      <c r="AX55" s="877"/>
      <c r="AY55" s="877"/>
      <c r="AZ55" s="877"/>
    </row>
    <row r="56" spans="2:52" hidden="1" outlineLevel="1" collapsed="1">
      <c r="B56" s="866" t="s">
        <v>1199</v>
      </c>
      <c r="C56" s="867" t="s">
        <v>1200</v>
      </c>
      <c r="D56" s="868" t="s">
        <v>1128</v>
      </c>
      <c r="E56" s="869"/>
      <c r="F56" s="869"/>
      <c r="G56" s="869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9"/>
      <c r="U56" s="862"/>
      <c r="V56" s="862"/>
      <c r="W56" s="862"/>
      <c r="X56" s="862"/>
      <c r="Y56" s="862"/>
      <c r="Z56" s="862"/>
      <c r="AA56" s="862"/>
      <c r="AB56" s="862"/>
      <c r="AC56" s="869"/>
      <c r="AD56" s="869"/>
      <c r="AE56" s="862"/>
      <c r="AF56" s="862"/>
      <c r="AG56" s="862"/>
      <c r="AH56" s="862"/>
      <c r="AI56" s="862"/>
      <c r="AJ56" s="862"/>
      <c r="AK56" s="862"/>
      <c r="AL56" s="862"/>
      <c r="AM56" s="862"/>
      <c r="AN56" s="862"/>
      <c r="AO56" s="869"/>
      <c r="AP56" s="862"/>
      <c r="AQ56" s="862"/>
      <c r="AR56" s="862"/>
      <c r="AS56" s="862"/>
      <c r="AT56" s="863"/>
      <c r="AU56" s="863"/>
      <c r="AV56" s="862"/>
      <c r="AW56" s="862"/>
      <c r="AX56" s="862"/>
      <c r="AY56" s="862"/>
      <c r="AZ56" s="862"/>
    </row>
    <row r="57" spans="2:52" ht="67.5" hidden="1" customHeight="1" collapsed="1">
      <c r="B57" s="866" t="s">
        <v>1201</v>
      </c>
      <c r="C57" s="867" t="s">
        <v>1202</v>
      </c>
      <c r="D57" s="868" t="s">
        <v>1128</v>
      </c>
      <c r="E57" s="869">
        <f>F57+AC57</f>
        <v>1918.9416650643334</v>
      </c>
      <c r="F57" s="869">
        <f>G57+T57</f>
        <v>1502.9916781048332</v>
      </c>
      <c r="G57" s="869">
        <f t="shared" ref="G57:L57" si="54">G14</f>
        <v>1502.9916781048332</v>
      </c>
      <c r="H57" s="862">
        <f t="shared" si="54"/>
        <v>0</v>
      </c>
      <c r="I57" s="862">
        <f t="shared" si="54"/>
        <v>0</v>
      </c>
      <c r="J57" s="862">
        <f t="shared" si="54"/>
        <v>0</v>
      </c>
      <c r="K57" s="862">
        <f t="shared" si="54"/>
        <v>0</v>
      </c>
      <c r="L57" s="862">
        <f t="shared" si="54"/>
        <v>0</v>
      </c>
      <c r="M57" s="862"/>
      <c r="N57" s="862"/>
      <c r="O57" s="862"/>
      <c r="P57" s="862"/>
      <c r="Q57" s="862"/>
      <c r="R57" s="862"/>
      <c r="S57" s="862"/>
      <c r="T57" s="869">
        <f>T14</f>
        <v>0</v>
      </c>
      <c r="U57" s="862">
        <f t="shared" ref="U57:Z57" si="55">U14</f>
        <v>0</v>
      </c>
      <c r="V57" s="862">
        <f t="shared" si="55"/>
        <v>0</v>
      </c>
      <c r="W57" s="862">
        <f t="shared" si="55"/>
        <v>0</v>
      </c>
      <c r="X57" s="862">
        <f t="shared" si="55"/>
        <v>0</v>
      </c>
      <c r="Y57" s="862">
        <f t="shared" si="55"/>
        <v>0</v>
      </c>
      <c r="Z57" s="862">
        <f t="shared" si="55"/>
        <v>0</v>
      </c>
      <c r="AA57" s="862"/>
      <c r="AB57" s="862"/>
      <c r="AC57" s="869">
        <f t="shared" ref="AC57:AC66" si="56">AD57+AO57</f>
        <v>415.94998695950005</v>
      </c>
      <c r="AD57" s="869">
        <f>AD14</f>
        <v>130.16535000000002</v>
      </c>
      <c r="AE57" s="862">
        <f t="shared" ref="AE57:AJ57" si="57">AE14</f>
        <v>0</v>
      </c>
      <c r="AF57" s="862">
        <f t="shared" si="57"/>
        <v>0</v>
      </c>
      <c r="AG57" s="862">
        <f t="shared" si="57"/>
        <v>0</v>
      </c>
      <c r="AH57" s="862">
        <f t="shared" si="57"/>
        <v>0</v>
      </c>
      <c r="AI57" s="862">
        <f t="shared" si="57"/>
        <v>0</v>
      </c>
      <c r="AJ57" s="862">
        <f t="shared" si="57"/>
        <v>0</v>
      </c>
      <c r="AK57" s="862"/>
      <c r="AL57" s="862"/>
      <c r="AM57" s="862"/>
      <c r="AN57" s="862"/>
      <c r="AO57" s="869">
        <f>AO14</f>
        <v>285.78463695950001</v>
      </c>
      <c r="AP57" s="862">
        <f t="shared" ref="AP57:AV57" si="58">AP14</f>
        <v>0</v>
      </c>
      <c r="AQ57" s="862">
        <f t="shared" si="58"/>
        <v>0</v>
      </c>
      <c r="AR57" s="862">
        <f t="shared" si="58"/>
        <v>0</v>
      </c>
      <c r="AS57" s="862">
        <f t="shared" si="58"/>
        <v>0</v>
      </c>
      <c r="AT57" s="863">
        <f t="shared" si="58"/>
        <v>0</v>
      </c>
      <c r="AU57" s="863"/>
      <c r="AV57" s="862">
        <f t="shared" si="58"/>
        <v>0</v>
      </c>
      <c r="AW57" s="862"/>
      <c r="AX57" s="862"/>
      <c r="AY57" s="862"/>
      <c r="AZ57" s="862"/>
    </row>
    <row r="58" spans="2:52" hidden="1">
      <c r="B58" s="866">
        <v>3</v>
      </c>
      <c r="C58" s="913" t="s">
        <v>1203</v>
      </c>
      <c r="D58" s="868" t="s">
        <v>1204</v>
      </c>
      <c r="E58" s="869"/>
      <c r="F58" s="869"/>
      <c r="G58" s="869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9"/>
      <c r="U58" s="862"/>
      <c r="V58" s="862"/>
      <c r="W58" s="862"/>
      <c r="X58" s="862"/>
      <c r="Y58" s="862"/>
      <c r="Z58" s="862"/>
      <c r="AA58" s="862"/>
      <c r="AB58" s="862"/>
      <c r="AC58" s="869"/>
      <c r="AD58" s="869"/>
      <c r="AE58" s="862"/>
      <c r="AF58" s="862"/>
      <c r="AG58" s="862"/>
      <c r="AH58" s="862"/>
      <c r="AI58" s="862"/>
      <c r="AJ58" s="862"/>
      <c r="AK58" s="862"/>
      <c r="AL58" s="862"/>
      <c r="AM58" s="862"/>
      <c r="AN58" s="862"/>
      <c r="AO58" s="869"/>
      <c r="AP58" s="862"/>
      <c r="AQ58" s="862"/>
      <c r="AR58" s="862"/>
      <c r="AS58" s="862"/>
      <c r="AT58" s="863"/>
      <c r="AU58" s="863"/>
      <c r="AV58" s="862"/>
      <c r="AW58" s="862"/>
      <c r="AX58" s="862"/>
      <c r="AY58" s="862"/>
      <c r="AZ58" s="862"/>
    </row>
    <row r="59" spans="2:52" ht="34.5" customHeight="1">
      <c r="B59" s="917" t="s">
        <v>1205</v>
      </c>
      <c r="C59" s="918" t="s">
        <v>1206</v>
      </c>
      <c r="D59" s="842" t="s">
        <v>1204</v>
      </c>
      <c r="E59" s="869"/>
      <c r="F59" s="869">
        <f>G59+T59</f>
        <v>0.03</v>
      </c>
      <c r="G59" s="869">
        <f>G60+G61+G62+G63+G64+G65+G66</f>
        <v>0.03</v>
      </c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9">
        <f>T60+T61+T62+T63+T64+T65+T66</f>
        <v>0</v>
      </c>
      <c r="U59" s="862"/>
      <c r="V59" s="862"/>
      <c r="W59" s="862"/>
      <c r="X59" s="862"/>
      <c r="Y59" s="862"/>
      <c r="Z59" s="862"/>
      <c r="AA59" s="862"/>
      <c r="AB59" s="862"/>
      <c r="AC59" s="869"/>
      <c r="AD59" s="869"/>
      <c r="AE59" s="862"/>
      <c r="AF59" s="862"/>
      <c r="AG59" s="862"/>
      <c r="AH59" s="862"/>
      <c r="AI59" s="862"/>
      <c r="AJ59" s="862"/>
      <c r="AK59" s="862"/>
      <c r="AL59" s="862"/>
      <c r="AM59" s="862"/>
      <c r="AN59" s="862"/>
      <c r="AO59" s="869">
        <f>AO60+AO61+AO62+AO63+AO64+AO65+AO66</f>
        <v>0.02</v>
      </c>
      <c r="AP59" s="862"/>
      <c r="AQ59" s="862"/>
      <c r="AR59" s="862"/>
      <c r="AS59" s="862"/>
      <c r="AT59" s="863"/>
      <c r="AU59" s="863"/>
      <c r="AV59" s="862"/>
      <c r="AW59" s="862"/>
      <c r="AX59" s="862"/>
      <c r="AY59" s="862"/>
      <c r="AZ59" s="862"/>
    </row>
    <row r="60" spans="2:52" hidden="1" outlineLevel="1">
      <c r="B60" s="870" t="s">
        <v>1207</v>
      </c>
      <c r="C60" s="871" t="s">
        <v>1208</v>
      </c>
      <c r="D60" s="872" t="s">
        <v>1204</v>
      </c>
      <c r="E60" s="869"/>
      <c r="F60" s="869">
        <f t="shared" ref="F60:F66" si="59">G60+T60</f>
        <v>0</v>
      </c>
      <c r="G60" s="912"/>
      <c r="H60" s="877"/>
      <c r="I60" s="877"/>
      <c r="J60" s="877"/>
      <c r="K60" s="877"/>
      <c r="L60" s="877"/>
      <c r="M60" s="877"/>
      <c r="N60" s="877"/>
      <c r="O60" s="877"/>
      <c r="P60" s="877"/>
      <c r="Q60" s="877"/>
      <c r="R60" s="877"/>
      <c r="S60" s="877"/>
      <c r="T60" s="869"/>
      <c r="U60" s="877"/>
      <c r="V60" s="877"/>
      <c r="W60" s="877"/>
      <c r="X60" s="877"/>
      <c r="Y60" s="877"/>
      <c r="Z60" s="877"/>
      <c r="AA60" s="877"/>
      <c r="AB60" s="877"/>
      <c r="AC60" s="869">
        <f t="shared" si="56"/>
        <v>0</v>
      </c>
      <c r="AD60" s="869"/>
      <c r="AE60" s="877"/>
      <c r="AF60" s="877"/>
      <c r="AG60" s="877"/>
      <c r="AH60" s="877"/>
      <c r="AI60" s="877"/>
      <c r="AJ60" s="877"/>
      <c r="AK60" s="877"/>
      <c r="AL60" s="877"/>
      <c r="AM60" s="877"/>
      <c r="AN60" s="877"/>
      <c r="AO60" s="878"/>
      <c r="AP60" s="877"/>
      <c r="AQ60" s="877"/>
      <c r="AR60" s="877"/>
      <c r="AS60" s="877"/>
      <c r="AT60" s="879"/>
      <c r="AU60" s="879"/>
      <c r="AV60" s="877"/>
      <c r="AW60" s="877"/>
      <c r="AX60" s="877"/>
      <c r="AY60" s="877"/>
      <c r="AZ60" s="877"/>
    </row>
    <row r="61" spans="2:52" hidden="1" outlineLevel="1">
      <c r="B61" s="870" t="s">
        <v>1209</v>
      </c>
      <c r="C61" s="871" t="s">
        <v>1210</v>
      </c>
      <c r="D61" s="872" t="s">
        <v>1204</v>
      </c>
      <c r="E61" s="869"/>
      <c r="F61" s="919">
        <f t="shared" si="59"/>
        <v>0</v>
      </c>
      <c r="G61" s="912"/>
      <c r="H61" s="879"/>
      <c r="I61" s="877"/>
      <c r="J61" s="877"/>
      <c r="K61" s="877"/>
      <c r="L61" s="877"/>
      <c r="M61" s="877"/>
      <c r="N61" s="877"/>
      <c r="O61" s="877"/>
      <c r="P61" s="877"/>
      <c r="Q61" s="877"/>
      <c r="R61" s="877"/>
      <c r="S61" s="877"/>
      <c r="T61" s="869"/>
      <c r="U61" s="877"/>
      <c r="V61" s="877"/>
      <c r="W61" s="877"/>
      <c r="X61" s="877"/>
      <c r="Y61" s="877"/>
      <c r="Z61" s="877"/>
      <c r="AA61" s="877"/>
      <c r="AB61" s="877"/>
      <c r="AC61" s="869">
        <f t="shared" si="56"/>
        <v>0</v>
      </c>
      <c r="AD61" s="869"/>
      <c r="AE61" s="877"/>
      <c r="AF61" s="877"/>
      <c r="AG61" s="877"/>
      <c r="AH61" s="877"/>
      <c r="AI61" s="877"/>
      <c r="AJ61" s="877"/>
      <c r="AK61" s="877"/>
      <c r="AL61" s="877"/>
      <c r="AM61" s="877"/>
      <c r="AN61" s="877"/>
      <c r="AO61" s="878"/>
      <c r="AP61" s="877"/>
      <c r="AQ61" s="877"/>
      <c r="AR61" s="877"/>
      <c r="AS61" s="877"/>
      <c r="AT61" s="879"/>
      <c r="AU61" s="879"/>
      <c r="AV61" s="877"/>
      <c r="AW61" s="877"/>
      <c r="AX61" s="877"/>
      <c r="AY61" s="877"/>
      <c r="AZ61" s="877"/>
    </row>
    <row r="62" spans="2:52" ht="42.75" hidden="1" customHeight="1" collapsed="1" thickBot="1">
      <c r="B62" s="870" t="s">
        <v>1211</v>
      </c>
      <c r="C62" s="871" t="s">
        <v>1212</v>
      </c>
      <c r="D62" s="872" t="s">
        <v>1204</v>
      </c>
      <c r="E62" s="869"/>
      <c r="F62" s="869">
        <f t="shared" si="59"/>
        <v>0</v>
      </c>
      <c r="G62" s="869"/>
      <c r="H62" s="877"/>
      <c r="I62" s="877"/>
      <c r="J62" s="877"/>
      <c r="K62" s="877"/>
      <c r="L62" s="877"/>
      <c r="M62" s="877"/>
      <c r="N62" s="877"/>
      <c r="O62" s="877"/>
      <c r="P62" s="877"/>
      <c r="Q62" s="877"/>
      <c r="R62" s="877"/>
      <c r="S62" s="877"/>
      <c r="T62" s="869"/>
      <c r="U62" s="877"/>
      <c r="V62" s="877"/>
      <c r="W62" s="877"/>
      <c r="X62" s="877"/>
      <c r="Y62" s="877"/>
      <c r="Z62" s="877"/>
      <c r="AA62" s="877"/>
      <c r="AB62" s="877"/>
      <c r="AC62" s="869">
        <f t="shared" si="56"/>
        <v>0</v>
      </c>
      <c r="AD62" s="912"/>
      <c r="AE62" s="877"/>
      <c r="AF62" s="877"/>
      <c r="AG62" s="877"/>
      <c r="AH62" s="877"/>
      <c r="AI62" s="877"/>
      <c r="AJ62" s="877"/>
      <c r="AK62" s="877"/>
      <c r="AL62" s="877"/>
      <c r="AM62" s="877"/>
      <c r="AN62" s="877"/>
      <c r="AO62" s="878"/>
      <c r="AP62" s="877"/>
      <c r="AQ62" s="877"/>
      <c r="AR62" s="877"/>
      <c r="AS62" s="877"/>
      <c r="AT62" s="879"/>
      <c r="AU62" s="879"/>
      <c r="AV62" s="877"/>
      <c r="AW62" s="877"/>
      <c r="AX62" s="877"/>
      <c r="AY62" s="877"/>
      <c r="AZ62" s="877"/>
    </row>
    <row r="63" spans="2:52" ht="44.25" hidden="1" customHeight="1" thickTop="1" thickBot="1">
      <c r="B63" s="870" t="s">
        <v>1213</v>
      </c>
      <c r="C63" s="871" t="s">
        <v>1214</v>
      </c>
      <c r="D63" s="872" t="s">
        <v>1204</v>
      </c>
      <c r="E63" s="869"/>
      <c r="F63" s="869">
        <f t="shared" si="59"/>
        <v>0</v>
      </c>
      <c r="G63" s="869"/>
      <c r="H63" s="877"/>
      <c r="I63" s="877"/>
      <c r="J63" s="877"/>
      <c r="K63" s="877"/>
      <c r="L63" s="877"/>
      <c r="M63" s="877"/>
      <c r="N63" s="877"/>
      <c r="O63" s="877"/>
      <c r="P63" s="877"/>
      <c r="Q63" s="920"/>
      <c r="R63" s="877"/>
      <c r="S63" s="879"/>
      <c r="T63" s="921"/>
      <c r="U63" s="877"/>
      <c r="V63" s="877"/>
      <c r="W63" s="877"/>
      <c r="X63" s="877"/>
      <c r="Y63" s="877"/>
      <c r="Z63" s="877"/>
      <c r="AA63" s="877"/>
      <c r="AB63" s="877"/>
      <c r="AC63" s="869">
        <f t="shared" si="56"/>
        <v>0</v>
      </c>
      <c r="AD63" s="912"/>
      <c r="AE63" s="877"/>
      <c r="AF63" s="877"/>
      <c r="AG63" s="877"/>
      <c r="AH63" s="877"/>
      <c r="AI63" s="877"/>
      <c r="AJ63" s="877"/>
      <c r="AK63" s="877"/>
      <c r="AL63" s="877"/>
      <c r="AM63" s="877"/>
      <c r="AN63" s="877"/>
      <c r="AO63" s="878"/>
      <c r="AP63" s="877"/>
      <c r="AQ63" s="877"/>
      <c r="AR63" s="877"/>
      <c r="AS63" s="877"/>
      <c r="AT63" s="879"/>
      <c r="AU63" s="879"/>
      <c r="AV63" s="877"/>
      <c r="AW63" s="877"/>
      <c r="AX63" s="877"/>
      <c r="AY63" s="877"/>
      <c r="AZ63" s="877"/>
    </row>
    <row r="64" spans="2:52" ht="46.5" hidden="1" customHeight="1" thickTop="1" thickBot="1">
      <c r="B64" s="870" t="s">
        <v>1215</v>
      </c>
      <c r="C64" s="871" t="s">
        <v>1216</v>
      </c>
      <c r="D64" s="872" t="s">
        <v>1204</v>
      </c>
      <c r="E64" s="869"/>
      <c r="F64" s="869">
        <f t="shared" si="59"/>
        <v>0</v>
      </c>
      <c r="G64" s="869"/>
      <c r="H64" s="877"/>
      <c r="I64" s="877"/>
      <c r="J64" s="877"/>
      <c r="K64" s="877"/>
      <c r="L64" s="877"/>
      <c r="M64" s="877"/>
      <c r="N64" s="877"/>
      <c r="O64" s="877"/>
      <c r="P64" s="877"/>
      <c r="Q64" s="883"/>
      <c r="R64" s="877"/>
      <c r="S64" s="883"/>
      <c r="T64" s="869"/>
      <c r="U64" s="877"/>
      <c r="V64" s="877"/>
      <c r="W64" s="877"/>
      <c r="X64" s="877"/>
      <c r="Y64" s="877"/>
      <c r="Z64" s="877"/>
      <c r="AA64" s="877"/>
      <c r="AB64" s="877"/>
      <c r="AC64" s="869">
        <f t="shared" si="56"/>
        <v>0</v>
      </c>
      <c r="AD64" s="873"/>
      <c r="AE64" s="877"/>
      <c r="AF64" s="877"/>
      <c r="AG64" s="877"/>
      <c r="AH64" s="877"/>
      <c r="AI64" s="877"/>
      <c r="AJ64" s="877"/>
      <c r="AK64" s="877"/>
      <c r="AL64" s="877"/>
      <c r="AM64" s="877"/>
      <c r="AN64" s="877"/>
      <c r="AO64" s="878"/>
      <c r="AP64" s="877"/>
      <c r="AQ64" s="877"/>
      <c r="AR64" s="877"/>
      <c r="AS64" s="877"/>
      <c r="AT64" s="879"/>
      <c r="AU64" s="879"/>
      <c r="AV64" s="877"/>
      <c r="AW64" s="877"/>
      <c r="AX64" s="877"/>
      <c r="AY64" s="877"/>
      <c r="AZ64" s="877"/>
    </row>
    <row r="65" spans="2:52" ht="55.5" customHeight="1" outlineLevel="2">
      <c r="B65" s="870" t="s">
        <v>1217</v>
      </c>
      <c r="C65" s="871" t="s">
        <v>1218</v>
      </c>
      <c r="D65" s="872" t="s">
        <v>1204</v>
      </c>
      <c r="E65" s="869"/>
      <c r="F65" s="869">
        <f t="shared" si="59"/>
        <v>0.03</v>
      </c>
      <c r="G65" s="869">
        <f>0.015+0.015</f>
        <v>0.03</v>
      </c>
      <c r="H65" s="877"/>
      <c r="I65" s="877"/>
      <c r="J65" s="877"/>
      <c r="K65" s="877"/>
      <c r="L65" s="877"/>
      <c r="M65" s="877"/>
      <c r="N65" s="877"/>
      <c r="O65" s="877"/>
      <c r="P65" s="877"/>
      <c r="Q65" s="877"/>
      <c r="R65" s="877"/>
      <c r="S65" s="877"/>
      <c r="T65" s="869"/>
      <c r="U65" s="877"/>
      <c r="V65" s="877"/>
      <c r="W65" s="877"/>
      <c r="X65" s="877"/>
      <c r="Y65" s="877"/>
      <c r="Z65" s="877"/>
      <c r="AA65" s="877"/>
      <c r="AB65" s="877"/>
      <c r="AC65" s="869">
        <f t="shared" si="56"/>
        <v>0.02</v>
      </c>
      <c r="AD65" s="912"/>
      <c r="AE65" s="877"/>
      <c r="AF65" s="877"/>
      <c r="AG65" s="877"/>
      <c r="AH65" s="877"/>
      <c r="AI65" s="877"/>
      <c r="AJ65" s="877"/>
      <c r="AK65" s="877"/>
      <c r="AL65" s="877"/>
      <c r="AM65" s="877"/>
      <c r="AN65" s="877"/>
      <c r="AO65" s="878">
        <v>0.02</v>
      </c>
      <c r="AP65" s="877"/>
      <c r="AQ65" s="877"/>
      <c r="AR65" s="877"/>
      <c r="AS65" s="877"/>
      <c r="AT65" s="879"/>
      <c r="AU65" s="879"/>
      <c r="AV65" s="877"/>
      <c r="AW65" s="877"/>
      <c r="AX65" s="877"/>
      <c r="AY65" s="877"/>
      <c r="AZ65" s="877"/>
    </row>
    <row r="66" spans="2:52" outlineLevel="1">
      <c r="B66" s="870" t="s">
        <v>1219</v>
      </c>
      <c r="C66" s="871" t="s">
        <v>1220</v>
      </c>
      <c r="D66" s="872" t="s">
        <v>1204</v>
      </c>
      <c r="E66" s="869"/>
      <c r="F66" s="869">
        <f t="shared" si="59"/>
        <v>0</v>
      </c>
      <c r="G66" s="869"/>
      <c r="H66" s="877"/>
      <c r="I66" s="877"/>
      <c r="J66" s="877"/>
      <c r="K66" s="877"/>
      <c r="L66" s="877"/>
      <c r="M66" s="877"/>
      <c r="N66" s="877"/>
      <c r="O66" s="877"/>
      <c r="P66" s="877"/>
      <c r="Q66" s="877"/>
      <c r="R66" s="877"/>
      <c r="S66" s="877"/>
      <c r="T66" s="869"/>
      <c r="U66" s="877"/>
      <c r="V66" s="877"/>
      <c r="W66" s="877"/>
      <c r="X66" s="877"/>
      <c r="Y66" s="877"/>
      <c r="Z66" s="877"/>
      <c r="AA66" s="877"/>
      <c r="AB66" s="877"/>
      <c r="AC66" s="869">
        <f t="shared" si="56"/>
        <v>0</v>
      </c>
      <c r="AD66" s="869"/>
      <c r="AE66" s="877"/>
      <c r="AF66" s="877"/>
      <c r="AG66" s="877"/>
      <c r="AH66" s="877"/>
      <c r="AI66" s="877"/>
      <c r="AJ66" s="877"/>
      <c r="AK66" s="877"/>
      <c r="AL66" s="877"/>
      <c r="AM66" s="877"/>
      <c r="AN66" s="877"/>
      <c r="AO66" s="878"/>
      <c r="AP66" s="877"/>
      <c r="AQ66" s="877"/>
      <c r="AR66" s="877"/>
      <c r="AS66" s="877"/>
      <c r="AT66" s="879"/>
      <c r="AU66" s="879"/>
      <c r="AV66" s="877"/>
      <c r="AW66" s="877"/>
      <c r="AX66" s="877"/>
      <c r="AY66" s="877"/>
      <c r="AZ66" s="877"/>
    </row>
    <row r="67" spans="2:52" ht="40.5">
      <c r="B67" s="866">
        <v>4</v>
      </c>
      <c r="C67" s="913" t="s">
        <v>1221</v>
      </c>
      <c r="D67" s="922" t="s">
        <v>1222</v>
      </c>
      <c r="E67" s="869"/>
      <c r="F67" s="923">
        <f>SUM(G67,T67)</f>
        <v>73.27</v>
      </c>
      <c r="G67" s="923">
        <v>73.27</v>
      </c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9"/>
      <c r="U67" s="862"/>
      <c r="V67" s="862"/>
      <c r="W67" s="862"/>
      <c r="X67" s="862"/>
      <c r="Y67" s="862"/>
      <c r="Z67" s="862"/>
      <c r="AA67" s="862"/>
      <c r="AB67" s="862"/>
      <c r="AC67" s="923">
        <f>AO67</f>
        <v>73.27</v>
      </c>
      <c r="AD67" s="923"/>
      <c r="AE67" s="924"/>
      <c r="AF67" s="924"/>
      <c r="AG67" s="924"/>
      <c r="AH67" s="924"/>
      <c r="AI67" s="924"/>
      <c r="AJ67" s="924"/>
      <c r="AK67" s="924"/>
      <c r="AL67" s="924"/>
      <c r="AM67" s="924"/>
      <c r="AN67" s="924"/>
      <c r="AO67" s="923">
        <v>73.27</v>
      </c>
      <c r="AP67" s="862"/>
      <c r="AQ67" s="862"/>
      <c r="AR67" s="862"/>
      <c r="AS67" s="862"/>
      <c r="AT67" s="863"/>
      <c r="AU67" s="863"/>
      <c r="AV67" s="862"/>
      <c r="AW67" s="862"/>
      <c r="AX67" s="862"/>
      <c r="AY67" s="862"/>
      <c r="AZ67" s="862"/>
    </row>
    <row r="68" spans="2:52" hidden="1" outlineLevel="1">
      <c r="B68" s="925">
        <v>5</v>
      </c>
      <c r="C68" s="926" t="s">
        <v>1223</v>
      </c>
      <c r="D68" s="927"/>
      <c r="E68" s="928"/>
      <c r="F68" s="928"/>
      <c r="G68" s="928"/>
      <c r="H68" s="929"/>
      <c r="I68" s="929"/>
      <c r="J68" s="929"/>
      <c r="K68" s="929"/>
      <c r="L68" s="929"/>
      <c r="M68" s="929"/>
      <c r="N68" s="929"/>
      <c r="O68" s="929"/>
      <c r="P68" s="929"/>
      <c r="Q68" s="929"/>
      <c r="R68" s="929"/>
      <c r="S68" s="929"/>
      <c r="T68" s="928"/>
      <c r="U68" s="929"/>
      <c r="V68" s="929"/>
      <c r="W68" s="929"/>
      <c r="X68" s="929"/>
      <c r="Y68" s="929"/>
      <c r="Z68" s="929"/>
      <c r="AA68" s="929"/>
      <c r="AB68" s="929"/>
      <c r="AC68" s="928"/>
      <c r="AD68" s="928"/>
      <c r="AE68" s="929"/>
      <c r="AF68" s="929"/>
      <c r="AG68" s="929"/>
      <c r="AH68" s="929"/>
      <c r="AI68" s="929"/>
      <c r="AJ68" s="929"/>
      <c r="AK68" s="929"/>
      <c r="AL68" s="929"/>
      <c r="AM68" s="929"/>
      <c r="AN68" s="929"/>
      <c r="AO68" s="928"/>
      <c r="AP68" s="929"/>
      <c r="AQ68" s="929"/>
      <c r="AR68" s="929"/>
      <c r="AS68" s="929"/>
      <c r="AT68" s="930"/>
      <c r="AU68" s="930"/>
      <c r="AV68" s="929"/>
      <c r="AW68" s="929"/>
      <c r="AX68" s="929"/>
      <c r="AY68" s="929"/>
      <c r="AZ68" s="929"/>
    </row>
    <row r="69" spans="2:52" hidden="1" outlineLevel="1">
      <c r="B69" s="866" t="s">
        <v>1224</v>
      </c>
      <c r="C69" s="867" t="s">
        <v>1225</v>
      </c>
      <c r="D69" s="868" t="s">
        <v>1226</v>
      </c>
      <c r="E69" s="869"/>
      <c r="F69" s="869"/>
      <c r="G69" s="869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9"/>
      <c r="U69" s="862"/>
      <c r="V69" s="862"/>
      <c r="W69" s="862"/>
      <c r="X69" s="862"/>
      <c r="Y69" s="862"/>
      <c r="Z69" s="862"/>
      <c r="AA69" s="862"/>
      <c r="AB69" s="862"/>
      <c r="AC69" s="869"/>
      <c r="AD69" s="869"/>
      <c r="AE69" s="862"/>
      <c r="AF69" s="862"/>
      <c r="AG69" s="862"/>
      <c r="AH69" s="862"/>
      <c r="AI69" s="862"/>
      <c r="AJ69" s="862"/>
      <c r="AK69" s="862"/>
      <c r="AL69" s="862"/>
      <c r="AM69" s="862"/>
      <c r="AN69" s="862"/>
      <c r="AO69" s="869"/>
      <c r="AP69" s="862"/>
      <c r="AQ69" s="862"/>
      <c r="AR69" s="862"/>
      <c r="AS69" s="862"/>
      <c r="AT69" s="863"/>
      <c r="AU69" s="863"/>
      <c r="AV69" s="862"/>
      <c r="AW69" s="862"/>
      <c r="AX69" s="862"/>
      <c r="AY69" s="862"/>
      <c r="AZ69" s="862"/>
    </row>
    <row r="70" spans="2:52" ht="40.5" hidden="1" outlineLevel="1">
      <c r="B70" s="866" t="s">
        <v>1227</v>
      </c>
      <c r="C70" s="867" t="s">
        <v>1228</v>
      </c>
      <c r="D70" s="868"/>
      <c r="E70" s="869"/>
      <c r="F70" s="869"/>
      <c r="G70" s="869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9"/>
      <c r="U70" s="862"/>
      <c r="V70" s="862"/>
      <c r="W70" s="862"/>
      <c r="X70" s="862"/>
      <c r="Y70" s="862"/>
      <c r="Z70" s="862"/>
      <c r="AA70" s="862"/>
      <c r="AB70" s="862"/>
      <c r="AC70" s="869"/>
      <c r="AD70" s="869"/>
      <c r="AE70" s="862"/>
      <c r="AF70" s="862"/>
      <c r="AG70" s="862"/>
      <c r="AH70" s="862"/>
      <c r="AI70" s="862"/>
      <c r="AJ70" s="862"/>
      <c r="AK70" s="862"/>
      <c r="AL70" s="862"/>
      <c r="AM70" s="862"/>
      <c r="AN70" s="862"/>
      <c r="AO70" s="869"/>
      <c r="AP70" s="862"/>
      <c r="AQ70" s="862"/>
      <c r="AR70" s="862"/>
      <c r="AS70" s="862"/>
      <c r="AT70" s="863"/>
      <c r="AU70" s="863"/>
      <c r="AV70" s="862"/>
      <c r="AW70" s="862"/>
      <c r="AX70" s="862"/>
      <c r="AY70" s="862"/>
      <c r="AZ70" s="862"/>
    </row>
    <row r="71" spans="2:52" hidden="1" outlineLevel="1">
      <c r="B71" s="870" t="s">
        <v>1229</v>
      </c>
      <c r="C71" s="871" t="s">
        <v>1230</v>
      </c>
      <c r="D71" s="872" t="s">
        <v>1083</v>
      </c>
      <c r="E71" s="869"/>
      <c r="F71" s="869">
        <f t="shared" ref="F71:F77" si="60">G71+T71</f>
        <v>0</v>
      </c>
      <c r="G71" s="869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69"/>
      <c r="U71" s="877"/>
      <c r="V71" s="877"/>
      <c r="W71" s="877"/>
      <c r="X71" s="877"/>
      <c r="Y71" s="877"/>
      <c r="Z71" s="877"/>
      <c r="AA71" s="877"/>
      <c r="AB71" s="877"/>
      <c r="AC71" s="869"/>
      <c r="AD71" s="869"/>
      <c r="AE71" s="877"/>
      <c r="AF71" s="877"/>
      <c r="AG71" s="877"/>
      <c r="AH71" s="877"/>
      <c r="AI71" s="877"/>
      <c r="AJ71" s="877"/>
      <c r="AK71" s="877"/>
      <c r="AL71" s="877"/>
      <c r="AM71" s="877"/>
      <c r="AN71" s="877"/>
      <c r="AO71" s="878"/>
      <c r="AP71" s="877"/>
      <c r="AQ71" s="877"/>
      <c r="AR71" s="877"/>
      <c r="AS71" s="877"/>
      <c r="AT71" s="879"/>
      <c r="AU71" s="879"/>
      <c r="AV71" s="877"/>
      <c r="AW71" s="877"/>
      <c r="AX71" s="877"/>
      <c r="AY71" s="877"/>
      <c r="AZ71" s="877"/>
    </row>
    <row r="72" spans="2:52" hidden="1" outlineLevel="1">
      <c r="B72" s="870" t="s">
        <v>1231</v>
      </c>
      <c r="C72" s="871" t="s">
        <v>1232</v>
      </c>
      <c r="D72" s="872" t="s">
        <v>1083</v>
      </c>
      <c r="E72" s="869"/>
      <c r="F72" s="869">
        <f t="shared" si="60"/>
        <v>0</v>
      </c>
      <c r="G72" s="869"/>
      <c r="H72" s="877"/>
      <c r="I72" s="877"/>
      <c r="J72" s="877"/>
      <c r="K72" s="877"/>
      <c r="L72" s="877"/>
      <c r="M72" s="877"/>
      <c r="N72" s="877"/>
      <c r="O72" s="877"/>
      <c r="P72" s="877"/>
      <c r="Q72" s="877"/>
      <c r="R72" s="877"/>
      <c r="S72" s="877"/>
      <c r="T72" s="869"/>
      <c r="U72" s="877"/>
      <c r="V72" s="877"/>
      <c r="W72" s="877"/>
      <c r="X72" s="877"/>
      <c r="Y72" s="877"/>
      <c r="Z72" s="877"/>
      <c r="AA72" s="877"/>
      <c r="AB72" s="877"/>
      <c r="AC72" s="869"/>
      <c r="AD72" s="869"/>
      <c r="AE72" s="877"/>
      <c r="AF72" s="877"/>
      <c r="AG72" s="877"/>
      <c r="AH72" s="877"/>
      <c r="AI72" s="877"/>
      <c r="AJ72" s="877"/>
      <c r="AK72" s="877"/>
      <c r="AL72" s="877"/>
      <c r="AM72" s="877"/>
      <c r="AN72" s="877"/>
      <c r="AO72" s="878"/>
      <c r="AP72" s="877"/>
      <c r="AQ72" s="877"/>
      <c r="AR72" s="877"/>
      <c r="AS72" s="877"/>
      <c r="AT72" s="879"/>
      <c r="AU72" s="879"/>
      <c r="AV72" s="877"/>
      <c r="AW72" s="877"/>
      <c r="AX72" s="877"/>
      <c r="AY72" s="877"/>
      <c r="AZ72" s="877"/>
    </row>
    <row r="73" spans="2:52" hidden="1" outlineLevel="1">
      <c r="B73" s="870" t="s">
        <v>1233</v>
      </c>
      <c r="C73" s="871" t="s">
        <v>1234</v>
      </c>
      <c r="D73" s="872" t="s">
        <v>1083</v>
      </c>
      <c r="E73" s="869"/>
      <c r="F73" s="869">
        <f t="shared" si="60"/>
        <v>0</v>
      </c>
      <c r="G73" s="869"/>
      <c r="H73" s="877"/>
      <c r="I73" s="877"/>
      <c r="J73" s="877"/>
      <c r="K73" s="877"/>
      <c r="L73" s="877"/>
      <c r="M73" s="877"/>
      <c r="N73" s="877"/>
      <c r="O73" s="877"/>
      <c r="P73" s="877"/>
      <c r="Q73" s="877"/>
      <c r="R73" s="877"/>
      <c r="S73" s="877"/>
      <c r="T73" s="869"/>
      <c r="U73" s="877"/>
      <c r="V73" s="877"/>
      <c r="W73" s="877"/>
      <c r="X73" s="877"/>
      <c r="Y73" s="877"/>
      <c r="Z73" s="877"/>
      <c r="AA73" s="877"/>
      <c r="AB73" s="877"/>
      <c r="AC73" s="869"/>
      <c r="AD73" s="869"/>
      <c r="AE73" s="877"/>
      <c r="AF73" s="877"/>
      <c r="AG73" s="877"/>
      <c r="AH73" s="877"/>
      <c r="AI73" s="877"/>
      <c r="AJ73" s="877"/>
      <c r="AK73" s="877"/>
      <c r="AL73" s="877"/>
      <c r="AM73" s="877"/>
      <c r="AN73" s="877"/>
      <c r="AO73" s="878"/>
      <c r="AP73" s="877"/>
      <c r="AQ73" s="877"/>
      <c r="AR73" s="877"/>
      <c r="AS73" s="877"/>
      <c r="AT73" s="879"/>
      <c r="AU73" s="879"/>
      <c r="AV73" s="877"/>
      <c r="AW73" s="877"/>
      <c r="AX73" s="877"/>
      <c r="AY73" s="877"/>
      <c r="AZ73" s="877"/>
    </row>
    <row r="74" spans="2:52" hidden="1" outlineLevel="1">
      <c r="B74" s="870" t="s">
        <v>1235</v>
      </c>
      <c r="C74" s="871" t="s">
        <v>1236</v>
      </c>
      <c r="D74" s="872" t="s">
        <v>1083</v>
      </c>
      <c r="E74" s="869"/>
      <c r="F74" s="869">
        <f t="shared" si="60"/>
        <v>0</v>
      </c>
      <c r="G74" s="869"/>
      <c r="H74" s="877"/>
      <c r="I74" s="877"/>
      <c r="J74" s="877"/>
      <c r="K74" s="877"/>
      <c r="L74" s="877"/>
      <c r="M74" s="877"/>
      <c r="N74" s="877"/>
      <c r="O74" s="877"/>
      <c r="P74" s="877"/>
      <c r="Q74" s="877"/>
      <c r="R74" s="877"/>
      <c r="S74" s="877"/>
      <c r="T74" s="869"/>
      <c r="U74" s="877"/>
      <c r="V74" s="877"/>
      <c r="W74" s="877"/>
      <c r="X74" s="877"/>
      <c r="Y74" s="877"/>
      <c r="Z74" s="877"/>
      <c r="AA74" s="877"/>
      <c r="AB74" s="877"/>
      <c r="AC74" s="869"/>
      <c r="AD74" s="869"/>
      <c r="AE74" s="877"/>
      <c r="AF74" s="877"/>
      <c r="AG74" s="877"/>
      <c r="AH74" s="877"/>
      <c r="AI74" s="877"/>
      <c r="AJ74" s="877"/>
      <c r="AK74" s="877"/>
      <c r="AL74" s="877"/>
      <c r="AM74" s="877"/>
      <c r="AN74" s="877"/>
      <c r="AO74" s="878"/>
      <c r="AP74" s="877"/>
      <c r="AQ74" s="877"/>
      <c r="AR74" s="877"/>
      <c r="AS74" s="877"/>
      <c r="AT74" s="879"/>
      <c r="AU74" s="879"/>
      <c r="AV74" s="877"/>
      <c r="AW74" s="877"/>
      <c r="AX74" s="877"/>
      <c r="AY74" s="877"/>
      <c r="AZ74" s="877"/>
    </row>
    <row r="75" spans="2:52" hidden="1" outlineLevel="1">
      <c r="B75" s="870" t="s">
        <v>1237</v>
      </c>
      <c r="C75" s="871" t="s">
        <v>1238</v>
      </c>
      <c r="D75" s="872" t="s">
        <v>1083</v>
      </c>
      <c r="E75" s="869"/>
      <c r="F75" s="869">
        <f t="shared" si="60"/>
        <v>0</v>
      </c>
      <c r="G75" s="869"/>
      <c r="H75" s="877"/>
      <c r="I75" s="877"/>
      <c r="J75" s="877"/>
      <c r="K75" s="877"/>
      <c r="L75" s="877"/>
      <c r="M75" s="877"/>
      <c r="N75" s="877"/>
      <c r="O75" s="877"/>
      <c r="P75" s="877"/>
      <c r="Q75" s="877"/>
      <c r="R75" s="877"/>
      <c r="S75" s="877"/>
      <c r="T75" s="869"/>
      <c r="U75" s="877"/>
      <c r="V75" s="877"/>
      <c r="W75" s="877"/>
      <c r="X75" s="877"/>
      <c r="Y75" s="877"/>
      <c r="Z75" s="877"/>
      <c r="AA75" s="877"/>
      <c r="AB75" s="877"/>
      <c r="AC75" s="869"/>
      <c r="AD75" s="869"/>
      <c r="AE75" s="877"/>
      <c r="AF75" s="877"/>
      <c r="AG75" s="877"/>
      <c r="AH75" s="877"/>
      <c r="AI75" s="877"/>
      <c r="AJ75" s="877"/>
      <c r="AK75" s="877"/>
      <c r="AL75" s="877"/>
      <c r="AM75" s="877"/>
      <c r="AN75" s="877"/>
      <c r="AO75" s="878"/>
      <c r="AP75" s="877"/>
      <c r="AQ75" s="877"/>
      <c r="AR75" s="877"/>
      <c r="AS75" s="877"/>
      <c r="AT75" s="879"/>
      <c r="AU75" s="879"/>
      <c r="AV75" s="877"/>
      <c r="AW75" s="877"/>
      <c r="AX75" s="877"/>
      <c r="AY75" s="877"/>
      <c r="AZ75" s="877"/>
    </row>
    <row r="76" spans="2:52" hidden="1" outlineLevel="1">
      <c r="B76" s="870" t="s">
        <v>1239</v>
      </c>
      <c r="C76" s="871" t="s">
        <v>1240</v>
      </c>
      <c r="D76" s="872" t="s">
        <v>1083</v>
      </c>
      <c r="E76" s="869"/>
      <c r="F76" s="869">
        <f t="shared" si="60"/>
        <v>0</v>
      </c>
      <c r="G76" s="869"/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869"/>
      <c r="U76" s="877"/>
      <c r="V76" s="877"/>
      <c r="W76" s="877"/>
      <c r="X76" s="877"/>
      <c r="Y76" s="877"/>
      <c r="Z76" s="877"/>
      <c r="AA76" s="877"/>
      <c r="AB76" s="877"/>
      <c r="AC76" s="869"/>
      <c r="AD76" s="869"/>
      <c r="AE76" s="877"/>
      <c r="AF76" s="877"/>
      <c r="AG76" s="877"/>
      <c r="AH76" s="877"/>
      <c r="AI76" s="877"/>
      <c r="AJ76" s="877"/>
      <c r="AK76" s="877"/>
      <c r="AL76" s="877"/>
      <c r="AM76" s="877"/>
      <c r="AN76" s="877"/>
      <c r="AO76" s="878"/>
      <c r="AP76" s="877"/>
      <c r="AQ76" s="877"/>
      <c r="AR76" s="877"/>
      <c r="AS76" s="877"/>
      <c r="AT76" s="879"/>
      <c r="AU76" s="879"/>
      <c r="AV76" s="877"/>
      <c r="AW76" s="877"/>
      <c r="AX76" s="877"/>
      <c r="AY76" s="877"/>
      <c r="AZ76" s="877"/>
    </row>
    <row r="77" spans="2:52" hidden="1" outlineLevel="1">
      <c r="B77" s="870" t="s">
        <v>1241</v>
      </c>
      <c r="C77" s="871" t="s">
        <v>1242</v>
      </c>
      <c r="D77" s="872" t="s">
        <v>1083</v>
      </c>
      <c r="E77" s="869"/>
      <c r="F77" s="869">
        <f t="shared" si="60"/>
        <v>0</v>
      </c>
      <c r="G77" s="869"/>
      <c r="H77" s="877"/>
      <c r="I77" s="877"/>
      <c r="J77" s="877"/>
      <c r="K77" s="877"/>
      <c r="L77" s="877"/>
      <c r="M77" s="877"/>
      <c r="N77" s="877"/>
      <c r="O77" s="877"/>
      <c r="P77" s="877"/>
      <c r="Q77" s="877"/>
      <c r="R77" s="877"/>
      <c r="S77" s="877"/>
      <c r="T77" s="869"/>
      <c r="U77" s="877"/>
      <c r="V77" s="877"/>
      <c r="W77" s="877"/>
      <c r="X77" s="877"/>
      <c r="Y77" s="877"/>
      <c r="Z77" s="877"/>
      <c r="AA77" s="877"/>
      <c r="AB77" s="877"/>
      <c r="AC77" s="869"/>
      <c r="AD77" s="869"/>
      <c r="AE77" s="877"/>
      <c r="AF77" s="877"/>
      <c r="AG77" s="877"/>
      <c r="AH77" s="877"/>
      <c r="AI77" s="877"/>
      <c r="AJ77" s="877"/>
      <c r="AK77" s="877"/>
      <c r="AL77" s="877"/>
      <c r="AM77" s="877"/>
      <c r="AN77" s="877"/>
      <c r="AO77" s="878"/>
      <c r="AP77" s="877"/>
      <c r="AQ77" s="877"/>
      <c r="AR77" s="877"/>
      <c r="AS77" s="877"/>
      <c r="AT77" s="879"/>
      <c r="AU77" s="879"/>
      <c r="AV77" s="877"/>
      <c r="AW77" s="877"/>
      <c r="AX77" s="877"/>
      <c r="AY77" s="877"/>
      <c r="AZ77" s="877"/>
    </row>
    <row r="78" spans="2:52" ht="60.75" customHeight="1" collapsed="1">
      <c r="B78" s="866" t="s">
        <v>1243</v>
      </c>
      <c r="C78" s="867" t="s">
        <v>1244</v>
      </c>
      <c r="D78" s="922" t="s">
        <v>1245</v>
      </c>
      <c r="E78" s="869"/>
      <c r="F78" s="869">
        <f>F15/F67</f>
        <v>24.615668264307352</v>
      </c>
      <c r="G78" s="869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9"/>
      <c r="U78" s="862"/>
      <c r="V78" s="862"/>
      <c r="W78" s="862"/>
      <c r="X78" s="862"/>
      <c r="Y78" s="862"/>
      <c r="Z78" s="862"/>
      <c r="AA78" s="862"/>
      <c r="AB78" s="862"/>
      <c r="AC78" s="869">
        <f>AC15/AC67</f>
        <v>4.6805181431882081</v>
      </c>
      <c r="AD78" s="869"/>
      <c r="AE78" s="862"/>
      <c r="AF78" s="862"/>
      <c r="AG78" s="862"/>
      <c r="AH78" s="862"/>
      <c r="AI78" s="862"/>
      <c r="AJ78" s="862"/>
      <c r="AK78" s="862"/>
      <c r="AL78" s="862"/>
      <c r="AM78" s="862"/>
      <c r="AN78" s="862"/>
      <c r="AO78" s="869"/>
      <c r="AP78" s="862"/>
      <c r="AQ78" s="862"/>
      <c r="AR78" s="862"/>
      <c r="AS78" s="862"/>
      <c r="AT78" s="863"/>
      <c r="AU78" s="863"/>
      <c r="AV78" s="862"/>
      <c r="AW78" s="862"/>
      <c r="AX78" s="862"/>
      <c r="AY78" s="862"/>
      <c r="AZ78" s="862"/>
    </row>
    <row r="79" spans="2:52" s="817" customFormat="1" hidden="1" outlineLevel="1">
      <c r="B79" s="931"/>
      <c r="C79" s="932"/>
      <c r="D79" s="933"/>
      <c r="E79" s="933"/>
      <c r="F79" s="934"/>
      <c r="G79" s="935"/>
      <c r="H79" s="935"/>
      <c r="I79" s="935"/>
      <c r="J79" s="935"/>
      <c r="K79" s="936"/>
      <c r="L79" s="936"/>
      <c r="M79" s="936"/>
      <c r="N79" s="936"/>
      <c r="O79" s="936"/>
      <c r="P79" s="936"/>
      <c r="Q79" s="936"/>
      <c r="R79" s="936"/>
      <c r="S79" s="936"/>
      <c r="T79" s="936"/>
      <c r="U79" s="936"/>
      <c r="V79" s="936"/>
      <c r="W79" s="936"/>
      <c r="X79" s="936"/>
      <c r="Y79" s="936"/>
      <c r="Z79" s="936"/>
      <c r="AA79" s="936"/>
      <c r="AB79" s="936"/>
      <c r="AC79" s="937"/>
      <c r="AD79" s="936"/>
      <c r="AE79" s="936"/>
      <c r="AF79" s="936"/>
      <c r="AG79" s="936"/>
      <c r="AH79" s="936"/>
      <c r="AI79" s="936"/>
      <c r="AJ79" s="936"/>
      <c r="AK79" s="936"/>
      <c r="AL79" s="936"/>
      <c r="AM79" s="936"/>
      <c r="AN79" s="936"/>
      <c r="AO79" s="936"/>
      <c r="AP79" s="936"/>
      <c r="AQ79" s="936"/>
      <c r="AR79" s="936"/>
      <c r="AS79" s="936"/>
      <c r="AT79" s="936"/>
      <c r="AU79" s="936"/>
      <c r="AV79" s="936"/>
      <c r="AW79" s="936"/>
      <c r="AX79" s="936"/>
      <c r="AY79" s="936"/>
      <c r="AZ79" s="936"/>
    </row>
    <row r="80" spans="2:52" s="818" customFormat="1" hidden="1" outlineLevel="1">
      <c r="B80" s="938"/>
      <c r="D80" s="939"/>
      <c r="E80" s="939"/>
      <c r="F80" s="940"/>
      <c r="G80" s="819"/>
      <c r="H80" s="819"/>
      <c r="I80" s="819"/>
      <c r="J80" s="819"/>
      <c r="K80" s="822"/>
      <c r="L80" s="822"/>
      <c r="M80" s="822"/>
      <c r="N80" s="822"/>
      <c r="O80" s="822"/>
      <c r="P80" s="822"/>
      <c r="Q80" s="822"/>
      <c r="R80" s="822"/>
      <c r="S80" s="822"/>
      <c r="T80" s="941"/>
      <c r="U80" s="941"/>
      <c r="V80" s="941"/>
      <c r="W80" s="941"/>
      <c r="X80" s="941"/>
      <c r="Y80" s="941"/>
      <c r="Z80" s="941"/>
      <c r="AA80" s="941"/>
      <c r="AB80" s="941"/>
      <c r="AC80" s="942"/>
      <c r="AD80" s="822"/>
      <c r="AE80" s="822"/>
      <c r="AF80" s="822"/>
      <c r="AG80" s="822"/>
      <c r="AH80" s="822"/>
      <c r="AI80" s="822"/>
      <c r="AJ80" s="822"/>
      <c r="AK80" s="822"/>
      <c r="AL80" s="822"/>
      <c r="AM80" s="822"/>
      <c r="AN80" s="822"/>
      <c r="AO80" s="822"/>
      <c r="AP80" s="822"/>
      <c r="AQ80" s="822"/>
      <c r="AR80" s="822"/>
      <c r="AS80" s="822"/>
      <c r="AT80" s="822"/>
      <c r="AU80" s="822"/>
      <c r="AV80" s="822"/>
      <c r="AW80" s="941"/>
      <c r="AX80" s="822"/>
      <c r="AY80" s="822"/>
      <c r="AZ80" s="822"/>
    </row>
    <row r="81" spans="2:52" s="818" customFormat="1" hidden="1" outlineLevel="1">
      <c r="B81" s="938"/>
      <c r="D81" s="939"/>
      <c r="E81" s="939"/>
      <c r="F81" s="940"/>
      <c r="G81" s="819"/>
      <c r="H81" s="819"/>
      <c r="I81" s="819"/>
      <c r="J81" s="819"/>
      <c r="K81" s="822"/>
      <c r="L81" s="822"/>
      <c r="M81" s="822"/>
      <c r="N81" s="822"/>
      <c r="O81" s="822"/>
      <c r="P81" s="822"/>
      <c r="Q81" s="822"/>
      <c r="R81" s="822"/>
      <c r="S81" s="822"/>
      <c r="T81" s="941"/>
      <c r="U81" s="941"/>
      <c r="V81" s="941"/>
      <c r="W81" s="941"/>
      <c r="X81" s="941"/>
      <c r="Y81" s="941"/>
      <c r="Z81" s="941"/>
      <c r="AA81" s="941"/>
      <c r="AB81" s="941"/>
      <c r="AC81" s="942"/>
      <c r="AD81" s="822"/>
      <c r="AE81" s="822"/>
      <c r="AF81" s="822"/>
      <c r="AG81" s="822"/>
      <c r="AH81" s="822"/>
      <c r="AI81" s="822"/>
      <c r="AJ81" s="822"/>
      <c r="AK81" s="822"/>
      <c r="AL81" s="822"/>
      <c r="AM81" s="822"/>
      <c r="AN81" s="822"/>
      <c r="AO81" s="822"/>
      <c r="AP81" s="822"/>
      <c r="AQ81" s="822"/>
      <c r="AR81" s="822"/>
      <c r="AS81" s="822"/>
      <c r="AT81" s="822"/>
      <c r="AU81" s="822"/>
      <c r="AV81" s="822"/>
      <c r="AW81" s="941"/>
      <c r="AX81" s="822"/>
      <c r="AY81" s="822"/>
      <c r="AZ81" s="822"/>
    </row>
    <row r="82" spans="2:52" s="818" customFormat="1" hidden="1" outlineLevel="1">
      <c r="B82" s="938"/>
      <c r="D82" s="939"/>
      <c r="E82" s="939"/>
      <c r="F82" s="940"/>
      <c r="G82" s="943"/>
      <c r="H82" s="819"/>
      <c r="I82" s="819"/>
      <c r="J82" s="943"/>
      <c r="K82" s="822"/>
      <c r="L82" s="822"/>
      <c r="M82" s="822"/>
      <c r="N82" s="822"/>
      <c r="O82" s="822"/>
      <c r="P82" s="822"/>
      <c r="Q82" s="822"/>
      <c r="R82" s="822"/>
      <c r="S82" s="822"/>
      <c r="T82" s="941"/>
      <c r="U82" s="941"/>
      <c r="V82" s="941"/>
      <c r="W82" s="941"/>
      <c r="X82" s="941"/>
      <c r="Y82" s="941"/>
      <c r="Z82" s="941"/>
      <c r="AA82" s="941"/>
      <c r="AB82" s="941"/>
      <c r="AC82" s="942"/>
      <c r="AD82" s="822"/>
      <c r="AE82" s="822"/>
      <c r="AF82" s="822"/>
      <c r="AG82" s="822"/>
      <c r="AH82" s="822"/>
      <c r="AI82" s="822"/>
      <c r="AJ82" s="822"/>
      <c r="AK82" s="822"/>
      <c r="AL82" s="822"/>
      <c r="AM82" s="822"/>
      <c r="AN82" s="822"/>
      <c r="AO82" s="822"/>
      <c r="AP82" s="822"/>
      <c r="AQ82" s="822"/>
      <c r="AR82" s="822"/>
      <c r="AS82" s="822"/>
      <c r="AT82" s="822"/>
      <c r="AU82" s="822"/>
      <c r="AV82" s="822"/>
      <c r="AW82" s="941"/>
      <c r="AX82" s="822"/>
      <c r="AY82" s="822"/>
      <c r="AZ82" s="822"/>
    </row>
    <row r="83" spans="2:52" s="818" customFormat="1" hidden="1" outlineLevel="1">
      <c r="B83" s="938"/>
      <c r="D83" s="939"/>
      <c r="E83" s="939"/>
      <c r="F83" s="940"/>
      <c r="G83" s="819"/>
      <c r="H83" s="819"/>
      <c r="I83" s="819"/>
      <c r="J83" s="819"/>
      <c r="K83" s="822"/>
      <c r="L83" s="822"/>
      <c r="M83" s="822"/>
      <c r="N83" s="822"/>
      <c r="O83" s="822"/>
      <c r="P83" s="822"/>
      <c r="Q83" s="822"/>
      <c r="R83" s="822"/>
      <c r="S83" s="822"/>
      <c r="T83" s="941"/>
      <c r="U83" s="941"/>
      <c r="V83" s="941"/>
      <c r="W83" s="941"/>
      <c r="X83" s="941"/>
      <c r="Y83" s="941"/>
      <c r="Z83" s="941"/>
      <c r="AA83" s="941"/>
      <c r="AB83" s="941"/>
      <c r="AC83" s="942"/>
      <c r="AD83" s="822"/>
      <c r="AE83" s="822"/>
      <c r="AF83" s="822"/>
      <c r="AG83" s="822"/>
      <c r="AH83" s="822"/>
      <c r="AI83" s="822"/>
      <c r="AJ83" s="822"/>
      <c r="AK83" s="822"/>
      <c r="AL83" s="822"/>
      <c r="AM83" s="822"/>
      <c r="AN83" s="822"/>
      <c r="AO83" s="822"/>
      <c r="AP83" s="822"/>
      <c r="AQ83" s="822"/>
      <c r="AR83" s="822"/>
      <c r="AS83" s="822"/>
      <c r="AT83" s="822"/>
      <c r="AU83" s="822"/>
      <c r="AV83" s="822"/>
      <c r="AW83" s="941"/>
      <c r="AX83" s="822"/>
      <c r="AY83" s="822"/>
      <c r="AZ83" s="822"/>
    </row>
    <row r="84" spans="2:52" s="818" customFormat="1" collapsed="1">
      <c r="B84" s="938"/>
      <c r="D84" s="939"/>
      <c r="E84" s="939"/>
      <c r="F84" s="940"/>
      <c r="G84" s="819"/>
      <c r="H84" s="819"/>
      <c r="I84" s="819"/>
      <c r="J84" s="819"/>
      <c r="K84" s="822"/>
      <c r="L84" s="822"/>
      <c r="M84" s="822"/>
      <c r="N84" s="822"/>
      <c r="O84" s="822"/>
      <c r="P84" s="822"/>
      <c r="Q84" s="822"/>
      <c r="R84" s="822"/>
      <c r="S84" s="822"/>
      <c r="T84" s="941"/>
      <c r="U84" s="941"/>
      <c r="V84" s="941"/>
      <c r="W84" s="941"/>
      <c r="X84" s="941"/>
      <c r="Y84" s="941"/>
      <c r="Z84" s="941"/>
      <c r="AA84" s="941"/>
      <c r="AB84" s="941"/>
      <c r="AC84" s="942"/>
      <c r="AD84" s="822"/>
      <c r="AE84" s="822"/>
      <c r="AF84" s="822"/>
      <c r="AG84" s="822"/>
      <c r="AH84" s="822"/>
      <c r="AI84" s="822"/>
      <c r="AJ84" s="822"/>
      <c r="AK84" s="822"/>
      <c r="AL84" s="822"/>
      <c r="AM84" s="822"/>
      <c r="AN84" s="822"/>
      <c r="AO84" s="822"/>
      <c r="AP84" s="822"/>
      <c r="AQ84" s="822"/>
      <c r="AR84" s="822"/>
      <c r="AS84" s="822"/>
      <c r="AT84" s="822"/>
      <c r="AU84" s="822"/>
      <c r="AV84" s="822"/>
      <c r="AW84" s="941"/>
      <c r="AX84" s="822"/>
      <c r="AY84" s="822"/>
      <c r="AZ84" s="822"/>
    </row>
    <row r="85" spans="2:52" s="818" customFormat="1" ht="24" customHeight="1">
      <c r="B85" s="938"/>
      <c r="C85" s="940" t="s">
        <v>1246</v>
      </c>
      <c r="D85" s="939"/>
      <c r="E85" s="939"/>
      <c r="F85" s="940" t="s">
        <v>1247</v>
      </c>
      <c r="G85" s="819"/>
      <c r="H85" s="819"/>
      <c r="I85" s="819"/>
      <c r="J85" s="819"/>
      <c r="K85" s="822"/>
      <c r="L85" s="822"/>
      <c r="M85" s="822"/>
      <c r="N85" s="822"/>
      <c r="O85" s="822"/>
      <c r="P85" s="822"/>
      <c r="Q85" s="822"/>
      <c r="R85" s="822"/>
      <c r="S85" s="822"/>
      <c r="T85" s="941"/>
      <c r="U85" s="941"/>
      <c r="V85" s="941"/>
      <c r="W85" s="941"/>
      <c r="X85" s="941"/>
      <c r="Y85" s="941"/>
      <c r="Z85" s="941"/>
      <c r="AA85" s="941"/>
      <c r="AB85" s="941"/>
      <c r="AC85" s="942"/>
      <c r="AD85" s="822"/>
      <c r="AE85" s="822"/>
      <c r="AF85" s="822"/>
      <c r="AG85" s="822"/>
      <c r="AH85" s="822"/>
      <c r="AI85" s="822"/>
      <c r="AJ85" s="822"/>
      <c r="AK85" s="822"/>
      <c r="AL85" s="822"/>
      <c r="AM85" s="822"/>
      <c r="AN85" s="822"/>
      <c r="AO85" s="822"/>
      <c r="AP85" s="822"/>
      <c r="AQ85" s="822"/>
      <c r="AR85" s="822"/>
      <c r="AS85" s="822"/>
      <c r="AT85" s="822"/>
      <c r="AU85" s="822"/>
      <c r="AV85" s="822"/>
      <c r="AW85" s="941"/>
      <c r="AX85" s="822"/>
      <c r="AY85" s="822"/>
      <c r="AZ85" s="822"/>
    </row>
    <row r="86" spans="2:52" s="818" customFormat="1" hidden="1" outlineLevel="1">
      <c r="B86" s="938"/>
      <c r="D86" s="939"/>
      <c r="E86" s="939"/>
      <c r="F86" s="940"/>
      <c r="G86" s="819"/>
      <c r="H86" s="819"/>
      <c r="I86" s="819"/>
      <c r="J86" s="819"/>
      <c r="K86" s="822"/>
      <c r="L86" s="822"/>
      <c r="M86" s="822"/>
      <c r="N86" s="822"/>
      <c r="O86" s="822"/>
      <c r="P86" s="822"/>
      <c r="Q86" s="822"/>
      <c r="R86" s="822"/>
      <c r="S86" s="822"/>
      <c r="T86" s="941"/>
      <c r="U86" s="941"/>
      <c r="V86" s="941"/>
      <c r="W86" s="941"/>
      <c r="X86" s="941"/>
      <c r="Y86" s="941"/>
      <c r="Z86" s="941"/>
      <c r="AA86" s="941"/>
      <c r="AB86" s="941"/>
      <c r="AC86" s="942"/>
      <c r="AD86" s="822"/>
      <c r="AE86" s="822"/>
      <c r="AF86" s="822"/>
      <c r="AG86" s="822"/>
      <c r="AH86" s="822"/>
      <c r="AI86" s="822"/>
      <c r="AJ86" s="822"/>
      <c r="AK86" s="822"/>
      <c r="AL86" s="822"/>
      <c r="AM86" s="822"/>
      <c r="AN86" s="822"/>
      <c r="AO86" s="822"/>
      <c r="AP86" s="822"/>
      <c r="AQ86" s="822"/>
      <c r="AR86" s="822"/>
      <c r="AS86" s="822"/>
      <c r="AT86" s="822"/>
      <c r="AU86" s="822"/>
      <c r="AV86" s="822"/>
      <c r="AW86" s="941"/>
      <c r="AX86" s="822"/>
      <c r="AY86" s="822"/>
      <c r="AZ86" s="822"/>
    </row>
    <row r="87" spans="2:52" s="818" customFormat="1" hidden="1" outlineLevel="1">
      <c r="B87" s="938"/>
      <c r="D87" s="939"/>
      <c r="E87" s="939"/>
      <c r="F87" s="940"/>
      <c r="G87" s="819"/>
      <c r="H87" s="819"/>
      <c r="I87" s="819"/>
      <c r="J87" s="819"/>
      <c r="K87" s="822"/>
      <c r="L87" s="822"/>
      <c r="M87" s="822"/>
      <c r="N87" s="822"/>
      <c r="O87" s="822"/>
      <c r="P87" s="822"/>
      <c r="Q87" s="822"/>
      <c r="R87" s="822"/>
      <c r="S87" s="822"/>
      <c r="T87" s="941"/>
      <c r="U87" s="941"/>
      <c r="V87" s="941"/>
      <c r="W87" s="941"/>
      <c r="X87" s="941"/>
      <c r="Y87" s="941"/>
      <c r="Z87" s="941"/>
      <c r="AA87" s="941"/>
      <c r="AB87" s="941"/>
      <c r="AC87" s="942"/>
      <c r="AD87" s="822"/>
      <c r="AE87" s="822"/>
      <c r="AF87" s="822"/>
      <c r="AG87" s="822"/>
      <c r="AH87" s="822"/>
      <c r="AI87" s="822"/>
      <c r="AJ87" s="822"/>
      <c r="AK87" s="822"/>
      <c r="AL87" s="822"/>
      <c r="AM87" s="822"/>
      <c r="AN87" s="822"/>
      <c r="AO87" s="822"/>
      <c r="AP87" s="822"/>
      <c r="AQ87" s="822"/>
      <c r="AR87" s="822"/>
      <c r="AS87" s="822"/>
      <c r="AT87" s="822"/>
      <c r="AU87" s="822"/>
      <c r="AV87" s="822"/>
      <c r="AW87" s="941"/>
      <c r="AX87" s="822"/>
      <c r="AY87" s="822"/>
      <c r="AZ87" s="822"/>
    </row>
    <row r="88" spans="2:52" s="818" customFormat="1" hidden="1" outlineLevel="1">
      <c r="B88" s="938"/>
      <c r="D88" s="939"/>
      <c r="E88" s="939"/>
      <c r="F88" s="940"/>
      <c r="G88" s="819"/>
      <c r="H88" s="819"/>
      <c r="I88" s="819"/>
      <c r="J88" s="819"/>
      <c r="K88" s="822"/>
      <c r="L88" s="822"/>
      <c r="M88" s="822"/>
      <c r="N88" s="822"/>
      <c r="O88" s="822"/>
      <c r="P88" s="822"/>
      <c r="Q88" s="822"/>
      <c r="R88" s="822"/>
      <c r="S88" s="822"/>
      <c r="T88" s="941"/>
      <c r="U88" s="941"/>
      <c r="V88" s="941"/>
      <c r="W88" s="941"/>
      <c r="X88" s="941"/>
      <c r="Y88" s="941"/>
      <c r="Z88" s="941"/>
      <c r="AA88" s="941"/>
      <c r="AB88" s="941"/>
      <c r="AC88" s="942"/>
      <c r="AD88" s="822"/>
      <c r="AE88" s="822"/>
      <c r="AF88" s="822"/>
      <c r="AG88" s="822"/>
      <c r="AH88" s="822"/>
      <c r="AI88" s="822"/>
      <c r="AJ88" s="822"/>
      <c r="AK88" s="822"/>
      <c r="AL88" s="822"/>
      <c r="AM88" s="822"/>
      <c r="AN88" s="822"/>
      <c r="AO88" s="822"/>
      <c r="AP88" s="822"/>
      <c r="AQ88" s="822"/>
      <c r="AR88" s="822"/>
      <c r="AS88" s="822"/>
      <c r="AT88" s="822"/>
      <c r="AU88" s="822"/>
      <c r="AV88" s="822"/>
      <c r="AW88" s="941"/>
      <c r="AX88" s="822"/>
      <c r="AY88" s="822"/>
      <c r="AZ88" s="822"/>
    </row>
    <row r="89" spans="2:52" s="818" customFormat="1" hidden="1" outlineLevel="1">
      <c r="B89" s="938"/>
      <c r="D89" s="939"/>
      <c r="E89" s="939"/>
      <c r="F89" s="940"/>
      <c r="G89" s="819"/>
      <c r="H89" s="819"/>
      <c r="I89" s="819"/>
      <c r="J89" s="819"/>
      <c r="K89" s="822"/>
      <c r="L89" s="822"/>
      <c r="M89" s="822"/>
      <c r="N89" s="822"/>
      <c r="O89" s="822"/>
      <c r="P89" s="822"/>
      <c r="Q89" s="822"/>
      <c r="R89" s="822"/>
      <c r="S89" s="822"/>
      <c r="T89" s="941"/>
      <c r="U89" s="941"/>
      <c r="V89" s="941"/>
      <c r="W89" s="941"/>
      <c r="X89" s="941"/>
      <c r="Y89" s="941"/>
      <c r="Z89" s="941"/>
      <c r="AA89" s="941"/>
      <c r="AB89" s="941"/>
      <c r="AC89" s="942"/>
      <c r="AD89" s="822"/>
      <c r="AE89" s="822"/>
      <c r="AF89" s="822"/>
      <c r="AG89" s="822"/>
      <c r="AH89" s="822"/>
      <c r="AI89" s="822"/>
      <c r="AJ89" s="822"/>
      <c r="AK89" s="822"/>
      <c r="AL89" s="822"/>
      <c r="AM89" s="822"/>
      <c r="AN89" s="822"/>
      <c r="AO89" s="822"/>
      <c r="AP89" s="822"/>
      <c r="AQ89" s="822"/>
      <c r="AR89" s="822"/>
      <c r="AS89" s="822"/>
      <c r="AT89" s="822"/>
      <c r="AU89" s="822"/>
      <c r="AV89" s="822"/>
      <c r="AW89" s="941"/>
      <c r="AX89" s="822"/>
      <c r="AY89" s="822"/>
      <c r="AZ89" s="822"/>
    </row>
    <row r="90" spans="2:52" s="818" customFormat="1" hidden="1" outlineLevel="1">
      <c r="B90" s="938"/>
      <c r="D90" s="939"/>
      <c r="E90" s="939"/>
      <c r="F90" s="940"/>
      <c r="G90" s="819"/>
      <c r="H90" s="819"/>
      <c r="I90" s="819"/>
      <c r="J90" s="819"/>
      <c r="K90" s="822"/>
      <c r="L90" s="822"/>
      <c r="M90" s="822"/>
      <c r="N90" s="822"/>
      <c r="O90" s="822"/>
      <c r="P90" s="822"/>
      <c r="Q90" s="822"/>
      <c r="R90" s="822"/>
      <c r="S90" s="822"/>
      <c r="T90" s="941"/>
      <c r="U90" s="941"/>
      <c r="V90" s="941"/>
      <c r="W90" s="941"/>
      <c r="X90" s="941"/>
      <c r="Y90" s="941"/>
      <c r="Z90" s="941"/>
      <c r="AA90" s="941"/>
      <c r="AB90" s="941"/>
      <c r="AC90" s="942"/>
      <c r="AD90" s="822"/>
      <c r="AE90" s="822"/>
      <c r="AF90" s="822"/>
      <c r="AG90" s="822"/>
      <c r="AH90" s="822"/>
      <c r="AI90" s="822"/>
      <c r="AJ90" s="822"/>
      <c r="AK90" s="822"/>
      <c r="AL90" s="822"/>
      <c r="AM90" s="822"/>
      <c r="AN90" s="822"/>
      <c r="AO90" s="822"/>
      <c r="AP90" s="822"/>
      <c r="AQ90" s="822"/>
      <c r="AR90" s="822"/>
      <c r="AS90" s="822"/>
      <c r="AT90" s="822"/>
      <c r="AU90" s="822"/>
      <c r="AV90" s="822"/>
      <c r="AW90" s="941"/>
      <c r="AX90" s="822"/>
      <c r="AY90" s="822"/>
      <c r="AZ90" s="822"/>
    </row>
    <row r="91" spans="2:52" s="818" customFormat="1" ht="22.5" hidden="1" customHeight="1" outlineLevel="2">
      <c r="B91" s="938"/>
      <c r="D91" s="939"/>
      <c r="E91" s="939"/>
      <c r="F91" s="940"/>
      <c r="G91" s="819"/>
      <c r="H91" s="819"/>
      <c r="I91" s="819"/>
      <c r="J91" s="819"/>
      <c r="K91" s="822"/>
      <c r="L91" s="822"/>
      <c r="M91" s="822"/>
      <c r="N91" s="822"/>
      <c r="O91" s="822"/>
      <c r="P91" s="822"/>
      <c r="Q91" s="822"/>
      <c r="R91" s="822"/>
      <c r="S91" s="822"/>
      <c r="T91" s="941"/>
      <c r="U91" s="941"/>
      <c r="V91" s="941"/>
      <c r="W91" s="941"/>
      <c r="X91" s="941"/>
      <c r="Y91" s="941"/>
      <c r="Z91" s="941"/>
      <c r="AA91" s="941"/>
      <c r="AB91" s="941"/>
      <c r="AC91" s="942"/>
      <c r="AD91" s="822"/>
      <c r="AE91" s="822"/>
      <c r="AF91" s="822"/>
      <c r="AG91" s="822"/>
      <c r="AH91" s="822"/>
      <c r="AI91" s="822"/>
      <c r="AJ91" s="822"/>
      <c r="AK91" s="822"/>
      <c r="AL91" s="822"/>
      <c r="AM91" s="822"/>
      <c r="AN91" s="822"/>
      <c r="AO91" s="822"/>
      <c r="AP91" s="822"/>
      <c r="AQ91" s="822"/>
      <c r="AR91" s="822"/>
      <c r="AS91" s="822"/>
      <c r="AT91" s="822"/>
      <c r="AU91" s="822"/>
      <c r="AV91" s="822"/>
      <c r="AW91" s="941"/>
      <c r="AX91" s="822"/>
      <c r="AY91" s="822"/>
      <c r="AZ91" s="822"/>
    </row>
    <row r="92" spans="2:52" s="818" customFormat="1" hidden="1" outlineLevel="1">
      <c r="B92" s="938"/>
      <c r="C92" s="931"/>
      <c r="D92" s="939"/>
      <c r="E92" s="939"/>
      <c r="F92" s="944"/>
      <c r="G92" s="819"/>
      <c r="H92" s="819"/>
      <c r="I92" s="819"/>
      <c r="J92" s="819"/>
      <c r="K92" s="822"/>
      <c r="L92" s="822"/>
      <c r="M92" s="822"/>
      <c r="N92" s="822"/>
      <c r="O92" s="822"/>
      <c r="P92" s="822"/>
      <c r="Q92" s="822"/>
      <c r="R92" s="822"/>
      <c r="S92" s="822"/>
      <c r="T92" s="941"/>
      <c r="U92" s="941"/>
      <c r="V92" s="941"/>
      <c r="W92" s="941"/>
      <c r="X92" s="941"/>
      <c r="Y92" s="941"/>
      <c r="Z92" s="941"/>
      <c r="AA92" s="941"/>
      <c r="AB92" s="941"/>
      <c r="AC92" s="942"/>
      <c r="AD92" s="941"/>
      <c r="AE92" s="941"/>
      <c r="AF92" s="941"/>
      <c r="AG92" s="941"/>
      <c r="AH92" s="941"/>
      <c r="AI92" s="941"/>
      <c r="AJ92" s="941"/>
      <c r="AK92" s="941"/>
      <c r="AL92" s="941"/>
      <c r="AM92" s="941"/>
      <c r="AN92" s="941"/>
      <c r="AO92" s="941"/>
      <c r="AP92" s="941"/>
      <c r="AQ92" s="941"/>
      <c r="AR92" s="941"/>
      <c r="AS92" s="941"/>
      <c r="AT92" s="941"/>
      <c r="AU92" s="941"/>
      <c r="AV92" s="941"/>
      <c r="AW92" s="941"/>
      <c r="AX92" s="941"/>
      <c r="AY92" s="941"/>
      <c r="AZ92" s="941"/>
    </row>
    <row r="93" spans="2:52" s="818" customFormat="1" hidden="1" outlineLevel="1">
      <c r="B93" s="938"/>
      <c r="C93" s="945" t="s">
        <v>1248</v>
      </c>
      <c r="D93" s="939"/>
      <c r="E93" s="939"/>
      <c r="F93" s="940" t="s">
        <v>1249</v>
      </c>
      <c r="G93" s="819"/>
      <c r="H93" s="819"/>
      <c r="I93" s="819"/>
      <c r="J93" s="819"/>
      <c r="K93" s="822"/>
      <c r="L93" s="822"/>
      <c r="M93" s="822"/>
      <c r="N93" s="822"/>
      <c r="O93" s="822"/>
      <c r="P93" s="822"/>
      <c r="Q93" s="822"/>
      <c r="R93" s="822"/>
      <c r="S93" s="822"/>
      <c r="T93" s="941"/>
      <c r="U93" s="941"/>
      <c r="V93" s="941"/>
      <c r="W93" s="941"/>
      <c r="X93" s="941"/>
      <c r="Y93" s="941"/>
      <c r="Z93" s="941"/>
      <c r="AA93" s="941"/>
      <c r="AB93" s="941"/>
      <c r="AC93" s="942"/>
      <c r="AD93" s="822"/>
      <c r="AE93" s="822"/>
      <c r="AF93" s="822"/>
      <c r="AG93" s="822"/>
      <c r="AH93" s="822"/>
      <c r="AI93" s="822"/>
      <c r="AJ93" s="822"/>
      <c r="AK93" s="822"/>
      <c r="AL93" s="822"/>
      <c r="AM93" s="822"/>
      <c r="AN93" s="822"/>
      <c r="AO93" s="822"/>
      <c r="AP93" s="822"/>
      <c r="AQ93" s="822"/>
      <c r="AR93" s="822"/>
      <c r="AS93" s="822"/>
      <c r="AT93" s="822"/>
      <c r="AU93" s="822"/>
      <c r="AV93" s="822"/>
      <c r="AW93" s="941"/>
      <c r="AX93" s="822"/>
      <c r="AY93" s="822"/>
      <c r="AZ93" s="822"/>
    </row>
    <row r="94" spans="2:52" s="817" customFormat="1" collapsed="1">
      <c r="B94" s="816"/>
      <c r="E94" s="818"/>
      <c r="F94" s="818"/>
      <c r="G94" s="819"/>
      <c r="H94" s="820"/>
      <c r="I94" s="820"/>
      <c r="J94" s="820"/>
      <c r="K94" s="821"/>
      <c r="L94" s="821"/>
      <c r="M94" s="821"/>
      <c r="N94" s="821"/>
      <c r="O94" s="821"/>
      <c r="P94" s="821"/>
      <c r="Q94" s="821"/>
      <c r="R94" s="821"/>
      <c r="S94" s="821"/>
      <c r="T94" s="822"/>
      <c r="U94" s="821"/>
      <c r="V94" s="821"/>
      <c r="W94" s="821"/>
      <c r="X94" s="821"/>
      <c r="Y94" s="821"/>
      <c r="Z94" s="821"/>
      <c r="AA94" s="821"/>
      <c r="AB94" s="821"/>
      <c r="AC94" s="829"/>
      <c r="AD94" s="822"/>
      <c r="AE94" s="821"/>
      <c r="AF94" s="821"/>
      <c r="AG94" s="821"/>
      <c r="AH94" s="821"/>
      <c r="AI94" s="821"/>
      <c r="AJ94" s="821"/>
      <c r="AK94" s="821"/>
      <c r="AL94" s="821"/>
      <c r="AM94" s="821"/>
      <c r="AN94" s="821"/>
      <c r="AO94" s="821"/>
      <c r="AP94" s="821"/>
      <c r="AQ94" s="821"/>
      <c r="AR94" s="821"/>
      <c r="AS94" s="821"/>
      <c r="AT94" s="821"/>
      <c r="AU94" s="821"/>
      <c r="AV94" s="821"/>
      <c r="AW94" s="821"/>
      <c r="AX94" s="821"/>
      <c r="AY94" s="821"/>
      <c r="AZ94" s="821"/>
    </row>
    <row r="95" spans="2:52" s="817" customFormat="1">
      <c r="B95" s="816"/>
      <c r="C95" s="817" t="s">
        <v>1250</v>
      </c>
      <c r="E95" s="818"/>
      <c r="F95" s="940"/>
      <c r="G95" s="819"/>
      <c r="H95" s="820"/>
      <c r="I95" s="820"/>
      <c r="J95" s="820"/>
      <c r="K95" s="821"/>
      <c r="L95" s="821"/>
      <c r="M95" s="821"/>
      <c r="N95" s="821"/>
      <c r="O95" s="821"/>
      <c r="P95" s="821"/>
      <c r="Q95" s="821"/>
      <c r="S95" s="821"/>
      <c r="T95" s="822"/>
      <c r="U95" s="821"/>
      <c r="V95" s="821"/>
      <c r="W95" s="821"/>
      <c r="X95" s="821"/>
      <c r="Y95" s="821"/>
      <c r="Z95" s="821"/>
      <c r="AA95" s="821"/>
      <c r="AB95" s="821"/>
      <c r="AC95" s="829"/>
      <c r="AD95" s="822"/>
      <c r="AE95" s="821"/>
      <c r="AF95" s="821"/>
      <c r="AG95" s="821"/>
      <c r="AH95" s="821"/>
      <c r="AI95" s="821"/>
      <c r="AJ95" s="821"/>
      <c r="AK95" s="821"/>
      <c r="AL95" s="821"/>
      <c r="AM95" s="821"/>
      <c r="AN95" s="821"/>
      <c r="AO95" s="821"/>
      <c r="AP95" s="821"/>
      <c r="AQ95" s="821"/>
      <c r="AR95" s="821"/>
      <c r="AS95" s="821"/>
      <c r="AT95" s="821"/>
      <c r="AU95" s="821"/>
      <c r="AV95" s="821"/>
      <c r="AW95" s="821"/>
      <c r="AX95" s="821"/>
      <c r="AY95" s="821"/>
      <c r="AZ95" s="821"/>
    </row>
    <row r="96" spans="2:52" s="817" customFormat="1">
      <c r="B96" s="816"/>
      <c r="C96" s="817" t="s">
        <v>1251</v>
      </c>
      <c r="E96" s="818"/>
      <c r="F96" s="818"/>
      <c r="G96" s="819"/>
      <c r="H96" s="820"/>
      <c r="I96" s="820"/>
      <c r="J96" s="820"/>
      <c r="K96" s="821"/>
      <c r="L96" s="821"/>
      <c r="M96" s="821"/>
      <c r="N96" s="821"/>
      <c r="O96" s="821"/>
      <c r="P96" s="821"/>
      <c r="Q96" s="821"/>
      <c r="R96" s="821"/>
      <c r="S96" s="821"/>
      <c r="T96" s="822"/>
      <c r="U96" s="821"/>
      <c r="V96" s="821"/>
      <c r="W96" s="821"/>
      <c r="X96" s="821"/>
      <c r="Y96" s="821"/>
      <c r="Z96" s="821"/>
      <c r="AA96" s="821"/>
      <c r="AB96" s="821"/>
      <c r="AC96" s="829"/>
      <c r="AD96" s="822"/>
      <c r="AE96" s="821"/>
      <c r="AF96" s="821"/>
      <c r="AG96" s="821"/>
      <c r="AH96" s="821"/>
      <c r="AI96" s="821"/>
      <c r="AJ96" s="821"/>
      <c r="AK96" s="821"/>
      <c r="AL96" s="821"/>
      <c r="AM96" s="821"/>
      <c r="AN96" s="821"/>
      <c r="AO96" s="821"/>
      <c r="AP96" s="821"/>
      <c r="AQ96" s="821"/>
      <c r="AR96" s="821"/>
      <c r="AS96" s="821"/>
      <c r="AT96" s="821"/>
      <c r="AU96" s="821"/>
      <c r="AV96" s="821"/>
      <c r="AW96" s="821"/>
      <c r="AX96" s="821"/>
      <c r="AY96" s="821"/>
      <c r="AZ96" s="821"/>
    </row>
    <row r="97" spans="2:78" s="817" customFormat="1" ht="21" thickBot="1">
      <c r="B97" s="816"/>
      <c r="E97" s="946"/>
      <c r="F97" s="946"/>
      <c r="G97" s="819"/>
      <c r="H97" s="820"/>
      <c r="I97" s="820"/>
      <c r="J97" s="820"/>
      <c r="K97" s="821"/>
      <c r="L97" s="821"/>
      <c r="M97" s="821"/>
      <c r="N97" s="821"/>
      <c r="O97" s="821"/>
      <c r="P97" s="821"/>
      <c r="Q97" s="821"/>
      <c r="R97" s="821"/>
      <c r="S97" s="821"/>
      <c r="T97" s="822"/>
      <c r="U97" s="821"/>
      <c r="V97" s="821"/>
      <c r="W97" s="821"/>
      <c r="X97" s="821"/>
      <c r="Y97" s="821"/>
      <c r="Z97" s="821"/>
      <c r="AA97" s="821"/>
      <c r="AB97" s="821"/>
      <c r="AC97" s="829"/>
      <c r="AD97" s="822"/>
      <c r="AE97" s="821"/>
      <c r="AF97" s="821"/>
      <c r="AG97" s="821"/>
      <c r="AH97" s="821"/>
      <c r="AI97" s="821"/>
      <c r="AJ97" s="821"/>
      <c r="AK97" s="821"/>
      <c r="AL97" s="821"/>
      <c r="AM97" s="821"/>
      <c r="AN97" s="821"/>
      <c r="AO97" s="818"/>
      <c r="AP97" s="818"/>
      <c r="AQ97" s="818"/>
      <c r="AR97" s="818"/>
      <c r="AS97" s="818"/>
      <c r="AT97" s="818"/>
      <c r="AU97" s="818"/>
      <c r="AV97" s="818"/>
      <c r="AW97" s="818"/>
      <c r="AX97" s="818"/>
      <c r="AY97" s="818"/>
      <c r="AZ97" s="818"/>
    </row>
    <row r="98" spans="2:78" s="817" customFormat="1" ht="87.75" customHeight="1" thickTop="1" thickBot="1">
      <c r="B98" s="816"/>
      <c r="C98" s="947" t="s">
        <v>1252</v>
      </c>
      <c r="E98" s="946"/>
      <c r="F98" s="948">
        <v>982.30069000000003</v>
      </c>
      <c r="G98" s="3574" t="s">
        <v>1253</v>
      </c>
      <c r="H98" s="3575"/>
      <c r="I98" s="3575"/>
      <c r="J98" s="3575"/>
      <c r="K98" s="3575"/>
      <c r="L98" s="3575"/>
      <c r="M98" s="3575"/>
      <c r="N98" s="3575"/>
      <c r="O98" s="3575"/>
      <c r="P98" s="3575"/>
      <c r="Q98" s="3575"/>
      <c r="R98" s="3575"/>
      <c r="S98" s="949"/>
      <c r="T98" s="948"/>
      <c r="U98" s="828"/>
      <c r="V98" s="828"/>
      <c r="W98" s="828"/>
      <c r="X98" s="828"/>
      <c r="Y98" s="950"/>
      <c r="Z98" s="3574"/>
      <c r="AA98" s="3575"/>
      <c r="AB98" s="3576"/>
      <c r="AC98" s="948">
        <v>113.88027</v>
      </c>
      <c r="AD98" s="3577" t="s">
        <v>1254</v>
      </c>
      <c r="AE98" s="951"/>
      <c r="AF98" s="951"/>
      <c r="AG98" s="952"/>
      <c r="AH98" s="951"/>
      <c r="AI98" s="951"/>
      <c r="AJ98" s="951"/>
      <c r="AK98" s="953">
        <f>(139.43696+9.90146+6.03099)*9.26</f>
        <v>1438.7207365999998</v>
      </c>
      <c r="AL98" s="953">
        <f>3.94577*24.24+29.69871*10.53+93.63136*7.06+5.85439*24.24+3.20522*24.239</f>
        <v>1289.01202388</v>
      </c>
      <c r="AM98" s="953"/>
      <c r="AN98" s="3577" t="s">
        <v>1255</v>
      </c>
      <c r="AO98" s="3574" t="s">
        <v>1256</v>
      </c>
      <c r="AP98" s="3575"/>
      <c r="AQ98" s="3575"/>
      <c r="AR98" s="3575"/>
      <c r="AS98" s="3575"/>
      <c r="AT98" s="3575"/>
      <c r="AU98" s="3575"/>
      <c r="AV98" s="3575"/>
      <c r="AW98" s="3575"/>
      <c r="AX98" s="3575"/>
      <c r="AY98" s="3575"/>
      <c r="AZ98" s="818"/>
      <c r="BA98" s="954"/>
      <c r="BB98" s="954"/>
      <c r="BC98" s="954"/>
      <c r="BD98" s="954"/>
      <c r="BE98" s="954"/>
      <c r="BF98" s="954"/>
      <c r="BG98" s="954"/>
      <c r="BH98" s="954"/>
      <c r="BI98" s="954"/>
      <c r="BJ98" s="954"/>
      <c r="BK98" s="954"/>
      <c r="BL98" s="954"/>
      <c r="BM98" s="954"/>
      <c r="BN98" s="954"/>
      <c r="BO98" s="954"/>
      <c r="BP98" s="954"/>
      <c r="BQ98" s="954"/>
      <c r="BR98" s="954"/>
      <c r="BS98" s="954"/>
      <c r="BT98" s="954"/>
      <c r="BU98" s="954"/>
      <c r="BV98" s="954"/>
      <c r="BW98" s="954"/>
      <c r="BX98" s="954"/>
      <c r="BY98" s="954"/>
      <c r="BZ98" s="954"/>
    </row>
    <row r="99" spans="2:78" s="817" customFormat="1" ht="70.5" customHeight="1" thickTop="1" thickBot="1">
      <c r="B99" s="816"/>
      <c r="C99" s="817" t="s">
        <v>1257</v>
      </c>
      <c r="E99" s="946"/>
      <c r="F99" s="953"/>
      <c r="G99" s="819"/>
      <c r="H99" s="820"/>
      <c r="I99" s="820"/>
      <c r="J99" s="820"/>
      <c r="K99" s="820"/>
      <c r="L99" s="955"/>
      <c r="M99" s="819"/>
      <c r="N99" s="953"/>
      <c r="O99" s="956"/>
      <c r="P99" s="3574"/>
      <c r="Q99" s="3575"/>
      <c r="R99" s="957"/>
      <c r="S99" s="957"/>
      <c r="T99" s="958"/>
      <c r="U99" s="828"/>
      <c r="V99" s="828"/>
      <c r="W99" s="828"/>
      <c r="X99" s="828"/>
      <c r="Y99" s="950"/>
      <c r="Z99" s="828"/>
      <c r="AA99" s="828"/>
      <c r="AB99" s="959"/>
      <c r="AC99" s="960"/>
      <c r="AD99" s="3577"/>
      <c r="AE99" s="961"/>
      <c r="AF99" s="961"/>
      <c r="AG99" s="961"/>
      <c r="AH99" s="951"/>
      <c r="AI99" s="951"/>
      <c r="AJ99" s="951"/>
      <c r="AK99" s="962"/>
      <c r="AL99" s="963"/>
      <c r="AM99" s="963"/>
      <c r="AN99" s="3577"/>
      <c r="AO99" s="3574"/>
      <c r="AP99" s="3575"/>
      <c r="AQ99" s="3575"/>
      <c r="AR99" s="3575"/>
      <c r="AS99" s="3575"/>
      <c r="AT99" s="3575"/>
      <c r="AU99" s="3575"/>
      <c r="AV99" s="3575"/>
      <c r="AW99" s="3575"/>
      <c r="AX99" s="3575"/>
      <c r="AY99" s="3575"/>
      <c r="AZ99" s="818"/>
      <c r="BA99" s="954"/>
      <c r="BB99" s="954"/>
      <c r="BC99" s="954"/>
      <c r="BD99" s="954"/>
      <c r="BE99" s="954"/>
      <c r="BF99" s="954"/>
      <c r="BG99" s="954"/>
      <c r="BH99" s="954"/>
      <c r="BI99" s="954"/>
      <c r="BJ99" s="954"/>
      <c r="BK99" s="954"/>
      <c r="BL99" s="954"/>
      <c r="BM99" s="954"/>
      <c r="BN99" s="954"/>
      <c r="BO99" s="954"/>
      <c r="BP99" s="954"/>
      <c r="BQ99" s="954"/>
      <c r="BR99" s="954"/>
      <c r="BS99" s="954"/>
      <c r="BT99" s="954"/>
      <c r="BU99" s="954"/>
      <c r="BV99" s="954"/>
      <c r="BW99" s="954"/>
      <c r="BX99" s="954"/>
      <c r="BY99" s="954"/>
      <c r="BZ99" s="954"/>
    </row>
    <row r="100" spans="2:78" s="817" customFormat="1" ht="75.75" customHeight="1" thickTop="1" thickBot="1">
      <c r="B100" s="816"/>
      <c r="E100" s="946"/>
      <c r="F100" s="964">
        <f>F98+F99</f>
        <v>982.30069000000003</v>
      </c>
      <c r="G100" s="819"/>
      <c r="H100" s="820"/>
      <c r="I100" s="820"/>
      <c r="J100" s="820"/>
      <c r="K100" s="821"/>
      <c r="L100" s="821"/>
      <c r="M100" s="819"/>
      <c r="N100" s="965">
        <f>SUM(N98:N99)</f>
        <v>0</v>
      </c>
      <c r="O100" s="966" t="s">
        <v>16</v>
      </c>
      <c r="P100" s="3574"/>
      <c r="Q100" s="3575"/>
      <c r="R100" s="957"/>
      <c r="S100" s="957"/>
      <c r="T100" s="964">
        <f>T98</f>
        <v>0</v>
      </c>
      <c r="U100" s="951"/>
      <c r="V100" s="951"/>
      <c r="W100" s="951"/>
      <c r="X100" s="951"/>
      <c r="Y100" s="941"/>
      <c r="Z100" s="951"/>
      <c r="AA100" s="828"/>
      <c r="AB100" s="941"/>
      <c r="AC100" s="964">
        <f>SUM(AC98:AC99)</f>
        <v>113.88027</v>
      </c>
      <c r="AD100" s="3577"/>
      <c r="AE100" s="967"/>
      <c r="AF100" s="967"/>
      <c r="AG100" s="967"/>
      <c r="AH100" s="967"/>
      <c r="AI100" s="967"/>
      <c r="AJ100" s="967"/>
      <c r="AK100" s="968">
        <f>SUM(AK98:AK99)</f>
        <v>1438.7207365999998</v>
      </c>
      <c r="AL100" s="968">
        <f>SUM(AL98:AL99)</f>
        <v>1289.01202388</v>
      </c>
      <c r="AM100" s="968">
        <f>SUM(AM98:AM99)</f>
        <v>0</v>
      </c>
      <c r="AN100" s="3577"/>
      <c r="AO100" s="818"/>
      <c r="AP100" s="818"/>
      <c r="AQ100" s="818"/>
      <c r="AR100" s="818"/>
      <c r="AS100" s="818"/>
      <c r="AT100" s="818"/>
      <c r="AU100" s="818"/>
      <c r="AV100" s="818"/>
      <c r="AW100" s="818"/>
      <c r="AX100" s="818"/>
      <c r="AY100" s="818"/>
      <c r="AZ100" s="818"/>
    </row>
    <row r="101" spans="2:78" ht="21" thickTop="1">
      <c r="P101" s="821"/>
      <c r="Q101" s="821"/>
      <c r="R101" s="821"/>
      <c r="S101" s="821"/>
      <c r="Y101" s="941"/>
      <c r="Z101" s="975"/>
      <c r="AA101" s="975"/>
      <c r="AB101" s="975"/>
      <c r="AC101" s="976"/>
      <c r="AD101" s="976"/>
      <c r="AE101" s="975"/>
      <c r="AF101" s="975"/>
      <c r="AG101" s="975"/>
      <c r="AH101" s="975"/>
      <c r="AW101" s="975"/>
    </row>
    <row r="102" spans="2:78">
      <c r="Y102" s="941"/>
      <c r="Z102" s="975"/>
      <c r="AA102" s="975"/>
      <c r="AB102" s="975"/>
      <c r="AC102" s="976"/>
      <c r="AD102" s="976"/>
      <c r="AE102" s="975"/>
      <c r="AF102" s="975"/>
      <c r="AG102" s="975"/>
      <c r="AH102" s="975"/>
      <c r="AW102" s="975"/>
    </row>
    <row r="103" spans="2:78">
      <c r="Y103" s="942"/>
      <c r="Z103" s="975"/>
      <c r="AA103" s="975"/>
      <c r="AB103" s="975"/>
      <c r="AC103" s="978"/>
      <c r="AD103" s="976"/>
      <c r="AE103" s="975"/>
      <c r="AF103" s="975"/>
      <c r="AG103" s="975"/>
      <c r="AH103" s="975"/>
      <c r="AW103" s="975"/>
    </row>
    <row r="104" spans="2:78">
      <c r="Y104" s="942"/>
      <c r="Z104" s="979"/>
      <c r="AA104" s="979"/>
      <c r="AB104" s="979"/>
      <c r="AC104" s="978"/>
      <c r="AD104" s="976"/>
      <c r="AE104" s="975"/>
      <c r="AF104" s="975"/>
      <c r="AG104" s="975"/>
      <c r="AH104" s="975"/>
      <c r="AW104" s="979"/>
    </row>
    <row r="105" spans="2:78">
      <c r="Y105" s="942"/>
      <c r="Z105" s="975"/>
      <c r="AA105" s="975"/>
      <c r="AB105" s="975"/>
      <c r="AC105" s="978"/>
      <c r="AD105" s="976"/>
      <c r="AE105" s="975"/>
      <c r="AF105" s="975"/>
      <c r="AG105" s="975"/>
      <c r="AH105" s="975"/>
      <c r="AW105" s="975"/>
    </row>
    <row r="106" spans="2:78">
      <c r="Y106" s="942"/>
      <c r="Z106" s="975"/>
      <c r="AA106" s="975"/>
      <c r="AB106" s="975"/>
      <c r="AC106" s="978"/>
      <c r="AD106" s="976"/>
      <c r="AE106" s="975"/>
      <c r="AF106" s="975"/>
      <c r="AG106" s="975"/>
      <c r="AH106" s="975"/>
      <c r="AW106" s="975"/>
    </row>
    <row r="107" spans="2:78">
      <c r="Y107" s="942"/>
      <c r="Z107" s="975"/>
      <c r="AA107" s="975"/>
      <c r="AB107" s="975"/>
      <c r="AC107" s="978"/>
      <c r="AD107" s="976"/>
      <c r="AE107" s="975"/>
      <c r="AF107" s="975"/>
      <c r="AG107" s="975"/>
      <c r="AH107" s="975"/>
      <c r="AW107" s="975"/>
    </row>
    <row r="108" spans="2:78">
      <c r="Y108" s="942"/>
      <c r="Z108" s="975"/>
      <c r="AA108" s="975"/>
      <c r="AB108" s="975"/>
      <c r="AC108" s="978"/>
      <c r="AD108" s="976"/>
      <c r="AE108" s="975"/>
      <c r="AF108" s="975"/>
      <c r="AG108" s="975"/>
      <c r="AH108" s="975"/>
      <c r="AW108" s="975"/>
    </row>
    <row r="109" spans="2:78">
      <c r="Y109" s="942"/>
      <c r="Z109" s="975"/>
      <c r="AA109" s="975"/>
      <c r="AB109" s="975"/>
      <c r="AC109" s="978"/>
      <c r="AD109" s="976"/>
      <c r="AE109" s="975"/>
      <c r="AF109" s="975"/>
      <c r="AG109" s="975"/>
      <c r="AH109" s="975"/>
      <c r="AW109" s="975"/>
    </row>
    <row r="110" spans="2:78">
      <c r="Y110" s="942"/>
      <c r="Z110" s="975"/>
      <c r="AA110" s="975"/>
      <c r="AB110" s="975"/>
      <c r="AC110" s="978"/>
      <c r="AD110" s="976"/>
      <c r="AE110" s="975"/>
      <c r="AF110" s="975"/>
      <c r="AG110" s="975"/>
      <c r="AH110" s="975"/>
      <c r="AW110" s="975"/>
    </row>
    <row r="111" spans="2:78">
      <c r="Y111" s="942"/>
      <c r="Z111" s="975"/>
      <c r="AA111" s="975"/>
      <c r="AB111" s="975"/>
      <c r="AC111" s="978"/>
      <c r="AD111" s="976"/>
      <c r="AE111" s="975"/>
      <c r="AF111" s="975"/>
      <c r="AG111" s="975"/>
      <c r="AH111" s="975"/>
      <c r="AW111" s="975"/>
    </row>
    <row r="112" spans="2:78">
      <c r="Y112" s="942"/>
      <c r="Z112" s="975"/>
      <c r="AA112" s="975"/>
      <c r="AB112" s="975"/>
      <c r="AC112" s="978"/>
      <c r="AD112" s="976"/>
      <c r="AE112" s="975"/>
      <c r="AF112" s="975"/>
      <c r="AG112" s="975"/>
      <c r="AH112" s="975"/>
      <c r="AW112" s="975"/>
    </row>
    <row r="113" spans="25:49">
      <c r="Y113" s="942"/>
      <c r="Z113" s="975"/>
      <c r="AA113" s="975"/>
      <c r="AB113" s="975"/>
      <c r="AC113" s="978"/>
      <c r="AD113" s="976"/>
      <c r="AE113" s="975"/>
      <c r="AF113" s="975"/>
      <c r="AG113" s="975"/>
      <c r="AH113" s="975"/>
      <c r="AW113" s="975"/>
    </row>
    <row r="114" spans="25:49">
      <c r="Y114" s="942"/>
      <c r="Z114" s="975"/>
      <c r="AA114" s="975"/>
      <c r="AB114" s="975"/>
      <c r="AC114" s="978"/>
      <c r="AD114" s="976"/>
      <c r="AE114" s="975"/>
      <c r="AF114" s="975"/>
      <c r="AG114" s="975"/>
      <c r="AH114" s="975"/>
      <c r="AW114" s="975"/>
    </row>
    <row r="115" spans="25:49">
      <c r="Y115" s="942"/>
      <c r="Z115" s="975"/>
      <c r="AA115" s="975"/>
      <c r="AB115" s="975"/>
      <c r="AC115" s="978"/>
      <c r="AD115" s="976"/>
      <c r="AE115" s="975"/>
      <c r="AF115" s="975"/>
      <c r="AG115" s="975"/>
      <c r="AH115" s="975"/>
      <c r="AW115" s="975"/>
    </row>
    <row r="116" spans="25:49">
      <c r="Y116" s="975"/>
      <c r="Z116" s="975"/>
      <c r="AA116" s="975"/>
      <c r="AB116" s="975"/>
      <c r="AC116" s="978"/>
      <c r="AD116" s="976"/>
      <c r="AE116" s="975"/>
      <c r="AF116" s="975"/>
      <c r="AG116" s="975"/>
      <c r="AH116" s="975"/>
      <c r="AW116" s="975"/>
    </row>
    <row r="117" spans="25:49">
      <c r="Y117" s="975"/>
      <c r="Z117" s="975"/>
      <c r="AA117" s="975"/>
      <c r="AB117" s="975"/>
      <c r="AC117" s="978"/>
      <c r="AD117" s="976"/>
      <c r="AE117" s="975"/>
      <c r="AF117" s="975"/>
      <c r="AG117" s="975"/>
      <c r="AH117" s="975"/>
      <c r="AW117" s="975"/>
    </row>
    <row r="118" spans="25:49">
      <c r="Y118" s="975"/>
      <c r="Z118" s="975"/>
      <c r="AA118" s="975"/>
      <c r="AB118" s="975"/>
      <c r="AC118" s="978"/>
      <c r="AD118" s="976"/>
      <c r="AE118" s="975"/>
      <c r="AF118" s="975"/>
      <c r="AG118" s="975"/>
      <c r="AH118" s="975"/>
      <c r="AW118" s="975"/>
    </row>
    <row r="119" spans="25:49">
      <c r="Y119" s="975"/>
      <c r="Z119" s="975"/>
      <c r="AA119" s="975"/>
      <c r="AB119" s="975"/>
      <c r="AC119" s="978"/>
      <c r="AD119" s="976"/>
      <c r="AE119" s="975"/>
      <c r="AF119" s="975"/>
      <c r="AG119" s="975"/>
      <c r="AH119" s="975"/>
      <c r="AW119" s="975"/>
    </row>
  </sheetData>
  <mergeCells count="24">
    <mergeCell ref="AN98:AN100"/>
    <mergeCell ref="AO98:AY98"/>
    <mergeCell ref="P99:Q99"/>
    <mergeCell ref="AO99:AY99"/>
    <mergeCell ref="P100:Q100"/>
    <mergeCell ref="B9:G9"/>
    <mergeCell ref="M9:AL9"/>
    <mergeCell ref="B10:G10"/>
    <mergeCell ref="M10:AL10"/>
    <mergeCell ref="G98:R98"/>
    <mergeCell ref="Z98:AB98"/>
    <mergeCell ref="AD98:AD100"/>
    <mergeCell ref="D5:E5"/>
    <mergeCell ref="F5:G5"/>
    <mergeCell ref="B6:AW6"/>
    <mergeCell ref="B7:AM7"/>
    <mergeCell ref="B8:G8"/>
    <mergeCell ref="M8:AL8"/>
    <mergeCell ref="D2:E2"/>
    <mergeCell ref="F2:G2"/>
    <mergeCell ref="D3:E3"/>
    <mergeCell ref="F3:G3"/>
    <mergeCell ref="D4:E4"/>
    <mergeCell ref="F4:G4"/>
  </mergeCells>
  <printOptions horizontalCentered="1"/>
  <pageMargins left="0" right="0" top="0.39370078740157483" bottom="0.39370078740157483" header="0.19685039370078741" footer="0.19685039370078741"/>
  <pageSetup paperSize="9" scale="3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B1:LD119"/>
  <sheetViews>
    <sheetView view="pageBreakPreview" topLeftCell="C1" zoomScale="40" zoomScaleNormal="100" zoomScaleSheetLayoutView="40" workbookViewId="0">
      <selection activeCell="GO38" sqref="GO38"/>
    </sheetView>
  </sheetViews>
  <sheetFormatPr defaultColWidth="0.85546875" defaultRowHeight="20.25" outlineLevelRow="2" outlineLevelCol="2"/>
  <cols>
    <col min="1" max="1" width="3.28515625" style="846" customWidth="1"/>
    <col min="2" max="2" width="15.85546875" style="969" bestFit="1" customWidth="1"/>
    <col min="3" max="3" width="101.28515625" style="846" customWidth="1"/>
    <col min="4" max="4" width="23.7109375" style="846" customWidth="1"/>
    <col min="5" max="5" width="23.42578125" style="970" customWidth="1"/>
    <col min="6" max="6" width="26.85546875" style="970" customWidth="1"/>
    <col min="7" max="7" width="26" style="971" customWidth="1"/>
    <col min="8" max="8" width="11.5703125" style="972" hidden="1" customWidth="1"/>
    <col min="9" max="9" width="11.5703125" style="972" hidden="1" customWidth="1" collapsed="1"/>
    <col min="10" max="10" width="11.5703125" style="972" hidden="1" customWidth="1"/>
    <col min="11" max="12" width="11.5703125" style="973" hidden="1" customWidth="1"/>
    <col min="13" max="13" width="22.28515625" style="973" hidden="1" customWidth="1"/>
    <col min="14" max="15" width="21.5703125" style="973" hidden="1" customWidth="1"/>
    <col min="16" max="16" width="23.42578125" style="973" hidden="1" customWidth="1"/>
    <col min="17" max="17" width="26.5703125" style="973" hidden="1" customWidth="1"/>
    <col min="18" max="18" width="23.28515625" style="973" customWidth="1"/>
    <col min="19" max="20" width="24" style="973" customWidth="1"/>
    <col min="21" max="21" width="42" style="974" bestFit="1" customWidth="1"/>
    <col min="22" max="22" width="13" style="973" hidden="1" customWidth="1"/>
    <col min="23" max="24" width="13.42578125" style="973" hidden="1" customWidth="1"/>
    <col min="25" max="25" width="17.7109375" style="973" hidden="1" customWidth="1"/>
    <col min="26" max="26" width="13.42578125" style="973" hidden="1" customWidth="1"/>
    <col min="27" max="27" width="23.42578125" style="973" hidden="1" customWidth="1"/>
    <col min="28" max="30" width="22" style="973" customWidth="1"/>
    <col min="31" max="31" width="25.42578125" style="980" hidden="1" customWidth="1" outlineLevel="1"/>
    <col min="32" max="32" width="26.42578125" style="974" hidden="1" customWidth="1" outlineLevel="1"/>
    <col min="33" max="33" width="13.42578125" style="973" hidden="1" customWidth="1" outlineLevel="2"/>
    <col min="34" max="34" width="13.42578125" style="973" hidden="1" customWidth="1" outlineLevel="2" collapsed="1"/>
    <col min="35" max="35" width="13.42578125" style="973" hidden="1" customWidth="1" outlineLevel="2"/>
    <col min="36" max="36" width="13.7109375" style="973" hidden="1" customWidth="1" outlineLevel="2"/>
    <col min="37" max="37" width="13.42578125" style="973" hidden="1" customWidth="1" outlineLevel="2"/>
    <col min="38" max="38" width="18.7109375" style="973" hidden="1" customWidth="1" outlineLevel="2"/>
    <col min="39" max="40" width="23.140625" style="973" hidden="1" customWidth="1" outlineLevel="2"/>
    <col min="41" max="41" width="28" style="973" hidden="1" customWidth="1" outlineLevel="1"/>
    <col min="42" max="42" width="22.7109375" style="973" hidden="1" customWidth="1" outlineLevel="1"/>
    <col min="43" max="43" width="25.140625" style="977" hidden="1" customWidth="1" outlineLevel="2"/>
    <col min="44" max="44" width="14.85546875" style="973" hidden="1" customWidth="1" outlineLevel="2"/>
    <col min="45" max="45" width="14.85546875" style="973" hidden="1" customWidth="1" outlineLevel="2" collapsed="1"/>
    <col min="46" max="48" width="14.85546875" style="973" hidden="1" customWidth="1" outlineLevel="2"/>
    <col min="49" max="49" width="14.7109375" style="973" hidden="1" customWidth="1" outlineLevel="2"/>
    <col min="50" max="50" width="16.5703125" style="973" hidden="1" customWidth="1" outlineLevel="2"/>
    <col min="51" max="51" width="23.85546875" style="973" hidden="1" customWidth="1" outlineLevel="2"/>
    <col min="52" max="54" width="23.140625" style="973" hidden="1" customWidth="1" outlineLevel="2"/>
    <col min="55" max="55" width="25.140625" style="977" hidden="1" customWidth="1" outlineLevel="2"/>
    <col min="56" max="56" width="14.85546875" style="973" hidden="1" customWidth="1" outlineLevel="2"/>
    <col min="57" max="57" width="14.85546875" style="973" hidden="1" customWidth="1" outlineLevel="2" collapsed="1"/>
    <col min="58" max="60" width="14.85546875" style="973" hidden="1" customWidth="1" outlineLevel="2"/>
    <col min="61" max="61" width="14.7109375" style="973" hidden="1" customWidth="1" outlineLevel="2"/>
    <col min="62" max="62" width="16.5703125" style="973" hidden="1" customWidth="1" outlineLevel="2"/>
    <col min="63" max="63" width="23.85546875" style="973" hidden="1" customWidth="1" outlineLevel="2"/>
    <col min="64" max="66" width="23.140625" style="973" hidden="1" customWidth="1" outlineLevel="2"/>
    <col min="67" max="67" width="25.42578125" style="980" hidden="1" customWidth="1" outlineLevel="1"/>
    <col min="68" max="68" width="26.42578125" style="974" hidden="1" customWidth="1" outlineLevel="1"/>
    <col min="69" max="69" width="13.42578125" style="973" hidden="1" customWidth="1" outlineLevel="2"/>
    <col min="70" max="70" width="13.42578125" style="973" hidden="1" customWidth="1" outlineLevel="2" collapsed="1"/>
    <col min="71" max="71" width="13.42578125" style="973" hidden="1" customWidth="1" outlineLevel="2"/>
    <col min="72" max="72" width="13.7109375" style="973" hidden="1" customWidth="1" outlineLevel="2"/>
    <col min="73" max="73" width="13.42578125" style="973" hidden="1" customWidth="1" outlineLevel="2"/>
    <col min="74" max="74" width="18.7109375" style="973" hidden="1" customWidth="1" outlineLevel="2"/>
    <col min="75" max="76" width="23.140625" style="973" hidden="1" customWidth="1" outlineLevel="2"/>
    <col min="77" max="77" width="28" style="973" hidden="1" customWidth="1" outlineLevel="1"/>
    <col min="78" max="78" width="22.7109375" style="973" hidden="1" customWidth="1" outlineLevel="1"/>
    <col min="79" max="79" width="27" style="977" hidden="1" customWidth="1" outlineLevel="2"/>
    <col min="80" max="80" width="14.85546875" style="973" hidden="1" customWidth="1" outlineLevel="2"/>
    <col min="81" max="81" width="14.85546875" style="973" hidden="1" customWidth="1" outlineLevel="2" collapsed="1"/>
    <col min="82" max="84" width="14.85546875" style="973" hidden="1" customWidth="1" outlineLevel="2"/>
    <col min="85" max="85" width="14.7109375" style="973" hidden="1" customWidth="1" outlineLevel="2"/>
    <col min="86" max="86" width="16.5703125" style="973" hidden="1" customWidth="1" outlineLevel="2"/>
    <col min="87" max="87" width="23.85546875" style="973" hidden="1" customWidth="1" outlineLevel="2"/>
    <col min="88" max="90" width="23.140625" style="973" hidden="1" customWidth="1" outlineLevel="2"/>
    <col min="91" max="91" width="25.140625" style="977" hidden="1" customWidth="1" outlineLevel="2"/>
    <col min="92" max="92" width="14.85546875" style="973" hidden="1" customWidth="1" outlineLevel="2"/>
    <col min="93" max="93" width="14.85546875" style="973" hidden="1" customWidth="1" outlineLevel="2" collapsed="1"/>
    <col min="94" max="96" width="14.85546875" style="973" hidden="1" customWidth="1" outlineLevel="2"/>
    <col min="97" max="97" width="14.7109375" style="973" hidden="1" customWidth="1" outlineLevel="2"/>
    <col min="98" max="98" width="16.5703125" style="973" hidden="1" customWidth="1" outlineLevel="2"/>
    <col min="99" max="99" width="23.85546875" style="973" hidden="1" customWidth="1" outlineLevel="2"/>
    <col min="100" max="102" width="23.140625" style="973" hidden="1" customWidth="1" outlineLevel="2"/>
    <col min="103" max="103" width="0.85546875" style="846" collapsed="1"/>
    <col min="104" max="309" width="0.85546875" style="846"/>
    <col min="310" max="310" width="7.28515625" style="846" customWidth="1"/>
    <col min="311" max="311" width="57.5703125" style="846" customWidth="1"/>
    <col min="312" max="312" width="13.140625" style="846" customWidth="1"/>
    <col min="313" max="313" width="13.5703125" style="846" customWidth="1"/>
    <col min="314" max="314" width="18.7109375" style="846" bestFit="1" customWidth="1"/>
    <col min="315" max="315" width="20.7109375" style="846" customWidth="1"/>
    <col min="316" max="316" width="16.140625" customWidth="1"/>
    <col min="317" max="317" width="19" style="846" customWidth="1"/>
    <col min="318" max="318" width="20" style="846" bestFit="1" customWidth="1"/>
    <col min="319" max="319" width="16.7109375" style="846" bestFit="1" customWidth="1"/>
    <col min="320" max="320" width="43.28515625" style="846" customWidth="1"/>
    <col min="321" max="565" width="0.85546875" style="846"/>
    <col min="566" max="566" width="7.28515625" style="846" customWidth="1"/>
    <col min="567" max="567" width="57.5703125" style="846" customWidth="1"/>
    <col min="568" max="568" width="13.140625" style="846" customWidth="1"/>
    <col min="569" max="569" width="13.5703125" style="846" customWidth="1"/>
    <col min="570" max="570" width="18.7109375" style="846" bestFit="1" customWidth="1"/>
    <col min="571" max="571" width="20.7109375" style="846" customWidth="1"/>
    <col min="572" max="572" width="16.140625" style="846" customWidth="1"/>
    <col min="573" max="573" width="19" style="846" customWidth="1"/>
    <col min="574" max="574" width="20" style="846" bestFit="1" customWidth="1"/>
    <col min="575" max="575" width="16.7109375" style="846" bestFit="1" customWidth="1"/>
    <col min="576" max="576" width="43.28515625" style="846" customWidth="1"/>
    <col min="577" max="821" width="0.85546875" style="846"/>
    <col min="822" max="822" width="7.28515625" style="846" customWidth="1"/>
    <col min="823" max="823" width="57.5703125" style="846" customWidth="1"/>
    <col min="824" max="824" width="13.140625" style="846" customWidth="1"/>
    <col min="825" max="825" width="13.5703125" style="846" customWidth="1"/>
    <col min="826" max="826" width="18.7109375" style="846" bestFit="1" customWidth="1"/>
    <col min="827" max="827" width="20.7109375" style="846" customWidth="1"/>
    <col min="828" max="828" width="16.140625" style="846" customWidth="1"/>
    <col min="829" max="829" width="19" style="846" customWidth="1"/>
    <col min="830" max="830" width="20" style="846" bestFit="1" customWidth="1"/>
    <col min="831" max="831" width="16.7109375" style="846" bestFit="1" customWidth="1"/>
    <col min="832" max="832" width="43.28515625" style="846" customWidth="1"/>
    <col min="833" max="1077" width="0.85546875" style="846"/>
    <col min="1078" max="1078" width="7.28515625" style="846" customWidth="1"/>
    <col min="1079" max="1079" width="57.5703125" style="846" customWidth="1"/>
    <col min="1080" max="1080" width="13.140625" style="846" customWidth="1"/>
    <col min="1081" max="1081" width="13.5703125" style="846" customWidth="1"/>
    <col min="1082" max="1082" width="18.7109375" style="846" bestFit="1" customWidth="1"/>
    <col min="1083" max="1083" width="20.7109375" style="846" customWidth="1"/>
    <col min="1084" max="1084" width="16.140625" style="846" customWidth="1"/>
    <col min="1085" max="1085" width="19" style="846" customWidth="1"/>
    <col min="1086" max="1086" width="20" style="846" bestFit="1" customWidth="1"/>
    <col min="1087" max="1087" width="16.7109375" style="846" bestFit="1" customWidth="1"/>
    <col min="1088" max="1088" width="43.28515625" style="846" customWidth="1"/>
    <col min="1089" max="1333" width="0.85546875" style="846"/>
    <col min="1334" max="1334" width="7.28515625" style="846" customWidth="1"/>
    <col min="1335" max="1335" width="57.5703125" style="846" customWidth="1"/>
    <col min="1336" max="1336" width="13.140625" style="846" customWidth="1"/>
    <col min="1337" max="1337" width="13.5703125" style="846" customWidth="1"/>
    <col min="1338" max="1338" width="18.7109375" style="846" bestFit="1" customWidth="1"/>
    <col min="1339" max="1339" width="20.7109375" style="846" customWidth="1"/>
    <col min="1340" max="1340" width="16.140625" style="846" customWidth="1"/>
    <col min="1341" max="1341" width="19" style="846" customWidth="1"/>
    <col min="1342" max="1342" width="20" style="846" bestFit="1" customWidth="1"/>
    <col min="1343" max="1343" width="16.7109375" style="846" bestFit="1" customWidth="1"/>
    <col min="1344" max="1344" width="43.28515625" style="846" customWidth="1"/>
    <col min="1345" max="1589" width="0.85546875" style="846"/>
    <col min="1590" max="1590" width="7.28515625" style="846" customWidth="1"/>
    <col min="1591" max="1591" width="57.5703125" style="846" customWidth="1"/>
    <col min="1592" max="1592" width="13.140625" style="846" customWidth="1"/>
    <col min="1593" max="1593" width="13.5703125" style="846" customWidth="1"/>
    <col min="1594" max="1594" width="18.7109375" style="846" bestFit="1" customWidth="1"/>
    <col min="1595" max="1595" width="20.7109375" style="846" customWidth="1"/>
    <col min="1596" max="1596" width="16.140625" style="846" customWidth="1"/>
    <col min="1597" max="1597" width="19" style="846" customWidth="1"/>
    <col min="1598" max="1598" width="20" style="846" bestFit="1" customWidth="1"/>
    <col min="1599" max="1599" width="16.7109375" style="846" bestFit="1" customWidth="1"/>
    <col min="1600" max="1600" width="43.28515625" style="846" customWidth="1"/>
    <col min="1601" max="1845" width="0.85546875" style="846"/>
    <col min="1846" max="1846" width="7.28515625" style="846" customWidth="1"/>
    <col min="1847" max="1847" width="57.5703125" style="846" customWidth="1"/>
    <col min="1848" max="1848" width="13.140625" style="846" customWidth="1"/>
    <col min="1849" max="1849" width="13.5703125" style="846" customWidth="1"/>
    <col min="1850" max="1850" width="18.7109375" style="846" bestFit="1" customWidth="1"/>
    <col min="1851" max="1851" width="20.7109375" style="846" customWidth="1"/>
    <col min="1852" max="1852" width="16.140625" style="846" customWidth="1"/>
    <col min="1853" max="1853" width="19" style="846" customWidth="1"/>
    <col min="1854" max="1854" width="20" style="846" bestFit="1" customWidth="1"/>
    <col min="1855" max="1855" width="16.7109375" style="846" bestFit="1" customWidth="1"/>
    <col min="1856" max="1856" width="43.28515625" style="846" customWidth="1"/>
    <col min="1857" max="2101" width="0.85546875" style="846"/>
    <col min="2102" max="2102" width="7.28515625" style="846" customWidth="1"/>
    <col min="2103" max="2103" width="57.5703125" style="846" customWidth="1"/>
    <col min="2104" max="2104" width="13.140625" style="846" customWidth="1"/>
    <col min="2105" max="2105" width="13.5703125" style="846" customWidth="1"/>
    <col min="2106" max="2106" width="18.7109375" style="846" bestFit="1" customWidth="1"/>
    <col min="2107" max="2107" width="20.7109375" style="846" customWidth="1"/>
    <col min="2108" max="2108" width="16.140625" style="846" customWidth="1"/>
    <col min="2109" max="2109" width="19" style="846" customWidth="1"/>
    <col min="2110" max="2110" width="20" style="846" bestFit="1" customWidth="1"/>
    <col min="2111" max="2111" width="16.7109375" style="846" bestFit="1" customWidth="1"/>
    <col min="2112" max="2112" width="43.28515625" style="846" customWidth="1"/>
    <col min="2113" max="2357" width="0.85546875" style="846"/>
    <col min="2358" max="2358" width="7.28515625" style="846" customWidth="1"/>
    <col min="2359" max="2359" width="57.5703125" style="846" customWidth="1"/>
    <col min="2360" max="2360" width="13.140625" style="846" customWidth="1"/>
    <col min="2361" max="2361" width="13.5703125" style="846" customWidth="1"/>
    <col min="2362" max="2362" width="18.7109375" style="846" bestFit="1" customWidth="1"/>
    <col min="2363" max="2363" width="20.7109375" style="846" customWidth="1"/>
    <col min="2364" max="2364" width="16.140625" style="846" customWidth="1"/>
    <col min="2365" max="2365" width="19" style="846" customWidth="1"/>
    <col min="2366" max="2366" width="20" style="846" bestFit="1" customWidth="1"/>
    <col min="2367" max="2367" width="16.7109375" style="846" bestFit="1" customWidth="1"/>
    <col min="2368" max="2368" width="43.28515625" style="846" customWidth="1"/>
    <col min="2369" max="2613" width="0.85546875" style="846"/>
    <col min="2614" max="2614" width="7.28515625" style="846" customWidth="1"/>
    <col min="2615" max="2615" width="57.5703125" style="846" customWidth="1"/>
    <col min="2616" max="2616" width="13.140625" style="846" customWidth="1"/>
    <col min="2617" max="2617" width="13.5703125" style="846" customWidth="1"/>
    <col min="2618" max="2618" width="18.7109375" style="846" bestFit="1" customWidth="1"/>
    <col min="2619" max="2619" width="20.7109375" style="846" customWidth="1"/>
    <col min="2620" max="2620" width="16.140625" style="846" customWidth="1"/>
    <col min="2621" max="2621" width="19" style="846" customWidth="1"/>
    <col min="2622" max="2622" width="20" style="846" bestFit="1" customWidth="1"/>
    <col min="2623" max="2623" width="16.7109375" style="846" bestFit="1" customWidth="1"/>
    <col min="2624" max="2624" width="43.28515625" style="846" customWidth="1"/>
    <col min="2625" max="2869" width="0.85546875" style="846"/>
    <col min="2870" max="2870" width="7.28515625" style="846" customWidth="1"/>
    <col min="2871" max="2871" width="57.5703125" style="846" customWidth="1"/>
    <col min="2872" max="2872" width="13.140625" style="846" customWidth="1"/>
    <col min="2873" max="2873" width="13.5703125" style="846" customWidth="1"/>
    <col min="2874" max="2874" width="18.7109375" style="846" bestFit="1" customWidth="1"/>
    <col min="2875" max="2875" width="20.7109375" style="846" customWidth="1"/>
    <col min="2876" max="2876" width="16.140625" style="846" customWidth="1"/>
    <col min="2877" max="2877" width="19" style="846" customWidth="1"/>
    <col min="2878" max="2878" width="20" style="846" bestFit="1" customWidth="1"/>
    <col min="2879" max="2879" width="16.7109375" style="846" bestFit="1" customWidth="1"/>
    <col min="2880" max="2880" width="43.28515625" style="846" customWidth="1"/>
    <col min="2881" max="3125" width="0.85546875" style="846"/>
    <col min="3126" max="3126" width="7.28515625" style="846" customWidth="1"/>
    <col min="3127" max="3127" width="57.5703125" style="846" customWidth="1"/>
    <col min="3128" max="3128" width="13.140625" style="846" customWidth="1"/>
    <col min="3129" max="3129" width="13.5703125" style="846" customWidth="1"/>
    <col min="3130" max="3130" width="18.7109375" style="846" bestFit="1" customWidth="1"/>
    <col min="3131" max="3131" width="20.7109375" style="846" customWidth="1"/>
    <col min="3132" max="3132" width="16.140625" style="846" customWidth="1"/>
    <col min="3133" max="3133" width="19" style="846" customWidth="1"/>
    <col min="3134" max="3134" width="20" style="846" bestFit="1" customWidth="1"/>
    <col min="3135" max="3135" width="16.7109375" style="846" bestFit="1" customWidth="1"/>
    <col min="3136" max="3136" width="43.28515625" style="846" customWidth="1"/>
    <col min="3137" max="3381" width="0.85546875" style="846"/>
    <col min="3382" max="3382" width="7.28515625" style="846" customWidth="1"/>
    <col min="3383" max="3383" width="57.5703125" style="846" customWidth="1"/>
    <col min="3384" max="3384" width="13.140625" style="846" customWidth="1"/>
    <col min="3385" max="3385" width="13.5703125" style="846" customWidth="1"/>
    <col min="3386" max="3386" width="18.7109375" style="846" bestFit="1" customWidth="1"/>
    <col min="3387" max="3387" width="20.7109375" style="846" customWidth="1"/>
    <col min="3388" max="3388" width="16.140625" style="846" customWidth="1"/>
    <col min="3389" max="3389" width="19" style="846" customWidth="1"/>
    <col min="3390" max="3390" width="20" style="846" bestFit="1" customWidth="1"/>
    <col min="3391" max="3391" width="16.7109375" style="846" bestFit="1" customWidth="1"/>
    <col min="3392" max="3392" width="43.28515625" style="846" customWidth="1"/>
    <col min="3393" max="3637" width="0.85546875" style="846"/>
    <col min="3638" max="3638" width="7.28515625" style="846" customWidth="1"/>
    <col min="3639" max="3639" width="57.5703125" style="846" customWidth="1"/>
    <col min="3640" max="3640" width="13.140625" style="846" customWidth="1"/>
    <col min="3641" max="3641" width="13.5703125" style="846" customWidth="1"/>
    <col min="3642" max="3642" width="18.7109375" style="846" bestFit="1" customWidth="1"/>
    <col min="3643" max="3643" width="20.7109375" style="846" customWidth="1"/>
    <col min="3644" max="3644" width="16.140625" style="846" customWidth="1"/>
    <col min="3645" max="3645" width="19" style="846" customWidth="1"/>
    <col min="3646" max="3646" width="20" style="846" bestFit="1" customWidth="1"/>
    <col min="3647" max="3647" width="16.7109375" style="846" bestFit="1" customWidth="1"/>
    <col min="3648" max="3648" width="43.28515625" style="846" customWidth="1"/>
    <col min="3649" max="3893" width="0.85546875" style="846"/>
    <col min="3894" max="3894" width="7.28515625" style="846" customWidth="1"/>
    <col min="3895" max="3895" width="57.5703125" style="846" customWidth="1"/>
    <col min="3896" max="3896" width="13.140625" style="846" customWidth="1"/>
    <col min="3897" max="3897" width="13.5703125" style="846" customWidth="1"/>
    <col min="3898" max="3898" width="18.7109375" style="846" bestFit="1" customWidth="1"/>
    <col min="3899" max="3899" width="20.7109375" style="846" customWidth="1"/>
    <col min="3900" max="3900" width="16.140625" style="846" customWidth="1"/>
    <col min="3901" max="3901" width="19" style="846" customWidth="1"/>
    <col min="3902" max="3902" width="20" style="846" bestFit="1" customWidth="1"/>
    <col min="3903" max="3903" width="16.7109375" style="846" bestFit="1" customWidth="1"/>
    <col min="3904" max="3904" width="43.28515625" style="846" customWidth="1"/>
    <col min="3905" max="4149" width="0.85546875" style="846"/>
    <col min="4150" max="4150" width="7.28515625" style="846" customWidth="1"/>
    <col min="4151" max="4151" width="57.5703125" style="846" customWidth="1"/>
    <col min="4152" max="4152" width="13.140625" style="846" customWidth="1"/>
    <col min="4153" max="4153" width="13.5703125" style="846" customWidth="1"/>
    <col min="4154" max="4154" width="18.7109375" style="846" bestFit="1" customWidth="1"/>
    <col min="4155" max="4155" width="20.7109375" style="846" customWidth="1"/>
    <col min="4156" max="4156" width="16.140625" style="846" customWidth="1"/>
    <col min="4157" max="4157" width="19" style="846" customWidth="1"/>
    <col min="4158" max="4158" width="20" style="846" bestFit="1" customWidth="1"/>
    <col min="4159" max="4159" width="16.7109375" style="846" bestFit="1" customWidth="1"/>
    <col min="4160" max="4160" width="43.28515625" style="846" customWidth="1"/>
    <col min="4161" max="4405" width="0.85546875" style="846"/>
    <col min="4406" max="4406" width="7.28515625" style="846" customWidth="1"/>
    <col min="4407" max="4407" width="57.5703125" style="846" customWidth="1"/>
    <col min="4408" max="4408" width="13.140625" style="846" customWidth="1"/>
    <col min="4409" max="4409" width="13.5703125" style="846" customWidth="1"/>
    <col min="4410" max="4410" width="18.7109375" style="846" bestFit="1" customWidth="1"/>
    <col min="4411" max="4411" width="20.7109375" style="846" customWidth="1"/>
    <col min="4412" max="4412" width="16.140625" style="846" customWidth="1"/>
    <col min="4413" max="4413" width="19" style="846" customWidth="1"/>
    <col min="4414" max="4414" width="20" style="846" bestFit="1" customWidth="1"/>
    <col min="4415" max="4415" width="16.7109375" style="846" bestFit="1" customWidth="1"/>
    <col min="4416" max="4416" width="43.28515625" style="846" customWidth="1"/>
    <col min="4417" max="4661" width="0.85546875" style="846"/>
    <col min="4662" max="4662" width="7.28515625" style="846" customWidth="1"/>
    <col min="4663" max="4663" width="57.5703125" style="846" customWidth="1"/>
    <col min="4664" max="4664" width="13.140625" style="846" customWidth="1"/>
    <col min="4665" max="4665" width="13.5703125" style="846" customWidth="1"/>
    <col min="4666" max="4666" width="18.7109375" style="846" bestFit="1" customWidth="1"/>
    <col min="4667" max="4667" width="20.7109375" style="846" customWidth="1"/>
    <col min="4668" max="4668" width="16.140625" style="846" customWidth="1"/>
    <col min="4669" max="4669" width="19" style="846" customWidth="1"/>
    <col min="4670" max="4670" width="20" style="846" bestFit="1" customWidth="1"/>
    <col min="4671" max="4671" width="16.7109375" style="846" bestFit="1" customWidth="1"/>
    <col min="4672" max="4672" width="43.28515625" style="846" customWidth="1"/>
    <col min="4673" max="4917" width="0.85546875" style="846"/>
    <col min="4918" max="4918" width="7.28515625" style="846" customWidth="1"/>
    <col min="4919" max="4919" width="57.5703125" style="846" customWidth="1"/>
    <col min="4920" max="4920" width="13.140625" style="846" customWidth="1"/>
    <col min="4921" max="4921" width="13.5703125" style="846" customWidth="1"/>
    <col min="4922" max="4922" width="18.7109375" style="846" bestFit="1" customWidth="1"/>
    <col min="4923" max="4923" width="20.7109375" style="846" customWidth="1"/>
    <col min="4924" max="4924" width="16.140625" style="846" customWidth="1"/>
    <col min="4925" max="4925" width="19" style="846" customWidth="1"/>
    <col min="4926" max="4926" width="20" style="846" bestFit="1" customWidth="1"/>
    <col min="4927" max="4927" width="16.7109375" style="846" bestFit="1" customWidth="1"/>
    <col min="4928" max="4928" width="43.28515625" style="846" customWidth="1"/>
    <col min="4929" max="5173" width="0.85546875" style="846"/>
    <col min="5174" max="5174" width="7.28515625" style="846" customWidth="1"/>
    <col min="5175" max="5175" width="57.5703125" style="846" customWidth="1"/>
    <col min="5176" max="5176" width="13.140625" style="846" customWidth="1"/>
    <col min="5177" max="5177" width="13.5703125" style="846" customWidth="1"/>
    <col min="5178" max="5178" width="18.7109375" style="846" bestFit="1" customWidth="1"/>
    <col min="5179" max="5179" width="20.7109375" style="846" customWidth="1"/>
    <col min="5180" max="5180" width="16.140625" style="846" customWidth="1"/>
    <col min="5181" max="5181" width="19" style="846" customWidth="1"/>
    <col min="5182" max="5182" width="20" style="846" bestFit="1" customWidth="1"/>
    <col min="5183" max="5183" width="16.7109375" style="846" bestFit="1" customWidth="1"/>
    <col min="5184" max="5184" width="43.28515625" style="846" customWidth="1"/>
    <col min="5185" max="5429" width="0.85546875" style="846"/>
    <col min="5430" max="5430" width="7.28515625" style="846" customWidth="1"/>
    <col min="5431" max="5431" width="57.5703125" style="846" customWidth="1"/>
    <col min="5432" max="5432" width="13.140625" style="846" customWidth="1"/>
    <col min="5433" max="5433" width="13.5703125" style="846" customWidth="1"/>
    <col min="5434" max="5434" width="18.7109375" style="846" bestFit="1" customWidth="1"/>
    <col min="5435" max="5435" width="20.7109375" style="846" customWidth="1"/>
    <col min="5436" max="5436" width="16.140625" style="846" customWidth="1"/>
    <col min="5437" max="5437" width="19" style="846" customWidth="1"/>
    <col min="5438" max="5438" width="20" style="846" bestFit="1" customWidth="1"/>
    <col min="5439" max="5439" width="16.7109375" style="846" bestFit="1" customWidth="1"/>
    <col min="5440" max="5440" width="43.28515625" style="846" customWidth="1"/>
    <col min="5441" max="5685" width="0.85546875" style="846"/>
    <col min="5686" max="5686" width="7.28515625" style="846" customWidth="1"/>
    <col min="5687" max="5687" width="57.5703125" style="846" customWidth="1"/>
    <col min="5688" max="5688" width="13.140625" style="846" customWidth="1"/>
    <col min="5689" max="5689" width="13.5703125" style="846" customWidth="1"/>
    <col min="5690" max="5690" width="18.7109375" style="846" bestFit="1" customWidth="1"/>
    <col min="5691" max="5691" width="20.7109375" style="846" customWidth="1"/>
    <col min="5692" max="5692" width="16.140625" style="846" customWidth="1"/>
    <col min="5693" max="5693" width="19" style="846" customWidth="1"/>
    <col min="5694" max="5694" width="20" style="846" bestFit="1" customWidth="1"/>
    <col min="5695" max="5695" width="16.7109375" style="846" bestFit="1" customWidth="1"/>
    <col min="5696" max="5696" width="43.28515625" style="846" customWidth="1"/>
    <col min="5697" max="5941" width="0.85546875" style="846"/>
    <col min="5942" max="5942" width="7.28515625" style="846" customWidth="1"/>
    <col min="5943" max="5943" width="57.5703125" style="846" customWidth="1"/>
    <col min="5944" max="5944" width="13.140625" style="846" customWidth="1"/>
    <col min="5945" max="5945" width="13.5703125" style="846" customWidth="1"/>
    <col min="5946" max="5946" width="18.7109375" style="846" bestFit="1" customWidth="1"/>
    <col min="5947" max="5947" width="20.7109375" style="846" customWidth="1"/>
    <col min="5948" max="5948" width="16.140625" style="846" customWidth="1"/>
    <col min="5949" max="5949" width="19" style="846" customWidth="1"/>
    <col min="5950" max="5950" width="20" style="846" bestFit="1" customWidth="1"/>
    <col min="5951" max="5951" width="16.7109375" style="846" bestFit="1" customWidth="1"/>
    <col min="5952" max="5952" width="43.28515625" style="846" customWidth="1"/>
    <col min="5953" max="6197" width="0.85546875" style="846"/>
    <col min="6198" max="6198" width="7.28515625" style="846" customWidth="1"/>
    <col min="6199" max="6199" width="57.5703125" style="846" customWidth="1"/>
    <col min="6200" max="6200" width="13.140625" style="846" customWidth="1"/>
    <col min="6201" max="6201" width="13.5703125" style="846" customWidth="1"/>
    <col min="6202" max="6202" width="18.7109375" style="846" bestFit="1" customWidth="1"/>
    <col min="6203" max="6203" width="20.7109375" style="846" customWidth="1"/>
    <col min="6204" max="6204" width="16.140625" style="846" customWidth="1"/>
    <col min="6205" max="6205" width="19" style="846" customWidth="1"/>
    <col min="6206" max="6206" width="20" style="846" bestFit="1" customWidth="1"/>
    <col min="6207" max="6207" width="16.7109375" style="846" bestFit="1" customWidth="1"/>
    <col min="6208" max="6208" width="43.28515625" style="846" customWidth="1"/>
    <col min="6209" max="6453" width="0.85546875" style="846"/>
    <col min="6454" max="6454" width="7.28515625" style="846" customWidth="1"/>
    <col min="6455" max="6455" width="57.5703125" style="846" customWidth="1"/>
    <col min="6456" max="6456" width="13.140625" style="846" customWidth="1"/>
    <col min="6457" max="6457" width="13.5703125" style="846" customWidth="1"/>
    <col min="6458" max="6458" width="18.7109375" style="846" bestFit="1" customWidth="1"/>
    <col min="6459" max="6459" width="20.7109375" style="846" customWidth="1"/>
    <col min="6460" max="6460" width="16.140625" style="846" customWidth="1"/>
    <col min="6461" max="6461" width="19" style="846" customWidth="1"/>
    <col min="6462" max="6462" width="20" style="846" bestFit="1" customWidth="1"/>
    <col min="6463" max="6463" width="16.7109375" style="846" bestFit="1" customWidth="1"/>
    <col min="6464" max="6464" width="43.28515625" style="846" customWidth="1"/>
    <col min="6465" max="6709" width="0.85546875" style="846"/>
    <col min="6710" max="6710" width="7.28515625" style="846" customWidth="1"/>
    <col min="6711" max="6711" width="57.5703125" style="846" customWidth="1"/>
    <col min="6712" max="6712" width="13.140625" style="846" customWidth="1"/>
    <col min="6713" max="6713" width="13.5703125" style="846" customWidth="1"/>
    <col min="6714" max="6714" width="18.7109375" style="846" bestFit="1" customWidth="1"/>
    <col min="6715" max="6715" width="20.7109375" style="846" customWidth="1"/>
    <col min="6716" max="6716" width="16.140625" style="846" customWidth="1"/>
    <col min="6717" max="6717" width="19" style="846" customWidth="1"/>
    <col min="6718" max="6718" width="20" style="846" bestFit="1" customWidth="1"/>
    <col min="6719" max="6719" width="16.7109375" style="846" bestFit="1" customWidth="1"/>
    <col min="6720" max="6720" width="43.28515625" style="846" customWidth="1"/>
    <col min="6721" max="6965" width="0.85546875" style="846"/>
    <col min="6966" max="6966" width="7.28515625" style="846" customWidth="1"/>
    <col min="6967" max="6967" width="57.5703125" style="846" customWidth="1"/>
    <col min="6968" max="6968" width="13.140625" style="846" customWidth="1"/>
    <col min="6969" max="6969" width="13.5703125" style="846" customWidth="1"/>
    <col min="6970" max="6970" width="18.7109375" style="846" bestFit="1" customWidth="1"/>
    <col min="6971" max="6971" width="20.7109375" style="846" customWidth="1"/>
    <col min="6972" max="6972" width="16.140625" style="846" customWidth="1"/>
    <col min="6973" max="6973" width="19" style="846" customWidth="1"/>
    <col min="6974" max="6974" width="20" style="846" bestFit="1" customWidth="1"/>
    <col min="6975" max="6975" width="16.7109375" style="846" bestFit="1" customWidth="1"/>
    <col min="6976" max="6976" width="43.28515625" style="846" customWidth="1"/>
    <col min="6977" max="7221" width="0.85546875" style="846"/>
    <col min="7222" max="7222" width="7.28515625" style="846" customWidth="1"/>
    <col min="7223" max="7223" width="57.5703125" style="846" customWidth="1"/>
    <col min="7224" max="7224" width="13.140625" style="846" customWidth="1"/>
    <col min="7225" max="7225" width="13.5703125" style="846" customWidth="1"/>
    <col min="7226" max="7226" width="18.7109375" style="846" bestFit="1" customWidth="1"/>
    <col min="7227" max="7227" width="20.7109375" style="846" customWidth="1"/>
    <col min="7228" max="7228" width="16.140625" style="846" customWidth="1"/>
    <col min="7229" max="7229" width="19" style="846" customWidth="1"/>
    <col min="7230" max="7230" width="20" style="846" bestFit="1" customWidth="1"/>
    <col min="7231" max="7231" width="16.7109375" style="846" bestFit="1" customWidth="1"/>
    <col min="7232" max="7232" width="43.28515625" style="846" customWidth="1"/>
    <col min="7233" max="7477" width="0.85546875" style="846"/>
    <col min="7478" max="7478" width="7.28515625" style="846" customWidth="1"/>
    <col min="7479" max="7479" width="57.5703125" style="846" customWidth="1"/>
    <col min="7480" max="7480" width="13.140625" style="846" customWidth="1"/>
    <col min="7481" max="7481" width="13.5703125" style="846" customWidth="1"/>
    <col min="7482" max="7482" width="18.7109375" style="846" bestFit="1" customWidth="1"/>
    <col min="7483" max="7483" width="20.7109375" style="846" customWidth="1"/>
    <col min="7484" max="7484" width="16.140625" style="846" customWidth="1"/>
    <col min="7485" max="7485" width="19" style="846" customWidth="1"/>
    <col min="7486" max="7486" width="20" style="846" bestFit="1" customWidth="1"/>
    <col min="7487" max="7487" width="16.7109375" style="846" bestFit="1" customWidth="1"/>
    <col min="7488" max="7488" width="43.28515625" style="846" customWidth="1"/>
    <col min="7489" max="7733" width="0.85546875" style="846"/>
    <col min="7734" max="7734" width="7.28515625" style="846" customWidth="1"/>
    <col min="7735" max="7735" width="57.5703125" style="846" customWidth="1"/>
    <col min="7736" max="7736" width="13.140625" style="846" customWidth="1"/>
    <col min="7737" max="7737" width="13.5703125" style="846" customWidth="1"/>
    <col min="7738" max="7738" width="18.7109375" style="846" bestFit="1" customWidth="1"/>
    <col min="7739" max="7739" width="20.7109375" style="846" customWidth="1"/>
    <col min="7740" max="7740" width="16.140625" style="846" customWidth="1"/>
    <col min="7741" max="7741" width="19" style="846" customWidth="1"/>
    <col min="7742" max="7742" width="20" style="846" bestFit="1" customWidth="1"/>
    <col min="7743" max="7743" width="16.7109375" style="846" bestFit="1" customWidth="1"/>
    <col min="7744" max="7744" width="43.28515625" style="846" customWidth="1"/>
    <col min="7745" max="7989" width="0.85546875" style="846"/>
    <col min="7990" max="7990" width="7.28515625" style="846" customWidth="1"/>
    <col min="7991" max="7991" width="57.5703125" style="846" customWidth="1"/>
    <col min="7992" max="7992" width="13.140625" style="846" customWidth="1"/>
    <col min="7993" max="7993" width="13.5703125" style="846" customWidth="1"/>
    <col min="7994" max="7994" width="18.7109375" style="846" bestFit="1" customWidth="1"/>
    <col min="7995" max="7995" width="20.7109375" style="846" customWidth="1"/>
    <col min="7996" max="7996" width="16.140625" style="846" customWidth="1"/>
    <col min="7997" max="7997" width="19" style="846" customWidth="1"/>
    <col min="7998" max="7998" width="20" style="846" bestFit="1" customWidth="1"/>
    <col min="7999" max="7999" width="16.7109375" style="846" bestFit="1" customWidth="1"/>
    <col min="8000" max="8000" width="43.28515625" style="846" customWidth="1"/>
    <col min="8001" max="8245" width="0.85546875" style="846"/>
    <col min="8246" max="8246" width="7.28515625" style="846" customWidth="1"/>
    <col min="8247" max="8247" width="57.5703125" style="846" customWidth="1"/>
    <col min="8248" max="8248" width="13.140625" style="846" customWidth="1"/>
    <col min="8249" max="8249" width="13.5703125" style="846" customWidth="1"/>
    <col min="8250" max="8250" width="18.7109375" style="846" bestFit="1" customWidth="1"/>
    <col min="8251" max="8251" width="20.7109375" style="846" customWidth="1"/>
    <col min="8252" max="8252" width="16.140625" style="846" customWidth="1"/>
    <col min="8253" max="8253" width="19" style="846" customWidth="1"/>
    <col min="8254" max="8254" width="20" style="846" bestFit="1" customWidth="1"/>
    <col min="8255" max="8255" width="16.7109375" style="846" bestFit="1" customWidth="1"/>
    <col min="8256" max="8256" width="43.28515625" style="846" customWidth="1"/>
    <col min="8257" max="8501" width="0.85546875" style="846"/>
    <col min="8502" max="8502" width="7.28515625" style="846" customWidth="1"/>
    <col min="8503" max="8503" width="57.5703125" style="846" customWidth="1"/>
    <col min="8504" max="8504" width="13.140625" style="846" customWidth="1"/>
    <col min="8505" max="8505" width="13.5703125" style="846" customWidth="1"/>
    <col min="8506" max="8506" width="18.7109375" style="846" bestFit="1" customWidth="1"/>
    <col min="8507" max="8507" width="20.7109375" style="846" customWidth="1"/>
    <col min="8508" max="8508" width="16.140625" style="846" customWidth="1"/>
    <col min="8509" max="8509" width="19" style="846" customWidth="1"/>
    <col min="8510" max="8510" width="20" style="846" bestFit="1" customWidth="1"/>
    <col min="8511" max="8511" width="16.7109375" style="846" bestFit="1" customWidth="1"/>
    <col min="8512" max="8512" width="43.28515625" style="846" customWidth="1"/>
    <col min="8513" max="8757" width="0.85546875" style="846"/>
    <col min="8758" max="8758" width="7.28515625" style="846" customWidth="1"/>
    <col min="8759" max="8759" width="57.5703125" style="846" customWidth="1"/>
    <col min="8760" max="8760" width="13.140625" style="846" customWidth="1"/>
    <col min="8761" max="8761" width="13.5703125" style="846" customWidth="1"/>
    <col min="8762" max="8762" width="18.7109375" style="846" bestFit="1" customWidth="1"/>
    <col min="8763" max="8763" width="20.7109375" style="846" customWidth="1"/>
    <col min="8764" max="8764" width="16.140625" style="846" customWidth="1"/>
    <col min="8765" max="8765" width="19" style="846" customWidth="1"/>
    <col min="8766" max="8766" width="20" style="846" bestFit="1" customWidth="1"/>
    <col min="8767" max="8767" width="16.7109375" style="846" bestFit="1" customWidth="1"/>
    <col min="8768" max="8768" width="43.28515625" style="846" customWidth="1"/>
    <col min="8769" max="9013" width="0.85546875" style="846"/>
    <col min="9014" max="9014" width="7.28515625" style="846" customWidth="1"/>
    <col min="9015" max="9015" width="57.5703125" style="846" customWidth="1"/>
    <col min="9016" max="9016" width="13.140625" style="846" customWidth="1"/>
    <col min="9017" max="9017" width="13.5703125" style="846" customWidth="1"/>
    <col min="9018" max="9018" width="18.7109375" style="846" bestFit="1" customWidth="1"/>
    <col min="9019" max="9019" width="20.7109375" style="846" customWidth="1"/>
    <col min="9020" max="9020" width="16.140625" style="846" customWidth="1"/>
    <col min="9021" max="9021" width="19" style="846" customWidth="1"/>
    <col min="9022" max="9022" width="20" style="846" bestFit="1" customWidth="1"/>
    <col min="9023" max="9023" width="16.7109375" style="846" bestFit="1" customWidth="1"/>
    <col min="9024" max="9024" width="43.28515625" style="846" customWidth="1"/>
    <col min="9025" max="9269" width="0.85546875" style="846"/>
    <col min="9270" max="9270" width="7.28515625" style="846" customWidth="1"/>
    <col min="9271" max="9271" width="57.5703125" style="846" customWidth="1"/>
    <col min="9272" max="9272" width="13.140625" style="846" customWidth="1"/>
    <col min="9273" max="9273" width="13.5703125" style="846" customWidth="1"/>
    <col min="9274" max="9274" width="18.7109375" style="846" bestFit="1" customWidth="1"/>
    <col min="9275" max="9275" width="20.7109375" style="846" customWidth="1"/>
    <col min="9276" max="9276" width="16.140625" style="846" customWidth="1"/>
    <col min="9277" max="9277" width="19" style="846" customWidth="1"/>
    <col min="9278" max="9278" width="20" style="846" bestFit="1" customWidth="1"/>
    <col min="9279" max="9279" width="16.7109375" style="846" bestFit="1" customWidth="1"/>
    <col min="9280" max="9280" width="43.28515625" style="846" customWidth="1"/>
    <col min="9281" max="9525" width="0.85546875" style="846"/>
    <col min="9526" max="9526" width="7.28515625" style="846" customWidth="1"/>
    <col min="9527" max="9527" width="57.5703125" style="846" customWidth="1"/>
    <col min="9528" max="9528" width="13.140625" style="846" customWidth="1"/>
    <col min="9529" max="9529" width="13.5703125" style="846" customWidth="1"/>
    <col min="9530" max="9530" width="18.7109375" style="846" bestFit="1" customWidth="1"/>
    <col min="9531" max="9531" width="20.7109375" style="846" customWidth="1"/>
    <col min="9532" max="9532" width="16.140625" style="846" customWidth="1"/>
    <col min="9533" max="9533" width="19" style="846" customWidth="1"/>
    <col min="9534" max="9534" width="20" style="846" bestFit="1" customWidth="1"/>
    <col min="9535" max="9535" width="16.7109375" style="846" bestFit="1" customWidth="1"/>
    <col min="9536" max="9536" width="43.28515625" style="846" customWidth="1"/>
    <col min="9537" max="9781" width="0.85546875" style="846"/>
    <col min="9782" max="9782" width="7.28515625" style="846" customWidth="1"/>
    <col min="9783" max="9783" width="57.5703125" style="846" customWidth="1"/>
    <col min="9784" max="9784" width="13.140625" style="846" customWidth="1"/>
    <col min="9785" max="9785" width="13.5703125" style="846" customWidth="1"/>
    <col min="9786" max="9786" width="18.7109375" style="846" bestFit="1" customWidth="1"/>
    <col min="9787" max="9787" width="20.7109375" style="846" customWidth="1"/>
    <col min="9788" max="9788" width="16.140625" style="846" customWidth="1"/>
    <col min="9789" max="9789" width="19" style="846" customWidth="1"/>
    <col min="9790" max="9790" width="20" style="846" bestFit="1" customWidth="1"/>
    <col min="9791" max="9791" width="16.7109375" style="846" bestFit="1" customWidth="1"/>
    <col min="9792" max="9792" width="43.28515625" style="846" customWidth="1"/>
    <col min="9793" max="10037" width="0.85546875" style="846"/>
    <col min="10038" max="10038" width="7.28515625" style="846" customWidth="1"/>
    <col min="10039" max="10039" width="57.5703125" style="846" customWidth="1"/>
    <col min="10040" max="10040" width="13.140625" style="846" customWidth="1"/>
    <col min="10041" max="10041" width="13.5703125" style="846" customWidth="1"/>
    <col min="10042" max="10042" width="18.7109375" style="846" bestFit="1" customWidth="1"/>
    <col min="10043" max="10043" width="20.7109375" style="846" customWidth="1"/>
    <col min="10044" max="10044" width="16.140625" style="846" customWidth="1"/>
    <col min="10045" max="10045" width="19" style="846" customWidth="1"/>
    <col min="10046" max="10046" width="20" style="846" bestFit="1" customWidth="1"/>
    <col min="10047" max="10047" width="16.7109375" style="846" bestFit="1" customWidth="1"/>
    <col min="10048" max="10048" width="43.28515625" style="846" customWidth="1"/>
    <col min="10049" max="10293" width="0.85546875" style="846"/>
    <col min="10294" max="10294" width="7.28515625" style="846" customWidth="1"/>
    <col min="10295" max="10295" width="57.5703125" style="846" customWidth="1"/>
    <col min="10296" max="10296" width="13.140625" style="846" customWidth="1"/>
    <col min="10297" max="10297" width="13.5703125" style="846" customWidth="1"/>
    <col min="10298" max="10298" width="18.7109375" style="846" bestFit="1" customWidth="1"/>
    <col min="10299" max="10299" width="20.7109375" style="846" customWidth="1"/>
    <col min="10300" max="10300" width="16.140625" style="846" customWidth="1"/>
    <col min="10301" max="10301" width="19" style="846" customWidth="1"/>
    <col min="10302" max="10302" width="20" style="846" bestFit="1" customWidth="1"/>
    <col min="10303" max="10303" width="16.7109375" style="846" bestFit="1" customWidth="1"/>
    <col min="10304" max="10304" width="43.28515625" style="846" customWidth="1"/>
    <col min="10305" max="10549" width="0.85546875" style="846"/>
    <col min="10550" max="10550" width="7.28515625" style="846" customWidth="1"/>
    <col min="10551" max="10551" width="57.5703125" style="846" customWidth="1"/>
    <col min="10552" max="10552" width="13.140625" style="846" customWidth="1"/>
    <col min="10553" max="10553" width="13.5703125" style="846" customWidth="1"/>
    <col min="10554" max="10554" width="18.7109375" style="846" bestFit="1" customWidth="1"/>
    <col min="10555" max="10555" width="20.7109375" style="846" customWidth="1"/>
    <col min="10556" max="10556" width="16.140625" style="846" customWidth="1"/>
    <col min="10557" max="10557" width="19" style="846" customWidth="1"/>
    <col min="10558" max="10558" width="20" style="846" bestFit="1" customWidth="1"/>
    <col min="10559" max="10559" width="16.7109375" style="846" bestFit="1" customWidth="1"/>
    <col min="10560" max="10560" width="43.28515625" style="846" customWidth="1"/>
    <col min="10561" max="10805" width="0.85546875" style="846"/>
    <col min="10806" max="10806" width="7.28515625" style="846" customWidth="1"/>
    <col min="10807" max="10807" width="57.5703125" style="846" customWidth="1"/>
    <col min="10808" max="10808" width="13.140625" style="846" customWidth="1"/>
    <col min="10809" max="10809" width="13.5703125" style="846" customWidth="1"/>
    <col min="10810" max="10810" width="18.7109375" style="846" bestFit="1" customWidth="1"/>
    <col min="10811" max="10811" width="20.7109375" style="846" customWidth="1"/>
    <col min="10812" max="10812" width="16.140625" style="846" customWidth="1"/>
    <col min="10813" max="10813" width="19" style="846" customWidth="1"/>
    <col min="10814" max="10814" width="20" style="846" bestFit="1" customWidth="1"/>
    <col min="10815" max="10815" width="16.7109375" style="846" bestFit="1" customWidth="1"/>
    <col min="10816" max="10816" width="43.28515625" style="846" customWidth="1"/>
    <col min="10817" max="11061" width="0.85546875" style="846"/>
    <col min="11062" max="11062" width="7.28515625" style="846" customWidth="1"/>
    <col min="11063" max="11063" width="57.5703125" style="846" customWidth="1"/>
    <col min="11064" max="11064" width="13.140625" style="846" customWidth="1"/>
    <col min="11065" max="11065" width="13.5703125" style="846" customWidth="1"/>
    <col min="11066" max="11066" width="18.7109375" style="846" bestFit="1" customWidth="1"/>
    <col min="11067" max="11067" width="20.7109375" style="846" customWidth="1"/>
    <col min="11068" max="11068" width="16.140625" style="846" customWidth="1"/>
    <col min="11069" max="11069" width="19" style="846" customWidth="1"/>
    <col min="11070" max="11070" width="20" style="846" bestFit="1" customWidth="1"/>
    <col min="11071" max="11071" width="16.7109375" style="846" bestFit="1" customWidth="1"/>
    <col min="11072" max="11072" width="43.28515625" style="846" customWidth="1"/>
    <col min="11073" max="11317" width="0.85546875" style="846"/>
    <col min="11318" max="11318" width="7.28515625" style="846" customWidth="1"/>
    <col min="11319" max="11319" width="57.5703125" style="846" customWidth="1"/>
    <col min="11320" max="11320" width="13.140625" style="846" customWidth="1"/>
    <col min="11321" max="11321" width="13.5703125" style="846" customWidth="1"/>
    <col min="11322" max="11322" width="18.7109375" style="846" bestFit="1" customWidth="1"/>
    <col min="11323" max="11323" width="20.7109375" style="846" customWidth="1"/>
    <col min="11324" max="11324" width="16.140625" style="846" customWidth="1"/>
    <col min="11325" max="11325" width="19" style="846" customWidth="1"/>
    <col min="11326" max="11326" width="20" style="846" bestFit="1" customWidth="1"/>
    <col min="11327" max="11327" width="16.7109375" style="846" bestFit="1" customWidth="1"/>
    <col min="11328" max="11328" width="43.28515625" style="846" customWidth="1"/>
    <col min="11329" max="11573" width="0.85546875" style="846"/>
    <col min="11574" max="11574" width="7.28515625" style="846" customWidth="1"/>
    <col min="11575" max="11575" width="57.5703125" style="846" customWidth="1"/>
    <col min="11576" max="11576" width="13.140625" style="846" customWidth="1"/>
    <col min="11577" max="11577" width="13.5703125" style="846" customWidth="1"/>
    <col min="11578" max="11578" width="18.7109375" style="846" bestFit="1" customWidth="1"/>
    <col min="11579" max="11579" width="20.7109375" style="846" customWidth="1"/>
    <col min="11580" max="11580" width="16.140625" style="846" customWidth="1"/>
    <col min="11581" max="11581" width="19" style="846" customWidth="1"/>
    <col min="11582" max="11582" width="20" style="846" bestFit="1" customWidth="1"/>
    <col min="11583" max="11583" width="16.7109375" style="846" bestFit="1" customWidth="1"/>
    <col min="11584" max="11584" width="43.28515625" style="846" customWidth="1"/>
    <col min="11585" max="11829" width="0.85546875" style="846"/>
    <col min="11830" max="11830" width="7.28515625" style="846" customWidth="1"/>
    <col min="11831" max="11831" width="57.5703125" style="846" customWidth="1"/>
    <col min="11832" max="11832" width="13.140625" style="846" customWidth="1"/>
    <col min="11833" max="11833" width="13.5703125" style="846" customWidth="1"/>
    <col min="11834" max="11834" width="18.7109375" style="846" bestFit="1" customWidth="1"/>
    <col min="11835" max="11835" width="20.7109375" style="846" customWidth="1"/>
    <col min="11836" max="11836" width="16.140625" style="846" customWidth="1"/>
    <col min="11837" max="11837" width="19" style="846" customWidth="1"/>
    <col min="11838" max="11838" width="20" style="846" bestFit="1" customWidth="1"/>
    <col min="11839" max="11839" width="16.7109375" style="846" bestFit="1" customWidth="1"/>
    <col min="11840" max="11840" width="43.28515625" style="846" customWidth="1"/>
    <col min="11841" max="12085" width="0.85546875" style="846"/>
    <col min="12086" max="12086" width="7.28515625" style="846" customWidth="1"/>
    <col min="12087" max="12087" width="57.5703125" style="846" customWidth="1"/>
    <col min="12088" max="12088" width="13.140625" style="846" customWidth="1"/>
    <col min="12089" max="12089" width="13.5703125" style="846" customWidth="1"/>
    <col min="12090" max="12090" width="18.7109375" style="846" bestFit="1" customWidth="1"/>
    <col min="12091" max="12091" width="20.7109375" style="846" customWidth="1"/>
    <col min="12092" max="12092" width="16.140625" style="846" customWidth="1"/>
    <col min="12093" max="12093" width="19" style="846" customWidth="1"/>
    <col min="12094" max="12094" width="20" style="846" bestFit="1" customWidth="1"/>
    <col min="12095" max="12095" width="16.7109375" style="846" bestFit="1" customWidth="1"/>
    <col min="12096" max="12096" width="43.28515625" style="846" customWidth="1"/>
    <col min="12097" max="12341" width="0.85546875" style="846"/>
    <col min="12342" max="12342" width="7.28515625" style="846" customWidth="1"/>
    <col min="12343" max="12343" width="57.5703125" style="846" customWidth="1"/>
    <col min="12344" max="12344" width="13.140625" style="846" customWidth="1"/>
    <col min="12345" max="12345" width="13.5703125" style="846" customWidth="1"/>
    <col min="12346" max="12346" width="18.7109375" style="846" bestFit="1" customWidth="1"/>
    <col min="12347" max="12347" width="20.7109375" style="846" customWidth="1"/>
    <col min="12348" max="12348" width="16.140625" style="846" customWidth="1"/>
    <col min="12349" max="12349" width="19" style="846" customWidth="1"/>
    <col min="12350" max="12350" width="20" style="846" bestFit="1" customWidth="1"/>
    <col min="12351" max="12351" width="16.7109375" style="846" bestFit="1" customWidth="1"/>
    <col min="12352" max="12352" width="43.28515625" style="846" customWidth="1"/>
    <col min="12353" max="12597" width="0.85546875" style="846"/>
    <col min="12598" max="12598" width="7.28515625" style="846" customWidth="1"/>
    <col min="12599" max="12599" width="57.5703125" style="846" customWidth="1"/>
    <col min="12600" max="12600" width="13.140625" style="846" customWidth="1"/>
    <col min="12601" max="12601" width="13.5703125" style="846" customWidth="1"/>
    <col min="12602" max="12602" width="18.7109375" style="846" bestFit="1" customWidth="1"/>
    <col min="12603" max="12603" width="20.7109375" style="846" customWidth="1"/>
    <col min="12604" max="12604" width="16.140625" style="846" customWidth="1"/>
    <col min="12605" max="12605" width="19" style="846" customWidth="1"/>
    <col min="12606" max="12606" width="20" style="846" bestFit="1" customWidth="1"/>
    <col min="12607" max="12607" width="16.7109375" style="846" bestFit="1" customWidth="1"/>
    <col min="12608" max="12608" width="43.28515625" style="846" customWidth="1"/>
    <col min="12609" max="12853" width="0.85546875" style="846"/>
    <col min="12854" max="12854" width="7.28515625" style="846" customWidth="1"/>
    <col min="12855" max="12855" width="57.5703125" style="846" customWidth="1"/>
    <col min="12856" max="12856" width="13.140625" style="846" customWidth="1"/>
    <col min="12857" max="12857" width="13.5703125" style="846" customWidth="1"/>
    <col min="12858" max="12858" width="18.7109375" style="846" bestFit="1" customWidth="1"/>
    <col min="12859" max="12859" width="20.7109375" style="846" customWidth="1"/>
    <col min="12860" max="12860" width="16.140625" style="846" customWidth="1"/>
    <col min="12861" max="12861" width="19" style="846" customWidth="1"/>
    <col min="12862" max="12862" width="20" style="846" bestFit="1" customWidth="1"/>
    <col min="12863" max="12863" width="16.7109375" style="846" bestFit="1" customWidth="1"/>
    <col min="12864" max="12864" width="43.28515625" style="846" customWidth="1"/>
    <col min="12865" max="13109" width="0.85546875" style="846"/>
    <col min="13110" max="13110" width="7.28515625" style="846" customWidth="1"/>
    <col min="13111" max="13111" width="57.5703125" style="846" customWidth="1"/>
    <col min="13112" max="13112" width="13.140625" style="846" customWidth="1"/>
    <col min="13113" max="13113" width="13.5703125" style="846" customWidth="1"/>
    <col min="13114" max="13114" width="18.7109375" style="846" bestFit="1" customWidth="1"/>
    <col min="13115" max="13115" width="20.7109375" style="846" customWidth="1"/>
    <col min="13116" max="13116" width="16.140625" style="846" customWidth="1"/>
    <col min="13117" max="13117" width="19" style="846" customWidth="1"/>
    <col min="13118" max="13118" width="20" style="846" bestFit="1" customWidth="1"/>
    <col min="13119" max="13119" width="16.7109375" style="846" bestFit="1" customWidth="1"/>
    <col min="13120" max="13120" width="43.28515625" style="846" customWidth="1"/>
    <col min="13121" max="13365" width="0.85546875" style="846"/>
    <col min="13366" max="13366" width="7.28515625" style="846" customWidth="1"/>
    <col min="13367" max="13367" width="57.5703125" style="846" customWidth="1"/>
    <col min="13368" max="13368" width="13.140625" style="846" customWidth="1"/>
    <col min="13369" max="13369" width="13.5703125" style="846" customWidth="1"/>
    <col min="13370" max="13370" width="18.7109375" style="846" bestFit="1" customWidth="1"/>
    <col min="13371" max="13371" width="20.7109375" style="846" customWidth="1"/>
    <col min="13372" max="13372" width="16.140625" style="846" customWidth="1"/>
    <col min="13373" max="13373" width="19" style="846" customWidth="1"/>
    <col min="13374" max="13374" width="20" style="846" bestFit="1" customWidth="1"/>
    <col min="13375" max="13375" width="16.7109375" style="846" bestFit="1" customWidth="1"/>
    <col min="13376" max="13376" width="43.28515625" style="846" customWidth="1"/>
    <col min="13377" max="13621" width="0.85546875" style="846"/>
    <col min="13622" max="13622" width="7.28515625" style="846" customWidth="1"/>
    <col min="13623" max="13623" width="57.5703125" style="846" customWidth="1"/>
    <col min="13624" max="13624" width="13.140625" style="846" customWidth="1"/>
    <col min="13625" max="13625" width="13.5703125" style="846" customWidth="1"/>
    <col min="13626" max="13626" width="18.7109375" style="846" bestFit="1" customWidth="1"/>
    <col min="13627" max="13627" width="20.7109375" style="846" customWidth="1"/>
    <col min="13628" max="13628" width="16.140625" style="846" customWidth="1"/>
    <col min="13629" max="13629" width="19" style="846" customWidth="1"/>
    <col min="13630" max="13630" width="20" style="846" bestFit="1" customWidth="1"/>
    <col min="13631" max="13631" width="16.7109375" style="846" bestFit="1" customWidth="1"/>
    <col min="13632" max="13632" width="43.28515625" style="846" customWidth="1"/>
    <col min="13633" max="13877" width="0.85546875" style="846"/>
    <col min="13878" max="13878" width="7.28515625" style="846" customWidth="1"/>
    <col min="13879" max="13879" width="57.5703125" style="846" customWidth="1"/>
    <col min="13880" max="13880" width="13.140625" style="846" customWidth="1"/>
    <col min="13881" max="13881" width="13.5703125" style="846" customWidth="1"/>
    <col min="13882" max="13882" width="18.7109375" style="846" bestFit="1" customWidth="1"/>
    <col min="13883" max="13883" width="20.7109375" style="846" customWidth="1"/>
    <col min="13884" max="13884" width="16.140625" style="846" customWidth="1"/>
    <col min="13885" max="13885" width="19" style="846" customWidth="1"/>
    <col min="13886" max="13886" width="20" style="846" bestFit="1" customWidth="1"/>
    <col min="13887" max="13887" width="16.7109375" style="846" bestFit="1" customWidth="1"/>
    <col min="13888" max="13888" width="43.28515625" style="846" customWidth="1"/>
    <col min="13889" max="14133" width="0.85546875" style="846"/>
    <col min="14134" max="14134" width="7.28515625" style="846" customWidth="1"/>
    <col min="14135" max="14135" width="57.5703125" style="846" customWidth="1"/>
    <col min="14136" max="14136" width="13.140625" style="846" customWidth="1"/>
    <col min="14137" max="14137" width="13.5703125" style="846" customWidth="1"/>
    <col min="14138" max="14138" width="18.7109375" style="846" bestFit="1" customWidth="1"/>
    <col min="14139" max="14139" width="20.7109375" style="846" customWidth="1"/>
    <col min="14140" max="14140" width="16.140625" style="846" customWidth="1"/>
    <col min="14141" max="14141" width="19" style="846" customWidth="1"/>
    <col min="14142" max="14142" width="20" style="846" bestFit="1" customWidth="1"/>
    <col min="14143" max="14143" width="16.7109375" style="846" bestFit="1" customWidth="1"/>
    <col min="14144" max="14144" width="43.28515625" style="846" customWidth="1"/>
    <col min="14145" max="14389" width="0.85546875" style="846"/>
    <col min="14390" max="14390" width="7.28515625" style="846" customWidth="1"/>
    <col min="14391" max="14391" width="57.5703125" style="846" customWidth="1"/>
    <col min="14392" max="14392" width="13.140625" style="846" customWidth="1"/>
    <col min="14393" max="14393" width="13.5703125" style="846" customWidth="1"/>
    <col min="14394" max="14394" width="18.7109375" style="846" bestFit="1" customWidth="1"/>
    <col min="14395" max="14395" width="20.7109375" style="846" customWidth="1"/>
    <col min="14396" max="14396" width="16.140625" style="846" customWidth="1"/>
    <col min="14397" max="14397" width="19" style="846" customWidth="1"/>
    <col min="14398" max="14398" width="20" style="846" bestFit="1" customWidth="1"/>
    <col min="14399" max="14399" width="16.7109375" style="846" bestFit="1" customWidth="1"/>
    <col min="14400" max="14400" width="43.28515625" style="846" customWidth="1"/>
    <col min="14401" max="14645" width="0.85546875" style="846"/>
    <col min="14646" max="14646" width="7.28515625" style="846" customWidth="1"/>
    <col min="14647" max="14647" width="57.5703125" style="846" customWidth="1"/>
    <col min="14648" max="14648" width="13.140625" style="846" customWidth="1"/>
    <col min="14649" max="14649" width="13.5703125" style="846" customWidth="1"/>
    <col min="14650" max="14650" width="18.7109375" style="846" bestFit="1" customWidth="1"/>
    <col min="14651" max="14651" width="20.7109375" style="846" customWidth="1"/>
    <col min="14652" max="14652" width="16.140625" style="846" customWidth="1"/>
    <col min="14653" max="14653" width="19" style="846" customWidth="1"/>
    <col min="14654" max="14654" width="20" style="846" bestFit="1" customWidth="1"/>
    <col min="14655" max="14655" width="16.7109375" style="846" bestFit="1" customWidth="1"/>
    <col min="14656" max="14656" width="43.28515625" style="846" customWidth="1"/>
    <col min="14657" max="14901" width="0.85546875" style="846"/>
    <col min="14902" max="14902" width="7.28515625" style="846" customWidth="1"/>
    <col min="14903" max="14903" width="57.5703125" style="846" customWidth="1"/>
    <col min="14904" max="14904" width="13.140625" style="846" customWidth="1"/>
    <col min="14905" max="14905" width="13.5703125" style="846" customWidth="1"/>
    <col min="14906" max="14906" width="18.7109375" style="846" bestFit="1" customWidth="1"/>
    <col min="14907" max="14907" width="20.7109375" style="846" customWidth="1"/>
    <col min="14908" max="14908" width="16.140625" style="846" customWidth="1"/>
    <col min="14909" max="14909" width="19" style="846" customWidth="1"/>
    <col min="14910" max="14910" width="20" style="846" bestFit="1" customWidth="1"/>
    <col min="14911" max="14911" width="16.7109375" style="846" bestFit="1" customWidth="1"/>
    <col min="14912" max="14912" width="43.28515625" style="846" customWidth="1"/>
    <col min="14913" max="15157" width="0.85546875" style="846"/>
    <col min="15158" max="15158" width="7.28515625" style="846" customWidth="1"/>
    <col min="15159" max="15159" width="57.5703125" style="846" customWidth="1"/>
    <col min="15160" max="15160" width="13.140625" style="846" customWidth="1"/>
    <col min="15161" max="15161" width="13.5703125" style="846" customWidth="1"/>
    <col min="15162" max="15162" width="18.7109375" style="846" bestFit="1" customWidth="1"/>
    <col min="15163" max="15163" width="20.7109375" style="846" customWidth="1"/>
    <col min="15164" max="15164" width="16.140625" style="846" customWidth="1"/>
    <col min="15165" max="15165" width="19" style="846" customWidth="1"/>
    <col min="15166" max="15166" width="20" style="846" bestFit="1" customWidth="1"/>
    <col min="15167" max="15167" width="16.7109375" style="846" bestFit="1" customWidth="1"/>
    <col min="15168" max="15168" width="43.28515625" style="846" customWidth="1"/>
    <col min="15169" max="15413" width="0.85546875" style="846"/>
    <col min="15414" max="15414" width="7.28515625" style="846" customWidth="1"/>
    <col min="15415" max="15415" width="57.5703125" style="846" customWidth="1"/>
    <col min="15416" max="15416" width="13.140625" style="846" customWidth="1"/>
    <col min="15417" max="15417" width="13.5703125" style="846" customWidth="1"/>
    <col min="15418" max="15418" width="18.7109375" style="846" bestFit="1" customWidth="1"/>
    <col min="15419" max="15419" width="20.7109375" style="846" customWidth="1"/>
    <col min="15420" max="15420" width="16.140625" style="846" customWidth="1"/>
    <col min="15421" max="15421" width="19" style="846" customWidth="1"/>
    <col min="15422" max="15422" width="20" style="846" bestFit="1" customWidth="1"/>
    <col min="15423" max="15423" width="16.7109375" style="846" bestFit="1" customWidth="1"/>
    <col min="15424" max="15424" width="43.28515625" style="846" customWidth="1"/>
    <col min="15425" max="16384" width="0.85546875" style="846"/>
  </cols>
  <sheetData>
    <row r="1" spans="2:102" s="817" customFormat="1" ht="21" thickBot="1">
      <c r="B1" s="816"/>
      <c r="E1" s="818"/>
      <c r="F1" s="818"/>
      <c r="G1" s="819"/>
      <c r="H1" s="820"/>
      <c r="I1" s="820"/>
      <c r="J1" s="820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2"/>
      <c r="V1" s="821"/>
      <c r="W1" s="821"/>
      <c r="X1" s="821"/>
      <c r="Y1" s="821"/>
      <c r="Z1" s="823"/>
      <c r="AA1" s="823"/>
      <c r="AB1" s="823"/>
      <c r="AC1" s="823"/>
      <c r="AD1" s="823"/>
      <c r="AE1" s="824"/>
      <c r="AF1" s="824"/>
      <c r="AG1" s="824"/>
      <c r="AH1" s="821"/>
      <c r="AI1" s="824"/>
      <c r="AJ1" s="821"/>
      <c r="AK1" s="821"/>
      <c r="AL1" s="821"/>
      <c r="AM1" s="821"/>
      <c r="AN1" s="821"/>
      <c r="AO1" s="821"/>
      <c r="AP1" s="821"/>
      <c r="AQ1" s="824"/>
      <c r="AR1" s="824"/>
      <c r="AS1" s="821"/>
      <c r="AT1" s="824"/>
      <c r="AU1" s="821"/>
      <c r="AV1" s="821"/>
      <c r="AW1" s="821"/>
      <c r="AX1" s="821"/>
      <c r="AY1" s="823"/>
      <c r="AZ1" s="821"/>
      <c r="BA1" s="821"/>
      <c r="BB1" s="821"/>
      <c r="BC1" s="824"/>
      <c r="BD1" s="824"/>
      <c r="BE1" s="821"/>
      <c r="BF1" s="824"/>
      <c r="BG1" s="821"/>
      <c r="BH1" s="821"/>
      <c r="BI1" s="821"/>
      <c r="BJ1" s="821"/>
      <c r="BK1" s="823"/>
      <c r="BL1" s="821"/>
      <c r="BM1" s="821"/>
      <c r="BN1" s="821"/>
      <c r="BO1" s="824"/>
      <c r="BP1" s="824"/>
      <c r="BQ1" s="824"/>
      <c r="BR1" s="821"/>
      <c r="BS1" s="824"/>
      <c r="BT1" s="821"/>
      <c r="BU1" s="821"/>
      <c r="BV1" s="821"/>
      <c r="BW1" s="821"/>
      <c r="BX1" s="821"/>
      <c r="BY1" s="821"/>
      <c r="BZ1" s="821"/>
      <c r="CA1" s="824"/>
      <c r="CB1" s="824"/>
      <c r="CC1" s="821"/>
      <c r="CD1" s="824"/>
      <c r="CE1" s="821"/>
      <c r="CF1" s="821"/>
      <c r="CG1" s="821"/>
      <c r="CH1" s="821"/>
      <c r="CI1" s="823"/>
      <c r="CJ1" s="821"/>
      <c r="CK1" s="821"/>
      <c r="CL1" s="821"/>
      <c r="CM1" s="824"/>
      <c r="CN1" s="824"/>
      <c r="CO1" s="821"/>
      <c r="CP1" s="824"/>
      <c r="CQ1" s="821"/>
      <c r="CR1" s="821"/>
      <c r="CS1" s="821"/>
      <c r="CT1" s="821"/>
      <c r="CU1" s="823"/>
      <c r="CV1" s="821"/>
      <c r="CW1" s="821"/>
      <c r="CX1" s="821"/>
    </row>
    <row r="2" spans="2:102" s="817" customFormat="1" ht="21.75" thickTop="1" thickBot="1">
      <c r="B2" s="825" t="s">
        <v>1113</v>
      </c>
      <c r="C2" s="826"/>
      <c r="D2" s="3566"/>
      <c r="E2" s="3567"/>
      <c r="F2" s="3568"/>
      <c r="G2" s="3569"/>
      <c r="H2" s="827"/>
      <c r="I2" s="827"/>
      <c r="J2" s="827"/>
      <c r="K2" s="828"/>
      <c r="L2" s="821"/>
      <c r="M2" s="821"/>
      <c r="N2" s="821"/>
      <c r="O2" s="821"/>
      <c r="P2" s="821"/>
      <c r="Q2" s="821"/>
      <c r="R2" s="821"/>
      <c r="S2" s="821"/>
      <c r="T2" s="821"/>
      <c r="U2" s="822"/>
      <c r="V2" s="821"/>
      <c r="W2" s="821"/>
      <c r="X2" s="821"/>
      <c r="Y2" s="821"/>
      <c r="Z2" s="821"/>
      <c r="AA2" s="821"/>
      <c r="AB2" s="821"/>
      <c r="AC2" s="821"/>
      <c r="AD2" s="821"/>
      <c r="AE2" s="829"/>
      <c r="AF2" s="822"/>
      <c r="AG2" s="821"/>
      <c r="AH2" s="821"/>
      <c r="AI2" s="821"/>
      <c r="AJ2" s="821"/>
      <c r="AK2" s="821"/>
      <c r="AL2" s="821"/>
      <c r="AM2" s="821"/>
      <c r="AN2" s="821"/>
      <c r="AO2" s="821"/>
      <c r="AP2" s="821"/>
      <c r="AQ2" s="823"/>
      <c r="AR2" s="821"/>
      <c r="AS2" s="821"/>
      <c r="AT2" s="821"/>
      <c r="AU2" s="821"/>
      <c r="AV2" s="821"/>
      <c r="AW2" s="821"/>
      <c r="AX2" s="821"/>
      <c r="AY2" s="821"/>
      <c r="AZ2" s="821"/>
      <c r="BA2" s="821"/>
      <c r="BB2" s="821"/>
      <c r="BC2" s="823"/>
      <c r="BD2" s="821"/>
      <c r="BE2" s="821"/>
      <c r="BF2" s="821"/>
      <c r="BG2" s="821"/>
      <c r="BH2" s="821"/>
      <c r="BI2" s="821"/>
      <c r="BJ2" s="821"/>
      <c r="BK2" s="821"/>
      <c r="BL2" s="821"/>
      <c r="BM2" s="821"/>
      <c r="BN2" s="821"/>
      <c r="BO2" s="829"/>
      <c r="BP2" s="822"/>
      <c r="BQ2" s="821"/>
      <c r="BR2" s="821"/>
      <c r="BS2" s="821"/>
      <c r="BT2" s="821"/>
      <c r="BU2" s="821"/>
      <c r="BV2" s="821"/>
      <c r="BW2" s="821"/>
      <c r="BX2" s="821"/>
      <c r="BY2" s="821"/>
      <c r="BZ2" s="821"/>
      <c r="CA2" s="823"/>
      <c r="CB2" s="821"/>
      <c r="CC2" s="821"/>
      <c r="CD2" s="821"/>
      <c r="CE2" s="821"/>
      <c r="CF2" s="821"/>
      <c r="CG2" s="821"/>
      <c r="CH2" s="821"/>
      <c r="CI2" s="821"/>
      <c r="CJ2" s="821"/>
      <c r="CK2" s="821"/>
      <c r="CL2" s="821"/>
      <c r="CM2" s="823"/>
      <c r="CN2" s="821"/>
      <c r="CO2" s="821"/>
      <c r="CP2" s="821"/>
      <c r="CQ2" s="821"/>
      <c r="CR2" s="821"/>
      <c r="CS2" s="821"/>
      <c r="CT2" s="821"/>
      <c r="CU2" s="821"/>
      <c r="CV2" s="821"/>
      <c r="CW2" s="821"/>
      <c r="CX2" s="821"/>
    </row>
    <row r="3" spans="2:102" s="817" customFormat="1" ht="21.75" thickTop="1" thickBot="1">
      <c r="B3" s="825" t="s">
        <v>1114</v>
      </c>
      <c r="C3" s="826"/>
      <c r="D3" s="3570"/>
      <c r="E3" s="3571"/>
      <c r="F3" s="3569"/>
      <c r="G3" s="3569"/>
      <c r="H3" s="827"/>
      <c r="I3" s="827"/>
      <c r="J3" s="827"/>
      <c r="K3" s="828"/>
      <c r="L3" s="821"/>
      <c r="M3" s="821"/>
      <c r="N3" s="821"/>
      <c r="O3" s="821"/>
      <c r="P3" s="821"/>
      <c r="Q3" s="821"/>
      <c r="R3" s="821"/>
      <c r="S3" s="821"/>
      <c r="T3" s="821"/>
      <c r="U3" s="822"/>
      <c r="V3" s="821"/>
      <c r="W3" s="821"/>
      <c r="X3" s="821"/>
      <c r="Y3" s="821"/>
      <c r="Z3" s="821"/>
      <c r="AA3" s="821"/>
      <c r="AB3" s="821"/>
      <c r="AC3" s="821"/>
      <c r="AD3" s="821"/>
      <c r="AE3" s="829"/>
      <c r="AF3" s="822"/>
      <c r="AG3" s="821"/>
      <c r="AH3" s="821"/>
      <c r="AI3" s="821"/>
      <c r="AJ3" s="821"/>
      <c r="AK3" s="821"/>
      <c r="AL3" s="821"/>
      <c r="AM3" s="821"/>
      <c r="AN3" s="821"/>
      <c r="AO3" s="821"/>
      <c r="AP3" s="821"/>
      <c r="AQ3" s="823"/>
      <c r="AR3" s="821"/>
      <c r="AS3" s="821"/>
      <c r="AT3" s="821"/>
      <c r="AU3" s="821"/>
      <c r="AV3" s="821"/>
      <c r="AW3" s="821"/>
      <c r="AX3" s="821"/>
      <c r="AY3" s="821"/>
      <c r="AZ3" s="821"/>
      <c r="BA3" s="821"/>
      <c r="BB3" s="821"/>
      <c r="BC3" s="823"/>
      <c r="BD3" s="821"/>
      <c r="BE3" s="821"/>
      <c r="BF3" s="821"/>
      <c r="BG3" s="821"/>
      <c r="BH3" s="821"/>
      <c r="BI3" s="821"/>
      <c r="BJ3" s="821"/>
      <c r="BK3" s="821"/>
      <c r="BL3" s="821"/>
      <c r="BM3" s="821"/>
      <c r="BN3" s="821"/>
      <c r="BO3" s="829"/>
      <c r="BP3" s="822"/>
      <c r="BQ3" s="821"/>
      <c r="BR3" s="821"/>
      <c r="BS3" s="821"/>
      <c r="BT3" s="821"/>
      <c r="BU3" s="821"/>
      <c r="BV3" s="821"/>
      <c r="BW3" s="821"/>
      <c r="BX3" s="821"/>
      <c r="BY3" s="821"/>
      <c r="BZ3" s="821"/>
      <c r="CA3" s="823"/>
      <c r="CB3" s="821"/>
      <c r="CC3" s="821"/>
      <c r="CD3" s="821"/>
      <c r="CE3" s="821"/>
      <c r="CF3" s="821"/>
      <c r="CG3" s="821"/>
      <c r="CH3" s="821"/>
      <c r="CI3" s="821"/>
      <c r="CJ3" s="821"/>
      <c r="CK3" s="821"/>
      <c r="CL3" s="821"/>
      <c r="CM3" s="823"/>
      <c r="CN3" s="821"/>
      <c r="CO3" s="821"/>
      <c r="CP3" s="821"/>
      <c r="CQ3" s="821"/>
      <c r="CR3" s="821"/>
      <c r="CS3" s="821"/>
      <c r="CT3" s="821"/>
      <c r="CU3" s="821"/>
      <c r="CV3" s="821"/>
      <c r="CW3" s="821"/>
      <c r="CX3" s="821"/>
    </row>
    <row r="4" spans="2:102" s="817" customFormat="1" ht="21.75" thickTop="1" thickBot="1">
      <c r="B4" s="825" t="s">
        <v>1115</v>
      </c>
      <c r="C4" s="826"/>
      <c r="D4" s="3570"/>
      <c r="E4" s="3571"/>
      <c r="F4" s="3569"/>
      <c r="G4" s="3569"/>
      <c r="H4" s="827"/>
      <c r="I4" s="827"/>
      <c r="J4" s="827"/>
      <c r="K4" s="828"/>
      <c r="L4" s="821"/>
      <c r="M4" s="821"/>
      <c r="N4" s="821"/>
      <c r="O4" s="821"/>
      <c r="P4" s="821"/>
      <c r="Q4" s="821"/>
      <c r="R4" s="821"/>
      <c r="S4" s="821"/>
      <c r="T4" s="821"/>
      <c r="U4" s="822"/>
      <c r="V4" s="821"/>
      <c r="W4" s="821"/>
      <c r="X4" s="821"/>
      <c r="Y4" s="821"/>
      <c r="Z4" s="821"/>
      <c r="AA4" s="821"/>
      <c r="AB4" s="821"/>
      <c r="AC4" s="821"/>
      <c r="AD4" s="821"/>
      <c r="AE4" s="829"/>
      <c r="AF4" s="822"/>
      <c r="AG4" s="821"/>
      <c r="AH4" s="821"/>
      <c r="AI4" s="821"/>
      <c r="AJ4" s="821"/>
      <c r="AK4" s="821"/>
      <c r="AL4" s="821"/>
      <c r="AM4" s="821"/>
      <c r="AN4" s="821"/>
      <c r="AO4" s="821"/>
      <c r="AP4" s="821"/>
      <c r="AQ4" s="823"/>
      <c r="AR4" s="821"/>
      <c r="AS4" s="821"/>
      <c r="AT4" s="821"/>
      <c r="AU4" s="821"/>
      <c r="AV4" s="821"/>
      <c r="AW4" s="821"/>
      <c r="AX4" s="821"/>
      <c r="AY4" s="821"/>
      <c r="AZ4" s="821"/>
      <c r="BA4" s="821"/>
      <c r="BB4" s="821"/>
      <c r="BC4" s="823"/>
      <c r="BD4" s="821"/>
      <c r="BE4" s="821"/>
      <c r="BF4" s="821"/>
      <c r="BG4" s="821"/>
      <c r="BH4" s="821"/>
      <c r="BI4" s="821"/>
      <c r="BJ4" s="821"/>
      <c r="BK4" s="821"/>
      <c r="BL4" s="821"/>
      <c r="BM4" s="821"/>
      <c r="BN4" s="821"/>
      <c r="BO4" s="829"/>
      <c r="BP4" s="822"/>
      <c r="BQ4" s="821"/>
      <c r="BR4" s="821"/>
      <c r="BS4" s="821"/>
      <c r="BT4" s="821"/>
      <c r="BU4" s="821"/>
      <c r="BV4" s="821"/>
      <c r="BW4" s="821"/>
      <c r="BX4" s="821"/>
      <c r="BY4" s="821"/>
      <c r="BZ4" s="821"/>
      <c r="CA4" s="823"/>
      <c r="CB4" s="821"/>
      <c r="CC4" s="821"/>
      <c r="CD4" s="821"/>
      <c r="CE4" s="821"/>
      <c r="CF4" s="821"/>
      <c r="CG4" s="821"/>
      <c r="CH4" s="821"/>
      <c r="CI4" s="821"/>
      <c r="CJ4" s="821"/>
      <c r="CK4" s="821"/>
      <c r="CL4" s="821"/>
      <c r="CM4" s="823"/>
      <c r="CN4" s="821"/>
      <c r="CO4" s="821"/>
      <c r="CP4" s="821"/>
      <c r="CQ4" s="821"/>
      <c r="CR4" s="821"/>
      <c r="CS4" s="821"/>
      <c r="CT4" s="821"/>
      <c r="CU4" s="821"/>
      <c r="CV4" s="821"/>
      <c r="CW4" s="821"/>
      <c r="CX4" s="821"/>
    </row>
    <row r="5" spans="2:102" s="817" customFormat="1" ht="21.75" thickTop="1" thickBot="1">
      <c r="B5" s="825" t="s">
        <v>1116</v>
      </c>
      <c r="C5" s="826"/>
      <c r="D5" s="3570"/>
      <c r="E5" s="3571"/>
      <c r="F5" s="3569" t="s">
        <v>1083</v>
      </c>
      <c r="G5" s="3569"/>
      <c r="H5" s="827"/>
      <c r="I5" s="827"/>
      <c r="J5" s="827"/>
      <c r="K5" s="828"/>
      <c r="L5" s="821"/>
      <c r="M5" s="821"/>
      <c r="N5" s="821"/>
      <c r="O5" s="821"/>
      <c r="P5" s="821"/>
      <c r="Q5" s="821"/>
      <c r="R5" s="821"/>
      <c r="S5" s="821"/>
      <c r="T5" s="821"/>
      <c r="U5" s="822"/>
      <c r="V5" s="821"/>
      <c r="W5" s="821"/>
      <c r="X5" s="821"/>
      <c r="Y5" s="821"/>
      <c r="Z5" s="821"/>
      <c r="AA5" s="821"/>
      <c r="AB5" s="821"/>
      <c r="AC5" s="821"/>
      <c r="AD5" s="821"/>
      <c r="AE5" s="829"/>
      <c r="AF5" s="822"/>
      <c r="AG5" s="821"/>
      <c r="AH5" s="821"/>
      <c r="AI5" s="821"/>
      <c r="AJ5" s="821"/>
      <c r="AK5" s="821"/>
      <c r="AL5" s="821"/>
      <c r="AM5" s="821"/>
      <c r="AN5" s="821"/>
      <c r="AO5" s="821"/>
      <c r="AP5" s="821"/>
      <c r="AQ5" s="823"/>
      <c r="AR5" s="821"/>
      <c r="AS5" s="821"/>
      <c r="AT5" s="821"/>
      <c r="AU5" s="821"/>
      <c r="AV5" s="821"/>
      <c r="AW5" s="821"/>
      <c r="AX5" s="821"/>
      <c r="AY5" s="821"/>
      <c r="AZ5" s="821"/>
      <c r="BA5" s="821"/>
      <c r="BB5" s="821"/>
      <c r="BC5" s="823"/>
      <c r="BD5" s="821"/>
      <c r="BE5" s="821"/>
      <c r="BF5" s="821"/>
      <c r="BG5" s="821"/>
      <c r="BH5" s="821"/>
      <c r="BI5" s="821"/>
      <c r="BJ5" s="821"/>
      <c r="BK5" s="821"/>
      <c r="BL5" s="821"/>
      <c r="BM5" s="821"/>
      <c r="BN5" s="821"/>
      <c r="BO5" s="829"/>
      <c r="BP5" s="822"/>
      <c r="BQ5" s="821"/>
      <c r="BR5" s="821"/>
      <c r="BS5" s="821"/>
      <c r="BT5" s="821"/>
      <c r="BU5" s="821"/>
      <c r="BV5" s="821"/>
      <c r="BW5" s="821"/>
      <c r="BX5" s="821"/>
      <c r="BY5" s="821"/>
      <c r="BZ5" s="821"/>
      <c r="CA5" s="823"/>
      <c r="CB5" s="821"/>
      <c r="CC5" s="821"/>
      <c r="CD5" s="821"/>
      <c r="CE5" s="821"/>
      <c r="CF5" s="821"/>
      <c r="CG5" s="821"/>
      <c r="CH5" s="821"/>
      <c r="CI5" s="821"/>
      <c r="CJ5" s="821"/>
      <c r="CK5" s="821"/>
      <c r="CL5" s="821"/>
      <c r="CM5" s="823"/>
      <c r="CN5" s="821"/>
      <c r="CO5" s="821"/>
      <c r="CP5" s="821"/>
      <c r="CQ5" s="821"/>
      <c r="CR5" s="821"/>
      <c r="CS5" s="821"/>
      <c r="CT5" s="821"/>
      <c r="CU5" s="821"/>
      <c r="CV5" s="821"/>
      <c r="CW5" s="821"/>
      <c r="CX5" s="821"/>
    </row>
    <row r="6" spans="2:102" s="817" customFormat="1" ht="27" customHeight="1" thickTop="1">
      <c r="B6" s="3572" t="s">
        <v>14845</v>
      </c>
      <c r="C6" s="3572"/>
      <c r="D6" s="3572"/>
      <c r="E6" s="3572"/>
      <c r="F6" s="3572"/>
      <c r="G6" s="3572"/>
      <c r="H6" s="3572"/>
      <c r="I6" s="3572"/>
      <c r="J6" s="3572"/>
      <c r="K6" s="3572"/>
      <c r="L6" s="3572"/>
      <c r="M6" s="3572"/>
      <c r="N6" s="3572"/>
      <c r="O6" s="3572"/>
      <c r="P6" s="3572"/>
      <c r="Q6" s="3572"/>
      <c r="R6" s="3572"/>
      <c r="S6" s="3572"/>
      <c r="T6" s="3572"/>
      <c r="U6" s="3572"/>
      <c r="V6" s="3572"/>
      <c r="W6" s="3572"/>
      <c r="X6" s="3572"/>
      <c r="Y6" s="3572"/>
      <c r="Z6" s="3572"/>
      <c r="AA6" s="3572"/>
      <c r="AB6" s="3572"/>
      <c r="AC6" s="3572"/>
      <c r="AD6" s="3572"/>
      <c r="AE6" s="3572"/>
      <c r="AF6" s="3572"/>
      <c r="AG6" s="3572"/>
      <c r="AH6" s="3572"/>
      <c r="AI6" s="3572"/>
      <c r="AJ6" s="3572"/>
      <c r="AK6" s="3572"/>
      <c r="AL6" s="3572"/>
      <c r="AM6" s="3572"/>
      <c r="AN6" s="3572"/>
      <c r="AO6" s="3572"/>
      <c r="AP6" s="3572"/>
      <c r="AQ6" s="3572"/>
      <c r="AR6" s="3572"/>
      <c r="AS6" s="3572"/>
      <c r="AT6" s="3572"/>
      <c r="AU6" s="3572"/>
      <c r="AV6" s="3572"/>
      <c r="AW6" s="3572"/>
      <c r="AX6" s="3572"/>
      <c r="AY6" s="3572"/>
    </row>
    <row r="7" spans="2:102" s="817" customFormat="1">
      <c r="B7" s="3572" t="s">
        <v>14844</v>
      </c>
      <c r="C7" s="3572"/>
      <c r="D7" s="3572"/>
      <c r="E7" s="3572"/>
      <c r="F7" s="3572"/>
      <c r="G7" s="3572"/>
      <c r="H7" s="3572"/>
      <c r="I7" s="3572"/>
      <c r="J7" s="3572"/>
      <c r="K7" s="3572"/>
      <c r="L7" s="3572"/>
      <c r="M7" s="3572"/>
      <c r="N7" s="3572"/>
      <c r="O7" s="3572"/>
      <c r="P7" s="3572"/>
      <c r="Q7" s="3572"/>
      <c r="R7" s="3572"/>
      <c r="S7" s="3572"/>
      <c r="T7" s="3572"/>
      <c r="U7" s="3572"/>
      <c r="V7" s="3572"/>
      <c r="W7" s="3572"/>
      <c r="X7" s="3572"/>
      <c r="Y7" s="3572"/>
      <c r="Z7" s="3572"/>
      <c r="AA7" s="3572"/>
      <c r="AB7" s="3572"/>
      <c r="AC7" s="3572"/>
      <c r="AD7" s="3572"/>
      <c r="AE7" s="3572"/>
      <c r="AF7" s="3572"/>
      <c r="AG7" s="3572"/>
      <c r="AH7" s="3572"/>
      <c r="AI7" s="3572"/>
      <c r="AJ7" s="3572"/>
      <c r="AK7" s="3572"/>
      <c r="AL7" s="3572"/>
      <c r="AM7" s="3572"/>
      <c r="AN7" s="3572"/>
      <c r="AO7" s="3572"/>
      <c r="AP7" s="1616"/>
      <c r="AQ7" s="831"/>
      <c r="AR7" s="831"/>
      <c r="AS7" s="831"/>
      <c r="AT7" s="831"/>
      <c r="AU7" s="831"/>
      <c r="AV7" s="831"/>
      <c r="AW7" s="831"/>
      <c r="AX7" s="831"/>
      <c r="AY7" s="831"/>
      <c r="BC7" s="831"/>
      <c r="BD7" s="831"/>
      <c r="BE7" s="831"/>
      <c r="BF7" s="831"/>
      <c r="BG7" s="831"/>
      <c r="BH7" s="831"/>
      <c r="BI7" s="831"/>
      <c r="BJ7" s="831"/>
      <c r="BK7" s="831"/>
      <c r="BZ7" s="1616"/>
      <c r="CA7" s="831"/>
      <c r="CB7" s="831"/>
      <c r="CC7" s="831"/>
      <c r="CD7" s="831"/>
      <c r="CE7" s="831"/>
      <c r="CF7" s="831"/>
      <c r="CG7" s="831"/>
      <c r="CH7" s="831"/>
      <c r="CI7" s="831"/>
      <c r="CM7" s="831"/>
      <c r="CN7" s="831"/>
      <c r="CO7" s="831"/>
      <c r="CP7" s="831"/>
      <c r="CQ7" s="831"/>
      <c r="CR7" s="831"/>
      <c r="CS7" s="831"/>
      <c r="CT7" s="831"/>
      <c r="CU7" s="831"/>
    </row>
    <row r="8" spans="2:102" s="817" customFormat="1">
      <c r="B8" s="3572" t="s">
        <v>14843</v>
      </c>
      <c r="C8" s="3572"/>
      <c r="D8" s="3572"/>
      <c r="E8" s="3572"/>
      <c r="F8" s="3572"/>
      <c r="G8" s="3572"/>
      <c r="H8" s="1617"/>
      <c r="I8" s="1617"/>
      <c r="J8" s="1617"/>
      <c r="K8" s="1617"/>
      <c r="L8" s="1617"/>
      <c r="M8" s="3573"/>
      <c r="N8" s="3573"/>
      <c r="O8" s="3573"/>
      <c r="P8" s="3573"/>
      <c r="Q8" s="3573"/>
      <c r="R8" s="3573"/>
      <c r="S8" s="3573"/>
      <c r="T8" s="3573"/>
      <c r="U8" s="3573"/>
      <c r="V8" s="3573"/>
      <c r="W8" s="3573"/>
      <c r="X8" s="3573"/>
      <c r="Y8" s="3573"/>
      <c r="Z8" s="3573"/>
      <c r="AA8" s="3573"/>
      <c r="AB8" s="3573"/>
      <c r="AC8" s="3573"/>
      <c r="AD8" s="3573"/>
      <c r="AE8" s="3573"/>
      <c r="AF8" s="3573"/>
      <c r="AG8" s="3573"/>
      <c r="AH8" s="3573"/>
      <c r="AI8" s="3573"/>
      <c r="AJ8" s="3573"/>
      <c r="AK8" s="3573"/>
      <c r="AL8" s="3573"/>
      <c r="AM8" s="3573"/>
      <c r="AN8" s="3573"/>
      <c r="AO8" s="1617"/>
      <c r="AP8" s="1617"/>
      <c r="AQ8" s="1616"/>
      <c r="AR8" s="1616"/>
      <c r="AS8" s="1616"/>
      <c r="AT8" s="1616"/>
      <c r="AU8" s="1616"/>
      <c r="AV8" s="1616"/>
      <c r="AW8" s="1616"/>
      <c r="AX8" s="1616"/>
      <c r="AY8" s="1616"/>
      <c r="AZ8" s="1617"/>
      <c r="BA8" s="833"/>
      <c r="BB8" s="1617"/>
      <c r="BC8" s="1616"/>
      <c r="BD8" s="1616"/>
      <c r="BE8" s="1616"/>
      <c r="BF8" s="1616"/>
      <c r="BG8" s="1616"/>
      <c r="BH8" s="1616"/>
      <c r="BI8" s="1616"/>
      <c r="BJ8" s="1616"/>
      <c r="BK8" s="1616"/>
      <c r="BL8" s="1617"/>
      <c r="BM8" s="833"/>
      <c r="BN8" s="1617"/>
      <c r="BY8" s="1617"/>
      <c r="BZ8" s="1617"/>
      <c r="CA8" s="1616"/>
      <c r="CB8" s="1616"/>
      <c r="CC8" s="1616"/>
      <c r="CD8" s="1616"/>
      <c r="CE8" s="1616"/>
      <c r="CF8" s="1616"/>
      <c r="CG8" s="1616"/>
      <c r="CH8" s="1616"/>
      <c r="CI8" s="1616"/>
      <c r="CJ8" s="1617"/>
      <c r="CK8" s="833"/>
      <c r="CL8" s="1617"/>
      <c r="CM8" s="1616"/>
      <c r="CN8" s="1616"/>
      <c r="CO8" s="1616"/>
      <c r="CP8" s="1616"/>
      <c r="CQ8" s="1616"/>
      <c r="CR8" s="1616"/>
      <c r="CS8" s="1616"/>
      <c r="CT8" s="1616"/>
      <c r="CU8" s="1616"/>
      <c r="CV8" s="1617"/>
      <c r="CW8" s="833"/>
      <c r="CX8" s="1617"/>
    </row>
    <row r="9" spans="2:102" s="817" customFormat="1">
      <c r="B9" s="3572" t="s">
        <v>14842</v>
      </c>
      <c r="C9" s="3572"/>
      <c r="D9" s="3572"/>
      <c r="E9" s="3572"/>
      <c r="F9" s="3572"/>
      <c r="G9" s="3572"/>
      <c r="H9" s="831"/>
      <c r="I9" s="831"/>
      <c r="J9" s="831"/>
      <c r="K9" s="831"/>
      <c r="L9" s="831"/>
      <c r="M9" s="3573"/>
      <c r="N9" s="3573"/>
      <c r="O9" s="3573"/>
      <c r="P9" s="3573"/>
      <c r="Q9" s="3573"/>
      <c r="R9" s="3573"/>
      <c r="S9" s="3573"/>
      <c r="T9" s="3573"/>
      <c r="U9" s="3573"/>
      <c r="V9" s="3573"/>
      <c r="W9" s="3573"/>
      <c r="X9" s="3573"/>
      <c r="Y9" s="3573"/>
      <c r="Z9" s="3573"/>
      <c r="AA9" s="3573"/>
      <c r="AB9" s="3573"/>
      <c r="AC9" s="3573"/>
      <c r="AD9" s="3573"/>
      <c r="AE9" s="3573"/>
      <c r="AF9" s="3573"/>
      <c r="AG9" s="3573"/>
      <c r="AH9" s="3573"/>
      <c r="AI9" s="3573"/>
      <c r="AJ9" s="3573"/>
      <c r="AK9" s="3573"/>
      <c r="AL9" s="3573"/>
      <c r="AM9" s="3573"/>
      <c r="AN9" s="3573"/>
      <c r="AO9" s="1617"/>
      <c r="AP9" s="1617"/>
      <c r="AQ9" s="982"/>
      <c r="AR9" s="831"/>
      <c r="AS9" s="831"/>
      <c r="AT9" s="831"/>
      <c r="AU9" s="831"/>
      <c r="AV9" s="831"/>
      <c r="AW9" s="831"/>
      <c r="AX9" s="831"/>
      <c r="AY9" s="831"/>
      <c r="AZ9" s="1617"/>
      <c r="BA9" s="833"/>
      <c r="BB9" s="1617"/>
      <c r="BC9" s="831"/>
      <c r="BD9" s="831"/>
      <c r="BE9" s="831"/>
      <c r="BF9" s="831"/>
      <c r="BG9" s="831"/>
      <c r="BH9" s="831"/>
      <c r="BI9" s="831"/>
      <c r="BJ9" s="831"/>
      <c r="BK9" s="831"/>
      <c r="BL9" s="1617"/>
      <c r="BM9" s="833"/>
      <c r="BN9" s="1617"/>
      <c r="BY9" s="1617"/>
      <c r="BZ9" s="1617"/>
      <c r="CA9" s="982"/>
      <c r="CB9" s="831"/>
      <c r="CC9" s="831"/>
      <c r="CD9" s="831"/>
      <c r="CE9" s="831"/>
      <c r="CF9" s="831"/>
      <c r="CG9" s="831"/>
      <c r="CH9" s="831"/>
      <c r="CI9" s="831"/>
      <c r="CJ9" s="1617"/>
      <c r="CK9" s="833"/>
      <c r="CL9" s="1617"/>
      <c r="CM9" s="982"/>
      <c r="CN9" s="831"/>
      <c r="CO9" s="831"/>
      <c r="CP9" s="831"/>
      <c r="CQ9" s="831"/>
      <c r="CR9" s="831"/>
      <c r="CS9" s="831"/>
      <c r="CT9" s="831"/>
      <c r="CU9" s="831"/>
      <c r="CV9" s="1617"/>
      <c r="CW9" s="833"/>
      <c r="CX9" s="1617"/>
    </row>
    <row r="10" spans="2:102" s="817" customFormat="1">
      <c r="B10" s="3572" t="s">
        <v>14841</v>
      </c>
      <c r="C10" s="3572"/>
      <c r="D10" s="3572"/>
      <c r="E10" s="3572"/>
      <c r="F10" s="3572"/>
      <c r="G10" s="3572"/>
      <c r="H10" s="831"/>
      <c r="I10" s="831"/>
      <c r="J10" s="831"/>
      <c r="K10" s="831"/>
      <c r="L10" s="831"/>
      <c r="M10" s="3573"/>
      <c r="N10" s="3573"/>
      <c r="O10" s="3573"/>
      <c r="P10" s="3573"/>
      <c r="Q10" s="3573"/>
      <c r="R10" s="3573"/>
      <c r="S10" s="3573"/>
      <c r="T10" s="3573"/>
      <c r="U10" s="3573"/>
      <c r="V10" s="3573"/>
      <c r="W10" s="3573"/>
      <c r="X10" s="3573"/>
      <c r="Y10" s="3573"/>
      <c r="Z10" s="3573"/>
      <c r="AA10" s="3573"/>
      <c r="AB10" s="3573"/>
      <c r="AC10" s="3573"/>
      <c r="AD10" s="3573"/>
      <c r="AE10" s="3573"/>
      <c r="AF10" s="3573"/>
      <c r="AG10" s="3573"/>
      <c r="AH10" s="3573"/>
      <c r="AI10" s="3573"/>
      <c r="AJ10" s="3573"/>
      <c r="AK10" s="3573"/>
      <c r="AL10" s="3573"/>
      <c r="AM10" s="3573"/>
      <c r="AN10" s="3573"/>
      <c r="AO10" s="1617"/>
      <c r="AP10" s="1617"/>
      <c r="AQ10" s="983"/>
      <c r="AR10" s="1616"/>
      <c r="AS10" s="1616"/>
      <c r="AT10" s="1616"/>
      <c r="AU10" s="1616"/>
      <c r="AV10" s="1616"/>
      <c r="AW10" s="1616"/>
      <c r="AX10" s="1616"/>
      <c r="AY10" s="1616"/>
      <c r="AZ10" s="834"/>
      <c r="BA10" s="833"/>
      <c r="BB10" s="1617"/>
      <c r="BC10" s="1616"/>
      <c r="BD10" s="1616"/>
      <c r="BE10" s="1616"/>
      <c r="BF10" s="1616"/>
      <c r="BG10" s="1616"/>
      <c r="BH10" s="1616"/>
      <c r="BI10" s="1616"/>
      <c r="BJ10" s="1616"/>
      <c r="BK10" s="1616"/>
      <c r="BL10" s="834"/>
      <c r="BM10" s="833"/>
      <c r="BN10" s="1617"/>
      <c r="BY10" s="1617"/>
      <c r="BZ10" s="1617"/>
      <c r="CA10" s="983"/>
      <c r="CB10" s="1616"/>
      <c r="CC10" s="1616"/>
      <c r="CD10" s="1616"/>
      <c r="CE10" s="1616"/>
      <c r="CF10" s="1616"/>
      <c r="CG10" s="1616"/>
      <c r="CH10" s="1616"/>
      <c r="CI10" s="1616"/>
      <c r="CJ10" s="834"/>
      <c r="CK10" s="833"/>
      <c r="CL10" s="1617"/>
      <c r="CM10" s="983"/>
      <c r="CN10" s="1616"/>
      <c r="CO10" s="1616"/>
      <c r="CP10" s="1616"/>
      <c r="CQ10" s="1616"/>
      <c r="CR10" s="1616"/>
      <c r="CS10" s="1616"/>
      <c r="CT10" s="1616"/>
      <c r="CU10" s="1616"/>
      <c r="CV10" s="834"/>
      <c r="CW10" s="833"/>
      <c r="CX10" s="1617"/>
    </row>
    <row r="11" spans="2:102" s="817" customFormat="1" ht="28.5" customHeight="1">
      <c r="B11" s="816"/>
      <c r="E11" s="835"/>
      <c r="F11" s="836"/>
      <c r="G11" s="818"/>
      <c r="K11" s="823"/>
      <c r="L11" s="823"/>
      <c r="M11" s="823"/>
      <c r="N11" s="823"/>
      <c r="O11" s="823"/>
      <c r="P11" s="823"/>
      <c r="Q11" s="823"/>
      <c r="R11" s="823"/>
      <c r="S11" s="823"/>
      <c r="T11" s="823"/>
      <c r="U11" s="829"/>
      <c r="V11" s="823"/>
      <c r="W11" s="823"/>
      <c r="X11" s="823"/>
      <c r="Y11" s="823"/>
      <c r="Z11" s="823"/>
      <c r="AA11" s="823"/>
      <c r="AB11" s="823"/>
      <c r="AC11" s="823"/>
      <c r="AD11" s="823"/>
      <c r="AE11" s="837"/>
      <c r="AF11" s="838"/>
      <c r="AG11" s="839"/>
      <c r="AH11" s="839"/>
      <c r="AI11" s="839"/>
      <c r="AJ11" s="839"/>
      <c r="AK11" s="839"/>
      <c r="AL11" s="839"/>
      <c r="AM11" s="839"/>
      <c r="AN11" s="839"/>
      <c r="AO11" s="839"/>
      <c r="AP11" s="839"/>
      <c r="AQ11" s="840"/>
      <c r="AR11" s="840"/>
      <c r="AS11" s="840"/>
      <c r="AT11" s="839"/>
      <c r="AU11" s="839"/>
      <c r="AV11" s="839"/>
      <c r="AW11" s="839"/>
      <c r="AX11" s="839"/>
      <c r="AY11" s="823"/>
      <c r="AZ11" s="839"/>
      <c r="BA11" s="839"/>
      <c r="BB11" s="839"/>
      <c r="BC11" s="840"/>
      <c r="BD11" s="840"/>
      <c r="BE11" s="840"/>
      <c r="BF11" s="839"/>
      <c r="BG11" s="839"/>
      <c r="BH11" s="839"/>
      <c r="BI11" s="839"/>
      <c r="BJ11" s="839"/>
      <c r="BK11" s="823"/>
      <c r="BL11" s="839"/>
      <c r="BM11" s="839"/>
      <c r="BN11" s="839"/>
      <c r="BO11" s="837"/>
      <c r="BP11" s="838"/>
      <c r="BQ11" s="839"/>
      <c r="BR11" s="839"/>
      <c r="BS11" s="839"/>
      <c r="BT11" s="839"/>
      <c r="BU11" s="839"/>
      <c r="BV11" s="839"/>
      <c r="BW11" s="839"/>
      <c r="BX11" s="839"/>
      <c r="BY11" s="839"/>
      <c r="BZ11" s="839"/>
      <c r="CA11" s="840"/>
      <c r="CB11" s="840"/>
      <c r="CC11" s="840"/>
      <c r="CD11" s="839"/>
      <c r="CE11" s="839"/>
      <c r="CF11" s="839"/>
      <c r="CG11" s="839"/>
      <c r="CH11" s="839"/>
      <c r="CI11" s="823"/>
      <c r="CJ11" s="839"/>
      <c r="CK11" s="839"/>
      <c r="CL11" s="839"/>
      <c r="CM11" s="840"/>
      <c r="CN11" s="840"/>
      <c r="CO11" s="840"/>
      <c r="CP11" s="839"/>
      <c r="CQ11" s="839"/>
      <c r="CR11" s="839"/>
      <c r="CS11" s="839"/>
      <c r="CT11" s="839"/>
      <c r="CU11" s="823"/>
      <c r="CV11" s="839"/>
      <c r="CW11" s="839"/>
      <c r="CX11" s="839"/>
    </row>
    <row r="12" spans="2:102" ht="76.5" customHeight="1" thickBot="1">
      <c r="B12" s="841" t="s">
        <v>11</v>
      </c>
      <c r="C12" s="842" t="s">
        <v>583</v>
      </c>
      <c r="D12" s="841" t="s">
        <v>1122</v>
      </c>
      <c r="E12" s="841" t="s">
        <v>1123</v>
      </c>
      <c r="F12" s="843" t="s">
        <v>18</v>
      </c>
      <c r="G12" s="841" t="s">
        <v>1124</v>
      </c>
      <c r="H12" s="844">
        <v>2014</v>
      </c>
      <c r="I12" s="844">
        <v>2015</v>
      </c>
      <c r="J12" s="844">
        <v>2016</v>
      </c>
      <c r="K12" s="844">
        <v>2017</v>
      </c>
      <c r="L12" s="844">
        <v>2018</v>
      </c>
      <c r="M12" s="844">
        <v>2019</v>
      </c>
      <c r="N12" s="844">
        <v>2020</v>
      </c>
      <c r="O12" s="844">
        <v>2021</v>
      </c>
      <c r="P12" s="844">
        <v>2022</v>
      </c>
      <c r="Q12" s="844">
        <v>2022</v>
      </c>
      <c r="R12" s="844">
        <v>2023</v>
      </c>
      <c r="S12" s="844">
        <v>2024</v>
      </c>
      <c r="T12" s="844">
        <v>2025</v>
      </c>
      <c r="U12" s="841" t="s">
        <v>1125</v>
      </c>
      <c r="V12" s="844">
        <v>2014</v>
      </c>
      <c r="W12" s="844">
        <v>2015</v>
      </c>
      <c r="X12" s="844">
        <v>2016</v>
      </c>
      <c r="Y12" s="844">
        <v>2017</v>
      </c>
      <c r="Z12" s="844">
        <v>2018</v>
      </c>
      <c r="AA12" s="844">
        <v>2022</v>
      </c>
      <c r="AB12" s="844">
        <v>2023</v>
      </c>
      <c r="AC12" s="844">
        <v>2024</v>
      </c>
      <c r="AD12" s="844">
        <v>2025</v>
      </c>
      <c r="AE12" s="843" t="s">
        <v>17</v>
      </c>
      <c r="AF12" s="841" t="s">
        <v>1124</v>
      </c>
      <c r="AG12" s="844">
        <v>2014</v>
      </c>
      <c r="AH12" s="844">
        <v>2015</v>
      </c>
      <c r="AI12" s="844">
        <v>2016</v>
      </c>
      <c r="AJ12" s="844">
        <v>2017</v>
      </c>
      <c r="AK12" s="844">
        <v>2018</v>
      </c>
      <c r="AL12" s="844">
        <v>2019</v>
      </c>
      <c r="AM12" s="844">
        <v>2020</v>
      </c>
      <c r="AN12" s="844">
        <v>2021</v>
      </c>
      <c r="AO12" s="844">
        <v>2022</v>
      </c>
      <c r="AP12" s="844">
        <v>2023</v>
      </c>
      <c r="AQ12" s="841"/>
      <c r="AR12" s="844">
        <v>2014</v>
      </c>
      <c r="AS12" s="844">
        <v>2015</v>
      </c>
      <c r="AT12" s="844">
        <v>2016</v>
      </c>
      <c r="AU12" s="844">
        <v>2017</v>
      </c>
      <c r="AV12" s="845">
        <v>2018</v>
      </c>
      <c r="AW12" s="845">
        <v>2019</v>
      </c>
      <c r="AX12" s="844">
        <v>2020</v>
      </c>
      <c r="AY12" s="844">
        <v>2022</v>
      </c>
      <c r="AZ12" s="844">
        <v>2022</v>
      </c>
      <c r="BA12" s="844">
        <v>2023</v>
      </c>
      <c r="BB12" s="844">
        <v>2024</v>
      </c>
      <c r="BC12" s="841" t="s">
        <v>1265</v>
      </c>
      <c r="BD12" s="844">
        <v>2014</v>
      </c>
      <c r="BE12" s="844">
        <v>2015</v>
      </c>
      <c r="BF12" s="844">
        <v>2016</v>
      </c>
      <c r="BG12" s="844">
        <v>2017</v>
      </c>
      <c r="BH12" s="845">
        <v>2018</v>
      </c>
      <c r="BI12" s="845">
        <v>2019</v>
      </c>
      <c r="BJ12" s="844">
        <v>2020</v>
      </c>
      <c r="BK12" s="844">
        <v>2022</v>
      </c>
      <c r="BL12" s="844">
        <v>2022</v>
      </c>
      <c r="BM12" s="844">
        <v>2023</v>
      </c>
      <c r="BN12" s="844">
        <v>2024</v>
      </c>
      <c r="BO12" s="843" t="s">
        <v>17</v>
      </c>
      <c r="BP12" s="841" t="s">
        <v>1124</v>
      </c>
      <c r="BQ12" s="844">
        <v>2014</v>
      </c>
      <c r="BR12" s="844">
        <v>2015</v>
      </c>
      <c r="BS12" s="844">
        <v>2016</v>
      </c>
      <c r="BT12" s="844">
        <v>2017</v>
      </c>
      <c r="BU12" s="844">
        <v>2018</v>
      </c>
      <c r="BV12" s="844">
        <v>2019</v>
      </c>
      <c r="BW12" s="844">
        <v>2020</v>
      </c>
      <c r="BX12" s="844">
        <v>2021</v>
      </c>
      <c r="BY12" s="844">
        <v>2022</v>
      </c>
      <c r="BZ12" s="844">
        <v>2023</v>
      </c>
      <c r="CA12" s="841"/>
      <c r="CB12" s="844">
        <v>2014</v>
      </c>
      <c r="CC12" s="844">
        <v>2015</v>
      </c>
      <c r="CD12" s="844">
        <v>2016</v>
      </c>
      <c r="CE12" s="844">
        <v>2017</v>
      </c>
      <c r="CF12" s="845">
        <v>2018</v>
      </c>
      <c r="CG12" s="845">
        <v>2019</v>
      </c>
      <c r="CH12" s="844">
        <v>2020</v>
      </c>
      <c r="CI12" s="844">
        <v>2022</v>
      </c>
      <c r="CJ12" s="844">
        <v>2022</v>
      </c>
      <c r="CK12" s="844">
        <v>2023</v>
      </c>
      <c r="CL12" s="844">
        <v>2024</v>
      </c>
      <c r="CM12" s="841"/>
      <c r="CN12" s="844">
        <v>2014</v>
      </c>
      <c r="CO12" s="844">
        <v>2015</v>
      </c>
      <c r="CP12" s="844">
        <v>2016</v>
      </c>
      <c r="CQ12" s="844">
        <v>2017</v>
      </c>
      <c r="CR12" s="845">
        <v>2018</v>
      </c>
      <c r="CS12" s="845">
        <v>2019</v>
      </c>
      <c r="CT12" s="844">
        <v>2020</v>
      </c>
      <c r="CU12" s="844">
        <v>2022</v>
      </c>
      <c r="CV12" s="844">
        <v>2022</v>
      </c>
      <c r="CW12" s="844">
        <v>2023</v>
      </c>
      <c r="CX12" s="844">
        <v>2024</v>
      </c>
    </row>
    <row r="13" spans="2:102" s="857" customFormat="1" ht="28.5" customHeight="1" thickTop="1" thickBot="1">
      <c r="B13" s="847"/>
      <c r="C13" s="848" t="s">
        <v>1126</v>
      </c>
      <c r="D13" s="849"/>
      <c r="E13" s="850"/>
      <c r="F13" s="851"/>
      <c r="G13" s="851"/>
      <c r="H13" s="852"/>
      <c r="I13" s="852"/>
      <c r="J13" s="852"/>
      <c r="K13" s="853"/>
      <c r="L13" s="853"/>
      <c r="M13" s="853"/>
      <c r="N13" s="853"/>
      <c r="O13" s="853"/>
      <c r="P13" s="853"/>
      <c r="Q13" s="853"/>
      <c r="R13" s="854"/>
      <c r="S13" s="853">
        <v>1.0469999999999999</v>
      </c>
      <c r="T13" s="853">
        <v>1.04</v>
      </c>
      <c r="U13" s="855"/>
      <c r="V13" s="853"/>
      <c r="W13" s="853"/>
      <c r="X13" s="853"/>
      <c r="Y13" s="853"/>
      <c r="Z13" s="853"/>
      <c r="AA13" s="853"/>
      <c r="AB13" s="854"/>
      <c r="AC13" s="853">
        <v>1.0469999999999999</v>
      </c>
      <c r="AD13" s="853">
        <v>1.04</v>
      </c>
      <c r="AE13" s="855"/>
      <c r="AF13" s="855"/>
      <c r="AG13" s="853"/>
      <c r="AH13" s="853"/>
      <c r="AI13" s="853"/>
      <c r="AJ13" s="853"/>
      <c r="AK13" s="853"/>
      <c r="AL13" s="853"/>
      <c r="AM13" s="853"/>
      <c r="AN13" s="853"/>
      <c r="AO13" s="853"/>
      <c r="AP13" s="853"/>
      <c r="AQ13" s="853"/>
      <c r="AR13" s="853"/>
      <c r="AS13" s="853"/>
      <c r="AT13" s="853"/>
      <c r="AU13" s="853"/>
      <c r="AV13" s="856"/>
      <c r="AW13" s="856"/>
      <c r="AX13" s="853"/>
      <c r="AY13" s="853"/>
      <c r="AZ13" s="853"/>
      <c r="BA13" s="854">
        <v>1.06</v>
      </c>
      <c r="BB13" s="853">
        <v>1.0469999999999999</v>
      </c>
      <c r="BC13" s="853"/>
      <c r="BD13" s="853"/>
      <c r="BE13" s="853"/>
      <c r="BF13" s="853"/>
      <c r="BG13" s="853"/>
      <c r="BH13" s="856"/>
      <c r="BI13" s="856"/>
      <c r="BJ13" s="853"/>
      <c r="BK13" s="853"/>
      <c r="BL13" s="853"/>
      <c r="BM13" s="854">
        <v>1.06</v>
      </c>
      <c r="BN13" s="853">
        <v>1.0469999999999999</v>
      </c>
      <c r="BO13" s="855"/>
      <c r="BP13" s="855"/>
      <c r="BQ13" s="853"/>
      <c r="BR13" s="853"/>
      <c r="BS13" s="853"/>
      <c r="BT13" s="853"/>
      <c r="BU13" s="853"/>
      <c r="BV13" s="853"/>
      <c r="BW13" s="853"/>
      <c r="BX13" s="853"/>
      <c r="BY13" s="853"/>
      <c r="BZ13" s="853"/>
      <c r="CA13" s="853"/>
      <c r="CB13" s="853"/>
      <c r="CC13" s="853"/>
      <c r="CD13" s="853"/>
      <c r="CE13" s="853"/>
      <c r="CF13" s="856"/>
      <c r="CG13" s="856"/>
      <c r="CH13" s="853"/>
      <c r="CI13" s="853"/>
      <c r="CJ13" s="853"/>
      <c r="CK13" s="854">
        <v>1.06</v>
      </c>
      <c r="CL13" s="853">
        <v>1.0469999999999999</v>
      </c>
      <c r="CM13" s="853"/>
      <c r="CN13" s="853"/>
      <c r="CO13" s="853"/>
      <c r="CP13" s="853"/>
      <c r="CQ13" s="853"/>
      <c r="CR13" s="856"/>
      <c r="CS13" s="856"/>
      <c r="CT13" s="853"/>
      <c r="CU13" s="853"/>
      <c r="CV13" s="853"/>
      <c r="CW13" s="854">
        <v>1.06</v>
      </c>
      <c r="CX13" s="853">
        <v>1.0469999999999999</v>
      </c>
    </row>
    <row r="14" spans="2:102" s="864" customFormat="1" ht="41.25" thickTop="1">
      <c r="B14" s="858">
        <v>1</v>
      </c>
      <c r="C14" s="859" t="s">
        <v>1127</v>
      </c>
      <c r="D14" s="860" t="s">
        <v>1128</v>
      </c>
      <c r="E14" s="861">
        <f>SUM(E16,E43,E46)</f>
        <v>67497.468378041274</v>
      </c>
      <c r="F14" s="861">
        <f>SUM(F16,F43,F46)</f>
        <v>67497.468378041274</v>
      </c>
      <c r="G14" s="861">
        <f>SUM(G16,G43,G46)</f>
        <v>54045.532852193035</v>
      </c>
      <c r="H14" s="861"/>
      <c r="I14" s="861"/>
      <c r="J14" s="861"/>
      <c r="K14" s="861"/>
      <c r="L14" s="861"/>
      <c r="M14" s="861"/>
      <c r="N14" s="861"/>
      <c r="O14" s="861"/>
      <c r="P14" s="861"/>
      <c r="Q14" s="861"/>
      <c r="R14" s="861">
        <f>SUM(R16,R43,R46)</f>
        <v>0</v>
      </c>
      <c r="S14" s="861">
        <f>SUM(S16,S43,S46)</f>
        <v>4197.0870875000001</v>
      </c>
      <c r="T14" s="861">
        <f>SUM(T16,T43,T46)</f>
        <v>49848.445764693031</v>
      </c>
      <c r="U14" s="861">
        <f t="shared" ref="U14:AD14" si="0">SUM(U16,U43,U46)</f>
        <v>13451.935525848239</v>
      </c>
      <c r="V14" s="861">
        <f t="shared" si="0"/>
        <v>0</v>
      </c>
      <c r="W14" s="861">
        <f t="shared" si="0"/>
        <v>0</v>
      </c>
      <c r="X14" s="861">
        <f t="shared" si="0"/>
        <v>0</v>
      </c>
      <c r="Y14" s="861">
        <f t="shared" si="0"/>
        <v>0</v>
      </c>
      <c r="Z14" s="861">
        <f t="shared" si="0"/>
        <v>0</v>
      </c>
      <c r="AA14" s="861">
        <f t="shared" si="0"/>
        <v>0</v>
      </c>
      <c r="AB14" s="861">
        <f t="shared" si="0"/>
        <v>0</v>
      </c>
      <c r="AC14" s="861">
        <f t="shared" si="0"/>
        <v>1860.0557025000001</v>
      </c>
      <c r="AD14" s="861">
        <f t="shared" si="0"/>
        <v>11591.879823348241</v>
      </c>
      <c r="AE14" s="861">
        <f>SUM(AE16,AE43,AE46)</f>
        <v>0</v>
      </c>
      <c r="AF14" s="861">
        <f>SUM(AF16,AF43,AF46)</f>
        <v>0</v>
      </c>
      <c r="AG14" s="861">
        <f t="shared" ref="AG14:AN14" si="1">SUM(AG16,AG43,AG46)</f>
        <v>0</v>
      </c>
      <c r="AH14" s="861">
        <f t="shared" si="1"/>
        <v>0</v>
      </c>
      <c r="AI14" s="861">
        <f t="shared" si="1"/>
        <v>0</v>
      </c>
      <c r="AJ14" s="861">
        <f t="shared" si="1"/>
        <v>0</v>
      </c>
      <c r="AK14" s="861">
        <f t="shared" si="1"/>
        <v>0</v>
      </c>
      <c r="AL14" s="861">
        <f t="shared" si="1"/>
        <v>0</v>
      </c>
      <c r="AM14" s="861">
        <f t="shared" si="1"/>
        <v>0</v>
      </c>
      <c r="AN14" s="861">
        <f t="shared" si="1"/>
        <v>0</v>
      </c>
      <c r="AO14" s="861"/>
      <c r="AP14" s="861"/>
      <c r="AQ14" s="861">
        <f>SUM(AQ16,AQ43,AQ46)</f>
        <v>0</v>
      </c>
      <c r="AR14" s="862">
        <f t="shared" ref="AR14:AX14" si="2">ROUND(AR16+AR43+AR46,3)</f>
        <v>0</v>
      </c>
      <c r="AS14" s="862">
        <f t="shared" si="2"/>
        <v>0</v>
      </c>
      <c r="AT14" s="862">
        <f t="shared" si="2"/>
        <v>0</v>
      </c>
      <c r="AU14" s="862">
        <f t="shared" si="2"/>
        <v>0</v>
      </c>
      <c r="AV14" s="863">
        <f t="shared" si="2"/>
        <v>0</v>
      </c>
      <c r="AW14" s="863">
        <f t="shared" si="2"/>
        <v>0</v>
      </c>
      <c r="AX14" s="861">
        <f t="shared" si="2"/>
        <v>0</v>
      </c>
      <c r="AY14" s="861">
        <f>SUM(AY16,AY43,AY46)</f>
        <v>0</v>
      </c>
      <c r="AZ14" s="861">
        <f>SUM(AZ16,AZ43,AZ46)</f>
        <v>0</v>
      </c>
      <c r="BA14" s="861">
        <f>SUM(BA16,BA43,BA46)</f>
        <v>0</v>
      </c>
      <c r="BB14" s="861">
        <f>SUM(BB16,BB43,BB46)</f>
        <v>0</v>
      </c>
      <c r="BC14" s="861">
        <f>SUM(BC16,BC43,BC46)</f>
        <v>0</v>
      </c>
      <c r="BD14" s="862">
        <f t="shared" ref="BD14:BJ14" si="3">ROUND(BD16+BD43+BD46,3)</f>
        <v>0</v>
      </c>
      <c r="BE14" s="862">
        <f t="shared" si="3"/>
        <v>0</v>
      </c>
      <c r="BF14" s="862">
        <f t="shared" si="3"/>
        <v>0</v>
      </c>
      <c r="BG14" s="862">
        <f t="shared" si="3"/>
        <v>0</v>
      </c>
      <c r="BH14" s="863">
        <f t="shared" si="3"/>
        <v>0</v>
      </c>
      <c r="BI14" s="863">
        <f t="shared" si="3"/>
        <v>0</v>
      </c>
      <c r="BJ14" s="861">
        <f t="shared" si="3"/>
        <v>0</v>
      </c>
      <c r="BK14" s="861">
        <f>SUM(BK16,BK43,BK46)</f>
        <v>0</v>
      </c>
      <c r="BL14" s="861">
        <f>SUM(BL16,BL43,BL46)</f>
        <v>0</v>
      </c>
      <c r="BM14" s="861">
        <f>SUM(BM16,BM43,BM46)</f>
        <v>0</v>
      </c>
      <c r="BN14" s="861">
        <f>SUM(BN16,BN43,BN46)</f>
        <v>0</v>
      </c>
      <c r="BO14" s="861"/>
      <c r="BP14" s="861">
        <f>SUM(BP16,BP43,BP46)</f>
        <v>0</v>
      </c>
      <c r="BQ14" s="861">
        <f t="shared" ref="BQ14:BX14" si="4">SUM(BQ16,BQ43,BQ46)</f>
        <v>0</v>
      </c>
      <c r="BR14" s="861">
        <f t="shared" si="4"/>
        <v>0</v>
      </c>
      <c r="BS14" s="861">
        <f t="shared" si="4"/>
        <v>0</v>
      </c>
      <c r="BT14" s="861">
        <f t="shared" si="4"/>
        <v>0</v>
      </c>
      <c r="BU14" s="861">
        <f t="shared" si="4"/>
        <v>0</v>
      </c>
      <c r="BV14" s="861">
        <f t="shared" si="4"/>
        <v>0</v>
      </c>
      <c r="BW14" s="861">
        <f t="shared" si="4"/>
        <v>0</v>
      </c>
      <c r="BX14" s="861">
        <f t="shared" si="4"/>
        <v>0</v>
      </c>
      <c r="BY14" s="861"/>
      <c r="BZ14" s="861"/>
      <c r="CA14" s="861">
        <f>SUM(CA16,CA43,CA46)</f>
        <v>0</v>
      </c>
      <c r="CB14" s="862">
        <f t="shared" ref="CB14:CH14" si="5">ROUND(CB16+CB43+CB46,3)</f>
        <v>0</v>
      </c>
      <c r="CC14" s="862">
        <f t="shared" si="5"/>
        <v>0</v>
      </c>
      <c r="CD14" s="862">
        <f t="shared" si="5"/>
        <v>0</v>
      </c>
      <c r="CE14" s="862">
        <f t="shared" si="5"/>
        <v>0</v>
      </c>
      <c r="CF14" s="863">
        <f t="shared" si="5"/>
        <v>0</v>
      </c>
      <c r="CG14" s="863">
        <f t="shared" si="5"/>
        <v>0</v>
      </c>
      <c r="CH14" s="861">
        <f t="shared" si="5"/>
        <v>0</v>
      </c>
      <c r="CI14" s="861">
        <f>SUM(CI16,CI43,CI46)</f>
        <v>0</v>
      </c>
      <c r="CJ14" s="861">
        <f>SUM(CJ16,CJ43,CJ46)</f>
        <v>0</v>
      </c>
      <c r="CK14" s="861">
        <f>SUM(CK16,CK43,CK46)</f>
        <v>0</v>
      </c>
      <c r="CL14" s="861">
        <f>SUM(CL16,CL43,CL46)</f>
        <v>0</v>
      </c>
      <c r="CM14" s="861">
        <f>SUM(CM16,CM43,CM46)</f>
        <v>0</v>
      </c>
      <c r="CN14" s="862">
        <f t="shared" ref="CN14:CT14" si="6">ROUND(CN16+CN43+CN46,3)</f>
        <v>0</v>
      </c>
      <c r="CO14" s="862">
        <f t="shared" si="6"/>
        <v>0</v>
      </c>
      <c r="CP14" s="862">
        <f t="shared" si="6"/>
        <v>0</v>
      </c>
      <c r="CQ14" s="862">
        <f t="shared" si="6"/>
        <v>0</v>
      </c>
      <c r="CR14" s="863">
        <f t="shared" si="6"/>
        <v>0</v>
      </c>
      <c r="CS14" s="863">
        <f t="shared" si="6"/>
        <v>0</v>
      </c>
      <c r="CT14" s="861">
        <f t="shared" si="6"/>
        <v>0</v>
      </c>
      <c r="CU14" s="861">
        <f>SUM(CU16,CU43,CU46)</f>
        <v>0</v>
      </c>
      <c r="CV14" s="861">
        <f>SUM(CV16,CV43,CV46)</f>
        <v>0</v>
      </c>
      <c r="CW14" s="861">
        <f>SUM(CW16,CW43,CW46)</f>
        <v>0</v>
      </c>
      <c r="CX14" s="861">
        <f>SUM(CX16,CX43,CX46)</f>
        <v>0</v>
      </c>
    </row>
    <row r="15" spans="2:102" s="864" customFormat="1" ht="45" customHeight="1" outlineLevel="1">
      <c r="B15" s="858"/>
      <c r="C15" s="859" t="s">
        <v>1127</v>
      </c>
      <c r="D15" s="865" t="s">
        <v>1129</v>
      </c>
      <c r="E15" s="861">
        <f>E14*1.2</f>
        <v>80996.96205364952</v>
      </c>
      <c r="F15" s="861">
        <f>F14*1.2</f>
        <v>80996.96205364952</v>
      </c>
      <c r="G15" s="861">
        <f>G14*1.2</f>
        <v>64854.639422631641</v>
      </c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1">
        <f>R14*1.2</f>
        <v>0</v>
      </c>
      <c r="S15" s="861">
        <f>S14*1.2</f>
        <v>5036.5045049999999</v>
      </c>
      <c r="T15" s="861">
        <f>T14*1.2</f>
        <v>59818.134917631636</v>
      </c>
      <c r="U15" s="861">
        <f>U14*1.2</f>
        <v>16142.322631017887</v>
      </c>
      <c r="V15" s="861">
        <f t="shared" ref="V15:AV15" si="7">V14*1.2</f>
        <v>0</v>
      </c>
      <c r="W15" s="861">
        <f t="shared" si="7"/>
        <v>0</v>
      </c>
      <c r="X15" s="861">
        <f t="shared" si="7"/>
        <v>0</v>
      </c>
      <c r="Y15" s="861">
        <f t="shared" si="7"/>
        <v>0</v>
      </c>
      <c r="Z15" s="861">
        <f t="shared" si="7"/>
        <v>0</v>
      </c>
      <c r="AA15" s="861">
        <f t="shared" si="7"/>
        <v>0</v>
      </c>
      <c r="AB15" s="861">
        <f t="shared" si="7"/>
        <v>0</v>
      </c>
      <c r="AC15" s="861">
        <f t="shared" si="7"/>
        <v>2232.0668430000001</v>
      </c>
      <c r="AD15" s="861">
        <f t="shared" si="7"/>
        <v>13910.255788017888</v>
      </c>
      <c r="AE15" s="861">
        <f>AE14*1.2</f>
        <v>0</v>
      </c>
      <c r="AF15" s="861">
        <f>AF14*1.2</f>
        <v>0</v>
      </c>
      <c r="AG15" s="861">
        <f t="shared" si="7"/>
        <v>0</v>
      </c>
      <c r="AH15" s="861">
        <f t="shared" si="7"/>
        <v>0</v>
      </c>
      <c r="AI15" s="861">
        <f t="shared" si="7"/>
        <v>0</v>
      </c>
      <c r="AJ15" s="861">
        <f t="shared" si="7"/>
        <v>0</v>
      </c>
      <c r="AK15" s="861">
        <f t="shared" si="7"/>
        <v>0</v>
      </c>
      <c r="AL15" s="861">
        <f t="shared" si="7"/>
        <v>0</v>
      </c>
      <c r="AM15" s="861">
        <f t="shared" si="7"/>
        <v>0</v>
      </c>
      <c r="AN15" s="861">
        <f t="shared" si="7"/>
        <v>0</v>
      </c>
      <c r="AO15" s="861"/>
      <c r="AP15" s="861"/>
      <c r="AQ15" s="861">
        <f>AQ14*1.2</f>
        <v>0</v>
      </c>
      <c r="AR15" s="861">
        <f t="shared" si="7"/>
        <v>0</v>
      </c>
      <c r="AS15" s="861">
        <f t="shared" si="7"/>
        <v>0</v>
      </c>
      <c r="AT15" s="861">
        <f t="shared" si="7"/>
        <v>0</v>
      </c>
      <c r="AU15" s="861">
        <f t="shared" si="7"/>
        <v>0</v>
      </c>
      <c r="AV15" s="861">
        <f t="shared" si="7"/>
        <v>0</v>
      </c>
      <c r="AW15" s="861">
        <f t="shared" ref="AW15:BN15" si="8">AW14*1.2</f>
        <v>0</v>
      </c>
      <c r="AX15" s="861">
        <f t="shared" si="8"/>
        <v>0</v>
      </c>
      <c r="AY15" s="861">
        <f t="shared" si="8"/>
        <v>0</v>
      </c>
      <c r="AZ15" s="861">
        <f t="shared" si="8"/>
        <v>0</v>
      </c>
      <c r="BA15" s="861">
        <f t="shared" si="8"/>
        <v>0</v>
      </c>
      <c r="BB15" s="861">
        <f t="shared" si="8"/>
        <v>0</v>
      </c>
      <c r="BC15" s="861">
        <f t="shared" si="8"/>
        <v>0</v>
      </c>
      <c r="BD15" s="861">
        <f t="shared" si="8"/>
        <v>0</v>
      </c>
      <c r="BE15" s="861">
        <f t="shared" si="8"/>
        <v>0</v>
      </c>
      <c r="BF15" s="861">
        <f t="shared" si="8"/>
        <v>0</v>
      </c>
      <c r="BG15" s="861">
        <f t="shared" si="8"/>
        <v>0</v>
      </c>
      <c r="BH15" s="861">
        <f t="shared" si="8"/>
        <v>0</v>
      </c>
      <c r="BI15" s="861">
        <f t="shared" si="8"/>
        <v>0</v>
      </c>
      <c r="BJ15" s="861">
        <f t="shared" si="8"/>
        <v>0</v>
      </c>
      <c r="BK15" s="861">
        <f t="shared" si="8"/>
        <v>0</v>
      </c>
      <c r="BL15" s="861">
        <f t="shared" si="8"/>
        <v>0</v>
      </c>
      <c r="BM15" s="861">
        <f t="shared" si="8"/>
        <v>0</v>
      </c>
      <c r="BN15" s="861">
        <f t="shared" si="8"/>
        <v>0</v>
      </c>
      <c r="BO15" s="861"/>
      <c r="BP15" s="861">
        <f>BP14*1.2</f>
        <v>0</v>
      </c>
      <c r="BQ15" s="861">
        <f t="shared" ref="BQ15:BX15" si="9">BQ14*1.2</f>
        <v>0</v>
      </c>
      <c r="BR15" s="861">
        <f t="shared" si="9"/>
        <v>0</v>
      </c>
      <c r="BS15" s="861">
        <f t="shared" si="9"/>
        <v>0</v>
      </c>
      <c r="BT15" s="861">
        <f t="shared" si="9"/>
        <v>0</v>
      </c>
      <c r="BU15" s="861">
        <f t="shared" si="9"/>
        <v>0</v>
      </c>
      <c r="BV15" s="861">
        <f t="shared" si="9"/>
        <v>0</v>
      </c>
      <c r="BW15" s="861">
        <f t="shared" si="9"/>
        <v>0</v>
      </c>
      <c r="BX15" s="861">
        <f t="shared" si="9"/>
        <v>0</v>
      </c>
      <c r="BY15" s="861"/>
      <c r="BZ15" s="861"/>
      <c r="CA15" s="861">
        <f t="shared" ref="CA15:CX15" si="10">CA14*1.2</f>
        <v>0</v>
      </c>
      <c r="CB15" s="861">
        <f t="shared" si="10"/>
        <v>0</v>
      </c>
      <c r="CC15" s="861">
        <f t="shared" si="10"/>
        <v>0</v>
      </c>
      <c r="CD15" s="861">
        <f t="shared" si="10"/>
        <v>0</v>
      </c>
      <c r="CE15" s="861">
        <f t="shared" si="10"/>
        <v>0</v>
      </c>
      <c r="CF15" s="861">
        <f t="shared" si="10"/>
        <v>0</v>
      </c>
      <c r="CG15" s="861">
        <f t="shared" si="10"/>
        <v>0</v>
      </c>
      <c r="CH15" s="861">
        <f t="shared" si="10"/>
        <v>0</v>
      </c>
      <c r="CI15" s="861">
        <f t="shared" si="10"/>
        <v>0</v>
      </c>
      <c r="CJ15" s="861">
        <f t="shared" si="10"/>
        <v>0</v>
      </c>
      <c r="CK15" s="861">
        <f t="shared" si="10"/>
        <v>0</v>
      </c>
      <c r="CL15" s="861">
        <f t="shared" si="10"/>
        <v>0</v>
      </c>
      <c r="CM15" s="861">
        <f t="shared" si="10"/>
        <v>0</v>
      </c>
      <c r="CN15" s="861">
        <f t="shared" si="10"/>
        <v>0</v>
      </c>
      <c r="CO15" s="861">
        <f t="shared" si="10"/>
        <v>0</v>
      </c>
      <c r="CP15" s="861">
        <f t="shared" si="10"/>
        <v>0</v>
      </c>
      <c r="CQ15" s="861">
        <f t="shared" si="10"/>
        <v>0</v>
      </c>
      <c r="CR15" s="861">
        <f t="shared" si="10"/>
        <v>0</v>
      </c>
      <c r="CS15" s="861">
        <f t="shared" si="10"/>
        <v>0</v>
      </c>
      <c r="CT15" s="861">
        <f t="shared" si="10"/>
        <v>0</v>
      </c>
      <c r="CU15" s="861">
        <f t="shared" si="10"/>
        <v>0</v>
      </c>
      <c r="CV15" s="861">
        <f t="shared" si="10"/>
        <v>0</v>
      </c>
      <c r="CW15" s="861">
        <f t="shared" si="10"/>
        <v>0</v>
      </c>
      <c r="CX15" s="861">
        <f t="shared" si="10"/>
        <v>0</v>
      </c>
    </row>
    <row r="16" spans="2:102" ht="48" customHeight="1" thickBot="1">
      <c r="B16" s="866" t="s">
        <v>1130</v>
      </c>
      <c r="C16" s="867" t="s">
        <v>1131</v>
      </c>
      <c r="D16" s="868" t="s">
        <v>1128</v>
      </c>
      <c r="E16" s="869">
        <f>F16+AE16</f>
        <v>53997.974702433014</v>
      </c>
      <c r="F16" s="869">
        <f>F17+F18+F19+F20+F21+F22</f>
        <v>53997.974702433014</v>
      </c>
      <c r="G16" s="869">
        <f>G17+G18+G19+G20+G21+G22</f>
        <v>43236.42628175443</v>
      </c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>
        <f>R17+R18+R19+R20+R21+R22</f>
        <v>0</v>
      </c>
      <c r="S16" s="862">
        <f>S17+S18+S19+S20+S21+S22</f>
        <v>3357.6696699999998</v>
      </c>
      <c r="T16" s="862">
        <f>T17+T18+T19+T20+T21+T22</f>
        <v>39878.756611754427</v>
      </c>
      <c r="U16" s="869">
        <f>U17+U18+U19+U20+U21+U22</f>
        <v>10761.548420678591</v>
      </c>
      <c r="V16" s="862">
        <f t="shared" ref="V16:AD16" si="11">V17+V18+V19+V20+V21+V22</f>
        <v>0</v>
      </c>
      <c r="W16" s="862">
        <f t="shared" si="11"/>
        <v>0</v>
      </c>
      <c r="X16" s="862">
        <f t="shared" si="11"/>
        <v>0</v>
      </c>
      <c r="Y16" s="862">
        <f t="shared" si="11"/>
        <v>0</v>
      </c>
      <c r="Z16" s="862">
        <f t="shared" si="11"/>
        <v>0</v>
      </c>
      <c r="AA16" s="862">
        <f t="shared" si="11"/>
        <v>0</v>
      </c>
      <c r="AB16" s="862">
        <f t="shared" si="11"/>
        <v>0</v>
      </c>
      <c r="AC16" s="862">
        <f t="shared" si="11"/>
        <v>1488.044562</v>
      </c>
      <c r="AD16" s="862">
        <f t="shared" si="11"/>
        <v>9273.5038586785922</v>
      </c>
      <c r="AE16" s="869">
        <f>AE17+AE18+AE19+AE20+AE21+AE22</f>
        <v>0</v>
      </c>
      <c r="AF16" s="869">
        <f>AF17+AF18+AF19+AF20+AF21+AF22</f>
        <v>0</v>
      </c>
      <c r="AG16" s="862">
        <f t="shared" ref="AG16:AN16" si="12">AG17+AG18+AG19+AG20+AG21+AG22</f>
        <v>0</v>
      </c>
      <c r="AH16" s="862">
        <f t="shared" si="12"/>
        <v>0</v>
      </c>
      <c r="AI16" s="862">
        <f t="shared" si="12"/>
        <v>0</v>
      </c>
      <c r="AJ16" s="862">
        <f t="shared" si="12"/>
        <v>0</v>
      </c>
      <c r="AK16" s="862">
        <f t="shared" si="12"/>
        <v>0</v>
      </c>
      <c r="AL16" s="862">
        <f t="shared" si="12"/>
        <v>0</v>
      </c>
      <c r="AM16" s="862">
        <f t="shared" si="12"/>
        <v>0</v>
      </c>
      <c r="AN16" s="862">
        <f t="shared" si="12"/>
        <v>0</v>
      </c>
      <c r="AO16" s="862"/>
      <c r="AP16" s="862"/>
      <c r="AQ16" s="869">
        <f>AQ17+AQ18+AQ19+AQ20+AQ21+AQ22</f>
        <v>0</v>
      </c>
      <c r="AR16" s="862">
        <f t="shared" ref="AR16:AY16" si="13">AR17+AR18+AR19+AR20+AR21+AR22</f>
        <v>0</v>
      </c>
      <c r="AS16" s="862">
        <f t="shared" si="13"/>
        <v>0</v>
      </c>
      <c r="AT16" s="862">
        <f t="shared" si="13"/>
        <v>0</v>
      </c>
      <c r="AU16" s="862">
        <f t="shared" si="13"/>
        <v>0</v>
      </c>
      <c r="AV16" s="863">
        <f t="shared" si="13"/>
        <v>0</v>
      </c>
      <c r="AW16" s="863">
        <f t="shared" si="13"/>
        <v>0</v>
      </c>
      <c r="AX16" s="862">
        <f t="shared" si="13"/>
        <v>0</v>
      </c>
      <c r="AY16" s="862">
        <f t="shared" si="13"/>
        <v>0</v>
      </c>
      <c r="AZ16" s="862">
        <f>AZ17+AZ18+AZ19+AZ20+AZ21+AZ22</f>
        <v>0</v>
      </c>
      <c r="BA16" s="862">
        <f>BA17+BA18+BA19+BA20+BA21+BA22</f>
        <v>0</v>
      </c>
      <c r="BB16" s="862">
        <f>BB17+BB18+BB19+BB20+BB21+BB22</f>
        <v>0</v>
      </c>
      <c r="BC16" s="869">
        <f>BC17+BC18+BC19+BC20+BC21+BC22</f>
        <v>0</v>
      </c>
      <c r="BD16" s="862">
        <f t="shared" ref="BD16:BK16" si="14">BD17+BD18+BD19+BD20+BD21+BD22</f>
        <v>0</v>
      </c>
      <c r="BE16" s="862">
        <f t="shared" si="14"/>
        <v>0</v>
      </c>
      <c r="BF16" s="862">
        <f t="shared" si="14"/>
        <v>0</v>
      </c>
      <c r="BG16" s="862">
        <f t="shared" si="14"/>
        <v>0</v>
      </c>
      <c r="BH16" s="863">
        <f t="shared" si="14"/>
        <v>0</v>
      </c>
      <c r="BI16" s="863">
        <f t="shared" si="14"/>
        <v>0</v>
      </c>
      <c r="BJ16" s="862">
        <f t="shared" si="14"/>
        <v>0</v>
      </c>
      <c r="BK16" s="862">
        <f t="shared" si="14"/>
        <v>0</v>
      </c>
      <c r="BL16" s="862">
        <f>BL17+BL18+BL19+BL20+BL21+BL22</f>
        <v>0</v>
      </c>
      <c r="BM16" s="862">
        <f>BM17+BM18+BM19+BM20+BM21+BM22</f>
        <v>0</v>
      </c>
      <c r="BN16" s="862">
        <f>BN17+BN18+BN19+BN20+BN21+BN22</f>
        <v>0</v>
      </c>
      <c r="BO16" s="869"/>
      <c r="BP16" s="869">
        <f>BP17+BP18+BP19+BP20+BP21+BP22</f>
        <v>0</v>
      </c>
      <c r="BQ16" s="862">
        <f t="shared" ref="BQ16:BX16" si="15">BQ17+BQ18+BQ19+BQ20+BQ21+BQ22</f>
        <v>0</v>
      </c>
      <c r="BR16" s="862">
        <f t="shared" si="15"/>
        <v>0</v>
      </c>
      <c r="BS16" s="862">
        <f t="shared" si="15"/>
        <v>0</v>
      </c>
      <c r="BT16" s="862">
        <f t="shared" si="15"/>
        <v>0</v>
      </c>
      <c r="BU16" s="862">
        <f t="shared" si="15"/>
        <v>0</v>
      </c>
      <c r="BV16" s="862">
        <f t="shared" si="15"/>
        <v>0</v>
      </c>
      <c r="BW16" s="862">
        <f t="shared" si="15"/>
        <v>0</v>
      </c>
      <c r="BX16" s="862">
        <f t="shared" si="15"/>
        <v>0</v>
      </c>
      <c r="BY16" s="862"/>
      <c r="BZ16" s="862"/>
      <c r="CA16" s="869">
        <f>CA17+CA18+CA19+CA20+CA21+CA22</f>
        <v>0</v>
      </c>
      <c r="CB16" s="862">
        <f t="shared" ref="CB16:CI16" si="16">CB17+CB18+CB19+CB20+CB21+CB22</f>
        <v>0</v>
      </c>
      <c r="CC16" s="862">
        <f t="shared" si="16"/>
        <v>0</v>
      </c>
      <c r="CD16" s="862">
        <f t="shared" si="16"/>
        <v>0</v>
      </c>
      <c r="CE16" s="862">
        <f t="shared" si="16"/>
        <v>0</v>
      </c>
      <c r="CF16" s="863">
        <f t="shared" si="16"/>
        <v>0</v>
      </c>
      <c r="CG16" s="863">
        <f t="shared" si="16"/>
        <v>0</v>
      </c>
      <c r="CH16" s="862">
        <f t="shared" si="16"/>
        <v>0</v>
      </c>
      <c r="CI16" s="862">
        <f t="shared" si="16"/>
        <v>0</v>
      </c>
      <c r="CJ16" s="862">
        <f>CJ17+CJ18+CJ19+CJ20+CJ21+CJ22</f>
        <v>0</v>
      </c>
      <c r="CK16" s="862">
        <f>CK17+CK18+CK19+CK20+CK21+CK22</f>
        <v>0</v>
      </c>
      <c r="CL16" s="862">
        <f>CL17+CL18+CL19+CL20+CL21+CL22</f>
        <v>0</v>
      </c>
      <c r="CM16" s="869">
        <f>CM17+CM18+CM19+CM20+CM21+CM22</f>
        <v>0</v>
      </c>
      <c r="CN16" s="862">
        <f t="shared" ref="CN16:CU16" si="17">CN17+CN18+CN19+CN20+CN21+CN22</f>
        <v>0</v>
      </c>
      <c r="CO16" s="862">
        <f t="shared" si="17"/>
        <v>0</v>
      </c>
      <c r="CP16" s="862">
        <f t="shared" si="17"/>
        <v>0</v>
      </c>
      <c r="CQ16" s="862">
        <f t="shared" si="17"/>
        <v>0</v>
      </c>
      <c r="CR16" s="863">
        <f t="shared" si="17"/>
        <v>0</v>
      </c>
      <c r="CS16" s="863">
        <f t="shared" si="17"/>
        <v>0</v>
      </c>
      <c r="CT16" s="862">
        <f t="shared" si="17"/>
        <v>0</v>
      </c>
      <c r="CU16" s="862">
        <f t="shared" si="17"/>
        <v>0</v>
      </c>
      <c r="CV16" s="862">
        <f>CV17+CV18+CV19+CV20+CV21+CV22</f>
        <v>0</v>
      </c>
      <c r="CW16" s="862">
        <f>CW17+CW18+CW19+CW20+CW21+CW22</f>
        <v>0</v>
      </c>
      <c r="CX16" s="862">
        <f>CX17+CX18+CX19+CX20+CX21+CX22</f>
        <v>0</v>
      </c>
    </row>
    <row r="17" spans="2:102" ht="30.75" customHeight="1" thickTop="1" thickBot="1">
      <c r="B17" s="870" t="s">
        <v>1132</v>
      </c>
      <c r="C17" s="871" t="s">
        <v>1133</v>
      </c>
      <c r="D17" s="872" t="s">
        <v>1128</v>
      </c>
      <c r="E17" s="869">
        <f>F17+AE17</f>
        <v>4845.7142320000003</v>
      </c>
      <c r="F17" s="873">
        <f>G17+U17</f>
        <v>4845.7142320000003</v>
      </c>
      <c r="G17" s="873">
        <f>SUM(M17:T17)</f>
        <v>3357.6696699999998</v>
      </c>
      <c r="H17" s="874"/>
      <c r="I17" s="874"/>
      <c r="J17" s="874"/>
      <c r="K17" s="874"/>
      <c r="L17" s="874"/>
      <c r="M17" s="874"/>
      <c r="N17" s="874"/>
      <c r="O17" s="874"/>
      <c r="P17" s="874"/>
      <c r="Q17" s="874"/>
      <c r="R17" s="874"/>
      <c r="S17" s="874">
        <f>3848.332/1.2*S13</f>
        <v>3357.6696699999998</v>
      </c>
      <c r="T17" s="874"/>
      <c r="U17" s="873">
        <f>SUM(AA17:AD19)</f>
        <v>1488.044562</v>
      </c>
      <c r="V17" s="874"/>
      <c r="W17" s="874"/>
      <c r="X17" s="874"/>
      <c r="Y17" s="874"/>
      <c r="Z17" s="874"/>
      <c r="AA17" s="874"/>
      <c r="AB17" s="874"/>
      <c r="AC17" s="874">
        <f>1705495.2/1.2/1000*AC13</f>
        <v>1488.044562</v>
      </c>
      <c r="AD17" s="874"/>
      <c r="AE17" s="873">
        <f>AQ17+BC17</f>
        <v>0</v>
      </c>
      <c r="AF17" s="873">
        <f>SUM(AO17:AZ17)</f>
        <v>0</v>
      </c>
      <c r="AG17" s="874"/>
      <c r="AH17" s="874"/>
      <c r="AI17" s="874"/>
      <c r="AJ17" s="874"/>
      <c r="AK17" s="874"/>
      <c r="AL17" s="874"/>
      <c r="AM17" s="874"/>
      <c r="AN17" s="874"/>
      <c r="AO17" s="874"/>
      <c r="AP17" s="874"/>
      <c r="AQ17" s="874">
        <f>SUM(AW17:BA17)</f>
        <v>0</v>
      </c>
      <c r="AR17" s="874"/>
      <c r="AS17" s="874"/>
      <c r="AT17" s="874"/>
      <c r="AU17" s="874"/>
      <c r="AV17" s="874"/>
      <c r="AW17" s="875"/>
      <c r="AX17" s="874"/>
      <c r="AY17" s="874"/>
      <c r="AZ17" s="874"/>
      <c r="BA17" s="874"/>
      <c r="BB17" s="874"/>
      <c r="BC17" s="874">
        <f>SUM(BI17:BM17)</f>
        <v>0</v>
      </c>
      <c r="BD17" s="874"/>
      <c r="BE17" s="874"/>
      <c r="BF17" s="874"/>
      <c r="BG17" s="874"/>
      <c r="BH17" s="874"/>
      <c r="BI17" s="875"/>
      <c r="BJ17" s="874"/>
      <c r="BK17" s="874"/>
      <c r="BL17" s="874"/>
      <c r="BM17" s="874"/>
      <c r="BN17" s="874"/>
      <c r="BO17" s="873"/>
      <c r="BP17" s="873">
        <f>SUM(BY17:CJ17)</f>
        <v>0</v>
      </c>
      <c r="BQ17" s="874"/>
      <c r="BR17" s="874"/>
      <c r="BS17" s="874"/>
      <c r="BT17" s="874"/>
      <c r="BU17" s="874"/>
      <c r="BV17" s="874"/>
      <c r="BW17" s="874"/>
      <c r="BX17" s="874"/>
      <c r="BY17" s="874"/>
      <c r="BZ17" s="874"/>
      <c r="CA17" s="874">
        <f>SUM(CG17:CK17)</f>
        <v>0</v>
      </c>
      <c r="CB17" s="874"/>
      <c r="CC17" s="874"/>
      <c r="CD17" s="874"/>
      <c r="CE17" s="874"/>
      <c r="CF17" s="874"/>
      <c r="CG17" s="875"/>
      <c r="CH17" s="874"/>
      <c r="CI17" s="874"/>
      <c r="CJ17" s="874"/>
      <c r="CK17" s="874"/>
      <c r="CL17" s="874"/>
      <c r="CM17" s="874">
        <f>SUM(CS17:CW17)</f>
        <v>0</v>
      </c>
      <c r="CN17" s="874"/>
      <c r="CO17" s="874"/>
      <c r="CP17" s="874"/>
      <c r="CQ17" s="874"/>
      <c r="CR17" s="874"/>
      <c r="CS17" s="875"/>
      <c r="CT17" s="874"/>
      <c r="CU17" s="874"/>
      <c r="CV17" s="874"/>
      <c r="CW17" s="874"/>
      <c r="CX17" s="874"/>
    </row>
    <row r="18" spans="2:102" ht="21.75" hidden="1" customHeight="1" outlineLevel="1" thickTop="1" thickBot="1">
      <c r="B18" s="870" t="s">
        <v>119</v>
      </c>
      <c r="C18" s="871" t="s">
        <v>1134</v>
      </c>
      <c r="D18" s="872" t="s">
        <v>1128</v>
      </c>
      <c r="E18" s="869"/>
      <c r="F18" s="873"/>
      <c r="G18" s="873">
        <f>SUM(M18:P18)</f>
        <v>0</v>
      </c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4"/>
      <c r="U18" s="873">
        <f>SUM(AA18:AC18)</f>
        <v>0</v>
      </c>
      <c r="V18" s="874"/>
      <c r="W18" s="874"/>
      <c r="X18" s="874"/>
      <c r="Y18" s="874"/>
      <c r="Z18" s="874"/>
      <c r="AA18" s="874"/>
      <c r="AB18" s="874"/>
      <c r="AC18" s="874"/>
      <c r="AD18" s="874"/>
      <c r="AE18" s="873"/>
      <c r="AF18" s="873">
        <f>SUM(AO18:AZ18)</f>
        <v>0</v>
      </c>
      <c r="AG18" s="874"/>
      <c r="AH18" s="874"/>
      <c r="AI18" s="874"/>
      <c r="AJ18" s="874"/>
      <c r="AK18" s="874"/>
      <c r="AL18" s="874"/>
      <c r="AM18" s="874"/>
      <c r="AN18" s="874"/>
      <c r="AO18" s="874"/>
      <c r="AP18" s="874"/>
      <c r="AQ18" s="874"/>
      <c r="AR18" s="874"/>
      <c r="AS18" s="874"/>
      <c r="AT18" s="874"/>
      <c r="AU18" s="874"/>
      <c r="AV18" s="874"/>
      <c r="AW18" s="875"/>
      <c r="AX18" s="874"/>
      <c r="AY18" s="874"/>
      <c r="AZ18" s="874"/>
      <c r="BA18" s="874"/>
      <c r="BB18" s="874"/>
      <c r="BC18" s="874"/>
      <c r="BD18" s="874"/>
      <c r="BE18" s="874"/>
      <c r="BF18" s="874"/>
      <c r="BG18" s="874"/>
      <c r="BH18" s="874"/>
      <c r="BI18" s="875"/>
      <c r="BJ18" s="874"/>
      <c r="BK18" s="874"/>
      <c r="BL18" s="874"/>
      <c r="BM18" s="874"/>
      <c r="BN18" s="874"/>
      <c r="BO18" s="873"/>
      <c r="BP18" s="873">
        <f>SUM(BY18:CJ18)</f>
        <v>0</v>
      </c>
      <c r="BQ18" s="874"/>
      <c r="BR18" s="874"/>
      <c r="BS18" s="874"/>
      <c r="BT18" s="874"/>
      <c r="BU18" s="874"/>
      <c r="BV18" s="874"/>
      <c r="BW18" s="874"/>
      <c r="BX18" s="874"/>
      <c r="BY18" s="874"/>
      <c r="BZ18" s="874"/>
      <c r="CA18" s="874"/>
      <c r="CB18" s="874"/>
      <c r="CC18" s="874"/>
      <c r="CD18" s="874"/>
      <c r="CE18" s="874"/>
      <c r="CF18" s="874"/>
      <c r="CG18" s="875"/>
      <c r="CH18" s="874"/>
      <c r="CI18" s="874"/>
      <c r="CJ18" s="874"/>
      <c r="CK18" s="874"/>
      <c r="CL18" s="874"/>
      <c r="CM18" s="874"/>
      <c r="CN18" s="874"/>
      <c r="CO18" s="874"/>
      <c r="CP18" s="874"/>
      <c r="CQ18" s="874"/>
      <c r="CR18" s="874"/>
      <c r="CS18" s="875"/>
      <c r="CT18" s="874"/>
      <c r="CU18" s="874"/>
      <c r="CV18" s="874"/>
      <c r="CW18" s="874"/>
      <c r="CX18" s="874"/>
    </row>
    <row r="19" spans="2:102" ht="42" hidden="1" customHeight="1" outlineLevel="1" thickTop="1" thickBot="1">
      <c r="B19" s="870" t="s">
        <v>120</v>
      </c>
      <c r="C19" s="871" t="s">
        <v>1135</v>
      </c>
      <c r="D19" s="872" t="s">
        <v>1128</v>
      </c>
      <c r="E19" s="869"/>
      <c r="F19" s="873"/>
      <c r="G19" s="873">
        <f>SUM(M19:P19)</f>
        <v>0</v>
      </c>
      <c r="H19" s="874"/>
      <c r="I19" s="874"/>
      <c r="J19" s="874"/>
      <c r="K19" s="874"/>
      <c r="L19" s="874"/>
      <c r="M19" s="874"/>
      <c r="N19" s="874"/>
      <c r="O19" s="874"/>
      <c r="P19" s="874"/>
      <c r="Q19" s="874"/>
      <c r="R19" s="874"/>
      <c r="S19" s="874"/>
      <c r="T19" s="874"/>
      <c r="U19" s="873">
        <f>SUM(AA19:AC19)</f>
        <v>0</v>
      </c>
      <c r="V19" s="874"/>
      <c r="W19" s="874"/>
      <c r="X19" s="874"/>
      <c r="Y19" s="874"/>
      <c r="Z19" s="874"/>
      <c r="AA19" s="874"/>
      <c r="AB19" s="874"/>
      <c r="AC19" s="874"/>
      <c r="AD19" s="874"/>
      <c r="AE19" s="873"/>
      <c r="AF19" s="873">
        <f>SUM(AO19:AZ19)</f>
        <v>0</v>
      </c>
      <c r="AG19" s="874"/>
      <c r="AH19" s="874"/>
      <c r="AI19" s="874"/>
      <c r="AJ19" s="874"/>
      <c r="AK19" s="874"/>
      <c r="AL19" s="874"/>
      <c r="AM19" s="874"/>
      <c r="AN19" s="874"/>
      <c r="AO19" s="874"/>
      <c r="AP19" s="874"/>
      <c r="AQ19" s="874"/>
      <c r="AR19" s="874"/>
      <c r="AS19" s="874"/>
      <c r="AT19" s="874"/>
      <c r="AU19" s="874"/>
      <c r="AV19" s="874"/>
      <c r="AW19" s="875"/>
      <c r="AX19" s="874"/>
      <c r="AY19" s="874"/>
      <c r="AZ19" s="874"/>
      <c r="BA19" s="874"/>
      <c r="BB19" s="874"/>
      <c r="BC19" s="874"/>
      <c r="BD19" s="874"/>
      <c r="BE19" s="874"/>
      <c r="BF19" s="874"/>
      <c r="BG19" s="874"/>
      <c r="BH19" s="874"/>
      <c r="BI19" s="875"/>
      <c r="BJ19" s="874"/>
      <c r="BK19" s="874"/>
      <c r="BL19" s="874"/>
      <c r="BM19" s="874"/>
      <c r="BN19" s="874"/>
      <c r="BO19" s="873"/>
      <c r="BP19" s="873">
        <f>SUM(BY19:CJ19)</f>
        <v>0</v>
      </c>
      <c r="BQ19" s="874"/>
      <c r="BR19" s="874"/>
      <c r="BS19" s="874"/>
      <c r="BT19" s="874"/>
      <c r="BU19" s="874"/>
      <c r="BV19" s="874"/>
      <c r="BW19" s="874"/>
      <c r="BX19" s="874"/>
      <c r="BY19" s="874"/>
      <c r="BZ19" s="874"/>
      <c r="CA19" s="874"/>
      <c r="CB19" s="874"/>
      <c r="CC19" s="874"/>
      <c r="CD19" s="874"/>
      <c r="CE19" s="874"/>
      <c r="CF19" s="874"/>
      <c r="CG19" s="875"/>
      <c r="CH19" s="874"/>
      <c r="CI19" s="874"/>
      <c r="CJ19" s="874"/>
      <c r="CK19" s="874"/>
      <c r="CL19" s="874"/>
      <c r="CM19" s="874"/>
      <c r="CN19" s="874"/>
      <c r="CO19" s="874"/>
      <c r="CP19" s="874"/>
      <c r="CQ19" s="874"/>
      <c r="CR19" s="874"/>
      <c r="CS19" s="875"/>
      <c r="CT19" s="874"/>
      <c r="CU19" s="874"/>
      <c r="CV19" s="874"/>
      <c r="CW19" s="874"/>
      <c r="CX19" s="874"/>
    </row>
    <row r="20" spans="2:102" ht="32.25" customHeight="1" collapsed="1" thickTop="1" thickBot="1">
      <c r="B20" s="870" t="s">
        <v>114</v>
      </c>
      <c r="C20" s="871" t="s">
        <v>1136</v>
      </c>
      <c r="D20" s="872" t="s">
        <v>1128</v>
      </c>
      <c r="E20" s="869">
        <f>F20+AE20</f>
        <v>49152.260470433015</v>
      </c>
      <c r="F20" s="873">
        <f>G20+U20</f>
        <v>49152.260470433015</v>
      </c>
      <c r="G20" s="873">
        <f>SUM(M20:T20)</f>
        <v>39878.756611754427</v>
      </c>
      <c r="H20" s="874"/>
      <c r="I20" s="874"/>
      <c r="J20" s="874"/>
      <c r="K20" s="874"/>
      <c r="L20" s="874"/>
      <c r="M20" s="874"/>
      <c r="N20" s="874"/>
      <c r="O20" s="874"/>
      <c r="P20" s="874"/>
      <c r="Q20" s="874"/>
      <c r="R20" s="874"/>
      <c r="S20" s="874"/>
      <c r="T20" s="874">
        <f>G100*T13*S13</f>
        <v>39878.756611754427</v>
      </c>
      <c r="U20" s="873">
        <f>SUM(AA20:AD21)</f>
        <v>9273.5038586785922</v>
      </c>
      <c r="V20" s="874"/>
      <c r="W20" s="874"/>
      <c r="X20" s="874"/>
      <c r="Y20" s="874"/>
      <c r="Z20" s="874"/>
      <c r="AA20" s="874"/>
      <c r="AB20" s="874"/>
      <c r="AC20" s="874"/>
      <c r="AD20" s="874">
        <f>U98*AC13*AD13</f>
        <v>9273.5038586785922</v>
      </c>
      <c r="AE20" s="873">
        <f>AQ20+CA20+CM20</f>
        <v>0</v>
      </c>
      <c r="AF20" s="873"/>
      <c r="AG20" s="874"/>
      <c r="AH20" s="874"/>
      <c r="AI20" s="874"/>
      <c r="AJ20" s="874"/>
      <c r="AK20" s="874"/>
      <c r="AL20" s="874"/>
      <c r="AM20" s="874"/>
      <c r="AN20" s="874"/>
      <c r="AO20" s="874"/>
      <c r="AP20" s="874"/>
      <c r="AQ20" s="874">
        <f>SUM(AZ20:BB20)</f>
        <v>0</v>
      </c>
      <c r="AR20" s="874"/>
      <c r="AS20" s="874"/>
      <c r="AT20" s="874"/>
      <c r="AU20" s="874"/>
      <c r="AV20" s="874"/>
      <c r="AW20" s="874"/>
      <c r="AX20" s="874">
        <f>AW98/12*6*AX13</f>
        <v>0</v>
      </c>
      <c r="AY20" s="874"/>
      <c r="AZ20" s="874"/>
      <c r="BA20" s="874"/>
      <c r="BB20" s="874"/>
      <c r="BC20" s="874">
        <f>SUM(BL20:BN20)</f>
        <v>0</v>
      </c>
      <c r="BD20" s="874"/>
      <c r="BE20" s="874"/>
      <c r="BF20" s="874"/>
      <c r="BG20" s="874"/>
      <c r="BH20" s="874"/>
      <c r="BI20" s="874"/>
      <c r="BJ20" s="874">
        <f>BI98/12*6*BJ13</f>
        <v>0</v>
      </c>
      <c r="BK20" s="874"/>
      <c r="BL20" s="874"/>
      <c r="BM20" s="874">
        <f>BC100/12*3*BM13</f>
        <v>0</v>
      </c>
      <c r="BN20" s="874">
        <f>BC100/12*9*BN13*BM13</f>
        <v>0</v>
      </c>
      <c r="BO20" s="873"/>
      <c r="BP20" s="873"/>
      <c r="BQ20" s="874"/>
      <c r="BR20" s="874"/>
      <c r="BS20" s="874"/>
      <c r="BT20" s="874"/>
      <c r="BU20" s="874"/>
      <c r="BV20" s="874"/>
      <c r="BW20" s="874"/>
      <c r="BX20" s="874"/>
      <c r="BY20" s="874"/>
      <c r="BZ20" s="874"/>
      <c r="CA20" s="874">
        <f>SUM(CJ20:CL20)</f>
        <v>0</v>
      </c>
      <c r="CB20" s="874"/>
      <c r="CC20" s="874"/>
      <c r="CD20" s="874"/>
      <c r="CE20" s="874"/>
      <c r="CF20" s="874"/>
      <c r="CG20" s="874"/>
      <c r="CH20" s="874">
        <f>CG98/12*6*CH13</f>
        <v>0</v>
      </c>
      <c r="CI20" s="874"/>
      <c r="CJ20" s="874"/>
      <c r="CK20" s="874"/>
      <c r="CL20" s="874"/>
      <c r="CM20" s="874">
        <f>SUM(CV20:CX20)</f>
        <v>0</v>
      </c>
      <c r="CN20" s="874"/>
      <c r="CO20" s="874"/>
      <c r="CP20" s="874"/>
      <c r="CQ20" s="874"/>
      <c r="CR20" s="874"/>
      <c r="CS20" s="874"/>
      <c r="CT20" s="874">
        <f>CS98/12*6*CT13</f>
        <v>0</v>
      </c>
      <c r="CU20" s="874"/>
      <c r="CV20" s="874"/>
      <c r="CW20" s="874"/>
      <c r="CX20" s="874"/>
    </row>
    <row r="21" spans="2:102" ht="21" hidden="1" customHeight="1" outlineLevel="1" thickTop="1">
      <c r="B21" s="870" t="s">
        <v>121</v>
      </c>
      <c r="C21" s="871" t="s">
        <v>1137</v>
      </c>
      <c r="D21" s="872" t="s">
        <v>1128</v>
      </c>
      <c r="E21" s="869"/>
      <c r="F21" s="869"/>
      <c r="G21" s="869"/>
      <c r="H21" s="877"/>
      <c r="I21" s="877"/>
      <c r="J21" s="877"/>
      <c r="K21" s="877"/>
      <c r="L21" s="877"/>
      <c r="M21" s="877"/>
      <c r="N21" s="877"/>
      <c r="O21" s="877"/>
      <c r="P21" s="877"/>
      <c r="Q21" s="877"/>
      <c r="R21" s="877"/>
      <c r="S21" s="877"/>
      <c r="T21" s="877"/>
      <c r="U21" s="869"/>
      <c r="V21" s="877"/>
      <c r="W21" s="877"/>
      <c r="X21" s="877"/>
      <c r="Y21" s="877"/>
      <c r="Z21" s="877"/>
      <c r="AA21" s="877"/>
      <c r="AB21" s="877"/>
      <c r="AC21" s="877"/>
      <c r="AD21" s="877"/>
      <c r="AE21" s="869"/>
      <c r="AF21" s="869"/>
      <c r="AG21" s="877"/>
      <c r="AH21" s="877"/>
      <c r="AI21" s="877"/>
      <c r="AJ21" s="877"/>
      <c r="AK21" s="877"/>
      <c r="AL21" s="877"/>
      <c r="AM21" s="877"/>
      <c r="AN21" s="877"/>
      <c r="AO21" s="877"/>
      <c r="AP21" s="877"/>
      <c r="AQ21" s="878"/>
      <c r="AR21" s="877"/>
      <c r="AS21" s="877"/>
      <c r="AT21" s="877"/>
      <c r="AU21" s="877"/>
      <c r="AV21" s="879"/>
      <c r="AW21" s="879"/>
      <c r="AX21" s="877"/>
      <c r="AY21" s="877"/>
      <c r="AZ21" s="877"/>
      <c r="BA21" s="877"/>
      <c r="BB21" s="877"/>
      <c r="BC21" s="878"/>
      <c r="BD21" s="877"/>
      <c r="BE21" s="877"/>
      <c r="BF21" s="877"/>
      <c r="BG21" s="877"/>
      <c r="BH21" s="879"/>
      <c r="BI21" s="879"/>
      <c r="BJ21" s="877"/>
      <c r="BK21" s="877"/>
      <c r="BL21" s="877"/>
      <c r="BM21" s="877"/>
      <c r="BN21" s="877"/>
      <c r="BO21" s="869"/>
      <c r="BP21" s="869"/>
      <c r="BQ21" s="877"/>
      <c r="BR21" s="877"/>
      <c r="BS21" s="877"/>
      <c r="BT21" s="877"/>
      <c r="BU21" s="877"/>
      <c r="BV21" s="877"/>
      <c r="BW21" s="877"/>
      <c r="BX21" s="877"/>
      <c r="BY21" s="877"/>
      <c r="BZ21" s="877"/>
      <c r="CA21" s="878"/>
      <c r="CB21" s="877"/>
      <c r="CC21" s="877"/>
      <c r="CD21" s="877"/>
      <c r="CE21" s="877"/>
      <c r="CF21" s="879"/>
      <c r="CG21" s="879"/>
      <c r="CH21" s="877"/>
      <c r="CI21" s="877"/>
      <c r="CJ21" s="877"/>
      <c r="CK21" s="877"/>
      <c r="CL21" s="877"/>
      <c r="CM21" s="878"/>
      <c r="CN21" s="877"/>
      <c r="CO21" s="877"/>
      <c r="CP21" s="877"/>
      <c r="CQ21" s="877"/>
      <c r="CR21" s="879"/>
      <c r="CS21" s="879"/>
      <c r="CT21" s="877"/>
      <c r="CU21" s="877"/>
      <c r="CV21" s="877"/>
      <c r="CW21" s="877"/>
      <c r="CX21" s="877"/>
    </row>
    <row r="22" spans="2:102" ht="32.25" customHeight="1" collapsed="1" thickTop="1">
      <c r="B22" s="870" t="s">
        <v>122</v>
      </c>
      <c r="C22" s="871" t="s">
        <v>1138</v>
      </c>
      <c r="D22" s="872" t="s">
        <v>1128</v>
      </c>
      <c r="E22" s="869">
        <f>F22+AE22</f>
        <v>0</v>
      </c>
      <c r="F22" s="869">
        <f t="shared" ref="F22:F35" si="18">G22+U22</f>
        <v>0</v>
      </c>
      <c r="G22" s="869"/>
      <c r="H22" s="877"/>
      <c r="I22" s="877"/>
      <c r="J22" s="877"/>
      <c r="K22" s="877"/>
      <c r="L22" s="877"/>
      <c r="M22" s="877"/>
      <c r="N22" s="877"/>
      <c r="O22" s="877"/>
      <c r="P22" s="877"/>
      <c r="Q22" s="877"/>
      <c r="R22" s="877"/>
      <c r="S22" s="877"/>
      <c r="T22" s="877"/>
      <c r="U22" s="869">
        <f t="shared" ref="U22:Z22" si="19">SUM(U23:U30)</f>
        <v>0</v>
      </c>
      <c r="V22" s="877">
        <f t="shared" si="19"/>
        <v>0</v>
      </c>
      <c r="W22" s="877">
        <f t="shared" si="19"/>
        <v>0</v>
      </c>
      <c r="X22" s="877">
        <f t="shared" si="19"/>
        <v>0</v>
      </c>
      <c r="Y22" s="877">
        <f t="shared" si="19"/>
        <v>0</v>
      </c>
      <c r="Z22" s="877">
        <f t="shared" si="19"/>
        <v>0</v>
      </c>
      <c r="AA22" s="877"/>
      <c r="AB22" s="877"/>
      <c r="AC22" s="877"/>
      <c r="AD22" s="877"/>
      <c r="AE22" s="869">
        <f>AF22+AQ22</f>
        <v>0</v>
      </c>
      <c r="AF22" s="869">
        <f>SUM(AF23:AF30)</f>
        <v>0</v>
      </c>
      <c r="AG22" s="877">
        <f t="shared" ref="AG22:AN22" si="20">SUM(AG23:AG30)</f>
        <v>0</v>
      </c>
      <c r="AH22" s="877">
        <f t="shared" si="20"/>
        <v>0</v>
      </c>
      <c r="AI22" s="877">
        <f>SUM(AI23:AI30)</f>
        <v>0</v>
      </c>
      <c r="AJ22" s="877">
        <f>SUM(AJ23:AJ30)</f>
        <v>0</v>
      </c>
      <c r="AK22" s="877">
        <f t="shared" si="20"/>
        <v>0</v>
      </c>
      <c r="AL22" s="877">
        <f t="shared" si="20"/>
        <v>0</v>
      </c>
      <c r="AM22" s="877">
        <f t="shared" si="20"/>
        <v>0</v>
      </c>
      <c r="AN22" s="877">
        <f t="shared" si="20"/>
        <v>0</v>
      </c>
      <c r="AO22" s="877"/>
      <c r="AP22" s="877"/>
      <c r="AQ22" s="869">
        <f t="shared" ref="AQ22:BN22" si="21">SUM(AQ23:AQ30)</f>
        <v>0</v>
      </c>
      <c r="AR22" s="877">
        <f t="shared" si="21"/>
        <v>0</v>
      </c>
      <c r="AS22" s="877">
        <f t="shared" si="21"/>
        <v>0</v>
      </c>
      <c r="AT22" s="877">
        <f t="shared" si="21"/>
        <v>0</v>
      </c>
      <c r="AU22" s="877">
        <f t="shared" si="21"/>
        <v>0</v>
      </c>
      <c r="AV22" s="877">
        <f t="shared" si="21"/>
        <v>0</v>
      </c>
      <c r="AW22" s="877">
        <f t="shared" si="21"/>
        <v>0</v>
      </c>
      <c r="AX22" s="877">
        <f t="shared" si="21"/>
        <v>0</v>
      </c>
      <c r="AY22" s="877">
        <f t="shared" si="21"/>
        <v>0</v>
      </c>
      <c r="AZ22" s="877">
        <f t="shared" si="21"/>
        <v>0</v>
      </c>
      <c r="BA22" s="877">
        <f t="shared" si="21"/>
        <v>0</v>
      </c>
      <c r="BB22" s="877">
        <f t="shared" si="21"/>
        <v>0</v>
      </c>
      <c r="BC22" s="869">
        <f t="shared" si="21"/>
        <v>0</v>
      </c>
      <c r="BD22" s="877">
        <f t="shared" si="21"/>
        <v>0</v>
      </c>
      <c r="BE22" s="877">
        <f t="shared" si="21"/>
        <v>0</v>
      </c>
      <c r="BF22" s="877">
        <f t="shared" si="21"/>
        <v>0</v>
      </c>
      <c r="BG22" s="877">
        <f t="shared" si="21"/>
        <v>0</v>
      </c>
      <c r="BH22" s="877">
        <f t="shared" si="21"/>
        <v>0</v>
      </c>
      <c r="BI22" s="877">
        <f t="shared" si="21"/>
        <v>0</v>
      </c>
      <c r="BJ22" s="877">
        <f t="shared" si="21"/>
        <v>0</v>
      </c>
      <c r="BK22" s="877">
        <f t="shared" si="21"/>
        <v>0</v>
      </c>
      <c r="BL22" s="877">
        <f t="shared" si="21"/>
        <v>0</v>
      </c>
      <c r="BM22" s="877">
        <f t="shared" si="21"/>
        <v>0</v>
      </c>
      <c r="BN22" s="877">
        <f t="shared" si="21"/>
        <v>0</v>
      </c>
      <c r="BO22" s="869"/>
      <c r="BP22" s="869">
        <f t="shared" ref="BP22:BX22" si="22">SUM(BP23:BP30)</f>
        <v>0</v>
      </c>
      <c r="BQ22" s="877">
        <f t="shared" si="22"/>
        <v>0</v>
      </c>
      <c r="BR22" s="877">
        <f t="shared" si="22"/>
        <v>0</v>
      </c>
      <c r="BS22" s="877">
        <f t="shared" si="22"/>
        <v>0</v>
      </c>
      <c r="BT22" s="877">
        <f t="shared" si="22"/>
        <v>0</v>
      </c>
      <c r="BU22" s="877">
        <f t="shared" si="22"/>
        <v>0</v>
      </c>
      <c r="BV22" s="877">
        <f t="shared" si="22"/>
        <v>0</v>
      </c>
      <c r="BW22" s="877">
        <f t="shared" si="22"/>
        <v>0</v>
      </c>
      <c r="BX22" s="877">
        <f t="shared" si="22"/>
        <v>0</v>
      </c>
      <c r="BY22" s="877"/>
      <c r="BZ22" s="877"/>
      <c r="CA22" s="869">
        <f t="shared" ref="CA22:CX22" si="23">SUM(CA23:CA30)</f>
        <v>0</v>
      </c>
      <c r="CB22" s="877">
        <f t="shared" si="23"/>
        <v>0</v>
      </c>
      <c r="CC22" s="877">
        <f t="shared" si="23"/>
        <v>0</v>
      </c>
      <c r="CD22" s="877">
        <f t="shared" si="23"/>
        <v>0</v>
      </c>
      <c r="CE22" s="877">
        <f t="shared" si="23"/>
        <v>0</v>
      </c>
      <c r="CF22" s="877">
        <f t="shared" si="23"/>
        <v>0</v>
      </c>
      <c r="CG22" s="877">
        <f t="shared" si="23"/>
        <v>0</v>
      </c>
      <c r="CH22" s="877">
        <f t="shared" si="23"/>
        <v>0</v>
      </c>
      <c r="CI22" s="877">
        <f t="shared" si="23"/>
        <v>0</v>
      </c>
      <c r="CJ22" s="877">
        <f t="shared" si="23"/>
        <v>0</v>
      </c>
      <c r="CK22" s="877">
        <f t="shared" si="23"/>
        <v>0</v>
      </c>
      <c r="CL22" s="877">
        <f t="shared" si="23"/>
        <v>0</v>
      </c>
      <c r="CM22" s="869">
        <f t="shared" si="23"/>
        <v>0</v>
      </c>
      <c r="CN22" s="877">
        <f t="shared" si="23"/>
        <v>0</v>
      </c>
      <c r="CO22" s="877">
        <f t="shared" si="23"/>
        <v>0</v>
      </c>
      <c r="CP22" s="877">
        <f t="shared" si="23"/>
        <v>0</v>
      </c>
      <c r="CQ22" s="877">
        <f t="shared" si="23"/>
        <v>0</v>
      </c>
      <c r="CR22" s="877">
        <f t="shared" si="23"/>
        <v>0</v>
      </c>
      <c r="CS22" s="877">
        <f t="shared" si="23"/>
        <v>0</v>
      </c>
      <c r="CT22" s="877">
        <f t="shared" si="23"/>
        <v>0</v>
      </c>
      <c r="CU22" s="877">
        <f t="shared" si="23"/>
        <v>0</v>
      </c>
      <c r="CV22" s="877">
        <f t="shared" si="23"/>
        <v>0</v>
      </c>
      <c r="CW22" s="877">
        <f t="shared" si="23"/>
        <v>0</v>
      </c>
      <c r="CX22" s="877">
        <f t="shared" si="23"/>
        <v>0</v>
      </c>
    </row>
    <row r="23" spans="2:102" ht="26.25" customHeight="1">
      <c r="B23" s="870" t="s">
        <v>1139</v>
      </c>
      <c r="C23" s="880" t="s">
        <v>1140</v>
      </c>
      <c r="D23" s="872" t="s">
        <v>1128</v>
      </c>
      <c r="E23" s="881">
        <f t="shared" ref="E23:E30" si="24">SUM(F23,AE23)</f>
        <v>0</v>
      </c>
      <c r="F23" s="869">
        <f t="shared" si="18"/>
        <v>0</v>
      </c>
      <c r="G23" s="869"/>
      <c r="H23" s="877"/>
      <c r="I23" s="877"/>
      <c r="J23" s="877"/>
      <c r="K23" s="877"/>
      <c r="L23" s="877"/>
      <c r="M23" s="877"/>
      <c r="N23" s="877"/>
      <c r="O23" s="877"/>
      <c r="P23" s="877"/>
      <c r="Q23" s="877"/>
      <c r="R23" s="877"/>
      <c r="S23" s="877"/>
      <c r="T23" s="877"/>
      <c r="U23" s="869">
        <f>SUM(AA23:AC23)</f>
        <v>0</v>
      </c>
      <c r="V23" s="877">
        <f t="shared" ref="V23:AA23" si="25">V20*0.2%</f>
        <v>0</v>
      </c>
      <c r="W23" s="877">
        <f t="shared" si="25"/>
        <v>0</v>
      </c>
      <c r="X23" s="877">
        <f t="shared" si="25"/>
        <v>0</v>
      </c>
      <c r="Y23" s="877">
        <f t="shared" si="25"/>
        <v>0</v>
      </c>
      <c r="Z23" s="877">
        <f t="shared" si="25"/>
        <v>0</v>
      </c>
      <c r="AA23" s="877">
        <f t="shared" si="25"/>
        <v>0</v>
      </c>
      <c r="AB23" s="877"/>
      <c r="AC23" s="877"/>
      <c r="AD23" s="877"/>
      <c r="AE23" s="869">
        <f>AF23+AQ23</f>
        <v>0</v>
      </c>
      <c r="AF23" s="869">
        <f>SUM(AL23:AO23)</f>
        <v>0</v>
      </c>
      <c r="AG23" s="877"/>
      <c r="AH23" s="877">
        <f t="shared" ref="AH23:AM23" si="26">AH20*0.2%</f>
        <v>0</v>
      </c>
      <c r="AI23" s="877">
        <f t="shared" si="26"/>
        <v>0</v>
      </c>
      <c r="AJ23" s="877">
        <f t="shared" si="26"/>
        <v>0</v>
      </c>
      <c r="AK23" s="877">
        <f t="shared" si="26"/>
        <v>0</v>
      </c>
      <c r="AL23" s="877">
        <f t="shared" si="26"/>
        <v>0</v>
      </c>
      <c r="AM23" s="877">
        <f t="shared" si="26"/>
        <v>0</v>
      </c>
      <c r="AN23" s="877"/>
      <c r="AO23" s="877"/>
      <c r="AP23" s="877"/>
      <c r="AQ23" s="878">
        <f>SUM(AW23:AZ23)</f>
        <v>0</v>
      </c>
      <c r="AR23" s="877">
        <f t="shared" ref="AR23:AW23" si="27">AR20*0.2%</f>
        <v>0</v>
      </c>
      <c r="AS23" s="877">
        <f t="shared" si="27"/>
        <v>0</v>
      </c>
      <c r="AT23" s="877">
        <f t="shared" si="27"/>
        <v>0</v>
      </c>
      <c r="AU23" s="877">
        <f t="shared" si="27"/>
        <v>0</v>
      </c>
      <c r="AV23" s="879">
        <f t="shared" si="27"/>
        <v>0</v>
      </c>
      <c r="AW23" s="879">
        <f t="shared" si="27"/>
        <v>0</v>
      </c>
      <c r="AX23" s="877">
        <f>AX20*0.2%</f>
        <v>0</v>
      </c>
      <c r="AY23" s="877"/>
      <c r="AZ23" s="877"/>
      <c r="BA23" s="877"/>
      <c r="BB23" s="877"/>
      <c r="BC23" s="878">
        <f>SUM(BI23:BL23)</f>
        <v>0</v>
      </c>
      <c r="BD23" s="877">
        <f t="shared" ref="BD23:BI23" si="28">BD20*0.2%</f>
        <v>0</v>
      </c>
      <c r="BE23" s="877">
        <f t="shared" si="28"/>
        <v>0</v>
      </c>
      <c r="BF23" s="877">
        <f t="shared" si="28"/>
        <v>0</v>
      </c>
      <c r="BG23" s="877">
        <f t="shared" si="28"/>
        <v>0</v>
      </c>
      <c r="BH23" s="879">
        <f t="shared" si="28"/>
        <v>0</v>
      </c>
      <c r="BI23" s="879">
        <f t="shared" si="28"/>
        <v>0</v>
      </c>
      <c r="BJ23" s="877">
        <f>BJ20*0.2%</f>
        <v>0</v>
      </c>
      <c r="BK23" s="877"/>
      <c r="BL23" s="877"/>
      <c r="BM23" s="877"/>
      <c r="BN23" s="877"/>
      <c r="BO23" s="869"/>
      <c r="BP23" s="869">
        <f>SUM(BV23:BY23)</f>
        <v>0</v>
      </c>
      <c r="BQ23" s="877"/>
      <c r="BR23" s="877">
        <f t="shared" ref="BR23:BW23" si="29">BR20*0.2%</f>
        <v>0</v>
      </c>
      <c r="BS23" s="877">
        <f t="shared" si="29"/>
        <v>0</v>
      </c>
      <c r="BT23" s="877">
        <f t="shared" si="29"/>
        <v>0</v>
      </c>
      <c r="BU23" s="877">
        <f t="shared" si="29"/>
        <v>0</v>
      </c>
      <c r="BV23" s="877">
        <f t="shared" si="29"/>
        <v>0</v>
      </c>
      <c r="BW23" s="877">
        <f t="shared" si="29"/>
        <v>0</v>
      </c>
      <c r="BX23" s="877"/>
      <c r="BY23" s="877"/>
      <c r="BZ23" s="877"/>
      <c r="CA23" s="878">
        <f>SUM(CG23:CJ23)</f>
        <v>0</v>
      </c>
      <c r="CB23" s="877">
        <f t="shared" ref="CB23:CG23" si="30">CB20*0.2%</f>
        <v>0</v>
      </c>
      <c r="CC23" s="877">
        <f t="shared" si="30"/>
        <v>0</v>
      </c>
      <c r="CD23" s="877">
        <f t="shared" si="30"/>
        <v>0</v>
      </c>
      <c r="CE23" s="877">
        <f t="shared" si="30"/>
        <v>0</v>
      </c>
      <c r="CF23" s="879">
        <f t="shared" si="30"/>
        <v>0</v>
      </c>
      <c r="CG23" s="879">
        <f t="shared" si="30"/>
        <v>0</v>
      </c>
      <c r="CH23" s="877">
        <f>CH20*0.2%</f>
        <v>0</v>
      </c>
      <c r="CI23" s="877"/>
      <c r="CJ23" s="877"/>
      <c r="CK23" s="877"/>
      <c r="CL23" s="877"/>
      <c r="CM23" s="878">
        <f>SUM(CS23:CV23)</f>
        <v>0</v>
      </c>
      <c r="CN23" s="877">
        <f t="shared" ref="CN23:CS23" si="31">CN20*0.2%</f>
        <v>0</v>
      </c>
      <c r="CO23" s="877">
        <f t="shared" si="31"/>
        <v>0</v>
      </c>
      <c r="CP23" s="877">
        <f t="shared" si="31"/>
        <v>0</v>
      </c>
      <c r="CQ23" s="877">
        <f t="shared" si="31"/>
        <v>0</v>
      </c>
      <c r="CR23" s="879">
        <f t="shared" si="31"/>
        <v>0</v>
      </c>
      <c r="CS23" s="879">
        <f t="shared" si="31"/>
        <v>0</v>
      </c>
      <c r="CT23" s="877">
        <f>CT20*0.2%</f>
        <v>0</v>
      </c>
      <c r="CU23" s="877"/>
      <c r="CV23" s="877"/>
      <c r="CW23" s="877"/>
      <c r="CX23" s="877"/>
    </row>
    <row r="24" spans="2:102" ht="46.5" customHeight="1">
      <c r="B24" s="870" t="s">
        <v>1141</v>
      </c>
      <c r="C24" s="880" t="s">
        <v>1142</v>
      </c>
      <c r="D24" s="872" t="s">
        <v>1128</v>
      </c>
      <c r="E24" s="881">
        <f t="shared" si="24"/>
        <v>0</v>
      </c>
      <c r="F24" s="869">
        <f t="shared" si="18"/>
        <v>0</v>
      </c>
      <c r="G24" s="869"/>
      <c r="H24" s="877"/>
      <c r="I24" s="877"/>
      <c r="J24" s="877"/>
      <c r="K24" s="877"/>
      <c r="L24" s="877"/>
      <c r="M24" s="877"/>
      <c r="N24" s="877"/>
      <c r="O24" s="877"/>
      <c r="P24" s="877"/>
      <c r="Q24" s="877"/>
      <c r="R24" s="877"/>
      <c r="S24" s="877"/>
      <c r="T24" s="877"/>
      <c r="U24" s="869">
        <f>SUM(AA24:AC24)</f>
        <v>0</v>
      </c>
      <c r="V24" s="877">
        <f t="shared" ref="V24:AA24" si="32">V41*2.3%</f>
        <v>0</v>
      </c>
      <c r="W24" s="877">
        <f t="shared" si="32"/>
        <v>0</v>
      </c>
      <c r="X24" s="877">
        <f t="shared" si="32"/>
        <v>0</v>
      </c>
      <c r="Y24" s="877">
        <f t="shared" si="32"/>
        <v>0</v>
      </c>
      <c r="Z24" s="877">
        <f t="shared" si="32"/>
        <v>0</v>
      </c>
      <c r="AA24" s="877">
        <f t="shared" si="32"/>
        <v>0</v>
      </c>
      <c r="AB24" s="877"/>
      <c r="AC24" s="877"/>
      <c r="AD24" s="877"/>
      <c r="AE24" s="869"/>
      <c r="AF24" s="869">
        <f>SUM(AL24:AO24)</f>
        <v>0</v>
      </c>
      <c r="AG24" s="877"/>
      <c r="AH24" s="877">
        <f t="shared" ref="AH24:AN24" si="33">AH41*2.5%</f>
        <v>0</v>
      </c>
      <c r="AI24" s="877">
        <f t="shared" si="33"/>
        <v>0</v>
      </c>
      <c r="AJ24" s="877">
        <f t="shared" si="33"/>
        <v>0</v>
      </c>
      <c r="AK24" s="877">
        <f t="shared" si="33"/>
        <v>0</v>
      </c>
      <c r="AL24" s="877">
        <f t="shared" si="33"/>
        <v>0</v>
      </c>
      <c r="AM24" s="877">
        <f t="shared" si="33"/>
        <v>0</v>
      </c>
      <c r="AN24" s="877">
        <f t="shared" si="33"/>
        <v>0</v>
      </c>
      <c r="AO24" s="877"/>
      <c r="AP24" s="877"/>
      <c r="AQ24" s="878">
        <f>SUM(AW24:AZ24)</f>
        <v>0</v>
      </c>
      <c r="AR24" s="877">
        <f t="shared" ref="AR24:AX24" si="34">AR41*2.5%</f>
        <v>0</v>
      </c>
      <c r="AS24" s="877">
        <f t="shared" si="34"/>
        <v>0</v>
      </c>
      <c r="AT24" s="877">
        <f t="shared" si="34"/>
        <v>0</v>
      </c>
      <c r="AU24" s="877">
        <f t="shared" si="34"/>
        <v>0</v>
      </c>
      <c r="AV24" s="879">
        <f t="shared" si="34"/>
        <v>0</v>
      </c>
      <c r="AW24" s="879">
        <f t="shared" si="34"/>
        <v>0</v>
      </c>
      <c r="AX24" s="877">
        <f t="shared" si="34"/>
        <v>0</v>
      </c>
      <c r="AY24" s="877">
        <f>AY41*2.3%</f>
        <v>0</v>
      </c>
      <c r="AZ24" s="877"/>
      <c r="BA24" s="877"/>
      <c r="BB24" s="877"/>
      <c r="BC24" s="878">
        <f>SUM(BI24:BL24)</f>
        <v>0</v>
      </c>
      <c r="BD24" s="877">
        <f t="shared" ref="BD24:BJ24" si="35">BD41*2.5%</f>
        <v>0</v>
      </c>
      <c r="BE24" s="877">
        <f t="shared" si="35"/>
        <v>0</v>
      </c>
      <c r="BF24" s="877">
        <f t="shared" si="35"/>
        <v>0</v>
      </c>
      <c r="BG24" s="877">
        <f t="shared" si="35"/>
        <v>0</v>
      </c>
      <c r="BH24" s="879">
        <f t="shared" si="35"/>
        <v>0</v>
      </c>
      <c r="BI24" s="879">
        <f t="shared" si="35"/>
        <v>0</v>
      </c>
      <c r="BJ24" s="877">
        <f t="shared" si="35"/>
        <v>0</v>
      </c>
      <c r="BK24" s="877">
        <f>BK41*2.3%</f>
        <v>0</v>
      </c>
      <c r="BL24" s="877"/>
      <c r="BM24" s="877"/>
      <c r="BN24" s="877"/>
      <c r="BO24" s="869"/>
      <c r="BP24" s="869">
        <f>SUM(BV24:BY24)</f>
        <v>0</v>
      </c>
      <c r="BQ24" s="877"/>
      <c r="BR24" s="877">
        <f t="shared" ref="BR24:BX24" si="36">BR41*2.5%</f>
        <v>0</v>
      </c>
      <c r="BS24" s="877">
        <f t="shared" si="36"/>
        <v>0</v>
      </c>
      <c r="BT24" s="877">
        <f t="shared" si="36"/>
        <v>0</v>
      </c>
      <c r="BU24" s="877">
        <f t="shared" si="36"/>
        <v>0</v>
      </c>
      <c r="BV24" s="877">
        <f t="shared" si="36"/>
        <v>0</v>
      </c>
      <c r="BW24" s="877">
        <f t="shared" si="36"/>
        <v>0</v>
      </c>
      <c r="BX24" s="877">
        <f t="shared" si="36"/>
        <v>0</v>
      </c>
      <c r="BY24" s="877"/>
      <c r="BZ24" s="877"/>
      <c r="CA24" s="878">
        <f>SUM(CG24:CJ24)</f>
        <v>0</v>
      </c>
      <c r="CB24" s="877">
        <f t="shared" ref="CB24:CH24" si="37">CB41*2.5%</f>
        <v>0</v>
      </c>
      <c r="CC24" s="877">
        <f t="shared" si="37"/>
        <v>0</v>
      </c>
      <c r="CD24" s="877">
        <f t="shared" si="37"/>
        <v>0</v>
      </c>
      <c r="CE24" s="877">
        <f t="shared" si="37"/>
        <v>0</v>
      </c>
      <c r="CF24" s="879">
        <f t="shared" si="37"/>
        <v>0</v>
      </c>
      <c r="CG24" s="879">
        <f t="shared" si="37"/>
        <v>0</v>
      </c>
      <c r="CH24" s="877">
        <f t="shared" si="37"/>
        <v>0</v>
      </c>
      <c r="CI24" s="877">
        <f>CI41*2.3%</f>
        <v>0</v>
      </c>
      <c r="CJ24" s="877"/>
      <c r="CK24" s="877"/>
      <c r="CL24" s="877"/>
      <c r="CM24" s="878">
        <f>SUM(CS24:CV24)</f>
        <v>0</v>
      </c>
      <c r="CN24" s="877">
        <f t="shared" ref="CN24:CT24" si="38">CN41*2.5%</f>
        <v>0</v>
      </c>
      <c r="CO24" s="877">
        <f t="shared" si="38"/>
        <v>0</v>
      </c>
      <c r="CP24" s="877">
        <f t="shared" si="38"/>
        <v>0</v>
      </c>
      <c r="CQ24" s="877">
        <f t="shared" si="38"/>
        <v>0</v>
      </c>
      <c r="CR24" s="879">
        <f t="shared" si="38"/>
        <v>0</v>
      </c>
      <c r="CS24" s="879">
        <f t="shared" si="38"/>
        <v>0</v>
      </c>
      <c r="CT24" s="877">
        <f t="shared" si="38"/>
        <v>0</v>
      </c>
      <c r="CU24" s="877">
        <f>CU41*2.3%</f>
        <v>0</v>
      </c>
      <c r="CV24" s="877"/>
      <c r="CW24" s="877"/>
      <c r="CX24" s="877"/>
    </row>
    <row r="25" spans="2:102" ht="27.75" customHeight="1">
      <c r="B25" s="870" t="s">
        <v>1143</v>
      </c>
      <c r="C25" s="880" t="s">
        <v>1144</v>
      </c>
      <c r="D25" s="872" t="s">
        <v>1128</v>
      </c>
      <c r="E25" s="881">
        <f t="shared" si="24"/>
        <v>0</v>
      </c>
      <c r="F25" s="869">
        <f t="shared" si="18"/>
        <v>0</v>
      </c>
      <c r="G25" s="869"/>
      <c r="H25" s="877"/>
      <c r="I25" s="877"/>
      <c r="J25" s="877"/>
      <c r="K25" s="877"/>
      <c r="L25" s="877"/>
      <c r="M25" s="877"/>
      <c r="N25" s="877"/>
      <c r="O25" s="877"/>
      <c r="P25" s="877"/>
      <c r="Q25" s="877"/>
      <c r="R25" s="877"/>
      <c r="S25" s="877"/>
      <c r="T25" s="877"/>
      <c r="U25" s="869">
        <f>SUM(AA25:AC25)</f>
        <v>0</v>
      </c>
      <c r="V25" s="877">
        <f t="shared" ref="V25:AA25" si="39">V20*2.14%</f>
        <v>0</v>
      </c>
      <c r="W25" s="877">
        <f t="shared" si="39"/>
        <v>0</v>
      </c>
      <c r="X25" s="877">
        <f t="shared" si="39"/>
        <v>0</v>
      </c>
      <c r="Y25" s="877">
        <f t="shared" si="39"/>
        <v>0</v>
      </c>
      <c r="Z25" s="877">
        <f t="shared" si="39"/>
        <v>0</v>
      </c>
      <c r="AA25" s="877">
        <f t="shared" si="39"/>
        <v>0</v>
      </c>
      <c r="AB25" s="877"/>
      <c r="AC25" s="877"/>
      <c r="AD25" s="877"/>
      <c r="AE25" s="869">
        <f t="shared" ref="AE25:AE35" si="40">AF25+AQ25</f>
        <v>0</v>
      </c>
      <c r="AF25" s="869">
        <f>SUM(AL25:AO25)</f>
        <v>0</v>
      </c>
      <c r="AG25" s="877"/>
      <c r="AH25" s="877">
        <f t="shared" ref="AH25:AN25" si="41">AH20*2.14%</f>
        <v>0</v>
      </c>
      <c r="AI25" s="877">
        <f t="shared" si="41"/>
        <v>0</v>
      </c>
      <c r="AJ25" s="877">
        <f t="shared" si="41"/>
        <v>0</v>
      </c>
      <c r="AK25" s="877">
        <f t="shared" si="41"/>
        <v>0</v>
      </c>
      <c r="AL25" s="877">
        <f t="shared" si="41"/>
        <v>0</v>
      </c>
      <c r="AM25" s="877">
        <f t="shared" si="41"/>
        <v>0</v>
      </c>
      <c r="AN25" s="877">
        <f t="shared" si="41"/>
        <v>0</v>
      </c>
      <c r="AO25" s="877"/>
      <c r="AP25" s="877"/>
      <c r="AQ25" s="878">
        <f>SUM(AW25:AZ25)</f>
        <v>0</v>
      </c>
      <c r="AR25" s="877">
        <f t="shared" ref="AR25:AY25" si="42">AR20*2.14%</f>
        <v>0</v>
      </c>
      <c r="AS25" s="877">
        <f t="shared" si="42"/>
        <v>0</v>
      </c>
      <c r="AT25" s="877">
        <f t="shared" si="42"/>
        <v>0</v>
      </c>
      <c r="AU25" s="877">
        <f t="shared" si="42"/>
        <v>0</v>
      </c>
      <c r="AV25" s="879">
        <f t="shared" si="42"/>
        <v>0</v>
      </c>
      <c r="AW25" s="879">
        <f t="shared" si="42"/>
        <v>0</v>
      </c>
      <c r="AX25" s="877">
        <f t="shared" si="42"/>
        <v>0</v>
      </c>
      <c r="AY25" s="877">
        <f t="shared" si="42"/>
        <v>0</v>
      </c>
      <c r="AZ25" s="877"/>
      <c r="BA25" s="877"/>
      <c r="BB25" s="877"/>
      <c r="BC25" s="878">
        <f>SUM(BI25:BL25)</f>
        <v>0</v>
      </c>
      <c r="BD25" s="877">
        <f t="shared" ref="BD25:BK25" si="43">BD20*2.14%</f>
        <v>0</v>
      </c>
      <c r="BE25" s="877">
        <f t="shared" si="43"/>
        <v>0</v>
      </c>
      <c r="BF25" s="877">
        <f t="shared" si="43"/>
        <v>0</v>
      </c>
      <c r="BG25" s="877">
        <f t="shared" si="43"/>
        <v>0</v>
      </c>
      <c r="BH25" s="879">
        <f t="shared" si="43"/>
        <v>0</v>
      </c>
      <c r="BI25" s="879">
        <f t="shared" si="43"/>
        <v>0</v>
      </c>
      <c r="BJ25" s="877">
        <f t="shared" si="43"/>
        <v>0</v>
      </c>
      <c r="BK25" s="877">
        <f t="shared" si="43"/>
        <v>0</v>
      </c>
      <c r="BL25" s="877"/>
      <c r="BM25" s="877"/>
      <c r="BN25" s="877"/>
      <c r="BO25" s="869"/>
      <c r="BP25" s="869">
        <f>SUM(BV25:BY25)</f>
        <v>0</v>
      </c>
      <c r="BQ25" s="877"/>
      <c r="BR25" s="877">
        <f t="shared" ref="BR25:BX25" si="44">BR20*2.14%</f>
        <v>0</v>
      </c>
      <c r="BS25" s="877">
        <f t="shared" si="44"/>
        <v>0</v>
      </c>
      <c r="BT25" s="877">
        <f t="shared" si="44"/>
        <v>0</v>
      </c>
      <c r="BU25" s="877">
        <f t="shared" si="44"/>
        <v>0</v>
      </c>
      <c r="BV25" s="877">
        <f t="shared" si="44"/>
        <v>0</v>
      </c>
      <c r="BW25" s="877">
        <f t="shared" si="44"/>
        <v>0</v>
      </c>
      <c r="BX25" s="877">
        <f t="shared" si="44"/>
        <v>0</v>
      </c>
      <c r="BY25" s="877"/>
      <c r="BZ25" s="877"/>
      <c r="CA25" s="878">
        <f>SUM(CG25:CJ25)</f>
        <v>0</v>
      </c>
      <c r="CB25" s="877">
        <f t="shared" ref="CB25:CI25" si="45">CB20*2.14%</f>
        <v>0</v>
      </c>
      <c r="CC25" s="877">
        <f t="shared" si="45"/>
        <v>0</v>
      </c>
      <c r="CD25" s="877">
        <f t="shared" si="45"/>
        <v>0</v>
      </c>
      <c r="CE25" s="877">
        <f t="shared" si="45"/>
        <v>0</v>
      </c>
      <c r="CF25" s="879">
        <f t="shared" si="45"/>
        <v>0</v>
      </c>
      <c r="CG25" s="879">
        <f t="shared" si="45"/>
        <v>0</v>
      </c>
      <c r="CH25" s="877">
        <f t="shared" si="45"/>
        <v>0</v>
      </c>
      <c r="CI25" s="877">
        <f t="shared" si="45"/>
        <v>0</v>
      </c>
      <c r="CJ25" s="877"/>
      <c r="CK25" s="877"/>
      <c r="CL25" s="877"/>
      <c r="CM25" s="878">
        <f>SUM(CS25:CV25)</f>
        <v>0</v>
      </c>
      <c r="CN25" s="877">
        <f t="shared" ref="CN25:CU25" si="46">CN20*2.14%</f>
        <v>0</v>
      </c>
      <c r="CO25" s="877">
        <f t="shared" si="46"/>
        <v>0</v>
      </c>
      <c r="CP25" s="877">
        <f t="shared" si="46"/>
        <v>0</v>
      </c>
      <c r="CQ25" s="877">
        <f t="shared" si="46"/>
        <v>0</v>
      </c>
      <c r="CR25" s="879">
        <f t="shared" si="46"/>
        <v>0</v>
      </c>
      <c r="CS25" s="879">
        <f t="shared" si="46"/>
        <v>0</v>
      </c>
      <c r="CT25" s="877">
        <f t="shared" si="46"/>
        <v>0</v>
      </c>
      <c r="CU25" s="877">
        <f t="shared" si="46"/>
        <v>0</v>
      </c>
      <c r="CV25" s="877"/>
      <c r="CW25" s="877"/>
      <c r="CX25" s="877"/>
    </row>
    <row r="26" spans="2:102" ht="30" customHeight="1">
      <c r="B26" s="870" t="s">
        <v>1145</v>
      </c>
      <c r="C26" s="880" t="s">
        <v>1146</v>
      </c>
      <c r="D26" s="872" t="s">
        <v>1128</v>
      </c>
      <c r="E26" s="881">
        <f t="shared" si="24"/>
        <v>0</v>
      </c>
      <c r="F26" s="869">
        <f t="shared" si="18"/>
        <v>0</v>
      </c>
      <c r="G26" s="869"/>
      <c r="H26" s="877"/>
      <c r="I26" s="877"/>
      <c r="J26" s="877"/>
      <c r="K26" s="877"/>
      <c r="L26" s="877"/>
      <c r="M26" s="877"/>
      <c r="N26" s="877"/>
      <c r="O26" s="877"/>
      <c r="P26" s="877"/>
      <c r="Q26" s="877"/>
      <c r="R26" s="877"/>
      <c r="S26" s="877"/>
      <c r="T26" s="877"/>
      <c r="U26" s="869">
        <f>SUM(AA26:AC26)</f>
        <v>0</v>
      </c>
      <c r="V26" s="877">
        <f t="shared" ref="V26:Z27" si="47">(V17+V20+V23+V24+V25)*2%</f>
        <v>0</v>
      </c>
      <c r="W26" s="877">
        <f t="shared" si="47"/>
        <v>0</v>
      </c>
      <c r="X26" s="877">
        <f t="shared" si="47"/>
        <v>0</v>
      </c>
      <c r="Y26" s="877">
        <f>(Y17+Y20+Y23+Y24+Y25)*2%</f>
        <v>0</v>
      </c>
      <c r="Z26" s="877">
        <f t="shared" si="47"/>
        <v>0</v>
      </c>
      <c r="AA26" s="877"/>
      <c r="AB26" s="877"/>
      <c r="AC26" s="877"/>
      <c r="AD26" s="877"/>
      <c r="AE26" s="869">
        <f>AF26+AQ26</f>
        <v>0</v>
      </c>
      <c r="AF26" s="869">
        <f>SUM(AL26:AP26)</f>
        <v>0</v>
      </c>
      <c r="AG26" s="877"/>
      <c r="AH26" s="877">
        <f t="shared" ref="AH26:AN27" si="48">(AH17+AH20+AH23+AH24+AH25)*2%</f>
        <v>0</v>
      </c>
      <c r="AI26" s="877">
        <f>(AI17+AI20+AI23+AI24+AI25)*2%</f>
        <v>0</v>
      </c>
      <c r="AJ26" s="877">
        <f t="shared" si="48"/>
        <v>0</v>
      </c>
      <c r="AK26" s="877">
        <f t="shared" si="48"/>
        <v>0</v>
      </c>
      <c r="AL26" s="877">
        <f t="shared" si="48"/>
        <v>0</v>
      </c>
      <c r="AM26" s="877">
        <f t="shared" si="48"/>
        <v>0</v>
      </c>
      <c r="AN26" s="877">
        <f t="shared" si="48"/>
        <v>0</v>
      </c>
      <c r="AO26" s="877"/>
      <c r="AP26" s="877"/>
      <c r="AQ26" s="878"/>
      <c r="AR26" s="877">
        <f t="shared" ref="AR26:AY26" si="49">(AR17+AR20+AR23+AR24+AR25)*2%</f>
        <v>0</v>
      </c>
      <c r="AS26" s="877">
        <f t="shared" si="49"/>
        <v>0</v>
      </c>
      <c r="AT26" s="877">
        <f t="shared" si="49"/>
        <v>0</v>
      </c>
      <c r="AU26" s="877">
        <f t="shared" si="49"/>
        <v>0</v>
      </c>
      <c r="AV26" s="879">
        <f t="shared" si="49"/>
        <v>0</v>
      </c>
      <c r="AW26" s="879">
        <f t="shared" si="49"/>
        <v>0</v>
      </c>
      <c r="AX26" s="877">
        <f t="shared" si="49"/>
        <v>0</v>
      </c>
      <c r="AY26" s="877">
        <f t="shared" si="49"/>
        <v>0</v>
      </c>
      <c r="AZ26" s="877"/>
      <c r="BA26" s="877"/>
      <c r="BB26" s="877"/>
      <c r="BC26" s="878"/>
      <c r="BD26" s="877">
        <f t="shared" ref="BD26:BK26" si="50">(BD17+BD20+BD23+BD24+BD25)*2%</f>
        <v>0</v>
      </c>
      <c r="BE26" s="877">
        <f t="shared" si="50"/>
        <v>0</v>
      </c>
      <c r="BF26" s="877">
        <f t="shared" si="50"/>
        <v>0</v>
      </c>
      <c r="BG26" s="877">
        <f t="shared" si="50"/>
        <v>0</v>
      </c>
      <c r="BH26" s="879">
        <f t="shared" si="50"/>
        <v>0</v>
      </c>
      <c r="BI26" s="879">
        <f t="shared" si="50"/>
        <v>0</v>
      </c>
      <c r="BJ26" s="877">
        <f t="shared" si="50"/>
        <v>0</v>
      </c>
      <c r="BK26" s="877">
        <f t="shared" si="50"/>
        <v>0</v>
      </c>
      <c r="BL26" s="877"/>
      <c r="BM26" s="877"/>
      <c r="BN26" s="877"/>
      <c r="BO26" s="869"/>
      <c r="BP26" s="869">
        <f>SUM(BV26:BZ26)</f>
        <v>0</v>
      </c>
      <c r="BQ26" s="877"/>
      <c r="BR26" s="877">
        <f t="shared" ref="BR26:BX26" si="51">(BR17+BR20+BR23+BR24+BR25)*2%</f>
        <v>0</v>
      </c>
      <c r="BS26" s="877">
        <f t="shared" si="51"/>
        <v>0</v>
      </c>
      <c r="BT26" s="877">
        <f t="shared" si="51"/>
        <v>0</v>
      </c>
      <c r="BU26" s="877">
        <f t="shared" si="51"/>
        <v>0</v>
      </c>
      <c r="BV26" s="877">
        <f t="shared" si="51"/>
        <v>0</v>
      </c>
      <c r="BW26" s="877">
        <f t="shared" si="51"/>
        <v>0</v>
      </c>
      <c r="BX26" s="877">
        <f t="shared" si="51"/>
        <v>0</v>
      </c>
      <c r="BY26" s="877"/>
      <c r="BZ26" s="877"/>
      <c r="CA26" s="878"/>
      <c r="CB26" s="877">
        <f t="shared" ref="CB26:CI26" si="52">(CB17+CB20+CB23+CB24+CB25)*2%</f>
        <v>0</v>
      </c>
      <c r="CC26" s="877">
        <f t="shared" si="52"/>
        <v>0</v>
      </c>
      <c r="CD26" s="877">
        <f t="shared" si="52"/>
        <v>0</v>
      </c>
      <c r="CE26" s="877">
        <f t="shared" si="52"/>
        <v>0</v>
      </c>
      <c r="CF26" s="879">
        <f t="shared" si="52"/>
        <v>0</v>
      </c>
      <c r="CG26" s="879">
        <f t="shared" si="52"/>
        <v>0</v>
      </c>
      <c r="CH26" s="877">
        <f t="shared" si="52"/>
        <v>0</v>
      </c>
      <c r="CI26" s="877">
        <f t="shared" si="52"/>
        <v>0</v>
      </c>
      <c r="CJ26" s="877"/>
      <c r="CK26" s="877"/>
      <c r="CL26" s="877"/>
      <c r="CM26" s="878"/>
      <c r="CN26" s="877">
        <f t="shared" ref="CN26:CU26" si="53">(CN17+CN20+CN23+CN24+CN25)*2%</f>
        <v>0</v>
      </c>
      <c r="CO26" s="877">
        <f t="shared" si="53"/>
        <v>0</v>
      </c>
      <c r="CP26" s="877">
        <f t="shared" si="53"/>
        <v>0</v>
      </c>
      <c r="CQ26" s="877">
        <f t="shared" si="53"/>
        <v>0</v>
      </c>
      <c r="CR26" s="879">
        <f t="shared" si="53"/>
        <v>0</v>
      </c>
      <c r="CS26" s="879">
        <f t="shared" si="53"/>
        <v>0</v>
      </c>
      <c r="CT26" s="877">
        <f t="shared" si="53"/>
        <v>0</v>
      </c>
      <c r="CU26" s="877">
        <f t="shared" si="53"/>
        <v>0</v>
      </c>
      <c r="CV26" s="877"/>
      <c r="CW26" s="877"/>
      <c r="CX26" s="877"/>
    </row>
    <row r="27" spans="2:102" ht="41.25" hidden="1" customHeight="1" outlineLevel="1" thickBot="1">
      <c r="B27" s="870" t="s">
        <v>1147</v>
      </c>
      <c r="C27" s="882" t="s">
        <v>1148</v>
      </c>
      <c r="D27" s="872" t="s">
        <v>1128</v>
      </c>
      <c r="E27" s="881">
        <f t="shared" si="24"/>
        <v>0</v>
      </c>
      <c r="F27" s="869">
        <f t="shared" si="18"/>
        <v>0</v>
      </c>
      <c r="G27" s="869">
        <f>SUM(M27:O27)</f>
        <v>0</v>
      </c>
      <c r="H27" s="877"/>
      <c r="I27" s="877"/>
      <c r="J27" s="877"/>
      <c r="K27" s="877"/>
      <c r="L27" s="877"/>
      <c r="M27" s="877"/>
      <c r="N27" s="877"/>
      <c r="O27" s="877"/>
      <c r="P27" s="877"/>
      <c r="Q27" s="877"/>
      <c r="R27" s="877"/>
      <c r="S27" s="877"/>
      <c r="T27" s="877"/>
      <c r="U27" s="869">
        <f>SUM(AA27:AB27)</f>
        <v>0</v>
      </c>
      <c r="V27" s="877">
        <f t="shared" si="47"/>
        <v>0</v>
      </c>
      <c r="W27" s="877">
        <f t="shared" si="47"/>
        <v>0</v>
      </c>
      <c r="X27" s="877"/>
      <c r="Y27" s="877"/>
      <c r="Z27" s="877"/>
      <c r="AA27" s="877"/>
      <c r="AB27" s="877"/>
      <c r="AC27" s="877"/>
      <c r="AD27" s="877"/>
      <c r="AE27" s="869">
        <f>AF27+AQ27</f>
        <v>0</v>
      </c>
      <c r="AF27" s="869">
        <f>SUM(AL27:AN27)</f>
        <v>0</v>
      </c>
      <c r="AG27" s="877"/>
      <c r="AH27" s="877">
        <f t="shared" si="48"/>
        <v>0</v>
      </c>
      <c r="AI27" s="877"/>
      <c r="AJ27" s="877"/>
      <c r="AK27" s="877"/>
      <c r="AL27" s="877"/>
      <c r="AM27" s="877"/>
      <c r="AN27" s="877"/>
      <c r="AO27" s="877"/>
      <c r="AP27" s="877"/>
      <c r="AQ27" s="878">
        <f>SUM(AW27:AY27)</f>
        <v>0</v>
      </c>
      <c r="AR27" s="883"/>
      <c r="AS27" s="883"/>
      <c r="AT27" s="883"/>
      <c r="AU27" s="883"/>
      <c r="AV27" s="884"/>
      <c r="AW27" s="885"/>
      <c r="AX27" s="877"/>
      <c r="AY27" s="877"/>
      <c r="AZ27" s="877"/>
      <c r="BA27" s="877"/>
      <c r="BB27" s="877"/>
      <c r="BC27" s="878">
        <f>SUM(BI27:BK27)</f>
        <v>0</v>
      </c>
      <c r="BD27" s="883"/>
      <c r="BE27" s="883"/>
      <c r="BF27" s="883"/>
      <c r="BG27" s="883"/>
      <c r="BH27" s="884"/>
      <c r="BI27" s="885"/>
      <c r="BJ27" s="877"/>
      <c r="BK27" s="877"/>
      <c r="BL27" s="877"/>
      <c r="BM27" s="877"/>
      <c r="BN27" s="877"/>
      <c r="BO27" s="869"/>
      <c r="BP27" s="869">
        <f>SUM(BV27:BX27)</f>
        <v>0</v>
      </c>
      <c r="BQ27" s="877"/>
      <c r="BR27" s="877">
        <f>(BR18+BR21+BR24+BR25+BR26)*2%</f>
        <v>0</v>
      </c>
      <c r="BS27" s="877"/>
      <c r="BT27" s="877"/>
      <c r="BU27" s="877"/>
      <c r="BV27" s="877"/>
      <c r="BW27" s="877"/>
      <c r="BX27" s="877"/>
      <c r="BY27" s="877"/>
      <c r="BZ27" s="877"/>
      <c r="CA27" s="878">
        <f>SUM(CG27:CI27)</f>
        <v>0</v>
      </c>
      <c r="CB27" s="883"/>
      <c r="CC27" s="883"/>
      <c r="CD27" s="883"/>
      <c r="CE27" s="883"/>
      <c r="CF27" s="884"/>
      <c r="CG27" s="885"/>
      <c r="CH27" s="877"/>
      <c r="CI27" s="877"/>
      <c r="CJ27" s="877"/>
      <c r="CK27" s="877"/>
      <c r="CL27" s="877"/>
      <c r="CM27" s="878">
        <f>SUM(CS27:CU27)</f>
        <v>0</v>
      </c>
      <c r="CN27" s="883"/>
      <c r="CO27" s="883"/>
      <c r="CP27" s="883"/>
      <c r="CQ27" s="883"/>
      <c r="CR27" s="884"/>
      <c r="CS27" s="885"/>
      <c r="CT27" s="877"/>
      <c r="CU27" s="877"/>
      <c r="CV27" s="877"/>
      <c r="CW27" s="877"/>
      <c r="CX27" s="877"/>
    </row>
    <row r="28" spans="2:102" ht="82.5" hidden="1" customHeight="1" outlineLevel="1" thickTop="1" thickBot="1">
      <c r="B28" s="886" t="s">
        <v>1147</v>
      </c>
      <c r="C28" s="887" t="s">
        <v>1149</v>
      </c>
      <c r="D28" s="888" t="s">
        <v>1128</v>
      </c>
      <c r="E28" s="889">
        <f t="shared" si="24"/>
        <v>0</v>
      </c>
      <c r="F28" s="889">
        <f t="shared" si="18"/>
        <v>0</v>
      </c>
      <c r="G28" s="873">
        <f>SUM(I28:Z28)</f>
        <v>0</v>
      </c>
      <c r="H28" s="874"/>
      <c r="I28" s="874"/>
      <c r="J28" s="890"/>
      <c r="K28" s="890"/>
      <c r="L28" s="874"/>
      <c r="M28" s="874"/>
      <c r="N28" s="874"/>
      <c r="O28" s="874"/>
      <c r="P28" s="874"/>
      <c r="Q28" s="874"/>
      <c r="R28" s="874"/>
      <c r="S28" s="874"/>
      <c r="T28" s="874"/>
      <c r="U28" s="873">
        <f>SUM(W28:AJ28)</f>
        <v>0</v>
      </c>
      <c r="V28" s="874"/>
      <c r="W28" s="874"/>
      <c r="X28" s="874"/>
      <c r="Y28" s="874"/>
      <c r="Z28" s="874"/>
      <c r="AA28" s="874"/>
      <c r="AB28" s="874"/>
      <c r="AC28" s="874"/>
      <c r="AD28" s="1636"/>
      <c r="AE28" s="891">
        <f t="shared" si="40"/>
        <v>0</v>
      </c>
      <c r="AF28" s="873">
        <f>SUM(AH28:AK28)</f>
        <v>0</v>
      </c>
      <c r="AG28" s="874"/>
      <c r="AH28" s="874"/>
      <c r="AI28" s="874"/>
      <c r="AJ28" s="874"/>
      <c r="AK28" s="874"/>
      <c r="AL28" s="874"/>
      <c r="AM28" s="874"/>
      <c r="AN28" s="874"/>
      <c r="AO28" s="874"/>
      <c r="AP28" s="874"/>
      <c r="AQ28" s="874">
        <f>SUM(AS28:AV28)</f>
        <v>0</v>
      </c>
      <c r="AR28" s="874"/>
      <c r="AS28" s="874"/>
      <c r="AT28" s="874"/>
      <c r="AU28" s="874"/>
      <c r="AV28" s="874"/>
      <c r="AW28" s="892"/>
      <c r="AX28" s="874"/>
      <c r="AY28" s="874"/>
      <c r="AZ28" s="874"/>
      <c r="BA28" s="874"/>
      <c r="BB28" s="874"/>
      <c r="BC28" s="874">
        <f>SUM(BE28:BH28)</f>
        <v>0</v>
      </c>
      <c r="BD28" s="874"/>
      <c r="BE28" s="874"/>
      <c r="BF28" s="874"/>
      <c r="BG28" s="874"/>
      <c r="BH28" s="874"/>
      <c r="BI28" s="892"/>
      <c r="BJ28" s="874"/>
      <c r="BK28" s="874"/>
      <c r="BL28" s="874"/>
      <c r="BM28" s="874"/>
      <c r="BN28" s="874"/>
      <c r="BO28" s="891"/>
      <c r="BP28" s="873">
        <f>SUM(BR28:BU28)</f>
        <v>0</v>
      </c>
      <c r="BQ28" s="874"/>
      <c r="BR28" s="874"/>
      <c r="BS28" s="874"/>
      <c r="BT28" s="874"/>
      <c r="BU28" s="874"/>
      <c r="BV28" s="874"/>
      <c r="BW28" s="874"/>
      <c r="BX28" s="874"/>
      <c r="BY28" s="874"/>
      <c r="BZ28" s="874"/>
      <c r="CA28" s="874">
        <f>SUM(CC28:CF28)</f>
        <v>0</v>
      </c>
      <c r="CB28" s="874"/>
      <c r="CC28" s="874"/>
      <c r="CD28" s="874"/>
      <c r="CE28" s="874"/>
      <c r="CF28" s="874"/>
      <c r="CG28" s="892"/>
      <c r="CH28" s="874"/>
      <c r="CI28" s="874"/>
      <c r="CJ28" s="874"/>
      <c r="CK28" s="874"/>
      <c r="CL28" s="874"/>
      <c r="CM28" s="874">
        <f>SUM(CO28:CR28)</f>
        <v>0</v>
      </c>
      <c r="CN28" s="874"/>
      <c r="CO28" s="874"/>
      <c r="CP28" s="874"/>
      <c r="CQ28" s="874"/>
      <c r="CR28" s="874"/>
      <c r="CS28" s="892"/>
      <c r="CT28" s="874"/>
      <c r="CU28" s="874"/>
      <c r="CV28" s="874"/>
      <c r="CW28" s="874"/>
      <c r="CX28" s="874"/>
    </row>
    <row r="29" spans="2:102" ht="24.75" hidden="1" customHeight="1" outlineLevel="1" thickTop="1" thickBot="1">
      <c r="B29" s="886" t="s">
        <v>1150</v>
      </c>
      <c r="C29" s="887" t="s">
        <v>1151</v>
      </c>
      <c r="D29" s="888" t="s">
        <v>1128</v>
      </c>
      <c r="E29" s="889">
        <f t="shared" si="24"/>
        <v>0</v>
      </c>
      <c r="F29" s="889">
        <f t="shared" si="18"/>
        <v>0</v>
      </c>
      <c r="G29" s="873">
        <f>SUM(I29:L29)</f>
        <v>0</v>
      </c>
      <c r="H29" s="874"/>
      <c r="I29" s="874"/>
      <c r="J29" s="890"/>
      <c r="K29" s="890"/>
      <c r="L29" s="874"/>
      <c r="M29" s="874"/>
      <c r="N29" s="874"/>
      <c r="O29" s="874"/>
      <c r="P29" s="874"/>
      <c r="Q29" s="874"/>
      <c r="R29" s="874"/>
      <c r="S29" s="874"/>
      <c r="T29" s="874"/>
      <c r="U29" s="873">
        <f>SUM(W29:Z29)</f>
        <v>0</v>
      </c>
      <c r="V29" s="874"/>
      <c r="W29" s="874"/>
      <c r="X29" s="874"/>
      <c r="Y29" s="874"/>
      <c r="Z29" s="874"/>
      <c r="AA29" s="874"/>
      <c r="AB29" s="874"/>
      <c r="AC29" s="874"/>
      <c r="AD29" s="1636"/>
      <c r="AE29" s="891">
        <f t="shared" si="40"/>
        <v>0</v>
      </c>
      <c r="AF29" s="873">
        <f>SUM(AH29:AK29)</f>
        <v>0</v>
      </c>
      <c r="AG29" s="874"/>
      <c r="AH29" s="874"/>
      <c r="AI29" s="874"/>
      <c r="AJ29" s="874"/>
      <c r="AK29" s="874"/>
      <c r="AL29" s="874"/>
      <c r="AM29" s="874"/>
      <c r="AN29" s="874"/>
      <c r="AO29" s="874"/>
      <c r="AP29" s="874"/>
      <c r="AQ29" s="874">
        <f>SUM(AS29:AV29)</f>
        <v>0</v>
      </c>
      <c r="AR29" s="874"/>
      <c r="AS29" s="874"/>
      <c r="AT29" s="874"/>
      <c r="AU29" s="874"/>
      <c r="AV29" s="874"/>
      <c r="AW29" s="892"/>
      <c r="AX29" s="874"/>
      <c r="AY29" s="874"/>
      <c r="AZ29" s="874"/>
      <c r="BA29" s="874"/>
      <c r="BB29" s="874"/>
      <c r="BC29" s="874">
        <f>SUM(BE29:BH29)</f>
        <v>0</v>
      </c>
      <c r="BD29" s="874"/>
      <c r="BE29" s="874"/>
      <c r="BF29" s="874"/>
      <c r="BG29" s="874"/>
      <c r="BH29" s="874"/>
      <c r="BI29" s="892"/>
      <c r="BJ29" s="874"/>
      <c r="BK29" s="874"/>
      <c r="BL29" s="874"/>
      <c r="BM29" s="874"/>
      <c r="BN29" s="874"/>
      <c r="BO29" s="891"/>
      <c r="BP29" s="873">
        <f>SUM(BR29:BU29)</f>
        <v>0</v>
      </c>
      <c r="BQ29" s="874"/>
      <c r="BR29" s="874"/>
      <c r="BS29" s="874"/>
      <c r="BT29" s="874"/>
      <c r="BU29" s="874"/>
      <c r="BV29" s="874"/>
      <c r="BW29" s="874"/>
      <c r="BX29" s="874"/>
      <c r="BY29" s="874"/>
      <c r="BZ29" s="874"/>
      <c r="CA29" s="874">
        <f>SUM(CC29:CF29)</f>
        <v>0</v>
      </c>
      <c r="CB29" s="874"/>
      <c r="CC29" s="874"/>
      <c r="CD29" s="874"/>
      <c r="CE29" s="874"/>
      <c r="CF29" s="874"/>
      <c r="CG29" s="892"/>
      <c r="CH29" s="874"/>
      <c r="CI29" s="874"/>
      <c r="CJ29" s="874"/>
      <c r="CK29" s="874"/>
      <c r="CL29" s="874"/>
      <c r="CM29" s="874">
        <f>SUM(CO29:CR29)</f>
        <v>0</v>
      </c>
      <c r="CN29" s="874"/>
      <c r="CO29" s="874"/>
      <c r="CP29" s="874"/>
      <c r="CQ29" s="874"/>
      <c r="CR29" s="874"/>
      <c r="CS29" s="892"/>
      <c r="CT29" s="874"/>
      <c r="CU29" s="874"/>
      <c r="CV29" s="874"/>
      <c r="CW29" s="874"/>
      <c r="CX29" s="874"/>
    </row>
    <row r="30" spans="2:102" ht="42" hidden="1" customHeight="1" outlineLevel="1" thickTop="1" thickBot="1">
      <c r="B30" s="886" t="s">
        <v>1152</v>
      </c>
      <c r="C30" s="887" t="s">
        <v>1153</v>
      </c>
      <c r="D30" s="888" t="s">
        <v>1128</v>
      </c>
      <c r="E30" s="889">
        <f t="shared" si="24"/>
        <v>0</v>
      </c>
      <c r="F30" s="889">
        <f t="shared" si="18"/>
        <v>0</v>
      </c>
      <c r="G30" s="873">
        <f>SUM(I30:L30)</f>
        <v>0</v>
      </c>
      <c r="H30" s="874"/>
      <c r="I30" s="874"/>
      <c r="J30" s="890"/>
      <c r="K30" s="890"/>
      <c r="L30" s="874"/>
      <c r="M30" s="874"/>
      <c r="N30" s="874"/>
      <c r="O30" s="874"/>
      <c r="P30" s="874"/>
      <c r="Q30" s="874"/>
      <c r="R30" s="874"/>
      <c r="S30" s="874"/>
      <c r="T30" s="874"/>
      <c r="U30" s="873">
        <f>SUM(W30:Z30)</f>
        <v>0</v>
      </c>
      <c r="V30" s="874"/>
      <c r="W30" s="874"/>
      <c r="X30" s="874"/>
      <c r="Y30" s="874">
        <f>Y32*Y33*Y34*Y35*Y13</f>
        <v>0</v>
      </c>
      <c r="Z30" s="874"/>
      <c r="AA30" s="874"/>
      <c r="AB30" s="874"/>
      <c r="AC30" s="874"/>
      <c r="AD30" s="1636"/>
      <c r="AE30" s="891">
        <f t="shared" si="40"/>
        <v>0</v>
      </c>
      <c r="AF30" s="873">
        <f>SUM(AH30:AK30)</f>
        <v>0</v>
      </c>
      <c r="AG30" s="874"/>
      <c r="AH30" s="874"/>
      <c r="AI30" s="874"/>
      <c r="AJ30" s="874"/>
      <c r="AK30" s="874"/>
      <c r="AL30" s="874"/>
      <c r="AM30" s="874"/>
      <c r="AN30" s="874"/>
      <c r="AO30" s="874"/>
      <c r="AP30" s="874"/>
      <c r="AQ30" s="874">
        <f>SUM(AS30:AV30)</f>
        <v>0</v>
      </c>
      <c r="AR30" s="874"/>
      <c r="AS30" s="874"/>
      <c r="AT30" s="874"/>
      <c r="AU30" s="874">
        <f>AU32*AU33*AU34*AU35*AU13</f>
        <v>0</v>
      </c>
      <c r="AV30" s="874"/>
      <c r="AW30" s="892"/>
      <c r="AX30" s="874"/>
      <c r="AY30" s="874"/>
      <c r="AZ30" s="874"/>
      <c r="BA30" s="874"/>
      <c r="BB30" s="874"/>
      <c r="BC30" s="874">
        <f>SUM(BE30:BH30)</f>
        <v>0</v>
      </c>
      <c r="BD30" s="874"/>
      <c r="BE30" s="874"/>
      <c r="BF30" s="874"/>
      <c r="BG30" s="874">
        <f>BG32*BG33*BG34*BG35*BG13</f>
        <v>0</v>
      </c>
      <c r="BH30" s="874"/>
      <c r="BI30" s="892"/>
      <c r="BJ30" s="874"/>
      <c r="BK30" s="874"/>
      <c r="BL30" s="874"/>
      <c r="BM30" s="874"/>
      <c r="BN30" s="874"/>
      <c r="BO30" s="891"/>
      <c r="BP30" s="873">
        <f>SUM(BR30:BU30)</f>
        <v>0</v>
      </c>
      <c r="BQ30" s="874"/>
      <c r="BR30" s="874"/>
      <c r="BS30" s="874"/>
      <c r="BT30" s="874"/>
      <c r="BU30" s="874"/>
      <c r="BV30" s="874"/>
      <c r="BW30" s="874"/>
      <c r="BX30" s="874"/>
      <c r="BY30" s="874"/>
      <c r="BZ30" s="874"/>
      <c r="CA30" s="874">
        <f>SUM(CC30:CF30)</f>
        <v>0</v>
      </c>
      <c r="CB30" s="874"/>
      <c r="CC30" s="874"/>
      <c r="CD30" s="874"/>
      <c r="CE30" s="874">
        <f>CE32*CE33*CE34*CE35*CE13</f>
        <v>0</v>
      </c>
      <c r="CF30" s="874"/>
      <c r="CG30" s="892"/>
      <c r="CH30" s="874"/>
      <c r="CI30" s="874"/>
      <c r="CJ30" s="874"/>
      <c r="CK30" s="874"/>
      <c r="CL30" s="874"/>
      <c r="CM30" s="874">
        <f>SUM(CO30:CR30)</f>
        <v>0</v>
      </c>
      <c r="CN30" s="874"/>
      <c r="CO30" s="874"/>
      <c r="CP30" s="874"/>
      <c r="CQ30" s="874">
        <f>CQ32*CQ33*CQ34*CQ35*CQ13</f>
        <v>0</v>
      </c>
      <c r="CR30" s="874"/>
      <c r="CS30" s="892"/>
      <c r="CT30" s="874"/>
      <c r="CU30" s="874"/>
      <c r="CV30" s="874"/>
      <c r="CW30" s="874"/>
      <c r="CX30" s="874"/>
    </row>
    <row r="31" spans="2:102" s="899" customFormat="1" ht="20.25" hidden="1" customHeight="1" outlineLevel="1" thickTop="1">
      <c r="B31" s="886" t="s">
        <v>1154</v>
      </c>
      <c r="C31" s="893" t="s">
        <v>1155</v>
      </c>
      <c r="D31" s="894" t="s">
        <v>1156</v>
      </c>
      <c r="E31" s="895"/>
      <c r="F31" s="895">
        <f t="shared" si="18"/>
        <v>0</v>
      </c>
      <c r="G31" s="895">
        <f>SUM(I31:J31)</f>
        <v>0</v>
      </c>
      <c r="H31" s="896"/>
      <c r="I31" s="896"/>
      <c r="J31" s="890"/>
      <c r="K31" s="890"/>
      <c r="L31" s="897"/>
      <c r="M31" s="897"/>
      <c r="N31" s="897"/>
      <c r="O31" s="897"/>
      <c r="P31" s="897"/>
      <c r="Q31" s="897"/>
      <c r="R31" s="897"/>
      <c r="S31" s="897"/>
      <c r="T31" s="897"/>
      <c r="U31" s="898">
        <f>SUM(W31:X31)</f>
        <v>0</v>
      </c>
      <c r="V31" s="897"/>
      <c r="W31" s="897"/>
      <c r="X31" s="897"/>
      <c r="Y31" s="897">
        <f>42233/11811.5</f>
        <v>3.5755831181475681</v>
      </c>
      <c r="Z31" s="897"/>
      <c r="AA31" s="897"/>
      <c r="AB31" s="897"/>
      <c r="AC31" s="897"/>
      <c r="AD31" s="897"/>
      <c r="AE31" s="898">
        <f t="shared" si="40"/>
        <v>0</v>
      </c>
      <c r="AF31" s="898">
        <f>SUM(AH31:AI31)</f>
        <v>0</v>
      </c>
      <c r="AG31" s="897"/>
      <c r="AH31" s="897"/>
      <c r="AI31" s="897"/>
      <c r="AJ31" s="897">
        <f>59170/15166.2</f>
        <v>3.9014387255871608</v>
      </c>
      <c r="AK31" s="897"/>
      <c r="AL31" s="897"/>
      <c r="AM31" s="897"/>
      <c r="AN31" s="897"/>
      <c r="AO31" s="897"/>
      <c r="AP31" s="897"/>
      <c r="AQ31" s="897">
        <f>SUM(AS31:AT31)</f>
        <v>0</v>
      </c>
      <c r="AR31" s="897"/>
      <c r="AS31" s="897"/>
      <c r="AT31" s="897"/>
      <c r="AU31" s="897">
        <f>59170/15166.2</f>
        <v>3.9014387255871608</v>
      </c>
      <c r="AV31" s="897"/>
      <c r="AW31" s="897"/>
      <c r="AX31" s="897"/>
      <c r="AY31" s="897"/>
      <c r="AZ31" s="897"/>
      <c r="BA31" s="897"/>
      <c r="BB31" s="897"/>
      <c r="BC31" s="897">
        <f>SUM(BE31:BF31)</f>
        <v>0</v>
      </c>
      <c r="BD31" s="897"/>
      <c r="BE31" s="897"/>
      <c r="BF31" s="897"/>
      <c r="BG31" s="897">
        <f>59170/15166.2</f>
        <v>3.9014387255871608</v>
      </c>
      <c r="BH31" s="897"/>
      <c r="BI31" s="897"/>
      <c r="BJ31" s="897"/>
      <c r="BK31" s="897"/>
      <c r="BL31" s="897"/>
      <c r="BM31" s="897"/>
      <c r="BN31" s="897"/>
      <c r="BO31" s="898"/>
      <c r="BP31" s="898">
        <f>SUM(BR31:BS31)</f>
        <v>0</v>
      </c>
      <c r="BQ31" s="897"/>
      <c r="BR31" s="897"/>
      <c r="BS31" s="897"/>
      <c r="BT31" s="897">
        <f>59170/15166.2</f>
        <v>3.9014387255871608</v>
      </c>
      <c r="BU31" s="897"/>
      <c r="BV31" s="897"/>
      <c r="BW31" s="897"/>
      <c r="BX31" s="897"/>
      <c r="BY31" s="897"/>
      <c r="BZ31" s="897"/>
      <c r="CA31" s="897">
        <f>SUM(CC31:CD31)</f>
        <v>0</v>
      </c>
      <c r="CB31" s="897"/>
      <c r="CC31" s="897"/>
      <c r="CD31" s="897"/>
      <c r="CE31" s="897">
        <f>59170/15166.2</f>
        <v>3.9014387255871608</v>
      </c>
      <c r="CF31" s="897"/>
      <c r="CG31" s="897"/>
      <c r="CH31" s="897"/>
      <c r="CI31" s="897"/>
      <c r="CJ31" s="897"/>
      <c r="CK31" s="897"/>
      <c r="CL31" s="897"/>
      <c r="CM31" s="897">
        <f>SUM(CO31:CP31)</f>
        <v>0</v>
      </c>
      <c r="CN31" s="897"/>
      <c r="CO31" s="897"/>
      <c r="CP31" s="897"/>
      <c r="CQ31" s="897">
        <f>59170/15166.2</f>
        <v>3.9014387255871608</v>
      </c>
      <c r="CR31" s="897"/>
      <c r="CS31" s="897"/>
      <c r="CT31" s="897"/>
      <c r="CU31" s="897"/>
      <c r="CV31" s="897"/>
      <c r="CW31" s="897"/>
      <c r="CX31" s="897"/>
    </row>
    <row r="32" spans="2:102" s="899" customFormat="1" ht="20.25" hidden="1" customHeight="1" outlineLevel="1">
      <c r="B32" s="886" t="s">
        <v>1157</v>
      </c>
      <c r="C32" s="893" t="s">
        <v>1158</v>
      </c>
      <c r="D32" s="894" t="s">
        <v>1159</v>
      </c>
      <c r="E32" s="895"/>
      <c r="F32" s="895">
        <f t="shared" si="18"/>
        <v>0</v>
      </c>
      <c r="G32" s="895">
        <f>SUM(I32:J32)</f>
        <v>0</v>
      </c>
      <c r="H32" s="896"/>
      <c r="I32" s="896"/>
      <c r="J32" s="890"/>
      <c r="K32" s="890"/>
      <c r="L32" s="897"/>
      <c r="M32" s="897"/>
      <c r="N32" s="897"/>
      <c r="O32" s="897"/>
      <c r="P32" s="897"/>
      <c r="Q32" s="897"/>
      <c r="R32" s="897"/>
      <c r="S32" s="897"/>
      <c r="T32" s="897"/>
      <c r="U32" s="898">
        <f>SUM(W32:X32)</f>
        <v>0</v>
      </c>
      <c r="V32" s="897"/>
      <c r="W32" s="897"/>
      <c r="X32" s="897"/>
      <c r="Y32" s="897">
        <f>Y31*$U$59*1000</f>
        <v>0</v>
      </c>
      <c r="Z32" s="897"/>
      <c r="AA32" s="897"/>
      <c r="AB32" s="897"/>
      <c r="AC32" s="897"/>
      <c r="AD32" s="897"/>
      <c r="AE32" s="898">
        <f t="shared" si="40"/>
        <v>0</v>
      </c>
      <c r="AF32" s="898">
        <f>SUM(AH32:AI32)</f>
        <v>0</v>
      </c>
      <c r="AG32" s="897"/>
      <c r="AH32" s="897"/>
      <c r="AI32" s="897"/>
      <c r="AJ32" s="897">
        <f>AJ31*$AF$59*1000</f>
        <v>0</v>
      </c>
      <c r="AK32" s="897"/>
      <c r="AL32" s="897"/>
      <c r="AM32" s="897"/>
      <c r="AN32" s="897"/>
      <c r="AO32" s="897"/>
      <c r="AP32" s="897"/>
      <c r="AQ32" s="897">
        <f>SUM(AS32:AT32)</f>
        <v>0</v>
      </c>
      <c r="AR32" s="897"/>
      <c r="AS32" s="897"/>
      <c r="AT32" s="897"/>
      <c r="AU32" s="897">
        <f>AU31*$AQ$59*1000</f>
        <v>0</v>
      </c>
      <c r="AV32" s="897"/>
      <c r="AW32" s="897"/>
      <c r="AX32" s="897"/>
      <c r="AY32" s="897"/>
      <c r="AZ32" s="897"/>
      <c r="BA32" s="897"/>
      <c r="BB32" s="897"/>
      <c r="BC32" s="897">
        <f>SUM(BE32:BF32)</f>
        <v>0</v>
      </c>
      <c r="BD32" s="897"/>
      <c r="BE32" s="897"/>
      <c r="BF32" s="897"/>
      <c r="BG32" s="897">
        <f>BG31*$AQ$59*1000</f>
        <v>0</v>
      </c>
      <c r="BH32" s="897"/>
      <c r="BI32" s="897"/>
      <c r="BJ32" s="897"/>
      <c r="BK32" s="897"/>
      <c r="BL32" s="897"/>
      <c r="BM32" s="897"/>
      <c r="BN32" s="897"/>
      <c r="BO32" s="898"/>
      <c r="BP32" s="898">
        <f>SUM(BR32:BS32)</f>
        <v>0</v>
      </c>
      <c r="BQ32" s="897"/>
      <c r="BR32" s="897"/>
      <c r="BS32" s="897"/>
      <c r="BT32" s="897">
        <f>BT31*$AF$59*1000</f>
        <v>0</v>
      </c>
      <c r="BU32" s="897"/>
      <c r="BV32" s="897"/>
      <c r="BW32" s="897"/>
      <c r="BX32" s="897"/>
      <c r="BY32" s="897"/>
      <c r="BZ32" s="897"/>
      <c r="CA32" s="897">
        <f>SUM(CC32:CD32)</f>
        <v>0</v>
      </c>
      <c r="CB32" s="897"/>
      <c r="CC32" s="897"/>
      <c r="CD32" s="897"/>
      <c r="CE32" s="897">
        <f>CE31*$AQ$59*1000</f>
        <v>0</v>
      </c>
      <c r="CF32" s="897"/>
      <c r="CG32" s="897"/>
      <c r="CH32" s="897"/>
      <c r="CI32" s="897"/>
      <c r="CJ32" s="897"/>
      <c r="CK32" s="897"/>
      <c r="CL32" s="897"/>
      <c r="CM32" s="897">
        <f>SUM(CO32:CP32)</f>
        <v>0</v>
      </c>
      <c r="CN32" s="897"/>
      <c r="CO32" s="897"/>
      <c r="CP32" s="897"/>
      <c r="CQ32" s="897">
        <f>CQ31*$AQ$59*1000</f>
        <v>0</v>
      </c>
      <c r="CR32" s="897"/>
      <c r="CS32" s="897"/>
      <c r="CT32" s="897"/>
      <c r="CU32" s="897"/>
      <c r="CV32" s="897"/>
      <c r="CW32" s="897"/>
      <c r="CX32" s="897"/>
    </row>
    <row r="33" spans="2:102" s="899" customFormat="1" ht="20.25" hidden="1" customHeight="1" outlineLevel="1">
      <c r="B33" s="886" t="s">
        <v>1160</v>
      </c>
      <c r="C33" s="893" t="s">
        <v>1161</v>
      </c>
      <c r="D33" s="894" t="s">
        <v>1162</v>
      </c>
      <c r="E33" s="895"/>
      <c r="F33" s="895">
        <f t="shared" si="18"/>
        <v>0</v>
      </c>
      <c r="G33" s="895">
        <f>SUM(I33:J33)</f>
        <v>0</v>
      </c>
      <c r="H33" s="896"/>
      <c r="I33" s="896"/>
      <c r="J33" s="890"/>
      <c r="K33" s="890"/>
      <c r="L33" s="897"/>
      <c r="M33" s="897"/>
      <c r="N33" s="897"/>
      <c r="O33" s="897"/>
      <c r="P33" s="897"/>
      <c r="Q33" s="897"/>
      <c r="R33" s="897"/>
      <c r="S33" s="897"/>
      <c r="T33" s="897"/>
      <c r="U33" s="898">
        <f>SUM(W33:X33)</f>
        <v>0</v>
      </c>
      <c r="V33" s="897"/>
      <c r="W33" s="897"/>
      <c r="X33" s="897"/>
      <c r="Y33" s="897">
        <f>654.52/1000</f>
        <v>0.65451999999999999</v>
      </c>
      <c r="Z33" s="897"/>
      <c r="AA33" s="897"/>
      <c r="AB33" s="897"/>
      <c r="AC33" s="897"/>
      <c r="AD33" s="897"/>
      <c r="AE33" s="898">
        <f t="shared" si="40"/>
        <v>0</v>
      </c>
      <c r="AF33" s="898">
        <f>SUM(AH33:AI33)</f>
        <v>0</v>
      </c>
      <c r="AG33" s="897"/>
      <c r="AH33" s="897"/>
      <c r="AI33" s="897"/>
      <c r="AJ33" s="897">
        <f>654.52/1000</f>
        <v>0.65451999999999999</v>
      </c>
      <c r="AK33" s="897"/>
      <c r="AL33" s="897"/>
      <c r="AM33" s="897"/>
      <c r="AN33" s="897"/>
      <c r="AO33" s="897"/>
      <c r="AP33" s="897"/>
      <c r="AQ33" s="897">
        <f>SUM(AS33:AT33)</f>
        <v>0</v>
      </c>
      <c r="AR33" s="897"/>
      <c r="AS33" s="897"/>
      <c r="AT33" s="897"/>
      <c r="AU33" s="897">
        <f>654.52/1000</f>
        <v>0.65451999999999999</v>
      </c>
      <c r="AV33" s="897"/>
      <c r="AW33" s="897"/>
      <c r="AX33" s="897"/>
      <c r="AY33" s="897"/>
      <c r="AZ33" s="897"/>
      <c r="BA33" s="897"/>
      <c r="BB33" s="897"/>
      <c r="BC33" s="897">
        <f>SUM(BE33:BF33)</f>
        <v>0</v>
      </c>
      <c r="BD33" s="897"/>
      <c r="BE33" s="897"/>
      <c r="BF33" s="897"/>
      <c r="BG33" s="897">
        <f>654.52/1000</f>
        <v>0.65451999999999999</v>
      </c>
      <c r="BH33" s="897"/>
      <c r="BI33" s="897"/>
      <c r="BJ33" s="897"/>
      <c r="BK33" s="897"/>
      <c r="BL33" s="897"/>
      <c r="BM33" s="897"/>
      <c r="BN33" s="897"/>
      <c r="BO33" s="898"/>
      <c r="BP33" s="898">
        <f>SUM(BR33:BS33)</f>
        <v>0</v>
      </c>
      <c r="BQ33" s="897"/>
      <c r="BR33" s="897"/>
      <c r="BS33" s="897"/>
      <c r="BT33" s="897">
        <f>654.52/1000</f>
        <v>0.65451999999999999</v>
      </c>
      <c r="BU33" s="897"/>
      <c r="BV33" s="897"/>
      <c r="BW33" s="897"/>
      <c r="BX33" s="897"/>
      <c r="BY33" s="897"/>
      <c r="BZ33" s="897"/>
      <c r="CA33" s="897">
        <f>SUM(CC33:CD33)</f>
        <v>0</v>
      </c>
      <c r="CB33" s="897"/>
      <c r="CC33" s="897"/>
      <c r="CD33" s="897"/>
      <c r="CE33" s="897">
        <f>654.52/1000</f>
        <v>0.65451999999999999</v>
      </c>
      <c r="CF33" s="897"/>
      <c r="CG33" s="897"/>
      <c r="CH33" s="897"/>
      <c r="CI33" s="897"/>
      <c r="CJ33" s="897"/>
      <c r="CK33" s="897"/>
      <c r="CL33" s="897"/>
      <c r="CM33" s="897">
        <f>SUM(CO33:CP33)</f>
        <v>0</v>
      </c>
      <c r="CN33" s="897"/>
      <c r="CO33" s="897"/>
      <c r="CP33" s="897"/>
      <c r="CQ33" s="897">
        <f>654.52/1000</f>
        <v>0.65451999999999999</v>
      </c>
      <c r="CR33" s="897"/>
      <c r="CS33" s="897"/>
      <c r="CT33" s="897"/>
      <c r="CU33" s="897"/>
      <c r="CV33" s="897"/>
      <c r="CW33" s="897"/>
      <c r="CX33" s="897"/>
    </row>
    <row r="34" spans="2:102" s="899" customFormat="1" ht="20.25" hidden="1" customHeight="1" outlineLevel="1">
      <c r="B34" s="886" t="s">
        <v>1163</v>
      </c>
      <c r="C34" s="893" t="s">
        <v>1164</v>
      </c>
      <c r="D34" s="894" t="s">
        <v>1165</v>
      </c>
      <c r="E34" s="898"/>
      <c r="F34" s="898">
        <f t="shared" si="18"/>
        <v>0</v>
      </c>
      <c r="G34" s="898">
        <f>SUM(I34:J34)</f>
        <v>0</v>
      </c>
      <c r="H34" s="897"/>
      <c r="I34" s="897"/>
      <c r="J34" s="890"/>
      <c r="K34" s="890"/>
      <c r="L34" s="897"/>
      <c r="M34" s="897"/>
      <c r="N34" s="897"/>
      <c r="O34" s="897"/>
      <c r="P34" s="897"/>
      <c r="Q34" s="897"/>
      <c r="R34" s="897"/>
      <c r="S34" s="897"/>
      <c r="T34" s="897"/>
      <c r="U34" s="898">
        <f>SUM(W34:X34)</f>
        <v>0</v>
      </c>
      <c r="V34" s="897"/>
      <c r="W34" s="897"/>
      <c r="X34" s="897"/>
      <c r="Y34" s="897">
        <v>2.5000000000000001E-2</v>
      </c>
      <c r="Z34" s="897"/>
      <c r="AA34" s="897"/>
      <c r="AB34" s="897"/>
      <c r="AC34" s="897"/>
      <c r="AD34" s="897"/>
      <c r="AE34" s="898">
        <f t="shared" si="40"/>
        <v>0</v>
      </c>
      <c r="AF34" s="898">
        <f>SUM(AH34:AI34)</f>
        <v>0</v>
      </c>
      <c r="AG34" s="897"/>
      <c r="AH34" s="897"/>
      <c r="AI34" s="897"/>
      <c r="AJ34" s="897">
        <v>2.5000000000000001E-2</v>
      </c>
      <c r="AK34" s="897"/>
      <c r="AL34" s="897"/>
      <c r="AM34" s="897"/>
      <c r="AN34" s="897"/>
      <c r="AO34" s="897"/>
      <c r="AP34" s="897"/>
      <c r="AQ34" s="897">
        <f>SUM(AS34:AT34)</f>
        <v>0</v>
      </c>
      <c r="AR34" s="897"/>
      <c r="AS34" s="897"/>
      <c r="AT34" s="897"/>
      <c r="AU34" s="897">
        <v>2.5000000000000001E-2</v>
      </c>
      <c r="AV34" s="897"/>
      <c r="AW34" s="897"/>
      <c r="AX34" s="897"/>
      <c r="AY34" s="897"/>
      <c r="AZ34" s="897"/>
      <c r="BA34" s="897"/>
      <c r="BB34" s="897"/>
      <c r="BC34" s="897">
        <f>SUM(BE34:BF34)</f>
        <v>0</v>
      </c>
      <c r="BD34" s="897"/>
      <c r="BE34" s="897"/>
      <c r="BF34" s="897"/>
      <c r="BG34" s="897">
        <v>2.5000000000000001E-2</v>
      </c>
      <c r="BH34" s="897"/>
      <c r="BI34" s="897"/>
      <c r="BJ34" s="897"/>
      <c r="BK34" s="897"/>
      <c r="BL34" s="897"/>
      <c r="BM34" s="897"/>
      <c r="BN34" s="897"/>
      <c r="BO34" s="898"/>
      <c r="BP34" s="898">
        <f>SUM(BR34:BS34)</f>
        <v>0</v>
      </c>
      <c r="BQ34" s="897"/>
      <c r="BR34" s="897"/>
      <c r="BS34" s="897"/>
      <c r="BT34" s="897">
        <v>2.5000000000000001E-2</v>
      </c>
      <c r="BU34" s="897"/>
      <c r="BV34" s="897"/>
      <c r="BW34" s="897"/>
      <c r="BX34" s="897"/>
      <c r="BY34" s="897"/>
      <c r="BZ34" s="897"/>
      <c r="CA34" s="897">
        <f>SUM(CC34:CD34)</f>
        <v>0</v>
      </c>
      <c r="CB34" s="897"/>
      <c r="CC34" s="897"/>
      <c r="CD34" s="897"/>
      <c r="CE34" s="897">
        <v>2.5000000000000001E-2</v>
      </c>
      <c r="CF34" s="897"/>
      <c r="CG34" s="897"/>
      <c r="CH34" s="897"/>
      <c r="CI34" s="897"/>
      <c r="CJ34" s="897"/>
      <c r="CK34" s="897"/>
      <c r="CL34" s="897"/>
      <c r="CM34" s="897">
        <f>SUM(CO34:CP34)</f>
        <v>0</v>
      </c>
      <c r="CN34" s="897"/>
      <c r="CO34" s="897"/>
      <c r="CP34" s="897"/>
      <c r="CQ34" s="897">
        <v>2.5000000000000001E-2</v>
      </c>
      <c r="CR34" s="897"/>
      <c r="CS34" s="897"/>
      <c r="CT34" s="897"/>
      <c r="CU34" s="897"/>
      <c r="CV34" s="897"/>
      <c r="CW34" s="897"/>
      <c r="CX34" s="897"/>
    </row>
    <row r="35" spans="2:102" s="899" customFormat="1" ht="60.75" hidden="1" customHeight="1" outlineLevel="1">
      <c r="B35" s="886" t="s">
        <v>1166</v>
      </c>
      <c r="C35" s="893" t="s">
        <v>1167</v>
      </c>
      <c r="D35" s="894"/>
      <c r="E35" s="898"/>
      <c r="F35" s="898">
        <f t="shared" si="18"/>
        <v>0</v>
      </c>
      <c r="G35" s="898">
        <f>SUM(I35:J35)</f>
        <v>0</v>
      </c>
      <c r="H35" s="897"/>
      <c r="I35" s="897"/>
      <c r="J35" s="890"/>
      <c r="K35" s="890"/>
      <c r="L35" s="897"/>
      <c r="M35" s="897"/>
      <c r="N35" s="897"/>
      <c r="O35" s="897"/>
      <c r="P35" s="897"/>
      <c r="Q35" s="897"/>
      <c r="R35" s="897"/>
      <c r="S35" s="897"/>
      <c r="T35" s="897"/>
      <c r="U35" s="898">
        <f>SUM(W35:X35)</f>
        <v>0</v>
      </c>
      <c r="V35" s="897"/>
      <c r="W35" s="897"/>
      <c r="X35" s="897"/>
      <c r="Y35" s="897">
        <f>1.139*1.064*1.087*1.062*1.077</f>
        <v>1.5067288922928481</v>
      </c>
      <c r="Z35" s="897"/>
      <c r="AA35" s="897"/>
      <c r="AB35" s="897"/>
      <c r="AC35" s="897"/>
      <c r="AD35" s="897"/>
      <c r="AE35" s="898">
        <f t="shared" si="40"/>
        <v>0</v>
      </c>
      <c r="AF35" s="898">
        <f>SUM(AH35:AI35)</f>
        <v>0</v>
      </c>
      <c r="AG35" s="897"/>
      <c r="AH35" s="897"/>
      <c r="AI35" s="897"/>
      <c r="AJ35" s="897">
        <f>1.139*1.064*1.087*1.062*1.077</f>
        <v>1.5067288922928481</v>
      </c>
      <c r="AK35" s="897"/>
      <c r="AL35" s="897"/>
      <c r="AM35" s="897"/>
      <c r="AN35" s="897"/>
      <c r="AO35" s="897"/>
      <c r="AP35" s="897"/>
      <c r="AQ35" s="897">
        <f>SUM(AS35:AT35)</f>
        <v>0</v>
      </c>
      <c r="AR35" s="897"/>
      <c r="AS35" s="897"/>
      <c r="AT35" s="897"/>
      <c r="AU35" s="897">
        <f>1.139*1.064*1.087*1.062*1.077</f>
        <v>1.5067288922928481</v>
      </c>
      <c r="AV35" s="897"/>
      <c r="AW35" s="897"/>
      <c r="AX35" s="897"/>
      <c r="AY35" s="897"/>
      <c r="AZ35" s="897"/>
      <c r="BA35" s="897"/>
      <c r="BB35" s="897"/>
      <c r="BC35" s="897">
        <f>SUM(BE35:BF35)</f>
        <v>0</v>
      </c>
      <c r="BD35" s="897"/>
      <c r="BE35" s="897"/>
      <c r="BF35" s="897"/>
      <c r="BG35" s="897">
        <f>1.139*1.064*1.087*1.062*1.077</f>
        <v>1.5067288922928481</v>
      </c>
      <c r="BH35" s="897"/>
      <c r="BI35" s="897"/>
      <c r="BJ35" s="897"/>
      <c r="BK35" s="897"/>
      <c r="BL35" s="897"/>
      <c r="BM35" s="897"/>
      <c r="BN35" s="897"/>
      <c r="BO35" s="898"/>
      <c r="BP35" s="898">
        <f>SUM(BR35:BS35)</f>
        <v>0</v>
      </c>
      <c r="BQ35" s="897"/>
      <c r="BR35" s="897"/>
      <c r="BS35" s="897"/>
      <c r="BT35" s="897">
        <f>1.139*1.064*1.087*1.062*1.077</f>
        <v>1.5067288922928481</v>
      </c>
      <c r="BU35" s="897"/>
      <c r="BV35" s="897"/>
      <c r="BW35" s="897"/>
      <c r="BX35" s="897"/>
      <c r="BY35" s="897"/>
      <c r="BZ35" s="897"/>
      <c r="CA35" s="897">
        <f>SUM(CC35:CD35)</f>
        <v>0</v>
      </c>
      <c r="CB35" s="897"/>
      <c r="CC35" s="897"/>
      <c r="CD35" s="897"/>
      <c r="CE35" s="897">
        <f>1.139*1.064*1.087*1.062*1.077</f>
        <v>1.5067288922928481</v>
      </c>
      <c r="CF35" s="897"/>
      <c r="CG35" s="897"/>
      <c r="CH35" s="897"/>
      <c r="CI35" s="897"/>
      <c r="CJ35" s="897"/>
      <c r="CK35" s="897"/>
      <c r="CL35" s="897"/>
      <c r="CM35" s="897">
        <f>SUM(CO35:CP35)</f>
        <v>0</v>
      </c>
      <c r="CN35" s="897"/>
      <c r="CO35" s="897"/>
      <c r="CP35" s="897"/>
      <c r="CQ35" s="897">
        <f>1.139*1.064*1.087*1.062*1.077</f>
        <v>1.5067288922928481</v>
      </c>
      <c r="CR35" s="897"/>
      <c r="CS35" s="897"/>
      <c r="CT35" s="897"/>
      <c r="CU35" s="897"/>
      <c r="CV35" s="897"/>
      <c r="CW35" s="897"/>
      <c r="CX35" s="897"/>
    </row>
    <row r="36" spans="2:102" ht="27.75" customHeight="1" collapsed="1" thickBot="1">
      <c r="B36" s="900"/>
      <c r="C36" s="901" t="s">
        <v>1168</v>
      </c>
      <c r="D36" s="902" t="s">
        <v>1128</v>
      </c>
      <c r="E36" s="903"/>
      <c r="F36" s="903"/>
      <c r="G36" s="903">
        <f>G37+G38+G39+G41</f>
        <v>39878.756611754427</v>
      </c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>
        <f>R37+R38+R39+R41</f>
        <v>0</v>
      </c>
      <c r="S36" s="862">
        <f>S37+S38+S39+S41</f>
        <v>0</v>
      </c>
      <c r="T36" s="862">
        <f>T37+T38+T39+T41</f>
        <v>39878.756611754427</v>
      </c>
      <c r="U36" s="903">
        <f>U37+U38+U39+U41</f>
        <v>9273.5038586785904</v>
      </c>
      <c r="V36" s="862">
        <f t="shared" ref="V36:AA36" si="54">V37+V38+V39+V41</f>
        <v>0</v>
      </c>
      <c r="W36" s="862">
        <f t="shared" si="54"/>
        <v>0</v>
      </c>
      <c r="X36" s="862">
        <f t="shared" si="54"/>
        <v>0</v>
      </c>
      <c r="Y36" s="862">
        <f t="shared" si="54"/>
        <v>0</v>
      </c>
      <c r="Z36" s="862">
        <f t="shared" si="54"/>
        <v>0</v>
      </c>
      <c r="AA36" s="862">
        <f t="shared" si="54"/>
        <v>0</v>
      </c>
      <c r="AB36" s="862">
        <f>AB37+AB38+AB39+AB41</f>
        <v>0</v>
      </c>
      <c r="AC36" s="862">
        <f t="shared" ref="AC36:CN36" si="55">AC37+AC38+AC39+AC41</f>
        <v>0</v>
      </c>
      <c r="AD36" s="862">
        <f t="shared" si="55"/>
        <v>9273.5038586785904</v>
      </c>
      <c r="AE36" s="862">
        <f t="shared" si="55"/>
        <v>0</v>
      </c>
      <c r="AF36" s="862">
        <f t="shared" si="55"/>
        <v>0</v>
      </c>
      <c r="AG36" s="862">
        <f t="shared" si="55"/>
        <v>0</v>
      </c>
      <c r="AH36" s="862">
        <f t="shared" si="55"/>
        <v>0</v>
      </c>
      <c r="AI36" s="862">
        <f t="shared" si="55"/>
        <v>0</v>
      </c>
      <c r="AJ36" s="862">
        <f t="shared" si="55"/>
        <v>0</v>
      </c>
      <c r="AK36" s="862">
        <f t="shared" si="55"/>
        <v>0</v>
      </c>
      <c r="AL36" s="862">
        <f t="shared" si="55"/>
        <v>0</v>
      </c>
      <c r="AM36" s="862">
        <f t="shared" si="55"/>
        <v>0</v>
      </c>
      <c r="AN36" s="862">
        <f t="shared" si="55"/>
        <v>0</v>
      </c>
      <c r="AO36" s="862">
        <f t="shared" si="55"/>
        <v>0</v>
      </c>
      <c r="AP36" s="862">
        <f t="shared" si="55"/>
        <v>0</v>
      </c>
      <c r="AQ36" s="862">
        <f t="shared" si="55"/>
        <v>0</v>
      </c>
      <c r="AR36" s="862">
        <f t="shared" si="55"/>
        <v>0</v>
      </c>
      <c r="AS36" s="862">
        <f t="shared" si="55"/>
        <v>0</v>
      </c>
      <c r="AT36" s="862">
        <f t="shared" si="55"/>
        <v>0</v>
      </c>
      <c r="AU36" s="862">
        <f t="shared" si="55"/>
        <v>0</v>
      </c>
      <c r="AV36" s="862">
        <f t="shared" si="55"/>
        <v>0</v>
      </c>
      <c r="AW36" s="862">
        <f t="shared" si="55"/>
        <v>0</v>
      </c>
      <c r="AX36" s="862">
        <f t="shared" si="55"/>
        <v>0</v>
      </c>
      <c r="AY36" s="862">
        <f t="shared" si="55"/>
        <v>0</v>
      </c>
      <c r="AZ36" s="862">
        <f t="shared" si="55"/>
        <v>0</v>
      </c>
      <c r="BA36" s="862">
        <f t="shared" si="55"/>
        <v>0</v>
      </c>
      <c r="BB36" s="862">
        <f t="shared" si="55"/>
        <v>0</v>
      </c>
      <c r="BC36" s="862">
        <f t="shared" si="55"/>
        <v>0</v>
      </c>
      <c r="BD36" s="862">
        <f t="shared" si="55"/>
        <v>0</v>
      </c>
      <c r="BE36" s="862">
        <f t="shared" si="55"/>
        <v>0</v>
      </c>
      <c r="BF36" s="862">
        <f t="shared" si="55"/>
        <v>0</v>
      </c>
      <c r="BG36" s="862">
        <f t="shared" si="55"/>
        <v>0</v>
      </c>
      <c r="BH36" s="862">
        <f t="shared" si="55"/>
        <v>0</v>
      </c>
      <c r="BI36" s="862">
        <f t="shared" si="55"/>
        <v>0</v>
      </c>
      <c r="BJ36" s="862">
        <f t="shared" si="55"/>
        <v>0</v>
      </c>
      <c r="BK36" s="862">
        <f t="shared" si="55"/>
        <v>0</v>
      </c>
      <c r="BL36" s="862">
        <f t="shared" si="55"/>
        <v>0</v>
      </c>
      <c r="BM36" s="862">
        <f t="shared" si="55"/>
        <v>0</v>
      </c>
      <c r="BN36" s="862">
        <f t="shared" si="55"/>
        <v>0</v>
      </c>
      <c r="BO36" s="862">
        <f t="shared" si="55"/>
        <v>0</v>
      </c>
      <c r="BP36" s="862">
        <f t="shared" si="55"/>
        <v>0</v>
      </c>
      <c r="BQ36" s="862">
        <f t="shared" si="55"/>
        <v>0</v>
      </c>
      <c r="BR36" s="862">
        <f t="shared" si="55"/>
        <v>0</v>
      </c>
      <c r="BS36" s="862">
        <f t="shared" si="55"/>
        <v>0</v>
      </c>
      <c r="BT36" s="862">
        <f t="shared" si="55"/>
        <v>0</v>
      </c>
      <c r="BU36" s="862">
        <f t="shared" si="55"/>
        <v>0</v>
      </c>
      <c r="BV36" s="862">
        <f t="shared" si="55"/>
        <v>0</v>
      </c>
      <c r="BW36" s="862">
        <f t="shared" si="55"/>
        <v>0</v>
      </c>
      <c r="BX36" s="862">
        <f t="shared" si="55"/>
        <v>0</v>
      </c>
      <c r="BY36" s="862">
        <f t="shared" si="55"/>
        <v>0</v>
      </c>
      <c r="BZ36" s="862">
        <f t="shared" si="55"/>
        <v>0</v>
      </c>
      <c r="CA36" s="862">
        <f t="shared" si="55"/>
        <v>0</v>
      </c>
      <c r="CB36" s="862">
        <f t="shared" si="55"/>
        <v>0</v>
      </c>
      <c r="CC36" s="862">
        <f t="shared" si="55"/>
        <v>0</v>
      </c>
      <c r="CD36" s="862">
        <f t="shared" si="55"/>
        <v>0</v>
      </c>
      <c r="CE36" s="862">
        <f t="shared" si="55"/>
        <v>0</v>
      </c>
      <c r="CF36" s="862">
        <f t="shared" si="55"/>
        <v>0</v>
      </c>
      <c r="CG36" s="862">
        <f t="shared" si="55"/>
        <v>0</v>
      </c>
      <c r="CH36" s="862">
        <f t="shared" si="55"/>
        <v>0</v>
      </c>
      <c r="CI36" s="862">
        <f t="shared" si="55"/>
        <v>0</v>
      </c>
      <c r="CJ36" s="862">
        <f t="shared" si="55"/>
        <v>0</v>
      </c>
      <c r="CK36" s="862">
        <f t="shared" si="55"/>
        <v>0</v>
      </c>
      <c r="CL36" s="862">
        <f t="shared" si="55"/>
        <v>0</v>
      </c>
      <c r="CM36" s="862">
        <f t="shared" si="55"/>
        <v>0</v>
      </c>
      <c r="CN36" s="862">
        <f t="shared" si="55"/>
        <v>0</v>
      </c>
      <c r="CO36" s="862">
        <f t="shared" ref="CO36:CX36" si="56">CO37+CO38+CO39+CO41</f>
        <v>0</v>
      </c>
      <c r="CP36" s="862">
        <f t="shared" si="56"/>
        <v>0</v>
      </c>
      <c r="CQ36" s="862">
        <f t="shared" si="56"/>
        <v>0</v>
      </c>
      <c r="CR36" s="862">
        <f t="shared" si="56"/>
        <v>0</v>
      </c>
      <c r="CS36" s="862">
        <f t="shared" si="56"/>
        <v>0</v>
      </c>
      <c r="CT36" s="862">
        <f t="shared" si="56"/>
        <v>0</v>
      </c>
      <c r="CU36" s="862">
        <f t="shared" si="56"/>
        <v>0</v>
      </c>
      <c r="CV36" s="862">
        <f t="shared" si="56"/>
        <v>0</v>
      </c>
      <c r="CW36" s="862">
        <f t="shared" si="56"/>
        <v>0</v>
      </c>
      <c r="CX36" s="862">
        <f t="shared" si="56"/>
        <v>0</v>
      </c>
    </row>
    <row r="37" spans="2:102" ht="30.75" customHeight="1" thickTop="1" thickBot="1">
      <c r="B37" s="904"/>
      <c r="C37" s="905" t="s">
        <v>1169</v>
      </c>
      <c r="D37" s="906" t="s">
        <v>1128</v>
      </c>
      <c r="E37" s="907"/>
      <c r="F37" s="907"/>
      <c r="G37" s="873">
        <f>SUM(M37:T37)</f>
        <v>1795.9293321216001</v>
      </c>
      <c r="H37" s="874"/>
      <c r="I37" s="874"/>
      <c r="J37" s="874"/>
      <c r="K37" s="874"/>
      <c r="L37" s="874"/>
      <c r="M37" s="874"/>
      <c r="N37" s="874"/>
      <c r="O37" s="874"/>
      <c r="P37" s="874"/>
      <c r="Q37" s="874"/>
      <c r="R37" s="874"/>
      <c r="S37" s="874"/>
      <c r="T37" s="874">
        <f>(54.8864*30.05)*S13*T13</f>
        <v>1795.9293321216001</v>
      </c>
      <c r="U37" s="873">
        <f>SUM(AA37:AD37)</f>
        <v>661.85273611641583</v>
      </c>
      <c r="V37" s="874"/>
      <c r="W37" s="874"/>
      <c r="X37" s="874"/>
      <c r="Y37" s="874"/>
      <c r="Z37" s="874"/>
      <c r="AA37" s="874"/>
      <c r="AB37" s="874"/>
      <c r="AC37" s="874"/>
      <c r="AD37" s="874">
        <f>20590.41*29.52/1000*AC13*AD13</f>
        <v>661.85273611641583</v>
      </c>
      <c r="AE37" s="874"/>
      <c r="AF37" s="874"/>
      <c r="AG37" s="874"/>
      <c r="AH37" s="874"/>
      <c r="AI37" s="874"/>
      <c r="AJ37" s="874"/>
      <c r="AK37" s="874"/>
      <c r="AL37" s="874"/>
      <c r="AM37" s="874"/>
      <c r="AN37" s="874"/>
      <c r="AO37" s="874"/>
      <c r="AP37" s="874"/>
      <c r="AQ37" s="874"/>
      <c r="AR37" s="874"/>
      <c r="AS37" s="874"/>
      <c r="AT37" s="874"/>
      <c r="AU37" s="874"/>
      <c r="AV37" s="874"/>
      <c r="AW37" s="874"/>
      <c r="AX37" s="874"/>
      <c r="AY37" s="874"/>
      <c r="AZ37" s="874"/>
      <c r="BA37" s="874"/>
      <c r="BB37" s="874"/>
      <c r="BC37" s="874"/>
      <c r="BD37" s="874"/>
      <c r="BE37" s="874"/>
      <c r="BF37" s="874"/>
      <c r="BG37" s="874"/>
      <c r="BH37" s="874"/>
      <c r="BI37" s="874"/>
      <c r="BJ37" s="874"/>
      <c r="BK37" s="874"/>
      <c r="BL37" s="874"/>
      <c r="BM37" s="874"/>
      <c r="BN37" s="874"/>
      <c r="BO37" s="874"/>
      <c r="BP37" s="874"/>
      <c r="BQ37" s="874"/>
      <c r="BR37" s="874"/>
      <c r="BS37" s="874"/>
      <c r="BT37" s="874"/>
      <c r="BU37" s="874"/>
      <c r="BV37" s="874"/>
      <c r="BW37" s="874"/>
      <c r="BX37" s="874"/>
      <c r="BY37" s="874"/>
      <c r="BZ37" s="874"/>
      <c r="CA37" s="874"/>
      <c r="CB37" s="874"/>
      <c r="CC37" s="874"/>
      <c r="CD37" s="874"/>
      <c r="CE37" s="874"/>
      <c r="CF37" s="874"/>
      <c r="CG37" s="874"/>
      <c r="CH37" s="874"/>
      <c r="CI37" s="874"/>
      <c r="CJ37" s="874"/>
      <c r="CK37" s="874"/>
      <c r="CL37" s="874"/>
      <c r="CM37" s="874"/>
      <c r="CN37" s="874"/>
      <c r="CO37" s="874"/>
      <c r="CP37" s="874"/>
      <c r="CQ37" s="874"/>
      <c r="CR37" s="874"/>
      <c r="CS37" s="874"/>
      <c r="CT37" s="874"/>
      <c r="CU37" s="874"/>
      <c r="CV37" s="874"/>
      <c r="CW37" s="874"/>
      <c r="CX37" s="874"/>
    </row>
    <row r="38" spans="2:102" ht="30.75" customHeight="1" thickTop="1" thickBot="1">
      <c r="B38" s="904"/>
      <c r="C38" s="905" t="s">
        <v>1170</v>
      </c>
      <c r="D38" s="906" t="s">
        <v>1128</v>
      </c>
      <c r="E38" s="907"/>
      <c r="F38" s="907"/>
      <c r="G38" s="873">
        <f>SUM(M38:T38)</f>
        <v>940.61955829919998</v>
      </c>
      <c r="H38" s="874"/>
      <c r="I38" s="874"/>
      <c r="J38" s="874"/>
      <c r="K38" s="874"/>
      <c r="L38" s="874"/>
      <c r="M38" s="874"/>
      <c r="N38" s="874"/>
      <c r="O38" s="874"/>
      <c r="P38" s="874"/>
      <c r="Q38" s="874"/>
      <c r="R38" s="874"/>
      <c r="S38" s="874"/>
      <c r="T38" s="874">
        <f>(28.7468*30.05)*S13*T13</f>
        <v>940.61955829919998</v>
      </c>
      <c r="U38" s="873">
        <f>SUM(AA38:AD38)</f>
        <v>364.90213798271998</v>
      </c>
      <c r="V38" s="874"/>
      <c r="W38" s="874"/>
      <c r="X38" s="874"/>
      <c r="Y38" s="874"/>
      <c r="Z38" s="874"/>
      <c r="AA38" s="874"/>
      <c r="AB38" s="874"/>
      <c r="AC38" s="874"/>
      <c r="AD38" s="874">
        <f>11352.2*29.52/1000*AC13*AD13</f>
        <v>364.90213798271998</v>
      </c>
      <c r="AE38" s="874"/>
      <c r="AF38" s="874"/>
      <c r="AG38" s="874"/>
      <c r="AH38" s="874"/>
      <c r="AI38" s="874"/>
      <c r="AJ38" s="874"/>
      <c r="AK38" s="874"/>
      <c r="AL38" s="874"/>
      <c r="AM38" s="874"/>
      <c r="AN38" s="874"/>
      <c r="AO38" s="874"/>
      <c r="AP38" s="874"/>
      <c r="AQ38" s="874"/>
      <c r="AR38" s="874"/>
      <c r="AS38" s="874"/>
      <c r="AT38" s="874"/>
      <c r="AU38" s="874"/>
      <c r="AV38" s="874"/>
      <c r="AW38" s="874"/>
      <c r="AX38" s="874"/>
      <c r="AY38" s="874"/>
      <c r="AZ38" s="874"/>
      <c r="BA38" s="874"/>
      <c r="BB38" s="874"/>
      <c r="BC38" s="874"/>
      <c r="BD38" s="874"/>
      <c r="BE38" s="874"/>
      <c r="BF38" s="874"/>
      <c r="BG38" s="874"/>
      <c r="BH38" s="874"/>
      <c r="BI38" s="874"/>
      <c r="BJ38" s="874"/>
      <c r="BK38" s="874"/>
      <c r="BL38" s="874"/>
      <c r="BM38" s="874"/>
      <c r="BN38" s="874"/>
      <c r="BO38" s="874"/>
      <c r="BP38" s="874"/>
      <c r="BQ38" s="874"/>
      <c r="BR38" s="874"/>
      <c r="BS38" s="874"/>
      <c r="BT38" s="874"/>
      <c r="BU38" s="874"/>
      <c r="BV38" s="874"/>
      <c r="BW38" s="874"/>
      <c r="BX38" s="874"/>
      <c r="BY38" s="874"/>
      <c r="BZ38" s="874"/>
      <c r="CA38" s="874"/>
      <c r="CB38" s="874"/>
      <c r="CC38" s="874"/>
      <c r="CD38" s="874"/>
      <c r="CE38" s="874"/>
      <c r="CF38" s="874"/>
      <c r="CG38" s="874"/>
      <c r="CH38" s="874"/>
      <c r="CI38" s="874"/>
      <c r="CJ38" s="874"/>
      <c r="CK38" s="874"/>
      <c r="CL38" s="874"/>
      <c r="CM38" s="874"/>
      <c r="CN38" s="874"/>
      <c r="CO38" s="874"/>
      <c r="CP38" s="874"/>
      <c r="CQ38" s="874"/>
      <c r="CR38" s="874"/>
      <c r="CS38" s="874"/>
      <c r="CT38" s="874"/>
      <c r="CU38" s="874"/>
      <c r="CV38" s="874"/>
      <c r="CW38" s="874"/>
      <c r="CX38" s="874"/>
    </row>
    <row r="39" spans="2:102" ht="30.75" customHeight="1" outlineLevel="1" thickTop="1">
      <c r="B39" s="900"/>
      <c r="C39" s="909" t="s">
        <v>1171</v>
      </c>
      <c r="D39" s="902" t="s">
        <v>1128</v>
      </c>
      <c r="E39" s="903"/>
      <c r="F39" s="903"/>
      <c r="G39" s="903">
        <f>SUM(M39:T39)</f>
        <v>0</v>
      </c>
      <c r="H39" s="877"/>
      <c r="I39" s="877"/>
      <c r="J39" s="877"/>
      <c r="K39" s="877"/>
      <c r="L39" s="877"/>
      <c r="M39" s="877"/>
      <c r="N39" s="877"/>
      <c r="O39" s="877"/>
      <c r="P39" s="877"/>
      <c r="Q39" s="877"/>
      <c r="R39" s="877"/>
      <c r="S39" s="877"/>
      <c r="T39" s="877"/>
      <c r="U39" s="903">
        <f>SUM(AA39:AC39)</f>
        <v>0</v>
      </c>
      <c r="V39" s="877"/>
      <c r="W39" s="877"/>
      <c r="X39" s="877"/>
      <c r="Y39" s="877"/>
      <c r="Z39" s="877"/>
      <c r="AA39" s="877"/>
      <c r="AB39" s="877">
        <f>U99/12*4*AB13</f>
        <v>0</v>
      </c>
      <c r="AC39" s="877">
        <f>U99/12*8*AB13*AC13</f>
        <v>0</v>
      </c>
      <c r="AD39" s="877">
        <f t="shared" ref="AD39:CO39" si="57">V99/12*8*AC13*AD13</f>
        <v>0</v>
      </c>
      <c r="AE39" s="877">
        <f t="shared" si="57"/>
        <v>0</v>
      </c>
      <c r="AF39" s="877">
        <f t="shared" si="57"/>
        <v>0</v>
      </c>
      <c r="AG39" s="877">
        <f t="shared" si="57"/>
        <v>0</v>
      </c>
      <c r="AH39" s="877">
        <f t="shared" si="57"/>
        <v>0</v>
      </c>
      <c r="AI39" s="877">
        <f t="shared" si="57"/>
        <v>0</v>
      </c>
      <c r="AJ39" s="877">
        <f t="shared" si="57"/>
        <v>0</v>
      </c>
      <c r="AK39" s="877">
        <f t="shared" si="57"/>
        <v>0</v>
      </c>
      <c r="AL39" s="877">
        <f t="shared" si="57"/>
        <v>0</v>
      </c>
      <c r="AM39" s="877">
        <f t="shared" si="57"/>
        <v>0</v>
      </c>
      <c r="AN39" s="877">
        <f t="shared" si="57"/>
        <v>0</v>
      </c>
      <c r="AO39" s="877">
        <f t="shared" si="57"/>
        <v>0</v>
      </c>
      <c r="AP39" s="877">
        <f t="shared" si="57"/>
        <v>0</v>
      </c>
      <c r="AQ39" s="877">
        <f t="shared" si="57"/>
        <v>0</v>
      </c>
      <c r="AR39" s="877">
        <f t="shared" si="57"/>
        <v>0</v>
      </c>
      <c r="AS39" s="877">
        <f t="shared" si="57"/>
        <v>0</v>
      </c>
      <c r="AT39" s="877">
        <f t="shared" si="57"/>
        <v>0</v>
      </c>
      <c r="AU39" s="877">
        <f t="shared" si="57"/>
        <v>0</v>
      </c>
      <c r="AV39" s="877">
        <f t="shared" si="57"/>
        <v>0</v>
      </c>
      <c r="AW39" s="877">
        <f t="shared" si="57"/>
        <v>0</v>
      </c>
      <c r="AX39" s="877">
        <f t="shared" si="57"/>
        <v>0</v>
      </c>
      <c r="AY39" s="877">
        <f t="shared" si="57"/>
        <v>0</v>
      </c>
      <c r="AZ39" s="877">
        <f t="shared" si="57"/>
        <v>0</v>
      </c>
      <c r="BA39" s="877">
        <f t="shared" si="57"/>
        <v>0</v>
      </c>
      <c r="BB39" s="877">
        <f t="shared" si="57"/>
        <v>0</v>
      </c>
      <c r="BC39" s="877">
        <f t="shared" si="57"/>
        <v>0</v>
      </c>
      <c r="BD39" s="877">
        <f t="shared" si="57"/>
        <v>0</v>
      </c>
      <c r="BE39" s="877">
        <f t="shared" si="57"/>
        <v>0</v>
      </c>
      <c r="BF39" s="877">
        <f t="shared" si="57"/>
        <v>0</v>
      </c>
      <c r="BG39" s="877">
        <f t="shared" si="57"/>
        <v>0</v>
      </c>
      <c r="BH39" s="877">
        <f t="shared" si="57"/>
        <v>0</v>
      </c>
      <c r="BI39" s="877">
        <f t="shared" si="57"/>
        <v>0</v>
      </c>
      <c r="BJ39" s="877">
        <f t="shared" si="57"/>
        <v>0</v>
      </c>
      <c r="BK39" s="877">
        <f t="shared" si="57"/>
        <v>0</v>
      </c>
      <c r="BL39" s="877">
        <f t="shared" si="57"/>
        <v>0</v>
      </c>
      <c r="BM39" s="877">
        <f t="shared" si="57"/>
        <v>0</v>
      </c>
      <c r="BN39" s="877">
        <f t="shared" si="57"/>
        <v>0</v>
      </c>
      <c r="BO39" s="877">
        <f t="shared" si="57"/>
        <v>0</v>
      </c>
      <c r="BP39" s="877">
        <f t="shared" si="57"/>
        <v>0</v>
      </c>
      <c r="BQ39" s="877">
        <f t="shared" si="57"/>
        <v>0</v>
      </c>
      <c r="BR39" s="877">
        <f t="shared" si="57"/>
        <v>0</v>
      </c>
      <c r="BS39" s="877">
        <f t="shared" si="57"/>
        <v>0</v>
      </c>
      <c r="BT39" s="877">
        <f t="shared" si="57"/>
        <v>0</v>
      </c>
      <c r="BU39" s="877">
        <f t="shared" si="57"/>
        <v>0</v>
      </c>
      <c r="BV39" s="877">
        <f t="shared" si="57"/>
        <v>0</v>
      </c>
      <c r="BW39" s="877">
        <f t="shared" si="57"/>
        <v>0</v>
      </c>
      <c r="BX39" s="877">
        <f t="shared" si="57"/>
        <v>0</v>
      </c>
      <c r="BY39" s="877">
        <f t="shared" si="57"/>
        <v>0</v>
      </c>
      <c r="BZ39" s="877">
        <f t="shared" si="57"/>
        <v>0</v>
      </c>
      <c r="CA39" s="877">
        <f t="shared" si="57"/>
        <v>0</v>
      </c>
      <c r="CB39" s="877">
        <f t="shared" si="57"/>
        <v>0</v>
      </c>
      <c r="CC39" s="877">
        <f t="shared" si="57"/>
        <v>0</v>
      </c>
      <c r="CD39" s="877">
        <f t="shared" si="57"/>
        <v>0</v>
      </c>
      <c r="CE39" s="877">
        <f t="shared" si="57"/>
        <v>0</v>
      </c>
      <c r="CF39" s="877">
        <f t="shared" si="57"/>
        <v>0</v>
      </c>
      <c r="CG39" s="877">
        <f t="shared" si="57"/>
        <v>0</v>
      </c>
      <c r="CH39" s="877">
        <f t="shared" si="57"/>
        <v>0</v>
      </c>
      <c r="CI39" s="877">
        <f t="shared" si="57"/>
        <v>0</v>
      </c>
      <c r="CJ39" s="877">
        <f t="shared" si="57"/>
        <v>0</v>
      </c>
      <c r="CK39" s="877">
        <f t="shared" si="57"/>
        <v>0</v>
      </c>
      <c r="CL39" s="877">
        <f t="shared" si="57"/>
        <v>0</v>
      </c>
      <c r="CM39" s="877">
        <f t="shared" si="57"/>
        <v>0</v>
      </c>
      <c r="CN39" s="877">
        <f t="shared" si="57"/>
        <v>0</v>
      </c>
      <c r="CO39" s="877">
        <f t="shared" si="57"/>
        <v>0</v>
      </c>
      <c r="CP39" s="877">
        <f t="shared" ref="CP39:CX39" si="58">CH99/12*8*CO13*CP13</f>
        <v>0</v>
      </c>
      <c r="CQ39" s="877">
        <f t="shared" si="58"/>
        <v>0</v>
      </c>
      <c r="CR39" s="877">
        <f t="shared" si="58"/>
        <v>0</v>
      </c>
      <c r="CS39" s="877">
        <f t="shared" si="58"/>
        <v>0</v>
      </c>
      <c r="CT39" s="877">
        <f t="shared" si="58"/>
        <v>0</v>
      </c>
      <c r="CU39" s="877">
        <f t="shared" si="58"/>
        <v>0</v>
      </c>
      <c r="CV39" s="877">
        <f t="shared" si="58"/>
        <v>0</v>
      </c>
      <c r="CW39" s="877">
        <f t="shared" si="58"/>
        <v>0</v>
      </c>
      <c r="CX39" s="877">
        <f t="shared" si="58"/>
        <v>0</v>
      </c>
    </row>
    <row r="40" spans="2:102" ht="30.75" customHeight="1">
      <c r="B40" s="904"/>
      <c r="C40" s="905" t="s">
        <v>1172</v>
      </c>
      <c r="D40" s="906" t="s">
        <v>1128</v>
      </c>
      <c r="E40" s="907"/>
      <c r="F40" s="907"/>
      <c r="G40" s="907">
        <f>G20-G37-G38</f>
        <v>37142.207721333623</v>
      </c>
      <c r="H40" s="877"/>
      <c r="I40" s="877"/>
      <c r="J40" s="877"/>
      <c r="K40" s="877"/>
      <c r="L40" s="877"/>
      <c r="M40" s="877"/>
      <c r="N40" s="877"/>
      <c r="O40" s="877"/>
      <c r="P40" s="877"/>
      <c r="Q40" s="877"/>
      <c r="R40" s="877">
        <f>R20-R37-R38</f>
        <v>0</v>
      </c>
      <c r="S40" s="877">
        <f>S20-S37-S38</f>
        <v>0</v>
      </c>
      <c r="T40" s="877">
        <f>T20-T37-T38</f>
        <v>37142.207721333623</v>
      </c>
      <c r="U40" s="907">
        <f>U20-U37-U38</f>
        <v>8246.7489845794553</v>
      </c>
      <c r="V40" s="877">
        <f t="shared" ref="V40:AA40" si="59">V20-V37-V38</f>
        <v>0</v>
      </c>
      <c r="W40" s="877">
        <f t="shared" si="59"/>
        <v>0</v>
      </c>
      <c r="X40" s="877">
        <f t="shared" si="59"/>
        <v>0</v>
      </c>
      <c r="Y40" s="877">
        <f>Y20-Y37-Y38</f>
        <v>0</v>
      </c>
      <c r="Z40" s="877">
        <f t="shared" si="59"/>
        <v>0</v>
      </c>
      <c r="AA40" s="877">
        <f t="shared" si="59"/>
        <v>0</v>
      </c>
      <c r="AB40" s="877">
        <f>AB20-AB37-AB38</f>
        <v>0</v>
      </c>
      <c r="AC40" s="877">
        <f t="shared" ref="AC40:CN40" si="60">AC20-AC37-AC38</f>
        <v>0</v>
      </c>
      <c r="AD40" s="877">
        <f t="shared" si="60"/>
        <v>8246.7489845794553</v>
      </c>
      <c r="AE40" s="877">
        <f t="shared" si="60"/>
        <v>0</v>
      </c>
      <c r="AF40" s="877">
        <f t="shared" si="60"/>
        <v>0</v>
      </c>
      <c r="AG40" s="877">
        <f t="shared" si="60"/>
        <v>0</v>
      </c>
      <c r="AH40" s="877">
        <f t="shared" si="60"/>
        <v>0</v>
      </c>
      <c r="AI40" s="877">
        <f t="shared" si="60"/>
        <v>0</v>
      </c>
      <c r="AJ40" s="877">
        <f t="shared" si="60"/>
        <v>0</v>
      </c>
      <c r="AK40" s="877">
        <f t="shared" si="60"/>
        <v>0</v>
      </c>
      <c r="AL40" s="877">
        <f t="shared" si="60"/>
        <v>0</v>
      </c>
      <c r="AM40" s="877">
        <f t="shared" si="60"/>
        <v>0</v>
      </c>
      <c r="AN40" s="877">
        <f t="shared" si="60"/>
        <v>0</v>
      </c>
      <c r="AO40" s="877">
        <f t="shared" si="60"/>
        <v>0</v>
      </c>
      <c r="AP40" s="877">
        <f t="shared" si="60"/>
        <v>0</v>
      </c>
      <c r="AQ40" s="877">
        <f t="shared" si="60"/>
        <v>0</v>
      </c>
      <c r="AR40" s="877">
        <f t="shared" si="60"/>
        <v>0</v>
      </c>
      <c r="AS40" s="877">
        <f t="shared" si="60"/>
        <v>0</v>
      </c>
      <c r="AT40" s="877">
        <f t="shared" si="60"/>
        <v>0</v>
      </c>
      <c r="AU40" s="877">
        <f t="shared" si="60"/>
        <v>0</v>
      </c>
      <c r="AV40" s="877">
        <f t="shared" si="60"/>
        <v>0</v>
      </c>
      <c r="AW40" s="877">
        <f t="shared" si="60"/>
        <v>0</v>
      </c>
      <c r="AX40" s="877">
        <f t="shared" si="60"/>
        <v>0</v>
      </c>
      <c r="AY40" s="877">
        <f t="shared" si="60"/>
        <v>0</v>
      </c>
      <c r="AZ40" s="877">
        <f t="shared" si="60"/>
        <v>0</v>
      </c>
      <c r="BA40" s="877">
        <f t="shared" si="60"/>
        <v>0</v>
      </c>
      <c r="BB40" s="877">
        <f t="shared" si="60"/>
        <v>0</v>
      </c>
      <c r="BC40" s="877">
        <f t="shared" si="60"/>
        <v>0</v>
      </c>
      <c r="BD40" s="877">
        <f t="shared" si="60"/>
        <v>0</v>
      </c>
      <c r="BE40" s="877">
        <f t="shared" si="60"/>
        <v>0</v>
      </c>
      <c r="BF40" s="877">
        <f t="shared" si="60"/>
        <v>0</v>
      </c>
      <c r="BG40" s="877">
        <f t="shared" si="60"/>
        <v>0</v>
      </c>
      <c r="BH40" s="877">
        <f t="shared" si="60"/>
        <v>0</v>
      </c>
      <c r="BI40" s="877">
        <f t="shared" si="60"/>
        <v>0</v>
      </c>
      <c r="BJ40" s="877">
        <f t="shared" si="60"/>
        <v>0</v>
      </c>
      <c r="BK40" s="877">
        <f t="shared" si="60"/>
        <v>0</v>
      </c>
      <c r="BL40" s="877">
        <f t="shared" si="60"/>
        <v>0</v>
      </c>
      <c r="BM40" s="877">
        <f t="shared" si="60"/>
        <v>0</v>
      </c>
      <c r="BN40" s="877">
        <f t="shared" si="60"/>
        <v>0</v>
      </c>
      <c r="BO40" s="877">
        <f t="shared" si="60"/>
        <v>0</v>
      </c>
      <c r="BP40" s="877">
        <f t="shared" si="60"/>
        <v>0</v>
      </c>
      <c r="BQ40" s="877">
        <f t="shared" si="60"/>
        <v>0</v>
      </c>
      <c r="BR40" s="877">
        <f t="shared" si="60"/>
        <v>0</v>
      </c>
      <c r="BS40" s="877">
        <f t="shared" si="60"/>
        <v>0</v>
      </c>
      <c r="BT40" s="877">
        <f t="shared" si="60"/>
        <v>0</v>
      </c>
      <c r="BU40" s="877">
        <f t="shared" si="60"/>
        <v>0</v>
      </c>
      <c r="BV40" s="877">
        <f t="shared" si="60"/>
        <v>0</v>
      </c>
      <c r="BW40" s="877">
        <f t="shared" si="60"/>
        <v>0</v>
      </c>
      <c r="BX40" s="877">
        <f t="shared" si="60"/>
        <v>0</v>
      </c>
      <c r="BY40" s="877">
        <f t="shared" si="60"/>
        <v>0</v>
      </c>
      <c r="BZ40" s="877">
        <f t="shared" si="60"/>
        <v>0</v>
      </c>
      <c r="CA40" s="877">
        <f t="shared" si="60"/>
        <v>0</v>
      </c>
      <c r="CB40" s="877">
        <f t="shared" si="60"/>
        <v>0</v>
      </c>
      <c r="CC40" s="877">
        <f t="shared" si="60"/>
        <v>0</v>
      </c>
      <c r="CD40" s="877">
        <f t="shared" si="60"/>
        <v>0</v>
      </c>
      <c r="CE40" s="877">
        <f t="shared" si="60"/>
        <v>0</v>
      </c>
      <c r="CF40" s="877">
        <f t="shared" si="60"/>
        <v>0</v>
      </c>
      <c r="CG40" s="877">
        <f t="shared" si="60"/>
        <v>0</v>
      </c>
      <c r="CH40" s="877">
        <f t="shared" si="60"/>
        <v>0</v>
      </c>
      <c r="CI40" s="877">
        <f t="shared" si="60"/>
        <v>0</v>
      </c>
      <c r="CJ40" s="877">
        <f t="shared" si="60"/>
        <v>0</v>
      </c>
      <c r="CK40" s="877">
        <f t="shared" si="60"/>
        <v>0</v>
      </c>
      <c r="CL40" s="877">
        <f t="shared" si="60"/>
        <v>0</v>
      </c>
      <c r="CM40" s="877">
        <f t="shared" si="60"/>
        <v>0</v>
      </c>
      <c r="CN40" s="877">
        <f t="shared" si="60"/>
        <v>0</v>
      </c>
      <c r="CO40" s="877">
        <f t="shared" ref="CO40:CX40" si="61">CO20-CO37-CO38</f>
        <v>0</v>
      </c>
      <c r="CP40" s="877">
        <f t="shared" si="61"/>
        <v>0</v>
      </c>
      <c r="CQ40" s="877">
        <f t="shared" si="61"/>
        <v>0</v>
      </c>
      <c r="CR40" s="877">
        <f t="shared" si="61"/>
        <v>0</v>
      </c>
      <c r="CS40" s="877">
        <f t="shared" si="61"/>
        <v>0</v>
      </c>
      <c r="CT40" s="877">
        <f t="shared" si="61"/>
        <v>0</v>
      </c>
      <c r="CU40" s="877">
        <f t="shared" si="61"/>
        <v>0</v>
      </c>
      <c r="CV40" s="877">
        <f t="shared" si="61"/>
        <v>0</v>
      </c>
      <c r="CW40" s="877">
        <f t="shared" si="61"/>
        <v>0</v>
      </c>
      <c r="CX40" s="877">
        <f t="shared" si="61"/>
        <v>0</v>
      </c>
    </row>
    <row r="41" spans="2:102" ht="40.5">
      <c r="B41" s="900"/>
      <c r="C41" s="909" t="s">
        <v>1173</v>
      </c>
      <c r="D41" s="902" t="s">
        <v>1128</v>
      </c>
      <c r="E41" s="903"/>
      <c r="F41" s="903"/>
      <c r="G41" s="903">
        <f>G40-G39</f>
        <v>37142.207721333623</v>
      </c>
      <c r="H41" s="877"/>
      <c r="I41" s="877"/>
      <c r="J41" s="877"/>
      <c r="K41" s="877"/>
      <c r="L41" s="877"/>
      <c r="M41" s="877"/>
      <c r="N41" s="877"/>
      <c r="O41" s="877"/>
      <c r="P41" s="877"/>
      <c r="Q41" s="877"/>
      <c r="R41" s="877">
        <f>R40-R39</f>
        <v>0</v>
      </c>
      <c r="S41" s="877">
        <f>S40-S39</f>
        <v>0</v>
      </c>
      <c r="T41" s="877">
        <f>T40-T39</f>
        <v>37142.207721333623</v>
      </c>
      <c r="U41" s="903">
        <f>U40-U39</f>
        <v>8246.7489845794553</v>
      </c>
      <c r="V41" s="877">
        <f t="shared" ref="V41:CG41" si="62">V40-V39</f>
        <v>0</v>
      </c>
      <c r="W41" s="877">
        <f t="shared" si="62"/>
        <v>0</v>
      </c>
      <c r="X41" s="877">
        <f t="shared" si="62"/>
        <v>0</v>
      </c>
      <c r="Y41" s="877">
        <f>Y40-Y39</f>
        <v>0</v>
      </c>
      <c r="Z41" s="877">
        <f t="shared" si="62"/>
        <v>0</v>
      </c>
      <c r="AA41" s="877">
        <f t="shared" si="62"/>
        <v>0</v>
      </c>
      <c r="AB41" s="877">
        <f t="shared" si="62"/>
        <v>0</v>
      </c>
      <c r="AC41" s="877">
        <f t="shared" si="62"/>
        <v>0</v>
      </c>
      <c r="AD41" s="877">
        <f t="shared" si="62"/>
        <v>8246.7489845794553</v>
      </c>
      <c r="AE41" s="877">
        <f t="shared" si="62"/>
        <v>0</v>
      </c>
      <c r="AF41" s="877">
        <f t="shared" si="62"/>
        <v>0</v>
      </c>
      <c r="AG41" s="877">
        <f t="shared" si="62"/>
        <v>0</v>
      </c>
      <c r="AH41" s="877">
        <f t="shared" si="62"/>
        <v>0</v>
      </c>
      <c r="AI41" s="877">
        <f t="shared" si="62"/>
        <v>0</v>
      </c>
      <c r="AJ41" s="877">
        <f t="shared" si="62"/>
        <v>0</v>
      </c>
      <c r="AK41" s="877">
        <f t="shared" si="62"/>
        <v>0</v>
      </c>
      <c r="AL41" s="877">
        <f t="shared" si="62"/>
        <v>0</v>
      </c>
      <c r="AM41" s="877">
        <f t="shared" si="62"/>
        <v>0</v>
      </c>
      <c r="AN41" s="877">
        <f t="shared" si="62"/>
        <v>0</v>
      </c>
      <c r="AO41" s="877">
        <f t="shared" si="62"/>
        <v>0</v>
      </c>
      <c r="AP41" s="877">
        <f t="shared" si="62"/>
        <v>0</v>
      </c>
      <c r="AQ41" s="877">
        <f t="shared" si="62"/>
        <v>0</v>
      </c>
      <c r="AR41" s="877">
        <f t="shared" si="62"/>
        <v>0</v>
      </c>
      <c r="AS41" s="877">
        <f t="shared" si="62"/>
        <v>0</v>
      </c>
      <c r="AT41" s="877">
        <f t="shared" si="62"/>
        <v>0</v>
      </c>
      <c r="AU41" s="877">
        <f t="shared" si="62"/>
        <v>0</v>
      </c>
      <c r="AV41" s="877">
        <f t="shared" si="62"/>
        <v>0</v>
      </c>
      <c r="AW41" s="877">
        <f t="shared" si="62"/>
        <v>0</v>
      </c>
      <c r="AX41" s="877">
        <f t="shared" si="62"/>
        <v>0</v>
      </c>
      <c r="AY41" s="877">
        <f t="shared" si="62"/>
        <v>0</v>
      </c>
      <c r="AZ41" s="877">
        <f t="shared" si="62"/>
        <v>0</v>
      </c>
      <c r="BA41" s="877">
        <f t="shared" si="62"/>
        <v>0</v>
      </c>
      <c r="BB41" s="877">
        <f t="shared" si="62"/>
        <v>0</v>
      </c>
      <c r="BC41" s="877">
        <f t="shared" si="62"/>
        <v>0</v>
      </c>
      <c r="BD41" s="877">
        <f t="shared" si="62"/>
        <v>0</v>
      </c>
      <c r="BE41" s="877">
        <f t="shared" si="62"/>
        <v>0</v>
      </c>
      <c r="BF41" s="877">
        <f t="shared" si="62"/>
        <v>0</v>
      </c>
      <c r="BG41" s="877">
        <f t="shared" si="62"/>
        <v>0</v>
      </c>
      <c r="BH41" s="877">
        <f t="shared" si="62"/>
        <v>0</v>
      </c>
      <c r="BI41" s="877">
        <f t="shared" si="62"/>
        <v>0</v>
      </c>
      <c r="BJ41" s="877">
        <f t="shared" si="62"/>
        <v>0</v>
      </c>
      <c r="BK41" s="877">
        <f t="shared" si="62"/>
        <v>0</v>
      </c>
      <c r="BL41" s="877">
        <f t="shared" si="62"/>
        <v>0</v>
      </c>
      <c r="BM41" s="877">
        <f t="shared" si="62"/>
        <v>0</v>
      </c>
      <c r="BN41" s="877">
        <f t="shared" si="62"/>
        <v>0</v>
      </c>
      <c r="BO41" s="877">
        <f t="shared" si="62"/>
        <v>0</v>
      </c>
      <c r="BP41" s="877">
        <f t="shared" si="62"/>
        <v>0</v>
      </c>
      <c r="BQ41" s="877">
        <f t="shared" si="62"/>
        <v>0</v>
      </c>
      <c r="BR41" s="877">
        <f t="shared" si="62"/>
        <v>0</v>
      </c>
      <c r="BS41" s="877">
        <f t="shared" si="62"/>
        <v>0</v>
      </c>
      <c r="BT41" s="877">
        <f t="shared" si="62"/>
        <v>0</v>
      </c>
      <c r="BU41" s="877">
        <f t="shared" si="62"/>
        <v>0</v>
      </c>
      <c r="BV41" s="877">
        <f t="shared" si="62"/>
        <v>0</v>
      </c>
      <c r="BW41" s="877">
        <f t="shared" si="62"/>
        <v>0</v>
      </c>
      <c r="BX41" s="877">
        <f t="shared" si="62"/>
        <v>0</v>
      </c>
      <c r="BY41" s="877">
        <f t="shared" si="62"/>
        <v>0</v>
      </c>
      <c r="BZ41" s="877">
        <f t="shared" si="62"/>
        <v>0</v>
      </c>
      <c r="CA41" s="877">
        <f t="shared" si="62"/>
        <v>0</v>
      </c>
      <c r="CB41" s="877">
        <f t="shared" si="62"/>
        <v>0</v>
      </c>
      <c r="CC41" s="877">
        <f t="shared" si="62"/>
        <v>0</v>
      </c>
      <c r="CD41" s="877">
        <f t="shared" si="62"/>
        <v>0</v>
      </c>
      <c r="CE41" s="877">
        <f t="shared" si="62"/>
        <v>0</v>
      </c>
      <c r="CF41" s="877">
        <f t="shared" si="62"/>
        <v>0</v>
      </c>
      <c r="CG41" s="877">
        <f t="shared" si="62"/>
        <v>0</v>
      </c>
      <c r="CH41" s="877">
        <f t="shared" ref="CH41:CX41" si="63">CH40-CH39</f>
        <v>0</v>
      </c>
      <c r="CI41" s="877">
        <f t="shared" si="63"/>
        <v>0</v>
      </c>
      <c r="CJ41" s="877">
        <f t="shared" si="63"/>
        <v>0</v>
      </c>
      <c r="CK41" s="877">
        <f t="shared" si="63"/>
        <v>0</v>
      </c>
      <c r="CL41" s="877">
        <f t="shared" si="63"/>
        <v>0</v>
      </c>
      <c r="CM41" s="877">
        <f t="shared" si="63"/>
        <v>0</v>
      </c>
      <c r="CN41" s="877">
        <f t="shared" si="63"/>
        <v>0</v>
      </c>
      <c r="CO41" s="877">
        <f t="shared" si="63"/>
        <v>0</v>
      </c>
      <c r="CP41" s="877">
        <f t="shared" si="63"/>
        <v>0</v>
      </c>
      <c r="CQ41" s="877">
        <f t="shared" si="63"/>
        <v>0</v>
      </c>
      <c r="CR41" s="877">
        <f t="shared" si="63"/>
        <v>0</v>
      </c>
      <c r="CS41" s="877">
        <f t="shared" si="63"/>
        <v>0</v>
      </c>
      <c r="CT41" s="877">
        <f t="shared" si="63"/>
        <v>0</v>
      </c>
      <c r="CU41" s="877">
        <f t="shared" si="63"/>
        <v>0</v>
      </c>
      <c r="CV41" s="877">
        <f t="shared" si="63"/>
        <v>0</v>
      </c>
      <c r="CW41" s="877">
        <f t="shared" si="63"/>
        <v>0</v>
      </c>
      <c r="CX41" s="877">
        <f t="shared" si="63"/>
        <v>0</v>
      </c>
    </row>
    <row r="42" spans="2:102" ht="20.25" hidden="1" customHeight="1" outlineLevel="1">
      <c r="B42" s="904"/>
      <c r="C42" s="905" t="s">
        <v>1174</v>
      </c>
      <c r="D42" s="906" t="s">
        <v>1128</v>
      </c>
      <c r="E42" s="907"/>
      <c r="F42" s="907"/>
      <c r="G42" s="907">
        <f>G36*1.2</f>
        <v>47854.507934105313</v>
      </c>
      <c r="H42" s="877"/>
      <c r="I42" s="877"/>
      <c r="J42" s="877"/>
      <c r="K42" s="877"/>
      <c r="L42" s="877"/>
      <c r="M42" s="877"/>
      <c r="N42" s="877"/>
      <c r="O42" s="877"/>
      <c r="P42" s="877"/>
      <c r="Q42" s="877"/>
      <c r="R42" s="877"/>
      <c r="S42" s="877"/>
      <c r="T42" s="877"/>
      <c r="U42" s="907">
        <f>U36*1.2</f>
        <v>11128.204630414308</v>
      </c>
      <c r="V42" s="877">
        <f t="shared" ref="V42:AA42" si="64">V36*1.18</f>
        <v>0</v>
      </c>
      <c r="W42" s="877">
        <f t="shared" si="64"/>
        <v>0</v>
      </c>
      <c r="X42" s="877">
        <f t="shared" si="64"/>
        <v>0</v>
      </c>
      <c r="Y42" s="877">
        <f t="shared" si="64"/>
        <v>0</v>
      </c>
      <c r="Z42" s="877">
        <f t="shared" si="64"/>
        <v>0</v>
      </c>
      <c r="AA42" s="877">
        <f t="shared" si="64"/>
        <v>0</v>
      </c>
      <c r="AB42" s="877">
        <f>AB36*1.2</f>
        <v>0</v>
      </c>
      <c r="AC42" s="877">
        <f>AC36*1.2</f>
        <v>0</v>
      </c>
      <c r="AD42" s="877">
        <f t="shared" ref="AD42:CO42" si="65">AD36*1.2</f>
        <v>11128.204630414308</v>
      </c>
      <c r="AE42" s="877">
        <f t="shared" si="65"/>
        <v>0</v>
      </c>
      <c r="AF42" s="877">
        <f t="shared" si="65"/>
        <v>0</v>
      </c>
      <c r="AG42" s="877">
        <f t="shared" si="65"/>
        <v>0</v>
      </c>
      <c r="AH42" s="877">
        <f t="shared" si="65"/>
        <v>0</v>
      </c>
      <c r="AI42" s="877">
        <f t="shared" si="65"/>
        <v>0</v>
      </c>
      <c r="AJ42" s="877">
        <f t="shared" si="65"/>
        <v>0</v>
      </c>
      <c r="AK42" s="877">
        <f t="shared" si="65"/>
        <v>0</v>
      </c>
      <c r="AL42" s="877">
        <f t="shared" si="65"/>
        <v>0</v>
      </c>
      <c r="AM42" s="877">
        <f t="shared" si="65"/>
        <v>0</v>
      </c>
      <c r="AN42" s="877">
        <f t="shared" si="65"/>
        <v>0</v>
      </c>
      <c r="AO42" s="877">
        <f t="shared" si="65"/>
        <v>0</v>
      </c>
      <c r="AP42" s="877">
        <f t="shared" si="65"/>
        <v>0</v>
      </c>
      <c r="AQ42" s="877">
        <f t="shared" si="65"/>
        <v>0</v>
      </c>
      <c r="AR42" s="877">
        <f t="shared" si="65"/>
        <v>0</v>
      </c>
      <c r="AS42" s="877">
        <f t="shared" si="65"/>
        <v>0</v>
      </c>
      <c r="AT42" s="877">
        <f t="shared" si="65"/>
        <v>0</v>
      </c>
      <c r="AU42" s="877">
        <f t="shared" si="65"/>
        <v>0</v>
      </c>
      <c r="AV42" s="877">
        <f t="shared" si="65"/>
        <v>0</v>
      </c>
      <c r="AW42" s="877">
        <f t="shared" si="65"/>
        <v>0</v>
      </c>
      <c r="AX42" s="877">
        <f t="shared" si="65"/>
        <v>0</v>
      </c>
      <c r="AY42" s="877">
        <f t="shared" si="65"/>
        <v>0</v>
      </c>
      <c r="AZ42" s="877">
        <f t="shared" si="65"/>
        <v>0</v>
      </c>
      <c r="BA42" s="877">
        <f t="shared" si="65"/>
        <v>0</v>
      </c>
      <c r="BB42" s="877">
        <f t="shared" si="65"/>
        <v>0</v>
      </c>
      <c r="BC42" s="877">
        <f t="shared" si="65"/>
        <v>0</v>
      </c>
      <c r="BD42" s="877">
        <f t="shared" si="65"/>
        <v>0</v>
      </c>
      <c r="BE42" s="877">
        <f t="shared" si="65"/>
        <v>0</v>
      </c>
      <c r="BF42" s="877">
        <f t="shared" si="65"/>
        <v>0</v>
      </c>
      <c r="BG42" s="877">
        <f t="shared" si="65"/>
        <v>0</v>
      </c>
      <c r="BH42" s="877">
        <f t="shared" si="65"/>
        <v>0</v>
      </c>
      <c r="BI42" s="877">
        <f t="shared" si="65"/>
        <v>0</v>
      </c>
      <c r="BJ42" s="877">
        <f t="shared" si="65"/>
        <v>0</v>
      </c>
      <c r="BK42" s="877">
        <f t="shared" si="65"/>
        <v>0</v>
      </c>
      <c r="BL42" s="877">
        <f t="shared" si="65"/>
        <v>0</v>
      </c>
      <c r="BM42" s="877">
        <f t="shared" si="65"/>
        <v>0</v>
      </c>
      <c r="BN42" s="877">
        <f t="shared" si="65"/>
        <v>0</v>
      </c>
      <c r="BO42" s="877">
        <f t="shared" si="65"/>
        <v>0</v>
      </c>
      <c r="BP42" s="877">
        <f t="shared" si="65"/>
        <v>0</v>
      </c>
      <c r="BQ42" s="877">
        <f t="shared" si="65"/>
        <v>0</v>
      </c>
      <c r="BR42" s="877">
        <f t="shared" si="65"/>
        <v>0</v>
      </c>
      <c r="BS42" s="877">
        <f t="shared" si="65"/>
        <v>0</v>
      </c>
      <c r="BT42" s="877">
        <f t="shared" si="65"/>
        <v>0</v>
      </c>
      <c r="BU42" s="877">
        <f t="shared" si="65"/>
        <v>0</v>
      </c>
      <c r="BV42" s="877">
        <f t="shared" si="65"/>
        <v>0</v>
      </c>
      <c r="BW42" s="877">
        <f t="shared" si="65"/>
        <v>0</v>
      </c>
      <c r="BX42" s="877">
        <f t="shared" si="65"/>
        <v>0</v>
      </c>
      <c r="BY42" s="877">
        <f t="shared" si="65"/>
        <v>0</v>
      </c>
      <c r="BZ42" s="877">
        <f t="shared" si="65"/>
        <v>0</v>
      </c>
      <c r="CA42" s="877">
        <f t="shared" si="65"/>
        <v>0</v>
      </c>
      <c r="CB42" s="877">
        <f t="shared" si="65"/>
        <v>0</v>
      </c>
      <c r="CC42" s="877">
        <f t="shared" si="65"/>
        <v>0</v>
      </c>
      <c r="CD42" s="877">
        <f t="shared" si="65"/>
        <v>0</v>
      </c>
      <c r="CE42" s="877">
        <f t="shared" si="65"/>
        <v>0</v>
      </c>
      <c r="CF42" s="877">
        <f t="shared" si="65"/>
        <v>0</v>
      </c>
      <c r="CG42" s="877">
        <f t="shared" si="65"/>
        <v>0</v>
      </c>
      <c r="CH42" s="877">
        <f t="shared" si="65"/>
        <v>0</v>
      </c>
      <c r="CI42" s="877">
        <f t="shared" si="65"/>
        <v>0</v>
      </c>
      <c r="CJ42" s="877">
        <f t="shared" si="65"/>
        <v>0</v>
      </c>
      <c r="CK42" s="877">
        <f t="shared" si="65"/>
        <v>0</v>
      </c>
      <c r="CL42" s="877">
        <f t="shared" si="65"/>
        <v>0</v>
      </c>
      <c r="CM42" s="877">
        <f t="shared" si="65"/>
        <v>0</v>
      </c>
      <c r="CN42" s="877">
        <f t="shared" si="65"/>
        <v>0</v>
      </c>
      <c r="CO42" s="877">
        <f t="shared" si="65"/>
        <v>0</v>
      </c>
      <c r="CP42" s="877">
        <f t="shared" ref="CP42:CX42" si="66">CP36*1.2</f>
        <v>0</v>
      </c>
      <c r="CQ42" s="877">
        <f t="shared" si="66"/>
        <v>0</v>
      </c>
      <c r="CR42" s="877">
        <f t="shared" si="66"/>
        <v>0</v>
      </c>
      <c r="CS42" s="877">
        <f t="shared" si="66"/>
        <v>0</v>
      </c>
      <c r="CT42" s="877">
        <f t="shared" si="66"/>
        <v>0</v>
      </c>
      <c r="CU42" s="877">
        <f t="shared" si="66"/>
        <v>0</v>
      </c>
      <c r="CV42" s="877">
        <f t="shared" si="66"/>
        <v>0</v>
      </c>
      <c r="CW42" s="877">
        <f t="shared" si="66"/>
        <v>0</v>
      </c>
      <c r="CX42" s="877">
        <f t="shared" si="66"/>
        <v>0</v>
      </c>
    </row>
    <row r="43" spans="2:102" ht="31.5" customHeight="1" collapsed="1">
      <c r="B43" s="866" t="s">
        <v>1175</v>
      </c>
      <c r="C43" s="867" t="s">
        <v>1176</v>
      </c>
      <c r="D43" s="868" t="s">
        <v>1128</v>
      </c>
      <c r="E43" s="869">
        <f>F43+AE43</f>
        <v>0</v>
      </c>
      <c r="F43" s="869">
        <f>F44+F45</f>
        <v>0</v>
      </c>
      <c r="G43" s="869">
        <f>G44+G45</f>
        <v>0</v>
      </c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9">
        <f>U44+U45</f>
        <v>0</v>
      </c>
      <c r="V43" s="862">
        <f t="shared" ref="V43:AA43" si="67">V44+V45</f>
        <v>0</v>
      </c>
      <c r="W43" s="862">
        <f t="shared" si="67"/>
        <v>0</v>
      </c>
      <c r="X43" s="862">
        <f t="shared" si="67"/>
        <v>0</v>
      </c>
      <c r="Y43" s="862">
        <f t="shared" si="67"/>
        <v>0</v>
      </c>
      <c r="Z43" s="862">
        <f t="shared" si="67"/>
        <v>0</v>
      </c>
      <c r="AA43" s="862">
        <f t="shared" si="67"/>
        <v>0</v>
      </c>
      <c r="AB43" s="862">
        <f>AB44+AB45</f>
        <v>0</v>
      </c>
      <c r="AC43" s="862">
        <f t="shared" ref="AC43:CN43" si="68">AC44+AC45</f>
        <v>0</v>
      </c>
      <c r="AD43" s="862">
        <f t="shared" si="68"/>
        <v>0</v>
      </c>
      <c r="AE43" s="862">
        <f t="shared" si="68"/>
        <v>0</v>
      </c>
      <c r="AF43" s="862">
        <f t="shared" si="68"/>
        <v>0</v>
      </c>
      <c r="AG43" s="862">
        <f t="shared" si="68"/>
        <v>0</v>
      </c>
      <c r="AH43" s="862">
        <f t="shared" si="68"/>
        <v>0</v>
      </c>
      <c r="AI43" s="862">
        <f t="shared" si="68"/>
        <v>0</v>
      </c>
      <c r="AJ43" s="862">
        <f t="shared" si="68"/>
        <v>0</v>
      </c>
      <c r="AK43" s="862">
        <f t="shared" si="68"/>
        <v>0</v>
      </c>
      <c r="AL43" s="862">
        <f t="shared" si="68"/>
        <v>0</v>
      </c>
      <c r="AM43" s="862">
        <f t="shared" si="68"/>
        <v>0</v>
      </c>
      <c r="AN43" s="862">
        <f t="shared" si="68"/>
        <v>0</v>
      </c>
      <c r="AO43" s="862">
        <f t="shared" si="68"/>
        <v>0</v>
      </c>
      <c r="AP43" s="862">
        <f t="shared" si="68"/>
        <v>0</v>
      </c>
      <c r="AQ43" s="862">
        <f t="shared" si="68"/>
        <v>0</v>
      </c>
      <c r="AR43" s="862">
        <f t="shared" si="68"/>
        <v>0</v>
      </c>
      <c r="AS43" s="862">
        <f t="shared" si="68"/>
        <v>0</v>
      </c>
      <c r="AT43" s="862">
        <f t="shared" si="68"/>
        <v>0</v>
      </c>
      <c r="AU43" s="862">
        <f t="shared" si="68"/>
        <v>0</v>
      </c>
      <c r="AV43" s="862">
        <f t="shared" si="68"/>
        <v>0</v>
      </c>
      <c r="AW43" s="862">
        <f t="shared" si="68"/>
        <v>0</v>
      </c>
      <c r="AX43" s="862">
        <f t="shared" si="68"/>
        <v>0</v>
      </c>
      <c r="AY43" s="862">
        <f t="shared" si="68"/>
        <v>0</v>
      </c>
      <c r="AZ43" s="862">
        <f t="shared" si="68"/>
        <v>0</v>
      </c>
      <c r="BA43" s="862">
        <f t="shared" si="68"/>
        <v>0</v>
      </c>
      <c r="BB43" s="862">
        <f t="shared" si="68"/>
        <v>0</v>
      </c>
      <c r="BC43" s="862">
        <f t="shared" si="68"/>
        <v>0</v>
      </c>
      <c r="BD43" s="862">
        <f t="shared" si="68"/>
        <v>0</v>
      </c>
      <c r="BE43" s="862">
        <f t="shared" si="68"/>
        <v>0</v>
      </c>
      <c r="BF43" s="862">
        <f t="shared" si="68"/>
        <v>0</v>
      </c>
      <c r="BG43" s="862">
        <f t="shared" si="68"/>
        <v>0</v>
      </c>
      <c r="BH43" s="862">
        <f t="shared" si="68"/>
        <v>0</v>
      </c>
      <c r="BI43" s="862">
        <f t="shared" si="68"/>
        <v>0</v>
      </c>
      <c r="BJ43" s="862">
        <f t="shared" si="68"/>
        <v>0</v>
      </c>
      <c r="BK43" s="862">
        <f t="shared" si="68"/>
        <v>0</v>
      </c>
      <c r="BL43" s="862">
        <f t="shared" si="68"/>
        <v>0</v>
      </c>
      <c r="BM43" s="862">
        <f t="shared" si="68"/>
        <v>0</v>
      </c>
      <c r="BN43" s="862">
        <f t="shared" si="68"/>
        <v>0</v>
      </c>
      <c r="BO43" s="862">
        <f t="shared" si="68"/>
        <v>0</v>
      </c>
      <c r="BP43" s="862">
        <f t="shared" si="68"/>
        <v>0</v>
      </c>
      <c r="BQ43" s="862">
        <f t="shared" si="68"/>
        <v>0</v>
      </c>
      <c r="BR43" s="862">
        <f t="shared" si="68"/>
        <v>0</v>
      </c>
      <c r="BS43" s="862">
        <f t="shared" si="68"/>
        <v>0</v>
      </c>
      <c r="BT43" s="862">
        <f t="shared" si="68"/>
        <v>0</v>
      </c>
      <c r="BU43" s="862">
        <f t="shared" si="68"/>
        <v>0</v>
      </c>
      <c r="BV43" s="862">
        <f t="shared" si="68"/>
        <v>0</v>
      </c>
      <c r="BW43" s="862">
        <f t="shared" si="68"/>
        <v>0</v>
      </c>
      <c r="BX43" s="862">
        <f t="shared" si="68"/>
        <v>0</v>
      </c>
      <c r="BY43" s="862">
        <f t="shared" si="68"/>
        <v>0</v>
      </c>
      <c r="BZ43" s="862">
        <f t="shared" si="68"/>
        <v>0</v>
      </c>
      <c r="CA43" s="862">
        <f t="shared" si="68"/>
        <v>0</v>
      </c>
      <c r="CB43" s="862">
        <f t="shared" si="68"/>
        <v>0</v>
      </c>
      <c r="CC43" s="862">
        <f t="shared" si="68"/>
        <v>0</v>
      </c>
      <c r="CD43" s="862">
        <f t="shared" si="68"/>
        <v>0</v>
      </c>
      <c r="CE43" s="862">
        <f t="shared" si="68"/>
        <v>0</v>
      </c>
      <c r="CF43" s="862">
        <f t="shared" si="68"/>
        <v>0</v>
      </c>
      <c r="CG43" s="862">
        <f t="shared" si="68"/>
        <v>0</v>
      </c>
      <c r="CH43" s="862">
        <f t="shared" si="68"/>
        <v>0</v>
      </c>
      <c r="CI43" s="862">
        <f t="shared" si="68"/>
        <v>0</v>
      </c>
      <c r="CJ43" s="862">
        <f t="shared" si="68"/>
        <v>0</v>
      </c>
      <c r="CK43" s="862">
        <f t="shared" si="68"/>
        <v>0</v>
      </c>
      <c r="CL43" s="862">
        <f t="shared" si="68"/>
        <v>0</v>
      </c>
      <c r="CM43" s="862">
        <f t="shared" si="68"/>
        <v>0</v>
      </c>
      <c r="CN43" s="862">
        <f t="shared" si="68"/>
        <v>0</v>
      </c>
      <c r="CO43" s="862">
        <f t="shared" ref="CO43:CX43" si="69">CO44+CO45</f>
        <v>0</v>
      </c>
      <c r="CP43" s="862">
        <f t="shared" si="69"/>
        <v>0</v>
      </c>
      <c r="CQ43" s="862">
        <f t="shared" si="69"/>
        <v>0</v>
      </c>
      <c r="CR43" s="862">
        <f t="shared" si="69"/>
        <v>0</v>
      </c>
      <c r="CS43" s="862">
        <f t="shared" si="69"/>
        <v>0</v>
      </c>
      <c r="CT43" s="862">
        <f t="shared" si="69"/>
        <v>0</v>
      </c>
      <c r="CU43" s="862">
        <f t="shared" si="69"/>
        <v>0</v>
      </c>
      <c r="CV43" s="862">
        <f t="shared" si="69"/>
        <v>0</v>
      </c>
      <c r="CW43" s="862">
        <f t="shared" si="69"/>
        <v>0</v>
      </c>
      <c r="CX43" s="862">
        <f t="shared" si="69"/>
        <v>0</v>
      </c>
    </row>
    <row r="44" spans="2:102" ht="21" hidden="1" customHeight="1" thickBot="1">
      <c r="B44" s="870" t="s">
        <v>1177</v>
      </c>
      <c r="C44" s="871" t="s">
        <v>1178</v>
      </c>
      <c r="D44" s="872" t="s">
        <v>1128</v>
      </c>
      <c r="E44" s="869"/>
      <c r="F44" s="869"/>
      <c r="G44" s="869"/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77"/>
      <c r="T44" s="877"/>
      <c r="U44" s="869"/>
      <c r="V44" s="877"/>
      <c r="W44" s="877"/>
      <c r="X44" s="877"/>
      <c r="Y44" s="877"/>
      <c r="Z44" s="877"/>
      <c r="AA44" s="877"/>
      <c r="AB44" s="877"/>
      <c r="AC44" s="877"/>
      <c r="AD44" s="877"/>
      <c r="AE44" s="877"/>
      <c r="AF44" s="877"/>
      <c r="AG44" s="877"/>
      <c r="AH44" s="877"/>
      <c r="AI44" s="877"/>
      <c r="AJ44" s="877"/>
      <c r="AK44" s="877"/>
      <c r="AL44" s="877"/>
      <c r="AM44" s="877"/>
      <c r="AN44" s="877"/>
      <c r="AO44" s="877"/>
      <c r="AP44" s="877"/>
      <c r="AQ44" s="877"/>
      <c r="AR44" s="877"/>
      <c r="AS44" s="877"/>
      <c r="AT44" s="877"/>
      <c r="AU44" s="877"/>
      <c r="AV44" s="877"/>
      <c r="AW44" s="877"/>
      <c r="AX44" s="877"/>
      <c r="AY44" s="877"/>
      <c r="AZ44" s="877"/>
      <c r="BA44" s="877"/>
      <c r="BB44" s="877"/>
      <c r="BC44" s="877"/>
      <c r="BD44" s="877"/>
      <c r="BE44" s="877"/>
      <c r="BF44" s="877"/>
      <c r="BG44" s="877"/>
      <c r="BH44" s="877"/>
      <c r="BI44" s="877"/>
      <c r="BJ44" s="877"/>
      <c r="BK44" s="877"/>
      <c r="BL44" s="877"/>
      <c r="BM44" s="877"/>
      <c r="BN44" s="877"/>
      <c r="BO44" s="877"/>
      <c r="BP44" s="877"/>
      <c r="BQ44" s="877"/>
      <c r="BR44" s="877"/>
      <c r="BS44" s="877"/>
      <c r="BT44" s="877"/>
      <c r="BU44" s="877"/>
      <c r="BV44" s="877"/>
      <c r="BW44" s="877"/>
      <c r="BX44" s="877"/>
      <c r="BY44" s="877"/>
      <c r="BZ44" s="877"/>
      <c r="CA44" s="877"/>
      <c r="CB44" s="877"/>
      <c r="CC44" s="877"/>
      <c r="CD44" s="877"/>
      <c r="CE44" s="877"/>
      <c r="CF44" s="877"/>
      <c r="CG44" s="877"/>
      <c r="CH44" s="877"/>
      <c r="CI44" s="877"/>
      <c r="CJ44" s="877"/>
      <c r="CK44" s="877"/>
      <c r="CL44" s="877"/>
      <c r="CM44" s="877"/>
      <c r="CN44" s="877"/>
      <c r="CO44" s="877"/>
      <c r="CP44" s="877"/>
      <c r="CQ44" s="877"/>
      <c r="CR44" s="877"/>
      <c r="CS44" s="877"/>
      <c r="CT44" s="877"/>
      <c r="CU44" s="877"/>
      <c r="CV44" s="877"/>
      <c r="CW44" s="877"/>
      <c r="CX44" s="877"/>
    </row>
    <row r="45" spans="2:102" ht="20.25" hidden="1" customHeight="1" outlineLevel="1">
      <c r="B45" s="870" t="s">
        <v>1179</v>
      </c>
      <c r="C45" s="871" t="s">
        <v>1180</v>
      </c>
      <c r="D45" s="872" t="s">
        <v>1128</v>
      </c>
      <c r="E45" s="869">
        <f>F45+AE45</f>
        <v>0</v>
      </c>
      <c r="F45" s="869">
        <f>G45+U45</f>
        <v>0</v>
      </c>
      <c r="G45" s="912">
        <f>SUM(M45:O45)</f>
        <v>0</v>
      </c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877"/>
      <c r="S45" s="877"/>
      <c r="T45" s="877"/>
      <c r="U45" s="869">
        <f>SUM(AA45:AB45)</f>
        <v>0</v>
      </c>
      <c r="V45" s="877"/>
      <c r="W45" s="877"/>
      <c r="X45" s="877"/>
      <c r="Y45" s="877"/>
      <c r="Z45" s="877"/>
      <c r="AA45" s="877"/>
      <c r="AB45" s="877"/>
      <c r="AC45" s="877"/>
      <c r="AD45" s="877"/>
      <c r="AE45" s="877"/>
      <c r="AF45" s="877"/>
      <c r="AG45" s="877"/>
      <c r="AH45" s="877"/>
      <c r="AI45" s="877"/>
      <c r="AJ45" s="877"/>
      <c r="AK45" s="877"/>
      <c r="AL45" s="877"/>
      <c r="AM45" s="877"/>
      <c r="AN45" s="877"/>
      <c r="AO45" s="877"/>
      <c r="AP45" s="877"/>
      <c r="AQ45" s="877"/>
      <c r="AR45" s="877"/>
      <c r="AS45" s="877"/>
      <c r="AT45" s="877"/>
      <c r="AU45" s="877"/>
      <c r="AV45" s="877"/>
      <c r="AW45" s="877"/>
      <c r="AX45" s="877"/>
      <c r="AY45" s="877"/>
      <c r="AZ45" s="877"/>
      <c r="BA45" s="877"/>
      <c r="BB45" s="877"/>
      <c r="BC45" s="877"/>
      <c r="BD45" s="877"/>
      <c r="BE45" s="877"/>
      <c r="BF45" s="877"/>
      <c r="BG45" s="877"/>
      <c r="BH45" s="877"/>
      <c r="BI45" s="877"/>
      <c r="BJ45" s="877"/>
      <c r="BK45" s="877"/>
      <c r="BL45" s="877"/>
      <c r="BM45" s="877"/>
      <c r="BN45" s="877"/>
      <c r="BO45" s="877"/>
      <c r="BP45" s="877"/>
      <c r="BQ45" s="877"/>
      <c r="BR45" s="877"/>
      <c r="BS45" s="877"/>
      <c r="BT45" s="877"/>
      <c r="BU45" s="877"/>
      <c r="BV45" s="877"/>
      <c r="BW45" s="877"/>
      <c r="BX45" s="877"/>
      <c r="BY45" s="877"/>
      <c r="BZ45" s="877"/>
      <c r="CA45" s="877"/>
      <c r="CB45" s="877"/>
      <c r="CC45" s="877"/>
      <c r="CD45" s="877"/>
      <c r="CE45" s="877"/>
      <c r="CF45" s="877"/>
      <c r="CG45" s="877"/>
      <c r="CH45" s="877"/>
      <c r="CI45" s="877"/>
      <c r="CJ45" s="877"/>
      <c r="CK45" s="877"/>
      <c r="CL45" s="877"/>
      <c r="CM45" s="877"/>
      <c r="CN45" s="877"/>
      <c r="CO45" s="877"/>
      <c r="CP45" s="877"/>
      <c r="CQ45" s="877"/>
      <c r="CR45" s="877"/>
      <c r="CS45" s="877"/>
      <c r="CT45" s="877"/>
      <c r="CU45" s="877"/>
      <c r="CV45" s="877"/>
      <c r="CW45" s="877"/>
      <c r="CX45" s="877"/>
    </row>
    <row r="46" spans="2:102" ht="30" customHeight="1" collapsed="1">
      <c r="B46" s="866" t="s">
        <v>1181</v>
      </c>
      <c r="C46" s="867" t="s">
        <v>1182</v>
      </c>
      <c r="D46" s="842" t="s">
        <v>1128</v>
      </c>
      <c r="E46" s="869">
        <f>F46+AE46</f>
        <v>13499.493675608255</v>
      </c>
      <c r="F46" s="869">
        <f>G46+U46</f>
        <v>13499.493675608255</v>
      </c>
      <c r="G46" s="869">
        <f>G16/80%*20%+G45/80%*20%</f>
        <v>10809.106570438607</v>
      </c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>
        <f>R16/80%*20%+R45/80%*20%</f>
        <v>0</v>
      </c>
      <c r="S46" s="862">
        <f>S16/80%*20%+S45/80%*20%</f>
        <v>839.41741749999983</v>
      </c>
      <c r="T46" s="862">
        <f>T16/80%*20%+T45/80%*20%</f>
        <v>9969.6891529386066</v>
      </c>
      <c r="U46" s="869">
        <f>U16/80%*20%+U45/80%*20%</f>
        <v>2690.3871051696478</v>
      </c>
      <c r="V46" s="862">
        <f t="shared" ref="V46:CG46" si="70">V16/80%*20%+V45/80%*20%</f>
        <v>0</v>
      </c>
      <c r="W46" s="862">
        <f t="shared" si="70"/>
        <v>0</v>
      </c>
      <c r="X46" s="862">
        <f t="shared" si="70"/>
        <v>0</v>
      </c>
      <c r="Y46" s="862">
        <f t="shared" si="70"/>
        <v>0</v>
      </c>
      <c r="Z46" s="862">
        <f t="shared" si="70"/>
        <v>0</v>
      </c>
      <c r="AA46" s="862">
        <f t="shared" si="70"/>
        <v>0</v>
      </c>
      <c r="AB46" s="862">
        <f t="shared" si="70"/>
        <v>0</v>
      </c>
      <c r="AC46" s="862">
        <f t="shared" si="70"/>
        <v>372.01114050000001</v>
      </c>
      <c r="AD46" s="862">
        <f t="shared" si="70"/>
        <v>2318.3759646696481</v>
      </c>
      <c r="AE46" s="862">
        <f t="shared" si="70"/>
        <v>0</v>
      </c>
      <c r="AF46" s="862">
        <f t="shared" si="70"/>
        <v>0</v>
      </c>
      <c r="AG46" s="862">
        <f t="shared" si="70"/>
        <v>0</v>
      </c>
      <c r="AH46" s="862">
        <f t="shared" si="70"/>
        <v>0</v>
      </c>
      <c r="AI46" s="862">
        <f t="shared" si="70"/>
        <v>0</v>
      </c>
      <c r="AJ46" s="862">
        <f t="shared" si="70"/>
        <v>0</v>
      </c>
      <c r="AK46" s="862">
        <f t="shared" si="70"/>
        <v>0</v>
      </c>
      <c r="AL46" s="862">
        <f t="shared" si="70"/>
        <v>0</v>
      </c>
      <c r="AM46" s="862">
        <f t="shared" si="70"/>
        <v>0</v>
      </c>
      <c r="AN46" s="862">
        <f t="shared" si="70"/>
        <v>0</v>
      </c>
      <c r="AO46" s="862">
        <f t="shared" si="70"/>
        <v>0</v>
      </c>
      <c r="AP46" s="862">
        <f t="shared" si="70"/>
        <v>0</v>
      </c>
      <c r="AQ46" s="862">
        <f t="shared" si="70"/>
        <v>0</v>
      </c>
      <c r="AR46" s="862">
        <f t="shared" si="70"/>
        <v>0</v>
      </c>
      <c r="AS46" s="862">
        <f t="shared" si="70"/>
        <v>0</v>
      </c>
      <c r="AT46" s="862">
        <f t="shared" si="70"/>
        <v>0</v>
      </c>
      <c r="AU46" s="862">
        <f t="shared" si="70"/>
        <v>0</v>
      </c>
      <c r="AV46" s="862">
        <f t="shared" si="70"/>
        <v>0</v>
      </c>
      <c r="AW46" s="862">
        <f t="shared" si="70"/>
        <v>0</v>
      </c>
      <c r="AX46" s="862">
        <f t="shared" si="70"/>
        <v>0</v>
      </c>
      <c r="AY46" s="862">
        <f t="shared" si="70"/>
        <v>0</v>
      </c>
      <c r="AZ46" s="862">
        <f t="shared" si="70"/>
        <v>0</v>
      </c>
      <c r="BA46" s="862">
        <f t="shared" si="70"/>
        <v>0</v>
      </c>
      <c r="BB46" s="862">
        <f t="shared" si="70"/>
        <v>0</v>
      </c>
      <c r="BC46" s="862">
        <f t="shared" si="70"/>
        <v>0</v>
      </c>
      <c r="BD46" s="862">
        <f t="shared" si="70"/>
        <v>0</v>
      </c>
      <c r="BE46" s="862">
        <f t="shared" si="70"/>
        <v>0</v>
      </c>
      <c r="BF46" s="862">
        <f t="shared" si="70"/>
        <v>0</v>
      </c>
      <c r="BG46" s="862">
        <f t="shared" si="70"/>
        <v>0</v>
      </c>
      <c r="BH46" s="862">
        <f t="shared" si="70"/>
        <v>0</v>
      </c>
      <c r="BI46" s="862">
        <f t="shared" si="70"/>
        <v>0</v>
      </c>
      <c r="BJ46" s="862">
        <f t="shared" si="70"/>
        <v>0</v>
      </c>
      <c r="BK46" s="862">
        <f t="shared" si="70"/>
        <v>0</v>
      </c>
      <c r="BL46" s="862">
        <f t="shared" si="70"/>
        <v>0</v>
      </c>
      <c r="BM46" s="862">
        <f t="shared" si="70"/>
        <v>0</v>
      </c>
      <c r="BN46" s="862">
        <f t="shared" si="70"/>
        <v>0</v>
      </c>
      <c r="BO46" s="862">
        <f t="shared" si="70"/>
        <v>0</v>
      </c>
      <c r="BP46" s="862">
        <f t="shared" si="70"/>
        <v>0</v>
      </c>
      <c r="BQ46" s="862">
        <f t="shared" si="70"/>
        <v>0</v>
      </c>
      <c r="BR46" s="862">
        <f t="shared" si="70"/>
        <v>0</v>
      </c>
      <c r="BS46" s="862">
        <f t="shared" si="70"/>
        <v>0</v>
      </c>
      <c r="BT46" s="862">
        <f t="shared" si="70"/>
        <v>0</v>
      </c>
      <c r="BU46" s="862">
        <f t="shared" si="70"/>
        <v>0</v>
      </c>
      <c r="BV46" s="862">
        <f t="shared" si="70"/>
        <v>0</v>
      </c>
      <c r="BW46" s="862">
        <f t="shared" si="70"/>
        <v>0</v>
      </c>
      <c r="BX46" s="862">
        <f t="shared" si="70"/>
        <v>0</v>
      </c>
      <c r="BY46" s="862">
        <f t="shared" si="70"/>
        <v>0</v>
      </c>
      <c r="BZ46" s="862">
        <f t="shared" si="70"/>
        <v>0</v>
      </c>
      <c r="CA46" s="862">
        <f t="shared" si="70"/>
        <v>0</v>
      </c>
      <c r="CB46" s="862">
        <f t="shared" si="70"/>
        <v>0</v>
      </c>
      <c r="CC46" s="862">
        <f t="shared" si="70"/>
        <v>0</v>
      </c>
      <c r="CD46" s="862">
        <f t="shared" si="70"/>
        <v>0</v>
      </c>
      <c r="CE46" s="862">
        <f t="shared" si="70"/>
        <v>0</v>
      </c>
      <c r="CF46" s="862">
        <f t="shared" si="70"/>
        <v>0</v>
      </c>
      <c r="CG46" s="862">
        <f t="shared" si="70"/>
        <v>0</v>
      </c>
      <c r="CH46" s="862">
        <f t="shared" ref="CH46:CX46" si="71">CH16/80%*20%+CH45/80%*20%</f>
        <v>0</v>
      </c>
      <c r="CI46" s="862">
        <f t="shared" si="71"/>
        <v>0</v>
      </c>
      <c r="CJ46" s="862">
        <f t="shared" si="71"/>
        <v>0</v>
      </c>
      <c r="CK46" s="862">
        <f t="shared" si="71"/>
        <v>0</v>
      </c>
      <c r="CL46" s="862">
        <f t="shared" si="71"/>
        <v>0</v>
      </c>
      <c r="CM46" s="862">
        <f t="shared" si="71"/>
        <v>0</v>
      </c>
      <c r="CN46" s="862">
        <f t="shared" si="71"/>
        <v>0</v>
      </c>
      <c r="CO46" s="862">
        <f t="shared" si="71"/>
        <v>0</v>
      </c>
      <c r="CP46" s="862">
        <f t="shared" si="71"/>
        <v>0</v>
      </c>
      <c r="CQ46" s="862">
        <f t="shared" si="71"/>
        <v>0</v>
      </c>
      <c r="CR46" s="862">
        <f t="shared" si="71"/>
        <v>0</v>
      </c>
      <c r="CS46" s="862">
        <f t="shared" si="71"/>
        <v>0</v>
      </c>
      <c r="CT46" s="862">
        <f t="shared" si="71"/>
        <v>0</v>
      </c>
      <c r="CU46" s="862">
        <f t="shared" si="71"/>
        <v>0</v>
      </c>
      <c r="CV46" s="862">
        <f t="shared" si="71"/>
        <v>0</v>
      </c>
      <c r="CW46" s="862">
        <f t="shared" si="71"/>
        <v>0</v>
      </c>
      <c r="CX46" s="862">
        <f t="shared" si="71"/>
        <v>0</v>
      </c>
    </row>
    <row r="47" spans="2:102" ht="20.25" hidden="1" customHeight="1">
      <c r="B47" s="866">
        <v>2</v>
      </c>
      <c r="C47" s="913" t="s">
        <v>1183</v>
      </c>
      <c r="D47" s="868"/>
      <c r="E47" s="869"/>
      <c r="F47" s="869"/>
      <c r="G47" s="869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9"/>
      <c r="V47" s="862"/>
      <c r="W47" s="862"/>
      <c r="X47" s="862"/>
      <c r="Y47" s="862"/>
      <c r="Z47" s="862"/>
      <c r="AA47" s="862"/>
      <c r="AB47" s="862"/>
      <c r="AC47" s="862"/>
      <c r="AD47" s="862"/>
      <c r="AE47" s="869"/>
      <c r="AF47" s="869"/>
      <c r="AG47" s="862"/>
      <c r="AH47" s="862"/>
      <c r="AI47" s="862"/>
      <c r="AJ47" s="862"/>
      <c r="AK47" s="862"/>
      <c r="AL47" s="862"/>
      <c r="AM47" s="862"/>
      <c r="AN47" s="862"/>
      <c r="AO47" s="862"/>
      <c r="AP47" s="862"/>
      <c r="AQ47" s="869"/>
      <c r="AR47" s="862"/>
      <c r="AS47" s="862"/>
      <c r="AT47" s="862"/>
      <c r="AU47" s="862"/>
      <c r="AV47" s="863"/>
      <c r="AW47" s="863"/>
      <c r="AX47" s="862"/>
      <c r="AY47" s="862"/>
      <c r="AZ47" s="862"/>
      <c r="BA47" s="862"/>
      <c r="BB47" s="862"/>
      <c r="BC47" s="869"/>
      <c r="BD47" s="862"/>
      <c r="BE47" s="862"/>
      <c r="BF47" s="862"/>
      <c r="BG47" s="862"/>
      <c r="BH47" s="863"/>
      <c r="BI47" s="863"/>
      <c r="BJ47" s="862"/>
      <c r="BK47" s="862"/>
      <c r="BL47" s="862"/>
      <c r="BM47" s="862"/>
      <c r="BN47" s="862"/>
      <c r="BO47" s="869"/>
      <c r="BP47" s="869"/>
      <c r="BQ47" s="862"/>
      <c r="BR47" s="862"/>
      <c r="BS47" s="862"/>
      <c r="BT47" s="862"/>
      <c r="BU47" s="862"/>
      <c r="BV47" s="862"/>
      <c r="BW47" s="862"/>
      <c r="BX47" s="862"/>
      <c r="BY47" s="862"/>
      <c r="BZ47" s="862"/>
      <c r="CA47" s="869"/>
      <c r="CB47" s="862"/>
      <c r="CC47" s="862"/>
      <c r="CD47" s="862"/>
      <c r="CE47" s="862"/>
      <c r="CF47" s="863"/>
      <c r="CG47" s="863"/>
      <c r="CH47" s="862"/>
      <c r="CI47" s="862"/>
      <c r="CJ47" s="862"/>
      <c r="CK47" s="862"/>
      <c r="CL47" s="862"/>
      <c r="CM47" s="869"/>
      <c r="CN47" s="862"/>
      <c r="CO47" s="862"/>
      <c r="CP47" s="862"/>
      <c r="CQ47" s="862"/>
      <c r="CR47" s="863"/>
      <c r="CS47" s="863"/>
      <c r="CT47" s="862"/>
      <c r="CU47" s="862"/>
      <c r="CV47" s="862"/>
      <c r="CW47" s="862"/>
      <c r="CX47" s="862"/>
    </row>
    <row r="48" spans="2:102" ht="20.25" hidden="1" customHeight="1" outlineLevel="1">
      <c r="B48" s="866" t="s">
        <v>1184</v>
      </c>
      <c r="C48" s="867" t="s">
        <v>1185</v>
      </c>
      <c r="D48" s="868" t="s">
        <v>1128</v>
      </c>
      <c r="E48" s="869"/>
      <c r="F48" s="869"/>
      <c r="G48" s="869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9"/>
      <c r="V48" s="862"/>
      <c r="W48" s="862"/>
      <c r="X48" s="862"/>
      <c r="Y48" s="862"/>
      <c r="Z48" s="862"/>
      <c r="AA48" s="862"/>
      <c r="AB48" s="862"/>
      <c r="AC48" s="862"/>
      <c r="AD48" s="862"/>
      <c r="AE48" s="869"/>
      <c r="AF48" s="869"/>
      <c r="AG48" s="862"/>
      <c r="AH48" s="862"/>
      <c r="AI48" s="862"/>
      <c r="AJ48" s="862"/>
      <c r="AK48" s="862"/>
      <c r="AL48" s="862"/>
      <c r="AM48" s="862"/>
      <c r="AN48" s="862"/>
      <c r="AO48" s="862"/>
      <c r="AP48" s="862"/>
      <c r="AQ48" s="869"/>
      <c r="AR48" s="862"/>
      <c r="AS48" s="862"/>
      <c r="AT48" s="862"/>
      <c r="AU48" s="862"/>
      <c r="AV48" s="863"/>
      <c r="AW48" s="863"/>
      <c r="AX48" s="862"/>
      <c r="AY48" s="862"/>
      <c r="AZ48" s="862"/>
      <c r="BA48" s="862"/>
      <c r="BB48" s="862"/>
      <c r="BC48" s="869"/>
      <c r="BD48" s="862"/>
      <c r="BE48" s="862"/>
      <c r="BF48" s="862"/>
      <c r="BG48" s="862"/>
      <c r="BH48" s="863"/>
      <c r="BI48" s="863"/>
      <c r="BJ48" s="862"/>
      <c r="BK48" s="862"/>
      <c r="BL48" s="862"/>
      <c r="BM48" s="862"/>
      <c r="BN48" s="862"/>
      <c r="BO48" s="869"/>
      <c r="BP48" s="869"/>
      <c r="BQ48" s="862"/>
      <c r="BR48" s="862"/>
      <c r="BS48" s="862"/>
      <c r="BT48" s="862"/>
      <c r="BU48" s="862"/>
      <c r="BV48" s="862"/>
      <c r="BW48" s="862"/>
      <c r="BX48" s="862"/>
      <c r="BY48" s="862"/>
      <c r="BZ48" s="862"/>
      <c r="CA48" s="869"/>
      <c r="CB48" s="862"/>
      <c r="CC48" s="862"/>
      <c r="CD48" s="862"/>
      <c r="CE48" s="862"/>
      <c r="CF48" s="863"/>
      <c r="CG48" s="863"/>
      <c r="CH48" s="862"/>
      <c r="CI48" s="862"/>
      <c r="CJ48" s="862"/>
      <c r="CK48" s="862"/>
      <c r="CL48" s="862"/>
      <c r="CM48" s="869"/>
      <c r="CN48" s="862"/>
      <c r="CO48" s="862"/>
      <c r="CP48" s="862"/>
      <c r="CQ48" s="862"/>
      <c r="CR48" s="863"/>
      <c r="CS48" s="863"/>
      <c r="CT48" s="862"/>
      <c r="CU48" s="862"/>
      <c r="CV48" s="862"/>
      <c r="CW48" s="862"/>
      <c r="CX48" s="862"/>
    </row>
    <row r="49" spans="2:102" ht="20.25" hidden="1" customHeight="1" outlineLevel="2">
      <c r="B49" s="914" t="s">
        <v>1186</v>
      </c>
      <c r="C49" s="915" t="s">
        <v>1187</v>
      </c>
      <c r="D49" s="916" t="s">
        <v>1128</v>
      </c>
      <c r="E49" s="869"/>
      <c r="F49" s="869"/>
      <c r="G49" s="869"/>
      <c r="H49" s="877"/>
      <c r="I49" s="877"/>
      <c r="J49" s="877"/>
      <c r="K49" s="877"/>
      <c r="L49" s="877"/>
      <c r="M49" s="877"/>
      <c r="N49" s="877"/>
      <c r="O49" s="877"/>
      <c r="P49" s="877"/>
      <c r="Q49" s="877"/>
      <c r="R49" s="877"/>
      <c r="S49" s="877"/>
      <c r="T49" s="877"/>
      <c r="U49" s="869"/>
      <c r="V49" s="877"/>
      <c r="W49" s="877"/>
      <c r="X49" s="877"/>
      <c r="Y49" s="877"/>
      <c r="Z49" s="877"/>
      <c r="AA49" s="877"/>
      <c r="AB49" s="877"/>
      <c r="AC49" s="877"/>
      <c r="AD49" s="877"/>
      <c r="AE49" s="869"/>
      <c r="AF49" s="869"/>
      <c r="AG49" s="877"/>
      <c r="AH49" s="877"/>
      <c r="AI49" s="877"/>
      <c r="AJ49" s="877"/>
      <c r="AK49" s="877"/>
      <c r="AL49" s="877"/>
      <c r="AM49" s="877"/>
      <c r="AN49" s="877"/>
      <c r="AO49" s="877"/>
      <c r="AP49" s="877"/>
      <c r="AQ49" s="878"/>
      <c r="AR49" s="877"/>
      <c r="AS49" s="877"/>
      <c r="AT49" s="877"/>
      <c r="AU49" s="877"/>
      <c r="AV49" s="879"/>
      <c r="AW49" s="879"/>
      <c r="AX49" s="877"/>
      <c r="AY49" s="877"/>
      <c r="AZ49" s="877"/>
      <c r="BA49" s="877"/>
      <c r="BB49" s="877"/>
      <c r="BC49" s="878"/>
      <c r="BD49" s="877"/>
      <c r="BE49" s="877"/>
      <c r="BF49" s="877"/>
      <c r="BG49" s="877"/>
      <c r="BH49" s="879"/>
      <c r="BI49" s="879"/>
      <c r="BJ49" s="877"/>
      <c r="BK49" s="877"/>
      <c r="BL49" s="877"/>
      <c r="BM49" s="877"/>
      <c r="BN49" s="877"/>
      <c r="BO49" s="869"/>
      <c r="BP49" s="869"/>
      <c r="BQ49" s="877"/>
      <c r="BR49" s="877"/>
      <c r="BS49" s="877"/>
      <c r="BT49" s="877"/>
      <c r="BU49" s="877"/>
      <c r="BV49" s="877"/>
      <c r="BW49" s="877"/>
      <c r="BX49" s="877"/>
      <c r="BY49" s="877"/>
      <c r="BZ49" s="877"/>
      <c r="CA49" s="878"/>
      <c r="CB49" s="877"/>
      <c r="CC49" s="877"/>
      <c r="CD49" s="877"/>
      <c r="CE49" s="877"/>
      <c r="CF49" s="879"/>
      <c r="CG49" s="879"/>
      <c r="CH49" s="877"/>
      <c r="CI49" s="877"/>
      <c r="CJ49" s="877"/>
      <c r="CK49" s="877"/>
      <c r="CL49" s="877"/>
      <c r="CM49" s="878"/>
      <c r="CN49" s="877"/>
      <c r="CO49" s="877"/>
      <c r="CP49" s="877"/>
      <c r="CQ49" s="877"/>
      <c r="CR49" s="879"/>
      <c r="CS49" s="879"/>
      <c r="CT49" s="877"/>
      <c r="CU49" s="877"/>
      <c r="CV49" s="877"/>
      <c r="CW49" s="877"/>
      <c r="CX49" s="877"/>
    </row>
    <row r="50" spans="2:102" ht="40.5" hidden="1" customHeight="1" outlineLevel="2">
      <c r="B50" s="914" t="s">
        <v>1188</v>
      </c>
      <c r="C50" s="915" t="s">
        <v>1189</v>
      </c>
      <c r="D50" s="916" t="s">
        <v>1128</v>
      </c>
      <c r="E50" s="869"/>
      <c r="F50" s="869"/>
      <c r="G50" s="869"/>
      <c r="H50" s="877"/>
      <c r="I50" s="877"/>
      <c r="J50" s="877"/>
      <c r="K50" s="877"/>
      <c r="L50" s="877"/>
      <c r="M50" s="877"/>
      <c r="N50" s="877"/>
      <c r="O50" s="877"/>
      <c r="P50" s="877"/>
      <c r="Q50" s="877"/>
      <c r="R50" s="877"/>
      <c r="S50" s="877"/>
      <c r="T50" s="877"/>
      <c r="U50" s="869"/>
      <c r="V50" s="877"/>
      <c r="W50" s="877"/>
      <c r="X50" s="877"/>
      <c r="Y50" s="877"/>
      <c r="Z50" s="877"/>
      <c r="AA50" s="877"/>
      <c r="AB50" s="877"/>
      <c r="AC50" s="877"/>
      <c r="AD50" s="877"/>
      <c r="AE50" s="869"/>
      <c r="AF50" s="869"/>
      <c r="AG50" s="877"/>
      <c r="AH50" s="877"/>
      <c r="AI50" s="877"/>
      <c r="AJ50" s="877"/>
      <c r="AK50" s="877"/>
      <c r="AL50" s="877"/>
      <c r="AM50" s="877"/>
      <c r="AN50" s="877"/>
      <c r="AO50" s="877"/>
      <c r="AP50" s="877"/>
      <c r="AQ50" s="878"/>
      <c r="AR50" s="877"/>
      <c r="AS50" s="877"/>
      <c r="AT50" s="877"/>
      <c r="AU50" s="877"/>
      <c r="AV50" s="879"/>
      <c r="AW50" s="879"/>
      <c r="AX50" s="877"/>
      <c r="AY50" s="877"/>
      <c r="AZ50" s="877"/>
      <c r="BA50" s="877"/>
      <c r="BB50" s="877"/>
      <c r="BC50" s="878"/>
      <c r="BD50" s="877"/>
      <c r="BE50" s="877"/>
      <c r="BF50" s="877"/>
      <c r="BG50" s="877"/>
      <c r="BH50" s="879"/>
      <c r="BI50" s="879"/>
      <c r="BJ50" s="877"/>
      <c r="BK50" s="877"/>
      <c r="BL50" s="877"/>
      <c r="BM50" s="877"/>
      <c r="BN50" s="877"/>
      <c r="BO50" s="869"/>
      <c r="BP50" s="869"/>
      <c r="BQ50" s="877"/>
      <c r="BR50" s="877"/>
      <c r="BS50" s="877"/>
      <c r="BT50" s="877"/>
      <c r="BU50" s="877"/>
      <c r="BV50" s="877"/>
      <c r="BW50" s="877"/>
      <c r="BX50" s="877"/>
      <c r="BY50" s="877"/>
      <c r="BZ50" s="877"/>
      <c r="CA50" s="878"/>
      <c r="CB50" s="877"/>
      <c r="CC50" s="877"/>
      <c r="CD50" s="877"/>
      <c r="CE50" s="877"/>
      <c r="CF50" s="879"/>
      <c r="CG50" s="879"/>
      <c r="CH50" s="877"/>
      <c r="CI50" s="877"/>
      <c r="CJ50" s="877"/>
      <c r="CK50" s="877"/>
      <c r="CL50" s="877"/>
      <c r="CM50" s="878"/>
      <c r="CN50" s="877"/>
      <c r="CO50" s="877"/>
      <c r="CP50" s="877"/>
      <c r="CQ50" s="877"/>
      <c r="CR50" s="879"/>
      <c r="CS50" s="879"/>
      <c r="CT50" s="877"/>
      <c r="CU50" s="877"/>
      <c r="CV50" s="877"/>
      <c r="CW50" s="877"/>
      <c r="CX50" s="877"/>
    </row>
    <row r="51" spans="2:102" ht="40.5" hidden="1" customHeight="1" outlineLevel="2">
      <c r="B51" s="914" t="s">
        <v>1190</v>
      </c>
      <c r="C51" s="915" t="s">
        <v>1191</v>
      </c>
      <c r="D51" s="916" t="s">
        <v>1128</v>
      </c>
      <c r="E51" s="869"/>
      <c r="F51" s="869"/>
      <c r="G51" s="869"/>
      <c r="H51" s="877"/>
      <c r="I51" s="877"/>
      <c r="J51" s="877"/>
      <c r="K51" s="877"/>
      <c r="L51" s="877"/>
      <c r="M51" s="877"/>
      <c r="N51" s="877"/>
      <c r="O51" s="877"/>
      <c r="P51" s="877"/>
      <c r="Q51" s="877"/>
      <c r="R51" s="877"/>
      <c r="S51" s="877"/>
      <c r="T51" s="877"/>
      <c r="U51" s="869"/>
      <c r="V51" s="877"/>
      <c r="W51" s="877"/>
      <c r="X51" s="877"/>
      <c r="Y51" s="877"/>
      <c r="Z51" s="877"/>
      <c r="AA51" s="877"/>
      <c r="AB51" s="877"/>
      <c r="AC51" s="877"/>
      <c r="AD51" s="877"/>
      <c r="AE51" s="869"/>
      <c r="AF51" s="869"/>
      <c r="AG51" s="877"/>
      <c r="AH51" s="877"/>
      <c r="AI51" s="877"/>
      <c r="AJ51" s="877"/>
      <c r="AK51" s="877"/>
      <c r="AL51" s="877"/>
      <c r="AM51" s="877"/>
      <c r="AN51" s="877"/>
      <c r="AO51" s="877"/>
      <c r="AP51" s="877"/>
      <c r="AQ51" s="878"/>
      <c r="AR51" s="877"/>
      <c r="AS51" s="877"/>
      <c r="AT51" s="877"/>
      <c r="AU51" s="877"/>
      <c r="AV51" s="879"/>
      <c r="AW51" s="879"/>
      <c r="AX51" s="877"/>
      <c r="AY51" s="877"/>
      <c r="AZ51" s="877"/>
      <c r="BA51" s="877"/>
      <c r="BB51" s="877"/>
      <c r="BC51" s="878"/>
      <c r="BD51" s="877"/>
      <c r="BE51" s="877"/>
      <c r="BF51" s="877"/>
      <c r="BG51" s="877"/>
      <c r="BH51" s="879"/>
      <c r="BI51" s="879"/>
      <c r="BJ51" s="877"/>
      <c r="BK51" s="877"/>
      <c r="BL51" s="877"/>
      <c r="BM51" s="877"/>
      <c r="BN51" s="877"/>
      <c r="BO51" s="869"/>
      <c r="BP51" s="869"/>
      <c r="BQ51" s="877"/>
      <c r="BR51" s="877"/>
      <c r="BS51" s="877"/>
      <c r="BT51" s="877"/>
      <c r="BU51" s="877"/>
      <c r="BV51" s="877"/>
      <c r="BW51" s="877"/>
      <c r="BX51" s="877"/>
      <c r="BY51" s="877"/>
      <c r="BZ51" s="877"/>
      <c r="CA51" s="878"/>
      <c r="CB51" s="877"/>
      <c r="CC51" s="877"/>
      <c r="CD51" s="877"/>
      <c r="CE51" s="877"/>
      <c r="CF51" s="879"/>
      <c r="CG51" s="879"/>
      <c r="CH51" s="877"/>
      <c r="CI51" s="877"/>
      <c r="CJ51" s="877"/>
      <c r="CK51" s="877"/>
      <c r="CL51" s="877"/>
      <c r="CM51" s="878"/>
      <c r="CN51" s="877"/>
      <c r="CO51" s="877"/>
      <c r="CP51" s="877"/>
      <c r="CQ51" s="877"/>
      <c r="CR51" s="879"/>
      <c r="CS51" s="879"/>
      <c r="CT51" s="877"/>
      <c r="CU51" s="877"/>
      <c r="CV51" s="877"/>
      <c r="CW51" s="877"/>
      <c r="CX51" s="877"/>
    </row>
    <row r="52" spans="2:102" ht="40.5" hidden="1" customHeight="1" outlineLevel="2">
      <c r="B52" s="914" t="s">
        <v>1192</v>
      </c>
      <c r="C52" s="915" t="s">
        <v>1193</v>
      </c>
      <c r="D52" s="916" t="s">
        <v>1128</v>
      </c>
      <c r="E52" s="869"/>
      <c r="F52" s="869"/>
      <c r="G52" s="869"/>
      <c r="H52" s="877"/>
      <c r="I52" s="877"/>
      <c r="J52" s="877"/>
      <c r="K52" s="877"/>
      <c r="L52" s="877"/>
      <c r="M52" s="877"/>
      <c r="N52" s="877"/>
      <c r="O52" s="877"/>
      <c r="P52" s="877"/>
      <c r="Q52" s="877"/>
      <c r="R52" s="877"/>
      <c r="S52" s="877"/>
      <c r="T52" s="877"/>
      <c r="U52" s="869"/>
      <c r="V52" s="877"/>
      <c r="W52" s="877"/>
      <c r="X52" s="877"/>
      <c r="Y52" s="877"/>
      <c r="Z52" s="877"/>
      <c r="AA52" s="877"/>
      <c r="AB52" s="877"/>
      <c r="AC52" s="877"/>
      <c r="AD52" s="877"/>
      <c r="AE52" s="869"/>
      <c r="AF52" s="869"/>
      <c r="AG52" s="877"/>
      <c r="AH52" s="877"/>
      <c r="AI52" s="877"/>
      <c r="AJ52" s="877"/>
      <c r="AK52" s="877"/>
      <c r="AL52" s="877"/>
      <c r="AM52" s="877"/>
      <c r="AN52" s="877"/>
      <c r="AO52" s="877"/>
      <c r="AP52" s="877"/>
      <c r="AQ52" s="878"/>
      <c r="AR52" s="877"/>
      <c r="AS52" s="877"/>
      <c r="AT52" s="877"/>
      <c r="AU52" s="877"/>
      <c r="AV52" s="879"/>
      <c r="AW52" s="879"/>
      <c r="AX52" s="877"/>
      <c r="AY52" s="877"/>
      <c r="AZ52" s="877"/>
      <c r="BA52" s="877"/>
      <c r="BB52" s="877"/>
      <c r="BC52" s="878"/>
      <c r="BD52" s="877"/>
      <c r="BE52" s="877"/>
      <c r="BF52" s="877"/>
      <c r="BG52" s="877"/>
      <c r="BH52" s="879"/>
      <c r="BI52" s="879"/>
      <c r="BJ52" s="877"/>
      <c r="BK52" s="877"/>
      <c r="BL52" s="877"/>
      <c r="BM52" s="877"/>
      <c r="BN52" s="877"/>
      <c r="BO52" s="869"/>
      <c r="BP52" s="869"/>
      <c r="BQ52" s="877"/>
      <c r="BR52" s="877"/>
      <c r="BS52" s="877"/>
      <c r="BT52" s="877"/>
      <c r="BU52" s="877"/>
      <c r="BV52" s="877"/>
      <c r="BW52" s="877"/>
      <c r="BX52" s="877"/>
      <c r="BY52" s="877"/>
      <c r="BZ52" s="877"/>
      <c r="CA52" s="878"/>
      <c r="CB52" s="877"/>
      <c r="CC52" s="877"/>
      <c r="CD52" s="877"/>
      <c r="CE52" s="877"/>
      <c r="CF52" s="879"/>
      <c r="CG52" s="879"/>
      <c r="CH52" s="877"/>
      <c r="CI52" s="877"/>
      <c r="CJ52" s="877"/>
      <c r="CK52" s="877"/>
      <c r="CL52" s="877"/>
      <c r="CM52" s="878"/>
      <c r="CN52" s="877"/>
      <c r="CO52" s="877"/>
      <c r="CP52" s="877"/>
      <c r="CQ52" s="877"/>
      <c r="CR52" s="879"/>
      <c r="CS52" s="879"/>
      <c r="CT52" s="877"/>
      <c r="CU52" s="877"/>
      <c r="CV52" s="877"/>
      <c r="CW52" s="877"/>
      <c r="CX52" s="877"/>
    </row>
    <row r="53" spans="2:102" ht="40.5" hidden="1" customHeight="1" outlineLevel="2">
      <c r="B53" s="914"/>
      <c r="C53" s="915" t="s">
        <v>1194</v>
      </c>
      <c r="D53" s="916" t="s">
        <v>1128</v>
      </c>
      <c r="E53" s="869"/>
      <c r="F53" s="869"/>
      <c r="G53" s="869"/>
      <c r="H53" s="877"/>
      <c r="I53" s="877"/>
      <c r="J53" s="877"/>
      <c r="K53" s="877"/>
      <c r="L53" s="877"/>
      <c r="M53" s="877"/>
      <c r="N53" s="877"/>
      <c r="O53" s="877"/>
      <c r="P53" s="877"/>
      <c r="Q53" s="877"/>
      <c r="R53" s="877"/>
      <c r="S53" s="877"/>
      <c r="T53" s="877"/>
      <c r="U53" s="869"/>
      <c r="V53" s="877"/>
      <c r="W53" s="877"/>
      <c r="X53" s="877"/>
      <c r="Y53" s="877"/>
      <c r="Z53" s="877"/>
      <c r="AA53" s="877"/>
      <c r="AB53" s="877"/>
      <c r="AC53" s="877"/>
      <c r="AD53" s="877"/>
      <c r="AE53" s="869"/>
      <c r="AF53" s="869"/>
      <c r="AG53" s="877"/>
      <c r="AH53" s="877"/>
      <c r="AI53" s="877"/>
      <c r="AJ53" s="877"/>
      <c r="AK53" s="877"/>
      <c r="AL53" s="877"/>
      <c r="AM53" s="877"/>
      <c r="AN53" s="877"/>
      <c r="AO53" s="877"/>
      <c r="AP53" s="877"/>
      <c r="AQ53" s="878"/>
      <c r="AR53" s="877"/>
      <c r="AS53" s="877"/>
      <c r="AT53" s="877"/>
      <c r="AU53" s="877"/>
      <c r="AV53" s="879"/>
      <c r="AW53" s="879"/>
      <c r="AX53" s="877"/>
      <c r="AY53" s="877"/>
      <c r="AZ53" s="877"/>
      <c r="BA53" s="877"/>
      <c r="BB53" s="877"/>
      <c r="BC53" s="878"/>
      <c r="BD53" s="877"/>
      <c r="BE53" s="877"/>
      <c r="BF53" s="877"/>
      <c r="BG53" s="877"/>
      <c r="BH53" s="879"/>
      <c r="BI53" s="879"/>
      <c r="BJ53" s="877"/>
      <c r="BK53" s="877"/>
      <c r="BL53" s="877"/>
      <c r="BM53" s="877"/>
      <c r="BN53" s="877"/>
      <c r="BO53" s="869"/>
      <c r="BP53" s="869"/>
      <c r="BQ53" s="877"/>
      <c r="BR53" s="877"/>
      <c r="BS53" s="877"/>
      <c r="BT53" s="877"/>
      <c r="BU53" s="877"/>
      <c r="BV53" s="877"/>
      <c r="BW53" s="877"/>
      <c r="BX53" s="877"/>
      <c r="BY53" s="877"/>
      <c r="BZ53" s="877"/>
      <c r="CA53" s="878"/>
      <c r="CB53" s="877"/>
      <c r="CC53" s="877"/>
      <c r="CD53" s="877"/>
      <c r="CE53" s="877"/>
      <c r="CF53" s="879"/>
      <c r="CG53" s="879"/>
      <c r="CH53" s="877"/>
      <c r="CI53" s="877"/>
      <c r="CJ53" s="877"/>
      <c r="CK53" s="877"/>
      <c r="CL53" s="877"/>
      <c r="CM53" s="878"/>
      <c r="CN53" s="877"/>
      <c r="CO53" s="877"/>
      <c r="CP53" s="877"/>
      <c r="CQ53" s="877"/>
      <c r="CR53" s="879"/>
      <c r="CS53" s="879"/>
      <c r="CT53" s="877"/>
      <c r="CU53" s="877"/>
      <c r="CV53" s="877"/>
      <c r="CW53" s="877"/>
      <c r="CX53" s="877"/>
    </row>
    <row r="54" spans="2:102" ht="40.5" hidden="1" customHeight="1" outlineLevel="2">
      <c r="B54" s="914" t="s">
        <v>1195</v>
      </c>
      <c r="C54" s="915" t="s">
        <v>1196</v>
      </c>
      <c r="D54" s="916" t="s">
        <v>1128</v>
      </c>
      <c r="E54" s="869"/>
      <c r="F54" s="869"/>
      <c r="G54" s="869"/>
      <c r="H54" s="877"/>
      <c r="I54" s="877"/>
      <c r="J54" s="877"/>
      <c r="K54" s="877"/>
      <c r="L54" s="877"/>
      <c r="M54" s="877"/>
      <c r="N54" s="877"/>
      <c r="O54" s="877"/>
      <c r="P54" s="877"/>
      <c r="Q54" s="877"/>
      <c r="R54" s="877"/>
      <c r="S54" s="877"/>
      <c r="T54" s="877"/>
      <c r="U54" s="869"/>
      <c r="V54" s="877"/>
      <c r="W54" s="877"/>
      <c r="X54" s="877"/>
      <c r="Y54" s="877"/>
      <c r="Z54" s="877"/>
      <c r="AA54" s="877"/>
      <c r="AB54" s="877"/>
      <c r="AC54" s="877"/>
      <c r="AD54" s="877"/>
      <c r="AE54" s="869"/>
      <c r="AF54" s="869"/>
      <c r="AG54" s="877"/>
      <c r="AH54" s="877"/>
      <c r="AI54" s="877"/>
      <c r="AJ54" s="877"/>
      <c r="AK54" s="877"/>
      <c r="AL54" s="877"/>
      <c r="AM54" s="877"/>
      <c r="AN54" s="877"/>
      <c r="AO54" s="877"/>
      <c r="AP54" s="877"/>
      <c r="AQ54" s="878"/>
      <c r="AR54" s="877"/>
      <c r="AS54" s="877"/>
      <c r="AT54" s="877"/>
      <c r="AU54" s="877"/>
      <c r="AV54" s="879"/>
      <c r="AW54" s="879"/>
      <c r="AX54" s="877"/>
      <c r="AY54" s="877"/>
      <c r="AZ54" s="877"/>
      <c r="BA54" s="877"/>
      <c r="BB54" s="877"/>
      <c r="BC54" s="878"/>
      <c r="BD54" s="877"/>
      <c r="BE54" s="877"/>
      <c r="BF54" s="877"/>
      <c r="BG54" s="877"/>
      <c r="BH54" s="879"/>
      <c r="BI54" s="879"/>
      <c r="BJ54" s="877"/>
      <c r="BK54" s="877"/>
      <c r="BL54" s="877"/>
      <c r="BM54" s="877"/>
      <c r="BN54" s="877"/>
      <c r="BO54" s="869"/>
      <c r="BP54" s="869"/>
      <c r="BQ54" s="877"/>
      <c r="BR54" s="877"/>
      <c r="BS54" s="877"/>
      <c r="BT54" s="877"/>
      <c r="BU54" s="877"/>
      <c r="BV54" s="877"/>
      <c r="BW54" s="877"/>
      <c r="BX54" s="877"/>
      <c r="BY54" s="877"/>
      <c r="BZ54" s="877"/>
      <c r="CA54" s="878"/>
      <c r="CB54" s="877"/>
      <c r="CC54" s="877"/>
      <c r="CD54" s="877"/>
      <c r="CE54" s="877"/>
      <c r="CF54" s="879"/>
      <c r="CG54" s="879"/>
      <c r="CH54" s="877"/>
      <c r="CI54" s="877"/>
      <c r="CJ54" s="877"/>
      <c r="CK54" s="877"/>
      <c r="CL54" s="877"/>
      <c r="CM54" s="878"/>
      <c r="CN54" s="877"/>
      <c r="CO54" s="877"/>
      <c r="CP54" s="877"/>
      <c r="CQ54" s="877"/>
      <c r="CR54" s="879"/>
      <c r="CS54" s="879"/>
      <c r="CT54" s="877"/>
      <c r="CU54" s="877"/>
      <c r="CV54" s="877"/>
      <c r="CW54" s="877"/>
      <c r="CX54" s="877"/>
    </row>
    <row r="55" spans="2:102" ht="20.25" hidden="1" customHeight="1" outlineLevel="2">
      <c r="B55" s="914" t="s">
        <v>1197</v>
      </c>
      <c r="C55" s="915" t="s">
        <v>1198</v>
      </c>
      <c r="D55" s="916" t="s">
        <v>1128</v>
      </c>
      <c r="E55" s="869"/>
      <c r="F55" s="869"/>
      <c r="G55" s="869"/>
      <c r="H55" s="877"/>
      <c r="I55" s="877"/>
      <c r="J55" s="877"/>
      <c r="K55" s="877"/>
      <c r="L55" s="877"/>
      <c r="M55" s="877"/>
      <c r="N55" s="877"/>
      <c r="O55" s="877"/>
      <c r="P55" s="877"/>
      <c r="Q55" s="877"/>
      <c r="R55" s="877"/>
      <c r="S55" s="877"/>
      <c r="T55" s="877"/>
      <c r="U55" s="869"/>
      <c r="V55" s="877"/>
      <c r="W55" s="877"/>
      <c r="X55" s="877"/>
      <c r="Y55" s="877"/>
      <c r="Z55" s="877"/>
      <c r="AA55" s="877"/>
      <c r="AB55" s="877"/>
      <c r="AC55" s="877"/>
      <c r="AD55" s="877"/>
      <c r="AE55" s="869"/>
      <c r="AF55" s="869"/>
      <c r="AG55" s="877"/>
      <c r="AH55" s="877"/>
      <c r="AI55" s="877"/>
      <c r="AJ55" s="877"/>
      <c r="AK55" s="877"/>
      <c r="AL55" s="877"/>
      <c r="AM55" s="877"/>
      <c r="AN55" s="877"/>
      <c r="AO55" s="877"/>
      <c r="AP55" s="877"/>
      <c r="AQ55" s="878"/>
      <c r="AR55" s="877"/>
      <c r="AS55" s="877"/>
      <c r="AT55" s="877"/>
      <c r="AU55" s="877"/>
      <c r="AV55" s="879"/>
      <c r="AW55" s="879"/>
      <c r="AX55" s="877"/>
      <c r="AY55" s="877"/>
      <c r="AZ55" s="877"/>
      <c r="BA55" s="877"/>
      <c r="BB55" s="877"/>
      <c r="BC55" s="878"/>
      <c r="BD55" s="877"/>
      <c r="BE55" s="877"/>
      <c r="BF55" s="877"/>
      <c r="BG55" s="877"/>
      <c r="BH55" s="879"/>
      <c r="BI55" s="879"/>
      <c r="BJ55" s="877"/>
      <c r="BK55" s="877"/>
      <c r="BL55" s="877"/>
      <c r="BM55" s="877"/>
      <c r="BN55" s="877"/>
      <c r="BO55" s="869"/>
      <c r="BP55" s="869"/>
      <c r="BQ55" s="877"/>
      <c r="BR55" s="877"/>
      <c r="BS55" s="877"/>
      <c r="BT55" s="877"/>
      <c r="BU55" s="877"/>
      <c r="BV55" s="877"/>
      <c r="BW55" s="877"/>
      <c r="BX55" s="877"/>
      <c r="BY55" s="877"/>
      <c r="BZ55" s="877"/>
      <c r="CA55" s="878"/>
      <c r="CB55" s="877"/>
      <c r="CC55" s="877"/>
      <c r="CD55" s="877"/>
      <c r="CE55" s="877"/>
      <c r="CF55" s="879"/>
      <c r="CG55" s="879"/>
      <c r="CH55" s="877"/>
      <c r="CI55" s="877"/>
      <c r="CJ55" s="877"/>
      <c r="CK55" s="877"/>
      <c r="CL55" s="877"/>
      <c r="CM55" s="878"/>
      <c r="CN55" s="877"/>
      <c r="CO55" s="877"/>
      <c r="CP55" s="877"/>
      <c r="CQ55" s="877"/>
      <c r="CR55" s="879"/>
      <c r="CS55" s="879"/>
      <c r="CT55" s="877"/>
      <c r="CU55" s="877"/>
      <c r="CV55" s="877"/>
      <c r="CW55" s="877"/>
      <c r="CX55" s="877"/>
    </row>
    <row r="56" spans="2:102" ht="20.25" hidden="1" customHeight="1" outlineLevel="1" collapsed="1">
      <c r="B56" s="866" t="s">
        <v>1199</v>
      </c>
      <c r="C56" s="867" t="s">
        <v>1200</v>
      </c>
      <c r="D56" s="868" t="s">
        <v>1128</v>
      </c>
      <c r="E56" s="869"/>
      <c r="F56" s="869"/>
      <c r="G56" s="869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9"/>
      <c r="V56" s="862"/>
      <c r="W56" s="862"/>
      <c r="X56" s="862"/>
      <c r="Y56" s="862"/>
      <c r="Z56" s="862"/>
      <c r="AA56" s="862"/>
      <c r="AB56" s="862"/>
      <c r="AC56" s="862"/>
      <c r="AD56" s="862"/>
      <c r="AE56" s="869"/>
      <c r="AF56" s="869"/>
      <c r="AG56" s="862"/>
      <c r="AH56" s="862"/>
      <c r="AI56" s="862"/>
      <c r="AJ56" s="862"/>
      <c r="AK56" s="862"/>
      <c r="AL56" s="862"/>
      <c r="AM56" s="862"/>
      <c r="AN56" s="862"/>
      <c r="AO56" s="862"/>
      <c r="AP56" s="862"/>
      <c r="AQ56" s="869"/>
      <c r="AR56" s="862"/>
      <c r="AS56" s="862"/>
      <c r="AT56" s="862"/>
      <c r="AU56" s="862"/>
      <c r="AV56" s="863"/>
      <c r="AW56" s="863"/>
      <c r="AX56" s="862"/>
      <c r="AY56" s="862"/>
      <c r="AZ56" s="862"/>
      <c r="BA56" s="862"/>
      <c r="BB56" s="862"/>
      <c r="BC56" s="869"/>
      <c r="BD56" s="862"/>
      <c r="BE56" s="862"/>
      <c r="BF56" s="862"/>
      <c r="BG56" s="862"/>
      <c r="BH56" s="863"/>
      <c r="BI56" s="863"/>
      <c r="BJ56" s="862"/>
      <c r="BK56" s="862"/>
      <c r="BL56" s="862"/>
      <c r="BM56" s="862"/>
      <c r="BN56" s="862"/>
      <c r="BO56" s="869"/>
      <c r="BP56" s="869"/>
      <c r="BQ56" s="862"/>
      <c r="BR56" s="862"/>
      <c r="BS56" s="862"/>
      <c r="BT56" s="862"/>
      <c r="BU56" s="862"/>
      <c r="BV56" s="862"/>
      <c r="BW56" s="862"/>
      <c r="BX56" s="862"/>
      <c r="BY56" s="862"/>
      <c r="BZ56" s="862"/>
      <c r="CA56" s="869"/>
      <c r="CB56" s="862"/>
      <c r="CC56" s="862"/>
      <c r="CD56" s="862"/>
      <c r="CE56" s="862"/>
      <c r="CF56" s="863"/>
      <c r="CG56" s="863"/>
      <c r="CH56" s="862"/>
      <c r="CI56" s="862"/>
      <c r="CJ56" s="862"/>
      <c r="CK56" s="862"/>
      <c r="CL56" s="862"/>
      <c r="CM56" s="869"/>
      <c r="CN56" s="862"/>
      <c r="CO56" s="862"/>
      <c r="CP56" s="862"/>
      <c r="CQ56" s="862"/>
      <c r="CR56" s="863"/>
      <c r="CS56" s="863"/>
      <c r="CT56" s="862"/>
      <c r="CU56" s="862"/>
      <c r="CV56" s="862"/>
      <c r="CW56" s="862"/>
      <c r="CX56" s="862"/>
    </row>
    <row r="57" spans="2:102" ht="67.5" hidden="1" customHeight="1" collapsed="1">
      <c r="B57" s="866" t="s">
        <v>1201</v>
      </c>
      <c r="C57" s="867" t="s">
        <v>1202</v>
      </c>
      <c r="D57" s="868" t="s">
        <v>1128</v>
      </c>
      <c r="E57" s="869">
        <f>F57+AE57</f>
        <v>67497.468378041274</v>
      </c>
      <c r="F57" s="869">
        <f>G57+U57</f>
        <v>67497.468378041274</v>
      </c>
      <c r="G57" s="869">
        <f>G14</f>
        <v>54045.532852193035</v>
      </c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9">
        <f>U14</f>
        <v>13451.935525848239</v>
      </c>
      <c r="V57" s="862">
        <f t="shared" ref="V57:AA57" si="72">V14</f>
        <v>0</v>
      </c>
      <c r="W57" s="862">
        <f t="shared" si="72"/>
        <v>0</v>
      </c>
      <c r="X57" s="862">
        <f t="shared" si="72"/>
        <v>0</v>
      </c>
      <c r="Y57" s="862">
        <f t="shared" si="72"/>
        <v>0</v>
      </c>
      <c r="Z57" s="862">
        <f t="shared" si="72"/>
        <v>0</v>
      </c>
      <c r="AA57" s="862">
        <f t="shared" si="72"/>
        <v>0</v>
      </c>
      <c r="AB57" s="862"/>
      <c r="AC57" s="862"/>
      <c r="AD57" s="862"/>
      <c r="AE57" s="869">
        <f t="shared" ref="AE57:AE65" si="73">AF57+AQ57</f>
        <v>0</v>
      </c>
      <c r="AF57" s="869">
        <f>AF14</f>
        <v>0</v>
      </c>
      <c r="AG57" s="862">
        <f t="shared" ref="AG57:AL57" si="74">AG14</f>
        <v>0</v>
      </c>
      <c r="AH57" s="862">
        <f t="shared" si="74"/>
        <v>0</v>
      </c>
      <c r="AI57" s="862">
        <f t="shared" si="74"/>
        <v>0</v>
      </c>
      <c r="AJ57" s="862">
        <f t="shared" si="74"/>
        <v>0</v>
      </c>
      <c r="AK57" s="862">
        <f t="shared" si="74"/>
        <v>0</v>
      </c>
      <c r="AL57" s="862">
        <f t="shared" si="74"/>
        <v>0</v>
      </c>
      <c r="AM57" s="862"/>
      <c r="AN57" s="862"/>
      <c r="AO57" s="862"/>
      <c r="AP57" s="862"/>
      <c r="AQ57" s="869">
        <f>AQ14</f>
        <v>0</v>
      </c>
      <c r="AR57" s="862">
        <f t="shared" ref="AR57:AX57" si="75">AR14</f>
        <v>0</v>
      </c>
      <c r="AS57" s="862">
        <f t="shared" si="75"/>
        <v>0</v>
      </c>
      <c r="AT57" s="862">
        <f t="shared" si="75"/>
        <v>0</v>
      </c>
      <c r="AU57" s="862">
        <f t="shared" si="75"/>
        <v>0</v>
      </c>
      <c r="AV57" s="863">
        <f t="shared" si="75"/>
        <v>0</v>
      </c>
      <c r="AW57" s="863"/>
      <c r="AX57" s="862">
        <f t="shared" si="75"/>
        <v>0</v>
      </c>
      <c r="AY57" s="862"/>
      <c r="AZ57" s="862"/>
      <c r="BA57" s="862"/>
      <c r="BB57" s="862"/>
      <c r="BC57" s="869">
        <f t="shared" ref="BC57:BH57" si="76">BC14</f>
        <v>0</v>
      </c>
      <c r="BD57" s="862">
        <f t="shared" si="76"/>
        <v>0</v>
      </c>
      <c r="BE57" s="862">
        <f t="shared" si="76"/>
        <v>0</v>
      </c>
      <c r="BF57" s="862">
        <f t="shared" si="76"/>
        <v>0</v>
      </c>
      <c r="BG57" s="862">
        <f t="shared" si="76"/>
        <v>0</v>
      </c>
      <c r="BH57" s="863">
        <f t="shared" si="76"/>
        <v>0</v>
      </c>
      <c r="BI57" s="863"/>
      <c r="BJ57" s="862">
        <f>BJ14</f>
        <v>0</v>
      </c>
      <c r="BK57" s="862"/>
      <c r="BL57" s="862"/>
      <c r="BM57" s="862"/>
      <c r="BN57" s="862"/>
      <c r="BO57" s="869"/>
      <c r="BP57" s="869">
        <f>BP14</f>
        <v>0</v>
      </c>
      <c r="BQ57" s="862">
        <f t="shared" ref="BQ57:BV57" si="77">BQ14</f>
        <v>0</v>
      </c>
      <c r="BR57" s="862">
        <f t="shared" si="77"/>
        <v>0</v>
      </c>
      <c r="BS57" s="862">
        <f t="shared" si="77"/>
        <v>0</v>
      </c>
      <c r="BT57" s="862">
        <f t="shared" si="77"/>
        <v>0</v>
      </c>
      <c r="BU57" s="862">
        <f t="shared" si="77"/>
        <v>0</v>
      </c>
      <c r="BV57" s="862">
        <f t="shared" si="77"/>
        <v>0</v>
      </c>
      <c r="BW57" s="862"/>
      <c r="BX57" s="862"/>
      <c r="BY57" s="862"/>
      <c r="BZ57" s="862"/>
      <c r="CA57" s="869">
        <f t="shared" ref="CA57:CF57" si="78">CA14</f>
        <v>0</v>
      </c>
      <c r="CB57" s="862">
        <f t="shared" si="78"/>
        <v>0</v>
      </c>
      <c r="CC57" s="862">
        <f t="shared" si="78"/>
        <v>0</v>
      </c>
      <c r="CD57" s="862">
        <f t="shared" si="78"/>
        <v>0</v>
      </c>
      <c r="CE57" s="862">
        <f t="shared" si="78"/>
        <v>0</v>
      </c>
      <c r="CF57" s="863">
        <f t="shared" si="78"/>
        <v>0</v>
      </c>
      <c r="CG57" s="863"/>
      <c r="CH57" s="862">
        <f>CH14</f>
        <v>0</v>
      </c>
      <c r="CI57" s="862"/>
      <c r="CJ57" s="862"/>
      <c r="CK57" s="862"/>
      <c r="CL57" s="862"/>
      <c r="CM57" s="869">
        <f t="shared" ref="CM57:CR57" si="79">CM14</f>
        <v>0</v>
      </c>
      <c r="CN57" s="862">
        <f t="shared" si="79"/>
        <v>0</v>
      </c>
      <c r="CO57" s="862">
        <f t="shared" si="79"/>
        <v>0</v>
      </c>
      <c r="CP57" s="862">
        <f t="shared" si="79"/>
        <v>0</v>
      </c>
      <c r="CQ57" s="862">
        <f t="shared" si="79"/>
        <v>0</v>
      </c>
      <c r="CR57" s="863">
        <f t="shared" si="79"/>
        <v>0</v>
      </c>
      <c r="CS57" s="863"/>
      <c r="CT57" s="862">
        <f>CT14</f>
        <v>0</v>
      </c>
      <c r="CU57" s="862"/>
      <c r="CV57" s="862"/>
      <c r="CW57" s="862"/>
      <c r="CX57" s="862"/>
    </row>
    <row r="58" spans="2:102" ht="20.25" hidden="1" customHeight="1">
      <c r="B58" s="866">
        <v>3</v>
      </c>
      <c r="C58" s="913" t="s">
        <v>1203</v>
      </c>
      <c r="D58" s="868" t="s">
        <v>1204</v>
      </c>
      <c r="E58" s="869"/>
      <c r="F58" s="869"/>
      <c r="G58" s="869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9"/>
      <c r="V58" s="862"/>
      <c r="W58" s="862"/>
      <c r="X58" s="862"/>
      <c r="Y58" s="862"/>
      <c r="Z58" s="862"/>
      <c r="AA58" s="862"/>
      <c r="AB58" s="862"/>
      <c r="AC58" s="862"/>
      <c r="AD58" s="862"/>
      <c r="AE58" s="869"/>
      <c r="AF58" s="869"/>
      <c r="AG58" s="862"/>
      <c r="AH58" s="862"/>
      <c r="AI58" s="862"/>
      <c r="AJ58" s="862"/>
      <c r="AK58" s="862"/>
      <c r="AL58" s="862"/>
      <c r="AM58" s="862"/>
      <c r="AN58" s="862"/>
      <c r="AO58" s="862"/>
      <c r="AP58" s="862"/>
      <c r="AQ58" s="869"/>
      <c r="AR58" s="862"/>
      <c r="AS58" s="862"/>
      <c r="AT58" s="862"/>
      <c r="AU58" s="862"/>
      <c r="AV58" s="863"/>
      <c r="AW58" s="863"/>
      <c r="AX58" s="862"/>
      <c r="AY58" s="862"/>
      <c r="AZ58" s="862"/>
      <c r="BA58" s="862"/>
      <c r="BB58" s="862"/>
      <c r="BC58" s="869"/>
      <c r="BD58" s="862"/>
      <c r="BE58" s="862"/>
      <c r="BF58" s="862"/>
      <c r="BG58" s="862"/>
      <c r="BH58" s="863"/>
      <c r="BI58" s="863"/>
      <c r="BJ58" s="862"/>
      <c r="BK58" s="862"/>
      <c r="BL58" s="862"/>
      <c r="BM58" s="862"/>
      <c r="BN58" s="862"/>
      <c r="BO58" s="869"/>
      <c r="BP58" s="869"/>
      <c r="BQ58" s="862"/>
      <c r="BR58" s="862"/>
      <c r="BS58" s="862"/>
      <c r="BT58" s="862"/>
      <c r="BU58" s="862"/>
      <c r="BV58" s="862"/>
      <c r="BW58" s="862"/>
      <c r="BX58" s="862"/>
      <c r="BY58" s="862"/>
      <c r="BZ58" s="862"/>
      <c r="CA58" s="869"/>
      <c r="CB58" s="862"/>
      <c r="CC58" s="862"/>
      <c r="CD58" s="862"/>
      <c r="CE58" s="862"/>
      <c r="CF58" s="863"/>
      <c r="CG58" s="863"/>
      <c r="CH58" s="862"/>
      <c r="CI58" s="862"/>
      <c r="CJ58" s="862"/>
      <c r="CK58" s="862"/>
      <c r="CL58" s="862"/>
      <c r="CM58" s="869"/>
      <c r="CN58" s="862"/>
      <c r="CO58" s="862"/>
      <c r="CP58" s="862"/>
      <c r="CQ58" s="862"/>
      <c r="CR58" s="863"/>
      <c r="CS58" s="863"/>
      <c r="CT58" s="862"/>
      <c r="CU58" s="862"/>
      <c r="CV58" s="862"/>
      <c r="CW58" s="862"/>
      <c r="CX58" s="862"/>
    </row>
    <row r="59" spans="2:102" ht="34.5" customHeight="1">
      <c r="B59" s="917" t="s">
        <v>1205</v>
      </c>
      <c r="C59" s="918" t="s">
        <v>1206</v>
      </c>
      <c r="D59" s="842" t="s">
        <v>1204</v>
      </c>
      <c r="E59" s="869"/>
      <c r="F59" s="869"/>
      <c r="G59" s="869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9"/>
      <c r="V59" s="862"/>
      <c r="W59" s="862"/>
      <c r="X59" s="862"/>
      <c r="Y59" s="862"/>
      <c r="Z59" s="862"/>
      <c r="AA59" s="862"/>
      <c r="AB59" s="862"/>
      <c r="AC59" s="862"/>
      <c r="AD59" s="862"/>
      <c r="AE59" s="869"/>
      <c r="AF59" s="869"/>
      <c r="AG59" s="862"/>
      <c r="AH59" s="862"/>
      <c r="AI59" s="862"/>
      <c r="AJ59" s="862"/>
      <c r="AK59" s="862"/>
      <c r="AL59" s="862"/>
      <c r="AM59" s="862"/>
      <c r="AN59" s="862"/>
      <c r="AO59" s="862"/>
      <c r="AP59" s="862"/>
      <c r="AQ59" s="869">
        <f>AQ60+AQ61+AQ62+AQ63+AQ64+AQ65+AQ66</f>
        <v>0</v>
      </c>
      <c r="AR59" s="862"/>
      <c r="AS59" s="862"/>
      <c r="AT59" s="862"/>
      <c r="AU59" s="862"/>
      <c r="AV59" s="863"/>
      <c r="AW59" s="863"/>
      <c r="AX59" s="862"/>
      <c r="AY59" s="862"/>
      <c r="AZ59" s="862"/>
      <c r="BA59" s="862"/>
      <c r="BB59" s="862"/>
      <c r="BC59" s="869">
        <f>BC60+BC61+BC62+BC63+BC64+BC65+BC66</f>
        <v>0</v>
      </c>
      <c r="BD59" s="862"/>
      <c r="BE59" s="862"/>
      <c r="BF59" s="862"/>
      <c r="BG59" s="862"/>
      <c r="BH59" s="863"/>
      <c r="BI59" s="863"/>
      <c r="BJ59" s="862"/>
      <c r="BK59" s="862"/>
      <c r="BL59" s="862"/>
      <c r="BM59" s="862"/>
      <c r="BN59" s="862"/>
      <c r="BO59" s="869"/>
      <c r="BP59" s="869"/>
      <c r="BQ59" s="862"/>
      <c r="BR59" s="862"/>
      <c r="BS59" s="862"/>
      <c r="BT59" s="862"/>
      <c r="BU59" s="862"/>
      <c r="BV59" s="862"/>
      <c r="BW59" s="862"/>
      <c r="BX59" s="862"/>
      <c r="BY59" s="862"/>
      <c r="BZ59" s="862"/>
      <c r="CA59" s="869">
        <f>CA60+CA61+CA62+CA63+CA64+CA65+CA66</f>
        <v>0</v>
      </c>
      <c r="CB59" s="862"/>
      <c r="CC59" s="862"/>
      <c r="CD59" s="862"/>
      <c r="CE59" s="862"/>
      <c r="CF59" s="863"/>
      <c r="CG59" s="863"/>
      <c r="CH59" s="862"/>
      <c r="CI59" s="862"/>
      <c r="CJ59" s="862"/>
      <c r="CK59" s="862"/>
      <c r="CL59" s="862"/>
      <c r="CM59" s="869">
        <f>CM60+CM61+CM62+CM63+CM64+CM65+CM66</f>
        <v>0</v>
      </c>
      <c r="CN59" s="862"/>
      <c r="CO59" s="862"/>
      <c r="CP59" s="862"/>
      <c r="CQ59" s="862"/>
      <c r="CR59" s="863"/>
      <c r="CS59" s="863"/>
      <c r="CT59" s="862"/>
      <c r="CU59" s="862"/>
      <c r="CV59" s="862"/>
      <c r="CW59" s="862"/>
      <c r="CX59" s="862"/>
    </row>
    <row r="60" spans="2:102" ht="20.25" hidden="1" customHeight="1" outlineLevel="1">
      <c r="B60" s="870" t="s">
        <v>1207</v>
      </c>
      <c r="C60" s="871" t="s">
        <v>1208</v>
      </c>
      <c r="D60" s="872" t="s">
        <v>1204</v>
      </c>
      <c r="E60" s="869"/>
      <c r="F60" s="869">
        <f>G60+U60</f>
        <v>0</v>
      </c>
      <c r="G60" s="912"/>
      <c r="H60" s="877"/>
      <c r="I60" s="877"/>
      <c r="J60" s="877"/>
      <c r="K60" s="877"/>
      <c r="L60" s="877"/>
      <c r="M60" s="877"/>
      <c r="N60" s="877"/>
      <c r="O60" s="877"/>
      <c r="P60" s="877"/>
      <c r="Q60" s="877"/>
      <c r="R60" s="877"/>
      <c r="S60" s="877"/>
      <c r="T60" s="877"/>
      <c r="U60" s="869"/>
      <c r="V60" s="877"/>
      <c r="W60" s="877"/>
      <c r="X60" s="877"/>
      <c r="Y60" s="877"/>
      <c r="Z60" s="877"/>
      <c r="AA60" s="877"/>
      <c r="AB60" s="877"/>
      <c r="AC60" s="877"/>
      <c r="AD60" s="877"/>
      <c r="AE60" s="869">
        <f t="shared" si="73"/>
        <v>0</v>
      </c>
      <c r="AF60" s="869"/>
      <c r="AG60" s="877"/>
      <c r="AH60" s="877"/>
      <c r="AI60" s="877"/>
      <c r="AJ60" s="877"/>
      <c r="AK60" s="877"/>
      <c r="AL60" s="877"/>
      <c r="AM60" s="877"/>
      <c r="AN60" s="877"/>
      <c r="AO60" s="877"/>
      <c r="AP60" s="877"/>
      <c r="AQ60" s="878"/>
      <c r="AR60" s="877"/>
      <c r="AS60" s="877"/>
      <c r="AT60" s="877"/>
      <c r="AU60" s="877"/>
      <c r="AV60" s="879"/>
      <c r="AW60" s="879"/>
      <c r="AX60" s="877"/>
      <c r="AY60" s="877"/>
      <c r="AZ60" s="877"/>
      <c r="BA60" s="877"/>
      <c r="BB60" s="877"/>
      <c r="BC60" s="878"/>
      <c r="BD60" s="877"/>
      <c r="BE60" s="877"/>
      <c r="BF60" s="877"/>
      <c r="BG60" s="877"/>
      <c r="BH60" s="879"/>
      <c r="BI60" s="879"/>
      <c r="BJ60" s="877"/>
      <c r="BK60" s="877"/>
      <c r="BL60" s="877"/>
      <c r="BM60" s="877"/>
      <c r="BN60" s="877"/>
      <c r="BO60" s="869"/>
      <c r="BP60" s="869"/>
      <c r="BQ60" s="877"/>
      <c r="BR60" s="877"/>
      <c r="BS60" s="877"/>
      <c r="BT60" s="877"/>
      <c r="BU60" s="877"/>
      <c r="BV60" s="877"/>
      <c r="BW60" s="877"/>
      <c r="BX60" s="877"/>
      <c r="BY60" s="877"/>
      <c r="BZ60" s="877"/>
      <c r="CA60" s="878"/>
      <c r="CB60" s="877"/>
      <c r="CC60" s="877"/>
      <c r="CD60" s="877"/>
      <c r="CE60" s="877"/>
      <c r="CF60" s="879"/>
      <c r="CG60" s="879"/>
      <c r="CH60" s="877"/>
      <c r="CI60" s="877"/>
      <c r="CJ60" s="877"/>
      <c r="CK60" s="877"/>
      <c r="CL60" s="877"/>
      <c r="CM60" s="878"/>
      <c r="CN60" s="877"/>
      <c r="CO60" s="877"/>
      <c r="CP60" s="877"/>
      <c r="CQ60" s="877"/>
      <c r="CR60" s="879"/>
      <c r="CS60" s="879"/>
      <c r="CT60" s="877"/>
      <c r="CU60" s="877"/>
      <c r="CV60" s="877"/>
      <c r="CW60" s="877"/>
      <c r="CX60" s="877"/>
    </row>
    <row r="61" spans="2:102" ht="20.25" hidden="1" customHeight="1" outlineLevel="1">
      <c r="B61" s="870" t="s">
        <v>1209</v>
      </c>
      <c r="C61" s="871" t="s">
        <v>1210</v>
      </c>
      <c r="D61" s="872" t="s">
        <v>1204</v>
      </c>
      <c r="E61" s="869"/>
      <c r="F61" s="919">
        <f>G61+U61</f>
        <v>0</v>
      </c>
      <c r="G61" s="912"/>
      <c r="H61" s="879"/>
      <c r="I61" s="877"/>
      <c r="J61" s="877"/>
      <c r="K61" s="877"/>
      <c r="L61" s="877"/>
      <c r="M61" s="877"/>
      <c r="N61" s="877"/>
      <c r="O61" s="877"/>
      <c r="P61" s="877"/>
      <c r="Q61" s="877"/>
      <c r="R61" s="877"/>
      <c r="S61" s="877"/>
      <c r="T61" s="877"/>
      <c r="U61" s="869"/>
      <c r="V61" s="877"/>
      <c r="W61" s="877"/>
      <c r="X61" s="877"/>
      <c r="Y61" s="877"/>
      <c r="Z61" s="877"/>
      <c r="AA61" s="877"/>
      <c r="AB61" s="877"/>
      <c r="AC61" s="877"/>
      <c r="AD61" s="877"/>
      <c r="AE61" s="869">
        <f t="shared" si="73"/>
        <v>0</v>
      </c>
      <c r="AF61" s="869"/>
      <c r="AG61" s="877"/>
      <c r="AH61" s="877"/>
      <c r="AI61" s="877"/>
      <c r="AJ61" s="877"/>
      <c r="AK61" s="877"/>
      <c r="AL61" s="877"/>
      <c r="AM61" s="877"/>
      <c r="AN61" s="877"/>
      <c r="AO61" s="877"/>
      <c r="AP61" s="877"/>
      <c r="AQ61" s="878"/>
      <c r="AR61" s="877"/>
      <c r="AS61" s="877"/>
      <c r="AT61" s="877"/>
      <c r="AU61" s="877"/>
      <c r="AV61" s="879"/>
      <c r="AW61" s="879"/>
      <c r="AX61" s="877"/>
      <c r="AY61" s="877"/>
      <c r="AZ61" s="877"/>
      <c r="BA61" s="877"/>
      <c r="BB61" s="877"/>
      <c r="BC61" s="878"/>
      <c r="BD61" s="877"/>
      <c r="BE61" s="877"/>
      <c r="BF61" s="877"/>
      <c r="BG61" s="877"/>
      <c r="BH61" s="879"/>
      <c r="BI61" s="879"/>
      <c r="BJ61" s="877"/>
      <c r="BK61" s="877"/>
      <c r="BL61" s="877"/>
      <c r="BM61" s="877"/>
      <c r="BN61" s="877"/>
      <c r="BO61" s="869"/>
      <c r="BP61" s="869"/>
      <c r="BQ61" s="877"/>
      <c r="BR61" s="877"/>
      <c r="BS61" s="877"/>
      <c r="BT61" s="877"/>
      <c r="BU61" s="877"/>
      <c r="BV61" s="877"/>
      <c r="BW61" s="877"/>
      <c r="BX61" s="877"/>
      <c r="BY61" s="877"/>
      <c r="BZ61" s="877"/>
      <c r="CA61" s="878"/>
      <c r="CB61" s="877"/>
      <c r="CC61" s="877"/>
      <c r="CD61" s="877"/>
      <c r="CE61" s="877"/>
      <c r="CF61" s="879"/>
      <c r="CG61" s="879"/>
      <c r="CH61" s="877"/>
      <c r="CI61" s="877"/>
      <c r="CJ61" s="877"/>
      <c r="CK61" s="877"/>
      <c r="CL61" s="877"/>
      <c r="CM61" s="878"/>
      <c r="CN61" s="877"/>
      <c r="CO61" s="877"/>
      <c r="CP61" s="877"/>
      <c r="CQ61" s="877"/>
      <c r="CR61" s="879"/>
      <c r="CS61" s="879"/>
      <c r="CT61" s="877"/>
      <c r="CU61" s="877"/>
      <c r="CV61" s="877"/>
      <c r="CW61" s="877"/>
      <c r="CX61" s="877"/>
    </row>
    <row r="62" spans="2:102" ht="42.75" hidden="1" customHeight="1" outlineLevel="1">
      <c r="B62" s="870" t="s">
        <v>1211</v>
      </c>
      <c r="C62" s="871" t="s">
        <v>1212</v>
      </c>
      <c r="D62" s="872" t="s">
        <v>1204</v>
      </c>
      <c r="E62" s="869"/>
      <c r="F62" s="869">
        <f>G62+U62</f>
        <v>0</v>
      </c>
      <c r="G62" s="869"/>
      <c r="H62" s="877"/>
      <c r="I62" s="877"/>
      <c r="J62" s="877"/>
      <c r="K62" s="877"/>
      <c r="L62" s="877"/>
      <c r="M62" s="877"/>
      <c r="N62" s="877"/>
      <c r="O62" s="877"/>
      <c r="P62" s="877"/>
      <c r="Q62" s="877"/>
      <c r="R62" s="877"/>
      <c r="S62" s="877"/>
      <c r="T62" s="877"/>
      <c r="U62" s="869"/>
      <c r="V62" s="877"/>
      <c r="W62" s="877"/>
      <c r="X62" s="877"/>
      <c r="Y62" s="877"/>
      <c r="Z62" s="877"/>
      <c r="AA62" s="877"/>
      <c r="AB62" s="877"/>
      <c r="AC62" s="877"/>
      <c r="AD62" s="877"/>
      <c r="AE62" s="869">
        <f t="shared" si="73"/>
        <v>0</v>
      </c>
      <c r="AF62" s="912"/>
      <c r="AG62" s="877"/>
      <c r="AH62" s="877"/>
      <c r="AI62" s="877"/>
      <c r="AJ62" s="877"/>
      <c r="AK62" s="877"/>
      <c r="AL62" s="877"/>
      <c r="AM62" s="877"/>
      <c r="AN62" s="877"/>
      <c r="AO62" s="877"/>
      <c r="AP62" s="877"/>
      <c r="AQ62" s="878"/>
      <c r="AR62" s="877"/>
      <c r="AS62" s="877"/>
      <c r="AT62" s="877"/>
      <c r="AU62" s="877"/>
      <c r="AV62" s="879"/>
      <c r="AW62" s="879"/>
      <c r="AX62" s="877"/>
      <c r="AY62" s="877"/>
      <c r="AZ62" s="877"/>
      <c r="BA62" s="877"/>
      <c r="BB62" s="877"/>
      <c r="BC62" s="878"/>
      <c r="BD62" s="877"/>
      <c r="BE62" s="877"/>
      <c r="BF62" s="877"/>
      <c r="BG62" s="877"/>
      <c r="BH62" s="879"/>
      <c r="BI62" s="879"/>
      <c r="BJ62" s="877"/>
      <c r="BK62" s="877"/>
      <c r="BL62" s="877"/>
      <c r="BM62" s="877"/>
      <c r="BN62" s="877"/>
      <c r="BO62" s="869"/>
      <c r="BP62" s="912"/>
      <c r="BQ62" s="877"/>
      <c r="BR62" s="877"/>
      <c r="BS62" s="877"/>
      <c r="BT62" s="877"/>
      <c r="BU62" s="877"/>
      <c r="BV62" s="877"/>
      <c r="BW62" s="877"/>
      <c r="BX62" s="877"/>
      <c r="BY62" s="877"/>
      <c r="BZ62" s="877"/>
      <c r="CA62" s="878"/>
      <c r="CB62" s="877"/>
      <c r="CC62" s="877"/>
      <c r="CD62" s="877"/>
      <c r="CE62" s="877"/>
      <c r="CF62" s="879"/>
      <c r="CG62" s="879"/>
      <c r="CH62" s="877"/>
      <c r="CI62" s="877"/>
      <c r="CJ62" s="877"/>
      <c r="CK62" s="877"/>
      <c r="CL62" s="877"/>
      <c r="CM62" s="878"/>
      <c r="CN62" s="877"/>
      <c r="CO62" s="877"/>
      <c r="CP62" s="877"/>
      <c r="CQ62" s="877"/>
      <c r="CR62" s="879"/>
      <c r="CS62" s="879"/>
      <c r="CT62" s="877"/>
      <c r="CU62" s="877"/>
      <c r="CV62" s="877"/>
      <c r="CW62" s="877"/>
      <c r="CX62" s="877"/>
    </row>
    <row r="63" spans="2:102" ht="44.25" hidden="1" customHeight="1" outlineLevel="1" thickBot="1">
      <c r="B63" s="870" t="s">
        <v>1213</v>
      </c>
      <c r="C63" s="871" t="s">
        <v>1268</v>
      </c>
      <c r="D63" s="872" t="s">
        <v>1204</v>
      </c>
      <c r="E63" s="869"/>
      <c r="F63" s="869">
        <f>G63+U63</f>
        <v>0</v>
      </c>
      <c r="G63" s="869"/>
      <c r="H63" s="877"/>
      <c r="I63" s="877"/>
      <c r="J63" s="877"/>
      <c r="K63" s="877"/>
      <c r="L63" s="877"/>
      <c r="M63" s="877"/>
      <c r="N63" s="877"/>
      <c r="O63" s="877"/>
      <c r="P63" s="877"/>
      <c r="Q63" s="920"/>
      <c r="R63" s="877"/>
      <c r="S63" s="879"/>
      <c r="T63" s="879"/>
      <c r="U63" s="921"/>
      <c r="V63" s="877"/>
      <c r="W63" s="877"/>
      <c r="X63" s="877"/>
      <c r="Y63" s="877"/>
      <c r="Z63" s="877"/>
      <c r="AA63" s="877"/>
      <c r="AB63" s="877"/>
      <c r="AC63" s="877"/>
      <c r="AD63" s="877"/>
      <c r="AE63" s="869">
        <f t="shared" si="73"/>
        <v>0</v>
      </c>
      <c r="AF63" s="912"/>
      <c r="AG63" s="877"/>
      <c r="AH63" s="877"/>
      <c r="AI63" s="877"/>
      <c r="AJ63" s="877"/>
      <c r="AK63" s="877"/>
      <c r="AL63" s="877"/>
      <c r="AM63" s="877"/>
      <c r="AN63" s="877"/>
      <c r="AO63" s="877"/>
      <c r="AP63" s="877"/>
      <c r="AQ63" s="878"/>
      <c r="AR63" s="877"/>
      <c r="AS63" s="877"/>
      <c r="AT63" s="877"/>
      <c r="AU63" s="877"/>
      <c r="AV63" s="879"/>
      <c r="AW63" s="879"/>
      <c r="AX63" s="877"/>
      <c r="AY63" s="877"/>
      <c r="AZ63" s="877"/>
      <c r="BA63" s="877"/>
      <c r="BB63" s="877"/>
      <c r="BC63" s="878"/>
      <c r="BD63" s="877"/>
      <c r="BE63" s="877"/>
      <c r="BF63" s="877"/>
      <c r="BG63" s="877"/>
      <c r="BH63" s="879"/>
      <c r="BI63" s="879"/>
      <c r="BJ63" s="877"/>
      <c r="BK63" s="877"/>
      <c r="BL63" s="877"/>
      <c r="BM63" s="877"/>
      <c r="BN63" s="877"/>
      <c r="BO63" s="869"/>
      <c r="BP63" s="912"/>
      <c r="BQ63" s="877"/>
      <c r="BR63" s="877"/>
      <c r="BS63" s="877"/>
      <c r="BT63" s="877"/>
      <c r="BU63" s="877"/>
      <c r="BV63" s="877"/>
      <c r="BW63" s="877"/>
      <c r="BX63" s="877"/>
      <c r="BY63" s="877"/>
      <c r="BZ63" s="877"/>
      <c r="CA63" s="878"/>
      <c r="CB63" s="877"/>
      <c r="CC63" s="877"/>
      <c r="CD63" s="877"/>
      <c r="CE63" s="877"/>
      <c r="CF63" s="879"/>
      <c r="CG63" s="879"/>
      <c r="CH63" s="877"/>
      <c r="CI63" s="877"/>
      <c r="CJ63" s="877"/>
      <c r="CK63" s="877"/>
      <c r="CL63" s="877"/>
      <c r="CM63" s="878"/>
      <c r="CN63" s="877"/>
      <c r="CO63" s="877"/>
      <c r="CP63" s="877"/>
      <c r="CQ63" s="877"/>
      <c r="CR63" s="879"/>
      <c r="CS63" s="879"/>
      <c r="CT63" s="877"/>
      <c r="CU63" s="877"/>
      <c r="CV63" s="877"/>
      <c r="CW63" s="877"/>
      <c r="CX63" s="877"/>
    </row>
    <row r="64" spans="2:102" ht="32.25" hidden="1" customHeight="1" outlineLevel="1" thickTop="1" thickBot="1">
      <c r="B64" s="870" t="s">
        <v>1215</v>
      </c>
      <c r="C64" s="871" t="s">
        <v>1216</v>
      </c>
      <c r="D64" s="872" t="s">
        <v>1204</v>
      </c>
      <c r="E64" s="869"/>
      <c r="F64" s="869">
        <f>G64+U64</f>
        <v>0</v>
      </c>
      <c r="G64" s="869"/>
      <c r="H64" s="877"/>
      <c r="I64" s="877"/>
      <c r="J64" s="877"/>
      <c r="K64" s="877"/>
      <c r="L64" s="877"/>
      <c r="M64" s="877"/>
      <c r="N64" s="877"/>
      <c r="O64" s="877"/>
      <c r="P64" s="877"/>
      <c r="Q64" s="883"/>
      <c r="R64" s="877"/>
      <c r="S64" s="883"/>
      <c r="T64" s="883"/>
      <c r="U64" s="869"/>
      <c r="V64" s="877"/>
      <c r="W64" s="877"/>
      <c r="X64" s="877"/>
      <c r="Y64" s="877"/>
      <c r="Z64" s="877"/>
      <c r="AA64" s="877"/>
      <c r="AB64" s="877"/>
      <c r="AC64" s="877"/>
      <c r="AD64" s="877"/>
      <c r="AE64" s="869">
        <f t="shared" si="73"/>
        <v>0</v>
      </c>
      <c r="AF64" s="873"/>
      <c r="AG64" s="877"/>
      <c r="AH64" s="877"/>
      <c r="AI64" s="877"/>
      <c r="AJ64" s="877"/>
      <c r="AK64" s="877"/>
      <c r="AL64" s="877"/>
      <c r="AM64" s="877"/>
      <c r="AN64" s="877"/>
      <c r="AO64" s="877"/>
      <c r="AP64" s="877"/>
      <c r="AQ64" s="878"/>
      <c r="AR64" s="877"/>
      <c r="AS64" s="877"/>
      <c r="AT64" s="877"/>
      <c r="AU64" s="877"/>
      <c r="AV64" s="879"/>
      <c r="AW64" s="879"/>
      <c r="AX64" s="877"/>
      <c r="AY64" s="877"/>
      <c r="AZ64" s="877"/>
      <c r="BA64" s="877"/>
      <c r="BB64" s="877"/>
      <c r="BC64" s="878"/>
      <c r="BD64" s="877"/>
      <c r="BE64" s="877"/>
      <c r="BF64" s="877"/>
      <c r="BG64" s="877"/>
      <c r="BH64" s="879"/>
      <c r="BI64" s="879"/>
      <c r="BJ64" s="877"/>
      <c r="BK64" s="877"/>
      <c r="BL64" s="877"/>
      <c r="BM64" s="877"/>
      <c r="BN64" s="877"/>
      <c r="BO64" s="869"/>
      <c r="BP64" s="873"/>
      <c r="BQ64" s="877"/>
      <c r="BR64" s="877"/>
      <c r="BS64" s="877"/>
      <c r="BT64" s="877"/>
      <c r="BU64" s="877"/>
      <c r="BV64" s="877"/>
      <c r="BW64" s="877"/>
      <c r="BX64" s="877"/>
      <c r="BY64" s="877"/>
      <c r="BZ64" s="877"/>
      <c r="CA64" s="878"/>
      <c r="CB64" s="877"/>
      <c r="CC64" s="877"/>
      <c r="CD64" s="877"/>
      <c r="CE64" s="877"/>
      <c r="CF64" s="879"/>
      <c r="CG64" s="879"/>
      <c r="CH64" s="877"/>
      <c r="CI64" s="877"/>
      <c r="CJ64" s="877"/>
      <c r="CK64" s="877"/>
      <c r="CL64" s="877"/>
      <c r="CM64" s="878"/>
      <c r="CN64" s="877"/>
      <c r="CO64" s="877"/>
      <c r="CP64" s="877"/>
      <c r="CQ64" s="877"/>
      <c r="CR64" s="879"/>
      <c r="CS64" s="879"/>
      <c r="CT64" s="877"/>
      <c r="CU64" s="877"/>
      <c r="CV64" s="877"/>
      <c r="CW64" s="877"/>
      <c r="CX64" s="877"/>
    </row>
    <row r="65" spans="2:102" ht="55.5" hidden="1" customHeight="1" outlineLevel="1" thickTop="1">
      <c r="B65" s="870" t="s">
        <v>1217</v>
      </c>
      <c r="C65" s="871" t="s">
        <v>1218</v>
      </c>
      <c r="D65" s="872" t="s">
        <v>1204</v>
      </c>
      <c r="E65" s="869"/>
      <c r="F65" s="869"/>
      <c r="G65" s="869"/>
      <c r="H65" s="877"/>
      <c r="I65" s="877"/>
      <c r="J65" s="877"/>
      <c r="K65" s="877"/>
      <c r="L65" s="877"/>
      <c r="M65" s="877"/>
      <c r="N65" s="877"/>
      <c r="O65" s="877"/>
      <c r="P65" s="877"/>
      <c r="Q65" s="877"/>
      <c r="R65" s="877"/>
      <c r="S65" s="877"/>
      <c r="T65" s="877"/>
      <c r="U65" s="869"/>
      <c r="V65" s="877"/>
      <c r="W65" s="877"/>
      <c r="X65" s="877"/>
      <c r="Y65" s="877"/>
      <c r="Z65" s="877"/>
      <c r="AA65" s="877"/>
      <c r="AB65" s="877"/>
      <c r="AC65" s="877"/>
      <c r="AD65" s="877"/>
      <c r="AE65" s="869">
        <f t="shared" si="73"/>
        <v>0</v>
      </c>
      <c r="AF65" s="912"/>
      <c r="AG65" s="877"/>
      <c r="AH65" s="877"/>
      <c r="AI65" s="877"/>
      <c r="AJ65" s="877"/>
      <c r="AK65" s="877"/>
      <c r="AL65" s="877"/>
      <c r="AM65" s="877"/>
      <c r="AN65" s="877"/>
      <c r="AO65" s="877"/>
      <c r="AP65" s="877"/>
      <c r="AQ65" s="878"/>
      <c r="AR65" s="877"/>
      <c r="AS65" s="877"/>
      <c r="AT65" s="877"/>
      <c r="AU65" s="877"/>
      <c r="AV65" s="879"/>
      <c r="AW65" s="879"/>
      <c r="AX65" s="877"/>
      <c r="AY65" s="877"/>
      <c r="AZ65" s="877"/>
      <c r="BA65" s="877"/>
      <c r="BB65" s="877"/>
      <c r="BC65" s="878"/>
      <c r="BD65" s="877"/>
      <c r="BE65" s="877"/>
      <c r="BF65" s="877"/>
      <c r="BG65" s="877"/>
      <c r="BH65" s="879"/>
      <c r="BI65" s="879"/>
      <c r="BJ65" s="877"/>
      <c r="BK65" s="877"/>
      <c r="BL65" s="877"/>
      <c r="BM65" s="877"/>
      <c r="BN65" s="877"/>
      <c r="BO65" s="869"/>
      <c r="BP65" s="912"/>
      <c r="BQ65" s="877"/>
      <c r="BR65" s="877"/>
      <c r="BS65" s="877"/>
      <c r="BT65" s="877"/>
      <c r="BU65" s="877"/>
      <c r="BV65" s="877"/>
      <c r="BW65" s="877"/>
      <c r="BX65" s="877"/>
      <c r="BY65" s="877"/>
      <c r="BZ65" s="877"/>
      <c r="CA65" s="878"/>
      <c r="CB65" s="877"/>
      <c r="CC65" s="877"/>
      <c r="CD65" s="877"/>
      <c r="CE65" s="877"/>
      <c r="CF65" s="879"/>
      <c r="CG65" s="879"/>
      <c r="CH65" s="877"/>
      <c r="CI65" s="877"/>
      <c r="CJ65" s="877"/>
      <c r="CK65" s="877"/>
      <c r="CL65" s="877"/>
      <c r="CM65" s="878"/>
      <c r="CN65" s="877"/>
      <c r="CO65" s="877"/>
      <c r="CP65" s="877"/>
      <c r="CQ65" s="877"/>
      <c r="CR65" s="879"/>
      <c r="CS65" s="879"/>
      <c r="CT65" s="877"/>
      <c r="CU65" s="877"/>
      <c r="CV65" s="877"/>
      <c r="CW65" s="877"/>
      <c r="CX65" s="877"/>
    </row>
    <row r="66" spans="2:102" ht="27.75" customHeight="1" collapsed="1">
      <c r="B66" s="870" t="s">
        <v>1219</v>
      </c>
      <c r="C66" s="871" t="s">
        <v>1220</v>
      </c>
      <c r="D66" s="872" t="s">
        <v>1204</v>
      </c>
      <c r="E66" s="869"/>
      <c r="F66" s="869">
        <f>G66+U66</f>
        <v>3.05</v>
      </c>
      <c r="G66" s="869">
        <f>1.25</f>
        <v>1.25</v>
      </c>
      <c r="H66" s="877"/>
      <c r="I66" s="877"/>
      <c r="J66" s="877"/>
      <c r="K66" s="877"/>
      <c r="L66" s="877"/>
      <c r="M66" s="877"/>
      <c r="N66" s="877"/>
      <c r="O66" s="877"/>
      <c r="P66" s="877"/>
      <c r="Q66" s="877"/>
      <c r="R66" s="877"/>
      <c r="S66" s="877"/>
      <c r="T66" s="877"/>
      <c r="U66" s="869">
        <v>1.8</v>
      </c>
      <c r="V66" s="877"/>
      <c r="W66" s="877"/>
      <c r="X66" s="877"/>
      <c r="Y66" s="877"/>
      <c r="Z66" s="877"/>
      <c r="AA66" s="877"/>
      <c r="AB66" s="877"/>
      <c r="AC66" s="877"/>
      <c r="AD66" s="877"/>
      <c r="AE66" s="869">
        <f>AF66+AQ66+BC66</f>
        <v>0</v>
      </c>
      <c r="AF66" s="869"/>
      <c r="AG66" s="877"/>
      <c r="AH66" s="877"/>
      <c r="AI66" s="877"/>
      <c r="AJ66" s="877"/>
      <c r="AK66" s="877"/>
      <c r="AL66" s="877"/>
      <c r="AM66" s="877"/>
      <c r="AN66" s="877"/>
      <c r="AO66" s="877"/>
      <c r="AP66" s="877"/>
      <c r="AQ66" s="878"/>
      <c r="AR66" s="877"/>
      <c r="AS66" s="877"/>
      <c r="AT66" s="877"/>
      <c r="AU66" s="877"/>
      <c r="AV66" s="879"/>
      <c r="AW66" s="879"/>
      <c r="AX66" s="877"/>
      <c r="AY66" s="877"/>
      <c r="AZ66" s="877"/>
      <c r="BA66" s="877"/>
      <c r="BB66" s="877"/>
      <c r="BC66" s="878">
        <f>BM66</f>
        <v>0</v>
      </c>
      <c r="BD66" s="877"/>
      <c r="BE66" s="877"/>
      <c r="BF66" s="877"/>
      <c r="BG66" s="877"/>
      <c r="BH66" s="879"/>
      <c r="BI66" s="879"/>
      <c r="BJ66" s="877"/>
      <c r="BK66" s="877"/>
      <c r="BL66" s="877"/>
      <c r="BM66" s="877"/>
      <c r="BN66" s="877"/>
      <c r="BO66" s="869"/>
      <c r="BP66" s="869"/>
      <c r="BQ66" s="877"/>
      <c r="BR66" s="877"/>
      <c r="BS66" s="877"/>
      <c r="BT66" s="877"/>
      <c r="BU66" s="877"/>
      <c r="BV66" s="877"/>
      <c r="BW66" s="877"/>
      <c r="BX66" s="877"/>
      <c r="BY66" s="877"/>
      <c r="BZ66" s="877"/>
      <c r="CA66" s="878"/>
      <c r="CB66" s="877"/>
      <c r="CC66" s="877"/>
      <c r="CD66" s="877"/>
      <c r="CE66" s="877"/>
      <c r="CF66" s="879"/>
      <c r="CG66" s="879"/>
      <c r="CH66" s="877"/>
      <c r="CI66" s="877"/>
      <c r="CJ66" s="877"/>
      <c r="CK66" s="877"/>
      <c r="CL66" s="877"/>
      <c r="CM66" s="878"/>
      <c r="CN66" s="877"/>
      <c r="CO66" s="877"/>
      <c r="CP66" s="877"/>
      <c r="CQ66" s="877"/>
      <c r="CR66" s="879"/>
      <c r="CS66" s="879"/>
      <c r="CT66" s="877"/>
      <c r="CU66" s="877"/>
      <c r="CV66" s="877"/>
      <c r="CW66" s="877"/>
      <c r="CX66" s="877"/>
    </row>
    <row r="67" spans="2:102" ht="42.75" customHeight="1">
      <c r="B67" s="866">
        <v>4</v>
      </c>
      <c r="C67" s="913" t="s">
        <v>1221</v>
      </c>
      <c r="D67" s="922" t="s">
        <v>1222</v>
      </c>
      <c r="E67" s="869"/>
      <c r="F67" s="923">
        <f>SUM(G67,U67)</f>
        <v>1463.404</v>
      </c>
      <c r="G67" s="923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923">
        <v>1463.404</v>
      </c>
      <c r="V67" s="862"/>
      <c r="W67" s="862"/>
      <c r="X67" s="862"/>
      <c r="Y67" s="862"/>
      <c r="Z67" s="862"/>
      <c r="AA67" s="862"/>
      <c r="AB67" s="862"/>
      <c r="AC67" s="862"/>
      <c r="AD67" s="862"/>
      <c r="AE67" s="923">
        <f>CM67</f>
        <v>0</v>
      </c>
      <c r="AF67" s="923"/>
      <c r="AG67" s="924"/>
      <c r="AH67" s="924"/>
      <c r="AI67" s="924"/>
      <c r="AJ67" s="924"/>
      <c r="AK67" s="924"/>
      <c r="AL67" s="924"/>
      <c r="AM67" s="924"/>
      <c r="AN67" s="924"/>
      <c r="AO67" s="924"/>
      <c r="AP67" s="924"/>
      <c r="AQ67" s="869"/>
      <c r="AR67" s="862"/>
      <c r="AS67" s="862"/>
      <c r="AT67" s="862"/>
      <c r="AU67" s="862"/>
      <c r="AV67" s="863"/>
      <c r="AW67" s="863"/>
      <c r="AX67" s="862"/>
      <c r="AY67" s="862"/>
      <c r="AZ67" s="862"/>
      <c r="BA67" s="862"/>
      <c r="BB67" s="862"/>
      <c r="BC67" s="923"/>
      <c r="BD67" s="862"/>
      <c r="BE67" s="862"/>
      <c r="BF67" s="862"/>
      <c r="BG67" s="862"/>
      <c r="BH67" s="863"/>
      <c r="BI67" s="863"/>
      <c r="BJ67" s="862"/>
      <c r="BK67" s="862"/>
      <c r="BL67" s="862"/>
      <c r="BM67" s="862"/>
      <c r="BN67" s="862"/>
      <c r="BO67" s="923"/>
      <c r="BP67" s="923"/>
      <c r="BQ67" s="924"/>
      <c r="BR67" s="924"/>
      <c r="BS67" s="924"/>
      <c r="BT67" s="924"/>
      <c r="BU67" s="924"/>
      <c r="BV67" s="924"/>
      <c r="BW67" s="924"/>
      <c r="BX67" s="924"/>
      <c r="BY67" s="924"/>
      <c r="BZ67" s="924"/>
      <c r="CA67" s="869"/>
      <c r="CB67" s="862"/>
      <c r="CC67" s="862"/>
      <c r="CD67" s="862"/>
      <c r="CE67" s="862"/>
      <c r="CF67" s="863"/>
      <c r="CG67" s="863"/>
      <c r="CH67" s="862"/>
      <c r="CI67" s="862"/>
      <c r="CJ67" s="862"/>
      <c r="CK67" s="862"/>
      <c r="CL67" s="862"/>
      <c r="CM67" s="923"/>
      <c r="CN67" s="862"/>
      <c r="CO67" s="862"/>
      <c r="CP67" s="862"/>
      <c r="CQ67" s="862"/>
      <c r="CR67" s="863"/>
      <c r="CS67" s="863"/>
      <c r="CT67" s="862"/>
      <c r="CU67" s="862"/>
      <c r="CV67" s="862"/>
      <c r="CW67" s="862"/>
      <c r="CX67" s="862"/>
    </row>
    <row r="68" spans="2:102" ht="20.25" hidden="1" customHeight="1" outlineLevel="1">
      <c r="B68" s="925">
        <v>5</v>
      </c>
      <c r="C68" s="926" t="s">
        <v>1223</v>
      </c>
      <c r="D68" s="927"/>
      <c r="E68" s="928"/>
      <c r="F68" s="928"/>
      <c r="G68" s="928"/>
      <c r="H68" s="929"/>
      <c r="I68" s="929"/>
      <c r="J68" s="929"/>
      <c r="K68" s="929"/>
      <c r="L68" s="929"/>
      <c r="M68" s="929"/>
      <c r="N68" s="929"/>
      <c r="O68" s="929"/>
      <c r="P68" s="929"/>
      <c r="Q68" s="929"/>
      <c r="R68" s="929"/>
      <c r="S68" s="929"/>
      <c r="T68" s="929"/>
      <c r="U68" s="928"/>
      <c r="V68" s="929"/>
      <c r="W68" s="929"/>
      <c r="X68" s="929"/>
      <c r="Y68" s="929"/>
      <c r="Z68" s="929"/>
      <c r="AA68" s="929"/>
      <c r="AB68" s="929"/>
      <c r="AC68" s="929"/>
      <c r="AD68" s="929"/>
      <c r="AE68" s="928"/>
      <c r="AF68" s="928"/>
      <c r="AG68" s="929"/>
      <c r="AH68" s="929"/>
      <c r="AI68" s="929"/>
      <c r="AJ68" s="929"/>
      <c r="AK68" s="929"/>
      <c r="AL68" s="929"/>
      <c r="AM68" s="929"/>
      <c r="AN68" s="929"/>
      <c r="AO68" s="929"/>
      <c r="AP68" s="929"/>
      <c r="AQ68" s="928"/>
      <c r="AR68" s="929"/>
      <c r="AS68" s="929"/>
      <c r="AT68" s="929"/>
      <c r="AU68" s="929"/>
      <c r="AV68" s="930"/>
      <c r="AW68" s="930"/>
      <c r="AX68" s="929"/>
      <c r="AY68" s="929"/>
      <c r="AZ68" s="929"/>
      <c r="BA68" s="929"/>
      <c r="BB68" s="929"/>
      <c r="BC68" s="928"/>
      <c r="BD68" s="929"/>
      <c r="BE68" s="929"/>
      <c r="BF68" s="929"/>
      <c r="BG68" s="929"/>
      <c r="BH68" s="930"/>
      <c r="BI68" s="930"/>
      <c r="BJ68" s="929"/>
      <c r="BK68" s="929"/>
      <c r="BL68" s="929"/>
      <c r="BM68" s="929"/>
      <c r="BN68" s="929"/>
      <c r="BO68" s="928"/>
      <c r="BP68" s="928"/>
      <c r="BQ68" s="929"/>
      <c r="BR68" s="929"/>
      <c r="BS68" s="929"/>
      <c r="BT68" s="929"/>
      <c r="BU68" s="929"/>
      <c r="BV68" s="929"/>
      <c r="BW68" s="929"/>
      <c r="BX68" s="929"/>
      <c r="BY68" s="929"/>
      <c r="BZ68" s="929"/>
      <c r="CA68" s="928"/>
      <c r="CB68" s="929"/>
      <c r="CC68" s="929"/>
      <c r="CD68" s="929"/>
      <c r="CE68" s="929"/>
      <c r="CF68" s="930"/>
      <c r="CG68" s="930"/>
      <c r="CH68" s="929"/>
      <c r="CI68" s="929"/>
      <c r="CJ68" s="929"/>
      <c r="CK68" s="929"/>
      <c r="CL68" s="929"/>
      <c r="CM68" s="928"/>
      <c r="CN68" s="929"/>
      <c r="CO68" s="929"/>
      <c r="CP68" s="929"/>
      <c r="CQ68" s="929"/>
      <c r="CR68" s="930"/>
      <c r="CS68" s="930"/>
      <c r="CT68" s="929"/>
      <c r="CU68" s="929"/>
      <c r="CV68" s="929"/>
      <c r="CW68" s="929"/>
      <c r="CX68" s="929"/>
    </row>
    <row r="69" spans="2:102" ht="20.25" hidden="1" customHeight="1" outlineLevel="1">
      <c r="B69" s="866" t="s">
        <v>1224</v>
      </c>
      <c r="C69" s="867" t="s">
        <v>1225</v>
      </c>
      <c r="D69" s="868" t="s">
        <v>1226</v>
      </c>
      <c r="E69" s="869"/>
      <c r="F69" s="869"/>
      <c r="G69" s="869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9"/>
      <c r="V69" s="862"/>
      <c r="W69" s="862"/>
      <c r="X69" s="862"/>
      <c r="Y69" s="862"/>
      <c r="Z69" s="862"/>
      <c r="AA69" s="862"/>
      <c r="AB69" s="862"/>
      <c r="AC69" s="862"/>
      <c r="AD69" s="862"/>
      <c r="AE69" s="869"/>
      <c r="AF69" s="869"/>
      <c r="AG69" s="862"/>
      <c r="AH69" s="862"/>
      <c r="AI69" s="862"/>
      <c r="AJ69" s="862"/>
      <c r="AK69" s="862"/>
      <c r="AL69" s="862"/>
      <c r="AM69" s="862"/>
      <c r="AN69" s="862"/>
      <c r="AO69" s="862"/>
      <c r="AP69" s="862"/>
      <c r="AQ69" s="869"/>
      <c r="AR69" s="862"/>
      <c r="AS69" s="862"/>
      <c r="AT69" s="862"/>
      <c r="AU69" s="862"/>
      <c r="AV69" s="863"/>
      <c r="AW69" s="863"/>
      <c r="AX69" s="862"/>
      <c r="AY69" s="862"/>
      <c r="AZ69" s="862"/>
      <c r="BA69" s="862"/>
      <c r="BB69" s="862"/>
      <c r="BC69" s="869"/>
      <c r="BD69" s="862"/>
      <c r="BE69" s="862"/>
      <c r="BF69" s="862"/>
      <c r="BG69" s="862"/>
      <c r="BH69" s="863"/>
      <c r="BI69" s="863"/>
      <c r="BJ69" s="862"/>
      <c r="BK69" s="862"/>
      <c r="BL69" s="862"/>
      <c r="BM69" s="862"/>
      <c r="BN69" s="862"/>
      <c r="BO69" s="869"/>
      <c r="BP69" s="869"/>
      <c r="BQ69" s="862"/>
      <c r="BR69" s="862"/>
      <c r="BS69" s="862"/>
      <c r="BT69" s="862"/>
      <c r="BU69" s="862"/>
      <c r="BV69" s="862"/>
      <c r="BW69" s="862"/>
      <c r="BX69" s="862"/>
      <c r="BY69" s="862"/>
      <c r="BZ69" s="862"/>
      <c r="CA69" s="869"/>
      <c r="CB69" s="862"/>
      <c r="CC69" s="862"/>
      <c r="CD69" s="862"/>
      <c r="CE69" s="862"/>
      <c r="CF69" s="863"/>
      <c r="CG69" s="863"/>
      <c r="CH69" s="862"/>
      <c r="CI69" s="862"/>
      <c r="CJ69" s="862"/>
      <c r="CK69" s="862"/>
      <c r="CL69" s="862"/>
      <c r="CM69" s="869"/>
      <c r="CN69" s="862"/>
      <c r="CO69" s="862"/>
      <c r="CP69" s="862"/>
      <c r="CQ69" s="862"/>
      <c r="CR69" s="863"/>
      <c r="CS69" s="863"/>
      <c r="CT69" s="862"/>
      <c r="CU69" s="862"/>
      <c r="CV69" s="862"/>
      <c r="CW69" s="862"/>
      <c r="CX69" s="862"/>
    </row>
    <row r="70" spans="2:102" ht="40.5" hidden="1" customHeight="1" outlineLevel="1">
      <c r="B70" s="866" t="s">
        <v>1227</v>
      </c>
      <c r="C70" s="867" t="s">
        <v>1228</v>
      </c>
      <c r="D70" s="868"/>
      <c r="E70" s="869"/>
      <c r="F70" s="869"/>
      <c r="G70" s="869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9"/>
      <c r="V70" s="862"/>
      <c r="W70" s="862"/>
      <c r="X70" s="862"/>
      <c r="Y70" s="862"/>
      <c r="Z70" s="862"/>
      <c r="AA70" s="862"/>
      <c r="AB70" s="862"/>
      <c r="AC70" s="862"/>
      <c r="AD70" s="862"/>
      <c r="AE70" s="869"/>
      <c r="AF70" s="869"/>
      <c r="AG70" s="862"/>
      <c r="AH70" s="862"/>
      <c r="AI70" s="862"/>
      <c r="AJ70" s="862"/>
      <c r="AK70" s="862"/>
      <c r="AL70" s="862"/>
      <c r="AM70" s="862"/>
      <c r="AN70" s="862"/>
      <c r="AO70" s="862"/>
      <c r="AP70" s="862"/>
      <c r="AQ70" s="869"/>
      <c r="AR70" s="862"/>
      <c r="AS70" s="862"/>
      <c r="AT70" s="862"/>
      <c r="AU70" s="862"/>
      <c r="AV70" s="863"/>
      <c r="AW70" s="863"/>
      <c r="AX70" s="862"/>
      <c r="AY70" s="862"/>
      <c r="AZ70" s="862"/>
      <c r="BA70" s="862"/>
      <c r="BB70" s="862"/>
      <c r="BC70" s="869"/>
      <c r="BD70" s="862"/>
      <c r="BE70" s="862"/>
      <c r="BF70" s="862"/>
      <c r="BG70" s="862"/>
      <c r="BH70" s="863"/>
      <c r="BI70" s="863"/>
      <c r="BJ70" s="862"/>
      <c r="BK70" s="862"/>
      <c r="BL70" s="862"/>
      <c r="BM70" s="862"/>
      <c r="BN70" s="862"/>
      <c r="BO70" s="869"/>
      <c r="BP70" s="869"/>
      <c r="BQ70" s="862"/>
      <c r="BR70" s="862"/>
      <c r="BS70" s="862"/>
      <c r="BT70" s="862"/>
      <c r="BU70" s="862"/>
      <c r="BV70" s="862"/>
      <c r="BW70" s="862"/>
      <c r="BX70" s="862"/>
      <c r="BY70" s="862"/>
      <c r="BZ70" s="862"/>
      <c r="CA70" s="869"/>
      <c r="CB70" s="862"/>
      <c r="CC70" s="862"/>
      <c r="CD70" s="862"/>
      <c r="CE70" s="862"/>
      <c r="CF70" s="863"/>
      <c r="CG70" s="863"/>
      <c r="CH70" s="862"/>
      <c r="CI70" s="862"/>
      <c r="CJ70" s="862"/>
      <c r="CK70" s="862"/>
      <c r="CL70" s="862"/>
      <c r="CM70" s="869"/>
      <c r="CN70" s="862"/>
      <c r="CO70" s="862"/>
      <c r="CP70" s="862"/>
      <c r="CQ70" s="862"/>
      <c r="CR70" s="863"/>
      <c r="CS70" s="863"/>
      <c r="CT70" s="862"/>
      <c r="CU70" s="862"/>
      <c r="CV70" s="862"/>
      <c r="CW70" s="862"/>
      <c r="CX70" s="862"/>
    </row>
    <row r="71" spans="2:102" ht="20.25" hidden="1" customHeight="1" outlineLevel="1">
      <c r="B71" s="870" t="s">
        <v>1229</v>
      </c>
      <c r="C71" s="871" t="s">
        <v>1230</v>
      </c>
      <c r="D71" s="872" t="s">
        <v>1083</v>
      </c>
      <c r="E71" s="869"/>
      <c r="F71" s="869">
        <f t="shared" ref="F71:F77" si="80">G71+U71</f>
        <v>0</v>
      </c>
      <c r="G71" s="869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77"/>
      <c r="U71" s="869"/>
      <c r="V71" s="877"/>
      <c r="W71" s="877"/>
      <c r="X71" s="877"/>
      <c r="Y71" s="877"/>
      <c r="Z71" s="877"/>
      <c r="AA71" s="877"/>
      <c r="AB71" s="877"/>
      <c r="AC71" s="877"/>
      <c r="AD71" s="877"/>
      <c r="AE71" s="869"/>
      <c r="AF71" s="869"/>
      <c r="AG71" s="877"/>
      <c r="AH71" s="877"/>
      <c r="AI71" s="877"/>
      <c r="AJ71" s="877"/>
      <c r="AK71" s="877"/>
      <c r="AL71" s="877"/>
      <c r="AM71" s="877"/>
      <c r="AN71" s="877"/>
      <c r="AO71" s="877"/>
      <c r="AP71" s="877"/>
      <c r="AQ71" s="878"/>
      <c r="AR71" s="877"/>
      <c r="AS71" s="877"/>
      <c r="AT71" s="877"/>
      <c r="AU71" s="877"/>
      <c r="AV71" s="879"/>
      <c r="AW71" s="879"/>
      <c r="AX71" s="877"/>
      <c r="AY71" s="877"/>
      <c r="AZ71" s="877"/>
      <c r="BA71" s="877"/>
      <c r="BB71" s="877"/>
      <c r="BC71" s="878"/>
      <c r="BD71" s="877"/>
      <c r="BE71" s="877"/>
      <c r="BF71" s="877"/>
      <c r="BG71" s="877"/>
      <c r="BH71" s="879"/>
      <c r="BI71" s="879"/>
      <c r="BJ71" s="877"/>
      <c r="BK71" s="877"/>
      <c r="BL71" s="877"/>
      <c r="BM71" s="877"/>
      <c r="BN71" s="877"/>
      <c r="BO71" s="869"/>
      <c r="BP71" s="869"/>
      <c r="BQ71" s="877"/>
      <c r="BR71" s="877"/>
      <c r="BS71" s="877"/>
      <c r="BT71" s="877"/>
      <c r="BU71" s="877"/>
      <c r="BV71" s="877"/>
      <c r="BW71" s="877"/>
      <c r="BX71" s="877"/>
      <c r="BY71" s="877"/>
      <c r="BZ71" s="877"/>
      <c r="CA71" s="878"/>
      <c r="CB71" s="877"/>
      <c r="CC71" s="877"/>
      <c r="CD71" s="877"/>
      <c r="CE71" s="877"/>
      <c r="CF71" s="879"/>
      <c r="CG71" s="879"/>
      <c r="CH71" s="877"/>
      <c r="CI71" s="877"/>
      <c r="CJ71" s="877"/>
      <c r="CK71" s="877"/>
      <c r="CL71" s="877"/>
      <c r="CM71" s="878"/>
      <c r="CN71" s="877"/>
      <c r="CO71" s="877"/>
      <c r="CP71" s="877"/>
      <c r="CQ71" s="877"/>
      <c r="CR71" s="879"/>
      <c r="CS71" s="879"/>
      <c r="CT71" s="877"/>
      <c r="CU71" s="877"/>
      <c r="CV71" s="877"/>
      <c r="CW71" s="877"/>
      <c r="CX71" s="877"/>
    </row>
    <row r="72" spans="2:102" ht="20.25" hidden="1" customHeight="1" outlineLevel="1">
      <c r="B72" s="870" t="s">
        <v>1231</v>
      </c>
      <c r="C72" s="871" t="s">
        <v>1232</v>
      </c>
      <c r="D72" s="872" t="s">
        <v>1083</v>
      </c>
      <c r="E72" s="869"/>
      <c r="F72" s="869">
        <f t="shared" si="80"/>
        <v>0</v>
      </c>
      <c r="G72" s="869"/>
      <c r="H72" s="877"/>
      <c r="I72" s="877"/>
      <c r="J72" s="877"/>
      <c r="K72" s="877"/>
      <c r="L72" s="877"/>
      <c r="M72" s="877"/>
      <c r="N72" s="877"/>
      <c r="O72" s="877"/>
      <c r="P72" s="877"/>
      <c r="Q72" s="877"/>
      <c r="R72" s="877"/>
      <c r="S72" s="877"/>
      <c r="T72" s="877"/>
      <c r="U72" s="869"/>
      <c r="V72" s="877"/>
      <c r="W72" s="877"/>
      <c r="X72" s="877"/>
      <c r="Y72" s="877"/>
      <c r="Z72" s="877"/>
      <c r="AA72" s="877"/>
      <c r="AB72" s="877"/>
      <c r="AC72" s="877"/>
      <c r="AD72" s="877"/>
      <c r="AE72" s="869"/>
      <c r="AF72" s="869"/>
      <c r="AG72" s="877"/>
      <c r="AH72" s="877"/>
      <c r="AI72" s="877"/>
      <c r="AJ72" s="877"/>
      <c r="AK72" s="877"/>
      <c r="AL72" s="877"/>
      <c r="AM72" s="877"/>
      <c r="AN72" s="877"/>
      <c r="AO72" s="877"/>
      <c r="AP72" s="877"/>
      <c r="AQ72" s="878"/>
      <c r="AR72" s="877"/>
      <c r="AS72" s="877"/>
      <c r="AT72" s="877"/>
      <c r="AU72" s="877"/>
      <c r="AV72" s="879"/>
      <c r="AW72" s="879"/>
      <c r="AX72" s="877"/>
      <c r="AY72" s="877"/>
      <c r="AZ72" s="877"/>
      <c r="BA72" s="877"/>
      <c r="BB72" s="877"/>
      <c r="BC72" s="878"/>
      <c r="BD72" s="877"/>
      <c r="BE72" s="877"/>
      <c r="BF72" s="877"/>
      <c r="BG72" s="877"/>
      <c r="BH72" s="879"/>
      <c r="BI72" s="879"/>
      <c r="BJ72" s="877"/>
      <c r="BK72" s="877"/>
      <c r="BL72" s="877"/>
      <c r="BM72" s="877"/>
      <c r="BN72" s="877"/>
      <c r="BO72" s="869"/>
      <c r="BP72" s="869"/>
      <c r="BQ72" s="877"/>
      <c r="BR72" s="877"/>
      <c r="BS72" s="877"/>
      <c r="BT72" s="877"/>
      <c r="BU72" s="877"/>
      <c r="BV72" s="877"/>
      <c r="BW72" s="877"/>
      <c r="BX72" s="877"/>
      <c r="BY72" s="877"/>
      <c r="BZ72" s="877"/>
      <c r="CA72" s="878"/>
      <c r="CB72" s="877"/>
      <c r="CC72" s="877"/>
      <c r="CD72" s="877"/>
      <c r="CE72" s="877"/>
      <c r="CF72" s="879"/>
      <c r="CG72" s="879"/>
      <c r="CH72" s="877"/>
      <c r="CI72" s="877"/>
      <c r="CJ72" s="877"/>
      <c r="CK72" s="877"/>
      <c r="CL72" s="877"/>
      <c r="CM72" s="878"/>
      <c r="CN72" s="877"/>
      <c r="CO72" s="877"/>
      <c r="CP72" s="877"/>
      <c r="CQ72" s="877"/>
      <c r="CR72" s="879"/>
      <c r="CS72" s="879"/>
      <c r="CT72" s="877"/>
      <c r="CU72" s="877"/>
      <c r="CV72" s="877"/>
      <c r="CW72" s="877"/>
      <c r="CX72" s="877"/>
    </row>
    <row r="73" spans="2:102" ht="40.5" hidden="1" customHeight="1" outlineLevel="1">
      <c r="B73" s="870" t="s">
        <v>1233</v>
      </c>
      <c r="C73" s="871" t="s">
        <v>1234</v>
      </c>
      <c r="D73" s="872" t="s">
        <v>1083</v>
      </c>
      <c r="E73" s="869"/>
      <c r="F73" s="869">
        <f t="shared" si="80"/>
        <v>0</v>
      </c>
      <c r="G73" s="869"/>
      <c r="H73" s="877"/>
      <c r="I73" s="877"/>
      <c r="J73" s="877"/>
      <c r="K73" s="877"/>
      <c r="L73" s="877"/>
      <c r="M73" s="877"/>
      <c r="N73" s="877"/>
      <c r="O73" s="877"/>
      <c r="P73" s="877"/>
      <c r="Q73" s="877"/>
      <c r="R73" s="877"/>
      <c r="S73" s="877"/>
      <c r="T73" s="877"/>
      <c r="U73" s="869"/>
      <c r="V73" s="877"/>
      <c r="W73" s="877"/>
      <c r="X73" s="877"/>
      <c r="Y73" s="877"/>
      <c r="Z73" s="877"/>
      <c r="AA73" s="877"/>
      <c r="AB73" s="877"/>
      <c r="AC73" s="877"/>
      <c r="AD73" s="877"/>
      <c r="AE73" s="869"/>
      <c r="AF73" s="869"/>
      <c r="AG73" s="877"/>
      <c r="AH73" s="877"/>
      <c r="AI73" s="877"/>
      <c r="AJ73" s="877"/>
      <c r="AK73" s="877"/>
      <c r="AL73" s="877"/>
      <c r="AM73" s="877"/>
      <c r="AN73" s="877"/>
      <c r="AO73" s="877"/>
      <c r="AP73" s="877"/>
      <c r="AQ73" s="878"/>
      <c r="AR73" s="877"/>
      <c r="AS73" s="877"/>
      <c r="AT73" s="877"/>
      <c r="AU73" s="877"/>
      <c r="AV73" s="879"/>
      <c r="AW73" s="879"/>
      <c r="AX73" s="877"/>
      <c r="AY73" s="877"/>
      <c r="AZ73" s="877"/>
      <c r="BA73" s="877"/>
      <c r="BB73" s="877"/>
      <c r="BC73" s="878"/>
      <c r="BD73" s="877"/>
      <c r="BE73" s="877"/>
      <c r="BF73" s="877"/>
      <c r="BG73" s="877"/>
      <c r="BH73" s="879"/>
      <c r="BI73" s="879"/>
      <c r="BJ73" s="877"/>
      <c r="BK73" s="877"/>
      <c r="BL73" s="877"/>
      <c r="BM73" s="877"/>
      <c r="BN73" s="877"/>
      <c r="BO73" s="869"/>
      <c r="BP73" s="869"/>
      <c r="BQ73" s="877"/>
      <c r="BR73" s="877"/>
      <c r="BS73" s="877"/>
      <c r="BT73" s="877"/>
      <c r="BU73" s="877"/>
      <c r="BV73" s="877"/>
      <c r="BW73" s="877"/>
      <c r="BX73" s="877"/>
      <c r="BY73" s="877"/>
      <c r="BZ73" s="877"/>
      <c r="CA73" s="878"/>
      <c r="CB73" s="877"/>
      <c r="CC73" s="877"/>
      <c r="CD73" s="877"/>
      <c r="CE73" s="877"/>
      <c r="CF73" s="879"/>
      <c r="CG73" s="879"/>
      <c r="CH73" s="877"/>
      <c r="CI73" s="877"/>
      <c r="CJ73" s="877"/>
      <c r="CK73" s="877"/>
      <c r="CL73" s="877"/>
      <c r="CM73" s="878"/>
      <c r="CN73" s="877"/>
      <c r="CO73" s="877"/>
      <c r="CP73" s="877"/>
      <c r="CQ73" s="877"/>
      <c r="CR73" s="879"/>
      <c r="CS73" s="879"/>
      <c r="CT73" s="877"/>
      <c r="CU73" s="877"/>
      <c r="CV73" s="877"/>
      <c r="CW73" s="877"/>
      <c r="CX73" s="877"/>
    </row>
    <row r="74" spans="2:102" ht="40.5" hidden="1" customHeight="1" outlineLevel="1">
      <c r="B74" s="870" t="s">
        <v>1235</v>
      </c>
      <c r="C74" s="871" t="s">
        <v>1236</v>
      </c>
      <c r="D74" s="872" t="s">
        <v>1083</v>
      </c>
      <c r="E74" s="869"/>
      <c r="F74" s="869">
        <f t="shared" si="80"/>
        <v>0</v>
      </c>
      <c r="G74" s="869"/>
      <c r="H74" s="877"/>
      <c r="I74" s="877"/>
      <c r="J74" s="877"/>
      <c r="K74" s="877"/>
      <c r="L74" s="877"/>
      <c r="M74" s="877"/>
      <c r="N74" s="877"/>
      <c r="O74" s="877"/>
      <c r="P74" s="877"/>
      <c r="Q74" s="877"/>
      <c r="R74" s="877"/>
      <c r="S74" s="877"/>
      <c r="T74" s="877"/>
      <c r="U74" s="869"/>
      <c r="V74" s="877"/>
      <c r="W74" s="877"/>
      <c r="X74" s="877"/>
      <c r="Y74" s="877"/>
      <c r="Z74" s="877"/>
      <c r="AA74" s="877"/>
      <c r="AB74" s="877"/>
      <c r="AC74" s="877"/>
      <c r="AD74" s="877"/>
      <c r="AE74" s="869"/>
      <c r="AF74" s="869"/>
      <c r="AG74" s="877"/>
      <c r="AH74" s="877"/>
      <c r="AI74" s="877"/>
      <c r="AJ74" s="877"/>
      <c r="AK74" s="877"/>
      <c r="AL74" s="877"/>
      <c r="AM74" s="877"/>
      <c r="AN74" s="877"/>
      <c r="AO74" s="877"/>
      <c r="AP74" s="877"/>
      <c r="AQ74" s="878"/>
      <c r="AR74" s="877"/>
      <c r="AS74" s="877"/>
      <c r="AT74" s="877"/>
      <c r="AU74" s="877"/>
      <c r="AV74" s="879"/>
      <c r="AW74" s="879"/>
      <c r="AX74" s="877"/>
      <c r="AY74" s="877"/>
      <c r="AZ74" s="877"/>
      <c r="BA74" s="877"/>
      <c r="BB74" s="877"/>
      <c r="BC74" s="878"/>
      <c r="BD74" s="877"/>
      <c r="BE74" s="877"/>
      <c r="BF74" s="877"/>
      <c r="BG74" s="877"/>
      <c r="BH74" s="879"/>
      <c r="BI74" s="879"/>
      <c r="BJ74" s="877"/>
      <c r="BK74" s="877"/>
      <c r="BL74" s="877"/>
      <c r="BM74" s="877"/>
      <c r="BN74" s="877"/>
      <c r="BO74" s="869"/>
      <c r="BP74" s="869"/>
      <c r="BQ74" s="877"/>
      <c r="BR74" s="877"/>
      <c r="BS74" s="877"/>
      <c r="BT74" s="877"/>
      <c r="BU74" s="877"/>
      <c r="BV74" s="877"/>
      <c r="BW74" s="877"/>
      <c r="BX74" s="877"/>
      <c r="BY74" s="877"/>
      <c r="BZ74" s="877"/>
      <c r="CA74" s="878"/>
      <c r="CB74" s="877"/>
      <c r="CC74" s="877"/>
      <c r="CD74" s="877"/>
      <c r="CE74" s="877"/>
      <c r="CF74" s="879"/>
      <c r="CG74" s="879"/>
      <c r="CH74" s="877"/>
      <c r="CI74" s="877"/>
      <c r="CJ74" s="877"/>
      <c r="CK74" s="877"/>
      <c r="CL74" s="877"/>
      <c r="CM74" s="878"/>
      <c r="CN74" s="877"/>
      <c r="CO74" s="877"/>
      <c r="CP74" s="877"/>
      <c r="CQ74" s="877"/>
      <c r="CR74" s="879"/>
      <c r="CS74" s="879"/>
      <c r="CT74" s="877"/>
      <c r="CU74" s="877"/>
      <c r="CV74" s="877"/>
      <c r="CW74" s="877"/>
      <c r="CX74" s="877"/>
    </row>
    <row r="75" spans="2:102" ht="40.5" hidden="1" customHeight="1" outlineLevel="1">
      <c r="B75" s="870" t="s">
        <v>1237</v>
      </c>
      <c r="C75" s="871" t="s">
        <v>1238</v>
      </c>
      <c r="D75" s="872" t="s">
        <v>1083</v>
      </c>
      <c r="E75" s="869"/>
      <c r="F75" s="869">
        <f t="shared" si="80"/>
        <v>0</v>
      </c>
      <c r="G75" s="869"/>
      <c r="H75" s="877"/>
      <c r="I75" s="877"/>
      <c r="J75" s="877"/>
      <c r="K75" s="877"/>
      <c r="L75" s="877"/>
      <c r="M75" s="877"/>
      <c r="N75" s="877"/>
      <c r="O75" s="877"/>
      <c r="P75" s="877"/>
      <c r="Q75" s="877"/>
      <c r="R75" s="877"/>
      <c r="S75" s="877"/>
      <c r="T75" s="877"/>
      <c r="U75" s="869"/>
      <c r="V75" s="877"/>
      <c r="W75" s="877"/>
      <c r="X75" s="877"/>
      <c r="Y75" s="877"/>
      <c r="Z75" s="877"/>
      <c r="AA75" s="877"/>
      <c r="AB75" s="877"/>
      <c r="AC75" s="877"/>
      <c r="AD75" s="877"/>
      <c r="AE75" s="869"/>
      <c r="AF75" s="869"/>
      <c r="AG75" s="877"/>
      <c r="AH75" s="877"/>
      <c r="AI75" s="877"/>
      <c r="AJ75" s="877"/>
      <c r="AK75" s="877"/>
      <c r="AL75" s="877"/>
      <c r="AM75" s="877"/>
      <c r="AN75" s="877"/>
      <c r="AO75" s="877"/>
      <c r="AP75" s="877"/>
      <c r="AQ75" s="878"/>
      <c r="AR75" s="877"/>
      <c r="AS75" s="877"/>
      <c r="AT75" s="877"/>
      <c r="AU75" s="877"/>
      <c r="AV75" s="879"/>
      <c r="AW75" s="879"/>
      <c r="AX75" s="877"/>
      <c r="AY75" s="877"/>
      <c r="AZ75" s="877"/>
      <c r="BA75" s="877"/>
      <c r="BB75" s="877"/>
      <c r="BC75" s="878"/>
      <c r="BD75" s="877"/>
      <c r="BE75" s="877"/>
      <c r="BF75" s="877"/>
      <c r="BG75" s="877"/>
      <c r="BH75" s="879"/>
      <c r="BI75" s="879"/>
      <c r="BJ75" s="877"/>
      <c r="BK75" s="877"/>
      <c r="BL75" s="877"/>
      <c r="BM75" s="877"/>
      <c r="BN75" s="877"/>
      <c r="BO75" s="869"/>
      <c r="BP75" s="869"/>
      <c r="BQ75" s="877"/>
      <c r="BR75" s="877"/>
      <c r="BS75" s="877"/>
      <c r="BT75" s="877"/>
      <c r="BU75" s="877"/>
      <c r="BV75" s="877"/>
      <c r="BW75" s="877"/>
      <c r="BX75" s="877"/>
      <c r="BY75" s="877"/>
      <c r="BZ75" s="877"/>
      <c r="CA75" s="878"/>
      <c r="CB75" s="877"/>
      <c r="CC75" s="877"/>
      <c r="CD75" s="877"/>
      <c r="CE75" s="877"/>
      <c r="CF75" s="879"/>
      <c r="CG75" s="879"/>
      <c r="CH75" s="877"/>
      <c r="CI75" s="877"/>
      <c r="CJ75" s="877"/>
      <c r="CK75" s="877"/>
      <c r="CL75" s="877"/>
      <c r="CM75" s="878"/>
      <c r="CN75" s="877"/>
      <c r="CO75" s="877"/>
      <c r="CP75" s="877"/>
      <c r="CQ75" s="877"/>
      <c r="CR75" s="879"/>
      <c r="CS75" s="879"/>
      <c r="CT75" s="877"/>
      <c r="CU75" s="877"/>
      <c r="CV75" s="877"/>
      <c r="CW75" s="877"/>
      <c r="CX75" s="877"/>
    </row>
    <row r="76" spans="2:102" ht="40.5" hidden="1" customHeight="1" outlineLevel="1">
      <c r="B76" s="870" t="s">
        <v>1239</v>
      </c>
      <c r="C76" s="871" t="s">
        <v>1240</v>
      </c>
      <c r="D76" s="872" t="s">
        <v>1083</v>
      </c>
      <c r="E76" s="869"/>
      <c r="F76" s="869">
        <f t="shared" si="80"/>
        <v>0</v>
      </c>
      <c r="G76" s="869"/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877"/>
      <c r="U76" s="869"/>
      <c r="V76" s="877"/>
      <c r="W76" s="877"/>
      <c r="X76" s="877"/>
      <c r="Y76" s="877"/>
      <c r="Z76" s="877"/>
      <c r="AA76" s="877"/>
      <c r="AB76" s="877"/>
      <c r="AC76" s="877"/>
      <c r="AD76" s="877"/>
      <c r="AE76" s="869"/>
      <c r="AF76" s="869"/>
      <c r="AG76" s="877"/>
      <c r="AH76" s="877"/>
      <c r="AI76" s="877"/>
      <c r="AJ76" s="877"/>
      <c r="AK76" s="877"/>
      <c r="AL76" s="877"/>
      <c r="AM76" s="877"/>
      <c r="AN76" s="877"/>
      <c r="AO76" s="877"/>
      <c r="AP76" s="877"/>
      <c r="AQ76" s="878"/>
      <c r="AR76" s="877"/>
      <c r="AS76" s="877"/>
      <c r="AT76" s="877"/>
      <c r="AU76" s="877"/>
      <c r="AV76" s="879"/>
      <c r="AW76" s="879"/>
      <c r="AX76" s="877"/>
      <c r="AY76" s="877"/>
      <c r="AZ76" s="877"/>
      <c r="BA76" s="877"/>
      <c r="BB76" s="877"/>
      <c r="BC76" s="878"/>
      <c r="BD76" s="877"/>
      <c r="BE76" s="877"/>
      <c r="BF76" s="877"/>
      <c r="BG76" s="877"/>
      <c r="BH76" s="879"/>
      <c r="BI76" s="879"/>
      <c r="BJ76" s="877"/>
      <c r="BK76" s="877"/>
      <c r="BL76" s="877"/>
      <c r="BM76" s="877"/>
      <c r="BN76" s="877"/>
      <c r="BO76" s="869"/>
      <c r="BP76" s="869"/>
      <c r="BQ76" s="877"/>
      <c r="BR76" s="877"/>
      <c r="BS76" s="877"/>
      <c r="BT76" s="877"/>
      <c r="BU76" s="877"/>
      <c r="BV76" s="877"/>
      <c r="BW76" s="877"/>
      <c r="BX76" s="877"/>
      <c r="BY76" s="877"/>
      <c r="BZ76" s="877"/>
      <c r="CA76" s="878"/>
      <c r="CB76" s="877"/>
      <c r="CC76" s="877"/>
      <c r="CD76" s="877"/>
      <c r="CE76" s="877"/>
      <c r="CF76" s="879"/>
      <c r="CG76" s="879"/>
      <c r="CH76" s="877"/>
      <c r="CI76" s="877"/>
      <c r="CJ76" s="877"/>
      <c r="CK76" s="877"/>
      <c r="CL76" s="877"/>
      <c r="CM76" s="878"/>
      <c r="CN76" s="877"/>
      <c r="CO76" s="877"/>
      <c r="CP76" s="877"/>
      <c r="CQ76" s="877"/>
      <c r="CR76" s="879"/>
      <c r="CS76" s="879"/>
      <c r="CT76" s="877"/>
      <c r="CU76" s="877"/>
      <c r="CV76" s="877"/>
      <c r="CW76" s="877"/>
      <c r="CX76" s="877"/>
    </row>
    <row r="77" spans="2:102" ht="20.25" hidden="1" customHeight="1" outlineLevel="1">
      <c r="B77" s="870" t="s">
        <v>1241</v>
      </c>
      <c r="C77" s="871" t="s">
        <v>1242</v>
      </c>
      <c r="D77" s="872" t="s">
        <v>1083</v>
      </c>
      <c r="E77" s="869"/>
      <c r="F77" s="869">
        <f t="shared" si="80"/>
        <v>0</v>
      </c>
      <c r="G77" s="869"/>
      <c r="H77" s="877"/>
      <c r="I77" s="877"/>
      <c r="J77" s="877"/>
      <c r="K77" s="877"/>
      <c r="L77" s="877"/>
      <c r="M77" s="877"/>
      <c r="N77" s="877"/>
      <c r="O77" s="877"/>
      <c r="P77" s="877"/>
      <c r="Q77" s="877"/>
      <c r="R77" s="877"/>
      <c r="S77" s="877"/>
      <c r="T77" s="877"/>
      <c r="U77" s="869"/>
      <c r="V77" s="877"/>
      <c r="W77" s="877"/>
      <c r="X77" s="877"/>
      <c r="Y77" s="877"/>
      <c r="Z77" s="877"/>
      <c r="AA77" s="877"/>
      <c r="AB77" s="877"/>
      <c r="AC77" s="877"/>
      <c r="AD77" s="877"/>
      <c r="AE77" s="869"/>
      <c r="AF77" s="869"/>
      <c r="AG77" s="877"/>
      <c r="AH77" s="877"/>
      <c r="AI77" s="877"/>
      <c r="AJ77" s="877"/>
      <c r="AK77" s="877"/>
      <c r="AL77" s="877"/>
      <c r="AM77" s="877"/>
      <c r="AN77" s="877"/>
      <c r="AO77" s="877"/>
      <c r="AP77" s="877"/>
      <c r="AQ77" s="878"/>
      <c r="AR77" s="877"/>
      <c r="AS77" s="877"/>
      <c r="AT77" s="877"/>
      <c r="AU77" s="877"/>
      <c r="AV77" s="879"/>
      <c r="AW77" s="879"/>
      <c r="AX77" s="877"/>
      <c r="AY77" s="877"/>
      <c r="AZ77" s="877"/>
      <c r="BA77" s="877"/>
      <c r="BB77" s="877"/>
      <c r="BC77" s="878"/>
      <c r="BD77" s="877"/>
      <c r="BE77" s="877"/>
      <c r="BF77" s="877"/>
      <c r="BG77" s="877"/>
      <c r="BH77" s="879"/>
      <c r="BI77" s="879"/>
      <c r="BJ77" s="877"/>
      <c r="BK77" s="877"/>
      <c r="BL77" s="877"/>
      <c r="BM77" s="877"/>
      <c r="BN77" s="877"/>
      <c r="BO77" s="869"/>
      <c r="BP77" s="869"/>
      <c r="BQ77" s="877"/>
      <c r="BR77" s="877"/>
      <c r="BS77" s="877"/>
      <c r="BT77" s="877"/>
      <c r="BU77" s="877"/>
      <c r="BV77" s="877"/>
      <c r="BW77" s="877"/>
      <c r="BX77" s="877"/>
      <c r="BY77" s="877"/>
      <c r="BZ77" s="877"/>
      <c r="CA77" s="878"/>
      <c r="CB77" s="877"/>
      <c r="CC77" s="877"/>
      <c r="CD77" s="877"/>
      <c r="CE77" s="877"/>
      <c r="CF77" s="879"/>
      <c r="CG77" s="879"/>
      <c r="CH77" s="877"/>
      <c r="CI77" s="877"/>
      <c r="CJ77" s="877"/>
      <c r="CK77" s="877"/>
      <c r="CL77" s="877"/>
      <c r="CM77" s="878"/>
      <c r="CN77" s="877"/>
      <c r="CO77" s="877"/>
      <c r="CP77" s="877"/>
      <c r="CQ77" s="877"/>
      <c r="CR77" s="879"/>
      <c r="CS77" s="879"/>
      <c r="CT77" s="877"/>
      <c r="CU77" s="877"/>
      <c r="CV77" s="877"/>
      <c r="CW77" s="877"/>
      <c r="CX77" s="877"/>
    </row>
    <row r="78" spans="2:102" ht="60.75" customHeight="1" collapsed="1">
      <c r="B78" s="866" t="s">
        <v>1243</v>
      </c>
      <c r="C78" s="867" t="s">
        <v>1244</v>
      </c>
      <c r="D78" s="922" t="s">
        <v>1245</v>
      </c>
      <c r="E78" s="869"/>
      <c r="F78" s="869">
        <f>F15/F67</f>
        <v>55.348326267831382</v>
      </c>
      <c r="G78" s="869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9"/>
      <c r="V78" s="862"/>
      <c r="W78" s="862"/>
      <c r="X78" s="862"/>
      <c r="Y78" s="862"/>
      <c r="Z78" s="862"/>
      <c r="AA78" s="862"/>
      <c r="AB78" s="862"/>
      <c r="AC78" s="862"/>
      <c r="AD78" s="862"/>
      <c r="AE78" s="869" t="e">
        <f>AE15/AE67</f>
        <v>#DIV/0!</v>
      </c>
      <c r="AF78" s="869"/>
      <c r="AG78" s="862"/>
      <c r="AH78" s="862"/>
      <c r="AI78" s="862"/>
      <c r="AJ78" s="862"/>
      <c r="AK78" s="862"/>
      <c r="AL78" s="862"/>
      <c r="AM78" s="862"/>
      <c r="AN78" s="862"/>
      <c r="AO78" s="862"/>
      <c r="AP78" s="862"/>
      <c r="AQ78" s="869"/>
      <c r="AR78" s="862"/>
      <c r="AS78" s="862"/>
      <c r="AT78" s="862"/>
      <c r="AU78" s="862"/>
      <c r="AV78" s="863"/>
      <c r="AW78" s="863"/>
      <c r="AX78" s="862"/>
      <c r="AY78" s="862"/>
      <c r="AZ78" s="862"/>
      <c r="BA78" s="862"/>
      <c r="BB78" s="862"/>
      <c r="BC78" s="869"/>
      <c r="BD78" s="862"/>
      <c r="BE78" s="862"/>
      <c r="BF78" s="862"/>
      <c r="BG78" s="862"/>
      <c r="BH78" s="863"/>
      <c r="BI78" s="863"/>
      <c r="BJ78" s="862"/>
      <c r="BK78" s="862"/>
      <c r="BL78" s="862"/>
      <c r="BM78" s="862"/>
      <c r="BN78" s="862"/>
      <c r="BO78" s="869"/>
      <c r="BP78" s="869"/>
      <c r="BQ78" s="862"/>
      <c r="BR78" s="862"/>
      <c r="BS78" s="862"/>
      <c r="BT78" s="862"/>
      <c r="BU78" s="862"/>
      <c r="BV78" s="862"/>
      <c r="BW78" s="862"/>
      <c r="BX78" s="862"/>
      <c r="BY78" s="862"/>
      <c r="BZ78" s="862"/>
      <c r="CA78" s="869"/>
      <c r="CB78" s="862"/>
      <c r="CC78" s="862"/>
      <c r="CD78" s="862"/>
      <c r="CE78" s="862"/>
      <c r="CF78" s="863"/>
      <c r="CG78" s="863"/>
      <c r="CH78" s="862"/>
      <c r="CI78" s="862"/>
      <c r="CJ78" s="862"/>
      <c r="CK78" s="862"/>
      <c r="CL78" s="862"/>
      <c r="CM78" s="869"/>
      <c r="CN78" s="862"/>
      <c r="CO78" s="862"/>
      <c r="CP78" s="862"/>
      <c r="CQ78" s="862"/>
      <c r="CR78" s="863"/>
      <c r="CS78" s="863"/>
      <c r="CT78" s="862"/>
      <c r="CU78" s="862"/>
      <c r="CV78" s="862"/>
      <c r="CW78" s="862"/>
      <c r="CX78" s="862"/>
    </row>
    <row r="79" spans="2:102" s="817" customFormat="1" ht="20.25" hidden="1" customHeight="1" outlineLevel="1">
      <c r="B79" s="931"/>
      <c r="C79" s="932"/>
      <c r="D79" s="933"/>
      <c r="E79" s="933"/>
      <c r="F79" s="934"/>
      <c r="G79" s="935"/>
      <c r="H79" s="935"/>
      <c r="I79" s="935"/>
      <c r="J79" s="935"/>
      <c r="K79" s="936"/>
      <c r="L79" s="936"/>
      <c r="M79" s="936"/>
      <c r="N79" s="936"/>
      <c r="O79" s="936"/>
      <c r="P79" s="936"/>
      <c r="Q79" s="936"/>
      <c r="R79" s="936"/>
      <c r="S79" s="936"/>
      <c r="T79" s="936"/>
      <c r="U79" s="936"/>
      <c r="V79" s="936"/>
      <c r="W79" s="936"/>
      <c r="X79" s="936"/>
      <c r="Y79" s="936"/>
      <c r="Z79" s="936"/>
      <c r="AA79" s="936"/>
      <c r="AB79" s="936"/>
      <c r="AC79" s="936"/>
      <c r="AD79" s="936"/>
      <c r="AE79" s="937"/>
      <c r="AF79" s="936"/>
      <c r="AG79" s="936"/>
      <c r="AH79" s="936"/>
      <c r="AI79" s="936"/>
      <c r="AJ79" s="936"/>
      <c r="AK79" s="936"/>
      <c r="AL79" s="936"/>
      <c r="AM79" s="936"/>
      <c r="AN79" s="936"/>
      <c r="AO79" s="936"/>
      <c r="AP79" s="936"/>
      <c r="AQ79" s="936"/>
      <c r="AR79" s="936"/>
      <c r="AS79" s="936"/>
      <c r="AT79" s="936"/>
      <c r="AU79" s="936"/>
      <c r="AV79" s="936"/>
      <c r="AW79" s="936"/>
      <c r="AX79" s="936"/>
      <c r="AY79" s="936"/>
      <c r="AZ79" s="936"/>
      <c r="BA79" s="936"/>
      <c r="BB79" s="936"/>
      <c r="BC79" s="936"/>
      <c r="BD79" s="936"/>
      <c r="BE79" s="936"/>
      <c r="BF79" s="936"/>
      <c r="BG79" s="936"/>
      <c r="BH79" s="936"/>
      <c r="BI79" s="936"/>
      <c r="BJ79" s="936"/>
      <c r="BK79" s="936"/>
      <c r="BL79" s="936"/>
      <c r="BM79" s="936"/>
      <c r="BN79" s="936"/>
      <c r="BO79" s="937"/>
      <c r="BP79" s="936"/>
      <c r="BQ79" s="936"/>
      <c r="BR79" s="936"/>
      <c r="BS79" s="936"/>
      <c r="BT79" s="936"/>
      <c r="BU79" s="936"/>
      <c r="BV79" s="936"/>
      <c r="BW79" s="936"/>
      <c r="BX79" s="936"/>
      <c r="BY79" s="936"/>
      <c r="BZ79" s="936"/>
      <c r="CA79" s="936"/>
      <c r="CB79" s="936"/>
      <c r="CC79" s="936"/>
      <c r="CD79" s="936"/>
      <c r="CE79" s="936"/>
      <c r="CF79" s="936"/>
      <c r="CG79" s="936"/>
      <c r="CH79" s="936"/>
      <c r="CI79" s="936"/>
      <c r="CJ79" s="936"/>
      <c r="CK79" s="936"/>
      <c r="CL79" s="936"/>
      <c r="CM79" s="936"/>
      <c r="CN79" s="936"/>
      <c r="CO79" s="936"/>
      <c r="CP79" s="936"/>
      <c r="CQ79" s="936"/>
      <c r="CR79" s="936"/>
      <c r="CS79" s="936"/>
      <c r="CT79" s="936"/>
      <c r="CU79" s="936"/>
      <c r="CV79" s="936"/>
      <c r="CW79" s="936"/>
      <c r="CX79" s="936"/>
    </row>
    <row r="80" spans="2:102" s="818" customFormat="1" ht="20.25" hidden="1" customHeight="1" outlineLevel="1">
      <c r="B80" s="938"/>
      <c r="D80" s="939"/>
      <c r="E80" s="939"/>
      <c r="F80" s="940"/>
      <c r="G80" s="819"/>
      <c r="H80" s="819"/>
      <c r="I80" s="819"/>
      <c r="J80" s="819"/>
      <c r="K80" s="822"/>
      <c r="L80" s="822"/>
      <c r="M80" s="822"/>
      <c r="N80" s="822"/>
      <c r="O80" s="822"/>
      <c r="P80" s="822"/>
      <c r="Q80" s="822"/>
      <c r="R80" s="822"/>
      <c r="S80" s="822"/>
      <c r="T80" s="822"/>
      <c r="U80" s="941"/>
      <c r="V80" s="941"/>
      <c r="W80" s="941"/>
      <c r="X80" s="941"/>
      <c r="Y80" s="941"/>
      <c r="Z80" s="941"/>
      <c r="AA80" s="941"/>
      <c r="AB80" s="941"/>
      <c r="AC80" s="941"/>
      <c r="AD80" s="941"/>
      <c r="AE80" s="942"/>
      <c r="AF80" s="822"/>
      <c r="AG80" s="822"/>
      <c r="AH80" s="822"/>
      <c r="AI80" s="822"/>
      <c r="AJ80" s="822"/>
      <c r="AK80" s="822"/>
      <c r="AL80" s="822"/>
      <c r="AM80" s="822"/>
      <c r="AN80" s="822"/>
      <c r="AO80" s="822"/>
      <c r="AP80" s="822"/>
      <c r="AQ80" s="822"/>
      <c r="AR80" s="822"/>
      <c r="AS80" s="822"/>
      <c r="AT80" s="822"/>
      <c r="AU80" s="822"/>
      <c r="AV80" s="822"/>
      <c r="AW80" s="822"/>
      <c r="AX80" s="822"/>
      <c r="AY80" s="941"/>
      <c r="AZ80" s="822"/>
      <c r="BA80" s="822"/>
      <c r="BB80" s="822"/>
      <c r="BC80" s="822"/>
      <c r="BD80" s="822"/>
      <c r="BE80" s="822"/>
      <c r="BF80" s="822"/>
      <c r="BG80" s="822"/>
      <c r="BH80" s="822"/>
      <c r="BI80" s="822"/>
      <c r="BJ80" s="822"/>
      <c r="BK80" s="941"/>
      <c r="BL80" s="822"/>
      <c r="BM80" s="822"/>
      <c r="BN80" s="822"/>
      <c r="BO80" s="942"/>
      <c r="BP80" s="822"/>
      <c r="BQ80" s="822"/>
      <c r="BR80" s="822"/>
      <c r="BS80" s="822"/>
      <c r="BT80" s="822"/>
      <c r="BU80" s="822"/>
      <c r="BV80" s="822"/>
      <c r="BW80" s="822"/>
      <c r="BX80" s="822"/>
      <c r="BY80" s="822"/>
      <c r="BZ80" s="822"/>
      <c r="CA80" s="822"/>
      <c r="CB80" s="822"/>
      <c r="CC80" s="822"/>
      <c r="CD80" s="822"/>
      <c r="CE80" s="822"/>
      <c r="CF80" s="822"/>
      <c r="CG80" s="822"/>
      <c r="CH80" s="822"/>
      <c r="CI80" s="941"/>
      <c r="CJ80" s="822"/>
      <c r="CK80" s="822"/>
      <c r="CL80" s="822"/>
      <c r="CM80" s="822"/>
      <c r="CN80" s="822"/>
      <c r="CO80" s="822"/>
      <c r="CP80" s="822"/>
      <c r="CQ80" s="822"/>
      <c r="CR80" s="822"/>
      <c r="CS80" s="822"/>
      <c r="CT80" s="822"/>
      <c r="CU80" s="941"/>
      <c r="CV80" s="822"/>
      <c r="CW80" s="822"/>
      <c r="CX80" s="822"/>
    </row>
    <row r="81" spans="2:102" s="818" customFormat="1" ht="20.25" hidden="1" customHeight="1" outlineLevel="1">
      <c r="B81" s="938"/>
      <c r="D81" s="939"/>
      <c r="E81" s="939"/>
      <c r="F81" s="940"/>
      <c r="G81" s="819"/>
      <c r="H81" s="819"/>
      <c r="I81" s="819"/>
      <c r="J81" s="819"/>
      <c r="K81" s="822"/>
      <c r="L81" s="822"/>
      <c r="M81" s="822"/>
      <c r="N81" s="822"/>
      <c r="O81" s="822"/>
      <c r="P81" s="822"/>
      <c r="Q81" s="822"/>
      <c r="R81" s="822"/>
      <c r="S81" s="822"/>
      <c r="T81" s="822"/>
      <c r="U81" s="941"/>
      <c r="V81" s="941"/>
      <c r="W81" s="941"/>
      <c r="X81" s="941"/>
      <c r="Y81" s="941"/>
      <c r="Z81" s="941"/>
      <c r="AA81" s="941"/>
      <c r="AB81" s="941"/>
      <c r="AC81" s="941"/>
      <c r="AD81" s="941"/>
      <c r="AE81" s="942"/>
      <c r="AF81" s="822"/>
      <c r="AG81" s="822"/>
      <c r="AH81" s="822"/>
      <c r="AI81" s="822"/>
      <c r="AJ81" s="822"/>
      <c r="AK81" s="822"/>
      <c r="AL81" s="822"/>
      <c r="AM81" s="822"/>
      <c r="AN81" s="822"/>
      <c r="AO81" s="822"/>
      <c r="AP81" s="822"/>
      <c r="AQ81" s="822"/>
      <c r="AR81" s="822"/>
      <c r="AS81" s="822"/>
      <c r="AT81" s="822"/>
      <c r="AU81" s="822"/>
      <c r="AV81" s="822"/>
      <c r="AW81" s="822"/>
      <c r="AX81" s="822"/>
      <c r="AY81" s="941"/>
      <c r="AZ81" s="822"/>
      <c r="BA81" s="822"/>
      <c r="BB81" s="822"/>
      <c r="BC81" s="822"/>
      <c r="BD81" s="822"/>
      <c r="BE81" s="822"/>
      <c r="BF81" s="822"/>
      <c r="BG81" s="822"/>
      <c r="BH81" s="822"/>
      <c r="BI81" s="822"/>
      <c r="BJ81" s="822"/>
      <c r="BK81" s="941"/>
      <c r="BL81" s="822"/>
      <c r="BM81" s="822"/>
      <c r="BN81" s="822"/>
      <c r="BO81" s="942"/>
      <c r="BP81" s="822"/>
      <c r="BQ81" s="822"/>
      <c r="BR81" s="822"/>
      <c r="BS81" s="822"/>
      <c r="BT81" s="822"/>
      <c r="BU81" s="822"/>
      <c r="BV81" s="822"/>
      <c r="BW81" s="822"/>
      <c r="BX81" s="822"/>
      <c r="BY81" s="822"/>
      <c r="BZ81" s="822"/>
      <c r="CA81" s="822"/>
      <c r="CB81" s="822"/>
      <c r="CC81" s="822"/>
      <c r="CD81" s="822"/>
      <c r="CE81" s="822"/>
      <c r="CF81" s="822"/>
      <c r="CG81" s="822"/>
      <c r="CH81" s="822"/>
      <c r="CI81" s="941"/>
      <c r="CJ81" s="822"/>
      <c r="CK81" s="822"/>
      <c r="CL81" s="822"/>
      <c r="CM81" s="822"/>
      <c r="CN81" s="822"/>
      <c r="CO81" s="822"/>
      <c r="CP81" s="822"/>
      <c r="CQ81" s="822"/>
      <c r="CR81" s="822"/>
      <c r="CS81" s="822"/>
      <c r="CT81" s="822"/>
      <c r="CU81" s="941"/>
      <c r="CV81" s="822"/>
      <c r="CW81" s="822"/>
      <c r="CX81" s="822"/>
    </row>
    <row r="82" spans="2:102" s="818" customFormat="1" ht="20.25" hidden="1" customHeight="1" outlineLevel="1">
      <c r="B82" s="938"/>
      <c r="D82" s="939"/>
      <c r="E82" s="939"/>
      <c r="F82" s="940"/>
      <c r="G82" s="943"/>
      <c r="H82" s="819"/>
      <c r="I82" s="819"/>
      <c r="J82" s="943"/>
      <c r="K82" s="822"/>
      <c r="L82" s="822"/>
      <c r="M82" s="822"/>
      <c r="N82" s="822"/>
      <c r="O82" s="822"/>
      <c r="P82" s="822"/>
      <c r="Q82" s="822"/>
      <c r="R82" s="822"/>
      <c r="S82" s="822"/>
      <c r="T82" s="822"/>
      <c r="U82" s="941"/>
      <c r="V82" s="941"/>
      <c r="W82" s="941"/>
      <c r="X82" s="941"/>
      <c r="Y82" s="941"/>
      <c r="Z82" s="941"/>
      <c r="AA82" s="941"/>
      <c r="AB82" s="941"/>
      <c r="AC82" s="941"/>
      <c r="AD82" s="941"/>
      <c r="AE82" s="942"/>
      <c r="AF82" s="822"/>
      <c r="AG82" s="822"/>
      <c r="AH82" s="822"/>
      <c r="AI82" s="822"/>
      <c r="AJ82" s="822"/>
      <c r="AK82" s="822"/>
      <c r="AL82" s="822"/>
      <c r="AM82" s="822"/>
      <c r="AN82" s="822"/>
      <c r="AO82" s="822"/>
      <c r="AP82" s="822"/>
      <c r="AQ82" s="822"/>
      <c r="AR82" s="822"/>
      <c r="AS82" s="822"/>
      <c r="AT82" s="822"/>
      <c r="AU82" s="822"/>
      <c r="AV82" s="822"/>
      <c r="AW82" s="822"/>
      <c r="AX82" s="822"/>
      <c r="AY82" s="941"/>
      <c r="AZ82" s="822"/>
      <c r="BA82" s="822"/>
      <c r="BB82" s="822"/>
      <c r="BC82" s="822"/>
      <c r="BD82" s="822"/>
      <c r="BE82" s="822"/>
      <c r="BF82" s="822"/>
      <c r="BG82" s="822"/>
      <c r="BH82" s="822"/>
      <c r="BI82" s="822"/>
      <c r="BJ82" s="822"/>
      <c r="BK82" s="941"/>
      <c r="BL82" s="822"/>
      <c r="BM82" s="822"/>
      <c r="BN82" s="822"/>
      <c r="BO82" s="942"/>
      <c r="BP82" s="822"/>
      <c r="BQ82" s="822"/>
      <c r="BR82" s="822"/>
      <c r="BS82" s="822"/>
      <c r="BT82" s="822"/>
      <c r="BU82" s="822"/>
      <c r="BV82" s="822"/>
      <c r="BW82" s="822"/>
      <c r="BX82" s="822"/>
      <c r="BY82" s="822"/>
      <c r="BZ82" s="822"/>
      <c r="CA82" s="822"/>
      <c r="CB82" s="822"/>
      <c r="CC82" s="822"/>
      <c r="CD82" s="822"/>
      <c r="CE82" s="822"/>
      <c r="CF82" s="822"/>
      <c r="CG82" s="822"/>
      <c r="CH82" s="822"/>
      <c r="CI82" s="941"/>
      <c r="CJ82" s="822"/>
      <c r="CK82" s="822"/>
      <c r="CL82" s="822"/>
      <c r="CM82" s="822"/>
      <c r="CN82" s="822"/>
      <c r="CO82" s="822"/>
      <c r="CP82" s="822"/>
      <c r="CQ82" s="822"/>
      <c r="CR82" s="822"/>
      <c r="CS82" s="822"/>
      <c r="CT82" s="822"/>
      <c r="CU82" s="941"/>
      <c r="CV82" s="822"/>
      <c r="CW82" s="822"/>
      <c r="CX82" s="822"/>
    </row>
    <row r="83" spans="2:102" s="818" customFormat="1" ht="20.25" hidden="1" customHeight="1" outlineLevel="1">
      <c r="B83" s="938"/>
      <c r="D83" s="939"/>
      <c r="E83" s="939"/>
      <c r="F83" s="940"/>
      <c r="G83" s="819"/>
      <c r="H83" s="819"/>
      <c r="I83" s="819"/>
      <c r="J83" s="819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941"/>
      <c r="V83" s="941"/>
      <c r="W83" s="941"/>
      <c r="X83" s="941"/>
      <c r="Y83" s="941"/>
      <c r="Z83" s="941"/>
      <c r="AA83" s="941"/>
      <c r="AB83" s="941"/>
      <c r="AC83" s="941"/>
      <c r="AD83" s="941"/>
      <c r="AE83" s="942"/>
      <c r="AF83" s="822"/>
      <c r="AG83" s="822"/>
      <c r="AH83" s="822"/>
      <c r="AI83" s="822"/>
      <c r="AJ83" s="822"/>
      <c r="AK83" s="822"/>
      <c r="AL83" s="822"/>
      <c r="AM83" s="822"/>
      <c r="AN83" s="822"/>
      <c r="AO83" s="822"/>
      <c r="AP83" s="822"/>
      <c r="AQ83" s="822"/>
      <c r="AR83" s="822"/>
      <c r="AS83" s="822"/>
      <c r="AT83" s="822"/>
      <c r="AU83" s="822"/>
      <c r="AV83" s="822"/>
      <c r="AW83" s="822"/>
      <c r="AX83" s="822"/>
      <c r="AY83" s="941"/>
      <c r="AZ83" s="822"/>
      <c r="BA83" s="822"/>
      <c r="BB83" s="822"/>
      <c r="BC83" s="822"/>
      <c r="BD83" s="822"/>
      <c r="BE83" s="822"/>
      <c r="BF83" s="822"/>
      <c r="BG83" s="822"/>
      <c r="BH83" s="822"/>
      <c r="BI83" s="822"/>
      <c r="BJ83" s="822"/>
      <c r="BK83" s="941"/>
      <c r="BL83" s="822"/>
      <c r="BM83" s="822"/>
      <c r="BN83" s="822"/>
      <c r="BO83" s="942"/>
      <c r="BP83" s="822"/>
      <c r="BQ83" s="822"/>
      <c r="BR83" s="822"/>
      <c r="BS83" s="822"/>
      <c r="BT83" s="822"/>
      <c r="BU83" s="822"/>
      <c r="BV83" s="822"/>
      <c r="BW83" s="822"/>
      <c r="BX83" s="822"/>
      <c r="BY83" s="822"/>
      <c r="BZ83" s="822"/>
      <c r="CA83" s="822"/>
      <c r="CB83" s="822"/>
      <c r="CC83" s="822"/>
      <c r="CD83" s="822"/>
      <c r="CE83" s="822"/>
      <c r="CF83" s="822"/>
      <c r="CG83" s="822"/>
      <c r="CH83" s="822"/>
      <c r="CI83" s="941"/>
      <c r="CJ83" s="822"/>
      <c r="CK83" s="822"/>
      <c r="CL83" s="822"/>
      <c r="CM83" s="822"/>
      <c r="CN83" s="822"/>
      <c r="CO83" s="822"/>
      <c r="CP83" s="822"/>
      <c r="CQ83" s="822"/>
      <c r="CR83" s="822"/>
      <c r="CS83" s="822"/>
      <c r="CT83" s="822"/>
      <c r="CU83" s="941"/>
      <c r="CV83" s="822"/>
      <c r="CW83" s="822"/>
      <c r="CX83" s="822"/>
    </row>
    <row r="84" spans="2:102" s="818" customFormat="1" collapsed="1">
      <c r="B84" s="938"/>
      <c r="D84" s="939"/>
      <c r="E84" s="939"/>
      <c r="F84" s="940"/>
      <c r="G84" s="819"/>
      <c r="H84" s="819"/>
      <c r="I84" s="819"/>
      <c r="J84" s="819"/>
      <c r="K84" s="822"/>
      <c r="L84" s="822"/>
      <c r="M84" s="822"/>
      <c r="N84" s="822"/>
      <c r="O84" s="822"/>
      <c r="P84" s="822"/>
      <c r="Q84" s="822"/>
      <c r="R84" s="822"/>
      <c r="S84" s="822"/>
      <c r="T84" s="822"/>
      <c r="U84" s="941"/>
      <c r="V84" s="941"/>
      <c r="W84" s="941"/>
      <c r="X84" s="941"/>
      <c r="Y84" s="941"/>
      <c r="Z84" s="941"/>
      <c r="AA84" s="941"/>
      <c r="AB84" s="941"/>
      <c r="AC84" s="941"/>
      <c r="AD84" s="941"/>
      <c r="AE84" s="942"/>
      <c r="AF84" s="822"/>
      <c r="AG84" s="822"/>
      <c r="AH84" s="822"/>
      <c r="AI84" s="822"/>
      <c r="AJ84" s="822"/>
      <c r="AK84" s="822"/>
      <c r="AL84" s="822"/>
      <c r="AM84" s="822"/>
      <c r="AN84" s="822"/>
      <c r="AO84" s="822"/>
      <c r="AP84" s="822"/>
      <c r="AQ84" s="822"/>
      <c r="AR84" s="822"/>
      <c r="AS84" s="822"/>
      <c r="AT84" s="822"/>
      <c r="AU84" s="822"/>
      <c r="AV84" s="822"/>
      <c r="AW84" s="822"/>
      <c r="AX84" s="822"/>
      <c r="AY84" s="941"/>
      <c r="AZ84" s="822"/>
      <c r="BA84" s="822"/>
      <c r="BB84" s="822"/>
      <c r="BC84" s="822"/>
      <c r="BD84" s="822"/>
      <c r="BE84" s="822"/>
      <c r="BF84" s="822"/>
      <c r="BG84" s="822"/>
      <c r="BH84" s="822"/>
      <c r="BI84" s="822"/>
      <c r="BJ84" s="822"/>
      <c r="BK84" s="941"/>
      <c r="BL84" s="822"/>
      <c r="BM84" s="822"/>
      <c r="BN84" s="822"/>
      <c r="BO84" s="942"/>
      <c r="BP84" s="822"/>
      <c r="BQ84" s="822"/>
      <c r="BR84" s="822"/>
      <c r="BS84" s="822"/>
      <c r="BT84" s="822"/>
      <c r="BU84" s="822"/>
      <c r="BV84" s="822"/>
      <c r="BW84" s="822"/>
      <c r="BX84" s="822"/>
      <c r="BY84" s="822"/>
      <c r="BZ84" s="822"/>
      <c r="CA84" s="822"/>
      <c r="CB84" s="822"/>
      <c r="CC84" s="822"/>
      <c r="CD84" s="822"/>
      <c r="CE84" s="822"/>
      <c r="CF84" s="822"/>
      <c r="CG84" s="822"/>
      <c r="CH84" s="822"/>
      <c r="CI84" s="941"/>
      <c r="CJ84" s="822"/>
      <c r="CK84" s="822"/>
      <c r="CL84" s="822"/>
      <c r="CM84" s="822"/>
      <c r="CN84" s="822"/>
      <c r="CO84" s="822"/>
      <c r="CP84" s="822"/>
      <c r="CQ84" s="822"/>
      <c r="CR84" s="822"/>
      <c r="CS84" s="822"/>
      <c r="CT84" s="822"/>
      <c r="CU84" s="941"/>
      <c r="CV84" s="822"/>
      <c r="CW84" s="822"/>
      <c r="CX84" s="822"/>
    </row>
    <row r="85" spans="2:102" s="818" customFormat="1" ht="24" customHeight="1">
      <c r="B85" s="938"/>
      <c r="C85" s="940" t="s">
        <v>1246</v>
      </c>
      <c r="D85" s="939"/>
      <c r="E85" s="939"/>
      <c r="F85" s="940" t="s">
        <v>1247</v>
      </c>
      <c r="G85" s="819"/>
      <c r="H85" s="819"/>
      <c r="I85" s="819"/>
      <c r="J85" s="819"/>
      <c r="K85" s="822"/>
      <c r="L85" s="822"/>
      <c r="M85" s="822"/>
      <c r="N85" s="822"/>
      <c r="O85" s="822"/>
      <c r="P85" s="822"/>
      <c r="Q85" s="822"/>
      <c r="R85" s="984"/>
      <c r="S85" s="822"/>
      <c r="T85" s="822"/>
      <c r="U85" s="941"/>
      <c r="V85" s="941"/>
      <c r="W85" s="941"/>
      <c r="X85" s="941"/>
      <c r="Y85" s="941"/>
      <c r="Z85" s="941"/>
      <c r="AA85" s="941"/>
      <c r="AB85" s="941"/>
      <c r="AC85" s="941"/>
      <c r="AD85" s="941"/>
      <c r="AE85" s="942"/>
      <c r="AF85" s="822"/>
      <c r="AG85" s="822"/>
      <c r="AH85" s="822"/>
      <c r="AI85" s="822"/>
      <c r="AJ85" s="822"/>
      <c r="AK85" s="822"/>
      <c r="AL85" s="822"/>
      <c r="AM85" s="822"/>
      <c r="AN85" s="822"/>
      <c r="AO85" s="822"/>
      <c r="AP85" s="822"/>
      <c r="AQ85" s="822"/>
      <c r="AR85" s="822"/>
      <c r="AS85" s="822"/>
      <c r="AT85" s="822"/>
      <c r="AU85" s="822"/>
      <c r="AV85" s="822"/>
      <c r="AW85" s="822"/>
      <c r="AX85" s="822"/>
      <c r="AY85" s="941"/>
      <c r="AZ85" s="822"/>
      <c r="BA85" s="984"/>
      <c r="BB85" s="984"/>
      <c r="BC85" s="822"/>
      <c r="BD85" s="822"/>
      <c r="BE85" s="822"/>
      <c r="BF85" s="822"/>
      <c r="BG85" s="822"/>
      <c r="BH85" s="822"/>
      <c r="BI85" s="822"/>
      <c r="BJ85" s="822"/>
      <c r="BK85" s="941"/>
      <c r="BL85" s="822"/>
      <c r="BM85" s="984"/>
      <c r="BN85" s="984"/>
      <c r="BO85" s="942"/>
      <c r="BP85" s="822"/>
      <c r="BQ85" s="822"/>
      <c r="BR85" s="822"/>
      <c r="BS85" s="822"/>
      <c r="BT85" s="822"/>
      <c r="BU85" s="822"/>
      <c r="BV85" s="822"/>
      <c r="BW85" s="822"/>
      <c r="BX85" s="822"/>
      <c r="BY85" s="822"/>
      <c r="BZ85" s="822"/>
      <c r="CA85" s="822"/>
      <c r="CB85" s="822"/>
      <c r="CC85" s="822"/>
      <c r="CD85" s="822"/>
      <c r="CE85" s="822"/>
      <c r="CF85" s="822"/>
      <c r="CG85" s="822"/>
      <c r="CH85" s="822"/>
      <c r="CI85" s="941"/>
      <c r="CJ85" s="822"/>
      <c r="CK85" s="984"/>
      <c r="CL85" s="984"/>
      <c r="CM85" s="822"/>
      <c r="CN85" s="822"/>
      <c r="CO85" s="822"/>
      <c r="CP85" s="822"/>
      <c r="CQ85" s="822"/>
      <c r="CR85" s="822"/>
      <c r="CS85" s="822"/>
      <c r="CT85" s="822"/>
      <c r="CU85" s="941"/>
      <c r="CV85" s="822"/>
      <c r="CW85" s="984"/>
      <c r="CX85" s="984"/>
    </row>
    <row r="86" spans="2:102" s="818" customFormat="1" ht="20.25" hidden="1" customHeight="1" outlineLevel="1">
      <c r="B86" s="938"/>
      <c r="D86" s="939"/>
      <c r="E86" s="939"/>
      <c r="F86" s="940"/>
      <c r="G86" s="819"/>
      <c r="H86" s="819"/>
      <c r="I86" s="819"/>
      <c r="J86" s="819"/>
      <c r="K86" s="822"/>
      <c r="L86" s="822"/>
      <c r="M86" s="822"/>
      <c r="N86" s="822"/>
      <c r="O86" s="822"/>
      <c r="P86" s="822"/>
      <c r="Q86" s="822"/>
      <c r="R86" s="822"/>
      <c r="S86" s="822"/>
      <c r="T86" s="822"/>
      <c r="U86" s="941"/>
      <c r="V86" s="941"/>
      <c r="W86" s="941"/>
      <c r="X86" s="941"/>
      <c r="Y86" s="941"/>
      <c r="Z86" s="941"/>
      <c r="AA86" s="941"/>
      <c r="AB86" s="941"/>
      <c r="AC86" s="941"/>
      <c r="AD86" s="941"/>
      <c r="AE86" s="942"/>
      <c r="AF86" s="822"/>
      <c r="AG86" s="822"/>
      <c r="AH86" s="822"/>
      <c r="AI86" s="822"/>
      <c r="AJ86" s="822"/>
      <c r="AK86" s="822"/>
      <c r="AL86" s="822"/>
      <c r="AM86" s="822"/>
      <c r="AN86" s="822"/>
      <c r="AO86" s="822"/>
      <c r="AP86" s="822"/>
      <c r="AQ86" s="822"/>
      <c r="AR86" s="822"/>
      <c r="AS86" s="822"/>
      <c r="AT86" s="822"/>
      <c r="AU86" s="822"/>
      <c r="AV86" s="822"/>
      <c r="AW86" s="822"/>
      <c r="AX86" s="822"/>
      <c r="AY86" s="941"/>
      <c r="AZ86" s="822"/>
      <c r="BA86" s="822"/>
      <c r="BB86" s="822"/>
      <c r="BC86" s="822"/>
      <c r="BD86" s="822"/>
      <c r="BE86" s="822"/>
      <c r="BF86" s="822"/>
      <c r="BG86" s="822"/>
      <c r="BH86" s="822"/>
      <c r="BI86" s="822"/>
      <c r="BJ86" s="822"/>
      <c r="BK86" s="941"/>
      <c r="BL86" s="822"/>
      <c r="BM86" s="822"/>
      <c r="BN86" s="822"/>
      <c r="BO86" s="942"/>
      <c r="BP86" s="822"/>
      <c r="BQ86" s="822"/>
      <c r="BR86" s="822"/>
      <c r="BS86" s="822"/>
      <c r="BT86" s="822"/>
      <c r="BU86" s="822"/>
      <c r="BV86" s="822"/>
      <c r="BW86" s="822"/>
      <c r="BX86" s="822"/>
      <c r="BY86" s="822"/>
      <c r="BZ86" s="822"/>
      <c r="CA86" s="822"/>
      <c r="CB86" s="822"/>
      <c r="CC86" s="822"/>
      <c r="CD86" s="822"/>
      <c r="CE86" s="822"/>
      <c r="CF86" s="822"/>
      <c r="CG86" s="822"/>
      <c r="CH86" s="822"/>
      <c r="CI86" s="941"/>
      <c r="CJ86" s="822"/>
      <c r="CK86" s="822"/>
      <c r="CL86" s="822"/>
      <c r="CM86" s="822"/>
      <c r="CN86" s="822"/>
      <c r="CO86" s="822"/>
      <c r="CP86" s="822"/>
      <c r="CQ86" s="822"/>
      <c r="CR86" s="822"/>
      <c r="CS86" s="822"/>
      <c r="CT86" s="822"/>
      <c r="CU86" s="941"/>
      <c r="CV86" s="822"/>
      <c r="CW86" s="822"/>
      <c r="CX86" s="822"/>
    </row>
    <row r="87" spans="2:102" s="818" customFormat="1" ht="20.25" hidden="1" customHeight="1" outlineLevel="1">
      <c r="B87" s="938"/>
      <c r="D87" s="939"/>
      <c r="E87" s="939"/>
      <c r="F87" s="940"/>
      <c r="G87" s="819"/>
      <c r="H87" s="819"/>
      <c r="I87" s="819"/>
      <c r="J87" s="819"/>
      <c r="K87" s="822"/>
      <c r="L87" s="822"/>
      <c r="M87" s="822"/>
      <c r="N87" s="822"/>
      <c r="O87" s="822"/>
      <c r="P87" s="822"/>
      <c r="Q87" s="822"/>
      <c r="R87" s="822"/>
      <c r="S87" s="822"/>
      <c r="T87" s="822"/>
      <c r="U87" s="941"/>
      <c r="V87" s="941"/>
      <c r="W87" s="941"/>
      <c r="X87" s="941"/>
      <c r="Y87" s="941"/>
      <c r="Z87" s="941"/>
      <c r="AA87" s="941"/>
      <c r="AB87" s="941"/>
      <c r="AC87" s="941"/>
      <c r="AD87" s="941"/>
      <c r="AE87" s="942"/>
      <c r="AF87" s="822"/>
      <c r="AG87" s="822"/>
      <c r="AH87" s="822"/>
      <c r="AI87" s="822"/>
      <c r="AJ87" s="822"/>
      <c r="AK87" s="822"/>
      <c r="AL87" s="822"/>
      <c r="AM87" s="822"/>
      <c r="AN87" s="822"/>
      <c r="AO87" s="822"/>
      <c r="AP87" s="822"/>
      <c r="AQ87" s="822"/>
      <c r="AR87" s="822"/>
      <c r="AS87" s="822"/>
      <c r="AT87" s="822"/>
      <c r="AU87" s="822"/>
      <c r="AV87" s="822"/>
      <c r="AW87" s="822"/>
      <c r="AX87" s="822"/>
      <c r="AY87" s="941"/>
      <c r="AZ87" s="822"/>
      <c r="BA87" s="822"/>
      <c r="BB87" s="822"/>
      <c r="BC87" s="822"/>
      <c r="BD87" s="822"/>
      <c r="BE87" s="822"/>
      <c r="BF87" s="822"/>
      <c r="BG87" s="822"/>
      <c r="BH87" s="822"/>
      <c r="BI87" s="822"/>
      <c r="BJ87" s="822"/>
      <c r="BK87" s="941"/>
      <c r="BL87" s="822"/>
      <c r="BM87" s="822"/>
      <c r="BN87" s="822"/>
      <c r="BO87" s="942"/>
      <c r="BP87" s="822"/>
      <c r="BQ87" s="822"/>
      <c r="BR87" s="822"/>
      <c r="BS87" s="822"/>
      <c r="BT87" s="822"/>
      <c r="BU87" s="822"/>
      <c r="BV87" s="822"/>
      <c r="BW87" s="822"/>
      <c r="BX87" s="822"/>
      <c r="BY87" s="822"/>
      <c r="BZ87" s="822"/>
      <c r="CA87" s="822"/>
      <c r="CB87" s="822"/>
      <c r="CC87" s="822"/>
      <c r="CD87" s="822"/>
      <c r="CE87" s="822"/>
      <c r="CF87" s="822"/>
      <c r="CG87" s="822"/>
      <c r="CH87" s="822"/>
      <c r="CI87" s="941"/>
      <c r="CJ87" s="822"/>
      <c r="CK87" s="822"/>
      <c r="CL87" s="822"/>
      <c r="CM87" s="822"/>
      <c r="CN87" s="822"/>
      <c r="CO87" s="822"/>
      <c r="CP87" s="822"/>
      <c r="CQ87" s="822"/>
      <c r="CR87" s="822"/>
      <c r="CS87" s="822"/>
      <c r="CT87" s="822"/>
      <c r="CU87" s="941"/>
      <c r="CV87" s="822"/>
      <c r="CW87" s="822"/>
      <c r="CX87" s="822"/>
    </row>
    <row r="88" spans="2:102" s="818" customFormat="1" ht="20.25" hidden="1" customHeight="1" outlineLevel="1">
      <c r="B88" s="938"/>
      <c r="D88" s="939"/>
      <c r="E88" s="939"/>
      <c r="F88" s="940"/>
      <c r="G88" s="819"/>
      <c r="H88" s="819"/>
      <c r="I88" s="819"/>
      <c r="J88" s="819"/>
      <c r="K88" s="822"/>
      <c r="L88" s="822"/>
      <c r="M88" s="822"/>
      <c r="N88" s="822"/>
      <c r="O88" s="822"/>
      <c r="P88" s="822"/>
      <c r="Q88" s="822"/>
      <c r="R88" s="822"/>
      <c r="S88" s="822"/>
      <c r="T88" s="822"/>
      <c r="U88" s="941"/>
      <c r="V88" s="941"/>
      <c r="W88" s="941"/>
      <c r="X88" s="941"/>
      <c r="Y88" s="941"/>
      <c r="Z88" s="941"/>
      <c r="AA88" s="941"/>
      <c r="AB88" s="941"/>
      <c r="AC88" s="941"/>
      <c r="AD88" s="941"/>
      <c r="AE88" s="942"/>
      <c r="AF88" s="822"/>
      <c r="AG88" s="822"/>
      <c r="AH88" s="822"/>
      <c r="AI88" s="822"/>
      <c r="AJ88" s="822"/>
      <c r="AK88" s="822"/>
      <c r="AL88" s="822"/>
      <c r="AM88" s="822"/>
      <c r="AN88" s="822"/>
      <c r="AO88" s="822"/>
      <c r="AP88" s="822"/>
      <c r="AQ88" s="822"/>
      <c r="AR88" s="822"/>
      <c r="AS88" s="822"/>
      <c r="AT88" s="822"/>
      <c r="AU88" s="822"/>
      <c r="AV88" s="822"/>
      <c r="AW88" s="822"/>
      <c r="AX88" s="822"/>
      <c r="AY88" s="941"/>
      <c r="AZ88" s="822"/>
      <c r="BA88" s="822"/>
      <c r="BB88" s="822"/>
      <c r="BC88" s="822"/>
      <c r="BD88" s="822"/>
      <c r="BE88" s="822"/>
      <c r="BF88" s="822"/>
      <c r="BG88" s="822"/>
      <c r="BH88" s="822"/>
      <c r="BI88" s="822"/>
      <c r="BJ88" s="822"/>
      <c r="BK88" s="941"/>
      <c r="BL88" s="822"/>
      <c r="BM88" s="822"/>
      <c r="BN88" s="822"/>
      <c r="BO88" s="942"/>
      <c r="BP88" s="822"/>
      <c r="BQ88" s="822"/>
      <c r="BR88" s="822"/>
      <c r="BS88" s="822"/>
      <c r="BT88" s="822"/>
      <c r="BU88" s="822"/>
      <c r="BV88" s="822"/>
      <c r="BW88" s="822"/>
      <c r="BX88" s="822"/>
      <c r="BY88" s="822"/>
      <c r="BZ88" s="822"/>
      <c r="CA88" s="822"/>
      <c r="CB88" s="822"/>
      <c r="CC88" s="822"/>
      <c r="CD88" s="822"/>
      <c r="CE88" s="822"/>
      <c r="CF88" s="822"/>
      <c r="CG88" s="822"/>
      <c r="CH88" s="822"/>
      <c r="CI88" s="941"/>
      <c r="CJ88" s="822"/>
      <c r="CK88" s="822"/>
      <c r="CL88" s="822"/>
      <c r="CM88" s="822"/>
      <c r="CN88" s="822"/>
      <c r="CO88" s="822"/>
      <c r="CP88" s="822"/>
      <c r="CQ88" s="822"/>
      <c r="CR88" s="822"/>
      <c r="CS88" s="822"/>
      <c r="CT88" s="822"/>
      <c r="CU88" s="941"/>
      <c r="CV88" s="822"/>
      <c r="CW88" s="822"/>
      <c r="CX88" s="822"/>
    </row>
    <row r="89" spans="2:102" s="818" customFormat="1" ht="20.25" hidden="1" customHeight="1" outlineLevel="1">
      <c r="B89" s="938"/>
      <c r="D89" s="939"/>
      <c r="E89" s="939"/>
      <c r="F89" s="940"/>
      <c r="G89" s="819"/>
      <c r="H89" s="819"/>
      <c r="I89" s="819"/>
      <c r="J89" s="819"/>
      <c r="K89" s="822"/>
      <c r="L89" s="822"/>
      <c r="M89" s="822"/>
      <c r="N89" s="822"/>
      <c r="O89" s="822"/>
      <c r="P89" s="822"/>
      <c r="Q89" s="822"/>
      <c r="R89" s="822"/>
      <c r="S89" s="822"/>
      <c r="T89" s="822"/>
      <c r="U89" s="941"/>
      <c r="V89" s="941"/>
      <c r="W89" s="941"/>
      <c r="X89" s="941"/>
      <c r="Y89" s="941"/>
      <c r="Z89" s="941"/>
      <c r="AA89" s="941"/>
      <c r="AB89" s="941"/>
      <c r="AC89" s="941"/>
      <c r="AD89" s="941"/>
      <c r="AE89" s="942"/>
      <c r="AF89" s="822"/>
      <c r="AG89" s="822"/>
      <c r="AH89" s="822"/>
      <c r="AI89" s="822"/>
      <c r="AJ89" s="822"/>
      <c r="AK89" s="822"/>
      <c r="AL89" s="822"/>
      <c r="AM89" s="822"/>
      <c r="AN89" s="822"/>
      <c r="AO89" s="822"/>
      <c r="AP89" s="822"/>
      <c r="AQ89" s="822"/>
      <c r="AR89" s="822"/>
      <c r="AS89" s="822"/>
      <c r="AT89" s="822"/>
      <c r="AU89" s="822"/>
      <c r="AV89" s="822"/>
      <c r="AW89" s="822"/>
      <c r="AX89" s="822"/>
      <c r="AY89" s="941"/>
      <c r="AZ89" s="822"/>
      <c r="BA89" s="822"/>
      <c r="BB89" s="822"/>
      <c r="BC89" s="822"/>
      <c r="BD89" s="822"/>
      <c r="BE89" s="822"/>
      <c r="BF89" s="822"/>
      <c r="BG89" s="822"/>
      <c r="BH89" s="822"/>
      <c r="BI89" s="822"/>
      <c r="BJ89" s="822"/>
      <c r="BK89" s="941"/>
      <c r="BL89" s="822"/>
      <c r="BM89" s="822"/>
      <c r="BN89" s="822"/>
      <c r="BO89" s="942"/>
      <c r="BP89" s="822"/>
      <c r="BQ89" s="822"/>
      <c r="BR89" s="822"/>
      <c r="BS89" s="822"/>
      <c r="BT89" s="822"/>
      <c r="BU89" s="822"/>
      <c r="BV89" s="822"/>
      <c r="BW89" s="822"/>
      <c r="BX89" s="822"/>
      <c r="BY89" s="822"/>
      <c r="BZ89" s="822"/>
      <c r="CA89" s="822"/>
      <c r="CB89" s="822"/>
      <c r="CC89" s="822"/>
      <c r="CD89" s="822"/>
      <c r="CE89" s="822"/>
      <c r="CF89" s="822"/>
      <c r="CG89" s="822"/>
      <c r="CH89" s="822"/>
      <c r="CI89" s="941"/>
      <c r="CJ89" s="822"/>
      <c r="CK89" s="822"/>
      <c r="CL89" s="822"/>
      <c r="CM89" s="822"/>
      <c r="CN89" s="822"/>
      <c r="CO89" s="822"/>
      <c r="CP89" s="822"/>
      <c r="CQ89" s="822"/>
      <c r="CR89" s="822"/>
      <c r="CS89" s="822"/>
      <c r="CT89" s="822"/>
      <c r="CU89" s="941"/>
      <c r="CV89" s="822"/>
      <c r="CW89" s="822"/>
      <c r="CX89" s="822"/>
    </row>
    <row r="90" spans="2:102" s="818" customFormat="1" ht="20.25" hidden="1" customHeight="1" outlineLevel="1">
      <c r="B90" s="938"/>
      <c r="D90" s="939"/>
      <c r="E90" s="939"/>
      <c r="F90" s="940"/>
      <c r="G90" s="819"/>
      <c r="H90" s="819"/>
      <c r="I90" s="819"/>
      <c r="J90" s="819"/>
      <c r="K90" s="822"/>
      <c r="L90" s="822"/>
      <c r="M90" s="822"/>
      <c r="N90" s="822"/>
      <c r="O90" s="822"/>
      <c r="P90" s="822"/>
      <c r="Q90" s="822"/>
      <c r="R90" s="822"/>
      <c r="S90" s="822"/>
      <c r="T90" s="822"/>
      <c r="U90" s="941"/>
      <c r="V90" s="941"/>
      <c r="W90" s="941"/>
      <c r="X90" s="941"/>
      <c r="Y90" s="941"/>
      <c r="Z90" s="941"/>
      <c r="AA90" s="941"/>
      <c r="AB90" s="941"/>
      <c r="AC90" s="941"/>
      <c r="AD90" s="941"/>
      <c r="AE90" s="942"/>
      <c r="AF90" s="822"/>
      <c r="AG90" s="822"/>
      <c r="AH90" s="822"/>
      <c r="AI90" s="822"/>
      <c r="AJ90" s="822"/>
      <c r="AK90" s="822"/>
      <c r="AL90" s="822"/>
      <c r="AM90" s="822"/>
      <c r="AN90" s="822"/>
      <c r="AO90" s="822"/>
      <c r="AP90" s="822"/>
      <c r="AQ90" s="822"/>
      <c r="AR90" s="822"/>
      <c r="AS90" s="822"/>
      <c r="AT90" s="822"/>
      <c r="AU90" s="822"/>
      <c r="AV90" s="822"/>
      <c r="AW90" s="822"/>
      <c r="AX90" s="822"/>
      <c r="AY90" s="941"/>
      <c r="AZ90" s="822"/>
      <c r="BA90" s="822"/>
      <c r="BB90" s="822"/>
      <c r="BC90" s="822"/>
      <c r="BD90" s="822"/>
      <c r="BE90" s="822"/>
      <c r="BF90" s="822"/>
      <c r="BG90" s="822"/>
      <c r="BH90" s="822"/>
      <c r="BI90" s="822"/>
      <c r="BJ90" s="822"/>
      <c r="BK90" s="941"/>
      <c r="BL90" s="822"/>
      <c r="BM90" s="822"/>
      <c r="BN90" s="822"/>
      <c r="BO90" s="942"/>
      <c r="BP90" s="822"/>
      <c r="BQ90" s="822"/>
      <c r="BR90" s="822"/>
      <c r="BS90" s="822"/>
      <c r="BT90" s="822"/>
      <c r="BU90" s="822"/>
      <c r="BV90" s="822"/>
      <c r="BW90" s="822"/>
      <c r="BX90" s="822"/>
      <c r="BY90" s="822"/>
      <c r="BZ90" s="822"/>
      <c r="CA90" s="822"/>
      <c r="CB90" s="822"/>
      <c r="CC90" s="822"/>
      <c r="CD90" s="822"/>
      <c r="CE90" s="822"/>
      <c r="CF90" s="822"/>
      <c r="CG90" s="822"/>
      <c r="CH90" s="822"/>
      <c r="CI90" s="941"/>
      <c r="CJ90" s="822"/>
      <c r="CK90" s="822"/>
      <c r="CL90" s="822"/>
      <c r="CM90" s="822"/>
      <c r="CN90" s="822"/>
      <c r="CO90" s="822"/>
      <c r="CP90" s="822"/>
      <c r="CQ90" s="822"/>
      <c r="CR90" s="822"/>
      <c r="CS90" s="822"/>
      <c r="CT90" s="822"/>
      <c r="CU90" s="941"/>
      <c r="CV90" s="822"/>
      <c r="CW90" s="822"/>
      <c r="CX90" s="822"/>
    </row>
    <row r="91" spans="2:102" s="818" customFormat="1" ht="22.5" hidden="1" customHeight="1" outlineLevel="2">
      <c r="B91" s="938"/>
      <c r="D91" s="939"/>
      <c r="E91" s="939"/>
      <c r="F91" s="940"/>
      <c r="G91" s="819"/>
      <c r="H91" s="819"/>
      <c r="I91" s="819"/>
      <c r="J91" s="819"/>
      <c r="K91" s="822"/>
      <c r="L91" s="822"/>
      <c r="M91" s="822"/>
      <c r="N91" s="822"/>
      <c r="O91" s="822"/>
      <c r="P91" s="822"/>
      <c r="Q91" s="822"/>
      <c r="R91" s="822"/>
      <c r="S91" s="822"/>
      <c r="T91" s="822"/>
      <c r="U91" s="941"/>
      <c r="V91" s="941"/>
      <c r="W91" s="941"/>
      <c r="X91" s="941"/>
      <c r="Y91" s="941"/>
      <c r="Z91" s="941"/>
      <c r="AA91" s="941"/>
      <c r="AB91" s="941"/>
      <c r="AC91" s="941"/>
      <c r="AD91" s="941"/>
      <c r="AE91" s="942"/>
      <c r="AF91" s="822"/>
      <c r="AG91" s="822"/>
      <c r="AH91" s="822"/>
      <c r="AI91" s="822"/>
      <c r="AJ91" s="822"/>
      <c r="AK91" s="822"/>
      <c r="AL91" s="822"/>
      <c r="AM91" s="822"/>
      <c r="AN91" s="822"/>
      <c r="AO91" s="822"/>
      <c r="AP91" s="822"/>
      <c r="AQ91" s="822"/>
      <c r="AR91" s="822"/>
      <c r="AS91" s="822"/>
      <c r="AT91" s="822"/>
      <c r="AU91" s="822"/>
      <c r="AV91" s="822"/>
      <c r="AW91" s="822"/>
      <c r="AX91" s="822"/>
      <c r="AY91" s="941"/>
      <c r="AZ91" s="822"/>
      <c r="BA91" s="822"/>
      <c r="BB91" s="822"/>
      <c r="BC91" s="822"/>
      <c r="BD91" s="822"/>
      <c r="BE91" s="822"/>
      <c r="BF91" s="822"/>
      <c r="BG91" s="822"/>
      <c r="BH91" s="822"/>
      <c r="BI91" s="822"/>
      <c r="BJ91" s="822"/>
      <c r="BK91" s="941"/>
      <c r="BL91" s="822"/>
      <c r="BM91" s="822"/>
      <c r="BN91" s="822"/>
      <c r="BO91" s="942"/>
      <c r="BP91" s="822"/>
      <c r="BQ91" s="822"/>
      <c r="BR91" s="822"/>
      <c r="BS91" s="822"/>
      <c r="BT91" s="822"/>
      <c r="BU91" s="822"/>
      <c r="BV91" s="822"/>
      <c r="BW91" s="822"/>
      <c r="BX91" s="822"/>
      <c r="BY91" s="822"/>
      <c r="BZ91" s="822"/>
      <c r="CA91" s="822"/>
      <c r="CB91" s="822"/>
      <c r="CC91" s="822"/>
      <c r="CD91" s="822"/>
      <c r="CE91" s="822"/>
      <c r="CF91" s="822"/>
      <c r="CG91" s="822"/>
      <c r="CH91" s="822"/>
      <c r="CI91" s="941"/>
      <c r="CJ91" s="822"/>
      <c r="CK91" s="822"/>
      <c r="CL91" s="822"/>
      <c r="CM91" s="822"/>
      <c r="CN91" s="822"/>
      <c r="CO91" s="822"/>
      <c r="CP91" s="822"/>
      <c r="CQ91" s="822"/>
      <c r="CR91" s="822"/>
      <c r="CS91" s="822"/>
      <c r="CT91" s="822"/>
      <c r="CU91" s="941"/>
      <c r="CV91" s="822"/>
      <c r="CW91" s="822"/>
      <c r="CX91" s="822"/>
    </row>
    <row r="92" spans="2:102" s="818" customFormat="1" ht="20.25" hidden="1" customHeight="1" outlineLevel="1">
      <c r="B92" s="938"/>
      <c r="C92" s="931"/>
      <c r="D92" s="939"/>
      <c r="E92" s="939"/>
      <c r="F92" s="944"/>
      <c r="G92" s="819"/>
      <c r="H92" s="819"/>
      <c r="I92" s="819"/>
      <c r="J92" s="819"/>
      <c r="K92" s="822"/>
      <c r="L92" s="822"/>
      <c r="M92" s="822"/>
      <c r="N92" s="822"/>
      <c r="O92" s="822"/>
      <c r="P92" s="822"/>
      <c r="Q92" s="822"/>
      <c r="R92" s="822"/>
      <c r="S92" s="822"/>
      <c r="T92" s="822"/>
      <c r="U92" s="941"/>
      <c r="V92" s="941"/>
      <c r="W92" s="941"/>
      <c r="X92" s="941"/>
      <c r="Y92" s="941"/>
      <c r="Z92" s="941"/>
      <c r="AA92" s="941"/>
      <c r="AB92" s="941"/>
      <c r="AC92" s="941"/>
      <c r="AD92" s="941"/>
      <c r="AE92" s="942"/>
      <c r="AF92" s="941"/>
      <c r="AG92" s="941"/>
      <c r="AH92" s="941"/>
      <c r="AI92" s="941"/>
      <c r="AJ92" s="941"/>
      <c r="AK92" s="941"/>
      <c r="AL92" s="941"/>
      <c r="AM92" s="941"/>
      <c r="AN92" s="941"/>
      <c r="AO92" s="941"/>
      <c r="AP92" s="941"/>
      <c r="AQ92" s="941"/>
      <c r="AR92" s="941"/>
      <c r="AS92" s="941"/>
      <c r="AT92" s="941"/>
      <c r="AU92" s="941"/>
      <c r="AV92" s="941"/>
      <c r="AW92" s="941"/>
      <c r="AX92" s="941"/>
      <c r="AY92" s="941"/>
      <c r="AZ92" s="941"/>
      <c r="BA92" s="941"/>
      <c r="BB92" s="941"/>
      <c r="BC92" s="941"/>
      <c r="BD92" s="941"/>
      <c r="BE92" s="941"/>
      <c r="BF92" s="941"/>
      <c r="BG92" s="941"/>
      <c r="BH92" s="941"/>
      <c r="BI92" s="941"/>
      <c r="BJ92" s="941"/>
      <c r="BK92" s="941"/>
      <c r="BL92" s="941"/>
      <c r="BM92" s="941"/>
      <c r="BN92" s="941"/>
      <c r="BO92" s="942"/>
      <c r="BP92" s="941"/>
      <c r="BQ92" s="941"/>
      <c r="BR92" s="941"/>
      <c r="BS92" s="941"/>
      <c r="BT92" s="941"/>
      <c r="BU92" s="941"/>
      <c r="BV92" s="941"/>
      <c r="BW92" s="941"/>
      <c r="BX92" s="941"/>
      <c r="BY92" s="941"/>
      <c r="BZ92" s="941"/>
      <c r="CA92" s="941"/>
      <c r="CB92" s="941"/>
      <c r="CC92" s="941"/>
      <c r="CD92" s="941"/>
      <c r="CE92" s="941"/>
      <c r="CF92" s="941"/>
      <c r="CG92" s="941"/>
      <c r="CH92" s="941"/>
      <c r="CI92" s="941"/>
      <c r="CJ92" s="941"/>
      <c r="CK92" s="941"/>
      <c r="CL92" s="941"/>
      <c r="CM92" s="941"/>
      <c r="CN92" s="941"/>
      <c r="CO92" s="941"/>
      <c r="CP92" s="941"/>
      <c r="CQ92" s="941"/>
      <c r="CR92" s="941"/>
      <c r="CS92" s="941"/>
      <c r="CT92" s="941"/>
      <c r="CU92" s="941"/>
      <c r="CV92" s="941"/>
      <c r="CW92" s="941"/>
      <c r="CX92" s="941"/>
    </row>
    <row r="93" spans="2:102" s="818" customFormat="1" ht="20.25" hidden="1" customHeight="1" outlineLevel="1">
      <c r="B93" s="938"/>
      <c r="C93" s="945" t="s">
        <v>1248</v>
      </c>
      <c r="D93" s="939"/>
      <c r="E93" s="939"/>
      <c r="F93" s="940" t="s">
        <v>1249</v>
      </c>
      <c r="G93" s="819"/>
      <c r="H93" s="819"/>
      <c r="I93" s="819"/>
      <c r="J93" s="819"/>
      <c r="K93" s="822"/>
      <c r="L93" s="822"/>
      <c r="M93" s="822"/>
      <c r="N93" s="822"/>
      <c r="O93" s="822"/>
      <c r="P93" s="822"/>
      <c r="Q93" s="822"/>
      <c r="R93" s="822"/>
      <c r="S93" s="822"/>
      <c r="T93" s="822"/>
      <c r="U93" s="941"/>
      <c r="V93" s="941"/>
      <c r="W93" s="941"/>
      <c r="X93" s="941"/>
      <c r="Y93" s="941"/>
      <c r="Z93" s="941"/>
      <c r="AA93" s="941"/>
      <c r="AB93" s="941"/>
      <c r="AC93" s="941"/>
      <c r="AD93" s="941"/>
      <c r="AE93" s="942"/>
      <c r="AF93" s="822"/>
      <c r="AG93" s="822"/>
      <c r="AH93" s="822"/>
      <c r="AI93" s="822"/>
      <c r="AJ93" s="822"/>
      <c r="AK93" s="822"/>
      <c r="AL93" s="822"/>
      <c r="AM93" s="822"/>
      <c r="AN93" s="822"/>
      <c r="AO93" s="822"/>
      <c r="AP93" s="822"/>
      <c r="AQ93" s="822"/>
      <c r="AR93" s="822"/>
      <c r="AS93" s="822"/>
      <c r="AT93" s="822"/>
      <c r="AU93" s="822"/>
      <c r="AV93" s="822"/>
      <c r="AW93" s="822"/>
      <c r="AX93" s="822"/>
      <c r="AY93" s="941"/>
      <c r="AZ93" s="822"/>
      <c r="BA93" s="822"/>
      <c r="BB93" s="822"/>
      <c r="BC93" s="822"/>
      <c r="BD93" s="822"/>
      <c r="BE93" s="822"/>
      <c r="BF93" s="822"/>
      <c r="BG93" s="822"/>
      <c r="BH93" s="822"/>
      <c r="BI93" s="822"/>
      <c r="BJ93" s="822"/>
      <c r="BK93" s="941"/>
      <c r="BL93" s="822"/>
      <c r="BM93" s="822"/>
      <c r="BN93" s="822"/>
      <c r="BO93" s="942"/>
      <c r="BP93" s="822"/>
      <c r="BQ93" s="822"/>
      <c r="BR93" s="822"/>
      <c r="BS93" s="822"/>
      <c r="BT93" s="822"/>
      <c r="BU93" s="822"/>
      <c r="BV93" s="822"/>
      <c r="BW93" s="822"/>
      <c r="BX93" s="822"/>
      <c r="BY93" s="822"/>
      <c r="BZ93" s="822"/>
      <c r="CA93" s="822"/>
      <c r="CB93" s="822"/>
      <c r="CC93" s="822"/>
      <c r="CD93" s="822"/>
      <c r="CE93" s="822"/>
      <c r="CF93" s="822"/>
      <c r="CG93" s="822"/>
      <c r="CH93" s="822"/>
      <c r="CI93" s="941"/>
      <c r="CJ93" s="822"/>
      <c r="CK93" s="822"/>
      <c r="CL93" s="822"/>
      <c r="CM93" s="822"/>
      <c r="CN93" s="822"/>
      <c r="CO93" s="822"/>
      <c r="CP93" s="822"/>
      <c r="CQ93" s="822"/>
      <c r="CR93" s="822"/>
      <c r="CS93" s="822"/>
      <c r="CT93" s="822"/>
      <c r="CU93" s="941"/>
      <c r="CV93" s="822"/>
      <c r="CW93" s="822"/>
      <c r="CX93" s="822"/>
    </row>
    <row r="94" spans="2:102" s="817" customFormat="1" collapsed="1">
      <c r="B94" s="816"/>
      <c r="E94" s="818"/>
      <c r="F94" s="818"/>
      <c r="G94" s="819"/>
      <c r="H94" s="820"/>
      <c r="I94" s="820"/>
      <c r="J94" s="820"/>
      <c r="K94" s="821"/>
      <c r="L94" s="821"/>
      <c r="M94" s="821"/>
      <c r="N94" s="821"/>
      <c r="O94" s="821"/>
      <c r="P94" s="821"/>
      <c r="Q94" s="821"/>
      <c r="R94" s="821"/>
      <c r="S94" s="821"/>
      <c r="T94" s="821"/>
      <c r="U94" s="822"/>
      <c r="V94" s="821"/>
      <c r="W94" s="821"/>
      <c r="X94" s="821"/>
      <c r="Y94" s="821"/>
      <c r="Z94" s="821"/>
      <c r="AA94" s="821"/>
      <c r="AB94" s="821"/>
      <c r="AC94" s="821"/>
      <c r="AD94" s="821"/>
      <c r="AE94" s="829"/>
      <c r="AF94" s="822"/>
      <c r="AG94" s="821"/>
      <c r="AH94" s="821"/>
      <c r="AI94" s="821"/>
      <c r="AJ94" s="821"/>
      <c r="AK94" s="821"/>
      <c r="AL94" s="821"/>
      <c r="AM94" s="821"/>
      <c r="AN94" s="821"/>
      <c r="AO94" s="821"/>
      <c r="AP94" s="821"/>
      <c r="AQ94" s="821"/>
      <c r="AR94" s="821"/>
      <c r="AS94" s="821"/>
      <c r="AT94" s="821"/>
      <c r="AU94" s="821"/>
      <c r="AV94" s="821"/>
      <c r="AW94" s="821"/>
      <c r="AX94" s="821"/>
      <c r="AY94" s="821"/>
      <c r="AZ94" s="821"/>
      <c r="BA94" s="821"/>
      <c r="BB94" s="821"/>
      <c r="BC94" s="821"/>
      <c r="BD94" s="821"/>
      <c r="BE94" s="821"/>
      <c r="BF94" s="821"/>
      <c r="BG94" s="821"/>
      <c r="BH94" s="821"/>
      <c r="BI94" s="821"/>
      <c r="BJ94" s="821"/>
      <c r="BK94" s="821"/>
      <c r="BL94" s="821"/>
      <c r="BM94" s="821"/>
      <c r="BN94" s="821"/>
      <c r="BO94" s="829"/>
      <c r="BP94" s="822"/>
      <c r="BQ94" s="821"/>
      <c r="BR94" s="821"/>
      <c r="BS94" s="821"/>
      <c r="BT94" s="821"/>
      <c r="BU94" s="821"/>
      <c r="BV94" s="821"/>
      <c r="BW94" s="821"/>
      <c r="BX94" s="821"/>
      <c r="BY94" s="821"/>
      <c r="BZ94" s="821"/>
      <c r="CA94" s="821"/>
      <c r="CB94" s="821"/>
      <c r="CC94" s="821"/>
      <c r="CD94" s="821"/>
      <c r="CE94" s="821"/>
      <c r="CF94" s="821"/>
      <c r="CG94" s="821"/>
      <c r="CH94" s="821"/>
      <c r="CI94" s="821"/>
      <c r="CJ94" s="821"/>
      <c r="CK94" s="821"/>
      <c r="CL94" s="821"/>
      <c r="CM94" s="821"/>
      <c r="CN94" s="821"/>
      <c r="CO94" s="821"/>
      <c r="CP94" s="821"/>
      <c r="CQ94" s="821"/>
      <c r="CR94" s="821"/>
      <c r="CS94" s="821"/>
      <c r="CT94" s="821"/>
      <c r="CU94" s="821"/>
      <c r="CV94" s="821"/>
      <c r="CW94" s="821"/>
      <c r="CX94" s="821"/>
    </row>
    <row r="95" spans="2:102" s="817" customFormat="1">
      <c r="B95" s="816"/>
      <c r="C95" s="817" t="s">
        <v>1250</v>
      </c>
      <c r="E95" s="818"/>
      <c r="F95" s="940"/>
      <c r="G95" s="819"/>
      <c r="H95" s="820"/>
      <c r="I95" s="820"/>
      <c r="J95" s="820"/>
      <c r="K95" s="821"/>
      <c r="L95" s="821"/>
      <c r="M95" s="821"/>
      <c r="N95" s="821"/>
      <c r="O95" s="821"/>
      <c r="P95" s="821"/>
      <c r="Q95" s="821"/>
      <c r="S95" s="821"/>
      <c r="T95" s="821"/>
      <c r="U95" s="822"/>
      <c r="V95" s="821"/>
      <c r="W95" s="821"/>
      <c r="X95" s="821"/>
      <c r="Y95" s="821"/>
      <c r="Z95" s="821"/>
      <c r="AA95" s="821"/>
      <c r="AB95" s="821"/>
      <c r="AC95" s="821"/>
      <c r="AD95" s="821"/>
      <c r="AE95" s="829"/>
      <c r="AF95" s="822"/>
      <c r="AG95" s="821"/>
      <c r="AH95" s="821"/>
      <c r="AI95" s="821"/>
      <c r="AJ95" s="821"/>
      <c r="AK95" s="821"/>
      <c r="AL95" s="821"/>
      <c r="AM95" s="821"/>
      <c r="AN95" s="821"/>
      <c r="AO95" s="821"/>
      <c r="AP95" s="821"/>
      <c r="AQ95" s="821"/>
      <c r="AR95" s="821"/>
      <c r="AS95" s="821"/>
      <c r="AT95" s="821"/>
      <c r="AU95" s="821"/>
      <c r="AV95" s="821"/>
      <c r="AW95" s="821"/>
      <c r="AX95" s="821"/>
      <c r="AY95" s="821"/>
      <c r="AZ95" s="821"/>
      <c r="BA95" s="821"/>
      <c r="BB95" s="985"/>
      <c r="BC95" s="821"/>
      <c r="BD95" s="821"/>
      <c r="BE95" s="821"/>
      <c r="BF95" s="821"/>
      <c r="BG95" s="821"/>
      <c r="BH95" s="821"/>
      <c r="BI95" s="821"/>
      <c r="BJ95" s="821"/>
      <c r="BK95" s="821"/>
      <c r="BL95" s="821"/>
      <c r="BM95" s="821"/>
      <c r="BN95" s="821"/>
      <c r="BO95" s="829"/>
      <c r="BP95" s="822"/>
      <c r="BQ95" s="821"/>
      <c r="BR95" s="821"/>
      <c r="BS95" s="821"/>
      <c r="BT95" s="821"/>
      <c r="BU95" s="821"/>
      <c r="BV95" s="821"/>
      <c r="BW95" s="821"/>
      <c r="BX95" s="821"/>
      <c r="BY95" s="821"/>
      <c r="BZ95" s="821"/>
      <c r="CA95" s="821"/>
      <c r="CB95" s="821"/>
      <c r="CC95" s="821"/>
      <c r="CD95" s="821"/>
      <c r="CE95" s="821"/>
      <c r="CF95" s="821"/>
      <c r="CG95" s="821"/>
      <c r="CH95" s="821"/>
      <c r="CI95" s="821"/>
      <c r="CJ95" s="821"/>
      <c r="CK95" s="821"/>
      <c r="CL95" s="985"/>
      <c r="CM95" s="821"/>
      <c r="CN95" s="821"/>
      <c r="CO95" s="821"/>
      <c r="CP95" s="821"/>
      <c r="CQ95" s="821"/>
      <c r="CR95" s="821"/>
      <c r="CS95" s="821"/>
      <c r="CT95" s="821"/>
      <c r="CU95" s="821"/>
      <c r="CV95" s="821"/>
      <c r="CW95" s="821"/>
      <c r="CX95" s="985"/>
    </row>
    <row r="96" spans="2:102" s="817" customFormat="1">
      <c r="B96" s="816"/>
      <c r="E96" s="818"/>
      <c r="F96" s="818"/>
      <c r="G96" s="819"/>
      <c r="H96" s="820"/>
      <c r="I96" s="820"/>
      <c r="J96" s="820"/>
      <c r="K96" s="821"/>
      <c r="L96" s="821"/>
      <c r="M96" s="821"/>
      <c r="N96" s="821"/>
      <c r="O96" s="821"/>
      <c r="P96" s="821"/>
      <c r="Q96" s="821"/>
      <c r="R96" s="821"/>
      <c r="S96" s="821"/>
      <c r="T96" s="821"/>
      <c r="U96" s="822"/>
      <c r="V96" s="821"/>
      <c r="W96" s="821"/>
      <c r="X96" s="821"/>
      <c r="Y96" s="821"/>
      <c r="Z96" s="821"/>
      <c r="AA96" s="821"/>
      <c r="AB96" s="821"/>
      <c r="AC96" s="821"/>
      <c r="AD96" s="821"/>
      <c r="AE96" s="829"/>
      <c r="AF96" s="822"/>
      <c r="AG96" s="821"/>
      <c r="AH96" s="821"/>
      <c r="AI96" s="821"/>
      <c r="AJ96" s="821"/>
      <c r="AK96" s="821"/>
      <c r="AL96" s="821"/>
      <c r="AM96" s="821"/>
      <c r="AN96" s="821"/>
      <c r="AO96" s="821"/>
      <c r="AP96" s="821"/>
      <c r="AQ96" s="821"/>
      <c r="AR96" s="821"/>
      <c r="AS96" s="821"/>
      <c r="AT96" s="821"/>
      <c r="AU96" s="821"/>
      <c r="AV96" s="821"/>
      <c r="AW96" s="821"/>
      <c r="AX96" s="821"/>
      <c r="AY96" s="821"/>
      <c r="AZ96" s="821"/>
      <c r="BA96" s="821"/>
      <c r="BB96" s="821"/>
      <c r="BC96" s="821"/>
      <c r="BD96" s="821"/>
      <c r="BE96" s="821"/>
      <c r="BF96" s="821"/>
      <c r="BG96" s="821"/>
      <c r="BH96" s="821"/>
      <c r="BI96" s="821"/>
      <c r="BJ96" s="821"/>
      <c r="BK96" s="821"/>
      <c r="BL96" s="821"/>
      <c r="BM96" s="821"/>
      <c r="BN96" s="821"/>
      <c r="BO96" s="829"/>
      <c r="BP96" s="822"/>
      <c r="BQ96" s="821"/>
      <c r="BR96" s="821"/>
      <c r="BS96" s="821"/>
      <c r="BT96" s="821"/>
      <c r="BU96" s="821"/>
      <c r="BV96" s="821"/>
      <c r="BW96" s="821"/>
      <c r="BX96" s="821"/>
      <c r="BY96" s="821"/>
      <c r="BZ96" s="821"/>
      <c r="CA96" s="821"/>
      <c r="CB96" s="821"/>
      <c r="CC96" s="821"/>
      <c r="CD96" s="821"/>
      <c r="CE96" s="821"/>
      <c r="CF96" s="821"/>
      <c r="CG96" s="821"/>
      <c r="CH96" s="821"/>
      <c r="CI96" s="821"/>
      <c r="CJ96" s="821"/>
      <c r="CK96" s="821"/>
      <c r="CL96" s="821"/>
      <c r="CM96" s="821"/>
      <c r="CN96" s="821"/>
      <c r="CO96" s="821"/>
      <c r="CP96" s="821"/>
      <c r="CQ96" s="821"/>
      <c r="CR96" s="821"/>
      <c r="CS96" s="821"/>
      <c r="CT96" s="821"/>
      <c r="CU96" s="821"/>
      <c r="CV96" s="821"/>
      <c r="CW96" s="821"/>
      <c r="CX96" s="821"/>
    </row>
    <row r="97" spans="2:102" s="817" customFormat="1" ht="21" thickBot="1">
      <c r="B97" s="816"/>
      <c r="E97" s="946"/>
      <c r="F97" s="946"/>
      <c r="G97" s="819"/>
      <c r="H97" s="820"/>
      <c r="I97" s="820"/>
      <c r="J97" s="820"/>
      <c r="K97" s="821"/>
      <c r="L97" s="821"/>
      <c r="M97" s="821"/>
      <c r="N97" s="821"/>
      <c r="O97" s="821"/>
      <c r="P97" s="821"/>
      <c r="Q97" s="821"/>
      <c r="R97" s="821"/>
      <c r="S97" s="821"/>
      <c r="T97" s="821"/>
      <c r="U97" s="822"/>
      <c r="V97" s="821"/>
      <c r="W97" s="821"/>
      <c r="X97" s="821"/>
      <c r="Y97" s="821"/>
      <c r="Z97" s="821"/>
      <c r="AA97" s="821"/>
      <c r="AB97" s="821"/>
      <c r="AC97" s="821"/>
      <c r="AD97" s="821"/>
      <c r="AE97" s="829"/>
      <c r="AF97" s="822"/>
      <c r="AG97" s="821"/>
      <c r="AH97" s="821"/>
      <c r="AI97" s="821"/>
      <c r="AJ97" s="821"/>
      <c r="AK97" s="821"/>
      <c r="AL97" s="821"/>
      <c r="AM97" s="821"/>
      <c r="AN97" s="821"/>
      <c r="AO97" s="821"/>
      <c r="AP97" s="821"/>
      <c r="AQ97" s="818"/>
      <c r="AR97" s="818"/>
      <c r="AS97" s="818"/>
      <c r="AT97" s="818"/>
      <c r="AU97" s="818"/>
      <c r="AV97" s="818"/>
      <c r="AW97" s="818"/>
      <c r="AX97" s="818"/>
      <c r="AY97" s="818"/>
      <c r="AZ97" s="818"/>
      <c r="BA97" s="818"/>
      <c r="BB97" s="818"/>
      <c r="BC97" s="818"/>
      <c r="BD97" s="818"/>
      <c r="BE97" s="818"/>
      <c r="BF97" s="818"/>
      <c r="BG97" s="818"/>
      <c r="BH97" s="818"/>
      <c r="BI97" s="818"/>
      <c r="BJ97" s="818"/>
      <c r="BK97" s="818"/>
      <c r="BL97" s="818"/>
      <c r="BM97" s="818"/>
      <c r="BN97" s="818"/>
      <c r="BO97" s="829"/>
      <c r="BP97" s="822"/>
      <c r="BQ97" s="821"/>
      <c r="BR97" s="821"/>
      <c r="BS97" s="821"/>
      <c r="BT97" s="821"/>
      <c r="BU97" s="821"/>
      <c r="BV97" s="821"/>
      <c r="BW97" s="821"/>
      <c r="BX97" s="821"/>
      <c r="BY97" s="821"/>
      <c r="BZ97" s="821"/>
      <c r="CA97" s="818"/>
      <c r="CB97" s="818"/>
      <c r="CC97" s="818"/>
      <c r="CD97" s="818"/>
      <c r="CE97" s="818"/>
      <c r="CF97" s="818"/>
      <c r="CG97" s="818"/>
      <c r="CH97" s="818"/>
      <c r="CI97" s="818"/>
      <c r="CJ97" s="818"/>
      <c r="CK97" s="821"/>
      <c r="CL97" s="818"/>
      <c r="CM97" s="818"/>
      <c r="CN97" s="818"/>
      <c r="CO97" s="818"/>
      <c r="CP97" s="818"/>
      <c r="CQ97" s="818"/>
      <c r="CR97" s="818"/>
      <c r="CS97" s="818"/>
      <c r="CT97" s="818"/>
      <c r="CU97" s="818"/>
      <c r="CV97" s="818"/>
      <c r="CW97" s="821"/>
      <c r="CX97" s="818"/>
    </row>
    <row r="98" spans="2:102" s="817" customFormat="1" ht="174.75" customHeight="1" thickTop="1" thickBot="1">
      <c r="B98" s="816"/>
      <c r="C98" s="947" t="s">
        <v>1252</v>
      </c>
      <c r="E98" s="946"/>
      <c r="F98" s="946"/>
      <c r="G98" s="948">
        <f>31.16339*30.05+730.27517*11.94+5316.20083*4.6+54.8864*30.05+28.7468*30.05</f>
        <v>36623.646877300002</v>
      </c>
      <c r="H98" s="986"/>
      <c r="I98" s="986"/>
      <c r="J98" s="986"/>
      <c r="K98" s="986"/>
      <c r="L98" s="986"/>
      <c r="M98" s="986"/>
      <c r="N98" s="986"/>
      <c r="O98" s="986"/>
      <c r="P98" s="986"/>
      <c r="Q98" s="986"/>
      <c r="R98" s="3575" t="s">
        <v>14840</v>
      </c>
      <c r="S98" s="3576"/>
      <c r="T98" s="1618"/>
      <c r="U98" s="948">
        <f>(16064.17*29.52+60701.59*11.76+1397273.92*4.57+20590.41*29.52+11352.2*29.52)/1000</f>
        <v>8516.5526583999999</v>
      </c>
      <c r="V98" s="828"/>
      <c r="W98" s="828"/>
      <c r="X98" s="828"/>
      <c r="Y98" s="828"/>
      <c r="Z98" s="950"/>
      <c r="AA98" s="3574" t="s">
        <v>1082</v>
      </c>
      <c r="AB98" s="3575"/>
      <c r="AC98" s="3576"/>
      <c r="AD98" s="1618"/>
      <c r="AE98" s="948"/>
      <c r="AF98" s="3577" t="s">
        <v>1254</v>
      </c>
      <c r="AG98" s="951"/>
      <c r="AH98" s="951"/>
      <c r="AI98" s="952"/>
      <c r="AJ98" s="951"/>
      <c r="AK98" s="951"/>
      <c r="AL98" s="951"/>
      <c r="AM98" s="953">
        <f>(139.43696+9.90146+6.03099)*9.26</f>
        <v>1438.7207365999998</v>
      </c>
      <c r="AN98" s="953">
        <f>3.94577*24.24+29.69871*10.53+93.63136*7.06+5.85439*24.24+3.20522*24.239</f>
        <v>1289.01202388</v>
      </c>
      <c r="AO98" s="953"/>
      <c r="AP98" s="3577" t="s">
        <v>1255</v>
      </c>
      <c r="AQ98" s="3574"/>
      <c r="AR98" s="3575"/>
      <c r="AS98" s="3575"/>
      <c r="AT98" s="3575"/>
      <c r="AU98" s="3575"/>
      <c r="AV98" s="3575"/>
      <c r="AW98" s="3575"/>
      <c r="AX98" s="3575"/>
      <c r="AY98" s="3575"/>
      <c r="AZ98" s="3575"/>
      <c r="BA98" s="3575"/>
      <c r="BB98" s="818"/>
      <c r="BC98" s="948"/>
      <c r="BD98" s="3577" t="s">
        <v>1254</v>
      </c>
      <c r="BE98" s="951"/>
      <c r="BF98" s="951"/>
      <c r="BG98" s="952"/>
      <c r="BH98" s="951"/>
      <c r="BI98" s="951"/>
      <c r="BJ98" s="951"/>
      <c r="BK98" s="953">
        <f>(139.43696+9.90146+6.03099)*9.26</f>
        <v>1438.7207365999998</v>
      </c>
      <c r="BL98" s="953">
        <f>3.94577*24.24+29.69871*10.53+93.63136*7.06+5.85439*24.24+3.20522*24.239</f>
        <v>1289.01202388</v>
      </c>
      <c r="BM98" s="3574" t="s">
        <v>1272</v>
      </c>
      <c r="BN98" s="3575"/>
      <c r="BO98" s="948">
        <f>1.33603*29.52+3.23838*11.76+46.95973*4.57+1.70894*29.52+0.97806*29.51929</f>
        <v>371.44846607740004</v>
      </c>
      <c r="BP98" s="3577" t="s">
        <v>1254</v>
      </c>
      <c r="BQ98" s="951"/>
      <c r="BR98" s="951"/>
      <c r="BS98" s="952"/>
      <c r="BT98" s="951"/>
      <c r="BU98" s="951"/>
      <c r="BV98" s="951"/>
      <c r="BW98" s="953">
        <f>(139.43696+9.90146+6.03099)*9.26</f>
        <v>1438.7207365999998</v>
      </c>
      <c r="BX98" s="953">
        <f>3.94577*24.24+29.69871*10.53+93.63136*7.06+5.85439*24.24+3.20522*24.239</f>
        <v>1289.01202388</v>
      </c>
      <c r="BY98" s="953"/>
      <c r="BZ98" s="3577" t="s">
        <v>1255</v>
      </c>
      <c r="CA98" s="948"/>
      <c r="CB98" s="3577" t="s">
        <v>1254</v>
      </c>
      <c r="CC98" s="951"/>
      <c r="CD98" s="951"/>
      <c r="CE98" s="952"/>
      <c r="CF98" s="951"/>
      <c r="CG98" s="951"/>
      <c r="CH98" s="951"/>
      <c r="CI98" s="953">
        <f>(139.43696+9.90146+6.03099)*9.26</f>
        <v>1438.7207365999998</v>
      </c>
      <c r="CJ98" s="953">
        <f>3.94577*24.24+29.69871*10.53+93.63136*7.06+5.85439*24.24+3.20522*24.239</f>
        <v>1289.01202388</v>
      </c>
      <c r="CK98" s="3574"/>
      <c r="CL98" s="3575"/>
      <c r="CM98" s="948"/>
      <c r="CN98" s="3577" t="s">
        <v>1254</v>
      </c>
      <c r="CO98" s="951"/>
      <c r="CP98" s="951"/>
      <c r="CQ98" s="952"/>
      <c r="CR98" s="951"/>
      <c r="CS98" s="951"/>
      <c r="CT98" s="951"/>
      <c r="CU98" s="953">
        <f>(139.43696+9.90146+6.03099)*9.26</f>
        <v>1438.7207365999998</v>
      </c>
      <c r="CV98" s="953">
        <f>3.94577*24.24+29.69871*10.53+93.63136*7.06+5.85439*24.24+3.20522*24.239</f>
        <v>1289.01202388</v>
      </c>
      <c r="CW98" s="3574"/>
      <c r="CX98" s="3575"/>
    </row>
    <row r="99" spans="2:102" s="817" customFormat="1" ht="70.5" customHeight="1" thickTop="1" thickBot="1">
      <c r="B99" s="816"/>
      <c r="C99" s="817" t="s">
        <v>1257</v>
      </c>
      <c r="E99" s="946"/>
      <c r="F99" s="946"/>
      <c r="G99" s="953"/>
      <c r="H99" s="820"/>
      <c r="I99" s="820"/>
      <c r="J99" s="820"/>
      <c r="K99" s="820"/>
      <c r="L99" s="955"/>
      <c r="M99" s="819"/>
      <c r="N99" s="953"/>
      <c r="O99" s="1614"/>
      <c r="P99" s="3574"/>
      <c r="Q99" s="3575"/>
      <c r="R99" s="1615"/>
      <c r="S99" s="1615"/>
      <c r="T99" s="1615"/>
      <c r="U99" s="948"/>
      <c r="V99" s="828"/>
      <c r="W99" s="828"/>
      <c r="X99" s="828"/>
      <c r="Y99" s="828"/>
      <c r="Z99" s="950"/>
      <c r="AA99" s="828"/>
      <c r="AB99" s="3574"/>
      <c r="AC99" s="3575"/>
      <c r="AD99" s="1615"/>
      <c r="AE99" s="960"/>
      <c r="AF99" s="3577"/>
      <c r="AG99" s="961"/>
      <c r="AH99" s="961"/>
      <c r="AI99" s="961"/>
      <c r="AJ99" s="951"/>
      <c r="AK99" s="951"/>
      <c r="AL99" s="951"/>
      <c r="AM99" s="962"/>
      <c r="AN99" s="963"/>
      <c r="AO99" s="963"/>
      <c r="AP99" s="3577"/>
      <c r="AQ99" s="3574"/>
      <c r="AR99" s="3575"/>
      <c r="AS99" s="3575"/>
      <c r="AT99" s="3575"/>
      <c r="AU99" s="3575"/>
      <c r="AV99" s="3575"/>
      <c r="AW99" s="3575"/>
      <c r="AX99" s="3575"/>
      <c r="AY99" s="3575"/>
      <c r="AZ99" s="3575"/>
      <c r="BA99" s="3575"/>
      <c r="BB99" s="818"/>
      <c r="BC99" s="960"/>
      <c r="BD99" s="3577"/>
      <c r="BE99" s="961"/>
      <c r="BF99" s="961"/>
      <c r="BG99" s="961"/>
      <c r="BH99" s="951"/>
      <c r="BI99" s="951"/>
      <c r="BJ99" s="951"/>
      <c r="BK99" s="962"/>
      <c r="BL99" s="963"/>
      <c r="BM99" s="821"/>
      <c r="BN99" s="986"/>
      <c r="BO99" s="960"/>
      <c r="BP99" s="3577"/>
      <c r="BQ99" s="961"/>
      <c r="BR99" s="961"/>
      <c r="BS99" s="961"/>
      <c r="BT99" s="951"/>
      <c r="BU99" s="951"/>
      <c r="BV99" s="951"/>
      <c r="BW99" s="962"/>
      <c r="BX99" s="963"/>
      <c r="BY99" s="963"/>
      <c r="BZ99" s="3577"/>
      <c r="CA99" s="960"/>
      <c r="CB99" s="3577"/>
      <c r="CC99" s="961"/>
      <c r="CD99" s="961"/>
      <c r="CE99" s="961"/>
      <c r="CF99" s="951"/>
      <c r="CG99" s="951"/>
      <c r="CH99" s="951"/>
      <c r="CI99" s="962"/>
      <c r="CJ99" s="963"/>
      <c r="CK99" s="821"/>
      <c r="CL99" s="986"/>
      <c r="CM99" s="960"/>
      <c r="CN99" s="3577"/>
      <c r="CO99" s="961"/>
      <c r="CP99" s="961"/>
      <c r="CQ99" s="961"/>
      <c r="CR99" s="951"/>
      <c r="CS99" s="951"/>
      <c r="CT99" s="951"/>
      <c r="CU99" s="962"/>
      <c r="CV99" s="963"/>
      <c r="CW99" s="3574"/>
      <c r="CX99" s="3575"/>
    </row>
    <row r="100" spans="2:102" s="817" customFormat="1" ht="75.75" customHeight="1" thickTop="1" thickBot="1">
      <c r="B100" s="816"/>
      <c r="E100" s="946"/>
      <c r="F100" s="946"/>
      <c r="G100" s="964">
        <f>G98+G99</f>
        <v>36623.646877300002</v>
      </c>
      <c r="H100" s="820"/>
      <c r="I100" s="820"/>
      <c r="J100" s="820"/>
      <c r="K100" s="821"/>
      <c r="L100" s="821"/>
      <c r="M100" s="819"/>
      <c r="N100" s="965">
        <f>SUM(N98:N99)</f>
        <v>0</v>
      </c>
      <c r="O100" s="966" t="s">
        <v>16</v>
      </c>
      <c r="P100" s="3574"/>
      <c r="Q100" s="3575"/>
      <c r="R100" s="1615"/>
      <c r="S100" s="1615"/>
      <c r="T100" s="1615"/>
      <c r="U100" s="964">
        <f>U98+U99</f>
        <v>8516.5526583999999</v>
      </c>
      <c r="V100" s="951"/>
      <c r="W100" s="951"/>
      <c r="X100" s="951"/>
      <c r="Y100" s="951"/>
      <c r="Z100" s="941"/>
      <c r="AA100" s="951"/>
      <c r="AB100" s="828"/>
      <c r="AC100" s="941"/>
      <c r="AD100" s="941"/>
      <c r="AE100" s="964">
        <f>SUM(AE98:AE99)</f>
        <v>0</v>
      </c>
      <c r="AF100" s="3577"/>
      <c r="AG100" s="967"/>
      <c r="AH100" s="967"/>
      <c r="AI100" s="967"/>
      <c r="AJ100" s="967"/>
      <c r="AK100" s="967"/>
      <c r="AL100" s="967"/>
      <c r="AM100" s="968">
        <f>SUM(AM98:AM99)</f>
        <v>1438.7207365999998</v>
      </c>
      <c r="AN100" s="968">
        <f>SUM(AN98:AN99)</f>
        <v>1289.01202388</v>
      </c>
      <c r="AO100" s="968">
        <f>SUM(AO98:AO99)</f>
        <v>0</v>
      </c>
      <c r="AP100" s="3577"/>
      <c r="AQ100" s="818"/>
      <c r="AR100" s="818"/>
      <c r="AS100" s="818"/>
      <c r="AT100" s="818"/>
      <c r="AU100" s="818"/>
      <c r="AV100" s="818"/>
      <c r="AW100" s="818"/>
      <c r="AX100" s="818"/>
      <c r="AY100" s="818"/>
      <c r="AZ100" s="818"/>
      <c r="BA100" s="818"/>
      <c r="BB100" s="818"/>
      <c r="BC100" s="964">
        <f>SUM(BC98:BC99)</f>
        <v>0</v>
      </c>
      <c r="BD100" s="3577"/>
      <c r="BE100" s="967"/>
      <c r="BF100" s="967"/>
      <c r="BG100" s="967"/>
      <c r="BH100" s="967"/>
      <c r="BI100" s="967"/>
      <c r="BJ100" s="967"/>
      <c r="BK100" s="968">
        <f>SUM(BK98:BK99)</f>
        <v>1438.7207365999998</v>
      </c>
      <c r="BL100" s="968">
        <f>SUM(BL98:BL99)</f>
        <v>1289.01202388</v>
      </c>
      <c r="BM100" s="821"/>
      <c r="BN100" s="987"/>
      <c r="BO100" s="964">
        <f>SUM(BO98:BO99)</f>
        <v>371.44846607740004</v>
      </c>
      <c r="BP100" s="3577"/>
      <c r="BQ100" s="967"/>
      <c r="BR100" s="967"/>
      <c r="BS100" s="967"/>
      <c r="BT100" s="967"/>
      <c r="BU100" s="967"/>
      <c r="BV100" s="967"/>
      <c r="BW100" s="968">
        <f>SUM(BW98:BW99)</f>
        <v>1438.7207365999998</v>
      </c>
      <c r="BX100" s="968">
        <f>SUM(BX98:BX99)</f>
        <v>1289.01202388</v>
      </c>
      <c r="BY100" s="968">
        <f>SUM(BY98:BY99)</f>
        <v>0</v>
      </c>
      <c r="BZ100" s="3577"/>
      <c r="CA100" s="964">
        <f>SUM(CA98:CA99)</f>
        <v>0</v>
      </c>
      <c r="CB100" s="3577"/>
      <c r="CC100" s="967"/>
      <c r="CD100" s="967"/>
      <c r="CE100" s="967"/>
      <c r="CF100" s="967"/>
      <c r="CG100" s="967"/>
      <c r="CH100" s="967"/>
      <c r="CI100" s="968">
        <f>SUM(CI98:CI99)</f>
        <v>1438.7207365999998</v>
      </c>
      <c r="CJ100" s="968">
        <f>SUM(CJ98:CJ99)</f>
        <v>1289.01202388</v>
      </c>
      <c r="CK100" s="821"/>
      <c r="CL100" s="986"/>
      <c r="CM100" s="964">
        <f>SUM(CM98:CM99)</f>
        <v>0</v>
      </c>
      <c r="CN100" s="3577"/>
      <c r="CO100" s="967"/>
      <c r="CP100" s="967"/>
      <c r="CQ100" s="967"/>
      <c r="CR100" s="967"/>
      <c r="CS100" s="967"/>
      <c r="CT100" s="967"/>
      <c r="CU100" s="968">
        <f>SUM(CU98:CU99)</f>
        <v>1438.7207365999998</v>
      </c>
      <c r="CV100" s="968">
        <f>SUM(CV98:CV99)</f>
        <v>1289.01202388</v>
      </c>
      <c r="CW100" s="821"/>
      <c r="CX100" s="988"/>
    </row>
    <row r="101" spans="2:102" ht="21" thickTop="1">
      <c r="P101" s="821"/>
      <c r="Q101" s="821"/>
      <c r="R101" s="821"/>
      <c r="S101" s="821"/>
      <c r="T101" s="821"/>
      <c r="Z101" s="941"/>
      <c r="AA101" s="975"/>
      <c r="AB101" s="975"/>
      <c r="AC101" s="975"/>
      <c r="AD101" s="975"/>
      <c r="AE101" s="976"/>
      <c r="AF101" s="976"/>
      <c r="AG101" s="975"/>
      <c r="AH101" s="975"/>
      <c r="AI101" s="975"/>
      <c r="AJ101" s="975"/>
      <c r="AY101" s="975"/>
      <c r="BK101" s="975"/>
      <c r="BO101" s="976"/>
      <c r="BP101" s="976"/>
      <c r="BQ101" s="975"/>
      <c r="BR101" s="975"/>
      <c r="BS101" s="975"/>
      <c r="BT101" s="975"/>
      <c r="CI101" s="975"/>
      <c r="CU101" s="975"/>
    </row>
    <row r="102" spans="2:102">
      <c r="Z102" s="941"/>
      <c r="AA102" s="975"/>
      <c r="AB102" s="975"/>
      <c r="AC102" s="975"/>
      <c r="AD102" s="975"/>
      <c r="AE102" s="976"/>
      <c r="AF102" s="976"/>
      <c r="AG102" s="975"/>
      <c r="AH102" s="975"/>
      <c r="AI102" s="975"/>
      <c r="AJ102" s="975"/>
      <c r="AY102" s="975"/>
      <c r="BK102" s="975"/>
      <c r="BO102" s="976"/>
      <c r="BP102" s="976"/>
      <c r="BQ102" s="975"/>
      <c r="BR102" s="975"/>
      <c r="BS102" s="975"/>
      <c r="BT102" s="975"/>
      <c r="CI102" s="975"/>
      <c r="CU102" s="975"/>
    </row>
    <row r="103" spans="2:102">
      <c r="Z103" s="942"/>
      <c r="AA103" s="975"/>
      <c r="AB103" s="975"/>
      <c r="AC103" s="975"/>
      <c r="AD103" s="975"/>
      <c r="AE103" s="978"/>
      <c r="AF103" s="976"/>
      <c r="AG103" s="975"/>
      <c r="AH103" s="975"/>
      <c r="AI103" s="975"/>
      <c r="AJ103" s="975"/>
      <c r="AY103" s="975"/>
      <c r="BK103" s="975"/>
      <c r="BO103" s="978"/>
      <c r="BP103" s="976"/>
      <c r="BQ103" s="975"/>
      <c r="BR103" s="975"/>
      <c r="BS103" s="975"/>
      <c r="BT103" s="975"/>
      <c r="CI103" s="975"/>
      <c r="CU103" s="975"/>
    </row>
    <row r="104" spans="2:102">
      <c r="Z104" s="942"/>
      <c r="AA104" s="979"/>
      <c r="AB104" s="979"/>
      <c r="AC104" s="979"/>
      <c r="AD104" s="979"/>
      <c r="AE104" s="978"/>
      <c r="AF104" s="976"/>
      <c r="AG104" s="975"/>
      <c r="AH104" s="975"/>
      <c r="AI104" s="975"/>
      <c r="AJ104" s="975"/>
      <c r="AY104" s="979"/>
      <c r="BK104" s="979"/>
      <c r="BO104" s="978"/>
      <c r="BP104" s="976"/>
      <c r="BQ104" s="975"/>
      <c r="BR104" s="975"/>
      <c r="BS104" s="975"/>
      <c r="BT104" s="975"/>
      <c r="CI104" s="979"/>
      <c r="CU104" s="979"/>
    </row>
    <row r="105" spans="2:102">
      <c r="Z105" s="942"/>
      <c r="AA105" s="975"/>
      <c r="AB105" s="975"/>
      <c r="AC105" s="975"/>
      <c r="AD105" s="975"/>
      <c r="AE105" s="978"/>
      <c r="AF105" s="976"/>
      <c r="AG105" s="975"/>
      <c r="AH105" s="975"/>
      <c r="AI105" s="975"/>
      <c r="AJ105" s="975"/>
      <c r="AY105" s="975"/>
      <c r="BK105" s="975"/>
      <c r="BO105" s="978"/>
      <c r="BP105" s="976"/>
      <c r="BQ105" s="975"/>
      <c r="BR105" s="975"/>
      <c r="BS105" s="975"/>
      <c r="BT105" s="975"/>
      <c r="CI105" s="975"/>
      <c r="CU105" s="975"/>
    </row>
    <row r="106" spans="2:102">
      <c r="Z106" s="942"/>
      <c r="AA106" s="975"/>
      <c r="AB106" s="975"/>
      <c r="AC106" s="975"/>
      <c r="AD106" s="975"/>
      <c r="AE106" s="978"/>
      <c r="AF106" s="976"/>
      <c r="AG106" s="975"/>
      <c r="AH106" s="975"/>
      <c r="AI106" s="975"/>
      <c r="AJ106" s="975"/>
      <c r="AY106" s="975"/>
      <c r="BK106" s="975"/>
      <c r="BO106" s="978"/>
      <c r="BP106" s="976"/>
      <c r="BQ106" s="975"/>
      <c r="BR106" s="975"/>
      <c r="BS106" s="975"/>
      <c r="BT106" s="975"/>
      <c r="CI106" s="975"/>
      <c r="CU106" s="975"/>
    </row>
    <row r="107" spans="2:102">
      <c r="Z107" s="942"/>
      <c r="AA107" s="975"/>
      <c r="AB107" s="975"/>
      <c r="AC107" s="975"/>
      <c r="AD107" s="975"/>
      <c r="AE107" s="978"/>
      <c r="AF107" s="976"/>
      <c r="AG107" s="975"/>
      <c r="AH107" s="975"/>
      <c r="AI107" s="975"/>
      <c r="AJ107" s="975"/>
      <c r="AY107" s="975"/>
      <c r="BK107" s="975"/>
      <c r="BO107" s="978"/>
      <c r="BP107" s="976"/>
      <c r="BQ107" s="975"/>
      <c r="BR107" s="975"/>
      <c r="BS107" s="975"/>
      <c r="BT107" s="975"/>
      <c r="CI107" s="975"/>
      <c r="CU107" s="975"/>
    </row>
    <row r="108" spans="2:102">
      <c r="Z108" s="942"/>
      <c r="AA108" s="975"/>
      <c r="AB108" s="975"/>
      <c r="AC108" s="975"/>
      <c r="AD108" s="975"/>
      <c r="AE108" s="978"/>
      <c r="AF108" s="976"/>
      <c r="AG108" s="975"/>
      <c r="AH108" s="975"/>
      <c r="AI108" s="975"/>
      <c r="AJ108" s="975"/>
      <c r="AY108" s="975"/>
      <c r="BK108" s="975"/>
      <c r="BO108" s="978"/>
      <c r="BP108" s="976"/>
      <c r="BQ108" s="975"/>
      <c r="BR108" s="975"/>
      <c r="BS108" s="975"/>
      <c r="BT108" s="975"/>
      <c r="CI108" s="975"/>
      <c r="CU108" s="975"/>
    </row>
    <row r="109" spans="2:102">
      <c r="Z109" s="942"/>
      <c r="AA109" s="975"/>
      <c r="AB109" s="975"/>
      <c r="AC109" s="975"/>
      <c r="AD109" s="975"/>
      <c r="AE109" s="978"/>
      <c r="AF109" s="976"/>
      <c r="AG109" s="975"/>
      <c r="AH109" s="975"/>
      <c r="AI109" s="975"/>
      <c r="AJ109" s="975"/>
      <c r="AY109" s="975"/>
      <c r="BK109" s="975"/>
      <c r="BO109" s="978"/>
      <c r="BP109" s="976"/>
      <c r="BQ109" s="975"/>
      <c r="BR109" s="975"/>
      <c r="BS109" s="975"/>
      <c r="BT109" s="975"/>
      <c r="CI109" s="975"/>
      <c r="CU109" s="975"/>
    </row>
    <row r="110" spans="2:102">
      <c r="Z110" s="942"/>
      <c r="AA110" s="975"/>
      <c r="AB110" s="975"/>
      <c r="AC110" s="975"/>
      <c r="AD110" s="975"/>
      <c r="AE110" s="978"/>
      <c r="AF110" s="976"/>
      <c r="AG110" s="975"/>
      <c r="AH110" s="975"/>
      <c r="AI110" s="975"/>
      <c r="AJ110" s="975"/>
      <c r="AY110" s="975"/>
      <c r="BK110" s="975"/>
      <c r="BO110" s="978"/>
      <c r="BP110" s="976"/>
      <c r="BQ110" s="975"/>
      <c r="BR110" s="975"/>
      <c r="BS110" s="975"/>
      <c r="BT110" s="975"/>
      <c r="CI110" s="975"/>
      <c r="CU110" s="975"/>
    </row>
    <row r="111" spans="2:102">
      <c r="Z111" s="942"/>
      <c r="AA111" s="975"/>
      <c r="AB111" s="975"/>
      <c r="AC111" s="975"/>
      <c r="AD111" s="975"/>
      <c r="AE111" s="978"/>
      <c r="AF111" s="976"/>
      <c r="AG111" s="975"/>
      <c r="AH111" s="975"/>
      <c r="AI111" s="975"/>
      <c r="AJ111" s="975"/>
      <c r="AY111" s="975"/>
      <c r="BK111" s="975"/>
      <c r="BO111" s="978"/>
      <c r="BP111" s="976"/>
      <c r="BQ111" s="975"/>
      <c r="BR111" s="975"/>
      <c r="BS111" s="975"/>
      <c r="BT111" s="975"/>
      <c r="CI111" s="975"/>
      <c r="CU111" s="975"/>
    </row>
    <row r="112" spans="2:102">
      <c r="Z112" s="942"/>
      <c r="AA112" s="975"/>
      <c r="AB112" s="975"/>
      <c r="AC112" s="975"/>
      <c r="AD112" s="975"/>
      <c r="AE112" s="978"/>
      <c r="AF112" s="976"/>
      <c r="AG112" s="975"/>
      <c r="AH112" s="975"/>
      <c r="AI112" s="975"/>
      <c r="AJ112" s="975"/>
      <c r="AY112" s="975"/>
      <c r="BK112" s="975"/>
      <c r="BO112" s="978"/>
      <c r="BP112" s="976"/>
      <c r="BQ112" s="975"/>
      <c r="BR112" s="975"/>
      <c r="BS112" s="975"/>
      <c r="BT112" s="975"/>
      <c r="CI112" s="975"/>
      <c r="CU112" s="975"/>
    </row>
    <row r="113" spans="26:99">
      <c r="Z113" s="942"/>
      <c r="AA113" s="975"/>
      <c r="AB113" s="975"/>
      <c r="AC113" s="975"/>
      <c r="AD113" s="975"/>
      <c r="AE113" s="978"/>
      <c r="AF113" s="976"/>
      <c r="AG113" s="975"/>
      <c r="AH113" s="975"/>
      <c r="AI113" s="975"/>
      <c r="AJ113" s="975"/>
      <c r="AY113" s="975"/>
      <c r="BK113" s="975"/>
      <c r="BO113" s="978"/>
      <c r="BP113" s="976"/>
      <c r="BQ113" s="975"/>
      <c r="BR113" s="975"/>
      <c r="BS113" s="975"/>
      <c r="BT113" s="975"/>
      <c r="CI113" s="975"/>
      <c r="CU113" s="975"/>
    </row>
    <row r="114" spans="26:99">
      <c r="Z114" s="942"/>
      <c r="AA114" s="975"/>
      <c r="AB114" s="975"/>
      <c r="AC114" s="975"/>
      <c r="AD114" s="975"/>
      <c r="AE114" s="978"/>
      <c r="AF114" s="976"/>
      <c r="AG114" s="975"/>
      <c r="AH114" s="975"/>
      <c r="AI114" s="975"/>
      <c r="AJ114" s="975"/>
      <c r="AY114" s="975"/>
      <c r="BK114" s="975"/>
      <c r="BO114" s="978"/>
      <c r="BP114" s="976"/>
      <c r="BQ114" s="975"/>
      <c r="BR114" s="975"/>
      <c r="BS114" s="975"/>
      <c r="BT114" s="975"/>
      <c r="CI114" s="975"/>
      <c r="CU114" s="975"/>
    </row>
    <row r="115" spans="26:99">
      <c r="Z115" s="942"/>
      <c r="AA115" s="975"/>
      <c r="AB115" s="975"/>
      <c r="AC115" s="975"/>
      <c r="AD115" s="975"/>
      <c r="AE115" s="978"/>
      <c r="AF115" s="976"/>
      <c r="AG115" s="975"/>
      <c r="AH115" s="975"/>
      <c r="AI115" s="975"/>
      <c r="AJ115" s="975"/>
      <c r="AY115" s="975"/>
      <c r="BK115" s="975"/>
      <c r="BO115" s="978"/>
      <c r="BP115" s="976"/>
      <c r="BQ115" s="975"/>
      <c r="BR115" s="975"/>
      <c r="BS115" s="975"/>
      <c r="BT115" s="975"/>
      <c r="CI115" s="975"/>
      <c r="CU115" s="975"/>
    </row>
    <row r="116" spans="26:99">
      <c r="Z116" s="975"/>
      <c r="AA116" s="975"/>
      <c r="AB116" s="975"/>
      <c r="AC116" s="975"/>
      <c r="AD116" s="975"/>
      <c r="AE116" s="978"/>
      <c r="AF116" s="976"/>
      <c r="AG116" s="975"/>
      <c r="AH116" s="975"/>
      <c r="AI116" s="975"/>
      <c r="AJ116" s="975"/>
      <c r="AY116" s="975"/>
      <c r="BK116" s="975"/>
      <c r="BO116" s="978"/>
      <c r="BP116" s="976"/>
      <c r="BQ116" s="975"/>
      <c r="BR116" s="975"/>
      <c r="BS116" s="975"/>
      <c r="BT116" s="975"/>
      <c r="CI116" s="975"/>
      <c r="CU116" s="975"/>
    </row>
    <row r="117" spans="26:99">
      <c r="Z117" s="975"/>
      <c r="AA117" s="975"/>
      <c r="AB117" s="975"/>
      <c r="AC117" s="975"/>
      <c r="AD117" s="975"/>
      <c r="AE117" s="978"/>
      <c r="AF117" s="976"/>
      <c r="AG117" s="975"/>
      <c r="AH117" s="975"/>
      <c r="AI117" s="975"/>
      <c r="AJ117" s="975"/>
      <c r="AY117" s="975"/>
      <c r="BK117" s="975"/>
      <c r="BO117" s="978"/>
      <c r="BP117" s="976"/>
      <c r="BQ117" s="975"/>
      <c r="BR117" s="975"/>
      <c r="BS117" s="975"/>
      <c r="BT117" s="975"/>
      <c r="CI117" s="975"/>
      <c r="CU117" s="975"/>
    </row>
    <row r="118" spans="26:99">
      <c r="Z118" s="975"/>
      <c r="AA118" s="975"/>
      <c r="AB118" s="975"/>
      <c r="AC118" s="975"/>
      <c r="AD118" s="975"/>
      <c r="AE118" s="978"/>
      <c r="AF118" s="976"/>
      <c r="AG118" s="975"/>
      <c r="AH118" s="975"/>
      <c r="AI118" s="975"/>
      <c r="AJ118" s="975"/>
      <c r="AY118" s="975"/>
      <c r="BK118" s="975"/>
      <c r="BO118" s="978"/>
      <c r="BP118" s="976"/>
      <c r="BQ118" s="975"/>
      <c r="BR118" s="975"/>
      <c r="BS118" s="975"/>
      <c r="BT118" s="975"/>
      <c r="CI118" s="975"/>
      <c r="CU118" s="975"/>
    </row>
    <row r="119" spans="26:99">
      <c r="Z119" s="975"/>
      <c r="AA119" s="975"/>
      <c r="AB119" s="975"/>
      <c r="AC119" s="975"/>
      <c r="AD119" s="975"/>
      <c r="AE119" s="978"/>
      <c r="AF119" s="976"/>
      <c r="AG119" s="975"/>
      <c r="AH119" s="975"/>
      <c r="AI119" s="975"/>
      <c r="AJ119" s="975"/>
      <c r="AY119" s="975"/>
      <c r="BK119" s="975"/>
      <c r="BO119" s="978"/>
      <c r="BP119" s="976"/>
      <c r="BQ119" s="975"/>
      <c r="BR119" s="975"/>
      <c r="BS119" s="975"/>
      <c r="BT119" s="975"/>
      <c r="CI119" s="975"/>
      <c r="CU119" s="975"/>
    </row>
  </sheetData>
  <mergeCells count="34">
    <mergeCell ref="CB98:CB100"/>
    <mergeCell ref="CK98:CL98"/>
    <mergeCell ref="CN98:CN100"/>
    <mergeCell ref="CW98:CX98"/>
    <mergeCell ref="P99:Q99"/>
    <mergeCell ref="AB99:AC99"/>
    <mergeCell ref="AQ99:BA99"/>
    <mergeCell ref="CW99:CX99"/>
    <mergeCell ref="P100:Q100"/>
    <mergeCell ref="AP98:AP100"/>
    <mergeCell ref="AQ98:BA98"/>
    <mergeCell ref="BD98:BD100"/>
    <mergeCell ref="BM98:BN98"/>
    <mergeCell ref="BP98:BP100"/>
    <mergeCell ref="BZ98:BZ100"/>
    <mergeCell ref="B9:G9"/>
    <mergeCell ref="M9:AN9"/>
    <mergeCell ref="B10:G10"/>
    <mergeCell ref="M10:AN10"/>
    <mergeCell ref="R98:S98"/>
    <mergeCell ref="AA98:AC98"/>
    <mergeCell ref="AF98:AF100"/>
    <mergeCell ref="D5:E5"/>
    <mergeCell ref="F5:G5"/>
    <mergeCell ref="B6:AY6"/>
    <mergeCell ref="B7:AO7"/>
    <mergeCell ref="B8:G8"/>
    <mergeCell ref="M8:AN8"/>
    <mergeCell ref="D2:E2"/>
    <mergeCell ref="F2:G2"/>
    <mergeCell ref="D3:E3"/>
    <mergeCell ref="F3:G3"/>
    <mergeCell ref="D4:E4"/>
    <mergeCell ref="F4:G4"/>
  </mergeCells>
  <printOptions horizontalCentered="1"/>
  <pageMargins left="0" right="0" top="0.39370078740157483" bottom="0.39370078740157483" header="0.19685039370078741" footer="0.19685039370078741"/>
  <pageSetup paperSize="9" scale="3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LV119"/>
  <sheetViews>
    <sheetView view="pageBreakPreview" topLeftCell="A4" zoomScale="40" zoomScaleNormal="100" zoomScaleSheetLayoutView="40" workbookViewId="0">
      <selection activeCell="GO38" sqref="GO38"/>
    </sheetView>
  </sheetViews>
  <sheetFormatPr defaultColWidth="0.85546875" defaultRowHeight="20.25" outlineLevelRow="2" outlineLevelCol="2"/>
  <cols>
    <col min="1" max="1" width="3.28515625" customWidth="1"/>
    <col min="2" max="2" width="15.85546875" style="969" bestFit="1" customWidth="1"/>
    <col min="3" max="3" width="101.28515625" style="846" customWidth="1"/>
    <col min="4" max="4" width="23.7109375" style="846" customWidth="1"/>
    <col min="5" max="5" width="23.42578125" style="970" customWidth="1"/>
    <col min="6" max="6" width="26.85546875" style="970" customWidth="1"/>
    <col min="7" max="7" width="26" style="971" customWidth="1"/>
    <col min="8" max="8" width="11.5703125" style="972" hidden="1" customWidth="1"/>
    <col min="9" max="9" width="11.5703125" style="972" hidden="1" customWidth="1" collapsed="1"/>
    <col min="10" max="10" width="11.5703125" style="972" hidden="1" customWidth="1"/>
    <col min="11" max="12" width="11.5703125" style="973" hidden="1" customWidth="1"/>
    <col min="13" max="13" width="22.28515625" style="973" hidden="1" customWidth="1"/>
    <col min="14" max="15" width="21.5703125" style="973" hidden="1" customWidth="1"/>
    <col min="16" max="16" width="23.42578125" style="973" hidden="1" customWidth="1"/>
    <col min="17" max="17" width="26.5703125" style="973" hidden="1" customWidth="1"/>
    <col min="18" max="18" width="23.28515625" style="973" customWidth="1"/>
    <col min="19" max="19" width="24" style="973" customWidth="1"/>
    <col min="20" max="20" width="24" style="973" hidden="1" customWidth="1"/>
    <col min="21" max="21" width="42" style="974" hidden="1" customWidth="1"/>
    <col min="22" max="22" width="13" style="973" hidden="1" customWidth="1"/>
    <col min="23" max="24" width="13.42578125" style="973" hidden="1" customWidth="1"/>
    <col min="25" max="25" width="17.7109375" style="973" hidden="1" customWidth="1"/>
    <col min="26" max="26" width="13.42578125" style="973" hidden="1" customWidth="1"/>
    <col min="27" max="27" width="23.42578125" style="973" hidden="1" customWidth="1"/>
    <col min="28" max="30" width="22" style="973" hidden="1" customWidth="1"/>
    <col min="31" max="31" width="25.42578125" style="980" hidden="1" customWidth="1" outlineLevel="1"/>
    <col min="32" max="32" width="26.42578125" style="974" hidden="1" customWidth="1" outlineLevel="1"/>
    <col min="33" max="33" width="13.42578125" style="973" hidden="1" customWidth="1" outlineLevel="2"/>
    <col min="34" max="34" width="13.42578125" style="973" hidden="1" customWidth="1" outlineLevel="2" collapsed="1"/>
    <col min="35" max="35" width="13.42578125" style="973" hidden="1" customWidth="1" outlineLevel="2"/>
    <col min="36" max="36" width="13.7109375" style="973" hidden="1" customWidth="1" outlineLevel="2"/>
    <col min="37" max="37" width="13.42578125" style="973" hidden="1" customWidth="1" outlineLevel="2"/>
    <col min="38" max="38" width="18.7109375" style="973" hidden="1" customWidth="1" outlineLevel="2"/>
    <col min="39" max="40" width="23.140625" style="973" hidden="1" customWidth="1" outlineLevel="2"/>
    <col min="41" max="41" width="28" style="973" hidden="1" customWidth="1" outlineLevel="1"/>
    <col min="42" max="42" width="22.7109375" style="973" hidden="1" customWidth="1" outlineLevel="1"/>
    <col min="43" max="43" width="25.140625" style="977" hidden="1" customWidth="1" outlineLevel="2"/>
    <col min="44" max="44" width="14.85546875" style="973" hidden="1" customWidth="1" outlineLevel="2"/>
    <col min="45" max="45" width="14.85546875" style="973" hidden="1" customWidth="1" outlineLevel="2" collapsed="1"/>
    <col min="46" max="48" width="14.85546875" style="973" hidden="1" customWidth="1" outlineLevel="2"/>
    <col min="49" max="49" width="14.7109375" style="973" hidden="1" customWidth="1" outlineLevel="2"/>
    <col min="50" max="50" width="16.5703125" style="973" hidden="1" customWidth="1" outlineLevel="2"/>
    <col min="51" max="51" width="23.85546875" style="973" hidden="1" customWidth="1" outlineLevel="2"/>
    <col min="52" max="54" width="23.140625" style="973" hidden="1" customWidth="1" outlineLevel="2"/>
    <col min="55" max="55" width="25.140625" style="977" hidden="1" customWidth="1" outlineLevel="2"/>
    <col min="56" max="56" width="14.85546875" style="973" hidden="1" customWidth="1" outlineLevel="2"/>
    <col min="57" max="57" width="14.85546875" style="973" hidden="1" customWidth="1" outlineLevel="2" collapsed="1"/>
    <col min="58" max="60" width="14.85546875" style="973" hidden="1" customWidth="1" outlineLevel="2"/>
    <col min="61" max="61" width="14.7109375" style="973" hidden="1" customWidth="1" outlineLevel="2"/>
    <col min="62" max="62" width="16.5703125" style="973" hidden="1" customWidth="1" outlineLevel="2"/>
    <col min="63" max="63" width="23.85546875" style="973" hidden="1" customWidth="1" outlineLevel="2"/>
    <col min="64" max="66" width="23.140625" style="973" hidden="1" customWidth="1" outlineLevel="2"/>
    <col min="67" max="67" width="25.42578125" style="980" hidden="1" customWidth="1" outlineLevel="1"/>
    <col min="68" max="68" width="26.42578125" style="974" hidden="1" customWidth="1" outlineLevel="1"/>
    <col min="69" max="69" width="13.42578125" style="973" hidden="1" customWidth="1" outlineLevel="2"/>
    <col min="70" max="70" width="13.42578125" style="973" hidden="1" customWidth="1" outlineLevel="2" collapsed="1"/>
    <col min="71" max="71" width="13.42578125" style="973" hidden="1" customWidth="1" outlineLevel="2"/>
    <col min="72" max="72" width="13.7109375" style="973" hidden="1" customWidth="1" outlineLevel="2"/>
    <col min="73" max="73" width="13.42578125" style="973" hidden="1" customWidth="1" outlineLevel="2"/>
    <col min="74" max="74" width="18.7109375" style="973" hidden="1" customWidth="1" outlineLevel="2"/>
    <col min="75" max="76" width="23.140625" style="973" hidden="1" customWidth="1" outlineLevel="2"/>
    <col min="77" max="77" width="28" style="973" hidden="1" customWidth="1" outlineLevel="1"/>
    <col min="78" max="78" width="22.7109375" style="973" hidden="1" customWidth="1" outlineLevel="1"/>
    <col min="79" max="79" width="27" style="977" hidden="1" customWidth="1" outlineLevel="2"/>
    <col min="80" max="80" width="14.85546875" style="973" hidden="1" customWidth="1" outlineLevel="2"/>
    <col min="81" max="81" width="14.85546875" style="973" hidden="1" customWidth="1" outlineLevel="2" collapsed="1"/>
    <col min="82" max="84" width="14.85546875" style="973" hidden="1" customWidth="1" outlineLevel="2"/>
    <col min="85" max="85" width="14.7109375" style="973" hidden="1" customWidth="1" outlineLevel="2"/>
    <col min="86" max="86" width="16.5703125" style="973" hidden="1" customWidth="1" outlineLevel="2"/>
    <col min="87" max="87" width="23.85546875" style="973" hidden="1" customWidth="1" outlineLevel="2"/>
    <col min="88" max="90" width="23.140625" style="973" hidden="1" customWidth="1" outlineLevel="2"/>
    <col min="91" max="91" width="25.140625" style="977" hidden="1" customWidth="1" outlineLevel="2"/>
    <col min="92" max="92" width="14.85546875" style="973" hidden="1" customWidth="1" outlineLevel="2"/>
    <col min="93" max="93" width="14.85546875" style="973" hidden="1" customWidth="1" outlineLevel="2" collapsed="1"/>
    <col min="94" max="96" width="14.85546875" style="973" hidden="1" customWidth="1" outlineLevel="2"/>
    <col min="97" max="97" width="14.7109375" style="973" hidden="1" customWidth="1" outlineLevel="2"/>
    <col min="98" max="98" width="16.5703125" style="973" hidden="1" customWidth="1" outlineLevel="2"/>
    <col min="99" max="99" width="23.85546875" style="973" hidden="1" customWidth="1" outlineLevel="2"/>
    <col min="100" max="102" width="23.140625" style="973" hidden="1" customWidth="1" outlineLevel="2"/>
    <col min="103" max="103" width="0.85546875" style="846" collapsed="1"/>
    <col min="310" max="310" width="7.28515625" customWidth="1"/>
    <col min="311" max="311" width="57.5703125" customWidth="1"/>
    <col min="312" max="312" width="13.140625" customWidth="1"/>
    <col min="313" max="313" width="13.5703125" customWidth="1"/>
    <col min="314" max="314" width="18.7109375" bestFit="1" customWidth="1"/>
    <col min="315" max="315" width="20.7109375" customWidth="1"/>
    <col min="316" max="316" width="16.140625" customWidth="1"/>
    <col min="317" max="317" width="19" customWidth="1"/>
    <col min="318" max="318" width="20" bestFit="1" customWidth="1"/>
    <col min="319" max="319" width="16.7109375" bestFit="1" customWidth="1"/>
    <col min="320" max="320" width="43.28515625" customWidth="1"/>
    <col min="335" max="565" width="0.85546875" style="846"/>
    <col min="566" max="566" width="7.28515625" style="846" customWidth="1"/>
    <col min="567" max="567" width="57.5703125" style="846" customWidth="1"/>
    <col min="568" max="568" width="13.140625" style="846" customWidth="1"/>
    <col min="569" max="569" width="13.5703125" style="846" customWidth="1"/>
    <col min="570" max="570" width="18.7109375" style="846" bestFit="1" customWidth="1"/>
    <col min="571" max="571" width="20.7109375" style="846" customWidth="1"/>
    <col min="572" max="572" width="16.140625" style="846" customWidth="1"/>
    <col min="573" max="573" width="19" style="846" customWidth="1"/>
    <col min="574" max="574" width="20" style="846" bestFit="1" customWidth="1"/>
    <col min="575" max="575" width="16.7109375" style="846" bestFit="1" customWidth="1"/>
    <col min="576" max="576" width="43.28515625" style="846" customWidth="1"/>
    <col min="577" max="821" width="0.85546875" style="846"/>
    <col min="822" max="822" width="7.28515625" style="846" customWidth="1"/>
    <col min="823" max="823" width="57.5703125" style="846" customWidth="1"/>
    <col min="824" max="824" width="13.140625" style="846" customWidth="1"/>
    <col min="825" max="825" width="13.5703125" style="846" customWidth="1"/>
    <col min="826" max="826" width="18.7109375" style="846" bestFit="1" customWidth="1"/>
    <col min="827" max="827" width="20.7109375" style="846" customWidth="1"/>
    <col min="828" max="828" width="16.140625" style="846" customWidth="1"/>
    <col min="829" max="829" width="19" style="846" customWidth="1"/>
    <col min="830" max="830" width="20" style="846" bestFit="1" customWidth="1"/>
    <col min="831" max="831" width="16.7109375" style="846" bestFit="1" customWidth="1"/>
    <col min="832" max="832" width="43.28515625" style="846" customWidth="1"/>
    <col min="833" max="1077" width="0.85546875" style="846"/>
    <col min="1078" max="1078" width="7.28515625" style="846" customWidth="1"/>
    <col min="1079" max="1079" width="57.5703125" style="846" customWidth="1"/>
    <col min="1080" max="1080" width="13.140625" style="846" customWidth="1"/>
    <col min="1081" max="1081" width="13.5703125" style="846" customWidth="1"/>
    <col min="1082" max="1082" width="18.7109375" style="846" bestFit="1" customWidth="1"/>
    <col min="1083" max="1083" width="20.7109375" style="846" customWidth="1"/>
    <col min="1084" max="1084" width="16.140625" style="846" customWidth="1"/>
    <col min="1085" max="1085" width="19" style="846" customWidth="1"/>
    <col min="1086" max="1086" width="20" style="846" bestFit="1" customWidth="1"/>
    <col min="1087" max="1087" width="16.7109375" style="846" bestFit="1" customWidth="1"/>
    <col min="1088" max="1088" width="43.28515625" style="846" customWidth="1"/>
    <col min="1089" max="1333" width="0.85546875" style="846"/>
    <col min="1334" max="1334" width="7.28515625" style="846" customWidth="1"/>
    <col min="1335" max="1335" width="57.5703125" style="846" customWidth="1"/>
    <col min="1336" max="1336" width="13.140625" style="846" customWidth="1"/>
    <col min="1337" max="1337" width="13.5703125" style="846" customWidth="1"/>
    <col min="1338" max="1338" width="18.7109375" style="846" bestFit="1" customWidth="1"/>
    <col min="1339" max="1339" width="20.7109375" style="846" customWidth="1"/>
    <col min="1340" max="1340" width="16.140625" style="846" customWidth="1"/>
    <col min="1341" max="1341" width="19" style="846" customWidth="1"/>
    <col min="1342" max="1342" width="20" style="846" bestFit="1" customWidth="1"/>
    <col min="1343" max="1343" width="16.7109375" style="846" bestFit="1" customWidth="1"/>
    <col min="1344" max="1344" width="43.28515625" style="846" customWidth="1"/>
    <col min="1345" max="1589" width="0.85546875" style="846"/>
    <col min="1590" max="1590" width="7.28515625" style="846" customWidth="1"/>
    <col min="1591" max="1591" width="57.5703125" style="846" customWidth="1"/>
    <col min="1592" max="1592" width="13.140625" style="846" customWidth="1"/>
    <col min="1593" max="1593" width="13.5703125" style="846" customWidth="1"/>
    <col min="1594" max="1594" width="18.7109375" style="846" bestFit="1" customWidth="1"/>
    <col min="1595" max="1595" width="20.7109375" style="846" customWidth="1"/>
    <col min="1596" max="1596" width="16.140625" style="846" customWidth="1"/>
    <col min="1597" max="1597" width="19" style="846" customWidth="1"/>
    <col min="1598" max="1598" width="20" style="846" bestFit="1" customWidth="1"/>
    <col min="1599" max="1599" width="16.7109375" style="846" bestFit="1" customWidth="1"/>
    <col min="1600" max="1600" width="43.28515625" style="846" customWidth="1"/>
    <col min="1601" max="1845" width="0.85546875" style="846"/>
    <col min="1846" max="1846" width="7.28515625" style="846" customWidth="1"/>
    <col min="1847" max="1847" width="57.5703125" style="846" customWidth="1"/>
    <col min="1848" max="1848" width="13.140625" style="846" customWidth="1"/>
    <col min="1849" max="1849" width="13.5703125" style="846" customWidth="1"/>
    <col min="1850" max="1850" width="18.7109375" style="846" bestFit="1" customWidth="1"/>
    <col min="1851" max="1851" width="20.7109375" style="846" customWidth="1"/>
    <col min="1852" max="1852" width="16.140625" style="846" customWidth="1"/>
    <col min="1853" max="1853" width="19" style="846" customWidth="1"/>
    <col min="1854" max="1854" width="20" style="846" bestFit="1" customWidth="1"/>
    <col min="1855" max="1855" width="16.7109375" style="846" bestFit="1" customWidth="1"/>
    <col min="1856" max="1856" width="43.28515625" style="846" customWidth="1"/>
    <col min="1857" max="2101" width="0.85546875" style="846"/>
    <col min="2102" max="2102" width="7.28515625" style="846" customWidth="1"/>
    <col min="2103" max="2103" width="57.5703125" style="846" customWidth="1"/>
    <col min="2104" max="2104" width="13.140625" style="846" customWidth="1"/>
    <col min="2105" max="2105" width="13.5703125" style="846" customWidth="1"/>
    <col min="2106" max="2106" width="18.7109375" style="846" bestFit="1" customWidth="1"/>
    <col min="2107" max="2107" width="20.7109375" style="846" customWidth="1"/>
    <col min="2108" max="2108" width="16.140625" style="846" customWidth="1"/>
    <col min="2109" max="2109" width="19" style="846" customWidth="1"/>
    <col min="2110" max="2110" width="20" style="846" bestFit="1" customWidth="1"/>
    <col min="2111" max="2111" width="16.7109375" style="846" bestFit="1" customWidth="1"/>
    <col min="2112" max="2112" width="43.28515625" style="846" customWidth="1"/>
    <col min="2113" max="2357" width="0.85546875" style="846"/>
    <col min="2358" max="2358" width="7.28515625" style="846" customWidth="1"/>
    <col min="2359" max="2359" width="57.5703125" style="846" customWidth="1"/>
    <col min="2360" max="2360" width="13.140625" style="846" customWidth="1"/>
    <col min="2361" max="2361" width="13.5703125" style="846" customWidth="1"/>
    <col min="2362" max="2362" width="18.7109375" style="846" bestFit="1" customWidth="1"/>
    <col min="2363" max="2363" width="20.7109375" style="846" customWidth="1"/>
    <col min="2364" max="2364" width="16.140625" style="846" customWidth="1"/>
    <col min="2365" max="2365" width="19" style="846" customWidth="1"/>
    <col min="2366" max="2366" width="20" style="846" bestFit="1" customWidth="1"/>
    <col min="2367" max="2367" width="16.7109375" style="846" bestFit="1" customWidth="1"/>
    <col min="2368" max="2368" width="43.28515625" style="846" customWidth="1"/>
    <col min="2369" max="2613" width="0.85546875" style="846"/>
    <col min="2614" max="2614" width="7.28515625" style="846" customWidth="1"/>
    <col min="2615" max="2615" width="57.5703125" style="846" customWidth="1"/>
    <col min="2616" max="2616" width="13.140625" style="846" customWidth="1"/>
    <col min="2617" max="2617" width="13.5703125" style="846" customWidth="1"/>
    <col min="2618" max="2618" width="18.7109375" style="846" bestFit="1" customWidth="1"/>
    <col min="2619" max="2619" width="20.7109375" style="846" customWidth="1"/>
    <col min="2620" max="2620" width="16.140625" style="846" customWidth="1"/>
    <col min="2621" max="2621" width="19" style="846" customWidth="1"/>
    <col min="2622" max="2622" width="20" style="846" bestFit="1" customWidth="1"/>
    <col min="2623" max="2623" width="16.7109375" style="846" bestFit="1" customWidth="1"/>
    <col min="2624" max="2624" width="43.28515625" style="846" customWidth="1"/>
    <col min="2625" max="2869" width="0.85546875" style="846"/>
    <col min="2870" max="2870" width="7.28515625" style="846" customWidth="1"/>
    <col min="2871" max="2871" width="57.5703125" style="846" customWidth="1"/>
    <col min="2872" max="2872" width="13.140625" style="846" customWidth="1"/>
    <col min="2873" max="2873" width="13.5703125" style="846" customWidth="1"/>
    <col min="2874" max="2874" width="18.7109375" style="846" bestFit="1" customWidth="1"/>
    <col min="2875" max="2875" width="20.7109375" style="846" customWidth="1"/>
    <col min="2876" max="2876" width="16.140625" style="846" customWidth="1"/>
    <col min="2877" max="2877" width="19" style="846" customWidth="1"/>
    <col min="2878" max="2878" width="20" style="846" bestFit="1" customWidth="1"/>
    <col min="2879" max="2879" width="16.7109375" style="846" bestFit="1" customWidth="1"/>
    <col min="2880" max="2880" width="43.28515625" style="846" customWidth="1"/>
    <col min="2881" max="3125" width="0.85546875" style="846"/>
    <col min="3126" max="3126" width="7.28515625" style="846" customWidth="1"/>
    <col min="3127" max="3127" width="57.5703125" style="846" customWidth="1"/>
    <col min="3128" max="3128" width="13.140625" style="846" customWidth="1"/>
    <col min="3129" max="3129" width="13.5703125" style="846" customWidth="1"/>
    <col min="3130" max="3130" width="18.7109375" style="846" bestFit="1" customWidth="1"/>
    <col min="3131" max="3131" width="20.7109375" style="846" customWidth="1"/>
    <col min="3132" max="3132" width="16.140625" style="846" customWidth="1"/>
    <col min="3133" max="3133" width="19" style="846" customWidth="1"/>
    <col min="3134" max="3134" width="20" style="846" bestFit="1" customWidth="1"/>
    <col min="3135" max="3135" width="16.7109375" style="846" bestFit="1" customWidth="1"/>
    <col min="3136" max="3136" width="43.28515625" style="846" customWidth="1"/>
    <col min="3137" max="3381" width="0.85546875" style="846"/>
    <col min="3382" max="3382" width="7.28515625" style="846" customWidth="1"/>
    <col min="3383" max="3383" width="57.5703125" style="846" customWidth="1"/>
    <col min="3384" max="3384" width="13.140625" style="846" customWidth="1"/>
    <col min="3385" max="3385" width="13.5703125" style="846" customWidth="1"/>
    <col min="3386" max="3386" width="18.7109375" style="846" bestFit="1" customWidth="1"/>
    <col min="3387" max="3387" width="20.7109375" style="846" customWidth="1"/>
    <col min="3388" max="3388" width="16.140625" style="846" customWidth="1"/>
    <col min="3389" max="3389" width="19" style="846" customWidth="1"/>
    <col min="3390" max="3390" width="20" style="846" bestFit="1" customWidth="1"/>
    <col min="3391" max="3391" width="16.7109375" style="846" bestFit="1" customWidth="1"/>
    <col min="3392" max="3392" width="43.28515625" style="846" customWidth="1"/>
    <col min="3393" max="3637" width="0.85546875" style="846"/>
    <col min="3638" max="3638" width="7.28515625" style="846" customWidth="1"/>
    <col min="3639" max="3639" width="57.5703125" style="846" customWidth="1"/>
    <col min="3640" max="3640" width="13.140625" style="846" customWidth="1"/>
    <col min="3641" max="3641" width="13.5703125" style="846" customWidth="1"/>
    <col min="3642" max="3642" width="18.7109375" style="846" bestFit="1" customWidth="1"/>
    <col min="3643" max="3643" width="20.7109375" style="846" customWidth="1"/>
    <col min="3644" max="3644" width="16.140625" style="846" customWidth="1"/>
    <col min="3645" max="3645" width="19" style="846" customWidth="1"/>
    <col min="3646" max="3646" width="20" style="846" bestFit="1" customWidth="1"/>
    <col min="3647" max="3647" width="16.7109375" style="846" bestFit="1" customWidth="1"/>
    <col min="3648" max="3648" width="43.28515625" style="846" customWidth="1"/>
    <col min="3649" max="3893" width="0.85546875" style="846"/>
    <col min="3894" max="3894" width="7.28515625" style="846" customWidth="1"/>
    <col min="3895" max="3895" width="57.5703125" style="846" customWidth="1"/>
    <col min="3896" max="3896" width="13.140625" style="846" customWidth="1"/>
    <col min="3897" max="3897" width="13.5703125" style="846" customWidth="1"/>
    <col min="3898" max="3898" width="18.7109375" style="846" bestFit="1" customWidth="1"/>
    <col min="3899" max="3899" width="20.7109375" style="846" customWidth="1"/>
    <col min="3900" max="3900" width="16.140625" style="846" customWidth="1"/>
    <col min="3901" max="3901" width="19" style="846" customWidth="1"/>
    <col min="3902" max="3902" width="20" style="846" bestFit="1" customWidth="1"/>
    <col min="3903" max="3903" width="16.7109375" style="846" bestFit="1" customWidth="1"/>
    <col min="3904" max="3904" width="43.28515625" style="846" customWidth="1"/>
    <col min="3905" max="4149" width="0.85546875" style="846"/>
    <col min="4150" max="4150" width="7.28515625" style="846" customWidth="1"/>
    <col min="4151" max="4151" width="57.5703125" style="846" customWidth="1"/>
    <col min="4152" max="4152" width="13.140625" style="846" customWidth="1"/>
    <col min="4153" max="4153" width="13.5703125" style="846" customWidth="1"/>
    <col min="4154" max="4154" width="18.7109375" style="846" bestFit="1" customWidth="1"/>
    <col min="4155" max="4155" width="20.7109375" style="846" customWidth="1"/>
    <col min="4156" max="4156" width="16.140625" style="846" customWidth="1"/>
    <col min="4157" max="4157" width="19" style="846" customWidth="1"/>
    <col min="4158" max="4158" width="20" style="846" bestFit="1" customWidth="1"/>
    <col min="4159" max="4159" width="16.7109375" style="846" bestFit="1" customWidth="1"/>
    <col min="4160" max="4160" width="43.28515625" style="846" customWidth="1"/>
    <col min="4161" max="4405" width="0.85546875" style="846"/>
    <col min="4406" max="4406" width="7.28515625" style="846" customWidth="1"/>
    <col min="4407" max="4407" width="57.5703125" style="846" customWidth="1"/>
    <col min="4408" max="4408" width="13.140625" style="846" customWidth="1"/>
    <col min="4409" max="4409" width="13.5703125" style="846" customWidth="1"/>
    <col min="4410" max="4410" width="18.7109375" style="846" bestFit="1" customWidth="1"/>
    <col min="4411" max="4411" width="20.7109375" style="846" customWidth="1"/>
    <col min="4412" max="4412" width="16.140625" style="846" customWidth="1"/>
    <col min="4413" max="4413" width="19" style="846" customWidth="1"/>
    <col min="4414" max="4414" width="20" style="846" bestFit="1" customWidth="1"/>
    <col min="4415" max="4415" width="16.7109375" style="846" bestFit="1" customWidth="1"/>
    <col min="4416" max="4416" width="43.28515625" style="846" customWidth="1"/>
    <col min="4417" max="4661" width="0.85546875" style="846"/>
    <col min="4662" max="4662" width="7.28515625" style="846" customWidth="1"/>
    <col min="4663" max="4663" width="57.5703125" style="846" customWidth="1"/>
    <col min="4664" max="4664" width="13.140625" style="846" customWidth="1"/>
    <col min="4665" max="4665" width="13.5703125" style="846" customWidth="1"/>
    <col min="4666" max="4666" width="18.7109375" style="846" bestFit="1" customWidth="1"/>
    <col min="4667" max="4667" width="20.7109375" style="846" customWidth="1"/>
    <col min="4668" max="4668" width="16.140625" style="846" customWidth="1"/>
    <col min="4669" max="4669" width="19" style="846" customWidth="1"/>
    <col min="4670" max="4670" width="20" style="846" bestFit="1" customWidth="1"/>
    <col min="4671" max="4671" width="16.7109375" style="846" bestFit="1" customWidth="1"/>
    <col min="4672" max="4672" width="43.28515625" style="846" customWidth="1"/>
    <col min="4673" max="4917" width="0.85546875" style="846"/>
    <col min="4918" max="4918" width="7.28515625" style="846" customWidth="1"/>
    <col min="4919" max="4919" width="57.5703125" style="846" customWidth="1"/>
    <col min="4920" max="4920" width="13.140625" style="846" customWidth="1"/>
    <col min="4921" max="4921" width="13.5703125" style="846" customWidth="1"/>
    <col min="4922" max="4922" width="18.7109375" style="846" bestFit="1" customWidth="1"/>
    <col min="4923" max="4923" width="20.7109375" style="846" customWidth="1"/>
    <col min="4924" max="4924" width="16.140625" style="846" customWidth="1"/>
    <col min="4925" max="4925" width="19" style="846" customWidth="1"/>
    <col min="4926" max="4926" width="20" style="846" bestFit="1" customWidth="1"/>
    <col min="4927" max="4927" width="16.7109375" style="846" bestFit="1" customWidth="1"/>
    <col min="4928" max="4928" width="43.28515625" style="846" customWidth="1"/>
    <col min="4929" max="5173" width="0.85546875" style="846"/>
    <col min="5174" max="5174" width="7.28515625" style="846" customWidth="1"/>
    <col min="5175" max="5175" width="57.5703125" style="846" customWidth="1"/>
    <col min="5176" max="5176" width="13.140625" style="846" customWidth="1"/>
    <col min="5177" max="5177" width="13.5703125" style="846" customWidth="1"/>
    <col min="5178" max="5178" width="18.7109375" style="846" bestFit="1" customWidth="1"/>
    <col min="5179" max="5179" width="20.7109375" style="846" customWidth="1"/>
    <col min="5180" max="5180" width="16.140625" style="846" customWidth="1"/>
    <col min="5181" max="5181" width="19" style="846" customWidth="1"/>
    <col min="5182" max="5182" width="20" style="846" bestFit="1" customWidth="1"/>
    <col min="5183" max="5183" width="16.7109375" style="846" bestFit="1" customWidth="1"/>
    <col min="5184" max="5184" width="43.28515625" style="846" customWidth="1"/>
    <col min="5185" max="5429" width="0.85546875" style="846"/>
    <col min="5430" max="5430" width="7.28515625" style="846" customWidth="1"/>
    <col min="5431" max="5431" width="57.5703125" style="846" customWidth="1"/>
    <col min="5432" max="5432" width="13.140625" style="846" customWidth="1"/>
    <col min="5433" max="5433" width="13.5703125" style="846" customWidth="1"/>
    <col min="5434" max="5434" width="18.7109375" style="846" bestFit="1" customWidth="1"/>
    <col min="5435" max="5435" width="20.7109375" style="846" customWidth="1"/>
    <col min="5436" max="5436" width="16.140625" style="846" customWidth="1"/>
    <col min="5437" max="5437" width="19" style="846" customWidth="1"/>
    <col min="5438" max="5438" width="20" style="846" bestFit="1" customWidth="1"/>
    <col min="5439" max="5439" width="16.7109375" style="846" bestFit="1" customWidth="1"/>
    <col min="5440" max="5440" width="43.28515625" style="846" customWidth="1"/>
    <col min="5441" max="5685" width="0.85546875" style="846"/>
    <col min="5686" max="5686" width="7.28515625" style="846" customWidth="1"/>
    <col min="5687" max="5687" width="57.5703125" style="846" customWidth="1"/>
    <col min="5688" max="5688" width="13.140625" style="846" customWidth="1"/>
    <col min="5689" max="5689" width="13.5703125" style="846" customWidth="1"/>
    <col min="5690" max="5690" width="18.7109375" style="846" bestFit="1" customWidth="1"/>
    <col min="5691" max="5691" width="20.7109375" style="846" customWidth="1"/>
    <col min="5692" max="5692" width="16.140625" style="846" customWidth="1"/>
    <col min="5693" max="5693" width="19" style="846" customWidth="1"/>
    <col min="5694" max="5694" width="20" style="846" bestFit="1" customWidth="1"/>
    <col min="5695" max="5695" width="16.7109375" style="846" bestFit="1" customWidth="1"/>
    <col min="5696" max="5696" width="43.28515625" style="846" customWidth="1"/>
    <col min="5697" max="5941" width="0.85546875" style="846"/>
    <col min="5942" max="5942" width="7.28515625" style="846" customWidth="1"/>
    <col min="5943" max="5943" width="57.5703125" style="846" customWidth="1"/>
    <col min="5944" max="5944" width="13.140625" style="846" customWidth="1"/>
    <col min="5945" max="5945" width="13.5703125" style="846" customWidth="1"/>
    <col min="5946" max="5946" width="18.7109375" style="846" bestFit="1" customWidth="1"/>
    <col min="5947" max="5947" width="20.7109375" style="846" customWidth="1"/>
    <col min="5948" max="5948" width="16.140625" style="846" customWidth="1"/>
    <col min="5949" max="5949" width="19" style="846" customWidth="1"/>
    <col min="5950" max="5950" width="20" style="846" bestFit="1" customWidth="1"/>
    <col min="5951" max="5951" width="16.7109375" style="846" bestFit="1" customWidth="1"/>
    <col min="5952" max="5952" width="43.28515625" style="846" customWidth="1"/>
    <col min="5953" max="6197" width="0.85546875" style="846"/>
    <col min="6198" max="6198" width="7.28515625" style="846" customWidth="1"/>
    <col min="6199" max="6199" width="57.5703125" style="846" customWidth="1"/>
    <col min="6200" max="6200" width="13.140625" style="846" customWidth="1"/>
    <col min="6201" max="6201" width="13.5703125" style="846" customWidth="1"/>
    <col min="6202" max="6202" width="18.7109375" style="846" bestFit="1" customWidth="1"/>
    <col min="6203" max="6203" width="20.7109375" style="846" customWidth="1"/>
    <col min="6204" max="6204" width="16.140625" style="846" customWidth="1"/>
    <col min="6205" max="6205" width="19" style="846" customWidth="1"/>
    <col min="6206" max="6206" width="20" style="846" bestFit="1" customWidth="1"/>
    <col min="6207" max="6207" width="16.7109375" style="846" bestFit="1" customWidth="1"/>
    <col min="6208" max="6208" width="43.28515625" style="846" customWidth="1"/>
    <col min="6209" max="6453" width="0.85546875" style="846"/>
    <col min="6454" max="6454" width="7.28515625" style="846" customWidth="1"/>
    <col min="6455" max="6455" width="57.5703125" style="846" customWidth="1"/>
    <col min="6456" max="6456" width="13.140625" style="846" customWidth="1"/>
    <col min="6457" max="6457" width="13.5703125" style="846" customWidth="1"/>
    <col min="6458" max="6458" width="18.7109375" style="846" bestFit="1" customWidth="1"/>
    <col min="6459" max="6459" width="20.7109375" style="846" customWidth="1"/>
    <col min="6460" max="6460" width="16.140625" style="846" customWidth="1"/>
    <col min="6461" max="6461" width="19" style="846" customWidth="1"/>
    <col min="6462" max="6462" width="20" style="846" bestFit="1" customWidth="1"/>
    <col min="6463" max="6463" width="16.7109375" style="846" bestFit="1" customWidth="1"/>
    <col min="6464" max="6464" width="43.28515625" style="846" customWidth="1"/>
    <col min="6465" max="6709" width="0.85546875" style="846"/>
    <col min="6710" max="6710" width="7.28515625" style="846" customWidth="1"/>
    <col min="6711" max="6711" width="57.5703125" style="846" customWidth="1"/>
    <col min="6712" max="6712" width="13.140625" style="846" customWidth="1"/>
    <col min="6713" max="6713" width="13.5703125" style="846" customWidth="1"/>
    <col min="6714" max="6714" width="18.7109375" style="846" bestFit="1" customWidth="1"/>
    <col min="6715" max="6715" width="20.7109375" style="846" customWidth="1"/>
    <col min="6716" max="6716" width="16.140625" style="846" customWidth="1"/>
    <col min="6717" max="6717" width="19" style="846" customWidth="1"/>
    <col min="6718" max="6718" width="20" style="846" bestFit="1" customWidth="1"/>
    <col min="6719" max="6719" width="16.7109375" style="846" bestFit="1" customWidth="1"/>
    <col min="6720" max="6720" width="43.28515625" style="846" customWidth="1"/>
    <col min="6721" max="6965" width="0.85546875" style="846"/>
    <col min="6966" max="6966" width="7.28515625" style="846" customWidth="1"/>
    <col min="6967" max="6967" width="57.5703125" style="846" customWidth="1"/>
    <col min="6968" max="6968" width="13.140625" style="846" customWidth="1"/>
    <col min="6969" max="6969" width="13.5703125" style="846" customWidth="1"/>
    <col min="6970" max="6970" width="18.7109375" style="846" bestFit="1" customWidth="1"/>
    <col min="6971" max="6971" width="20.7109375" style="846" customWidth="1"/>
    <col min="6972" max="6972" width="16.140625" style="846" customWidth="1"/>
    <col min="6973" max="6973" width="19" style="846" customWidth="1"/>
    <col min="6974" max="6974" width="20" style="846" bestFit="1" customWidth="1"/>
    <col min="6975" max="6975" width="16.7109375" style="846" bestFit="1" customWidth="1"/>
    <col min="6976" max="6976" width="43.28515625" style="846" customWidth="1"/>
    <col min="6977" max="7221" width="0.85546875" style="846"/>
    <col min="7222" max="7222" width="7.28515625" style="846" customWidth="1"/>
    <col min="7223" max="7223" width="57.5703125" style="846" customWidth="1"/>
    <col min="7224" max="7224" width="13.140625" style="846" customWidth="1"/>
    <col min="7225" max="7225" width="13.5703125" style="846" customWidth="1"/>
    <col min="7226" max="7226" width="18.7109375" style="846" bestFit="1" customWidth="1"/>
    <col min="7227" max="7227" width="20.7109375" style="846" customWidth="1"/>
    <col min="7228" max="7228" width="16.140625" style="846" customWidth="1"/>
    <col min="7229" max="7229" width="19" style="846" customWidth="1"/>
    <col min="7230" max="7230" width="20" style="846" bestFit="1" customWidth="1"/>
    <col min="7231" max="7231" width="16.7109375" style="846" bestFit="1" customWidth="1"/>
    <col min="7232" max="7232" width="43.28515625" style="846" customWidth="1"/>
    <col min="7233" max="7477" width="0.85546875" style="846"/>
    <col min="7478" max="7478" width="7.28515625" style="846" customWidth="1"/>
    <col min="7479" max="7479" width="57.5703125" style="846" customWidth="1"/>
    <col min="7480" max="7480" width="13.140625" style="846" customWidth="1"/>
    <col min="7481" max="7481" width="13.5703125" style="846" customWidth="1"/>
    <col min="7482" max="7482" width="18.7109375" style="846" bestFit="1" customWidth="1"/>
    <col min="7483" max="7483" width="20.7109375" style="846" customWidth="1"/>
    <col min="7484" max="7484" width="16.140625" style="846" customWidth="1"/>
    <col min="7485" max="7485" width="19" style="846" customWidth="1"/>
    <col min="7486" max="7486" width="20" style="846" bestFit="1" customWidth="1"/>
    <col min="7487" max="7487" width="16.7109375" style="846" bestFit="1" customWidth="1"/>
    <col min="7488" max="7488" width="43.28515625" style="846" customWidth="1"/>
    <col min="7489" max="7733" width="0.85546875" style="846"/>
    <col min="7734" max="7734" width="7.28515625" style="846" customWidth="1"/>
    <col min="7735" max="7735" width="57.5703125" style="846" customWidth="1"/>
    <col min="7736" max="7736" width="13.140625" style="846" customWidth="1"/>
    <col min="7737" max="7737" width="13.5703125" style="846" customWidth="1"/>
    <col min="7738" max="7738" width="18.7109375" style="846" bestFit="1" customWidth="1"/>
    <col min="7739" max="7739" width="20.7109375" style="846" customWidth="1"/>
    <col min="7740" max="7740" width="16.140625" style="846" customWidth="1"/>
    <col min="7741" max="7741" width="19" style="846" customWidth="1"/>
    <col min="7742" max="7742" width="20" style="846" bestFit="1" customWidth="1"/>
    <col min="7743" max="7743" width="16.7109375" style="846" bestFit="1" customWidth="1"/>
    <col min="7744" max="7744" width="43.28515625" style="846" customWidth="1"/>
    <col min="7745" max="7989" width="0.85546875" style="846"/>
    <col min="7990" max="7990" width="7.28515625" style="846" customWidth="1"/>
    <col min="7991" max="7991" width="57.5703125" style="846" customWidth="1"/>
    <col min="7992" max="7992" width="13.140625" style="846" customWidth="1"/>
    <col min="7993" max="7993" width="13.5703125" style="846" customWidth="1"/>
    <col min="7994" max="7994" width="18.7109375" style="846" bestFit="1" customWidth="1"/>
    <col min="7995" max="7995" width="20.7109375" style="846" customWidth="1"/>
    <col min="7996" max="7996" width="16.140625" style="846" customWidth="1"/>
    <col min="7997" max="7997" width="19" style="846" customWidth="1"/>
    <col min="7998" max="7998" width="20" style="846" bestFit="1" customWidth="1"/>
    <col min="7999" max="7999" width="16.7109375" style="846" bestFit="1" customWidth="1"/>
    <col min="8000" max="8000" width="43.28515625" style="846" customWidth="1"/>
    <col min="8001" max="8245" width="0.85546875" style="846"/>
    <col min="8246" max="8246" width="7.28515625" style="846" customWidth="1"/>
    <col min="8247" max="8247" width="57.5703125" style="846" customWidth="1"/>
    <col min="8248" max="8248" width="13.140625" style="846" customWidth="1"/>
    <col min="8249" max="8249" width="13.5703125" style="846" customWidth="1"/>
    <col min="8250" max="8250" width="18.7109375" style="846" bestFit="1" customWidth="1"/>
    <col min="8251" max="8251" width="20.7109375" style="846" customWidth="1"/>
    <col min="8252" max="8252" width="16.140625" style="846" customWidth="1"/>
    <col min="8253" max="8253" width="19" style="846" customWidth="1"/>
    <col min="8254" max="8254" width="20" style="846" bestFit="1" customWidth="1"/>
    <col min="8255" max="8255" width="16.7109375" style="846" bestFit="1" customWidth="1"/>
    <col min="8256" max="8256" width="43.28515625" style="846" customWidth="1"/>
    <col min="8257" max="8501" width="0.85546875" style="846"/>
    <col min="8502" max="8502" width="7.28515625" style="846" customWidth="1"/>
    <col min="8503" max="8503" width="57.5703125" style="846" customWidth="1"/>
    <col min="8504" max="8504" width="13.140625" style="846" customWidth="1"/>
    <col min="8505" max="8505" width="13.5703125" style="846" customWidth="1"/>
    <col min="8506" max="8506" width="18.7109375" style="846" bestFit="1" customWidth="1"/>
    <col min="8507" max="8507" width="20.7109375" style="846" customWidth="1"/>
    <col min="8508" max="8508" width="16.140625" style="846" customWidth="1"/>
    <col min="8509" max="8509" width="19" style="846" customWidth="1"/>
    <col min="8510" max="8510" width="20" style="846" bestFit="1" customWidth="1"/>
    <col min="8511" max="8511" width="16.7109375" style="846" bestFit="1" customWidth="1"/>
    <col min="8512" max="8512" width="43.28515625" style="846" customWidth="1"/>
    <col min="8513" max="8757" width="0.85546875" style="846"/>
    <col min="8758" max="8758" width="7.28515625" style="846" customWidth="1"/>
    <col min="8759" max="8759" width="57.5703125" style="846" customWidth="1"/>
    <col min="8760" max="8760" width="13.140625" style="846" customWidth="1"/>
    <col min="8761" max="8761" width="13.5703125" style="846" customWidth="1"/>
    <col min="8762" max="8762" width="18.7109375" style="846" bestFit="1" customWidth="1"/>
    <col min="8763" max="8763" width="20.7109375" style="846" customWidth="1"/>
    <col min="8764" max="8764" width="16.140625" style="846" customWidth="1"/>
    <col min="8765" max="8765" width="19" style="846" customWidth="1"/>
    <col min="8766" max="8766" width="20" style="846" bestFit="1" customWidth="1"/>
    <col min="8767" max="8767" width="16.7109375" style="846" bestFit="1" customWidth="1"/>
    <col min="8768" max="8768" width="43.28515625" style="846" customWidth="1"/>
    <col min="8769" max="9013" width="0.85546875" style="846"/>
    <col min="9014" max="9014" width="7.28515625" style="846" customWidth="1"/>
    <col min="9015" max="9015" width="57.5703125" style="846" customWidth="1"/>
    <col min="9016" max="9016" width="13.140625" style="846" customWidth="1"/>
    <col min="9017" max="9017" width="13.5703125" style="846" customWidth="1"/>
    <col min="9018" max="9018" width="18.7109375" style="846" bestFit="1" customWidth="1"/>
    <col min="9019" max="9019" width="20.7109375" style="846" customWidth="1"/>
    <col min="9020" max="9020" width="16.140625" style="846" customWidth="1"/>
    <col min="9021" max="9021" width="19" style="846" customWidth="1"/>
    <col min="9022" max="9022" width="20" style="846" bestFit="1" customWidth="1"/>
    <col min="9023" max="9023" width="16.7109375" style="846" bestFit="1" customWidth="1"/>
    <col min="9024" max="9024" width="43.28515625" style="846" customWidth="1"/>
    <col min="9025" max="9269" width="0.85546875" style="846"/>
    <col min="9270" max="9270" width="7.28515625" style="846" customWidth="1"/>
    <col min="9271" max="9271" width="57.5703125" style="846" customWidth="1"/>
    <col min="9272" max="9272" width="13.140625" style="846" customWidth="1"/>
    <col min="9273" max="9273" width="13.5703125" style="846" customWidth="1"/>
    <col min="9274" max="9274" width="18.7109375" style="846" bestFit="1" customWidth="1"/>
    <col min="9275" max="9275" width="20.7109375" style="846" customWidth="1"/>
    <col min="9276" max="9276" width="16.140625" style="846" customWidth="1"/>
    <col min="9277" max="9277" width="19" style="846" customWidth="1"/>
    <col min="9278" max="9278" width="20" style="846" bestFit="1" customWidth="1"/>
    <col min="9279" max="9279" width="16.7109375" style="846" bestFit="1" customWidth="1"/>
    <col min="9280" max="9280" width="43.28515625" style="846" customWidth="1"/>
    <col min="9281" max="9525" width="0.85546875" style="846"/>
    <col min="9526" max="9526" width="7.28515625" style="846" customWidth="1"/>
    <col min="9527" max="9527" width="57.5703125" style="846" customWidth="1"/>
    <col min="9528" max="9528" width="13.140625" style="846" customWidth="1"/>
    <col min="9529" max="9529" width="13.5703125" style="846" customWidth="1"/>
    <col min="9530" max="9530" width="18.7109375" style="846" bestFit="1" customWidth="1"/>
    <col min="9531" max="9531" width="20.7109375" style="846" customWidth="1"/>
    <col min="9532" max="9532" width="16.140625" style="846" customWidth="1"/>
    <col min="9533" max="9533" width="19" style="846" customWidth="1"/>
    <col min="9534" max="9534" width="20" style="846" bestFit="1" customWidth="1"/>
    <col min="9535" max="9535" width="16.7109375" style="846" bestFit="1" customWidth="1"/>
    <col min="9536" max="9536" width="43.28515625" style="846" customWidth="1"/>
    <col min="9537" max="9781" width="0.85546875" style="846"/>
    <col min="9782" max="9782" width="7.28515625" style="846" customWidth="1"/>
    <col min="9783" max="9783" width="57.5703125" style="846" customWidth="1"/>
    <col min="9784" max="9784" width="13.140625" style="846" customWidth="1"/>
    <col min="9785" max="9785" width="13.5703125" style="846" customWidth="1"/>
    <col min="9786" max="9786" width="18.7109375" style="846" bestFit="1" customWidth="1"/>
    <col min="9787" max="9787" width="20.7109375" style="846" customWidth="1"/>
    <col min="9788" max="9788" width="16.140625" style="846" customWidth="1"/>
    <col min="9789" max="9789" width="19" style="846" customWidth="1"/>
    <col min="9790" max="9790" width="20" style="846" bestFit="1" customWidth="1"/>
    <col min="9791" max="9791" width="16.7109375" style="846" bestFit="1" customWidth="1"/>
    <col min="9792" max="9792" width="43.28515625" style="846" customWidth="1"/>
    <col min="9793" max="10037" width="0.85546875" style="846"/>
    <col min="10038" max="10038" width="7.28515625" style="846" customWidth="1"/>
    <col min="10039" max="10039" width="57.5703125" style="846" customWidth="1"/>
    <col min="10040" max="10040" width="13.140625" style="846" customWidth="1"/>
    <col min="10041" max="10041" width="13.5703125" style="846" customWidth="1"/>
    <col min="10042" max="10042" width="18.7109375" style="846" bestFit="1" customWidth="1"/>
    <col min="10043" max="10043" width="20.7109375" style="846" customWidth="1"/>
    <col min="10044" max="10044" width="16.140625" style="846" customWidth="1"/>
    <col min="10045" max="10045" width="19" style="846" customWidth="1"/>
    <col min="10046" max="10046" width="20" style="846" bestFit="1" customWidth="1"/>
    <col min="10047" max="10047" width="16.7109375" style="846" bestFit="1" customWidth="1"/>
    <col min="10048" max="10048" width="43.28515625" style="846" customWidth="1"/>
    <col min="10049" max="10293" width="0.85546875" style="846"/>
    <col min="10294" max="10294" width="7.28515625" style="846" customWidth="1"/>
    <col min="10295" max="10295" width="57.5703125" style="846" customWidth="1"/>
    <col min="10296" max="10296" width="13.140625" style="846" customWidth="1"/>
    <col min="10297" max="10297" width="13.5703125" style="846" customWidth="1"/>
    <col min="10298" max="10298" width="18.7109375" style="846" bestFit="1" customWidth="1"/>
    <col min="10299" max="10299" width="20.7109375" style="846" customWidth="1"/>
    <col min="10300" max="10300" width="16.140625" style="846" customWidth="1"/>
    <col min="10301" max="10301" width="19" style="846" customWidth="1"/>
    <col min="10302" max="10302" width="20" style="846" bestFit="1" customWidth="1"/>
    <col min="10303" max="10303" width="16.7109375" style="846" bestFit="1" customWidth="1"/>
    <col min="10304" max="10304" width="43.28515625" style="846" customWidth="1"/>
    <col min="10305" max="10549" width="0.85546875" style="846"/>
    <col min="10550" max="10550" width="7.28515625" style="846" customWidth="1"/>
    <col min="10551" max="10551" width="57.5703125" style="846" customWidth="1"/>
    <col min="10552" max="10552" width="13.140625" style="846" customWidth="1"/>
    <col min="10553" max="10553" width="13.5703125" style="846" customWidth="1"/>
    <col min="10554" max="10554" width="18.7109375" style="846" bestFit="1" customWidth="1"/>
    <col min="10555" max="10555" width="20.7109375" style="846" customWidth="1"/>
    <col min="10556" max="10556" width="16.140625" style="846" customWidth="1"/>
    <col min="10557" max="10557" width="19" style="846" customWidth="1"/>
    <col min="10558" max="10558" width="20" style="846" bestFit="1" customWidth="1"/>
    <col min="10559" max="10559" width="16.7109375" style="846" bestFit="1" customWidth="1"/>
    <col min="10560" max="10560" width="43.28515625" style="846" customWidth="1"/>
    <col min="10561" max="10805" width="0.85546875" style="846"/>
    <col min="10806" max="10806" width="7.28515625" style="846" customWidth="1"/>
    <col min="10807" max="10807" width="57.5703125" style="846" customWidth="1"/>
    <col min="10808" max="10808" width="13.140625" style="846" customWidth="1"/>
    <col min="10809" max="10809" width="13.5703125" style="846" customWidth="1"/>
    <col min="10810" max="10810" width="18.7109375" style="846" bestFit="1" customWidth="1"/>
    <col min="10811" max="10811" width="20.7109375" style="846" customWidth="1"/>
    <col min="10812" max="10812" width="16.140625" style="846" customWidth="1"/>
    <col min="10813" max="10813" width="19" style="846" customWidth="1"/>
    <col min="10814" max="10814" width="20" style="846" bestFit="1" customWidth="1"/>
    <col min="10815" max="10815" width="16.7109375" style="846" bestFit="1" customWidth="1"/>
    <col min="10816" max="10816" width="43.28515625" style="846" customWidth="1"/>
    <col min="10817" max="11061" width="0.85546875" style="846"/>
    <col min="11062" max="11062" width="7.28515625" style="846" customWidth="1"/>
    <col min="11063" max="11063" width="57.5703125" style="846" customWidth="1"/>
    <col min="11064" max="11064" width="13.140625" style="846" customWidth="1"/>
    <col min="11065" max="11065" width="13.5703125" style="846" customWidth="1"/>
    <col min="11066" max="11066" width="18.7109375" style="846" bestFit="1" customWidth="1"/>
    <col min="11067" max="11067" width="20.7109375" style="846" customWidth="1"/>
    <col min="11068" max="11068" width="16.140625" style="846" customWidth="1"/>
    <col min="11069" max="11069" width="19" style="846" customWidth="1"/>
    <col min="11070" max="11070" width="20" style="846" bestFit="1" customWidth="1"/>
    <col min="11071" max="11071" width="16.7109375" style="846" bestFit="1" customWidth="1"/>
    <col min="11072" max="11072" width="43.28515625" style="846" customWidth="1"/>
    <col min="11073" max="11317" width="0.85546875" style="846"/>
    <col min="11318" max="11318" width="7.28515625" style="846" customWidth="1"/>
    <col min="11319" max="11319" width="57.5703125" style="846" customWidth="1"/>
    <col min="11320" max="11320" width="13.140625" style="846" customWidth="1"/>
    <col min="11321" max="11321" width="13.5703125" style="846" customWidth="1"/>
    <col min="11322" max="11322" width="18.7109375" style="846" bestFit="1" customWidth="1"/>
    <col min="11323" max="11323" width="20.7109375" style="846" customWidth="1"/>
    <col min="11324" max="11324" width="16.140625" style="846" customWidth="1"/>
    <col min="11325" max="11325" width="19" style="846" customWidth="1"/>
    <col min="11326" max="11326" width="20" style="846" bestFit="1" customWidth="1"/>
    <col min="11327" max="11327" width="16.7109375" style="846" bestFit="1" customWidth="1"/>
    <col min="11328" max="11328" width="43.28515625" style="846" customWidth="1"/>
    <col min="11329" max="11573" width="0.85546875" style="846"/>
    <col min="11574" max="11574" width="7.28515625" style="846" customWidth="1"/>
    <col min="11575" max="11575" width="57.5703125" style="846" customWidth="1"/>
    <col min="11576" max="11576" width="13.140625" style="846" customWidth="1"/>
    <col min="11577" max="11577" width="13.5703125" style="846" customWidth="1"/>
    <col min="11578" max="11578" width="18.7109375" style="846" bestFit="1" customWidth="1"/>
    <col min="11579" max="11579" width="20.7109375" style="846" customWidth="1"/>
    <col min="11580" max="11580" width="16.140625" style="846" customWidth="1"/>
    <col min="11581" max="11581" width="19" style="846" customWidth="1"/>
    <col min="11582" max="11582" width="20" style="846" bestFit="1" customWidth="1"/>
    <col min="11583" max="11583" width="16.7109375" style="846" bestFit="1" customWidth="1"/>
    <col min="11584" max="11584" width="43.28515625" style="846" customWidth="1"/>
    <col min="11585" max="11829" width="0.85546875" style="846"/>
    <col min="11830" max="11830" width="7.28515625" style="846" customWidth="1"/>
    <col min="11831" max="11831" width="57.5703125" style="846" customWidth="1"/>
    <col min="11832" max="11832" width="13.140625" style="846" customWidth="1"/>
    <col min="11833" max="11833" width="13.5703125" style="846" customWidth="1"/>
    <col min="11834" max="11834" width="18.7109375" style="846" bestFit="1" customWidth="1"/>
    <col min="11835" max="11835" width="20.7109375" style="846" customWidth="1"/>
    <col min="11836" max="11836" width="16.140625" style="846" customWidth="1"/>
    <col min="11837" max="11837" width="19" style="846" customWidth="1"/>
    <col min="11838" max="11838" width="20" style="846" bestFit="1" customWidth="1"/>
    <col min="11839" max="11839" width="16.7109375" style="846" bestFit="1" customWidth="1"/>
    <col min="11840" max="11840" width="43.28515625" style="846" customWidth="1"/>
    <col min="11841" max="12085" width="0.85546875" style="846"/>
    <col min="12086" max="12086" width="7.28515625" style="846" customWidth="1"/>
    <col min="12087" max="12087" width="57.5703125" style="846" customWidth="1"/>
    <col min="12088" max="12088" width="13.140625" style="846" customWidth="1"/>
    <col min="12089" max="12089" width="13.5703125" style="846" customWidth="1"/>
    <col min="12090" max="12090" width="18.7109375" style="846" bestFit="1" customWidth="1"/>
    <col min="12091" max="12091" width="20.7109375" style="846" customWidth="1"/>
    <col min="12092" max="12092" width="16.140625" style="846" customWidth="1"/>
    <col min="12093" max="12093" width="19" style="846" customWidth="1"/>
    <col min="12094" max="12094" width="20" style="846" bestFit="1" customWidth="1"/>
    <col min="12095" max="12095" width="16.7109375" style="846" bestFit="1" customWidth="1"/>
    <col min="12096" max="12096" width="43.28515625" style="846" customWidth="1"/>
    <col min="12097" max="12341" width="0.85546875" style="846"/>
    <col min="12342" max="12342" width="7.28515625" style="846" customWidth="1"/>
    <col min="12343" max="12343" width="57.5703125" style="846" customWidth="1"/>
    <col min="12344" max="12344" width="13.140625" style="846" customWidth="1"/>
    <col min="12345" max="12345" width="13.5703125" style="846" customWidth="1"/>
    <col min="12346" max="12346" width="18.7109375" style="846" bestFit="1" customWidth="1"/>
    <col min="12347" max="12347" width="20.7109375" style="846" customWidth="1"/>
    <col min="12348" max="12348" width="16.140625" style="846" customWidth="1"/>
    <col min="12349" max="12349" width="19" style="846" customWidth="1"/>
    <col min="12350" max="12350" width="20" style="846" bestFit="1" customWidth="1"/>
    <col min="12351" max="12351" width="16.7109375" style="846" bestFit="1" customWidth="1"/>
    <col min="12352" max="12352" width="43.28515625" style="846" customWidth="1"/>
    <col min="12353" max="12597" width="0.85546875" style="846"/>
    <col min="12598" max="12598" width="7.28515625" style="846" customWidth="1"/>
    <col min="12599" max="12599" width="57.5703125" style="846" customWidth="1"/>
    <col min="12600" max="12600" width="13.140625" style="846" customWidth="1"/>
    <col min="12601" max="12601" width="13.5703125" style="846" customWidth="1"/>
    <col min="12602" max="12602" width="18.7109375" style="846" bestFit="1" customWidth="1"/>
    <col min="12603" max="12603" width="20.7109375" style="846" customWidth="1"/>
    <col min="12604" max="12604" width="16.140625" style="846" customWidth="1"/>
    <col min="12605" max="12605" width="19" style="846" customWidth="1"/>
    <col min="12606" max="12606" width="20" style="846" bestFit="1" customWidth="1"/>
    <col min="12607" max="12607" width="16.7109375" style="846" bestFit="1" customWidth="1"/>
    <col min="12608" max="12608" width="43.28515625" style="846" customWidth="1"/>
    <col min="12609" max="12853" width="0.85546875" style="846"/>
    <col min="12854" max="12854" width="7.28515625" style="846" customWidth="1"/>
    <col min="12855" max="12855" width="57.5703125" style="846" customWidth="1"/>
    <col min="12856" max="12856" width="13.140625" style="846" customWidth="1"/>
    <col min="12857" max="12857" width="13.5703125" style="846" customWidth="1"/>
    <col min="12858" max="12858" width="18.7109375" style="846" bestFit="1" customWidth="1"/>
    <col min="12859" max="12859" width="20.7109375" style="846" customWidth="1"/>
    <col min="12860" max="12860" width="16.140625" style="846" customWidth="1"/>
    <col min="12861" max="12861" width="19" style="846" customWidth="1"/>
    <col min="12862" max="12862" width="20" style="846" bestFit="1" customWidth="1"/>
    <col min="12863" max="12863" width="16.7109375" style="846" bestFit="1" customWidth="1"/>
    <col min="12864" max="12864" width="43.28515625" style="846" customWidth="1"/>
    <col min="12865" max="13109" width="0.85546875" style="846"/>
    <col min="13110" max="13110" width="7.28515625" style="846" customWidth="1"/>
    <col min="13111" max="13111" width="57.5703125" style="846" customWidth="1"/>
    <col min="13112" max="13112" width="13.140625" style="846" customWidth="1"/>
    <col min="13113" max="13113" width="13.5703125" style="846" customWidth="1"/>
    <col min="13114" max="13114" width="18.7109375" style="846" bestFit="1" customWidth="1"/>
    <col min="13115" max="13115" width="20.7109375" style="846" customWidth="1"/>
    <col min="13116" max="13116" width="16.140625" style="846" customWidth="1"/>
    <col min="13117" max="13117" width="19" style="846" customWidth="1"/>
    <col min="13118" max="13118" width="20" style="846" bestFit="1" customWidth="1"/>
    <col min="13119" max="13119" width="16.7109375" style="846" bestFit="1" customWidth="1"/>
    <col min="13120" max="13120" width="43.28515625" style="846" customWidth="1"/>
    <col min="13121" max="13365" width="0.85546875" style="846"/>
    <col min="13366" max="13366" width="7.28515625" style="846" customWidth="1"/>
    <col min="13367" max="13367" width="57.5703125" style="846" customWidth="1"/>
    <col min="13368" max="13368" width="13.140625" style="846" customWidth="1"/>
    <col min="13369" max="13369" width="13.5703125" style="846" customWidth="1"/>
    <col min="13370" max="13370" width="18.7109375" style="846" bestFit="1" customWidth="1"/>
    <col min="13371" max="13371" width="20.7109375" style="846" customWidth="1"/>
    <col min="13372" max="13372" width="16.140625" style="846" customWidth="1"/>
    <col min="13373" max="13373" width="19" style="846" customWidth="1"/>
    <col min="13374" max="13374" width="20" style="846" bestFit="1" customWidth="1"/>
    <col min="13375" max="13375" width="16.7109375" style="846" bestFit="1" customWidth="1"/>
    <col min="13376" max="13376" width="43.28515625" style="846" customWidth="1"/>
    <col min="13377" max="13621" width="0.85546875" style="846"/>
    <col min="13622" max="13622" width="7.28515625" style="846" customWidth="1"/>
    <col min="13623" max="13623" width="57.5703125" style="846" customWidth="1"/>
    <col min="13624" max="13624" width="13.140625" style="846" customWidth="1"/>
    <col min="13625" max="13625" width="13.5703125" style="846" customWidth="1"/>
    <col min="13626" max="13626" width="18.7109375" style="846" bestFit="1" customWidth="1"/>
    <col min="13627" max="13627" width="20.7109375" style="846" customWidth="1"/>
    <col min="13628" max="13628" width="16.140625" style="846" customWidth="1"/>
    <col min="13629" max="13629" width="19" style="846" customWidth="1"/>
    <col min="13630" max="13630" width="20" style="846" bestFit="1" customWidth="1"/>
    <col min="13631" max="13631" width="16.7109375" style="846" bestFit="1" customWidth="1"/>
    <col min="13632" max="13632" width="43.28515625" style="846" customWidth="1"/>
    <col min="13633" max="13877" width="0.85546875" style="846"/>
    <col min="13878" max="13878" width="7.28515625" style="846" customWidth="1"/>
    <col min="13879" max="13879" width="57.5703125" style="846" customWidth="1"/>
    <col min="13880" max="13880" width="13.140625" style="846" customWidth="1"/>
    <col min="13881" max="13881" width="13.5703125" style="846" customWidth="1"/>
    <col min="13882" max="13882" width="18.7109375" style="846" bestFit="1" customWidth="1"/>
    <col min="13883" max="13883" width="20.7109375" style="846" customWidth="1"/>
    <col min="13884" max="13884" width="16.140625" style="846" customWidth="1"/>
    <col min="13885" max="13885" width="19" style="846" customWidth="1"/>
    <col min="13886" max="13886" width="20" style="846" bestFit="1" customWidth="1"/>
    <col min="13887" max="13887" width="16.7109375" style="846" bestFit="1" customWidth="1"/>
    <col min="13888" max="13888" width="43.28515625" style="846" customWidth="1"/>
    <col min="13889" max="14133" width="0.85546875" style="846"/>
    <col min="14134" max="14134" width="7.28515625" style="846" customWidth="1"/>
    <col min="14135" max="14135" width="57.5703125" style="846" customWidth="1"/>
    <col min="14136" max="14136" width="13.140625" style="846" customWidth="1"/>
    <col min="14137" max="14137" width="13.5703125" style="846" customWidth="1"/>
    <col min="14138" max="14138" width="18.7109375" style="846" bestFit="1" customWidth="1"/>
    <col min="14139" max="14139" width="20.7109375" style="846" customWidth="1"/>
    <col min="14140" max="14140" width="16.140625" style="846" customWidth="1"/>
    <col min="14141" max="14141" width="19" style="846" customWidth="1"/>
    <col min="14142" max="14142" width="20" style="846" bestFit="1" customWidth="1"/>
    <col min="14143" max="14143" width="16.7109375" style="846" bestFit="1" customWidth="1"/>
    <col min="14144" max="14144" width="43.28515625" style="846" customWidth="1"/>
    <col min="14145" max="14389" width="0.85546875" style="846"/>
    <col min="14390" max="14390" width="7.28515625" style="846" customWidth="1"/>
    <col min="14391" max="14391" width="57.5703125" style="846" customWidth="1"/>
    <col min="14392" max="14392" width="13.140625" style="846" customWidth="1"/>
    <col min="14393" max="14393" width="13.5703125" style="846" customWidth="1"/>
    <col min="14394" max="14394" width="18.7109375" style="846" bestFit="1" customWidth="1"/>
    <col min="14395" max="14395" width="20.7109375" style="846" customWidth="1"/>
    <col min="14396" max="14396" width="16.140625" style="846" customWidth="1"/>
    <col min="14397" max="14397" width="19" style="846" customWidth="1"/>
    <col min="14398" max="14398" width="20" style="846" bestFit="1" customWidth="1"/>
    <col min="14399" max="14399" width="16.7109375" style="846" bestFit="1" customWidth="1"/>
    <col min="14400" max="14400" width="43.28515625" style="846" customWidth="1"/>
    <col min="14401" max="14645" width="0.85546875" style="846"/>
    <col min="14646" max="14646" width="7.28515625" style="846" customWidth="1"/>
    <col min="14647" max="14647" width="57.5703125" style="846" customWidth="1"/>
    <col min="14648" max="14648" width="13.140625" style="846" customWidth="1"/>
    <col min="14649" max="14649" width="13.5703125" style="846" customWidth="1"/>
    <col min="14650" max="14650" width="18.7109375" style="846" bestFit="1" customWidth="1"/>
    <col min="14651" max="14651" width="20.7109375" style="846" customWidth="1"/>
    <col min="14652" max="14652" width="16.140625" style="846" customWidth="1"/>
    <col min="14653" max="14653" width="19" style="846" customWidth="1"/>
    <col min="14654" max="14654" width="20" style="846" bestFit="1" customWidth="1"/>
    <col min="14655" max="14655" width="16.7109375" style="846" bestFit="1" customWidth="1"/>
    <col min="14656" max="14656" width="43.28515625" style="846" customWidth="1"/>
    <col min="14657" max="14901" width="0.85546875" style="846"/>
    <col min="14902" max="14902" width="7.28515625" style="846" customWidth="1"/>
    <col min="14903" max="14903" width="57.5703125" style="846" customWidth="1"/>
    <col min="14904" max="14904" width="13.140625" style="846" customWidth="1"/>
    <col min="14905" max="14905" width="13.5703125" style="846" customWidth="1"/>
    <col min="14906" max="14906" width="18.7109375" style="846" bestFit="1" customWidth="1"/>
    <col min="14907" max="14907" width="20.7109375" style="846" customWidth="1"/>
    <col min="14908" max="14908" width="16.140625" style="846" customWidth="1"/>
    <col min="14909" max="14909" width="19" style="846" customWidth="1"/>
    <col min="14910" max="14910" width="20" style="846" bestFit="1" customWidth="1"/>
    <col min="14911" max="14911" width="16.7109375" style="846" bestFit="1" customWidth="1"/>
    <col min="14912" max="14912" width="43.28515625" style="846" customWidth="1"/>
    <col min="14913" max="15157" width="0.85546875" style="846"/>
    <col min="15158" max="15158" width="7.28515625" style="846" customWidth="1"/>
    <col min="15159" max="15159" width="57.5703125" style="846" customWidth="1"/>
    <col min="15160" max="15160" width="13.140625" style="846" customWidth="1"/>
    <col min="15161" max="15161" width="13.5703125" style="846" customWidth="1"/>
    <col min="15162" max="15162" width="18.7109375" style="846" bestFit="1" customWidth="1"/>
    <col min="15163" max="15163" width="20.7109375" style="846" customWidth="1"/>
    <col min="15164" max="15164" width="16.140625" style="846" customWidth="1"/>
    <col min="15165" max="15165" width="19" style="846" customWidth="1"/>
    <col min="15166" max="15166" width="20" style="846" bestFit="1" customWidth="1"/>
    <col min="15167" max="15167" width="16.7109375" style="846" bestFit="1" customWidth="1"/>
    <col min="15168" max="15168" width="43.28515625" style="846" customWidth="1"/>
    <col min="15169" max="15413" width="0.85546875" style="846"/>
    <col min="15414" max="15414" width="7.28515625" style="846" customWidth="1"/>
    <col min="15415" max="15415" width="57.5703125" style="846" customWidth="1"/>
    <col min="15416" max="15416" width="13.140625" style="846" customWidth="1"/>
    <col min="15417" max="15417" width="13.5703125" style="846" customWidth="1"/>
    <col min="15418" max="15418" width="18.7109375" style="846" bestFit="1" customWidth="1"/>
    <col min="15419" max="15419" width="20.7109375" style="846" customWidth="1"/>
    <col min="15420" max="15420" width="16.140625" style="846" customWidth="1"/>
    <col min="15421" max="15421" width="19" style="846" customWidth="1"/>
    <col min="15422" max="15422" width="20" style="846" bestFit="1" customWidth="1"/>
    <col min="15423" max="15423" width="16.7109375" style="846" bestFit="1" customWidth="1"/>
    <col min="15424" max="15424" width="43.28515625" style="846" customWidth="1"/>
    <col min="15425" max="16384" width="0.85546875" style="846"/>
  </cols>
  <sheetData>
    <row r="1" spans="2:102" s="817" customFormat="1" ht="21" thickBot="1">
      <c r="B1" s="816"/>
      <c r="E1" s="818"/>
      <c r="F1" s="818"/>
      <c r="G1" s="819"/>
      <c r="H1" s="820"/>
      <c r="I1" s="820"/>
      <c r="J1" s="820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2"/>
      <c r="V1" s="821"/>
      <c r="W1" s="821"/>
      <c r="X1" s="821"/>
      <c r="Y1" s="821"/>
      <c r="Z1" s="823"/>
      <c r="AA1" s="823"/>
      <c r="AB1" s="823"/>
      <c r="AC1" s="823"/>
      <c r="AD1" s="823"/>
      <c r="AE1" s="824"/>
      <c r="AF1" s="824"/>
      <c r="AG1" s="824"/>
      <c r="AH1" s="821"/>
      <c r="AI1" s="824"/>
      <c r="AJ1" s="821"/>
      <c r="AK1" s="821"/>
      <c r="AL1" s="821"/>
      <c r="AM1" s="821"/>
      <c r="AN1" s="821"/>
      <c r="AO1" s="821"/>
      <c r="AP1" s="821"/>
      <c r="AQ1" s="824"/>
      <c r="AR1" s="824"/>
      <c r="AS1" s="821"/>
      <c r="AT1" s="824"/>
      <c r="AU1" s="821"/>
      <c r="AV1" s="821"/>
      <c r="AW1" s="821"/>
      <c r="AX1" s="821"/>
      <c r="AY1" s="823"/>
      <c r="AZ1" s="821"/>
      <c r="BA1" s="821"/>
      <c r="BB1" s="821"/>
      <c r="BC1" s="824"/>
      <c r="BD1" s="824"/>
      <c r="BE1" s="821"/>
      <c r="BF1" s="824"/>
      <c r="BG1" s="821"/>
      <c r="BH1" s="821"/>
      <c r="BI1" s="821"/>
      <c r="BJ1" s="821"/>
      <c r="BK1" s="823"/>
      <c r="BL1" s="821"/>
      <c r="BM1" s="821"/>
      <c r="BN1" s="821"/>
      <c r="BO1" s="824"/>
      <c r="BP1" s="824"/>
      <c r="BQ1" s="824"/>
      <c r="BR1" s="821"/>
      <c r="BS1" s="824"/>
      <c r="BT1" s="821"/>
      <c r="BU1" s="821"/>
      <c r="BV1" s="821"/>
      <c r="BW1" s="821"/>
      <c r="BX1" s="821"/>
      <c r="BY1" s="821"/>
      <c r="BZ1" s="821"/>
      <c r="CA1" s="824"/>
      <c r="CB1" s="824"/>
      <c r="CC1" s="821"/>
      <c r="CD1" s="824"/>
      <c r="CE1" s="821"/>
      <c r="CF1" s="821"/>
      <c r="CG1" s="821"/>
      <c r="CH1" s="821"/>
      <c r="CI1" s="823"/>
      <c r="CJ1" s="821"/>
      <c r="CK1" s="821"/>
      <c r="CL1" s="821"/>
      <c r="CM1" s="824"/>
      <c r="CN1" s="824"/>
      <c r="CO1" s="821"/>
      <c r="CP1" s="824"/>
      <c r="CQ1" s="821"/>
      <c r="CR1" s="821"/>
      <c r="CS1" s="821"/>
      <c r="CT1" s="821"/>
      <c r="CU1" s="823"/>
      <c r="CV1" s="821"/>
      <c r="CW1" s="821"/>
      <c r="CX1" s="821"/>
    </row>
    <row r="2" spans="2:102" s="817" customFormat="1" ht="21.75" thickTop="1" thickBot="1">
      <c r="B2" s="825" t="s">
        <v>1113</v>
      </c>
      <c r="C2" s="826"/>
      <c r="D2" s="3566"/>
      <c r="E2" s="3567"/>
      <c r="F2" s="3568"/>
      <c r="G2" s="3569"/>
      <c r="H2" s="827"/>
      <c r="I2" s="827"/>
      <c r="J2" s="827"/>
      <c r="K2" s="828"/>
      <c r="L2" s="821"/>
      <c r="M2" s="821"/>
      <c r="N2" s="821"/>
      <c r="O2" s="821"/>
      <c r="P2" s="821"/>
      <c r="Q2" s="821"/>
      <c r="R2" s="821"/>
      <c r="S2" s="821"/>
      <c r="T2" s="821"/>
      <c r="U2" s="822"/>
      <c r="V2" s="821"/>
      <c r="W2" s="821"/>
      <c r="X2" s="821"/>
      <c r="Y2" s="821"/>
      <c r="Z2" s="821"/>
      <c r="AA2" s="821"/>
      <c r="AB2" s="821"/>
      <c r="AC2" s="821"/>
      <c r="AD2" s="821"/>
      <c r="AE2" s="829"/>
      <c r="AF2" s="822"/>
      <c r="AG2" s="821"/>
      <c r="AH2" s="821"/>
      <c r="AI2" s="821"/>
      <c r="AJ2" s="821"/>
      <c r="AK2" s="821"/>
      <c r="AL2" s="821"/>
      <c r="AM2" s="821"/>
      <c r="AN2" s="821"/>
      <c r="AO2" s="821"/>
      <c r="AP2" s="821"/>
      <c r="AQ2" s="823"/>
      <c r="AR2" s="821"/>
      <c r="AS2" s="821"/>
      <c r="AT2" s="821"/>
      <c r="AU2" s="821"/>
      <c r="AV2" s="821"/>
      <c r="AW2" s="821"/>
      <c r="AX2" s="821"/>
      <c r="AY2" s="821"/>
      <c r="AZ2" s="821"/>
      <c r="BA2" s="821"/>
      <c r="BB2" s="821"/>
      <c r="BC2" s="823"/>
      <c r="BD2" s="821"/>
      <c r="BE2" s="821"/>
      <c r="BF2" s="821"/>
      <c r="BG2" s="821"/>
      <c r="BH2" s="821"/>
      <c r="BI2" s="821"/>
      <c r="BJ2" s="821"/>
      <c r="BK2" s="821"/>
      <c r="BL2" s="821"/>
      <c r="BM2" s="821"/>
      <c r="BN2" s="821"/>
      <c r="BO2" s="829"/>
      <c r="BP2" s="822"/>
      <c r="BQ2" s="821"/>
      <c r="BR2" s="821"/>
      <c r="BS2" s="821"/>
      <c r="BT2" s="821"/>
      <c r="BU2" s="821"/>
      <c r="BV2" s="821"/>
      <c r="BW2" s="821"/>
      <c r="BX2" s="821"/>
      <c r="BY2" s="821"/>
      <c r="BZ2" s="821"/>
      <c r="CA2" s="823"/>
      <c r="CB2" s="821"/>
      <c r="CC2" s="821"/>
      <c r="CD2" s="821"/>
      <c r="CE2" s="821"/>
      <c r="CF2" s="821"/>
      <c r="CG2" s="821"/>
      <c r="CH2" s="821"/>
      <c r="CI2" s="821"/>
      <c r="CJ2" s="821"/>
      <c r="CK2" s="821"/>
      <c r="CL2" s="821"/>
      <c r="CM2" s="823"/>
      <c r="CN2" s="821"/>
      <c r="CO2" s="821"/>
      <c r="CP2" s="821"/>
      <c r="CQ2" s="821"/>
      <c r="CR2" s="821"/>
      <c r="CS2" s="821"/>
      <c r="CT2" s="821"/>
      <c r="CU2" s="821"/>
      <c r="CV2" s="821"/>
      <c r="CW2" s="821"/>
      <c r="CX2" s="821"/>
    </row>
    <row r="3" spans="2:102" s="817" customFormat="1" ht="21.75" thickTop="1" thickBot="1">
      <c r="B3" s="825" t="s">
        <v>1114</v>
      </c>
      <c r="C3" s="826"/>
      <c r="D3" s="3570"/>
      <c r="E3" s="3571"/>
      <c r="F3" s="3569"/>
      <c r="G3" s="3569"/>
      <c r="H3" s="827"/>
      <c r="I3" s="827"/>
      <c r="J3" s="827"/>
      <c r="K3" s="828"/>
      <c r="L3" s="821"/>
      <c r="M3" s="821"/>
      <c r="N3" s="821"/>
      <c r="O3" s="821"/>
      <c r="P3" s="821"/>
      <c r="Q3" s="821"/>
      <c r="R3" s="821"/>
      <c r="S3" s="821"/>
      <c r="T3" s="821"/>
      <c r="U3" s="822"/>
      <c r="V3" s="821"/>
      <c r="W3" s="821"/>
      <c r="X3" s="821"/>
      <c r="Y3" s="821"/>
      <c r="Z3" s="821"/>
      <c r="AA3" s="821"/>
      <c r="AB3" s="821"/>
      <c r="AC3" s="821"/>
      <c r="AD3" s="821"/>
      <c r="AE3" s="829"/>
      <c r="AF3" s="822"/>
      <c r="AG3" s="821"/>
      <c r="AH3" s="821"/>
      <c r="AI3" s="821"/>
      <c r="AJ3" s="821"/>
      <c r="AK3" s="821"/>
      <c r="AL3" s="821"/>
      <c r="AM3" s="821"/>
      <c r="AN3" s="821"/>
      <c r="AO3" s="821"/>
      <c r="AP3" s="821"/>
      <c r="AQ3" s="823"/>
      <c r="AR3" s="821"/>
      <c r="AS3" s="821"/>
      <c r="AT3" s="821"/>
      <c r="AU3" s="821"/>
      <c r="AV3" s="821"/>
      <c r="AW3" s="821"/>
      <c r="AX3" s="821"/>
      <c r="AY3" s="821"/>
      <c r="AZ3" s="821"/>
      <c r="BA3" s="821"/>
      <c r="BB3" s="821"/>
      <c r="BC3" s="823"/>
      <c r="BD3" s="821"/>
      <c r="BE3" s="821"/>
      <c r="BF3" s="821"/>
      <c r="BG3" s="821"/>
      <c r="BH3" s="821"/>
      <c r="BI3" s="821"/>
      <c r="BJ3" s="821"/>
      <c r="BK3" s="821"/>
      <c r="BL3" s="821"/>
      <c r="BM3" s="821"/>
      <c r="BN3" s="821"/>
      <c r="BO3" s="829"/>
      <c r="BP3" s="822"/>
      <c r="BQ3" s="821"/>
      <c r="BR3" s="821"/>
      <c r="BS3" s="821"/>
      <c r="BT3" s="821"/>
      <c r="BU3" s="821"/>
      <c r="BV3" s="821"/>
      <c r="BW3" s="821"/>
      <c r="BX3" s="821"/>
      <c r="BY3" s="821"/>
      <c r="BZ3" s="821"/>
      <c r="CA3" s="823"/>
      <c r="CB3" s="821"/>
      <c r="CC3" s="821"/>
      <c r="CD3" s="821"/>
      <c r="CE3" s="821"/>
      <c r="CF3" s="821"/>
      <c r="CG3" s="821"/>
      <c r="CH3" s="821"/>
      <c r="CI3" s="821"/>
      <c r="CJ3" s="821"/>
      <c r="CK3" s="821"/>
      <c r="CL3" s="821"/>
      <c r="CM3" s="823"/>
      <c r="CN3" s="821"/>
      <c r="CO3" s="821"/>
      <c r="CP3" s="821"/>
      <c r="CQ3" s="821"/>
      <c r="CR3" s="821"/>
      <c r="CS3" s="821"/>
      <c r="CT3" s="821"/>
      <c r="CU3" s="821"/>
      <c r="CV3" s="821"/>
      <c r="CW3" s="821"/>
      <c r="CX3" s="821"/>
    </row>
    <row r="4" spans="2:102" s="817" customFormat="1" ht="21.75" thickTop="1" thickBot="1">
      <c r="B4" s="825" t="s">
        <v>1115</v>
      </c>
      <c r="C4" s="826"/>
      <c r="D4" s="3570"/>
      <c r="E4" s="3571"/>
      <c r="F4" s="3569"/>
      <c r="G4" s="3569"/>
      <c r="H4" s="827"/>
      <c r="I4" s="827"/>
      <c r="J4" s="827"/>
      <c r="K4" s="828"/>
      <c r="L4" s="821"/>
      <c r="M4" s="821"/>
      <c r="N4" s="821"/>
      <c r="O4" s="821"/>
      <c r="P4" s="821"/>
      <c r="Q4" s="821"/>
      <c r="R4" s="821"/>
      <c r="S4" s="821"/>
      <c r="T4" s="821"/>
      <c r="U4" s="822"/>
      <c r="V4" s="821"/>
      <c r="W4" s="821"/>
      <c r="X4" s="821"/>
      <c r="Y4" s="821"/>
      <c r="Z4" s="821"/>
      <c r="AA4" s="821"/>
      <c r="AB4" s="821"/>
      <c r="AC4" s="821"/>
      <c r="AD4" s="821"/>
      <c r="AE4" s="829"/>
      <c r="AF4" s="822"/>
      <c r="AG4" s="821"/>
      <c r="AH4" s="821"/>
      <c r="AI4" s="821"/>
      <c r="AJ4" s="821"/>
      <c r="AK4" s="821"/>
      <c r="AL4" s="821"/>
      <c r="AM4" s="821"/>
      <c r="AN4" s="821"/>
      <c r="AO4" s="821"/>
      <c r="AP4" s="821"/>
      <c r="AQ4" s="823"/>
      <c r="AR4" s="821"/>
      <c r="AS4" s="821"/>
      <c r="AT4" s="821"/>
      <c r="AU4" s="821"/>
      <c r="AV4" s="821"/>
      <c r="AW4" s="821"/>
      <c r="AX4" s="821"/>
      <c r="AY4" s="821"/>
      <c r="AZ4" s="821"/>
      <c r="BA4" s="821"/>
      <c r="BB4" s="821"/>
      <c r="BC4" s="823"/>
      <c r="BD4" s="821"/>
      <c r="BE4" s="821"/>
      <c r="BF4" s="821"/>
      <c r="BG4" s="821"/>
      <c r="BH4" s="821"/>
      <c r="BI4" s="821"/>
      <c r="BJ4" s="821"/>
      <c r="BK4" s="821"/>
      <c r="BL4" s="821"/>
      <c r="BM4" s="821"/>
      <c r="BN4" s="821"/>
      <c r="BO4" s="829"/>
      <c r="BP4" s="822"/>
      <c r="BQ4" s="821"/>
      <c r="BR4" s="821"/>
      <c r="BS4" s="821"/>
      <c r="BT4" s="821"/>
      <c r="BU4" s="821"/>
      <c r="BV4" s="821"/>
      <c r="BW4" s="821"/>
      <c r="BX4" s="821"/>
      <c r="BY4" s="821"/>
      <c r="BZ4" s="821"/>
      <c r="CA4" s="823"/>
      <c r="CB4" s="821"/>
      <c r="CC4" s="821"/>
      <c r="CD4" s="821"/>
      <c r="CE4" s="821"/>
      <c r="CF4" s="821"/>
      <c r="CG4" s="821"/>
      <c r="CH4" s="821"/>
      <c r="CI4" s="821"/>
      <c r="CJ4" s="821"/>
      <c r="CK4" s="821"/>
      <c r="CL4" s="821"/>
      <c r="CM4" s="823"/>
      <c r="CN4" s="821"/>
      <c r="CO4" s="821"/>
      <c r="CP4" s="821"/>
      <c r="CQ4" s="821"/>
      <c r="CR4" s="821"/>
      <c r="CS4" s="821"/>
      <c r="CT4" s="821"/>
      <c r="CU4" s="821"/>
      <c r="CV4" s="821"/>
      <c r="CW4" s="821"/>
      <c r="CX4" s="821"/>
    </row>
    <row r="5" spans="2:102" s="817" customFormat="1" ht="21.75" thickTop="1" thickBot="1">
      <c r="B5" s="825" t="s">
        <v>1116</v>
      </c>
      <c r="C5" s="826"/>
      <c r="D5" s="3570"/>
      <c r="E5" s="3571"/>
      <c r="F5" s="3569" t="s">
        <v>1083</v>
      </c>
      <c r="G5" s="3569"/>
      <c r="H5" s="827"/>
      <c r="I5" s="827"/>
      <c r="J5" s="827"/>
      <c r="K5" s="828"/>
      <c r="L5" s="821"/>
      <c r="M5" s="821"/>
      <c r="N5" s="821"/>
      <c r="O5" s="821"/>
      <c r="P5" s="821"/>
      <c r="Q5" s="821"/>
      <c r="R5" s="821"/>
      <c r="S5" s="821"/>
      <c r="T5" s="821"/>
      <c r="U5" s="822"/>
      <c r="V5" s="821"/>
      <c r="W5" s="821"/>
      <c r="X5" s="821"/>
      <c r="Y5" s="821"/>
      <c r="Z5" s="821"/>
      <c r="AA5" s="821"/>
      <c r="AB5" s="821"/>
      <c r="AC5" s="821"/>
      <c r="AD5" s="821"/>
      <c r="AE5" s="829"/>
      <c r="AF5" s="822"/>
      <c r="AG5" s="821"/>
      <c r="AH5" s="821"/>
      <c r="AI5" s="821"/>
      <c r="AJ5" s="821"/>
      <c r="AK5" s="821"/>
      <c r="AL5" s="821"/>
      <c r="AM5" s="821"/>
      <c r="AN5" s="821"/>
      <c r="AO5" s="821"/>
      <c r="AP5" s="821"/>
      <c r="AQ5" s="823"/>
      <c r="AR5" s="821"/>
      <c r="AS5" s="821"/>
      <c r="AT5" s="821"/>
      <c r="AU5" s="821"/>
      <c r="AV5" s="821"/>
      <c r="AW5" s="821"/>
      <c r="AX5" s="821"/>
      <c r="AY5" s="821"/>
      <c r="AZ5" s="821"/>
      <c r="BA5" s="821"/>
      <c r="BB5" s="821"/>
      <c r="BC5" s="823"/>
      <c r="BD5" s="821"/>
      <c r="BE5" s="821"/>
      <c r="BF5" s="821"/>
      <c r="BG5" s="821"/>
      <c r="BH5" s="821"/>
      <c r="BI5" s="821"/>
      <c r="BJ5" s="821"/>
      <c r="BK5" s="821"/>
      <c r="BL5" s="821"/>
      <c r="BM5" s="821"/>
      <c r="BN5" s="821"/>
      <c r="BO5" s="829"/>
      <c r="BP5" s="822"/>
      <c r="BQ5" s="821"/>
      <c r="BR5" s="821"/>
      <c r="BS5" s="821"/>
      <c r="BT5" s="821"/>
      <c r="BU5" s="821"/>
      <c r="BV5" s="821"/>
      <c r="BW5" s="821"/>
      <c r="BX5" s="821"/>
      <c r="BY5" s="821"/>
      <c r="BZ5" s="821"/>
      <c r="CA5" s="823"/>
      <c r="CB5" s="821"/>
      <c r="CC5" s="821"/>
      <c r="CD5" s="821"/>
      <c r="CE5" s="821"/>
      <c r="CF5" s="821"/>
      <c r="CG5" s="821"/>
      <c r="CH5" s="821"/>
      <c r="CI5" s="821"/>
      <c r="CJ5" s="821"/>
      <c r="CK5" s="821"/>
      <c r="CL5" s="821"/>
      <c r="CM5" s="823"/>
      <c r="CN5" s="821"/>
      <c r="CO5" s="821"/>
      <c r="CP5" s="821"/>
      <c r="CQ5" s="821"/>
      <c r="CR5" s="821"/>
      <c r="CS5" s="821"/>
      <c r="CT5" s="821"/>
      <c r="CU5" s="821"/>
      <c r="CV5" s="821"/>
      <c r="CW5" s="821"/>
      <c r="CX5" s="821"/>
    </row>
    <row r="6" spans="2:102" s="817" customFormat="1" ht="27" customHeight="1" thickTop="1">
      <c r="B6" s="3572" t="s">
        <v>14845</v>
      </c>
      <c r="C6" s="3572"/>
      <c r="D6" s="3572"/>
      <c r="E6" s="3572"/>
      <c r="F6" s="3572"/>
      <c r="G6" s="3572"/>
      <c r="H6" s="3572"/>
      <c r="I6" s="3572"/>
      <c r="J6" s="3572"/>
      <c r="K6" s="3572"/>
      <c r="L6" s="3572"/>
      <c r="M6" s="3572"/>
      <c r="N6" s="3572"/>
      <c r="O6" s="3572"/>
      <c r="P6" s="3572"/>
      <c r="Q6" s="3572"/>
      <c r="R6" s="3572"/>
      <c r="S6" s="3572"/>
      <c r="T6" s="3572"/>
      <c r="U6" s="3572"/>
      <c r="V6" s="3572"/>
      <c r="W6" s="3572"/>
      <c r="X6" s="3572"/>
      <c r="Y6" s="3572"/>
      <c r="Z6" s="3572"/>
      <c r="AA6" s="3572"/>
      <c r="AB6" s="3572"/>
      <c r="AC6" s="3572"/>
      <c r="AD6" s="3572"/>
      <c r="AE6" s="3572"/>
      <c r="AF6" s="3572"/>
      <c r="AG6" s="3572"/>
      <c r="AH6" s="3572"/>
      <c r="AI6" s="3572"/>
      <c r="AJ6" s="3572"/>
      <c r="AK6" s="3572"/>
      <c r="AL6" s="3572"/>
      <c r="AM6" s="3572"/>
      <c r="AN6" s="3572"/>
      <c r="AO6" s="3572"/>
      <c r="AP6" s="3572"/>
      <c r="AQ6" s="3572"/>
      <c r="AR6" s="3572"/>
      <c r="AS6" s="3572"/>
      <c r="AT6" s="3572"/>
      <c r="AU6" s="3572"/>
      <c r="AV6" s="3572"/>
      <c r="AW6" s="3572"/>
      <c r="AX6" s="3572"/>
      <c r="AY6" s="3572"/>
    </row>
    <row r="7" spans="2:102" s="817" customFormat="1">
      <c r="B7" s="3572" t="s">
        <v>14844</v>
      </c>
      <c r="C7" s="3572"/>
      <c r="D7" s="3572"/>
      <c r="E7" s="3572"/>
      <c r="F7" s="3572"/>
      <c r="G7" s="3572"/>
      <c r="H7" s="3572"/>
      <c r="I7" s="3572"/>
      <c r="J7" s="3572"/>
      <c r="K7" s="3572"/>
      <c r="L7" s="3572"/>
      <c r="M7" s="3572"/>
      <c r="N7" s="3572"/>
      <c r="O7" s="3572"/>
      <c r="P7" s="3572"/>
      <c r="Q7" s="3572"/>
      <c r="R7" s="3572"/>
      <c r="S7" s="3572"/>
      <c r="T7" s="3572"/>
      <c r="U7" s="3572"/>
      <c r="V7" s="3572"/>
      <c r="W7" s="3572"/>
      <c r="X7" s="3572"/>
      <c r="Y7" s="3572"/>
      <c r="Z7" s="3572"/>
      <c r="AA7" s="3572"/>
      <c r="AB7" s="3572"/>
      <c r="AC7" s="3572"/>
      <c r="AD7" s="3572"/>
      <c r="AE7" s="3572"/>
      <c r="AF7" s="3572"/>
      <c r="AG7" s="3572"/>
      <c r="AH7" s="3572"/>
      <c r="AI7" s="3572"/>
      <c r="AJ7" s="3572"/>
      <c r="AK7" s="3572"/>
      <c r="AL7" s="3572"/>
      <c r="AM7" s="3572"/>
      <c r="AN7" s="3572"/>
      <c r="AO7" s="3572"/>
      <c r="AP7" s="1910"/>
      <c r="AQ7" s="831"/>
      <c r="AR7" s="831"/>
      <c r="AS7" s="831"/>
      <c r="AT7" s="831"/>
      <c r="AU7" s="831"/>
      <c r="AV7" s="831"/>
      <c r="AW7" s="831"/>
      <c r="AX7" s="831"/>
      <c r="AY7" s="831"/>
      <c r="BC7" s="831"/>
      <c r="BD7" s="831"/>
      <c r="BE7" s="831"/>
      <c r="BF7" s="831"/>
      <c r="BG7" s="831"/>
      <c r="BH7" s="831"/>
      <c r="BI7" s="831"/>
      <c r="BJ7" s="831"/>
      <c r="BK7" s="831"/>
      <c r="BZ7" s="1910"/>
      <c r="CA7" s="831"/>
      <c r="CB7" s="831"/>
      <c r="CC7" s="831"/>
      <c r="CD7" s="831"/>
      <c r="CE7" s="831"/>
      <c r="CF7" s="831"/>
      <c r="CG7" s="831"/>
      <c r="CH7" s="831"/>
      <c r="CI7" s="831"/>
      <c r="CM7" s="831"/>
      <c r="CN7" s="831"/>
      <c r="CO7" s="831"/>
      <c r="CP7" s="831"/>
      <c r="CQ7" s="831"/>
      <c r="CR7" s="831"/>
      <c r="CS7" s="831"/>
      <c r="CT7" s="831"/>
      <c r="CU7" s="831"/>
    </row>
    <row r="8" spans="2:102" s="817" customFormat="1">
      <c r="B8" s="3572" t="s">
        <v>1261</v>
      </c>
      <c r="C8" s="3572"/>
      <c r="D8" s="3572"/>
      <c r="E8" s="3572"/>
      <c r="F8" s="3572"/>
      <c r="G8" s="3572"/>
      <c r="H8" s="1911"/>
      <c r="I8" s="1911"/>
      <c r="J8" s="1911"/>
      <c r="K8" s="1911"/>
      <c r="L8" s="1911"/>
      <c r="M8" s="3573"/>
      <c r="N8" s="3573"/>
      <c r="O8" s="3573"/>
      <c r="P8" s="3573"/>
      <c r="Q8" s="3573"/>
      <c r="R8" s="3573"/>
      <c r="S8" s="3573"/>
      <c r="T8" s="3573"/>
      <c r="U8" s="3573"/>
      <c r="V8" s="3573"/>
      <c r="W8" s="3573"/>
      <c r="X8" s="3573"/>
      <c r="Y8" s="3573"/>
      <c r="Z8" s="3573"/>
      <c r="AA8" s="3573"/>
      <c r="AB8" s="3573"/>
      <c r="AC8" s="3573"/>
      <c r="AD8" s="3573"/>
      <c r="AE8" s="3573"/>
      <c r="AF8" s="3573"/>
      <c r="AG8" s="3573"/>
      <c r="AH8" s="3573"/>
      <c r="AI8" s="3573"/>
      <c r="AJ8" s="3573"/>
      <c r="AK8" s="3573"/>
      <c r="AL8" s="3573"/>
      <c r="AM8" s="3573"/>
      <c r="AN8" s="3573"/>
      <c r="AO8" s="1911"/>
      <c r="AP8" s="1911"/>
      <c r="AQ8" s="1910"/>
      <c r="AR8" s="1910"/>
      <c r="AS8" s="1910"/>
      <c r="AT8" s="1910"/>
      <c r="AU8" s="1910"/>
      <c r="AV8" s="1910"/>
      <c r="AW8" s="1910"/>
      <c r="AX8" s="1910"/>
      <c r="AY8" s="1910"/>
      <c r="AZ8" s="1911"/>
      <c r="BA8" s="833"/>
      <c r="BB8" s="1911"/>
      <c r="BC8" s="1910"/>
      <c r="BD8" s="1910"/>
      <c r="BE8" s="1910"/>
      <c r="BF8" s="1910"/>
      <c r="BG8" s="1910"/>
      <c r="BH8" s="1910"/>
      <c r="BI8" s="1910"/>
      <c r="BJ8" s="1910"/>
      <c r="BK8" s="1910"/>
      <c r="BL8" s="1911"/>
      <c r="BM8" s="833"/>
      <c r="BN8" s="1911"/>
      <c r="BY8" s="1911"/>
      <c r="BZ8" s="1911"/>
      <c r="CA8" s="1910"/>
      <c r="CB8" s="1910"/>
      <c r="CC8" s="1910"/>
      <c r="CD8" s="1910"/>
      <c r="CE8" s="1910"/>
      <c r="CF8" s="1910"/>
      <c r="CG8" s="1910"/>
      <c r="CH8" s="1910"/>
      <c r="CI8" s="1910"/>
      <c r="CJ8" s="1911"/>
      <c r="CK8" s="833"/>
      <c r="CL8" s="1911"/>
      <c r="CM8" s="1910"/>
      <c r="CN8" s="1910"/>
      <c r="CO8" s="1910"/>
      <c r="CP8" s="1910"/>
      <c r="CQ8" s="1910"/>
      <c r="CR8" s="1910"/>
      <c r="CS8" s="1910"/>
      <c r="CT8" s="1910"/>
      <c r="CU8" s="1910"/>
      <c r="CV8" s="1911"/>
      <c r="CW8" s="833"/>
      <c r="CX8" s="1911"/>
    </row>
    <row r="9" spans="2:102" s="817" customFormat="1">
      <c r="B9" s="3572" t="s">
        <v>14842</v>
      </c>
      <c r="C9" s="3572"/>
      <c r="D9" s="3572"/>
      <c r="E9" s="3572"/>
      <c r="F9" s="3572"/>
      <c r="G9" s="3572"/>
      <c r="H9" s="831"/>
      <c r="I9" s="831"/>
      <c r="J9" s="831"/>
      <c r="K9" s="831"/>
      <c r="L9" s="831"/>
      <c r="M9" s="3573"/>
      <c r="N9" s="3573"/>
      <c r="O9" s="3573"/>
      <c r="P9" s="3573"/>
      <c r="Q9" s="3573"/>
      <c r="R9" s="3573"/>
      <c r="S9" s="3573"/>
      <c r="T9" s="3573"/>
      <c r="U9" s="3573"/>
      <c r="V9" s="3573"/>
      <c r="W9" s="3573"/>
      <c r="X9" s="3573"/>
      <c r="Y9" s="3573"/>
      <c r="Z9" s="3573"/>
      <c r="AA9" s="3573"/>
      <c r="AB9" s="3573"/>
      <c r="AC9" s="3573"/>
      <c r="AD9" s="3573"/>
      <c r="AE9" s="3573"/>
      <c r="AF9" s="3573"/>
      <c r="AG9" s="3573"/>
      <c r="AH9" s="3573"/>
      <c r="AI9" s="3573"/>
      <c r="AJ9" s="3573"/>
      <c r="AK9" s="3573"/>
      <c r="AL9" s="3573"/>
      <c r="AM9" s="3573"/>
      <c r="AN9" s="3573"/>
      <c r="AO9" s="1911"/>
      <c r="AP9" s="1911"/>
      <c r="AQ9" s="982"/>
      <c r="AR9" s="831"/>
      <c r="AS9" s="831"/>
      <c r="AT9" s="831"/>
      <c r="AU9" s="831"/>
      <c r="AV9" s="831"/>
      <c r="AW9" s="831"/>
      <c r="AX9" s="831"/>
      <c r="AY9" s="831"/>
      <c r="AZ9" s="1911"/>
      <c r="BA9" s="833"/>
      <c r="BB9" s="1911"/>
      <c r="BC9" s="831"/>
      <c r="BD9" s="831"/>
      <c r="BE9" s="831"/>
      <c r="BF9" s="831"/>
      <c r="BG9" s="831"/>
      <c r="BH9" s="831"/>
      <c r="BI9" s="831"/>
      <c r="BJ9" s="831"/>
      <c r="BK9" s="831"/>
      <c r="BL9" s="1911"/>
      <c r="BM9" s="833"/>
      <c r="BN9" s="1911"/>
      <c r="BY9" s="1911"/>
      <c r="BZ9" s="1911"/>
      <c r="CA9" s="982"/>
      <c r="CB9" s="831"/>
      <c r="CC9" s="831"/>
      <c r="CD9" s="831"/>
      <c r="CE9" s="831"/>
      <c r="CF9" s="831"/>
      <c r="CG9" s="831"/>
      <c r="CH9" s="831"/>
      <c r="CI9" s="831"/>
      <c r="CJ9" s="1911"/>
      <c r="CK9" s="833"/>
      <c r="CL9" s="1911"/>
      <c r="CM9" s="982"/>
      <c r="CN9" s="831"/>
      <c r="CO9" s="831"/>
      <c r="CP9" s="831"/>
      <c r="CQ9" s="831"/>
      <c r="CR9" s="831"/>
      <c r="CS9" s="831"/>
      <c r="CT9" s="831"/>
      <c r="CU9" s="831"/>
      <c r="CV9" s="1911"/>
      <c r="CW9" s="833"/>
      <c r="CX9" s="1911"/>
    </row>
    <row r="10" spans="2:102" s="817" customFormat="1">
      <c r="B10" s="3572"/>
      <c r="C10" s="3572"/>
      <c r="D10" s="3572"/>
      <c r="E10" s="3572"/>
      <c r="F10" s="3572"/>
      <c r="G10" s="3572"/>
      <c r="H10" s="831"/>
      <c r="I10" s="831"/>
      <c r="J10" s="831"/>
      <c r="K10" s="831"/>
      <c r="L10" s="831"/>
      <c r="M10" s="3573"/>
      <c r="N10" s="3573"/>
      <c r="O10" s="3573"/>
      <c r="P10" s="3573"/>
      <c r="Q10" s="3573"/>
      <c r="R10" s="3573"/>
      <c r="S10" s="3573"/>
      <c r="T10" s="3573"/>
      <c r="U10" s="3573"/>
      <c r="V10" s="3573"/>
      <c r="W10" s="3573"/>
      <c r="X10" s="3573"/>
      <c r="Y10" s="3573"/>
      <c r="Z10" s="3573"/>
      <c r="AA10" s="3573"/>
      <c r="AB10" s="3573"/>
      <c r="AC10" s="3573"/>
      <c r="AD10" s="3573"/>
      <c r="AE10" s="3573"/>
      <c r="AF10" s="3573"/>
      <c r="AG10" s="3573"/>
      <c r="AH10" s="3573"/>
      <c r="AI10" s="3573"/>
      <c r="AJ10" s="3573"/>
      <c r="AK10" s="3573"/>
      <c r="AL10" s="3573"/>
      <c r="AM10" s="3573"/>
      <c r="AN10" s="3573"/>
      <c r="AO10" s="1911"/>
      <c r="AP10" s="1911"/>
      <c r="AQ10" s="983"/>
      <c r="AR10" s="1910"/>
      <c r="AS10" s="1910"/>
      <c r="AT10" s="1910"/>
      <c r="AU10" s="1910"/>
      <c r="AV10" s="1910"/>
      <c r="AW10" s="1910"/>
      <c r="AX10" s="1910"/>
      <c r="AY10" s="1910"/>
      <c r="AZ10" s="834"/>
      <c r="BA10" s="833"/>
      <c r="BB10" s="1911"/>
      <c r="BC10" s="1910"/>
      <c r="BD10" s="1910"/>
      <c r="BE10" s="1910"/>
      <c r="BF10" s="1910"/>
      <c r="BG10" s="1910"/>
      <c r="BH10" s="1910"/>
      <c r="BI10" s="1910"/>
      <c r="BJ10" s="1910"/>
      <c r="BK10" s="1910"/>
      <c r="BL10" s="834"/>
      <c r="BM10" s="833"/>
      <c r="BN10" s="1911"/>
      <c r="BY10" s="1911"/>
      <c r="BZ10" s="1911"/>
      <c r="CA10" s="983"/>
      <c r="CB10" s="1910"/>
      <c r="CC10" s="1910"/>
      <c r="CD10" s="1910"/>
      <c r="CE10" s="1910"/>
      <c r="CF10" s="1910"/>
      <c r="CG10" s="1910"/>
      <c r="CH10" s="1910"/>
      <c r="CI10" s="1910"/>
      <c r="CJ10" s="834"/>
      <c r="CK10" s="833"/>
      <c r="CL10" s="1911"/>
      <c r="CM10" s="983"/>
      <c r="CN10" s="1910"/>
      <c r="CO10" s="1910"/>
      <c r="CP10" s="1910"/>
      <c r="CQ10" s="1910"/>
      <c r="CR10" s="1910"/>
      <c r="CS10" s="1910"/>
      <c r="CT10" s="1910"/>
      <c r="CU10" s="1910"/>
      <c r="CV10" s="834"/>
      <c r="CW10" s="833"/>
      <c r="CX10" s="1911"/>
    </row>
    <row r="11" spans="2:102" s="817" customFormat="1" ht="28.5" customHeight="1">
      <c r="B11" s="816"/>
      <c r="E11" s="835"/>
      <c r="F11" s="836"/>
      <c r="G11" s="818"/>
      <c r="K11" s="823"/>
      <c r="L11" s="823"/>
      <c r="M11" s="823"/>
      <c r="N11" s="823"/>
      <c r="O11" s="823"/>
      <c r="P11" s="823"/>
      <c r="Q11" s="823"/>
      <c r="R11" s="823"/>
      <c r="S11" s="823"/>
      <c r="T11" s="823"/>
      <c r="U11" s="829"/>
      <c r="V11" s="823"/>
      <c r="W11" s="823"/>
      <c r="X11" s="823"/>
      <c r="Y11" s="823"/>
      <c r="Z11" s="823"/>
      <c r="AA11" s="823"/>
      <c r="AB11" s="823"/>
      <c r="AC11" s="823"/>
      <c r="AD11" s="823"/>
      <c r="AE11" s="837"/>
      <c r="AF11" s="838"/>
      <c r="AG11" s="839"/>
      <c r="AH11" s="839"/>
      <c r="AI11" s="839"/>
      <c r="AJ11" s="839"/>
      <c r="AK11" s="839"/>
      <c r="AL11" s="839"/>
      <c r="AM11" s="839"/>
      <c r="AN11" s="839"/>
      <c r="AO11" s="839"/>
      <c r="AP11" s="839"/>
      <c r="AQ11" s="840"/>
      <c r="AR11" s="840"/>
      <c r="AS11" s="840"/>
      <c r="AT11" s="839"/>
      <c r="AU11" s="839"/>
      <c r="AV11" s="839"/>
      <c r="AW11" s="839"/>
      <c r="AX11" s="839"/>
      <c r="AY11" s="823"/>
      <c r="AZ11" s="839"/>
      <c r="BA11" s="839"/>
      <c r="BB11" s="839"/>
      <c r="BC11" s="840"/>
      <c r="BD11" s="840"/>
      <c r="BE11" s="840"/>
      <c r="BF11" s="839"/>
      <c r="BG11" s="839"/>
      <c r="BH11" s="839"/>
      <c r="BI11" s="839"/>
      <c r="BJ11" s="839"/>
      <c r="BK11" s="823"/>
      <c r="BL11" s="839"/>
      <c r="BM11" s="839"/>
      <c r="BN11" s="839"/>
      <c r="BO11" s="837"/>
      <c r="BP11" s="838"/>
      <c r="BQ11" s="839"/>
      <c r="BR11" s="839"/>
      <c r="BS11" s="839"/>
      <c r="BT11" s="839"/>
      <c r="BU11" s="839"/>
      <c r="BV11" s="839"/>
      <c r="BW11" s="839"/>
      <c r="BX11" s="839"/>
      <c r="BY11" s="839"/>
      <c r="BZ11" s="839"/>
      <c r="CA11" s="840"/>
      <c r="CB11" s="840"/>
      <c r="CC11" s="840"/>
      <c r="CD11" s="839"/>
      <c r="CE11" s="839"/>
      <c r="CF11" s="839"/>
      <c r="CG11" s="839"/>
      <c r="CH11" s="839"/>
      <c r="CI11" s="823"/>
      <c r="CJ11" s="839"/>
      <c r="CK11" s="839"/>
      <c r="CL11" s="839"/>
      <c r="CM11" s="840"/>
      <c r="CN11" s="840"/>
      <c r="CO11" s="840"/>
      <c r="CP11" s="839"/>
      <c r="CQ11" s="839"/>
      <c r="CR11" s="839"/>
      <c r="CS11" s="839"/>
      <c r="CT11" s="839"/>
      <c r="CU11" s="823"/>
      <c r="CV11" s="839"/>
      <c r="CW11" s="839"/>
      <c r="CX11" s="839"/>
    </row>
    <row r="12" spans="2:102" ht="76.5" customHeight="1" thickBot="1">
      <c r="B12" s="841" t="s">
        <v>11</v>
      </c>
      <c r="C12" s="842" t="s">
        <v>583</v>
      </c>
      <c r="D12" s="841" t="s">
        <v>1122</v>
      </c>
      <c r="E12" s="841" t="s">
        <v>1123</v>
      </c>
      <c r="F12" s="843" t="s">
        <v>18</v>
      </c>
      <c r="G12" s="841" t="s">
        <v>1124</v>
      </c>
      <c r="H12" s="844">
        <v>2014</v>
      </c>
      <c r="I12" s="844">
        <v>2015</v>
      </c>
      <c r="J12" s="844">
        <v>2016</v>
      </c>
      <c r="K12" s="844">
        <v>2017</v>
      </c>
      <c r="L12" s="844">
        <v>2018</v>
      </c>
      <c r="M12" s="844">
        <v>2019</v>
      </c>
      <c r="N12" s="844">
        <v>2020</v>
      </c>
      <c r="O12" s="844">
        <v>2021</v>
      </c>
      <c r="P12" s="844">
        <v>2022</v>
      </c>
      <c r="Q12" s="844">
        <v>2022</v>
      </c>
      <c r="R12" s="844">
        <v>2023</v>
      </c>
      <c r="S12" s="844">
        <v>2024</v>
      </c>
      <c r="T12" s="844">
        <v>2025</v>
      </c>
      <c r="U12" s="841" t="s">
        <v>1125</v>
      </c>
      <c r="V12" s="844">
        <v>2014</v>
      </c>
      <c r="W12" s="844">
        <v>2015</v>
      </c>
      <c r="X12" s="844">
        <v>2016</v>
      </c>
      <c r="Y12" s="844">
        <v>2017</v>
      </c>
      <c r="Z12" s="844">
        <v>2018</v>
      </c>
      <c r="AA12" s="844">
        <v>2022</v>
      </c>
      <c r="AB12" s="844">
        <v>2023</v>
      </c>
      <c r="AC12" s="844">
        <v>2024</v>
      </c>
      <c r="AD12" s="844">
        <v>2025</v>
      </c>
      <c r="AE12" s="843" t="s">
        <v>17</v>
      </c>
      <c r="AF12" s="841" t="s">
        <v>1124</v>
      </c>
      <c r="AG12" s="844">
        <v>2014</v>
      </c>
      <c r="AH12" s="844">
        <v>2015</v>
      </c>
      <c r="AI12" s="844">
        <v>2016</v>
      </c>
      <c r="AJ12" s="844">
        <v>2017</v>
      </c>
      <c r="AK12" s="844">
        <v>2018</v>
      </c>
      <c r="AL12" s="844">
        <v>2019</v>
      </c>
      <c r="AM12" s="844">
        <v>2020</v>
      </c>
      <c r="AN12" s="844">
        <v>2021</v>
      </c>
      <c r="AO12" s="844">
        <v>2022</v>
      </c>
      <c r="AP12" s="844">
        <v>2023</v>
      </c>
      <c r="AQ12" s="841"/>
      <c r="AR12" s="844">
        <v>2014</v>
      </c>
      <c r="AS12" s="844">
        <v>2015</v>
      </c>
      <c r="AT12" s="844">
        <v>2016</v>
      </c>
      <c r="AU12" s="844">
        <v>2017</v>
      </c>
      <c r="AV12" s="845">
        <v>2018</v>
      </c>
      <c r="AW12" s="845">
        <v>2019</v>
      </c>
      <c r="AX12" s="844">
        <v>2020</v>
      </c>
      <c r="AY12" s="844">
        <v>2022</v>
      </c>
      <c r="AZ12" s="844">
        <v>2022</v>
      </c>
      <c r="BA12" s="844">
        <v>2023</v>
      </c>
      <c r="BB12" s="844">
        <v>2024</v>
      </c>
      <c r="BC12" s="841" t="s">
        <v>1265</v>
      </c>
      <c r="BD12" s="844">
        <v>2014</v>
      </c>
      <c r="BE12" s="844">
        <v>2015</v>
      </c>
      <c r="BF12" s="844">
        <v>2016</v>
      </c>
      <c r="BG12" s="844">
        <v>2017</v>
      </c>
      <c r="BH12" s="845">
        <v>2018</v>
      </c>
      <c r="BI12" s="845">
        <v>2019</v>
      </c>
      <c r="BJ12" s="844">
        <v>2020</v>
      </c>
      <c r="BK12" s="844">
        <v>2022</v>
      </c>
      <c r="BL12" s="844">
        <v>2022</v>
      </c>
      <c r="BM12" s="844">
        <v>2023</v>
      </c>
      <c r="BN12" s="844">
        <v>2024</v>
      </c>
      <c r="BO12" s="843" t="s">
        <v>17</v>
      </c>
      <c r="BP12" s="841" t="s">
        <v>1124</v>
      </c>
      <c r="BQ12" s="844">
        <v>2014</v>
      </c>
      <c r="BR12" s="844">
        <v>2015</v>
      </c>
      <c r="BS12" s="844">
        <v>2016</v>
      </c>
      <c r="BT12" s="844">
        <v>2017</v>
      </c>
      <c r="BU12" s="844">
        <v>2018</v>
      </c>
      <c r="BV12" s="844">
        <v>2019</v>
      </c>
      <c r="BW12" s="844">
        <v>2020</v>
      </c>
      <c r="BX12" s="844">
        <v>2021</v>
      </c>
      <c r="BY12" s="844">
        <v>2022</v>
      </c>
      <c r="BZ12" s="844">
        <v>2023</v>
      </c>
      <c r="CA12" s="841"/>
      <c r="CB12" s="844">
        <v>2014</v>
      </c>
      <c r="CC12" s="844">
        <v>2015</v>
      </c>
      <c r="CD12" s="844">
        <v>2016</v>
      </c>
      <c r="CE12" s="844">
        <v>2017</v>
      </c>
      <c r="CF12" s="845">
        <v>2018</v>
      </c>
      <c r="CG12" s="845">
        <v>2019</v>
      </c>
      <c r="CH12" s="844">
        <v>2020</v>
      </c>
      <c r="CI12" s="844">
        <v>2022</v>
      </c>
      <c r="CJ12" s="844">
        <v>2022</v>
      </c>
      <c r="CK12" s="844">
        <v>2023</v>
      </c>
      <c r="CL12" s="844">
        <v>2024</v>
      </c>
      <c r="CM12" s="841"/>
      <c r="CN12" s="844">
        <v>2014</v>
      </c>
      <c r="CO12" s="844">
        <v>2015</v>
      </c>
      <c r="CP12" s="844">
        <v>2016</v>
      </c>
      <c r="CQ12" s="844">
        <v>2017</v>
      </c>
      <c r="CR12" s="845">
        <v>2018</v>
      </c>
      <c r="CS12" s="845">
        <v>2019</v>
      </c>
      <c r="CT12" s="844">
        <v>2020</v>
      </c>
      <c r="CU12" s="844">
        <v>2022</v>
      </c>
      <c r="CV12" s="844">
        <v>2022</v>
      </c>
      <c r="CW12" s="844">
        <v>2023</v>
      </c>
      <c r="CX12" s="844">
        <v>2024</v>
      </c>
    </row>
    <row r="13" spans="2:102" s="857" customFormat="1" ht="28.5" customHeight="1" thickTop="1" thickBot="1">
      <c r="B13" s="847"/>
      <c r="C13" s="848" t="s">
        <v>1126</v>
      </c>
      <c r="D13" s="849"/>
      <c r="E13" s="850"/>
      <c r="F13" s="851"/>
      <c r="G13" s="851"/>
      <c r="H13" s="852"/>
      <c r="I13" s="852"/>
      <c r="J13" s="852"/>
      <c r="K13" s="853"/>
      <c r="L13" s="853"/>
      <c r="M13" s="853"/>
      <c r="N13" s="853"/>
      <c r="O13" s="853"/>
      <c r="P13" s="853"/>
      <c r="Q13" s="853"/>
      <c r="R13" s="854"/>
      <c r="S13" s="853">
        <v>1.0469999999999999</v>
      </c>
      <c r="T13" s="853">
        <v>1.04</v>
      </c>
      <c r="U13" s="855"/>
      <c r="V13" s="853"/>
      <c r="W13" s="853"/>
      <c r="X13" s="853"/>
      <c r="Y13" s="853"/>
      <c r="Z13" s="853"/>
      <c r="AA13" s="853"/>
      <c r="AB13" s="854"/>
      <c r="AC13" s="853">
        <v>1.0469999999999999</v>
      </c>
      <c r="AD13" s="853">
        <v>1.04</v>
      </c>
      <c r="AE13" s="855"/>
      <c r="AF13" s="855"/>
      <c r="AG13" s="853"/>
      <c r="AH13" s="853"/>
      <c r="AI13" s="853"/>
      <c r="AJ13" s="853"/>
      <c r="AK13" s="853"/>
      <c r="AL13" s="853"/>
      <c r="AM13" s="853"/>
      <c r="AN13" s="853"/>
      <c r="AO13" s="853"/>
      <c r="AP13" s="853"/>
      <c r="AQ13" s="853"/>
      <c r="AR13" s="853"/>
      <c r="AS13" s="853"/>
      <c r="AT13" s="853"/>
      <c r="AU13" s="853"/>
      <c r="AV13" s="856"/>
      <c r="AW13" s="856"/>
      <c r="AX13" s="853"/>
      <c r="AY13" s="853"/>
      <c r="AZ13" s="853"/>
      <c r="BA13" s="854">
        <v>1.06</v>
      </c>
      <c r="BB13" s="853">
        <v>1.0469999999999999</v>
      </c>
      <c r="BC13" s="853"/>
      <c r="BD13" s="853"/>
      <c r="BE13" s="853"/>
      <c r="BF13" s="853"/>
      <c r="BG13" s="853"/>
      <c r="BH13" s="856"/>
      <c r="BI13" s="856"/>
      <c r="BJ13" s="853"/>
      <c r="BK13" s="853"/>
      <c r="BL13" s="853"/>
      <c r="BM13" s="854">
        <v>1.06</v>
      </c>
      <c r="BN13" s="853">
        <v>1.0469999999999999</v>
      </c>
      <c r="BO13" s="855"/>
      <c r="BP13" s="855"/>
      <c r="BQ13" s="853"/>
      <c r="BR13" s="853"/>
      <c r="BS13" s="853"/>
      <c r="BT13" s="853"/>
      <c r="BU13" s="853"/>
      <c r="BV13" s="853"/>
      <c r="BW13" s="853"/>
      <c r="BX13" s="853"/>
      <c r="BY13" s="853"/>
      <c r="BZ13" s="853"/>
      <c r="CA13" s="853"/>
      <c r="CB13" s="853"/>
      <c r="CC13" s="853"/>
      <c r="CD13" s="853"/>
      <c r="CE13" s="853"/>
      <c r="CF13" s="856"/>
      <c r="CG13" s="856"/>
      <c r="CH13" s="853"/>
      <c r="CI13" s="853"/>
      <c r="CJ13" s="853"/>
      <c r="CK13" s="854">
        <v>1.06</v>
      </c>
      <c r="CL13" s="853">
        <v>1.0469999999999999</v>
      </c>
      <c r="CM13" s="853"/>
      <c r="CN13" s="853"/>
      <c r="CO13" s="853"/>
      <c r="CP13" s="853"/>
      <c r="CQ13" s="853"/>
      <c r="CR13" s="856"/>
      <c r="CS13" s="856"/>
      <c r="CT13" s="853"/>
      <c r="CU13" s="853"/>
      <c r="CV13" s="853"/>
      <c r="CW13" s="854">
        <v>1.06</v>
      </c>
      <c r="CX13" s="853">
        <v>1.0469999999999999</v>
      </c>
    </row>
    <row r="14" spans="2:102" s="864" customFormat="1" ht="41.25" thickTop="1">
      <c r="B14" s="858">
        <v>1</v>
      </c>
      <c r="C14" s="859" t="s">
        <v>1127</v>
      </c>
      <c r="D14" s="860" t="s">
        <v>1128</v>
      </c>
      <c r="E14" s="861">
        <f>SUM(E16,E43,E46)</f>
        <v>125.04961697258335</v>
      </c>
      <c r="F14" s="861">
        <f>SUM(F16,F43,F46)</f>
        <v>125.04961697258335</v>
      </c>
      <c r="G14" s="861">
        <f>SUM(G16,G43,G46)</f>
        <v>125.04961697258335</v>
      </c>
      <c r="H14" s="861"/>
      <c r="I14" s="861"/>
      <c r="J14" s="861"/>
      <c r="K14" s="861"/>
      <c r="L14" s="861"/>
      <c r="M14" s="861"/>
      <c r="N14" s="861"/>
      <c r="O14" s="861"/>
      <c r="P14" s="861"/>
      <c r="Q14" s="861"/>
      <c r="R14" s="861">
        <f>SUM(R16,R43,R46)</f>
        <v>40.416812208333333</v>
      </c>
      <c r="S14" s="861">
        <f>SUM(S16,S43,S46)</f>
        <v>84.632804764249997</v>
      </c>
      <c r="T14" s="861">
        <f>SUM(T16,T43,T46)</f>
        <v>0</v>
      </c>
      <c r="U14" s="861">
        <f t="shared" ref="U14:AD14" si="0">SUM(U16,U43,U46)</f>
        <v>0</v>
      </c>
      <c r="V14" s="861">
        <f t="shared" si="0"/>
        <v>0</v>
      </c>
      <c r="W14" s="861">
        <f t="shared" si="0"/>
        <v>0</v>
      </c>
      <c r="X14" s="861">
        <f t="shared" si="0"/>
        <v>0</v>
      </c>
      <c r="Y14" s="861">
        <f t="shared" si="0"/>
        <v>0</v>
      </c>
      <c r="Z14" s="861">
        <f t="shared" si="0"/>
        <v>0</v>
      </c>
      <c r="AA14" s="861">
        <f t="shared" si="0"/>
        <v>0</v>
      </c>
      <c r="AB14" s="861">
        <f t="shared" si="0"/>
        <v>0</v>
      </c>
      <c r="AC14" s="861">
        <f t="shared" si="0"/>
        <v>0</v>
      </c>
      <c r="AD14" s="861">
        <f t="shared" si="0"/>
        <v>0</v>
      </c>
      <c r="AE14" s="861">
        <f>SUM(AE16,AE43,AE46)</f>
        <v>0</v>
      </c>
      <c r="AF14" s="861">
        <f>SUM(AF16,AF43,AF46)</f>
        <v>0</v>
      </c>
      <c r="AG14" s="861">
        <f t="shared" ref="AG14:AN14" si="1">SUM(AG16,AG43,AG46)</f>
        <v>0</v>
      </c>
      <c r="AH14" s="861">
        <f t="shared" si="1"/>
        <v>0</v>
      </c>
      <c r="AI14" s="861">
        <f t="shared" si="1"/>
        <v>0</v>
      </c>
      <c r="AJ14" s="861">
        <f t="shared" si="1"/>
        <v>0</v>
      </c>
      <c r="AK14" s="861">
        <f t="shared" si="1"/>
        <v>0</v>
      </c>
      <c r="AL14" s="861">
        <f t="shared" si="1"/>
        <v>0</v>
      </c>
      <c r="AM14" s="861">
        <f t="shared" si="1"/>
        <v>0</v>
      </c>
      <c r="AN14" s="861">
        <f t="shared" si="1"/>
        <v>0</v>
      </c>
      <c r="AO14" s="861"/>
      <c r="AP14" s="861"/>
      <c r="AQ14" s="861">
        <f>SUM(AQ16,AQ43,AQ46)</f>
        <v>0</v>
      </c>
      <c r="AR14" s="862">
        <f t="shared" ref="AR14:AX14" si="2">ROUND(AR16+AR43+AR46,3)</f>
        <v>0</v>
      </c>
      <c r="AS14" s="862">
        <f t="shared" si="2"/>
        <v>0</v>
      </c>
      <c r="AT14" s="862">
        <f t="shared" si="2"/>
        <v>0</v>
      </c>
      <c r="AU14" s="862">
        <f t="shared" si="2"/>
        <v>0</v>
      </c>
      <c r="AV14" s="863">
        <f t="shared" si="2"/>
        <v>0</v>
      </c>
      <c r="AW14" s="863">
        <f t="shared" si="2"/>
        <v>0</v>
      </c>
      <c r="AX14" s="861">
        <f t="shared" si="2"/>
        <v>0</v>
      </c>
      <c r="AY14" s="861">
        <f>SUM(AY16,AY43,AY46)</f>
        <v>0</v>
      </c>
      <c r="AZ14" s="861">
        <f>SUM(AZ16,AZ43,AZ46)</f>
        <v>0</v>
      </c>
      <c r="BA14" s="861">
        <f>SUM(BA16,BA43,BA46)</f>
        <v>0</v>
      </c>
      <c r="BB14" s="861">
        <f>SUM(BB16,BB43,BB46)</f>
        <v>0</v>
      </c>
      <c r="BC14" s="861">
        <f>SUM(BC16,BC43,BC46)</f>
        <v>0</v>
      </c>
      <c r="BD14" s="862">
        <f t="shared" ref="BD14:BJ14" si="3">ROUND(BD16+BD43+BD46,3)</f>
        <v>0</v>
      </c>
      <c r="BE14" s="862">
        <f t="shared" si="3"/>
        <v>0</v>
      </c>
      <c r="BF14" s="862">
        <f t="shared" si="3"/>
        <v>0</v>
      </c>
      <c r="BG14" s="862">
        <f t="shared" si="3"/>
        <v>0</v>
      </c>
      <c r="BH14" s="863">
        <f t="shared" si="3"/>
        <v>0</v>
      </c>
      <c r="BI14" s="863">
        <f t="shared" si="3"/>
        <v>0</v>
      </c>
      <c r="BJ14" s="861">
        <f t="shared" si="3"/>
        <v>0</v>
      </c>
      <c r="BK14" s="861">
        <f>SUM(BK16,BK43,BK46)</f>
        <v>0</v>
      </c>
      <c r="BL14" s="861">
        <f>SUM(BL16,BL43,BL46)</f>
        <v>0</v>
      </c>
      <c r="BM14" s="861">
        <f>SUM(BM16,BM43,BM46)</f>
        <v>0</v>
      </c>
      <c r="BN14" s="861">
        <f>SUM(BN16,BN43,BN46)</f>
        <v>0</v>
      </c>
      <c r="BO14" s="861"/>
      <c r="BP14" s="861">
        <f>SUM(BP16,BP43,BP46)</f>
        <v>0</v>
      </c>
      <c r="BQ14" s="861">
        <f t="shared" ref="BQ14:BX14" si="4">SUM(BQ16,BQ43,BQ46)</f>
        <v>0</v>
      </c>
      <c r="BR14" s="861">
        <f t="shared" si="4"/>
        <v>0</v>
      </c>
      <c r="BS14" s="861">
        <f t="shared" si="4"/>
        <v>0</v>
      </c>
      <c r="BT14" s="861">
        <f t="shared" si="4"/>
        <v>0</v>
      </c>
      <c r="BU14" s="861">
        <f t="shared" si="4"/>
        <v>0</v>
      </c>
      <c r="BV14" s="861">
        <f t="shared" si="4"/>
        <v>0</v>
      </c>
      <c r="BW14" s="861">
        <f t="shared" si="4"/>
        <v>0</v>
      </c>
      <c r="BX14" s="861">
        <f t="shared" si="4"/>
        <v>0</v>
      </c>
      <c r="BY14" s="861"/>
      <c r="BZ14" s="861"/>
      <c r="CA14" s="861">
        <f>SUM(CA16,CA43,CA46)</f>
        <v>0</v>
      </c>
      <c r="CB14" s="862">
        <f t="shared" ref="CB14:CH14" si="5">ROUND(CB16+CB43+CB46,3)</f>
        <v>0</v>
      </c>
      <c r="CC14" s="862">
        <f t="shared" si="5"/>
        <v>0</v>
      </c>
      <c r="CD14" s="862">
        <f t="shared" si="5"/>
        <v>0</v>
      </c>
      <c r="CE14" s="862">
        <f t="shared" si="5"/>
        <v>0</v>
      </c>
      <c r="CF14" s="863">
        <f t="shared" si="5"/>
        <v>0</v>
      </c>
      <c r="CG14" s="863">
        <f t="shared" si="5"/>
        <v>0</v>
      </c>
      <c r="CH14" s="861">
        <f t="shared" si="5"/>
        <v>0</v>
      </c>
      <c r="CI14" s="861">
        <f>SUM(CI16,CI43,CI46)</f>
        <v>0</v>
      </c>
      <c r="CJ14" s="861">
        <f>SUM(CJ16,CJ43,CJ46)</f>
        <v>0</v>
      </c>
      <c r="CK14" s="861">
        <f>SUM(CK16,CK43,CK46)</f>
        <v>0</v>
      </c>
      <c r="CL14" s="861">
        <f>SUM(CL16,CL43,CL46)</f>
        <v>0</v>
      </c>
      <c r="CM14" s="861">
        <f>SUM(CM16,CM43,CM46)</f>
        <v>0</v>
      </c>
      <c r="CN14" s="862">
        <f t="shared" ref="CN14:CT14" si="6">ROUND(CN16+CN43+CN46,3)</f>
        <v>0</v>
      </c>
      <c r="CO14" s="862">
        <f t="shared" si="6"/>
        <v>0</v>
      </c>
      <c r="CP14" s="862">
        <f t="shared" si="6"/>
        <v>0</v>
      </c>
      <c r="CQ14" s="862">
        <f t="shared" si="6"/>
        <v>0</v>
      </c>
      <c r="CR14" s="863">
        <f t="shared" si="6"/>
        <v>0</v>
      </c>
      <c r="CS14" s="863">
        <f t="shared" si="6"/>
        <v>0</v>
      </c>
      <c r="CT14" s="861">
        <f t="shared" si="6"/>
        <v>0</v>
      </c>
      <c r="CU14" s="861">
        <f>SUM(CU16,CU43,CU46)</f>
        <v>0</v>
      </c>
      <c r="CV14" s="861">
        <f>SUM(CV16,CV43,CV46)</f>
        <v>0</v>
      </c>
      <c r="CW14" s="861">
        <f>SUM(CW16,CW43,CW46)</f>
        <v>0</v>
      </c>
      <c r="CX14" s="861">
        <f>SUM(CX16,CX43,CX46)</f>
        <v>0</v>
      </c>
    </row>
    <row r="15" spans="2:102" s="864" customFormat="1" ht="45" customHeight="1" outlineLevel="1">
      <c r="B15" s="858"/>
      <c r="C15" s="859" t="s">
        <v>1127</v>
      </c>
      <c r="D15" s="865" t="s">
        <v>1129</v>
      </c>
      <c r="E15" s="861">
        <f>E14*1.2</f>
        <v>150.05954036710003</v>
      </c>
      <c r="F15" s="861">
        <f>F14*1.2</f>
        <v>150.05954036710003</v>
      </c>
      <c r="G15" s="861">
        <f>G14*1.2</f>
        <v>150.05954036710003</v>
      </c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1">
        <f>R14*1.2</f>
        <v>48.500174649999998</v>
      </c>
      <c r="S15" s="861">
        <f>S14*1.2</f>
        <v>101.55936571709999</v>
      </c>
      <c r="T15" s="861">
        <f>T14*1.2</f>
        <v>0</v>
      </c>
      <c r="U15" s="861">
        <f>U14*1.2</f>
        <v>0</v>
      </c>
      <c r="V15" s="861">
        <f t="shared" ref="V15:AV15" si="7">V14*1.2</f>
        <v>0</v>
      </c>
      <c r="W15" s="861">
        <f t="shared" si="7"/>
        <v>0</v>
      </c>
      <c r="X15" s="861">
        <f t="shared" si="7"/>
        <v>0</v>
      </c>
      <c r="Y15" s="861">
        <f t="shared" si="7"/>
        <v>0</v>
      </c>
      <c r="Z15" s="861">
        <f t="shared" si="7"/>
        <v>0</v>
      </c>
      <c r="AA15" s="861">
        <f t="shared" si="7"/>
        <v>0</v>
      </c>
      <c r="AB15" s="861">
        <f t="shared" si="7"/>
        <v>0</v>
      </c>
      <c r="AC15" s="861">
        <f t="shared" si="7"/>
        <v>0</v>
      </c>
      <c r="AD15" s="861">
        <f t="shared" si="7"/>
        <v>0</v>
      </c>
      <c r="AE15" s="861">
        <f>AE14*1.2</f>
        <v>0</v>
      </c>
      <c r="AF15" s="861">
        <f>AF14*1.2</f>
        <v>0</v>
      </c>
      <c r="AG15" s="861">
        <f t="shared" si="7"/>
        <v>0</v>
      </c>
      <c r="AH15" s="861">
        <f t="shared" si="7"/>
        <v>0</v>
      </c>
      <c r="AI15" s="861">
        <f t="shared" si="7"/>
        <v>0</v>
      </c>
      <c r="AJ15" s="861">
        <f t="shared" si="7"/>
        <v>0</v>
      </c>
      <c r="AK15" s="861">
        <f t="shared" si="7"/>
        <v>0</v>
      </c>
      <c r="AL15" s="861">
        <f t="shared" si="7"/>
        <v>0</v>
      </c>
      <c r="AM15" s="861">
        <f t="shared" si="7"/>
        <v>0</v>
      </c>
      <c r="AN15" s="861">
        <f t="shared" si="7"/>
        <v>0</v>
      </c>
      <c r="AO15" s="861"/>
      <c r="AP15" s="861"/>
      <c r="AQ15" s="861">
        <f>AQ14*1.2</f>
        <v>0</v>
      </c>
      <c r="AR15" s="861">
        <f t="shared" si="7"/>
        <v>0</v>
      </c>
      <c r="AS15" s="861">
        <f t="shared" si="7"/>
        <v>0</v>
      </c>
      <c r="AT15" s="861">
        <f t="shared" si="7"/>
        <v>0</v>
      </c>
      <c r="AU15" s="861">
        <f t="shared" si="7"/>
        <v>0</v>
      </c>
      <c r="AV15" s="861">
        <f t="shared" si="7"/>
        <v>0</v>
      </c>
      <c r="AW15" s="861">
        <f t="shared" ref="AW15:BN15" si="8">AW14*1.2</f>
        <v>0</v>
      </c>
      <c r="AX15" s="861">
        <f t="shared" si="8"/>
        <v>0</v>
      </c>
      <c r="AY15" s="861">
        <f t="shared" si="8"/>
        <v>0</v>
      </c>
      <c r="AZ15" s="861">
        <f t="shared" si="8"/>
        <v>0</v>
      </c>
      <c r="BA15" s="861">
        <f t="shared" si="8"/>
        <v>0</v>
      </c>
      <c r="BB15" s="861">
        <f t="shared" si="8"/>
        <v>0</v>
      </c>
      <c r="BC15" s="861">
        <f t="shared" si="8"/>
        <v>0</v>
      </c>
      <c r="BD15" s="861">
        <f t="shared" si="8"/>
        <v>0</v>
      </c>
      <c r="BE15" s="861">
        <f t="shared" si="8"/>
        <v>0</v>
      </c>
      <c r="BF15" s="861">
        <f t="shared" si="8"/>
        <v>0</v>
      </c>
      <c r="BG15" s="861">
        <f t="shared" si="8"/>
        <v>0</v>
      </c>
      <c r="BH15" s="861">
        <f t="shared" si="8"/>
        <v>0</v>
      </c>
      <c r="BI15" s="861">
        <f t="shared" si="8"/>
        <v>0</v>
      </c>
      <c r="BJ15" s="861">
        <f t="shared" si="8"/>
        <v>0</v>
      </c>
      <c r="BK15" s="861">
        <f t="shared" si="8"/>
        <v>0</v>
      </c>
      <c r="BL15" s="861">
        <f t="shared" si="8"/>
        <v>0</v>
      </c>
      <c r="BM15" s="861">
        <f t="shared" si="8"/>
        <v>0</v>
      </c>
      <c r="BN15" s="861">
        <f t="shared" si="8"/>
        <v>0</v>
      </c>
      <c r="BO15" s="861"/>
      <c r="BP15" s="861">
        <f>BP14*1.2</f>
        <v>0</v>
      </c>
      <c r="BQ15" s="861">
        <f t="shared" ref="BQ15:BX15" si="9">BQ14*1.2</f>
        <v>0</v>
      </c>
      <c r="BR15" s="861">
        <f t="shared" si="9"/>
        <v>0</v>
      </c>
      <c r="BS15" s="861">
        <f t="shared" si="9"/>
        <v>0</v>
      </c>
      <c r="BT15" s="861">
        <f t="shared" si="9"/>
        <v>0</v>
      </c>
      <c r="BU15" s="861">
        <f t="shared" si="9"/>
        <v>0</v>
      </c>
      <c r="BV15" s="861">
        <f t="shared" si="9"/>
        <v>0</v>
      </c>
      <c r="BW15" s="861">
        <f t="shared" si="9"/>
        <v>0</v>
      </c>
      <c r="BX15" s="861">
        <f t="shared" si="9"/>
        <v>0</v>
      </c>
      <c r="BY15" s="861"/>
      <c r="BZ15" s="861"/>
      <c r="CA15" s="861">
        <f t="shared" ref="CA15:CX15" si="10">CA14*1.2</f>
        <v>0</v>
      </c>
      <c r="CB15" s="861">
        <f t="shared" si="10"/>
        <v>0</v>
      </c>
      <c r="CC15" s="861">
        <f t="shared" si="10"/>
        <v>0</v>
      </c>
      <c r="CD15" s="861">
        <f t="shared" si="10"/>
        <v>0</v>
      </c>
      <c r="CE15" s="861">
        <f t="shared" si="10"/>
        <v>0</v>
      </c>
      <c r="CF15" s="861">
        <f t="shared" si="10"/>
        <v>0</v>
      </c>
      <c r="CG15" s="861">
        <f t="shared" si="10"/>
        <v>0</v>
      </c>
      <c r="CH15" s="861">
        <f t="shared" si="10"/>
        <v>0</v>
      </c>
      <c r="CI15" s="861">
        <f t="shared" si="10"/>
        <v>0</v>
      </c>
      <c r="CJ15" s="861">
        <f t="shared" si="10"/>
        <v>0</v>
      </c>
      <c r="CK15" s="861">
        <f t="shared" si="10"/>
        <v>0</v>
      </c>
      <c r="CL15" s="861">
        <f t="shared" si="10"/>
        <v>0</v>
      </c>
      <c r="CM15" s="861">
        <f t="shared" si="10"/>
        <v>0</v>
      </c>
      <c r="CN15" s="861">
        <f t="shared" si="10"/>
        <v>0</v>
      </c>
      <c r="CO15" s="861">
        <f t="shared" si="10"/>
        <v>0</v>
      </c>
      <c r="CP15" s="861">
        <f t="shared" si="10"/>
        <v>0</v>
      </c>
      <c r="CQ15" s="861">
        <f t="shared" si="10"/>
        <v>0</v>
      </c>
      <c r="CR15" s="861">
        <f t="shared" si="10"/>
        <v>0</v>
      </c>
      <c r="CS15" s="861">
        <f t="shared" si="10"/>
        <v>0</v>
      </c>
      <c r="CT15" s="861">
        <f t="shared" si="10"/>
        <v>0</v>
      </c>
      <c r="CU15" s="861">
        <f t="shared" si="10"/>
        <v>0</v>
      </c>
      <c r="CV15" s="861">
        <f t="shared" si="10"/>
        <v>0</v>
      </c>
      <c r="CW15" s="861">
        <f t="shared" si="10"/>
        <v>0</v>
      </c>
      <c r="CX15" s="861">
        <f t="shared" si="10"/>
        <v>0</v>
      </c>
    </row>
    <row r="16" spans="2:102" ht="48" customHeight="1" thickBot="1">
      <c r="B16" s="866" t="s">
        <v>1130</v>
      </c>
      <c r="C16" s="867" t="s">
        <v>1131</v>
      </c>
      <c r="D16" s="868" t="s">
        <v>1128</v>
      </c>
      <c r="E16" s="869">
        <f>F16+AE16</f>
        <v>100.03969357806668</v>
      </c>
      <c r="F16" s="869">
        <f>F17+F18+F19+F20+F21+F22</f>
        <v>100.03969357806668</v>
      </c>
      <c r="G16" s="869">
        <f>G17+G18+G19+G20+G21+G22</f>
        <v>100.03969357806668</v>
      </c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>
        <f>R17+R18+R19+R20+R21+R22</f>
        <v>32.333449766666668</v>
      </c>
      <c r="S16" s="862">
        <f>S17+S18+S19+S20+S21+S22</f>
        <v>67.7062438114</v>
      </c>
      <c r="T16" s="862">
        <f>T17+T18+T19+T20+T21+T22</f>
        <v>0</v>
      </c>
      <c r="U16" s="869">
        <f>U17+U18+U19+U20+U21+U22</f>
        <v>0</v>
      </c>
      <c r="V16" s="862">
        <f t="shared" ref="V16:AD16" si="11">V17+V18+V19+V20+V21+V22</f>
        <v>0</v>
      </c>
      <c r="W16" s="862">
        <f t="shared" si="11"/>
        <v>0</v>
      </c>
      <c r="X16" s="862">
        <f t="shared" si="11"/>
        <v>0</v>
      </c>
      <c r="Y16" s="862">
        <f t="shared" si="11"/>
        <v>0</v>
      </c>
      <c r="Z16" s="862">
        <f t="shared" si="11"/>
        <v>0</v>
      </c>
      <c r="AA16" s="862">
        <f t="shared" si="11"/>
        <v>0</v>
      </c>
      <c r="AB16" s="862">
        <f t="shared" si="11"/>
        <v>0</v>
      </c>
      <c r="AC16" s="862">
        <f t="shared" si="11"/>
        <v>0</v>
      </c>
      <c r="AD16" s="862">
        <f t="shared" si="11"/>
        <v>0</v>
      </c>
      <c r="AE16" s="869">
        <f>AE17+AE18+AE19+AE20+AE21+AE22</f>
        <v>0</v>
      </c>
      <c r="AF16" s="869">
        <f>AF17+AF18+AF19+AF20+AF21+AF22</f>
        <v>0</v>
      </c>
      <c r="AG16" s="862">
        <f t="shared" ref="AG16:AN16" si="12">AG17+AG18+AG19+AG20+AG21+AG22</f>
        <v>0</v>
      </c>
      <c r="AH16" s="862">
        <f t="shared" si="12"/>
        <v>0</v>
      </c>
      <c r="AI16" s="862">
        <f t="shared" si="12"/>
        <v>0</v>
      </c>
      <c r="AJ16" s="862">
        <f t="shared" si="12"/>
        <v>0</v>
      </c>
      <c r="AK16" s="862">
        <f t="shared" si="12"/>
        <v>0</v>
      </c>
      <c r="AL16" s="862">
        <f t="shared" si="12"/>
        <v>0</v>
      </c>
      <c r="AM16" s="862">
        <f t="shared" si="12"/>
        <v>0</v>
      </c>
      <c r="AN16" s="862">
        <f t="shared" si="12"/>
        <v>0</v>
      </c>
      <c r="AO16" s="862"/>
      <c r="AP16" s="862"/>
      <c r="AQ16" s="869">
        <f>AQ17+AQ18+AQ19+AQ20+AQ21+AQ22</f>
        <v>0</v>
      </c>
      <c r="AR16" s="862">
        <f t="shared" ref="AR16:AY16" si="13">AR17+AR18+AR19+AR20+AR21+AR22</f>
        <v>0</v>
      </c>
      <c r="AS16" s="862">
        <f t="shared" si="13"/>
        <v>0</v>
      </c>
      <c r="AT16" s="862">
        <f t="shared" si="13"/>
        <v>0</v>
      </c>
      <c r="AU16" s="862">
        <f t="shared" si="13"/>
        <v>0</v>
      </c>
      <c r="AV16" s="863">
        <f t="shared" si="13"/>
        <v>0</v>
      </c>
      <c r="AW16" s="863">
        <f t="shared" si="13"/>
        <v>0</v>
      </c>
      <c r="AX16" s="862">
        <f t="shared" si="13"/>
        <v>0</v>
      </c>
      <c r="AY16" s="862">
        <f t="shared" si="13"/>
        <v>0</v>
      </c>
      <c r="AZ16" s="862">
        <f>AZ17+AZ18+AZ19+AZ20+AZ21+AZ22</f>
        <v>0</v>
      </c>
      <c r="BA16" s="862">
        <f>BA17+BA18+BA19+BA20+BA21+BA22</f>
        <v>0</v>
      </c>
      <c r="BB16" s="862">
        <f>BB17+BB18+BB19+BB20+BB21+BB22</f>
        <v>0</v>
      </c>
      <c r="BC16" s="869">
        <f>BC17+BC18+BC19+BC20+BC21+BC22</f>
        <v>0</v>
      </c>
      <c r="BD16" s="862">
        <f t="shared" ref="BD16:BK16" si="14">BD17+BD18+BD19+BD20+BD21+BD22</f>
        <v>0</v>
      </c>
      <c r="BE16" s="862">
        <f t="shared" si="14"/>
        <v>0</v>
      </c>
      <c r="BF16" s="862">
        <f t="shared" si="14"/>
        <v>0</v>
      </c>
      <c r="BG16" s="862">
        <f t="shared" si="14"/>
        <v>0</v>
      </c>
      <c r="BH16" s="863">
        <f t="shared" si="14"/>
        <v>0</v>
      </c>
      <c r="BI16" s="863">
        <f t="shared" si="14"/>
        <v>0</v>
      </c>
      <c r="BJ16" s="862">
        <f t="shared" si="14"/>
        <v>0</v>
      </c>
      <c r="BK16" s="862">
        <f t="shared" si="14"/>
        <v>0</v>
      </c>
      <c r="BL16" s="862">
        <f>BL17+BL18+BL19+BL20+BL21+BL22</f>
        <v>0</v>
      </c>
      <c r="BM16" s="862">
        <f>BM17+BM18+BM19+BM20+BM21+BM22</f>
        <v>0</v>
      </c>
      <c r="BN16" s="862">
        <f>BN17+BN18+BN19+BN20+BN21+BN22</f>
        <v>0</v>
      </c>
      <c r="BO16" s="869"/>
      <c r="BP16" s="869">
        <f>BP17+BP18+BP19+BP20+BP21+BP22</f>
        <v>0</v>
      </c>
      <c r="BQ16" s="862">
        <f t="shared" ref="BQ16:BX16" si="15">BQ17+BQ18+BQ19+BQ20+BQ21+BQ22</f>
        <v>0</v>
      </c>
      <c r="BR16" s="862">
        <f t="shared" si="15"/>
        <v>0</v>
      </c>
      <c r="BS16" s="862">
        <f t="shared" si="15"/>
        <v>0</v>
      </c>
      <c r="BT16" s="862">
        <f t="shared" si="15"/>
        <v>0</v>
      </c>
      <c r="BU16" s="862">
        <f t="shared" si="15"/>
        <v>0</v>
      </c>
      <c r="BV16" s="862">
        <f t="shared" si="15"/>
        <v>0</v>
      </c>
      <c r="BW16" s="862">
        <f t="shared" si="15"/>
        <v>0</v>
      </c>
      <c r="BX16" s="862">
        <f t="shared" si="15"/>
        <v>0</v>
      </c>
      <c r="BY16" s="862"/>
      <c r="BZ16" s="862"/>
      <c r="CA16" s="869">
        <f>CA17+CA18+CA19+CA20+CA21+CA22</f>
        <v>0</v>
      </c>
      <c r="CB16" s="862">
        <f t="shared" ref="CB16:CI16" si="16">CB17+CB18+CB19+CB20+CB21+CB22</f>
        <v>0</v>
      </c>
      <c r="CC16" s="862">
        <f t="shared" si="16"/>
        <v>0</v>
      </c>
      <c r="CD16" s="862">
        <f t="shared" si="16"/>
        <v>0</v>
      </c>
      <c r="CE16" s="862">
        <f t="shared" si="16"/>
        <v>0</v>
      </c>
      <c r="CF16" s="863">
        <f t="shared" si="16"/>
        <v>0</v>
      </c>
      <c r="CG16" s="863">
        <f t="shared" si="16"/>
        <v>0</v>
      </c>
      <c r="CH16" s="862">
        <f t="shared" si="16"/>
        <v>0</v>
      </c>
      <c r="CI16" s="862">
        <f t="shared" si="16"/>
        <v>0</v>
      </c>
      <c r="CJ16" s="862">
        <f>CJ17+CJ18+CJ19+CJ20+CJ21+CJ22</f>
        <v>0</v>
      </c>
      <c r="CK16" s="862">
        <f>CK17+CK18+CK19+CK20+CK21+CK22</f>
        <v>0</v>
      </c>
      <c r="CL16" s="862">
        <f>CL17+CL18+CL19+CL20+CL21+CL22</f>
        <v>0</v>
      </c>
      <c r="CM16" s="869">
        <f>CM17+CM18+CM19+CM20+CM21+CM22</f>
        <v>0</v>
      </c>
      <c r="CN16" s="862">
        <f t="shared" ref="CN16:CU16" si="17">CN17+CN18+CN19+CN20+CN21+CN22</f>
        <v>0</v>
      </c>
      <c r="CO16" s="862">
        <f t="shared" si="17"/>
        <v>0</v>
      </c>
      <c r="CP16" s="862">
        <f t="shared" si="17"/>
        <v>0</v>
      </c>
      <c r="CQ16" s="862">
        <f t="shared" si="17"/>
        <v>0</v>
      </c>
      <c r="CR16" s="863">
        <f t="shared" si="17"/>
        <v>0</v>
      </c>
      <c r="CS16" s="863">
        <f t="shared" si="17"/>
        <v>0</v>
      </c>
      <c r="CT16" s="862">
        <f t="shared" si="17"/>
        <v>0</v>
      </c>
      <c r="CU16" s="862">
        <f t="shared" si="17"/>
        <v>0</v>
      </c>
      <c r="CV16" s="862">
        <f>CV17+CV18+CV19+CV20+CV21+CV22</f>
        <v>0</v>
      </c>
      <c r="CW16" s="862">
        <f>CW17+CW18+CW19+CW20+CW21+CW22</f>
        <v>0</v>
      </c>
      <c r="CX16" s="862">
        <f>CX17+CX18+CX19+CX20+CX21+CX22</f>
        <v>0</v>
      </c>
    </row>
    <row r="17" spans="2:102" ht="30.75" customHeight="1" thickTop="1" thickBot="1">
      <c r="B17" s="870" t="s">
        <v>1132</v>
      </c>
      <c r="C17" s="871" t="s">
        <v>1133</v>
      </c>
      <c r="D17" s="872" t="s">
        <v>1128</v>
      </c>
      <c r="E17" s="869">
        <f>F17+AE17</f>
        <v>0</v>
      </c>
      <c r="F17" s="873">
        <f>G17+U17</f>
        <v>0</v>
      </c>
      <c r="G17" s="873">
        <f>SUM(M17:T17)</f>
        <v>0</v>
      </c>
      <c r="H17" s="874"/>
      <c r="I17" s="874"/>
      <c r="J17" s="874"/>
      <c r="K17" s="874"/>
      <c r="L17" s="874"/>
      <c r="M17" s="874"/>
      <c r="N17" s="874"/>
      <c r="O17" s="874"/>
      <c r="P17" s="874"/>
      <c r="Q17" s="874"/>
      <c r="R17" s="874"/>
      <c r="S17" s="874"/>
      <c r="T17" s="874"/>
      <c r="U17" s="873">
        <f>SUM(AA17:AD19)</f>
        <v>0</v>
      </c>
      <c r="V17" s="874"/>
      <c r="W17" s="874"/>
      <c r="X17" s="874"/>
      <c r="Y17" s="874"/>
      <c r="Z17" s="874"/>
      <c r="AA17" s="874"/>
      <c r="AB17" s="874"/>
      <c r="AC17" s="874"/>
      <c r="AD17" s="874"/>
      <c r="AE17" s="873">
        <f>AQ17+BC17</f>
        <v>0</v>
      </c>
      <c r="AF17" s="873">
        <f>SUM(AO17:AZ17)</f>
        <v>0</v>
      </c>
      <c r="AG17" s="874"/>
      <c r="AH17" s="874"/>
      <c r="AI17" s="874"/>
      <c r="AJ17" s="874"/>
      <c r="AK17" s="874"/>
      <c r="AL17" s="874"/>
      <c r="AM17" s="874"/>
      <c r="AN17" s="874"/>
      <c r="AO17" s="874"/>
      <c r="AP17" s="874"/>
      <c r="AQ17" s="874">
        <f>SUM(AW17:BA17)</f>
        <v>0</v>
      </c>
      <c r="AR17" s="874"/>
      <c r="AS17" s="874"/>
      <c r="AT17" s="874"/>
      <c r="AU17" s="874"/>
      <c r="AV17" s="874"/>
      <c r="AW17" s="875"/>
      <c r="AX17" s="874"/>
      <c r="AY17" s="874"/>
      <c r="AZ17" s="874"/>
      <c r="BA17" s="874"/>
      <c r="BB17" s="874"/>
      <c r="BC17" s="874">
        <f>SUM(BI17:BM17)</f>
        <v>0</v>
      </c>
      <c r="BD17" s="874"/>
      <c r="BE17" s="874"/>
      <c r="BF17" s="874"/>
      <c r="BG17" s="874"/>
      <c r="BH17" s="874"/>
      <c r="BI17" s="875"/>
      <c r="BJ17" s="874"/>
      <c r="BK17" s="874"/>
      <c r="BL17" s="874"/>
      <c r="BM17" s="874"/>
      <c r="BN17" s="874"/>
      <c r="BO17" s="873"/>
      <c r="BP17" s="873">
        <f>SUM(BY17:CJ17)</f>
        <v>0</v>
      </c>
      <c r="BQ17" s="874"/>
      <c r="BR17" s="874"/>
      <c r="BS17" s="874"/>
      <c r="BT17" s="874"/>
      <c r="BU17" s="874"/>
      <c r="BV17" s="874"/>
      <c r="BW17" s="874"/>
      <c r="BX17" s="874"/>
      <c r="BY17" s="874"/>
      <c r="BZ17" s="874"/>
      <c r="CA17" s="874">
        <f>SUM(CG17:CK17)</f>
        <v>0</v>
      </c>
      <c r="CB17" s="874"/>
      <c r="CC17" s="874"/>
      <c r="CD17" s="874"/>
      <c r="CE17" s="874"/>
      <c r="CF17" s="874"/>
      <c r="CG17" s="875"/>
      <c r="CH17" s="874"/>
      <c r="CI17" s="874"/>
      <c r="CJ17" s="874"/>
      <c r="CK17" s="874"/>
      <c r="CL17" s="874"/>
      <c r="CM17" s="874">
        <f>SUM(CS17:CW17)</f>
        <v>0</v>
      </c>
      <c r="CN17" s="874"/>
      <c r="CO17" s="874"/>
      <c r="CP17" s="874"/>
      <c r="CQ17" s="874"/>
      <c r="CR17" s="874"/>
      <c r="CS17" s="875"/>
      <c r="CT17" s="874"/>
      <c r="CU17" s="874"/>
      <c r="CV17" s="874"/>
      <c r="CW17" s="874"/>
      <c r="CX17" s="874"/>
    </row>
    <row r="18" spans="2:102" ht="21.75" hidden="1" customHeight="1" outlineLevel="1" thickTop="1" thickBot="1">
      <c r="B18" s="870" t="s">
        <v>119</v>
      </c>
      <c r="C18" s="871" t="s">
        <v>1134</v>
      </c>
      <c r="D18" s="872" t="s">
        <v>1128</v>
      </c>
      <c r="E18" s="869"/>
      <c r="F18" s="873"/>
      <c r="G18" s="873">
        <f>SUM(M18:P18)</f>
        <v>0</v>
      </c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4"/>
      <c r="U18" s="873">
        <f>SUM(AA18:AC18)</f>
        <v>0</v>
      </c>
      <c r="V18" s="874"/>
      <c r="W18" s="874"/>
      <c r="X18" s="874"/>
      <c r="Y18" s="874"/>
      <c r="Z18" s="874"/>
      <c r="AA18" s="874"/>
      <c r="AB18" s="874"/>
      <c r="AC18" s="874"/>
      <c r="AD18" s="874"/>
      <c r="AE18" s="873"/>
      <c r="AF18" s="873">
        <f>SUM(AO18:AZ18)</f>
        <v>0</v>
      </c>
      <c r="AG18" s="874"/>
      <c r="AH18" s="874"/>
      <c r="AI18" s="874"/>
      <c r="AJ18" s="874"/>
      <c r="AK18" s="874"/>
      <c r="AL18" s="874"/>
      <c r="AM18" s="874"/>
      <c r="AN18" s="874"/>
      <c r="AO18" s="874"/>
      <c r="AP18" s="874"/>
      <c r="AQ18" s="874"/>
      <c r="AR18" s="874"/>
      <c r="AS18" s="874"/>
      <c r="AT18" s="874"/>
      <c r="AU18" s="874"/>
      <c r="AV18" s="874"/>
      <c r="AW18" s="875"/>
      <c r="AX18" s="874"/>
      <c r="AY18" s="874"/>
      <c r="AZ18" s="874"/>
      <c r="BA18" s="874"/>
      <c r="BB18" s="874"/>
      <c r="BC18" s="874"/>
      <c r="BD18" s="874"/>
      <c r="BE18" s="874"/>
      <c r="BF18" s="874"/>
      <c r="BG18" s="874"/>
      <c r="BH18" s="874"/>
      <c r="BI18" s="875"/>
      <c r="BJ18" s="874"/>
      <c r="BK18" s="874"/>
      <c r="BL18" s="874"/>
      <c r="BM18" s="874"/>
      <c r="BN18" s="874"/>
      <c r="BO18" s="873"/>
      <c r="BP18" s="873">
        <f>SUM(BY18:CJ18)</f>
        <v>0</v>
      </c>
      <c r="BQ18" s="874"/>
      <c r="BR18" s="874"/>
      <c r="BS18" s="874"/>
      <c r="BT18" s="874"/>
      <c r="BU18" s="874"/>
      <c r="BV18" s="874"/>
      <c r="BW18" s="874"/>
      <c r="BX18" s="874"/>
      <c r="BY18" s="874"/>
      <c r="BZ18" s="874"/>
      <c r="CA18" s="874"/>
      <c r="CB18" s="874"/>
      <c r="CC18" s="874"/>
      <c r="CD18" s="874"/>
      <c r="CE18" s="874"/>
      <c r="CF18" s="874"/>
      <c r="CG18" s="875"/>
      <c r="CH18" s="874"/>
      <c r="CI18" s="874"/>
      <c r="CJ18" s="874"/>
      <c r="CK18" s="874"/>
      <c r="CL18" s="874"/>
      <c r="CM18" s="874"/>
      <c r="CN18" s="874"/>
      <c r="CO18" s="874"/>
      <c r="CP18" s="874"/>
      <c r="CQ18" s="874"/>
      <c r="CR18" s="874"/>
      <c r="CS18" s="875"/>
      <c r="CT18" s="874"/>
      <c r="CU18" s="874"/>
      <c r="CV18" s="874"/>
      <c r="CW18" s="874"/>
      <c r="CX18" s="874"/>
    </row>
    <row r="19" spans="2:102" ht="42" hidden="1" customHeight="1" outlineLevel="1" thickTop="1" thickBot="1">
      <c r="B19" s="870" t="s">
        <v>120</v>
      </c>
      <c r="C19" s="871" t="s">
        <v>1135</v>
      </c>
      <c r="D19" s="872" t="s">
        <v>1128</v>
      </c>
      <c r="E19" s="869"/>
      <c r="F19" s="873"/>
      <c r="G19" s="873">
        <f>SUM(M19:P19)</f>
        <v>0</v>
      </c>
      <c r="H19" s="874"/>
      <c r="I19" s="874"/>
      <c r="J19" s="874"/>
      <c r="K19" s="874"/>
      <c r="L19" s="874"/>
      <c r="M19" s="874"/>
      <c r="N19" s="874"/>
      <c r="O19" s="874"/>
      <c r="P19" s="874"/>
      <c r="Q19" s="874"/>
      <c r="R19" s="874"/>
      <c r="S19" s="874"/>
      <c r="T19" s="874"/>
      <c r="U19" s="873">
        <f>SUM(AA19:AC19)</f>
        <v>0</v>
      </c>
      <c r="V19" s="874"/>
      <c r="W19" s="874"/>
      <c r="X19" s="874"/>
      <c r="Y19" s="874"/>
      <c r="Z19" s="874"/>
      <c r="AA19" s="874"/>
      <c r="AB19" s="874"/>
      <c r="AC19" s="874"/>
      <c r="AD19" s="874"/>
      <c r="AE19" s="873"/>
      <c r="AF19" s="873">
        <f>SUM(AO19:AZ19)</f>
        <v>0</v>
      </c>
      <c r="AG19" s="874"/>
      <c r="AH19" s="874"/>
      <c r="AI19" s="874"/>
      <c r="AJ19" s="874"/>
      <c r="AK19" s="874"/>
      <c r="AL19" s="874"/>
      <c r="AM19" s="874"/>
      <c r="AN19" s="874"/>
      <c r="AO19" s="874"/>
      <c r="AP19" s="874"/>
      <c r="AQ19" s="874"/>
      <c r="AR19" s="874"/>
      <c r="AS19" s="874"/>
      <c r="AT19" s="874"/>
      <c r="AU19" s="874"/>
      <c r="AV19" s="874"/>
      <c r="AW19" s="875"/>
      <c r="AX19" s="874"/>
      <c r="AY19" s="874"/>
      <c r="AZ19" s="874"/>
      <c r="BA19" s="874"/>
      <c r="BB19" s="874"/>
      <c r="BC19" s="874"/>
      <c r="BD19" s="874"/>
      <c r="BE19" s="874"/>
      <c r="BF19" s="874"/>
      <c r="BG19" s="874"/>
      <c r="BH19" s="874"/>
      <c r="BI19" s="875"/>
      <c r="BJ19" s="874"/>
      <c r="BK19" s="874"/>
      <c r="BL19" s="874"/>
      <c r="BM19" s="874"/>
      <c r="BN19" s="874"/>
      <c r="BO19" s="873"/>
      <c r="BP19" s="873">
        <f>SUM(BY19:CJ19)</f>
        <v>0</v>
      </c>
      <c r="BQ19" s="874"/>
      <c r="BR19" s="874"/>
      <c r="BS19" s="874"/>
      <c r="BT19" s="874"/>
      <c r="BU19" s="874"/>
      <c r="BV19" s="874"/>
      <c r="BW19" s="874"/>
      <c r="BX19" s="874"/>
      <c r="BY19" s="874"/>
      <c r="BZ19" s="874"/>
      <c r="CA19" s="874"/>
      <c r="CB19" s="874"/>
      <c r="CC19" s="874"/>
      <c r="CD19" s="874"/>
      <c r="CE19" s="874"/>
      <c r="CF19" s="874"/>
      <c r="CG19" s="875"/>
      <c r="CH19" s="874"/>
      <c r="CI19" s="874"/>
      <c r="CJ19" s="874"/>
      <c r="CK19" s="874"/>
      <c r="CL19" s="874"/>
      <c r="CM19" s="874"/>
      <c r="CN19" s="874"/>
      <c r="CO19" s="874"/>
      <c r="CP19" s="874"/>
      <c r="CQ19" s="874"/>
      <c r="CR19" s="874"/>
      <c r="CS19" s="875"/>
      <c r="CT19" s="874"/>
      <c r="CU19" s="874"/>
      <c r="CV19" s="874"/>
      <c r="CW19" s="874"/>
      <c r="CX19" s="874"/>
    </row>
    <row r="20" spans="2:102" ht="32.25" customHeight="1" collapsed="1" thickTop="1" thickBot="1">
      <c r="B20" s="870" t="s">
        <v>114</v>
      </c>
      <c r="C20" s="871" t="s">
        <v>1136</v>
      </c>
      <c r="D20" s="872" t="s">
        <v>1128</v>
      </c>
      <c r="E20" s="869">
        <f>F20+AE20</f>
        <v>100.03969357806668</v>
      </c>
      <c r="F20" s="873">
        <f>G20+U20</f>
        <v>100.03969357806668</v>
      </c>
      <c r="G20" s="873">
        <f>R20+S20</f>
        <v>100.03969357806668</v>
      </c>
      <c r="H20" s="874"/>
      <c r="I20" s="874"/>
      <c r="J20" s="874"/>
      <c r="K20" s="874"/>
      <c r="L20" s="874"/>
      <c r="M20" s="874"/>
      <c r="N20" s="874"/>
      <c r="O20" s="874"/>
      <c r="P20" s="874"/>
      <c r="Q20" s="874"/>
      <c r="R20" s="874">
        <f>G100/18*6</f>
        <v>32.333449766666668</v>
      </c>
      <c r="S20" s="874">
        <f>(G100/18*12)*S13</f>
        <v>67.7062438114</v>
      </c>
      <c r="T20" s="874"/>
      <c r="U20" s="873">
        <f>SUM(AA20:AD21)</f>
        <v>0</v>
      </c>
      <c r="V20" s="874"/>
      <c r="W20" s="874"/>
      <c r="X20" s="874"/>
      <c r="Y20" s="874"/>
      <c r="Z20" s="874"/>
      <c r="AA20" s="874"/>
      <c r="AB20" s="874"/>
      <c r="AC20" s="874"/>
      <c r="AD20" s="874">
        <f>U98*AC13*AD13</f>
        <v>0</v>
      </c>
      <c r="AE20" s="873">
        <f>AQ20+CA20+CM20</f>
        <v>0</v>
      </c>
      <c r="AF20" s="873"/>
      <c r="AG20" s="874"/>
      <c r="AH20" s="874"/>
      <c r="AI20" s="874"/>
      <c r="AJ20" s="874"/>
      <c r="AK20" s="874"/>
      <c r="AL20" s="874"/>
      <c r="AM20" s="874"/>
      <c r="AN20" s="874"/>
      <c r="AO20" s="874"/>
      <c r="AP20" s="874"/>
      <c r="AQ20" s="874">
        <f>SUM(AZ20:BB20)</f>
        <v>0</v>
      </c>
      <c r="AR20" s="874"/>
      <c r="AS20" s="874"/>
      <c r="AT20" s="874"/>
      <c r="AU20" s="874"/>
      <c r="AV20" s="874"/>
      <c r="AW20" s="874"/>
      <c r="AX20" s="874">
        <f>AW98/12*6*AX13</f>
        <v>0</v>
      </c>
      <c r="AY20" s="874"/>
      <c r="AZ20" s="874"/>
      <c r="BA20" s="874"/>
      <c r="BB20" s="874"/>
      <c r="BC20" s="874">
        <f>SUM(BL20:BN20)</f>
        <v>0</v>
      </c>
      <c r="BD20" s="874"/>
      <c r="BE20" s="874"/>
      <c r="BF20" s="874"/>
      <c r="BG20" s="874"/>
      <c r="BH20" s="874"/>
      <c r="BI20" s="874"/>
      <c r="BJ20" s="874">
        <f>BI98/12*6*BJ13</f>
        <v>0</v>
      </c>
      <c r="BK20" s="874"/>
      <c r="BL20" s="874"/>
      <c r="BM20" s="874">
        <f>BC100/12*3*BM13</f>
        <v>0</v>
      </c>
      <c r="BN20" s="874">
        <f>BC100/12*9*BN13*BM13</f>
        <v>0</v>
      </c>
      <c r="BO20" s="873"/>
      <c r="BP20" s="873"/>
      <c r="BQ20" s="874"/>
      <c r="BR20" s="874"/>
      <c r="BS20" s="874"/>
      <c r="BT20" s="874"/>
      <c r="BU20" s="874"/>
      <c r="BV20" s="874"/>
      <c r="BW20" s="874"/>
      <c r="BX20" s="874"/>
      <c r="BY20" s="874"/>
      <c r="BZ20" s="874"/>
      <c r="CA20" s="874">
        <f>SUM(CJ20:CL20)</f>
        <v>0</v>
      </c>
      <c r="CB20" s="874"/>
      <c r="CC20" s="874"/>
      <c r="CD20" s="874"/>
      <c r="CE20" s="874"/>
      <c r="CF20" s="874"/>
      <c r="CG20" s="874"/>
      <c r="CH20" s="874">
        <f>CG98/12*6*CH13</f>
        <v>0</v>
      </c>
      <c r="CI20" s="874"/>
      <c r="CJ20" s="874"/>
      <c r="CK20" s="874"/>
      <c r="CL20" s="874"/>
      <c r="CM20" s="874">
        <f>SUM(CV20:CX20)</f>
        <v>0</v>
      </c>
      <c r="CN20" s="874"/>
      <c r="CO20" s="874"/>
      <c r="CP20" s="874"/>
      <c r="CQ20" s="874"/>
      <c r="CR20" s="874"/>
      <c r="CS20" s="874"/>
      <c r="CT20" s="874">
        <f>CS98/12*6*CT13</f>
        <v>0</v>
      </c>
      <c r="CU20" s="874"/>
      <c r="CV20" s="874"/>
      <c r="CW20" s="874"/>
      <c r="CX20" s="874"/>
    </row>
    <row r="21" spans="2:102" ht="21" hidden="1" customHeight="1" outlineLevel="1" thickTop="1">
      <c r="B21" s="870" t="s">
        <v>121</v>
      </c>
      <c r="C21" s="871" t="s">
        <v>1137</v>
      </c>
      <c r="D21" s="872" t="s">
        <v>1128</v>
      </c>
      <c r="E21" s="869"/>
      <c r="F21" s="869"/>
      <c r="G21" s="869"/>
      <c r="H21" s="877"/>
      <c r="I21" s="877"/>
      <c r="J21" s="877"/>
      <c r="K21" s="877"/>
      <c r="L21" s="877"/>
      <c r="M21" s="877"/>
      <c r="N21" s="877"/>
      <c r="O21" s="877"/>
      <c r="P21" s="877"/>
      <c r="Q21" s="877"/>
      <c r="R21" s="877"/>
      <c r="S21" s="877"/>
      <c r="T21" s="877"/>
      <c r="U21" s="869"/>
      <c r="V21" s="877"/>
      <c r="W21" s="877"/>
      <c r="X21" s="877"/>
      <c r="Y21" s="877"/>
      <c r="Z21" s="877"/>
      <c r="AA21" s="877"/>
      <c r="AB21" s="877"/>
      <c r="AC21" s="877"/>
      <c r="AD21" s="877"/>
      <c r="AE21" s="869"/>
      <c r="AF21" s="869"/>
      <c r="AG21" s="877"/>
      <c r="AH21" s="877"/>
      <c r="AI21" s="877"/>
      <c r="AJ21" s="877"/>
      <c r="AK21" s="877"/>
      <c r="AL21" s="877"/>
      <c r="AM21" s="877"/>
      <c r="AN21" s="877"/>
      <c r="AO21" s="877"/>
      <c r="AP21" s="877"/>
      <c r="AQ21" s="878"/>
      <c r="AR21" s="877"/>
      <c r="AS21" s="877"/>
      <c r="AT21" s="877"/>
      <c r="AU21" s="877"/>
      <c r="AV21" s="879"/>
      <c r="AW21" s="879"/>
      <c r="AX21" s="877"/>
      <c r="AY21" s="877"/>
      <c r="AZ21" s="877"/>
      <c r="BA21" s="877"/>
      <c r="BB21" s="877"/>
      <c r="BC21" s="878"/>
      <c r="BD21" s="877"/>
      <c r="BE21" s="877"/>
      <c r="BF21" s="877"/>
      <c r="BG21" s="877"/>
      <c r="BH21" s="879"/>
      <c r="BI21" s="879"/>
      <c r="BJ21" s="877"/>
      <c r="BK21" s="877"/>
      <c r="BL21" s="877"/>
      <c r="BM21" s="877"/>
      <c r="BN21" s="877"/>
      <c r="BO21" s="869"/>
      <c r="BP21" s="869"/>
      <c r="BQ21" s="877"/>
      <c r="BR21" s="877"/>
      <c r="BS21" s="877"/>
      <c r="BT21" s="877"/>
      <c r="BU21" s="877"/>
      <c r="BV21" s="877"/>
      <c r="BW21" s="877"/>
      <c r="BX21" s="877"/>
      <c r="BY21" s="877"/>
      <c r="BZ21" s="877"/>
      <c r="CA21" s="878"/>
      <c r="CB21" s="877"/>
      <c r="CC21" s="877"/>
      <c r="CD21" s="877"/>
      <c r="CE21" s="877"/>
      <c r="CF21" s="879"/>
      <c r="CG21" s="879"/>
      <c r="CH21" s="877"/>
      <c r="CI21" s="877"/>
      <c r="CJ21" s="877"/>
      <c r="CK21" s="877"/>
      <c r="CL21" s="877"/>
      <c r="CM21" s="878"/>
      <c r="CN21" s="877"/>
      <c r="CO21" s="877"/>
      <c r="CP21" s="877"/>
      <c r="CQ21" s="877"/>
      <c r="CR21" s="879"/>
      <c r="CS21" s="879"/>
      <c r="CT21" s="877"/>
      <c r="CU21" s="877"/>
      <c r="CV21" s="877"/>
      <c r="CW21" s="877"/>
      <c r="CX21" s="877"/>
    </row>
    <row r="22" spans="2:102" ht="32.25" customHeight="1" collapsed="1" thickTop="1">
      <c r="B22" s="870" t="s">
        <v>122</v>
      </c>
      <c r="C22" s="871" t="s">
        <v>1138</v>
      </c>
      <c r="D22" s="872" t="s">
        <v>1128</v>
      </c>
      <c r="E22" s="869">
        <f>F22+AE22</f>
        <v>0</v>
      </c>
      <c r="F22" s="869">
        <f t="shared" ref="F22:F35" si="18">G22+U22</f>
        <v>0</v>
      </c>
      <c r="G22" s="869"/>
      <c r="H22" s="877"/>
      <c r="I22" s="877"/>
      <c r="J22" s="877"/>
      <c r="K22" s="877"/>
      <c r="L22" s="877"/>
      <c r="M22" s="877"/>
      <c r="N22" s="877"/>
      <c r="O22" s="877"/>
      <c r="P22" s="877"/>
      <c r="Q22" s="877"/>
      <c r="R22" s="877"/>
      <c r="S22" s="877"/>
      <c r="T22" s="877"/>
      <c r="U22" s="869">
        <f t="shared" ref="U22:Z22" si="19">SUM(U23:U30)</f>
        <v>0</v>
      </c>
      <c r="V22" s="877">
        <f t="shared" si="19"/>
        <v>0</v>
      </c>
      <c r="W22" s="877">
        <f t="shared" si="19"/>
        <v>0</v>
      </c>
      <c r="X22" s="877">
        <f t="shared" si="19"/>
        <v>0</v>
      </c>
      <c r="Y22" s="877">
        <f t="shared" si="19"/>
        <v>0</v>
      </c>
      <c r="Z22" s="877">
        <f t="shared" si="19"/>
        <v>0</v>
      </c>
      <c r="AA22" s="877"/>
      <c r="AB22" s="877"/>
      <c r="AC22" s="877"/>
      <c r="AD22" s="877"/>
      <c r="AE22" s="869">
        <f>AF22+AQ22</f>
        <v>0</v>
      </c>
      <c r="AF22" s="869">
        <f>SUM(AF23:AF30)</f>
        <v>0</v>
      </c>
      <c r="AG22" s="877">
        <f t="shared" ref="AG22:AN22" si="20">SUM(AG23:AG30)</f>
        <v>0</v>
      </c>
      <c r="AH22" s="877">
        <f t="shared" si="20"/>
        <v>0</v>
      </c>
      <c r="AI22" s="877">
        <f>SUM(AI23:AI30)</f>
        <v>0</v>
      </c>
      <c r="AJ22" s="877">
        <f>SUM(AJ23:AJ30)</f>
        <v>0</v>
      </c>
      <c r="AK22" s="877">
        <f t="shared" si="20"/>
        <v>0</v>
      </c>
      <c r="AL22" s="877">
        <f t="shared" si="20"/>
        <v>0</v>
      </c>
      <c r="AM22" s="877">
        <f t="shared" si="20"/>
        <v>0</v>
      </c>
      <c r="AN22" s="877">
        <f t="shared" si="20"/>
        <v>0</v>
      </c>
      <c r="AO22" s="877"/>
      <c r="AP22" s="877"/>
      <c r="AQ22" s="869">
        <f t="shared" ref="AQ22:BN22" si="21">SUM(AQ23:AQ30)</f>
        <v>0</v>
      </c>
      <c r="AR22" s="877">
        <f t="shared" si="21"/>
        <v>0</v>
      </c>
      <c r="AS22" s="877">
        <f t="shared" si="21"/>
        <v>0</v>
      </c>
      <c r="AT22" s="877">
        <f t="shared" si="21"/>
        <v>0</v>
      </c>
      <c r="AU22" s="877">
        <f t="shared" si="21"/>
        <v>0</v>
      </c>
      <c r="AV22" s="877">
        <f t="shared" si="21"/>
        <v>0</v>
      </c>
      <c r="AW22" s="877">
        <f t="shared" si="21"/>
        <v>0</v>
      </c>
      <c r="AX22" s="877">
        <f t="shared" si="21"/>
        <v>0</v>
      </c>
      <c r="AY22" s="877">
        <f t="shared" si="21"/>
        <v>0</v>
      </c>
      <c r="AZ22" s="877">
        <f t="shared" si="21"/>
        <v>0</v>
      </c>
      <c r="BA22" s="877">
        <f t="shared" si="21"/>
        <v>0</v>
      </c>
      <c r="BB22" s="877">
        <f t="shared" si="21"/>
        <v>0</v>
      </c>
      <c r="BC22" s="869">
        <f t="shared" si="21"/>
        <v>0</v>
      </c>
      <c r="BD22" s="877">
        <f t="shared" si="21"/>
        <v>0</v>
      </c>
      <c r="BE22" s="877">
        <f t="shared" si="21"/>
        <v>0</v>
      </c>
      <c r="BF22" s="877">
        <f t="shared" si="21"/>
        <v>0</v>
      </c>
      <c r="BG22" s="877">
        <f t="shared" si="21"/>
        <v>0</v>
      </c>
      <c r="BH22" s="877">
        <f t="shared" si="21"/>
        <v>0</v>
      </c>
      <c r="BI22" s="877">
        <f t="shared" si="21"/>
        <v>0</v>
      </c>
      <c r="BJ22" s="877">
        <f t="shared" si="21"/>
        <v>0</v>
      </c>
      <c r="BK22" s="877">
        <f t="shared" si="21"/>
        <v>0</v>
      </c>
      <c r="BL22" s="877">
        <f t="shared" si="21"/>
        <v>0</v>
      </c>
      <c r="BM22" s="877">
        <f t="shared" si="21"/>
        <v>0</v>
      </c>
      <c r="BN22" s="877">
        <f t="shared" si="21"/>
        <v>0</v>
      </c>
      <c r="BO22" s="869"/>
      <c r="BP22" s="869">
        <f t="shared" ref="BP22:BX22" si="22">SUM(BP23:BP30)</f>
        <v>0</v>
      </c>
      <c r="BQ22" s="877">
        <f t="shared" si="22"/>
        <v>0</v>
      </c>
      <c r="BR22" s="877">
        <f t="shared" si="22"/>
        <v>0</v>
      </c>
      <c r="BS22" s="877">
        <f t="shared" si="22"/>
        <v>0</v>
      </c>
      <c r="BT22" s="877">
        <f t="shared" si="22"/>
        <v>0</v>
      </c>
      <c r="BU22" s="877">
        <f t="shared" si="22"/>
        <v>0</v>
      </c>
      <c r="BV22" s="877">
        <f t="shared" si="22"/>
        <v>0</v>
      </c>
      <c r="BW22" s="877">
        <f t="shared" si="22"/>
        <v>0</v>
      </c>
      <c r="BX22" s="877">
        <f t="shared" si="22"/>
        <v>0</v>
      </c>
      <c r="BY22" s="877"/>
      <c r="BZ22" s="877"/>
      <c r="CA22" s="869">
        <f t="shared" ref="CA22:CX22" si="23">SUM(CA23:CA30)</f>
        <v>0</v>
      </c>
      <c r="CB22" s="877">
        <f t="shared" si="23"/>
        <v>0</v>
      </c>
      <c r="CC22" s="877">
        <f t="shared" si="23"/>
        <v>0</v>
      </c>
      <c r="CD22" s="877">
        <f t="shared" si="23"/>
        <v>0</v>
      </c>
      <c r="CE22" s="877">
        <f t="shared" si="23"/>
        <v>0</v>
      </c>
      <c r="CF22" s="877">
        <f t="shared" si="23"/>
        <v>0</v>
      </c>
      <c r="CG22" s="877">
        <f t="shared" si="23"/>
        <v>0</v>
      </c>
      <c r="CH22" s="877">
        <f t="shared" si="23"/>
        <v>0</v>
      </c>
      <c r="CI22" s="877">
        <f t="shared" si="23"/>
        <v>0</v>
      </c>
      <c r="CJ22" s="877">
        <f t="shared" si="23"/>
        <v>0</v>
      </c>
      <c r="CK22" s="877">
        <f t="shared" si="23"/>
        <v>0</v>
      </c>
      <c r="CL22" s="877">
        <f t="shared" si="23"/>
        <v>0</v>
      </c>
      <c r="CM22" s="869">
        <f t="shared" si="23"/>
        <v>0</v>
      </c>
      <c r="CN22" s="877">
        <f t="shared" si="23"/>
        <v>0</v>
      </c>
      <c r="CO22" s="877">
        <f t="shared" si="23"/>
        <v>0</v>
      </c>
      <c r="CP22" s="877">
        <f t="shared" si="23"/>
        <v>0</v>
      </c>
      <c r="CQ22" s="877">
        <f t="shared" si="23"/>
        <v>0</v>
      </c>
      <c r="CR22" s="877">
        <f t="shared" si="23"/>
        <v>0</v>
      </c>
      <c r="CS22" s="877">
        <f t="shared" si="23"/>
        <v>0</v>
      </c>
      <c r="CT22" s="877">
        <f t="shared" si="23"/>
        <v>0</v>
      </c>
      <c r="CU22" s="877">
        <f t="shared" si="23"/>
        <v>0</v>
      </c>
      <c r="CV22" s="877">
        <f t="shared" si="23"/>
        <v>0</v>
      </c>
      <c r="CW22" s="877">
        <f t="shared" si="23"/>
        <v>0</v>
      </c>
      <c r="CX22" s="877">
        <f t="shared" si="23"/>
        <v>0</v>
      </c>
    </row>
    <row r="23" spans="2:102" ht="26.25" customHeight="1">
      <c r="B23" s="870" t="s">
        <v>1139</v>
      </c>
      <c r="C23" s="880" t="s">
        <v>1140</v>
      </c>
      <c r="D23" s="872" t="s">
        <v>1128</v>
      </c>
      <c r="E23" s="881">
        <f t="shared" ref="E23:E30" si="24">SUM(F23,AE23)</f>
        <v>0</v>
      </c>
      <c r="F23" s="869">
        <f t="shared" si="18"/>
        <v>0</v>
      </c>
      <c r="G23" s="869"/>
      <c r="H23" s="877"/>
      <c r="I23" s="877"/>
      <c r="J23" s="877"/>
      <c r="K23" s="877"/>
      <c r="L23" s="877"/>
      <c r="M23" s="877"/>
      <c r="N23" s="877"/>
      <c r="O23" s="877"/>
      <c r="P23" s="877"/>
      <c r="Q23" s="877"/>
      <c r="R23" s="877"/>
      <c r="S23" s="877"/>
      <c r="T23" s="877"/>
      <c r="U23" s="869">
        <f>SUM(AA23:AC23)</f>
        <v>0</v>
      </c>
      <c r="V23" s="877">
        <f t="shared" ref="V23:AA23" si="25">V20*0.2%</f>
        <v>0</v>
      </c>
      <c r="W23" s="877">
        <f t="shared" si="25"/>
        <v>0</v>
      </c>
      <c r="X23" s="877">
        <f t="shared" si="25"/>
        <v>0</v>
      </c>
      <c r="Y23" s="877">
        <f t="shared" si="25"/>
        <v>0</v>
      </c>
      <c r="Z23" s="877">
        <f t="shared" si="25"/>
        <v>0</v>
      </c>
      <c r="AA23" s="877">
        <f t="shared" si="25"/>
        <v>0</v>
      </c>
      <c r="AB23" s="877"/>
      <c r="AC23" s="877"/>
      <c r="AD23" s="877"/>
      <c r="AE23" s="869">
        <f>AF23+AQ23</f>
        <v>0</v>
      </c>
      <c r="AF23" s="869">
        <f>SUM(AL23:AO23)</f>
        <v>0</v>
      </c>
      <c r="AG23" s="877"/>
      <c r="AH23" s="877">
        <f t="shared" ref="AH23:AM23" si="26">AH20*0.2%</f>
        <v>0</v>
      </c>
      <c r="AI23" s="877">
        <f t="shared" si="26"/>
        <v>0</v>
      </c>
      <c r="AJ23" s="877">
        <f t="shared" si="26"/>
        <v>0</v>
      </c>
      <c r="AK23" s="877">
        <f t="shared" si="26"/>
        <v>0</v>
      </c>
      <c r="AL23" s="877">
        <f t="shared" si="26"/>
        <v>0</v>
      </c>
      <c r="AM23" s="877">
        <f t="shared" si="26"/>
        <v>0</v>
      </c>
      <c r="AN23" s="877"/>
      <c r="AO23" s="877"/>
      <c r="AP23" s="877"/>
      <c r="AQ23" s="878">
        <f>SUM(AW23:AZ23)</f>
        <v>0</v>
      </c>
      <c r="AR23" s="877">
        <f t="shared" ref="AR23:AW23" si="27">AR20*0.2%</f>
        <v>0</v>
      </c>
      <c r="AS23" s="877">
        <f t="shared" si="27"/>
        <v>0</v>
      </c>
      <c r="AT23" s="877">
        <f t="shared" si="27"/>
        <v>0</v>
      </c>
      <c r="AU23" s="877">
        <f t="shared" si="27"/>
        <v>0</v>
      </c>
      <c r="AV23" s="879">
        <f t="shared" si="27"/>
        <v>0</v>
      </c>
      <c r="AW23" s="879">
        <f t="shared" si="27"/>
        <v>0</v>
      </c>
      <c r="AX23" s="877">
        <f>AX20*0.2%</f>
        <v>0</v>
      </c>
      <c r="AY23" s="877"/>
      <c r="AZ23" s="877"/>
      <c r="BA23" s="877"/>
      <c r="BB23" s="877"/>
      <c r="BC23" s="878">
        <f>SUM(BI23:BL23)</f>
        <v>0</v>
      </c>
      <c r="BD23" s="877">
        <f t="shared" ref="BD23:BI23" si="28">BD20*0.2%</f>
        <v>0</v>
      </c>
      <c r="BE23" s="877">
        <f t="shared" si="28"/>
        <v>0</v>
      </c>
      <c r="BF23" s="877">
        <f t="shared" si="28"/>
        <v>0</v>
      </c>
      <c r="BG23" s="877">
        <f t="shared" si="28"/>
        <v>0</v>
      </c>
      <c r="BH23" s="879">
        <f t="shared" si="28"/>
        <v>0</v>
      </c>
      <c r="BI23" s="879">
        <f t="shared" si="28"/>
        <v>0</v>
      </c>
      <c r="BJ23" s="877">
        <f>BJ20*0.2%</f>
        <v>0</v>
      </c>
      <c r="BK23" s="877"/>
      <c r="BL23" s="877"/>
      <c r="BM23" s="877"/>
      <c r="BN23" s="877"/>
      <c r="BO23" s="869"/>
      <c r="BP23" s="869">
        <f>SUM(BV23:BY23)</f>
        <v>0</v>
      </c>
      <c r="BQ23" s="877"/>
      <c r="BR23" s="877">
        <f t="shared" ref="BR23:BW23" si="29">BR20*0.2%</f>
        <v>0</v>
      </c>
      <c r="BS23" s="877">
        <f t="shared" si="29"/>
        <v>0</v>
      </c>
      <c r="BT23" s="877">
        <f t="shared" si="29"/>
        <v>0</v>
      </c>
      <c r="BU23" s="877">
        <f t="shared" si="29"/>
        <v>0</v>
      </c>
      <c r="BV23" s="877">
        <f t="shared" si="29"/>
        <v>0</v>
      </c>
      <c r="BW23" s="877">
        <f t="shared" si="29"/>
        <v>0</v>
      </c>
      <c r="BX23" s="877"/>
      <c r="BY23" s="877"/>
      <c r="BZ23" s="877"/>
      <c r="CA23" s="878">
        <f>SUM(CG23:CJ23)</f>
        <v>0</v>
      </c>
      <c r="CB23" s="877">
        <f t="shared" ref="CB23:CG23" si="30">CB20*0.2%</f>
        <v>0</v>
      </c>
      <c r="CC23" s="877">
        <f t="shared" si="30"/>
        <v>0</v>
      </c>
      <c r="CD23" s="877">
        <f t="shared" si="30"/>
        <v>0</v>
      </c>
      <c r="CE23" s="877">
        <f t="shared" si="30"/>
        <v>0</v>
      </c>
      <c r="CF23" s="879">
        <f t="shared" si="30"/>
        <v>0</v>
      </c>
      <c r="CG23" s="879">
        <f t="shared" si="30"/>
        <v>0</v>
      </c>
      <c r="CH23" s="877">
        <f>CH20*0.2%</f>
        <v>0</v>
      </c>
      <c r="CI23" s="877"/>
      <c r="CJ23" s="877"/>
      <c r="CK23" s="877"/>
      <c r="CL23" s="877"/>
      <c r="CM23" s="878">
        <f>SUM(CS23:CV23)</f>
        <v>0</v>
      </c>
      <c r="CN23" s="877">
        <f t="shared" ref="CN23:CS23" si="31">CN20*0.2%</f>
        <v>0</v>
      </c>
      <c r="CO23" s="877">
        <f t="shared" si="31"/>
        <v>0</v>
      </c>
      <c r="CP23" s="877">
        <f t="shared" si="31"/>
        <v>0</v>
      </c>
      <c r="CQ23" s="877">
        <f t="shared" si="31"/>
        <v>0</v>
      </c>
      <c r="CR23" s="879">
        <f t="shared" si="31"/>
        <v>0</v>
      </c>
      <c r="CS23" s="879">
        <f t="shared" si="31"/>
        <v>0</v>
      </c>
      <c r="CT23" s="877">
        <f>CT20*0.2%</f>
        <v>0</v>
      </c>
      <c r="CU23" s="877"/>
      <c r="CV23" s="877"/>
      <c r="CW23" s="877"/>
      <c r="CX23" s="877"/>
    </row>
    <row r="24" spans="2:102" ht="46.5" customHeight="1">
      <c r="B24" s="870" t="s">
        <v>1141</v>
      </c>
      <c r="C24" s="880" t="s">
        <v>1142</v>
      </c>
      <c r="D24" s="872" t="s">
        <v>1128</v>
      </c>
      <c r="E24" s="881">
        <f t="shared" si="24"/>
        <v>0</v>
      </c>
      <c r="F24" s="869">
        <f t="shared" si="18"/>
        <v>0</v>
      </c>
      <c r="G24" s="869"/>
      <c r="H24" s="877"/>
      <c r="I24" s="877"/>
      <c r="J24" s="877"/>
      <c r="K24" s="877"/>
      <c r="L24" s="877"/>
      <c r="M24" s="877"/>
      <c r="N24" s="877"/>
      <c r="O24" s="877"/>
      <c r="P24" s="877"/>
      <c r="Q24" s="877"/>
      <c r="R24" s="877"/>
      <c r="S24" s="877"/>
      <c r="T24" s="877"/>
      <c r="U24" s="869">
        <f>SUM(AA24:AC24)</f>
        <v>0</v>
      </c>
      <c r="V24" s="877">
        <f t="shared" ref="V24:AA24" si="32">V41*2.3%</f>
        <v>0</v>
      </c>
      <c r="W24" s="877">
        <f t="shared" si="32"/>
        <v>0</v>
      </c>
      <c r="X24" s="877">
        <f t="shared" si="32"/>
        <v>0</v>
      </c>
      <c r="Y24" s="877">
        <f t="shared" si="32"/>
        <v>0</v>
      </c>
      <c r="Z24" s="877">
        <f t="shared" si="32"/>
        <v>0</v>
      </c>
      <c r="AA24" s="877">
        <f t="shared" si="32"/>
        <v>0</v>
      </c>
      <c r="AB24" s="877"/>
      <c r="AC24" s="877"/>
      <c r="AD24" s="877"/>
      <c r="AE24" s="869"/>
      <c r="AF24" s="869">
        <f>SUM(AL24:AO24)</f>
        <v>0</v>
      </c>
      <c r="AG24" s="877"/>
      <c r="AH24" s="877">
        <f t="shared" ref="AH24:AN24" si="33">AH41*2.5%</f>
        <v>0</v>
      </c>
      <c r="AI24" s="877">
        <f t="shared" si="33"/>
        <v>0</v>
      </c>
      <c r="AJ24" s="877">
        <f t="shared" si="33"/>
        <v>0</v>
      </c>
      <c r="AK24" s="877">
        <f t="shared" si="33"/>
        <v>0</v>
      </c>
      <c r="AL24" s="877">
        <f t="shared" si="33"/>
        <v>0</v>
      </c>
      <c r="AM24" s="877">
        <f t="shared" si="33"/>
        <v>0</v>
      </c>
      <c r="AN24" s="877">
        <f t="shared" si="33"/>
        <v>0</v>
      </c>
      <c r="AO24" s="877"/>
      <c r="AP24" s="877"/>
      <c r="AQ24" s="878">
        <f>SUM(AW24:AZ24)</f>
        <v>0</v>
      </c>
      <c r="AR24" s="877">
        <f t="shared" ref="AR24:AX24" si="34">AR41*2.5%</f>
        <v>0</v>
      </c>
      <c r="AS24" s="877">
        <f t="shared" si="34"/>
        <v>0</v>
      </c>
      <c r="AT24" s="877">
        <f t="shared" si="34"/>
        <v>0</v>
      </c>
      <c r="AU24" s="877">
        <f t="shared" si="34"/>
        <v>0</v>
      </c>
      <c r="AV24" s="879">
        <f t="shared" si="34"/>
        <v>0</v>
      </c>
      <c r="AW24" s="879">
        <f t="shared" si="34"/>
        <v>0</v>
      </c>
      <c r="AX24" s="877">
        <f t="shared" si="34"/>
        <v>0</v>
      </c>
      <c r="AY24" s="877">
        <f>AY41*2.3%</f>
        <v>0</v>
      </c>
      <c r="AZ24" s="877"/>
      <c r="BA24" s="877"/>
      <c r="BB24" s="877"/>
      <c r="BC24" s="878">
        <f>SUM(BI24:BL24)</f>
        <v>0</v>
      </c>
      <c r="BD24" s="877">
        <f t="shared" ref="BD24:BJ24" si="35">BD41*2.5%</f>
        <v>0</v>
      </c>
      <c r="BE24" s="877">
        <f t="shared" si="35"/>
        <v>0</v>
      </c>
      <c r="BF24" s="877">
        <f t="shared" si="35"/>
        <v>0</v>
      </c>
      <c r="BG24" s="877">
        <f t="shared" si="35"/>
        <v>0</v>
      </c>
      <c r="BH24" s="879">
        <f t="shared" si="35"/>
        <v>0</v>
      </c>
      <c r="BI24" s="879">
        <f t="shared" si="35"/>
        <v>0</v>
      </c>
      <c r="BJ24" s="877">
        <f t="shared" si="35"/>
        <v>0</v>
      </c>
      <c r="BK24" s="877">
        <f>BK41*2.3%</f>
        <v>0</v>
      </c>
      <c r="BL24" s="877"/>
      <c r="BM24" s="877"/>
      <c r="BN24" s="877"/>
      <c r="BO24" s="869"/>
      <c r="BP24" s="869">
        <f>SUM(BV24:BY24)</f>
        <v>0</v>
      </c>
      <c r="BQ24" s="877"/>
      <c r="BR24" s="877">
        <f t="shared" ref="BR24:BX24" si="36">BR41*2.5%</f>
        <v>0</v>
      </c>
      <c r="BS24" s="877">
        <f t="shared" si="36"/>
        <v>0</v>
      </c>
      <c r="BT24" s="877">
        <f t="shared" si="36"/>
        <v>0</v>
      </c>
      <c r="BU24" s="877">
        <f t="shared" si="36"/>
        <v>0</v>
      </c>
      <c r="BV24" s="877">
        <f t="shared" si="36"/>
        <v>0</v>
      </c>
      <c r="BW24" s="877">
        <f t="shared" si="36"/>
        <v>0</v>
      </c>
      <c r="BX24" s="877">
        <f t="shared" si="36"/>
        <v>0</v>
      </c>
      <c r="BY24" s="877"/>
      <c r="BZ24" s="877"/>
      <c r="CA24" s="878">
        <f>SUM(CG24:CJ24)</f>
        <v>0</v>
      </c>
      <c r="CB24" s="877">
        <f t="shared" ref="CB24:CH24" si="37">CB41*2.5%</f>
        <v>0</v>
      </c>
      <c r="CC24" s="877">
        <f t="shared" si="37"/>
        <v>0</v>
      </c>
      <c r="CD24" s="877">
        <f t="shared" si="37"/>
        <v>0</v>
      </c>
      <c r="CE24" s="877">
        <f t="shared" si="37"/>
        <v>0</v>
      </c>
      <c r="CF24" s="879">
        <f t="shared" si="37"/>
        <v>0</v>
      </c>
      <c r="CG24" s="879">
        <f t="shared" si="37"/>
        <v>0</v>
      </c>
      <c r="CH24" s="877">
        <f t="shared" si="37"/>
        <v>0</v>
      </c>
      <c r="CI24" s="877">
        <f>CI41*2.3%</f>
        <v>0</v>
      </c>
      <c r="CJ24" s="877"/>
      <c r="CK24" s="877"/>
      <c r="CL24" s="877"/>
      <c r="CM24" s="878">
        <f>SUM(CS24:CV24)</f>
        <v>0</v>
      </c>
      <c r="CN24" s="877">
        <f t="shared" ref="CN24:CT24" si="38">CN41*2.5%</f>
        <v>0</v>
      </c>
      <c r="CO24" s="877">
        <f t="shared" si="38"/>
        <v>0</v>
      </c>
      <c r="CP24" s="877">
        <f t="shared" si="38"/>
        <v>0</v>
      </c>
      <c r="CQ24" s="877">
        <f t="shared" si="38"/>
        <v>0</v>
      </c>
      <c r="CR24" s="879">
        <f t="shared" si="38"/>
        <v>0</v>
      </c>
      <c r="CS24" s="879">
        <f t="shared" si="38"/>
        <v>0</v>
      </c>
      <c r="CT24" s="877">
        <f t="shared" si="38"/>
        <v>0</v>
      </c>
      <c r="CU24" s="877">
        <f>CU41*2.3%</f>
        <v>0</v>
      </c>
      <c r="CV24" s="877"/>
      <c r="CW24" s="877"/>
      <c r="CX24" s="877"/>
    </row>
    <row r="25" spans="2:102" ht="27.75" customHeight="1">
      <c r="B25" s="870" t="s">
        <v>1143</v>
      </c>
      <c r="C25" s="880" t="s">
        <v>1144</v>
      </c>
      <c r="D25" s="872" t="s">
        <v>1128</v>
      </c>
      <c r="E25" s="881">
        <f t="shared" si="24"/>
        <v>0</v>
      </c>
      <c r="F25" s="869">
        <f t="shared" si="18"/>
        <v>0</v>
      </c>
      <c r="G25" s="869"/>
      <c r="H25" s="877"/>
      <c r="I25" s="877"/>
      <c r="J25" s="877"/>
      <c r="K25" s="877"/>
      <c r="L25" s="877"/>
      <c r="M25" s="877"/>
      <c r="N25" s="877"/>
      <c r="O25" s="877"/>
      <c r="P25" s="877"/>
      <c r="Q25" s="877"/>
      <c r="R25" s="877"/>
      <c r="S25" s="877"/>
      <c r="T25" s="877"/>
      <c r="U25" s="869">
        <f>SUM(AA25:AC25)</f>
        <v>0</v>
      </c>
      <c r="V25" s="877">
        <f t="shared" ref="V25:AA25" si="39">V20*2.14%</f>
        <v>0</v>
      </c>
      <c r="W25" s="877">
        <f t="shared" si="39"/>
        <v>0</v>
      </c>
      <c r="X25" s="877">
        <f t="shared" si="39"/>
        <v>0</v>
      </c>
      <c r="Y25" s="877">
        <f t="shared" si="39"/>
        <v>0</v>
      </c>
      <c r="Z25" s="877">
        <f t="shared" si="39"/>
        <v>0</v>
      </c>
      <c r="AA25" s="877">
        <f t="shared" si="39"/>
        <v>0</v>
      </c>
      <c r="AB25" s="877"/>
      <c r="AC25" s="877"/>
      <c r="AD25" s="877"/>
      <c r="AE25" s="869">
        <f t="shared" ref="AE25:AE35" si="40">AF25+AQ25</f>
        <v>0</v>
      </c>
      <c r="AF25" s="869">
        <f>SUM(AL25:AO25)</f>
        <v>0</v>
      </c>
      <c r="AG25" s="877"/>
      <c r="AH25" s="877">
        <f t="shared" ref="AH25:AN25" si="41">AH20*2.14%</f>
        <v>0</v>
      </c>
      <c r="AI25" s="877">
        <f t="shared" si="41"/>
        <v>0</v>
      </c>
      <c r="AJ25" s="877">
        <f t="shared" si="41"/>
        <v>0</v>
      </c>
      <c r="AK25" s="877">
        <f t="shared" si="41"/>
        <v>0</v>
      </c>
      <c r="AL25" s="877">
        <f t="shared" si="41"/>
        <v>0</v>
      </c>
      <c r="AM25" s="877">
        <f t="shared" si="41"/>
        <v>0</v>
      </c>
      <c r="AN25" s="877">
        <f t="shared" si="41"/>
        <v>0</v>
      </c>
      <c r="AO25" s="877"/>
      <c r="AP25" s="877"/>
      <c r="AQ25" s="878">
        <f>SUM(AW25:AZ25)</f>
        <v>0</v>
      </c>
      <c r="AR25" s="877">
        <f t="shared" ref="AR25:AY25" si="42">AR20*2.14%</f>
        <v>0</v>
      </c>
      <c r="AS25" s="877">
        <f t="shared" si="42"/>
        <v>0</v>
      </c>
      <c r="AT25" s="877">
        <f t="shared" si="42"/>
        <v>0</v>
      </c>
      <c r="AU25" s="877">
        <f t="shared" si="42"/>
        <v>0</v>
      </c>
      <c r="AV25" s="879">
        <f t="shared" si="42"/>
        <v>0</v>
      </c>
      <c r="AW25" s="879">
        <f t="shared" si="42"/>
        <v>0</v>
      </c>
      <c r="AX25" s="877">
        <f t="shared" si="42"/>
        <v>0</v>
      </c>
      <c r="AY25" s="877">
        <f t="shared" si="42"/>
        <v>0</v>
      </c>
      <c r="AZ25" s="877"/>
      <c r="BA25" s="877"/>
      <c r="BB25" s="877"/>
      <c r="BC25" s="878">
        <f>SUM(BI25:BL25)</f>
        <v>0</v>
      </c>
      <c r="BD25" s="877">
        <f t="shared" ref="BD25:BK25" si="43">BD20*2.14%</f>
        <v>0</v>
      </c>
      <c r="BE25" s="877">
        <f t="shared" si="43"/>
        <v>0</v>
      </c>
      <c r="BF25" s="877">
        <f t="shared" si="43"/>
        <v>0</v>
      </c>
      <c r="BG25" s="877">
        <f t="shared" si="43"/>
        <v>0</v>
      </c>
      <c r="BH25" s="879">
        <f t="shared" si="43"/>
        <v>0</v>
      </c>
      <c r="BI25" s="879">
        <f t="shared" si="43"/>
        <v>0</v>
      </c>
      <c r="BJ25" s="877">
        <f t="shared" si="43"/>
        <v>0</v>
      </c>
      <c r="BK25" s="877">
        <f t="shared" si="43"/>
        <v>0</v>
      </c>
      <c r="BL25" s="877"/>
      <c r="BM25" s="877"/>
      <c r="BN25" s="877"/>
      <c r="BO25" s="869"/>
      <c r="BP25" s="869">
        <f>SUM(BV25:BY25)</f>
        <v>0</v>
      </c>
      <c r="BQ25" s="877"/>
      <c r="BR25" s="877">
        <f t="shared" ref="BR25:BX25" si="44">BR20*2.14%</f>
        <v>0</v>
      </c>
      <c r="BS25" s="877">
        <f t="shared" si="44"/>
        <v>0</v>
      </c>
      <c r="BT25" s="877">
        <f t="shared" si="44"/>
        <v>0</v>
      </c>
      <c r="BU25" s="877">
        <f t="shared" si="44"/>
        <v>0</v>
      </c>
      <c r="BV25" s="877">
        <f t="shared" si="44"/>
        <v>0</v>
      </c>
      <c r="BW25" s="877">
        <f t="shared" si="44"/>
        <v>0</v>
      </c>
      <c r="BX25" s="877">
        <f t="shared" si="44"/>
        <v>0</v>
      </c>
      <c r="BY25" s="877"/>
      <c r="BZ25" s="877"/>
      <c r="CA25" s="878">
        <f>SUM(CG25:CJ25)</f>
        <v>0</v>
      </c>
      <c r="CB25" s="877">
        <f t="shared" ref="CB25:CI25" si="45">CB20*2.14%</f>
        <v>0</v>
      </c>
      <c r="CC25" s="877">
        <f t="shared" si="45"/>
        <v>0</v>
      </c>
      <c r="CD25" s="877">
        <f t="shared" si="45"/>
        <v>0</v>
      </c>
      <c r="CE25" s="877">
        <f t="shared" si="45"/>
        <v>0</v>
      </c>
      <c r="CF25" s="879">
        <f t="shared" si="45"/>
        <v>0</v>
      </c>
      <c r="CG25" s="879">
        <f t="shared" si="45"/>
        <v>0</v>
      </c>
      <c r="CH25" s="877">
        <f t="shared" si="45"/>
        <v>0</v>
      </c>
      <c r="CI25" s="877">
        <f t="shared" si="45"/>
        <v>0</v>
      </c>
      <c r="CJ25" s="877"/>
      <c r="CK25" s="877"/>
      <c r="CL25" s="877"/>
      <c r="CM25" s="878">
        <f>SUM(CS25:CV25)</f>
        <v>0</v>
      </c>
      <c r="CN25" s="877">
        <f t="shared" ref="CN25:CU25" si="46">CN20*2.14%</f>
        <v>0</v>
      </c>
      <c r="CO25" s="877">
        <f t="shared" si="46"/>
        <v>0</v>
      </c>
      <c r="CP25" s="877">
        <f t="shared" si="46"/>
        <v>0</v>
      </c>
      <c r="CQ25" s="877">
        <f t="shared" si="46"/>
        <v>0</v>
      </c>
      <c r="CR25" s="879">
        <f t="shared" si="46"/>
        <v>0</v>
      </c>
      <c r="CS25" s="879">
        <f t="shared" si="46"/>
        <v>0</v>
      </c>
      <c r="CT25" s="877">
        <f t="shared" si="46"/>
        <v>0</v>
      </c>
      <c r="CU25" s="877">
        <f t="shared" si="46"/>
        <v>0</v>
      </c>
      <c r="CV25" s="877"/>
      <c r="CW25" s="877"/>
      <c r="CX25" s="877"/>
    </row>
    <row r="26" spans="2:102" ht="30" customHeight="1">
      <c r="B26" s="870" t="s">
        <v>1145</v>
      </c>
      <c r="C26" s="880" t="s">
        <v>1146</v>
      </c>
      <c r="D26" s="872" t="s">
        <v>1128</v>
      </c>
      <c r="E26" s="881">
        <f t="shared" si="24"/>
        <v>0</v>
      </c>
      <c r="F26" s="869">
        <f t="shared" si="18"/>
        <v>0</v>
      </c>
      <c r="G26" s="869"/>
      <c r="H26" s="877"/>
      <c r="I26" s="877"/>
      <c r="J26" s="877"/>
      <c r="K26" s="877"/>
      <c r="L26" s="877"/>
      <c r="M26" s="877"/>
      <c r="N26" s="877"/>
      <c r="O26" s="877"/>
      <c r="P26" s="877"/>
      <c r="Q26" s="877"/>
      <c r="R26" s="877"/>
      <c r="S26" s="877"/>
      <c r="T26" s="877"/>
      <c r="U26" s="869">
        <f>SUM(AA26:AC26)</f>
        <v>0</v>
      </c>
      <c r="V26" s="877">
        <f t="shared" ref="V26:Z27" si="47">(V17+V20+V23+V24+V25)*2%</f>
        <v>0</v>
      </c>
      <c r="W26" s="877">
        <f t="shared" si="47"/>
        <v>0</v>
      </c>
      <c r="X26" s="877">
        <f t="shared" si="47"/>
        <v>0</v>
      </c>
      <c r="Y26" s="877">
        <f>(Y17+Y20+Y23+Y24+Y25)*2%</f>
        <v>0</v>
      </c>
      <c r="Z26" s="877">
        <f t="shared" si="47"/>
        <v>0</v>
      </c>
      <c r="AA26" s="877"/>
      <c r="AB26" s="877"/>
      <c r="AC26" s="877"/>
      <c r="AD26" s="877"/>
      <c r="AE26" s="869">
        <f>AF26+AQ26</f>
        <v>0</v>
      </c>
      <c r="AF26" s="869">
        <f>SUM(AL26:AP26)</f>
        <v>0</v>
      </c>
      <c r="AG26" s="877"/>
      <c r="AH26" s="877">
        <f t="shared" ref="AH26:AN27" si="48">(AH17+AH20+AH23+AH24+AH25)*2%</f>
        <v>0</v>
      </c>
      <c r="AI26" s="877">
        <f>(AI17+AI20+AI23+AI24+AI25)*2%</f>
        <v>0</v>
      </c>
      <c r="AJ26" s="877">
        <f t="shared" si="48"/>
        <v>0</v>
      </c>
      <c r="AK26" s="877">
        <f t="shared" si="48"/>
        <v>0</v>
      </c>
      <c r="AL26" s="877">
        <f t="shared" si="48"/>
        <v>0</v>
      </c>
      <c r="AM26" s="877">
        <f t="shared" si="48"/>
        <v>0</v>
      </c>
      <c r="AN26" s="877">
        <f t="shared" si="48"/>
        <v>0</v>
      </c>
      <c r="AO26" s="877"/>
      <c r="AP26" s="877"/>
      <c r="AQ26" s="878"/>
      <c r="AR26" s="877">
        <f t="shared" ref="AR26:AY26" si="49">(AR17+AR20+AR23+AR24+AR25)*2%</f>
        <v>0</v>
      </c>
      <c r="AS26" s="877">
        <f t="shared" si="49"/>
        <v>0</v>
      </c>
      <c r="AT26" s="877">
        <f t="shared" si="49"/>
        <v>0</v>
      </c>
      <c r="AU26" s="877">
        <f t="shared" si="49"/>
        <v>0</v>
      </c>
      <c r="AV26" s="879">
        <f t="shared" si="49"/>
        <v>0</v>
      </c>
      <c r="AW26" s="879">
        <f t="shared" si="49"/>
        <v>0</v>
      </c>
      <c r="AX26" s="877">
        <f t="shared" si="49"/>
        <v>0</v>
      </c>
      <c r="AY26" s="877">
        <f t="shared" si="49"/>
        <v>0</v>
      </c>
      <c r="AZ26" s="877"/>
      <c r="BA26" s="877"/>
      <c r="BB26" s="877"/>
      <c r="BC26" s="878"/>
      <c r="BD26" s="877">
        <f t="shared" ref="BD26:BK26" si="50">(BD17+BD20+BD23+BD24+BD25)*2%</f>
        <v>0</v>
      </c>
      <c r="BE26" s="877">
        <f t="shared" si="50"/>
        <v>0</v>
      </c>
      <c r="BF26" s="877">
        <f t="shared" si="50"/>
        <v>0</v>
      </c>
      <c r="BG26" s="877">
        <f t="shared" si="50"/>
        <v>0</v>
      </c>
      <c r="BH26" s="879">
        <f t="shared" si="50"/>
        <v>0</v>
      </c>
      <c r="BI26" s="879">
        <f t="shared" si="50"/>
        <v>0</v>
      </c>
      <c r="BJ26" s="877">
        <f t="shared" si="50"/>
        <v>0</v>
      </c>
      <c r="BK26" s="877">
        <f t="shared" si="50"/>
        <v>0</v>
      </c>
      <c r="BL26" s="877"/>
      <c r="BM26" s="877"/>
      <c r="BN26" s="877"/>
      <c r="BO26" s="869"/>
      <c r="BP26" s="869">
        <f>SUM(BV26:BZ26)</f>
        <v>0</v>
      </c>
      <c r="BQ26" s="877"/>
      <c r="BR26" s="877">
        <f t="shared" ref="BR26:BX26" si="51">(BR17+BR20+BR23+BR24+BR25)*2%</f>
        <v>0</v>
      </c>
      <c r="BS26" s="877">
        <f t="shared" si="51"/>
        <v>0</v>
      </c>
      <c r="BT26" s="877">
        <f t="shared" si="51"/>
        <v>0</v>
      </c>
      <c r="BU26" s="877">
        <f t="shared" si="51"/>
        <v>0</v>
      </c>
      <c r="BV26" s="877">
        <f t="shared" si="51"/>
        <v>0</v>
      </c>
      <c r="BW26" s="877">
        <f t="shared" si="51"/>
        <v>0</v>
      </c>
      <c r="BX26" s="877">
        <f t="shared" si="51"/>
        <v>0</v>
      </c>
      <c r="BY26" s="877"/>
      <c r="BZ26" s="877"/>
      <c r="CA26" s="878"/>
      <c r="CB26" s="877">
        <f t="shared" ref="CB26:CI26" si="52">(CB17+CB20+CB23+CB24+CB25)*2%</f>
        <v>0</v>
      </c>
      <c r="CC26" s="877">
        <f t="shared" si="52"/>
        <v>0</v>
      </c>
      <c r="CD26" s="877">
        <f t="shared" si="52"/>
        <v>0</v>
      </c>
      <c r="CE26" s="877">
        <f t="shared" si="52"/>
        <v>0</v>
      </c>
      <c r="CF26" s="879">
        <f t="shared" si="52"/>
        <v>0</v>
      </c>
      <c r="CG26" s="879">
        <f t="shared" si="52"/>
        <v>0</v>
      </c>
      <c r="CH26" s="877">
        <f t="shared" si="52"/>
        <v>0</v>
      </c>
      <c r="CI26" s="877">
        <f t="shared" si="52"/>
        <v>0</v>
      </c>
      <c r="CJ26" s="877"/>
      <c r="CK26" s="877"/>
      <c r="CL26" s="877"/>
      <c r="CM26" s="878"/>
      <c r="CN26" s="877">
        <f t="shared" ref="CN26:CU26" si="53">(CN17+CN20+CN23+CN24+CN25)*2%</f>
        <v>0</v>
      </c>
      <c r="CO26" s="877">
        <f t="shared" si="53"/>
        <v>0</v>
      </c>
      <c r="CP26" s="877">
        <f t="shared" si="53"/>
        <v>0</v>
      </c>
      <c r="CQ26" s="877">
        <f t="shared" si="53"/>
        <v>0</v>
      </c>
      <c r="CR26" s="879">
        <f t="shared" si="53"/>
        <v>0</v>
      </c>
      <c r="CS26" s="879">
        <f t="shared" si="53"/>
        <v>0</v>
      </c>
      <c r="CT26" s="877">
        <f t="shared" si="53"/>
        <v>0</v>
      </c>
      <c r="CU26" s="877">
        <f t="shared" si="53"/>
        <v>0</v>
      </c>
      <c r="CV26" s="877"/>
      <c r="CW26" s="877"/>
      <c r="CX26" s="877"/>
    </row>
    <row r="27" spans="2:102" ht="41.25" hidden="1" customHeight="1" outlineLevel="1" thickBot="1">
      <c r="B27" s="870" t="s">
        <v>1147</v>
      </c>
      <c r="C27" s="882" t="s">
        <v>1148</v>
      </c>
      <c r="D27" s="872" t="s">
        <v>1128</v>
      </c>
      <c r="E27" s="881">
        <f t="shared" si="24"/>
        <v>0</v>
      </c>
      <c r="F27" s="869">
        <f t="shared" si="18"/>
        <v>0</v>
      </c>
      <c r="G27" s="869">
        <f>SUM(M27:O27)</f>
        <v>0</v>
      </c>
      <c r="H27" s="877"/>
      <c r="I27" s="877"/>
      <c r="J27" s="877"/>
      <c r="K27" s="877"/>
      <c r="L27" s="877"/>
      <c r="M27" s="877"/>
      <c r="N27" s="877"/>
      <c r="O27" s="877"/>
      <c r="P27" s="877"/>
      <c r="Q27" s="877"/>
      <c r="R27" s="877"/>
      <c r="S27" s="877"/>
      <c r="T27" s="877"/>
      <c r="U27" s="869">
        <f>SUM(AA27:AB27)</f>
        <v>0</v>
      </c>
      <c r="V27" s="877">
        <f t="shared" si="47"/>
        <v>0</v>
      </c>
      <c r="W27" s="877">
        <f t="shared" si="47"/>
        <v>0</v>
      </c>
      <c r="X27" s="877"/>
      <c r="Y27" s="877"/>
      <c r="Z27" s="877"/>
      <c r="AA27" s="877"/>
      <c r="AB27" s="877"/>
      <c r="AC27" s="877"/>
      <c r="AD27" s="877"/>
      <c r="AE27" s="869">
        <f>AF27+AQ27</f>
        <v>0</v>
      </c>
      <c r="AF27" s="869">
        <f>SUM(AL27:AN27)</f>
        <v>0</v>
      </c>
      <c r="AG27" s="877"/>
      <c r="AH27" s="877">
        <f t="shared" si="48"/>
        <v>0</v>
      </c>
      <c r="AI27" s="877"/>
      <c r="AJ27" s="877"/>
      <c r="AK27" s="877"/>
      <c r="AL27" s="877"/>
      <c r="AM27" s="877"/>
      <c r="AN27" s="877"/>
      <c r="AO27" s="877"/>
      <c r="AP27" s="877"/>
      <c r="AQ27" s="878">
        <f>SUM(AW27:AY27)</f>
        <v>0</v>
      </c>
      <c r="AR27" s="883"/>
      <c r="AS27" s="883"/>
      <c r="AT27" s="883"/>
      <c r="AU27" s="883"/>
      <c r="AV27" s="884"/>
      <c r="AW27" s="885"/>
      <c r="AX27" s="877"/>
      <c r="AY27" s="877"/>
      <c r="AZ27" s="877"/>
      <c r="BA27" s="877"/>
      <c r="BB27" s="877"/>
      <c r="BC27" s="878">
        <f>SUM(BI27:BK27)</f>
        <v>0</v>
      </c>
      <c r="BD27" s="883"/>
      <c r="BE27" s="883"/>
      <c r="BF27" s="883"/>
      <c r="BG27" s="883"/>
      <c r="BH27" s="884"/>
      <c r="BI27" s="885"/>
      <c r="BJ27" s="877"/>
      <c r="BK27" s="877"/>
      <c r="BL27" s="877"/>
      <c r="BM27" s="877"/>
      <c r="BN27" s="877"/>
      <c r="BO27" s="869"/>
      <c r="BP27" s="869">
        <f>SUM(BV27:BX27)</f>
        <v>0</v>
      </c>
      <c r="BQ27" s="877"/>
      <c r="BR27" s="877">
        <f>(BR18+BR21+BR24+BR25+BR26)*2%</f>
        <v>0</v>
      </c>
      <c r="BS27" s="877"/>
      <c r="BT27" s="877"/>
      <c r="BU27" s="877"/>
      <c r="BV27" s="877"/>
      <c r="BW27" s="877"/>
      <c r="BX27" s="877"/>
      <c r="BY27" s="877"/>
      <c r="BZ27" s="877"/>
      <c r="CA27" s="878">
        <f>SUM(CG27:CI27)</f>
        <v>0</v>
      </c>
      <c r="CB27" s="883"/>
      <c r="CC27" s="883"/>
      <c r="CD27" s="883"/>
      <c r="CE27" s="883"/>
      <c r="CF27" s="884"/>
      <c r="CG27" s="885"/>
      <c r="CH27" s="877"/>
      <c r="CI27" s="877"/>
      <c r="CJ27" s="877"/>
      <c r="CK27" s="877"/>
      <c r="CL27" s="877"/>
      <c r="CM27" s="878">
        <f>SUM(CS27:CU27)</f>
        <v>0</v>
      </c>
      <c r="CN27" s="883"/>
      <c r="CO27" s="883"/>
      <c r="CP27" s="883"/>
      <c r="CQ27" s="883"/>
      <c r="CR27" s="884"/>
      <c r="CS27" s="885"/>
      <c r="CT27" s="877"/>
      <c r="CU27" s="877"/>
      <c r="CV27" s="877"/>
      <c r="CW27" s="877"/>
      <c r="CX27" s="877"/>
    </row>
    <row r="28" spans="2:102" ht="82.5" hidden="1" customHeight="1" outlineLevel="1" thickTop="1" thickBot="1">
      <c r="B28" s="886" t="s">
        <v>1147</v>
      </c>
      <c r="C28" s="887" t="s">
        <v>1149</v>
      </c>
      <c r="D28" s="888" t="s">
        <v>1128</v>
      </c>
      <c r="E28" s="889">
        <f t="shared" si="24"/>
        <v>0</v>
      </c>
      <c r="F28" s="889">
        <f t="shared" si="18"/>
        <v>0</v>
      </c>
      <c r="G28" s="873">
        <f>SUM(I28:Z28)</f>
        <v>0</v>
      </c>
      <c r="H28" s="874"/>
      <c r="I28" s="874"/>
      <c r="J28" s="890"/>
      <c r="K28" s="890"/>
      <c r="L28" s="874"/>
      <c r="M28" s="874"/>
      <c r="N28" s="874"/>
      <c r="O28" s="874"/>
      <c r="P28" s="874"/>
      <c r="Q28" s="874"/>
      <c r="R28" s="874"/>
      <c r="S28" s="874"/>
      <c r="T28" s="874"/>
      <c r="U28" s="873">
        <f>SUM(W28:AJ28)</f>
        <v>0</v>
      </c>
      <c r="V28" s="874"/>
      <c r="W28" s="874"/>
      <c r="X28" s="874"/>
      <c r="Y28" s="874"/>
      <c r="Z28" s="874"/>
      <c r="AA28" s="874"/>
      <c r="AB28" s="874"/>
      <c r="AC28" s="874"/>
      <c r="AD28" s="1636"/>
      <c r="AE28" s="891">
        <f t="shared" si="40"/>
        <v>0</v>
      </c>
      <c r="AF28" s="873">
        <f>SUM(AH28:AK28)</f>
        <v>0</v>
      </c>
      <c r="AG28" s="874"/>
      <c r="AH28" s="874"/>
      <c r="AI28" s="874"/>
      <c r="AJ28" s="874"/>
      <c r="AK28" s="874"/>
      <c r="AL28" s="874"/>
      <c r="AM28" s="874"/>
      <c r="AN28" s="874"/>
      <c r="AO28" s="874"/>
      <c r="AP28" s="874"/>
      <c r="AQ28" s="874">
        <f>SUM(AS28:AV28)</f>
        <v>0</v>
      </c>
      <c r="AR28" s="874"/>
      <c r="AS28" s="874"/>
      <c r="AT28" s="874"/>
      <c r="AU28" s="874"/>
      <c r="AV28" s="874"/>
      <c r="AW28" s="892"/>
      <c r="AX28" s="874"/>
      <c r="AY28" s="874"/>
      <c r="AZ28" s="874"/>
      <c r="BA28" s="874"/>
      <c r="BB28" s="874"/>
      <c r="BC28" s="874">
        <f>SUM(BE28:BH28)</f>
        <v>0</v>
      </c>
      <c r="BD28" s="874"/>
      <c r="BE28" s="874"/>
      <c r="BF28" s="874"/>
      <c r="BG28" s="874"/>
      <c r="BH28" s="874"/>
      <c r="BI28" s="892"/>
      <c r="BJ28" s="874"/>
      <c r="BK28" s="874"/>
      <c r="BL28" s="874"/>
      <c r="BM28" s="874"/>
      <c r="BN28" s="874"/>
      <c r="BO28" s="891"/>
      <c r="BP28" s="873">
        <f>SUM(BR28:BU28)</f>
        <v>0</v>
      </c>
      <c r="BQ28" s="874"/>
      <c r="BR28" s="874"/>
      <c r="BS28" s="874"/>
      <c r="BT28" s="874"/>
      <c r="BU28" s="874"/>
      <c r="BV28" s="874"/>
      <c r="BW28" s="874"/>
      <c r="BX28" s="874"/>
      <c r="BY28" s="874"/>
      <c r="BZ28" s="874"/>
      <c r="CA28" s="874">
        <f>SUM(CC28:CF28)</f>
        <v>0</v>
      </c>
      <c r="CB28" s="874"/>
      <c r="CC28" s="874"/>
      <c r="CD28" s="874"/>
      <c r="CE28" s="874"/>
      <c r="CF28" s="874"/>
      <c r="CG28" s="892"/>
      <c r="CH28" s="874"/>
      <c r="CI28" s="874"/>
      <c r="CJ28" s="874"/>
      <c r="CK28" s="874"/>
      <c r="CL28" s="874"/>
      <c r="CM28" s="874">
        <f>SUM(CO28:CR28)</f>
        <v>0</v>
      </c>
      <c r="CN28" s="874"/>
      <c r="CO28" s="874"/>
      <c r="CP28" s="874"/>
      <c r="CQ28" s="874"/>
      <c r="CR28" s="874"/>
      <c r="CS28" s="892"/>
      <c r="CT28" s="874"/>
      <c r="CU28" s="874"/>
      <c r="CV28" s="874"/>
      <c r="CW28" s="874"/>
      <c r="CX28" s="874"/>
    </row>
    <row r="29" spans="2:102" ht="24.75" hidden="1" customHeight="1" outlineLevel="1" thickTop="1" thickBot="1">
      <c r="B29" s="886" t="s">
        <v>1150</v>
      </c>
      <c r="C29" s="887" t="s">
        <v>1151</v>
      </c>
      <c r="D29" s="888" t="s">
        <v>1128</v>
      </c>
      <c r="E29" s="889">
        <f t="shared" si="24"/>
        <v>0</v>
      </c>
      <c r="F29" s="889">
        <f t="shared" si="18"/>
        <v>0</v>
      </c>
      <c r="G29" s="873">
        <f>SUM(I29:L29)</f>
        <v>0</v>
      </c>
      <c r="H29" s="874"/>
      <c r="I29" s="874"/>
      <c r="J29" s="890"/>
      <c r="K29" s="890"/>
      <c r="L29" s="874"/>
      <c r="M29" s="874"/>
      <c r="N29" s="874"/>
      <c r="O29" s="874"/>
      <c r="P29" s="874"/>
      <c r="Q29" s="874"/>
      <c r="R29" s="874"/>
      <c r="S29" s="874"/>
      <c r="T29" s="874"/>
      <c r="U29" s="873">
        <f>SUM(W29:Z29)</f>
        <v>0</v>
      </c>
      <c r="V29" s="874"/>
      <c r="W29" s="874"/>
      <c r="X29" s="874"/>
      <c r="Y29" s="874"/>
      <c r="Z29" s="874"/>
      <c r="AA29" s="874"/>
      <c r="AB29" s="874"/>
      <c r="AC29" s="874"/>
      <c r="AD29" s="1636"/>
      <c r="AE29" s="891">
        <f t="shared" si="40"/>
        <v>0</v>
      </c>
      <c r="AF29" s="873">
        <f>SUM(AH29:AK29)</f>
        <v>0</v>
      </c>
      <c r="AG29" s="874"/>
      <c r="AH29" s="874"/>
      <c r="AI29" s="874"/>
      <c r="AJ29" s="874"/>
      <c r="AK29" s="874"/>
      <c r="AL29" s="874"/>
      <c r="AM29" s="874"/>
      <c r="AN29" s="874"/>
      <c r="AO29" s="874"/>
      <c r="AP29" s="874"/>
      <c r="AQ29" s="874">
        <f>SUM(AS29:AV29)</f>
        <v>0</v>
      </c>
      <c r="AR29" s="874"/>
      <c r="AS29" s="874"/>
      <c r="AT29" s="874"/>
      <c r="AU29" s="874"/>
      <c r="AV29" s="874"/>
      <c r="AW29" s="892"/>
      <c r="AX29" s="874"/>
      <c r="AY29" s="874"/>
      <c r="AZ29" s="874"/>
      <c r="BA29" s="874"/>
      <c r="BB29" s="874"/>
      <c r="BC29" s="874">
        <f>SUM(BE29:BH29)</f>
        <v>0</v>
      </c>
      <c r="BD29" s="874"/>
      <c r="BE29" s="874"/>
      <c r="BF29" s="874"/>
      <c r="BG29" s="874"/>
      <c r="BH29" s="874"/>
      <c r="BI29" s="892"/>
      <c r="BJ29" s="874"/>
      <c r="BK29" s="874"/>
      <c r="BL29" s="874"/>
      <c r="BM29" s="874"/>
      <c r="BN29" s="874"/>
      <c r="BO29" s="891"/>
      <c r="BP29" s="873">
        <f>SUM(BR29:BU29)</f>
        <v>0</v>
      </c>
      <c r="BQ29" s="874"/>
      <c r="BR29" s="874"/>
      <c r="BS29" s="874"/>
      <c r="BT29" s="874"/>
      <c r="BU29" s="874"/>
      <c r="BV29" s="874"/>
      <c r="BW29" s="874"/>
      <c r="BX29" s="874"/>
      <c r="BY29" s="874"/>
      <c r="BZ29" s="874"/>
      <c r="CA29" s="874">
        <f>SUM(CC29:CF29)</f>
        <v>0</v>
      </c>
      <c r="CB29" s="874"/>
      <c r="CC29" s="874"/>
      <c r="CD29" s="874"/>
      <c r="CE29" s="874"/>
      <c r="CF29" s="874"/>
      <c r="CG29" s="892"/>
      <c r="CH29" s="874"/>
      <c r="CI29" s="874"/>
      <c r="CJ29" s="874"/>
      <c r="CK29" s="874"/>
      <c r="CL29" s="874"/>
      <c r="CM29" s="874">
        <f>SUM(CO29:CR29)</f>
        <v>0</v>
      </c>
      <c r="CN29" s="874"/>
      <c r="CO29" s="874"/>
      <c r="CP29" s="874"/>
      <c r="CQ29" s="874"/>
      <c r="CR29" s="874"/>
      <c r="CS29" s="892"/>
      <c r="CT29" s="874"/>
      <c r="CU29" s="874"/>
      <c r="CV29" s="874"/>
      <c r="CW29" s="874"/>
      <c r="CX29" s="874"/>
    </row>
    <row r="30" spans="2:102" ht="42" hidden="1" customHeight="1" outlineLevel="1" thickTop="1" thickBot="1">
      <c r="B30" s="886" t="s">
        <v>1152</v>
      </c>
      <c r="C30" s="887" t="s">
        <v>1153</v>
      </c>
      <c r="D30" s="888" t="s">
        <v>1128</v>
      </c>
      <c r="E30" s="889">
        <f t="shared" si="24"/>
        <v>0</v>
      </c>
      <c r="F30" s="889">
        <f t="shared" si="18"/>
        <v>0</v>
      </c>
      <c r="G30" s="873">
        <f>SUM(I30:L30)</f>
        <v>0</v>
      </c>
      <c r="H30" s="874"/>
      <c r="I30" s="874"/>
      <c r="J30" s="890"/>
      <c r="K30" s="890"/>
      <c r="L30" s="874"/>
      <c r="M30" s="874"/>
      <c r="N30" s="874"/>
      <c r="O30" s="874"/>
      <c r="P30" s="874"/>
      <c r="Q30" s="874"/>
      <c r="R30" s="874"/>
      <c r="S30" s="874"/>
      <c r="T30" s="874"/>
      <c r="U30" s="873">
        <f>SUM(W30:Z30)</f>
        <v>0</v>
      </c>
      <c r="V30" s="874"/>
      <c r="W30" s="874"/>
      <c r="X30" s="874"/>
      <c r="Y30" s="874">
        <f>Y32*Y33*Y34*Y35*Y13</f>
        <v>0</v>
      </c>
      <c r="Z30" s="874"/>
      <c r="AA30" s="874"/>
      <c r="AB30" s="874"/>
      <c r="AC30" s="874"/>
      <c r="AD30" s="1636"/>
      <c r="AE30" s="891">
        <f t="shared" si="40"/>
        <v>0</v>
      </c>
      <c r="AF30" s="873">
        <f>SUM(AH30:AK30)</f>
        <v>0</v>
      </c>
      <c r="AG30" s="874"/>
      <c r="AH30" s="874"/>
      <c r="AI30" s="874"/>
      <c r="AJ30" s="874"/>
      <c r="AK30" s="874"/>
      <c r="AL30" s="874"/>
      <c r="AM30" s="874"/>
      <c r="AN30" s="874"/>
      <c r="AO30" s="874"/>
      <c r="AP30" s="874"/>
      <c r="AQ30" s="874">
        <f>SUM(AS30:AV30)</f>
        <v>0</v>
      </c>
      <c r="AR30" s="874"/>
      <c r="AS30" s="874"/>
      <c r="AT30" s="874"/>
      <c r="AU30" s="874">
        <f>AU32*AU33*AU34*AU35*AU13</f>
        <v>0</v>
      </c>
      <c r="AV30" s="874"/>
      <c r="AW30" s="892"/>
      <c r="AX30" s="874"/>
      <c r="AY30" s="874"/>
      <c r="AZ30" s="874"/>
      <c r="BA30" s="874"/>
      <c r="BB30" s="874"/>
      <c r="BC30" s="874">
        <f>SUM(BE30:BH30)</f>
        <v>0</v>
      </c>
      <c r="BD30" s="874"/>
      <c r="BE30" s="874"/>
      <c r="BF30" s="874"/>
      <c r="BG30" s="874">
        <f>BG32*BG33*BG34*BG35*BG13</f>
        <v>0</v>
      </c>
      <c r="BH30" s="874"/>
      <c r="BI30" s="892"/>
      <c r="BJ30" s="874"/>
      <c r="BK30" s="874"/>
      <c r="BL30" s="874"/>
      <c r="BM30" s="874"/>
      <c r="BN30" s="874"/>
      <c r="BO30" s="891"/>
      <c r="BP30" s="873">
        <f>SUM(BR30:BU30)</f>
        <v>0</v>
      </c>
      <c r="BQ30" s="874"/>
      <c r="BR30" s="874"/>
      <c r="BS30" s="874"/>
      <c r="BT30" s="874"/>
      <c r="BU30" s="874"/>
      <c r="BV30" s="874"/>
      <c r="BW30" s="874"/>
      <c r="BX30" s="874"/>
      <c r="BY30" s="874"/>
      <c r="BZ30" s="874"/>
      <c r="CA30" s="874">
        <f>SUM(CC30:CF30)</f>
        <v>0</v>
      </c>
      <c r="CB30" s="874"/>
      <c r="CC30" s="874"/>
      <c r="CD30" s="874"/>
      <c r="CE30" s="874">
        <f>CE32*CE33*CE34*CE35*CE13</f>
        <v>0</v>
      </c>
      <c r="CF30" s="874"/>
      <c r="CG30" s="892"/>
      <c r="CH30" s="874"/>
      <c r="CI30" s="874"/>
      <c r="CJ30" s="874"/>
      <c r="CK30" s="874"/>
      <c r="CL30" s="874"/>
      <c r="CM30" s="874">
        <f>SUM(CO30:CR30)</f>
        <v>0</v>
      </c>
      <c r="CN30" s="874"/>
      <c r="CO30" s="874"/>
      <c r="CP30" s="874"/>
      <c r="CQ30" s="874">
        <f>CQ32*CQ33*CQ34*CQ35*CQ13</f>
        <v>0</v>
      </c>
      <c r="CR30" s="874"/>
      <c r="CS30" s="892"/>
      <c r="CT30" s="874"/>
      <c r="CU30" s="874"/>
      <c r="CV30" s="874"/>
      <c r="CW30" s="874"/>
      <c r="CX30" s="874"/>
    </row>
    <row r="31" spans="2:102" s="899" customFormat="1" ht="20.25" hidden="1" customHeight="1" outlineLevel="1" thickTop="1">
      <c r="B31" s="886" t="s">
        <v>1154</v>
      </c>
      <c r="C31" s="893" t="s">
        <v>1155</v>
      </c>
      <c r="D31" s="894" t="s">
        <v>1156</v>
      </c>
      <c r="E31" s="895"/>
      <c r="F31" s="895">
        <f t="shared" si="18"/>
        <v>0</v>
      </c>
      <c r="G31" s="895">
        <f>SUM(I31:J31)</f>
        <v>0</v>
      </c>
      <c r="H31" s="896"/>
      <c r="I31" s="896"/>
      <c r="J31" s="890"/>
      <c r="K31" s="890"/>
      <c r="L31" s="897"/>
      <c r="M31" s="897"/>
      <c r="N31" s="897"/>
      <c r="O31" s="897"/>
      <c r="P31" s="897"/>
      <c r="Q31" s="897"/>
      <c r="R31" s="897"/>
      <c r="S31" s="897"/>
      <c r="T31" s="897"/>
      <c r="U31" s="898">
        <f>SUM(W31:X31)</f>
        <v>0</v>
      </c>
      <c r="V31" s="897"/>
      <c r="W31" s="897"/>
      <c r="X31" s="897"/>
      <c r="Y31" s="897">
        <f>42233/11811.5</f>
        <v>3.5755831181475681</v>
      </c>
      <c r="Z31" s="897"/>
      <c r="AA31" s="897"/>
      <c r="AB31" s="897"/>
      <c r="AC31" s="897"/>
      <c r="AD31" s="897"/>
      <c r="AE31" s="898">
        <f t="shared" si="40"/>
        <v>0</v>
      </c>
      <c r="AF31" s="898">
        <f>SUM(AH31:AI31)</f>
        <v>0</v>
      </c>
      <c r="AG31" s="897"/>
      <c r="AH31" s="897"/>
      <c r="AI31" s="897"/>
      <c r="AJ31" s="897">
        <f>59170/15166.2</f>
        <v>3.9014387255871608</v>
      </c>
      <c r="AK31" s="897"/>
      <c r="AL31" s="897"/>
      <c r="AM31" s="897"/>
      <c r="AN31" s="897"/>
      <c r="AO31" s="897"/>
      <c r="AP31" s="897"/>
      <c r="AQ31" s="897">
        <f>SUM(AS31:AT31)</f>
        <v>0</v>
      </c>
      <c r="AR31" s="897"/>
      <c r="AS31" s="897"/>
      <c r="AT31" s="897"/>
      <c r="AU31" s="897">
        <f>59170/15166.2</f>
        <v>3.9014387255871608</v>
      </c>
      <c r="AV31" s="897"/>
      <c r="AW31" s="897"/>
      <c r="AX31" s="897"/>
      <c r="AY31" s="897"/>
      <c r="AZ31" s="897"/>
      <c r="BA31" s="897"/>
      <c r="BB31" s="897"/>
      <c r="BC31" s="897">
        <f>SUM(BE31:BF31)</f>
        <v>0</v>
      </c>
      <c r="BD31" s="897"/>
      <c r="BE31" s="897"/>
      <c r="BF31" s="897"/>
      <c r="BG31" s="897">
        <f>59170/15166.2</f>
        <v>3.9014387255871608</v>
      </c>
      <c r="BH31" s="897"/>
      <c r="BI31" s="897"/>
      <c r="BJ31" s="897"/>
      <c r="BK31" s="897"/>
      <c r="BL31" s="897"/>
      <c r="BM31" s="897"/>
      <c r="BN31" s="897"/>
      <c r="BO31" s="898"/>
      <c r="BP31" s="898">
        <f>SUM(BR31:BS31)</f>
        <v>0</v>
      </c>
      <c r="BQ31" s="897"/>
      <c r="BR31" s="897"/>
      <c r="BS31" s="897"/>
      <c r="BT31" s="897">
        <f>59170/15166.2</f>
        <v>3.9014387255871608</v>
      </c>
      <c r="BU31" s="897"/>
      <c r="BV31" s="897"/>
      <c r="BW31" s="897"/>
      <c r="BX31" s="897"/>
      <c r="BY31" s="897"/>
      <c r="BZ31" s="897"/>
      <c r="CA31" s="897">
        <f>SUM(CC31:CD31)</f>
        <v>0</v>
      </c>
      <c r="CB31" s="897"/>
      <c r="CC31" s="897"/>
      <c r="CD31" s="897"/>
      <c r="CE31" s="897">
        <f>59170/15166.2</f>
        <v>3.9014387255871608</v>
      </c>
      <c r="CF31" s="897"/>
      <c r="CG31" s="897"/>
      <c r="CH31" s="897"/>
      <c r="CI31" s="897"/>
      <c r="CJ31" s="897"/>
      <c r="CK31" s="897"/>
      <c r="CL31" s="897"/>
      <c r="CM31" s="897">
        <f>SUM(CO31:CP31)</f>
        <v>0</v>
      </c>
      <c r="CN31" s="897"/>
      <c r="CO31" s="897"/>
      <c r="CP31" s="897"/>
      <c r="CQ31" s="897">
        <f>59170/15166.2</f>
        <v>3.9014387255871608</v>
      </c>
      <c r="CR31" s="897"/>
      <c r="CS31" s="897"/>
      <c r="CT31" s="897"/>
      <c r="CU31" s="897"/>
      <c r="CV31" s="897"/>
      <c r="CW31" s="897"/>
      <c r="CX31" s="897"/>
    </row>
    <row r="32" spans="2:102" s="899" customFormat="1" ht="20.25" hidden="1" customHeight="1" outlineLevel="1">
      <c r="B32" s="886" t="s">
        <v>1157</v>
      </c>
      <c r="C32" s="893" t="s">
        <v>1158</v>
      </c>
      <c r="D32" s="894" t="s">
        <v>1159</v>
      </c>
      <c r="E32" s="895"/>
      <c r="F32" s="895">
        <f t="shared" si="18"/>
        <v>0</v>
      </c>
      <c r="G32" s="895">
        <f>SUM(I32:J32)</f>
        <v>0</v>
      </c>
      <c r="H32" s="896"/>
      <c r="I32" s="896"/>
      <c r="J32" s="890"/>
      <c r="K32" s="890"/>
      <c r="L32" s="897"/>
      <c r="M32" s="897"/>
      <c r="N32" s="897"/>
      <c r="O32" s="897"/>
      <c r="P32" s="897"/>
      <c r="Q32" s="897"/>
      <c r="R32" s="897"/>
      <c r="S32" s="897"/>
      <c r="T32" s="897"/>
      <c r="U32" s="898">
        <f>SUM(W32:X32)</f>
        <v>0</v>
      </c>
      <c r="V32" s="897"/>
      <c r="W32" s="897"/>
      <c r="X32" s="897"/>
      <c r="Y32" s="897">
        <f>Y31*$U$59*1000</f>
        <v>0</v>
      </c>
      <c r="Z32" s="897"/>
      <c r="AA32" s="897"/>
      <c r="AB32" s="897"/>
      <c r="AC32" s="897"/>
      <c r="AD32" s="897"/>
      <c r="AE32" s="898">
        <f t="shared" si="40"/>
        <v>0</v>
      </c>
      <c r="AF32" s="898">
        <f>SUM(AH32:AI32)</f>
        <v>0</v>
      </c>
      <c r="AG32" s="897"/>
      <c r="AH32" s="897"/>
      <c r="AI32" s="897"/>
      <c r="AJ32" s="897">
        <f>AJ31*$AF$59*1000</f>
        <v>0</v>
      </c>
      <c r="AK32" s="897"/>
      <c r="AL32" s="897"/>
      <c r="AM32" s="897"/>
      <c r="AN32" s="897"/>
      <c r="AO32" s="897"/>
      <c r="AP32" s="897"/>
      <c r="AQ32" s="897">
        <f>SUM(AS32:AT32)</f>
        <v>0</v>
      </c>
      <c r="AR32" s="897"/>
      <c r="AS32" s="897"/>
      <c r="AT32" s="897"/>
      <c r="AU32" s="897">
        <f>AU31*$AQ$59*1000</f>
        <v>0</v>
      </c>
      <c r="AV32" s="897"/>
      <c r="AW32" s="897"/>
      <c r="AX32" s="897"/>
      <c r="AY32" s="897"/>
      <c r="AZ32" s="897"/>
      <c r="BA32" s="897"/>
      <c r="BB32" s="897"/>
      <c r="BC32" s="897">
        <f>SUM(BE32:BF32)</f>
        <v>0</v>
      </c>
      <c r="BD32" s="897"/>
      <c r="BE32" s="897"/>
      <c r="BF32" s="897"/>
      <c r="BG32" s="897">
        <f>BG31*$AQ$59*1000</f>
        <v>0</v>
      </c>
      <c r="BH32" s="897"/>
      <c r="BI32" s="897"/>
      <c r="BJ32" s="897"/>
      <c r="BK32" s="897"/>
      <c r="BL32" s="897"/>
      <c r="BM32" s="897"/>
      <c r="BN32" s="897"/>
      <c r="BO32" s="898"/>
      <c r="BP32" s="898">
        <f>SUM(BR32:BS32)</f>
        <v>0</v>
      </c>
      <c r="BQ32" s="897"/>
      <c r="BR32" s="897"/>
      <c r="BS32" s="897"/>
      <c r="BT32" s="897">
        <f>BT31*$AF$59*1000</f>
        <v>0</v>
      </c>
      <c r="BU32" s="897"/>
      <c r="BV32" s="897"/>
      <c r="BW32" s="897"/>
      <c r="BX32" s="897"/>
      <c r="BY32" s="897"/>
      <c r="BZ32" s="897"/>
      <c r="CA32" s="897">
        <f>SUM(CC32:CD32)</f>
        <v>0</v>
      </c>
      <c r="CB32" s="897"/>
      <c r="CC32" s="897"/>
      <c r="CD32" s="897"/>
      <c r="CE32" s="897">
        <f>CE31*$AQ$59*1000</f>
        <v>0</v>
      </c>
      <c r="CF32" s="897"/>
      <c r="CG32" s="897"/>
      <c r="CH32" s="897"/>
      <c r="CI32" s="897"/>
      <c r="CJ32" s="897"/>
      <c r="CK32" s="897"/>
      <c r="CL32" s="897"/>
      <c r="CM32" s="897">
        <f>SUM(CO32:CP32)</f>
        <v>0</v>
      </c>
      <c r="CN32" s="897"/>
      <c r="CO32" s="897"/>
      <c r="CP32" s="897"/>
      <c r="CQ32" s="897">
        <f>CQ31*$AQ$59*1000</f>
        <v>0</v>
      </c>
      <c r="CR32" s="897"/>
      <c r="CS32" s="897"/>
      <c r="CT32" s="897"/>
      <c r="CU32" s="897"/>
      <c r="CV32" s="897"/>
      <c r="CW32" s="897"/>
      <c r="CX32" s="897"/>
    </row>
    <row r="33" spans="2:102" s="899" customFormat="1" ht="20.25" hidden="1" customHeight="1" outlineLevel="1">
      <c r="B33" s="886" t="s">
        <v>1160</v>
      </c>
      <c r="C33" s="893" t="s">
        <v>1161</v>
      </c>
      <c r="D33" s="894" t="s">
        <v>1162</v>
      </c>
      <c r="E33" s="895"/>
      <c r="F33" s="895">
        <f t="shared" si="18"/>
        <v>0</v>
      </c>
      <c r="G33" s="895">
        <f>SUM(I33:J33)</f>
        <v>0</v>
      </c>
      <c r="H33" s="896"/>
      <c r="I33" s="896"/>
      <c r="J33" s="890"/>
      <c r="K33" s="890"/>
      <c r="L33" s="897"/>
      <c r="M33" s="897"/>
      <c r="N33" s="897"/>
      <c r="O33" s="897"/>
      <c r="P33" s="897"/>
      <c r="Q33" s="897"/>
      <c r="R33" s="897"/>
      <c r="S33" s="897"/>
      <c r="T33" s="897"/>
      <c r="U33" s="898">
        <f>SUM(W33:X33)</f>
        <v>0</v>
      </c>
      <c r="V33" s="897"/>
      <c r="W33" s="897"/>
      <c r="X33" s="897"/>
      <c r="Y33" s="897">
        <f>654.52/1000</f>
        <v>0.65451999999999999</v>
      </c>
      <c r="Z33" s="897"/>
      <c r="AA33" s="897"/>
      <c r="AB33" s="897"/>
      <c r="AC33" s="897"/>
      <c r="AD33" s="897"/>
      <c r="AE33" s="898">
        <f t="shared" si="40"/>
        <v>0</v>
      </c>
      <c r="AF33" s="898">
        <f>SUM(AH33:AI33)</f>
        <v>0</v>
      </c>
      <c r="AG33" s="897"/>
      <c r="AH33" s="897"/>
      <c r="AI33" s="897"/>
      <c r="AJ33" s="897">
        <f>654.52/1000</f>
        <v>0.65451999999999999</v>
      </c>
      <c r="AK33" s="897"/>
      <c r="AL33" s="897"/>
      <c r="AM33" s="897"/>
      <c r="AN33" s="897"/>
      <c r="AO33" s="897"/>
      <c r="AP33" s="897"/>
      <c r="AQ33" s="897">
        <f>SUM(AS33:AT33)</f>
        <v>0</v>
      </c>
      <c r="AR33" s="897"/>
      <c r="AS33" s="897"/>
      <c r="AT33" s="897"/>
      <c r="AU33" s="897">
        <f>654.52/1000</f>
        <v>0.65451999999999999</v>
      </c>
      <c r="AV33" s="897"/>
      <c r="AW33" s="897"/>
      <c r="AX33" s="897"/>
      <c r="AY33" s="897"/>
      <c r="AZ33" s="897"/>
      <c r="BA33" s="897"/>
      <c r="BB33" s="897"/>
      <c r="BC33" s="897">
        <f>SUM(BE33:BF33)</f>
        <v>0</v>
      </c>
      <c r="BD33" s="897"/>
      <c r="BE33" s="897"/>
      <c r="BF33" s="897"/>
      <c r="BG33" s="897">
        <f>654.52/1000</f>
        <v>0.65451999999999999</v>
      </c>
      <c r="BH33" s="897"/>
      <c r="BI33" s="897"/>
      <c r="BJ33" s="897"/>
      <c r="BK33" s="897"/>
      <c r="BL33" s="897"/>
      <c r="BM33" s="897"/>
      <c r="BN33" s="897"/>
      <c r="BO33" s="898"/>
      <c r="BP33" s="898">
        <f>SUM(BR33:BS33)</f>
        <v>0</v>
      </c>
      <c r="BQ33" s="897"/>
      <c r="BR33" s="897"/>
      <c r="BS33" s="897"/>
      <c r="BT33" s="897">
        <f>654.52/1000</f>
        <v>0.65451999999999999</v>
      </c>
      <c r="BU33" s="897"/>
      <c r="BV33" s="897"/>
      <c r="BW33" s="897"/>
      <c r="BX33" s="897"/>
      <c r="BY33" s="897"/>
      <c r="BZ33" s="897"/>
      <c r="CA33" s="897">
        <f>SUM(CC33:CD33)</f>
        <v>0</v>
      </c>
      <c r="CB33" s="897"/>
      <c r="CC33" s="897"/>
      <c r="CD33" s="897"/>
      <c r="CE33" s="897">
        <f>654.52/1000</f>
        <v>0.65451999999999999</v>
      </c>
      <c r="CF33" s="897"/>
      <c r="CG33" s="897"/>
      <c r="CH33" s="897"/>
      <c r="CI33" s="897"/>
      <c r="CJ33" s="897"/>
      <c r="CK33" s="897"/>
      <c r="CL33" s="897"/>
      <c r="CM33" s="897">
        <f>SUM(CO33:CP33)</f>
        <v>0</v>
      </c>
      <c r="CN33" s="897"/>
      <c r="CO33" s="897"/>
      <c r="CP33" s="897"/>
      <c r="CQ33" s="897">
        <f>654.52/1000</f>
        <v>0.65451999999999999</v>
      </c>
      <c r="CR33" s="897"/>
      <c r="CS33" s="897"/>
      <c r="CT33" s="897"/>
      <c r="CU33" s="897"/>
      <c r="CV33" s="897"/>
      <c r="CW33" s="897"/>
      <c r="CX33" s="897"/>
    </row>
    <row r="34" spans="2:102" s="899" customFormat="1" ht="20.25" hidden="1" customHeight="1" outlineLevel="1">
      <c r="B34" s="886" t="s">
        <v>1163</v>
      </c>
      <c r="C34" s="893" t="s">
        <v>1164</v>
      </c>
      <c r="D34" s="894" t="s">
        <v>1165</v>
      </c>
      <c r="E34" s="898"/>
      <c r="F34" s="898">
        <f t="shared" si="18"/>
        <v>0</v>
      </c>
      <c r="G34" s="898">
        <f>SUM(I34:J34)</f>
        <v>0</v>
      </c>
      <c r="H34" s="897"/>
      <c r="I34" s="897"/>
      <c r="J34" s="890"/>
      <c r="K34" s="890"/>
      <c r="L34" s="897"/>
      <c r="M34" s="897"/>
      <c r="N34" s="897"/>
      <c r="O34" s="897"/>
      <c r="P34" s="897"/>
      <c r="Q34" s="897"/>
      <c r="R34" s="897"/>
      <c r="S34" s="897"/>
      <c r="T34" s="897"/>
      <c r="U34" s="898">
        <f>SUM(W34:X34)</f>
        <v>0</v>
      </c>
      <c r="V34" s="897"/>
      <c r="W34" s="897"/>
      <c r="X34" s="897"/>
      <c r="Y34" s="897">
        <v>2.5000000000000001E-2</v>
      </c>
      <c r="Z34" s="897"/>
      <c r="AA34" s="897"/>
      <c r="AB34" s="897"/>
      <c r="AC34" s="897"/>
      <c r="AD34" s="897"/>
      <c r="AE34" s="898">
        <f t="shared" si="40"/>
        <v>0</v>
      </c>
      <c r="AF34" s="898">
        <f>SUM(AH34:AI34)</f>
        <v>0</v>
      </c>
      <c r="AG34" s="897"/>
      <c r="AH34" s="897"/>
      <c r="AI34" s="897"/>
      <c r="AJ34" s="897">
        <v>2.5000000000000001E-2</v>
      </c>
      <c r="AK34" s="897"/>
      <c r="AL34" s="897"/>
      <c r="AM34" s="897"/>
      <c r="AN34" s="897"/>
      <c r="AO34" s="897"/>
      <c r="AP34" s="897"/>
      <c r="AQ34" s="897">
        <f>SUM(AS34:AT34)</f>
        <v>0</v>
      </c>
      <c r="AR34" s="897"/>
      <c r="AS34" s="897"/>
      <c r="AT34" s="897"/>
      <c r="AU34" s="897">
        <v>2.5000000000000001E-2</v>
      </c>
      <c r="AV34" s="897"/>
      <c r="AW34" s="897"/>
      <c r="AX34" s="897"/>
      <c r="AY34" s="897"/>
      <c r="AZ34" s="897"/>
      <c r="BA34" s="897"/>
      <c r="BB34" s="897"/>
      <c r="BC34" s="897">
        <f>SUM(BE34:BF34)</f>
        <v>0</v>
      </c>
      <c r="BD34" s="897"/>
      <c r="BE34" s="897"/>
      <c r="BF34" s="897"/>
      <c r="BG34" s="897">
        <v>2.5000000000000001E-2</v>
      </c>
      <c r="BH34" s="897"/>
      <c r="BI34" s="897"/>
      <c r="BJ34" s="897"/>
      <c r="BK34" s="897"/>
      <c r="BL34" s="897"/>
      <c r="BM34" s="897"/>
      <c r="BN34" s="897"/>
      <c r="BO34" s="898"/>
      <c r="BP34" s="898">
        <f>SUM(BR34:BS34)</f>
        <v>0</v>
      </c>
      <c r="BQ34" s="897"/>
      <c r="BR34" s="897"/>
      <c r="BS34" s="897"/>
      <c r="BT34" s="897">
        <v>2.5000000000000001E-2</v>
      </c>
      <c r="BU34" s="897"/>
      <c r="BV34" s="897"/>
      <c r="BW34" s="897"/>
      <c r="BX34" s="897"/>
      <c r="BY34" s="897"/>
      <c r="BZ34" s="897"/>
      <c r="CA34" s="897">
        <f>SUM(CC34:CD34)</f>
        <v>0</v>
      </c>
      <c r="CB34" s="897"/>
      <c r="CC34" s="897"/>
      <c r="CD34" s="897"/>
      <c r="CE34" s="897">
        <v>2.5000000000000001E-2</v>
      </c>
      <c r="CF34" s="897"/>
      <c r="CG34" s="897"/>
      <c r="CH34" s="897"/>
      <c r="CI34" s="897"/>
      <c r="CJ34" s="897"/>
      <c r="CK34" s="897"/>
      <c r="CL34" s="897"/>
      <c r="CM34" s="897">
        <f>SUM(CO34:CP34)</f>
        <v>0</v>
      </c>
      <c r="CN34" s="897"/>
      <c r="CO34" s="897"/>
      <c r="CP34" s="897"/>
      <c r="CQ34" s="897">
        <v>2.5000000000000001E-2</v>
      </c>
      <c r="CR34" s="897"/>
      <c r="CS34" s="897"/>
      <c r="CT34" s="897"/>
      <c r="CU34" s="897"/>
      <c r="CV34" s="897"/>
      <c r="CW34" s="897"/>
      <c r="CX34" s="897"/>
    </row>
    <row r="35" spans="2:102" s="899" customFormat="1" ht="60.75" hidden="1" customHeight="1" outlineLevel="1">
      <c r="B35" s="886" t="s">
        <v>1166</v>
      </c>
      <c r="C35" s="893" t="s">
        <v>1167</v>
      </c>
      <c r="D35" s="894"/>
      <c r="E35" s="898"/>
      <c r="F35" s="898">
        <f t="shared" si="18"/>
        <v>0</v>
      </c>
      <c r="G35" s="898">
        <f>SUM(I35:J35)</f>
        <v>0</v>
      </c>
      <c r="H35" s="897"/>
      <c r="I35" s="897"/>
      <c r="J35" s="890"/>
      <c r="K35" s="890"/>
      <c r="L35" s="897"/>
      <c r="M35" s="897"/>
      <c r="N35" s="897"/>
      <c r="O35" s="897"/>
      <c r="P35" s="897"/>
      <c r="Q35" s="897"/>
      <c r="R35" s="897"/>
      <c r="S35" s="897"/>
      <c r="T35" s="897"/>
      <c r="U35" s="898">
        <f>SUM(W35:X35)</f>
        <v>0</v>
      </c>
      <c r="V35" s="897"/>
      <c r="W35" s="897"/>
      <c r="X35" s="897"/>
      <c r="Y35" s="897">
        <f>1.139*1.064*1.087*1.062*1.077</f>
        <v>1.5067288922928481</v>
      </c>
      <c r="Z35" s="897"/>
      <c r="AA35" s="897"/>
      <c r="AB35" s="897"/>
      <c r="AC35" s="897"/>
      <c r="AD35" s="897"/>
      <c r="AE35" s="898">
        <f t="shared" si="40"/>
        <v>0</v>
      </c>
      <c r="AF35" s="898">
        <f>SUM(AH35:AI35)</f>
        <v>0</v>
      </c>
      <c r="AG35" s="897"/>
      <c r="AH35" s="897"/>
      <c r="AI35" s="897"/>
      <c r="AJ35" s="897">
        <f>1.139*1.064*1.087*1.062*1.077</f>
        <v>1.5067288922928481</v>
      </c>
      <c r="AK35" s="897"/>
      <c r="AL35" s="897"/>
      <c r="AM35" s="897"/>
      <c r="AN35" s="897"/>
      <c r="AO35" s="897"/>
      <c r="AP35" s="897"/>
      <c r="AQ35" s="897">
        <f>SUM(AS35:AT35)</f>
        <v>0</v>
      </c>
      <c r="AR35" s="897"/>
      <c r="AS35" s="897"/>
      <c r="AT35" s="897"/>
      <c r="AU35" s="897">
        <f>1.139*1.064*1.087*1.062*1.077</f>
        <v>1.5067288922928481</v>
      </c>
      <c r="AV35" s="897"/>
      <c r="AW35" s="897"/>
      <c r="AX35" s="897"/>
      <c r="AY35" s="897"/>
      <c r="AZ35" s="897"/>
      <c r="BA35" s="897"/>
      <c r="BB35" s="897"/>
      <c r="BC35" s="897">
        <f>SUM(BE35:BF35)</f>
        <v>0</v>
      </c>
      <c r="BD35" s="897"/>
      <c r="BE35" s="897"/>
      <c r="BF35" s="897"/>
      <c r="BG35" s="897">
        <f>1.139*1.064*1.087*1.062*1.077</f>
        <v>1.5067288922928481</v>
      </c>
      <c r="BH35" s="897"/>
      <c r="BI35" s="897"/>
      <c r="BJ35" s="897"/>
      <c r="BK35" s="897"/>
      <c r="BL35" s="897"/>
      <c r="BM35" s="897"/>
      <c r="BN35" s="897"/>
      <c r="BO35" s="898"/>
      <c r="BP35" s="898">
        <f>SUM(BR35:BS35)</f>
        <v>0</v>
      </c>
      <c r="BQ35" s="897"/>
      <c r="BR35" s="897"/>
      <c r="BS35" s="897"/>
      <c r="BT35" s="897">
        <f>1.139*1.064*1.087*1.062*1.077</f>
        <v>1.5067288922928481</v>
      </c>
      <c r="BU35" s="897"/>
      <c r="BV35" s="897"/>
      <c r="BW35" s="897"/>
      <c r="BX35" s="897"/>
      <c r="BY35" s="897"/>
      <c r="BZ35" s="897"/>
      <c r="CA35" s="897">
        <f>SUM(CC35:CD35)</f>
        <v>0</v>
      </c>
      <c r="CB35" s="897"/>
      <c r="CC35" s="897"/>
      <c r="CD35" s="897"/>
      <c r="CE35" s="897">
        <f>1.139*1.064*1.087*1.062*1.077</f>
        <v>1.5067288922928481</v>
      </c>
      <c r="CF35" s="897"/>
      <c r="CG35" s="897"/>
      <c r="CH35" s="897"/>
      <c r="CI35" s="897"/>
      <c r="CJ35" s="897"/>
      <c r="CK35" s="897"/>
      <c r="CL35" s="897"/>
      <c r="CM35" s="897">
        <f>SUM(CO35:CP35)</f>
        <v>0</v>
      </c>
      <c r="CN35" s="897"/>
      <c r="CO35" s="897"/>
      <c r="CP35" s="897"/>
      <c r="CQ35" s="897">
        <f>1.139*1.064*1.087*1.062*1.077</f>
        <v>1.5067288922928481</v>
      </c>
      <c r="CR35" s="897"/>
      <c r="CS35" s="897"/>
      <c r="CT35" s="897"/>
      <c r="CU35" s="897"/>
      <c r="CV35" s="897"/>
      <c r="CW35" s="897"/>
      <c r="CX35" s="897"/>
    </row>
    <row r="36" spans="2:102" ht="27.75" customHeight="1" collapsed="1" thickBot="1">
      <c r="B36" s="900"/>
      <c r="C36" s="901" t="s">
        <v>1168</v>
      </c>
      <c r="D36" s="902" t="s">
        <v>1128</v>
      </c>
      <c r="E36" s="903"/>
      <c r="F36" s="903"/>
      <c r="G36" s="903">
        <f>G37+G38+G39+G41</f>
        <v>100.03969357806668</v>
      </c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>
        <f>R37+R38+R39+R41</f>
        <v>32.333449766666668</v>
      </c>
      <c r="S36" s="862">
        <f>S37+S38+S39+S41</f>
        <v>67.7062438114</v>
      </c>
      <c r="T36" s="862">
        <f>T37+T38+T39+T41</f>
        <v>0</v>
      </c>
      <c r="U36" s="903">
        <f>U37+U38+U39+U41</f>
        <v>0</v>
      </c>
      <c r="V36" s="862">
        <f t="shared" ref="V36:AA36" si="54">V37+V38+V39+V41</f>
        <v>0</v>
      </c>
      <c r="W36" s="862">
        <f t="shared" si="54"/>
        <v>0</v>
      </c>
      <c r="X36" s="862">
        <f t="shared" si="54"/>
        <v>0</v>
      </c>
      <c r="Y36" s="862">
        <f t="shared" si="54"/>
        <v>0</v>
      </c>
      <c r="Z36" s="862">
        <f t="shared" si="54"/>
        <v>0</v>
      </c>
      <c r="AA36" s="862">
        <f t="shared" si="54"/>
        <v>0</v>
      </c>
      <c r="AB36" s="862">
        <f>AB37+AB38+AB39+AB41</f>
        <v>0</v>
      </c>
      <c r="AC36" s="862">
        <f t="shared" ref="AC36:CN36" si="55">AC37+AC38+AC39+AC41</f>
        <v>0</v>
      </c>
      <c r="AD36" s="862">
        <f t="shared" si="55"/>
        <v>0</v>
      </c>
      <c r="AE36" s="862">
        <f t="shared" si="55"/>
        <v>0</v>
      </c>
      <c r="AF36" s="862">
        <f t="shared" si="55"/>
        <v>0</v>
      </c>
      <c r="AG36" s="862">
        <f t="shared" si="55"/>
        <v>0</v>
      </c>
      <c r="AH36" s="862">
        <f t="shared" si="55"/>
        <v>0</v>
      </c>
      <c r="AI36" s="862">
        <f t="shared" si="55"/>
        <v>0</v>
      </c>
      <c r="AJ36" s="862">
        <f t="shared" si="55"/>
        <v>0</v>
      </c>
      <c r="AK36" s="862">
        <f t="shared" si="55"/>
        <v>0</v>
      </c>
      <c r="AL36" s="862">
        <f t="shared" si="55"/>
        <v>0</v>
      </c>
      <c r="AM36" s="862">
        <f t="shared" si="55"/>
        <v>0</v>
      </c>
      <c r="AN36" s="862">
        <f t="shared" si="55"/>
        <v>0</v>
      </c>
      <c r="AO36" s="862">
        <f t="shared" si="55"/>
        <v>0</v>
      </c>
      <c r="AP36" s="862">
        <f t="shared" si="55"/>
        <v>0</v>
      </c>
      <c r="AQ36" s="862">
        <f t="shared" si="55"/>
        <v>0</v>
      </c>
      <c r="AR36" s="862">
        <f t="shared" si="55"/>
        <v>0</v>
      </c>
      <c r="AS36" s="862">
        <f t="shared" si="55"/>
        <v>0</v>
      </c>
      <c r="AT36" s="862">
        <f t="shared" si="55"/>
        <v>0</v>
      </c>
      <c r="AU36" s="862">
        <f t="shared" si="55"/>
        <v>0</v>
      </c>
      <c r="AV36" s="862">
        <f t="shared" si="55"/>
        <v>0</v>
      </c>
      <c r="AW36" s="862">
        <f t="shared" si="55"/>
        <v>0</v>
      </c>
      <c r="AX36" s="862">
        <f t="shared" si="55"/>
        <v>0</v>
      </c>
      <c r="AY36" s="862">
        <f t="shared" si="55"/>
        <v>0</v>
      </c>
      <c r="AZ36" s="862">
        <f t="shared" si="55"/>
        <v>0</v>
      </c>
      <c r="BA36" s="862">
        <f t="shared" si="55"/>
        <v>0</v>
      </c>
      <c r="BB36" s="862">
        <f t="shared" si="55"/>
        <v>0</v>
      </c>
      <c r="BC36" s="862">
        <f t="shared" si="55"/>
        <v>0</v>
      </c>
      <c r="BD36" s="862">
        <f t="shared" si="55"/>
        <v>0</v>
      </c>
      <c r="BE36" s="862">
        <f t="shared" si="55"/>
        <v>0</v>
      </c>
      <c r="BF36" s="862">
        <f t="shared" si="55"/>
        <v>0</v>
      </c>
      <c r="BG36" s="862">
        <f t="shared" si="55"/>
        <v>0</v>
      </c>
      <c r="BH36" s="862">
        <f t="shared" si="55"/>
        <v>0</v>
      </c>
      <c r="BI36" s="862">
        <f t="shared" si="55"/>
        <v>0</v>
      </c>
      <c r="BJ36" s="862">
        <f t="shared" si="55"/>
        <v>0</v>
      </c>
      <c r="BK36" s="862">
        <f t="shared" si="55"/>
        <v>0</v>
      </c>
      <c r="BL36" s="862">
        <f t="shared" si="55"/>
        <v>0</v>
      </c>
      <c r="BM36" s="862">
        <f t="shared" si="55"/>
        <v>0</v>
      </c>
      <c r="BN36" s="862">
        <f t="shared" si="55"/>
        <v>0</v>
      </c>
      <c r="BO36" s="862">
        <f t="shared" si="55"/>
        <v>0</v>
      </c>
      <c r="BP36" s="862">
        <f t="shared" si="55"/>
        <v>0</v>
      </c>
      <c r="BQ36" s="862">
        <f t="shared" si="55"/>
        <v>0</v>
      </c>
      <c r="BR36" s="862">
        <f t="shared" si="55"/>
        <v>0</v>
      </c>
      <c r="BS36" s="862">
        <f t="shared" si="55"/>
        <v>0</v>
      </c>
      <c r="BT36" s="862">
        <f t="shared" si="55"/>
        <v>0</v>
      </c>
      <c r="BU36" s="862">
        <f t="shared" si="55"/>
        <v>0</v>
      </c>
      <c r="BV36" s="862">
        <f t="shared" si="55"/>
        <v>0</v>
      </c>
      <c r="BW36" s="862">
        <f t="shared" si="55"/>
        <v>0</v>
      </c>
      <c r="BX36" s="862">
        <f t="shared" si="55"/>
        <v>0</v>
      </c>
      <c r="BY36" s="862">
        <f t="shared" si="55"/>
        <v>0</v>
      </c>
      <c r="BZ36" s="862">
        <f t="shared" si="55"/>
        <v>0</v>
      </c>
      <c r="CA36" s="862">
        <f t="shared" si="55"/>
        <v>0</v>
      </c>
      <c r="CB36" s="862">
        <f t="shared" si="55"/>
        <v>0</v>
      </c>
      <c r="CC36" s="862">
        <f t="shared" si="55"/>
        <v>0</v>
      </c>
      <c r="CD36" s="862">
        <f t="shared" si="55"/>
        <v>0</v>
      </c>
      <c r="CE36" s="862">
        <f t="shared" si="55"/>
        <v>0</v>
      </c>
      <c r="CF36" s="862">
        <f t="shared" si="55"/>
        <v>0</v>
      </c>
      <c r="CG36" s="862">
        <f t="shared" si="55"/>
        <v>0</v>
      </c>
      <c r="CH36" s="862">
        <f t="shared" si="55"/>
        <v>0</v>
      </c>
      <c r="CI36" s="862">
        <f t="shared" si="55"/>
        <v>0</v>
      </c>
      <c r="CJ36" s="862">
        <f t="shared" si="55"/>
        <v>0</v>
      </c>
      <c r="CK36" s="862">
        <f t="shared" si="55"/>
        <v>0</v>
      </c>
      <c r="CL36" s="862">
        <f t="shared" si="55"/>
        <v>0</v>
      </c>
      <c r="CM36" s="862">
        <f t="shared" si="55"/>
        <v>0</v>
      </c>
      <c r="CN36" s="862">
        <f t="shared" si="55"/>
        <v>0</v>
      </c>
      <c r="CO36" s="862">
        <f t="shared" ref="CO36:CX36" si="56">CO37+CO38+CO39+CO41</f>
        <v>0</v>
      </c>
      <c r="CP36" s="862">
        <f t="shared" si="56"/>
        <v>0</v>
      </c>
      <c r="CQ36" s="862">
        <f t="shared" si="56"/>
        <v>0</v>
      </c>
      <c r="CR36" s="862">
        <f t="shared" si="56"/>
        <v>0</v>
      </c>
      <c r="CS36" s="862">
        <f t="shared" si="56"/>
        <v>0</v>
      </c>
      <c r="CT36" s="862">
        <f t="shared" si="56"/>
        <v>0</v>
      </c>
      <c r="CU36" s="862">
        <f t="shared" si="56"/>
        <v>0</v>
      </c>
      <c r="CV36" s="862">
        <f t="shared" si="56"/>
        <v>0</v>
      </c>
      <c r="CW36" s="862">
        <f t="shared" si="56"/>
        <v>0</v>
      </c>
      <c r="CX36" s="862">
        <f t="shared" si="56"/>
        <v>0</v>
      </c>
    </row>
    <row r="37" spans="2:102" ht="30.75" customHeight="1" thickTop="1" thickBot="1">
      <c r="B37" s="904"/>
      <c r="C37" s="905" t="s">
        <v>1169</v>
      </c>
      <c r="D37" s="906" t="s">
        <v>1128</v>
      </c>
      <c r="E37" s="907"/>
      <c r="F37" s="907"/>
      <c r="G37" s="873">
        <f>SUM(M37:T37)</f>
        <v>8.0556379236666675</v>
      </c>
      <c r="H37" s="874"/>
      <c r="I37" s="874"/>
      <c r="J37" s="874"/>
      <c r="K37" s="874"/>
      <c r="L37" s="874"/>
      <c r="M37" s="874"/>
      <c r="N37" s="874"/>
      <c r="O37" s="874"/>
      <c r="P37" s="874"/>
      <c r="Q37" s="874"/>
      <c r="R37" s="874">
        <f>(259.93*30.05)/1000/18*6</f>
        <v>2.6036321666666669</v>
      </c>
      <c r="S37" s="874">
        <f>(259.93*30.05)/1000/18*12*S13</f>
        <v>5.4520057570000002</v>
      </c>
      <c r="T37" s="874"/>
      <c r="U37" s="873">
        <f>SUM(AA37:AD37)</f>
        <v>0</v>
      </c>
      <c r="V37" s="874"/>
      <c r="W37" s="874"/>
      <c r="X37" s="874"/>
      <c r="Y37" s="874"/>
      <c r="Z37" s="874"/>
      <c r="AA37" s="874"/>
      <c r="AB37" s="874"/>
      <c r="AC37" s="874"/>
      <c r="AD37" s="874"/>
      <c r="AE37" s="874"/>
      <c r="AF37" s="874"/>
      <c r="AG37" s="874"/>
      <c r="AH37" s="874"/>
      <c r="AI37" s="874"/>
      <c r="AJ37" s="874"/>
      <c r="AK37" s="874"/>
      <c r="AL37" s="874"/>
      <c r="AM37" s="874"/>
      <c r="AN37" s="874"/>
      <c r="AO37" s="874"/>
      <c r="AP37" s="874"/>
      <c r="AQ37" s="874"/>
      <c r="AR37" s="874"/>
      <c r="AS37" s="874"/>
      <c r="AT37" s="874"/>
      <c r="AU37" s="874"/>
      <c r="AV37" s="874"/>
      <c r="AW37" s="874"/>
      <c r="AX37" s="874"/>
      <c r="AY37" s="874"/>
      <c r="AZ37" s="874"/>
      <c r="BA37" s="874"/>
      <c r="BB37" s="874"/>
      <c r="BC37" s="874"/>
      <c r="BD37" s="874"/>
      <c r="BE37" s="874"/>
      <c r="BF37" s="874"/>
      <c r="BG37" s="874"/>
      <c r="BH37" s="874"/>
      <c r="BI37" s="874"/>
      <c r="BJ37" s="874"/>
      <c r="BK37" s="874"/>
      <c r="BL37" s="874"/>
      <c r="BM37" s="874"/>
      <c r="BN37" s="874"/>
      <c r="BO37" s="874"/>
      <c r="BP37" s="874"/>
      <c r="BQ37" s="874"/>
      <c r="BR37" s="874"/>
      <c r="BS37" s="874"/>
      <c r="BT37" s="874"/>
      <c r="BU37" s="874"/>
      <c r="BV37" s="874"/>
      <c r="BW37" s="874"/>
      <c r="BX37" s="874"/>
      <c r="BY37" s="874"/>
      <c r="BZ37" s="874"/>
      <c r="CA37" s="874"/>
      <c r="CB37" s="874"/>
      <c r="CC37" s="874"/>
      <c r="CD37" s="874"/>
      <c r="CE37" s="874"/>
      <c r="CF37" s="874"/>
      <c r="CG37" s="874"/>
      <c r="CH37" s="874"/>
      <c r="CI37" s="874"/>
      <c r="CJ37" s="874"/>
      <c r="CK37" s="874"/>
      <c r="CL37" s="874"/>
      <c r="CM37" s="874"/>
      <c r="CN37" s="874"/>
      <c r="CO37" s="874"/>
      <c r="CP37" s="874"/>
      <c r="CQ37" s="874"/>
      <c r="CR37" s="874"/>
      <c r="CS37" s="874"/>
      <c r="CT37" s="874"/>
      <c r="CU37" s="874"/>
      <c r="CV37" s="874"/>
      <c r="CW37" s="874"/>
      <c r="CX37" s="874"/>
    </row>
    <row r="38" spans="2:102" ht="30.75" customHeight="1" thickTop="1" thickBot="1">
      <c r="B38" s="904"/>
      <c r="C38" s="905" t="s">
        <v>1170</v>
      </c>
      <c r="D38" s="906" t="s">
        <v>1128</v>
      </c>
      <c r="E38" s="907"/>
      <c r="F38" s="907"/>
      <c r="G38" s="873">
        <f>SUM(M38:T38)</f>
        <v>4.3335105</v>
      </c>
      <c r="H38" s="874"/>
      <c r="I38" s="874"/>
      <c r="J38" s="874"/>
      <c r="K38" s="874"/>
      <c r="L38" s="874"/>
      <c r="M38" s="874"/>
      <c r="N38" s="874"/>
      <c r="O38" s="874"/>
      <c r="P38" s="874"/>
      <c r="Q38" s="874"/>
      <c r="R38" s="874">
        <f>(144.21*30.05)/1000/18*6</f>
        <v>1.4445034999999999</v>
      </c>
      <c r="S38" s="874">
        <f>(144.21*30.05)/1000/18*12</f>
        <v>2.8890069999999999</v>
      </c>
      <c r="T38" s="874"/>
      <c r="U38" s="873">
        <f>SUM(AA38:AD38)</f>
        <v>0</v>
      </c>
      <c r="V38" s="874"/>
      <c r="W38" s="874"/>
      <c r="X38" s="874"/>
      <c r="Y38" s="874"/>
      <c r="Z38" s="874"/>
      <c r="AA38" s="874"/>
      <c r="AB38" s="874"/>
      <c r="AC38" s="874"/>
      <c r="AD38" s="874"/>
      <c r="AE38" s="874"/>
      <c r="AF38" s="874"/>
      <c r="AG38" s="874"/>
      <c r="AH38" s="874"/>
      <c r="AI38" s="874"/>
      <c r="AJ38" s="874"/>
      <c r="AK38" s="874"/>
      <c r="AL38" s="874"/>
      <c r="AM38" s="874"/>
      <c r="AN38" s="874"/>
      <c r="AO38" s="874"/>
      <c r="AP38" s="874"/>
      <c r="AQ38" s="874"/>
      <c r="AR38" s="874"/>
      <c r="AS38" s="874"/>
      <c r="AT38" s="874"/>
      <c r="AU38" s="874"/>
      <c r="AV38" s="874"/>
      <c r="AW38" s="874"/>
      <c r="AX38" s="874"/>
      <c r="AY38" s="874"/>
      <c r="AZ38" s="874"/>
      <c r="BA38" s="874"/>
      <c r="BB38" s="874"/>
      <c r="BC38" s="874"/>
      <c r="BD38" s="874"/>
      <c r="BE38" s="874"/>
      <c r="BF38" s="874"/>
      <c r="BG38" s="874"/>
      <c r="BH38" s="874"/>
      <c r="BI38" s="874"/>
      <c r="BJ38" s="874"/>
      <c r="BK38" s="874"/>
      <c r="BL38" s="874"/>
      <c r="BM38" s="874"/>
      <c r="BN38" s="874"/>
      <c r="BO38" s="874"/>
      <c r="BP38" s="874"/>
      <c r="BQ38" s="874"/>
      <c r="BR38" s="874"/>
      <c r="BS38" s="874"/>
      <c r="BT38" s="874"/>
      <c r="BU38" s="874"/>
      <c r="BV38" s="874"/>
      <c r="BW38" s="874"/>
      <c r="BX38" s="874"/>
      <c r="BY38" s="874"/>
      <c r="BZ38" s="874"/>
      <c r="CA38" s="874"/>
      <c r="CB38" s="874"/>
      <c r="CC38" s="874"/>
      <c r="CD38" s="874"/>
      <c r="CE38" s="874"/>
      <c r="CF38" s="874"/>
      <c r="CG38" s="874"/>
      <c r="CH38" s="874"/>
      <c r="CI38" s="874"/>
      <c r="CJ38" s="874"/>
      <c r="CK38" s="874"/>
      <c r="CL38" s="874"/>
      <c r="CM38" s="874"/>
      <c r="CN38" s="874"/>
      <c r="CO38" s="874"/>
      <c r="CP38" s="874"/>
      <c r="CQ38" s="874"/>
      <c r="CR38" s="874"/>
      <c r="CS38" s="874"/>
      <c r="CT38" s="874"/>
      <c r="CU38" s="874"/>
      <c r="CV38" s="874"/>
      <c r="CW38" s="874"/>
      <c r="CX38" s="874"/>
    </row>
    <row r="39" spans="2:102" ht="30.75" customHeight="1" outlineLevel="1" thickTop="1">
      <c r="B39" s="900"/>
      <c r="C39" s="909" t="s">
        <v>1171</v>
      </c>
      <c r="D39" s="902" t="s">
        <v>1128</v>
      </c>
      <c r="E39" s="903"/>
      <c r="F39" s="903"/>
      <c r="G39" s="903">
        <f>SUM(M39:T39)</f>
        <v>0</v>
      </c>
      <c r="H39" s="877"/>
      <c r="I39" s="877"/>
      <c r="J39" s="877"/>
      <c r="K39" s="877"/>
      <c r="L39" s="877"/>
      <c r="M39" s="877"/>
      <c r="N39" s="877"/>
      <c r="O39" s="877"/>
      <c r="P39" s="877"/>
      <c r="Q39" s="877"/>
      <c r="R39" s="877"/>
      <c r="S39" s="877"/>
      <c r="T39" s="877"/>
      <c r="U39" s="903">
        <f>SUM(AA39:AC39)</f>
        <v>0</v>
      </c>
      <c r="V39" s="877"/>
      <c r="W39" s="877"/>
      <c r="X39" s="877"/>
      <c r="Y39" s="877"/>
      <c r="Z39" s="877"/>
      <c r="AA39" s="877"/>
      <c r="AB39" s="877">
        <f>U99/12*4*AB13</f>
        <v>0</v>
      </c>
      <c r="AC39" s="877">
        <f>U99/12*8*AB13*AC13</f>
        <v>0</v>
      </c>
      <c r="AD39" s="877">
        <f t="shared" ref="AD39:CO39" si="57">V99/12*8*AC13*AD13</f>
        <v>0</v>
      </c>
      <c r="AE39" s="877">
        <f t="shared" si="57"/>
        <v>0</v>
      </c>
      <c r="AF39" s="877">
        <f t="shared" si="57"/>
        <v>0</v>
      </c>
      <c r="AG39" s="877">
        <f t="shared" si="57"/>
        <v>0</v>
      </c>
      <c r="AH39" s="877">
        <f t="shared" si="57"/>
        <v>0</v>
      </c>
      <c r="AI39" s="877">
        <f t="shared" si="57"/>
        <v>0</v>
      </c>
      <c r="AJ39" s="877">
        <f t="shared" si="57"/>
        <v>0</v>
      </c>
      <c r="AK39" s="877">
        <f t="shared" si="57"/>
        <v>0</v>
      </c>
      <c r="AL39" s="877">
        <f t="shared" si="57"/>
        <v>0</v>
      </c>
      <c r="AM39" s="877">
        <f t="shared" si="57"/>
        <v>0</v>
      </c>
      <c r="AN39" s="877">
        <f t="shared" si="57"/>
        <v>0</v>
      </c>
      <c r="AO39" s="877">
        <f t="shared" si="57"/>
        <v>0</v>
      </c>
      <c r="AP39" s="877">
        <f t="shared" si="57"/>
        <v>0</v>
      </c>
      <c r="AQ39" s="877">
        <f t="shared" si="57"/>
        <v>0</v>
      </c>
      <c r="AR39" s="877">
        <f t="shared" si="57"/>
        <v>0</v>
      </c>
      <c r="AS39" s="877">
        <f t="shared" si="57"/>
        <v>0</v>
      </c>
      <c r="AT39" s="877">
        <f t="shared" si="57"/>
        <v>0</v>
      </c>
      <c r="AU39" s="877">
        <f t="shared" si="57"/>
        <v>0</v>
      </c>
      <c r="AV39" s="877">
        <f t="shared" si="57"/>
        <v>0</v>
      </c>
      <c r="AW39" s="877">
        <f t="shared" si="57"/>
        <v>0</v>
      </c>
      <c r="AX39" s="877">
        <f t="shared" si="57"/>
        <v>0</v>
      </c>
      <c r="AY39" s="877">
        <f t="shared" si="57"/>
        <v>0</v>
      </c>
      <c r="AZ39" s="877">
        <f t="shared" si="57"/>
        <v>0</v>
      </c>
      <c r="BA39" s="877">
        <f t="shared" si="57"/>
        <v>0</v>
      </c>
      <c r="BB39" s="877">
        <f t="shared" si="57"/>
        <v>0</v>
      </c>
      <c r="BC39" s="877">
        <f t="shared" si="57"/>
        <v>0</v>
      </c>
      <c r="BD39" s="877">
        <f t="shared" si="57"/>
        <v>0</v>
      </c>
      <c r="BE39" s="877">
        <f t="shared" si="57"/>
        <v>0</v>
      </c>
      <c r="BF39" s="877">
        <f t="shared" si="57"/>
        <v>0</v>
      </c>
      <c r="BG39" s="877">
        <f t="shared" si="57"/>
        <v>0</v>
      </c>
      <c r="BH39" s="877">
        <f t="shared" si="57"/>
        <v>0</v>
      </c>
      <c r="BI39" s="877">
        <f t="shared" si="57"/>
        <v>0</v>
      </c>
      <c r="BJ39" s="877">
        <f t="shared" si="57"/>
        <v>0</v>
      </c>
      <c r="BK39" s="877">
        <f t="shared" si="57"/>
        <v>0</v>
      </c>
      <c r="BL39" s="877">
        <f t="shared" si="57"/>
        <v>0</v>
      </c>
      <c r="BM39" s="877">
        <f t="shared" si="57"/>
        <v>0</v>
      </c>
      <c r="BN39" s="877">
        <f t="shared" si="57"/>
        <v>0</v>
      </c>
      <c r="BO39" s="877">
        <f t="shared" si="57"/>
        <v>0</v>
      </c>
      <c r="BP39" s="877">
        <f t="shared" si="57"/>
        <v>0</v>
      </c>
      <c r="BQ39" s="877">
        <f t="shared" si="57"/>
        <v>0</v>
      </c>
      <c r="BR39" s="877">
        <f t="shared" si="57"/>
        <v>0</v>
      </c>
      <c r="BS39" s="877">
        <f t="shared" si="57"/>
        <v>0</v>
      </c>
      <c r="BT39" s="877">
        <f t="shared" si="57"/>
        <v>0</v>
      </c>
      <c r="BU39" s="877">
        <f t="shared" si="57"/>
        <v>0</v>
      </c>
      <c r="BV39" s="877">
        <f t="shared" si="57"/>
        <v>0</v>
      </c>
      <c r="BW39" s="877">
        <f t="shared" si="57"/>
        <v>0</v>
      </c>
      <c r="BX39" s="877">
        <f t="shared" si="57"/>
        <v>0</v>
      </c>
      <c r="BY39" s="877">
        <f t="shared" si="57"/>
        <v>0</v>
      </c>
      <c r="BZ39" s="877">
        <f t="shared" si="57"/>
        <v>0</v>
      </c>
      <c r="CA39" s="877">
        <f t="shared" si="57"/>
        <v>0</v>
      </c>
      <c r="CB39" s="877">
        <f t="shared" si="57"/>
        <v>0</v>
      </c>
      <c r="CC39" s="877">
        <f t="shared" si="57"/>
        <v>0</v>
      </c>
      <c r="CD39" s="877">
        <f t="shared" si="57"/>
        <v>0</v>
      </c>
      <c r="CE39" s="877">
        <f t="shared" si="57"/>
        <v>0</v>
      </c>
      <c r="CF39" s="877">
        <f t="shared" si="57"/>
        <v>0</v>
      </c>
      <c r="CG39" s="877">
        <f t="shared" si="57"/>
        <v>0</v>
      </c>
      <c r="CH39" s="877">
        <f t="shared" si="57"/>
        <v>0</v>
      </c>
      <c r="CI39" s="877">
        <f t="shared" si="57"/>
        <v>0</v>
      </c>
      <c r="CJ39" s="877">
        <f t="shared" si="57"/>
        <v>0</v>
      </c>
      <c r="CK39" s="877">
        <f t="shared" si="57"/>
        <v>0</v>
      </c>
      <c r="CL39" s="877">
        <f t="shared" si="57"/>
        <v>0</v>
      </c>
      <c r="CM39" s="877">
        <f t="shared" si="57"/>
        <v>0</v>
      </c>
      <c r="CN39" s="877">
        <f t="shared" si="57"/>
        <v>0</v>
      </c>
      <c r="CO39" s="877">
        <f t="shared" si="57"/>
        <v>0</v>
      </c>
      <c r="CP39" s="877">
        <f t="shared" ref="CP39:CX39" si="58">CH99/12*8*CO13*CP13</f>
        <v>0</v>
      </c>
      <c r="CQ39" s="877">
        <f t="shared" si="58"/>
        <v>0</v>
      </c>
      <c r="CR39" s="877">
        <f t="shared" si="58"/>
        <v>0</v>
      </c>
      <c r="CS39" s="877">
        <f t="shared" si="58"/>
        <v>0</v>
      </c>
      <c r="CT39" s="877">
        <f t="shared" si="58"/>
        <v>0</v>
      </c>
      <c r="CU39" s="877">
        <f t="shared" si="58"/>
        <v>0</v>
      </c>
      <c r="CV39" s="877">
        <f t="shared" si="58"/>
        <v>0</v>
      </c>
      <c r="CW39" s="877">
        <f t="shared" si="58"/>
        <v>0</v>
      </c>
      <c r="CX39" s="877">
        <f t="shared" si="58"/>
        <v>0</v>
      </c>
    </row>
    <row r="40" spans="2:102" ht="30.75" customHeight="1">
      <c r="B40" s="904"/>
      <c r="C40" s="905" t="s">
        <v>1172</v>
      </c>
      <c r="D40" s="906" t="s">
        <v>1128</v>
      </c>
      <c r="E40" s="907"/>
      <c r="F40" s="907"/>
      <c r="G40" s="907">
        <f>G20-G37-G38</f>
        <v>87.650545154400007</v>
      </c>
      <c r="H40" s="877"/>
      <c r="I40" s="877"/>
      <c r="J40" s="877"/>
      <c r="K40" s="877"/>
      <c r="L40" s="877"/>
      <c r="M40" s="877"/>
      <c r="N40" s="877"/>
      <c r="O40" s="877"/>
      <c r="P40" s="877"/>
      <c r="Q40" s="877"/>
      <c r="R40" s="877">
        <f>R20-R37-R38</f>
        <v>28.285314100000001</v>
      </c>
      <c r="S40" s="877">
        <f>S20-S37-S38</f>
        <v>59.365231054399999</v>
      </c>
      <c r="T40" s="877">
        <f>T20-T37-T38</f>
        <v>0</v>
      </c>
      <c r="U40" s="907">
        <f>U20-U37-U38</f>
        <v>0</v>
      </c>
      <c r="V40" s="877">
        <f t="shared" ref="V40:AA40" si="59">V20-V37-V38</f>
        <v>0</v>
      </c>
      <c r="W40" s="877">
        <f t="shared" si="59"/>
        <v>0</v>
      </c>
      <c r="X40" s="877">
        <f t="shared" si="59"/>
        <v>0</v>
      </c>
      <c r="Y40" s="877">
        <f>Y20-Y37-Y38</f>
        <v>0</v>
      </c>
      <c r="Z40" s="877">
        <f t="shared" si="59"/>
        <v>0</v>
      </c>
      <c r="AA40" s="877">
        <f t="shared" si="59"/>
        <v>0</v>
      </c>
      <c r="AB40" s="877">
        <f>AB20-AB37-AB38</f>
        <v>0</v>
      </c>
      <c r="AC40" s="877">
        <f t="shared" ref="AC40:CN40" si="60">AC20-AC37-AC38</f>
        <v>0</v>
      </c>
      <c r="AD40" s="877">
        <f t="shared" si="60"/>
        <v>0</v>
      </c>
      <c r="AE40" s="877">
        <f t="shared" si="60"/>
        <v>0</v>
      </c>
      <c r="AF40" s="877">
        <f t="shared" si="60"/>
        <v>0</v>
      </c>
      <c r="AG40" s="877">
        <f t="shared" si="60"/>
        <v>0</v>
      </c>
      <c r="AH40" s="877">
        <f t="shared" si="60"/>
        <v>0</v>
      </c>
      <c r="AI40" s="877">
        <f t="shared" si="60"/>
        <v>0</v>
      </c>
      <c r="AJ40" s="877">
        <f t="shared" si="60"/>
        <v>0</v>
      </c>
      <c r="AK40" s="877">
        <f t="shared" si="60"/>
        <v>0</v>
      </c>
      <c r="AL40" s="877">
        <f t="shared" si="60"/>
        <v>0</v>
      </c>
      <c r="AM40" s="877">
        <f t="shared" si="60"/>
        <v>0</v>
      </c>
      <c r="AN40" s="877">
        <f t="shared" si="60"/>
        <v>0</v>
      </c>
      <c r="AO40" s="877">
        <f t="shared" si="60"/>
        <v>0</v>
      </c>
      <c r="AP40" s="877">
        <f t="shared" si="60"/>
        <v>0</v>
      </c>
      <c r="AQ40" s="877">
        <f t="shared" si="60"/>
        <v>0</v>
      </c>
      <c r="AR40" s="877">
        <f t="shared" si="60"/>
        <v>0</v>
      </c>
      <c r="AS40" s="877">
        <f t="shared" si="60"/>
        <v>0</v>
      </c>
      <c r="AT40" s="877">
        <f t="shared" si="60"/>
        <v>0</v>
      </c>
      <c r="AU40" s="877">
        <f t="shared" si="60"/>
        <v>0</v>
      </c>
      <c r="AV40" s="877">
        <f t="shared" si="60"/>
        <v>0</v>
      </c>
      <c r="AW40" s="877">
        <f t="shared" si="60"/>
        <v>0</v>
      </c>
      <c r="AX40" s="877">
        <f t="shared" si="60"/>
        <v>0</v>
      </c>
      <c r="AY40" s="877">
        <f t="shared" si="60"/>
        <v>0</v>
      </c>
      <c r="AZ40" s="877">
        <f t="shared" si="60"/>
        <v>0</v>
      </c>
      <c r="BA40" s="877">
        <f t="shared" si="60"/>
        <v>0</v>
      </c>
      <c r="BB40" s="877">
        <f t="shared" si="60"/>
        <v>0</v>
      </c>
      <c r="BC40" s="877">
        <f t="shared" si="60"/>
        <v>0</v>
      </c>
      <c r="BD40" s="877">
        <f t="shared" si="60"/>
        <v>0</v>
      </c>
      <c r="BE40" s="877">
        <f t="shared" si="60"/>
        <v>0</v>
      </c>
      <c r="BF40" s="877">
        <f t="shared" si="60"/>
        <v>0</v>
      </c>
      <c r="BG40" s="877">
        <f t="shared" si="60"/>
        <v>0</v>
      </c>
      <c r="BH40" s="877">
        <f t="shared" si="60"/>
        <v>0</v>
      </c>
      <c r="BI40" s="877">
        <f t="shared" si="60"/>
        <v>0</v>
      </c>
      <c r="BJ40" s="877">
        <f t="shared" si="60"/>
        <v>0</v>
      </c>
      <c r="BK40" s="877">
        <f t="shared" si="60"/>
        <v>0</v>
      </c>
      <c r="BL40" s="877">
        <f t="shared" si="60"/>
        <v>0</v>
      </c>
      <c r="BM40" s="877">
        <f t="shared" si="60"/>
        <v>0</v>
      </c>
      <c r="BN40" s="877">
        <f t="shared" si="60"/>
        <v>0</v>
      </c>
      <c r="BO40" s="877">
        <f t="shared" si="60"/>
        <v>0</v>
      </c>
      <c r="BP40" s="877">
        <f t="shared" si="60"/>
        <v>0</v>
      </c>
      <c r="BQ40" s="877">
        <f t="shared" si="60"/>
        <v>0</v>
      </c>
      <c r="BR40" s="877">
        <f t="shared" si="60"/>
        <v>0</v>
      </c>
      <c r="BS40" s="877">
        <f t="shared" si="60"/>
        <v>0</v>
      </c>
      <c r="BT40" s="877">
        <f t="shared" si="60"/>
        <v>0</v>
      </c>
      <c r="BU40" s="877">
        <f t="shared" si="60"/>
        <v>0</v>
      </c>
      <c r="BV40" s="877">
        <f t="shared" si="60"/>
        <v>0</v>
      </c>
      <c r="BW40" s="877">
        <f t="shared" si="60"/>
        <v>0</v>
      </c>
      <c r="BX40" s="877">
        <f t="shared" si="60"/>
        <v>0</v>
      </c>
      <c r="BY40" s="877">
        <f t="shared" si="60"/>
        <v>0</v>
      </c>
      <c r="BZ40" s="877">
        <f t="shared" si="60"/>
        <v>0</v>
      </c>
      <c r="CA40" s="877">
        <f t="shared" si="60"/>
        <v>0</v>
      </c>
      <c r="CB40" s="877">
        <f t="shared" si="60"/>
        <v>0</v>
      </c>
      <c r="CC40" s="877">
        <f t="shared" si="60"/>
        <v>0</v>
      </c>
      <c r="CD40" s="877">
        <f t="shared" si="60"/>
        <v>0</v>
      </c>
      <c r="CE40" s="877">
        <f t="shared" si="60"/>
        <v>0</v>
      </c>
      <c r="CF40" s="877">
        <f t="shared" si="60"/>
        <v>0</v>
      </c>
      <c r="CG40" s="877">
        <f t="shared" si="60"/>
        <v>0</v>
      </c>
      <c r="CH40" s="877">
        <f t="shared" si="60"/>
        <v>0</v>
      </c>
      <c r="CI40" s="877">
        <f t="shared" si="60"/>
        <v>0</v>
      </c>
      <c r="CJ40" s="877">
        <f t="shared" si="60"/>
        <v>0</v>
      </c>
      <c r="CK40" s="877">
        <f t="shared" si="60"/>
        <v>0</v>
      </c>
      <c r="CL40" s="877">
        <f t="shared" si="60"/>
        <v>0</v>
      </c>
      <c r="CM40" s="877">
        <f t="shared" si="60"/>
        <v>0</v>
      </c>
      <c r="CN40" s="877">
        <f t="shared" si="60"/>
        <v>0</v>
      </c>
      <c r="CO40" s="877">
        <f t="shared" ref="CO40:CX40" si="61">CO20-CO37-CO38</f>
        <v>0</v>
      </c>
      <c r="CP40" s="877">
        <f t="shared" si="61"/>
        <v>0</v>
      </c>
      <c r="CQ40" s="877">
        <f t="shared" si="61"/>
        <v>0</v>
      </c>
      <c r="CR40" s="877">
        <f t="shared" si="61"/>
        <v>0</v>
      </c>
      <c r="CS40" s="877">
        <f t="shared" si="61"/>
        <v>0</v>
      </c>
      <c r="CT40" s="877">
        <f t="shared" si="61"/>
        <v>0</v>
      </c>
      <c r="CU40" s="877">
        <f t="shared" si="61"/>
        <v>0</v>
      </c>
      <c r="CV40" s="877">
        <f t="shared" si="61"/>
        <v>0</v>
      </c>
      <c r="CW40" s="877">
        <f t="shared" si="61"/>
        <v>0</v>
      </c>
      <c r="CX40" s="877">
        <f t="shared" si="61"/>
        <v>0</v>
      </c>
    </row>
    <row r="41" spans="2:102" ht="40.5">
      <c r="B41" s="900"/>
      <c r="C41" s="909" t="s">
        <v>1173</v>
      </c>
      <c r="D41" s="902" t="s">
        <v>1128</v>
      </c>
      <c r="E41" s="903"/>
      <c r="F41" s="903"/>
      <c r="G41" s="903">
        <f>G40-G39</f>
        <v>87.650545154400007</v>
      </c>
      <c r="H41" s="877"/>
      <c r="I41" s="877"/>
      <c r="J41" s="877"/>
      <c r="K41" s="877"/>
      <c r="L41" s="877"/>
      <c r="M41" s="877"/>
      <c r="N41" s="877"/>
      <c r="O41" s="877"/>
      <c r="P41" s="877"/>
      <c r="Q41" s="877"/>
      <c r="R41" s="877">
        <f>R40-R39</f>
        <v>28.285314100000001</v>
      </c>
      <c r="S41" s="877">
        <f>S40-S39</f>
        <v>59.365231054399999</v>
      </c>
      <c r="T41" s="877">
        <f>T40-T39</f>
        <v>0</v>
      </c>
      <c r="U41" s="903">
        <f>U40-U39</f>
        <v>0</v>
      </c>
      <c r="V41" s="877">
        <f t="shared" ref="V41:CG41" si="62">V40-V39</f>
        <v>0</v>
      </c>
      <c r="W41" s="877">
        <f t="shared" si="62"/>
        <v>0</v>
      </c>
      <c r="X41" s="877">
        <f t="shared" si="62"/>
        <v>0</v>
      </c>
      <c r="Y41" s="877">
        <f>Y40-Y39</f>
        <v>0</v>
      </c>
      <c r="Z41" s="877">
        <f t="shared" si="62"/>
        <v>0</v>
      </c>
      <c r="AA41" s="877">
        <f t="shared" si="62"/>
        <v>0</v>
      </c>
      <c r="AB41" s="877">
        <f t="shared" si="62"/>
        <v>0</v>
      </c>
      <c r="AC41" s="877">
        <f t="shared" si="62"/>
        <v>0</v>
      </c>
      <c r="AD41" s="877">
        <f t="shared" si="62"/>
        <v>0</v>
      </c>
      <c r="AE41" s="877">
        <f t="shared" si="62"/>
        <v>0</v>
      </c>
      <c r="AF41" s="877">
        <f t="shared" si="62"/>
        <v>0</v>
      </c>
      <c r="AG41" s="877">
        <f t="shared" si="62"/>
        <v>0</v>
      </c>
      <c r="AH41" s="877">
        <f t="shared" si="62"/>
        <v>0</v>
      </c>
      <c r="AI41" s="877">
        <f t="shared" si="62"/>
        <v>0</v>
      </c>
      <c r="AJ41" s="877">
        <f t="shared" si="62"/>
        <v>0</v>
      </c>
      <c r="AK41" s="877">
        <f t="shared" si="62"/>
        <v>0</v>
      </c>
      <c r="AL41" s="877">
        <f t="shared" si="62"/>
        <v>0</v>
      </c>
      <c r="AM41" s="877">
        <f t="shared" si="62"/>
        <v>0</v>
      </c>
      <c r="AN41" s="877">
        <f t="shared" si="62"/>
        <v>0</v>
      </c>
      <c r="AO41" s="877">
        <f t="shared" si="62"/>
        <v>0</v>
      </c>
      <c r="AP41" s="877">
        <f t="shared" si="62"/>
        <v>0</v>
      </c>
      <c r="AQ41" s="877">
        <f t="shared" si="62"/>
        <v>0</v>
      </c>
      <c r="AR41" s="877">
        <f t="shared" si="62"/>
        <v>0</v>
      </c>
      <c r="AS41" s="877">
        <f t="shared" si="62"/>
        <v>0</v>
      </c>
      <c r="AT41" s="877">
        <f t="shared" si="62"/>
        <v>0</v>
      </c>
      <c r="AU41" s="877">
        <f t="shared" si="62"/>
        <v>0</v>
      </c>
      <c r="AV41" s="877">
        <f t="shared" si="62"/>
        <v>0</v>
      </c>
      <c r="AW41" s="877">
        <f t="shared" si="62"/>
        <v>0</v>
      </c>
      <c r="AX41" s="877">
        <f t="shared" si="62"/>
        <v>0</v>
      </c>
      <c r="AY41" s="877">
        <f t="shared" si="62"/>
        <v>0</v>
      </c>
      <c r="AZ41" s="877">
        <f t="shared" si="62"/>
        <v>0</v>
      </c>
      <c r="BA41" s="877">
        <f t="shared" si="62"/>
        <v>0</v>
      </c>
      <c r="BB41" s="877">
        <f t="shared" si="62"/>
        <v>0</v>
      </c>
      <c r="BC41" s="877">
        <f t="shared" si="62"/>
        <v>0</v>
      </c>
      <c r="BD41" s="877">
        <f t="shared" si="62"/>
        <v>0</v>
      </c>
      <c r="BE41" s="877">
        <f t="shared" si="62"/>
        <v>0</v>
      </c>
      <c r="BF41" s="877">
        <f t="shared" si="62"/>
        <v>0</v>
      </c>
      <c r="BG41" s="877">
        <f t="shared" si="62"/>
        <v>0</v>
      </c>
      <c r="BH41" s="877">
        <f t="shared" si="62"/>
        <v>0</v>
      </c>
      <c r="BI41" s="877">
        <f t="shared" si="62"/>
        <v>0</v>
      </c>
      <c r="BJ41" s="877">
        <f t="shared" si="62"/>
        <v>0</v>
      </c>
      <c r="BK41" s="877">
        <f t="shared" si="62"/>
        <v>0</v>
      </c>
      <c r="BL41" s="877">
        <f t="shared" si="62"/>
        <v>0</v>
      </c>
      <c r="BM41" s="877">
        <f t="shared" si="62"/>
        <v>0</v>
      </c>
      <c r="BN41" s="877">
        <f t="shared" si="62"/>
        <v>0</v>
      </c>
      <c r="BO41" s="877">
        <f t="shared" si="62"/>
        <v>0</v>
      </c>
      <c r="BP41" s="877">
        <f t="shared" si="62"/>
        <v>0</v>
      </c>
      <c r="BQ41" s="877">
        <f t="shared" si="62"/>
        <v>0</v>
      </c>
      <c r="BR41" s="877">
        <f t="shared" si="62"/>
        <v>0</v>
      </c>
      <c r="BS41" s="877">
        <f t="shared" si="62"/>
        <v>0</v>
      </c>
      <c r="BT41" s="877">
        <f t="shared" si="62"/>
        <v>0</v>
      </c>
      <c r="BU41" s="877">
        <f t="shared" si="62"/>
        <v>0</v>
      </c>
      <c r="BV41" s="877">
        <f t="shared" si="62"/>
        <v>0</v>
      </c>
      <c r="BW41" s="877">
        <f t="shared" si="62"/>
        <v>0</v>
      </c>
      <c r="BX41" s="877">
        <f t="shared" si="62"/>
        <v>0</v>
      </c>
      <c r="BY41" s="877">
        <f t="shared" si="62"/>
        <v>0</v>
      </c>
      <c r="BZ41" s="877">
        <f t="shared" si="62"/>
        <v>0</v>
      </c>
      <c r="CA41" s="877">
        <f t="shared" si="62"/>
        <v>0</v>
      </c>
      <c r="CB41" s="877">
        <f t="shared" si="62"/>
        <v>0</v>
      </c>
      <c r="CC41" s="877">
        <f t="shared" si="62"/>
        <v>0</v>
      </c>
      <c r="CD41" s="877">
        <f t="shared" si="62"/>
        <v>0</v>
      </c>
      <c r="CE41" s="877">
        <f t="shared" si="62"/>
        <v>0</v>
      </c>
      <c r="CF41" s="877">
        <f t="shared" si="62"/>
        <v>0</v>
      </c>
      <c r="CG41" s="877">
        <f t="shared" si="62"/>
        <v>0</v>
      </c>
      <c r="CH41" s="877">
        <f t="shared" ref="CH41:CX41" si="63">CH40-CH39</f>
        <v>0</v>
      </c>
      <c r="CI41" s="877">
        <f t="shared" si="63"/>
        <v>0</v>
      </c>
      <c r="CJ41" s="877">
        <f t="shared" si="63"/>
        <v>0</v>
      </c>
      <c r="CK41" s="877">
        <f t="shared" si="63"/>
        <v>0</v>
      </c>
      <c r="CL41" s="877">
        <f t="shared" si="63"/>
        <v>0</v>
      </c>
      <c r="CM41" s="877">
        <f t="shared" si="63"/>
        <v>0</v>
      </c>
      <c r="CN41" s="877">
        <f t="shared" si="63"/>
        <v>0</v>
      </c>
      <c r="CO41" s="877">
        <f t="shared" si="63"/>
        <v>0</v>
      </c>
      <c r="CP41" s="877">
        <f t="shared" si="63"/>
        <v>0</v>
      </c>
      <c r="CQ41" s="877">
        <f t="shared" si="63"/>
        <v>0</v>
      </c>
      <c r="CR41" s="877">
        <f t="shared" si="63"/>
        <v>0</v>
      </c>
      <c r="CS41" s="877">
        <f t="shared" si="63"/>
        <v>0</v>
      </c>
      <c r="CT41" s="877">
        <f t="shared" si="63"/>
        <v>0</v>
      </c>
      <c r="CU41" s="877">
        <f t="shared" si="63"/>
        <v>0</v>
      </c>
      <c r="CV41" s="877">
        <f t="shared" si="63"/>
        <v>0</v>
      </c>
      <c r="CW41" s="877">
        <f t="shared" si="63"/>
        <v>0</v>
      </c>
      <c r="CX41" s="877">
        <f t="shared" si="63"/>
        <v>0</v>
      </c>
    </row>
    <row r="42" spans="2:102" ht="20.25" hidden="1" customHeight="1" outlineLevel="1">
      <c r="B42" s="904"/>
      <c r="C42" s="905" t="s">
        <v>1174</v>
      </c>
      <c r="D42" s="906" t="s">
        <v>1128</v>
      </c>
      <c r="E42" s="907"/>
      <c r="F42" s="907"/>
      <c r="G42" s="907">
        <f>G36*1.2</f>
        <v>120.04763229368001</v>
      </c>
      <c r="H42" s="877"/>
      <c r="I42" s="877"/>
      <c r="J42" s="877"/>
      <c r="K42" s="877"/>
      <c r="L42" s="877"/>
      <c r="M42" s="877"/>
      <c r="N42" s="877"/>
      <c r="O42" s="877"/>
      <c r="P42" s="877"/>
      <c r="Q42" s="877"/>
      <c r="R42" s="877"/>
      <c r="S42" s="877"/>
      <c r="T42" s="877"/>
      <c r="U42" s="907">
        <f>U36*1.2</f>
        <v>0</v>
      </c>
      <c r="V42" s="877">
        <f t="shared" ref="V42:AA42" si="64">V36*1.18</f>
        <v>0</v>
      </c>
      <c r="W42" s="877">
        <f t="shared" si="64"/>
        <v>0</v>
      </c>
      <c r="X42" s="877">
        <f t="shared" si="64"/>
        <v>0</v>
      </c>
      <c r="Y42" s="877">
        <f t="shared" si="64"/>
        <v>0</v>
      </c>
      <c r="Z42" s="877">
        <f t="shared" si="64"/>
        <v>0</v>
      </c>
      <c r="AA42" s="877">
        <f t="shared" si="64"/>
        <v>0</v>
      </c>
      <c r="AB42" s="877">
        <f>AB36*1.2</f>
        <v>0</v>
      </c>
      <c r="AC42" s="877">
        <f>AC36*1.2</f>
        <v>0</v>
      </c>
      <c r="AD42" s="877">
        <f t="shared" ref="AD42:CO42" si="65">AD36*1.2</f>
        <v>0</v>
      </c>
      <c r="AE42" s="877">
        <f t="shared" si="65"/>
        <v>0</v>
      </c>
      <c r="AF42" s="877">
        <f t="shared" si="65"/>
        <v>0</v>
      </c>
      <c r="AG42" s="877">
        <f t="shared" si="65"/>
        <v>0</v>
      </c>
      <c r="AH42" s="877">
        <f t="shared" si="65"/>
        <v>0</v>
      </c>
      <c r="AI42" s="877">
        <f t="shared" si="65"/>
        <v>0</v>
      </c>
      <c r="AJ42" s="877">
        <f t="shared" si="65"/>
        <v>0</v>
      </c>
      <c r="AK42" s="877">
        <f t="shared" si="65"/>
        <v>0</v>
      </c>
      <c r="AL42" s="877">
        <f t="shared" si="65"/>
        <v>0</v>
      </c>
      <c r="AM42" s="877">
        <f t="shared" si="65"/>
        <v>0</v>
      </c>
      <c r="AN42" s="877">
        <f t="shared" si="65"/>
        <v>0</v>
      </c>
      <c r="AO42" s="877">
        <f t="shared" si="65"/>
        <v>0</v>
      </c>
      <c r="AP42" s="877">
        <f t="shared" si="65"/>
        <v>0</v>
      </c>
      <c r="AQ42" s="877">
        <f t="shared" si="65"/>
        <v>0</v>
      </c>
      <c r="AR42" s="877">
        <f t="shared" si="65"/>
        <v>0</v>
      </c>
      <c r="AS42" s="877">
        <f t="shared" si="65"/>
        <v>0</v>
      </c>
      <c r="AT42" s="877">
        <f t="shared" si="65"/>
        <v>0</v>
      </c>
      <c r="AU42" s="877">
        <f t="shared" si="65"/>
        <v>0</v>
      </c>
      <c r="AV42" s="877">
        <f t="shared" si="65"/>
        <v>0</v>
      </c>
      <c r="AW42" s="877">
        <f t="shared" si="65"/>
        <v>0</v>
      </c>
      <c r="AX42" s="877">
        <f t="shared" si="65"/>
        <v>0</v>
      </c>
      <c r="AY42" s="877">
        <f t="shared" si="65"/>
        <v>0</v>
      </c>
      <c r="AZ42" s="877">
        <f t="shared" si="65"/>
        <v>0</v>
      </c>
      <c r="BA42" s="877">
        <f t="shared" si="65"/>
        <v>0</v>
      </c>
      <c r="BB42" s="877">
        <f t="shared" si="65"/>
        <v>0</v>
      </c>
      <c r="BC42" s="877">
        <f t="shared" si="65"/>
        <v>0</v>
      </c>
      <c r="BD42" s="877">
        <f t="shared" si="65"/>
        <v>0</v>
      </c>
      <c r="BE42" s="877">
        <f t="shared" si="65"/>
        <v>0</v>
      </c>
      <c r="BF42" s="877">
        <f t="shared" si="65"/>
        <v>0</v>
      </c>
      <c r="BG42" s="877">
        <f t="shared" si="65"/>
        <v>0</v>
      </c>
      <c r="BH42" s="877">
        <f t="shared" si="65"/>
        <v>0</v>
      </c>
      <c r="BI42" s="877">
        <f t="shared" si="65"/>
        <v>0</v>
      </c>
      <c r="BJ42" s="877">
        <f t="shared" si="65"/>
        <v>0</v>
      </c>
      <c r="BK42" s="877">
        <f t="shared" si="65"/>
        <v>0</v>
      </c>
      <c r="BL42" s="877">
        <f t="shared" si="65"/>
        <v>0</v>
      </c>
      <c r="BM42" s="877">
        <f t="shared" si="65"/>
        <v>0</v>
      </c>
      <c r="BN42" s="877">
        <f t="shared" si="65"/>
        <v>0</v>
      </c>
      <c r="BO42" s="877">
        <f t="shared" si="65"/>
        <v>0</v>
      </c>
      <c r="BP42" s="877">
        <f t="shared" si="65"/>
        <v>0</v>
      </c>
      <c r="BQ42" s="877">
        <f t="shared" si="65"/>
        <v>0</v>
      </c>
      <c r="BR42" s="877">
        <f t="shared" si="65"/>
        <v>0</v>
      </c>
      <c r="BS42" s="877">
        <f t="shared" si="65"/>
        <v>0</v>
      </c>
      <c r="BT42" s="877">
        <f t="shared" si="65"/>
        <v>0</v>
      </c>
      <c r="BU42" s="877">
        <f t="shared" si="65"/>
        <v>0</v>
      </c>
      <c r="BV42" s="877">
        <f t="shared" si="65"/>
        <v>0</v>
      </c>
      <c r="BW42" s="877">
        <f t="shared" si="65"/>
        <v>0</v>
      </c>
      <c r="BX42" s="877">
        <f t="shared" si="65"/>
        <v>0</v>
      </c>
      <c r="BY42" s="877">
        <f t="shared" si="65"/>
        <v>0</v>
      </c>
      <c r="BZ42" s="877">
        <f t="shared" si="65"/>
        <v>0</v>
      </c>
      <c r="CA42" s="877">
        <f t="shared" si="65"/>
        <v>0</v>
      </c>
      <c r="CB42" s="877">
        <f t="shared" si="65"/>
        <v>0</v>
      </c>
      <c r="CC42" s="877">
        <f t="shared" si="65"/>
        <v>0</v>
      </c>
      <c r="CD42" s="877">
        <f t="shared" si="65"/>
        <v>0</v>
      </c>
      <c r="CE42" s="877">
        <f t="shared" si="65"/>
        <v>0</v>
      </c>
      <c r="CF42" s="877">
        <f t="shared" si="65"/>
        <v>0</v>
      </c>
      <c r="CG42" s="877">
        <f t="shared" si="65"/>
        <v>0</v>
      </c>
      <c r="CH42" s="877">
        <f t="shared" si="65"/>
        <v>0</v>
      </c>
      <c r="CI42" s="877">
        <f t="shared" si="65"/>
        <v>0</v>
      </c>
      <c r="CJ42" s="877">
        <f t="shared" si="65"/>
        <v>0</v>
      </c>
      <c r="CK42" s="877">
        <f t="shared" si="65"/>
        <v>0</v>
      </c>
      <c r="CL42" s="877">
        <f t="shared" si="65"/>
        <v>0</v>
      </c>
      <c r="CM42" s="877">
        <f t="shared" si="65"/>
        <v>0</v>
      </c>
      <c r="CN42" s="877">
        <f t="shared" si="65"/>
        <v>0</v>
      </c>
      <c r="CO42" s="877">
        <f t="shared" si="65"/>
        <v>0</v>
      </c>
      <c r="CP42" s="877">
        <f t="shared" ref="CP42:CX42" si="66">CP36*1.2</f>
        <v>0</v>
      </c>
      <c r="CQ42" s="877">
        <f t="shared" si="66"/>
        <v>0</v>
      </c>
      <c r="CR42" s="877">
        <f t="shared" si="66"/>
        <v>0</v>
      </c>
      <c r="CS42" s="877">
        <f t="shared" si="66"/>
        <v>0</v>
      </c>
      <c r="CT42" s="877">
        <f t="shared" si="66"/>
        <v>0</v>
      </c>
      <c r="CU42" s="877">
        <f t="shared" si="66"/>
        <v>0</v>
      </c>
      <c r="CV42" s="877">
        <f t="shared" si="66"/>
        <v>0</v>
      </c>
      <c r="CW42" s="877">
        <f t="shared" si="66"/>
        <v>0</v>
      </c>
      <c r="CX42" s="877">
        <f t="shared" si="66"/>
        <v>0</v>
      </c>
    </row>
    <row r="43" spans="2:102" ht="31.5" customHeight="1" collapsed="1">
      <c r="B43" s="866" t="s">
        <v>1175</v>
      </c>
      <c r="C43" s="867" t="s">
        <v>1176</v>
      </c>
      <c r="D43" s="868" t="s">
        <v>1128</v>
      </c>
      <c r="E43" s="869">
        <f>F43+AE43</f>
        <v>0</v>
      </c>
      <c r="F43" s="869">
        <f>F44+F45</f>
        <v>0</v>
      </c>
      <c r="G43" s="869">
        <f>G44+G45</f>
        <v>0</v>
      </c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9">
        <f>U44+U45</f>
        <v>0</v>
      </c>
      <c r="V43" s="862">
        <f t="shared" ref="V43:AA43" si="67">V44+V45</f>
        <v>0</v>
      </c>
      <c r="W43" s="862">
        <f t="shared" si="67"/>
        <v>0</v>
      </c>
      <c r="X43" s="862">
        <f t="shared" si="67"/>
        <v>0</v>
      </c>
      <c r="Y43" s="862">
        <f t="shared" si="67"/>
        <v>0</v>
      </c>
      <c r="Z43" s="862">
        <f t="shared" si="67"/>
        <v>0</v>
      </c>
      <c r="AA43" s="862">
        <f t="shared" si="67"/>
        <v>0</v>
      </c>
      <c r="AB43" s="862">
        <f>AB44+AB45</f>
        <v>0</v>
      </c>
      <c r="AC43" s="862">
        <f t="shared" ref="AC43:CN43" si="68">AC44+AC45</f>
        <v>0</v>
      </c>
      <c r="AD43" s="862">
        <f t="shared" si="68"/>
        <v>0</v>
      </c>
      <c r="AE43" s="862">
        <f t="shared" si="68"/>
        <v>0</v>
      </c>
      <c r="AF43" s="862">
        <f t="shared" si="68"/>
        <v>0</v>
      </c>
      <c r="AG43" s="862">
        <f t="shared" si="68"/>
        <v>0</v>
      </c>
      <c r="AH43" s="862">
        <f t="shared" si="68"/>
        <v>0</v>
      </c>
      <c r="AI43" s="862">
        <f t="shared" si="68"/>
        <v>0</v>
      </c>
      <c r="AJ43" s="862">
        <f t="shared" si="68"/>
        <v>0</v>
      </c>
      <c r="AK43" s="862">
        <f t="shared" si="68"/>
        <v>0</v>
      </c>
      <c r="AL43" s="862">
        <f t="shared" si="68"/>
        <v>0</v>
      </c>
      <c r="AM43" s="862">
        <f t="shared" si="68"/>
        <v>0</v>
      </c>
      <c r="AN43" s="862">
        <f t="shared" si="68"/>
        <v>0</v>
      </c>
      <c r="AO43" s="862">
        <f t="shared" si="68"/>
        <v>0</v>
      </c>
      <c r="AP43" s="862">
        <f t="shared" si="68"/>
        <v>0</v>
      </c>
      <c r="AQ43" s="862">
        <f t="shared" si="68"/>
        <v>0</v>
      </c>
      <c r="AR43" s="862">
        <f t="shared" si="68"/>
        <v>0</v>
      </c>
      <c r="AS43" s="862">
        <f t="shared" si="68"/>
        <v>0</v>
      </c>
      <c r="AT43" s="862">
        <f t="shared" si="68"/>
        <v>0</v>
      </c>
      <c r="AU43" s="862">
        <f t="shared" si="68"/>
        <v>0</v>
      </c>
      <c r="AV43" s="862">
        <f t="shared" si="68"/>
        <v>0</v>
      </c>
      <c r="AW43" s="862">
        <f t="shared" si="68"/>
        <v>0</v>
      </c>
      <c r="AX43" s="862">
        <f t="shared" si="68"/>
        <v>0</v>
      </c>
      <c r="AY43" s="862">
        <f t="shared" si="68"/>
        <v>0</v>
      </c>
      <c r="AZ43" s="862">
        <f t="shared" si="68"/>
        <v>0</v>
      </c>
      <c r="BA43" s="862">
        <f t="shared" si="68"/>
        <v>0</v>
      </c>
      <c r="BB43" s="862">
        <f t="shared" si="68"/>
        <v>0</v>
      </c>
      <c r="BC43" s="862">
        <f t="shared" si="68"/>
        <v>0</v>
      </c>
      <c r="BD43" s="862">
        <f t="shared" si="68"/>
        <v>0</v>
      </c>
      <c r="BE43" s="862">
        <f t="shared" si="68"/>
        <v>0</v>
      </c>
      <c r="BF43" s="862">
        <f t="shared" si="68"/>
        <v>0</v>
      </c>
      <c r="BG43" s="862">
        <f t="shared" si="68"/>
        <v>0</v>
      </c>
      <c r="BH43" s="862">
        <f t="shared" si="68"/>
        <v>0</v>
      </c>
      <c r="BI43" s="862">
        <f t="shared" si="68"/>
        <v>0</v>
      </c>
      <c r="BJ43" s="862">
        <f t="shared" si="68"/>
        <v>0</v>
      </c>
      <c r="BK43" s="862">
        <f t="shared" si="68"/>
        <v>0</v>
      </c>
      <c r="BL43" s="862">
        <f t="shared" si="68"/>
        <v>0</v>
      </c>
      <c r="BM43" s="862">
        <f t="shared" si="68"/>
        <v>0</v>
      </c>
      <c r="BN43" s="862">
        <f t="shared" si="68"/>
        <v>0</v>
      </c>
      <c r="BO43" s="862">
        <f t="shared" si="68"/>
        <v>0</v>
      </c>
      <c r="BP43" s="862">
        <f t="shared" si="68"/>
        <v>0</v>
      </c>
      <c r="BQ43" s="862">
        <f t="shared" si="68"/>
        <v>0</v>
      </c>
      <c r="BR43" s="862">
        <f t="shared" si="68"/>
        <v>0</v>
      </c>
      <c r="BS43" s="862">
        <f t="shared" si="68"/>
        <v>0</v>
      </c>
      <c r="BT43" s="862">
        <f t="shared" si="68"/>
        <v>0</v>
      </c>
      <c r="BU43" s="862">
        <f t="shared" si="68"/>
        <v>0</v>
      </c>
      <c r="BV43" s="862">
        <f t="shared" si="68"/>
        <v>0</v>
      </c>
      <c r="BW43" s="862">
        <f t="shared" si="68"/>
        <v>0</v>
      </c>
      <c r="BX43" s="862">
        <f t="shared" si="68"/>
        <v>0</v>
      </c>
      <c r="BY43" s="862">
        <f t="shared" si="68"/>
        <v>0</v>
      </c>
      <c r="BZ43" s="862">
        <f t="shared" si="68"/>
        <v>0</v>
      </c>
      <c r="CA43" s="862">
        <f t="shared" si="68"/>
        <v>0</v>
      </c>
      <c r="CB43" s="862">
        <f t="shared" si="68"/>
        <v>0</v>
      </c>
      <c r="CC43" s="862">
        <f t="shared" si="68"/>
        <v>0</v>
      </c>
      <c r="CD43" s="862">
        <f t="shared" si="68"/>
        <v>0</v>
      </c>
      <c r="CE43" s="862">
        <f t="shared" si="68"/>
        <v>0</v>
      </c>
      <c r="CF43" s="862">
        <f t="shared" si="68"/>
        <v>0</v>
      </c>
      <c r="CG43" s="862">
        <f t="shared" si="68"/>
        <v>0</v>
      </c>
      <c r="CH43" s="862">
        <f t="shared" si="68"/>
        <v>0</v>
      </c>
      <c r="CI43" s="862">
        <f t="shared" si="68"/>
        <v>0</v>
      </c>
      <c r="CJ43" s="862">
        <f t="shared" si="68"/>
        <v>0</v>
      </c>
      <c r="CK43" s="862">
        <f t="shared" si="68"/>
        <v>0</v>
      </c>
      <c r="CL43" s="862">
        <f t="shared" si="68"/>
        <v>0</v>
      </c>
      <c r="CM43" s="862">
        <f t="shared" si="68"/>
        <v>0</v>
      </c>
      <c r="CN43" s="862">
        <f t="shared" si="68"/>
        <v>0</v>
      </c>
      <c r="CO43" s="862">
        <f t="shared" ref="CO43:CX43" si="69">CO44+CO45</f>
        <v>0</v>
      </c>
      <c r="CP43" s="862">
        <f t="shared" si="69"/>
        <v>0</v>
      </c>
      <c r="CQ43" s="862">
        <f t="shared" si="69"/>
        <v>0</v>
      </c>
      <c r="CR43" s="862">
        <f t="shared" si="69"/>
        <v>0</v>
      </c>
      <c r="CS43" s="862">
        <f t="shared" si="69"/>
        <v>0</v>
      </c>
      <c r="CT43" s="862">
        <f t="shared" si="69"/>
        <v>0</v>
      </c>
      <c r="CU43" s="862">
        <f t="shared" si="69"/>
        <v>0</v>
      </c>
      <c r="CV43" s="862">
        <f t="shared" si="69"/>
        <v>0</v>
      </c>
      <c r="CW43" s="862">
        <f t="shared" si="69"/>
        <v>0</v>
      </c>
      <c r="CX43" s="862">
        <f t="shared" si="69"/>
        <v>0</v>
      </c>
    </row>
    <row r="44" spans="2:102" ht="21" hidden="1" customHeight="1" thickBot="1">
      <c r="B44" s="870" t="s">
        <v>1177</v>
      </c>
      <c r="C44" s="871" t="s">
        <v>1178</v>
      </c>
      <c r="D44" s="872" t="s">
        <v>1128</v>
      </c>
      <c r="E44" s="869"/>
      <c r="F44" s="869"/>
      <c r="G44" s="869"/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77"/>
      <c r="T44" s="877"/>
      <c r="U44" s="869"/>
      <c r="V44" s="877"/>
      <c r="W44" s="877"/>
      <c r="X44" s="877"/>
      <c r="Y44" s="877"/>
      <c r="Z44" s="877"/>
      <c r="AA44" s="877"/>
      <c r="AB44" s="877"/>
      <c r="AC44" s="877"/>
      <c r="AD44" s="877"/>
      <c r="AE44" s="877"/>
      <c r="AF44" s="877"/>
      <c r="AG44" s="877"/>
      <c r="AH44" s="877"/>
      <c r="AI44" s="877"/>
      <c r="AJ44" s="877"/>
      <c r="AK44" s="877"/>
      <c r="AL44" s="877"/>
      <c r="AM44" s="877"/>
      <c r="AN44" s="877"/>
      <c r="AO44" s="877"/>
      <c r="AP44" s="877"/>
      <c r="AQ44" s="877"/>
      <c r="AR44" s="877"/>
      <c r="AS44" s="877"/>
      <c r="AT44" s="877"/>
      <c r="AU44" s="877"/>
      <c r="AV44" s="877"/>
      <c r="AW44" s="877"/>
      <c r="AX44" s="877"/>
      <c r="AY44" s="877"/>
      <c r="AZ44" s="877"/>
      <c r="BA44" s="877"/>
      <c r="BB44" s="877"/>
      <c r="BC44" s="877"/>
      <c r="BD44" s="877"/>
      <c r="BE44" s="877"/>
      <c r="BF44" s="877"/>
      <c r="BG44" s="877"/>
      <c r="BH44" s="877"/>
      <c r="BI44" s="877"/>
      <c r="BJ44" s="877"/>
      <c r="BK44" s="877"/>
      <c r="BL44" s="877"/>
      <c r="BM44" s="877"/>
      <c r="BN44" s="877"/>
      <c r="BO44" s="877"/>
      <c r="BP44" s="877"/>
      <c r="BQ44" s="877"/>
      <c r="BR44" s="877"/>
      <c r="BS44" s="877"/>
      <c r="BT44" s="877"/>
      <c r="BU44" s="877"/>
      <c r="BV44" s="877"/>
      <c r="BW44" s="877"/>
      <c r="BX44" s="877"/>
      <c r="BY44" s="877"/>
      <c r="BZ44" s="877"/>
      <c r="CA44" s="877"/>
      <c r="CB44" s="877"/>
      <c r="CC44" s="877"/>
      <c r="CD44" s="877"/>
      <c r="CE44" s="877"/>
      <c r="CF44" s="877"/>
      <c r="CG44" s="877"/>
      <c r="CH44" s="877"/>
      <c r="CI44" s="877"/>
      <c r="CJ44" s="877"/>
      <c r="CK44" s="877"/>
      <c r="CL44" s="877"/>
      <c r="CM44" s="877"/>
      <c r="CN44" s="877"/>
      <c r="CO44" s="877"/>
      <c r="CP44" s="877"/>
      <c r="CQ44" s="877"/>
      <c r="CR44" s="877"/>
      <c r="CS44" s="877"/>
      <c r="CT44" s="877"/>
      <c r="CU44" s="877"/>
      <c r="CV44" s="877"/>
      <c r="CW44" s="877"/>
      <c r="CX44" s="877"/>
    </row>
    <row r="45" spans="2:102" ht="20.25" hidden="1" customHeight="1" outlineLevel="1">
      <c r="B45" s="870" t="s">
        <v>1179</v>
      </c>
      <c r="C45" s="871" t="s">
        <v>1180</v>
      </c>
      <c r="D45" s="872" t="s">
        <v>1128</v>
      </c>
      <c r="E45" s="869">
        <f>F45+AE45</f>
        <v>0</v>
      </c>
      <c r="F45" s="869">
        <f>G45+U45</f>
        <v>0</v>
      </c>
      <c r="G45" s="912">
        <f>SUM(M45:O45)</f>
        <v>0</v>
      </c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877"/>
      <c r="S45" s="877"/>
      <c r="T45" s="877"/>
      <c r="U45" s="869">
        <f>SUM(AA45:AB45)</f>
        <v>0</v>
      </c>
      <c r="V45" s="877"/>
      <c r="W45" s="877"/>
      <c r="X45" s="877"/>
      <c r="Y45" s="877"/>
      <c r="Z45" s="877"/>
      <c r="AA45" s="877"/>
      <c r="AB45" s="877"/>
      <c r="AC45" s="877"/>
      <c r="AD45" s="877"/>
      <c r="AE45" s="877"/>
      <c r="AF45" s="877"/>
      <c r="AG45" s="877"/>
      <c r="AH45" s="877"/>
      <c r="AI45" s="877"/>
      <c r="AJ45" s="877"/>
      <c r="AK45" s="877"/>
      <c r="AL45" s="877"/>
      <c r="AM45" s="877"/>
      <c r="AN45" s="877"/>
      <c r="AO45" s="877"/>
      <c r="AP45" s="877"/>
      <c r="AQ45" s="877"/>
      <c r="AR45" s="877"/>
      <c r="AS45" s="877"/>
      <c r="AT45" s="877"/>
      <c r="AU45" s="877"/>
      <c r="AV45" s="877"/>
      <c r="AW45" s="877"/>
      <c r="AX45" s="877"/>
      <c r="AY45" s="877"/>
      <c r="AZ45" s="877"/>
      <c r="BA45" s="877"/>
      <c r="BB45" s="877"/>
      <c r="BC45" s="877"/>
      <c r="BD45" s="877"/>
      <c r="BE45" s="877"/>
      <c r="BF45" s="877"/>
      <c r="BG45" s="877"/>
      <c r="BH45" s="877"/>
      <c r="BI45" s="877"/>
      <c r="BJ45" s="877"/>
      <c r="BK45" s="877"/>
      <c r="BL45" s="877"/>
      <c r="BM45" s="877"/>
      <c r="BN45" s="877"/>
      <c r="BO45" s="877"/>
      <c r="BP45" s="877"/>
      <c r="BQ45" s="877"/>
      <c r="BR45" s="877"/>
      <c r="BS45" s="877"/>
      <c r="BT45" s="877"/>
      <c r="BU45" s="877"/>
      <c r="BV45" s="877"/>
      <c r="BW45" s="877"/>
      <c r="BX45" s="877"/>
      <c r="BY45" s="877"/>
      <c r="BZ45" s="877"/>
      <c r="CA45" s="877"/>
      <c r="CB45" s="877"/>
      <c r="CC45" s="877"/>
      <c r="CD45" s="877"/>
      <c r="CE45" s="877"/>
      <c r="CF45" s="877"/>
      <c r="CG45" s="877"/>
      <c r="CH45" s="877"/>
      <c r="CI45" s="877"/>
      <c r="CJ45" s="877"/>
      <c r="CK45" s="877"/>
      <c r="CL45" s="877"/>
      <c r="CM45" s="877"/>
      <c r="CN45" s="877"/>
      <c r="CO45" s="877"/>
      <c r="CP45" s="877"/>
      <c r="CQ45" s="877"/>
      <c r="CR45" s="877"/>
      <c r="CS45" s="877"/>
      <c r="CT45" s="877"/>
      <c r="CU45" s="877"/>
      <c r="CV45" s="877"/>
      <c r="CW45" s="877"/>
      <c r="CX45" s="877"/>
    </row>
    <row r="46" spans="2:102" ht="30" customHeight="1" collapsed="1">
      <c r="B46" s="866" t="s">
        <v>1181</v>
      </c>
      <c r="C46" s="867" t="s">
        <v>1182</v>
      </c>
      <c r="D46" s="842" t="s">
        <v>1128</v>
      </c>
      <c r="E46" s="869">
        <f>F46+AE46</f>
        <v>25.009923394516669</v>
      </c>
      <c r="F46" s="869">
        <f>G46+U46</f>
        <v>25.009923394516669</v>
      </c>
      <c r="G46" s="869">
        <f>G16/80%*20%+G45/80%*20%</f>
        <v>25.009923394516669</v>
      </c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>
        <f>R16/80%*20%+R45/80%*20%</f>
        <v>8.083362441666667</v>
      </c>
      <c r="S46" s="862">
        <f>S16/80%*20%+S45/80%*20%</f>
        <v>16.92656095285</v>
      </c>
      <c r="T46" s="862">
        <f>T16/80%*20%+T45/80%*20%</f>
        <v>0</v>
      </c>
      <c r="U46" s="869">
        <f>U16/80%*20%+U45/80%*20%</f>
        <v>0</v>
      </c>
      <c r="V46" s="862">
        <f t="shared" ref="V46:CG46" si="70">V16/80%*20%+V45/80%*20%</f>
        <v>0</v>
      </c>
      <c r="W46" s="862">
        <f t="shared" si="70"/>
        <v>0</v>
      </c>
      <c r="X46" s="862">
        <f t="shared" si="70"/>
        <v>0</v>
      </c>
      <c r="Y46" s="862">
        <f t="shared" si="70"/>
        <v>0</v>
      </c>
      <c r="Z46" s="862">
        <f t="shared" si="70"/>
        <v>0</v>
      </c>
      <c r="AA46" s="862">
        <f t="shared" si="70"/>
        <v>0</v>
      </c>
      <c r="AB46" s="862">
        <f t="shared" si="70"/>
        <v>0</v>
      </c>
      <c r="AC46" s="862">
        <f t="shared" si="70"/>
        <v>0</v>
      </c>
      <c r="AD46" s="862">
        <f t="shared" si="70"/>
        <v>0</v>
      </c>
      <c r="AE46" s="862">
        <f t="shared" si="70"/>
        <v>0</v>
      </c>
      <c r="AF46" s="862">
        <f t="shared" si="70"/>
        <v>0</v>
      </c>
      <c r="AG46" s="862">
        <f t="shared" si="70"/>
        <v>0</v>
      </c>
      <c r="AH46" s="862">
        <f t="shared" si="70"/>
        <v>0</v>
      </c>
      <c r="AI46" s="862">
        <f t="shared" si="70"/>
        <v>0</v>
      </c>
      <c r="AJ46" s="862">
        <f t="shared" si="70"/>
        <v>0</v>
      </c>
      <c r="AK46" s="862">
        <f t="shared" si="70"/>
        <v>0</v>
      </c>
      <c r="AL46" s="862">
        <f t="shared" si="70"/>
        <v>0</v>
      </c>
      <c r="AM46" s="862">
        <f t="shared" si="70"/>
        <v>0</v>
      </c>
      <c r="AN46" s="862">
        <f t="shared" si="70"/>
        <v>0</v>
      </c>
      <c r="AO46" s="862">
        <f t="shared" si="70"/>
        <v>0</v>
      </c>
      <c r="AP46" s="862">
        <f t="shared" si="70"/>
        <v>0</v>
      </c>
      <c r="AQ46" s="862">
        <f t="shared" si="70"/>
        <v>0</v>
      </c>
      <c r="AR46" s="862">
        <f t="shared" si="70"/>
        <v>0</v>
      </c>
      <c r="AS46" s="862">
        <f t="shared" si="70"/>
        <v>0</v>
      </c>
      <c r="AT46" s="862">
        <f t="shared" si="70"/>
        <v>0</v>
      </c>
      <c r="AU46" s="862">
        <f t="shared" si="70"/>
        <v>0</v>
      </c>
      <c r="AV46" s="862">
        <f t="shared" si="70"/>
        <v>0</v>
      </c>
      <c r="AW46" s="862">
        <f t="shared" si="70"/>
        <v>0</v>
      </c>
      <c r="AX46" s="862">
        <f t="shared" si="70"/>
        <v>0</v>
      </c>
      <c r="AY46" s="862">
        <f t="shared" si="70"/>
        <v>0</v>
      </c>
      <c r="AZ46" s="862">
        <f t="shared" si="70"/>
        <v>0</v>
      </c>
      <c r="BA46" s="862">
        <f t="shared" si="70"/>
        <v>0</v>
      </c>
      <c r="BB46" s="862">
        <f t="shared" si="70"/>
        <v>0</v>
      </c>
      <c r="BC46" s="862">
        <f t="shared" si="70"/>
        <v>0</v>
      </c>
      <c r="BD46" s="862">
        <f t="shared" si="70"/>
        <v>0</v>
      </c>
      <c r="BE46" s="862">
        <f t="shared" si="70"/>
        <v>0</v>
      </c>
      <c r="BF46" s="862">
        <f t="shared" si="70"/>
        <v>0</v>
      </c>
      <c r="BG46" s="862">
        <f t="shared" si="70"/>
        <v>0</v>
      </c>
      <c r="BH46" s="862">
        <f t="shared" si="70"/>
        <v>0</v>
      </c>
      <c r="BI46" s="862">
        <f t="shared" si="70"/>
        <v>0</v>
      </c>
      <c r="BJ46" s="862">
        <f t="shared" si="70"/>
        <v>0</v>
      </c>
      <c r="BK46" s="862">
        <f t="shared" si="70"/>
        <v>0</v>
      </c>
      <c r="BL46" s="862">
        <f t="shared" si="70"/>
        <v>0</v>
      </c>
      <c r="BM46" s="862">
        <f t="shared" si="70"/>
        <v>0</v>
      </c>
      <c r="BN46" s="862">
        <f t="shared" si="70"/>
        <v>0</v>
      </c>
      <c r="BO46" s="862">
        <f t="shared" si="70"/>
        <v>0</v>
      </c>
      <c r="BP46" s="862">
        <f t="shared" si="70"/>
        <v>0</v>
      </c>
      <c r="BQ46" s="862">
        <f t="shared" si="70"/>
        <v>0</v>
      </c>
      <c r="BR46" s="862">
        <f t="shared" si="70"/>
        <v>0</v>
      </c>
      <c r="BS46" s="862">
        <f t="shared" si="70"/>
        <v>0</v>
      </c>
      <c r="BT46" s="862">
        <f t="shared" si="70"/>
        <v>0</v>
      </c>
      <c r="BU46" s="862">
        <f t="shared" si="70"/>
        <v>0</v>
      </c>
      <c r="BV46" s="862">
        <f t="shared" si="70"/>
        <v>0</v>
      </c>
      <c r="BW46" s="862">
        <f t="shared" si="70"/>
        <v>0</v>
      </c>
      <c r="BX46" s="862">
        <f t="shared" si="70"/>
        <v>0</v>
      </c>
      <c r="BY46" s="862">
        <f t="shared" si="70"/>
        <v>0</v>
      </c>
      <c r="BZ46" s="862">
        <f t="shared" si="70"/>
        <v>0</v>
      </c>
      <c r="CA46" s="862">
        <f t="shared" si="70"/>
        <v>0</v>
      </c>
      <c r="CB46" s="862">
        <f t="shared" si="70"/>
        <v>0</v>
      </c>
      <c r="CC46" s="862">
        <f t="shared" si="70"/>
        <v>0</v>
      </c>
      <c r="CD46" s="862">
        <f t="shared" si="70"/>
        <v>0</v>
      </c>
      <c r="CE46" s="862">
        <f t="shared" si="70"/>
        <v>0</v>
      </c>
      <c r="CF46" s="862">
        <f t="shared" si="70"/>
        <v>0</v>
      </c>
      <c r="CG46" s="862">
        <f t="shared" si="70"/>
        <v>0</v>
      </c>
      <c r="CH46" s="862">
        <f t="shared" ref="CH46:CX46" si="71">CH16/80%*20%+CH45/80%*20%</f>
        <v>0</v>
      </c>
      <c r="CI46" s="862">
        <f t="shared" si="71"/>
        <v>0</v>
      </c>
      <c r="CJ46" s="862">
        <f t="shared" si="71"/>
        <v>0</v>
      </c>
      <c r="CK46" s="862">
        <f t="shared" si="71"/>
        <v>0</v>
      </c>
      <c r="CL46" s="862">
        <f t="shared" si="71"/>
        <v>0</v>
      </c>
      <c r="CM46" s="862">
        <f t="shared" si="71"/>
        <v>0</v>
      </c>
      <c r="CN46" s="862">
        <f t="shared" si="71"/>
        <v>0</v>
      </c>
      <c r="CO46" s="862">
        <f t="shared" si="71"/>
        <v>0</v>
      </c>
      <c r="CP46" s="862">
        <f t="shared" si="71"/>
        <v>0</v>
      </c>
      <c r="CQ46" s="862">
        <f t="shared" si="71"/>
        <v>0</v>
      </c>
      <c r="CR46" s="862">
        <f t="shared" si="71"/>
        <v>0</v>
      </c>
      <c r="CS46" s="862">
        <f t="shared" si="71"/>
        <v>0</v>
      </c>
      <c r="CT46" s="862">
        <f t="shared" si="71"/>
        <v>0</v>
      </c>
      <c r="CU46" s="862">
        <f t="shared" si="71"/>
        <v>0</v>
      </c>
      <c r="CV46" s="862">
        <f t="shared" si="71"/>
        <v>0</v>
      </c>
      <c r="CW46" s="862">
        <f t="shared" si="71"/>
        <v>0</v>
      </c>
      <c r="CX46" s="862">
        <f t="shared" si="71"/>
        <v>0</v>
      </c>
    </row>
    <row r="47" spans="2:102" ht="20.25" hidden="1" customHeight="1">
      <c r="B47" s="866">
        <v>2</v>
      </c>
      <c r="C47" s="913" t="s">
        <v>1183</v>
      </c>
      <c r="D47" s="868"/>
      <c r="E47" s="869"/>
      <c r="F47" s="869"/>
      <c r="G47" s="869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9"/>
      <c r="V47" s="862"/>
      <c r="W47" s="862"/>
      <c r="X47" s="862"/>
      <c r="Y47" s="862"/>
      <c r="Z47" s="862"/>
      <c r="AA47" s="862"/>
      <c r="AB47" s="862"/>
      <c r="AC47" s="862"/>
      <c r="AD47" s="862"/>
      <c r="AE47" s="869"/>
      <c r="AF47" s="869"/>
      <c r="AG47" s="862"/>
      <c r="AH47" s="862"/>
      <c r="AI47" s="862"/>
      <c r="AJ47" s="862"/>
      <c r="AK47" s="862"/>
      <c r="AL47" s="862"/>
      <c r="AM47" s="862"/>
      <c r="AN47" s="862"/>
      <c r="AO47" s="862"/>
      <c r="AP47" s="862"/>
      <c r="AQ47" s="869"/>
      <c r="AR47" s="862"/>
      <c r="AS47" s="862"/>
      <c r="AT47" s="862"/>
      <c r="AU47" s="862"/>
      <c r="AV47" s="863"/>
      <c r="AW47" s="863"/>
      <c r="AX47" s="862"/>
      <c r="AY47" s="862"/>
      <c r="AZ47" s="862"/>
      <c r="BA47" s="862"/>
      <c r="BB47" s="862"/>
      <c r="BC47" s="869"/>
      <c r="BD47" s="862"/>
      <c r="BE47" s="862"/>
      <c r="BF47" s="862"/>
      <c r="BG47" s="862"/>
      <c r="BH47" s="863"/>
      <c r="BI47" s="863"/>
      <c r="BJ47" s="862"/>
      <c r="BK47" s="862"/>
      <c r="BL47" s="862"/>
      <c r="BM47" s="862"/>
      <c r="BN47" s="862"/>
      <c r="BO47" s="869"/>
      <c r="BP47" s="869"/>
      <c r="BQ47" s="862"/>
      <c r="BR47" s="862"/>
      <c r="BS47" s="862"/>
      <c r="BT47" s="862"/>
      <c r="BU47" s="862"/>
      <c r="BV47" s="862"/>
      <c r="BW47" s="862"/>
      <c r="BX47" s="862"/>
      <c r="BY47" s="862"/>
      <c r="BZ47" s="862"/>
      <c r="CA47" s="869"/>
      <c r="CB47" s="862"/>
      <c r="CC47" s="862"/>
      <c r="CD47" s="862"/>
      <c r="CE47" s="862"/>
      <c r="CF47" s="863"/>
      <c r="CG47" s="863"/>
      <c r="CH47" s="862"/>
      <c r="CI47" s="862"/>
      <c r="CJ47" s="862"/>
      <c r="CK47" s="862"/>
      <c r="CL47" s="862"/>
      <c r="CM47" s="869"/>
      <c r="CN47" s="862"/>
      <c r="CO47" s="862"/>
      <c r="CP47" s="862"/>
      <c r="CQ47" s="862"/>
      <c r="CR47" s="863"/>
      <c r="CS47" s="863"/>
      <c r="CT47" s="862"/>
      <c r="CU47" s="862"/>
      <c r="CV47" s="862"/>
      <c r="CW47" s="862"/>
      <c r="CX47" s="862"/>
    </row>
    <row r="48" spans="2:102" ht="20.25" hidden="1" customHeight="1" outlineLevel="1">
      <c r="B48" s="866" t="s">
        <v>1184</v>
      </c>
      <c r="C48" s="867" t="s">
        <v>1185</v>
      </c>
      <c r="D48" s="868" t="s">
        <v>1128</v>
      </c>
      <c r="E48" s="869"/>
      <c r="F48" s="869"/>
      <c r="G48" s="869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9"/>
      <c r="V48" s="862"/>
      <c r="W48" s="862"/>
      <c r="X48" s="862"/>
      <c r="Y48" s="862"/>
      <c r="Z48" s="862"/>
      <c r="AA48" s="862"/>
      <c r="AB48" s="862"/>
      <c r="AC48" s="862"/>
      <c r="AD48" s="862"/>
      <c r="AE48" s="869"/>
      <c r="AF48" s="869"/>
      <c r="AG48" s="862"/>
      <c r="AH48" s="862"/>
      <c r="AI48" s="862"/>
      <c r="AJ48" s="862"/>
      <c r="AK48" s="862"/>
      <c r="AL48" s="862"/>
      <c r="AM48" s="862"/>
      <c r="AN48" s="862"/>
      <c r="AO48" s="862"/>
      <c r="AP48" s="862"/>
      <c r="AQ48" s="869"/>
      <c r="AR48" s="862"/>
      <c r="AS48" s="862"/>
      <c r="AT48" s="862"/>
      <c r="AU48" s="862"/>
      <c r="AV48" s="863"/>
      <c r="AW48" s="863"/>
      <c r="AX48" s="862"/>
      <c r="AY48" s="862"/>
      <c r="AZ48" s="862"/>
      <c r="BA48" s="862"/>
      <c r="BB48" s="862"/>
      <c r="BC48" s="869"/>
      <c r="BD48" s="862"/>
      <c r="BE48" s="862"/>
      <c r="BF48" s="862"/>
      <c r="BG48" s="862"/>
      <c r="BH48" s="863"/>
      <c r="BI48" s="863"/>
      <c r="BJ48" s="862"/>
      <c r="BK48" s="862"/>
      <c r="BL48" s="862"/>
      <c r="BM48" s="862"/>
      <c r="BN48" s="862"/>
      <c r="BO48" s="869"/>
      <c r="BP48" s="869"/>
      <c r="BQ48" s="862"/>
      <c r="BR48" s="862"/>
      <c r="BS48" s="862"/>
      <c r="BT48" s="862"/>
      <c r="BU48" s="862"/>
      <c r="BV48" s="862"/>
      <c r="BW48" s="862"/>
      <c r="BX48" s="862"/>
      <c r="BY48" s="862"/>
      <c r="BZ48" s="862"/>
      <c r="CA48" s="869"/>
      <c r="CB48" s="862"/>
      <c r="CC48" s="862"/>
      <c r="CD48" s="862"/>
      <c r="CE48" s="862"/>
      <c r="CF48" s="863"/>
      <c r="CG48" s="863"/>
      <c r="CH48" s="862"/>
      <c r="CI48" s="862"/>
      <c r="CJ48" s="862"/>
      <c r="CK48" s="862"/>
      <c r="CL48" s="862"/>
      <c r="CM48" s="869"/>
      <c r="CN48" s="862"/>
      <c r="CO48" s="862"/>
      <c r="CP48" s="862"/>
      <c r="CQ48" s="862"/>
      <c r="CR48" s="863"/>
      <c r="CS48" s="863"/>
      <c r="CT48" s="862"/>
      <c r="CU48" s="862"/>
      <c r="CV48" s="862"/>
      <c r="CW48" s="862"/>
      <c r="CX48" s="862"/>
    </row>
    <row r="49" spans="2:102" ht="20.25" hidden="1" customHeight="1" outlineLevel="2">
      <c r="B49" s="914" t="s">
        <v>1186</v>
      </c>
      <c r="C49" s="915" t="s">
        <v>1187</v>
      </c>
      <c r="D49" s="916" t="s">
        <v>1128</v>
      </c>
      <c r="E49" s="869"/>
      <c r="F49" s="869"/>
      <c r="G49" s="869"/>
      <c r="H49" s="877"/>
      <c r="I49" s="877"/>
      <c r="J49" s="877"/>
      <c r="K49" s="877"/>
      <c r="L49" s="877"/>
      <c r="M49" s="877"/>
      <c r="N49" s="877"/>
      <c r="O49" s="877"/>
      <c r="P49" s="877"/>
      <c r="Q49" s="877"/>
      <c r="R49" s="877"/>
      <c r="S49" s="877"/>
      <c r="T49" s="877"/>
      <c r="U49" s="869"/>
      <c r="V49" s="877"/>
      <c r="W49" s="877"/>
      <c r="X49" s="877"/>
      <c r="Y49" s="877"/>
      <c r="Z49" s="877"/>
      <c r="AA49" s="877"/>
      <c r="AB49" s="877"/>
      <c r="AC49" s="877"/>
      <c r="AD49" s="877"/>
      <c r="AE49" s="869"/>
      <c r="AF49" s="869"/>
      <c r="AG49" s="877"/>
      <c r="AH49" s="877"/>
      <c r="AI49" s="877"/>
      <c r="AJ49" s="877"/>
      <c r="AK49" s="877"/>
      <c r="AL49" s="877"/>
      <c r="AM49" s="877"/>
      <c r="AN49" s="877"/>
      <c r="AO49" s="877"/>
      <c r="AP49" s="877"/>
      <c r="AQ49" s="878"/>
      <c r="AR49" s="877"/>
      <c r="AS49" s="877"/>
      <c r="AT49" s="877"/>
      <c r="AU49" s="877"/>
      <c r="AV49" s="879"/>
      <c r="AW49" s="879"/>
      <c r="AX49" s="877"/>
      <c r="AY49" s="877"/>
      <c r="AZ49" s="877"/>
      <c r="BA49" s="877"/>
      <c r="BB49" s="877"/>
      <c r="BC49" s="878"/>
      <c r="BD49" s="877"/>
      <c r="BE49" s="877"/>
      <c r="BF49" s="877"/>
      <c r="BG49" s="877"/>
      <c r="BH49" s="879"/>
      <c r="BI49" s="879"/>
      <c r="BJ49" s="877"/>
      <c r="BK49" s="877"/>
      <c r="BL49" s="877"/>
      <c r="BM49" s="877"/>
      <c r="BN49" s="877"/>
      <c r="BO49" s="869"/>
      <c r="BP49" s="869"/>
      <c r="BQ49" s="877"/>
      <c r="BR49" s="877"/>
      <c r="BS49" s="877"/>
      <c r="BT49" s="877"/>
      <c r="BU49" s="877"/>
      <c r="BV49" s="877"/>
      <c r="BW49" s="877"/>
      <c r="BX49" s="877"/>
      <c r="BY49" s="877"/>
      <c r="BZ49" s="877"/>
      <c r="CA49" s="878"/>
      <c r="CB49" s="877"/>
      <c r="CC49" s="877"/>
      <c r="CD49" s="877"/>
      <c r="CE49" s="877"/>
      <c r="CF49" s="879"/>
      <c r="CG49" s="879"/>
      <c r="CH49" s="877"/>
      <c r="CI49" s="877"/>
      <c r="CJ49" s="877"/>
      <c r="CK49" s="877"/>
      <c r="CL49" s="877"/>
      <c r="CM49" s="878"/>
      <c r="CN49" s="877"/>
      <c r="CO49" s="877"/>
      <c r="CP49" s="877"/>
      <c r="CQ49" s="877"/>
      <c r="CR49" s="879"/>
      <c r="CS49" s="879"/>
      <c r="CT49" s="877"/>
      <c r="CU49" s="877"/>
      <c r="CV49" s="877"/>
      <c r="CW49" s="877"/>
      <c r="CX49" s="877"/>
    </row>
    <row r="50" spans="2:102" ht="40.5" hidden="1" customHeight="1" outlineLevel="2">
      <c r="B50" s="914" t="s">
        <v>1188</v>
      </c>
      <c r="C50" s="915" t="s">
        <v>1189</v>
      </c>
      <c r="D50" s="916" t="s">
        <v>1128</v>
      </c>
      <c r="E50" s="869"/>
      <c r="F50" s="869"/>
      <c r="G50" s="869"/>
      <c r="H50" s="877"/>
      <c r="I50" s="877"/>
      <c r="J50" s="877"/>
      <c r="K50" s="877"/>
      <c r="L50" s="877"/>
      <c r="M50" s="877"/>
      <c r="N50" s="877"/>
      <c r="O50" s="877"/>
      <c r="P50" s="877"/>
      <c r="Q50" s="877"/>
      <c r="R50" s="877"/>
      <c r="S50" s="877"/>
      <c r="T50" s="877"/>
      <c r="U50" s="869"/>
      <c r="V50" s="877"/>
      <c r="W50" s="877"/>
      <c r="X50" s="877"/>
      <c r="Y50" s="877"/>
      <c r="Z50" s="877"/>
      <c r="AA50" s="877"/>
      <c r="AB50" s="877"/>
      <c r="AC50" s="877"/>
      <c r="AD50" s="877"/>
      <c r="AE50" s="869"/>
      <c r="AF50" s="869"/>
      <c r="AG50" s="877"/>
      <c r="AH50" s="877"/>
      <c r="AI50" s="877"/>
      <c r="AJ50" s="877"/>
      <c r="AK50" s="877"/>
      <c r="AL50" s="877"/>
      <c r="AM50" s="877"/>
      <c r="AN50" s="877"/>
      <c r="AO50" s="877"/>
      <c r="AP50" s="877"/>
      <c r="AQ50" s="878"/>
      <c r="AR50" s="877"/>
      <c r="AS50" s="877"/>
      <c r="AT50" s="877"/>
      <c r="AU50" s="877"/>
      <c r="AV50" s="879"/>
      <c r="AW50" s="879"/>
      <c r="AX50" s="877"/>
      <c r="AY50" s="877"/>
      <c r="AZ50" s="877"/>
      <c r="BA50" s="877"/>
      <c r="BB50" s="877"/>
      <c r="BC50" s="878"/>
      <c r="BD50" s="877"/>
      <c r="BE50" s="877"/>
      <c r="BF50" s="877"/>
      <c r="BG50" s="877"/>
      <c r="BH50" s="879"/>
      <c r="BI50" s="879"/>
      <c r="BJ50" s="877"/>
      <c r="BK50" s="877"/>
      <c r="BL50" s="877"/>
      <c r="BM50" s="877"/>
      <c r="BN50" s="877"/>
      <c r="BO50" s="869"/>
      <c r="BP50" s="869"/>
      <c r="BQ50" s="877"/>
      <c r="BR50" s="877"/>
      <c r="BS50" s="877"/>
      <c r="BT50" s="877"/>
      <c r="BU50" s="877"/>
      <c r="BV50" s="877"/>
      <c r="BW50" s="877"/>
      <c r="BX50" s="877"/>
      <c r="BY50" s="877"/>
      <c r="BZ50" s="877"/>
      <c r="CA50" s="878"/>
      <c r="CB50" s="877"/>
      <c r="CC50" s="877"/>
      <c r="CD50" s="877"/>
      <c r="CE50" s="877"/>
      <c r="CF50" s="879"/>
      <c r="CG50" s="879"/>
      <c r="CH50" s="877"/>
      <c r="CI50" s="877"/>
      <c r="CJ50" s="877"/>
      <c r="CK50" s="877"/>
      <c r="CL50" s="877"/>
      <c r="CM50" s="878"/>
      <c r="CN50" s="877"/>
      <c r="CO50" s="877"/>
      <c r="CP50" s="877"/>
      <c r="CQ50" s="877"/>
      <c r="CR50" s="879"/>
      <c r="CS50" s="879"/>
      <c r="CT50" s="877"/>
      <c r="CU50" s="877"/>
      <c r="CV50" s="877"/>
      <c r="CW50" s="877"/>
      <c r="CX50" s="877"/>
    </row>
    <row r="51" spans="2:102" ht="40.5" hidden="1" customHeight="1" outlineLevel="2">
      <c r="B51" s="914" t="s">
        <v>1190</v>
      </c>
      <c r="C51" s="915" t="s">
        <v>1191</v>
      </c>
      <c r="D51" s="916" t="s">
        <v>1128</v>
      </c>
      <c r="E51" s="869"/>
      <c r="F51" s="869"/>
      <c r="G51" s="869"/>
      <c r="H51" s="877"/>
      <c r="I51" s="877"/>
      <c r="J51" s="877"/>
      <c r="K51" s="877"/>
      <c r="L51" s="877"/>
      <c r="M51" s="877"/>
      <c r="N51" s="877"/>
      <c r="O51" s="877"/>
      <c r="P51" s="877"/>
      <c r="Q51" s="877"/>
      <c r="R51" s="877"/>
      <c r="S51" s="877"/>
      <c r="T51" s="877"/>
      <c r="U51" s="869"/>
      <c r="V51" s="877"/>
      <c r="W51" s="877"/>
      <c r="X51" s="877"/>
      <c r="Y51" s="877"/>
      <c r="Z51" s="877"/>
      <c r="AA51" s="877"/>
      <c r="AB51" s="877"/>
      <c r="AC51" s="877"/>
      <c r="AD51" s="877"/>
      <c r="AE51" s="869"/>
      <c r="AF51" s="869"/>
      <c r="AG51" s="877"/>
      <c r="AH51" s="877"/>
      <c r="AI51" s="877"/>
      <c r="AJ51" s="877"/>
      <c r="AK51" s="877"/>
      <c r="AL51" s="877"/>
      <c r="AM51" s="877"/>
      <c r="AN51" s="877"/>
      <c r="AO51" s="877"/>
      <c r="AP51" s="877"/>
      <c r="AQ51" s="878"/>
      <c r="AR51" s="877"/>
      <c r="AS51" s="877"/>
      <c r="AT51" s="877"/>
      <c r="AU51" s="877"/>
      <c r="AV51" s="879"/>
      <c r="AW51" s="879"/>
      <c r="AX51" s="877"/>
      <c r="AY51" s="877"/>
      <c r="AZ51" s="877"/>
      <c r="BA51" s="877"/>
      <c r="BB51" s="877"/>
      <c r="BC51" s="878"/>
      <c r="BD51" s="877"/>
      <c r="BE51" s="877"/>
      <c r="BF51" s="877"/>
      <c r="BG51" s="877"/>
      <c r="BH51" s="879"/>
      <c r="BI51" s="879"/>
      <c r="BJ51" s="877"/>
      <c r="BK51" s="877"/>
      <c r="BL51" s="877"/>
      <c r="BM51" s="877"/>
      <c r="BN51" s="877"/>
      <c r="BO51" s="869"/>
      <c r="BP51" s="869"/>
      <c r="BQ51" s="877"/>
      <c r="BR51" s="877"/>
      <c r="BS51" s="877"/>
      <c r="BT51" s="877"/>
      <c r="BU51" s="877"/>
      <c r="BV51" s="877"/>
      <c r="BW51" s="877"/>
      <c r="BX51" s="877"/>
      <c r="BY51" s="877"/>
      <c r="BZ51" s="877"/>
      <c r="CA51" s="878"/>
      <c r="CB51" s="877"/>
      <c r="CC51" s="877"/>
      <c r="CD51" s="877"/>
      <c r="CE51" s="877"/>
      <c r="CF51" s="879"/>
      <c r="CG51" s="879"/>
      <c r="CH51" s="877"/>
      <c r="CI51" s="877"/>
      <c r="CJ51" s="877"/>
      <c r="CK51" s="877"/>
      <c r="CL51" s="877"/>
      <c r="CM51" s="878"/>
      <c r="CN51" s="877"/>
      <c r="CO51" s="877"/>
      <c r="CP51" s="877"/>
      <c r="CQ51" s="877"/>
      <c r="CR51" s="879"/>
      <c r="CS51" s="879"/>
      <c r="CT51" s="877"/>
      <c r="CU51" s="877"/>
      <c r="CV51" s="877"/>
      <c r="CW51" s="877"/>
      <c r="CX51" s="877"/>
    </row>
    <row r="52" spans="2:102" ht="40.5" hidden="1" customHeight="1" outlineLevel="2">
      <c r="B52" s="914" t="s">
        <v>1192</v>
      </c>
      <c r="C52" s="915" t="s">
        <v>1193</v>
      </c>
      <c r="D52" s="916" t="s">
        <v>1128</v>
      </c>
      <c r="E52" s="869"/>
      <c r="F52" s="869"/>
      <c r="G52" s="869"/>
      <c r="H52" s="877"/>
      <c r="I52" s="877"/>
      <c r="J52" s="877"/>
      <c r="K52" s="877"/>
      <c r="L52" s="877"/>
      <c r="M52" s="877"/>
      <c r="N52" s="877"/>
      <c r="O52" s="877"/>
      <c r="P52" s="877"/>
      <c r="Q52" s="877"/>
      <c r="R52" s="877"/>
      <c r="S52" s="877"/>
      <c r="T52" s="877"/>
      <c r="U52" s="869"/>
      <c r="V52" s="877"/>
      <c r="W52" s="877"/>
      <c r="X52" s="877"/>
      <c r="Y52" s="877"/>
      <c r="Z52" s="877"/>
      <c r="AA52" s="877"/>
      <c r="AB52" s="877"/>
      <c r="AC52" s="877"/>
      <c r="AD52" s="877"/>
      <c r="AE52" s="869"/>
      <c r="AF52" s="869"/>
      <c r="AG52" s="877"/>
      <c r="AH52" s="877"/>
      <c r="AI52" s="877"/>
      <c r="AJ52" s="877"/>
      <c r="AK52" s="877"/>
      <c r="AL52" s="877"/>
      <c r="AM52" s="877"/>
      <c r="AN52" s="877"/>
      <c r="AO52" s="877"/>
      <c r="AP52" s="877"/>
      <c r="AQ52" s="878"/>
      <c r="AR52" s="877"/>
      <c r="AS52" s="877"/>
      <c r="AT52" s="877"/>
      <c r="AU52" s="877"/>
      <c r="AV52" s="879"/>
      <c r="AW52" s="879"/>
      <c r="AX52" s="877"/>
      <c r="AY52" s="877"/>
      <c r="AZ52" s="877"/>
      <c r="BA52" s="877"/>
      <c r="BB52" s="877"/>
      <c r="BC52" s="878"/>
      <c r="BD52" s="877"/>
      <c r="BE52" s="877"/>
      <c r="BF52" s="877"/>
      <c r="BG52" s="877"/>
      <c r="BH52" s="879"/>
      <c r="BI52" s="879"/>
      <c r="BJ52" s="877"/>
      <c r="BK52" s="877"/>
      <c r="BL52" s="877"/>
      <c r="BM52" s="877"/>
      <c r="BN52" s="877"/>
      <c r="BO52" s="869"/>
      <c r="BP52" s="869"/>
      <c r="BQ52" s="877"/>
      <c r="BR52" s="877"/>
      <c r="BS52" s="877"/>
      <c r="BT52" s="877"/>
      <c r="BU52" s="877"/>
      <c r="BV52" s="877"/>
      <c r="BW52" s="877"/>
      <c r="BX52" s="877"/>
      <c r="BY52" s="877"/>
      <c r="BZ52" s="877"/>
      <c r="CA52" s="878"/>
      <c r="CB52" s="877"/>
      <c r="CC52" s="877"/>
      <c r="CD52" s="877"/>
      <c r="CE52" s="877"/>
      <c r="CF52" s="879"/>
      <c r="CG52" s="879"/>
      <c r="CH52" s="877"/>
      <c r="CI52" s="877"/>
      <c r="CJ52" s="877"/>
      <c r="CK52" s="877"/>
      <c r="CL52" s="877"/>
      <c r="CM52" s="878"/>
      <c r="CN52" s="877"/>
      <c r="CO52" s="877"/>
      <c r="CP52" s="877"/>
      <c r="CQ52" s="877"/>
      <c r="CR52" s="879"/>
      <c r="CS52" s="879"/>
      <c r="CT52" s="877"/>
      <c r="CU52" s="877"/>
      <c r="CV52" s="877"/>
      <c r="CW52" s="877"/>
      <c r="CX52" s="877"/>
    </row>
    <row r="53" spans="2:102" ht="40.5" hidden="1" customHeight="1" outlineLevel="2">
      <c r="B53" s="914"/>
      <c r="C53" s="915" t="s">
        <v>1194</v>
      </c>
      <c r="D53" s="916" t="s">
        <v>1128</v>
      </c>
      <c r="E53" s="869"/>
      <c r="F53" s="869"/>
      <c r="G53" s="869"/>
      <c r="H53" s="877"/>
      <c r="I53" s="877"/>
      <c r="J53" s="877"/>
      <c r="K53" s="877"/>
      <c r="L53" s="877"/>
      <c r="M53" s="877"/>
      <c r="N53" s="877"/>
      <c r="O53" s="877"/>
      <c r="P53" s="877"/>
      <c r="Q53" s="877"/>
      <c r="R53" s="877"/>
      <c r="S53" s="877"/>
      <c r="T53" s="877"/>
      <c r="U53" s="869"/>
      <c r="V53" s="877"/>
      <c r="W53" s="877"/>
      <c r="X53" s="877"/>
      <c r="Y53" s="877"/>
      <c r="Z53" s="877"/>
      <c r="AA53" s="877"/>
      <c r="AB53" s="877"/>
      <c r="AC53" s="877"/>
      <c r="AD53" s="877"/>
      <c r="AE53" s="869"/>
      <c r="AF53" s="869"/>
      <c r="AG53" s="877"/>
      <c r="AH53" s="877"/>
      <c r="AI53" s="877"/>
      <c r="AJ53" s="877"/>
      <c r="AK53" s="877"/>
      <c r="AL53" s="877"/>
      <c r="AM53" s="877"/>
      <c r="AN53" s="877"/>
      <c r="AO53" s="877"/>
      <c r="AP53" s="877"/>
      <c r="AQ53" s="878"/>
      <c r="AR53" s="877"/>
      <c r="AS53" s="877"/>
      <c r="AT53" s="877"/>
      <c r="AU53" s="877"/>
      <c r="AV53" s="879"/>
      <c r="AW53" s="879"/>
      <c r="AX53" s="877"/>
      <c r="AY53" s="877"/>
      <c r="AZ53" s="877"/>
      <c r="BA53" s="877"/>
      <c r="BB53" s="877"/>
      <c r="BC53" s="878"/>
      <c r="BD53" s="877"/>
      <c r="BE53" s="877"/>
      <c r="BF53" s="877"/>
      <c r="BG53" s="877"/>
      <c r="BH53" s="879"/>
      <c r="BI53" s="879"/>
      <c r="BJ53" s="877"/>
      <c r="BK53" s="877"/>
      <c r="BL53" s="877"/>
      <c r="BM53" s="877"/>
      <c r="BN53" s="877"/>
      <c r="BO53" s="869"/>
      <c r="BP53" s="869"/>
      <c r="BQ53" s="877"/>
      <c r="BR53" s="877"/>
      <c r="BS53" s="877"/>
      <c r="BT53" s="877"/>
      <c r="BU53" s="877"/>
      <c r="BV53" s="877"/>
      <c r="BW53" s="877"/>
      <c r="BX53" s="877"/>
      <c r="BY53" s="877"/>
      <c r="BZ53" s="877"/>
      <c r="CA53" s="878"/>
      <c r="CB53" s="877"/>
      <c r="CC53" s="877"/>
      <c r="CD53" s="877"/>
      <c r="CE53" s="877"/>
      <c r="CF53" s="879"/>
      <c r="CG53" s="879"/>
      <c r="CH53" s="877"/>
      <c r="CI53" s="877"/>
      <c r="CJ53" s="877"/>
      <c r="CK53" s="877"/>
      <c r="CL53" s="877"/>
      <c r="CM53" s="878"/>
      <c r="CN53" s="877"/>
      <c r="CO53" s="877"/>
      <c r="CP53" s="877"/>
      <c r="CQ53" s="877"/>
      <c r="CR53" s="879"/>
      <c r="CS53" s="879"/>
      <c r="CT53" s="877"/>
      <c r="CU53" s="877"/>
      <c r="CV53" s="877"/>
      <c r="CW53" s="877"/>
      <c r="CX53" s="877"/>
    </row>
    <row r="54" spans="2:102" ht="40.5" hidden="1" customHeight="1" outlineLevel="2">
      <c r="B54" s="914" t="s">
        <v>1195</v>
      </c>
      <c r="C54" s="915" t="s">
        <v>1196</v>
      </c>
      <c r="D54" s="916" t="s">
        <v>1128</v>
      </c>
      <c r="E54" s="869"/>
      <c r="F54" s="869"/>
      <c r="G54" s="869"/>
      <c r="H54" s="877"/>
      <c r="I54" s="877"/>
      <c r="J54" s="877"/>
      <c r="K54" s="877"/>
      <c r="L54" s="877"/>
      <c r="M54" s="877"/>
      <c r="N54" s="877"/>
      <c r="O54" s="877"/>
      <c r="P54" s="877"/>
      <c r="Q54" s="877"/>
      <c r="R54" s="877"/>
      <c r="S54" s="877"/>
      <c r="T54" s="877"/>
      <c r="U54" s="869"/>
      <c r="V54" s="877"/>
      <c r="W54" s="877"/>
      <c r="X54" s="877"/>
      <c r="Y54" s="877"/>
      <c r="Z54" s="877"/>
      <c r="AA54" s="877"/>
      <c r="AB54" s="877"/>
      <c r="AC54" s="877"/>
      <c r="AD54" s="877"/>
      <c r="AE54" s="869"/>
      <c r="AF54" s="869"/>
      <c r="AG54" s="877"/>
      <c r="AH54" s="877"/>
      <c r="AI54" s="877"/>
      <c r="AJ54" s="877"/>
      <c r="AK54" s="877"/>
      <c r="AL54" s="877"/>
      <c r="AM54" s="877"/>
      <c r="AN54" s="877"/>
      <c r="AO54" s="877"/>
      <c r="AP54" s="877"/>
      <c r="AQ54" s="878"/>
      <c r="AR54" s="877"/>
      <c r="AS54" s="877"/>
      <c r="AT54" s="877"/>
      <c r="AU54" s="877"/>
      <c r="AV54" s="879"/>
      <c r="AW54" s="879"/>
      <c r="AX54" s="877"/>
      <c r="AY54" s="877"/>
      <c r="AZ54" s="877"/>
      <c r="BA54" s="877"/>
      <c r="BB54" s="877"/>
      <c r="BC54" s="878"/>
      <c r="BD54" s="877"/>
      <c r="BE54" s="877"/>
      <c r="BF54" s="877"/>
      <c r="BG54" s="877"/>
      <c r="BH54" s="879"/>
      <c r="BI54" s="879"/>
      <c r="BJ54" s="877"/>
      <c r="BK54" s="877"/>
      <c r="BL54" s="877"/>
      <c r="BM54" s="877"/>
      <c r="BN54" s="877"/>
      <c r="BO54" s="869"/>
      <c r="BP54" s="869"/>
      <c r="BQ54" s="877"/>
      <c r="BR54" s="877"/>
      <c r="BS54" s="877"/>
      <c r="BT54" s="877"/>
      <c r="BU54" s="877"/>
      <c r="BV54" s="877"/>
      <c r="BW54" s="877"/>
      <c r="BX54" s="877"/>
      <c r="BY54" s="877"/>
      <c r="BZ54" s="877"/>
      <c r="CA54" s="878"/>
      <c r="CB54" s="877"/>
      <c r="CC54" s="877"/>
      <c r="CD54" s="877"/>
      <c r="CE54" s="877"/>
      <c r="CF54" s="879"/>
      <c r="CG54" s="879"/>
      <c r="CH54" s="877"/>
      <c r="CI54" s="877"/>
      <c r="CJ54" s="877"/>
      <c r="CK54" s="877"/>
      <c r="CL54" s="877"/>
      <c r="CM54" s="878"/>
      <c r="CN54" s="877"/>
      <c r="CO54" s="877"/>
      <c r="CP54" s="877"/>
      <c r="CQ54" s="877"/>
      <c r="CR54" s="879"/>
      <c r="CS54" s="879"/>
      <c r="CT54" s="877"/>
      <c r="CU54" s="877"/>
      <c r="CV54" s="877"/>
      <c r="CW54" s="877"/>
      <c r="CX54" s="877"/>
    </row>
    <row r="55" spans="2:102" ht="20.25" hidden="1" customHeight="1" outlineLevel="2">
      <c r="B55" s="914" t="s">
        <v>1197</v>
      </c>
      <c r="C55" s="915" t="s">
        <v>1198</v>
      </c>
      <c r="D55" s="916" t="s">
        <v>1128</v>
      </c>
      <c r="E55" s="869"/>
      <c r="F55" s="869"/>
      <c r="G55" s="869"/>
      <c r="H55" s="877"/>
      <c r="I55" s="877"/>
      <c r="J55" s="877"/>
      <c r="K55" s="877"/>
      <c r="L55" s="877"/>
      <c r="M55" s="877"/>
      <c r="N55" s="877"/>
      <c r="O55" s="877"/>
      <c r="P55" s="877"/>
      <c r="Q55" s="877"/>
      <c r="R55" s="877"/>
      <c r="S55" s="877"/>
      <c r="T55" s="877"/>
      <c r="U55" s="869"/>
      <c r="V55" s="877"/>
      <c r="W55" s="877"/>
      <c r="X55" s="877"/>
      <c r="Y55" s="877"/>
      <c r="Z55" s="877"/>
      <c r="AA55" s="877"/>
      <c r="AB55" s="877"/>
      <c r="AC55" s="877"/>
      <c r="AD55" s="877"/>
      <c r="AE55" s="869"/>
      <c r="AF55" s="869"/>
      <c r="AG55" s="877"/>
      <c r="AH55" s="877"/>
      <c r="AI55" s="877"/>
      <c r="AJ55" s="877"/>
      <c r="AK55" s="877"/>
      <c r="AL55" s="877"/>
      <c r="AM55" s="877"/>
      <c r="AN55" s="877"/>
      <c r="AO55" s="877"/>
      <c r="AP55" s="877"/>
      <c r="AQ55" s="878"/>
      <c r="AR55" s="877"/>
      <c r="AS55" s="877"/>
      <c r="AT55" s="877"/>
      <c r="AU55" s="877"/>
      <c r="AV55" s="879"/>
      <c r="AW55" s="879"/>
      <c r="AX55" s="877"/>
      <c r="AY55" s="877"/>
      <c r="AZ55" s="877"/>
      <c r="BA55" s="877"/>
      <c r="BB55" s="877"/>
      <c r="BC55" s="878"/>
      <c r="BD55" s="877"/>
      <c r="BE55" s="877"/>
      <c r="BF55" s="877"/>
      <c r="BG55" s="877"/>
      <c r="BH55" s="879"/>
      <c r="BI55" s="879"/>
      <c r="BJ55" s="877"/>
      <c r="BK55" s="877"/>
      <c r="BL55" s="877"/>
      <c r="BM55" s="877"/>
      <c r="BN55" s="877"/>
      <c r="BO55" s="869"/>
      <c r="BP55" s="869"/>
      <c r="BQ55" s="877"/>
      <c r="BR55" s="877"/>
      <c r="BS55" s="877"/>
      <c r="BT55" s="877"/>
      <c r="BU55" s="877"/>
      <c r="BV55" s="877"/>
      <c r="BW55" s="877"/>
      <c r="BX55" s="877"/>
      <c r="BY55" s="877"/>
      <c r="BZ55" s="877"/>
      <c r="CA55" s="878"/>
      <c r="CB55" s="877"/>
      <c r="CC55" s="877"/>
      <c r="CD55" s="877"/>
      <c r="CE55" s="877"/>
      <c r="CF55" s="879"/>
      <c r="CG55" s="879"/>
      <c r="CH55" s="877"/>
      <c r="CI55" s="877"/>
      <c r="CJ55" s="877"/>
      <c r="CK55" s="877"/>
      <c r="CL55" s="877"/>
      <c r="CM55" s="878"/>
      <c r="CN55" s="877"/>
      <c r="CO55" s="877"/>
      <c r="CP55" s="877"/>
      <c r="CQ55" s="877"/>
      <c r="CR55" s="879"/>
      <c r="CS55" s="879"/>
      <c r="CT55" s="877"/>
      <c r="CU55" s="877"/>
      <c r="CV55" s="877"/>
      <c r="CW55" s="877"/>
      <c r="CX55" s="877"/>
    </row>
    <row r="56" spans="2:102" ht="20.25" hidden="1" customHeight="1" outlineLevel="1" collapsed="1">
      <c r="B56" s="866" t="s">
        <v>1199</v>
      </c>
      <c r="C56" s="867" t="s">
        <v>1200</v>
      </c>
      <c r="D56" s="868" t="s">
        <v>1128</v>
      </c>
      <c r="E56" s="869"/>
      <c r="F56" s="869"/>
      <c r="G56" s="869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9"/>
      <c r="V56" s="862"/>
      <c r="W56" s="862"/>
      <c r="X56" s="862"/>
      <c r="Y56" s="862"/>
      <c r="Z56" s="862"/>
      <c r="AA56" s="862"/>
      <c r="AB56" s="862"/>
      <c r="AC56" s="862"/>
      <c r="AD56" s="862"/>
      <c r="AE56" s="869"/>
      <c r="AF56" s="869"/>
      <c r="AG56" s="862"/>
      <c r="AH56" s="862"/>
      <c r="AI56" s="862"/>
      <c r="AJ56" s="862"/>
      <c r="AK56" s="862"/>
      <c r="AL56" s="862"/>
      <c r="AM56" s="862"/>
      <c r="AN56" s="862"/>
      <c r="AO56" s="862"/>
      <c r="AP56" s="862"/>
      <c r="AQ56" s="869"/>
      <c r="AR56" s="862"/>
      <c r="AS56" s="862"/>
      <c r="AT56" s="862"/>
      <c r="AU56" s="862"/>
      <c r="AV56" s="863"/>
      <c r="AW56" s="863"/>
      <c r="AX56" s="862"/>
      <c r="AY56" s="862"/>
      <c r="AZ56" s="862"/>
      <c r="BA56" s="862"/>
      <c r="BB56" s="862"/>
      <c r="BC56" s="869"/>
      <c r="BD56" s="862"/>
      <c r="BE56" s="862"/>
      <c r="BF56" s="862"/>
      <c r="BG56" s="862"/>
      <c r="BH56" s="863"/>
      <c r="BI56" s="863"/>
      <c r="BJ56" s="862"/>
      <c r="BK56" s="862"/>
      <c r="BL56" s="862"/>
      <c r="BM56" s="862"/>
      <c r="BN56" s="862"/>
      <c r="BO56" s="869"/>
      <c r="BP56" s="869"/>
      <c r="BQ56" s="862"/>
      <c r="BR56" s="862"/>
      <c r="BS56" s="862"/>
      <c r="BT56" s="862"/>
      <c r="BU56" s="862"/>
      <c r="BV56" s="862"/>
      <c r="BW56" s="862"/>
      <c r="BX56" s="862"/>
      <c r="BY56" s="862"/>
      <c r="BZ56" s="862"/>
      <c r="CA56" s="869"/>
      <c r="CB56" s="862"/>
      <c r="CC56" s="862"/>
      <c r="CD56" s="862"/>
      <c r="CE56" s="862"/>
      <c r="CF56" s="863"/>
      <c r="CG56" s="863"/>
      <c r="CH56" s="862"/>
      <c r="CI56" s="862"/>
      <c r="CJ56" s="862"/>
      <c r="CK56" s="862"/>
      <c r="CL56" s="862"/>
      <c r="CM56" s="869"/>
      <c r="CN56" s="862"/>
      <c r="CO56" s="862"/>
      <c r="CP56" s="862"/>
      <c r="CQ56" s="862"/>
      <c r="CR56" s="863"/>
      <c r="CS56" s="863"/>
      <c r="CT56" s="862"/>
      <c r="CU56" s="862"/>
      <c r="CV56" s="862"/>
      <c r="CW56" s="862"/>
      <c r="CX56" s="862"/>
    </row>
    <row r="57" spans="2:102" ht="67.5" hidden="1" customHeight="1" collapsed="1">
      <c r="B57" s="866" t="s">
        <v>1201</v>
      </c>
      <c r="C57" s="867" t="s">
        <v>1202</v>
      </c>
      <c r="D57" s="868" t="s">
        <v>1128</v>
      </c>
      <c r="E57" s="869">
        <f>F57+AE57</f>
        <v>125.04961697258335</v>
      </c>
      <c r="F57" s="869">
        <f>G57+U57</f>
        <v>125.04961697258335</v>
      </c>
      <c r="G57" s="869">
        <f>G14</f>
        <v>125.04961697258335</v>
      </c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9">
        <f>U14</f>
        <v>0</v>
      </c>
      <c r="V57" s="862">
        <f t="shared" ref="V57:AA57" si="72">V14</f>
        <v>0</v>
      </c>
      <c r="W57" s="862">
        <f t="shared" si="72"/>
        <v>0</v>
      </c>
      <c r="X57" s="862">
        <f t="shared" si="72"/>
        <v>0</v>
      </c>
      <c r="Y57" s="862">
        <f t="shared" si="72"/>
        <v>0</v>
      </c>
      <c r="Z57" s="862">
        <f t="shared" si="72"/>
        <v>0</v>
      </c>
      <c r="AA57" s="862">
        <f t="shared" si="72"/>
        <v>0</v>
      </c>
      <c r="AB57" s="862"/>
      <c r="AC57" s="862"/>
      <c r="AD57" s="862"/>
      <c r="AE57" s="869">
        <f t="shared" ref="AE57:AE65" si="73">AF57+AQ57</f>
        <v>0</v>
      </c>
      <c r="AF57" s="869">
        <f>AF14</f>
        <v>0</v>
      </c>
      <c r="AG57" s="862">
        <f t="shared" ref="AG57:AL57" si="74">AG14</f>
        <v>0</v>
      </c>
      <c r="AH57" s="862">
        <f t="shared" si="74"/>
        <v>0</v>
      </c>
      <c r="AI57" s="862">
        <f t="shared" si="74"/>
        <v>0</v>
      </c>
      <c r="AJ57" s="862">
        <f t="shared" si="74"/>
        <v>0</v>
      </c>
      <c r="AK57" s="862">
        <f t="shared" si="74"/>
        <v>0</v>
      </c>
      <c r="AL57" s="862">
        <f t="shared" si="74"/>
        <v>0</v>
      </c>
      <c r="AM57" s="862"/>
      <c r="AN57" s="862"/>
      <c r="AO57" s="862"/>
      <c r="AP57" s="862"/>
      <c r="AQ57" s="869">
        <f>AQ14</f>
        <v>0</v>
      </c>
      <c r="AR57" s="862">
        <f t="shared" ref="AR57:AX57" si="75">AR14</f>
        <v>0</v>
      </c>
      <c r="AS57" s="862">
        <f t="shared" si="75"/>
        <v>0</v>
      </c>
      <c r="AT57" s="862">
        <f t="shared" si="75"/>
        <v>0</v>
      </c>
      <c r="AU57" s="862">
        <f t="shared" si="75"/>
        <v>0</v>
      </c>
      <c r="AV57" s="863">
        <f t="shared" si="75"/>
        <v>0</v>
      </c>
      <c r="AW57" s="863"/>
      <c r="AX57" s="862">
        <f t="shared" si="75"/>
        <v>0</v>
      </c>
      <c r="AY57" s="862"/>
      <c r="AZ57" s="862"/>
      <c r="BA57" s="862"/>
      <c r="BB57" s="862"/>
      <c r="BC57" s="869">
        <f t="shared" ref="BC57:BH57" si="76">BC14</f>
        <v>0</v>
      </c>
      <c r="BD57" s="862">
        <f t="shared" si="76"/>
        <v>0</v>
      </c>
      <c r="BE57" s="862">
        <f t="shared" si="76"/>
        <v>0</v>
      </c>
      <c r="BF57" s="862">
        <f t="shared" si="76"/>
        <v>0</v>
      </c>
      <c r="BG57" s="862">
        <f t="shared" si="76"/>
        <v>0</v>
      </c>
      <c r="BH57" s="863">
        <f t="shared" si="76"/>
        <v>0</v>
      </c>
      <c r="BI57" s="863"/>
      <c r="BJ57" s="862">
        <f>BJ14</f>
        <v>0</v>
      </c>
      <c r="BK57" s="862"/>
      <c r="BL57" s="862"/>
      <c r="BM57" s="862"/>
      <c r="BN57" s="862"/>
      <c r="BO57" s="869"/>
      <c r="BP57" s="869">
        <f>BP14</f>
        <v>0</v>
      </c>
      <c r="BQ57" s="862">
        <f t="shared" ref="BQ57:BV57" si="77">BQ14</f>
        <v>0</v>
      </c>
      <c r="BR57" s="862">
        <f t="shared" si="77"/>
        <v>0</v>
      </c>
      <c r="BS57" s="862">
        <f t="shared" si="77"/>
        <v>0</v>
      </c>
      <c r="BT57" s="862">
        <f t="shared" si="77"/>
        <v>0</v>
      </c>
      <c r="BU57" s="862">
        <f t="shared" si="77"/>
        <v>0</v>
      </c>
      <c r="BV57" s="862">
        <f t="shared" si="77"/>
        <v>0</v>
      </c>
      <c r="BW57" s="862"/>
      <c r="BX57" s="862"/>
      <c r="BY57" s="862"/>
      <c r="BZ57" s="862"/>
      <c r="CA57" s="869">
        <f t="shared" ref="CA57:CF57" si="78">CA14</f>
        <v>0</v>
      </c>
      <c r="CB57" s="862">
        <f t="shared" si="78"/>
        <v>0</v>
      </c>
      <c r="CC57" s="862">
        <f t="shared" si="78"/>
        <v>0</v>
      </c>
      <c r="CD57" s="862">
        <f t="shared" si="78"/>
        <v>0</v>
      </c>
      <c r="CE57" s="862">
        <f t="shared" si="78"/>
        <v>0</v>
      </c>
      <c r="CF57" s="863">
        <f t="shared" si="78"/>
        <v>0</v>
      </c>
      <c r="CG57" s="863"/>
      <c r="CH57" s="862">
        <f>CH14</f>
        <v>0</v>
      </c>
      <c r="CI57" s="862"/>
      <c r="CJ57" s="862"/>
      <c r="CK57" s="862"/>
      <c r="CL57" s="862"/>
      <c r="CM57" s="869">
        <f t="shared" ref="CM57:CR57" si="79">CM14</f>
        <v>0</v>
      </c>
      <c r="CN57" s="862">
        <f t="shared" si="79"/>
        <v>0</v>
      </c>
      <c r="CO57" s="862">
        <f t="shared" si="79"/>
        <v>0</v>
      </c>
      <c r="CP57" s="862">
        <f t="shared" si="79"/>
        <v>0</v>
      </c>
      <c r="CQ57" s="862">
        <f t="shared" si="79"/>
        <v>0</v>
      </c>
      <c r="CR57" s="863">
        <f t="shared" si="79"/>
        <v>0</v>
      </c>
      <c r="CS57" s="863"/>
      <c r="CT57" s="862">
        <f>CT14</f>
        <v>0</v>
      </c>
      <c r="CU57" s="862"/>
      <c r="CV57" s="862"/>
      <c r="CW57" s="862"/>
      <c r="CX57" s="862"/>
    </row>
    <row r="58" spans="2:102" ht="20.25" hidden="1" customHeight="1">
      <c r="B58" s="866">
        <v>3</v>
      </c>
      <c r="C58" s="913" t="s">
        <v>1203</v>
      </c>
      <c r="D58" s="868" t="s">
        <v>1204</v>
      </c>
      <c r="E58" s="869"/>
      <c r="F58" s="869"/>
      <c r="G58" s="869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9"/>
      <c r="V58" s="862"/>
      <c r="W58" s="862"/>
      <c r="X58" s="862"/>
      <c r="Y58" s="862"/>
      <c r="Z58" s="862"/>
      <c r="AA58" s="862"/>
      <c r="AB58" s="862"/>
      <c r="AC58" s="862"/>
      <c r="AD58" s="862"/>
      <c r="AE58" s="869"/>
      <c r="AF58" s="869"/>
      <c r="AG58" s="862"/>
      <c r="AH58" s="862"/>
      <c r="AI58" s="862"/>
      <c r="AJ58" s="862"/>
      <c r="AK58" s="862"/>
      <c r="AL58" s="862"/>
      <c r="AM58" s="862"/>
      <c r="AN58" s="862"/>
      <c r="AO58" s="862"/>
      <c r="AP58" s="862"/>
      <c r="AQ58" s="869"/>
      <c r="AR58" s="862"/>
      <c r="AS58" s="862"/>
      <c r="AT58" s="862"/>
      <c r="AU58" s="862"/>
      <c r="AV58" s="863"/>
      <c r="AW58" s="863"/>
      <c r="AX58" s="862"/>
      <c r="AY58" s="862"/>
      <c r="AZ58" s="862"/>
      <c r="BA58" s="862"/>
      <c r="BB58" s="862"/>
      <c r="BC58" s="869"/>
      <c r="BD58" s="862"/>
      <c r="BE58" s="862"/>
      <c r="BF58" s="862"/>
      <c r="BG58" s="862"/>
      <c r="BH58" s="863"/>
      <c r="BI58" s="863"/>
      <c r="BJ58" s="862"/>
      <c r="BK58" s="862"/>
      <c r="BL58" s="862"/>
      <c r="BM58" s="862"/>
      <c r="BN58" s="862"/>
      <c r="BO58" s="869"/>
      <c r="BP58" s="869"/>
      <c r="BQ58" s="862"/>
      <c r="BR58" s="862"/>
      <c r="BS58" s="862"/>
      <c r="BT58" s="862"/>
      <c r="BU58" s="862"/>
      <c r="BV58" s="862"/>
      <c r="BW58" s="862"/>
      <c r="BX58" s="862"/>
      <c r="BY58" s="862"/>
      <c r="BZ58" s="862"/>
      <c r="CA58" s="869"/>
      <c r="CB58" s="862"/>
      <c r="CC58" s="862"/>
      <c r="CD58" s="862"/>
      <c r="CE58" s="862"/>
      <c r="CF58" s="863"/>
      <c r="CG58" s="863"/>
      <c r="CH58" s="862"/>
      <c r="CI58" s="862"/>
      <c r="CJ58" s="862"/>
      <c r="CK58" s="862"/>
      <c r="CL58" s="862"/>
      <c r="CM58" s="869"/>
      <c r="CN58" s="862"/>
      <c r="CO58" s="862"/>
      <c r="CP58" s="862"/>
      <c r="CQ58" s="862"/>
      <c r="CR58" s="863"/>
      <c r="CS58" s="863"/>
      <c r="CT58" s="862"/>
      <c r="CU58" s="862"/>
      <c r="CV58" s="862"/>
      <c r="CW58" s="862"/>
      <c r="CX58" s="862"/>
    </row>
    <row r="59" spans="2:102" ht="34.5" customHeight="1">
      <c r="B59" s="917" t="s">
        <v>1205</v>
      </c>
      <c r="C59" s="918" t="s">
        <v>1206</v>
      </c>
      <c r="D59" s="842" t="s">
        <v>1204</v>
      </c>
      <c r="E59" s="869"/>
      <c r="F59" s="869"/>
      <c r="G59" s="869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9"/>
      <c r="V59" s="862"/>
      <c r="W59" s="862"/>
      <c r="X59" s="862"/>
      <c r="Y59" s="862"/>
      <c r="Z59" s="862"/>
      <c r="AA59" s="862"/>
      <c r="AB59" s="862"/>
      <c r="AC59" s="862"/>
      <c r="AD59" s="862"/>
      <c r="AE59" s="869"/>
      <c r="AF59" s="869"/>
      <c r="AG59" s="862"/>
      <c r="AH59" s="862"/>
      <c r="AI59" s="862"/>
      <c r="AJ59" s="862"/>
      <c r="AK59" s="862"/>
      <c r="AL59" s="862"/>
      <c r="AM59" s="862"/>
      <c r="AN59" s="862"/>
      <c r="AO59" s="862"/>
      <c r="AP59" s="862"/>
      <c r="AQ59" s="869">
        <f>AQ60+AQ61+AQ62+AQ63+AQ64+AQ65+AQ66</f>
        <v>0</v>
      </c>
      <c r="AR59" s="862"/>
      <c r="AS59" s="862"/>
      <c r="AT59" s="862"/>
      <c r="AU59" s="862"/>
      <c r="AV59" s="863"/>
      <c r="AW59" s="863"/>
      <c r="AX59" s="862"/>
      <c r="AY59" s="862"/>
      <c r="AZ59" s="862"/>
      <c r="BA59" s="862"/>
      <c r="BB59" s="862"/>
      <c r="BC59" s="869">
        <f>BC60+BC61+BC62+BC63+BC64+BC65+BC66</f>
        <v>0</v>
      </c>
      <c r="BD59" s="862"/>
      <c r="BE59" s="862"/>
      <c r="BF59" s="862"/>
      <c r="BG59" s="862"/>
      <c r="BH59" s="863"/>
      <c r="BI59" s="863"/>
      <c r="BJ59" s="862"/>
      <c r="BK59" s="862"/>
      <c r="BL59" s="862"/>
      <c r="BM59" s="862"/>
      <c r="BN59" s="862"/>
      <c r="BO59" s="869"/>
      <c r="BP59" s="869"/>
      <c r="BQ59" s="862"/>
      <c r="BR59" s="862"/>
      <c r="BS59" s="862"/>
      <c r="BT59" s="862"/>
      <c r="BU59" s="862"/>
      <c r="BV59" s="862"/>
      <c r="BW59" s="862"/>
      <c r="BX59" s="862"/>
      <c r="BY59" s="862"/>
      <c r="BZ59" s="862"/>
      <c r="CA59" s="869">
        <f>CA60+CA61+CA62+CA63+CA64+CA65+CA66</f>
        <v>0</v>
      </c>
      <c r="CB59" s="862"/>
      <c r="CC59" s="862"/>
      <c r="CD59" s="862"/>
      <c r="CE59" s="862"/>
      <c r="CF59" s="863"/>
      <c r="CG59" s="863"/>
      <c r="CH59" s="862"/>
      <c r="CI59" s="862"/>
      <c r="CJ59" s="862"/>
      <c r="CK59" s="862"/>
      <c r="CL59" s="862"/>
      <c r="CM59" s="869">
        <f>CM60+CM61+CM62+CM63+CM64+CM65+CM66</f>
        <v>0</v>
      </c>
      <c r="CN59" s="862"/>
      <c r="CO59" s="862"/>
      <c r="CP59" s="862"/>
      <c r="CQ59" s="862"/>
      <c r="CR59" s="863"/>
      <c r="CS59" s="863"/>
      <c r="CT59" s="862"/>
      <c r="CU59" s="862"/>
      <c r="CV59" s="862"/>
      <c r="CW59" s="862"/>
      <c r="CX59" s="862"/>
    </row>
    <row r="60" spans="2:102" ht="20.25" customHeight="1" outlineLevel="1">
      <c r="B60" s="870" t="s">
        <v>1207</v>
      </c>
      <c r="C60" s="871" t="s">
        <v>1208</v>
      </c>
      <c r="D60" s="872" t="s">
        <v>1204</v>
      </c>
      <c r="E60" s="869"/>
      <c r="F60" s="869">
        <f>G60+U60</f>
        <v>0</v>
      </c>
      <c r="G60" s="912"/>
      <c r="H60" s="877"/>
      <c r="I60" s="877"/>
      <c r="J60" s="877"/>
      <c r="K60" s="877"/>
      <c r="L60" s="877"/>
      <c r="M60" s="877"/>
      <c r="N60" s="877"/>
      <c r="O60" s="877"/>
      <c r="P60" s="877"/>
      <c r="Q60" s="877"/>
      <c r="R60" s="877"/>
      <c r="S60" s="877"/>
      <c r="T60" s="877"/>
      <c r="U60" s="869"/>
      <c r="V60" s="877"/>
      <c r="W60" s="877"/>
      <c r="X60" s="877"/>
      <c r="Y60" s="877"/>
      <c r="Z60" s="877"/>
      <c r="AA60" s="877"/>
      <c r="AB60" s="877"/>
      <c r="AC60" s="877"/>
      <c r="AD60" s="877"/>
      <c r="AE60" s="869">
        <f t="shared" si="73"/>
        <v>0</v>
      </c>
      <c r="AF60" s="869"/>
      <c r="AG60" s="877"/>
      <c r="AH60" s="877"/>
      <c r="AI60" s="877"/>
      <c r="AJ60" s="877"/>
      <c r="AK60" s="877"/>
      <c r="AL60" s="877"/>
      <c r="AM60" s="877"/>
      <c r="AN60" s="877"/>
      <c r="AO60" s="877"/>
      <c r="AP60" s="877"/>
      <c r="AQ60" s="878"/>
      <c r="AR60" s="877"/>
      <c r="AS60" s="877"/>
      <c r="AT60" s="877"/>
      <c r="AU60" s="877"/>
      <c r="AV60" s="879"/>
      <c r="AW60" s="879"/>
      <c r="AX60" s="877"/>
      <c r="AY60" s="877"/>
      <c r="AZ60" s="877"/>
      <c r="BA60" s="877"/>
      <c r="BB60" s="877"/>
      <c r="BC60" s="878"/>
      <c r="BD60" s="877"/>
      <c r="BE60" s="877"/>
      <c r="BF60" s="877"/>
      <c r="BG60" s="877"/>
      <c r="BH60" s="879"/>
      <c r="BI60" s="879"/>
      <c r="BJ60" s="877"/>
      <c r="BK60" s="877"/>
      <c r="BL60" s="877"/>
      <c r="BM60" s="877"/>
      <c r="BN60" s="877"/>
      <c r="BO60" s="869"/>
      <c r="BP60" s="869"/>
      <c r="BQ60" s="877"/>
      <c r="BR60" s="877"/>
      <c r="BS60" s="877"/>
      <c r="BT60" s="877"/>
      <c r="BU60" s="877"/>
      <c r="BV60" s="877"/>
      <c r="BW60" s="877"/>
      <c r="BX60" s="877"/>
      <c r="BY60" s="877"/>
      <c r="BZ60" s="877"/>
      <c r="CA60" s="878"/>
      <c r="CB60" s="877"/>
      <c r="CC60" s="877"/>
      <c r="CD60" s="877"/>
      <c r="CE60" s="877"/>
      <c r="CF60" s="879"/>
      <c r="CG60" s="879"/>
      <c r="CH60" s="877"/>
      <c r="CI60" s="877"/>
      <c r="CJ60" s="877"/>
      <c r="CK60" s="877"/>
      <c r="CL60" s="877"/>
      <c r="CM60" s="878"/>
      <c r="CN60" s="877"/>
      <c r="CO60" s="877"/>
      <c r="CP60" s="877"/>
      <c r="CQ60" s="877"/>
      <c r="CR60" s="879"/>
      <c r="CS60" s="879"/>
      <c r="CT60" s="877"/>
      <c r="CU60" s="877"/>
      <c r="CV60" s="877"/>
      <c r="CW60" s="877"/>
      <c r="CX60" s="877"/>
    </row>
    <row r="61" spans="2:102" ht="20.25" customHeight="1" outlineLevel="1">
      <c r="B61" s="870" t="s">
        <v>1209</v>
      </c>
      <c r="C61" s="871" t="s">
        <v>1210</v>
      </c>
      <c r="D61" s="872" t="s">
        <v>1204</v>
      </c>
      <c r="E61" s="869"/>
      <c r="F61" s="919">
        <f>G61+U61</f>
        <v>0</v>
      </c>
      <c r="G61" s="912"/>
      <c r="H61" s="879"/>
      <c r="I61" s="877"/>
      <c r="J61" s="877"/>
      <c r="K61" s="877"/>
      <c r="L61" s="877"/>
      <c r="M61" s="877"/>
      <c r="N61" s="877"/>
      <c r="O61" s="877"/>
      <c r="P61" s="877"/>
      <c r="Q61" s="877"/>
      <c r="R61" s="877"/>
      <c r="S61" s="877"/>
      <c r="T61" s="877"/>
      <c r="U61" s="869"/>
      <c r="V61" s="877"/>
      <c r="W61" s="877"/>
      <c r="X61" s="877"/>
      <c r="Y61" s="877"/>
      <c r="Z61" s="877"/>
      <c r="AA61" s="877"/>
      <c r="AB61" s="877"/>
      <c r="AC61" s="877"/>
      <c r="AD61" s="877"/>
      <c r="AE61" s="869">
        <f t="shared" si="73"/>
        <v>0</v>
      </c>
      <c r="AF61" s="869"/>
      <c r="AG61" s="877"/>
      <c r="AH61" s="877"/>
      <c r="AI61" s="877"/>
      <c r="AJ61" s="877"/>
      <c r="AK61" s="877"/>
      <c r="AL61" s="877"/>
      <c r="AM61" s="877"/>
      <c r="AN61" s="877"/>
      <c r="AO61" s="877"/>
      <c r="AP61" s="877"/>
      <c r="AQ61" s="878"/>
      <c r="AR61" s="877"/>
      <c r="AS61" s="877"/>
      <c r="AT61" s="877"/>
      <c r="AU61" s="877"/>
      <c r="AV61" s="879"/>
      <c r="AW61" s="879"/>
      <c r="AX61" s="877"/>
      <c r="AY61" s="877"/>
      <c r="AZ61" s="877"/>
      <c r="BA61" s="877"/>
      <c r="BB61" s="877"/>
      <c r="BC61" s="878"/>
      <c r="BD61" s="877"/>
      <c r="BE61" s="877"/>
      <c r="BF61" s="877"/>
      <c r="BG61" s="877"/>
      <c r="BH61" s="879"/>
      <c r="BI61" s="879"/>
      <c r="BJ61" s="877"/>
      <c r="BK61" s="877"/>
      <c r="BL61" s="877"/>
      <c r="BM61" s="877"/>
      <c r="BN61" s="877"/>
      <c r="BO61" s="869"/>
      <c r="BP61" s="869"/>
      <c r="BQ61" s="877"/>
      <c r="BR61" s="877"/>
      <c r="BS61" s="877"/>
      <c r="BT61" s="877"/>
      <c r="BU61" s="877"/>
      <c r="BV61" s="877"/>
      <c r="BW61" s="877"/>
      <c r="BX61" s="877"/>
      <c r="BY61" s="877"/>
      <c r="BZ61" s="877"/>
      <c r="CA61" s="878"/>
      <c r="CB61" s="877"/>
      <c r="CC61" s="877"/>
      <c r="CD61" s="877"/>
      <c r="CE61" s="877"/>
      <c r="CF61" s="879"/>
      <c r="CG61" s="879"/>
      <c r="CH61" s="877"/>
      <c r="CI61" s="877"/>
      <c r="CJ61" s="877"/>
      <c r="CK61" s="877"/>
      <c r="CL61" s="877"/>
      <c r="CM61" s="878"/>
      <c r="CN61" s="877"/>
      <c r="CO61" s="877"/>
      <c r="CP61" s="877"/>
      <c r="CQ61" s="877"/>
      <c r="CR61" s="879"/>
      <c r="CS61" s="879"/>
      <c r="CT61" s="877"/>
      <c r="CU61" s="877"/>
      <c r="CV61" s="877"/>
      <c r="CW61" s="877"/>
      <c r="CX61" s="877"/>
    </row>
    <row r="62" spans="2:102" outlineLevel="1">
      <c r="B62" s="870" t="s">
        <v>1211</v>
      </c>
      <c r="C62" s="871" t="s">
        <v>1212</v>
      </c>
      <c r="D62" s="872" t="s">
        <v>1204</v>
      </c>
      <c r="E62" s="869"/>
      <c r="F62" s="869">
        <f>G62+U62</f>
        <v>0</v>
      </c>
      <c r="G62" s="869"/>
      <c r="H62" s="877"/>
      <c r="I62" s="877"/>
      <c r="J62" s="877"/>
      <c r="K62" s="877"/>
      <c r="L62" s="877"/>
      <c r="M62" s="877"/>
      <c r="N62" s="877"/>
      <c r="O62" s="877"/>
      <c r="P62" s="877"/>
      <c r="Q62" s="877"/>
      <c r="R62" s="877"/>
      <c r="S62" s="877"/>
      <c r="T62" s="877"/>
      <c r="U62" s="869"/>
      <c r="V62" s="877"/>
      <c r="W62" s="877"/>
      <c r="X62" s="877"/>
      <c r="Y62" s="877"/>
      <c r="Z62" s="877"/>
      <c r="AA62" s="877"/>
      <c r="AB62" s="877"/>
      <c r="AC62" s="877"/>
      <c r="AD62" s="877"/>
      <c r="AE62" s="869">
        <f t="shared" si="73"/>
        <v>0</v>
      </c>
      <c r="AF62" s="912"/>
      <c r="AG62" s="877"/>
      <c r="AH62" s="877"/>
      <c r="AI62" s="877"/>
      <c r="AJ62" s="877"/>
      <c r="AK62" s="877"/>
      <c r="AL62" s="877"/>
      <c r="AM62" s="877"/>
      <c r="AN62" s="877"/>
      <c r="AO62" s="877"/>
      <c r="AP62" s="877"/>
      <c r="AQ62" s="878"/>
      <c r="AR62" s="877"/>
      <c r="AS62" s="877"/>
      <c r="AT62" s="877"/>
      <c r="AU62" s="877"/>
      <c r="AV62" s="879"/>
      <c r="AW62" s="879"/>
      <c r="AX62" s="877"/>
      <c r="AY62" s="877"/>
      <c r="AZ62" s="877"/>
      <c r="BA62" s="877"/>
      <c r="BB62" s="877"/>
      <c r="BC62" s="878"/>
      <c r="BD62" s="877"/>
      <c r="BE62" s="877"/>
      <c r="BF62" s="877"/>
      <c r="BG62" s="877"/>
      <c r="BH62" s="879"/>
      <c r="BI62" s="879"/>
      <c r="BJ62" s="877"/>
      <c r="BK62" s="877"/>
      <c r="BL62" s="877"/>
      <c r="BM62" s="877"/>
      <c r="BN62" s="877"/>
      <c r="BO62" s="869"/>
      <c r="BP62" s="912"/>
      <c r="BQ62" s="877"/>
      <c r="BR62" s="877"/>
      <c r="BS62" s="877"/>
      <c r="BT62" s="877"/>
      <c r="BU62" s="877"/>
      <c r="BV62" s="877"/>
      <c r="BW62" s="877"/>
      <c r="BX62" s="877"/>
      <c r="BY62" s="877"/>
      <c r="BZ62" s="877"/>
      <c r="CA62" s="878"/>
      <c r="CB62" s="877"/>
      <c r="CC62" s="877"/>
      <c r="CD62" s="877"/>
      <c r="CE62" s="877"/>
      <c r="CF62" s="879"/>
      <c r="CG62" s="879"/>
      <c r="CH62" s="877"/>
      <c r="CI62" s="877"/>
      <c r="CJ62" s="877"/>
      <c r="CK62" s="877"/>
      <c r="CL62" s="877"/>
      <c r="CM62" s="878"/>
      <c r="CN62" s="877"/>
      <c r="CO62" s="877"/>
      <c r="CP62" s="877"/>
      <c r="CQ62" s="877"/>
      <c r="CR62" s="879"/>
      <c r="CS62" s="879"/>
      <c r="CT62" s="877"/>
      <c r="CU62" s="877"/>
      <c r="CV62" s="877"/>
      <c r="CW62" s="877"/>
      <c r="CX62" s="877"/>
    </row>
    <row r="63" spans="2:102" outlineLevel="1">
      <c r="B63" s="870" t="s">
        <v>1213</v>
      </c>
      <c r="C63" s="871" t="s">
        <v>1214</v>
      </c>
      <c r="D63" s="872" t="s">
        <v>1204</v>
      </c>
      <c r="E63" s="869"/>
      <c r="F63" s="869">
        <f>G63+U63</f>
        <v>1.4999999999999999E-2</v>
      </c>
      <c r="G63" s="869">
        <f>15/1000</f>
        <v>1.4999999999999999E-2</v>
      </c>
      <c r="H63" s="877"/>
      <c r="I63" s="877"/>
      <c r="J63" s="877"/>
      <c r="K63" s="877"/>
      <c r="L63" s="877"/>
      <c r="M63" s="877"/>
      <c r="N63" s="877"/>
      <c r="O63" s="877"/>
      <c r="P63" s="877"/>
      <c r="Q63" s="920"/>
      <c r="R63" s="877"/>
      <c r="S63" s="877"/>
      <c r="T63" s="877"/>
      <c r="U63" s="869"/>
      <c r="V63" s="877"/>
      <c r="W63" s="877"/>
      <c r="X63" s="877"/>
      <c r="Y63" s="877"/>
      <c r="Z63" s="877"/>
      <c r="AA63" s="877"/>
      <c r="AB63" s="877"/>
      <c r="AC63" s="877"/>
      <c r="AD63" s="877"/>
      <c r="AE63" s="869">
        <f t="shared" si="73"/>
        <v>0</v>
      </c>
      <c r="AF63" s="912"/>
      <c r="AG63" s="877"/>
      <c r="AH63" s="877"/>
      <c r="AI63" s="877"/>
      <c r="AJ63" s="877"/>
      <c r="AK63" s="877"/>
      <c r="AL63" s="877"/>
      <c r="AM63" s="877"/>
      <c r="AN63" s="877"/>
      <c r="AO63" s="877"/>
      <c r="AP63" s="877"/>
      <c r="AQ63" s="878"/>
      <c r="AR63" s="877"/>
      <c r="AS63" s="877"/>
      <c r="AT63" s="877"/>
      <c r="AU63" s="877"/>
      <c r="AV63" s="879"/>
      <c r="AW63" s="879"/>
      <c r="AX63" s="877"/>
      <c r="AY63" s="877"/>
      <c r="AZ63" s="877"/>
      <c r="BA63" s="877"/>
      <c r="BB63" s="877"/>
      <c r="BC63" s="878"/>
      <c r="BD63" s="877"/>
      <c r="BE63" s="877"/>
      <c r="BF63" s="877"/>
      <c r="BG63" s="877"/>
      <c r="BH63" s="879"/>
      <c r="BI63" s="879"/>
      <c r="BJ63" s="877"/>
      <c r="BK63" s="877"/>
      <c r="BL63" s="877"/>
      <c r="BM63" s="877"/>
      <c r="BN63" s="877"/>
      <c r="BO63" s="869"/>
      <c r="BP63" s="912"/>
      <c r="BQ63" s="877"/>
      <c r="BR63" s="877"/>
      <c r="BS63" s="877"/>
      <c r="BT63" s="877"/>
      <c r="BU63" s="877"/>
      <c r="BV63" s="877"/>
      <c r="BW63" s="877"/>
      <c r="BX63" s="877"/>
      <c r="BY63" s="877"/>
      <c r="BZ63" s="877"/>
      <c r="CA63" s="878"/>
      <c r="CB63" s="877"/>
      <c r="CC63" s="877"/>
      <c r="CD63" s="877"/>
      <c r="CE63" s="877"/>
      <c r="CF63" s="879"/>
      <c r="CG63" s="879"/>
      <c r="CH63" s="877"/>
      <c r="CI63" s="877"/>
      <c r="CJ63" s="877"/>
      <c r="CK63" s="877"/>
      <c r="CL63" s="877"/>
      <c r="CM63" s="878"/>
      <c r="CN63" s="877"/>
      <c r="CO63" s="877"/>
      <c r="CP63" s="877"/>
      <c r="CQ63" s="877"/>
      <c r="CR63" s="879"/>
      <c r="CS63" s="879"/>
      <c r="CT63" s="877"/>
      <c r="CU63" s="877"/>
      <c r="CV63" s="877"/>
      <c r="CW63" s="877"/>
      <c r="CX63" s="877"/>
    </row>
    <row r="64" spans="2:102" ht="21.75" hidden="1" outlineLevel="1" thickTop="1" thickBot="1">
      <c r="B64" s="870" t="s">
        <v>1215</v>
      </c>
      <c r="C64" s="871" t="s">
        <v>1216</v>
      </c>
      <c r="D64" s="872" t="s">
        <v>1204</v>
      </c>
      <c r="E64" s="869"/>
      <c r="F64" s="869">
        <f>G64+U64</f>
        <v>0</v>
      </c>
      <c r="G64" s="869"/>
      <c r="H64" s="877"/>
      <c r="I64" s="877"/>
      <c r="J64" s="877"/>
      <c r="K64" s="877"/>
      <c r="L64" s="877"/>
      <c r="M64" s="877"/>
      <c r="N64" s="877"/>
      <c r="O64" s="877"/>
      <c r="P64" s="877"/>
      <c r="Q64" s="883"/>
      <c r="R64" s="877"/>
      <c r="S64" s="877"/>
      <c r="T64" s="877"/>
      <c r="U64" s="869"/>
      <c r="V64" s="877"/>
      <c r="W64" s="877"/>
      <c r="X64" s="877"/>
      <c r="Y64" s="877"/>
      <c r="Z64" s="877"/>
      <c r="AA64" s="877"/>
      <c r="AB64" s="877"/>
      <c r="AC64" s="877"/>
      <c r="AD64" s="877"/>
      <c r="AE64" s="869">
        <f t="shared" si="73"/>
        <v>0</v>
      </c>
      <c r="AF64" s="873"/>
      <c r="AG64" s="877"/>
      <c r="AH64" s="877"/>
      <c r="AI64" s="877"/>
      <c r="AJ64" s="877"/>
      <c r="AK64" s="877"/>
      <c r="AL64" s="877"/>
      <c r="AM64" s="877"/>
      <c r="AN64" s="877"/>
      <c r="AO64" s="877"/>
      <c r="AP64" s="877"/>
      <c r="AQ64" s="878"/>
      <c r="AR64" s="877"/>
      <c r="AS64" s="877"/>
      <c r="AT64" s="877"/>
      <c r="AU64" s="877"/>
      <c r="AV64" s="879"/>
      <c r="AW64" s="879"/>
      <c r="AX64" s="877"/>
      <c r="AY64" s="877"/>
      <c r="AZ64" s="877"/>
      <c r="BA64" s="877"/>
      <c r="BB64" s="877"/>
      <c r="BC64" s="878"/>
      <c r="BD64" s="877"/>
      <c r="BE64" s="877"/>
      <c r="BF64" s="877"/>
      <c r="BG64" s="877"/>
      <c r="BH64" s="879"/>
      <c r="BI64" s="879"/>
      <c r="BJ64" s="877"/>
      <c r="BK64" s="877"/>
      <c r="BL64" s="877"/>
      <c r="BM64" s="877"/>
      <c r="BN64" s="877"/>
      <c r="BO64" s="869"/>
      <c r="BP64" s="873"/>
      <c r="BQ64" s="877"/>
      <c r="BR64" s="877"/>
      <c r="BS64" s="877"/>
      <c r="BT64" s="877"/>
      <c r="BU64" s="877"/>
      <c r="BV64" s="877"/>
      <c r="BW64" s="877"/>
      <c r="BX64" s="877"/>
      <c r="BY64" s="877"/>
      <c r="BZ64" s="877"/>
      <c r="CA64" s="878"/>
      <c r="CB64" s="877"/>
      <c r="CC64" s="877"/>
      <c r="CD64" s="877"/>
      <c r="CE64" s="877"/>
      <c r="CF64" s="879"/>
      <c r="CG64" s="879"/>
      <c r="CH64" s="877"/>
      <c r="CI64" s="877"/>
      <c r="CJ64" s="877"/>
      <c r="CK64" s="877"/>
      <c r="CL64" s="877"/>
      <c r="CM64" s="878"/>
      <c r="CN64" s="877"/>
      <c r="CO64" s="877"/>
      <c r="CP64" s="877"/>
      <c r="CQ64" s="877"/>
      <c r="CR64" s="879"/>
      <c r="CS64" s="879"/>
      <c r="CT64" s="877"/>
      <c r="CU64" s="877"/>
      <c r="CV64" s="877"/>
      <c r="CW64" s="877"/>
      <c r="CX64" s="877"/>
    </row>
    <row r="65" spans="2:102" hidden="1" outlineLevel="1">
      <c r="B65" s="870" t="s">
        <v>1217</v>
      </c>
      <c r="C65" s="871" t="s">
        <v>1218</v>
      </c>
      <c r="D65" s="872" t="s">
        <v>1204</v>
      </c>
      <c r="E65" s="869"/>
      <c r="F65" s="869"/>
      <c r="G65" s="869"/>
      <c r="H65" s="877"/>
      <c r="I65" s="877"/>
      <c r="J65" s="877"/>
      <c r="K65" s="877"/>
      <c r="L65" s="877"/>
      <c r="M65" s="877"/>
      <c r="N65" s="877"/>
      <c r="O65" s="877"/>
      <c r="P65" s="877"/>
      <c r="Q65" s="877"/>
      <c r="R65" s="877"/>
      <c r="S65" s="877"/>
      <c r="T65" s="877"/>
      <c r="U65" s="869"/>
      <c r="V65" s="877"/>
      <c r="W65" s="877"/>
      <c r="X65" s="877"/>
      <c r="Y65" s="877"/>
      <c r="Z65" s="877"/>
      <c r="AA65" s="877"/>
      <c r="AB65" s="877"/>
      <c r="AC65" s="877"/>
      <c r="AD65" s="877"/>
      <c r="AE65" s="869">
        <f t="shared" si="73"/>
        <v>0</v>
      </c>
      <c r="AF65" s="912"/>
      <c r="AG65" s="877"/>
      <c r="AH65" s="877"/>
      <c r="AI65" s="877"/>
      <c r="AJ65" s="877"/>
      <c r="AK65" s="877"/>
      <c r="AL65" s="877"/>
      <c r="AM65" s="877"/>
      <c r="AN65" s="877"/>
      <c r="AO65" s="877"/>
      <c r="AP65" s="877"/>
      <c r="AQ65" s="878"/>
      <c r="AR65" s="877"/>
      <c r="AS65" s="877"/>
      <c r="AT65" s="877"/>
      <c r="AU65" s="877"/>
      <c r="AV65" s="879"/>
      <c r="AW65" s="879"/>
      <c r="AX65" s="877"/>
      <c r="AY65" s="877"/>
      <c r="AZ65" s="877"/>
      <c r="BA65" s="877"/>
      <c r="BB65" s="877"/>
      <c r="BC65" s="878"/>
      <c r="BD65" s="877"/>
      <c r="BE65" s="877"/>
      <c r="BF65" s="877"/>
      <c r="BG65" s="877"/>
      <c r="BH65" s="879"/>
      <c r="BI65" s="879"/>
      <c r="BJ65" s="877"/>
      <c r="BK65" s="877"/>
      <c r="BL65" s="877"/>
      <c r="BM65" s="877"/>
      <c r="BN65" s="877"/>
      <c r="BO65" s="869"/>
      <c r="BP65" s="912"/>
      <c r="BQ65" s="877"/>
      <c r="BR65" s="877"/>
      <c r="BS65" s="877"/>
      <c r="BT65" s="877"/>
      <c r="BU65" s="877"/>
      <c r="BV65" s="877"/>
      <c r="BW65" s="877"/>
      <c r="BX65" s="877"/>
      <c r="BY65" s="877"/>
      <c r="BZ65" s="877"/>
      <c r="CA65" s="878"/>
      <c r="CB65" s="877"/>
      <c r="CC65" s="877"/>
      <c r="CD65" s="877"/>
      <c r="CE65" s="877"/>
      <c r="CF65" s="879"/>
      <c r="CG65" s="879"/>
      <c r="CH65" s="877"/>
      <c r="CI65" s="877"/>
      <c r="CJ65" s="877"/>
      <c r="CK65" s="877"/>
      <c r="CL65" s="877"/>
      <c r="CM65" s="878"/>
      <c r="CN65" s="877"/>
      <c r="CO65" s="877"/>
      <c r="CP65" s="877"/>
      <c r="CQ65" s="877"/>
      <c r="CR65" s="879"/>
      <c r="CS65" s="879"/>
      <c r="CT65" s="877"/>
      <c r="CU65" s="877"/>
      <c r="CV65" s="877"/>
      <c r="CW65" s="877"/>
      <c r="CX65" s="877"/>
    </row>
    <row r="66" spans="2:102" ht="27.75" hidden="1" customHeight="1">
      <c r="B66" s="870" t="s">
        <v>1219</v>
      </c>
      <c r="C66" s="871" t="s">
        <v>1220</v>
      </c>
      <c r="D66" s="872" t="s">
        <v>1204</v>
      </c>
      <c r="E66" s="869"/>
      <c r="F66" s="869">
        <f>G66+U66</f>
        <v>0</v>
      </c>
      <c r="G66" s="869"/>
      <c r="H66" s="877"/>
      <c r="I66" s="877"/>
      <c r="J66" s="877"/>
      <c r="K66" s="877"/>
      <c r="L66" s="877"/>
      <c r="M66" s="877"/>
      <c r="N66" s="877"/>
      <c r="O66" s="877"/>
      <c r="P66" s="877"/>
      <c r="Q66" s="877"/>
      <c r="R66" s="877"/>
      <c r="S66" s="877"/>
      <c r="T66" s="877"/>
      <c r="U66" s="869"/>
      <c r="V66" s="877"/>
      <c r="W66" s="877"/>
      <c r="X66" s="877"/>
      <c r="Y66" s="877"/>
      <c r="Z66" s="877"/>
      <c r="AA66" s="877"/>
      <c r="AB66" s="877"/>
      <c r="AC66" s="877"/>
      <c r="AD66" s="877"/>
      <c r="AE66" s="869">
        <f>AF66+AQ66+BC66</f>
        <v>0</v>
      </c>
      <c r="AF66" s="869"/>
      <c r="AG66" s="877"/>
      <c r="AH66" s="877"/>
      <c r="AI66" s="877"/>
      <c r="AJ66" s="877"/>
      <c r="AK66" s="877"/>
      <c r="AL66" s="877"/>
      <c r="AM66" s="877"/>
      <c r="AN66" s="877"/>
      <c r="AO66" s="877"/>
      <c r="AP66" s="877"/>
      <c r="AQ66" s="878"/>
      <c r="AR66" s="877"/>
      <c r="AS66" s="877"/>
      <c r="AT66" s="877"/>
      <c r="AU66" s="877"/>
      <c r="AV66" s="879"/>
      <c r="AW66" s="879"/>
      <c r="AX66" s="877"/>
      <c r="AY66" s="877"/>
      <c r="AZ66" s="877"/>
      <c r="BA66" s="877"/>
      <c r="BB66" s="877"/>
      <c r="BC66" s="878">
        <f>BM66</f>
        <v>0</v>
      </c>
      <c r="BD66" s="877"/>
      <c r="BE66" s="877"/>
      <c r="BF66" s="877"/>
      <c r="BG66" s="877"/>
      <c r="BH66" s="879"/>
      <c r="BI66" s="879"/>
      <c r="BJ66" s="877"/>
      <c r="BK66" s="877"/>
      <c r="BL66" s="877"/>
      <c r="BM66" s="877"/>
      <c r="BN66" s="877"/>
      <c r="BO66" s="869"/>
      <c r="BP66" s="869"/>
      <c r="BQ66" s="877"/>
      <c r="BR66" s="877"/>
      <c r="BS66" s="877"/>
      <c r="BT66" s="877"/>
      <c r="BU66" s="877"/>
      <c r="BV66" s="877"/>
      <c r="BW66" s="877"/>
      <c r="BX66" s="877"/>
      <c r="BY66" s="877"/>
      <c r="BZ66" s="877"/>
      <c r="CA66" s="878"/>
      <c r="CB66" s="877"/>
      <c r="CC66" s="877"/>
      <c r="CD66" s="877"/>
      <c r="CE66" s="877"/>
      <c r="CF66" s="879"/>
      <c r="CG66" s="879"/>
      <c r="CH66" s="877"/>
      <c r="CI66" s="877"/>
      <c r="CJ66" s="877"/>
      <c r="CK66" s="877"/>
      <c r="CL66" s="877"/>
      <c r="CM66" s="878"/>
      <c r="CN66" s="877"/>
      <c r="CO66" s="877"/>
      <c r="CP66" s="877"/>
      <c r="CQ66" s="877"/>
      <c r="CR66" s="879"/>
      <c r="CS66" s="879"/>
      <c r="CT66" s="877"/>
      <c r="CU66" s="877"/>
      <c r="CV66" s="877"/>
      <c r="CW66" s="877"/>
      <c r="CX66" s="877"/>
    </row>
    <row r="67" spans="2:102" ht="42.75" customHeight="1">
      <c r="B67" s="866">
        <v>4</v>
      </c>
      <c r="C67" s="913" t="s">
        <v>1221</v>
      </c>
      <c r="D67" s="922" t="s">
        <v>1222</v>
      </c>
      <c r="E67" s="869"/>
      <c r="F67" s="923">
        <f>SUM(G67,U67)</f>
        <v>65.459999999999994</v>
      </c>
      <c r="G67" s="923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923">
        <v>65.459999999999994</v>
      </c>
      <c r="V67" s="862"/>
      <c r="W67" s="862"/>
      <c r="X67" s="862"/>
      <c r="Y67" s="862"/>
      <c r="Z67" s="862"/>
      <c r="AA67" s="862"/>
      <c r="AB67" s="862"/>
      <c r="AC67" s="862"/>
      <c r="AD67" s="862"/>
      <c r="AE67" s="923">
        <f>CM67</f>
        <v>0</v>
      </c>
      <c r="AF67" s="923"/>
      <c r="AG67" s="924"/>
      <c r="AH67" s="924"/>
      <c r="AI67" s="924"/>
      <c r="AJ67" s="924"/>
      <c r="AK67" s="924"/>
      <c r="AL67" s="924"/>
      <c r="AM67" s="924"/>
      <c r="AN67" s="924"/>
      <c r="AO67" s="924"/>
      <c r="AP67" s="924"/>
      <c r="AQ67" s="869"/>
      <c r="AR67" s="862"/>
      <c r="AS67" s="862"/>
      <c r="AT67" s="862"/>
      <c r="AU67" s="862"/>
      <c r="AV67" s="863"/>
      <c r="AW67" s="863"/>
      <c r="AX67" s="862"/>
      <c r="AY67" s="862"/>
      <c r="AZ67" s="862"/>
      <c r="BA67" s="862"/>
      <c r="BB67" s="862"/>
      <c r="BC67" s="923"/>
      <c r="BD67" s="862"/>
      <c r="BE67" s="862"/>
      <c r="BF67" s="862"/>
      <c r="BG67" s="862"/>
      <c r="BH67" s="863"/>
      <c r="BI67" s="863"/>
      <c r="BJ67" s="862"/>
      <c r="BK67" s="862"/>
      <c r="BL67" s="862"/>
      <c r="BM67" s="862"/>
      <c r="BN67" s="862"/>
      <c r="BO67" s="923"/>
      <c r="BP67" s="923"/>
      <c r="BQ67" s="924"/>
      <c r="BR67" s="924"/>
      <c r="BS67" s="924"/>
      <c r="BT67" s="924"/>
      <c r="BU67" s="924"/>
      <c r="BV67" s="924"/>
      <c r="BW67" s="924"/>
      <c r="BX67" s="924"/>
      <c r="BY67" s="924"/>
      <c r="BZ67" s="924"/>
      <c r="CA67" s="869"/>
      <c r="CB67" s="862"/>
      <c r="CC67" s="862"/>
      <c r="CD67" s="862"/>
      <c r="CE67" s="862"/>
      <c r="CF67" s="863"/>
      <c r="CG67" s="863"/>
      <c r="CH67" s="862"/>
      <c r="CI67" s="862"/>
      <c r="CJ67" s="862"/>
      <c r="CK67" s="862"/>
      <c r="CL67" s="862"/>
      <c r="CM67" s="923"/>
      <c r="CN67" s="862"/>
      <c r="CO67" s="862"/>
      <c r="CP67" s="862"/>
      <c r="CQ67" s="862"/>
      <c r="CR67" s="863"/>
      <c r="CS67" s="863"/>
      <c r="CT67" s="862"/>
      <c r="CU67" s="862"/>
      <c r="CV67" s="862"/>
      <c r="CW67" s="862"/>
      <c r="CX67" s="862"/>
    </row>
    <row r="68" spans="2:102" ht="20.25" hidden="1" customHeight="1" outlineLevel="1">
      <c r="B68" s="925">
        <v>5</v>
      </c>
      <c r="C68" s="926" t="s">
        <v>1223</v>
      </c>
      <c r="D68" s="927"/>
      <c r="E68" s="928"/>
      <c r="F68" s="928"/>
      <c r="G68" s="928"/>
      <c r="H68" s="929"/>
      <c r="I68" s="929"/>
      <c r="J68" s="929"/>
      <c r="K68" s="929"/>
      <c r="L68" s="929"/>
      <c r="M68" s="929"/>
      <c r="N68" s="929"/>
      <c r="O68" s="929"/>
      <c r="P68" s="929"/>
      <c r="Q68" s="929"/>
      <c r="R68" s="929"/>
      <c r="S68" s="929"/>
      <c r="T68" s="929"/>
      <c r="U68" s="928"/>
      <c r="V68" s="929"/>
      <c r="W68" s="929"/>
      <c r="X68" s="929"/>
      <c r="Y68" s="929"/>
      <c r="Z68" s="929"/>
      <c r="AA68" s="929"/>
      <c r="AB68" s="929"/>
      <c r="AC68" s="929"/>
      <c r="AD68" s="929"/>
      <c r="AE68" s="928"/>
      <c r="AF68" s="928"/>
      <c r="AG68" s="929"/>
      <c r="AH68" s="929"/>
      <c r="AI68" s="929"/>
      <c r="AJ68" s="929"/>
      <c r="AK68" s="929"/>
      <c r="AL68" s="929"/>
      <c r="AM68" s="929"/>
      <c r="AN68" s="929"/>
      <c r="AO68" s="929"/>
      <c r="AP68" s="929"/>
      <c r="AQ68" s="928"/>
      <c r="AR68" s="929"/>
      <c r="AS68" s="929"/>
      <c r="AT68" s="929"/>
      <c r="AU68" s="929"/>
      <c r="AV68" s="930"/>
      <c r="AW68" s="930"/>
      <c r="AX68" s="929"/>
      <c r="AY68" s="929"/>
      <c r="AZ68" s="929"/>
      <c r="BA68" s="929"/>
      <c r="BB68" s="929"/>
      <c r="BC68" s="928"/>
      <c r="BD68" s="929"/>
      <c r="BE68" s="929"/>
      <c r="BF68" s="929"/>
      <c r="BG68" s="929"/>
      <c r="BH68" s="930"/>
      <c r="BI68" s="930"/>
      <c r="BJ68" s="929"/>
      <c r="BK68" s="929"/>
      <c r="BL68" s="929"/>
      <c r="BM68" s="929"/>
      <c r="BN68" s="929"/>
      <c r="BO68" s="928"/>
      <c r="BP68" s="928"/>
      <c r="BQ68" s="929"/>
      <c r="BR68" s="929"/>
      <c r="BS68" s="929"/>
      <c r="BT68" s="929"/>
      <c r="BU68" s="929"/>
      <c r="BV68" s="929"/>
      <c r="BW68" s="929"/>
      <c r="BX68" s="929"/>
      <c r="BY68" s="929"/>
      <c r="BZ68" s="929"/>
      <c r="CA68" s="928"/>
      <c r="CB68" s="929"/>
      <c r="CC68" s="929"/>
      <c r="CD68" s="929"/>
      <c r="CE68" s="929"/>
      <c r="CF68" s="930"/>
      <c r="CG68" s="930"/>
      <c r="CH68" s="929"/>
      <c r="CI68" s="929"/>
      <c r="CJ68" s="929"/>
      <c r="CK68" s="929"/>
      <c r="CL68" s="929"/>
      <c r="CM68" s="928"/>
      <c r="CN68" s="929"/>
      <c r="CO68" s="929"/>
      <c r="CP68" s="929"/>
      <c r="CQ68" s="929"/>
      <c r="CR68" s="930"/>
      <c r="CS68" s="930"/>
      <c r="CT68" s="929"/>
      <c r="CU68" s="929"/>
      <c r="CV68" s="929"/>
      <c r="CW68" s="929"/>
      <c r="CX68" s="929"/>
    </row>
    <row r="69" spans="2:102" ht="20.25" hidden="1" customHeight="1" outlineLevel="1">
      <c r="B69" s="866" t="s">
        <v>1224</v>
      </c>
      <c r="C69" s="867" t="s">
        <v>1225</v>
      </c>
      <c r="D69" s="868" t="s">
        <v>1226</v>
      </c>
      <c r="E69" s="869"/>
      <c r="F69" s="869"/>
      <c r="G69" s="869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9"/>
      <c r="V69" s="862"/>
      <c r="W69" s="862"/>
      <c r="X69" s="862"/>
      <c r="Y69" s="862"/>
      <c r="Z69" s="862"/>
      <c r="AA69" s="862"/>
      <c r="AB69" s="862"/>
      <c r="AC69" s="862"/>
      <c r="AD69" s="862"/>
      <c r="AE69" s="869"/>
      <c r="AF69" s="869"/>
      <c r="AG69" s="862"/>
      <c r="AH69" s="862"/>
      <c r="AI69" s="862"/>
      <c r="AJ69" s="862"/>
      <c r="AK69" s="862"/>
      <c r="AL69" s="862"/>
      <c r="AM69" s="862"/>
      <c r="AN69" s="862"/>
      <c r="AO69" s="862"/>
      <c r="AP69" s="862"/>
      <c r="AQ69" s="869"/>
      <c r="AR69" s="862"/>
      <c r="AS69" s="862"/>
      <c r="AT69" s="862"/>
      <c r="AU69" s="862"/>
      <c r="AV69" s="863"/>
      <c r="AW69" s="863"/>
      <c r="AX69" s="862"/>
      <c r="AY69" s="862"/>
      <c r="AZ69" s="862"/>
      <c r="BA69" s="862"/>
      <c r="BB69" s="862"/>
      <c r="BC69" s="869"/>
      <c r="BD69" s="862"/>
      <c r="BE69" s="862"/>
      <c r="BF69" s="862"/>
      <c r="BG69" s="862"/>
      <c r="BH69" s="863"/>
      <c r="BI69" s="863"/>
      <c r="BJ69" s="862"/>
      <c r="BK69" s="862"/>
      <c r="BL69" s="862"/>
      <c r="BM69" s="862"/>
      <c r="BN69" s="862"/>
      <c r="BO69" s="869"/>
      <c r="BP69" s="869"/>
      <c r="BQ69" s="862"/>
      <c r="BR69" s="862"/>
      <c r="BS69" s="862"/>
      <c r="BT69" s="862"/>
      <c r="BU69" s="862"/>
      <c r="BV69" s="862"/>
      <c r="BW69" s="862"/>
      <c r="BX69" s="862"/>
      <c r="BY69" s="862"/>
      <c r="BZ69" s="862"/>
      <c r="CA69" s="869"/>
      <c r="CB69" s="862"/>
      <c r="CC69" s="862"/>
      <c r="CD69" s="862"/>
      <c r="CE69" s="862"/>
      <c r="CF69" s="863"/>
      <c r="CG69" s="863"/>
      <c r="CH69" s="862"/>
      <c r="CI69" s="862"/>
      <c r="CJ69" s="862"/>
      <c r="CK69" s="862"/>
      <c r="CL69" s="862"/>
      <c r="CM69" s="869"/>
      <c r="CN69" s="862"/>
      <c r="CO69" s="862"/>
      <c r="CP69" s="862"/>
      <c r="CQ69" s="862"/>
      <c r="CR69" s="863"/>
      <c r="CS69" s="863"/>
      <c r="CT69" s="862"/>
      <c r="CU69" s="862"/>
      <c r="CV69" s="862"/>
      <c r="CW69" s="862"/>
      <c r="CX69" s="862"/>
    </row>
    <row r="70" spans="2:102" ht="40.5" hidden="1" customHeight="1" outlineLevel="1">
      <c r="B70" s="866" t="s">
        <v>1227</v>
      </c>
      <c r="C70" s="867" t="s">
        <v>1228</v>
      </c>
      <c r="D70" s="868"/>
      <c r="E70" s="869"/>
      <c r="F70" s="869"/>
      <c r="G70" s="869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9"/>
      <c r="V70" s="862"/>
      <c r="W70" s="862"/>
      <c r="X70" s="862"/>
      <c r="Y70" s="862"/>
      <c r="Z70" s="862"/>
      <c r="AA70" s="862"/>
      <c r="AB70" s="862"/>
      <c r="AC70" s="862"/>
      <c r="AD70" s="862"/>
      <c r="AE70" s="869"/>
      <c r="AF70" s="869"/>
      <c r="AG70" s="862"/>
      <c r="AH70" s="862"/>
      <c r="AI70" s="862"/>
      <c r="AJ70" s="862"/>
      <c r="AK70" s="862"/>
      <c r="AL70" s="862"/>
      <c r="AM70" s="862"/>
      <c r="AN70" s="862"/>
      <c r="AO70" s="862"/>
      <c r="AP70" s="862"/>
      <c r="AQ70" s="869"/>
      <c r="AR70" s="862"/>
      <c r="AS70" s="862"/>
      <c r="AT70" s="862"/>
      <c r="AU70" s="862"/>
      <c r="AV70" s="863"/>
      <c r="AW70" s="863"/>
      <c r="AX70" s="862"/>
      <c r="AY70" s="862"/>
      <c r="AZ70" s="862"/>
      <c r="BA70" s="862"/>
      <c r="BB70" s="862"/>
      <c r="BC70" s="869"/>
      <c r="BD70" s="862"/>
      <c r="BE70" s="862"/>
      <c r="BF70" s="862"/>
      <c r="BG70" s="862"/>
      <c r="BH70" s="863"/>
      <c r="BI70" s="863"/>
      <c r="BJ70" s="862"/>
      <c r="BK70" s="862"/>
      <c r="BL70" s="862"/>
      <c r="BM70" s="862"/>
      <c r="BN70" s="862"/>
      <c r="BO70" s="869"/>
      <c r="BP70" s="869"/>
      <c r="BQ70" s="862"/>
      <c r="BR70" s="862"/>
      <c r="BS70" s="862"/>
      <c r="BT70" s="862"/>
      <c r="BU70" s="862"/>
      <c r="BV70" s="862"/>
      <c r="BW70" s="862"/>
      <c r="BX70" s="862"/>
      <c r="BY70" s="862"/>
      <c r="BZ70" s="862"/>
      <c r="CA70" s="869"/>
      <c r="CB70" s="862"/>
      <c r="CC70" s="862"/>
      <c r="CD70" s="862"/>
      <c r="CE70" s="862"/>
      <c r="CF70" s="863"/>
      <c r="CG70" s="863"/>
      <c r="CH70" s="862"/>
      <c r="CI70" s="862"/>
      <c r="CJ70" s="862"/>
      <c r="CK70" s="862"/>
      <c r="CL70" s="862"/>
      <c r="CM70" s="869"/>
      <c r="CN70" s="862"/>
      <c r="CO70" s="862"/>
      <c r="CP70" s="862"/>
      <c r="CQ70" s="862"/>
      <c r="CR70" s="863"/>
      <c r="CS70" s="863"/>
      <c r="CT70" s="862"/>
      <c r="CU70" s="862"/>
      <c r="CV70" s="862"/>
      <c r="CW70" s="862"/>
      <c r="CX70" s="862"/>
    </row>
    <row r="71" spans="2:102" ht="20.25" hidden="1" customHeight="1" outlineLevel="1">
      <c r="B71" s="870" t="s">
        <v>1229</v>
      </c>
      <c r="C71" s="871" t="s">
        <v>1230</v>
      </c>
      <c r="D71" s="872" t="s">
        <v>1083</v>
      </c>
      <c r="E71" s="869"/>
      <c r="F71" s="869">
        <f t="shared" ref="F71:F77" si="80">G71+U71</f>
        <v>0</v>
      </c>
      <c r="G71" s="869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77"/>
      <c r="U71" s="869"/>
      <c r="V71" s="877"/>
      <c r="W71" s="877"/>
      <c r="X71" s="877"/>
      <c r="Y71" s="877"/>
      <c r="Z71" s="877"/>
      <c r="AA71" s="877"/>
      <c r="AB71" s="877"/>
      <c r="AC71" s="877"/>
      <c r="AD71" s="877"/>
      <c r="AE71" s="869"/>
      <c r="AF71" s="869"/>
      <c r="AG71" s="877"/>
      <c r="AH71" s="877"/>
      <c r="AI71" s="877"/>
      <c r="AJ71" s="877"/>
      <c r="AK71" s="877"/>
      <c r="AL71" s="877"/>
      <c r="AM71" s="877"/>
      <c r="AN71" s="877"/>
      <c r="AO71" s="877"/>
      <c r="AP71" s="877"/>
      <c r="AQ71" s="878"/>
      <c r="AR71" s="877"/>
      <c r="AS71" s="877"/>
      <c r="AT71" s="877"/>
      <c r="AU71" s="877"/>
      <c r="AV71" s="879"/>
      <c r="AW71" s="879"/>
      <c r="AX71" s="877"/>
      <c r="AY71" s="877"/>
      <c r="AZ71" s="877"/>
      <c r="BA71" s="877"/>
      <c r="BB71" s="877"/>
      <c r="BC71" s="878"/>
      <c r="BD71" s="877"/>
      <c r="BE71" s="877"/>
      <c r="BF71" s="877"/>
      <c r="BG71" s="877"/>
      <c r="BH71" s="879"/>
      <c r="BI71" s="879"/>
      <c r="BJ71" s="877"/>
      <c r="BK71" s="877"/>
      <c r="BL71" s="877"/>
      <c r="BM71" s="877"/>
      <c r="BN71" s="877"/>
      <c r="BO71" s="869"/>
      <c r="BP71" s="869"/>
      <c r="BQ71" s="877"/>
      <c r="BR71" s="877"/>
      <c r="BS71" s="877"/>
      <c r="BT71" s="877"/>
      <c r="BU71" s="877"/>
      <c r="BV71" s="877"/>
      <c r="BW71" s="877"/>
      <c r="BX71" s="877"/>
      <c r="BY71" s="877"/>
      <c r="BZ71" s="877"/>
      <c r="CA71" s="878"/>
      <c r="CB71" s="877"/>
      <c r="CC71" s="877"/>
      <c r="CD71" s="877"/>
      <c r="CE71" s="877"/>
      <c r="CF71" s="879"/>
      <c r="CG71" s="879"/>
      <c r="CH71" s="877"/>
      <c r="CI71" s="877"/>
      <c r="CJ71" s="877"/>
      <c r="CK71" s="877"/>
      <c r="CL71" s="877"/>
      <c r="CM71" s="878"/>
      <c r="CN71" s="877"/>
      <c r="CO71" s="877"/>
      <c r="CP71" s="877"/>
      <c r="CQ71" s="877"/>
      <c r="CR71" s="879"/>
      <c r="CS71" s="879"/>
      <c r="CT71" s="877"/>
      <c r="CU71" s="877"/>
      <c r="CV71" s="877"/>
      <c r="CW71" s="877"/>
      <c r="CX71" s="877"/>
    </row>
    <row r="72" spans="2:102" ht="20.25" hidden="1" customHeight="1" outlineLevel="1">
      <c r="B72" s="870" t="s">
        <v>1231</v>
      </c>
      <c r="C72" s="871" t="s">
        <v>1232</v>
      </c>
      <c r="D72" s="872" t="s">
        <v>1083</v>
      </c>
      <c r="E72" s="869"/>
      <c r="F72" s="869">
        <f t="shared" si="80"/>
        <v>0</v>
      </c>
      <c r="G72" s="869"/>
      <c r="H72" s="877"/>
      <c r="I72" s="877"/>
      <c r="J72" s="877"/>
      <c r="K72" s="877"/>
      <c r="L72" s="877"/>
      <c r="M72" s="877"/>
      <c r="N72" s="877"/>
      <c r="O72" s="877"/>
      <c r="P72" s="877"/>
      <c r="Q72" s="877"/>
      <c r="R72" s="877"/>
      <c r="S72" s="877"/>
      <c r="T72" s="877"/>
      <c r="U72" s="869"/>
      <c r="V72" s="877"/>
      <c r="W72" s="877"/>
      <c r="X72" s="877"/>
      <c r="Y72" s="877"/>
      <c r="Z72" s="877"/>
      <c r="AA72" s="877"/>
      <c r="AB72" s="877"/>
      <c r="AC72" s="877"/>
      <c r="AD72" s="877"/>
      <c r="AE72" s="869"/>
      <c r="AF72" s="869"/>
      <c r="AG72" s="877"/>
      <c r="AH72" s="877"/>
      <c r="AI72" s="877"/>
      <c r="AJ72" s="877"/>
      <c r="AK72" s="877"/>
      <c r="AL72" s="877"/>
      <c r="AM72" s="877"/>
      <c r="AN72" s="877"/>
      <c r="AO72" s="877"/>
      <c r="AP72" s="877"/>
      <c r="AQ72" s="878"/>
      <c r="AR72" s="877"/>
      <c r="AS72" s="877"/>
      <c r="AT72" s="877"/>
      <c r="AU72" s="877"/>
      <c r="AV72" s="879"/>
      <c r="AW72" s="879"/>
      <c r="AX72" s="877"/>
      <c r="AY72" s="877"/>
      <c r="AZ72" s="877"/>
      <c r="BA72" s="877"/>
      <c r="BB72" s="877"/>
      <c r="BC72" s="878"/>
      <c r="BD72" s="877"/>
      <c r="BE72" s="877"/>
      <c r="BF72" s="877"/>
      <c r="BG72" s="877"/>
      <c r="BH72" s="879"/>
      <c r="BI72" s="879"/>
      <c r="BJ72" s="877"/>
      <c r="BK72" s="877"/>
      <c r="BL72" s="877"/>
      <c r="BM72" s="877"/>
      <c r="BN72" s="877"/>
      <c r="BO72" s="869"/>
      <c r="BP72" s="869"/>
      <c r="BQ72" s="877"/>
      <c r="BR72" s="877"/>
      <c r="BS72" s="877"/>
      <c r="BT72" s="877"/>
      <c r="BU72" s="877"/>
      <c r="BV72" s="877"/>
      <c r="BW72" s="877"/>
      <c r="BX72" s="877"/>
      <c r="BY72" s="877"/>
      <c r="BZ72" s="877"/>
      <c r="CA72" s="878"/>
      <c r="CB72" s="877"/>
      <c r="CC72" s="877"/>
      <c r="CD72" s="877"/>
      <c r="CE72" s="877"/>
      <c r="CF72" s="879"/>
      <c r="CG72" s="879"/>
      <c r="CH72" s="877"/>
      <c r="CI72" s="877"/>
      <c r="CJ72" s="877"/>
      <c r="CK72" s="877"/>
      <c r="CL72" s="877"/>
      <c r="CM72" s="878"/>
      <c r="CN72" s="877"/>
      <c r="CO72" s="877"/>
      <c r="CP72" s="877"/>
      <c r="CQ72" s="877"/>
      <c r="CR72" s="879"/>
      <c r="CS72" s="879"/>
      <c r="CT72" s="877"/>
      <c r="CU72" s="877"/>
      <c r="CV72" s="877"/>
      <c r="CW72" s="877"/>
      <c r="CX72" s="877"/>
    </row>
    <row r="73" spans="2:102" ht="40.5" hidden="1" customHeight="1" outlineLevel="1">
      <c r="B73" s="870" t="s">
        <v>1233</v>
      </c>
      <c r="C73" s="871" t="s">
        <v>1234</v>
      </c>
      <c r="D73" s="872" t="s">
        <v>1083</v>
      </c>
      <c r="E73" s="869"/>
      <c r="F73" s="869">
        <f t="shared" si="80"/>
        <v>0</v>
      </c>
      <c r="G73" s="869"/>
      <c r="H73" s="877"/>
      <c r="I73" s="877"/>
      <c r="J73" s="877"/>
      <c r="K73" s="877"/>
      <c r="L73" s="877"/>
      <c r="M73" s="877"/>
      <c r="N73" s="877"/>
      <c r="O73" s="877"/>
      <c r="P73" s="877"/>
      <c r="Q73" s="877"/>
      <c r="R73" s="877"/>
      <c r="S73" s="877"/>
      <c r="T73" s="877"/>
      <c r="U73" s="869"/>
      <c r="V73" s="877"/>
      <c r="W73" s="877"/>
      <c r="X73" s="877"/>
      <c r="Y73" s="877"/>
      <c r="Z73" s="877"/>
      <c r="AA73" s="877"/>
      <c r="AB73" s="877"/>
      <c r="AC73" s="877"/>
      <c r="AD73" s="877"/>
      <c r="AE73" s="869"/>
      <c r="AF73" s="869"/>
      <c r="AG73" s="877"/>
      <c r="AH73" s="877"/>
      <c r="AI73" s="877"/>
      <c r="AJ73" s="877"/>
      <c r="AK73" s="877"/>
      <c r="AL73" s="877"/>
      <c r="AM73" s="877"/>
      <c r="AN73" s="877"/>
      <c r="AO73" s="877"/>
      <c r="AP73" s="877"/>
      <c r="AQ73" s="878"/>
      <c r="AR73" s="877"/>
      <c r="AS73" s="877"/>
      <c r="AT73" s="877"/>
      <c r="AU73" s="877"/>
      <c r="AV73" s="879"/>
      <c r="AW73" s="879"/>
      <c r="AX73" s="877"/>
      <c r="AY73" s="877"/>
      <c r="AZ73" s="877"/>
      <c r="BA73" s="877"/>
      <c r="BB73" s="877"/>
      <c r="BC73" s="878"/>
      <c r="BD73" s="877"/>
      <c r="BE73" s="877"/>
      <c r="BF73" s="877"/>
      <c r="BG73" s="877"/>
      <c r="BH73" s="879"/>
      <c r="BI73" s="879"/>
      <c r="BJ73" s="877"/>
      <c r="BK73" s="877"/>
      <c r="BL73" s="877"/>
      <c r="BM73" s="877"/>
      <c r="BN73" s="877"/>
      <c r="BO73" s="869"/>
      <c r="BP73" s="869"/>
      <c r="BQ73" s="877"/>
      <c r="BR73" s="877"/>
      <c r="BS73" s="877"/>
      <c r="BT73" s="877"/>
      <c r="BU73" s="877"/>
      <c r="BV73" s="877"/>
      <c r="BW73" s="877"/>
      <c r="BX73" s="877"/>
      <c r="BY73" s="877"/>
      <c r="BZ73" s="877"/>
      <c r="CA73" s="878"/>
      <c r="CB73" s="877"/>
      <c r="CC73" s="877"/>
      <c r="CD73" s="877"/>
      <c r="CE73" s="877"/>
      <c r="CF73" s="879"/>
      <c r="CG73" s="879"/>
      <c r="CH73" s="877"/>
      <c r="CI73" s="877"/>
      <c r="CJ73" s="877"/>
      <c r="CK73" s="877"/>
      <c r="CL73" s="877"/>
      <c r="CM73" s="878"/>
      <c r="CN73" s="877"/>
      <c r="CO73" s="877"/>
      <c r="CP73" s="877"/>
      <c r="CQ73" s="877"/>
      <c r="CR73" s="879"/>
      <c r="CS73" s="879"/>
      <c r="CT73" s="877"/>
      <c r="CU73" s="877"/>
      <c r="CV73" s="877"/>
      <c r="CW73" s="877"/>
      <c r="CX73" s="877"/>
    </row>
    <row r="74" spans="2:102" ht="40.5" hidden="1" customHeight="1" outlineLevel="1">
      <c r="B74" s="870" t="s">
        <v>1235</v>
      </c>
      <c r="C74" s="871" t="s">
        <v>1236</v>
      </c>
      <c r="D74" s="872" t="s">
        <v>1083</v>
      </c>
      <c r="E74" s="869"/>
      <c r="F74" s="869">
        <f t="shared" si="80"/>
        <v>0</v>
      </c>
      <c r="G74" s="869"/>
      <c r="H74" s="877"/>
      <c r="I74" s="877"/>
      <c r="J74" s="877"/>
      <c r="K74" s="877"/>
      <c r="L74" s="877"/>
      <c r="M74" s="877"/>
      <c r="N74" s="877"/>
      <c r="O74" s="877"/>
      <c r="P74" s="877"/>
      <c r="Q74" s="877"/>
      <c r="R74" s="877"/>
      <c r="S74" s="877"/>
      <c r="T74" s="877"/>
      <c r="U74" s="869"/>
      <c r="V74" s="877"/>
      <c r="W74" s="877"/>
      <c r="X74" s="877"/>
      <c r="Y74" s="877"/>
      <c r="Z74" s="877"/>
      <c r="AA74" s="877"/>
      <c r="AB74" s="877"/>
      <c r="AC74" s="877"/>
      <c r="AD74" s="877"/>
      <c r="AE74" s="869"/>
      <c r="AF74" s="869"/>
      <c r="AG74" s="877"/>
      <c r="AH74" s="877"/>
      <c r="AI74" s="877"/>
      <c r="AJ74" s="877"/>
      <c r="AK74" s="877"/>
      <c r="AL74" s="877"/>
      <c r="AM74" s="877"/>
      <c r="AN74" s="877"/>
      <c r="AO74" s="877"/>
      <c r="AP74" s="877"/>
      <c r="AQ74" s="878"/>
      <c r="AR74" s="877"/>
      <c r="AS74" s="877"/>
      <c r="AT74" s="877"/>
      <c r="AU74" s="877"/>
      <c r="AV74" s="879"/>
      <c r="AW74" s="879"/>
      <c r="AX74" s="877"/>
      <c r="AY74" s="877"/>
      <c r="AZ74" s="877"/>
      <c r="BA74" s="877"/>
      <c r="BB74" s="877"/>
      <c r="BC74" s="878"/>
      <c r="BD74" s="877"/>
      <c r="BE74" s="877"/>
      <c r="BF74" s="877"/>
      <c r="BG74" s="877"/>
      <c r="BH74" s="879"/>
      <c r="BI74" s="879"/>
      <c r="BJ74" s="877"/>
      <c r="BK74" s="877"/>
      <c r="BL74" s="877"/>
      <c r="BM74" s="877"/>
      <c r="BN74" s="877"/>
      <c r="BO74" s="869"/>
      <c r="BP74" s="869"/>
      <c r="BQ74" s="877"/>
      <c r="BR74" s="877"/>
      <c r="BS74" s="877"/>
      <c r="BT74" s="877"/>
      <c r="BU74" s="877"/>
      <c r="BV74" s="877"/>
      <c r="BW74" s="877"/>
      <c r="BX74" s="877"/>
      <c r="BY74" s="877"/>
      <c r="BZ74" s="877"/>
      <c r="CA74" s="878"/>
      <c r="CB74" s="877"/>
      <c r="CC74" s="877"/>
      <c r="CD74" s="877"/>
      <c r="CE74" s="877"/>
      <c r="CF74" s="879"/>
      <c r="CG74" s="879"/>
      <c r="CH74" s="877"/>
      <c r="CI74" s="877"/>
      <c r="CJ74" s="877"/>
      <c r="CK74" s="877"/>
      <c r="CL74" s="877"/>
      <c r="CM74" s="878"/>
      <c r="CN74" s="877"/>
      <c r="CO74" s="877"/>
      <c r="CP74" s="877"/>
      <c r="CQ74" s="877"/>
      <c r="CR74" s="879"/>
      <c r="CS74" s="879"/>
      <c r="CT74" s="877"/>
      <c r="CU74" s="877"/>
      <c r="CV74" s="877"/>
      <c r="CW74" s="877"/>
      <c r="CX74" s="877"/>
    </row>
    <row r="75" spans="2:102" ht="40.5" hidden="1" customHeight="1" outlineLevel="1">
      <c r="B75" s="870" t="s">
        <v>1237</v>
      </c>
      <c r="C75" s="871" t="s">
        <v>1238</v>
      </c>
      <c r="D75" s="872" t="s">
        <v>1083</v>
      </c>
      <c r="E75" s="869"/>
      <c r="F75" s="869">
        <f t="shared" si="80"/>
        <v>0</v>
      </c>
      <c r="G75" s="869"/>
      <c r="H75" s="877"/>
      <c r="I75" s="877"/>
      <c r="J75" s="877"/>
      <c r="K75" s="877"/>
      <c r="L75" s="877"/>
      <c r="M75" s="877"/>
      <c r="N75" s="877"/>
      <c r="O75" s="877"/>
      <c r="P75" s="877"/>
      <c r="Q75" s="877"/>
      <c r="R75" s="877"/>
      <c r="S75" s="877"/>
      <c r="T75" s="877"/>
      <c r="U75" s="869"/>
      <c r="V75" s="877"/>
      <c r="W75" s="877"/>
      <c r="X75" s="877"/>
      <c r="Y75" s="877"/>
      <c r="Z75" s="877"/>
      <c r="AA75" s="877"/>
      <c r="AB75" s="877"/>
      <c r="AC75" s="877"/>
      <c r="AD75" s="877"/>
      <c r="AE75" s="869"/>
      <c r="AF75" s="869"/>
      <c r="AG75" s="877"/>
      <c r="AH75" s="877"/>
      <c r="AI75" s="877"/>
      <c r="AJ75" s="877"/>
      <c r="AK75" s="877"/>
      <c r="AL75" s="877"/>
      <c r="AM75" s="877"/>
      <c r="AN75" s="877"/>
      <c r="AO75" s="877"/>
      <c r="AP75" s="877"/>
      <c r="AQ75" s="878"/>
      <c r="AR75" s="877"/>
      <c r="AS75" s="877"/>
      <c r="AT75" s="877"/>
      <c r="AU75" s="877"/>
      <c r="AV75" s="879"/>
      <c r="AW75" s="879"/>
      <c r="AX75" s="877"/>
      <c r="AY75" s="877"/>
      <c r="AZ75" s="877"/>
      <c r="BA75" s="877"/>
      <c r="BB75" s="877"/>
      <c r="BC75" s="878"/>
      <c r="BD75" s="877"/>
      <c r="BE75" s="877"/>
      <c r="BF75" s="877"/>
      <c r="BG75" s="877"/>
      <c r="BH75" s="879"/>
      <c r="BI75" s="879"/>
      <c r="BJ75" s="877"/>
      <c r="BK75" s="877"/>
      <c r="BL75" s="877"/>
      <c r="BM75" s="877"/>
      <c r="BN75" s="877"/>
      <c r="BO75" s="869"/>
      <c r="BP75" s="869"/>
      <c r="BQ75" s="877"/>
      <c r="BR75" s="877"/>
      <c r="BS75" s="877"/>
      <c r="BT75" s="877"/>
      <c r="BU75" s="877"/>
      <c r="BV75" s="877"/>
      <c r="BW75" s="877"/>
      <c r="BX75" s="877"/>
      <c r="BY75" s="877"/>
      <c r="BZ75" s="877"/>
      <c r="CA75" s="878"/>
      <c r="CB75" s="877"/>
      <c r="CC75" s="877"/>
      <c r="CD75" s="877"/>
      <c r="CE75" s="877"/>
      <c r="CF75" s="879"/>
      <c r="CG75" s="879"/>
      <c r="CH75" s="877"/>
      <c r="CI75" s="877"/>
      <c r="CJ75" s="877"/>
      <c r="CK75" s="877"/>
      <c r="CL75" s="877"/>
      <c r="CM75" s="878"/>
      <c r="CN75" s="877"/>
      <c r="CO75" s="877"/>
      <c r="CP75" s="877"/>
      <c r="CQ75" s="877"/>
      <c r="CR75" s="879"/>
      <c r="CS75" s="879"/>
      <c r="CT75" s="877"/>
      <c r="CU75" s="877"/>
      <c r="CV75" s="877"/>
      <c r="CW75" s="877"/>
      <c r="CX75" s="877"/>
    </row>
    <row r="76" spans="2:102" ht="40.5" hidden="1" customHeight="1" outlineLevel="1">
      <c r="B76" s="870" t="s">
        <v>1239</v>
      </c>
      <c r="C76" s="871" t="s">
        <v>1240</v>
      </c>
      <c r="D76" s="872" t="s">
        <v>1083</v>
      </c>
      <c r="E76" s="869"/>
      <c r="F76" s="869">
        <f t="shared" si="80"/>
        <v>0</v>
      </c>
      <c r="G76" s="869"/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877"/>
      <c r="U76" s="869"/>
      <c r="V76" s="877"/>
      <c r="W76" s="877"/>
      <c r="X76" s="877"/>
      <c r="Y76" s="877"/>
      <c r="Z76" s="877"/>
      <c r="AA76" s="877"/>
      <c r="AB76" s="877"/>
      <c r="AC76" s="877"/>
      <c r="AD76" s="877"/>
      <c r="AE76" s="869"/>
      <c r="AF76" s="869"/>
      <c r="AG76" s="877"/>
      <c r="AH76" s="877"/>
      <c r="AI76" s="877"/>
      <c r="AJ76" s="877"/>
      <c r="AK76" s="877"/>
      <c r="AL76" s="877"/>
      <c r="AM76" s="877"/>
      <c r="AN76" s="877"/>
      <c r="AO76" s="877"/>
      <c r="AP76" s="877"/>
      <c r="AQ76" s="878"/>
      <c r="AR76" s="877"/>
      <c r="AS76" s="877"/>
      <c r="AT76" s="877"/>
      <c r="AU76" s="877"/>
      <c r="AV76" s="879"/>
      <c r="AW76" s="879"/>
      <c r="AX76" s="877"/>
      <c r="AY76" s="877"/>
      <c r="AZ76" s="877"/>
      <c r="BA76" s="877"/>
      <c r="BB76" s="877"/>
      <c r="BC76" s="878"/>
      <c r="BD76" s="877"/>
      <c r="BE76" s="877"/>
      <c r="BF76" s="877"/>
      <c r="BG76" s="877"/>
      <c r="BH76" s="879"/>
      <c r="BI76" s="879"/>
      <c r="BJ76" s="877"/>
      <c r="BK76" s="877"/>
      <c r="BL76" s="877"/>
      <c r="BM76" s="877"/>
      <c r="BN76" s="877"/>
      <c r="BO76" s="869"/>
      <c r="BP76" s="869"/>
      <c r="BQ76" s="877"/>
      <c r="BR76" s="877"/>
      <c r="BS76" s="877"/>
      <c r="BT76" s="877"/>
      <c r="BU76" s="877"/>
      <c r="BV76" s="877"/>
      <c r="BW76" s="877"/>
      <c r="BX76" s="877"/>
      <c r="BY76" s="877"/>
      <c r="BZ76" s="877"/>
      <c r="CA76" s="878"/>
      <c r="CB76" s="877"/>
      <c r="CC76" s="877"/>
      <c r="CD76" s="877"/>
      <c r="CE76" s="877"/>
      <c r="CF76" s="879"/>
      <c r="CG76" s="879"/>
      <c r="CH76" s="877"/>
      <c r="CI76" s="877"/>
      <c r="CJ76" s="877"/>
      <c r="CK76" s="877"/>
      <c r="CL76" s="877"/>
      <c r="CM76" s="878"/>
      <c r="CN76" s="877"/>
      <c r="CO76" s="877"/>
      <c r="CP76" s="877"/>
      <c r="CQ76" s="877"/>
      <c r="CR76" s="879"/>
      <c r="CS76" s="879"/>
      <c r="CT76" s="877"/>
      <c r="CU76" s="877"/>
      <c r="CV76" s="877"/>
      <c r="CW76" s="877"/>
      <c r="CX76" s="877"/>
    </row>
    <row r="77" spans="2:102" ht="20.25" hidden="1" customHeight="1" outlineLevel="1">
      <c r="B77" s="870" t="s">
        <v>1241</v>
      </c>
      <c r="C77" s="871" t="s">
        <v>1242</v>
      </c>
      <c r="D77" s="872" t="s">
        <v>1083</v>
      </c>
      <c r="E77" s="869"/>
      <c r="F77" s="869">
        <f t="shared" si="80"/>
        <v>0</v>
      </c>
      <c r="G77" s="869"/>
      <c r="H77" s="877"/>
      <c r="I77" s="877"/>
      <c r="J77" s="877"/>
      <c r="K77" s="877"/>
      <c r="L77" s="877"/>
      <c r="M77" s="877"/>
      <c r="N77" s="877"/>
      <c r="O77" s="877"/>
      <c r="P77" s="877"/>
      <c r="Q77" s="877"/>
      <c r="R77" s="877"/>
      <c r="S77" s="877"/>
      <c r="T77" s="877"/>
      <c r="U77" s="869"/>
      <c r="V77" s="877"/>
      <c r="W77" s="877"/>
      <c r="X77" s="877"/>
      <c r="Y77" s="877"/>
      <c r="Z77" s="877"/>
      <c r="AA77" s="877"/>
      <c r="AB77" s="877"/>
      <c r="AC77" s="877"/>
      <c r="AD77" s="877"/>
      <c r="AE77" s="869"/>
      <c r="AF77" s="869"/>
      <c r="AG77" s="877"/>
      <c r="AH77" s="877"/>
      <c r="AI77" s="877"/>
      <c r="AJ77" s="877"/>
      <c r="AK77" s="877"/>
      <c r="AL77" s="877"/>
      <c r="AM77" s="877"/>
      <c r="AN77" s="877"/>
      <c r="AO77" s="877"/>
      <c r="AP77" s="877"/>
      <c r="AQ77" s="878"/>
      <c r="AR77" s="877"/>
      <c r="AS77" s="877"/>
      <c r="AT77" s="877"/>
      <c r="AU77" s="877"/>
      <c r="AV77" s="879"/>
      <c r="AW77" s="879"/>
      <c r="AX77" s="877"/>
      <c r="AY77" s="877"/>
      <c r="AZ77" s="877"/>
      <c r="BA77" s="877"/>
      <c r="BB77" s="877"/>
      <c r="BC77" s="878"/>
      <c r="BD77" s="877"/>
      <c r="BE77" s="877"/>
      <c r="BF77" s="877"/>
      <c r="BG77" s="877"/>
      <c r="BH77" s="879"/>
      <c r="BI77" s="879"/>
      <c r="BJ77" s="877"/>
      <c r="BK77" s="877"/>
      <c r="BL77" s="877"/>
      <c r="BM77" s="877"/>
      <c r="BN77" s="877"/>
      <c r="BO77" s="869"/>
      <c r="BP77" s="869"/>
      <c r="BQ77" s="877"/>
      <c r="BR77" s="877"/>
      <c r="BS77" s="877"/>
      <c r="BT77" s="877"/>
      <c r="BU77" s="877"/>
      <c r="BV77" s="877"/>
      <c r="BW77" s="877"/>
      <c r="BX77" s="877"/>
      <c r="BY77" s="877"/>
      <c r="BZ77" s="877"/>
      <c r="CA77" s="878"/>
      <c r="CB77" s="877"/>
      <c r="CC77" s="877"/>
      <c r="CD77" s="877"/>
      <c r="CE77" s="877"/>
      <c r="CF77" s="879"/>
      <c r="CG77" s="879"/>
      <c r="CH77" s="877"/>
      <c r="CI77" s="877"/>
      <c r="CJ77" s="877"/>
      <c r="CK77" s="877"/>
      <c r="CL77" s="877"/>
      <c r="CM77" s="878"/>
      <c r="CN77" s="877"/>
      <c r="CO77" s="877"/>
      <c r="CP77" s="877"/>
      <c r="CQ77" s="877"/>
      <c r="CR77" s="879"/>
      <c r="CS77" s="879"/>
      <c r="CT77" s="877"/>
      <c r="CU77" s="877"/>
      <c r="CV77" s="877"/>
      <c r="CW77" s="877"/>
      <c r="CX77" s="877"/>
    </row>
    <row r="78" spans="2:102" ht="60.75" customHeight="1" collapsed="1">
      <c r="B78" s="866" t="s">
        <v>1243</v>
      </c>
      <c r="C78" s="867" t="s">
        <v>1244</v>
      </c>
      <c r="D78" s="922" t="s">
        <v>1245</v>
      </c>
      <c r="E78" s="869"/>
      <c r="F78" s="869">
        <f>F15/F67</f>
        <v>2.2923852790574402</v>
      </c>
      <c r="G78" s="869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9"/>
      <c r="V78" s="862"/>
      <c r="W78" s="862"/>
      <c r="X78" s="862"/>
      <c r="Y78" s="862"/>
      <c r="Z78" s="862"/>
      <c r="AA78" s="862"/>
      <c r="AB78" s="862"/>
      <c r="AC78" s="862"/>
      <c r="AD78" s="862"/>
      <c r="AE78" s="869" t="e">
        <f>AE15/AE67</f>
        <v>#DIV/0!</v>
      </c>
      <c r="AF78" s="869"/>
      <c r="AG78" s="862"/>
      <c r="AH78" s="862"/>
      <c r="AI78" s="862"/>
      <c r="AJ78" s="862"/>
      <c r="AK78" s="862"/>
      <c r="AL78" s="862"/>
      <c r="AM78" s="862"/>
      <c r="AN78" s="862"/>
      <c r="AO78" s="862"/>
      <c r="AP78" s="862"/>
      <c r="AQ78" s="869"/>
      <c r="AR78" s="862"/>
      <c r="AS78" s="862"/>
      <c r="AT78" s="862"/>
      <c r="AU78" s="862"/>
      <c r="AV78" s="863"/>
      <c r="AW78" s="863"/>
      <c r="AX78" s="862"/>
      <c r="AY78" s="862"/>
      <c r="AZ78" s="862"/>
      <c r="BA78" s="862"/>
      <c r="BB78" s="862"/>
      <c r="BC78" s="869"/>
      <c r="BD78" s="862"/>
      <c r="BE78" s="862"/>
      <c r="BF78" s="862"/>
      <c r="BG78" s="862"/>
      <c r="BH78" s="863"/>
      <c r="BI78" s="863"/>
      <c r="BJ78" s="862"/>
      <c r="BK78" s="862"/>
      <c r="BL78" s="862"/>
      <c r="BM78" s="862"/>
      <c r="BN78" s="862"/>
      <c r="BO78" s="869"/>
      <c r="BP78" s="869"/>
      <c r="BQ78" s="862"/>
      <c r="BR78" s="862"/>
      <c r="BS78" s="862"/>
      <c r="BT78" s="862"/>
      <c r="BU78" s="862"/>
      <c r="BV78" s="862"/>
      <c r="BW78" s="862"/>
      <c r="BX78" s="862"/>
      <c r="BY78" s="862"/>
      <c r="BZ78" s="862"/>
      <c r="CA78" s="869"/>
      <c r="CB78" s="862"/>
      <c r="CC78" s="862"/>
      <c r="CD78" s="862"/>
      <c r="CE78" s="862"/>
      <c r="CF78" s="863"/>
      <c r="CG78" s="863"/>
      <c r="CH78" s="862"/>
      <c r="CI78" s="862"/>
      <c r="CJ78" s="862"/>
      <c r="CK78" s="862"/>
      <c r="CL78" s="862"/>
      <c r="CM78" s="869"/>
      <c r="CN78" s="862"/>
      <c r="CO78" s="862"/>
      <c r="CP78" s="862"/>
      <c r="CQ78" s="862"/>
      <c r="CR78" s="863"/>
      <c r="CS78" s="863"/>
      <c r="CT78" s="862"/>
      <c r="CU78" s="862"/>
      <c r="CV78" s="862"/>
      <c r="CW78" s="862"/>
      <c r="CX78" s="862"/>
    </row>
    <row r="79" spans="2:102" s="817" customFormat="1" ht="20.25" hidden="1" customHeight="1" outlineLevel="1">
      <c r="B79" s="931"/>
      <c r="C79" s="932"/>
      <c r="D79" s="933"/>
      <c r="E79" s="933"/>
      <c r="F79" s="934"/>
      <c r="G79" s="935"/>
      <c r="H79" s="935"/>
      <c r="I79" s="935"/>
      <c r="J79" s="935"/>
      <c r="K79" s="936"/>
      <c r="L79" s="936"/>
      <c r="M79" s="936"/>
      <c r="N79" s="936"/>
      <c r="O79" s="936"/>
      <c r="P79" s="936"/>
      <c r="Q79" s="936"/>
      <c r="R79" s="936"/>
      <c r="S79" s="936"/>
      <c r="T79" s="936"/>
      <c r="U79" s="936"/>
      <c r="V79" s="936"/>
      <c r="W79" s="936"/>
      <c r="X79" s="936"/>
      <c r="Y79" s="936"/>
      <c r="Z79" s="936"/>
      <c r="AA79" s="936"/>
      <c r="AB79" s="936"/>
      <c r="AC79" s="936"/>
      <c r="AD79" s="936"/>
      <c r="AE79" s="937"/>
      <c r="AF79" s="936"/>
      <c r="AG79" s="936"/>
      <c r="AH79" s="936"/>
      <c r="AI79" s="936"/>
      <c r="AJ79" s="936"/>
      <c r="AK79" s="936"/>
      <c r="AL79" s="936"/>
      <c r="AM79" s="936"/>
      <c r="AN79" s="936"/>
      <c r="AO79" s="936"/>
      <c r="AP79" s="936"/>
      <c r="AQ79" s="936"/>
      <c r="AR79" s="936"/>
      <c r="AS79" s="936"/>
      <c r="AT79" s="936"/>
      <c r="AU79" s="936"/>
      <c r="AV79" s="936"/>
      <c r="AW79" s="936"/>
      <c r="AX79" s="936"/>
      <c r="AY79" s="936"/>
      <c r="AZ79" s="936"/>
      <c r="BA79" s="936"/>
      <c r="BB79" s="936"/>
      <c r="BC79" s="936"/>
      <c r="BD79" s="936"/>
      <c r="BE79" s="936"/>
      <c r="BF79" s="936"/>
      <c r="BG79" s="936"/>
      <c r="BH79" s="936"/>
      <c r="BI79" s="936"/>
      <c r="BJ79" s="936"/>
      <c r="BK79" s="936"/>
      <c r="BL79" s="936"/>
      <c r="BM79" s="936"/>
      <c r="BN79" s="936"/>
      <c r="BO79" s="937"/>
      <c r="BP79" s="936"/>
      <c r="BQ79" s="936"/>
      <c r="BR79" s="936"/>
      <c r="BS79" s="936"/>
      <c r="BT79" s="936"/>
      <c r="BU79" s="936"/>
      <c r="BV79" s="936"/>
      <c r="BW79" s="936"/>
      <c r="BX79" s="936"/>
      <c r="BY79" s="936"/>
      <c r="BZ79" s="936"/>
      <c r="CA79" s="936"/>
      <c r="CB79" s="936"/>
      <c r="CC79" s="936"/>
      <c r="CD79" s="936"/>
      <c r="CE79" s="936"/>
      <c r="CF79" s="936"/>
      <c r="CG79" s="936"/>
      <c r="CH79" s="936"/>
      <c r="CI79" s="936"/>
      <c r="CJ79" s="936"/>
      <c r="CK79" s="936"/>
      <c r="CL79" s="936"/>
      <c r="CM79" s="936"/>
      <c r="CN79" s="936"/>
      <c r="CO79" s="936"/>
      <c r="CP79" s="936"/>
      <c r="CQ79" s="936"/>
      <c r="CR79" s="936"/>
      <c r="CS79" s="936"/>
      <c r="CT79" s="936"/>
      <c r="CU79" s="936"/>
      <c r="CV79" s="936"/>
      <c r="CW79" s="936"/>
      <c r="CX79" s="936"/>
    </row>
    <row r="80" spans="2:102" s="818" customFormat="1" ht="20.25" hidden="1" customHeight="1" outlineLevel="1">
      <c r="B80" s="938"/>
      <c r="D80" s="939"/>
      <c r="E80" s="939"/>
      <c r="F80" s="940"/>
      <c r="G80" s="819"/>
      <c r="H80" s="819"/>
      <c r="I80" s="819"/>
      <c r="J80" s="819"/>
      <c r="K80" s="822"/>
      <c r="L80" s="822"/>
      <c r="M80" s="822"/>
      <c r="N80" s="822"/>
      <c r="O80" s="822"/>
      <c r="P80" s="822"/>
      <c r="Q80" s="822"/>
      <c r="R80" s="822"/>
      <c r="S80" s="822"/>
      <c r="T80" s="822"/>
      <c r="U80" s="941"/>
      <c r="V80" s="941"/>
      <c r="W80" s="941"/>
      <c r="X80" s="941"/>
      <c r="Y80" s="941"/>
      <c r="Z80" s="941"/>
      <c r="AA80" s="941"/>
      <c r="AB80" s="941"/>
      <c r="AC80" s="941"/>
      <c r="AD80" s="941"/>
      <c r="AE80" s="942"/>
      <c r="AF80" s="822"/>
      <c r="AG80" s="822"/>
      <c r="AH80" s="822"/>
      <c r="AI80" s="822"/>
      <c r="AJ80" s="822"/>
      <c r="AK80" s="822"/>
      <c r="AL80" s="822"/>
      <c r="AM80" s="822"/>
      <c r="AN80" s="822"/>
      <c r="AO80" s="822"/>
      <c r="AP80" s="822"/>
      <c r="AQ80" s="822"/>
      <c r="AR80" s="822"/>
      <c r="AS80" s="822"/>
      <c r="AT80" s="822"/>
      <c r="AU80" s="822"/>
      <c r="AV80" s="822"/>
      <c r="AW80" s="822"/>
      <c r="AX80" s="822"/>
      <c r="AY80" s="941"/>
      <c r="AZ80" s="822"/>
      <c r="BA80" s="822"/>
      <c r="BB80" s="822"/>
      <c r="BC80" s="822"/>
      <c r="BD80" s="822"/>
      <c r="BE80" s="822"/>
      <c r="BF80" s="822"/>
      <c r="BG80" s="822"/>
      <c r="BH80" s="822"/>
      <c r="BI80" s="822"/>
      <c r="BJ80" s="822"/>
      <c r="BK80" s="941"/>
      <c r="BL80" s="822"/>
      <c r="BM80" s="822"/>
      <c r="BN80" s="822"/>
      <c r="BO80" s="942"/>
      <c r="BP80" s="822"/>
      <c r="BQ80" s="822"/>
      <c r="BR80" s="822"/>
      <c r="BS80" s="822"/>
      <c r="BT80" s="822"/>
      <c r="BU80" s="822"/>
      <c r="BV80" s="822"/>
      <c r="BW80" s="822"/>
      <c r="BX80" s="822"/>
      <c r="BY80" s="822"/>
      <c r="BZ80" s="822"/>
      <c r="CA80" s="822"/>
      <c r="CB80" s="822"/>
      <c r="CC80" s="822"/>
      <c r="CD80" s="822"/>
      <c r="CE80" s="822"/>
      <c r="CF80" s="822"/>
      <c r="CG80" s="822"/>
      <c r="CH80" s="822"/>
      <c r="CI80" s="941"/>
      <c r="CJ80" s="822"/>
      <c r="CK80" s="822"/>
      <c r="CL80" s="822"/>
      <c r="CM80" s="822"/>
      <c r="CN80" s="822"/>
      <c r="CO80" s="822"/>
      <c r="CP80" s="822"/>
      <c r="CQ80" s="822"/>
      <c r="CR80" s="822"/>
      <c r="CS80" s="822"/>
      <c r="CT80" s="822"/>
      <c r="CU80" s="941"/>
      <c r="CV80" s="822"/>
      <c r="CW80" s="822"/>
      <c r="CX80" s="822"/>
    </row>
    <row r="81" spans="2:102" s="818" customFormat="1" ht="20.25" hidden="1" customHeight="1" outlineLevel="1">
      <c r="B81" s="938"/>
      <c r="D81" s="939"/>
      <c r="E81" s="939"/>
      <c r="F81" s="940"/>
      <c r="G81" s="819"/>
      <c r="H81" s="819"/>
      <c r="I81" s="819"/>
      <c r="J81" s="819"/>
      <c r="K81" s="822"/>
      <c r="L81" s="822"/>
      <c r="M81" s="822"/>
      <c r="N81" s="822"/>
      <c r="O81" s="822"/>
      <c r="P81" s="822"/>
      <c r="Q81" s="822"/>
      <c r="R81" s="822"/>
      <c r="S81" s="822"/>
      <c r="T81" s="822"/>
      <c r="U81" s="941"/>
      <c r="V81" s="941"/>
      <c r="W81" s="941"/>
      <c r="X81" s="941"/>
      <c r="Y81" s="941"/>
      <c r="Z81" s="941"/>
      <c r="AA81" s="941"/>
      <c r="AB81" s="941"/>
      <c r="AC81" s="941"/>
      <c r="AD81" s="941"/>
      <c r="AE81" s="942"/>
      <c r="AF81" s="822"/>
      <c r="AG81" s="822"/>
      <c r="AH81" s="822"/>
      <c r="AI81" s="822"/>
      <c r="AJ81" s="822"/>
      <c r="AK81" s="822"/>
      <c r="AL81" s="822"/>
      <c r="AM81" s="822"/>
      <c r="AN81" s="822"/>
      <c r="AO81" s="822"/>
      <c r="AP81" s="822"/>
      <c r="AQ81" s="822"/>
      <c r="AR81" s="822"/>
      <c r="AS81" s="822"/>
      <c r="AT81" s="822"/>
      <c r="AU81" s="822"/>
      <c r="AV81" s="822"/>
      <c r="AW81" s="822"/>
      <c r="AX81" s="822"/>
      <c r="AY81" s="941"/>
      <c r="AZ81" s="822"/>
      <c r="BA81" s="822"/>
      <c r="BB81" s="822"/>
      <c r="BC81" s="822"/>
      <c r="BD81" s="822"/>
      <c r="BE81" s="822"/>
      <c r="BF81" s="822"/>
      <c r="BG81" s="822"/>
      <c r="BH81" s="822"/>
      <c r="BI81" s="822"/>
      <c r="BJ81" s="822"/>
      <c r="BK81" s="941"/>
      <c r="BL81" s="822"/>
      <c r="BM81" s="822"/>
      <c r="BN81" s="822"/>
      <c r="BO81" s="942"/>
      <c r="BP81" s="822"/>
      <c r="BQ81" s="822"/>
      <c r="BR81" s="822"/>
      <c r="BS81" s="822"/>
      <c r="BT81" s="822"/>
      <c r="BU81" s="822"/>
      <c r="BV81" s="822"/>
      <c r="BW81" s="822"/>
      <c r="BX81" s="822"/>
      <c r="BY81" s="822"/>
      <c r="BZ81" s="822"/>
      <c r="CA81" s="822"/>
      <c r="CB81" s="822"/>
      <c r="CC81" s="822"/>
      <c r="CD81" s="822"/>
      <c r="CE81" s="822"/>
      <c r="CF81" s="822"/>
      <c r="CG81" s="822"/>
      <c r="CH81" s="822"/>
      <c r="CI81" s="941"/>
      <c r="CJ81" s="822"/>
      <c r="CK81" s="822"/>
      <c r="CL81" s="822"/>
      <c r="CM81" s="822"/>
      <c r="CN81" s="822"/>
      <c r="CO81" s="822"/>
      <c r="CP81" s="822"/>
      <c r="CQ81" s="822"/>
      <c r="CR81" s="822"/>
      <c r="CS81" s="822"/>
      <c r="CT81" s="822"/>
      <c r="CU81" s="941"/>
      <c r="CV81" s="822"/>
      <c r="CW81" s="822"/>
      <c r="CX81" s="822"/>
    </row>
    <row r="82" spans="2:102" s="818" customFormat="1" ht="20.25" hidden="1" customHeight="1" outlineLevel="1">
      <c r="B82" s="938"/>
      <c r="D82" s="939"/>
      <c r="E82" s="939"/>
      <c r="F82" s="940"/>
      <c r="G82" s="943"/>
      <c r="H82" s="819"/>
      <c r="I82" s="819"/>
      <c r="J82" s="943"/>
      <c r="K82" s="822"/>
      <c r="L82" s="822"/>
      <c r="M82" s="822"/>
      <c r="N82" s="822"/>
      <c r="O82" s="822"/>
      <c r="P82" s="822"/>
      <c r="Q82" s="822"/>
      <c r="R82" s="822"/>
      <c r="S82" s="822"/>
      <c r="T82" s="822"/>
      <c r="U82" s="941"/>
      <c r="V82" s="941"/>
      <c r="W82" s="941"/>
      <c r="X82" s="941"/>
      <c r="Y82" s="941"/>
      <c r="Z82" s="941"/>
      <c r="AA82" s="941"/>
      <c r="AB82" s="941"/>
      <c r="AC82" s="941"/>
      <c r="AD82" s="941"/>
      <c r="AE82" s="942"/>
      <c r="AF82" s="822"/>
      <c r="AG82" s="822"/>
      <c r="AH82" s="822"/>
      <c r="AI82" s="822"/>
      <c r="AJ82" s="822"/>
      <c r="AK82" s="822"/>
      <c r="AL82" s="822"/>
      <c r="AM82" s="822"/>
      <c r="AN82" s="822"/>
      <c r="AO82" s="822"/>
      <c r="AP82" s="822"/>
      <c r="AQ82" s="822"/>
      <c r="AR82" s="822"/>
      <c r="AS82" s="822"/>
      <c r="AT82" s="822"/>
      <c r="AU82" s="822"/>
      <c r="AV82" s="822"/>
      <c r="AW82" s="822"/>
      <c r="AX82" s="822"/>
      <c r="AY82" s="941"/>
      <c r="AZ82" s="822"/>
      <c r="BA82" s="822"/>
      <c r="BB82" s="822"/>
      <c r="BC82" s="822"/>
      <c r="BD82" s="822"/>
      <c r="BE82" s="822"/>
      <c r="BF82" s="822"/>
      <c r="BG82" s="822"/>
      <c r="BH82" s="822"/>
      <c r="BI82" s="822"/>
      <c r="BJ82" s="822"/>
      <c r="BK82" s="941"/>
      <c r="BL82" s="822"/>
      <c r="BM82" s="822"/>
      <c r="BN82" s="822"/>
      <c r="BO82" s="942"/>
      <c r="BP82" s="822"/>
      <c r="BQ82" s="822"/>
      <c r="BR82" s="822"/>
      <c r="BS82" s="822"/>
      <c r="BT82" s="822"/>
      <c r="BU82" s="822"/>
      <c r="BV82" s="822"/>
      <c r="BW82" s="822"/>
      <c r="BX82" s="822"/>
      <c r="BY82" s="822"/>
      <c r="BZ82" s="822"/>
      <c r="CA82" s="822"/>
      <c r="CB82" s="822"/>
      <c r="CC82" s="822"/>
      <c r="CD82" s="822"/>
      <c r="CE82" s="822"/>
      <c r="CF82" s="822"/>
      <c r="CG82" s="822"/>
      <c r="CH82" s="822"/>
      <c r="CI82" s="941"/>
      <c r="CJ82" s="822"/>
      <c r="CK82" s="822"/>
      <c r="CL82" s="822"/>
      <c r="CM82" s="822"/>
      <c r="CN82" s="822"/>
      <c r="CO82" s="822"/>
      <c r="CP82" s="822"/>
      <c r="CQ82" s="822"/>
      <c r="CR82" s="822"/>
      <c r="CS82" s="822"/>
      <c r="CT82" s="822"/>
      <c r="CU82" s="941"/>
      <c r="CV82" s="822"/>
      <c r="CW82" s="822"/>
      <c r="CX82" s="822"/>
    </row>
    <row r="83" spans="2:102" s="818" customFormat="1" ht="20.25" hidden="1" customHeight="1" outlineLevel="1">
      <c r="B83" s="938"/>
      <c r="D83" s="939"/>
      <c r="E83" s="939"/>
      <c r="F83" s="940"/>
      <c r="G83" s="819"/>
      <c r="H83" s="819"/>
      <c r="I83" s="819"/>
      <c r="J83" s="819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941"/>
      <c r="V83" s="941"/>
      <c r="W83" s="941"/>
      <c r="X83" s="941"/>
      <c r="Y83" s="941"/>
      <c r="Z83" s="941"/>
      <c r="AA83" s="941"/>
      <c r="AB83" s="941"/>
      <c r="AC83" s="941"/>
      <c r="AD83" s="941"/>
      <c r="AE83" s="942"/>
      <c r="AF83" s="822"/>
      <c r="AG83" s="822"/>
      <c r="AH83" s="822"/>
      <c r="AI83" s="822"/>
      <c r="AJ83" s="822"/>
      <c r="AK83" s="822"/>
      <c r="AL83" s="822"/>
      <c r="AM83" s="822"/>
      <c r="AN83" s="822"/>
      <c r="AO83" s="822"/>
      <c r="AP83" s="822"/>
      <c r="AQ83" s="822"/>
      <c r="AR83" s="822"/>
      <c r="AS83" s="822"/>
      <c r="AT83" s="822"/>
      <c r="AU83" s="822"/>
      <c r="AV83" s="822"/>
      <c r="AW83" s="822"/>
      <c r="AX83" s="822"/>
      <c r="AY83" s="941"/>
      <c r="AZ83" s="822"/>
      <c r="BA83" s="822"/>
      <c r="BB83" s="822"/>
      <c r="BC83" s="822"/>
      <c r="BD83" s="822"/>
      <c r="BE83" s="822"/>
      <c r="BF83" s="822"/>
      <c r="BG83" s="822"/>
      <c r="BH83" s="822"/>
      <c r="BI83" s="822"/>
      <c r="BJ83" s="822"/>
      <c r="BK83" s="941"/>
      <c r="BL83" s="822"/>
      <c r="BM83" s="822"/>
      <c r="BN83" s="822"/>
      <c r="BO83" s="942"/>
      <c r="BP83" s="822"/>
      <c r="BQ83" s="822"/>
      <c r="BR83" s="822"/>
      <c r="BS83" s="822"/>
      <c r="BT83" s="822"/>
      <c r="BU83" s="822"/>
      <c r="BV83" s="822"/>
      <c r="BW83" s="822"/>
      <c r="BX83" s="822"/>
      <c r="BY83" s="822"/>
      <c r="BZ83" s="822"/>
      <c r="CA83" s="822"/>
      <c r="CB83" s="822"/>
      <c r="CC83" s="822"/>
      <c r="CD83" s="822"/>
      <c r="CE83" s="822"/>
      <c r="CF83" s="822"/>
      <c r="CG83" s="822"/>
      <c r="CH83" s="822"/>
      <c r="CI83" s="941"/>
      <c r="CJ83" s="822"/>
      <c r="CK83" s="822"/>
      <c r="CL83" s="822"/>
      <c r="CM83" s="822"/>
      <c r="CN83" s="822"/>
      <c r="CO83" s="822"/>
      <c r="CP83" s="822"/>
      <c r="CQ83" s="822"/>
      <c r="CR83" s="822"/>
      <c r="CS83" s="822"/>
      <c r="CT83" s="822"/>
      <c r="CU83" s="941"/>
      <c r="CV83" s="822"/>
      <c r="CW83" s="822"/>
      <c r="CX83" s="822"/>
    </row>
    <row r="84" spans="2:102" s="818" customFormat="1" collapsed="1">
      <c r="B84" s="938"/>
      <c r="D84" s="939"/>
      <c r="E84" s="939"/>
      <c r="F84" s="940"/>
      <c r="G84" s="819"/>
      <c r="H84" s="819"/>
      <c r="I84" s="819"/>
      <c r="J84" s="819"/>
      <c r="K84" s="822"/>
      <c r="L84" s="822"/>
      <c r="M84" s="822"/>
      <c r="N84" s="822"/>
      <c r="O84" s="822"/>
      <c r="P84" s="822"/>
      <c r="Q84" s="822"/>
      <c r="R84" s="822"/>
      <c r="S84" s="822"/>
      <c r="T84" s="822"/>
      <c r="U84" s="941"/>
      <c r="V84" s="941"/>
      <c r="W84" s="941"/>
      <c r="X84" s="941"/>
      <c r="Y84" s="941"/>
      <c r="Z84" s="941"/>
      <c r="AA84" s="941"/>
      <c r="AB84" s="941"/>
      <c r="AC84" s="941"/>
      <c r="AD84" s="941"/>
      <c r="AE84" s="942"/>
      <c r="AF84" s="822"/>
      <c r="AG84" s="822"/>
      <c r="AH84" s="822"/>
      <c r="AI84" s="822"/>
      <c r="AJ84" s="822"/>
      <c r="AK84" s="822"/>
      <c r="AL84" s="822"/>
      <c r="AM84" s="822"/>
      <c r="AN84" s="822"/>
      <c r="AO84" s="822"/>
      <c r="AP84" s="822"/>
      <c r="AQ84" s="822"/>
      <c r="AR84" s="822"/>
      <c r="AS84" s="822"/>
      <c r="AT84" s="822"/>
      <c r="AU84" s="822"/>
      <c r="AV84" s="822"/>
      <c r="AW84" s="822"/>
      <c r="AX84" s="822"/>
      <c r="AY84" s="941"/>
      <c r="AZ84" s="822"/>
      <c r="BA84" s="822"/>
      <c r="BB84" s="822"/>
      <c r="BC84" s="822"/>
      <c r="BD84" s="822"/>
      <c r="BE84" s="822"/>
      <c r="BF84" s="822"/>
      <c r="BG84" s="822"/>
      <c r="BH84" s="822"/>
      <c r="BI84" s="822"/>
      <c r="BJ84" s="822"/>
      <c r="BK84" s="941"/>
      <c r="BL84" s="822"/>
      <c r="BM84" s="822"/>
      <c r="BN84" s="822"/>
      <c r="BO84" s="942"/>
      <c r="BP84" s="822"/>
      <c r="BQ84" s="822"/>
      <c r="BR84" s="822"/>
      <c r="BS84" s="822"/>
      <c r="BT84" s="822"/>
      <c r="BU84" s="822"/>
      <c r="BV84" s="822"/>
      <c r="BW84" s="822"/>
      <c r="BX84" s="822"/>
      <c r="BY84" s="822"/>
      <c r="BZ84" s="822"/>
      <c r="CA84" s="822"/>
      <c r="CB84" s="822"/>
      <c r="CC84" s="822"/>
      <c r="CD84" s="822"/>
      <c r="CE84" s="822"/>
      <c r="CF84" s="822"/>
      <c r="CG84" s="822"/>
      <c r="CH84" s="822"/>
      <c r="CI84" s="941"/>
      <c r="CJ84" s="822"/>
      <c r="CK84" s="822"/>
      <c r="CL84" s="822"/>
      <c r="CM84" s="822"/>
      <c r="CN84" s="822"/>
      <c r="CO84" s="822"/>
      <c r="CP84" s="822"/>
      <c r="CQ84" s="822"/>
      <c r="CR84" s="822"/>
      <c r="CS84" s="822"/>
      <c r="CT84" s="822"/>
      <c r="CU84" s="941"/>
      <c r="CV84" s="822"/>
      <c r="CW84" s="822"/>
      <c r="CX84" s="822"/>
    </row>
    <row r="85" spans="2:102" s="818" customFormat="1" ht="24" customHeight="1">
      <c r="B85" s="938"/>
      <c r="C85" s="940" t="s">
        <v>1246</v>
      </c>
      <c r="D85" s="939"/>
      <c r="E85" s="939"/>
      <c r="F85" s="940" t="s">
        <v>1247</v>
      </c>
      <c r="G85" s="819"/>
      <c r="H85" s="819"/>
      <c r="I85" s="819"/>
      <c r="J85" s="819"/>
      <c r="K85" s="822"/>
      <c r="L85" s="822"/>
      <c r="M85" s="822"/>
      <c r="N85" s="822"/>
      <c r="O85" s="822"/>
      <c r="P85" s="822"/>
      <c r="Q85" s="822"/>
      <c r="R85" s="984"/>
      <c r="S85" s="822"/>
      <c r="T85" s="822"/>
      <c r="U85" s="941"/>
      <c r="V85" s="941"/>
      <c r="W85" s="941"/>
      <c r="X85" s="941"/>
      <c r="Y85" s="941"/>
      <c r="Z85" s="941"/>
      <c r="AA85" s="941"/>
      <c r="AB85" s="941"/>
      <c r="AC85" s="941"/>
      <c r="AD85" s="941"/>
      <c r="AE85" s="942"/>
      <c r="AF85" s="822"/>
      <c r="AG85" s="822"/>
      <c r="AH85" s="822"/>
      <c r="AI85" s="822"/>
      <c r="AJ85" s="822"/>
      <c r="AK85" s="822"/>
      <c r="AL85" s="822"/>
      <c r="AM85" s="822"/>
      <c r="AN85" s="822"/>
      <c r="AO85" s="822"/>
      <c r="AP85" s="822"/>
      <c r="AQ85" s="822"/>
      <c r="AR85" s="822"/>
      <c r="AS85" s="822"/>
      <c r="AT85" s="822"/>
      <c r="AU85" s="822"/>
      <c r="AV85" s="822"/>
      <c r="AW85" s="822"/>
      <c r="AX85" s="822"/>
      <c r="AY85" s="941"/>
      <c r="AZ85" s="822"/>
      <c r="BA85" s="984"/>
      <c r="BB85" s="984"/>
      <c r="BC85" s="822"/>
      <c r="BD85" s="822"/>
      <c r="BE85" s="822"/>
      <c r="BF85" s="822"/>
      <c r="BG85" s="822"/>
      <c r="BH85" s="822"/>
      <c r="BI85" s="822"/>
      <c r="BJ85" s="822"/>
      <c r="BK85" s="941"/>
      <c r="BL85" s="822"/>
      <c r="BM85" s="984"/>
      <c r="BN85" s="984"/>
      <c r="BO85" s="942"/>
      <c r="BP85" s="822"/>
      <c r="BQ85" s="822"/>
      <c r="BR85" s="822"/>
      <c r="BS85" s="822"/>
      <c r="BT85" s="822"/>
      <c r="BU85" s="822"/>
      <c r="BV85" s="822"/>
      <c r="BW85" s="822"/>
      <c r="BX85" s="822"/>
      <c r="BY85" s="822"/>
      <c r="BZ85" s="822"/>
      <c r="CA85" s="822"/>
      <c r="CB85" s="822"/>
      <c r="CC85" s="822"/>
      <c r="CD85" s="822"/>
      <c r="CE85" s="822"/>
      <c r="CF85" s="822"/>
      <c r="CG85" s="822"/>
      <c r="CH85" s="822"/>
      <c r="CI85" s="941"/>
      <c r="CJ85" s="822"/>
      <c r="CK85" s="984"/>
      <c r="CL85" s="984"/>
      <c r="CM85" s="822"/>
      <c r="CN85" s="822"/>
      <c r="CO85" s="822"/>
      <c r="CP85" s="822"/>
      <c r="CQ85" s="822"/>
      <c r="CR85" s="822"/>
      <c r="CS85" s="822"/>
      <c r="CT85" s="822"/>
      <c r="CU85" s="941"/>
      <c r="CV85" s="822"/>
      <c r="CW85" s="984"/>
      <c r="CX85" s="984"/>
    </row>
    <row r="86" spans="2:102" s="818" customFormat="1" ht="20.25" hidden="1" customHeight="1" outlineLevel="1">
      <c r="B86" s="938"/>
      <c r="D86" s="939"/>
      <c r="E86" s="939"/>
      <c r="F86" s="940"/>
      <c r="G86" s="819"/>
      <c r="H86" s="819"/>
      <c r="I86" s="819"/>
      <c r="J86" s="819"/>
      <c r="K86" s="822"/>
      <c r="L86" s="822"/>
      <c r="M86" s="822"/>
      <c r="N86" s="822"/>
      <c r="O86" s="822"/>
      <c r="P86" s="822"/>
      <c r="Q86" s="822"/>
      <c r="R86" s="822"/>
      <c r="S86" s="822"/>
      <c r="T86" s="822"/>
      <c r="U86" s="941"/>
      <c r="V86" s="941"/>
      <c r="W86" s="941"/>
      <c r="X86" s="941"/>
      <c r="Y86" s="941"/>
      <c r="Z86" s="941"/>
      <c r="AA86" s="941"/>
      <c r="AB86" s="941"/>
      <c r="AC86" s="941"/>
      <c r="AD86" s="941"/>
      <c r="AE86" s="942"/>
      <c r="AF86" s="822"/>
      <c r="AG86" s="822"/>
      <c r="AH86" s="822"/>
      <c r="AI86" s="822"/>
      <c r="AJ86" s="822"/>
      <c r="AK86" s="822"/>
      <c r="AL86" s="822"/>
      <c r="AM86" s="822"/>
      <c r="AN86" s="822"/>
      <c r="AO86" s="822"/>
      <c r="AP86" s="822"/>
      <c r="AQ86" s="822"/>
      <c r="AR86" s="822"/>
      <c r="AS86" s="822"/>
      <c r="AT86" s="822"/>
      <c r="AU86" s="822"/>
      <c r="AV86" s="822"/>
      <c r="AW86" s="822"/>
      <c r="AX86" s="822"/>
      <c r="AY86" s="941"/>
      <c r="AZ86" s="822"/>
      <c r="BA86" s="822"/>
      <c r="BB86" s="822"/>
      <c r="BC86" s="822"/>
      <c r="BD86" s="822"/>
      <c r="BE86" s="822"/>
      <c r="BF86" s="822"/>
      <c r="BG86" s="822"/>
      <c r="BH86" s="822"/>
      <c r="BI86" s="822"/>
      <c r="BJ86" s="822"/>
      <c r="BK86" s="941"/>
      <c r="BL86" s="822"/>
      <c r="BM86" s="822"/>
      <c r="BN86" s="822"/>
      <c r="BO86" s="942"/>
      <c r="BP86" s="822"/>
      <c r="BQ86" s="822"/>
      <c r="BR86" s="822"/>
      <c r="BS86" s="822"/>
      <c r="BT86" s="822"/>
      <c r="BU86" s="822"/>
      <c r="BV86" s="822"/>
      <c r="BW86" s="822"/>
      <c r="BX86" s="822"/>
      <c r="BY86" s="822"/>
      <c r="BZ86" s="822"/>
      <c r="CA86" s="822"/>
      <c r="CB86" s="822"/>
      <c r="CC86" s="822"/>
      <c r="CD86" s="822"/>
      <c r="CE86" s="822"/>
      <c r="CF86" s="822"/>
      <c r="CG86" s="822"/>
      <c r="CH86" s="822"/>
      <c r="CI86" s="941"/>
      <c r="CJ86" s="822"/>
      <c r="CK86" s="822"/>
      <c r="CL86" s="822"/>
      <c r="CM86" s="822"/>
      <c r="CN86" s="822"/>
      <c r="CO86" s="822"/>
      <c r="CP86" s="822"/>
      <c r="CQ86" s="822"/>
      <c r="CR86" s="822"/>
      <c r="CS86" s="822"/>
      <c r="CT86" s="822"/>
      <c r="CU86" s="941"/>
      <c r="CV86" s="822"/>
      <c r="CW86" s="822"/>
      <c r="CX86" s="822"/>
    </row>
    <row r="87" spans="2:102" s="818" customFormat="1" ht="20.25" hidden="1" customHeight="1" outlineLevel="1">
      <c r="B87" s="938"/>
      <c r="D87" s="939"/>
      <c r="E87" s="939"/>
      <c r="F87" s="940"/>
      <c r="G87" s="819"/>
      <c r="H87" s="819"/>
      <c r="I87" s="819"/>
      <c r="J87" s="819"/>
      <c r="K87" s="822"/>
      <c r="L87" s="822"/>
      <c r="M87" s="822"/>
      <c r="N87" s="822"/>
      <c r="O87" s="822"/>
      <c r="P87" s="822"/>
      <c r="Q87" s="822"/>
      <c r="R87" s="822"/>
      <c r="S87" s="822"/>
      <c r="T87" s="822"/>
      <c r="U87" s="941"/>
      <c r="V87" s="941"/>
      <c r="W87" s="941"/>
      <c r="X87" s="941"/>
      <c r="Y87" s="941"/>
      <c r="Z87" s="941"/>
      <c r="AA87" s="941"/>
      <c r="AB87" s="941"/>
      <c r="AC87" s="941"/>
      <c r="AD87" s="941"/>
      <c r="AE87" s="942"/>
      <c r="AF87" s="822"/>
      <c r="AG87" s="822"/>
      <c r="AH87" s="822"/>
      <c r="AI87" s="822"/>
      <c r="AJ87" s="822"/>
      <c r="AK87" s="822"/>
      <c r="AL87" s="822"/>
      <c r="AM87" s="822"/>
      <c r="AN87" s="822"/>
      <c r="AO87" s="822"/>
      <c r="AP87" s="822"/>
      <c r="AQ87" s="822"/>
      <c r="AR87" s="822"/>
      <c r="AS87" s="822"/>
      <c r="AT87" s="822"/>
      <c r="AU87" s="822"/>
      <c r="AV87" s="822"/>
      <c r="AW87" s="822"/>
      <c r="AX87" s="822"/>
      <c r="AY87" s="941"/>
      <c r="AZ87" s="822"/>
      <c r="BA87" s="822"/>
      <c r="BB87" s="822"/>
      <c r="BC87" s="822"/>
      <c r="BD87" s="822"/>
      <c r="BE87" s="822"/>
      <c r="BF87" s="822"/>
      <c r="BG87" s="822"/>
      <c r="BH87" s="822"/>
      <c r="BI87" s="822"/>
      <c r="BJ87" s="822"/>
      <c r="BK87" s="941"/>
      <c r="BL87" s="822"/>
      <c r="BM87" s="822"/>
      <c r="BN87" s="822"/>
      <c r="BO87" s="942"/>
      <c r="BP87" s="822"/>
      <c r="BQ87" s="822"/>
      <c r="BR87" s="822"/>
      <c r="BS87" s="822"/>
      <c r="BT87" s="822"/>
      <c r="BU87" s="822"/>
      <c r="BV87" s="822"/>
      <c r="BW87" s="822"/>
      <c r="BX87" s="822"/>
      <c r="BY87" s="822"/>
      <c r="BZ87" s="822"/>
      <c r="CA87" s="822"/>
      <c r="CB87" s="822"/>
      <c r="CC87" s="822"/>
      <c r="CD87" s="822"/>
      <c r="CE87" s="822"/>
      <c r="CF87" s="822"/>
      <c r="CG87" s="822"/>
      <c r="CH87" s="822"/>
      <c r="CI87" s="941"/>
      <c r="CJ87" s="822"/>
      <c r="CK87" s="822"/>
      <c r="CL87" s="822"/>
      <c r="CM87" s="822"/>
      <c r="CN87" s="822"/>
      <c r="CO87" s="822"/>
      <c r="CP87" s="822"/>
      <c r="CQ87" s="822"/>
      <c r="CR87" s="822"/>
      <c r="CS87" s="822"/>
      <c r="CT87" s="822"/>
      <c r="CU87" s="941"/>
      <c r="CV87" s="822"/>
      <c r="CW87" s="822"/>
      <c r="CX87" s="822"/>
    </row>
    <row r="88" spans="2:102" s="818" customFormat="1" ht="20.25" hidden="1" customHeight="1" outlineLevel="1">
      <c r="B88" s="938"/>
      <c r="D88" s="939"/>
      <c r="E88" s="939"/>
      <c r="F88" s="940"/>
      <c r="G88" s="819"/>
      <c r="H88" s="819"/>
      <c r="I88" s="819"/>
      <c r="J88" s="819"/>
      <c r="K88" s="822"/>
      <c r="L88" s="822"/>
      <c r="M88" s="822"/>
      <c r="N88" s="822"/>
      <c r="O88" s="822"/>
      <c r="P88" s="822"/>
      <c r="Q88" s="822"/>
      <c r="R88" s="822"/>
      <c r="S88" s="822"/>
      <c r="T88" s="822"/>
      <c r="U88" s="941"/>
      <c r="V88" s="941"/>
      <c r="W88" s="941"/>
      <c r="X88" s="941"/>
      <c r="Y88" s="941"/>
      <c r="Z88" s="941"/>
      <c r="AA88" s="941"/>
      <c r="AB88" s="941"/>
      <c r="AC88" s="941"/>
      <c r="AD88" s="941"/>
      <c r="AE88" s="942"/>
      <c r="AF88" s="822"/>
      <c r="AG88" s="822"/>
      <c r="AH88" s="822"/>
      <c r="AI88" s="822"/>
      <c r="AJ88" s="822"/>
      <c r="AK88" s="822"/>
      <c r="AL88" s="822"/>
      <c r="AM88" s="822"/>
      <c r="AN88" s="822"/>
      <c r="AO88" s="822"/>
      <c r="AP88" s="822"/>
      <c r="AQ88" s="822"/>
      <c r="AR88" s="822"/>
      <c r="AS88" s="822"/>
      <c r="AT88" s="822"/>
      <c r="AU88" s="822"/>
      <c r="AV88" s="822"/>
      <c r="AW88" s="822"/>
      <c r="AX88" s="822"/>
      <c r="AY88" s="941"/>
      <c r="AZ88" s="822"/>
      <c r="BA88" s="822"/>
      <c r="BB88" s="822"/>
      <c r="BC88" s="822"/>
      <c r="BD88" s="822"/>
      <c r="BE88" s="822"/>
      <c r="BF88" s="822"/>
      <c r="BG88" s="822"/>
      <c r="BH88" s="822"/>
      <c r="BI88" s="822"/>
      <c r="BJ88" s="822"/>
      <c r="BK88" s="941"/>
      <c r="BL88" s="822"/>
      <c r="BM88" s="822"/>
      <c r="BN88" s="822"/>
      <c r="BO88" s="942"/>
      <c r="BP88" s="822"/>
      <c r="BQ88" s="822"/>
      <c r="BR88" s="822"/>
      <c r="BS88" s="822"/>
      <c r="BT88" s="822"/>
      <c r="BU88" s="822"/>
      <c r="BV88" s="822"/>
      <c r="BW88" s="822"/>
      <c r="BX88" s="822"/>
      <c r="BY88" s="822"/>
      <c r="BZ88" s="822"/>
      <c r="CA88" s="822"/>
      <c r="CB88" s="822"/>
      <c r="CC88" s="822"/>
      <c r="CD88" s="822"/>
      <c r="CE88" s="822"/>
      <c r="CF88" s="822"/>
      <c r="CG88" s="822"/>
      <c r="CH88" s="822"/>
      <c r="CI88" s="941"/>
      <c r="CJ88" s="822"/>
      <c r="CK88" s="822"/>
      <c r="CL88" s="822"/>
      <c r="CM88" s="822"/>
      <c r="CN88" s="822"/>
      <c r="CO88" s="822"/>
      <c r="CP88" s="822"/>
      <c r="CQ88" s="822"/>
      <c r="CR88" s="822"/>
      <c r="CS88" s="822"/>
      <c r="CT88" s="822"/>
      <c r="CU88" s="941"/>
      <c r="CV88" s="822"/>
      <c r="CW88" s="822"/>
      <c r="CX88" s="822"/>
    </row>
    <row r="89" spans="2:102" s="818" customFormat="1" ht="20.25" hidden="1" customHeight="1" outlineLevel="1">
      <c r="B89" s="938"/>
      <c r="D89" s="939"/>
      <c r="E89" s="939"/>
      <c r="F89" s="940"/>
      <c r="G89" s="819"/>
      <c r="H89" s="819"/>
      <c r="I89" s="819"/>
      <c r="J89" s="819"/>
      <c r="K89" s="822"/>
      <c r="L89" s="822"/>
      <c r="M89" s="822"/>
      <c r="N89" s="822"/>
      <c r="O89" s="822"/>
      <c r="P89" s="822"/>
      <c r="Q89" s="822"/>
      <c r="R89" s="822"/>
      <c r="S89" s="822"/>
      <c r="T89" s="822"/>
      <c r="U89" s="941"/>
      <c r="V89" s="941"/>
      <c r="W89" s="941"/>
      <c r="X89" s="941"/>
      <c r="Y89" s="941"/>
      <c r="Z89" s="941"/>
      <c r="AA89" s="941"/>
      <c r="AB89" s="941"/>
      <c r="AC89" s="941"/>
      <c r="AD89" s="941"/>
      <c r="AE89" s="942"/>
      <c r="AF89" s="822"/>
      <c r="AG89" s="822"/>
      <c r="AH89" s="822"/>
      <c r="AI89" s="822"/>
      <c r="AJ89" s="822"/>
      <c r="AK89" s="822"/>
      <c r="AL89" s="822"/>
      <c r="AM89" s="822"/>
      <c r="AN89" s="822"/>
      <c r="AO89" s="822"/>
      <c r="AP89" s="822"/>
      <c r="AQ89" s="822"/>
      <c r="AR89" s="822"/>
      <c r="AS89" s="822"/>
      <c r="AT89" s="822"/>
      <c r="AU89" s="822"/>
      <c r="AV89" s="822"/>
      <c r="AW89" s="822"/>
      <c r="AX89" s="822"/>
      <c r="AY89" s="941"/>
      <c r="AZ89" s="822"/>
      <c r="BA89" s="822"/>
      <c r="BB89" s="822"/>
      <c r="BC89" s="822"/>
      <c r="BD89" s="822"/>
      <c r="BE89" s="822"/>
      <c r="BF89" s="822"/>
      <c r="BG89" s="822"/>
      <c r="BH89" s="822"/>
      <c r="BI89" s="822"/>
      <c r="BJ89" s="822"/>
      <c r="BK89" s="941"/>
      <c r="BL89" s="822"/>
      <c r="BM89" s="822"/>
      <c r="BN89" s="822"/>
      <c r="BO89" s="942"/>
      <c r="BP89" s="822"/>
      <c r="BQ89" s="822"/>
      <c r="BR89" s="822"/>
      <c r="BS89" s="822"/>
      <c r="BT89" s="822"/>
      <c r="BU89" s="822"/>
      <c r="BV89" s="822"/>
      <c r="BW89" s="822"/>
      <c r="BX89" s="822"/>
      <c r="BY89" s="822"/>
      <c r="BZ89" s="822"/>
      <c r="CA89" s="822"/>
      <c r="CB89" s="822"/>
      <c r="CC89" s="822"/>
      <c r="CD89" s="822"/>
      <c r="CE89" s="822"/>
      <c r="CF89" s="822"/>
      <c r="CG89" s="822"/>
      <c r="CH89" s="822"/>
      <c r="CI89" s="941"/>
      <c r="CJ89" s="822"/>
      <c r="CK89" s="822"/>
      <c r="CL89" s="822"/>
      <c r="CM89" s="822"/>
      <c r="CN89" s="822"/>
      <c r="CO89" s="822"/>
      <c r="CP89" s="822"/>
      <c r="CQ89" s="822"/>
      <c r="CR89" s="822"/>
      <c r="CS89" s="822"/>
      <c r="CT89" s="822"/>
      <c r="CU89" s="941"/>
      <c r="CV89" s="822"/>
      <c r="CW89" s="822"/>
      <c r="CX89" s="822"/>
    </row>
    <row r="90" spans="2:102" s="818" customFormat="1" ht="20.25" hidden="1" customHeight="1" outlineLevel="1">
      <c r="B90" s="938"/>
      <c r="D90" s="939"/>
      <c r="E90" s="939"/>
      <c r="F90" s="940"/>
      <c r="G90" s="819"/>
      <c r="H90" s="819"/>
      <c r="I90" s="819"/>
      <c r="J90" s="819"/>
      <c r="K90" s="822"/>
      <c r="L90" s="822"/>
      <c r="M90" s="822"/>
      <c r="N90" s="822"/>
      <c r="O90" s="822"/>
      <c r="P90" s="822"/>
      <c r="Q90" s="822"/>
      <c r="R90" s="822"/>
      <c r="S90" s="822"/>
      <c r="T90" s="822"/>
      <c r="U90" s="941"/>
      <c r="V90" s="941"/>
      <c r="W90" s="941"/>
      <c r="X90" s="941"/>
      <c r="Y90" s="941"/>
      <c r="Z90" s="941"/>
      <c r="AA90" s="941"/>
      <c r="AB90" s="941"/>
      <c r="AC90" s="941"/>
      <c r="AD90" s="941"/>
      <c r="AE90" s="942"/>
      <c r="AF90" s="822"/>
      <c r="AG90" s="822"/>
      <c r="AH90" s="822"/>
      <c r="AI90" s="822"/>
      <c r="AJ90" s="822"/>
      <c r="AK90" s="822"/>
      <c r="AL90" s="822"/>
      <c r="AM90" s="822"/>
      <c r="AN90" s="822"/>
      <c r="AO90" s="822"/>
      <c r="AP90" s="822"/>
      <c r="AQ90" s="822"/>
      <c r="AR90" s="822"/>
      <c r="AS90" s="822"/>
      <c r="AT90" s="822"/>
      <c r="AU90" s="822"/>
      <c r="AV90" s="822"/>
      <c r="AW90" s="822"/>
      <c r="AX90" s="822"/>
      <c r="AY90" s="941"/>
      <c r="AZ90" s="822"/>
      <c r="BA90" s="822"/>
      <c r="BB90" s="822"/>
      <c r="BC90" s="822"/>
      <c r="BD90" s="822"/>
      <c r="BE90" s="822"/>
      <c r="BF90" s="822"/>
      <c r="BG90" s="822"/>
      <c r="BH90" s="822"/>
      <c r="BI90" s="822"/>
      <c r="BJ90" s="822"/>
      <c r="BK90" s="941"/>
      <c r="BL90" s="822"/>
      <c r="BM90" s="822"/>
      <c r="BN90" s="822"/>
      <c r="BO90" s="942"/>
      <c r="BP90" s="822"/>
      <c r="BQ90" s="822"/>
      <c r="BR90" s="822"/>
      <c r="BS90" s="822"/>
      <c r="BT90" s="822"/>
      <c r="BU90" s="822"/>
      <c r="BV90" s="822"/>
      <c r="BW90" s="822"/>
      <c r="BX90" s="822"/>
      <c r="BY90" s="822"/>
      <c r="BZ90" s="822"/>
      <c r="CA90" s="822"/>
      <c r="CB90" s="822"/>
      <c r="CC90" s="822"/>
      <c r="CD90" s="822"/>
      <c r="CE90" s="822"/>
      <c r="CF90" s="822"/>
      <c r="CG90" s="822"/>
      <c r="CH90" s="822"/>
      <c r="CI90" s="941"/>
      <c r="CJ90" s="822"/>
      <c r="CK90" s="822"/>
      <c r="CL90" s="822"/>
      <c r="CM90" s="822"/>
      <c r="CN90" s="822"/>
      <c r="CO90" s="822"/>
      <c r="CP90" s="822"/>
      <c r="CQ90" s="822"/>
      <c r="CR90" s="822"/>
      <c r="CS90" s="822"/>
      <c r="CT90" s="822"/>
      <c r="CU90" s="941"/>
      <c r="CV90" s="822"/>
      <c r="CW90" s="822"/>
      <c r="CX90" s="822"/>
    </row>
    <row r="91" spans="2:102" s="818" customFormat="1" ht="22.5" hidden="1" customHeight="1" outlineLevel="2">
      <c r="B91" s="938"/>
      <c r="D91" s="939"/>
      <c r="E91" s="939"/>
      <c r="F91" s="940"/>
      <c r="G91" s="819"/>
      <c r="H91" s="819"/>
      <c r="I91" s="819"/>
      <c r="J91" s="819"/>
      <c r="K91" s="822"/>
      <c r="L91" s="822"/>
      <c r="M91" s="822"/>
      <c r="N91" s="822"/>
      <c r="O91" s="822"/>
      <c r="P91" s="822"/>
      <c r="Q91" s="822"/>
      <c r="R91" s="822"/>
      <c r="S91" s="822"/>
      <c r="T91" s="822"/>
      <c r="U91" s="941"/>
      <c r="V91" s="941"/>
      <c r="W91" s="941"/>
      <c r="X91" s="941"/>
      <c r="Y91" s="941"/>
      <c r="Z91" s="941"/>
      <c r="AA91" s="941"/>
      <c r="AB91" s="941"/>
      <c r="AC91" s="941"/>
      <c r="AD91" s="941"/>
      <c r="AE91" s="942"/>
      <c r="AF91" s="822"/>
      <c r="AG91" s="822"/>
      <c r="AH91" s="822"/>
      <c r="AI91" s="822"/>
      <c r="AJ91" s="822"/>
      <c r="AK91" s="822"/>
      <c r="AL91" s="822"/>
      <c r="AM91" s="822"/>
      <c r="AN91" s="822"/>
      <c r="AO91" s="822"/>
      <c r="AP91" s="822"/>
      <c r="AQ91" s="822"/>
      <c r="AR91" s="822"/>
      <c r="AS91" s="822"/>
      <c r="AT91" s="822"/>
      <c r="AU91" s="822"/>
      <c r="AV91" s="822"/>
      <c r="AW91" s="822"/>
      <c r="AX91" s="822"/>
      <c r="AY91" s="941"/>
      <c r="AZ91" s="822"/>
      <c r="BA91" s="822"/>
      <c r="BB91" s="822"/>
      <c r="BC91" s="822"/>
      <c r="BD91" s="822"/>
      <c r="BE91" s="822"/>
      <c r="BF91" s="822"/>
      <c r="BG91" s="822"/>
      <c r="BH91" s="822"/>
      <c r="BI91" s="822"/>
      <c r="BJ91" s="822"/>
      <c r="BK91" s="941"/>
      <c r="BL91" s="822"/>
      <c r="BM91" s="822"/>
      <c r="BN91" s="822"/>
      <c r="BO91" s="942"/>
      <c r="BP91" s="822"/>
      <c r="BQ91" s="822"/>
      <c r="BR91" s="822"/>
      <c r="BS91" s="822"/>
      <c r="BT91" s="822"/>
      <c r="BU91" s="822"/>
      <c r="BV91" s="822"/>
      <c r="BW91" s="822"/>
      <c r="BX91" s="822"/>
      <c r="BY91" s="822"/>
      <c r="BZ91" s="822"/>
      <c r="CA91" s="822"/>
      <c r="CB91" s="822"/>
      <c r="CC91" s="822"/>
      <c r="CD91" s="822"/>
      <c r="CE91" s="822"/>
      <c r="CF91" s="822"/>
      <c r="CG91" s="822"/>
      <c r="CH91" s="822"/>
      <c r="CI91" s="941"/>
      <c r="CJ91" s="822"/>
      <c r="CK91" s="822"/>
      <c r="CL91" s="822"/>
      <c r="CM91" s="822"/>
      <c r="CN91" s="822"/>
      <c r="CO91" s="822"/>
      <c r="CP91" s="822"/>
      <c r="CQ91" s="822"/>
      <c r="CR91" s="822"/>
      <c r="CS91" s="822"/>
      <c r="CT91" s="822"/>
      <c r="CU91" s="941"/>
      <c r="CV91" s="822"/>
      <c r="CW91" s="822"/>
      <c r="CX91" s="822"/>
    </row>
    <row r="92" spans="2:102" s="818" customFormat="1" ht="20.25" hidden="1" customHeight="1" outlineLevel="1">
      <c r="B92" s="938"/>
      <c r="C92" s="931"/>
      <c r="D92" s="939"/>
      <c r="E92" s="939"/>
      <c r="F92" s="944"/>
      <c r="G92" s="819"/>
      <c r="H92" s="819"/>
      <c r="I92" s="819"/>
      <c r="J92" s="819"/>
      <c r="K92" s="822"/>
      <c r="L92" s="822"/>
      <c r="M92" s="822"/>
      <c r="N92" s="822"/>
      <c r="O92" s="822"/>
      <c r="P92" s="822"/>
      <c r="Q92" s="822"/>
      <c r="R92" s="822"/>
      <c r="S92" s="822"/>
      <c r="T92" s="822"/>
      <c r="U92" s="941"/>
      <c r="V92" s="941"/>
      <c r="W92" s="941"/>
      <c r="X92" s="941"/>
      <c r="Y92" s="941"/>
      <c r="Z92" s="941"/>
      <c r="AA92" s="941"/>
      <c r="AB92" s="941"/>
      <c r="AC92" s="941"/>
      <c r="AD92" s="941"/>
      <c r="AE92" s="942"/>
      <c r="AF92" s="941"/>
      <c r="AG92" s="941"/>
      <c r="AH92" s="941"/>
      <c r="AI92" s="941"/>
      <c r="AJ92" s="941"/>
      <c r="AK92" s="941"/>
      <c r="AL92" s="941"/>
      <c r="AM92" s="941"/>
      <c r="AN92" s="941"/>
      <c r="AO92" s="941"/>
      <c r="AP92" s="941"/>
      <c r="AQ92" s="941"/>
      <c r="AR92" s="941"/>
      <c r="AS92" s="941"/>
      <c r="AT92" s="941"/>
      <c r="AU92" s="941"/>
      <c r="AV92" s="941"/>
      <c r="AW92" s="941"/>
      <c r="AX92" s="941"/>
      <c r="AY92" s="941"/>
      <c r="AZ92" s="941"/>
      <c r="BA92" s="941"/>
      <c r="BB92" s="941"/>
      <c r="BC92" s="941"/>
      <c r="BD92" s="941"/>
      <c r="BE92" s="941"/>
      <c r="BF92" s="941"/>
      <c r="BG92" s="941"/>
      <c r="BH92" s="941"/>
      <c r="BI92" s="941"/>
      <c r="BJ92" s="941"/>
      <c r="BK92" s="941"/>
      <c r="BL92" s="941"/>
      <c r="BM92" s="941"/>
      <c r="BN92" s="941"/>
      <c r="BO92" s="942"/>
      <c r="BP92" s="941"/>
      <c r="BQ92" s="941"/>
      <c r="BR92" s="941"/>
      <c r="BS92" s="941"/>
      <c r="BT92" s="941"/>
      <c r="BU92" s="941"/>
      <c r="BV92" s="941"/>
      <c r="BW92" s="941"/>
      <c r="BX92" s="941"/>
      <c r="BY92" s="941"/>
      <c r="BZ92" s="941"/>
      <c r="CA92" s="941"/>
      <c r="CB92" s="941"/>
      <c r="CC92" s="941"/>
      <c r="CD92" s="941"/>
      <c r="CE92" s="941"/>
      <c r="CF92" s="941"/>
      <c r="CG92" s="941"/>
      <c r="CH92" s="941"/>
      <c r="CI92" s="941"/>
      <c r="CJ92" s="941"/>
      <c r="CK92" s="941"/>
      <c r="CL92" s="941"/>
      <c r="CM92" s="941"/>
      <c r="CN92" s="941"/>
      <c r="CO92" s="941"/>
      <c r="CP92" s="941"/>
      <c r="CQ92" s="941"/>
      <c r="CR92" s="941"/>
      <c r="CS92" s="941"/>
      <c r="CT92" s="941"/>
      <c r="CU92" s="941"/>
      <c r="CV92" s="941"/>
      <c r="CW92" s="941"/>
      <c r="CX92" s="941"/>
    </row>
    <row r="93" spans="2:102" s="818" customFormat="1" ht="20.25" hidden="1" customHeight="1" outlineLevel="1">
      <c r="B93" s="938"/>
      <c r="C93" s="945" t="s">
        <v>1248</v>
      </c>
      <c r="D93" s="939"/>
      <c r="E93" s="939"/>
      <c r="F93" s="940" t="s">
        <v>1249</v>
      </c>
      <c r="G93" s="819"/>
      <c r="H93" s="819"/>
      <c r="I93" s="819"/>
      <c r="J93" s="819"/>
      <c r="K93" s="822"/>
      <c r="L93" s="822"/>
      <c r="M93" s="822"/>
      <c r="N93" s="822"/>
      <c r="O93" s="822"/>
      <c r="P93" s="822"/>
      <c r="Q93" s="822"/>
      <c r="R93" s="822"/>
      <c r="S93" s="822"/>
      <c r="T93" s="822"/>
      <c r="U93" s="941"/>
      <c r="V93" s="941"/>
      <c r="W93" s="941"/>
      <c r="X93" s="941"/>
      <c r="Y93" s="941"/>
      <c r="Z93" s="941"/>
      <c r="AA93" s="941"/>
      <c r="AB93" s="941"/>
      <c r="AC93" s="941"/>
      <c r="AD93" s="941"/>
      <c r="AE93" s="942"/>
      <c r="AF93" s="822"/>
      <c r="AG93" s="822"/>
      <c r="AH93" s="822"/>
      <c r="AI93" s="822"/>
      <c r="AJ93" s="822"/>
      <c r="AK93" s="822"/>
      <c r="AL93" s="822"/>
      <c r="AM93" s="822"/>
      <c r="AN93" s="822"/>
      <c r="AO93" s="822"/>
      <c r="AP93" s="822"/>
      <c r="AQ93" s="822"/>
      <c r="AR93" s="822"/>
      <c r="AS93" s="822"/>
      <c r="AT93" s="822"/>
      <c r="AU93" s="822"/>
      <c r="AV93" s="822"/>
      <c r="AW93" s="822"/>
      <c r="AX93" s="822"/>
      <c r="AY93" s="941"/>
      <c r="AZ93" s="822"/>
      <c r="BA93" s="822"/>
      <c r="BB93" s="822"/>
      <c r="BC93" s="822"/>
      <c r="BD93" s="822"/>
      <c r="BE93" s="822"/>
      <c r="BF93" s="822"/>
      <c r="BG93" s="822"/>
      <c r="BH93" s="822"/>
      <c r="BI93" s="822"/>
      <c r="BJ93" s="822"/>
      <c r="BK93" s="941"/>
      <c r="BL93" s="822"/>
      <c r="BM93" s="822"/>
      <c r="BN93" s="822"/>
      <c r="BO93" s="942"/>
      <c r="BP93" s="822"/>
      <c r="BQ93" s="822"/>
      <c r="BR93" s="822"/>
      <c r="BS93" s="822"/>
      <c r="BT93" s="822"/>
      <c r="BU93" s="822"/>
      <c r="BV93" s="822"/>
      <c r="BW93" s="822"/>
      <c r="BX93" s="822"/>
      <c r="BY93" s="822"/>
      <c r="BZ93" s="822"/>
      <c r="CA93" s="822"/>
      <c r="CB93" s="822"/>
      <c r="CC93" s="822"/>
      <c r="CD93" s="822"/>
      <c r="CE93" s="822"/>
      <c r="CF93" s="822"/>
      <c r="CG93" s="822"/>
      <c r="CH93" s="822"/>
      <c r="CI93" s="941"/>
      <c r="CJ93" s="822"/>
      <c r="CK93" s="822"/>
      <c r="CL93" s="822"/>
      <c r="CM93" s="822"/>
      <c r="CN93" s="822"/>
      <c r="CO93" s="822"/>
      <c r="CP93" s="822"/>
      <c r="CQ93" s="822"/>
      <c r="CR93" s="822"/>
      <c r="CS93" s="822"/>
      <c r="CT93" s="822"/>
      <c r="CU93" s="941"/>
      <c r="CV93" s="822"/>
      <c r="CW93" s="822"/>
      <c r="CX93" s="822"/>
    </row>
    <row r="94" spans="2:102" s="817" customFormat="1" collapsed="1">
      <c r="B94" s="816"/>
      <c r="E94" s="818"/>
      <c r="F94" s="818"/>
      <c r="G94" s="819"/>
      <c r="H94" s="820"/>
      <c r="I94" s="820"/>
      <c r="J94" s="820"/>
      <c r="K94" s="821"/>
      <c r="L94" s="821"/>
      <c r="M94" s="821"/>
      <c r="N94" s="821"/>
      <c r="O94" s="821"/>
      <c r="P94" s="821"/>
      <c r="Q94" s="821"/>
      <c r="R94" s="821"/>
      <c r="S94" s="821"/>
      <c r="T94" s="821"/>
      <c r="U94" s="822"/>
      <c r="V94" s="821"/>
      <c r="W94" s="821"/>
      <c r="X94" s="821"/>
      <c r="Y94" s="821"/>
      <c r="Z94" s="821"/>
      <c r="AA94" s="821"/>
      <c r="AB94" s="821"/>
      <c r="AC94" s="821"/>
      <c r="AD94" s="821"/>
      <c r="AE94" s="829"/>
      <c r="AF94" s="822"/>
      <c r="AG94" s="821"/>
      <c r="AH94" s="821"/>
      <c r="AI94" s="821"/>
      <c r="AJ94" s="821"/>
      <c r="AK94" s="821"/>
      <c r="AL94" s="821"/>
      <c r="AM94" s="821"/>
      <c r="AN94" s="821"/>
      <c r="AO94" s="821"/>
      <c r="AP94" s="821"/>
      <c r="AQ94" s="821"/>
      <c r="AR94" s="821"/>
      <c r="AS94" s="821"/>
      <c r="AT94" s="821"/>
      <c r="AU94" s="821"/>
      <c r="AV94" s="821"/>
      <c r="AW94" s="821"/>
      <c r="AX94" s="821"/>
      <c r="AY94" s="821"/>
      <c r="AZ94" s="821"/>
      <c r="BA94" s="821"/>
      <c r="BB94" s="821"/>
      <c r="BC94" s="821"/>
      <c r="BD94" s="821"/>
      <c r="BE94" s="821"/>
      <c r="BF94" s="821"/>
      <c r="BG94" s="821"/>
      <c r="BH94" s="821"/>
      <c r="BI94" s="821"/>
      <c r="BJ94" s="821"/>
      <c r="BK94" s="821"/>
      <c r="BL94" s="821"/>
      <c r="BM94" s="821"/>
      <c r="BN94" s="821"/>
      <c r="BO94" s="829"/>
      <c r="BP94" s="822"/>
      <c r="BQ94" s="821"/>
      <c r="BR94" s="821"/>
      <c r="BS94" s="821"/>
      <c r="BT94" s="821"/>
      <c r="BU94" s="821"/>
      <c r="BV94" s="821"/>
      <c r="BW94" s="821"/>
      <c r="BX94" s="821"/>
      <c r="BY94" s="821"/>
      <c r="BZ94" s="821"/>
      <c r="CA94" s="821"/>
      <c r="CB94" s="821"/>
      <c r="CC94" s="821"/>
      <c r="CD94" s="821"/>
      <c r="CE94" s="821"/>
      <c r="CF94" s="821"/>
      <c r="CG94" s="821"/>
      <c r="CH94" s="821"/>
      <c r="CI94" s="821"/>
      <c r="CJ94" s="821"/>
      <c r="CK94" s="821"/>
      <c r="CL94" s="821"/>
      <c r="CM94" s="821"/>
      <c r="CN94" s="821"/>
      <c r="CO94" s="821"/>
      <c r="CP94" s="821"/>
      <c r="CQ94" s="821"/>
      <c r="CR94" s="821"/>
      <c r="CS94" s="821"/>
      <c r="CT94" s="821"/>
      <c r="CU94" s="821"/>
      <c r="CV94" s="821"/>
      <c r="CW94" s="821"/>
      <c r="CX94" s="821"/>
    </row>
    <row r="95" spans="2:102" s="817" customFormat="1">
      <c r="B95" s="816"/>
      <c r="C95" s="817" t="s">
        <v>1250</v>
      </c>
      <c r="E95" s="818"/>
      <c r="F95" s="940"/>
      <c r="G95" s="819"/>
      <c r="H95" s="820"/>
      <c r="I95" s="820"/>
      <c r="J95" s="820"/>
      <c r="K95" s="821"/>
      <c r="L95" s="821"/>
      <c r="M95" s="821"/>
      <c r="N95" s="821"/>
      <c r="O95" s="821"/>
      <c r="P95" s="821"/>
      <c r="Q95" s="821"/>
      <c r="S95" s="821"/>
      <c r="T95" s="821"/>
      <c r="U95" s="822"/>
      <c r="V95" s="821"/>
      <c r="W95" s="821"/>
      <c r="X95" s="821"/>
      <c r="Y95" s="821"/>
      <c r="Z95" s="821"/>
      <c r="AA95" s="821"/>
      <c r="AB95" s="821"/>
      <c r="AC95" s="821"/>
      <c r="AD95" s="821"/>
      <c r="AE95" s="829"/>
      <c r="AF95" s="822"/>
      <c r="AG95" s="821"/>
      <c r="AH95" s="821"/>
      <c r="AI95" s="821"/>
      <c r="AJ95" s="821"/>
      <c r="AK95" s="821"/>
      <c r="AL95" s="821"/>
      <c r="AM95" s="821"/>
      <c r="AN95" s="821"/>
      <c r="AO95" s="821"/>
      <c r="AP95" s="821"/>
      <c r="AQ95" s="821"/>
      <c r="AR95" s="821"/>
      <c r="AS95" s="821"/>
      <c r="AT95" s="821"/>
      <c r="AU95" s="821"/>
      <c r="AV95" s="821"/>
      <c r="AW95" s="821"/>
      <c r="AX95" s="821"/>
      <c r="AY95" s="821"/>
      <c r="AZ95" s="821"/>
      <c r="BA95" s="821"/>
      <c r="BB95" s="985"/>
      <c r="BC95" s="821"/>
      <c r="BD95" s="821"/>
      <c r="BE95" s="821"/>
      <c r="BF95" s="821"/>
      <c r="BG95" s="821"/>
      <c r="BH95" s="821"/>
      <c r="BI95" s="821"/>
      <c r="BJ95" s="821"/>
      <c r="BK95" s="821"/>
      <c r="BL95" s="821"/>
      <c r="BM95" s="821"/>
      <c r="BN95" s="821"/>
      <c r="BO95" s="829"/>
      <c r="BP95" s="822"/>
      <c r="BQ95" s="821"/>
      <c r="BR95" s="821"/>
      <c r="BS95" s="821"/>
      <c r="BT95" s="821"/>
      <c r="BU95" s="821"/>
      <c r="BV95" s="821"/>
      <c r="BW95" s="821"/>
      <c r="BX95" s="821"/>
      <c r="BY95" s="821"/>
      <c r="BZ95" s="821"/>
      <c r="CA95" s="821"/>
      <c r="CB95" s="821"/>
      <c r="CC95" s="821"/>
      <c r="CD95" s="821"/>
      <c r="CE95" s="821"/>
      <c r="CF95" s="821"/>
      <c r="CG95" s="821"/>
      <c r="CH95" s="821"/>
      <c r="CI95" s="821"/>
      <c r="CJ95" s="821"/>
      <c r="CK95" s="821"/>
      <c r="CL95" s="985"/>
      <c r="CM95" s="821"/>
      <c r="CN95" s="821"/>
      <c r="CO95" s="821"/>
      <c r="CP95" s="821"/>
      <c r="CQ95" s="821"/>
      <c r="CR95" s="821"/>
      <c r="CS95" s="821"/>
      <c r="CT95" s="821"/>
      <c r="CU95" s="821"/>
      <c r="CV95" s="821"/>
      <c r="CW95" s="821"/>
      <c r="CX95" s="985"/>
    </row>
    <row r="96" spans="2:102" s="817" customFormat="1">
      <c r="B96" s="816"/>
      <c r="E96" s="818"/>
      <c r="F96" s="818"/>
      <c r="G96" s="819"/>
      <c r="H96" s="820"/>
      <c r="I96" s="820"/>
      <c r="J96" s="820"/>
      <c r="K96" s="821"/>
      <c r="L96" s="821"/>
      <c r="M96" s="821"/>
      <c r="N96" s="821"/>
      <c r="O96" s="821"/>
      <c r="P96" s="821"/>
      <c r="Q96" s="821"/>
      <c r="R96" s="821"/>
      <c r="S96" s="821"/>
      <c r="T96" s="821"/>
      <c r="U96" s="822"/>
      <c r="V96" s="821"/>
      <c r="W96" s="821"/>
      <c r="X96" s="821"/>
      <c r="Y96" s="821"/>
      <c r="Z96" s="821"/>
      <c r="AA96" s="821"/>
      <c r="AB96" s="821"/>
      <c r="AC96" s="821"/>
      <c r="AD96" s="821"/>
      <c r="AE96" s="829"/>
      <c r="AF96" s="822"/>
      <c r="AG96" s="821"/>
      <c r="AH96" s="821"/>
      <c r="AI96" s="821"/>
      <c r="AJ96" s="821"/>
      <c r="AK96" s="821"/>
      <c r="AL96" s="821"/>
      <c r="AM96" s="821"/>
      <c r="AN96" s="821"/>
      <c r="AO96" s="821"/>
      <c r="AP96" s="821"/>
      <c r="AQ96" s="821"/>
      <c r="AR96" s="821"/>
      <c r="AS96" s="821"/>
      <c r="AT96" s="821"/>
      <c r="AU96" s="821"/>
      <c r="AV96" s="821"/>
      <c r="AW96" s="821"/>
      <c r="AX96" s="821"/>
      <c r="AY96" s="821"/>
      <c r="AZ96" s="821"/>
      <c r="BA96" s="821"/>
      <c r="BB96" s="821"/>
      <c r="BC96" s="821"/>
      <c r="BD96" s="821"/>
      <c r="BE96" s="821"/>
      <c r="BF96" s="821"/>
      <c r="BG96" s="821"/>
      <c r="BH96" s="821"/>
      <c r="BI96" s="821"/>
      <c r="BJ96" s="821"/>
      <c r="BK96" s="821"/>
      <c r="BL96" s="821"/>
      <c r="BM96" s="821"/>
      <c r="BN96" s="821"/>
      <c r="BO96" s="829"/>
      <c r="BP96" s="822"/>
      <c r="BQ96" s="821"/>
      <c r="BR96" s="821"/>
      <c r="BS96" s="821"/>
      <c r="BT96" s="821"/>
      <c r="BU96" s="821"/>
      <c r="BV96" s="821"/>
      <c r="BW96" s="821"/>
      <c r="BX96" s="821"/>
      <c r="BY96" s="821"/>
      <c r="BZ96" s="821"/>
      <c r="CA96" s="821"/>
      <c r="CB96" s="821"/>
      <c r="CC96" s="821"/>
      <c r="CD96" s="821"/>
      <c r="CE96" s="821"/>
      <c r="CF96" s="821"/>
      <c r="CG96" s="821"/>
      <c r="CH96" s="821"/>
      <c r="CI96" s="821"/>
      <c r="CJ96" s="821"/>
      <c r="CK96" s="821"/>
      <c r="CL96" s="821"/>
      <c r="CM96" s="821"/>
      <c r="CN96" s="821"/>
      <c r="CO96" s="821"/>
      <c r="CP96" s="821"/>
      <c r="CQ96" s="821"/>
      <c r="CR96" s="821"/>
      <c r="CS96" s="821"/>
      <c r="CT96" s="821"/>
      <c r="CU96" s="821"/>
      <c r="CV96" s="821"/>
      <c r="CW96" s="821"/>
      <c r="CX96" s="821"/>
    </row>
    <row r="97" spans="2:102" s="817" customFormat="1" ht="21" thickBot="1">
      <c r="B97" s="816"/>
      <c r="E97" s="946"/>
      <c r="F97" s="946"/>
      <c r="G97" s="819"/>
      <c r="H97" s="820"/>
      <c r="I97" s="820"/>
      <c r="J97" s="820"/>
      <c r="K97" s="821"/>
      <c r="L97" s="821"/>
      <c r="M97" s="821"/>
      <c r="N97" s="821"/>
      <c r="O97" s="821"/>
      <c r="P97" s="821"/>
      <c r="Q97" s="821"/>
      <c r="R97" s="821"/>
      <c r="S97" s="821"/>
      <c r="T97" s="821"/>
      <c r="U97" s="822"/>
      <c r="V97" s="821"/>
      <c r="W97" s="821"/>
      <c r="X97" s="821"/>
      <c r="Y97" s="821"/>
      <c r="Z97" s="821"/>
      <c r="AA97" s="821"/>
      <c r="AB97" s="821"/>
      <c r="AC97" s="821"/>
      <c r="AD97" s="821"/>
      <c r="AE97" s="829"/>
      <c r="AF97" s="822"/>
      <c r="AG97" s="821"/>
      <c r="AH97" s="821"/>
      <c r="AI97" s="821"/>
      <c r="AJ97" s="821"/>
      <c r="AK97" s="821"/>
      <c r="AL97" s="821"/>
      <c r="AM97" s="821"/>
      <c r="AN97" s="821"/>
      <c r="AO97" s="821"/>
      <c r="AP97" s="821"/>
      <c r="AQ97" s="818"/>
      <c r="AR97" s="818"/>
      <c r="AS97" s="818"/>
      <c r="AT97" s="818"/>
      <c r="AU97" s="818"/>
      <c r="AV97" s="818"/>
      <c r="AW97" s="818"/>
      <c r="AX97" s="818"/>
      <c r="AY97" s="818"/>
      <c r="AZ97" s="818"/>
      <c r="BA97" s="818"/>
      <c r="BB97" s="818"/>
      <c r="BC97" s="818"/>
      <c r="BD97" s="818"/>
      <c r="BE97" s="818"/>
      <c r="BF97" s="818"/>
      <c r="BG97" s="818"/>
      <c r="BH97" s="818"/>
      <c r="BI97" s="818"/>
      <c r="BJ97" s="818"/>
      <c r="BK97" s="818"/>
      <c r="BL97" s="818"/>
      <c r="BM97" s="818"/>
      <c r="BN97" s="818"/>
      <c r="BO97" s="829"/>
      <c r="BP97" s="822"/>
      <c r="BQ97" s="821"/>
      <c r="BR97" s="821"/>
      <c r="BS97" s="821"/>
      <c r="BT97" s="821"/>
      <c r="BU97" s="821"/>
      <c r="BV97" s="821"/>
      <c r="BW97" s="821"/>
      <c r="BX97" s="821"/>
      <c r="BY97" s="821"/>
      <c r="BZ97" s="821"/>
      <c r="CA97" s="818"/>
      <c r="CB97" s="818"/>
      <c r="CC97" s="818"/>
      <c r="CD97" s="818"/>
      <c r="CE97" s="818"/>
      <c r="CF97" s="818"/>
      <c r="CG97" s="818"/>
      <c r="CH97" s="818"/>
      <c r="CI97" s="818"/>
      <c r="CJ97" s="818"/>
      <c r="CK97" s="821"/>
      <c r="CL97" s="818"/>
      <c r="CM97" s="818"/>
      <c r="CN97" s="818"/>
      <c r="CO97" s="818"/>
      <c r="CP97" s="818"/>
      <c r="CQ97" s="818"/>
      <c r="CR97" s="818"/>
      <c r="CS97" s="818"/>
      <c r="CT97" s="818"/>
      <c r="CU97" s="818"/>
      <c r="CV97" s="818"/>
      <c r="CW97" s="821"/>
      <c r="CX97" s="818"/>
    </row>
    <row r="98" spans="2:102" s="817" customFormat="1" ht="409.5" customHeight="1" thickTop="1" thickBot="1">
      <c r="B98" s="816"/>
      <c r="C98" s="947" t="s">
        <v>1252</v>
      </c>
      <c r="E98" s="946"/>
      <c r="F98" s="946"/>
      <c r="G98" s="948">
        <f>(199.35*30.05+601.12*11.94+15584.37*4.6+259.93*30.05+144.21*30.05)/1000</f>
        <v>97.000349299999996</v>
      </c>
      <c r="H98" s="986"/>
      <c r="I98" s="986"/>
      <c r="J98" s="986"/>
      <c r="K98" s="986"/>
      <c r="L98" s="986"/>
      <c r="M98" s="986"/>
      <c r="N98" s="986"/>
      <c r="O98" s="986"/>
      <c r="P98" s="986"/>
      <c r="Q98" s="986"/>
      <c r="R98" s="3575" t="s">
        <v>14887</v>
      </c>
      <c r="S98" s="3576"/>
      <c r="T98" s="1912"/>
      <c r="U98" s="948"/>
      <c r="V98" s="828"/>
      <c r="W98" s="828"/>
      <c r="X98" s="828"/>
      <c r="Y98" s="828"/>
      <c r="Z98" s="950"/>
      <c r="AA98" s="3574"/>
      <c r="AB98" s="3575"/>
      <c r="AC98" s="3576"/>
      <c r="AD98" s="1912"/>
      <c r="AE98" s="948"/>
      <c r="AF98" s="3577" t="s">
        <v>1254</v>
      </c>
      <c r="AG98" s="951"/>
      <c r="AH98" s="951"/>
      <c r="AI98" s="952"/>
      <c r="AJ98" s="951"/>
      <c r="AK98" s="951"/>
      <c r="AL98" s="951"/>
      <c r="AM98" s="953">
        <f>(139.43696+9.90146+6.03099)*9.26</f>
        <v>1438.7207365999998</v>
      </c>
      <c r="AN98" s="953">
        <f>3.94577*24.24+29.69871*10.53+93.63136*7.06+5.85439*24.24+3.20522*24.239</f>
        <v>1289.01202388</v>
      </c>
      <c r="AO98" s="953"/>
      <c r="AP98" s="3577" t="s">
        <v>1255</v>
      </c>
      <c r="AQ98" s="3574"/>
      <c r="AR98" s="3575"/>
      <c r="AS98" s="3575"/>
      <c r="AT98" s="3575"/>
      <c r="AU98" s="3575"/>
      <c r="AV98" s="3575"/>
      <c r="AW98" s="3575"/>
      <c r="AX98" s="3575"/>
      <c r="AY98" s="3575"/>
      <c r="AZ98" s="3575"/>
      <c r="BA98" s="3575"/>
      <c r="BB98" s="818"/>
      <c r="BC98" s="948"/>
      <c r="BD98" s="3577" t="s">
        <v>1254</v>
      </c>
      <c r="BE98" s="951"/>
      <c r="BF98" s="951"/>
      <c r="BG98" s="952"/>
      <c r="BH98" s="951"/>
      <c r="BI98" s="951"/>
      <c r="BJ98" s="951"/>
      <c r="BK98" s="953">
        <f>(139.43696+9.90146+6.03099)*9.26</f>
        <v>1438.7207365999998</v>
      </c>
      <c r="BL98" s="953">
        <f>3.94577*24.24+29.69871*10.53+93.63136*7.06+5.85439*24.24+3.20522*24.239</f>
        <v>1289.01202388</v>
      </c>
      <c r="BM98" s="3574" t="s">
        <v>1272</v>
      </c>
      <c r="BN98" s="3575"/>
      <c r="BO98" s="948">
        <f>1.33603*29.52+3.23838*11.76+46.95973*4.57+1.70894*29.52+0.97806*29.51929</f>
        <v>371.44846607740004</v>
      </c>
      <c r="BP98" s="3577" t="s">
        <v>1254</v>
      </c>
      <c r="BQ98" s="951"/>
      <c r="BR98" s="951"/>
      <c r="BS98" s="952"/>
      <c r="BT98" s="951"/>
      <c r="BU98" s="951"/>
      <c r="BV98" s="951"/>
      <c r="BW98" s="953">
        <f>(139.43696+9.90146+6.03099)*9.26</f>
        <v>1438.7207365999998</v>
      </c>
      <c r="BX98" s="953">
        <f>3.94577*24.24+29.69871*10.53+93.63136*7.06+5.85439*24.24+3.20522*24.239</f>
        <v>1289.01202388</v>
      </c>
      <c r="BY98" s="953"/>
      <c r="BZ98" s="3577" t="s">
        <v>1255</v>
      </c>
      <c r="CA98" s="948"/>
      <c r="CB98" s="3577" t="s">
        <v>1254</v>
      </c>
      <c r="CC98" s="951"/>
      <c r="CD98" s="951"/>
      <c r="CE98" s="952"/>
      <c r="CF98" s="951"/>
      <c r="CG98" s="951"/>
      <c r="CH98" s="951"/>
      <c r="CI98" s="953">
        <f>(139.43696+9.90146+6.03099)*9.26</f>
        <v>1438.7207365999998</v>
      </c>
      <c r="CJ98" s="953">
        <f>3.94577*24.24+29.69871*10.53+93.63136*7.06+5.85439*24.24+3.20522*24.239</f>
        <v>1289.01202388</v>
      </c>
      <c r="CK98" s="3574"/>
      <c r="CL98" s="3575"/>
      <c r="CM98" s="948"/>
      <c r="CN98" s="3577" t="s">
        <v>1254</v>
      </c>
      <c r="CO98" s="951"/>
      <c r="CP98" s="951"/>
      <c r="CQ98" s="952"/>
      <c r="CR98" s="951"/>
      <c r="CS98" s="951"/>
      <c r="CT98" s="951"/>
      <c r="CU98" s="953">
        <f>(139.43696+9.90146+6.03099)*9.26</f>
        <v>1438.7207365999998</v>
      </c>
      <c r="CV98" s="953">
        <f>3.94577*24.24+29.69871*10.53+93.63136*7.06+5.85439*24.24+3.20522*24.239</f>
        <v>1289.01202388</v>
      </c>
      <c r="CW98" s="3574"/>
      <c r="CX98" s="3575"/>
    </row>
    <row r="99" spans="2:102" s="817" customFormat="1" ht="70.5" customHeight="1" thickTop="1" thickBot="1">
      <c r="B99" s="816"/>
      <c r="C99" s="817" t="s">
        <v>1257</v>
      </c>
      <c r="E99" s="946"/>
      <c r="F99" s="946"/>
      <c r="G99" s="953"/>
      <c r="H99" s="820"/>
      <c r="I99" s="820"/>
      <c r="J99" s="820"/>
      <c r="K99" s="820"/>
      <c r="L99" s="955"/>
      <c r="M99" s="819"/>
      <c r="N99" s="953"/>
      <c r="O99" s="1908"/>
      <c r="P99" s="3574"/>
      <c r="Q99" s="3575"/>
      <c r="R99" s="1909"/>
      <c r="S99" s="1909"/>
      <c r="T99" s="1909"/>
      <c r="U99" s="948"/>
      <c r="V99" s="828"/>
      <c r="W99" s="828"/>
      <c r="X99" s="828"/>
      <c r="Y99" s="828"/>
      <c r="Z99" s="950"/>
      <c r="AA99" s="828"/>
      <c r="AB99" s="3574"/>
      <c r="AC99" s="3575"/>
      <c r="AD99" s="1909"/>
      <c r="AE99" s="960"/>
      <c r="AF99" s="3577"/>
      <c r="AG99" s="961"/>
      <c r="AH99" s="961"/>
      <c r="AI99" s="961"/>
      <c r="AJ99" s="951"/>
      <c r="AK99" s="951"/>
      <c r="AL99" s="951"/>
      <c r="AM99" s="962"/>
      <c r="AN99" s="963"/>
      <c r="AO99" s="963"/>
      <c r="AP99" s="3577"/>
      <c r="AQ99" s="3574"/>
      <c r="AR99" s="3575"/>
      <c r="AS99" s="3575"/>
      <c r="AT99" s="3575"/>
      <c r="AU99" s="3575"/>
      <c r="AV99" s="3575"/>
      <c r="AW99" s="3575"/>
      <c r="AX99" s="3575"/>
      <c r="AY99" s="3575"/>
      <c r="AZ99" s="3575"/>
      <c r="BA99" s="3575"/>
      <c r="BB99" s="818"/>
      <c r="BC99" s="960"/>
      <c r="BD99" s="3577"/>
      <c r="BE99" s="961"/>
      <c r="BF99" s="961"/>
      <c r="BG99" s="961"/>
      <c r="BH99" s="951"/>
      <c r="BI99" s="951"/>
      <c r="BJ99" s="951"/>
      <c r="BK99" s="962"/>
      <c r="BL99" s="963"/>
      <c r="BM99" s="821"/>
      <c r="BN99" s="986"/>
      <c r="BO99" s="960"/>
      <c r="BP99" s="3577"/>
      <c r="BQ99" s="961"/>
      <c r="BR99" s="961"/>
      <c r="BS99" s="961"/>
      <c r="BT99" s="951"/>
      <c r="BU99" s="951"/>
      <c r="BV99" s="951"/>
      <c r="BW99" s="962"/>
      <c r="BX99" s="963"/>
      <c r="BY99" s="963"/>
      <c r="BZ99" s="3577"/>
      <c r="CA99" s="960"/>
      <c r="CB99" s="3577"/>
      <c r="CC99" s="961"/>
      <c r="CD99" s="961"/>
      <c r="CE99" s="961"/>
      <c r="CF99" s="951"/>
      <c r="CG99" s="951"/>
      <c r="CH99" s="951"/>
      <c r="CI99" s="962"/>
      <c r="CJ99" s="963"/>
      <c r="CK99" s="821"/>
      <c r="CL99" s="986"/>
      <c r="CM99" s="960"/>
      <c r="CN99" s="3577"/>
      <c r="CO99" s="961"/>
      <c r="CP99" s="961"/>
      <c r="CQ99" s="961"/>
      <c r="CR99" s="951"/>
      <c r="CS99" s="951"/>
      <c r="CT99" s="951"/>
      <c r="CU99" s="962"/>
      <c r="CV99" s="963"/>
      <c r="CW99" s="3574"/>
      <c r="CX99" s="3575"/>
    </row>
    <row r="100" spans="2:102" s="817" customFormat="1" ht="75.75" customHeight="1" thickTop="1" thickBot="1">
      <c r="B100" s="816"/>
      <c r="E100" s="946"/>
      <c r="F100" s="946"/>
      <c r="G100" s="964">
        <f>G98+G99</f>
        <v>97.000349299999996</v>
      </c>
      <c r="H100" s="820"/>
      <c r="I100" s="820"/>
      <c r="J100" s="820"/>
      <c r="K100" s="821"/>
      <c r="L100" s="821"/>
      <c r="M100" s="819"/>
      <c r="N100" s="965">
        <f>SUM(N98:N99)</f>
        <v>0</v>
      </c>
      <c r="O100" s="966" t="s">
        <v>16</v>
      </c>
      <c r="P100" s="3574"/>
      <c r="Q100" s="3575"/>
      <c r="R100" s="1909"/>
      <c r="S100" s="1909"/>
      <c r="T100" s="1909"/>
      <c r="U100" s="964">
        <f>U98+U99</f>
        <v>0</v>
      </c>
      <c r="V100" s="951"/>
      <c r="W100" s="951"/>
      <c r="X100" s="951"/>
      <c r="Y100" s="951"/>
      <c r="Z100" s="941"/>
      <c r="AA100" s="951"/>
      <c r="AB100" s="828"/>
      <c r="AC100" s="941"/>
      <c r="AD100" s="941"/>
      <c r="AE100" s="964">
        <f>SUM(AE98:AE99)</f>
        <v>0</v>
      </c>
      <c r="AF100" s="3577"/>
      <c r="AG100" s="967"/>
      <c r="AH100" s="967"/>
      <c r="AI100" s="967"/>
      <c r="AJ100" s="967"/>
      <c r="AK100" s="967"/>
      <c r="AL100" s="967"/>
      <c r="AM100" s="968">
        <f>SUM(AM98:AM99)</f>
        <v>1438.7207365999998</v>
      </c>
      <c r="AN100" s="968">
        <f>SUM(AN98:AN99)</f>
        <v>1289.01202388</v>
      </c>
      <c r="AO100" s="968">
        <f>SUM(AO98:AO99)</f>
        <v>0</v>
      </c>
      <c r="AP100" s="3577"/>
      <c r="AQ100" s="818"/>
      <c r="AR100" s="818"/>
      <c r="AS100" s="818"/>
      <c r="AT100" s="818"/>
      <c r="AU100" s="818"/>
      <c r="AV100" s="818"/>
      <c r="AW100" s="818"/>
      <c r="AX100" s="818"/>
      <c r="AY100" s="818"/>
      <c r="AZ100" s="818"/>
      <c r="BA100" s="818"/>
      <c r="BB100" s="818"/>
      <c r="BC100" s="964">
        <f>SUM(BC98:BC99)</f>
        <v>0</v>
      </c>
      <c r="BD100" s="3577"/>
      <c r="BE100" s="967"/>
      <c r="BF100" s="967"/>
      <c r="BG100" s="967"/>
      <c r="BH100" s="967"/>
      <c r="BI100" s="967"/>
      <c r="BJ100" s="967"/>
      <c r="BK100" s="968">
        <f>SUM(BK98:BK99)</f>
        <v>1438.7207365999998</v>
      </c>
      <c r="BL100" s="968">
        <f>SUM(BL98:BL99)</f>
        <v>1289.01202388</v>
      </c>
      <c r="BM100" s="821"/>
      <c r="BN100" s="987"/>
      <c r="BO100" s="964">
        <f>SUM(BO98:BO99)</f>
        <v>371.44846607740004</v>
      </c>
      <c r="BP100" s="3577"/>
      <c r="BQ100" s="967"/>
      <c r="BR100" s="967"/>
      <c r="BS100" s="967"/>
      <c r="BT100" s="967"/>
      <c r="BU100" s="967"/>
      <c r="BV100" s="967"/>
      <c r="BW100" s="968">
        <f>SUM(BW98:BW99)</f>
        <v>1438.7207365999998</v>
      </c>
      <c r="BX100" s="968">
        <f>SUM(BX98:BX99)</f>
        <v>1289.01202388</v>
      </c>
      <c r="BY100" s="968">
        <f>SUM(BY98:BY99)</f>
        <v>0</v>
      </c>
      <c r="BZ100" s="3577"/>
      <c r="CA100" s="964">
        <f>SUM(CA98:CA99)</f>
        <v>0</v>
      </c>
      <c r="CB100" s="3577"/>
      <c r="CC100" s="967"/>
      <c r="CD100" s="967"/>
      <c r="CE100" s="967"/>
      <c r="CF100" s="967"/>
      <c r="CG100" s="967"/>
      <c r="CH100" s="967"/>
      <c r="CI100" s="968">
        <f>SUM(CI98:CI99)</f>
        <v>1438.7207365999998</v>
      </c>
      <c r="CJ100" s="968">
        <f>SUM(CJ98:CJ99)</f>
        <v>1289.01202388</v>
      </c>
      <c r="CK100" s="821"/>
      <c r="CL100" s="986"/>
      <c r="CM100" s="964">
        <f>SUM(CM98:CM99)</f>
        <v>0</v>
      </c>
      <c r="CN100" s="3577"/>
      <c r="CO100" s="967"/>
      <c r="CP100" s="967"/>
      <c r="CQ100" s="967"/>
      <c r="CR100" s="967"/>
      <c r="CS100" s="967"/>
      <c r="CT100" s="967"/>
      <c r="CU100" s="968">
        <f>SUM(CU98:CU99)</f>
        <v>1438.7207365999998</v>
      </c>
      <c r="CV100" s="968">
        <f>SUM(CV98:CV99)</f>
        <v>1289.01202388</v>
      </c>
      <c r="CW100" s="821"/>
      <c r="CX100" s="988"/>
    </row>
    <row r="101" spans="2:102" ht="21" thickTop="1">
      <c r="P101" s="821"/>
      <c r="Q101" s="821"/>
      <c r="R101" s="821"/>
      <c r="S101" s="821"/>
      <c r="T101" s="821"/>
      <c r="Z101" s="941"/>
      <c r="AA101" s="975"/>
      <c r="AB101" s="975"/>
      <c r="AC101" s="975"/>
      <c r="AD101" s="975"/>
      <c r="AE101" s="976"/>
      <c r="AF101" s="976"/>
      <c r="AG101" s="975"/>
      <c r="AH101" s="975"/>
      <c r="AI101" s="975"/>
      <c r="AJ101" s="975"/>
      <c r="AY101" s="975"/>
      <c r="BK101" s="975"/>
      <c r="BO101" s="976"/>
      <c r="BP101" s="976"/>
      <c r="BQ101" s="975"/>
      <c r="BR101" s="975"/>
      <c r="BS101" s="975"/>
      <c r="BT101" s="975"/>
      <c r="CI101" s="975"/>
      <c r="CU101" s="975"/>
    </row>
    <row r="102" spans="2:102">
      <c r="Z102" s="941"/>
      <c r="AA102" s="975"/>
      <c r="AB102" s="975"/>
      <c r="AC102" s="975"/>
      <c r="AD102" s="975"/>
      <c r="AE102" s="976"/>
      <c r="AF102" s="976"/>
      <c r="AG102" s="975"/>
      <c r="AH102" s="975"/>
      <c r="AI102" s="975"/>
      <c r="AJ102" s="975"/>
      <c r="AY102" s="975"/>
      <c r="BK102" s="975"/>
      <c r="BO102" s="976"/>
      <c r="BP102" s="976"/>
      <c r="BQ102" s="975"/>
      <c r="BR102" s="975"/>
      <c r="BS102" s="975"/>
      <c r="BT102" s="975"/>
      <c r="CI102" s="975"/>
      <c r="CU102" s="975"/>
    </row>
    <row r="103" spans="2:102">
      <c r="Z103" s="942"/>
      <c r="AA103" s="975"/>
      <c r="AB103" s="975"/>
      <c r="AC103" s="975"/>
      <c r="AD103" s="975"/>
      <c r="AE103" s="978"/>
      <c r="AF103" s="976"/>
      <c r="AG103" s="975"/>
      <c r="AH103" s="975"/>
      <c r="AI103" s="975"/>
      <c r="AJ103" s="975"/>
      <c r="AY103" s="975"/>
      <c r="BK103" s="975"/>
      <c r="BO103" s="978"/>
      <c r="BP103" s="976"/>
      <c r="BQ103" s="975"/>
      <c r="BR103" s="975"/>
      <c r="BS103" s="975"/>
      <c r="BT103" s="975"/>
      <c r="CI103" s="975"/>
      <c r="CU103" s="975"/>
    </row>
    <row r="104" spans="2:102">
      <c r="Z104" s="942"/>
      <c r="AA104" s="979"/>
      <c r="AB104" s="979"/>
      <c r="AC104" s="979"/>
      <c r="AD104" s="979"/>
      <c r="AE104" s="978"/>
      <c r="AF104" s="976"/>
      <c r="AG104" s="975"/>
      <c r="AH104" s="975"/>
      <c r="AI104" s="975"/>
      <c r="AJ104" s="975"/>
      <c r="AY104" s="979"/>
      <c r="BK104" s="979"/>
      <c r="BO104" s="978"/>
      <c r="BP104" s="976"/>
      <c r="BQ104" s="975"/>
      <c r="BR104" s="975"/>
      <c r="BS104" s="975"/>
      <c r="BT104" s="975"/>
      <c r="CI104" s="979"/>
      <c r="CU104" s="979"/>
    </row>
    <row r="105" spans="2:102">
      <c r="Z105" s="942"/>
      <c r="AA105" s="975"/>
      <c r="AB105" s="975"/>
      <c r="AC105" s="975"/>
      <c r="AD105" s="975"/>
      <c r="AE105" s="978"/>
      <c r="AF105" s="976"/>
      <c r="AG105" s="975"/>
      <c r="AH105" s="975"/>
      <c r="AI105" s="975"/>
      <c r="AJ105" s="975"/>
      <c r="AY105" s="975"/>
      <c r="BK105" s="975"/>
      <c r="BO105" s="978"/>
      <c r="BP105" s="976"/>
      <c r="BQ105" s="975"/>
      <c r="BR105" s="975"/>
      <c r="BS105" s="975"/>
      <c r="BT105" s="975"/>
      <c r="CI105" s="975"/>
      <c r="CU105" s="975"/>
    </row>
    <row r="106" spans="2:102">
      <c r="Z106" s="942"/>
      <c r="AA106" s="975"/>
      <c r="AB106" s="975"/>
      <c r="AC106" s="975"/>
      <c r="AD106" s="975"/>
      <c r="AE106" s="978"/>
      <c r="AF106" s="976"/>
      <c r="AG106" s="975"/>
      <c r="AH106" s="975"/>
      <c r="AI106" s="975"/>
      <c r="AJ106" s="975"/>
      <c r="AY106" s="975"/>
      <c r="BK106" s="975"/>
      <c r="BO106" s="978"/>
      <c r="BP106" s="976"/>
      <c r="BQ106" s="975"/>
      <c r="BR106" s="975"/>
      <c r="BS106" s="975"/>
      <c r="BT106" s="975"/>
      <c r="CI106" s="975"/>
      <c r="CU106" s="975"/>
    </row>
    <row r="107" spans="2:102">
      <c r="Z107" s="942"/>
      <c r="AA107" s="975"/>
      <c r="AB107" s="975"/>
      <c r="AC107" s="975"/>
      <c r="AD107" s="975"/>
      <c r="AE107" s="978"/>
      <c r="AF107" s="976"/>
      <c r="AG107" s="975"/>
      <c r="AH107" s="975"/>
      <c r="AI107" s="975"/>
      <c r="AJ107" s="975"/>
      <c r="AY107" s="975"/>
      <c r="BK107" s="975"/>
      <c r="BO107" s="978"/>
      <c r="BP107" s="976"/>
      <c r="BQ107" s="975"/>
      <c r="BR107" s="975"/>
      <c r="BS107" s="975"/>
      <c r="BT107" s="975"/>
      <c r="CI107" s="975"/>
      <c r="CU107" s="975"/>
    </row>
    <row r="108" spans="2:102">
      <c r="Z108" s="942"/>
      <c r="AA108" s="975"/>
      <c r="AB108" s="975"/>
      <c r="AC108" s="975"/>
      <c r="AD108" s="975"/>
      <c r="AE108" s="978"/>
      <c r="AF108" s="976"/>
      <c r="AG108" s="975"/>
      <c r="AH108" s="975"/>
      <c r="AI108" s="975"/>
      <c r="AJ108" s="975"/>
      <c r="AY108" s="975"/>
      <c r="BK108" s="975"/>
      <c r="BO108" s="978"/>
      <c r="BP108" s="976"/>
      <c r="BQ108" s="975"/>
      <c r="BR108" s="975"/>
      <c r="BS108" s="975"/>
      <c r="BT108" s="975"/>
      <c r="CI108" s="975"/>
      <c r="CU108" s="975"/>
    </row>
    <row r="109" spans="2:102">
      <c r="Z109" s="942"/>
      <c r="AA109" s="975"/>
      <c r="AB109" s="975"/>
      <c r="AC109" s="975"/>
      <c r="AD109" s="975"/>
      <c r="AE109" s="978"/>
      <c r="AF109" s="976"/>
      <c r="AG109" s="975"/>
      <c r="AH109" s="975"/>
      <c r="AI109" s="975"/>
      <c r="AJ109" s="975"/>
      <c r="AY109" s="975"/>
      <c r="BK109" s="975"/>
      <c r="BO109" s="978"/>
      <c r="BP109" s="976"/>
      <c r="BQ109" s="975"/>
      <c r="BR109" s="975"/>
      <c r="BS109" s="975"/>
      <c r="BT109" s="975"/>
      <c r="CI109" s="975"/>
      <c r="CU109" s="975"/>
    </row>
    <row r="110" spans="2:102">
      <c r="Z110" s="942"/>
      <c r="AA110" s="975"/>
      <c r="AB110" s="975"/>
      <c r="AC110" s="975"/>
      <c r="AD110" s="975"/>
      <c r="AE110" s="978"/>
      <c r="AF110" s="976"/>
      <c r="AG110" s="975"/>
      <c r="AH110" s="975"/>
      <c r="AI110" s="975"/>
      <c r="AJ110" s="975"/>
      <c r="AY110" s="975"/>
      <c r="BK110" s="975"/>
      <c r="BO110" s="978"/>
      <c r="BP110" s="976"/>
      <c r="BQ110" s="975"/>
      <c r="BR110" s="975"/>
      <c r="BS110" s="975"/>
      <c r="BT110" s="975"/>
      <c r="CI110" s="975"/>
      <c r="CU110" s="975"/>
    </row>
    <row r="111" spans="2:102">
      <c r="Z111" s="942"/>
      <c r="AA111" s="975"/>
      <c r="AB111" s="975"/>
      <c r="AC111" s="975"/>
      <c r="AD111" s="975"/>
      <c r="AE111" s="978"/>
      <c r="AF111" s="976"/>
      <c r="AG111" s="975"/>
      <c r="AH111" s="975"/>
      <c r="AI111" s="975"/>
      <c r="AJ111" s="975"/>
      <c r="AY111" s="975"/>
      <c r="BK111" s="975"/>
      <c r="BO111" s="978"/>
      <c r="BP111" s="976"/>
      <c r="BQ111" s="975"/>
      <c r="BR111" s="975"/>
      <c r="BS111" s="975"/>
      <c r="BT111" s="975"/>
      <c r="CI111" s="975"/>
      <c r="CU111" s="975"/>
    </row>
    <row r="112" spans="2:102">
      <c r="Z112" s="942"/>
      <c r="AA112" s="975"/>
      <c r="AB112" s="975"/>
      <c r="AC112" s="975"/>
      <c r="AD112" s="975"/>
      <c r="AE112" s="978"/>
      <c r="AF112" s="976"/>
      <c r="AG112" s="975"/>
      <c r="AH112" s="975"/>
      <c r="AI112" s="975"/>
      <c r="AJ112" s="975"/>
      <c r="AY112" s="975"/>
      <c r="BK112" s="975"/>
      <c r="BO112" s="978"/>
      <c r="BP112" s="976"/>
      <c r="BQ112" s="975"/>
      <c r="BR112" s="975"/>
      <c r="BS112" s="975"/>
      <c r="BT112" s="975"/>
      <c r="CI112" s="975"/>
      <c r="CU112" s="975"/>
    </row>
    <row r="113" spans="26:99">
      <c r="Z113" s="942"/>
      <c r="AA113" s="975"/>
      <c r="AB113" s="975"/>
      <c r="AC113" s="975"/>
      <c r="AD113" s="975"/>
      <c r="AE113" s="978"/>
      <c r="AF113" s="976"/>
      <c r="AG113" s="975"/>
      <c r="AH113" s="975"/>
      <c r="AI113" s="975"/>
      <c r="AJ113" s="975"/>
      <c r="AY113" s="975"/>
      <c r="BK113" s="975"/>
      <c r="BO113" s="978"/>
      <c r="BP113" s="976"/>
      <c r="BQ113" s="975"/>
      <c r="BR113" s="975"/>
      <c r="BS113" s="975"/>
      <c r="BT113" s="975"/>
      <c r="CI113" s="975"/>
      <c r="CU113" s="975"/>
    </row>
    <row r="114" spans="26:99">
      <c r="Z114" s="942"/>
      <c r="AA114" s="975"/>
      <c r="AB114" s="975"/>
      <c r="AC114" s="975"/>
      <c r="AD114" s="975"/>
      <c r="AE114" s="978"/>
      <c r="AF114" s="976"/>
      <c r="AG114" s="975"/>
      <c r="AH114" s="975"/>
      <c r="AI114" s="975"/>
      <c r="AJ114" s="975"/>
      <c r="AY114" s="975"/>
      <c r="BK114" s="975"/>
      <c r="BO114" s="978"/>
      <c r="BP114" s="976"/>
      <c r="BQ114" s="975"/>
      <c r="BR114" s="975"/>
      <c r="BS114" s="975"/>
      <c r="BT114" s="975"/>
      <c r="CI114" s="975"/>
      <c r="CU114" s="975"/>
    </row>
    <row r="115" spans="26:99">
      <c r="Z115" s="942"/>
      <c r="AA115" s="975"/>
      <c r="AB115" s="975"/>
      <c r="AC115" s="975"/>
      <c r="AD115" s="975"/>
      <c r="AE115" s="978"/>
      <c r="AF115" s="976"/>
      <c r="AG115" s="975"/>
      <c r="AH115" s="975"/>
      <c r="AI115" s="975"/>
      <c r="AJ115" s="975"/>
      <c r="AY115" s="975"/>
      <c r="BK115" s="975"/>
      <c r="BO115" s="978"/>
      <c r="BP115" s="976"/>
      <c r="BQ115" s="975"/>
      <c r="BR115" s="975"/>
      <c r="BS115" s="975"/>
      <c r="BT115" s="975"/>
      <c r="CI115" s="975"/>
      <c r="CU115" s="975"/>
    </row>
    <row r="116" spans="26:99">
      <c r="Z116" s="975"/>
      <c r="AA116" s="975"/>
      <c r="AB116" s="975"/>
      <c r="AC116" s="975"/>
      <c r="AD116" s="975"/>
      <c r="AE116" s="978"/>
      <c r="AF116" s="976"/>
      <c r="AG116" s="975"/>
      <c r="AH116" s="975"/>
      <c r="AI116" s="975"/>
      <c r="AJ116" s="975"/>
      <c r="AY116" s="975"/>
      <c r="BK116" s="975"/>
      <c r="BO116" s="978"/>
      <c r="BP116" s="976"/>
      <c r="BQ116" s="975"/>
      <c r="BR116" s="975"/>
      <c r="BS116" s="975"/>
      <c r="BT116" s="975"/>
      <c r="CI116" s="975"/>
      <c r="CU116" s="975"/>
    </row>
    <row r="117" spans="26:99">
      <c r="Z117" s="975"/>
      <c r="AA117" s="975"/>
      <c r="AB117" s="975"/>
      <c r="AC117" s="975"/>
      <c r="AD117" s="975"/>
      <c r="AE117" s="978"/>
      <c r="AF117" s="976"/>
      <c r="AG117" s="975"/>
      <c r="AH117" s="975"/>
      <c r="AI117" s="975"/>
      <c r="AJ117" s="975"/>
      <c r="AY117" s="975"/>
      <c r="BK117" s="975"/>
      <c r="BO117" s="978"/>
      <c r="BP117" s="976"/>
      <c r="BQ117" s="975"/>
      <c r="BR117" s="975"/>
      <c r="BS117" s="975"/>
      <c r="BT117" s="975"/>
      <c r="CI117" s="975"/>
      <c r="CU117" s="975"/>
    </row>
    <row r="118" spans="26:99">
      <c r="Z118" s="975"/>
      <c r="AA118" s="975"/>
      <c r="AB118" s="975"/>
      <c r="AC118" s="975"/>
      <c r="AD118" s="975"/>
      <c r="AE118" s="978"/>
      <c r="AF118" s="976"/>
      <c r="AG118" s="975"/>
      <c r="AH118" s="975"/>
      <c r="AI118" s="975"/>
      <c r="AJ118" s="975"/>
      <c r="AY118" s="975"/>
      <c r="BK118" s="975"/>
      <c r="BO118" s="978"/>
      <c r="BP118" s="976"/>
      <c r="BQ118" s="975"/>
      <c r="BR118" s="975"/>
      <c r="BS118" s="975"/>
      <c r="BT118" s="975"/>
      <c r="CI118" s="975"/>
      <c r="CU118" s="975"/>
    </row>
    <row r="119" spans="26:99">
      <c r="Z119" s="975"/>
      <c r="AA119" s="975"/>
      <c r="AB119" s="975"/>
      <c r="AC119" s="975"/>
      <c r="AD119" s="975"/>
      <c r="AE119" s="978"/>
      <c r="AF119" s="976"/>
      <c r="AG119" s="975"/>
      <c r="AH119" s="975"/>
      <c r="AI119" s="975"/>
      <c r="AJ119" s="975"/>
      <c r="AY119" s="975"/>
      <c r="BK119" s="975"/>
      <c r="BO119" s="978"/>
      <c r="BP119" s="976"/>
      <c r="BQ119" s="975"/>
      <c r="BR119" s="975"/>
      <c r="BS119" s="975"/>
      <c r="BT119" s="975"/>
      <c r="CI119" s="975"/>
      <c r="CU119" s="975"/>
    </row>
  </sheetData>
  <mergeCells count="34">
    <mergeCell ref="CB98:CB100"/>
    <mergeCell ref="CK98:CL98"/>
    <mergeCell ref="CN98:CN100"/>
    <mergeCell ref="CW98:CX98"/>
    <mergeCell ref="P99:Q99"/>
    <mergeCell ref="AB99:AC99"/>
    <mergeCell ref="AQ99:BA99"/>
    <mergeCell ref="CW99:CX99"/>
    <mergeCell ref="P100:Q100"/>
    <mergeCell ref="AP98:AP100"/>
    <mergeCell ref="AQ98:BA98"/>
    <mergeCell ref="BD98:BD100"/>
    <mergeCell ref="BM98:BN98"/>
    <mergeCell ref="BP98:BP100"/>
    <mergeCell ref="BZ98:BZ100"/>
    <mergeCell ref="B9:G9"/>
    <mergeCell ref="M9:AN9"/>
    <mergeCell ref="B10:G10"/>
    <mergeCell ref="M10:AN10"/>
    <mergeCell ref="R98:S98"/>
    <mergeCell ref="AA98:AC98"/>
    <mergeCell ref="AF98:AF100"/>
    <mergeCell ref="D5:E5"/>
    <mergeCell ref="F5:G5"/>
    <mergeCell ref="B6:AY6"/>
    <mergeCell ref="B7:AO7"/>
    <mergeCell ref="B8:G8"/>
    <mergeCell ref="M8:AN8"/>
    <mergeCell ref="D2:E2"/>
    <mergeCell ref="F2:G2"/>
    <mergeCell ref="D3:E3"/>
    <mergeCell ref="F3:G3"/>
    <mergeCell ref="D4:E4"/>
    <mergeCell ref="F4:G4"/>
  </mergeCells>
  <printOptions horizontalCentered="1"/>
  <pageMargins left="0" right="0" top="0.39370078740157483" bottom="0.39370078740157483" header="0.19685039370078741" footer="0.19685039370078741"/>
  <pageSetup paperSize="9" scale="2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CW115"/>
  <sheetViews>
    <sheetView view="pageBreakPreview" zoomScale="40" zoomScaleNormal="100" zoomScaleSheetLayoutView="40" workbookViewId="0">
      <selection activeCell="GO38" sqref="GO38"/>
    </sheetView>
  </sheetViews>
  <sheetFormatPr defaultColWidth="0.85546875" defaultRowHeight="20.25" outlineLevelRow="2" outlineLevelCol="1"/>
  <cols>
    <col min="1" max="1" width="3.28515625" style="846" customWidth="1"/>
    <col min="2" max="2" width="15.85546875" style="969" bestFit="1" customWidth="1"/>
    <col min="3" max="3" width="101.28515625" style="846" customWidth="1"/>
    <col min="4" max="4" width="23.7109375" style="846" customWidth="1"/>
    <col min="5" max="5" width="23.42578125" style="970" customWidth="1"/>
    <col min="6" max="6" width="26.85546875" style="970" customWidth="1"/>
    <col min="7" max="7" width="26" style="971" customWidth="1"/>
    <col min="8" max="8" width="11.5703125" style="972" hidden="1" customWidth="1"/>
    <col min="9" max="9" width="11.5703125" style="972" hidden="1" customWidth="1" collapsed="1"/>
    <col min="10" max="10" width="11.5703125" style="972" hidden="1" customWidth="1"/>
    <col min="11" max="12" width="11.5703125" style="973" hidden="1" customWidth="1"/>
    <col min="13" max="13" width="22.28515625" style="973" hidden="1" customWidth="1"/>
    <col min="14" max="15" width="21.5703125" style="973" hidden="1" customWidth="1"/>
    <col min="16" max="16" width="23.42578125" style="973" hidden="1" customWidth="1"/>
    <col min="17" max="17" width="26.5703125" style="973" hidden="1" customWidth="1"/>
    <col min="18" max="18" width="23.28515625" style="973" customWidth="1"/>
    <col min="19" max="19" width="24" style="973" customWidth="1"/>
    <col min="20" max="20" width="24.140625" style="974" customWidth="1"/>
    <col min="21" max="21" width="13" style="973" hidden="1" customWidth="1"/>
    <col min="22" max="23" width="13.42578125" style="973" hidden="1" customWidth="1"/>
    <col min="24" max="24" width="17.7109375" style="973" hidden="1" customWidth="1"/>
    <col min="25" max="25" width="13.42578125" style="973" hidden="1" customWidth="1"/>
    <col min="26" max="26" width="23.42578125" style="973" hidden="1" customWidth="1"/>
    <col min="27" max="28" width="22" style="973" customWidth="1"/>
    <col min="29" max="29" width="25.42578125" style="980" customWidth="1"/>
    <col min="30" max="30" width="26.42578125" style="974" hidden="1" customWidth="1"/>
    <col min="31" max="31" width="13.42578125" style="973" hidden="1" customWidth="1" outlineLevel="1"/>
    <col min="32" max="32" width="13.42578125" style="973" hidden="1" customWidth="1" outlineLevel="1" collapsed="1"/>
    <col min="33" max="33" width="13.42578125" style="973" hidden="1" customWidth="1" outlineLevel="1"/>
    <col min="34" max="34" width="13.7109375" style="973" hidden="1" customWidth="1" outlineLevel="1"/>
    <col min="35" max="35" width="13.42578125" style="973" hidden="1" customWidth="1" outlineLevel="1"/>
    <col min="36" max="36" width="18.7109375" style="973" hidden="1" customWidth="1" outlineLevel="1"/>
    <col min="37" max="38" width="23.140625" style="973" hidden="1" customWidth="1" outlineLevel="1"/>
    <col min="39" max="39" width="28" style="973" hidden="1" customWidth="1" collapsed="1"/>
    <col min="40" max="40" width="22.7109375" style="973" hidden="1" customWidth="1"/>
    <col min="41" max="41" width="25.140625" style="977" customWidth="1" outlineLevel="1"/>
    <col min="42" max="42" width="14.85546875" style="973" hidden="1" customWidth="1" outlineLevel="1"/>
    <col min="43" max="43" width="14.85546875" style="973" hidden="1" customWidth="1" outlineLevel="1" collapsed="1"/>
    <col min="44" max="46" width="14.85546875" style="973" hidden="1" customWidth="1" outlineLevel="1"/>
    <col min="47" max="47" width="14.7109375" style="973" hidden="1" customWidth="1" outlineLevel="1"/>
    <col min="48" max="48" width="16.5703125" style="973" hidden="1" customWidth="1" outlineLevel="1"/>
    <col min="49" max="49" width="23.85546875" style="973" hidden="1" customWidth="1" outlineLevel="1"/>
    <col min="50" max="50" width="23.140625" style="973" hidden="1" customWidth="1" outlineLevel="1"/>
    <col min="51" max="52" width="23.140625" style="973" customWidth="1" outlineLevel="1"/>
    <col min="53" max="53" width="25.140625" style="977" hidden="1" customWidth="1" outlineLevel="1"/>
    <col min="54" max="54" width="14.85546875" style="973" hidden="1" customWidth="1" outlineLevel="1"/>
    <col min="55" max="55" width="14.85546875" style="973" hidden="1" customWidth="1" outlineLevel="1" collapsed="1"/>
    <col min="56" max="58" width="14.85546875" style="973" hidden="1" customWidth="1" outlineLevel="1"/>
    <col min="59" max="59" width="14.7109375" style="973" hidden="1" customWidth="1" outlineLevel="1"/>
    <col min="60" max="60" width="16.5703125" style="973" hidden="1" customWidth="1" outlineLevel="1"/>
    <col min="61" max="61" width="23.85546875" style="973" hidden="1" customWidth="1" outlineLevel="1"/>
    <col min="62" max="64" width="23.140625" style="973" hidden="1" customWidth="1" outlineLevel="1"/>
    <col min="65" max="65" width="25.42578125" style="980" hidden="1" customWidth="1"/>
    <col min="66" max="66" width="26.42578125" style="974" hidden="1" customWidth="1"/>
    <col min="67" max="67" width="13.42578125" style="973" hidden="1" customWidth="1" outlineLevel="1"/>
    <col min="68" max="68" width="13.42578125" style="973" hidden="1" customWidth="1" outlineLevel="1" collapsed="1"/>
    <col min="69" max="69" width="13.42578125" style="973" hidden="1" customWidth="1" outlineLevel="1"/>
    <col min="70" max="70" width="13.7109375" style="973" hidden="1" customWidth="1" outlineLevel="1"/>
    <col min="71" max="71" width="13.42578125" style="973" hidden="1" customWidth="1" outlineLevel="1"/>
    <col min="72" max="72" width="18.7109375" style="973" hidden="1" customWidth="1" outlineLevel="1"/>
    <col min="73" max="74" width="23.140625" style="973" hidden="1" customWidth="1" outlineLevel="1"/>
    <col min="75" max="75" width="28" style="973" hidden="1" customWidth="1" collapsed="1"/>
    <col min="76" max="76" width="22.7109375" style="973" hidden="1" customWidth="1"/>
    <col min="77" max="77" width="27" style="977" customWidth="1" outlineLevel="1"/>
    <col min="78" max="78" width="14.85546875" style="973" hidden="1" customWidth="1" outlineLevel="1"/>
    <col min="79" max="79" width="14.85546875" style="973" hidden="1" customWidth="1" outlineLevel="1" collapsed="1"/>
    <col min="80" max="82" width="14.85546875" style="973" hidden="1" customWidth="1" outlineLevel="1"/>
    <col min="83" max="83" width="14.7109375" style="973" hidden="1" customWidth="1" outlineLevel="1"/>
    <col min="84" max="84" width="16.5703125" style="973" hidden="1" customWidth="1" outlineLevel="1"/>
    <col min="85" max="85" width="23.85546875" style="973" hidden="1" customWidth="1" outlineLevel="1"/>
    <col min="86" max="86" width="23.140625" style="973" hidden="1" customWidth="1" outlineLevel="1"/>
    <col min="87" max="88" width="23.140625" style="973" customWidth="1" outlineLevel="1"/>
    <col min="89" max="89" width="25.140625" style="977" customWidth="1" outlineLevel="1"/>
    <col min="90" max="90" width="14.85546875" style="973" hidden="1" customWidth="1" outlineLevel="1"/>
    <col min="91" max="91" width="14.85546875" style="973" hidden="1" customWidth="1" outlineLevel="1" collapsed="1"/>
    <col min="92" max="94" width="14.85546875" style="973" hidden="1" customWidth="1" outlineLevel="1"/>
    <col min="95" max="95" width="14.7109375" style="973" hidden="1" customWidth="1" outlineLevel="1"/>
    <col min="96" max="96" width="16.5703125" style="973" hidden="1" customWidth="1" outlineLevel="1"/>
    <col min="97" max="97" width="23.85546875" style="973" hidden="1" customWidth="1" outlineLevel="1"/>
    <col min="98" max="98" width="23.140625" style="973" hidden="1" customWidth="1" outlineLevel="1"/>
    <col min="99" max="100" width="23.140625" style="973" customWidth="1" outlineLevel="1"/>
    <col min="101" max="307" width="0.85546875" style="846"/>
    <col min="308" max="308" width="7.28515625" style="846" customWidth="1"/>
    <col min="309" max="309" width="57.5703125" style="846" customWidth="1"/>
    <col min="310" max="310" width="13.140625" style="846" customWidth="1"/>
    <col min="311" max="311" width="13.5703125" style="846" customWidth="1"/>
    <col min="312" max="312" width="18.7109375" style="846" bestFit="1" customWidth="1"/>
    <col min="313" max="313" width="20.7109375" style="846" customWidth="1"/>
    <col min="314" max="314" width="16.140625" style="846" customWidth="1"/>
    <col min="315" max="315" width="19" style="846" customWidth="1"/>
    <col min="316" max="316" width="20" style="846" bestFit="1" customWidth="1"/>
    <col min="317" max="317" width="16.7109375" style="846" bestFit="1" customWidth="1"/>
    <col min="318" max="318" width="43.28515625" style="846" customWidth="1"/>
    <col min="319" max="563" width="0.85546875" style="846"/>
    <col min="564" max="564" width="7.28515625" style="846" customWidth="1"/>
    <col min="565" max="565" width="57.5703125" style="846" customWidth="1"/>
    <col min="566" max="566" width="13.140625" style="846" customWidth="1"/>
    <col min="567" max="567" width="13.5703125" style="846" customWidth="1"/>
    <col min="568" max="568" width="18.7109375" style="846" bestFit="1" customWidth="1"/>
    <col min="569" max="569" width="20.7109375" style="846" customWidth="1"/>
    <col min="570" max="570" width="16.140625" style="846" customWidth="1"/>
    <col min="571" max="571" width="19" style="846" customWidth="1"/>
    <col min="572" max="572" width="20" style="846" bestFit="1" customWidth="1"/>
    <col min="573" max="573" width="16.7109375" style="846" bestFit="1" customWidth="1"/>
    <col min="574" max="574" width="43.28515625" style="846" customWidth="1"/>
    <col min="575" max="819" width="0.85546875" style="846"/>
    <col min="820" max="820" width="7.28515625" style="846" customWidth="1"/>
    <col min="821" max="821" width="57.5703125" style="846" customWidth="1"/>
    <col min="822" max="822" width="13.140625" style="846" customWidth="1"/>
    <col min="823" max="823" width="13.5703125" style="846" customWidth="1"/>
    <col min="824" max="824" width="18.7109375" style="846" bestFit="1" customWidth="1"/>
    <col min="825" max="825" width="20.7109375" style="846" customWidth="1"/>
    <col min="826" max="826" width="16.140625" style="846" customWidth="1"/>
    <col min="827" max="827" width="19" style="846" customWidth="1"/>
    <col min="828" max="828" width="20" style="846" bestFit="1" customWidth="1"/>
    <col min="829" max="829" width="16.7109375" style="846" bestFit="1" customWidth="1"/>
    <col min="830" max="830" width="43.28515625" style="846" customWidth="1"/>
    <col min="831" max="1075" width="0.85546875" style="846"/>
    <col min="1076" max="1076" width="7.28515625" style="846" customWidth="1"/>
    <col min="1077" max="1077" width="57.5703125" style="846" customWidth="1"/>
    <col min="1078" max="1078" width="13.140625" style="846" customWidth="1"/>
    <col min="1079" max="1079" width="13.5703125" style="846" customWidth="1"/>
    <col min="1080" max="1080" width="18.7109375" style="846" bestFit="1" customWidth="1"/>
    <col min="1081" max="1081" width="20.7109375" style="846" customWidth="1"/>
    <col min="1082" max="1082" width="16.140625" style="846" customWidth="1"/>
    <col min="1083" max="1083" width="19" style="846" customWidth="1"/>
    <col min="1084" max="1084" width="20" style="846" bestFit="1" customWidth="1"/>
    <col min="1085" max="1085" width="16.7109375" style="846" bestFit="1" customWidth="1"/>
    <col min="1086" max="1086" width="43.28515625" style="846" customWidth="1"/>
    <col min="1087" max="1331" width="0.85546875" style="846"/>
    <col min="1332" max="1332" width="7.28515625" style="846" customWidth="1"/>
    <col min="1333" max="1333" width="57.5703125" style="846" customWidth="1"/>
    <col min="1334" max="1334" width="13.140625" style="846" customWidth="1"/>
    <col min="1335" max="1335" width="13.5703125" style="846" customWidth="1"/>
    <col min="1336" max="1336" width="18.7109375" style="846" bestFit="1" customWidth="1"/>
    <col min="1337" max="1337" width="20.7109375" style="846" customWidth="1"/>
    <col min="1338" max="1338" width="16.140625" style="846" customWidth="1"/>
    <col min="1339" max="1339" width="19" style="846" customWidth="1"/>
    <col min="1340" max="1340" width="20" style="846" bestFit="1" customWidth="1"/>
    <col min="1341" max="1341" width="16.7109375" style="846" bestFit="1" customWidth="1"/>
    <col min="1342" max="1342" width="43.28515625" style="846" customWidth="1"/>
    <col min="1343" max="1587" width="0.85546875" style="846"/>
    <col min="1588" max="1588" width="7.28515625" style="846" customWidth="1"/>
    <col min="1589" max="1589" width="57.5703125" style="846" customWidth="1"/>
    <col min="1590" max="1590" width="13.140625" style="846" customWidth="1"/>
    <col min="1591" max="1591" width="13.5703125" style="846" customWidth="1"/>
    <col min="1592" max="1592" width="18.7109375" style="846" bestFit="1" customWidth="1"/>
    <col min="1593" max="1593" width="20.7109375" style="846" customWidth="1"/>
    <col min="1594" max="1594" width="16.140625" style="846" customWidth="1"/>
    <col min="1595" max="1595" width="19" style="846" customWidth="1"/>
    <col min="1596" max="1596" width="20" style="846" bestFit="1" customWidth="1"/>
    <col min="1597" max="1597" width="16.7109375" style="846" bestFit="1" customWidth="1"/>
    <col min="1598" max="1598" width="43.28515625" style="846" customWidth="1"/>
    <col min="1599" max="1843" width="0.85546875" style="846"/>
    <col min="1844" max="1844" width="7.28515625" style="846" customWidth="1"/>
    <col min="1845" max="1845" width="57.5703125" style="846" customWidth="1"/>
    <col min="1846" max="1846" width="13.140625" style="846" customWidth="1"/>
    <col min="1847" max="1847" width="13.5703125" style="846" customWidth="1"/>
    <col min="1848" max="1848" width="18.7109375" style="846" bestFit="1" customWidth="1"/>
    <col min="1849" max="1849" width="20.7109375" style="846" customWidth="1"/>
    <col min="1850" max="1850" width="16.140625" style="846" customWidth="1"/>
    <col min="1851" max="1851" width="19" style="846" customWidth="1"/>
    <col min="1852" max="1852" width="20" style="846" bestFit="1" customWidth="1"/>
    <col min="1853" max="1853" width="16.7109375" style="846" bestFit="1" customWidth="1"/>
    <col min="1854" max="1854" width="43.28515625" style="846" customWidth="1"/>
    <col min="1855" max="2099" width="0.85546875" style="846"/>
    <col min="2100" max="2100" width="7.28515625" style="846" customWidth="1"/>
    <col min="2101" max="2101" width="57.5703125" style="846" customWidth="1"/>
    <col min="2102" max="2102" width="13.140625" style="846" customWidth="1"/>
    <col min="2103" max="2103" width="13.5703125" style="846" customWidth="1"/>
    <col min="2104" max="2104" width="18.7109375" style="846" bestFit="1" customWidth="1"/>
    <col min="2105" max="2105" width="20.7109375" style="846" customWidth="1"/>
    <col min="2106" max="2106" width="16.140625" style="846" customWidth="1"/>
    <col min="2107" max="2107" width="19" style="846" customWidth="1"/>
    <col min="2108" max="2108" width="20" style="846" bestFit="1" customWidth="1"/>
    <col min="2109" max="2109" width="16.7109375" style="846" bestFit="1" customWidth="1"/>
    <col min="2110" max="2110" width="43.28515625" style="846" customWidth="1"/>
    <col min="2111" max="2355" width="0.85546875" style="846"/>
    <col min="2356" max="2356" width="7.28515625" style="846" customWidth="1"/>
    <col min="2357" max="2357" width="57.5703125" style="846" customWidth="1"/>
    <col min="2358" max="2358" width="13.140625" style="846" customWidth="1"/>
    <col min="2359" max="2359" width="13.5703125" style="846" customWidth="1"/>
    <col min="2360" max="2360" width="18.7109375" style="846" bestFit="1" customWidth="1"/>
    <col min="2361" max="2361" width="20.7109375" style="846" customWidth="1"/>
    <col min="2362" max="2362" width="16.140625" style="846" customWidth="1"/>
    <col min="2363" max="2363" width="19" style="846" customWidth="1"/>
    <col min="2364" max="2364" width="20" style="846" bestFit="1" customWidth="1"/>
    <col min="2365" max="2365" width="16.7109375" style="846" bestFit="1" customWidth="1"/>
    <col min="2366" max="2366" width="43.28515625" style="846" customWidth="1"/>
    <col min="2367" max="2611" width="0.85546875" style="846"/>
    <col min="2612" max="2612" width="7.28515625" style="846" customWidth="1"/>
    <col min="2613" max="2613" width="57.5703125" style="846" customWidth="1"/>
    <col min="2614" max="2614" width="13.140625" style="846" customWidth="1"/>
    <col min="2615" max="2615" width="13.5703125" style="846" customWidth="1"/>
    <col min="2616" max="2616" width="18.7109375" style="846" bestFit="1" customWidth="1"/>
    <col min="2617" max="2617" width="20.7109375" style="846" customWidth="1"/>
    <col min="2618" max="2618" width="16.140625" style="846" customWidth="1"/>
    <col min="2619" max="2619" width="19" style="846" customWidth="1"/>
    <col min="2620" max="2620" width="20" style="846" bestFit="1" customWidth="1"/>
    <col min="2621" max="2621" width="16.7109375" style="846" bestFit="1" customWidth="1"/>
    <col min="2622" max="2622" width="43.28515625" style="846" customWidth="1"/>
    <col min="2623" max="2867" width="0.85546875" style="846"/>
    <col min="2868" max="2868" width="7.28515625" style="846" customWidth="1"/>
    <col min="2869" max="2869" width="57.5703125" style="846" customWidth="1"/>
    <col min="2870" max="2870" width="13.140625" style="846" customWidth="1"/>
    <col min="2871" max="2871" width="13.5703125" style="846" customWidth="1"/>
    <col min="2872" max="2872" width="18.7109375" style="846" bestFit="1" customWidth="1"/>
    <col min="2873" max="2873" width="20.7109375" style="846" customWidth="1"/>
    <col min="2874" max="2874" width="16.140625" style="846" customWidth="1"/>
    <col min="2875" max="2875" width="19" style="846" customWidth="1"/>
    <col min="2876" max="2876" width="20" style="846" bestFit="1" customWidth="1"/>
    <col min="2877" max="2877" width="16.7109375" style="846" bestFit="1" customWidth="1"/>
    <col min="2878" max="2878" width="43.28515625" style="846" customWidth="1"/>
    <col min="2879" max="3123" width="0.85546875" style="846"/>
    <col min="3124" max="3124" width="7.28515625" style="846" customWidth="1"/>
    <col min="3125" max="3125" width="57.5703125" style="846" customWidth="1"/>
    <col min="3126" max="3126" width="13.140625" style="846" customWidth="1"/>
    <col min="3127" max="3127" width="13.5703125" style="846" customWidth="1"/>
    <col min="3128" max="3128" width="18.7109375" style="846" bestFit="1" customWidth="1"/>
    <col min="3129" max="3129" width="20.7109375" style="846" customWidth="1"/>
    <col min="3130" max="3130" width="16.140625" style="846" customWidth="1"/>
    <col min="3131" max="3131" width="19" style="846" customWidth="1"/>
    <col min="3132" max="3132" width="20" style="846" bestFit="1" customWidth="1"/>
    <col min="3133" max="3133" width="16.7109375" style="846" bestFit="1" customWidth="1"/>
    <col min="3134" max="3134" width="43.28515625" style="846" customWidth="1"/>
    <col min="3135" max="3379" width="0.85546875" style="846"/>
    <col min="3380" max="3380" width="7.28515625" style="846" customWidth="1"/>
    <col min="3381" max="3381" width="57.5703125" style="846" customWidth="1"/>
    <col min="3382" max="3382" width="13.140625" style="846" customWidth="1"/>
    <col min="3383" max="3383" width="13.5703125" style="846" customWidth="1"/>
    <col min="3384" max="3384" width="18.7109375" style="846" bestFit="1" customWidth="1"/>
    <col min="3385" max="3385" width="20.7109375" style="846" customWidth="1"/>
    <col min="3386" max="3386" width="16.140625" style="846" customWidth="1"/>
    <col min="3387" max="3387" width="19" style="846" customWidth="1"/>
    <col min="3388" max="3388" width="20" style="846" bestFit="1" customWidth="1"/>
    <col min="3389" max="3389" width="16.7109375" style="846" bestFit="1" customWidth="1"/>
    <col min="3390" max="3390" width="43.28515625" style="846" customWidth="1"/>
    <col min="3391" max="3635" width="0.85546875" style="846"/>
    <col min="3636" max="3636" width="7.28515625" style="846" customWidth="1"/>
    <col min="3637" max="3637" width="57.5703125" style="846" customWidth="1"/>
    <col min="3638" max="3638" width="13.140625" style="846" customWidth="1"/>
    <col min="3639" max="3639" width="13.5703125" style="846" customWidth="1"/>
    <col min="3640" max="3640" width="18.7109375" style="846" bestFit="1" customWidth="1"/>
    <col min="3641" max="3641" width="20.7109375" style="846" customWidth="1"/>
    <col min="3642" max="3642" width="16.140625" style="846" customWidth="1"/>
    <col min="3643" max="3643" width="19" style="846" customWidth="1"/>
    <col min="3644" max="3644" width="20" style="846" bestFit="1" customWidth="1"/>
    <col min="3645" max="3645" width="16.7109375" style="846" bestFit="1" customWidth="1"/>
    <col min="3646" max="3646" width="43.28515625" style="846" customWidth="1"/>
    <col min="3647" max="3891" width="0.85546875" style="846"/>
    <col min="3892" max="3892" width="7.28515625" style="846" customWidth="1"/>
    <col min="3893" max="3893" width="57.5703125" style="846" customWidth="1"/>
    <col min="3894" max="3894" width="13.140625" style="846" customWidth="1"/>
    <col min="3895" max="3895" width="13.5703125" style="846" customWidth="1"/>
    <col min="3896" max="3896" width="18.7109375" style="846" bestFit="1" customWidth="1"/>
    <col min="3897" max="3897" width="20.7109375" style="846" customWidth="1"/>
    <col min="3898" max="3898" width="16.140625" style="846" customWidth="1"/>
    <col min="3899" max="3899" width="19" style="846" customWidth="1"/>
    <col min="3900" max="3900" width="20" style="846" bestFit="1" customWidth="1"/>
    <col min="3901" max="3901" width="16.7109375" style="846" bestFit="1" customWidth="1"/>
    <col min="3902" max="3902" width="43.28515625" style="846" customWidth="1"/>
    <col min="3903" max="4147" width="0.85546875" style="846"/>
    <col min="4148" max="4148" width="7.28515625" style="846" customWidth="1"/>
    <col min="4149" max="4149" width="57.5703125" style="846" customWidth="1"/>
    <col min="4150" max="4150" width="13.140625" style="846" customWidth="1"/>
    <col min="4151" max="4151" width="13.5703125" style="846" customWidth="1"/>
    <col min="4152" max="4152" width="18.7109375" style="846" bestFit="1" customWidth="1"/>
    <col min="4153" max="4153" width="20.7109375" style="846" customWidth="1"/>
    <col min="4154" max="4154" width="16.140625" style="846" customWidth="1"/>
    <col min="4155" max="4155" width="19" style="846" customWidth="1"/>
    <col min="4156" max="4156" width="20" style="846" bestFit="1" customWidth="1"/>
    <col min="4157" max="4157" width="16.7109375" style="846" bestFit="1" customWidth="1"/>
    <col min="4158" max="4158" width="43.28515625" style="846" customWidth="1"/>
    <col min="4159" max="4403" width="0.85546875" style="846"/>
    <col min="4404" max="4404" width="7.28515625" style="846" customWidth="1"/>
    <col min="4405" max="4405" width="57.5703125" style="846" customWidth="1"/>
    <col min="4406" max="4406" width="13.140625" style="846" customWidth="1"/>
    <col min="4407" max="4407" width="13.5703125" style="846" customWidth="1"/>
    <col min="4408" max="4408" width="18.7109375" style="846" bestFit="1" customWidth="1"/>
    <col min="4409" max="4409" width="20.7109375" style="846" customWidth="1"/>
    <col min="4410" max="4410" width="16.140625" style="846" customWidth="1"/>
    <col min="4411" max="4411" width="19" style="846" customWidth="1"/>
    <col min="4412" max="4412" width="20" style="846" bestFit="1" customWidth="1"/>
    <col min="4413" max="4413" width="16.7109375" style="846" bestFit="1" customWidth="1"/>
    <col min="4414" max="4414" width="43.28515625" style="846" customWidth="1"/>
    <col min="4415" max="4659" width="0.85546875" style="846"/>
    <col min="4660" max="4660" width="7.28515625" style="846" customWidth="1"/>
    <col min="4661" max="4661" width="57.5703125" style="846" customWidth="1"/>
    <col min="4662" max="4662" width="13.140625" style="846" customWidth="1"/>
    <col min="4663" max="4663" width="13.5703125" style="846" customWidth="1"/>
    <col min="4664" max="4664" width="18.7109375" style="846" bestFit="1" customWidth="1"/>
    <col min="4665" max="4665" width="20.7109375" style="846" customWidth="1"/>
    <col min="4666" max="4666" width="16.140625" style="846" customWidth="1"/>
    <col min="4667" max="4667" width="19" style="846" customWidth="1"/>
    <col min="4668" max="4668" width="20" style="846" bestFit="1" customWidth="1"/>
    <col min="4669" max="4669" width="16.7109375" style="846" bestFit="1" customWidth="1"/>
    <col min="4670" max="4670" width="43.28515625" style="846" customWidth="1"/>
    <col min="4671" max="4915" width="0.85546875" style="846"/>
    <col min="4916" max="4916" width="7.28515625" style="846" customWidth="1"/>
    <col min="4917" max="4917" width="57.5703125" style="846" customWidth="1"/>
    <col min="4918" max="4918" width="13.140625" style="846" customWidth="1"/>
    <col min="4919" max="4919" width="13.5703125" style="846" customWidth="1"/>
    <col min="4920" max="4920" width="18.7109375" style="846" bestFit="1" customWidth="1"/>
    <col min="4921" max="4921" width="20.7109375" style="846" customWidth="1"/>
    <col min="4922" max="4922" width="16.140625" style="846" customWidth="1"/>
    <col min="4923" max="4923" width="19" style="846" customWidth="1"/>
    <col min="4924" max="4924" width="20" style="846" bestFit="1" customWidth="1"/>
    <col min="4925" max="4925" width="16.7109375" style="846" bestFit="1" customWidth="1"/>
    <col min="4926" max="4926" width="43.28515625" style="846" customWidth="1"/>
    <col min="4927" max="5171" width="0.85546875" style="846"/>
    <col min="5172" max="5172" width="7.28515625" style="846" customWidth="1"/>
    <col min="5173" max="5173" width="57.5703125" style="846" customWidth="1"/>
    <col min="5174" max="5174" width="13.140625" style="846" customWidth="1"/>
    <col min="5175" max="5175" width="13.5703125" style="846" customWidth="1"/>
    <col min="5176" max="5176" width="18.7109375" style="846" bestFit="1" customWidth="1"/>
    <col min="5177" max="5177" width="20.7109375" style="846" customWidth="1"/>
    <col min="5178" max="5178" width="16.140625" style="846" customWidth="1"/>
    <col min="5179" max="5179" width="19" style="846" customWidth="1"/>
    <col min="5180" max="5180" width="20" style="846" bestFit="1" customWidth="1"/>
    <col min="5181" max="5181" width="16.7109375" style="846" bestFit="1" customWidth="1"/>
    <col min="5182" max="5182" width="43.28515625" style="846" customWidth="1"/>
    <col min="5183" max="5427" width="0.85546875" style="846"/>
    <col min="5428" max="5428" width="7.28515625" style="846" customWidth="1"/>
    <col min="5429" max="5429" width="57.5703125" style="846" customWidth="1"/>
    <col min="5430" max="5430" width="13.140625" style="846" customWidth="1"/>
    <col min="5431" max="5431" width="13.5703125" style="846" customWidth="1"/>
    <col min="5432" max="5432" width="18.7109375" style="846" bestFit="1" customWidth="1"/>
    <col min="5433" max="5433" width="20.7109375" style="846" customWidth="1"/>
    <col min="5434" max="5434" width="16.140625" style="846" customWidth="1"/>
    <col min="5435" max="5435" width="19" style="846" customWidth="1"/>
    <col min="5436" max="5436" width="20" style="846" bestFit="1" customWidth="1"/>
    <col min="5437" max="5437" width="16.7109375" style="846" bestFit="1" customWidth="1"/>
    <col min="5438" max="5438" width="43.28515625" style="846" customWidth="1"/>
    <col min="5439" max="5683" width="0.85546875" style="846"/>
    <col min="5684" max="5684" width="7.28515625" style="846" customWidth="1"/>
    <col min="5685" max="5685" width="57.5703125" style="846" customWidth="1"/>
    <col min="5686" max="5686" width="13.140625" style="846" customWidth="1"/>
    <col min="5687" max="5687" width="13.5703125" style="846" customWidth="1"/>
    <col min="5688" max="5688" width="18.7109375" style="846" bestFit="1" customWidth="1"/>
    <col min="5689" max="5689" width="20.7109375" style="846" customWidth="1"/>
    <col min="5690" max="5690" width="16.140625" style="846" customWidth="1"/>
    <col min="5691" max="5691" width="19" style="846" customWidth="1"/>
    <col min="5692" max="5692" width="20" style="846" bestFit="1" customWidth="1"/>
    <col min="5693" max="5693" width="16.7109375" style="846" bestFit="1" customWidth="1"/>
    <col min="5694" max="5694" width="43.28515625" style="846" customWidth="1"/>
    <col min="5695" max="5939" width="0.85546875" style="846"/>
    <col min="5940" max="5940" width="7.28515625" style="846" customWidth="1"/>
    <col min="5941" max="5941" width="57.5703125" style="846" customWidth="1"/>
    <col min="5942" max="5942" width="13.140625" style="846" customWidth="1"/>
    <col min="5943" max="5943" width="13.5703125" style="846" customWidth="1"/>
    <col min="5944" max="5944" width="18.7109375" style="846" bestFit="1" customWidth="1"/>
    <col min="5945" max="5945" width="20.7109375" style="846" customWidth="1"/>
    <col min="5946" max="5946" width="16.140625" style="846" customWidth="1"/>
    <col min="5947" max="5947" width="19" style="846" customWidth="1"/>
    <col min="5948" max="5948" width="20" style="846" bestFit="1" customWidth="1"/>
    <col min="5949" max="5949" width="16.7109375" style="846" bestFit="1" customWidth="1"/>
    <col min="5950" max="5950" width="43.28515625" style="846" customWidth="1"/>
    <col min="5951" max="6195" width="0.85546875" style="846"/>
    <col min="6196" max="6196" width="7.28515625" style="846" customWidth="1"/>
    <col min="6197" max="6197" width="57.5703125" style="846" customWidth="1"/>
    <col min="6198" max="6198" width="13.140625" style="846" customWidth="1"/>
    <col min="6199" max="6199" width="13.5703125" style="846" customWidth="1"/>
    <col min="6200" max="6200" width="18.7109375" style="846" bestFit="1" customWidth="1"/>
    <col min="6201" max="6201" width="20.7109375" style="846" customWidth="1"/>
    <col min="6202" max="6202" width="16.140625" style="846" customWidth="1"/>
    <col min="6203" max="6203" width="19" style="846" customWidth="1"/>
    <col min="6204" max="6204" width="20" style="846" bestFit="1" customWidth="1"/>
    <col min="6205" max="6205" width="16.7109375" style="846" bestFit="1" customWidth="1"/>
    <col min="6206" max="6206" width="43.28515625" style="846" customWidth="1"/>
    <col min="6207" max="6451" width="0.85546875" style="846"/>
    <col min="6452" max="6452" width="7.28515625" style="846" customWidth="1"/>
    <col min="6453" max="6453" width="57.5703125" style="846" customWidth="1"/>
    <col min="6454" max="6454" width="13.140625" style="846" customWidth="1"/>
    <col min="6455" max="6455" width="13.5703125" style="846" customWidth="1"/>
    <col min="6456" max="6456" width="18.7109375" style="846" bestFit="1" customWidth="1"/>
    <col min="6457" max="6457" width="20.7109375" style="846" customWidth="1"/>
    <col min="6458" max="6458" width="16.140625" style="846" customWidth="1"/>
    <col min="6459" max="6459" width="19" style="846" customWidth="1"/>
    <col min="6460" max="6460" width="20" style="846" bestFit="1" customWidth="1"/>
    <col min="6461" max="6461" width="16.7109375" style="846" bestFit="1" customWidth="1"/>
    <col min="6462" max="6462" width="43.28515625" style="846" customWidth="1"/>
    <col min="6463" max="6707" width="0.85546875" style="846"/>
    <col min="6708" max="6708" width="7.28515625" style="846" customWidth="1"/>
    <col min="6709" max="6709" width="57.5703125" style="846" customWidth="1"/>
    <col min="6710" max="6710" width="13.140625" style="846" customWidth="1"/>
    <col min="6711" max="6711" width="13.5703125" style="846" customWidth="1"/>
    <col min="6712" max="6712" width="18.7109375" style="846" bestFit="1" customWidth="1"/>
    <col min="6713" max="6713" width="20.7109375" style="846" customWidth="1"/>
    <col min="6714" max="6714" width="16.140625" style="846" customWidth="1"/>
    <col min="6715" max="6715" width="19" style="846" customWidth="1"/>
    <col min="6716" max="6716" width="20" style="846" bestFit="1" customWidth="1"/>
    <col min="6717" max="6717" width="16.7109375" style="846" bestFit="1" customWidth="1"/>
    <col min="6718" max="6718" width="43.28515625" style="846" customWidth="1"/>
    <col min="6719" max="6963" width="0.85546875" style="846"/>
    <col min="6964" max="6964" width="7.28515625" style="846" customWidth="1"/>
    <col min="6965" max="6965" width="57.5703125" style="846" customWidth="1"/>
    <col min="6966" max="6966" width="13.140625" style="846" customWidth="1"/>
    <col min="6967" max="6967" width="13.5703125" style="846" customWidth="1"/>
    <col min="6968" max="6968" width="18.7109375" style="846" bestFit="1" customWidth="1"/>
    <col min="6969" max="6969" width="20.7109375" style="846" customWidth="1"/>
    <col min="6970" max="6970" width="16.140625" style="846" customWidth="1"/>
    <col min="6971" max="6971" width="19" style="846" customWidth="1"/>
    <col min="6972" max="6972" width="20" style="846" bestFit="1" customWidth="1"/>
    <col min="6973" max="6973" width="16.7109375" style="846" bestFit="1" customWidth="1"/>
    <col min="6974" max="6974" width="43.28515625" style="846" customWidth="1"/>
    <col min="6975" max="7219" width="0.85546875" style="846"/>
    <col min="7220" max="7220" width="7.28515625" style="846" customWidth="1"/>
    <col min="7221" max="7221" width="57.5703125" style="846" customWidth="1"/>
    <col min="7222" max="7222" width="13.140625" style="846" customWidth="1"/>
    <col min="7223" max="7223" width="13.5703125" style="846" customWidth="1"/>
    <col min="7224" max="7224" width="18.7109375" style="846" bestFit="1" customWidth="1"/>
    <col min="7225" max="7225" width="20.7109375" style="846" customWidth="1"/>
    <col min="7226" max="7226" width="16.140625" style="846" customWidth="1"/>
    <col min="7227" max="7227" width="19" style="846" customWidth="1"/>
    <col min="7228" max="7228" width="20" style="846" bestFit="1" customWidth="1"/>
    <col min="7229" max="7229" width="16.7109375" style="846" bestFit="1" customWidth="1"/>
    <col min="7230" max="7230" width="43.28515625" style="846" customWidth="1"/>
    <col min="7231" max="7475" width="0.85546875" style="846"/>
    <col min="7476" max="7476" width="7.28515625" style="846" customWidth="1"/>
    <col min="7477" max="7477" width="57.5703125" style="846" customWidth="1"/>
    <col min="7478" max="7478" width="13.140625" style="846" customWidth="1"/>
    <col min="7479" max="7479" width="13.5703125" style="846" customWidth="1"/>
    <col min="7480" max="7480" width="18.7109375" style="846" bestFit="1" customWidth="1"/>
    <col min="7481" max="7481" width="20.7109375" style="846" customWidth="1"/>
    <col min="7482" max="7482" width="16.140625" style="846" customWidth="1"/>
    <col min="7483" max="7483" width="19" style="846" customWidth="1"/>
    <col min="7484" max="7484" width="20" style="846" bestFit="1" customWidth="1"/>
    <col min="7485" max="7485" width="16.7109375" style="846" bestFit="1" customWidth="1"/>
    <col min="7486" max="7486" width="43.28515625" style="846" customWidth="1"/>
    <col min="7487" max="7731" width="0.85546875" style="846"/>
    <col min="7732" max="7732" width="7.28515625" style="846" customWidth="1"/>
    <col min="7733" max="7733" width="57.5703125" style="846" customWidth="1"/>
    <col min="7734" max="7734" width="13.140625" style="846" customWidth="1"/>
    <col min="7735" max="7735" width="13.5703125" style="846" customWidth="1"/>
    <col min="7736" max="7736" width="18.7109375" style="846" bestFit="1" customWidth="1"/>
    <col min="7737" max="7737" width="20.7109375" style="846" customWidth="1"/>
    <col min="7738" max="7738" width="16.140625" style="846" customWidth="1"/>
    <col min="7739" max="7739" width="19" style="846" customWidth="1"/>
    <col min="7740" max="7740" width="20" style="846" bestFit="1" customWidth="1"/>
    <col min="7741" max="7741" width="16.7109375" style="846" bestFit="1" customWidth="1"/>
    <col min="7742" max="7742" width="43.28515625" style="846" customWidth="1"/>
    <col min="7743" max="7987" width="0.85546875" style="846"/>
    <col min="7988" max="7988" width="7.28515625" style="846" customWidth="1"/>
    <col min="7989" max="7989" width="57.5703125" style="846" customWidth="1"/>
    <col min="7990" max="7990" width="13.140625" style="846" customWidth="1"/>
    <col min="7991" max="7991" width="13.5703125" style="846" customWidth="1"/>
    <col min="7992" max="7992" width="18.7109375" style="846" bestFit="1" customWidth="1"/>
    <col min="7993" max="7993" width="20.7109375" style="846" customWidth="1"/>
    <col min="7994" max="7994" width="16.140625" style="846" customWidth="1"/>
    <col min="7995" max="7995" width="19" style="846" customWidth="1"/>
    <col min="7996" max="7996" width="20" style="846" bestFit="1" customWidth="1"/>
    <col min="7997" max="7997" width="16.7109375" style="846" bestFit="1" customWidth="1"/>
    <col min="7998" max="7998" width="43.28515625" style="846" customWidth="1"/>
    <col min="7999" max="8243" width="0.85546875" style="846"/>
    <col min="8244" max="8244" width="7.28515625" style="846" customWidth="1"/>
    <col min="8245" max="8245" width="57.5703125" style="846" customWidth="1"/>
    <col min="8246" max="8246" width="13.140625" style="846" customWidth="1"/>
    <col min="8247" max="8247" width="13.5703125" style="846" customWidth="1"/>
    <col min="8248" max="8248" width="18.7109375" style="846" bestFit="1" customWidth="1"/>
    <col min="8249" max="8249" width="20.7109375" style="846" customWidth="1"/>
    <col min="8250" max="8250" width="16.140625" style="846" customWidth="1"/>
    <col min="8251" max="8251" width="19" style="846" customWidth="1"/>
    <col min="8252" max="8252" width="20" style="846" bestFit="1" customWidth="1"/>
    <col min="8253" max="8253" width="16.7109375" style="846" bestFit="1" customWidth="1"/>
    <col min="8254" max="8254" width="43.28515625" style="846" customWidth="1"/>
    <col min="8255" max="8499" width="0.85546875" style="846"/>
    <col min="8500" max="8500" width="7.28515625" style="846" customWidth="1"/>
    <col min="8501" max="8501" width="57.5703125" style="846" customWidth="1"/>
    <col min="8502" max="8502" width="13.140625" style="846" customWidth="1"/>
    <col min="8503" max="8503" width="13.5703125" style="846" customWidth="1"/>
    <col min="8504" max="8504" width="18.7109375" style="846" bestFit="1" customWidth="1"/>
    <col min="8505" max="8505" width="20.7109375" style="846" customWidth="1"/>
    <col min="8506" max="8506" width="16.140625" style="846" customWidth="1"/>
    <col min="8507" max="8507" width="19" style="846" customWidth="1"/>
    <col min="8508" max="8508" width="20" style="846" bestFit="1" customWidth="1"/>
    <col min="8509" max="8509" width="16.7109375" style="846" bestFit="1" customWidth="1"/>
    <col min="8510" max="8510" width="43.28515625" style="846" customWidth="1"/>
    <col min="8511" max="8755" width="0.85546875" style="846"/>
    <col min="8756" max="8756" width="7.28515625" style="846" customWidth="1"/>
    <col min="8757" max="8757" width="57.5703125" style="846" customWidth="1"/>
    <col min="8758" max="8758" width="13.140625" style="846" customWidth="1"/>
    <col min="8759" max="8759" width="13.5703125" style="846" customWidth="1"/>
    <col min="8760" max="8760" width="18.7109375" style="846" bestFit="1" customWidth="1"/>
    <col min="8761" max="8761" width="20.7109375" style="846" customWidth="1"/>
    <col min="8762" max="8762" width="16.140625" style="846" customWidth="1"/>
    <col min="8763" max="8763" width="19" style="846" customWidth="1"/>
    <col min="8764" max="8764" width="20" style="846" bestFit="1" customWidth="1"/>
    <col min="8765" max="8765" width="16.7109375" style="846" bestFit="1" customWidth="1"/>
    <col min="8766" max="8766" width="43.28515625" style="846" customWidth="1"/>
    <col min="8767" max="9011" width="0.85546875" style="846"/>
    <col min="9012" max="9012" width="7.28515625" style="846" customWidth="1"/>
    <col min="9013" max="9013" width="57.5703125" style="846" customWidth="1"/>
    <col min="9014" max="9014" width="13.140625" style="846" customWidth="1"/>
    <col min="9015" max="9015" width="13.5703125" style="846" customWidth="1"/>
    <col min="9016" max="9016" width="18.7109375" style="846" bestFit="1" customWidth="1"/>
    <col min="9017" max="9017" width="20.7109375" style="846" customWidth="1"/>
    <col min="9018" max="9018" width="16.140625" style="846" customWidth="1"/>
    <col min="9019" max="9019" width="19" style="846" customWidth="1"/>
    <col min="9020" max="9020" width="20" style="846" bestFit="1" customWidth="1"/>
    <col min="9021" max="9021" width="16.7109375" style="846" bestFit="1" customWidth="1"/>
    <col min="9022" max="9022" width="43.28515625" style="846" customWidth="1"/>
    <col min="9023" max="9267" width="0.85546875" style="846"/>
    <col min="9268" max="9268" width="7.28515625" style="846" customWidth="1"/>
    <col min="9269" max="9269" width="57.5703125" style="846" customWidth="1"/>
    <col min="9270" max="9270" width="13.140625" style="846" customWidth="1"/>
    <col min="9271" max="9271" width="13.5703125" style="846" customWidth="1"/>
    <col min="9272" max="9272" width="18.7109375" style="846" bestFit="1" customWidth="1"/>
    <col min="9273" max="9273" width="20.7109375" style="846" customWidth="1"/>
    <col min="9274" max="9274" width="16.140625" style="846" customWidth="1"/>
    <col min="9275" max="9275" width="19" style="846" customWidth="1"/>
    <col min="9276" max="9276" width="20" style="846" bestFit="1" customWidth="1"/>
    <col min="9277" max="9277" width="16.7109375" style="846" bestFit="1" customWidth="1"/>
    <col min="9278" max="9278" width="43.28515625" style="846" customWidth="1"/>
    <col min="9279" max="9523" width="0.85546875" style="846"/>
    <col min="9524" max="9524" width="7.28515625" style="846" customWidth="1"/>
    <col min="9525" max="9525" width="57.5703125" style="846" customWidth="1"/>
    <col min="9526" max="9526" width="13.140625" style="846" customWidth="1"/>
    <col min="9527" max="9527" width="13.5703125" style="846" customWidth="1"/>
    <col min="9528" max="9528" width="18.7109375" style="846" bestFit="1" customWidth="1"/>
    <col min="9529" max="9529" width="20.7109375" style="846" customWidth="1"/>
    <col min="9530" max="9530" width="16.140625" style="846" customWidth="1"/>
    <col min="9531" max="9531" width="19" style="846" customWidth="1"/>
    <col min="9532" max="9532" width="20" style="846" bestFit="1" customWidth="1"/>
    <col min="9533" max="9533" width="16.7109375" style="846" bestFit="1" customWidth="1"/>
    <col min="9534" max="9534" width="43.28515625" style="846" customWidth="1"/>
    <col min="9535" max="9779" width="0.85546875" style="846"/>
    <col min="9780" max="9780" width="7.28515625" style="846" customWidth="1"/>
    <col min="9781" max="9781" width="57.5703125" style="846" customWidth="1"/>
    <col min="9782" max="9782" width="13.140625" style="846" customWidth="1"/>
    <col min="9783" max="9783" width="13.5703125" style="846" customWidth="1"/>
    <col min="9784" max="9784" width="18.7109375" style="846" bestFit="1" customWidth="1"/>
    <col min="9785" max="9785" width="20.7109375" style="846" customWidth="1"/>
    <col min="9786" max="9786" width="16.140625" style="846" customWidth="1"/>
    <col min="9787" max="9787" width="19" style="846" customWidth="1"/>
    <col min="9788" max="9788" width="20" style="846" bestFit="1" customWidth="1"/>
    <col min="9789" max="9789" width="16.7109375" style="846" bestFit="1" customWidth="1"/>
    <col min="9790" max="9790" width="43.28515625" style="846" customWidth="1"/>
    <col min="9791" max="10035" width="0.85546875" style="846"/>
    <col min="10036" max="10036" width="7.28515625" style="846" customWidth="1"/>
    <col min="10037" max="10037" width="57.5703125" style="846" customWidth="1"/>
    <col min="10038" max="10038" width="13.140625" style="846" customWidth="1"/>
    <col min="10039" max="10039" width="13.5703125" style="846" customWidth="1"/>
    <col min="10040" max="10040" width="18.7109375" style="846" bestFit="1" customWidth="1"/>
    <col min="10041" max="10041" width="20.7109375" style="846" customWidth="1"/>
    <col min="10042" max="10042" width="16.140625" style="846" customWidth="1"/>
    <col min="10043" max="10043" width="19" style="846" customWidth="1"/>
    <col min="10044" max="10044" width="20" style="846" bestFit="1" customWidth="1"/>
    <col min="10045" max="10045" width="16.7109375" style="846" bestFit="1" customWidth="1"/>
    <col min="10046" max="10046" width="43.28515625" style="846" customWidth="1"/>
    <col min="10047" max="10291" width="0.85546875" style="846"/>
    <col min="10292" max="10292" width="7.28515625" style="846" customWidth="1"/>
    <col min="10293" max="10293" width="57.5703125" style="846" customWidth="1"/>
    <col min="10294" max="10294" width="13.140625" style="846" customWidth="1"/>
    <col min="10295" max="10295" width="13.5703125" style="846" customWidth="1"/>
    <col min="10296" max="10296" width="18.7109375" style="846" bestFit="1" customWidth="1"/>
    <col min="10297" max="10297" width="20.7109375" style="846" customWidth="1"/>
    <col min="10298" max="10298" width="16.140625" style="846" customWidth="1"/>
    <col min="10299" max="10299" width="19" style="846" customWidth="1"/>
    <col min="10300" max="10300" width="20" style="846" bestFit="1" customWidth="1"/>
    <col min="10301" max="10301" width="16.7109375" style="846" bestFit="1" customWidth="1"/>
    <col min="10302" max="10302" width="43.28515625" style="846" customWidth="1"/>
    <col min="10303" max="10547" width="0.85546875" style="846"/>
    <col min="10548" max="10548" width="7.28515625" style="846" customWidth="1"/>
    <col min="10549" max="10549" width="57.5703125" style="846" customWidth="1"/>
    <col min="10550" max="10550" width="13.140625" style="846" customWidth="1"/>
    <col min="10551" max="10551" width="13.5703125" style="846" customWidth="1"/>
    <col min="10552" max="10552" width="18.7109375" style="846" bestFit="1" customWidth="1"/>
    <col min="10553" max="10553" width="20.7109375" style="846" customWidth="1"/>
    <col min="10554" max="10554" width="16.140625" style="846" customWidth="1"/>
    <col min="10555" max="10555" width="19" style="846" customWidth="1"/>
    <col min="10556" max="10556" width="20" style="846" bestFit="1" customWidth="1"/>
    <col min="10557" max="10557" width="16.7109375" style="846" bestFit="1" customWidth="1"/>
    <col min="10558" max="10558" width="43.28515625" style="846" customWidth="1"/>
    <col min="10559" max="10803" width="0.85546875" style="846"/>
    <col min="10804" max="10804" width="7.28515625" style="846" customWidth="1"/>
    <col min="10805" max="10805" width="57.5703125" style="846" customWidth="1"/>
    <col min="10806" max="10806" width="13.140625" style="846" customWidth="1"/>
    <col min="10807" max="10807" width="13.5703125" style="846" customWidth="1"/>
    <col min="10808" max="10808" width="18.7109375" style="846" bestFit="1" customWidth="1"/>
    <col min="10809" max="10809" width="20.7109375" style="846" customWidth="1"/>
    <col min="10810" max="10810" width="16.140625" style="846" customWidth="1"/>
    <col min="10811" max="10811" width="19" style="846" customWidth="1"/>
    <col min="10812" max="10812" width="20" style="846" bestFit="1" customWidth="1"/>
    <col min="10813" max="10813" width="16.7109375" style="846" bestFit="1" customWidth="1"/>
    <col min="10814" max="10814" width="43.28515625" style="846" customWidth="1"/>
    <col min="10815" max="11059" width="0.85546875" style="846"/>
    <col min="11060" max="11060" width="7.28515625" style="846" customWidth="1"/>
    <col min="11061" max="11061" width="57.5703125" style="846" customWidth="1"/>
    <col min="11062" max="11062" width="13.140625" style="846" customWidth="1"/>
    <col min="11063" max="11063" width="13.5703125" style="846" customWidth="1"/>
    <col min="11064" max="11064" width="18.7109375" style="846" bestFit="1" customWidth="1"/>
    <col min="11065" max="11065" width="20.7109375" style="846" customWidth="1"/>
    <col min="11066" max="11066" width="16.140625" style="846" customWidth="1"/>
    <col min="11067" max="11067" width="19" style="846" customWidth="1"/>
    <col min="11068" max="11068" width="20" style="846" bestFit="1" customWidth="1"/>
    <col min="11069" max="11069" width="16.7109375" style="846" bestFit="1" customWidth="1"/>
    <col min="11070" max="11070" width="43.28515625" style="846" customWidth="1"/>
    <col min="11071" max="11315" width="0.85546875" style="846"/>
    <col min="11316" max="11316" width="7.28515625" style="846" customWidth="1"/>
    <col min="11317" max="11317" width="57.5703125" style="846" customWidth="1"/>
    <col min="11318" max="11318" width="13.140625" style="846" customWidth="1"/>
    <col min="11319" max="11319" width="13.5703125" style="846" customWidth="1"/>
    <col min="11320" max="11320" width="18.7109375" style="846" bestFit="1" customWidth="1"/>
    <col min="11321" max="11321" width="20.7109375" style="846" customWidth="1"/>
    <col min="11322" max="11322" width="16.140625" style="846" customWidth="1"/>
    <col min="11323" max="11323" width="19" style="846" customWidth="1"/>
    <col min="11324" max="11324" width="20" style="846" bestFit="1" customWidth="1"/>
    <col min="11325" max="11325" width="16.7109375" style="846" bestFit="1" customWidth="1"/>
    <col min="11326" max="11326" width="43.28515625" style="846" customWidth="1"/>
    <col min="11327" max="11571" width="0.85546875" style="846"/>
    <col min="11572" max="11572" width="7.28515625" style="846" customWidth="1"/>
    <col min="11573" max="11573" width="57.5703125" style="846" customWidth="1"/>
    <col min="11574" max="11574" width="13.140625" style="846" customWidth="1"/>
    <col min="11575" max="11575" width="13.5703125" style="846" customWidth="1"/>
    <col min="11576" max="11576" width="18.7109375" style="846" bestFit="1" customWidth="1"/>
    <col min="11577" max="11577" width="20.7109375" style="846" customWidth="1"/>
    <col min="11578" max="11578" width="16.140625" style="846" customWidth="1"/>
    <col min="11579" max="11579" width="19" style="846" customWidth="1"/>
    <col min="11580" max="11580" width="20" style="846" bestFit="1" customWidth="1"/>
    <col min="11581" max="11581" width="16.7109375" style="846" bestFit="1" customWidth="1"/>
    <col min="11582" max="11582" width="43.28515625" style="846" customWidth="1"/>
    <col min="11583" max="11827" width="0.85546875" style="846"/>
    <col min="11828" max="11828" width="7.28515625" style="846" customWidth="1"/>
    <col min="11829" max="11829" width="57.5703125" style="846" customWidth="1"/>
    <col min="11830" max="11830" width="13.140625" style="846" customWidth="1"/>
    <col min="11831" max="11831" width="13.5703125" style="846" customWidth="1"/>
    <col min="11832" max="11832" width="18.7109375" style="846" bestFit="1" customWidth="1"/>
    <col min="11833" max="11833" width="20.7109375" style="846" customWidth="1"/>
    <col min="11834" max="11834" width="16.140625" style="846" customWidth="1"/>
    <col min="11835" max="11835" width="19" style="846" customWidth="1"/>
    <col min="11836" max="11836" width="20" style="846" bestFit="1" customWidth="1"/>
    <col min="11837" max="11837" width="16.7109375" style="846" bestFit="1" customWidth="1"/>
    <col min="11838" max="11838" width="43.28515625" style="846" customWidth="1"/>
    <col min="11839" max="12083" width="0.85546875" style="846"/>
    <col min="12084" max="12084" width="7.28515625" style="846" customWidth="1"/>
    <col min="12085" max="12085" width="57.5703125" style="846" customWidth="1"/>
    <col min="12086" max="12086" width="13.140625" style="846" customWidth="1"/>
    <col min="12087" max="12087" width="13.5703125" style="846" customWidth="1"/>
    <col min="12088" max="12088" width="18.7109375" style="846" bestFit="1" customWidth="1"/>
    <col min="12089" max="12089" width="20.7109375" style="846" customWidth="1"/>
    <col min="12090" max="12090" width="16.140625" style="846" customWidth="1"/>
    <col min="12091" max="12091" width="19" style="846" customWidth="1"/>
    <col min="12092" max="12092" width="20" style="846" bestFit="1" customWidth="1"/>
    <col min="12093" max="12093" width="16.7109375" style="846" bestFit="1" customWidth="1"/>
    <col min="12094" max="12094" width="43.28515625" style="846" customWidth="1"/>
    <col min="12095" max="12339" width="0.85546875" style="846"/>
    <col min="12340" max="12340" width="7.28515625" style="846" customWidth="1"/>
    <col min="12341" max="12341" width="57.5703125" style="846" customWidth="1"/>
    <col min="12342" max="12342" width="13.140625" style="846" customWidth="1"/>
    <col min="12343" max="12343" width="13.5703125" style="846" customWidth="1"/>
    <col min="12344" max="12344" width="18.7109375" style="846" bestFit="1" customWidth="1"/>
    <col min="12345" max="12345" width="20.7109375" style="846" customWidth="1"/>
    <col min="12346" max="12346" width="16.140625" style="846" customWidth="1"/>
    <col min="12347" max="12347" width="19" style="846" customWidth="1"/>
    <col min="12348" max="12348" width="20" style="846" bestFit="1" customWidth="1"/>
    <col min="12349" max="12349" width="16.7109375" style="846" bestFit="1" customWidth="1"/>
    <col min="12350" max="12350" width="43.28515625" style="846" customWidth="1"/>
    <col min="12351" max="12595" width="0.85546875" style="846"/>
    <col min="12596" max="12596" width="7.28515625" style="846" customWidth="1"/>
    <col min="12597" max="12597" width="57.5703125" style="846" customWidth="1"/>
    <col min="12598" max="12598" width="13.140625" style="846" customWidth="1"/>
    <col min="12599" max="12599" width="13.5703125" style="846" customWidth="1"/>
    <col min="12600" max="12600" width="18.7109375" style="846" bestFit="1" customWidth="1"/>
    <col min="12601" max="12601" width="20.7109375" style="846" customWidth="1"/>
    <col min="12602" max="12602" width="16.140625" style="846" customWidth="1"/>
    <col min="12603" max="12603" width="19" style="846" customWidth="1"/>
    <col min="12604" max="12604" width="20" style="846" bestFit="1" customWidth="1"/>
    <col min="12605" max="12605" width="16.7109375" style="846" bestFit="1" customWidth="1"/>
    <col min="12606" max="12606" width="43.28515625" style="846" customWidth="1"/>
    <col min="12607" max="12851" width="0.85546875" style="846"/>
    <col min="12852" max="12852" width="7.28515625" style="846" customWidth="1"/>
    <col min="12853" max="12853" width="57.5703125" style="846" customWidth="1"/>
    <col min="12854" max="12854" width="13.140625" style="846" customWidth="1"/>
    <col min="12855" max="12855" width="13.5703125" style="846" customWidth="1"/>
    <col min="12856" max="12856" width="18.7109375" style="846" bestFit="1" customWidth="1"/>
    <col min="12857" max="12857" width="20.7109375" style="846" customWidth="1"/>
    <col min="12858" max="12858" width="16.140625" style="846" customWidth="1"/>
    <col min="12859" max="12859" width="19" style="846" customWidth="1"/>
    <col min="12860" max="12860" width="20" style="846" bestFit="1" customWidth="1"/>
    <col min="12861" max="12861" width="16.7109375" style="846" bestFit="1" customWidth="1"/>
    <col min="12862" max="12862" width="43.28515625" style="846" customWidth="1"/>
    <col min="12863" max="13107" width="0.85546875" style="846"/>
    <col min="13108" max="13108" width="7.28515625" style="846" customWidth="1"/>
    <col min="13109" max="13109" width="57.5703125" style="846" customWidth="1"/>
    <col min="13110" max="13110" width="13.140625" style="846" customWidth="1"/>
    <col min="13111" max="13111" width="13.5703125" style="846" customWidth="1"/>
    <col min="13112" max="13112" width="18.7109375" style="846" bestFit="1" customWidth="1"/>
    <col min="13113" max="13113" width="20.7109375" style="846" customWidth="1"/>
    <col min="13114" max="13114" width="16.140625" style="846" customWidth="1"/>
    <col min="13115" max="13115" width="19" style="846" customWidth="1"/>
    <col min="13116" max="13116" width="20" style="846" bestFit="1" customWidth="1"/>
    <col min="13117" max="13117" width="16.7109375" style="846" bestFit="1" customWidth="1"/>
    <col min="13118" max="13118" width="43.28515625" style="846" customWidth="1"/>
    <col min="13119" max="13363" width="0.85546875" style="846"/>
    <col min="13364" max="13364" width="7.28515625" style="846" customWidth="1"/>
    <col min="13365" max="13365" width="57.5703125" style="846" customWidth="1"/>
    <col min="13366" max="13366" width="13.140625" style="846" customWidth="1"/>
    <col min="13367" max="13367" width="13.5703125" style="846" customWidth="1"/>
    <col min="13368" max="13368" width="18.7109375" style="846" bestFit="1" customWidth="1"/>
    <col min="13369" max="13369" width="20.7109375" style="846" customWidth="1"/>
    <col min="13370" max="13370" width="16.140625" style="846" customWidth="1"/>
    <col min="13371" max="13371" width="19" style="846" customWidth="1"/>
    <col min="13372" max="13372" width="20" style="846" bestFit="1" customWidth="1"/>
    <col min="13373" max="13373" width="16.7109375" style="846" bestFit="1" customWidth="1"/>
    <col min="13374" max="13374" width="43.28515625" style="846" customWidth="1"/>
    <col min="13375" max="13619" width="0.85546875" style="846"/>
    <col min="13620" max="13620" width="7.28515625" style="846" customWidth="1"/>
    <col min="13621" max="13621" width="57.5703125" style="846" customWidth="1"/>
    <col min="13622" max="13622" width="13.140625" style="846" customWidth="1"/>
    <col min="13623" max="13623" width="13.5703125" style="846" customWidth="1"/>
    <col min="13624" max="13624" width="18.7109375" style="846" bestFit="1" customWidth="1"/>
    <col min="13625" max="13625" width="20.7109375" style="846" customWidth="1"/>
    <col min="13626" max="13626" width="16.140625" style="846" customWidth="1"/>
    <col min="13627" max="13627" width="19" style="846" customWidth="1"/>
    <col min="13628" max="13628" width="20" style="846" bestFit="1" customWidth="1"/>
    <col min="13629" max="13629" width="16.7109375" style="846" bestFit="1" customWidth="1"/>
    <col min="13630" max="13630" width="43.28515625" style="846" customWidth="1"/>
    <col min="13631" max="13875" width="0.85546875" style="846"/>
    <col min="13876" max="13876" width="7.28515625" style="846" customWidth="1"/>
    <col min="13877" max="13877" width="57.5703125" style="846" customWidth="1"/>
    <col min="13878" max="13878" width="13.140625" style="846" customWidth="1"/>
    <col min="13879" max="13879" width="13.5703125" style="846" customWidth="1"/>
    <col min="13880" max="13880" width="18.7109375" style="846" bestFit="1" customWidth="1"/>
    <col min="13881" max="13881" width="20.7109375" style="846" customWidth="1"/>
    <col min="13882" max="13882" width="16.140625" style="846" customWidth="1"/>
    <col min="13883" max="13883" width="19" style="846" customWidth="1"/>
    <col min="13884" max="13884" width="20" style="846" bestFit="1" customWidth="1"/>
    <col min="13885" max="13885" width="16.7109375" style="846" bestFit="1" customWidth="1"/>
    <col min="13886" max="13886" width="43.28515625" style="846" customWidth="1"/>
    <col min="13887" max="14131" width="0.85546875" style="846"/>
    <col min="14132" max="14132" width="7.28515625" style="846" customWidth="1"/>
    <col min="14133" max="14133" width="57.5703125" style="846" customWidth="1"/>
    <col min="14134" max="14134" width="13.140625" style="846" customWidth="1"/>
    <col min="14135" max="14135" width="13.5703125" style="846" customWidth="1"/>
    <col min="14136" max="14136" width="18.7109375" style="846" bestFit="1" customWidth="1"/>
    <col min="14137" max="14137" width="20.7109375" style="846" customWidth="1"/>
    <col min="14138" max="14138" width="16.140625" style="846" customWidth="1"/>
    <col min="14139" max="14139" width="19" style="846" customWidth="1"/>
    <col min="14140" max="14140" width="20" style="846" bestFit="1" customWidth="1"/>
    <col min="14141" max="14141" width="16.7109375" style="846" bestFit="1" customWidth="1"/>
    <col min="14142" max="14142" width="43.28515625" style="846" customWidth="1"/>
    <col min="14143" max="14387" width="0.85546875" style="846"/>
    <col min="14388" max="14388" width="7.28515625" style="846" customWidth="1"/>
    <col min="14389" max="14389" width="57.5703125" style="846" customWidth="1"/>
    <col min="14390" max="14390" width="13.140625" style="846" customWidth="1"/>
    <col min="14391" max="14391" width="13.5703125" style="846" customWidth="1"/>
    <col min="14392" max="14392" width="18.7109375" style="846" bestFit="1" customWidth="1"/>
    <col min="14393" max="14393" width="20.7109375" style="846" customWidth="1"/>
    <col min="14394" max="14394" width="16.140625" style="846" customWidth="1"/>
    <col min="14395" max="14395" width="19" style="846" customWidth="1"/>
    <col min="14396" max="14396" width="20" style="846" bestFit="1" customWidth="1"/>
    <col min="14397" max="14397" width="16.7109375" style="846" bestFit="1" customWidth="1"/>
    <col min="14398" max="14398" width="43.28515625" style="846" customWidth="1"/>
    <col min="14399" max="14643" width="0.85546875" style="846"/>
    <col min="14644" max="14644" width="7.28515625" style="846" customWidth="1"/>
    <col min="14645" max="14645" width="57.5703125" style="846" customWidth="1"/>
    <col min="14646" max="14646" width="13.140625" style="846" customWidth="1"/>
    <col min="14647" max="14647" width="13.5703125" style="846" customWidth="1"/>
    <col min="14648" max="14648" width="18.7109375" style="846" bestFit="1" customWidth="1"/>
    <col min="14649" max="14649" width="20.7109375" style="846" customWidth="1"/>
    <col min="14650" max="14650" width="16.140625" style="846" customWidth="1"/>
    <col min="14651" max="14651" width="19" style="846" customWidth="1"/>
    <col min="14652" max="14652" width="20" style="846" bestFit="1" customWidth="1"/>
    <col min="14653" max="14653" width="16.7109375" style="846" bestFit="1" customWidth="1"/>
    <col min="14654" max="14654" width="43.28515625" style="846" customWidth="1"/>
    <col min="14655" max="14899" width="0.85546875" style="846"/>
    <col min="14900" max="14900" width="7.28515625" style="846" customWidth="1"/>
    <col min="14901" max="14901" width="57.5703125" style="846" customWidth="1"/>
    <col min="14902" max="14902" width="13.140625" style="846" customWidth="1"/>
    <col min="14903" max="14903" width="13.5703125" style="846" customWidth="1"/>
    <col min="14904" max="14904" width="18.7109375" style="846" bestFit="1" customWidth="1"/>
    <col min="14905" max="14905" width="20.7109375" style="846" customWidth="1"/>
    <col min="14906" max="14906" width="16.140625" style="846" customWidth="1"/>
    <col min="14907" max="14907" width="19" style="846" customWidth="1"/>
    <col min="14908" max="14908" width="20" style="846" bestFit="1" customWidth="1"/>
    <col min="14909" max="14909" width="16.7109375" style="846" bestFit="1" customWidth="1"/>
    <col min="14910" max="14910" width="43.28515625" style="846" customWidth="1"/>
    <col min="14911" max="15155" width="0.85546875" style="846"/>
    <col min="15156" max="15156" width="7.28515625" style="846" customWidth="1"/>
    <col min="15157" max="15157" width="57.5703125" style="846" customWidth="1"/>
    <col min="15158" max="15158" width="13.140625" style="846" customWidth="1"/>
    <col min="15159" max="15159" width="13.5703125" style="846" customWidth="1"/>
    <col min="15160" max="15160" width="18.7109375" style="846" bestFit="1" customWidth="1"/>
    <col min="15161" max="15161" width="20.7109375" style="846" customWidth="1"/>
    <col min="15162" max="15162" width="16.140625" style="846" customWidth="1"/>
    <col min="15163" max="15163" width="19" style="846" customWidth="1"/>
    <col min="15164" max="15164" width="20" style="846" bestFit="1" customWidth="1"/>
    <col min="15165" max="15165" width="16.7109375" style="846" bestFit="1" customWidth="1"/>
    <col min="15166" max="15166" width="43.28515625" style="846" customWidth="1"/>
    <col min="15167" max="15411" width="0.85546875" style="846"/>
    <col min="15412" max="15412" width="7.28515625" style="846" customWidth="1"/>
    <col min="15413" max="15413" width="57.5703125" style="846" customWidth="1"/>
    <col min="15414" max="15414" width="13.140625" style="846" customWidth="1"/>
    <col min="15415" max="15415" width="13.5703125" style="846" customWidth="1"/>
    <col min="15416" max="15416" width="18.7109375" style="846" bestFit="1" customWidth="1"/>
    <col min="15417" max="15417" width="20.7109375" style="846" customWidth="1"/>
    <col min="15418" max="15418" width="16.140625" style="846" customWidth="1"/>
    <col min="15419" max="15419" width="19" style="846" customWidth="1"/>
    <col min="15420" max="15420" width="20" style="846" bestFit="1" customWidth="1"/>
    <col min="15421" max="15421" width="16.7109375" style="846" bestFit="1" customWidth="1"/>
    <col min="15422" max="15422" width="43.28515625" style="846" customWidth="1"/>
    <col min="15423" max="16384" width="0.85546875" style="846"/>
  </cols>
  <sheetData>
    <row r="1" spans="1:101" ht="21" thickBot="1">
      <c r="H1" s="899"/>
      <c r="I1" s="899"/>
      <c r="J1" s="899"/>
      <c r="K1" s="977"/>
      <c r="L1" s="977"/>
      <c r="M1" s="977"/>
      <c r="N1" s="977"/>
      <c r="O1" s="977"/>
      <c r="P1" s="977"/>
      <c r="Q1" s="977"/>
      <c r="R1" s="977"/>
      <c r="S1" s="977"/>
      <c r="U1" s="977"/>
      <c r="V1" s="977"/>
      <c r="W1" s="977"/>
      <c r="X1" s="977"/>
      <c r="Y1" s="1959"/>
      <c r="Z1" s="1959"/>
      <c r="AA1" s="1959"/>
      <c r="AB1" s="1959"/>
      <c r="AC1" s="1960"/>
      <c r="AD1" s="1960"/>
      <c r="AE1" s="1960"/>
      <c r="AF1" s="977"/>
      <c r="AG1" s="1960"/>
      <c r="AH1" s="977"/>
      <c r="AI1" s="977"/>
      <c r="AJ1" s="977"/>
      <c r="AK1" s="977"/>
      <c r="AL1" s="977"/>
      <c r="AM1" s="977"/>
      <c r="AN1" s="977"/>
      <c r="AO1" s="1960"/>
      <c r="AP1" s="1960"/>
      <c r="AQ1" s="977"/>
      <c r="AR1" s="1960"/>
      <c r="AS1" s="977"/>
      <c r="AT1" s="977"/>
      <c r="AU1" s="977"/>
      <c r="AV1" s="977"/>
      <c r="AW1" s="1959"/>
      <c r="AX1" s="977"/>
      <c r="AY1" s="977"/>
      <c r="AZ1" s="977"/>
      <c r="BA1" s="1960"/>
      <c r="BB1" s="1960"/>
      <c r="BC1" s="977"/>
      <c r="BD1" s="1960"/>
      <c r="BE1" s="977"/>
      <c r="BF1" s="977"/>
      <c r="BG1" s="977"/>
      <c r="BH1" s="977"/>
      <c r="BI1" s="1959"/>
      <c r="BJ1" s="977"/>
      <c r="BK1" s="977"/>
      <c r="BL1" s="977"/>
      <c r="BM1" s="1960"/>
      <c r="BN1" s="1960"/>
      <c r="BO1" s="1960"/>
      <c r="BP1" s="977"/>
      <c r="BQ1" s="1960"/>
      <c r="BR1" s="977"/>
      <c r="BS1" s="977"/>
      <c r="BT1" s="977"/>
      <c r="BU1" s="977"/>
      <c r="BV1" s="977"/>
      <c r="BW1" s="977"/>
      <c r="BX1" s="977"/>
      <c r="BY1" s="1960"/>
      <c r="BZ1" s="1960"/>
      <c r="CA1" s="977"/>
      <c r="CB1" s="1960"/>
      <c r="CC1" s="977"/>
      <c r="CD1" s="977"/>
      <c r="CE1" s="977"/>
      <c r="CF1" s="977"/>
      <c r="CG1" s="1959"/>
      <c r="CH1" s="977"/>
      <c r="CI1" s="977"/>
      <c r="CJ1" s="977"/>
      <c r="CK1" s="1960"/>
      <c r="CL1" s="1960"/>
      <c r="CM1" s="977"/>
      <c r="CN1" s="1960"/>
      <c r="CO1" s="977"/>
      <c r="CP1" s="977"/>
      <c r="CQ1" s="977"/>
      <c r="CR1" s="977"/>
      <c r="CS1" s="1959"/>
      <c r="CT1" s="977"/>
      <c r="CU1" s="977"/>
      <c r="CV1" s="977"/>
    </row>
    <row r="2" spans="1:101" ht="21.75" thickTop="1" thickBot="1">
      <c r="B2" s="825" t="s">
        <v>1113</v>
      </c>
      <c r="C2" s="826"/>
      <c r="D2" s="3566"/>
      <c r="E2" s="3567"/>
      <c r="F2" s="3568"/>
      <c r="G2" s="3569"/>
      <c r="H2" s="827"/>
      <c r="I2" s="827"/>
      <c r="J2" s="827"/>
      <c r="K2" s="977"/>
      <c r="L2" s="977"/>
      <c r="M2" s="977"/>
      <c r="N2" s="977"/>
      <c r="O2" s="977"/>
      <c r="P2" s="977"/>
      <c r="Q2" s="977"/>
      <c r="R2" s="977"/>
      <c r="S2" s="977"/>
      <c r="U2" s="977"/>
      <c r="V2" s="977"/>
      <c r="W2" s="977"/>
      <c r="X2" s="977"/>
      <c r="Y2" s="977"/>
      <c r="Z2" s="977"/>
      <c r="AA2" s="977"/>
      <c r="AB2" s="977"/>
      <c r="AE2" s="977"/>
      <c r="AF2" s="977"/>
      <c r="AG2" s="977"/>
      <c r="AH2" s="977"/>
      <c r="AI2" s="977"/>
      <c r="AJ2" s="977"/>
      <c r="AK2" s="977"/>
      <c r="AL2" s="977"/>
      <c r="AM2" s="977"/>
      <c r="AN2" s="977"/>
      <c r="AO2" s="1959"/>
      <c r="AP2" s="977"/>
      <c r="AQ2" s="977"/>
      <c r="AR2" s="977"/>
      <c r="AS2" s="977"/>
      <c r="AT2" s="977"/>
      <c r="AU2" s="977"/>
      <c r="AV2" s="977"/>
      <c r="AW2" s="977"/>
      <c r="AX2" s="977"/>
      <c r="AY2" s="977"/>
      <c r="AZ2" s="977"/>
      <c r="BA2" s="1959"/>
      <c r="BB2" s="977"/>
      <c r="BC2" s="977"/>
      <c r="BD2" s="977"/>
      <c r="BE2" s="977"/>
      <c r="BF2" s="977"/>
      <c r="BG2" s="977"/>
      <c r="BH2" s="977"/>
      <c r="BI2" s="977"/>
      <c r="BJ2" s="977"/>
      <c r="BK2" s="977"/>
      <c r="BL2" s="977"/>
      <c r="BO2" s="977"/>
      <c r="BP2" s="977"/>
      <c r="BQ2" s="977"/>
      <c r="BR2" s="977"/>
      <c r="BS2" s="977"/>
      <c r="BT2" s="977"/>
      <c r="BU2" s="977"/>
      <c r="BV2" s="977"/>
      <c r="BW2" s="977"/>
      <c r="BX2" s="977"/>
      <c r="BY2" s="1959"/>
      <c r="BZ2" s="977"/>
      <c r="CA2" s="977"/>
      <c r="CB2" s="977"/>
      <c r="CC2" s="977"/>
      <c r="CD2" s="977"/>
      <c r="CE2" s="977"/>
      <c r="CF2" s="977"/>
      <c r="CG2" s="977"/>
      <c r="CH2" s="977"/>
      <c r="CI2" s="977"/>
      <c r="CJ2" s="977"/>
      <c r="CK2" s="1959"/>
      <c r="CL2" s="977"/>
      <c r="CM2" s="977"/>
      <c r="CN2" s="977"/>
      <c r="CO2" s="977"/>
      <c r="CP2" s="977"/>
      <c r="CQ2" s="977"/>
      <c r="CR2" s="977"/>
      <c r="CS2" s="977"/>
      <c r="CT2" s="977"/>
      <c r="CU2" s="977"/>
      <c r="CV2" s="977"/>
    </row>
    <row r="3" spans="1:101" ht="21.75" thickTop="1" thickBot="1">
      <c r="B3" s="825" t="s">
        <v>1114</v>
      </c>
      <c r="C3" s="826"/>
      <c r="D3" s="3570"/>
      <c r="E3" s="3571"/>
      <c r="F3" s="3569"/>
      <c r="G3" s="3569"/>
      <c r="H3" s="827"/>
      <c r="I3" s="827"/>
      <c r="J3" s="827"/>
      <c r="K3" s="977"/>
      <c r="L3" s="977"/>
      <c r="M3" s="977"/>
      <c r="N3" s="977"/>
      <c r="O3" s="977"/>
      <c r="P3" s="977"/>
      <c r="Q3" s="977"/>
      <c r="R3" s="977"/>
      <c r="S3" s="977"/>
      <c r="U3" s="977"/>
      <c r="V3" s="977"/>
      <c r="W3" s="977"/>
      <c r="X3" s="977"/>
      <c r="Y3" s="977"/>
      <c r="Z3" s="977"/>
      <c r="AA3" s="977"/>
      <c r="AB3" s="977"/>
      <c r="AE3" s="977"/>
      <c r="AF3" s="977"/>
      <c r="AG3" s="977"/>
      <c r="AH3" s="977"/>
      <c r="AI3" s="977"/>
      <c r="AJ3" s="977"/>
      <c r="AK3" s="977"/>
      <c r="AL3" s="977"/>
      <c r="AM3" s="977"/>
      <c r="AN3" s="977"/>
      <c r="AO3" s="1959"/>
      <c r="AP3" s="977"/>
      <c r="AQ3" s="977"/>
      <c r="AR3" s="977"/>
      <c r="AS3" s="977"/>
      <c r="AT3" s="977"/>
      <c r="AU3" s="977"/>
      <c r="AV3" s="977"/>
      <c r="AW3" s="977"/>
      <c r="AX3" s="977"/>
      <c r="AY3" s="977"/>
      <c r="AZ3" s="977"/>
      <c r="BA3" s="1959"/>
      <c r="BB3" s="977"/>
      <c r="BC3" s="977"/>
      <c r="BD3" s="977"/>
      <c r="BE3" s="977"/>
      <c r="BF3" s="977"/>
      <c r="BG3" s="977"/>
      <c r="BH3" s="977"/>
      <c r="BI3" s="977"/>
      <c r="BJ3" s="977"/>
      <c r="BK3" s="977"/>
      <c r="BL3" s="977"/>
      <c r="BO3" s="977"/>
      <c r="BP3" s="977"/>
      <c r="BQ3" s="977"/>
      <c r="BR3" s="977"/>
      <c r="BS3" s="977"/>
      <c r="BT3" s="977"/>
      <c r="BU3" s="977"/>
      <c r="BV3" s="977"/>
      <c r="BW3" s="977"/>
      <c r="BX3" s="977"/>
      <c r="BY3" s="1959"/>
      <c r="BZ3" s="977"/>
      <c r="CA3" s="977"/>
      <c r="CB3" s="977"/>
      <c r="CC3" s="977"/>
      <c r="CD3" s="977"/>
      <c r="CE3" s="977"/>
      <c r="CF3" s="977"/>
      <c r="CG3" s="977"/>
      <c r="CH3" s="977"/>
      <c r="CI3" s="977"/>
      <c r="CJ3" s="977"/>
      <c r="CK3" s="1959"/>
      <c r="CL3" s="977"/>
      <c r="CM3" s="977"/>
      <c r="CN3" s="977"/>
      <c r="CO3" s="977"/>
      <c r="CP3" s="977"/>
      <c r="CQ3" s="977"/>
      <c r="CR3" s="977"/>
      <c r="CS3" s="977"/>
      <c r="CT3" s="977"/>
      <c r="CU3" s="977"/>
      <c r="CV3" s="977"/>
    </row>
    <row r="4" spans="1:101" ht="21.75" thickTop="1" thickBot="1">
      <c r="B4" s="825" t="s">
        <v>1115</v>
      </c>
      <c r="C4" s="826"/>
      <c r="D4" s="3570"/>
      <c r="E4" s="3571"/>
      <c r="F4" s="3569"/>
      <c r="G4" s="3569"/>
      <c r="H4" s="827"/>
      <c r="I4" s="827"/>
      <c r="J4" s="827"/>
      <c r="K4" s="977"/>
      <c r="L4" s="977"/>
      <c r="M4" s="977"/>
      <c r="N4" s="977"/>
      <c r="O4" s="977"/>
      <c r="P4" s="977"/>
      <c r="Q4" s="977"/>
      <c r="R4" s="977"/>
      <c r="S4" s="977"/>
      <c r="U4" s="977"/>
      <c r="V4" s="977"/>
      <c r="W4" s="977"/>
      <c r="X4" s="977"/>
      <c r="Y4" s="977"/>
      <c r="Z4" s="977"/>
      <c r="AA4" s="977"/>
      <c r="AB4" s="977"/>
      <c r="AE4" s="977"/>
      <c r="AF4" s="977"/>
      <c r="AG4" s="977"/>
      <c r="AH4" s="977"/>
      <c r="AI4" s="977"/>
      <c r="AJ4" s="977"/>
      <c r="AK4" s="977"/>
      <c r="AL4" s="977"/>
      <c r="AM4" s="977"/>
      <c r="AN4" s="977"/>
      <c r="AO4" s="1959"/>
      <c r="AP4" s="977"/>
      <c r="AQ4" s="977"/>
      <c r="AR4" s="977"/>
      <c r="AS4" s="977"/>
      <c r="AT4" s="977"/>
      <c r="AU4" s="977"/>
      <c r="AV4" s="977"/>
      <c r="AW4" s="977"/>
      <c r="AX4" s="977"/>
      <c r="AY4" s="977"/>
      <c r="AZ4" s="977"/>
      <c r="BA4" s="1959"/>
      <c r="BB4" s="977"/>
      <c r="BC4" s="977"/>
      <c r="BD4" s="977"/>
      <c r="BE4" s="977"/>
      <c r="BF4" s="977"/>
      <c r="BG4" s="977"/>
      <c r="BH4" s="977"/>
      <c r="BI4" s="977"/>
      <c r="BJ4" s="977"/>
      <c r="BK4" s="977"/>
      <c r="BL4" s="977"/>
      <c r="BO4" s="977"/>
      <c r="BP4" s="977"/>
      <c r="BQ4" s="977"/>
      <c r="BR4" s="977"/>
      <c r="BS4" s="977"/>
      <c r="BT4" s="977"/>
      <c r="BU4" s="977"/>
      <c r="BV4" s="977"/>
      <c r="BW4" s="977"/>
      <c r="BX4" s="977"/>
      <c r="BY4" s="1959"/>
      <c r="BZ4" s="977"/>
      <c r="CA4" s="977"/>
      <c r="CB4" s="977"/>
      <c r="CC4" s="977"/>
      <c r="CD4" s="977"/>
      <c r="CE4" s="977"/>
      <c r="CF4" s="977"/>
      <c r="CG4" s="977"/>
      <c r="CH4" s="977"/>
      <c r="CI4" s="977"/>
      <c r="CJ4" s="977"/>
      <c r="CK4" s="1959"/>
      <c r="CL4" s="977"/>
      <c r="CM4" s="977"/>
      <c r="CN4" s="977"/>
      <c r="CO4" s="977"/>
      <c r="CP4" s="977"/>
      <c r="CQ4" s="977"/>
      <c r="CR4" s="977"/>
      <c r="CS4" s="977"/>
      <c r="CT4" s="977"/>
      <c r="CU4" s="977"/>
      <c r="CV4" s="977"/>
    </row>
    <row r="5" spans="1:101" ht="21.75" thickTop="1" thickBot="1">
      <c r="B5" s="825" t="s">
        <v>1116</v>
      </c>
      <c r="C5" s="826"/>
      <c r="D5" s="3570"/>
      <c r="E5" s="3571"/>
      <c r="F5" s="3569" t="s">
        <v>1083</v>
      </c>
      <c r="G5" s="3569"/>
      <c r="H5" s="827"/>
      <c r="I5" s="827"/>
      <c r="J5" s="827"/>
      <c r="K5" s="977"/>
      <c r="L5" s="977"/>
      <c r="M5" s="977"/>
      <c r="N5" s="977"/>
      <c r="O5" s="977"/>
      <c r="P5" s="977"/>
      <c r="Q5" s="977"/>
      <c r="R5" s="977"/>
      <c r="S5" s="977"/>
      <c r="U5" s="977"/>
      <c r="V5" s="977"/>
      <c r="W5" s="977"/>
      <c r="X5" s="977"/>
      <c r="Y5" s="977"/>
      <c r="Z5" s="977"/>
      <c r="AA5" s="977"/>
      <c r="AB5" s="977"/>
      <c r="AE5" s="977"/>
      <c r="AF5" s="977"/>
      <c r="AG5" s="977"/>
      <c r="AH5" s="977"/>
      <c r="AI5" s="977"/>
      <c r="AJ5" s="977"/>
      <c r="AK5" s="977"/>
      <c r="AL5" s="977"/>
      <c r="AM5" s="977"/>
      <c r="AN5" s="977"/>
      <c r="AO5" s="1959"/>
      <c r="AP5" s="977"/>
      <c r="AQ5" s="977"/>
      <c r="AR5" s="977"/>
      <c r="AS5" s="977"/>
      <c r="AT5" s="977"/>
      <c r="AU5" s="977"/>
      <c r="AV5" s="977"/>
      <c r="AW5" s="977"/>
      <c r="AX5" s="977"/>
      <c r="AY5" s="977"/>
      <c r="AZ5" s="977"/>
      <c r="BA5" s="1959"/>
      <c r="BB5" s="977"/>
      <c r="BC5" s="977"/>
      <c r="BD5" s="977"/>
      <c r="BE5" s="977"/>
      <c r="BF5" s="977"/>
      <c r="BG5" s="977"/>
      <c r="BH5" s="977"/>
      <c r="BI5" s="977"/>
      <c r="BJ5" s="977"/>
      <c r="BK5" s="977"/>
      <c r="BL5" s="977"/>
      <c r="BO5" s="977"/>
      <c r="BP5" s="977"/>
      <c r="BQ5" s="977"/>
      <c r="BR5" s="977"/>
      <c r="BS5" s="977"/>
      <c r="BT5" s="977"/>
      <c r="BU5" s="977"/>
      <c r="BV5" s="977"/>
      <c r="BW5" s="977"/>
      <c r="BX5" s="977"/>
      <c r="BY5" s="1959"/>
      <c r="BZ5" s="977"/>
      <c r="CA5" s="977"/>
      <c r="CB5" s="977"/>
      <c r="CC5" s="977"/>
      <c r="CD5" s="977"/>
      <c r="CE5" s="977"/>
      <c r="CF5" s="977"/>
      <c r="CG5" s="977"/>
      <c r="CH5" s="977"/>
      <c r="CI5" s="977"/>
      <c r="CJ5" s="977"/>
      <c r="CK5" s="1959"/>
      <c r="CL5" s="977"/>
      <c r="CM5" s="977"/>
      <c r="CN5" s="977"/>
      <c r="CO5" s="977"/>
      <c r="CP5" s="977"/>
      <c r="CQ5" s="977"/>
      <c r="CR5" s="977"/>
      <c r="CS5" s="977"/>
      <c r="CT5" s="977"/>
      <c r="CU5" s="977"/>
      <c r="CV5" s="977"/>
    </row>
    <row r="6" spans="1:101" ht="27" customHeight="1" thickTop="1">
      <c r="B6" s="3581" t="s">
        <v>1259</v>
      </c>
      <c r="C6" s="3581"/>
      <c r="D6" s="3581"/>
      <c r="E6" s="3581"/>
      <c r="F6" s="3581"/>
      <c r="G6" s="3581"/>
      <c r="H6" s="3581"/>
      <c r="I6" s="3581"/>
      <c r="J6" s="3581"/>
      <c r="K6" s="3581"/>
      <c r="L6" s="3581"/>
      <c r="M6" s="3581"/>
      <c r="N6" s="3581"/>
      <c r="O6" s="3581"/>
      <c r="P6" s="3581"/>
      <c r="Q6" s="3581"/>
      <c r="R6" s="3581"/>
      <c r="S6" s="3581"/>
      <c r="T6" s="3581"/>
      <c r="U6" s="3581"/>
      <c r="V6" s="3581"/>
      <c r="W6" s="3581"/>
      <c r="X6" s="3581"/>
      <c r="Y6" s="3581"/>
      <c r="Z6" s="3581"/>
      <c r="AA6" s="3581"/>
      <c r="AB6" s="3581"/>
      <c r="AC6" s="3581"/>
      <c r="AD6" s="3581"/>
      <c r="AE6" s="3581"/>
      <c r="AF6" s="3581"/>
      <c r="AG6" s="3581"/>
      <c r="AH6" s="3581"/>
      <c r="AI6" s="3581"/>
      <c r="AJ6" s="3581"/>
      <c r="AK6" s="3581"/>
      <c r="AL6" s="3581"/>
      <c r="AM6" s="3581"/>
      <c r="AN6" s="3581"/>
      <c r="AO6" s="3581"/>
      <c r="AP6" s="3581"/>
      <c r="AQ6" s="3581"/>
      <c r="AR6" s="3581"/>
      <c r="AS6" s="3581"/>
      <c r="AT6" s="3581"/>
      <c r="AU6" s="3581"/>
      <c r="AV6" s="3581"/>
      <c r="AW6" s="3581"/>
      <c r="AX6" s="846"/>
      <c r="AY6" s="846"/>
      <c r="AZ6" s="846"/>
      <c r="BA6" s="846"/>
      <c r="BB6" s="846"/>
      <c r="BC6" s="846"/>
      <c r="BD6" s="846"/>
      <c r="BE6" s="846"/>
      <c r="BF6" s="846"/>
      <c r="BG6" s="846"/>
      <c r="BH6" s="846"/>
      <c r="BI6" s="846"/>
      <c r="BJ6" s="846"/>
      <c r="BK6" s="846"/>
      <c r="BL6" s="846"/>
      <c r="BM6" s="846"/>
      <c r="BN6" s="846"/>
      <c r="BO6" s="846"/>
      <c r="BP6" s="846"/>
      <c r="BQ6" s="846"/>
      <c r="BR6" s="846"/>
      <c r="BS6" s="846"/>
      <c r="BT6" s="846"/>
      <c r="BU6" s="846"/>
      <c r="BV6" s="846"/>
      <c r="BW6" s="846"/>
      <c r="BX6" s="846"/>
      <c r="BY6" s="846"/>
      <c r="BZ6" s="846"/>
      <c r="CA6" s="846"/>
      <c r="CB6" s="846"/>
      <c r="CC6" s="846"/>
      <c r="CD6" s="846"/>
      <c r="CE6" s="846"/>
      <c r="CF6" s="846"/>
      <c r="CG6" s="846"/>
      <c r="CH6" s="846"/>
      <c r="CI6" s="846"/>
      <c r="CJ6" s="846"/>
      <c r="CK6" s="846"/>
      <c r="CL6" s="846"/>
      <c r="CM6" s="846"/>
      <c r="CN6" s="846"/>
      <c r="CO6" s="846"/>
      <c r="CP6" s="846"/>
      <c r="CQ6" s="846"/>
      <c r="CR6" s="846"/>
      <c r="CS6" s="846"/>
      <c r="CT6" s="846"/>
      <c r="CU6" s="846"/>
      <c r="CV6" s="846"/>
    </row>
    <row r="7" spans="1:101" ht="55.5" customHeight="1">
      <c r="B7" s="3581" t="s">
        <v>1260</v>
      </c>
      <c r="C7" s="3581"/>
      <c r="D7" s="3581"/>
      <c r="E7" s="3581"/>
      <c r="F7" s="3581"/>
      <c r="G7" s="3581"/>
      <c r="H7" s="3581"/>
      <c r="I7" s="3581"/>
      <c r="J7" s="3581"/>
      <c r="K7" s="3581"/>
      <c r="L7" s="3581"/>
      <c r="M7" s="3581"/>
      <c r="N7" s="3581"/>
      <c r="O7" s="3581"/>
      <c r="P7" s="3581"/>
      <c r="Q7" s="3581"/>
      <c r="R7" s="3581"/>
      <c r="S7" s="3581"/>
      <c r="T7" s="3581"/>
      <c r="U7" s="3581"/>
      <c r="V7" s="3581"/>
      <c r="W7" s="3581"/>
      <c r="X7" s="3581"/>
      <c r="Y7" s="3581"/>
      <c r="Z7" s="3581"/>
      <c r="AA7" s="3581"/>
      <c r="AB7" s="3581"/>
      <c r="AC7" s="3581"/>
      <c r="AD7" s="3581"/>
      <c r="AE7" s="3581"/>
      <c r="AF7" s="3581"/>
      <c r="AG7" s="3581"/>
      <c r="AH7" s="3581"/>
      <c r="AI7" s="3581"/>
      <c r="AJ7" s="3581"/>
      <c r="AK7" s="3581"/>
      <c r="AL7" s="3581"/>
      <c r="AM7" s="3581"/>
      <c r="AN7" s="1961"/>
      <c r="AO7" s="1962"/>
      <c r="AP7" s="1962"/>
      <c r="AQ7" s="1962"/>
      <c r="AR7" s="1962"/>
      <c r="AS7" s="1962"/>
      <c r="AT7" s="1962"/>
      <c r="AU7" s="1962"/>
      <c r="AV7" s="1962"/>
      <c r="AW7" s="1962"/>
      <c r="AX7" s="846"/>
      <c r="AY7" s="846"/>
      <c r="AZ7" s="846"/>
      <c r="BA7" s="1962"/>
      <c r="BB7" s="1962"/>
      <c r="BC7" s="1962"/>
      <c r="BD7" s="1962"/>
      <c r="BE7" s="1962"/>
      <c r="BF7" s="1962"/>
      <c r="BG7" s="1962"/>
      <c r="BH7" s="1962"/>
      <c r="BI7" s="1962"/>
      <c r="BJ7" s="846"/>
      <c r="BK7" s="846"/>
      <c r="BL7" s="846"/>
      <c r="BM7" s="846"/>
      <c r="BN7" s="846"/>
      <c r="BO7" s="846"/>
      <c r="BP7" s="846"/>
      <c r="BQ7" s="846"/>
      <c r="BR7" s="846"/>
      <c r="BS7" s="846"/>
      <c r="BT7" s="846"/>
      <c r="BU7" s="846"/>
      <c r="BV7" s="846"/>
      <c r="BW7" s="846"/>
      <c r="BX7" s="1961"/>
      <c r="BY7" s="1962"/>
      <c r="BZ7" s="1962"/>
      <c r="CA7" s="1962"/>
      <c r="CB7" s="1962"/>
      <c r="CC7" s="1962"/>
      <c r="CD7" s="1962"/>
      <c r="CE7" s="1962"/>
      <c r="CF7" s="1962"/>
      <c r="CG7" s="1962"/>
      <c r="CH7" s="846"/>
      <c r="CI7" s="846"/>
      <c r="CJ7" s="846"/>
      <c r="CK7" s="1962"/>
      <c r="CL7" s="1962"/>
      <c r="CM7" s="1962"/>
      <c r="CN7" s="1962"/>
      <c r="CO7" s="1962"/>
      <c r="CP7" s="1962"/>
      <c r="CQ7" s="1962"/>
      <c r="CR7" s="1962"/>
      <c r="CS7" s="1962"/>
      <c r="CT7" s="846"/>
      <c r="CU7" s="846"/>
      <c r="CV7" s="846"/>
    </row>
    <row r="8" spans="1:101" ht="51" customHeight="1">
      <c r="B8" s="3581" t="s">
        <v>1261</v>
      </c>
      <c r="C8" s="3581"/>
      <c r="D8" s="3581"/>
      <c r="E8" s="3581"/>
      <c r="F8" s="3581"/>
      <c r="G8" s="3581"/>
      <c r="H8" s="1963"/>
      <c r="I8" s="1963"/>
      <c r="J8" s="1963"/>
      <c r="K8" s="1963"/>
      <c r="L8" s="1963"/>
      <c r="M8" s="3582"/>
      <c r="N8" s="3582"/>
      <c r="O8" s="3582"/>
      <c r="P8" s="3582"/>
      <c r="Q8" s="3582"/>
      <c r="R8" s="3582"/>
      <c r="S8" s="3582"/>
      <c r="T8" s="3582"/>
      <c r="U8" s="3582"/>
      <c r="V8" s="3582"/>
      <c r="W8" s="3582"/>
      <c r="X8" s="3582"/>
      <c r="Y8" s="3582"/>
      <c r="Z8" s="3582"/>
      <c r="AA8" s="3582"/>
      <c r="AB8" s="3582"/>
      <c r="AC8" s="3582"/>
      <c r="AD8" s="3582"/>
      <c r="AE8" s="3582"/>
      <c r="AF8" s="3582"/>
      <c r="AG8" s="3582"/>
      <c r="AH8" s="3582"/>
      <c r="AI8" s="3582"/>
      <c r="AJ8" s="3582"/>
      <c r="AK8" s="3582"/>
      <c r="AL8" s="3582"/>
      <c r="AM8" s="1963"/>
      <c r="AN8" s="1963"/>
      <c r="AO8" s="1961"/>
      <c r="AP8" s="1961"/>
      <c r="AQ8" s="1961"/>
      <c r="AR8" s="1961"/>
      <c r="AS8" s="1961"/>
      <c r="AT8" s="1961"/>
      <c r="AU8" s="1961"/>
      <c r="AV8" s="1961"/>
      <c r="AW8" s="1961"/>
      <c r="AX8" s="1963"/>
      <c r="AY8" s="1964"/>
      <c r="AZ8" s="1963"/>
      <c r="BA8" s="1961"/>
      <c r="BB8" s="1961"/>
      <c r="BC8" s="1961"/>
      <c r="BD8" s="1961"/>
      <c r="BE8" s="1961"/>
      <c r="BF8" s="1961"/>
      <c r="BG8" s="1961"/>
      <c r="BH8" s="1961"/>
      <c r="BI8" s="1961"/>
      <c r="BJ8" s="1963"/>
      <c r="BK8" s="1964"/>
      <c r="BL8" s="1963"/>
      <c r="BM8" s="846"/>
      <c r="BN8" s="846"/>
      <c r="BO8" s="846"/>
      <c r="BP8" s="846"/>
      <c r="BQ8" s="846"/>
      <c r="BR8" s="846"/>
      <c r="BS8" s="846"/>
      <c r="BT8" s="846"/>
      <c r="BU8" s="846"/>
      <c r="BV8" s="846"/>
      <c r="BW8" s="1963"/>
      <c r="BX8" s="1963"/>
      <c r="BY8" s="1961"/>
      <c r="BZ8" s="1961"/>
      <c r="CA8" s="1961"/>
      <c r="CB8" s="1961"/>
      <c r="CC8" s="1961"/>
      <c r="CD8" s="1961"/>
      <c r="CE8" s="1961"/>
      <c r="CF8" s="1961"/>
      <c r="CG8" s="1961"/>
      <c r="CH8" s="1963"/>
      <c r="CI8" s="1964"/>
      <c r="CJ8" s="1963"/>
      <c r="CK8" s="1961"/>
      <c r="CL8" s="1961"/>
      <c r="CM8" s="1961"/>
      <c r="CN8" s="1961"/>
      <c r="CO8" s="1961"/>
      <c r="CP8" s="1961"/>
      <c r="CQ8" s="1961"/>
      <c r="CR8" s="1961"/>
      <c r="CS8" s="1961"/>
      <c r="CT8" s="1963"/>
      <c r="CU8" s="1964"/>
      <c r="CV8" s="1963"/>
    </row>
    <row r="9" spans="1:101" ht="35.25" customHeight="1">
      <c r="B9" s="3581" t="s">
        <v>1262</v>
      </c>
      <c r="C9" s="3581"/>
      <c r="D9" s="3581"/>
      <c r="E9" s="3581"/>
      <c r="F9" s="3581"/>
      <c r="G9" s="3581"/>
      <c r="H9" s="1962"/>
      <c r="I9" s="1962"/>
      <c r="J9" s="1962"/>
      <c r="K9" s="1962"/>
      <c r="L9" s="1962"/>
      <c r="M9" s="3582"/>
      <c r="N9" s="3582"/>
      <c r="O9" s="3582"/>
      <c r="P9" s="3582"/>
      <c r="Q9" s="3582"/>
      <c r="R9" s="3582"/>
      <c r="S9" s="3582"/>
      <c r="T9" s="3582"/>
      <c r="U9" s="3582"/>
      <c r="V9" s="3582"/>
      <c r="W9" s="3582"/>
      <c r="X9" s="3582"/>
      <c r="Y9" s="3582"/>
      <c r="Z9" s="3582"/>
      <c r="AA9" s="3582"/>
      <c r="AB9" s="3582"/>
      <c r="AC9" s="3582"/>
      <c r="AD9" s="3582"/>
      <c r="AE9" s="3582"/>
      <c r="AF9" s="3582"/>
      <c r="AG9" s="3582"/>
      <c r="AH9" s="3582"/>
      <c r="AI9" s="3582"/>
      <c r="AJ9" s="3582"/>
      <c r="AK9" s="3582"/>
      <c r="AL9" s="3582"/>
      <c r="AM9" s="1963"/>
      <c r="AN9" s="1963"/>
      <c r="AO9" s="1965"/>
      <c r="AP9" s="1962"/>
      <c r="AQ9" s="1962"/>
      <c r="AR9" s="1962"/>
      <c r="AS9" s="1962"/>
      <c r="AT9" s="1962"/>
      <c r="AU9" s="1962"/>
      <c r="AV9" s="1962"/>
      <c r="AW9" s="1962"/>
      <c r="AX9" s="1963"/>
      <c r="AY9" s="1964"/>
      <c r="AZ9" s="1963"/>
      <c r="BA9" s="1962"/>
      <c r="BB9" s="1962"/>
      <c r="BC9" s="1962"/>
      <c r="BD9" s="1962"/>
      <c r="BE9" s="1962"/>
      <c r="BF9" s="1962"/>
      <c r="BG9" s="1962"/>
      <c r="BH9" s="1962"/>
      <c r="BI9" s="1962"/>
      <c r="BJ9" s="1963"/>
      <c r="BK9" s="1964"/>
      <c r="BL9" s="1963"/>
      <c r="BM9" s="846"/>
      <c r="BN9" s="846"/>
      <c r="BO9" s="846"/>
      <c r="BP9" s="846"/>
      <c r="BQ9" s="846"/>
      <c r="BR9" s="846"/>
      <c r="BS9" s="846"/>
      <c r="BT9" s="846"/>
      <c r="BU9" s="846"/>
      <c r="BV9" s="846"/>
      <c r="BW9" s="1963"/>
      <c r="BX9" s="1963"/>
      <c r="BY9" s="1965"/>
      <c r="BZ9" s="1962"/>
      <c r="CA9" s="1962"/>
      <c r="CB9" s="1962"/>
      <c r="CC9" s="1962"/>
      <c r="CD9" s="1962"/>
      <c r="CE9" s="1962"/>
      <c r="CF9" s="1962"/>
      <c r="CG9" s="1962"/>
      <c r="CH9" s="1963"/>
      <c r="CI9" s="1964"/>
      <c r="CJ9" s="1963"/>
      <c r="CK9" s="1965"/>
      <c r="CL9" s="1962"/>
      <c r="CM9" s="1962"/>
      <c r="CN9" s="1962"/>
      <c r="CO9" s="1962"/>
      <c r="CP9" s="1962"/>
      <c r="CQ9" s="1962"/>
      <c r="CR9" s="1962"/>
      <c r="CS9" s="1962"/>
      <c r="CT9" s="1963"/>
      <c r="CU9" s="1964"/>
      <c r="CV9" s="1963"/>
    </row>
    <row r="10" spans="1:101" ht="46.5" customHeight="1">
      <c r="B10" s="3581" t="s">
        <v>1263</v>
      </c>
      <c r="C10" s="3581"/>
      <c r="D10" s="3581"/>
      <c r="E10" s="3581"/>
      <c r="F10" s="3581"/>
      <c r="G10" s="3581"/>
      <c r="H10" s="1962"/>
      <c r="I10" s="1962"/>
      <c r="J10" s="1962"/>
      <c r="K10" s="1962"/>
      <c r="L10" s="1962"/>
      <c r="M10" s="3582"/>
      <c r="N10" s="3582"/>
      <c r="O10" s="3582"/>
      <c r="P10" s="3582"/>
      <c r="Q10" s="3582"/>
      <c r="R10" s="3582"/>
      <c r="S10" s="3582"/>
      <c r="T10" s="3582"/>
      <c r="U10" s="3582"/>
      <c r="V10" s="3582"/>
      <c r="W10" s="3582"/>
      <c r="X10" s="3582"/>
      <c r="Y10" s="3582"/>
      <c r="Z10" s="3582"/>
      <c r="AA10" s="3582"/>
      <c r="AB10" s="3582"/>
      <c r="AC10" s="3582"/>
      <c r="AD10" s="3582"/>
      <c r="AE10" s="3582"/>
      <c r="AF10" s="3582"/>
      <c r="AG10" s="3582"/>
      <c r="AH10" s="3582"/>
      <c r="AI10" s="3582"/>
      <c r="AJ10" s="3582"/>
      <c r="AK10" s="3582"/>
      <c r="AL10" s="3582"/>
      <c r="AM10" s="1963"/>
      <c r="AN10" s="1963"/>
      <c r="AO10" s="1966"/>
      <c r="AP10" s="1961"/>
      <c r="AQ10" s="1961"/>
      <c r="AR10" s="1961"/>
      <c r="AS10" s="1961"/>
      <c r="AT10" s="1961"/>
      <c r="AU10" s="1961"/>
      <c r="AV10" s="1961"/>
      <c r="AW10" s="1961"/>
      <c r="AX10" s="1967"/>
      <c r="AY10" s="1964"/>
      <c r="AZ10" s="1963"/>
      <c r="BA10" s="1961"/>
      <c r="BB10" s="1961"/>
      <c r="BC10" s="1961"/>
      <c r="BD10" s="1961"/>
      <c r="BE10" s="1961"/>
      <c r="BF10" s="1961"/>
      <c r="BG10" s="1961"/>
      <c r="BH10" s="1961"/>
      <c r="BI10" s="1961"/>
      <c r="BJ10" s="1967"/>
      <c r="BK10" s="1964"/>
      <c r="BL10" s="1963"/>
      <c r="BM10" s="846"/>
      <c r="BN10" s="846"/>
      <c r="BO10" s="846"/>
      <c r="BP10" s="846"/>
      <c r="BQ10" s="846"/>
      <c r="BR10" s="846"/>
      <c r="BS10" s="846"/>
      <c r="BT10" s="846"/>
      <c r="BU10" s="846"/>
      <c r="BV10" s="846"/>
      <c r="BW10" s="1963"/>
      <c r="BX10" s="1963"/>
      <c r="BY10" s="1966"/>
      <c r="BZ10" s="1961"/>
      <c r="CA10" s="1961"/>
      <c r="CB10" s="1961"/>
      <c r="CC10" s="1961"/>
      <c r="CD10" s="1961"/>
      <c r="CE10" s="1961"/>
      <c r="CF10" s="1961"/>
      <c r="CG10" s="1961"/>
      <c r="CH10" s="1967"/>
      <c r="CI10" s="1964"/>
      <c r="CJ10" s="1963"/>
      <c r="CK10" s="1966"/>
      <c r="CL10" s="1961"/>
      <c r="CM10" s="1961"/>
      <c r="CN10" s="1961"/>
      <c r="CO10" s="1961"/>
      <c r="CP10" s="1961"/>
      <c r="CQ10" s="1961"/>
      <c r="CR10" s="1961"/>
      <c r="CS10" s="1961"/>
      <c r="CT10" s="1967"/>
      <c r="CU10" s="1964"/>
      <c r="CV10" s="1963"/>
    </row>
    <row r="11" spans="1:101" ht="28.5" customHeight="1">
      <c r="E11" s="835"/>
      <c r="F11" s="1968"/>
      <c r="G11" s="970"/>
      <c r="H11" s="846"/>
      <c r="I11" s="846"/>
      <c r="J11" s="846"/>
      <c r="K11" s="1959"/>
      <c r="L11" s="1959"/>
      <c r="M11" s="1959"/>
      <c r="N11" s="1959"/>
      <c r="O11" s="1959"/>
      <c r="P11" s="1959"/>
      <c r="Q11" s="1959"/>
      <c r="R11" s="1969" t="s">
        <v>14917</v>
      </c>
      <c r="S11" s="1959"/>
      <c r="T11" s="980"/>
      <c r="U11" s="1959"/>
      <c r="V11" s="1959"/>
      <c r="W11" s="1959"/>
      <c r="X11" s="1959"/>
      <c r="Y11" s="1959"/>
      <c r="Z11" s="1959"/>
      <c r="AA11" s="1969" t="s">
        <v>14917</v>
      </c>
      <c r="AB11" s="1959"/>
      <c r="AC11" s="1970"/>
      <c r="AD11" s="1971"/>
      <c r="AE11" s="1972"/>
      <c r="AF11" s="1972"/>
      <c r="AG11" s="1972"/>
      <c r="AH11" s="1972"/>
      <c r="AI11" s="1972"/>
      <c r="AJ11" s="1972"/>
      <c r="AK11" s="1972"/>
      <c r="AL11" s="1972"/>
      <c r="AM11" s="1972"/>
      <c r="AN11" s="1972"/>
      <c r="AO11" s="1973"/>
      <c r="AP11" s="1973"/>
      <c r="AQ11" s="1973"/>
      <c r="AR11" s="1972"/>
      <c r="AS11" s="1972"/>
      <c r="AT11" s="1972"/>
      <c r="AU11" s="1972"/>
      <c r="AV11" s="1972"/>
      <c r="AW11" s="1959"/>
      <c r="AX11" s="1972"/>
      <c r="AY11" s="1969" t="s">
        <v>14917</v>
      </c>
      <c r="AZ11" s="1972"/>
      <c r="BA11" s="1973"/>
      <c r="BB11" s="1973"/>
      <c r="BC11" s="1973"/>
      <c r="BD11" s="1972"/>
      <c r="BE11" s="1972"/>
      <c r="BF11" s="1972"/>
      <c r="BG11" s="1972"/>
      <c r="BH11" s="1972"/>
      <c r="BI11" s="1959"/>
      <c r="BJ11" s="1972"/>
      <c r="BK11" s="1972"/>
      <c r="BL11" s="1972"/>
      <c r="BM11" s="1970"/>
      <c r="BN11" s="1971"/>
      <c r="BO11" s="1972"/>
      <c r="BP11" s="1972"/>
      <c r="BQ11" s="1972"/>
      <c r="BR11" s="1972"/>
      <c r="BS11" s="1972"/>
      <c r="BT11" s="1972"/>
      <c r="BU11" s="1972"/>
      <c r="BV11" s="1972"/>
      <c r="BW11" s="1972"/>
      <c r="BX11" s="1972"/>
      <c r="BY11" s="1973"/>
      <c r="BZ11" s="1973"/>
      <c r="CA11" s="1973"/>
      <c r="CB11" s="1972"/>
      <c r="CC11" s="1972"/>
      <c r="CD11" s="1972"/>
      <c r="CE11" s="1972"/>
      <c r="CF11" s="1972"/>
      <c r="CG11" s="1959"/>
      <c r="CH11" s="1972"/>
      <c r="CI11" s="1969" t="s">
        <v>14917</v>
      </c>
      <c r="CJ11" s="1972"/>
      <c r="CK11" s="1973"/>
      <c r="CL11" s="1973"/>
      <c r="CM11" s="1973"/>
      <c r="CN11" s="1972"/>
      <c r="CO11" s="1972"/>
      <c r="CP11" s="1972"/>
      <c r="CQ11" s="1972"/>
      <c r="CR11" s="1972"/>
      <c r="CS11" s="1959"/>
      <c r="CT11" s="1972"/>
      <c r="CU11" s="1969" t="s">
        <v>14917</v>
      </c>
      <c r="CV11" s="1972"/>
    </row>
    <row r="12" spans="1:101" ht="76.5" customHeight="1" thickBot="1">
      <c r="B12" s="1974" t="s">
        <v>11</v>
      </c>
      <c r="C12" s="1975" t="s">
        <v>583</v>
      </c>
      <c r="D12" s="1974" t="s">
        <v>1122</v>
      </c>
      <c r="E12" s="1974" t="s">
        <v>1123</v>
      </c>
      <c r="F12" s="843" t="s">
        <v>18</v>
      </c>
      <c r="G12" s="1974" t="s">
        <v>1124</v>
      </c>
      <c r="H12" s="1974">
        <v>2014</v>
      </c>
      <c r="I12" s="1974">
        <v>2015</v>
      </c>
      <c r="J12" s="1974">
        <v>2016</v>
      </c>
      <c r="K12" s="1974">
        <v>2017</v>
      </c>
      <c r="L12" s="1974">
        <v>2018</v>
      </c>
      <c r="M12" s="1974">
        <v>2019</v>
      </c>
      <c r="N12" s="1974">
        <v>2020</v>
      </c>
      <c r="O12" s="1974">
        <v>2021</v>
      </c>
      <c r="P12" s="1974">
        <v>2022</v>
      </c>
      <c r="Q12" s="1974">
        <v>2022</v>
      </c>
      <c r="R12" s="1974">
        <v>2023</v>
      </c>
      <c r="S12" s="1974">
        <v>2024</v>
      </c>
      <c r="T12" s="1974" t="s">
        <v>1125</v>
      </c>
      <c r="U12" s="1974">
        <v>2014</v>
      </c>
      <c r="V12" s="1974">
        <v>2015</v>
      </c>
      <c r="W12" s="1974">
        <v>2016</v>
      </c>
      <c r="X12" s="1974">
        <v>2017</v>
      </c>
      <c r="Y12" s="1974">
        <v>2018</v>
      </c>
      <c r="Z12" s="1974">
        <v>2022</v>
      </c>
      <c r="AA12" s="1974">
        <v>2023</v>
      </c>
      <c r="AB12" s="1974">
        <v>2024</v>
      </c>
      <c r="AC12" s="843" t="s">
        <v>17</v>
      </c>
      <c r="AD12" s="1974" t="s">
        <v>1124</v>
      </c>
      <c r="AE12" s="1974">
        <v>2014</v>
      </c>
      <c r="AF12" s="1974">
        <v>2015</v>
      </c>
      <c r="AG12" s="1974">
        <v>2016</v>
      </c>
      <c r="AH12" s="1974">
        <v>2017</v>
      </c>
      <c r="AI12" s="1974">
        <v>2018</v>
      </c>
      <c r="AJ12" s="1974">
        <v>2019</v>
      </c>
      <c r="AK12" s="1974">
        <v>2020</v>
      </c>
      <c r="AL12" s="1974">
        <v>2021</v>
      </c>
      <c r="AM12" s="1974">
        <v>2022</v>
      </c>
      <c r="AN12" s="1974">
        <v>2023</v>
      </c>
      <c r="AO12" s="1974" t="s">
        <v>1264</v>
      </c>
      <c r="AP12" s="1974">
        <v>2014</v>
      </c>
      <c r="AQ12" s="1974">
        <v>2015</v>
      </c>
      <c r="AR12" s="1974">
        <v>2016</v>
      </c>
      <c r="AS12" s="1974">
        <v>2017</v>
      </c>
      <c r="AT12" s="1974">
        <v>2018</v>
      </c>
      <c r="AU12" s="1974">
        <v>2019</v>
      </c>
      <c r="AV12" s="1974">
        <v>2020</v>
      </c>
      <c r="AW12" s="1974">
        <v>2022</v>
      </c>
      <c r="AX12" s="1974">
        <v>2022</v>
      </c>
      <c r="AY12" s="1974">
        <v>2023</v>
      </c>
      <c r="AZ12" s="1974">
        <v>2024</v>
      </c>
      <c r="BA12" s="1974" t="s">
        <v>1265</v>
      </c>
      <c r="BB12" s="1974">
        <v>2014</v>
      </c>
      <c r="BC12" s="1974">
        <v>2015</v>
      </c>
      <c r="BD12" s="1974">
        <v>2016</v>
      </c>
      <c r="BE12" s="1974">
        <v>2017</v>
      </c>
      <c r="BF12" s="1974">
        <v>2018</v>
      </c>
      <c r="BG12" s="1974">
        <v>2019</v>
      </c>
      <c r="BH12" s="1974">
        <v>2020</v>
      </c>
      <c r="BI12" s="1974">
        <v>2022</v>
      </c>
      <c r="BJ12" s="1974">
        <v>2022</v>
      </c>
      <c r="BK12" s="1974">
        <v>2023</v>
      </c>
      <c r="BL12" s="1974">
        <v>2024</v>
      </c>
      <c r="BM12" s="1974" t="s">
        <v>17</v>
      </c>
      <c r="BN12" s="1974" t="s">
        <v>1124</v>
      </c>
      <c r="BO12" s="1974">
        <v>2014</v>
      </c>
      <c r="BP12" s="1974">
        <v>2015</v>
      </c>
      <c r="BQ12" s="1974">
        <v>2016</v>
      </c>
      <c r="BR12" s="1974">
        <v>2017</v>
      </c>
      <c r="BS12" s="1974">
        <v>2018</v>
      </c>
      <c r="BT12" s="1974">
        <v>2019</v>
      </c>
      <c r="BU12" s="1974">
        <v>2020</v>
      </c>
      <c r="BV12" s="1974">
        <v>2021</v>
      </c>
      <c r="BW12" s="1974">
        <v>2022</v>
      </c>
      <c r="BX12" s="1974">
        <v>2023</v>
      </c>
      <c r="BY12" s="1974" t="s">
        <v>1266</v>
      </c>
      <c r="BZ12" s="1974">
        <v>2014</v>
      </c>
      <c r="CA12" s="1974">
        <v>2015</v>
      </c>
      <c r="CB12" s="1974">
        <v>2016</v>
      </c>
      <c r="CC12" s="1974">
        <v>2017</v>
      </c>
      <c r="CD12" s="1974">
        <v>2018</v>
      </c>
      <c r="CE12" s="1974">
        <v>2019</v>
      </c>
      <c r="CF12" s="1974">
        <v>2020</v>
      </c>
      <c r="CG12" s="1974">
        <v>2022</v>
      </c>
      <c r="CH12" s="1974">
        <v>2022</v>
      </c>
      <c r="CI12" s="1974">
        <v>2023</v>
      </c>
      <c r="CJ12" s="1974">
        <v>2024</v>
      </c>
      <c r="CK12" s="1974" t="s">
        <v>1267</v>
      </c>
      <c r="CL12" s="1974">
        <v>2014</v>
      </c>
      <c r="CM12" s="1974">
        <v>2015</v>
      </c>
      <c r="CN12" s="1974">
        <v>2016</v>
      </c>
      <c r="CO12" s="1974">
        <v>2017</v>
      </c>
      <c r="CP12" s="1974">
        <v>2018</v>
      </c>
      <c r="CQ12" s="1974">
        <v>2019</v>
      </c>
      <c r="CR12" s="1974">
        <v>2020</v>
      </c>
      <c r="CS12" s="1974">
        <v>2022</v>
      </c>
      <c r="CT12" s="1974">
        <v>2022</v>
      </c>
      <c r="CU12" s="1974">
        <v>2023</v>
      </c>
      <c r="CV12" s="1974">
        <v>2024</v>
      </c>
    </row>
    <row r="13" spans="1:101" s="857" customFormat="1" ht="28.5" customHeight="1" thickTop="1" thickBot="1">
      <c r="A13" s="1976"/>
      <c r="B13" s="1977"/>
      <c r="C13" s="1977" t="s">
        <v>1126</v>
      </c>
      <c r="D13" s="1978"/>
      <c r="E13" s="1979"/>
      <c r="F13" s="1980"/>
      <c r="G13" s="1981"/>
      <c r="H13" s="1982"/>
      <c r="I13" s="1982"/>
      <c r="J13" s="1982"/>
      <c r="K13" s="1983"/>
      <c r="L13" s="1983"/>
      <c r="M13" s="1983"/>
      <c r="N13" s="1983"/>
      <c r="O13" s="1983"/>
      <c r="P13" s="1983"/>
      <c r="Q13" s="1983"/>
      <c r="R13" s="1984">
        <v>1</v>
      </c>
      <c r="S13" s="1983">
        <v>1.0469999999999999</v>
      </c>
      <c r="T13" s="1985"/>
      <c r="U13" s="1983"/>
      <c r="V13" s="1983"/>
      <c r="W13" s="1983"/>
      <c r="X13" s="1983"/>
      <c r="Y13" s="1983"/>
      <c r="Z13" s="1983"/>
      <c r="AA13" s="1984">
        <v>1</v>
      </c>
      <c r="AB13" s="1983">
        <v>1.0469999999999999</v>
      </c>
      <c r="AC13" s="1986"/>
      <c r="AD13" s="1985"/>
      <c r="AE13" s="1983"/>
      <c r="AF13" s="1983"/>
      <c r="AG13" s="1983"/>
      <c r="AH13" s="1983"/>
      <c r="AI13" s="1983"/>
      <c r="AJ13" s="1983"/>
      <c r="AK13" s="1983"/>
      <c r="AL13" s="1983"/>
      <c r="AM13" s="1983"/>
      <c r="AN13" s="1983"/>
      <c r="AO13" s="1983"/>
      <c r="AP13" s="1983"/>
      <c r="AQ13" s="1983"/>
      <c r="AR13" s="1983"/>
      <c r="AS13" s="1983"/>
      <c r="AT13" s="1983"/>
      <c r="AU13" s="1983"/>
      <c r="AV13" s="1983"/>
      <c r="AW13" s="1983"/>
      <c r="AX13" s="1983"/>
      <c r="AY13" s="1984">
        <v>1</v>
      </c>
      <c r="AZ13" s="1987">
        <v>1.0469999999999999</v>
      </c>
      <c r="BA13" s="1983"/>
      <c r="BB13" s="1983"/>
      <c r="BC13" s="1983"/>
      <c r="BD13" s="1983"/>
      <c r="BE13" s="1983"/>
      <c r="BF13" s="1983"/>
      <c r="BG13" s="1983"/>
      <c r="BH13" s="1983"/>
      <c r="BI13" s="1983"/>
      <c r="BJ13" s="1983"/>
      <c r="BK13" s="1988">
        <v>1.06</v>
      </c>
      <c r="BL13" s="1983">
        <v>1.0469999999999999</v>
      </c>
      <c r="BM13" s="1985"/>
      <c r="BN13" s="1985"/>
      <c r="BO13" s="1983"/>
      <c r="BP13" s="1983"/>
      <c r="BQ13" s="1983"/>
      <c r="BR13" s="1983"/>
      <c r="BS13" s="1983"/>
      <c r="BT13" s="1983"/>
      <c r="BU13" s="1983"/>
      <c r="BV13" s="1983"/>
      <c r="BW13" s="1983"/>
      <c r="BX13" s="1983"/>
      <c r="BY13" s="1983"/>
      <c r="BZ13" s="1983"/>
      <c r="CA13" s="1983"/>
      <c r="CB13" s="1983"/>
      <c r="CC13" s="1983"/>
      <c r="CD13" s="1983"/>
      <c r="CE13" s="1983"/>
      <c r="CF13" s="1983"/>
      <c r="CG13" s="1983"/>
      <c r="CH13" s="1983"/>
      <c r="CI13" s="1984">
        <v>1</v>
      </c>
      <c r="CJ13" s="1987">
        <v>1.0469999999999999</v>
      </c>
      <c r="CK13" s="1983"/>
      <c r="CL13" s="1983"/>
      <c r="CM13" s="1983"/>
      <c r="CN13" s="1983"/>
      <c r="CO13" s="1983"/>
      <c r="CP13" s="1983"/>
      <c r="CQ13" s="1983"/>
      <c r="CR13" s="1983"/>
      <c r="CS13" s="1983"/>
      <c r="CT13" s="1983"/>
      <c r="CU13" s="1984">
        <v>1</v>
      </c>
      <c r="CV13" s="1987">
        <v>1.0469999999999999</v>
      </c>
      <c r="CW13" s="1989"/>
    </row>
    <row r="14" spans="1:101" s="864" customFormat="1" ht="41.25" thickTop="1">
      <c r="B14" s="1990">
        <v>1</v>
      </c>
      <c r="C14" s="1991" t="s">
        <v>1127</v>
      </c>
      <c r="D14" s="1975" t="s">
        <v>1128</v>
      </c>
      <c r="E14" s="1992">
        <f>SUM(E16,E43,E46)</f>
        <v>29897.688726856177</v>
      </c>
      <c r="F14" s="1993">
        <f>SUM(F16,F43,F46)</f>
        <v>26387.997299940209</v>
      </c>
      <c r="G14" s="1992">
        <f>SUM(G16,G43,G46)</f>
        <v>11645.04138270833</v>
      </c>
      <c r="H14" s="1992"/>
      <c r="I14" s="1992"/>
      <c r="J14" s="1992"/>
      <c r="K14" s="1992"/>
      <c r="L14" s="1992"/>
      <c r="M14" s="1992"/>
      <c r="N14" s="1992"/>
      <c r="O14" s="1992"/>
      <c r="P14" s="1992"/>
      <c r="Q14" s="1992"/>
      <c r="R14" s="1992">
        <f>SUM(R16,R43,R46)</f>
        <v>2263.8404583333331</v>
      </c>
      <c r="S14" s="1992">
        <f>SUM(S16,S43,S46)</f>
        <v>9381.2009243749981</v>
      </c>
      <c r="T14" s="1992">
        <f t="shared" ref="T14:AB14" si="0">SUM(T16,T43,T46)</f>
        <v>14742.955917231875</v>
      </c>
      <c r="U14" s="1992">
        <f t="shared" si="0"/>
        <v>0</v>
      </c>
      <c r="V14" s="1992">
        <f t="shared" si="0"/>
        <v>0</v>
      </c>
      <c r="W14" s="1992">
        <f t="shared" si="0"/>
        <v>0</v>
      </c>
      <c r="X14" s="1992">
        <f t="shared" si="0"/>
        <v>0</v>
      </c>
      <c r="Y14" s="1992">
        <f t="shared" si="0"/>
        <v>0</v>
      </c>
      <c r="Z14" s="1992">
        <f t="shared" si="0"/>
        <v>0</v>
      </c>
      <c r="AA14" s="1992">
        <f t="shared" si="0"/>
        <v>2364.5478616250002</v>
      </c>
      <c r="AB14" s="1992">
        <f t="shared" si="0"/>
        <v>12378.408055606877</v>
      </c>
      <c r="AC14" s="1993">
        <f>SUM(AC16,AC43,AC46)</f>
        <v>3509.691426915972</v>
      </c>
      <c r="AD14" s="1992">
        <f>SUM(AD16,AD43,AD46)</f>
        <v>140.18875</v>
      </c>
      <c r="AE14" s="1992">
        <f t="shared" ref="AE14:AL14" si="1">SUM(AE16,AE43,AE46)</f>
        <v>0</v>
      </c>
      <c r="AF14" s="1992">
        <f t="shared" si="1"/>
        <v>0</v>
      </c>
      <c r="AG14" s="1992">
        <f t="shared" si="1"/>
        <v>0</v>
      </c>
      <c r="AH14" s="1992">
        <f t="shared" si="1"/>
        <v>0</v>
      </c>
      <c r="AI14" s="1992">
        <f t="shared" si="1"/>
        <v>0</v>
      </c>
      <c r="AJ14" s="1992">
        <f t="shared" si="1"/>
        <v>0</v>
      </c>
      <c r="AK14" s="1992">
        <f t="shared" si="1"/>
        <v>0</v>
      </c>
      <c r="AL14" s="1992">
        <f t="shared" si="1"/>
        <v>0</v>
      </c>
      <c r="AM14" s="1992"/>
      <c r="AN14" s="1992"/>
      <c r="AO14" s="1992">
        <f>SUM(AO16,AO43,AO46)</f>
        <v>2646.4496047187499</v>
      </c>
      <c r="AP14" s="1992">
        <f t="shared" ref="AP14:AV14" si="2">ROUND(AP16+AP43+AP46,3)</f>
        <v>0</v>
      </c>
      <c r="AQ14" s="1992">
        <f t="shared" si="2"/>
        <v>0</v>
      </c>
      <c r="AR14" s="1992">
        <f t="shared" si="2"/>
        <v>0</v>
      </c>
      <c r="AS14" s="1992">
        <f t="shared" si="2"/>
        <v>0</v>
      </c>
      <c r="AT14" s="1992">
        <f t="shared" si="2"/>
        <v>0</v>
      </c>
      <c r="AU14" s="1992">
        <f t="shared" si="2"/>
        <v>0</v>
      </c>
      <c r="AV14" s="1992">
        <f t="shared" si="2"/>
        <v>0</v>
      </c>
      <c r="AW14" s="1992">
        <f>SUM(AW16,AW43,AW46)</f>
        <v>0</v>
      </c>
      <c r="AX14" s="1992">
        <f>SUM(AX16,AX43,AX46)</f>
        <v>0</v>
      </c>
      <c r="AY14" s="1992">
        <f>SUM(AY16,AY43,AY46)</f>
        <v>542.15520624999999</v>
      </c>
      <c r="AZ14" s="1992">
        <f>SUM(AZ16,AZ43,AZ46)</f>
        <v>2104.2943984687499</v>
      </c>
      <c r="BA14" s="1992">
        <f>SUM(BA16,BA43,BA46)</f>
        <v>0</v>
      </c>
      <c r="BB14" s="1992">
        <f t="shared" ref="BB14:BH14" si="3">ROUND(BB16+BB43+BB46,3)</f>
        <v>0</v>
      </c>
      <c r="BC14" s="1992">
        <f t="shared" si="3"/>
        <v>0</v>
      </c>
      <c r="BD14" s="1992">
        <f t="shared" si="3"/>
        <v>0</v>
      </c>
      <c r="BE14" s="1992">
        <f t="shared" si="3"/>
        <v>0</v>
      </c>
      <c r="BF14" s="1992">
        <f t="shared" si="3"/>
        <v>0</v>
      </c>
      <c r="BG14" s="1992">
        <f t="shared" si="3"/>
        <v>0</v>
      </c>
      <c r="BH14" s="1992">
        <f t="shared" si="3"/>
        <v>0</v>
      </c>
      <c r="BI14" s="1992">
        <f>SUM(BI16,BI43,BI46)</f>
        <v>0</v>
      </c>
      <c r="BJ14" s="1992">
        <f>SUM(BJ16,BJ43,BJ46)</f>
        <v>0</v>
      </c>
      <c r="BK14" s="1992">
        <f>SUM(BK16,BK43,BK46)</f>
        <v>0</v>
      </c>
      <c r="BL14" s="1992">
        <f>SUM(BL16,BL43,BL46)</f>
        <v>0</v>
      </c>
      <c r="BM14" s="1992"/>
      <c r="BN14" s="1992">
        <f>SUM(BN16,BN43,BN46)</f>
        <v>0</v>
      </c>
      <c r="BO14" s="1992">
        <f t="shared" ref="BO14:BV14" si="4">SUM(BO16,BO43,BO46)</f>
        <v>0</v>
      </c>
      <c r="BP14" s="1992">
        <f t="shared" si="4"/>
        <v>0</v>
      </c>
      <c r="BQ14" s="1992">
        <f t="shared" si="4"/>
        <v>0</v>
      </c>
      <c r="BR14" s="1992">
        <f t="shared" si="4"/>
        <v>0</v>
      </c>
      <c r="BS14" s="1992">
        <f t="shared" si="4"/>
        <v>0</v>
      </c>
      <c r="BT14" s="1992">
        <f t="shared" si="4"/>
        <v>0</v>
      </c>
      <c r="BU14" s="1992">
        <f t="shared" si="4"/>
        <v>0</v>
      </c>
      <c r="BV14" s="1992">
        <f t="shared" si="4"/>
        <v>0</v>
      </c>
      <c r="BW14" s="1992"/>
      <c r="BX14" s="1992"/>
      <c r="BY14" s="1992">
        <f>SUM(BY16,BY43,BY46)</f>
        <v>99.636469062499984</v>
      </c>
      <c r="BZ14" s="1992">
        <f t="shared" ref="BZ14:CF14" si="5">ROUND(BZ16+BZ43+BZ46,3)</f>
        <v>0</v>
      </c>
      <c r="CA14" s="1992">
        <f t="shared" si="5"/>
        <v>0</v>
      </c>
      <c r="CB14" s="1992">
        <f t="shared" si="5"/>
        <v>0</v>
      </c>
      <c r="CC14" s="1992">
        <f t="shared" si="5"/>
        <v>0</v>
      </c>
      <c r="CD14" s="1992">
        <f t="shared" si="5"/>
        <v>0</v>
      </c>
      <c r="CE14" s="1992">
        <f t="shared" si="5"/>
        <v>0</v>
      </c>
      <c r="CF14" s="1992">
        <f t="shared" si="5"/>
        <v>0</v>
      </c>
      <c r="CG14" s="1992">
        <f>SUM(CG16,CG43,CG46)</f>
        <v>0</v>
      </c>
      <c r="CH14" s="1992">
        <f>SUM(CH16,CH43,CH46)</f>
        <v>0</v>
      </c>
      <c r="CI14" s="1992">
        <f>SUM(CI16,CI43,CI46)</f>
        <v>15.980187499999998</v>
      </c>
      <c r="CJ14" s="1992">
        <f>SUM(CJ16,CJ43,CJ46)</f>
        <v>83.656281562499984</v>
      </c>
      <c r="CK14" s="1992">
        <f>SUM(CK16,CK43,CK46)</f>
        <v>763.60535313472224</v>
      </c>
      <c r="CL14" s="1992">
        <f t="shared" ref="CL14:CR14" si="6">ROUND(CL16+CL43+CL46,3)</f>
        <v>0</v>
      </c>
      <c r="CM14" s="1992">
        <f t="shared" si="6"/>
        <v>0</v>
      </c>
      <c r="CN14" s="1992">
        <f t="shared" si="6"/>
        <v>0</v>
      </c>
      <c r="CO14" s="1992">
        <f t="shared" si="6"/>
        <v>0</v>
      </c>
      <c r="CP14" s="1992">
        <f t="shared" si="6"/>
        <v>0</v>
      </c>
      <c r="CQ14" s="1992">
        <f t="shared" si="6"/>
        <v>0</v>
      </c>
      <c r="CR14" s="1992">
        <f t="shared" si="6"/>
        <v>0</v>
      </c>
      <c r="CS14" s="1992">
        <f>SUM(CS16,CS43,CS46)</f>
        <v>0</v>
      </c>
      <c r="CT14" s="1992">
        <f>SUM(CT16,CT43,CT46)</f>
        <v>0</v>
      </c>
      <c r="CU14" s="1992">
        <f>SUM(CU16,CU43,CU46)</f>
        <v>551.11853874999997</v>
      </c>
      <c r="CV14" s="1992">
        <f>SUM(CV16,CV43,CV46)</f>
        <v>2885.1055503562498</v>
      </c>
    </row>
    <row r="15" spans="1:101" s="864" customFormat="1" ht="45" customHeight="1" outlineLevel="1">
      <c r="B15" s="1990"/>
      <c r="C15" s="1991" t="s">
        <v>1127</v>
      </c>
      <c r="D15" s="1974" t="s">
        <v>1129</v>
      </c>
      <c r="E15" s="1992">
        <f>E14*1.2</f>
        <v>35877.226472227412</v>
      </c>
      <c r="F15" s="1992">
        <f>F14*1.2</f>
        <v>31665.596759928249</v>
      </c>
      <c r="G15" s="1992">
        <f>G14*1.2</f>
        <v>13974.049659249997</v>
      </c>
      <c r="H15" s="1992"/>
      <c r="I15" s="1992"/>
      <c r="J15" s="1992"/>
      <c r="K15" s="1992"/>
      <c r="L15" s="1992"/>
      <c r="M15" s="1992"/>
      <c r="N15" s="1992"/>
      <c r="O15" s="1992"/>
      <c r="P15" s="1992"/>
      <c r="Q15" s="1992"/>
      <c r="R15" s="1992">
        <f>R14*1.2</f>
        <v>2716.6085499999995</v>
      </c>
      <c r="S15" s="1992">
        <f>S14*1.2</f>
        <v>11257.441109249998</v>
      </c>
      <c r="T15" s="1992">
        <f>T14*1.2</f>
        <v>17691.54710067825</v>
      </c>
      <c r="U15" s="1992">
        <f t="shared" ref="U15:BL15" si="7">U14*1.2</f>
        <v>0</v>
      </c>
      <c r="V15" s="1992">
        <f t="shared" si="7"/>
        <v>0</v>
      </c>
      <c r="W15" s="1992">
        <f t="shared" si="7"/>
        <v>0</v>
      </c>
      <c r="X15" s="1992">
        <f t="shared" si="7"/>
        <v>0</v>
      </c>
      <c r="Y15" s="1992">
        <f t="shared" si="7"/>
        <v>0</v>
      </c>
      <c r="Z15" s="1992">
        <f t="shared" si="7"/>
        <v>0</v>
      </c>
      <c r="AA15" s="1992">
        <f t="shared" si="7"/>
        <v>2837.45743395</v>
      </c>
      <c r="AB15" s="1992">
        <f>AB14*1.2</f>
        <v>14854.08966672825</v>
      </c>
      <c r="AC15" s="1992">
        <f>AC14*1.2</f>
        <v>4211.6297122991664</v>
      </c>
      <c r="AD15" s="1992">
        <f>AD14*1.2</f>
        <v>168.22649999999999</v>
      </c>
      <c r="AE15" s="1992">
        <f t="shared" si="7"/>
        <v>0</v>
      </c>
      <c r="AF15" s="1992">
        <f t="shared" si="7"/>
        <v>0</v>
      </c>
      <c r="AG15" s="1992">
        <f t="shared" si="7"/>
        <v>0</v>
      </c>
      <c r="AH15" s="1992">
        <f t="shared" si="7"/>
        <v>0</v>
      </c>
      <c r="AI15" s="1992">
        <f t="shared" si="7"/>
        <v>0</v>
      </c>
      <c r="AJ15" s="1992">
        <f t="shared" si="7"/>
        <v>0</v>
      </c>
      <c r="AK15" s="1992">
        <f t="shared" si="7"/>
        <v>0</v>
      </c>
      <c r="AL15" s="1992">
        <f t="shared" si="7"/>
        <v>0</v>
      </c>
      <c r="AM15" s="1992"/>
      <c r="AN15" s="1992"/>
      <c r="AO15" s="1992">
        <f>AO14*1.2</f>
        <v>3175.7395256625</v>
      </c>
      <c r="AP15" s="1992">
        <f t="shared" si="7"/>
        <v>0</v>
      </c>
      <c r="AQ15" s="1992">
        <f t="shared" si="7"/>
        <v>0</v>
      </c>
      <c r="AR15" s="1992">
        <f t="shared" si="7"/>
        <v>0</v>
      </c>
      <c r="AS15" s="1992">
        <f t="shared" si="7"/>
        <v>0</v>
      </c>
      <c r="AT15" s="1992">
        <f t="shared" si="7"/>
        <v>0</v>
      </c>
      <c r="AU15" s="1992">
        <f t="shared" si="7"/>
        <v>0</v>
      </c>
      <c r="AV15" s="1992">
        <f t="shared" si="7"/>
        <v>0</v>
      </c>
      <c r="AW15" s="1992">
        <f t="shared" si="7"/>
        <v>0</v>
      </c>
      <c r="AX15" s="1992">
        <f t="shared" si="7"/>
        <v>0</v>
      </c>
      <c r="AY15" s="1992">
        <f t="shared" si="7"/>
        <v>650.58624750000001</v>
      </c>
      <c r="AZ15" s="1992">
        <f t="shared" si="7"/>
        <v>2525.1532781624996</v>
      </c>
      <c r="BA15" s="1992">
        <f t="shared" si="7"/>
        <v>0</v>
      </c>
      <c r="BB15" s="1992">
        <f t="shared" si="7"/>
        <v>0</v>
      </c>
      <c r="BC15" s="1992">
        <f t="shared" si="7"/>
        <v>0</v>
      </c>
      <c r="BD15" s="1992">
        <f t="shared" si="7"/>
        <v>0</v>
      </c>
      <c r="BE15" s="1992">
        <f t="shared" si="7"/>
        <v>0</v>
      </c>
      <c r="BF15" s="1992">
        <f t="shared" si="7"/>
        <v>0</v>
      </c>
      <c r="BG15" s="1992">
        <f t="shared" si="7"/>
        <v>0</v>
      </c>
      <c r="BH15" s="1992">
        <f t="shared" si="7"/>
        <v>0</v>
      </c>
      <c r="BI15" s="1992">
        <f t="shared" si="7"/>
        <v>0</v>
      </c>
      <c r="BJ15" s="1992">
        <f t="shared" si="7"/>
        <v>0</v>
      </c>
      <c r="BK15" s="1992">
        <f t="shared" si="7"/>
        <v>0</v>
      </c>
      <c r="BL15" s="1992">
        <f t="shared" si="7"/>
        <v>0</v>
      </c>
      <c r="BM15" s="1992"/>
      <c r="BN15" s="1992">
        <f>BN14*1.2</f>
        <v>0</v>
      </c>
      <c r="BO15" s="1992">
        <f t="shared" ref="BO15:BV15" si="8">BO14*1.2</f>
        <v>0</v>
      </c>
      <c r="BP15" s="1992">
        <f t="shared" si="8"/>
        <v>0</v>
      </c>
      <c r="BQ15" s="1992">
        <f t="shared" si="8"/>
        <v>0</v>
      </c>
      <c r="BR15" s="1992">
        <f t="shared" si="8"/>
        <v>0</v>
      </c>
      <c r="BS15" s="1992">
        <f t="shared" si="8"/>
        <v>0</v>
      </c>
      <c r="BT15" s="1992">
        <f t="shared" si="8"/>
        <v>0</v>
      </c>
      <c r="BU15" s="1992">
        <f t="shared" si="8"/>
        <v>0</v>
      </c>
      <c r="BV15" s="1992">
        <f t="shared" si="8"/>
        <v>0</v>
      </c>
      <c r="BW15" s="1992"/>
      <c r="BX15" s="1992"/>
      <c r="BY15" s="1992">
        <f t="shared" ref="BY15:CV15" si="9">BY14*1.2</f>
        <v>119.56376287499998</v>
      </c>
      <c r="BZ15" s="1992">
        <f t="shared" si="9"/>
        <v>0</v>
      </c>
      <c r="CA15" s="1992">
        <f t="shared" si="9"/>
        <v>0</v>
      </c>
      <c r="CB15" s="1992">
        <f t="shared" si="9"/>
        <v>0</v>
      </c>
      <c r="CC15" s="1992">
        <f t="shared" si="9"/>
        <v>0</v>
      </c>
      <c r="CD15" s="1992">
        <f t="shared" si="9"/>
        <v>0</v>
      </c>
      <c r="CE15" s="1992">
        <f t="shared" si="9"/>
        <v>0</v>
      </c>
      <c r="CF15" s="1992">
        <f t="shared" si="9"/>
        <v>0</v>
      </c>
      <c r="CG15" s="1992">
        <f t="shared" si="9"/>
        <v>0</v>
      </c>
      <c r="CH15" s="1992">
        <f t="shared" si="9"/>
        <v>0</v>
      </c>
      <c r="CI15" s="1992">
        <f t="shared" si="9"/>
        <v>19.176224999999995</v>
      </c>
      <c r="CJ15" s="1992">
        <f t="shared" si="9"/>
        <v>100.38753787499998</v>
      </c>
      <c r="CK15" s="1992">
        <f t="shared" si="9"/>
        <v>916.32642376166666</v>
      </c>
      <c r="CL15" s="1992">
        <f t="shared" si="9"/>
        <v>0</v>
      </c>
      <c r="CM15" s="1992">
        <f t="shared" si="9"/>
        <v>0</v>
      </c>
      <c r="CN15" s="1992">
        <f t="shared" si="9"/>
        <v>0</v>
      </c>
      <c r="CO15" s="1992">
        <f t="shared" si="9"/>
        <v>0</v>
      </c>
      <c r="CP15" s="1992">
        <f t="shared" si="9"/>
        <v>0</v>
      </c>
      <c r="CQ15" s="1992">
        <f t="shared" si="9"/>
        <v>0</v>
      </c>
      <c r="CR15" s="1992">
        <f t="shared" si="9"/>
        <v>0</v>
      </c>
      <c r="CS15" s="1992">
        <f t="shared" si="9"/>
        <v>0</v>
      </c>
      <c r="CT15" s="1992">
        <f t="shared" si="9"/>
        <v>0</v>
      </c>
      <c r="CU15" s="1992">
        <f t="shared" si="9"/>
        <v>661.34224649999999</v>
      </c>
      <c r="CV15" s="1992">
        <f t="shared" si="9"/>
        <v>3462.1266604274997</v>
      </c>
    </row>
    <row r="16" spans="1:101" ht="48" customHeight="1">
      <c r="B16" s="1990" t="s">
        <v>1130</v>
      </c>
      <c r="C16" s="1994" t="s">
        <v>1131</v>
      </c>
      <c r="D16" s="1975" t="s">
        <v>1128</v>
      </c>
      <c r="E16" s="1992">
        <f>F16+AC16</f>
        <v>23918.150981484941</v>
      </c>
      <c r="F16" s="1992">
        <f>F17+F18+F19+F20+F21+F22</f>
        <v>21110.397839952166</v>
      </c>
      <c r="G16" s="1992">
        <f>G17+G18+G19+G20+G21+G22</f>
        <v>9316.0331061666639</v>
      </c>
      <c r="H16" s="1992"/>
      <c r="I16" s="1992"/>
      <c r="J16" s="1992"/>
      <c r="K16" s="1992"/>
      <c r="L16" s="1992"/>
      <c r="M16" s="1992"/>
      <c r="N16" s="1992"/>
      <c r="O16" s="1992"/>
      <c r="P16" s="1992"/>
      <c r="Q16" s="1992"/>
      <c r="R16" s="1992">
        <f>R17+R18+R19+R20+R21+R22</f>
        <v>1811.0723666666665</v>
      </c>
      <c r="S16" s="1992">
        <f>S17+S18+S19+S20+S21+S22</f>
        <v>7504.9607394999985</v>
      </c>
      <c r="T16" s="1992">
        <f>T17+T18+T19+T20+T21+T22</f>
        <v>11794.3647337855</v>
      </c>
      <c r="U16" s="1992">
        <f t="shared" ref="U16:AA16" si="10">U17+U18+U19+U20+U21+U22</f>
        <v>0</v>
      </c>
      <c r="V16" s="1992">
        <f t="shared" si="10"/>
        <v>0</v>
      </c>
      <c r="W16" s="1992">
        <f t="shared" si="10"/>
        <v>0</v>
      </c>
      <c r="X16" s="1992">
        <f t="shared" si="10"/>
        <v>0</v>
      </c>
      <c r="Y16" s="1992">
        <f t="shared" si="10"/>
        <v>0</v>
      </c>
      <c r="Z16" s="1992">
        <f t="shared" si="10"/>
        <v>0</v>
      </c>
      <c r="AA16" s="1992">
        <f t="shared" si="10"/>
        <v>1891.6382893</v>
      </c>
      <c r="AB16" s="1992">
        <f>AB17+AB18+AB19+AB20+AB21+AB22</f>
        <v>9902.7264444855009</v>
      </c>
      <c r="AC16" s="1992">
        <f>AC17+AC18+AC19+AC20+AC21+AC22</f>
        <v>2807.7531415327776</v>
      </c>
      <c r="AD16" s="1992">
        <f>AD17+AD18+AD19+AD20+AD21+AD22</f>
        <v>112.151</v>
      </c>
      <c r="AE16" s="1992">
        <f t="shared" ref="AE16:AL16" si="11">AE17+AE18+AE19+AE20+AE21+AE22</f>
        <v>0</v>
      </c>
      <c r="AF16" s="1992">
        <f t="shared" si="11"/>
        <v>0</v>
      </c>
      <c r="AG16" s="1992">
        <f t="shared" si="11"/>
        <v>0</v>
      </c>
      <c r="AH16" s="1992">
        <f t="shared" si="11"/>
        <v>0</v>
      </c>
      <c r="AI16" s="1992">
        <f t="shared" si="11"/>
        <v>0</v>
      </c>
      <c r="AJ16" s="1992">
        <f t="shared" si="11"/>
        <v>0</v>
      </c>
      <c r="AK16" s="1992">
        <f t="shared" si="11"/>
        <v>0</v>
      </c>
      <c r="AL16" s="1992">
        <f t="shared" si="11"/>
        <v>0</v>
      </c>
      <c r="AM16" s="1992"/>
      <c r="AN16" s="1992"/>
      <c r="AO16" s="1992">
        <f>AO17+AO18+AO19+AO20+AO21+AO22</f>
        <v>2117.1596837749998</v>
      </c>
      <c r="AP16" s="1992">
        <f t="shared" ref="AP16:AW16" si="12">AP17+AP18+AP19+AP20+AP21+AP22</f>
        <v>0</v>
      </c>
      <c r="AQ16" s="1992">
        <f t="shared" si="12"/>
        <v>0</v>
      </c>
      <c r="AR16" s="1992">
        <f t="shared" si="12"/>
        <v>0</v>
      </c>
      <c r="AS16" s="1992">
        <f t="shared" si="12"/>
        <v>0</v>
      </c>
      <c r="AT16" s="1992">
        <f t="shared" si="12"/>
        <v>0</v>
      </c>
      <c r="AU16" s="1992">
        <f t="shared" si="12"/>
        <v>0</v>
      </c>
      <c r="AV16" s="1992">
        <f t="shared" si="12"/>
        <v>0</v>
      </c>
      <c r="AW16" s="1992">
        <f t="shared" si="12"/>
        <v>0</v>
      </c>
      <c r="AX16" s="1992">
        <f>AX17+AX18+AX19+AX20+AX21+AX22</f>
        <v>0</v>
      </c>
      <c r="AY16" s="1992">
        <f>AY17+AY18+AY19+AY20+AY21+AY22</f>
        <v>433.72416500000003</v>
      </c>
      <c r="AZ16" s="1992">
        <f>AZ17+AZ18+AZ19+AZ20+AZ21+AZ22</f>
        <v>1683.435518775</v>
      </c>
      <c r="BA16" s="1992">
        <f>BA17+BA18+BA19+BA20+BA21+BA22</f>
        <v>0</v>
      </c>
      <c r="BB16" s="1992">
        <f t="shared" ref="BB16:BI16" si="13">BB17+BB18+BB19+BB20+BB21+BB22</f>
        <v>0</v>
      </c>
      <c r="BC16" s="1992">
        <f t="shared" si="13"/>
        <v>0</v>
      </c>
      <c r="BD16" s="1992">
        <f t="shared" si="13"/>
        <v>0</v>
      </c>
      <c r="BE16" s="1992">
        <f t="shared" si="13"/>
        <v>0</v>
      </c>
      <c r="BF16" s="1992">
        <f t="shared" si="13"/>
        <v>0</v>
      </c>
      <c r="BG16" s="1992">
        <f t="shared" si="13"/>
        <v>0</v>
      </c>
      <c r="BH16" s="1992">
        <f t="shared" si="13"/>
        <v>0</v>
      </c>
      <c r="BI16" s="1992">
        <f t="shared" si="13"/>
        <v>0</v>
      </c>
      <c r="BJ16" s="1992">
        <f>BJ17+BJ18+BJ19+BJ20+BJ21+BJ22</f>
        <v>0</v>
      </c>
      <c r="BK16" s="1992">
        <f>BK17+BK18+BK19+BK20+BK21+BK22</f>
        <v>0</v>
      </c>
      <c r="BL16" s="1992">
        <f>BL17+BL18+BL19+BL20+BL21+BL22</f>
        <v>0</v>
      </c>
      <c r="BM16" s="1992"/>
      <c r="BN16" s="1992">
        <f>BN17+BN18+BN19+BN20+BN21+BN22</f>
        <v>0</v>
      </c>
      <c r="BO16" s="1992">
        <f t="shared" ref="BO16:BV16" si="14">BO17+BO18+BO19+BO20+BO21+BO22</f>
        <v>0</v>
      </c>
      <c r="BP16" s="1992">
        <f t="shared" si="14"/>
        <v>0</v>
      </c>
      <c r="BQ16" s="1992">
        <f t="shared" si="14"/>
        <v>0</v>
      </c>
      <c r="BR16" s="1992">
        <f t="shared" si="14"/>
        <v>0</v>
      </c>
      <c r="BS16" s="1992">
        <f t="shared" si="14"/>
        <v>0</v>
      </c>
      <c r="BT16" s="1992">
        <f t="shared" si="14"/>
        <v>0</v>
      </c>
      <c r="BU16" s="1992">
        <f t="shared" si="14"/>
        <v>0</v>
      </c>
      <c r="BV16" s="1992">
        <f t="shared" si="14"/>
        <v>0</v>
      </c>
      <c r="BW16" s="1992"/>
      <c r="BX16" s="1992"/>
      <c r="BY16" s="1992">
        <f>BY17+BY18+BY19+BY20+BY21+BY22</f>
        <v>79.709175249999987</v>
      </c>
      <c r="BZ16" s="1992">
        <f t="shared" ref="BZ16:CG16" si="15">BZ17+BZ18+BZ19+BZ20+BZ21+BZ22</f>
        <v>0</v>
      </c>
      <c r="CA16" s="1992">
        <f t="shared" si="15"/>
        <v>0</v>
      </c>
      <c r="CB16" s="1992">
        <f t="shared" si="15"/>
        <v>0</v>
      </c>
      <c r="CC16" s="1992">
        <f t="shared" si="15"/>
        <v>0</v>
      </c>
      <c r="CD16" s="1992">
        <f t="shared" si="15"/>
        <v>0</v>
      </c>
      <c r="CE16" s="1992">
        <f t="shared" si="15"/>
        <v>0</v>
      </c>
      <c r="CF16" s="1992">
        <f t="shared" si="15"/>
        <v>0</v>
      </c>
      <c r="CG16" s="1992">
        <f t="shared" si="15"/>
        <v>0</v>
      </c>
      <c r="CH16" s="1992">
        <f>CH17+CH18+CH19+CH20+CH21+CH22</f>
        <v>0</v>
      </c>
      <c r="CI16" s="1992">
        <f>CI17+CI18+CI19+CI20+CI21+CI22</f>
        <v>12.784149999999999</v>
      </c>
      <c r="CJ16" s="1992">
        <f>CJ17+CJ18+CJ19+CJ20+CJ21+CJ22</f>
        <v>66.92502524999999</v>
      </c>
      <c r="CK16" s="1992">
        <f>CK17+CK18+CK19+CK20+CK21+CK22</f>
        <v>610.88428250777781</v>
      </c>
      <c r="CL16" s="1992">
        <f t="shared" ref="CL16:CS16" si="16">CL17+CL18+CL19+CL20+CL21+CL22</f>
        <v>0</v>
      </c>
      <c r="CM16" s="1992">
        <f t="shared" si="16"/>
        <v>0</v>
      </c>
      <c r="CN16" s="1992">
        <f t="shared" si="16"/>
        <v>0</v>
      </c>
      <c r="CO16" s="1992">
        <f t="shared" si="16"/>
        <v>0</v>
      </c>
      <c r="CP16" s="1992">
        <f t="shared" si="16"/>
        <v>0</v>
      </c>
      <c r="CQ16" s="1992">
        <f t="shared" si="16"/>
        <v>0</v>
      </c>
      <c r="CR16" s="1992">
        <f t="shared" si="16"/>
        <v>0</v>
      </c>
      <c r="CS16" s="1992">
        <f t="shared" si="16"/>
        <v>0</v>
      </c>
      <c r="CT16" s="1992">
        <f>CT17+CT18+CT19+CT20+CT21+CT22</f>
        <v>0</v>
      </c>
      <c r="CU16" s="1992">
        <f>CU17+CU18+CU19+CU20+CU21+CU22</f>
        <v>440.89483100000001</v>
      </c>
      <c r="CV16" s="1992">
        <f>CV17+CV18+CV19+CV20+CV21+CV22</f>
        <v>2308.0844402849998</v>
      </c>
    </row>
    <row r="17" spans="2:100" ht="30.75" customHeight="1">
      <c r="B17" s="1995" t="s">
        <v>1132</v>
      </c>
      <c r="C17" s="1996" t="s">
        <v>1133</v>
      </c>
      <c r="D17" s="1997" t="s">
        <v>1128</v>
      </c>
      <c r="E17" s="1992">
        <f>F17+AC17</f>
        <v>489.61099999999999</v>
      </c>
      <c r="F17" s="1998">
        <f>G17+T17</f>
        <v>377.46</v>
      </c>
      <c r="G17" s="1998">
        <f>SUM(M17:R17)</f>
        <v>377.46</v>
      </c>
      <c r="H17" s="1999"/>
      <c r="I17" s="1999"/>
      <c r="J17" s="1999"/>
      <c r="K17" s="1999"/>
      <c r="L17" s="1999"/>
      <c r="M17" s="1999"/>
      <c r="N17" s="1999"/>
      <c r="O17" s="1999"/>
      <c r="P17" s="1999"/>
      <c r="Q17" s="1999"/>
      <c r="R17" s="1999">
        <f>377.46</f>
        <v>377.46</v>
      </c>
      <c r="S17" s="2000"/>
      <c r="T17" s="2001">
        <f>SUM(Z17:AB19)</f>
        <v>0</v>
      </c>
      <c r="U17" s="2000"/>
      <c r="V17" s="2000"/>
      <c r="W17" s="2000"/>
      <c r="X17" s="2000"/>
      <c r="Y17" s="2000"/>
      <c r="Z17" s="2000"/>
      <c r="AA17" s="2000"/>
      <c r="AB17" s="2000"/>
      <c r="AC17" s="2002">
        <f>AO17+BA17</f>
        <v>112.151</v>
      </c>
      <c r="AD17" s="2003">
        <f>SUM(AM17:AX17)</f>
        <v>112.151</v>
      </c>
      <c r="AE17" s="2004"/>
      <c r="AF17" s="2004"/>
      <c r="AG17" s="2004"/>
      <c r="AH17" s="2004"/>
      <c r="AI17" s="2004"/>
      <c r="AJ17" s="2004"/>
      <c r="AK17" s="2004"/>
      <c r="AL17" s="2004"/>
      <c r="AM17" s="2004"/>
      <c r="AN17" s="2004"/>
      <c r="AO17" s="2004">
        <f>SUM(AU17:AY17)</f>
        <v>112.151</v>
      </c>
      <c r="AP17" s="2004"/>
      <c r="AQ17" s="2004"/>
      <c r="AR17" s="2004"/>
      <c r="AS17" s="2004"/>
      <c r="AT17" s="2004"/>
      <c r="AU17" s="2004"/>
      <c r="AV17" s="2004"/>
      <c r="AW17" s="2004"/>
      <c r="AX17" s="2004"/>
      <c r="AY17" s="2005">
        <v>112.151</v>
      </c>
      <c r="AZ17" s="2004"/>
      <c r="BA17" s="2004">
        <f>SUM(BG17:BK17)</f>
        <v>0</v>
      </c>
      <c r="BB17" s="2004"/>
      <c r="BC17" s="2004"/>
      <c r="BD17" s="2004"/>
      <c r="BE17" s="2004"/>
      <c r="BF17" s="2004"/>
      <c r="BG17" s="2004"/>
      <c r="BH17" s="2004"/>
      <c r="BI17" s="2004"/>
      <c r="BJ17" s="2004"/>
      <c r="BK17" s="2004"/>
      <c r="BL17" s="2004"/>
      <c r="BM17" s="2003"/>
      <c r="BN17" s="2003">
        <f>SUM(BW17:CH17)</f>
        <v>0</v>
      </c>
      <c r="BO17" s="2004"/>
      <c r="BP17" s="2004"/>
      <c r="BQ17" s="2004"/>
      <c r="BR17" s="2004"/>
      <c r="BS17" s="2004"/>
      <c r="BT17" s="2004"/>
      <c r="BU17" s="2004"/>
      <c r="BV17" s="2004"/>
      <c r="BW17" s="2004"/>
      <c r="BX17" s="2004"/>
      <c r="BY17" s="2004">
        <f>SUM(CE17:CI17)</f>
        <v>0</v>
      </c>
      <c r="BZ17" s="2004"/>
      <c r="CA17" s="2004"/>
      <c r="CB17" s="2004"/>
      <c r="CC17" s="2004"/>
      <c r="CD17" s="2004"/>
      <c r="CE17" s="2004"/>
      <c r="CF17" s="2004"/>
      <c r="CG17" s="2004"/>
      <c r="CH17" s="2004"/>
      <c r="CI17" s="2004"/>
      <c r="CJ17" s="2004"/>
      <c r="CK17" s="2004">
        <f>SUM(CQ17:CU17)</f>
        <v>0</v>
      </c>
      <c r="CL17" s="2004"/>
      <c r="CM17" s="2004"/>
      <c r="CN17" s="2004"/>
      <c r="CO17" s="2004"/>
      <c r="CP17" s="2004"/>
      <c r="CQ17" s="2004"/>
      <c r="CR17" s="2004"/>
      <c r="CS17" s="2004"/>
      <c r="CT17" s="2004"/>
      <c r="CU17" s="2004"/>
      <c r="CV17" s="2004"/>
    </row>
    <row r="18" spans="2:100" ht="21.75" hidden="1" customHeight="1" outlineLevel="1" thickTop="1" thickBot="1">
      <c r="B18" s="1995" t="s">
        <v>119</v>
      </c>
      <c r="C18" s="1996" t="s">
        <v>1134</v>
      </c>
      <c r="D18" s="1997" t="s">
        <v>1128</v>
      </c>
      <c r="E18" s="1992"/>
      <c r="F18" s="2001"/>
      <c r="G18" s="2001">
        <f>SUM(M18:P18)</f>
        <v>0</v>
      </c>
      <c r="H18" s="2000"/>
      <c r="I18" s="2000"/>
      <c r="J18" s="2000"/>
      <c r="K18" s="2000"/>
      <c r="L18" s="2000"/>
      <c r="M18" s="2000"/>
      <c r="N18" s="2000"/>
      <c r="O18" s="2000"/>
      <c r="P18" s="2000"/>
      <c r="Q18" s="2000"/>
      <c r="R18" s="2000"/>
      <c r="S18" s="2000"/>
      <c r="T18" s="2001">
        <f>SUM(Z18:AB18)</f>
        <v>0</v>
      </c>
      <c r="U18" s="2000"/>
      <c r="V18" s="2000"/>
      <c r="W18" s="2000"/>
      <c r="X18" s="2000"/>
      <c r="Y18" s="2000"/>
      <c r="Z18" s="2000"/>
      <c r="AA18" s="2000"/>
      <c r="AB18" s="2000"/>
      <c r="AC18" s="2003"/>
      <c r="AD18" s="2003">
        <f>SUM(AM18:AX18)</f>
        <v>0</v>
      </c>
      <c r="AE18" s="2004"/>
      <c r="AF18" s="2004"/>
      <c r="AG18" s="2004"/>
      <c r="AH18" s="2004"/>
      <c r="AI18" s="2004"/>
      <c r="AJ18" s="2004"/>
      <c r="AK18" s="2004"/>
      <c r="AL18" s="2004"/>
      <c r="AM18" s="2004"/>
      <c r="AN18" s="2004"/>
      <c r="AO18" s="2004"/>
      <c r="AP18" s="2004"/>
      <c r="AQ18" s="2004"/>
      <c r="AR18" s="2004"/>
      <c r="AS18" s="2004"/>
      <c r="AT18" s="2004"/>
      <c r="AU18" s="2004"/>
      <c r="AV18" s="2004"/>
      <c r="AW18" s="2004"/>
      <c r="AX18" s="2004"/>
      <c r="AY18" s="2004"/>
      <c r="AZ18" s="2004"/>
      <c r="BA18" s="2004"/>
      <c r="BB18" s="2004"/>
      <c r="BC18" s="2004"/>
      <c r="BD18" s="2004"/>
      <c r="BE18" s="2004"/>
      <c r="BF18" s="2004"/>
      <c r="BG18" s="2004"/>
      <c r="BH18" s="2004"/>
      <c r="BI18" s="2004"/>
      <c r="BJ18" s="2004"/>
      <c r="BK18" s="2004"/>
      <c r="BL18" s="2004"/>
      <c r="BM18" s="2003"/>
      <c r="BN18" s="2003">
        <f>SUM(BW18:CH18)</f>
        <v>0</v>
      </c>
      <c r="BO18" s="2004"/>
      <c r="BP18" s="2004"/>
      <c r="BQ18" s="2004"/>
      <c r="BR18" s="2004"/>
      <c r="BS18" s="2004"/>
      <c r="BT18" s="2004"/>
      <c r="BU18" s="2004"/>
      <c r="BV18" s="2004"/>
      <c r="BW18" s="2004"/>
      <c r="BX18" s="2004"/>
      <c r="BY18" s="2004"/>
      <c r="BZ18" s="2004"/>
      <c r="CA18" s="2004"/>
      <c r="CB18" s="2004"/>
      <c r="CC18" s="2004"/>
      <c r="CD18" s="2004"/>
      <c r="CE18" s="2004"/>
      <c r="CF18" s="2004"/>
      <c r="CG18" s="2004"/>
      <c r="CH18" s="2004"/>
      <c r="CI18" s="2004"/>
      <c r="CJ18" s="2004"/>
      <c r="CK18" s="2004"/>
      <c r="CL18" s="2004"/>
      <c r="CM18" s="2004"/>
      <c r="CN18" s="2004"/>
      <c r="CO18" s="2004"/>
      <c r="CP18" s="2004"/>
      <c r="CQ18" s="2004"/>
      <c r="CR18" s="2004"/>
      <c r="CS18" s="2004"/>
      <c r="CT18" s="2004"/>
      <c r="CU18" s="2004"/>
      <c r="CV18" s="2004"/>
    </row>
    <row r="19" spans="2:100" ht="42" hidden="1" customHeight="1" outlineLevel="1" thickTop="1" thickBot="1">
      <c r="B19" s="1995" t="s">
        <v>120</v>
      </c>
      <c r="C19" s="1996" t="s">
        <v>1135</v>
      </c>
      <c r="D19" s="1997" t="s">
        <v>1128</v>
      </c>
      <c r="E19" s="1992"/>
      <c r="F19" s="2001"/>
      <c r="G19" s="2001">
        <f>SUM(M19:P19)</f>
        <v>0</v>
      </c>
      <c r="H19" s="2000"/>
      <c r="I19" s="2000"/>
      <c r="J19" s="2000"/>
      <c r="K19" s="2000"/>
      <c r="L19" s="2000"/>
      <c r="M19" s="2000"/>
      <c r="N19" s="2000"/>
      <c r="O19" s="2000"/>
      <c r="P19" s="2000"/>
      <c r="Q19" s="2000"/>
      <c r="R19" s="2000"/>
      <c r="S19" s="2000"/>
      <c r="T19" s="2001">
        <f>SUM(Z19:AB19)</f>
        <v>0</v>
      </c>
      <c r="U19" s="2000"/>
      <c r="V19" s="2000"/>
      <c r="W19" s="2000"/>
      <c r="X19" s="2000"/>
      <c r="Y19" s="2000"/>
      <c r="Z19" s="2000"/>
      <c r="AA19" s="2000"/>
      <c r="AB19" s="2000"/>
      <c r="AC19" s="2003"/>
      <c r="AD19" s="2003">
        <f>SUM(AM19:AX19)</f>
        <v>0</v>
      </c>
      <c r="AE19" s="2004"/>
      <c r="AF19" s="2004"/>
      <c r="AG19" s="2004"/>
      <c r="AH19" s="2004"/>
      <c r="AI19" s="2004"/>
      <c r="AJ19" s="2004"/>
      <c r="AK19" s="2004"/>
      <c r="AL19" s="2004"/>
      <c r="AM19" s="2004"/>
      <c r="AN19" s="2004"/>
      <c r="AO19" s="2004"/>
      <c r="AP19" s="2004"/>
      <c r="AQ19" s="2004"/>
      <c r="AR19" s="2004"/>
      <c r="AS19" s="2004"/>
      <c r="AT19" s="2004"/>
      <c r="AU19" s="2004"/>
      <c r="AV19" s="2004"/>
      <c r="AW19" s="2004"/>
      <c r="AX19" s="2004"/>
      <c r="AY19" s="2004"/>
      <c r="AZ19" s="2004"/>
      <c r="BA19" s="2004"/>
      <c r="BB19" s="2004"/>
      <c r="BC19" s="2004"/>
      <c r="BD19" s="2004"/>
      <c r="BE19" s="2004"/>
      <c r="BF19" s="2004"/>
      <c r="BG19" s="2004"/>
      <c r="BH19" s="2004"/>
      <c r="BI19" s="2004"/>
      <c r="BJ19" s="2004"/>
      <c r="BK19" s="2004"/>
      <c r="BL19" s="2004"/>
      <c r="BM19" s="2003"/>
      <c r="BN19" s="2003">
        <f>SUM(BW19:CH19)</f>
        <v>0</v>
      </c>
      <c r="BO19" s="2004"/>
      <c r="BP19" s="2004"/>
      <c r="BQ19" s="2004"/>
      <c r="BR19" s="2004"/>
      <c r="BS19" s="2004"/>
      <c r="BT19" s="2004"/>
      <c r="BU19" s="2004"/>
      <c r="BV19" s="2004"/>
      <c r="BW19" s="2004"/>
      <c r="BX19" s="2004"/>
      <c r="BY19" s="2004"/>
      <c r="BZ19" s="2004"/>
      <c r="CA19" s="2004"/>
      <c r="CB19" s="2004"/>
      <c r="CC19" s="2004"/>
      <c r="CD19" s="2004"/>
      <c r="CE19" s="2004"/>
      <c r="CF19" s="2004"/>
      <c r="CG19" s="2004"/>
      <c r="CH19" s="2004"/>
      <c r="CI19" s="2004"/>
      <c r="CJ19" s="2004"/>
      <c r="CK19" s="2004"/>
      <c r="CL19" s="2004"/>
      <c r="CM19" s="2004"/>
      <c r="CN19" s="2004"/>
      <c r="CO19" s="2004"/>
      <c r="CP19" s="2004"/>
      <c r="CQ19" s="2004"/>
      <c r="CR19" s="2004"/>
      <c r="CS19" s="2004"/>
      <c r="CT19" s="2004"/>
      <c r="CU19" s="2004"/>
      <c r="CV19" s="2004"/>
    </row>
    <row r="20" spans="2:100" ht="32.25" customHeight="1" collapsed="1">
      <c r="B20" s="1995" t="s">
        <v>114</v>
      </c>
      <c r="C20" s="1996" t="s">
        <v>1136</v>
      </c>
      <c r="D20" s="1997" t="s">
        <v>1128</v>
      </c>
      <c r="E20" s="1992">
        <f>F20+AC20</f>
        <v>23428.539981484944</v>
      </c>
      <c r="F20" s="2001">
        <f>G20+T20</f>
        <v>20732.937839952167</v>
      </c>
      <c r="G20" s="2001">
        <f>SUM(M20:S20)</f>
        <v>8938.5731061666647</v>
      </c>
      <c r="H20" s="2000"/>
      <c r="I20" s="2000"/>
      <c r="J20" s="2000"/>
      <c r="K20" s="2000"/>
      <c r="L20" s="2000"/>
      <c r="M20" s="2000"/>
      <c r="N20" s="2000"/>
      <c r="O20" s="2000"/>
      <c r="P20" s="2000"/>
      <c r="Q20" s="2000"/>
      <c r="R20" s="2000">
        <f>G100/12*2</f>
        <v>1433.6123666666665</v>
      </c>
      <c r="S20" s="2000">
        <f>G100/12*10*S13*R13</f>
        <v>7504.9607394999985</v>
      </c>
      <c r="T20" s="2001">
        <f>SUM(Z20:AB20)</f>
        <v>11794.3647337855</v>
      </c>
      <c r="U20" s="2000"/>
      <c r="V20" s="2000"/>
      <c r="W20" s="2000"/>
      <c r="X20" s="2000"/>
      <c r="Y20" s="2000"/>
      <c r="Z20" s="2000"/>
      <c r="AA20" s="2000">
        <f>T100/12*2</f>
        <v>1891.6382893</v>
      </c>
      <c r="AB20" s="2000">
        <f>T100/12*10*AA13*AB13</f>
        <v>9902.7264444855009</v>
      </c>
      <c r="AC20" s="2003">
        <f>AO20+BY20+CK20</f>
        <v>2695.6021415327778</v>
      </c>
      <c r="AD20" s="2003"/>
      <c r="AE20" s="2004"/>
      <c r="AF20" s="2004"/>
      <c r="AG20" s="2004"/>
      <c r="AH20" s="2004"/>
      <c r="AI20" s="2004"/>
      <c r="AJ20" s="2004"/>
      <c r="AK20" s="2004"/>
      <c r="AL20" s="2004"/>
      <c r="AM20" s="2004"/>
      <c r="AN20" s="2004"/>
      <c r="AO20" s="2004">
        <f>SUM(AX20:AZ20)</f>
        <v>2005.008683775</v>
      </c>
      <c r="AP20" s="2004"/>
      <c r="AQ20" s="2004"/>
      <c r="AR20" s="2004"/>
      <c r="AS20" s="2004"/>
      <c r="AT20" s="2004"/>
      <c r="AU20" s="2004"/>
      <c r="AV20" s="2004">
        <f>AU98/12*6*AV13</f>
        <v>0</v>
      </c>
      <c r="AW20" s="2004"/>
      <c r="AX20" s="2004"/>
      <c r="AY20" s="2004">
        <f>AC100/12*2</f>
        <v>321.57316500000002</v>
      </c>
      <c r="AZ20" s="2004">
        <f>AC100/12*10*AZ13*AY13</f>
        <v>1683.435518775</v>
      </c>
      <c r="BA20" s="2004">
        <f>SUM(BJ20:BL20)</f>
        <v>0</v>
      </c>
      <c r="BB20" s="2004"/>
      <c r="BC20" s="2004"/>
      <c r="BD20" s="2004"/>
      <c r="BE20" s="2004"/>
      <c r="BF20" s="2004"/>
      <c r="BG20" s="2004"/>
      <c r="BH20" s="2004">
        <f>BG98/12*6*BH13</f>
        <v>0</v>
      </c>
      <c r="BI20" s="2004"/>
      <c r="BJ20" s="2004"/>
      <c r="BK20" s="2004">
        <f>BA100/12*3*BK13</f>
        <v>0</v>
      </c>
      <c r="BL20" s="2004">
        <f>BA100/12*9*BL13*BK13</f>
        <v>0</v>
      </c>
      <c r="BM20" s="2003"/>
      <c r="BN20" s="2003"/>
      <c r="BO20" s="2004"/>
      <c r="BP20" s="2004"/>
      <c r="BQ20" s="2004"/>
      <c r="BR20" s="2004"/>
      <c r="BS20" s="2004"/>
      <c r="BT20" s="2004"/>
      <c r="BU20" s="2004"/>
      <c r="BV20" s="2004"/>
      <c r="BW20" s="2004"/>
      <c r="BX20" s="2004"/>
      <c r="BY20" s="2004">
        <f>SUM(CH20:CJ20)</f>
        <v>79.709175249999987</v>
      </c>
      <c r="BZ20" s="2004"/>
      <c r="CA20" s="2004"/>
      <c r="CB20" s="2004"/>
      <c r="CC20" s="2004"/>
      <c r="CD20" s="2004"/>
      <c r="CE20" s="2004"/>
      <c r="CF20" s="2004">
        <f>CE98/12*6*CF13</f>
        <v>0</v>
      </c>
      <c r="CG20" s="2004"/>
      <c r="CH20" s="2004"/>
      <c r="CI20" s="2004">
        <f>BY100/12*2</f>
        <v>12.784149999999999</v>
      </c>
      <c r="CJ20" s="2004">
        <f>BY100/12*10*CJ13*CI13</f>
        <v>66.92502524999999</v>
      </c>
      <c r="CK20" s="2006">
        <f>SUM(CT20:CV20)/450*100</f>
        <v>610.88428250777781</v>
      </c>
      <c r="CL20" s="2004"/>
      <c r="CM20" s="2004"/>
      <c r="CN20" s="2004"/>
      <c r="CO20" s="2004"/>
      <c r="CP20" s="2004"/>
      <c r="CQ20" s="2004"/>
      <c r="CR20" s="2004">
        <f>CQ98/12*6*CR13</f>
        <v>0</v>
      </c>
      <c r="CS20" s="2004"/>
      <c r="CT20" s="2004"/>
      <c r="CU20" s="2004">
        <f>CK100/12*2</f>
        <v>440.89483100000001</v>
      </c>
      <c r="CV20" s="2004">
        <f>CK100/12*10*CV13*CU13</f>
        <v>2308.0844402849998</v>
      </c>
    </row>
    <row r="21" spans="2:100" ht="21" hidden="1" customHeight="1" outlineLevel="1" thickTop="1">
      <c r="B21" s="1995" t="s">
        <v>121</v>
      </c>
      <c r="C21" s="1996" t="s">
        <v>1137</v>
      </c>
      <c r="D21" s="1997" t="s">
        <v>1128</v>
      </c>
      <c r="E21" s="1992"/>
      <c r="F21" s="1992"/>
      <c r="G21" s="1992"/>
      <c r="H21" s="2007"/>
      <c r="I21" s="2007"/>
      <c r="J21" s="2007"/>
      <c r="K21" s="2007"/>
      <c r="L21" s="2007"/>
      <c r="M21" s="2007"/>
      <c r="N21" s="2007"/>
      <c r="O21" s="2007"/>
      <c r="P21" s="2007"/>
      <c r="Q21" s="2007"/>
      <c r="R21" s="2007"/>
      <c r="S21" s="2007"/>
      <c r="T21" s="1992"/>
      <c r="U21" s="2007"/>
      <c r="V21" s="2007"/>
      <c r="W21" s="2007"/>
      <c r="X21" s="2007"/>
      <c r="Y21" s="2007"/>
      <c r="Z21" s="2007"/>
      <c r="AA21" s="2007"/>
      <c r="AB21" s="2007"/>
      <c r="AC21" s="1992"/>
      <c r="AD21" s="1992"/>
      <c r="AE21" s="2007"/>
      <c r="AF21" s="2007"/>
      <c r="AG21" s="2007"/>
      <c r="AH21" s="2007"/>
      <c r="AI21" s="2007"/>
      <c r="AJ21" s="2007"/>
      <c r="AK21" s="2007"/>
      <c r="AL21" s="2007"/>
      <c r="AM21" s="2007"/>
      <c r="AN21" s="2007"/>
      <c r="AO21" s="2007"/>
      <c r="AP21" s="2007"/>
      <c r="AQ21" s="2007"/>
      <c r="AR21" s="2007"/>
      <c r="AS21" s="2007"/>
      <c r="AT21" s="2007"/>
      <c r="AU21" s="2007"/>
      <c r="AV21" s="2007"/>
      <c r="AW21" s="2007"/>
      <c r="AX21" s="2007"/>
      <c r="AY21" s="2007"/>
      <c r="AZ21" s="2007"/>
      <c r="BA21" s="2007"/>
      <c r="BB21" s="2007"/>
      <c r="BC21" s="2007"/>
      <c r="BD21" s="2007"/>
      <c r="BE21" s="2007"/>
      <c r="BF21" s="2007"/>
      <c r="BG21" s="2007"/>
      <c r="BH21" s="2007"/>
      <c r="BI21" s="2007"/>
      <c r="BJ21" s="2007"/>
      <c r="BK21" s="2007"/>
      <c r="BL21" s="2007"/>
      <c r="BM21" s="1992"/>
      <c r="BN21" s="1992"/>
      <c r="BO21" s="2007"/>
      <c r="BP21" s="2007"/>
      <c r="BQ21" s="2007"/>
      <c r="BR21" s="2007"/>
      <c r="BS21" s="2007"/>
      <c r="BT21" s="2007"/>
      <c r="BU21" s="2007"/>
      <c r="BV21" s="2007"/>
      <c r="BW21" s="2007"/>
      <c r="BX21" s="2007"/>
      <c r="BY21" s="2007"/>
      <c r="BZ21" s="2007"/>
      <c r="CA21" s="2007"/>
      <c r="CB21" s="2007"/>
      <c r="CC21" s="2007"/>
      <c r="CD21" s="2007"/>
      <c r="CE21" s="2007"/>
      <c r="CF21" s="2007"/>
      <c r="CG21" s="2007"/>
      <c r="CH21" s="2007"/>
      <c r="CI21" s="2007"/>
      <c r="CJ21" s="2007"/>
      <c r="CK21" s="2007"/>
      <c r="CL21" s="2007"/>
      <c r="CM21" s="2007"/>
      <c r="CN21" s="2007"/>
      <c r="CO21" s="2007"/>
      <c r="CP21" s="2007"/>
      <c r="CQ21" s="2007"/>
      <c r="CR21" s="2007"/>
      <c r="CS21" s="2007"/>
      <c r="CT21" s="2007"/>
      <c r="CU21" s="2007"/>
      <c r="CV21" s="2007"/>
    </row>
    <row r="22" spans="2:100" ht="32.25" customHeight="1" collapsed="1">
      <c r="B22" s="1995" t="s">
        <v>122</v>
      </c>
      <c r="C22" s="1996" t="s">
        <v>1138</v>
      </c>
      <c r="D22" s="1997" t="s">
        <v>1128</v>
      </c>
      <c r="E22" s="1992">
        <f>F22+AC22</f>
        <v>0</v>
      </c>
      <c r="F22" s="1992">
        <f t="shared" ref="F22:F35" si="17">G22+T22</f>
        <v>0</v>
      </c>
      <c r="G22" s="1992">
        <f>SUM(G23:G30)</f>
        <v>0</v>
      </c>
      <c r="H22" s="2007"/>
      <c r="I22" s="2007"/>
      <c r="J22" s="2007"/>
      <c r="K22" s="2007"/>
      <c r="L22" s="2007"/>
      <c r="M22" s="2007"/>
      <c r="N22" s="2007"/>
      <c r="O22" s="2007"/>
      <c r="P22" s="2007"/>
      <c r="Q22" s="2007"/>
      <c r="R22" s="2007"/>
      <c r="S22" s="2007"/>
      <c r="T22" s="1992">
        <f t="shared" ref="T22:Y22" si="18">SUM(T23:T30)</f>
        <v>0</v>
      </c>
      <c r="U22" s="2007">
        <f t="shared" si="18"/>
        <v>0</v>
      </c>
      <c r="V22" s="2007">
        <f t="shared" si="18"/>
        <v>0</v>
      </c>
      <c r="W22" s="2007">
        <f t="shared" si="18"/>
        <v>0</v>
      </c>
      <c r="X22" s="2007">
        <f t="shared" si="18"/>
        <v>0</v>
      </c>
      <c r="Y22" s="2007">
        <f t="shared" si="18"/>
        <v>0</v>
      </c>
      <c r="Z22" s="2007"/>
      <c r="AA22" s="2007"/>
      <c r="AB22" s="2007"/>
      <c r="AC22" s="1992">
        <f>AD22+AO22</f>
        <v>0</v>
      </c>
      <c r="AD22" s="1992">
        <f>SUM(AD23:AD30)</f>
        <v>0</v>
      </c>
      <c r="AE22" s="2007">
        <f t="shared" ref="AE22:AL22" si="19">SUM(AE23:AE30)</f>
        <v>0</v>
      </c>
      <c r="AF22" s="2007">
        <f t="shared" si="19"/>
        <v>0</v>
      </c>
      <c r="AG22" s="2007">
        <f>SUM(AG23:AG30)</f>
        <v>0</v>
      </c>
      <c r="AH22" s="2007">
        <f>SUM(AH23:AH30)</f>
        <v>0</v>
      </c>
      <c r="AI22" s="2007">
        <f t="shared" si="19"/>
        <v>0</v>
      </c>
      <c r="AJ22" s="2007">
        <f t="shared" si="19"/>
        <v>0</v>
      </c>
      <c r="AK22" s="2007">
        <f t="shared" si="19"/>
        <v>0</v>
      </c>
      <c r="AL22" s="2007">
        <f t="shared" si="19"/>
        <v>0</v>
      </c>
      <c r="AM22" s="2007"/>
      <c r="AN22" s="2007"/>
      <c r="AO22" s="1992">
        <f t="shared" ref="AO22:BJ22" si="20">SUM(AO23:AO30)</f>
        <v>0</v>
      </c>
      <c r="AP22" s="2007">
        <f t="shared" si="20"/>
        <v>0</v>
      </c>
      <c r="AQ22" s="2007">
        <f t="shared" si="20"/>
        <v>0</v>
      </c>
      <c r="AR22" s="2007">
        <f t="shared" si="20"/>
        <v>0</v>
      </c>
      <c r="AS22" s="2007">
        <f t="shared" si="20"/>
        <v>0</v>
      </c>
      <c r="AT22" s="2007">
        <f t="shared" si="20"/>
        <v>0</v>
      </c>
      <c r="AU22" s="2007">
        <f t="shared" si="20"/>
        <v>0</v>
      </c>
      <c r="AV22" s="2007">
        <f t="shared" si="20"/>
        <v>0</v>
      </c>
      <c r="AW22" s="2007">
        <f t="shared" si="20"/>
        <v>0</v>
      </c>
      <c r="AX22" s="2007">
        <f t="shared" si="20"/>
        <v>0</v>
      </c>
      <c r="AY22" s="2007">
        <f t="shared" si="20"/>
        <v>0</v>
      </c>
      <c r="AZ22" s="2007">
        <f t="shared" si="20"/>
        <v>0</v>
      </c>
      <c r="BA22" s="1992">
        <f t="shared" si="20"/>
        <v>0</v>
      </c>
      <c r="BB22" s="2007">
        <f t="shared" si="20"/>
        <v>0</v>
      </c>
      <c r="BC22" s="2007">
        <f t="shared" si="20"/>
        <v>0</v>
      </c>
      <c r="BD22" s="2007">
        <f t="shared" si="20"/>
        <v>0</v>
      </c>
      <c r="BE22" s="2007">
        <f t="shared" si="20"/>
        <v>0</v>
      </c>
      <c r="BF22" s="2007">
        <f t="shared" si="20"/>
        <v>0</v>
      </c>
      <c r="BG22" s="2007">
        <f t="shared" si="20"/>
        <v>0</v>
      </c>
      <c r="BH22" s="2007">
        <f t="shared" si="20"/>
        <v>0</v>
      </c>
      <c r="BI22" s="2007">
        <f t="shared" si="20"/>
        <v>0</v>
      </c>
      <c r="BJ22" s="2007">
        <f t="shared" si="20"/>
        <v>0</v>
      </c>
      <c r="BK22" s="2007">
        <f>SUM(BK23:BK30)</f>
        <v>0</v>
      </c>
      <c r="BL22" s="2007">
        <f>SUM(BL23:BL30)</f>
        <v>0</v>
      </c>
      <c r="BM22" s="1992"/>
      <c r="BN22" s="1992">
        <f t="shared" ref="BN22:BV22" si="21">SUM(BN23:BN30)</f>
        <v>0</v>
      </c>
      <c r="BO22" s="2007">
        <f t="shared" si="21"/>
        <v>0</v>
      </c>
      <c r="BP22" s="2007">
        <f t="shared" si="21"/>
        <v>0</v>
      </c>
      <c r="BQ22" s="2007">
        <f t="shared" si="21"/>
        <v>0</v>
      </c>
      <c r="BR22" s="2007">
        <f t="shared" si="21"/>
        <v>0</v>
      </c>
      <c r="BS22" s="2007">
        <f t="shared" si="21"/>
        <v>0</v>
      </c>
      <c r="BT22" s="2007">
        <f t="shared" si="21"/>
        <v>0</v>
      </c>
      <c r="BU22" s="2007">
        <f t="shared" si="21"/>
        <v>0</v>
      </c>
      <c r="BV22" s="2007">
        <f t="shared" si="21"/>
        <v>0</v>
      </c>
      <c r="BW22" s="2007"/>
      <c r="BX22" s="2007"/>
      <c r="BY22" s="1992">
        <f t="shared" ref="BY22:CV22" si="22">SUM(BY23:BY30)</f>
        <v>0</v>
      </c>
      <c r="BZ22" s="2007">
        <f t="shared" si="22"/>
        <v>0</v>
      </c>
      <c r="CA22" s="2007">
        <f t="shared" si="22"/>
        <v>0</v>
      </c>
      <c r="CB22" s="2007">
        <f t="shared" si="22"/>
        <v>0</v>
      </c>
      <c r="CC22" s="2007">
        <f t="shared" si="22"/>
        <v>0</v>
      </c>
      <c r="CD22" s="2007">
        <f t="shared" si="22"/>
        <v>0</v>
      </c>
      <c r="CE22" s="2007">
        <f t="shared" si="22"/>
        <v>0</v>
      </c>
      <c r="CF22" s="2007">
        <f t="shared" si="22"/>
        <v>0</v>
      </c>
      <c r="CG22" s="2007">
        <f t="shared" si="22"/>
        <v>0</v>
      </c>
      <c r="CH22" s="2007">
        <f t="shared" si="22"/>
        <v>0</v>
      </c>
      <c r="CI22" s="2007">
        <f t="shared" si="22"/>
        <v>0</v>
      </c>
      <c r="CJ22" s="2007">
        <f t="shared" si="22"/>
        <v>0</v>
      </c>
      <c r="CK22" s="1992">
        <f t="shared" si="22"/>
        <v>0</v>
      </c>
      <c r="CL22" s="2007">
        <f t="shared" si="22"/>
        <v>0</v>
      </c>
      <c r="CM22" s="2007">
        <f t="shared" si="22"/>
        <v>0</v>
      </c>
      <c r="CN22" s="2007">
        <f t="shared" si="22"/>
        <v>0</v>
      </c>
      <c r="CO22" s="2007">
        <f t="shared" si="22"/>
        <v>0</v>
      </c>
      <c r="CP22" s="2007">
        <f t="shared" si="22"/>
        <v>0</v>
      </c>
      <c r="CQ22" s="2007">
        <f t="shared" si="22"/>
        <v>0</v>
      </c>
      <c r="CR22" s="2007">
        <f t="shared" si="22"/>
        <v>0</v>
      </c>
      <c r="CS22" s="2007">
        <f t="shared" si="22"/>
        <v>0</v>
      </c>
      <c r="CT22" s="2007">
        <f t="shared" si="22"/>
        <v>0</v>
      </c>
      <c r="CU22" s="2007">
        <f t="shared" si="22"/>
        <v>0</v>
      </c>
      <c r="CV22" s="2007">
        <f t="shared" si="22"/>
        <v>0</v>
      </c>
    </row>
    <row r="23" spans="2:100" ht="26.25" customHeight="1">
      <c r="B23" s="1995" t="s">
        <v>1139</v>
      </c>
      <c r="C23" s="2008" t="s">
        <v>1140</v>
      </c>
      <c r="D23" s="1997" t="s">
        <v>1128</v>
      </c>
      <c r="E23" s="2009">
        <f t="shared" ref="E23:E30" si="23">SUM(F23,AC23)</f>
        <v>0</v>
      </c>
      <c r="F23" s="1992">
        <f t="shared" si="17"/>
        <v>0</v>
      </c>
      <c r="G23" s="1992">
        <f>SUM(M23:P23)</f>
        <v>0</v>
      </c>
      <c r="H23" s="2007"/>
      <c r="I23" s="2007"/>
      <c r="J23" s="2007"/>
      <c r="K23" s="2007"/>
      <c r="L23" s="2007"/>
      <c r="M23" s="2007"/>
      <c r="N23" s="2007"/>
      <c r="O23" s="2007"/>
      <c r="P23" s="2007"/>
      <c r="Q23" s="2007"/>
      <c r="R23" s="2007"/>
      <c r="S23" s="2007"/>
      <c r="T23" s="1992">
        <f>SUM(Z23:AB23)</f>
        <v>0</v>
      </c>
      <c r="U23" s="2007">
        <f t="shared" ref="U23:Z23" si="24">U20*0.2%</f>
        <v>0</v>
      </c>
      <c r="V23" s="2007">
        <f t="shared" si="24"/>
        <v>0</v>
      </c>
      <c r="W23" s="2007">
        <f t="shared" si="24"/>
        <v>0</v>
      </c>
      <c r="X23" s="2007">
        <f t="shared" si="24"/>
        <v>0</v>
      </c>
      <c r="Y23" s="2007">
        <f t="shared" si="24"/>
        <v>0</v>
      </c>
      <c r="Z23" s="2007">
        <f t="shared" si="24"/>
        <v>0</v>
      </c>
      <c r="AA23" s="2007"/>
      <c r="AB23" s="2007"/>
      <c r="AC23" s="1992">
        <f>AD23+AO23</f>
        <v>0</v>
      </c>
      <c r="AD23" s="1992">
        <f>SUM(AJ23:AM23)</f>
        <v>0</v>
      </c>
      <c r="AE23" s="2007"/>
      <c r="AF23" s="2007">
        <f t="shared" ref="AF23:AK23" si="25">AF20*0.2%</f>
        <v>0</v>
      </c>
      <c r="AG23" s="2007">
        <f t="shared" si="25"/>
        <v>0</v>
      </c>
      <c r="AH23" s="2007">
        <f t="shared" si="25"/>
        <v>0</v>
      </c>
      <c r="AI23" s="2007">
        <f t="shared" si="25"/>
        <v>0</v>
      </c>
      <c r="AJ23" s="2007">
        <f t="shared" si="25"/>
        <v>0</v>
      </c>
      <c r="AK23" s="2007">
        <f t="shared" si="25"/>
        <v>0</v>
      </c>
      <c r="AL23" s="2007"/>
      <c r="AM23" s="2007"/>
      <c r="AN23" s="2007"/>
      <c r="AO23" s="2007">
        <f>SUM(AU23:AX23)</f>
        <v>0</v>
      </c>
      <c r="AP23" s="2007">
        <f t="shared" ref="AP23:AU23" si="26">AP20*0.2%</f>
        <v>0</v>
      </c>
      <c r="AQ23" s="2007">
        <f t="shared" si="26"/>
        <v>0</v>
      </c>
      <c r="AR23" s="2007">
        <f t="shared" si="26"/>
        <v>0</v>
      </c>
      <c r="AS23" s="2007">
        <f t="shared" si="26"/>
        <v>0</v>
      </c>
      <c r="AT23" s="2007">
        <f t="shared" si="26"/>
        <v>0</v>
      </c>
      <c r="AU23" s="2007">
        <f t="shared" si="26"/>
        <v>0</v>
      </c>
      <c r="AV23" s="2007">
        <f>AV20*0.2%</f>
        <v>0</v>
      </c>
      <c r="AW23" s="2007"/>
      <c r="AX23" s="2007"/>
      <c r="AY23" s="2007"/>
      <c r="AZ23" s="2007"/>
      <c r="BA23" s="2007">
        <f>SUM(BG23:BJ23)</f>
        <v>0</v>
      </c>
      <c r="BB23" s="2007">
        <f t="shared" ref="BB23:BG23" si="27">BB20*0.2%</f>
        <v>0</v>
      </c>
      <c r="BC23" s="2007">
        <f t="shared" si="27"/>
        <v>0</v>
      </c>
      <c r="BD23" s="2007">
        <f t="shared" si="27"/>
        <v>0</v>
      </c>
      <c r="BE23" s="2007">
        <f t="shared" si="27"/>
        <v>0</v>
      </c>
      <c r="BF23" s="2007">
        <f t="shared" si="27"/>
        <v>0</v>
      </c>
      <c r="BG23" s="2007">
        <f t="shared" si="27"/>
        <v>0</v>
      </c>
      <c r="BH23" s="2007">
        <f>BH20*0.2%</f>
        <v>0</v>
      </c>
      <c r="BI23" s="2007"/>
      <c r="BJ23" s="2007"/>
      <c r="BK23" s="2007"/>
      <c r="BL23" s="2007"/>
      <c r="BM23" s="1992"/>
      <c r="BN23" s="1992">
        <f>SUM(BT23:BW23)</f>
        <v>0</v>
      </c>
      <c r="BO23" s="2007"/>
      <c r="BP23" s="2007">
        <f t="shared" ref="BP23:BU23" si="28">BP20*0.2%</f>
        <v>0</v>
      </c>
      <c r="BQ23" s="2007">
        <f t="shared" si="28"/>
        <v>0</v>
      </c>
      <c r="BR23" s="2007">
        <f t="shared" si="28"/>
        <v>0</v>
      </c>
      <c r="BS23" s="2007">
        <f t="shared" si="28"/>
        <v>0</v>
      </c>
      <c r="BT23" s="2007">
        <f t="shared" si="28"/>
        <v>0</v>
      </c>
      <c r="BU23" s="2007">
        <f t="shared" si="28"/>
        <v>0</v>
      </c>
      <c r="BV23" s="2007"/>
      <c r="BW23" s="2007"/>
      <c r="BX23" s="2007"/>
      <c r="BY23" s="2007">
        <f>SUM(CE23:CH23)</f>
        <v>0</v>
      </c>
      <c r="BZ23" s="2007">
        <f t="shared" ref="BZ23:CE23" si="29">BZ20*0.2%</f>
        <v>0</v>
      </c>
      <c r="CA23" s="2007">
        <f t="shared" si="29"/>
        <v>0</v>
      </c>
      <c r="CB23" s="2007">
        <f t="shared" si="29"/>
        <v>0</v>
      </c>
      <c r="CC23" s="2007">
        <f t="shared" si="29"/>
        <v>0</v>
      </c>
      <c r="CD23" s="2007">
        <f t="shared" si="29"/>
        <v>0</v>
      </c>
      <c r="CE23" s="2007">
        <f t="shared" si="29"/>
        <v>0</v>
      </c>
      <c r="CF23" s="2007">
        <f>CF20*0.2%</f>
        <v>0</v>
      </c>
      <c r="CG23" s="2007"/>
      <c r="CH23" s="2007"/>
      <c r="CI23" s="2007"/>
      <c r="CJ23" s="2007"/>
      <c r="CK23" s="2007">
        <f>SUM(CQ23:CT23)</f>
        <v>0</v>
      </c>
      <c r="CL23" s="2007">
        <f t="shared" ref="CL23:CQ23" si="30">CL20*0.2%</f>
        <v>0</v>
      </c>
      <c r="CM23" s="2007">
        <f t="shared" si="30"/>
        <v>0</v>
      </c>
      <c r="CN23" s="2007">
        <f t="shared" si="30"/>
        <v>0</v>
      </c>
      <c r="CO23" s="2007">
        <f t="shared" si="30"/>
        <v>0</v>
      </c>
      <c r="CP23" s="2007">
        <f t="shared" si="30"/>
        <v>0</v>
      </c>
      <c r="CQ23" s="2007">
        <f t="shared" si="30"/>
        <v>0</v>
      </c>
      <c r="CR23" s="2007">
        <f>CR20*0.2%</f>
        <v>0</v>
      </c>
      <c r="CS23" s="2007"/>
      <c r="CT23" s="2007"/>
      <c r="CU23" s="2007"/>
      <c r="CV23" s="2007"/>
    </row>
    <row r="24" spans="2:100" ht="46.5" customHeight="1">
      <c r="B24" s="1995" t="s">
        <v>1141</v>
      </c>
      <c r="C24" s="2008" t="s">
        <v>1142</v>
      </c>
      <c r="D24" s="1997" t="s">
        <v>1128</v>
      </c>
      <c r="E24" s="2009">
        <f t="shared" si="23"/>
        <v>0</v>
      </c>
      <c r="F24" s="1992">
        <f t="shared" si="17"/>
        <v>0</v>
      </c>
      <c r="G24" s="1992">
        <f>SUM(M24:P24)</f>
        <v>0</v>
      </c>
      <c r="H24" s="2007"/>
      <c r="I24" s="2007"/>
      <c r="J24" s="2007"/>
      <c r="K24" s="2007"/>
      <c r="L24" s="2007"/>
      <c r="M24" s="2007"/>
      <c r="N24" s="2007"/>
      <c r="O24" s="2007"/>
      <c r="P24" s="2007"/>
      <c r="Q24" s="2007"/>
      <c r="R24" s="2007"/>
      <c r="S24" s="2007"/>
      <c r="T24" s="1992">
        <f>SUM(Z24:AB24)</f>
        <v>0</v>
      </c>
      <c r="U24" s="2007">
        <f t="shared" ref="U24:Z24" si="31">U41*2.3%</f>
        <v>0</v>
      </c>
      <c r="V24" s="2007">
        <f t="shared" si="31"/>
        <v>0</v>
      </c>
      <c r="W24" s="2007">
        <f t="shared" si="31"/>
        <v>0</v>
      </c>
      <c r="X24" s="2007">
        <f t="shared" si="31"/>
        <v>0</v>
      </c>
      <c r="Y24" s="2007">
        <f t="shared" si="31"/>
        <v>0</v>
      </c>
      <c r="Z24" s="2007">
        <f t="shared" si="31"/>
        <v>0</v>
      </c>
      <c r="AA24" s="2007"/>
      <c r="AB24" s="2007"/>
      <c r="AC24" s="1992"/>
      <c r="AD24" s="1992">
        <f>SUM(AJ24:AM24)</f>
        <v>0</v>
      </c>
      <c r="AE24" s="2007"/>
      <c r="AF24" s="2007">
        <f t="shared" ref="AF24:AL24" si="32">AF41*2.5%</f>
        <v>0</v>
      </c>
      <c r="AG24" s="2007">
        <f t="shared" si="32"/>
        <v>0</v>
      </c>
      <c r="AH24" s="2007">
        <f t="shared" si="32"/>
        <v>0</v>
      </c>
      <c r="AI24" s="2007">
        <f t="shared" si="32"/>
        <v>0</v>
      </c>
      <c r="AJ24" s="2007">
        <f t="shared" si="32"/>
        <v>0</v>
      </c>
      <c r="AK24" s="2007">
        <f t="shared" si="32"/>
        <v>0</v>
      </c>
      <c r="AL24" s="2007">
        <f t="shared" si="32"/>
        <v>0</v>
      </c>
      <c r="AM24" s="2007"/>
      <c r="AN24" s="2007"/>
      <c r="AO24" s="2007">
        <f>SUM(AU24:AX24)</f>
        <v>0</v>
      </c>
      <c r="AP24" s="2007">
        <f t="shared" ref="AP24:AV24" si="33">AP41*2.5%</f>
        <v>0</v>
      </c>
      <c r="AQ24" s="2007">
        <f t="shared" si="33"/>
        <v>0</v>
      </c>
      <c r="AR24" s="2007">
        <f t="shared" si="33"/>
        <v>0</v>
      </c>
      <c r="AS24" s="2007">
        <f t="shared" si="33"/>
        <v>0</v>
      </c>
      <c r="AT24" s="2007">
        <f t="shared" si="33"/>
        <v>0</v>
      </c>
      <c r="AU24" s="2007">
        <f t="shared" si="33"/>
        <v>0</v>
      </c>
      <c r="AV24" s="2007">
        <f t="shared" si="33"/>
        <v>0</v>
      </c>
      <c r="AW24" s="2007">
        <f>AW41*2.3%</f>
        <v>0</v>
      </c>
      <c r="AX24" s="2007"/>
      <c r="AY24" s="2007"/>
      <c r="AZ24" s="2007"/>
      <c r="BA24" s="2007">
        <f>SUM(BG24:BJ24)</f>
        <v>0</v>
      </c>
      <c r="BB24" s="2007">
        <f t="shared" ref="BB24:BH24" si="34">BB41*2.5%</f>
        <v>0</v>
      </c>
      <c r="BC24" s="2007">
        <f t="shared" si="34"/>
        <v>0</v>
      </c>
      <c r="BD24" s="2007">
        <f t="shared" si="34"/>
        <v>0</v>
      </c>
      <c r="BE24" s="2007">
        <f t="shared" si="34"/>
        <v>0</v>
      </c>
      <c r="BF24" s="2007">
        <f t="shared" si="34"/>
        <v>0</v>
      </c>
      <c r="BG24" s="2007">
        <f t="shared" si="34"/>
        <v>0</v>
      </c>
      <c r="BH24" s="2007">
        <f t="shared" si="34"/>
        <v>0</v>
      </c>
      <c r="BI24" s="2007">
        <f>BI41*2.3%</f>
        <v>0</v>
      </c>
      <c r="BJ24" s="2007"/>
      <c r="BK24" s="2007"/>
      <c r="BL24" s="2007"/>
      <c r="BM24" s="1992"/>
      <c r="BN24" s="1992">
        <f>SUM(BT24:BW24)</f>
        <v>0</v>
      </c>
      <c r="BO24" s="2007"/>
      <c r="BP24" s="2007">
        <f t="shared" ref="BP24:BV24" si="35">BP41*2.5%</f>
        <v>0</v>
      </c>
      <c r="BQ24" s="2007">
        <f t="shared" si="35"/>
        <v>0</v>
      </c>
      <c r="BR24" s="2007">
        <f t="shared" si="35"/>
        <v>0</v>
      </c>
      <c r="BS24" s="2007">
        <f t="shared" si="35"/>
        <v>0</v>
      </c>
      <c r="BT24" s="2007">
        <f t="shared" si="35"/>
        <v>0</v>
      </c>
      <c r="BU24" s="2007">
        <f t="shared" si="35"/>
        <v>0</v>
      </c>
      <c r="BV24" s="2007">
        <f t="shared" si="35"/>
        <v>0</v>
      </c>
      <c r="BW24" s="2007"/>
      <c r="BX24" s="2007"/>
      <c r="BY24" s="2007">
        <f>SUM(CE24:CH24)</f>
        <v>0</v>
      </c>
      <c r="BZ24" s="2007">
        <f t="shared" ref="BZ24:CF24" si="36">BZ41*2.5%</f>
        <v>0</v>
      </c>
      <c r="CA24" s="2007">
        <f t="shared" si="36"/>
        <v>0</v>
      </c>
      <c r="CB24" s="2007">
        <f t="shared" si="36"/>
        <v>0</v>
      </c>
      <c r="CC24" s="2007">
        <f t="shared" si="36"/>
        <v>0</v>
      </c>
      <c r="CD24" s="2007">
        <f t="shared" si="36"/>
        <v>0</v>
      </c>
      <c r="CE24" s="2007">
        <f t="shared" si="36"/>
        <v>0</v>
      </c>
      <c r="CF24" s="2007">
        <f t="shared" si="36"/>
        <v>0</v>
      </c>
      <c r="CG24" s="2007">
        <f>CG41*2.3%</f>
        <v>0</v>
      </c>
      <c r="CH24" s="2007"/>
      <c r="CI24" s="2007"/>
      <c r="CJ24" s="2007"/>
      <c r="CK24" s="2007">
        <f>SUM(CQ24:CT24)</f>
        <v>0</v>
      </c>
      <c r="CL24" s="2007">
        <f t="shared" ref="CL24:CR24" si="37">CL41*2.5%</f>
        <v>0</v>
      </c>
      <c r="CM24" s="2007">
        <f t="shared" si="37"/>
        <v>0</v>
      </c>
      <c r="CN24" s="2007">
        <f t="shared" si="37"/>
        <v>0</v>
      </c>
      <c r="CO24" s="2007">
        <f t="shared" si="37"/>
        <v>0</v>
      </c>
      <c r="CP24" s="2007">
        <f t="shared" si="37"/>
        <v>0</v>
      </c>
      <c r="CQ24" s="2007">
        <f t="shared" si="37"/>
        <v>0</v>
      </c>
      <c r="CR24" s="2007">
        <f t="shared" si="37"/>
        <v>0</v>
      </c>
      <c r="CS24" s="2007">
        <f>CS41*2.3%</f>
        <v>0</v>
      </c>
      <c r="CT24" s="2007"/>
      <c r="CU24" s="2007"/>
      <c r="CV24" s="2007"/>
    </row>
    <row r="25" spans="2:100" ht="27.75" customHeight="1">
      <c r="B25" s="1995" t="s">
        <v>1143</v>
      </c>
      <c r="C25" s="2008" t="s">
        <v>1144</v>
      </c>
      <c r="D25" s="1997" t="s">
        <v>1128</v>
      </c>
      <c r="E25" s="2009">
        <f t="shared" si="23"/>
        <v>0</v>
      </c>
      <c r="F25" s="1992">
        <f t="shared" si="17"/>
        <v>0</v>
      </c>
      <c r="G25" s="1992">
        <f>SUM(M25:P25)</f>
        <v>0</v>
      </c>
      <c r="H25" s="2007"/>
      <c r="I25" s="2007"/>
      <c r="J25" s="2007"/>
      <c r="K25" s="2007"/>
      <c r="L25" s="2007"/>
      <c r="M25" s="2007"/>
      <c r="N25" s="2007"/>
      <c r="O25" s="2007"/>
      <c r="P25" s="2007"/>
      <c r="Q25" s="2007"/>
      <c r="R25" s="2007"/>
      <c r="S25" s="2007"/>
      <c r="T25" s="1992">
        <f>SUM(Z25:AB25)</f>
        <v>0</v>
      </c>
      <c r="U25" s="2007">
        <f t="shared" ref="U25:Z25" si="38">U20*2.14%</f>
        <v>0</v>
      </c>
      <c r="V25" s="2007">
        <f t="shared" si="38"/>
        <v>0</v>
      </c>
      <c r="W25" s="2007">
        <f t="shared" si="38"/>
        <v>0</v>
      </c>
      <c r="X25" s="2007">
        <f t="shared" si="38"/>
        <v>0</v>
      </c>
      <c r="Y25" s="2007">
        <f t="shared" si="38"/>
        <v>0</v>
      </c>
      <c r="Z25" s="2007">
        <f t="shared" si="38"/>
        <v>0</v>
      </c>
      <c r="AA25" s="2007"/>
      <c r="AB25" s="2007"/>
      <c r="AC25" s="1992">
        <f t="shared" ref="AC25:AC35" si="39">AD25+AO25</f>
        <v>0</v>
      </c>
      <c r="AD25" s="1992">
        <f>SUM(AJ25:AM25)</f>
        <v>0</v>
      </c>
      <c r="AE25" s="2007"/>
      <c r="AF25" s="2007">
        <f t="shared" ref="AF25:AL25" si="40">AF20*2.14%</f>
        <v>0</v>
      </c>
      <c r="AG25" s="2007">
        <f t="shared" si="40"/>
        <v>0</v>
      </c>
      <c r="AH25" s="2007">
        <f t="shared" si="40"/>
        <v>0</v>
      </c>
      <c r="AI25" s="2007">
        <f t="shared" si="40"/>
        <v>0</v>
      </c>
      <c r="AJ25" s="2007">
        <f t="shared" si="40"/>
        <v>0</v>
      </c>
      <c r="AK25" s="2007">
        <f t="shared" si="40"/>
        <v>0</v>
      </c>
      <c r="AL25" s="2007">
        <f t="shared" si="40"/>
        <v>0</v>
      </c>
      <c r="AM25" s="2007"/>
      <c r="AN25" s="2007"/>
      <c r="AO25" s="2007">
        <f>SUM(AU25:AX25)</f>
        <v>0</v>
      </c>
      <c r="AP25" s="2007">
        <f t="shared" ref="AP25:AW25" si="41">AP20*2.14%</f>
        <v>0</v>
      </c>
      <c r="AQ25" s="2007">
        <f t="shared" si="41"/>
        <v>0</v>
      </c>
      <c r="AR25" s="2007">
        <f t="shared" si="41"/>
        <v>0</v>
      </c>
      <c r="AS25" s="2007">
        <f t="shared" si="41"/>
        <v>0</v>
      </c>
      <c r="AT25" s="2007">
        <f t="shared" si="41"/>
        <v>0</v>
      </c>
      <c r="AU25" s="2007">
        <f t="shared" si="41"/>
        <v>0</v>
      </c>
      <c r="AV25" s="2007">
        <f t="shared" si="41"/>
        <v>0</v>
      </c>
      <c r="AW25" s="2007">
        <f t="shared" si="41"/>
        <v>0</v>
      </c>
      <c r="AX25" s="2007"/>
      <c r="AY25" s="2007"/>
      <c r="AZ25" s="2007"/>
      <c r="BA25" s="2007">
        <f>SUM(BG25:BJ25)</f>
        <v>0</v>
      </c>
      <c r="BB25" s="2007">
        <f t="shared" ref="BB25:BI25" si="42">BB20*2.14%</f>
        <v>0</v>
      </c>
      <c r="BC25" s="2007">
        <f t="shared" si="42"/>
        <v>0</v>
      </c>
      <c r="BD25" s="2007">
        <f t="shared" si="42"/>
        <v>0</v>
      </c>
      <c r="BE25" s="2007">
        <f t="shared" si="42"/>
        <v>0</v>
      </c>
      <c r="BF25" s="2007">
        <f t="shared" si="42"/>
        <v>0</v>
      </c>
      <c r="BG25" s="2007">
        <f t="shared" si="42"/>
        <v>0</v>
      </c>
      <c r="BH25" s="2007">
        <f t="shared" si="42"/>
        <v>0</v>
      </c>
      <c r="BI25" s="2007">
        <f t="shared" si="42"/>
        <v>0</v>
      </c>
      <c r="BJ25" s="2007"/>
      <c r="BK25" s="2007"/>
      <c r="BL25" s="2007"/>
      <c r="BM25" s="1992"/>
      <c r="BN25" s="1992">
        <f>SUM(BT25:BW25)</f>
        <v>0</v>
      </c>
      <c r="BO25" s="2007"/>
      <c r="BP25" s="2007">
        <f t="shared" ref="BP25:BV25" si="43">BP20*2.14%</f>
        <v>0</v>
      </c>
      <c r="BQ25" s="2007">
        <f t="shared" si="43"/>
        <v>0</v>
      </c>
      <c r="BR25" s="2007">
        <f t="shared" si="43"/>
        <v>0</v>
      </c>
      <c r="BS25" s="2007">
        <f t="shared" si="43"/>
        <v>0</v>
      </c>
      <c r="BT25" s="2007">
        <f t="shared" si="43"/>
        <v>0</v>
      </c>
      <c r="BU25" s="2007">
        <f t="shared" si="43"/>
        <v>0</v>
      </c>
      <c r="BV25" s="2007">
        <f t="shared" si="43"/>
        <v>0</v>
      </c>
      <c r="BW25" s="2007"/>
      <c r="BX25" s="2007"/>
      <c r="BY25" s="2007">
        <f>SUM(CE25:CH25)</f>
        <v>0</v>
      </c>
      <c r="BZ25" s="2007">
        <f t="shared" ref="BZ25:CG25" si="44">BZ20*2.14%</f>
        <v>0</v>
      </c>
      <c r="CA25" s="2007">
        <f t="shared" si="44"/>
        <v>0</v>
      </c>
      <c r="CB25" s="2007">
        <f t="shared" si="44"/>
        <v>0</v>
      </c>
      <c r="CC25" s="2007">
        <f t="shared" si="44"/>
        <v>0</v>
      </c>
      <c r="CD25" s="2007">
        <f t="shared" si="44"/>
        <v>0</v>
      </c>
      <c r="CE25" s="2007">
        <f t="shared" si="44"/>
        <v>0</v>
      </c>
      <c r="CF25" s="2007">
        <f t="shared" si="44"/>
        <v>0</v>
      </c>
      <c r="CG25" s="2007">
        <f t="shared" si="44"/>
        <v>0</v>
      </c>
      <c r="CH25" s="2007"/>
      <c r="CI25" s="2007"/>
      <c r="CJ25" s="2007"/>
      <c r="CK25" s="2007">
        <f>SUM(CQ25:CT25)</f>
        <v>0</v>
      </c>
      <c r="CL25" s="2007">
        <f t="shared" ref="CL25:CS25" si="45">CL20*2.14%</f>
        <v>0</v>
      </c>
      <c r="CM25" s="2007">
        <f t="shared" si="45"/>
        <v>0</v>
      </c>
      <c r="CN25" s="2007">
        <f t="shared" si="45"/>
        <v>0</v>
      </c>
      <c r="CO25" s="2007">
        <f t="shared" si="45"/>
        <v>0</v>
      </c>
      <c r="CP25" s="2007">
        <f t="shared" si="45"/>
        <v>0</v>
      </c>
      <c r="CQ25" s="2007">
        <f t="shared" si="45"/>
        <v>0</v>
      </c>
      <c r="CR25" s="2007">
        <f t="shared" si="45"/>
        <v>0</v>
      </c>
      <c r="CS25" s="2007">
        <f t="shared" si="45"/>
        <v>0</v>
      </c>
      <c r="CT25" s="2007"/>
      <c r="CU25" s="2007"/>
      <c r="CV25" s="2007"/>
    </row>
    <row r="26" spans="2:100" ht="30" customHeight="1">
      <c r="B26" s="1995" t="s">
        <v>1145</v>
      </c>
      <c r="C26" s="2008" t="s">
        <v>1146</v>
      </c>
      <c r="D26" s="1997" t="s">
        <v>1128</v>
      </c>
      <c r="E26" s="2009">
        <f t="shared" si="23"/>
        <v>0</v>
      </c>
      <c r="F26" s="1992">
        <f t="shared" si="17"/>
        <v>0</v>
      </c>
      <c r="G26" s="1992">
        <f>SUM(M26:R35)</f>
        <v>0</v>
      </c>
      <c r="H26" s="2007"/>
      <c r="I26" s="2007"/>
      <c r="J26" s="2007"/>
      <c r="K26" s="2007"/>
      <c r="L26" s="2007"/>
      <c r="M26" s="2007"/>
      <c r="N26" s="2007"/>
      <c r="O26" s="2007"/>
      <c r="P26" s="2007"/>
      <c r="Q26" s="2007"/>
      <c r="R26" s="2007"/>
      <c r="S26" s="2007"/>
      <c r="T26" s="1992">
        <f>SUM(Z26:AB26)</f>
        <v>0</v>
      </c>
      <c r="U26" s="2007">
        <f t="shared" ref="U26:Y27" si="46">(U17+U20+U23+U24+U25)*2%</f>
        <v>0</v>
      </c>
      <c r="V26" s="2007">
        <f t="shared" si="46"/>
        <v>0</v>
      </c>
      <c r="W26" s="2007">
        <f t="shared" si="46"/>
        <v>0</v>
      </c>
      <c r="X26" s="2007">
        <f>(X17+X20+X23+X24+X25)*2%</f>
        <v>0</v>
      </c>
      <c r="Y26" s="2007">
        <f t="shared" si="46"/>
        <v>0</v>
      </c>
      <c r="Z26" s="2007"/>
      <c r="AA26" s="2007"/>
      <c r="AB26" s="2007"/>
      <c r="AC26" s="1992">
        <f>AD26+AO26</f>
        <v>0</v>
      </c>
      <c r="AD26" s="1992">
        <f>SUM(AJ26:AN26)</f>
        <v>0</v>
      </c>
      <c r="AE26" s="2007"/>
      <c r="AF26" s="2007">
        <f t="shared" ref="AF26:AL27" si="47">(AF17+AF20+AF23+AF24+AF25)*2%</f>
        <v>0</v>
      </c>
      <c r="AG26" s="2007">
        <f>(AG17+AG20+AG23+AG24+AG25)*2%</f>
        <v>0</v>
      </c>
      <c r="AH26" s="2007">
        <f t="shared" si="47"/>
        <v>0</v>
      </c>
      <c r="AI26" s="2007">
        <f t="shared" si="47"/>
        <v>0</v>
      </c>
      <c r="AJ26" s="2007">
        <f t="shared" si="47"/>
        <v>0</v>
      </c>
      <c r="AK26" s="2007">
        <f t="shared" si="47"/>
        <v>0</v>
      </c>
      <c r="AL26" s="2007">
        <f t="shared" si="47"/>
        <v>0</v>
      </c>
      <c r="AM26" s="2007"/>
      <c r="AN26" s="2007"/>
      <c r="AO26" s="2007"/>
      <c r="AP26" s="2007">
        <f t="shared" ref="AP26:AW26" si="48">(AP17+AP20+AP23+AP24+AP25)*2%</f>
        <v>0</v>
      </c>
      <c r="AQ26" s="2007">
        <f t="shared" si="48"/>
        <v>0</v>
      </c>
      <c r="AR26" s="2007">
        <f t="shared" si="48"/>
        <v>0</v>
      </c>
      <c r="AS26" s="2007">
        <f t="shared" si="48"/>
        <v>0</v>
      </c>
      <c r="AT26" s="2007">
        <f t="shared" si="48"/>
        <v>0</v>
      </c>
      <c r="AU26" s="2007">
        <f t="shared" si="48"/>
        <v>0</v>
      </c>
      <c r="AV26" s="2007">
        <f t="shared" si="48"/>
        <v>0</v>
      </c>
      <c r="AW26" s="2007">
        <f t="shared" si="48"/>
        <v>0</v>
      </c>
      <c r="AX26" s="2007"/>
      <c r="AY26" s="2007"/>
      <c r="AZ26" s="2007"/>
      <c r="BA26" s="2007"/>
      <c r="BB26" s="2007">
        <f t="shared" ref="BB26:BI26" si="49">(BB17+BB20+BB23+BB24+BB25)*2%</f>
        <v>0</v>
      </c>
      <c r="BC26" s="2007">
        <f t="shared" si="49"/>
        <v>0</v>
      </c>
      <c r="BD26" s="2007">
        <f t="shared" si="49"/>
        <v>0</v>
      </c>
      <c r="BE26" s="2007">
        <f t="shared" si="49"/>
        <v>0</v>
      </c>
      <c r="BF26" s="2007">
        <f t="shared" si="49"/>
        <v>0</v>
      </c>
      <c r="BG26" s="2007">
        <f t="shared" si="49"/>
        <v>0</v>
      </c>
      <c r="BH26" s="2007">
        <f t="shared" si="49"/>
        <v>0</v>
      </c>
      <c r="BI26" s="2007">
        <f t="shared" si="49"/>
        <v>0</v>
      </c>
      <c r="BJ26" s="2007"/>
      <c r="BK26" s="2007"/>
      <c r="BL26" s="2007"/>
      <c r="BM26" s="1992"/>
      <c r="BN26" s="1992">
        <f>SUM(BT26:BX26)</f>
        <v>0</v>
      </c>
      <c r="BO26" s="2007"/>
      <c r="BP26" s="2007">
        <f t="shared" ref="BP26:BV26" si="50">(BP17+BP20+BP23+BP24+BP25)*2%</f>
        <v>0</v>
      </c>
      <c r="BQ26" s="2007">
        <f t="shared" si="50"/>
        <v>0</v>
      </c>
      <c r="BR26" s="2007">
        <f t="shared" si="50"/>
        <v>0</v>
      </c>
      <c r="BS26" s="2007">
        <f t="shared" si="50"/>
        <v>0</v>
      </c>
      <c r="BT26" s="2007">
        <f t="shared" si="50"/>
        <v>0</v>
      </c>
      <c r="BU26" s="2007">
        <f t="shared" si="50"/>
        <v>0</v>
      </c>
      <c r="BV26" s="2007">
        <f t="shared" si="50"/>
        <v>0</v>
      </c>
      <c r="BW26" s="2007"/>
      <c r="BX26" s="2007"/>
      <c r="BY26" s="2007"/>
      <c r="BZ26" s="2007">
        <f t="shared" ref="BZ26:CG26" si="51">(BZ17+BZ20+BZ23+BZ24+BZ25)*2%</f>
        <v>0</v>
      </c>
      <c r="CA26" s="2007">
        <f t="shared" si="51"/>
        <v>0</v>
      </c>
      <c r="CB26" s="2007">
        <f t="shared" si="51"/>
        <v>0</v>
      </c>
      <c r="CC26" s="2007">
        <f t="shared" si="51"/>
        <v>0</v>
      </c>
      <c r="CD26" s="2007">
        <f t="shared" si="51"/>
        <v>0</v>
      </c>
      <c r="CE26" s="2007">
        <f t="shared" si="51"/>
        <v>0</v>
      </c>
      <c r="CF26" s="2007">
        <f t="shared" si="51"/>
        <v>0</v>
      </c>
      <c r="CG26" s="2007">
        <f t="shared" si="51"/>
        <v>0</v>
      </c>
      <c r="CH26" s="2007"/>
      <c r="CI26" s="2007"/>
      <c r="CJ26" s="2007"/>
      <c r="CK26" s="2007"/>
      <c r="CL26" s="2007">
        <f t="shared" ref="CL26:CS26" si="52">(CL17+CL20+CL23+CL24+CL25)*2%</f>
        <v>0</v>
      </c>
      <c r="CM26" s="2007">
        <f t="shared" si="52"/>
        <v>0</v>
      </c>
      <c r="CN26" s="2007">
        <f t="shared" si="52"/>
        <v>0</v>
      </c>
      <c r="CO26" s="2007">
        <f t="shared" si="52"/>
        <v>0</v>
      </c>
      <c r="CP26" s="2007">
        <f t="shared" si="52"/>
        <v>0</v>
      </c>
      <c r="CQ26" s="2007">
        <f t="shared" si="52"/>
        <v>0</v>
      </c>
      <c r="CR26" s="2007">
        <f t="shared" si="52"/>
        <v>0</v>
      </c>
      <c r="CS26" s="2007">
        <f t="shared" si="52"/>
        <v>0</v>
      </c>
      <c r="CT26" s="2007"/>
      <c r="CU26" s="2007"/>
      <c r="CV26" s="2007"/>
    </row>
    <row r="27" spans="2:100" ht="41.25" hidden="1" customHeight="1" outlineLevel="1" thickBot="1">
      <c r="B27" s="1995" t="s">
        <v>1147</v>
      </c>
      <c r="C27" s="2010" t="s">
        <v>1148</v>
      </c>
      <c r="D27" s="1997" t="s">
        <v>1128</v>
      </c>
      <c r="E27" s="2009">
        <f t="shared" si="23"/>
        <v>0</v>
      </c>
      <c r="F27" s="1992">
        <f t="shared" si="17"/>
        <v>0</v>
      </c>
      <c r="G27" s="1992">
        <f>SUM(M27:O27)</f>
        <v>0</v>
      </c>
      <c r="H27" s="2007"/>
      <c r="I27" s="2007"/>
      <c r="J27" s="2007"/>
      <c r="K27" s="2007"/>
      <c r="L27" s="2007"/>
      <c r="M27" s="2007"/>
      <c r="N27" s="2007"/>
      <c r="O27" s="2007"/>
      <c r="P27" s="2007"/>
      <c r="Q27" s="2007"/>
      <c r="R27" s="2007"/>
      <c r="S27" s="2007"/>
      <c r="T27" s="1992">
        <f>SUM(Z27:AA27)</f>
        <v>0</v>
      </c>
      <c r="U27" s="2007">
        <f t="shared" si="46"/>
        <v>0</v>
      </c>
      <c r="V27" s="2007">
        <f t="shared" si="46"/>
        <v>0</v>
      </c>
      <c r="W27" s="2007"/>
      <c r="X27" s="2007"/>
      <c r="Y27" s="2007"/>
      <c r="Z27" s="2007"/>
      <c r="AA27" s="2007"/>
      <c r="AB27" s="2007"/>
      <c r="AC27" s="1992">
        <f>AD27+AO27</f>
        <v>0</v>
      </c>
      <c r="AD27" s="1992">
        <f>SUM(AJ27:AL27)</f>
        <v>0</v>
      </c>
      <c r="AE27" s="2007"/>
      <c r="AF27" s="2007">
        <f t="shared" si="47"/>
        <v>0</v>
      </c>
      <c r="AG27" s="2007"/>
      <c r="AH27" s="2007"/>
      <c r="AI27" s="2007"/>
      <c r="AJ27" s="2007"/>
      <c r="AK27" s="2007"/>
      <c r="AL27" s="2007"/>
      <c r="AM27" s="2007"/>
      <c r="AN27" s="2007"/>
      <c r="AO27" s="2007">
        <f>SUM(AU27:AW27)</f>
        <v>0</v>
      </c>
      <c r="AP27" s="2007"/>
      <c r="AQ27" s="2007"/>
      <c r="AR27" s="2007"/>
      <c r="AS27" s="2007"/>
      <c r="AT27" s="2007"/>
      <c r="AU27" s="2007"/>
      <c r="AV27" s="2007"/>
      <c r="AW27" s="2007"/>
      <c r="AX27" s="2007"/>
      <c r="AY27" s="2007"/>
      <c r="AZ27" s="2007"/>
      <c r="BA27" s="2007">
        <f>SUM(BG27:BI27)</f>
        <v>0</v>
      </c>
      <c r="BB27" s="2007"/>
      <c r="BC27" s="2007"/>
      <c r="BD27" s="2007"/>
      <c r="BE27" s="2007"/>
      <c r="BF27" s="2007"/>
      <c r="BG27" s="2007"/>
      <c r="BH27" s="2007"/>
      <c r="BI27" s="2007"/>
      <c r="BJ27" s="2007"/>
      <c r="BK27" s="2007"/>
      <c r="BL27" s="2007"/>
      <c r="BM27" s="1992"/>
      <c r="BN27" s="1992">
        <f>SUM(BT27:BV27)</f>
        <v>0</v>
      </c>
      <c r="BO27" s="2007"/>
      <c r="BP27" s="2007">
        <f>(BP18+BP21+BP24+BP25+BP26)*2%</f>
        <v>0</v>
      </c>
      <c r="BQ27" s="2007"/>
      <c r="BR27" s="2007"/>
      <c r="BS27" s="2007"/>
      <c r="BT27" s="2007"/>
      <c r="BU27" s="2007"/>
      <c r="BV27" s="2007"/>
      <c r="BW27" s="2007"/>
      <c r="BX27" s="2007"/>
      <c r="BY27" s="2007">
        <f>SUM(CE27:CG27)</f>
        <v>0</v>
      </c>
      <c r="BZ27" s="2007"/>
      <c r="CA27" s="2007"/>
      <c r="CB27" s="2007"/>
      <c r="CC27" s="2007"/>
      <c r="CD27" s="2007"/>
      <c r="CE27" s="2007"/>
      <c r="CF27" s="2007"/>
      <c r="CG27" s="2007"/>
      <c r="CH27" s="2007"/>
      <c r="CI27" s="2007"/>
      <c r="CJ27" s="2007"/>
      <c r="CK27" s="2007">
        <f>SUM(CQ27:CS27)</f>
        <v>0</v>
      </c>
      <c r="CL27" s="2007"/>
      <c r="CM27" s="2007"/>
      <c r="CN27" s="2007"/>
      <c r="CO27" s="2007"/>
      <c r="CP27" s="2007"/>
      <c r="CQ27" s="2007"/>
      <c r="CR27" s="2007"/>
      <c r="CS27" s="2007"/>
      <c r="CT27" s="2007"/>
      <c r="CU27" s="2007"/>
      <c r="CV27" s="2007"/>
    </row>
    <row r="28" spans="2:100" ht="82.5" hidden="1" customHeight="1" outlineLevel="1" thickTop="1" thickBot="1">
      <c r="B28" s="1977" t="s">
        <v>1147</v>
      </c>
      <c r="C28" s="2010" t="s">
        <v>1149</v>
      </c>
      <c r="D28" s="2011" t="s">
        <v>1128</v>
      </c>
      <c r="E28" s="2012">
        <f t="shared" si="23"/>
        <v>0</v>
      </c>
      <c r="F28" s="2012">
        <f t="shared" si="17"/>
        <v>0</v>
      </c>
      <c r="G28" s="2001">
        <f>SUM(I28:Y28)</f>
        <v>0</v>
      </c>
      <c r="H28" s="2000"/>
      <c r="I28" s="2000"/>
      <c r="J28" s="2007"/>
      <c r="K28" s="2007"/>
      <c r="L28" s="2000"/>
      <c r="M28" s="2000"/>
      <c r="N28" s="2000"/>
      <c r="O28" s="2000"/>
      <c r="P28" s="2000"/>
      <c r="Q28" s="2000"/>
      <c r="R28" s="2000"/>
      <c r="S28" s="2000"/>
      <c r="T28" s="2001">
        <f>SUM(V28:AH28)</f>
        <v>0</v>
      </c>
      <c r="U28" s="2000"/>
      <c r="V28" s="2000"/>
      <c r="W28" s="2000"/>
      <c r="X28" s="2000"/>
      <c r="Y28" s="2000"/>
      <c r="Z28" s="2000"/>
      <c r="AA28" s="2000"/>
      <c r="AB28" s="2000"/>
      <c r="AC28" s="2009">
        <f t="shared" si="39"/>
        <v>0</v>
      </c>
      <c r="AD28" s="2003">
        <f>SUM(AF28:AI28)</f>
        <v>0</v>
      </c>
      <c r="AE28" s="2004"/>
      <c r="AF28" s="2004"/>
      <c r="AG28" s="2004"/>
      <c r="AH28" s="2004"/>
      <c r="AI28" s="2004"/>
      <c r="AJ28" s="2004"/>
      <c r="AK28" s="2004"/>
      <c r="AL28" s="2004"/>
      <c r="AM28" s="2004"/>
      <c r="AN28" s="2004"/>
      <c r="AO28" s="2004">
        <f>SUM(AQ28:AT28)</f>
        <v>0</v>
      </c>
      <c r="AP28" s="2004"/>
      <c r="AQ28" s="2004"/>
      <c r="AR28" s="2004"/>
      <c r="AS28" s="2004"/>
      <c r="AT28" s="2004"/>
      <c r="AU28" s="2004"/>
      <c r="AV28" s="2004"/>
      <c r="AW28" s="2004"/>
      <c r="AX28" s="2004"/>
      <c r="AY28" s="2004"/>
      <c r="AZ28" s="2004"/>
      <c r="BA28" s="2004">
        <f>SUM(BC28:BF28)</f>
        <v>0</v>
      </c>
      <c r="BB28" s="2004"/>
      <c r="BC28" s="2004"/>
      <c r="BD28" s="2004"/>
      <c r="BE28" s="2004"/>
      <c r="BF28" s="2004"/>
      <c r="BG28" s="2004"/>
      <c r="BH28" s="2004"/>
      <c r="BI28" s="2004"/>
      <c r="BJ28" s="2004"/>
      <c r="BK28" s="2004"/>
      <c r="BL28" s="2004"/>
      <c r="BM28" s="2009"/>
      <c r="BN28" s="2003">
        <f>SUM(BP28:BS28)</f>
        <v>0</v>
      </c>
      <c r="BO28" s="2004"/>
      <c r="BP28" s="2004"/>
      <c r="BQ28" s="2004"/>
      <c r="BR28" s="2004"/>
      <c r="BS28" s="2004"/>
      <c r="BT28" s="2004"/>
      <c r="BU28" s="2004"/>
      <c r="BV28" s="2004"/>
      <c r="BW28" s="2004"/>
      <c r="BX28" s="2004"/>
      <c r="BY28" s="2004">
        <f>SUM(CA28:CD28)</f>
        <v>0</v>
      </c>
      <c r="BZ28" s="2004"/>
      <c r="CA28" s="2004"/>
      <c r="CB28" s="2004"/>
      <c r="CC28" s="2004"/>
      <c r="CD28" s="2004"/>
      <c r="CE28" s="2004"/>
      <c r="CF28" s="2004"/>
      <c r="CG28" s="2004"/>
      <c r="CH28" s="2004"/>
      <c r="CI28" s="2004"/>
      <c r="CJ28" s="2004"/>
      <c r="CK28" s="2004">
        <f>SUM(CM28:CP28)</f>
        <v>0</v>
      </c>
      <c r="CL28" s="2004"/>
      <c r="CM28" s="2004"/>
      <c r="CN28" s="2004"/>
      <c r="CO28" s="2004"/>
      <c r="CP28" s="2004"/>
      <c r="CQ28" s="2004"/>
      <c r="CR28" s="2004"/>
      <c r="CS28" s="2004"/>
      <c r="CT28" s="2004"/>
      <c r="CU28" s="2004"/>
      <c r="CV28" s="2004"/>
    </row>
    <row r="29" spans="2:100" ht="24.75" hidden="1" customHeight="1" outlineLevel="1" thickTop="1" thickBot="1">
      <c r="B29" s="1977" t="s">
        <v>1150</v>
      </c>
      <c r="C29" s="2010" t="s">
        <v>1151</v>
      </c>
      <c r="D29" s="2011" t="s">
        <v>1128</v>
      </c>
      <c r="E29" s="2012">
        <f t="shared" si="23"/>
        <v>0</v>
      </c>
      <c r="F29" s="2012">
        <f t="shared" si="17"/>
        <v>0</v>
      </c>
      <c r="G29" s="2001">
        <f>SUM(I29:L29)</f>
        <v>0</v>
      </c>
      <c r="H29" s="2000"/>
      <c r="I29" s="2000"/>
      <c r="J29" s="2007"/>
      <c r="K29" s="2007"/>
      <c r="L29" s="2000"/>
      <c r="M29" s="2000"/>
      <c r="N29" s="2000"/>
      <c r="O29" s="2000"/>
      <c r="P29" s="2000"/>
      <c r="Q29" s="2000"/>
      <c r="R29" s="2000"/>
      <c r="S29" s="2000"/>
      <c r="T29" s="2001">
        <f>SUM(V29:Y29)</f>
        <v>0</v>
      </c>
      <c r="U29" s="2000"/>
      <c r="V29" s="2000"/>
      <c r="W29" s="2000"/>
      <c r="X29" s="2000"/>
      <c r="Y29" s="2000"/>
      <c r="Z29" s="2000"/>
      <c r="AA29" s="2000"/>
      <c r="AB29" s="2000"/>
      <c r="AC29" s="2009">
        <f t="shared" si="39"/>
        <v>0</v>
      </c>
      <c r="AD29" s="2003">
        <f>SUM(AF29:AI29)</f>
        <v>0</v>
      </c>
      <c r="AE29" s="2004"/>
      <c r="AF29" s="2004"/>
      <c r="AG29" s="2004"/>
      <c r="AH29" s="2004"/>
      <c r="AI29" s="2004"/>
      <c r="AJ29" s="2004"/>
      <c r="AK29" s="2004"/>
      <c r="AL29" s="2004"/>
      <c r="AM29" s="2004"/>
      <c r="AN29" s="2004"/>
      <c r="AO29" s="2004">
        <f>SUM(AQ29:AT29)</f>
        <v>0</v>
      </c>
      <c r="AP29" s="2004"/>
      <c r="AQ29" s="2004"/>
      <c r="AR29" s="2004"/>
      <c r="AS29" s="2004"/>
      <c r="AT29" s="2004"/>
      <c r="AU29" s="2004"/>
      <c r="AV29" s="2004"/>
      <c r="AW29" s="2004"/>
      <c r="AX29" s="2004"/>
      <c r="AY29" s="2004"/>
      <c r="AZ29" s="2004"/>
      <c r="BA29" s="2004">
        <f>SUM(BC29:BF29)</f>
        <v>0</v>
      </c>
      <c r="BB29" s="2004"/>
      <c r="BC29" s="2004"/>
      <c r="BD29" s="2004"/>
      <c r="BE29" s="2004"/>
      <c r="BF29" s="2004"/>
      <c r="BG29" s="2004"/>
      <c r="BH29" s="2004"/>
      <c r="BI29" s="2004"/>
      <c r="BJ29" s="2004"/>
      <c r="BK29" s="2004"/>
      <c r="BL29" s="2004"/>
      <c r="BM29" s="2009"/>
      <c r="BN29" s="2003">
        <f>SUM(BP29:BS29)</f>
        <v>0</v>
      </c>
      <c r="BO29" s="2004"/>
      <c r="BP29" s="2004"/>
      <c r="BQ29" s="2004"/>
      <c r="BR29" s="2004"/>
      <c r="BS29" s="2004"/>
      <c r="BT29" s="2004"/>
      <c r="BU29" s="2004"/>
      <c r="BV29" s="2004"/>
      <c r="BW29" s="2004"/>
      <c r="BX29" s="2004"/>
      <c r="BY29" s="2004">
        <f>SUM(CA29:CD29)</f>
        <v>0</v>
      </c>
      <c r="BZ29" s="2004"/>
      <c r="CA29" s="2004"/>
      <c r="CB29" s="2004"/>
      <c r="CC29" s="2004"/>
      <c r="CD29" s="2004"/>
      <c r="CE29" s="2004"/>
      <c r="CF29" s="2004"/>
      <c r="CG29" s="2004"/>
      <c r="CH29" s="2004"/>
      <c r="CI29" s="2004"/>
      <c r="CJ29" s="2004"/>
      <c r="CK29" s="2004">
        <f>SUM(CM29:CP29)</f>
        <v>0</v>
      </c>
      <c r="CL29" s="2004"/>
      <c r="CM29" s="2004"/>
      <c r="CN29" s="2004"/>
      <c r="CO29" s="2004"/>
      <c r="CP29" s="2004"/>
      <c r="CQ29" s="2004"/>
      <c r="CR29" s="2004"/>
      <c r="CS29" s="2004"/>
      <c r="CT29" s="2004"/>
      <c r="CU29" s="2004"/>
      <c r="CV29" s="2004"/>
    </row>
    <row r="30" spans="2:100" ht="42" hidden="1" customHeight="1" outlineLevel="1" thickTop="1" thickBot="1">
      <c r="B30" s="1977" t="s">
        <v>1152</v>
      </c>
      <c r="C30" s="2010" t="s">
        <v>1153</v>
      </c>
      <c r="D30" s="2011" t="s">
        <v>1128</v>
      </c>
      <c r="E30" s="2012">
        <f t="shared" si="23"/>
        <v>0</v>
      </c>
      <c r="F30" s="2012">
        <f t="shared" si="17"/>
        <v>0</v>
      </c>
      <c r="G30" s="2001">
        <f>SUM(I30:L30)</f>
        <v>0</v>
      </c>
      <c r="H30" s="2000"/>
      <c r="I30" s="2000"/>
      <c r="J30" s="2007"/>
      <c r="K30" s="2007"/>
      <c r="L30" s="2000"/>
      <c r="M30" s="2000"/>
      <c r="N30" s="2000"/>
      <c r="O30" s="2000"/>
      <c r="P30" s="2000"/>
      <c r="Q30" s="2000"/>
      <c r="R30" s="2000"/>
      <c r="S30" s="2000"/>
      <c r="T30" s="2001">
        <f>SUM(V30:Y30)</f>
        <v>0</v>
      </c>
      <c r="U30" s="2000"/>
      <c r="V30" s="2000"/>
      <c r="W30" s="2000"/>
      <c r="X30" s="2000">
        <f>X32*X33*X34*X35*X13</f>
        <v>0</v>
      </c>
      <c r="Y30" s="2000"/>
      <c r="Z30" s="2000"/>
      <c r="AA30" s="2000"/>
      <c r="AB30" s="2000"/>
      <c r="AC30" s="2009">
        <f t="shared" si="39"/>
        <v>0</v>
      </c>
      <c r="AD30" s="2003">
        <f>SUM(AF30:AI30)</f>
        <v>0</v>
      </c>
      <c r="AE30" s="2004"/>
      <c r="AF30" s="2004"/>
      <c r="AG30" s="2004"/>
      <c r="AH30" s="2004"/>
      <c r="AI30" s="2004"/>
      <c r="AJ30" s="2004"/>
      <c r="AK30" s="2004"/>
      <c r="AL30" s="2004"/>
      <c r="AM30" s="2004"/>
      <c r="AN30" s="2004"/>
      <c r="AO30" s="2004">
        <f>SUM(AQ30:AT30)</f>
        <v>0</v>
      </c>
      <c r="AP30" s="2004"/>
      <c r="AQ30" s="2004"/>
      <c r="AR30" s="2004"/>
      <c r="AS30" s="2004">
        <f>AS32*AS33*AS34*AS35*AS13</f>
        <v>0</v>
      </c>
      <c r="AT30" s="2004"/>
      <c r="AU30" s="2004"/>
      <c r="AV30" s="2004"/>
      <c r="AW30" s="2004"/>
      <c r="AX30" s="2004"/>
      <c r="AY30" s="2004"/>
      <c r="AZ30" s="2004"/>
      <c r="BA30" s="2004">
        <f>SUM(BC30:BF30)</f>
        <v>0</v>
      </c>
      <c r="BB30" s="2004"/>
      <c r="BC30" s="2004"/>
      <c r="BD30" s="2004"/>
      <c r="BE30" s="2004">
        <f>BE32*BE33*BE34*BE35*BE13</f>
        <v>0</v>
      </c>
      <c r="BF30" s="2004"/>
      <c r="BG30" s="2004"/>
      <c r="BH30" s="2004"/>
      <c r="BI30" s="2004"/>
      <c r="BJ30" s="2004"/>
      <c r="BK30" s="2004"/>
      <c r="BL30" s="2004"/>
      <c r="BM30" s="2009"/>
      <c r="BN30" s="2003">
        <f>SUM(BP30:BS30)</f>
        <v>0</v>
      </c>
      <c r="BO30" s="2004"/>
      <c r="BP30" s="2004"/>
      <c r="BQ30" s="2004"/>
      <c r="BR30" s="2004"/>
      <c r="BS30" s="2004"/>
      <c r="BT30" s="2004"/>
      <c r="BU30" s="2004"/>
      <c r="BV30" s="2004"/>
      <c r="BW30" s="2004"/>
      <c r="BX30" s="2004"/>
      <c r="BY30" s="2004">
        <f>SUM(CA30:CD30)</f>
        <v>0</v>
      </c>
      <c r="BZ30" s="2004"/>
      <c r="CA30" s="2004"/>
      <c r="CB30" s="2004"/>
      <c r="CC30" s="2004">
        <f>CC32*CC33*CC34*CC35*CC13</f>
        <v>0</v>
      </c>
      <c r="CD30" s="2004"/>
      <c r="CE30" s="2004"/>
      <c r="CF30" s="2004"/>
      <c r="CG30" s="2004"/>
      <c r="CH30" s="2004"/>
      <c r="CI30" s="2004"/>
      <c r="CJ30" s="2004"/>
      <c r="CK30" s="2004">
        <f>SUM(CM30:CP30)</f>
        <v>0</v>
      </c>
      <c r="CL30" s="2004"/>
      <c r="CM30" s="2004"/>
      <c r="CN30" s="2004"/>
      <c r="CO30" s="2004">
        <f>CO32*CO33*CO34*CO35*CO13</f>
        <v>0</v>
      </c>
      <c r="CP30" s="2004"/>
      <c r="CQ30" s="2004"/>
      <c r="CR30" s="2004"/>
      <c r="CS30" s="2004"/>
      <c r="CT30" s="2004"/>
      <c r="CU30" s="2004"/>
      <c r="CV30" s="2004"/>
    </row>
    <row r="31" spans="2:100" s="899" customFormat="1" ht="20.25" hidden="1" customHeight="1" outlineLevel="1" thickTop="1">
      <c r="B31" s="1977" t="s">
        <v>1154</v>
      </c>
      <c r="C31" s="2013" t="s">
        <v>1155</v>
      </c>
      <c r="D31" s="2014" t="s">
        <v>1156</v>
      </c>
      <c r="E31" s="2015"/>
      <c r="F31" s="2015">
        <f t="shared" si="17"/>
        <v>0</v>
      </c>
      <c r="G31" s="2015">
        <f>SUM(I31:J31)</f>
        <v>0</v>
      </c>
      <c r="H31" s="2016"/>
      <c r="I31" s="2016"/>
      <c r="J31" s="2007"/>
      <c r="K31" s="2007"/>
      <c r="L31" s="2017"/>
      <c r="M31" s="2017"/>
      <c r="N31" s="2017"/>
      <c r="O31" s="2017"/>
      <c r="P31" s="2017"/>
      <c r="Q31" s="2017"/>
      <c r="R31" s="2017"/>
      <c r="S31" s="2017"/>
      <c r="T31" s="2018">
        <f>SUM(V31:W31)</f>
        <v>0</v>
      </c>
      <c r="U31" s="2017"/>
      <c r="V31" s="2017"/>
      <c r="W31" s="2017"/>
      <c r="X31" s="2017">
        <f>42233/11811.5</f>
        <v>3.5755831181475681</v>
      </c>
      <c r="Y31" s="2017"/>
      <c r="Z31" s="2017"/>
      <c r="AA31" s="2017"/>
      <c r="AB31" s="2017"/>
      <c r="AC31" s="2018">
        <f t="shared" si="39"/>
        <v>0</v>
      </c>
      <c r="AD31" s="2018">
        <f>SUM(AF31:AG31)</f>
        <v>0</v>
      </c>
      <c r="AE31" s="2017"/>
      <c r="AF31" s="2017"/>
      <c r="AG31" s="2017"/>
      <c r="AH31" s="2017">
        <f>59170/15166.2</f>
        <v>3.9014387255871608</v>
      </c>
      <c r="AI31" s="2017"/>
      <c r="AJ31" s="2017"/>
      <c r="AK31" s="2017"/>
      <c r="AL31" s="2017"/>
      <c r="AM31" s="2017"/>
      <c r="AN31" s="2017"/>
      <c r="AO31" s="2017">
        <f>SUM(AQ31:AR31)</f>
        <v>0</v>
      </c>
      <c r="AP31" s="2017"/>
      <c r="AQ31" s="2017"/>
      <c r="AR31" s="2017"/>
      <c r="AS31" s="2017">
        <f>59170/15166.2</f>
        <v>3.9014387255871608</v>
      </c>
      <c r="AT31" s="2017"/>
      <c r="AU31" s="2017"/>
      <c r="AV31" s="2017"/>
      <c r="AW31" s="2017"/>
      <c r="AX31" s="2017"/>
      <c r="AY31" s="2017"/>
      <c r="AZ31" s="2017"/>
      <c r="BA31" s="2017">
        <f>SUM(BC31:BD31)</f>
        <v>0</v>
      </c>
      <c r="BB31" s="2017"/>
      <c r="BC31" s="2017"/>
      <c r="BD31" s="2017"/>
      <c r="BE31" s="2017">
        <f>59170/15166.2</f>
        <v>3.9014387255871608</v>
      </c>
      <c r="BF31" s="2017"/>
      <c r="BG31" s="2017"/>
      <c r="BH31" s="2017"/>
      <c r="BI31" s="2017"/>
      <c r="BJ31" s="2017"/>
      <c r="BK31" s="2017"/>
      <c r="BL31" s="2017"/>
      <c r="BM31" s="2018"/>
      <c r="BN31" s="2018">
        <f>SUM(BP31:BQ31)</f>
        <v>0</v>
      </c>
      <c r="BO31" s="2017"/>
      <c r="BP31" s="2017"/>
      <c r="BQ31" s="2017"/>
      <c r="BR31" s="2017">
        <f>59170/15166.2</f>
        <v>3.9014387255871608</v>
      </c>
      <c r="BS31" s="2017"/>
      <c r="BT31" s="2017"/>
      <c r="BU31" s="2017"/>
      <c r="BV31" s="2017"/>
      <c r="BW31" s="2017"/>
      <c r="BX31" s="2017"/>
      <c r="BY31" s="2017">
        <f>SUM(CA31:CB31)</f>
        <v>0</v>
      </c>
      <c r="BZ31" s="2017"/>
      <c r="CA31" s="2017"/>
      <c r="CB31" s="2017"/>
      <c r="CC31" s="2017">
        <f>59170/15166.2</f>
        <v>3.9014387255871608</v>
      </c>
      <c r="CD31" s="2017"/>
      <c r="CE31" s="2017"/>
      <c r="CF31" s="2017"/>
      <c r="CG31" s="2017"/>
      <c r="CH31" s="2017"/>
      <c r="CI31" s="2017"/>
      <c r="CJ31" s="2017"/>
      <c r="CK31" s="2017">
        <f>SUM(CM31:CN31)</f>
        <v>0</v>
      </c>
      <c r="CL31" s="2017"/>
      <c r="CM31" s="2017"/>
      <c r="CN31" s="2017"/>
      <c r="CO31" s="2017">
        <f>59170/15166.2</f>
        <v>3.9014387255871608</v>
      </c>
      <c r="CP31" s="2017"/>
      <c r="CQ31" s="2017"/>
      <c r="CR31" s="2017"/>
      <c r="CS31" s="2017"/>
      <c r="CT31" s="2017"/>
      <c r="CU31" s="2017"/>
      <c r="CV31" s="2017"/>
    </row>
    <row r="32" spans="2:100" s="899" customFormat="1" ht="20.25" hidden="1" customHeight="1" outlineLevel="1">
      <c r="B32" s="1977" t="s">
        <v>1157</v>
      </c>
      <c r="C32" s="2013" t="s">
        <v>1158</v>
      </c>
      <c r="D32" s="2014" t="s">
        <v>1159</v>
      </c>
      <c r="E32" s="2015"/>
      <c r="F32" s="2015">
        <f t="shared" si="17"/>
        <v>0</v>
      </c>
      <c r="G32" s="2015">
        <f>SUM(I32:J32)</f>
        <v>0</v>
      </c>
      <c r="H32" s="2016"/>
      <c r="I32" s="2016"/>
      <c r="J32" s="2007"/>
      <c r="K32" s="2007"/>
      <c r="L32" s="2017"/>
      <c r="M32" s="2017"/>
      <c r="N32" s="2017"/>
      <c r="O32" s="2017"/>
      <c r="P32" s="2017"/>
      <c r="Q32" s="2017"/>
      <c r="R32" s="2017"/>
      <c r="S32" s="2017"/>
      <c r="T32" s="2018">
        <f>SUM(V32:W32)</f>
        <v>0</v>
      </c>
      <c r="U32" s="2017"/>
      <c r="V32" s="2017"/>
      <c r="W32" s="2017"/>
      <c r="X32" s="2017">
        <f>X31*$T$59*1000</f>
        <v>0</v>
      </c>
      <c r="Y32" s="2017"/>
      <c r="Z32" s="2017"/>
      <c r="AA32" s="2017"/>
      <c r="AB32" s="2017"/>
      <c r="AC32" s="2018">
        <f t="shared" si="39"/>
        <v>0</v>
      </c>
      <c r="AD32" s="2018">
        <f>SUM(AF32:AG32)</f>
        <v>0</v>
      </c>
      <c r="AE32" s="2017"/>
      <c r="AF32" s="2017"/>
      <c r="AG32" s="2017"/>
      <c r="AH32" s="2017">
        <f>AH31*$AD$59*1000</f>
        <v>0</v>
      </c>
      <c r="AI32" s="2017"/>
      <c r="AJ32" s="2017"/>
      <c r="AK32" s="2017"/>
      <c r="AL32" s="2017"/>
      <c r="AM32" s="2017"/>
      <c r="AN32" s="2017"/>
      <c r="AO32" s="2017">
        <f>SUM(AQ32:AR32)</f>
        <v>0</v>
      </c>
      <c r="AP32" s="2017"/>
      <c r="AQ32" s="2017"/>
      <c r="AR32" s="2017"/>
      <c r="AS32" s="2017">
        <f>AS31*$AO$59*1000</f>
        <v>624.23019609394566</v>
      </c>
      <c r="AT32" s="2017"/>
      <c r="AU32" s="2017"/>
      <c r="AV32" s="2017"/>
      <c r="AW32" s="2017"/>
      <c r="AX32" s="2017"/>
      <c r="AY32" s="2017"/>
      <c r="AZ32" s="2017"/>
      <c r="BA32" s="2017">
        <f>SUM(BC32:BD32)</f>
        <v>0</v>
      </c>
      <c r="BB32" s="2017"/>
      <c r="BC32" s="2017"/>
      <c r="BD32" s="2017"/>
      <c r="BE32" s="2017">
        <f>BE31*$AO$59*1000</f>
        <v>624.23019609394566</v>
      </c>
      <c r="BF32" s="2017"/>
      <c r="BG32" s="2017"/>
      <c r="BH32" s="2017"/>
      <c r="BI32" s="2017"/>
      <c r="BJ32" s="2017"/>
      <c r="BK32" s="2017"/>
      <c r="BL32" s="2017"/>
      <c r="BM32" s="2018"/>
      <c r="BN32" s="2018">
        <f>SUM(BP32:BQ32)</f>
        <v>0</v>
      </c>
      <c r="BO32" s="2017"/>
      <c r="BP32" s="2017"/>
      <c r="BQ32" s="2017"/>
      <c r="BR32" s="2017">
        <f>BR31*$AD$59*1000</f>
        <v>0</v>
      </c>
      <c r="BS32" s="2017"/>
      <c r="BT32" s="2017"/>
      <c r="BU32" s="2017"/>
      <c r="BV32" s="2017"/>
      <c r="BW32" s="2017"/>
      <c r="BX32" s="2017"/>
      <c r="BY32" s="2017">
        <f>SUM(CA32:CB32)</f>
        <v>0</v>
      </c>
      <c r="BZ32" s="2017"/>
      <c r="CA32" s="2017"/>
      <c r="CB32" s="2017"/>
      <c r="CC32" s="2017">
        <f>CC31*$AO$59*1000</f>
        <v>624.23019609394566</v>
      </c>
      <c r="CD32" s="2017"/>
      <c r="CE32" s="2017"/>
      <c r="CF32" s="2017"/>
      <c r="CG32" s="2017"/>
      <c r="CH32" s="2017"/>
      <c r="CI32" s="2017"/>
      <c r="CJ32" s="2017"/>
      <c r="CK32" s="2017">
        <f>SUM(CM32:CN32)</f>
        <v>0</v>
      </c>
      <c r="CL32" s="2017"/>
      <c r="CM32" s="2017"/>
      <c r="CN32" s="2017"/>
      <c r="CO32" s="2017">
        <f>CO31*$AO$59*1000</f>
        <v>624.23019609394566</v>
      </c>
      <c r="CP32" s="2017"/>
      <c r="CQ32" s="2017"/>
      <c r="CR32" s="2017"/>
      <c r="CS32" s="2017"/>
      <c r="CT32" s="2017"/>
      <c r="CU32" s="2017"/>
      <c r="CV32" s="2017"/>
    </row>
    <row r="33" spans="2:100" s="899" customFormat="1" ht="20.25" hidden="1" customHeight="1" outlineLevel="1">
      <c r="B33" s="1977" t="s">
        <v>1160</v>
      </c>
      <c r="C33" s="2013" t="s">
        <v>1161</v>
      </c>
      <c r="D33" s="2014" t="s">
        <v>1162</v>
      </c>
      <c r="E33" s="2015"/>
      <c r="F33" s="2015">
        <f t="shared" si="17"/>
        <v>0</v>
      </c>
      <c r="G33" s="2015">
        <f>SUM(I33:J33)</f>
        <v>0</v>
      </c>
      <c r="H33" s="2016"/>
      <c r="I33" s="2016"/>
      <c r="J33" s="2007"/>
      <c r="K33" s="2007"/>
      <c r="L33" s="2017"/>
      <c r="M33" s="2017"/>
      <c r="N33" s="2017"/>
      <c r="O33" s="2017"/>
      <c r="P33" s="2017"/>
      <c r="Q33" s="2017"/>
      <c r="R33" s="2017"/>
      <c r="S33" s="2017"/>
      <c r="T33" s="2018">
        <f>SUM(V33:W33)</f>
        <v>0</v>
      </c>
      <c r="U33" s="2017"/>
      <c r="V33" s="2017"/>
      <c r="W33" s="2017"/>
      <c r="X33" s="2017">
        <f>654.52/1000</f>
        <v>0.65451999999999999</v>
      </c>
      <c r="Y33" s="2017"/>
      <c r="Z33" s="2017"/>
      <c r="AA33" s="2017"/>
      <c r="AB33" s="2017"/>
      <c r="AC33" s="2018">
        <f t="shared" si="39"/>
        <v>0</v>
      </c>
      <c r="AD33" s="2018">
        <f>SUM(AF33:AG33)</f>
        <v>0</v>
      </c>
      <c r="AE33" s="2017"/>
      <c r="AF33" s="2017"/>
      <c r="AG33" s="2017"/>
      <c r="AH33" s="2017">
        <f>654.52/1000</f>
        <v>0.65451999999999999</v>
      </c>
      <c r="AI33" s="2017"/>
      <c r="AJ33" s="2017"/>
      <c r="AK33" s="2017"/>
      <c r="AL33" s="2017"/>
      <c r="AM33" s="2017"/>
      <c r="AN33" s="2017"/>
      <c r="AO33" s="2017">
        <f>SUM(AQ33:AR33)</f>
        <v>0</v>
      </c>
      <c r="AP33" s="2017"/>
      <c r="AQ33" s="2017"/>
      <c r="AR33" s="2017"/>
      <c r="AS33" s="2017">
        <f>654.52/1000</f>
        <v>0.65451999999999999</v>
      </c>
      <c r="AT33" s="2017"/>
      <c r="AU33" s="2017"/>
      <c r="AV33" s="2017"/>
      <c r="AW33" s="2017"/>
      <c r="AX33" s="2017"/>
      <c r="AY33" s="2017"/>
      <c r="AZ33" s="2017"/>
      <c r="BA33" s="2017">
        <f>SUM(BC33:BD33)</f>
        <v>0</v>
      </c>
      <c r="BB33" s="2017"/>
      <c r="BC33" s="2017"/>
      <c r="BD33" s="2017"/>
      <c r="BE33" s="2017">
        <f>654.52/1000</f>
        <v>0.65451999999999999</v>
      </c>
      <c r="BF33" s="2017"/>
      <c r="BG33" s="2017"/>
      <c r="BH33" s="2017"/>
      <c r="BI33" s="2017"/>
      <c r="BJ33" s="2017"/>
      <c r="BK33" s="2017"/>
      <c r="BL33" s="2017"/>
      <c r="BM33" s="2018"/>
      <c r="BN33" s="2018">
        <f>SUM(BP33:BQ33)</f>
        <v>0</v>
      </c>
      <c r="BO33" s="2017"/>
      <c r="BP33" s="2017"/>
      <c r="BQ33" s="2017"/>
      <c r="BR33" s="2017">
        <f>654.52/1000</f>
        <v>0.65451999999999999</v>
      </c>
      <c r="BS33" s="2017"/>
      <c r="BT33" s="2017"/>
      <c r="BU33" s="2017"/>
      <c r="BV33" s="2017"/>
      <c r="BW33" s="2017"/>
      <c r="BX33" s="2017"/>
      <c r="BY33" s="2017">
        <f>SUM(CA33:CB33)</f>
        <v>0</v>
      </c>
      <c r="BZ33" s="2017"/>
      <c r="CA33" s="2017"/>
      <c r="CB33" s="2017"/>
      <c r="CC33" s="2017">
        <f>654.52/1000</f>
        <v>0.65451999999999999</v>
      </c>
      <c r="CD33" s="2017"/>
      <c r="CE33" s="2017"/>
      <c r="CF33" s="2017"/>
      <c r="CG33" s="2017"/>
      <c r="CH33" s="2017"/>
      <c r="CI33" s="2017"/>
      <c r="CJ33" s="2017"/>
      <c r="CK33" s="2017">
        <f>SUM(CM33:CN33)</f>
        <v>0</v>
      </c>
      <c r="CL33" s="2017"/>
      <c r="CM33" s="2017"/>
      <c r="CN33" s="2017"/>
      <c r="CO33" s="2017">
        <f>654.52/1000</f>
        <v>0.65451999999999999</v>
      </c>
      <c r="CP33" s="2017"/>
      <c r="CQ33" s="2017"/>
      <c r="CR33" s="2017"/>
      <c r="CS33" s="2017"/>
      <c r="CT33" s="2017"/>
      <c r="CU33" s="2017"/>
      <c r="CV33" s="2017"/>
    </row>
    <row r="34" spans="2:100" s="899" customFormat="1" ht="20.25" hidden="1" customHeight="1" outlineLevel="1">
      <c r="B34" s="1977" t="s">
        <v>1163</v>
      </c>
      <c r="C34" s="2013" t="s">
        <v>1164</v>
      </c>
      <c r="D34" s="2014" t="s">
        <v>1165</v>
      </c>
      <c r="E34" s="2018"/>
      <c r="F34" s="2018">
        <f t="shared" si="17"/>
        <v>0</v>
      </c>
      <c r="G34" s="2018">
        <f>SUM(I34:J34)</f>
        <v>0</v>
      </c>
      <c r="H34" s="2017"/>
      <c r="I34" s="2017"/>
      <c r="J34" s="2007"/>
      <c r="K34" s="2007"/>
      <c r="L34" s="2017"/>
      <c r="M34" s="2017"/>
      <c r="N34" s="2017"/>
      <c r="O34" s="2017"/>
      <c r="P34" s="2017"/>
      <c r="Q34" s="2017"/>
      <c r="R34" s="2017"/>
      <c r="S34" s="2017"/>
      <c r="T34" s="2018">
        <f>SUM(V34:W34)</f>
        <v>0</v>
      </c>
      <c r="U34" s="2017"/>
      <c r="V34" s="2017"/>
      <c r="W34" s="2017"/>
      <c r="X34" s="2017">
        <v>2.5000000000000001E-2</v>
      </c>
      <c r="Y34" s="2017"/>
      <c r="Z34" s="2017"/>
      <c r="AA34" s="2017"/>
      <c r="AB34" s="2017"/>
      <c r="AC34" s="2018">
        <f t="shared" si="39"/>
        <v>0</v>
      </c>
      <c r="AD34" s="2018">
        <f>SUM(AF34:AG34)</f>
        <v>0</v>
      </c>
      <c r="AE34" s="2017"/>
      <c r="AF34" s="2017"/>
      <c r="AG34" s="2017"/>
      <c r="AH34" s="2017">
        <v>2.5000000000000001E-2</v>
      </c>
      <c r="AI34" s="2017"/>
      <c r="AJ34" s="2017"/>
      <c r="AK34" s="2017"/>
      <c r="AL34" s="2017"/>
      <c r="AM34" s="2017"/>
      <c r="AN34" s="2017"/>
      <c r="AO34" s="2017">
        <f>SUM(AQ34:AR34)</f>
        <v>0</v>
      </c>
      <c r="AP34" s="2017"/>
      <c r="AQ34" s="2017"/>
      <c r="AR34" s="2017"/>
      <c r="AS34" s="2017">
        <v>2.5000000000000001E-2</v>
      </c>
      <c r="AT34" s="2017"/>
      <c r="AU34" s="2017"/>
      <c r="AV34" s="2017"/>
      <c r="AW34" s="2017"/>
      <c r="AX34" s="2017"/>
      <c r="AY34" s="2017"/>
      <c r="AZ34" s="2017"/>
      <c r="BA34" s="2017">
        <f>SUM(BC34:BD34)</f>
        <v>0</v>
      </c>
      <c r="BB34" s="2017"/>
      <c r="BC34" s="2017"/>
      <c r="BD34" s="2017"/>
      <c r="BE34" s="2017">
        <v>2.5000000000000001E-2</v>
      </c>
      <c r="BF34" s="2017"/>
      <c r="BG34" s="2017"/>
      <c r="BH34" s="2017"/>
      <c r="BI34" s="2017"/>
      <c r="BJ34" s="2017"/>
      <c r="BK34" s="2017"/>
      <c r="BL34" s="2017"/>
      <c r="BM34" s="2018"/>
      <c r="BN34" s="2018">
        <f>SUM(BP34:BQ34)</f>
        <v>0</v>
      </c>
      <c r="BO34" s="2017"/>
      <c r="BP34" s="2017"/>
      <c r="BQ34" s="2017"/>
      <c r="BR34" s="2017">
        <v>2.5000000000000001E-2</v>
      </c>
      <c r="BS34" s="2017"/>
      <c r="BT34" s="2017"/>
      <c r="BU34" s="2017"/>
      <c r="BV34" s="2017"/>
      <c r="BW34" s="2017"/>
      <c r="BX34" s="2017"/>
      <c r="BY34" s="2017">
        <f>SUM(CA34:CB34)</f>
        <v>0</v>
      </c>
      <c r="BZ34" s="2017"/>
      <c r="CA34" s="2017"/>
      <c r="CB34" s="2017"/>
      <c r="CC34" s="2017">
        <v>2.5000000000000001E-2</v>
      </c>
      <c r="CD34" s="2017"/>
      <c r="CE34" s="2017"/>
      <c r="CF34" s="2017"/>
      <c r="CG34" s="2017"/>
      <c r="CH34" s="2017"/>
      <c r="CI34" s="2017"/>
      <c r="CJ34" s="2017"/>
      <c r="CK34" s="2017">
        <f>SUM(CM34:CN34)</f>
        <v>0</v>
      </c>
      <c r="CL34" s="2017"/>
      <c r="CM34" s="2017"/>
      <c r="CN34" s="2017"/>
      <c r="CO34" s="2017">
        <v>2.5000000000000001E-2</v>
      </c>
      <c r="CP34" s="2017"/>
      <c r="CQ34" s="2017"/>
      <c r="CR34" s="2017"/>
      <c r="CS34" s="2017"/>
      <c r="CT34" s="2017"/>
      <c r="CU34" s="2017"/>
      <c r="CV34" s="2017"/>
    </row>
    <row r="35" spans="2:100" s="899" customFormat="1" ht="60.75" hidden="1" customHeight="1" outlineLevel="1">
      <c r="B35" s="1977" t="s">
        <v>1166</v>
      </c>
      <c r="C35" s="2013" t="s">
        <v>1167</v>
      </c>
      <c r="D35" s="2014"/>
      <c r="E35" s="2018"/>
      <c r="F35" s="2018">
        <f t="shared" si="17"/>
        <v>0</v>
      </c>
      <c r="G35" s="2018">
        <f>SUM(I35:J35)</f>
        <v>0</v>
      </c>
      <c r="H35" s="2017"/>
      <c r="I35" s="2017"/>
      <c r="J35" s="2007"/>
      <c r="K35" s="2007"/>
      <c r="L35" s="2017"/>
      <c r="M35" s="2017"/>
      <c r="N35" s="2017"/>
      <c r="O35" s="2017"/>
      <c r="P35" s="2017"/>
      <c r="Q35" s="2017"/>
      <c r="R35" s="2017"/>
      <c r="S35" s="2017"/>
      <c r="T35" s="2018">
        <f>SUM(V35:W35)</f>
        <v>0</v>
      </c>
      <c r="U35" s="2017"/>
      <c r="V35" s="2017"/>
      <c r="W35" s="2017"/>
      <c r="X35" s="2017">
        <f>1.139*1.064*1.087*1.062*1.077</f>
        <v>1.5067288922928481</v>
      </c>
      <c r="Y35" s="2017"/>
      <c r="Z35" s="2017"/>
      <c r="AA35" s="2017"/>
      <c r="AB35" s="2017"/>
      <c r="AC35" s="2018">
        <f t="shared" si="39"/>
        <v>0</v>
      </c>
      <c r="AD35" s="2018">
        <f>SUM(AF35:AG35)</f>
        <v>0</v>
      </c>
      <c r="AE35" s="2017"/>
      <c r="AF35" s="2017"/>
      <c r="AG35" s="2017"/>
      <c r="AH35" s="2017">
        <f>1.139*1.064*1.087*1.062*1.077</f>
        <v>1.5067288922928481</v>
      </c>
      <c r="AI35" s="2017"/>
      <c r="AJ35" s="2017"/>
      <c r="AK35" s="2017"/>
      <c r="AL35" s="2017"/>
      <c r="AM35" s="2017"/>
      <c r="AN35" s="2017"/>
      <c r="AO35" s="2017">
        <f>SUM(AQ35:AR35)</f>
        <v>0</v>
      </c>
      <c r="AP35" s="2017"/>
      <c r="AQ35" s="2017"/>
      <c r="AR35" s="2017"/>
      <c r="AS35" s="2017">
        <f>1.139*1.064*1.087*1.062*1.077</f>
        <v>1.5067288922928481</v>
      </c>
      <c r="AT35" s="2017"/>
      <c r="AU35" s="2017"/>
      <c r="AV35" s="2017"/>
      <c r="AW35" s="2017"/>
      <c r="AX35" s="2017"/>
      <c r="AY35" s="2017"/>
      <c r="AZ35" s="2017"/>
      <c r="BA35" s="2017">
        <f>SUM(BC35:BD35)</f>
        <v>0</v>
      </c>
      <c r="BB35" s="2017"/>
      <c r="BC35" s="2017"/>
      <c r="BD35" s="2017"/>
      <c r="BE35" s="2017">
        <f>1.139*1.064*1.087*1.062*1.077</f>
        <v>1.5067288922928481</v>
      </c>
      <c r="BF35" s="2017"/>
      <c r="BG35" s="2017"/>
      <c r="BH35" s="2017"/>
      <c r="BI35" s="2017"/>
      <c r="BJ35" s="2017"/>
      <c r="BK35" s="2017"/>
      <c r="BL35" s="2017"/>
      <c r="BM35" s="2018"/>
      <c r="BN35" s="2018">
        <f>SUM(BP35:BQ35)</f>
        <v>0</v>
      </c>
      <c r="BO35" s="2017"/>
      <c r="BP35" s="2017"/>
      <c r="BQ35" s="2017"/>
      <c r="BR35" s="2017">
        <f>1.139*1.064*1.087*1.062*1.077</f>
        <v>1.5067288922928481</v>
      </c>
      <c r="BS35" s="2017"/>
      <c r="BT35" s="2017"/>
      <c r="BU35" s="2017"/>
      <c r="BV35" s="2017"/>
      <c r="BW35" s="2017"/>
      <c r="BX35" s="2017"/>
      <c r="BY35" s="2017">
        <f>SUM(CA35:CB35)</f>
        <v>0</v>
      </c>
      <c r="BZ35" s="2017"/>
      <c r="CA35" s="2017"/>
      <c r="CB35" s="2017"/>
      <c r="CC35" s="2017">
        <f>1.139*1.064*1.087*1.062*1.077</f>
        <v>1.5067288922928481</v>
      </c>
      <c r="CD35" s="2017"/>
      <c r="CE35" s="2017"/>
      <c r="CF35" s="2017"/>
      <c r="CG35" s="2017"/>
      <c r="CH35" s="2017"/>
      <c r="CI35" s="2017"/>
      <c r="CJ35" s="2017"/>
      <c r="CK35" s="2017">
        <f>SUM(CM35:CN35)</f>
        <v>0</v>
      </c>
      <c r="CL35" s="2017"/>
      <c r="CM35" s="2017"/>
      <c r="CN35" s="2017"/>
      <c r="CO35" s="2017">
        <f>1.139*1.064*1.087*1.062*1.077</f>
        <v>1.5067288922928481</v>
      </c>
      <c r="CP35" s="2017"/>
      <c r="CQ35" s="2017"/>
      <c r="CR35" s="2017"/>
      <c r="CS35" s="2017"/>
      <c r="CT35" s="2017"/>
      <c r="CU35" s="2017"/>
      <c r="CV35" s="2017"/>
    </row>
    <row r="36" spans="2:100" ht="27.75" customHeight="1" collapsed="1">
      <c r="B36" s="1995"/>
      <c r="C36" s="2019" t="s">
        <v>1168</v>
      </c>
      <c r="D36" s="1997" t="s">
        <v>1128</v>
      </c>
      <c r="E36" s="1992"/>
      <c r="F36" s="1992"/>
      <c r="G36" s="1992">
        <f>G37+G38+G39+G41</f>
        <v>8938.5731061666647</v>
      </c>
      <c r="H36" s="1992"/>
      <c r="I36" s="1992"/>
      <c r="J36" s="1992"/>
      <c r="K36" s="1992"/>
      <c r="L36" s="1992"/>
      <c r="M36" s="1992"/>
      <c r="N36" s="1992"/>
      <c r="O36" s="1992"/>
      <c r="P36" s="1992"/>
      <c r="Q36" s="1992"/>
      <c r="R36" s="1992">
        <f>R37+R38+R39+R41</f>
        <v>1433.6123666666665</v>
      </c>
      <c r="S36" s="1992">
        <f>S37+S38+S39+S41</f>
        <v>7504.9607394999994</v>
      </c>
      <c r="T36" s="1992">
        <f>T37+T38+T39+T41</f>
        <v>11794.3647337855</v>
      </c>
      <c r="U36" s="1992">
        <f t="shared" ref="U36:Z36" si="53">U37+U38+U39+U41</f>
        <v>0</v>
      </c>
      <c r="V36" s="1992">
        <f t="shared" si="53"/>
        <v>0</v>
      </c>
      <c r="W36" s="1992">
        <f t="shared" si="53"/>
        <v>0</v>
      </c>
      <c r="X36" s="1992">
        <f t="shared" si="53"/>
        <v>0</v>
      </c>
      <c r="Y36" s="1992">
        <f t="shared" si="53"/>
        <v>0</v>
      </c>
      <c r="Z36" s="1992">
        <f t="shared" si="53"/>
        <v>0</v>
      </c>
      <c r="AA36" s="1992">
        <f>AA37+AA38+AA39+AA41</f>
        <v>1891.6382892999998</v>
      </c>
      <c r="AB36" s="1992">
        <f>AB37+AB38+AB39+AB41</f>
        <v>9902.7264444855009</v>
      </c>
      <c r="AC36" s="1992"/>
      <c r="AD36" s="1992">
        <f>AD37+AD38+AD39+AD41</f>
        <v>0</v>
      </c>
      <c r="AE36" s="1992">
        <f t="shared" ref="AE36:AL36" si="54">AE37+AE38+AE39+AE41</f>
        <v>0</v>
      </c>
      <c r="AF36" s="1992">
        <f t="shared" si="54"/>
        <v>0</v>
      </c>
      <c r="AG36" s="1992">
        <f>AG37+AG38+AG39+AG41</f>
        <v>0</v>
      </c>
      <c r="AH36" s="1992">
        <f t="shared" si="54"/>
        <v>0</v>
      </c>
      <c r="AI36" s="1992">
        <f t="shared" si="54"/>
        <v>0</v>
      </c>
      <c r="AJ36" s="1992">
        <f t="shared" si="54"/>
        <v>0</v>
      </c>
      <c r="AK36" s="1992">
        <f t="shared" si="54"/>
        <v>0</v>
      </c>
      <c r="AL36" s="1992">
        <f t="shared" si="54"/>
        <v>0</v>
      </c>
      <c r="AM36" s="1992"/>
      <c r="AN36" s="1992"/>
      <c r="AO36" s="1992">
        <f>AO37+AO38+AO39+AO41</f>
        <v>2005.008683775</v>
      </c>
      <c r="AP36" s="1992">
        <f t="shared" ref="AP36:AX36" si="55">AP37+AP38+AP39+AP41</f>
        <v>0</v>
      </c>
      <c r="AQ36" s="1992">
        <f t="shared" si="55"/>
        <v>0</v>
      </c>
      <c r="AR36" s="1992">
        <f t="shared" si="55"/>
        <v>0</v>
      </c>
      <c r="AS36" s="1992">
        <f t="shared" si="55"/>
        <v>0</v>
      </c>
      <c r="AT36" s="1992">
        <f t="shared" si="55"/>
        <v>0</v>
      </c>
      <c r="AU36" s="1992">
        <f t="shared" si="55"/>
        <v>0</v>
      </c>
      <c r="AV36" s="1992">
        <f t="shared" si="55"/>
        <v>0</v>
      </c>
      <c r="AW36" s="1992">
        <f t="shared" si="55"/>
        <v>0</v>
      </c>
      <c r="AX36" s="1992">
        <f t="shared" si="55"/>
        <v>0</v>
      </c>
      <c r="AY36" s="1992">
        <f>AY37+AY38+AY39+AY41</f>
        <v>321.57316500000002</v>
      </c>
      <c r="AZ36" s="1992">
        <f>AZ37+AZ38+AZ39+AZ41</f>
        <v>1683.435518775</v>
      </c>
      <c r="BA36" s="1992">
        <f>BA37+BA38+BA39+BA41</f>
        <v>0</v>
      </c>
      <c r="BB36" s="1992">
        <f t="shared" ref="BB36:BL36" si="56">BB37+BB38+BB39+BB41</f>
        <v>0</v>
      </c>
      <c r="BC36" s="1992">
        <f t="shared" si="56"/>
        <v>0</v>
      </c>
      <c r="BD36" s="1992">
        <f t="shared" si="56"/>
        <v>0</v>
      </c>
      <c r="BE36" s="1992">
        <f t="shared" si="56"/>
        <v>0</v>
      </c>
      <c r="BF36" s="1992">
        <f t="shared" si="56"/>
        <v>0</v>
      </c>
      <c r="BG36" s="1992">
        <f t="shared" si="56"/>
        <v>0</v>
      </c>
      <c r="BH36" s="1992">
        <f t="shared" si="56"/>
        <v>0</v>
      </c>
      <c r="BI36" s="1992">
        <f t="shared" si="56"/>
        <v>0</v>
      </c>
      <c r="BJ36" s="1992">
        <f t="shared" si="56"/>
        <v>0</v>
      </c>
      <c r="BK36" s="1992">
        <f t="shared" si="56"/>
        <v>0</v>
      </c>
      <c r="BL36" s="1992">
        <f t="shared" si="56"/>
        <v>0</v>
      </c>
      <c r="BM36" s="1992"/>
      <c r="BN36" s="1992">
        <f t="shared" ref="BN36:BV36" si="57">BN37+BN38+BN39+BN41</f>
        <v>0</v>
      </c>
      <c r="BO36" s="1992">
        <f t="shared" si="57"/>
        <v>0</v>
      </c>
      <c r="BP36" s="1992">
        <f t="shared" si="57"/>
        <v>0</v>
      </c>
      <c r="BQ36" s="1992">
        <f t="shared" si="57"/>
        <v>0</v>
      </c>
      <c r="BR36" s="1992">
        <f t="shared" si="57"/>
        <v>0</v>
      </c>
      <c r="BS36" s="1992">
        <f t="shared" si="57"/>
        <v>0</v>
      </c>
      <c r="BT36" s="1992">
        <f t="shared" si="57"/>
        <v>0</v>
      </c>
      <c r="BU36" s="1992">
        <f t="shared" si="57"/>
        <v>0</v>
      </c>
      <c r="BV36" s="1992">
        <f t="shared" si="57"/>
        <v>0</v>
      </c>
      <c r="BW36" s="1992"/>
      <c r="BX36" s="1992"/>
      <c r="BY36" s="1992">
        <f>BY37+BY38+BY39+BY41</f>
        <v>79.709175249999987</v>
      </c>
      <c r="BZ36" s="1992">
        <f t="shared" ref="BZ36:CJ36" si="58">BZ37+BZ38+BZ39+BZ41</f>
        <v>0</v>
      </c>
      <c r="CA36" s="1992">
        <f t="shared" si="58"/>
        <v>0</v>
      </c>
      <c r="CB36" s="1992">
        <f t="shared" si="58"/>
        <v>0</v>
      </c>
      <c r="CC36" s="1992">
        <f t="shared" si="58"/>
        <v>0</v>
      </c>
      <c r="CD36" s="1992">
        <f t="shared" si="58"/>
        <v>0</v>
      </c>
      <c r="CE36" s="1992">
        <f t="shared" si="58"/>
        <v>0</v>
      </c>
      <c r="CF36" s="1992">
        <f t="shared" si="58"/>
        <v>0</v>
      </c>
      <c r="CG36" s="1992">
        <f t="shared" si="58"/>
        <v>0</v>
      </c>
      <c r="CH36" s="1992">
        <f t="shared" si="58"/>
        <v>0</v>
      </c>
      <c r="CI36" s="1992">
        <f t="shared" si="58"/>
        <v>12.78415</v>
      </c>
      <c r="CJ36" s="1992">
        <f t="shared" si="58"/>
        <v>66.92502524999999</v>
      </c>
      <c r="CK36" s="1992">
        <f>CK37+CK38+CK39+CK41</f>
        <v>610.88428250777815</v>
      </c>
      <c r="CL36" s="1992">
        <f t="shared" ref="CL36:CV36" si="59">CL37+CL38+CL39+CL41</f>
        <v>0</v>
      </c>
      <c r="CM36" s="1992">
        <f t="shared" si="59"/>
        <v>0</v>
      </c>
      <c r="CN36" s="1992">
        <f t="shared" si="59"/>
        <v>0</v>
      </c>
      <c r="CO36" s="1992">
        <f t="shared" si="59"/>
        <v>0</v>
      </c>
      <c r="CP36" s="1992">
        <f t="shared" si="59"/>
        <v>0</v>
      </c>
      <c r="CQ36" s="1992">
        <f t="shared" si="59"/>
        <v>0</v>
      </c>
      <c r="CR36" s="1992">
        <f t="shared" si="59"/>
        <v>0</v>
      </c>
      <c r="CS36" s="1992">
        <f t="shared" si="59"/>
        <v>0</v>
      </c>
      <c r="CT36" s="1992">
        <f t="shared" si="59"/>
        <v>0</v>
      </c>
      <c r="CU36" s="1992">
        <f t="shared" si="59"/>
        <v>440.89483100000001</v>
      </c>
      <c r="CV36" s="1992">
        <f t="shared" si="59"/>
        <v>2308.0844402849998</v>
      </c>
    </row>
    <row r="37" spans="2:100" ht="30.75" customHeight="1">
      <c r="B37" s="1995"/>
      <c r="C37" s="1996" t="s">
        <v>1169</v>
      </c>
      <c r="D37" s="1997" t="s">
        <v>1128</v>
      </c>
      <c r="E37" s="1992"/>
      <c r="F37" s="1992"/>
      <c r="G37" s="2001">
        <f>SUM(M37:S37)</f>
        <v>563.32652159374993</v>
      </c>
      <c r="H37" s="2000"/>
      <c r="I37" s="2000"/>
      <c r="J37" s="2000"/>
      <c r="K37" s="2000"/>
      <c r="L37" s="2000"/>
      <c r="M37" s="2000"/>
      <c r="N37" s="2000"/>
      <c r="O37" s="2000"/>
      <c r="P37" s="2000"/>
      <c r="Q37" s="2000"/>
      <c r="R37" s="2000">
        <f>(18.03975*30.05)/12*2</f>
        <v>90.349081249999998</v>
      </c>
      <c r="S37" s="2000">
        <f>(18.03975*30.05)/12*10*S13*R13</f>
        <v>472.97744034374995</v>
      </c>
      <c r="T37" s="2001">
        <f>SUM(Z37:AB37)</f>
        <v>71.874950123999994</v>
      </c>
      <c r="U37" s="2000"/>
      <c r="V37" s="2000"/>
      <c r="W37" s="2000"/>
      <c r="X37" s="2000"/>
      <c r="Y37" s="2000"/>
      <c r="Z37" s="2000"/>
      <c r="AA37" s="2000">
        <f>(2.34302*29.52)/12*2</f>
        <v>11.5276584</v>
      </c>
      <c r="AB37" s="2000">
        <f>(2.34302*29.52)/12*10*AB13*AA13</f>
        <v>60.347291723999994</v>
      </c>
      <c r="AC37" s="1992"/>
      <c r="AD37" s="2003">
        <f>AM37+AX37</f>
        <v>0</v>
      </c>
      <c r="AE37" s="2004"/>
      <c r="AF37" s="2004"/>
      <c r="AG37" s="2004"/>
      <c r="AH37" s="2004"/>
      <c r="AI37" s="2004"/>
      <c r="AJ37" s="2004"/>
      <c r="AK37" s="2004"/>
      <c r="AL37" s="2004"/>
      <c r="AM37" s="2004"/>
      <c r="AN37" s="2004"/>
      <c r="AO37" s="2004">
        <f>AY37+AZ37</f>
        <v>194.46494621208333</v>
      </c>
      <c r="AP37" s="2004"/>
      <c r="AQ37" s="2004"/>
      <c r="AR37" s="2004"/>
      <c r="AS37" s="2004"/>
      <c r="AT37" s="2004"/>
      <c r="AU37" s="2004"/>
      <c r="AV37" s="2004"/>
      <c r="AW37" s="2004"/>
      <c r="AX37" s="2004"/>
      <c r="AY37" s="2004">
        <f>(6.22747*30.05)/12*2</f>
        <v>31.189245583333335</v>
      </c>
      <c r="AZ37" s="2004">
        <f>(6.22747*30.05)/12*10*AZ13*AY13</f>
        <v>163.27570062875</v>
      </c>
      <c r="BA37" s="2004">
        <f>BK37+BL37</f>
        <v>0</v>
      </c>
      <c r="BB37" s="2004"/>
      <c r="BC37" s="2004"/>
      <c r="BD37" s="2004"/>
      <c r="BE37" s="2004"/>
      <c r="BF37" s="2004"/>
      <c r="BG37" s="2004"/>
      <c r="BH37" s="2004"/>
      <c r="BI37" s="2004"/>
      <c r="BJ37" s="2004"/>
      <c r="BK37" s="2004"/>
      <c r="BL37" s="2004"/>
      <c r="BM37" s="1992"/>
      <c r="BN37" s="2003">
        <f>BW37+CH37</f>
        <v>0</v>
      </c>
      <c r="BO37" s="2004"/>
      <c r="BP37" s="2004"/>
      <c r="BQ37" s="2004"/>
      <c r="BR37" s="2004"/>
      <c r="BS37" s="2004"/>
      <c r="BT37" s="2004"/>
      <c r="BU37" s="2004"/>
      <c r="BV37" s="2004"/>
      <c r="BW37" s="2004"/>
      <c r="BX37" s="2004"/>
      <c r="BY37" s="2004">
        <f>CI37+CJ37</f>
        <v>16.402584403749998</v>
      </c>
      <c r="BZ37" s="2004"/>
      <c r="CA37" s="2004"/>
      <c r="CB37" s="2004"/>
      <c r="CC37" s="2004"/>
      <c r="CD37" s="2004"/>
      <c r="CE37" s="2004"/>
      <c r="CF37" s="2004"/>
      <c r="CG37" s="2004"/>
      <c r="CH37" s="2004"/>
      <c r="CI37" s="2004">
        <f>(0.52527*30.05)/12*2</f>
        <v>2.6307272500000001</v>
      </c>
      <c r="CJ37" s="2004">
        <f>(0.52527*30.05)/12*10*CJ13*CI13</f>
        <v>13.771857153749998</v>
      </c>
      <c r="CK37" s="2004">
        <f>CU37+CV37</f>
        <v>26.780322599999998</v>
      </c>
      <c r="CL37" s="2004"/>
      <c r="CM37" s="2004"/>
      <c r="CN37" s="2004"/>
      <c r="CO37" s="2004"/>
      <c r="CP37" s="2004"/>
      <c r="CQ37" s="2004"/>
      <c r="CR37" s="2004"/>
      <c r="CS37" s="2004"/>
      <c r="CT37" s="2004"/>
      <c r="CU37" s="2004">
        <f>(0.873*29.52)/12*2</f>
        <v>4.2951600000000001</v>
      </c>
      <c r="CV37" s="2004">
        <f>(0.873*29.52)/12*10*CV13*CU13</f>
        <v>22.485162599999999</v>
      </c>
    </row>
    <row r="38" spans="2:100" ht="30.75" customHeight="1">
      <c r="B38" s="1995"/>
      <c r="C38" s="1996" t="s">
        <v>1170</v>
      </c>
      <c r="D38" s="1997" t="s">
        <v>1128</v>
      </c>
      <c r="E38" s="1992"/>
      <c r="F38" s="1992"/>
      <c r="G38" s="2001">
        <f>SUM(M38:S38)</f>
        <v>319.01491860291668</v>
      </c>
      <c r="H38" s="2000"/>
      <c r="I38" s="2000"/>
      <c r="J38" s="2000"/>
      <c r="K38" s="2000"/>
      <c r="L38" s="2000"/>
      <c r="M38" s="2000"/>
      <c r="N38" s="2000"/>
      <c r="O38" s="2000"/>
      <c r="P38" s="2000"/>
      <c r="Q38" s="2000"/>
      <c r="R38" s="2000">
        <f>(10.21601*30.05)/12*2</f>
        <v>51.165183416666672</v>
      </c>
      <c r="S38" s="2000">
        <f>(10.21601*30.05)/12*10*S13*R13</f>
        <v>267.84973518625003</v>
      </c>
      <c r="T38" s="2001">
        <f>SUM(Z38:AB38)</f>
        <v>37.643685306000002</v>
      </c>
      <c r="U38" s="2000"/>
      <c r="V38" s="2000"/>
      <c r="W38" s="2000"/>
      <c r="X38" s="2000"/>
      <c r="Y38" s="2000"/>
      <c r="Z38" s="2000"/>
      <c r="AA38" s="2000">
        <f>(1.22713*29.52)/12*2</f>
        <v>6.0374796000000002</v>
      </c>
      <c r="AB38" s="2000">
        <f>(1.22713*29.52)/12*10*AB13*AA13</f>
        <v>31.606205706000001</v>
      </c>
      <c r="AC38" s="1992"/>
      <c r="AD38" s="2003">
        <f>AM38+AX38</f>
        <v>0</v>
      </c>
      <c r="AE38" s="2004"/>
      <c r="AF38" s="2004"/>
      <c r="AG38" s="2004"/>
      <c r="AH38" s="2004"/>
      <c r="AI38" s="2004"/>
      <c r="AJ38" s="2004"/>
      <c r="AK38" s="2004"/>
      <c r="AL38" s="2004"/>
      <c r="AM38" s="2004"/>
      <c r="AN38" s="2004"/>
      <c r="AO38" s="2004">
        <f>AY38+AZ38</f>
        <v>103.10548329458332</v>
      </c>
      <c r="AP38" s="2004"/>
      <c r="AQ38" s="2004"/>
      <c r="AR38" s="2004"/>
      <c r="AS38" s="2004"/>
      <c r="AT38" s="2004"/>
      <c r="AU38" s="2004"/>
      <c r="AV38" s="2004"/>
      <c r="AW38" s="2004"/>
      <c r="AX38" s="2004"/>
      <c r="AY38" s="2004">
        <f>(3.30181*30.05)/12*2</f>
        <v>16.536565083333333</v>
      </c>
      <c r="AZ38" s="2004">
        <f>(3.30181*30.05)/12*10*AZ13*AY13</f>
        <v>86.568918211249994</v>
      </c>
      <c r="BA38" s="2004">
        <f>BK38+BL38</f>
        <v>0</v>
      </c>
      <c r="BB38" s="2004"/>
      <c r="BC38" s="2004"/>
      <c r="BD38" s="2004"/>
      <c r="BE38" s="2004"/>
      <c r="BF38" s="2004"/>
      <c r="BG38" s="2004"/>
      <c r="BH38" s="2004"/>
      <c r="BI38" s="2004"/>
      <c r="BJ38" s="2004"/>
      <c r="BK38" s="2004"/>
      <c r="BL38" s="2004"/>
      <c r="BM38" s="1992"/>
      <c r="BN38" s="2003">
        <f>BW38+CH38</f>
        <v>0</v>
      </c>
      <c r="BO38" s="2004"/>
      <c r="BP38" s="2004"/>
      <c r="BQ38" s="2004"/>
      <c r="BR38" s="2004"/>
      <c r="BS38" s="2004"/>
      <c r="BT38" s="2004"/>
      <c r="BU38" s="2004"/>
      <c r="BV38" s="2004"/>
      <c r="BW38" s="2004"/>
      <c r="BX38" s="2004"/>
      <c r="BY38" s="2004">
        <f>CI38+CJ38</f>
        <v>9.2762802424999986</v>
      </c>
      <c r="BZ38" s="2004"/>
      <c r="CA38" s="2004"/>
      <c r="CB38" s="2004"/>
      <c r="CC38" s="2004"/>
      <c r="CD38" s="2004"/>
      <c r="CE38" s="2004"/>
      <c r="CF38" s="2004"/>
      <c r="CG38" s="2004"/>
      <c r="CH38" s="2004"/>
      <c r="CI38" s="2004">
        <f>(0.29706*30.05)/12*2</f>
        <v>1.4877754999999999</v>
      </c>
      <c r="CJ38" s="2004">
        <f>(0.29706*30.05)/12*10*CJ13*CI13</f>
        <v>7.7885047424999989</v>
      </c>
      <c r="CK38" s="2004">
        <f>CU38+CV38</f>
        <v>13.831591818</v>
      </c>
      <c r="CL38" s="2004"/>
      <c r="CM38" s="2004"/>
      <c r="CN38" s="2004"/>
      <c r="CO38" s="2004"/>
      <c r="CP38" s="2004"/>
      <c r="CQ38" s="2004"/>
      <c r="CR38" s="2004"/>
      <c r="CS38" s="2004"/>
      <c r="CT38" s="2004"/>
      <c r="CU38" s="2004">
        <f>(0.45089*29.52)/12*2</f>
        <v>2.2183788</v>
      </c>
      <c r="CV38" s="2004">
        <f>(0.45089*29.52)/12*10*CV13*CU13</f>
        <v>11.613213018</v>
      </c>
    </row>
    <row r="39" spans="2:100" ht="30.75" customHeight="1" outlineLevel="1">
      <c r="B39" s="1995"/>
      <c r="C39" s="1996" t="s">
        <v>1171</v>
      </c>
      <c r="D39" s="1997" t="s">
        <v>1128</v>
      </c>
      <c r="E39" s="1992"/>
      <c r="F39" s="1992"/>
      <c r="G39" s="1992">
        <f>SUM(M39:R39)</f>
        <v>0</v>
      </c>
      <c r="H39" s="2007"/>
      <c r="I39" s="2007"/>
      <c r="J39" s="2007"/>
      <c r="K39" s="2007"/>
      <c r="L39" s="2007"/>
      <c r="M39" s="2007"/>
      <c r="N39" s="2007"/>
      <c r="O39" s="2007"/>
      <c r="P39" s="2007"/>
      <c r="Q39" s="2007"/>
      <c r="R39" s="2007"/>
      <c r="S39" s="2007"/>
      <c r="T39" s="1992">
        <f>SUM(Z39:AB39)</f>
        <v>9117.6362789999985</v>
      </c>
      <c r="U39" s="2007"/>
      <c r="V39" s="2007"/>
      <c r="W39" s="2007"/>
      <c r="X39" s="2007"/>
      <c r="Y39" s="2007"/>
      <c r="Z39" s="2007"/>
      <c r="AA39" s="2007">
        <f>T99/12*2</f>
        <v>1462.3314</v>
      </c>
      <c r="AB39" s="2007">
        <f>T99/12*10*AA13*AB13</f>
        <v>7655.3048789999993</v>
      </c>
      <c r="AC39" s="1992"/>
      <c r="AD39" s="1992">
        <f>SUM(AJ39:AN39)</f>
        <v>0</v>
      </c>
      <c r="AE39" s="2007"/>
      <c r="AF39" s="2007"/>
      <c r="AG39" s="2007"/>
      <c r="AH39" s="2007"/>
      <c r="AI39" s="2007"/>
      <c r="AJ39" s="2007"/>
      <c r="AK39" s="2007"/>
      <c r="AL39" s="2007"/>
      <c r="AM39" s="2007"/>
      <c r="AN39" s="2007"/>
      <c r="AO39" s="2007">
        <f>SUM(AU39:AX39)</f>
        <v>0</v>
      </c>
      <c r="AP39" s="2007"/>
      <c r="AQ39" s="2007"/>
      <c r="AR39" s="2007"/>
      <c r="AS39" s="2007"/>
      <c r="AT39" s="2007"/>
      <c r="AU39" s="2007"/>
      <c r="AV39" s="2007"/>
      <c r="AW39" s="2007"/>
      <c r="AX39" s="2007"/>
      <c r="AY39" s="2007"/>
      <c r="AZ39" s="2007"/>
      <c r="BA39" s="2007">
        <f>SUM(BG39:BJ39)</f>
        <v>0</v>
      </c>
      <c r="BB39" s="2007"/>
      <c r="BC39" s="2007"/>
      <c r="BD39" s="2007"/>
      <c r="BE39" s="2007"/>
      <c r="BF39" s="2007"/>
      <c r="BG39" s="2007"/>
      <c r="BH39" s="2007"/>
      <c r="BI39" s="2007"/>
      <c r="BJ39" s="2007"/>
      <c r="BK39" s="2007"/>
      <c r="BL39" s="2007"/>
      <c r="BM39" s="1992"/>
      <c r="BN39" s="1992">
        <f>SUM(BT39:BX39)</f>
        <v>0</v>
      </c>
      <c r="BO39" s="2007"/>
      <c r="BP39" s="2007"/>
      <c r="BQ39" s="2007"/>
      <c r="BR39" s="2007"/>
      <c r="BS39" s="2007"/>
      <c r="BT39" s="2007"/>
      <c r="BU39" s="2007"/>
      <c r="BV39" s="2007"/>
      <c r="BW39" s="2007"/>
      <c r="BX39" s="2007"/>
      <c r="BY39" s="2007">
        <f>SUM(CE39:CH39)</f>
        <v>0</v>
      </c>
      <c r="BZ39" s="2007"/>
      <c r="CA39" s="2007"/>
      <c r="CB39" s="2007"/>
      <c r="CC39" s="2007"/>
      <c r="CD39" s="2007"/>
      <c r="CE39" s="2007"/>
      <c r="CF39" s="2007"/>
      <c r="CG39" s="2007"/>
      <c r="CH39" s="2007"/>
      <c r="CI39" s="2007"/>
      <c r="CJ39" s="2007"/>
      <c r="CK39" s="2007">
        <f>CU39+CV39</f>
        <v>2668.6086706083333</v>
      </c>
      <c r="CL39" s="2007"/>
      <c r="CM39" s="2007"/>
      <c r="CN39" s="2007"/>
      <c r="CO39" s="2007"/>
      <c r="CP39" s="2007"/>
      <c r="CQ39" s="2007"/>
      <c r="CR39" s="2007"/>
      <c r="CS39" s="2007"/>
      <c r="CT39" s="2007"/>
      <c r="CU39" s="2007">
        <f>CK99/12*2</f>
        <v>428.00459833333338</v>
      </c>
      <c r="CV39" s="2007">
        <f>CK99/12*10*CV13*CU13</f>
        <v>2240.6040722749999</v>
      </c>
    </row>
    <row r="40" spans="2:100" ht="30.75" customHeight="1">
      <c r="B40" s="1995"/>
      <c r="C40" s="1996" t="s">
        <v>1172</v>
      </c>
      <c r="D40" s="1997" t="s">
        <v>1128</v>
      </c>
      <c r="E40" s="1992"/>
      <c r="F40" s="1992"/>
      <c r="G40" s="1992">
        <f>G20-G37-G38</f>
        <v>8056.2316659699982</v>
      </c>
      <c r="H40" s="2007"/>
      <c r="I40" s="2007"/>
      <c r="J40" s="2007"/>
      <c r="K40" s="2007"/>
      <c r="L40" s="2007"/>
      <c r="M40" s="2007"/>
      <c r="N40" s="2007"/>
      <c r="O40" s="2007"/>
      <c r="P40" s="2007"/>
      <c r="Q40" s="2007"/>
      <c r="R40" s="2007">
        <f>R20-R37-R38</f>
        <v>1292.0981019999999</v>
      </c>
      <c r="S40" s="2007">
        <f>S20-S37-S38</f>
        <v>6764.1335639699992</v>
      </c>
      <c r="T40" s="1992">
        <f>T20-T37-T38</f>
        <v>11684.8460983555</v>
      </c>
      <c r="U40" s="2007">
        <f t="shared" ref="U40:Z40" si="60">U20-U37-U38</f>
        <v>0</v>
      </c>
      <c r="V40" s="2007">
        <f t="shared" si="60"/>
        <v>0</v>
      </c>
      <c r="W40" s="2007">
        <f t="shared" si="60"/>
        <v>0</v>
      </c>
      <c r="X40" s="2007">
        <f>X20-X37-X38</f>
        <v>0</v>
      </c>
      <c r="Y40" s="2007">
        <f t="shared" si="60"/>
        <v>0</v>
      </c>
      <c r="Z40" s="2007">
        <f t="shared" si="60"/>
        <v>0</v>
      </c>
      <c r="AA40" s="2007">
        <f>AA20-AA37-AA38</f>
        <v>1874.0731512999998</v>
      </c>
      <c r="AB40" s="2007">
        <f>AB20-AB37-AB38</f>
        <v>9810.7729470555005</v>
      </c>
      <c r="AC40" s="1992"/>
      <c r="AD40" s="1992">
        <f>AD20-AD37-AD38</f>
        <v>0</v>
      </c>
      <c r="AE40" s="2007">
        <f t="shared" ref="AE40:BL40" si="61">AE20-AE37-AE38</f>
        <v>0</v>
      </c>
      <c r="AF40" s="2007">
        <f t="shared" si="61"/>
        <v>0</v>
      </c>
      <c r="AG40" s="2007">
        <f>AG20-AG37-AG38</f>
        <v>0</v>
      </c>
      <c r="AH40" s="2007">
        <f t="shared" si="61"/>
        <v>0</v>
      </c>
      <c r="AI40" s="2007">
        <f t="shared" si="61"/>
        <v>0</v>
      </c>
      <c r="AJ40" s="2007">
        <f t="shared" si="61"/>
        <v>0</v>
      </c>
      <c r="AK40" s="2007">
        <f t="shared" si="61"/>
        <v>0</v>
      </c>
      <c r="AL40" s="2007">
        <f t="shared" si="61"/>
        <v>0</v>
      </c>
      <c r="AM40" s="2007"/>
      <c r="AN40" s="2007"/>
      <c r="AO40" s="2007">
        <f>AO20-AO37-AO38</f>
        <v>1707.4382542683334</v>
      </c>
      <c r="AP40" s="2007">
        <f t="shared" si="61"/>
        <v>0</v>
      </c>
      <c r="AQ40" s="2007">
        <f t="shared" si="61"/>
        <v>0</v>
      </c>
      <c r="AR40" s="2007">
        <f t="shared" si="61"/>
        <v>0</v>
      </c>
      <c r="AS40" s="2007">
        <f t="shared" si="61"/>
        <v>0</v>
      </c>
      <c r="AT40" s="2007">
        <f t="shared" si="61"/>
        <v>0</v>
      </c>
      <c r="AU40" s="2007">
        <f t="shared" si="61"/>
        <v>0</v>
      </c>
      <c r="AV40" s="2007">
        <f t="shared" si="61"/>
        <v>0</v>
      </c>
      <c r="AW40" s="2007">
        <f t="shared" si="61"/>
        <v>0</v>
      </c>
      <c r="AX40" s="2007">
        <f t="shared" si="61"/>
        <v>0</v>
      </c>
      <c r="AY40" s="2007">
        <f t="shared" si="61"/>
        <v>273.84735433333333</v>
      </c>
      <c r="AZ40" s="2007">
        <f t="shared" si="61"/>
        <v>1433.5908999349999</v>
      </c>
      <c r="BA40" s="2007">
        <f t="shared" si="61"/>
        <v>0</v>
      </c>
      <c r="BB40" s="2007">
        <f t="shared" si="61"/>
        <v>0</v>
      </c>
      <c r="BC40" s="2007">
        <f t="shared" si="61"/>
        <v>0</v>
      </c>
      <c r="BD40" s="2007">
        <f t="shared" si="61"/>
        <v>0</v>
      </c>
      <c r="BE40" s="2007">
        <f t="shared" si="61"/>
        <v>0</v>
      </c>
      <c r="BF40" s="2007">
        <f t="shared" si="61"/>
        <v>0</v>
      </c>
      <c r="BG40" s="2007">
        <f t="shared" si="61"/>
        <v>0</v>
      </c>
      <c r="BH40" s="2007">
        <f t="shared" si="61"/>
        <v>0</v>
      </c>
      <c r="BI40" s="2007">
        <f t="shared" si="61"/>
        <v>0</v>
      </c>
      <c r="BJ40" s="2007">
        <f t="shared" si="61"/>
        <v>0</v>
      </c>
      <c r="BK40" s="2007">
        <f t="shared" si="61"/>
        <v>0</v>
      </c>
      <c r="BL40" s="2007">
        <f t="shared" si="61"/>
        <v>0</v>
      </c>
      <c r="BM40" s="1992"/>
      <c r="BN40" s="1992">
        <f t="shared" ref="BN40:BV40" si="62">BN20-BN37-BN38</f>
        <v>0</v>
      </c>
      <c r="BO40" s="2007">
        <f t="shared" si="62"/>
        <v>0</v>
      </c>
      <c r="BP40" s="2007">
        <f t="shared" si="62"/>
        <v>0</v>
      </c>
      <c r="BQ40" s="2007">
        <f t="shared" si="62"/>
        <v>0</v>
      </c>
      <c r="BR40" s="2007">
        <f t="shared" si="62"/>
        <v>0</v>
      </c>
      <c r="BS40" s="2007">
        <f t="shared" si="62"/>
        <v>0</v>
      </c>
      <c r="BT40" s="2007">
        <f t="shared" si="62"/>
        <v>0</v>
      </c>
      <c r="BU40" s="2007">
        <f t="shared" si="62"/>
        <v>0</v>
      </c>
      <c r="BV40" s="2007">
        <f t="shared" si="62"/>
        <v>0</v>
      </c>
      <c r="BW40" s="2007"/>
      <c r="BX40" s="2007"/>
      <c r="BY40" s="2007">
        <f t="shared" ref="BY40:CV40" si="63">BY20-BY37-BY38</f>
        <v>54.030310603749989</v>
      </c>
      <c r="BZ40" s="2007">
        <f t="shared" si="63"/>
        <v>0</v>
      </c>
      <c r="CA40" s="2007">
        <f t="shared" si="63"/>
        <v>0</v>
      </c>
      <c r="CB40" s="2007">
        <f t="shared" si="63"/>
        <v>0</v>
      </c>
      <c r="CC40" s="2007">
        <f t="shared" si="63"/>
        <v>0</v>
      </c>
      <c r="CD40" s="2007">
        <f t="shared" si="63"/>
        <v>0</v>
      </c>
      <c r="CE40" s="2007">
        <f t="shared" si="63"/>
        <v>0</v>
      </c>
      <c r="CF40" s="2007">
        <f t="shared" si="63"/>
        <v>0</v>
      </c>
      <c r="CG40" s="2007">
        <f t="shared" si="63"/>
        <v>0</v>
      </c>
      <c r="CH40" s="2007">
        <f t="shared" si="63"/>
        <v>0</v>
      </c>
      <c r="CI40" s="2007">
        <f t="shared" si="63"/>
        <v>8.6656472499999992</v>
      </c>
      <c r="CJ40" s="2007">
        <f t="shared" si="63"/>
        <v>45.364663353749989</v>
      </c>
      <c r="CK40" s="2007">
        <f t="shared" si="63"/>
        <v>570.27236808977784</v>
      </c>
      <c r="CL40" s="2007">
        <f t="shared" si="63"/>
        <v>0</v>
      </c>
      <c r="CM40" s="2007">
        <f t="shared" si="63"/>
        <v>0</v>
      </c>
      <c r="CN40" s="2007">
        <f t="shared" si="63"/>
        <v>0</v>
      </c>
      <c r="CO40" s="2007">
        <f t="shared" si="63"/>
        <v>0</v>
      </c>
      <c r="CP40" s="2007">
        <f t="shared" si="63"/>
        <v>0</v>
      </c>
      <c r="CQ40" s="2007">
        <f t="shared" si="63"/>
        <v>0</v>
      </c>
      <c r="CR40" s="2007">
        <f t="shared" si="63"/>
        <v>0</v>
      </c>
      <c r="CS40" s="2007">
        <f t="shared" si="63"/>
        <v>0</v>
      </c>
      <c r="CT40" s="2007">
        <f t="shared" si="63"/>
        <v>0</v>
      </c>
      <c r="CU40" s="2007">
        <f t="shared" si="63"/>
        <v>434.38129220000002</v>
      </c>
      <c r="CV40" s="2007">
        <f t="shared" si="63"/>
        <v>2273.9860646669999</v>
      </c>
    </row>
    <row r="41" spans="2:100" ht="40.5">
      <c r="B41" s="1995"/>
      <c r="C41" s="1996" t="s">
        <v>1173</v>
      </c>
      <c r="D41" s="1997" t="s">
        <v>1128</v>
      </c>
      <c r="E41" s="1992"/>
      <c r="F41" s="1992"/>
      <c r="G41" s="1992">
        <f>G40-G39</f>
        <v>8056.2316659699982</v>
      </c>
      <c r="H41" s="2007"/>
      <c r="I41" s="2007"/>
      <c r="J41" s="2007"/>
      <c r="K41" s="2007"/>
      <c r="L41" s="2007"/>
      <c r="M41" s="2007"/>
      <c r="N41" s="2007"/>
      <c r="O41" s="2007"/>
      <c r="P41" s="2007"/>
      <c r="Q41" s="2007"/>
      <c r="R41" s="2007">
        <f>R40-R39</f>
        <v>1292.0981019999999</v>
      </c>
      <c r="S41" s="2007">
        <f>S40-S39</f>
        <v>6764.1335639699992</v>
      </c>
      <c r="T41" s="1992">
        <f>T40-T39</f>
        <v>2567.2098193555012</v>
      </c>
      <c r="U41" s="2007">
        <f t="shared" ref="U41:AA41" si="64">U40-U39</f>
        <v>0</v>
      </c>
      <c r="V41" s="2007">
        <f t="shared" si="64"/>
        <v>0</v>
      </c>
      <c r="W41" s="2007">
        <f t="shared" si="64"/>
        <v>0</v>
      </c>
      <c r="X41" s="2007">
        <f>X40-X39</f>
        <v>0</v>
      </c>
      <c r="Y41" s="2007">
        <f t="shared" si="64"/>
        <v>0</v>
      </c>
      <c r="Z41" s="2007">
        <f t="shared" si="64"/>
        <v>0</v>
      </c>
      <c r="AA41" s="2007">
        <f t="shared" si="64"/>
        <v>411.74175129999981</v>
      </c>
      <c r="AB41" s="2007">
        <f>AB40-AB39</f>
        <v>2155.4680680555011</v>
      </c>
      <c r="AC41" s="1992"/>
      <c r="AD41" s="1992">
        <f>AD40-AD39</f>
        <v>0</v>
      </c>
      <c r="AE41" s="2007">
        <f t="shared" ref="AE41:AL41" si="65">AE40-AE39</f>
        <v>0</v>
      </c>
      <c r="AF41" s="2007">
        <f t="shared" si="65"/>
        <v>0</v>
      </c>
      <c r="AG41" s="2007">
        <f>AG40-AG39</f>
        <v>0</v>
      </c>
      <c r="AH41" s="2007">
        <f t="shared" si="65"/>
        <v>0</v>
      </c>
      <c r="AI41" s="2007">
        <f t="shared" si="65"/>
        <v>0</v>
      </c>
      <c r="AJ41" s="2007">
        <f t="shared" si="65"/>
        <v>0</v>
      </c>
      <c r="AK41" s="2007">
        <f t="shared" si="65"/>
        <v>0</v>
      </c>
      <c r="AL41" s="2007">
        <f t="shared" si="65"/>
        <v>0</v>
      </c>
      <c r="AM41" s="2007"/>
      <c r="AN41" s="2007"/>
      <c r="AO41" s="2007">
        <f>AO40-AO39</f>
        <v>1707.4382542683334</v>
      </c>
      <c r="AP41" s="2007">
        <f t="shared" ref="AP41:BL41" si="66">AP40-AP39</f>
        <v>0</v>
      </c>
      <c r="AQ41" s="2007">
        <f t="shared" si="66"/>
        <v>0</v>
      </c>
      <c r="AR41" s="2007">
        <f>AR40-AR39</f>
        <v>0</v>
      </c>
      <c r="AS41" s="2007">
        <f t="shared" si="66"/>
        <v>0</v>
      </c>
      <c r="AT41" s="2007">
        <f t="shared" si="66"/>
        <v>0</v>
      </c>
      <c r="AU41" s="2007">
        <f t="shared" si="66"/>
        <v>0</v>
      </c>
      <c r="AV41" s="2007">
        <f t="shared" si="66"/>
        <v>0</v>
      </c>
      <c r="AW41" s="2007">
        <f t="shared" si="66"/>
        <v>0</v>
      </c>
      <c r="AX41" s="2007">
        <f t="shared" si="66"/>
        <v>0</v>
      </c>
      <c r="AY41" s="2007">
        <f t="shared" si="66"/>
        <v>273.84735433333333</v>
      </c>
      <c r="AZ41" s="2007">
        <f t="shared" si="66"/>
        <v>1433.5908999349999</v>
      </c>
      <c r="BA41" s="2007">
        <f t="shared" si="66"/>
        <v>0</v>
      </c>
      <c r="BB41" s="2007">
        <f t="shared" si="66"/>
        <v>0</v>
      </c>
      <c r="BC41" s="2007">
        <f t="shared" si="66"/>
        <v>0</v>
      </c>
      <c r="BD41" s="2007">
        <f t="shared" si="66"/>
        <v>0</v>
      </c>
      <c r="BE41" s="2007">
        <f t="shared" si="66"/>
        <v>0</v>
      </c>
      <c r="BF41" s="2007">
        <f t="shared" si="66"/>
        <v>0</v>
      </c>
      <c r="BG41" s="2007">
        <f t="shared" si="66"/>
        <v>0</v>
      </c>
      <c r="BH41" s="2007">
        <f t="shared" si="66"/>
        <v>0</v>
      </c>
      <c r="BI41" s="2007">
        <f t="shared" si="66"/>
        <v>0</v>
      </c>
      <c r="BJ41" s="2007">
        <f t="shared" si="66"/>
        <v>0</v>
      </c>
      <c r="BK41" s="2007">
        <f t="shared" si="66"/>
        <v>0</v>
      </c>
      <c r="BL41" s="2007">
        <f t="shared" si="66"/>
        <v>0</v>
      </c>
      <c r="BM41" s="1992"/>
      <c r="BN41" s="1992">
        <f t="shared" ref="BN41:BV41" si="67">BN40-BN39</f>
        <v>0</v>
      </c>
      <c r="BO41" s="2007">
        <f t="shared" si="67"/>
        <v>0</v>
      </c>
      <c r="BP41" s="2007">
        <f t="shared" si="67"/>
        <v>0</v>
      </c>
      <c r="BQ41" s="2007">
        <f t="shared" si="67"/>
        <v>0</v>
      </c>
      <c r="BR41" s="2007">
        <f t="shared" si="67"/>
        <v>0</v>
      </c>
      <c r="BS41" s="2007">
        <f t="shared" si="67"/>
        <v>0</v>
      </c>
      <c r="BT41" s="2007">
        <f t="shared" si="67"/>
        <v>0</v>
      </c>
      <c r="BU41" s="2007">
        <f t="shared" si="67"/>
        <v>0</v>
      </c>
      <c r="BV41" s="2007">
        <f t="shared" si="67"/>
        <v>0</v>
      </c>
      <c r="BW41" s="2007"/>
      <c r="BX41" s="2007"/>
      <c r="BY41" s="2007">
        <f>BY40-BY39</f>
        <v>54.030310603749989</v>
      </c>
      <c r="BZ41" s="2007">
        <f>BZ40-BZ39</f>
        <v>0</v>
      </c>
      <c r="CA41" s="2007">
        <f>CA40-CA39</f>
        <v>0</v>
      </c>
      <c r="CB41" s="2007">
        <f>CB40-CB39</f>
        <v>0</v>
      </c>
      <c r="CC41" s="2007">
        <f t="shared" ref="CC41:CJ41" si="68">CC40-CC39</f>
        <v>0</v>
      </c>
      <c r="CD41" s="2007">
        <f t="shared" si="68"/>
        <v>0</v>
      </c>
      <c r="CE41" s="2007">
        <f t="shared" si="68"/>
        <v>0</v>
      </c>
      <c r="CF41" s="2007">
        <f t="shared" si="68"/>
        <v>0</v>
      </c>
      <c r="CG41" s="2007">
        <f t="shared" si="68"/>
        <v>0</v>
      </c>
      <c r="CH41" s="2007">
        <f t="shared" si="68"/>
        <v>0</v>
      </c>
      <c r="CI41" s="2007">
        <f t="shared" si="68"/>
        <v>8.6656472499999992</v>
      </c>
      <c r="CJ41" s="2007">
        <f t="shared" si="68"/>
        <v>45.364663353749989</v>
      </c>
      <c r="CK41" s="2007">
        <f>CK40-CK39</f>
        <v>-2098.3363025185554</v>
      </c>
      <c r="CL41" s="2007">
        <f>CL40-CL39</f>
        <v>0</v>
      </c>
      <c r="CM41" s="2007">
        <f>CM40-CM39</f>
        <v>0</v>
      </c>
      <c r="CN41" s="2007">
        <f>CN40-CN39</f>
        <v>0</v>
      </c>
      <c r="CO41" s="2007">
        <f t="shared" ref="CO41:CV41" si="69">CO40-CO39</f>
        <v>0</v>
      </c>
      <c r="CP41" s="2007">
        <f t="shared" si="69"/>
        <v>0</v>
      </c>
      <c r="CQ41" s="2007">
        <f t="shared" si="69"/>
        <v>0</v>
      </c>
      <c r="CR41" s="2007">
        <f t="shared" si="69"/>
        <v>0</v>
      </c>
      <c r="CS41" s="2007">
        <f t="shared" si="69"/>
        <v>0</v>
      </c>
      <c r="CT41" s="2007">
        <f t="shared" si="69"/>
        <v>0</v>
      </c>
      <c r="CU41" s="2007">
        <f t="shared" si="69"/>
        <v>6.376693866666642</v>
      </c>
      <c r="CV41" s="2007">
        <f t="shared" si="69"/>
        <v>33.381992392000029</v>
      </c>
    </row>
    <row r="42" spans="2:100" ht="20.25" hidden="1" customHeight="1" outlineLevel="1">
      <c r="B42" s="1995"/>
      <c r="C42" s="1996" t="s">
        <v>1174</v>
      </c>
      <c r="D42" s="1997" t="s">
        <v>1128</v>
      </c>
      <c r="E42" s="1992"/>
      <c r="F42" s="1992"/>
      <c r="G42" s="1992">
        <f>G36*1.2</f>
        <v>10726.287727399997</v>
      </c>
      <c r="H42" s="2007"/>
      <c r="I42" s="2007"/>
      <c r="J42" s="2007"/>
      <c r="K42" s="2007"/>
      <c r="L42" s="2007"/>
      <c r="M42" s="2007"/>
      <c r="N42" s="2007"/>
      <c r="O42" s="2007"/>
      <c r="P42" s="2007"/>
      <c r="Q42" s="2007"/>
      <c r="R42" s="2007"/>
      <c r="S42" s="2007"/>
      <c r="T42" s="1992">
        <f>T36*1.2</f>
        <v>14153.237680542599</v>
      </c>
      <c r="U42" s="2007">
        <f t="shared" ref="U42:Z42" si="70">U36*1.18</f>
        <v>0</v>
      </c>
      <c r="V42" s="2007">
        <f t="shared" si="70"/>
        <v>0</v>
      </c>
      <c r="W42" s="2007">
        <f t="shared" si="70"/>
        <v>0</v>
      </c>
      <c r="X42" s="2007">
        <f t="shared" si="70"/>
        <v>0</v>
      </c>
      <c r="Y42" s="2007">
        <f t="shared" si="70"/>
        <v>0</v>
      </c>
      <c r="Z42" s="2007">
        <f t="shared" si="70"/>
        <v>0</v>
      </c>
      <c r="AA42" s="2007">
        <f>AA36*1.2</f>
        <v>2269.9659471599998</v>
      </c>
      <c r="AB42" s="2007">
        <f>AB36*1.2</f>
        <v>11883.2717333826</v>
      </c>
      <c r="AC42" s="1992"/>
      <c r="AD42" s="1992">
        <f>AD36*1.2</f>
        <v>0</v>
      </c>
      <c r="AE42" s="2007">
        <f t="shared" ref="AE42:AL42" si="71">AE36*1.18</f>
        <v>0</v>
      </c>
      <c r="AF42" s="2007">
        <f t="shared" si="71"/>
        <v>0</v>
      </c>
      <c r="AG42" s="2007">
        <f t="shared" si="71"/>
        <v>0</v>
      </c>
      <c r="AH42" s="2007">
        <f t="shared" si="71"/>
        <v>0</v>
      </c>
      <c r="AI42" s="2007">
        <f t="shared" si="71"/>
        <v>0</v>
      </c>
      <c r="AJ42" s="2007">
        <f t="shared" si="71"/>
        <v>0</v>
      </c>
      <c r="AK42" s="2007">
        <f t="shared" si="71"/>
        <v>0</v>
      </c>
      <c r="AL42" s="2007">
        <f t="shared" si="71"/>
        <v>0</v>
      </c>
      <c r="AM42" s="2007"/>
      <c r="AN42" s="2007"/>
      <c r="AO42" s="2007">
        <f>AO36*1.2</f>
        <v>2406.0104205299999</v>
      </c>
      <c r="AP42" s="2007">
        <f t="shared" ref="AP42:AU42" si="72">AP36*1.18</f>
        <v>0</v>
      </c>
      <c r="AQ42" s="2007">
        <f t="shared" si="72"/>
        <v>0</v>
      </c>
      <c r="AR42" s="2007">
        <f t="shared" si="72"/>
        <v>0</v>
      </c>
      <c r="AS42" s="2007">
        <f t="shared" si="72"/>
        <v>0</v>
      </c>
      <c r="AT42" s="2007">
        <f t="shared" si="72"/>
        <v>0</v>
      </c>
      <c r="AU42" s="2007">
        <f t="shared" si="72"/>
        <v>0</v>
      </c>
      <c r="AV42" s="2007">
        <f>AV36*1.2</f>
        <v>0</v>
      </c>
      <c r="AW42" s="2007">
        <f>AW36*1.2</f>
        <v>0</v>
      </c>
      <c r="AX42" s="2007">
        <f>AX36*1.18</f>
        <v>0</v>
      </c>
      <c r="AY42" s="2007">
        <f>AY36*1.18</f>
        <v>379.45633470000001</v>
      </c>
      <c r="AZ42" s="2007">
        <f>AZ36*1.18</f>
        <v>1986.4539121544999</v>
      </c>
      <c r="BA42" s="2007">
        <f>BA36*1.2</f>
        <v>0</v>
      </c>
      <c r="BB42" s="2007">
        <f t="shared" ref="BB42:BG42" si="73">BB36*1.18</f>
        <v>0</v>
      </c>
      <c r="BC42" s="2007">
        <f t="shared" si="73"/>
        <v>0</v>
      </c>
      <c r="BD42" s="2007">
        <f t="shared" si="73"/>
        <v>0</v>
      </c>
      <c r="BE42" s="2007">
        <f t="shared" si="73"/>
        <v>0</v>
      </c>
      <c r="BF42" s="2007">
        <f t="shared" si="73"/>
        <v>0</v>
      </c>
      <c r="BG42" s="2007">
        <f t="shared" si="73"/>
        <v>0</v>
      </c>
      <c r="BH42" s="2007">
        <f>BH36*1.2</f>
        <v>0</v>
      </c>
      <c r="BI42" s="2007">
        <f>BI36*1.2</f>
        <v>0</v>
      </c>
      <c r="BJ42" s="2007">
        <f>BJ36*1.18</f>
        <v>0</v>
      </c>
      <c r="BK42" s="2007">
        <f>BK36*1.18</f>
        <v>0</v>
      </c>
      <c r="BL42" s="2007">
        <f>BL36*1.18</f>
        <v>0</v>
      </c>
      <c r="BM42" s="1992"/>
      <c r="BN42" s="1992">
        <f>BN36*1.2</f>
        <v>0</v>
      </c>
      <c r="BO42" s="2007">
        <f t="shared" ref="BO42:BV42" si="74">BO36*1.18</f>
        <v>0</v>
      </c>
      <c r="BP42" s="2007">
        <f t="shared" si="74"/>
        <v>0</v>
      </c>
      <c r="BQ42" s="2007">
        <f t="shared" si="74"/>
        <v>0</v>
      </c>
      <c r="BR42" s="2007">
        <f t="shared" si="74"/>
        <v>0</v>
      </c>
      <c r="BS42" s="2007">
        <f t="shared" si="74"/>
        <v>0</v>
      </c>
      <c r="BT42" s="2007">
        <f t="shared" si="74"/>
        <v>0</v>
      </c>
      <c r="BU42" s="2007">
        <f t="shared" si="74"/>
        <v>0</v>
      </c>
      <c r="BV42" s="2007">
        <f t="shared" si="74"/>
        <v>0</v>
      </c>
      <c r="BW42" s="2007"/>
      <c r="BX42" s="2007"/>
      <c r="BY42" s="2007">
        <f>BY36*1.2</f>
        <v>95.651010299999982</v>
      </c>
      <c r="BZ42" s="2007">
        <f t="shared" ref="BZ42:CE42" si="75">BZ36*1.18</f>
        <v>0</v>
      </c>
      <c r="CA42" s="2007">
        <f t="shared" si="75"/>
        <v>0</v>
      </c>
      <c r="CB42" s="2007">
        <f t="shared" si="75"/>
        <v>0</v>
      </c>
      <c r="CC42" s="2007">
        <f t="shared" si="75"/>
        <v>0</v>
      </c>
      <c r="CD42" s="2007">
        <f t="shared" si="75"/>
        <v>0</v>
      </c>
      <c r="CE42" s="2007">
        <f t="shared" si="75"/>
        <v>0</v>
      </c>
      <c r="CF42" s="2007">
        <f>CF36*1.2</f>
        <v>0</v>
      </c>
      <c r="CG42" s="2007">
        <f>CG36*1.2</f>
        <v>0</v>
      </c>
      <c r="CH42" s="2007">
        <f>CH36*1.18</f>
        <v>0</v>
      </c>
      <c r="CI42" s="2007">
        <f>CI36*1.18</f>
        <v>15.085296999999999</v>
      </c>
      <c r="CJ42" s="2007">
        <f>CJ36*1.18</f>
        <v>78.971529794999981</v>
      </c>
      <c r="CK42" s="2007">
        <f>CK36*1.2</f>
        <v>733.06113900933371</v>
      </c>
      <c r="CL42" s="2007">
        <f t="shared" ref="CL42:CQ42" si="76">CL36*1.18</f>
        <v>0</v>
      </c>
      <c r="CM42" s="2007">
        <f t="shared" si="76"/>
        <v>0</v>
      </c>
      <c r="CN42" s="2007">
        <f t="shared" si="76"/>
        <v>0</v>
      </c>
      <c r="CO42" s="2007">
        <f t="shared" si="76"/>
        <v>0</v>
      </c>
      <c r="CP42" s="2007">
        <f t="shared" si="76"/>
        <v>0</v>
      </c>
      <c r="CQ42" s="2007">
        <f t="shared" si="76"/>
        <v>0</v>
      </c>
      <c r="CR42" s="2007">
        <f>CR36*1.2</f>
        <v>0</v>
      </c>
      <c r="CS42" s="2007">
        <f>CS36*1.2</f>
        <v>0</v>
      </c>
      <c r="CT42" s="2007">
        <f>CT36*1.18</f>
        <v>0</v>
      </c>
      <c r="CU42" s="2007">
        <f>CU36*1.18</f>
        <v>520.25590058</v>
      </c>
      <c r="CV42" s="2007">
        <f>CV36*1.18</f>
        <v>2723.5396395362995</v>
      </c>
    </row>
    <row r="43" spans="2:100" ht="31.5" customHeight="1" collapsed="1">
      <c r="B43" s="1990" t="s">
        <v>1175</v>
      </c>
      <c r="C43" s="1994" t="s">
        <v>1176</v>
      </c>
      <c r="D43" s="1975" t="s">
        <v>1128</v>
      </c>
      <c r="E43" s="1992">
        <f>F43+AC43</f>
        <v>0</v>
      </c>
      <c r="F43" s="1992">
        <f>F44+F45</f>
        <v>0</v>
      </c>
      <c r="G43" s="1992">
        <f>G44+G45</f>
        <v>0</v>
      </c>
      <c r="H43" s="1992"/>
      <c r="I43" s="1992"/>
      <c r="J43" s="1992"/>
      <c r="K43" s="1992"/>
      <c r="L43" s="1992"/>
      <c r="M43" s="1992"/>
      <c r="N43" s="1992"/>
      <c r="O43" s="1992"/>
      <c r="P43" s="1992"/>
      <c r="Q43" s="1992"/>
      <c r="R43" s="1992"/>
      <c r="S43" s="1992"/>
      <c r="T43" s="1992">
        <f>T44+T45</f>
        <v>0</v>
      </c>
      <c r="U43" s="1992">
        <f t="shared" ref="U43:Z43" si="77">U44+U45</f>
        <v>0</v>
      </c>
      <c r="V43" s="1992">
        <f t="shared" si="77"/>
        <v>0</v>
      </c>
      <c r="W43" s="1992">
        <f t="shared" si="77"/>
        <v>0</v>
      </c>
      <c r="X43" s="1992">
        <f t="shared" si="77"/>
        <v>0</v>
      </c>
      <c r="Y43" s="1992">
        <f t="shared" si="77"/>
        <v>0</v>
      </c>
      <c r="Z43" s="1992">
        <f t="shared" si="77"/>
        <v>0</v>
      </c>
      <c r="AA43" s="1992">
        <f>AA44+AA45</f>
        <v>0</v>
      </c>
      <c r="AB43" s="1992">
        <f>AB44+AB45</f>
        <v>0</v>
      </c>
      <c r="AC43" s="1992">
        <f>AC44+AC45</f>
        <v>0</v>
      </c>
      <c r="AD43" s="1992">
        <f>AD44+AD45</f>
        <v>0</v>
      </c>
      <c r="AE43" s="1992">
        <f t="shared" ref="AE43:AL43" si="78">AE44+AE45</f>
        <v>0</v>
      </c>
      <c r="AF43" s="1992">
        <f t="shared" si="78"/>
        <v>0</v>
      </c>
      <c r="AG43" s="1992">
        <f t="shared" si="78"/>
        <v>0</v>
      </c>
      <c r="AH43" s="1992">
        <f t="shared" si="78"/>
        <v>0</v>
      </c>
      <c r="AI43" s="1992">
        <f t="shared" si="78"/>
        <v>0</v>
      </c>
      <c r="AJ43" s="1992">
        <f t="shared" si="78"/>
        <v>0</v>
      </c>
      <c r="AK43" s="1992">
        <f t="shared" si="78"/>
        <v>0</v>
      </c>
      <c r="AL43" s="1992">
        <f t="shared" si="78"/>
        <v>0</v>
      </c>
      <c r="AM43" s="1992"/>
      <c r="AN43" s="1992"/>
      <c r="AO43" s="1992">
        <f>AO44+AO45</f>
        <v>0</v>
      </c>
      <c r="AP43" s="1992">
        <f t="shared" ref="AP43:AX43" si="79">AP44+AP45</f>
        <v>0</v>
      </c>
      <c r="AQ43" s="1992">
        <f t="shared" si="79"/>
        <v>0</v>
      </c>
      <c r="AR43" s="1992">
        <f t="shared" si="79"/>
        <v>0</v>
      </c>
      <c r="AS43" s="1992">
        <f t="shared" si="79"/>
        <v>0</v>
      </c>
      <c r="AT43" s="1992">
        <f t="shared" si="79"/>
        <v>0</v>
      </c>
      <c r="AU43" s="1992">
        <f t="shared" si="79"/>
        <v>0</v>
      </c>
      <c r="AV43" s="1992">
        <f t="shared" si="79"/>
        <v>0</v>
      </c>
      <c r="AW43" s="1992">
        <f t="shared" si="79"/>
        <v>0</v>
      </c>
      <c r="AX43" s="1992">
        <f t="shared" si="79"/>
        <v>0</v>
      </c>
      <c r="AY43" s="1992">
        <f>AY44+AY45</f>
        <v>0</v>
      </c>
      <c r="AZ43" s="1992">
        <f>AZ44+AZ45</f>
        <v>0</v>
      </c>
      <c r="BA43" s="1992">
        <f>BA44+BA45</f>
        <v>0</v>
      </c>
      <c r="BB43" s="1992">
        <f t="shared" ref="BB43:BL43" si="80">BB44+BB45</f>
        <v>0</v>
      </c>
      <c r="BC43" s="1992">
        <f t="shared" si="80"/>
        <v>0</v>
      </c>
      <c r="BD43" s="1992">
        <f t="shared" si="80"/>
        <v>0</v>
      </c>
      <c r="BE43" s="1992">
        <f t="shared" si="80"/>
        <v>0</v>
      </c>
      <c r="BF43" s="1992">
        <f t="shared" si="80"/>
        <v>0</v>
      </c>
      <c r="BG43" s="1992">
        <f t="shared" si="80"/>
        <v>0</v>
      </c>
      <c r="BH43" s="1992">
        <f t="shared" si="80"/>
        <v>0</v>
      </c>
      <c r="BI43" s="1992">
        <f t="shared" si="80"/>
        <v>0</v>
      </c>
      <c r="BJ43" s="1992">
        <f t="shared" si="80"/>
        <v>0</v>
      </c>
      <c r="BK43" s="1992">
        <f t="shared" si="80"/>
        <v>0</v>
      </c>
      <c r="BL43" s="1992">
        <f t="shared" si="80"/>
        <v>0</v>
      </c>
      <c r="BM43" s="1992"/>
      <c r="BN43" s="1992">
        <f>BN44+BN45</f>
        <v>0</v>
      </c>
      <c r="BO43" s="1992">
        <f t="shared" ref="BO43:BV43" si="81">BO44+BO45</f>
        <v>0</v>
      </c>
      <c r="BP43" s="1992">
        <f t="shared" si="81"/>
        <v>0</v>
      </c>
      <c r="BQ43" s="1992">
        <f t="shared" si="81"/>
        <v>0</v>
      </c>
      <c r="BR43" s="1992">
        <f t="shared" si="81"/>
        <v>0</v>
      </c>
      <c r="BS43" s="1992">
        <f t="shared" si="81"/>
        <v>0</v>
      </c>
      <c r="BT43" s="1992">
        <f t="shared" si="81"/>
        <v>0</v>
      </c>
      <c r="BU43" s="1992">
        <f t="shared" si="81"/>
        <v>0</v>
      </c>
      <c r="BV43" s="1992">
        <f t="shared" si="81"/>
        <v>0</v>
      </c>
      <c r="BW43" s="1992"/>
      <c r="BX43" s="1992"/>
      <c r="BY43" s="1992">
        <f>BY44+BY45</f>
        <v>0</v>
      </c>
      <c r="BZ43" s="1992">
        <f t="shared" ref="BZ43:CJ43" si="82">BZ44+BZ45</f>
        <v>0</v>
      </c>
      <c r="CA43" s="1992">
        <f t="shared" si="82"/>
        <v>0</v>
      </c>
      <c r="CB43" s="1992">
        <f t="shared" si="82"/>
        <v>0</v>
      </c>
      <c r="CC43" s="1992">
        <f t="shared" si="82"/>
        <v>0</v>
      </c>
      <c r="CD43" s="1992">
        <f t="shared" si="82"/>
        <v>0</v>
      </c>
      <c r="CE43" s="1992">
        <f t="shared" si="82"/>
        <v>0</v>
      </c>
      <c r="CF43" s="1992">
        <f t="shared" si="82"/>
        <v>0</v>
      </c>
      <c r="CG43" s="1992">
        <f t="shared" si="82"/>
        <v>0</v>
      </c>
      <c r="CH43" s="1992">
        <f t="shared" si="82"/>
        <v>0</v>
      </c>
      <c r="CI43" s="1992">
        <f t="shared" si="82"/>
        <v>0</v>
      </c>
      <c r="CJ43" s="1992">
        <f t="shared" si="82"/>
        <v>0</v>
      </c>
      <c r="CK43" s="1992">
        <f>CK44+CK45</f>
        <v>0</v>
      </c>
      <c r="CL43" s="1992">
        <f t="shared" ref="CL43:CV43" si="83">CL44+CL45</f>
        <v>0</v>
      </c>
      <c r="CM43" s="1992">
        <f t="shared" si="83"/>
        <v>0</v>
      </c>
      <c r="CN43" s="1992">
        <f t="shared" si="83"/>
        <v>0</v>
      </c>
      <c r="CO43" s="1992">
        <f t="shared" si="83"/>
        <v>0</v>
      </c>
      <c r="CP43" s="1992">
        <f t="shared" si="83"/>
        <v>0</v>
      </c>
      <c r="CQ43" s="1992">
        <f t="shared" si="83"/>
        <v>0</v>
      </c>
      <c r="CR43" s="1992">
        <f t="shared" si="83"/>
        <v>0</v>
      </c>
      <c r="CS43" s="1992">
        <f t="shared" si="83"/>
        <v>0</v>
      </c>
      <c r="CT43" s="1992">
        <f t="shared" si="83"/>
        <v>0</v>
      </c>
      <c r="CU43" s="1992">
        <f t="shared" si="83"/>
        <v>0</v>
      </c>
      <c r="CV43" s="1992">
        <f t="shared" si="83"/>
        <v>0</v>
      </c>
    </row>
    <row r="44" spans="2:100" ht="21" hidden="1" customHeight="1" thickBot="1">
      <c r="B44" s="1995" t="s">
        <v>1177</v>
      </c>
      <c r="C44" s="1996" t="s">
        <v>1178</v>
      </c>
      <c r="D44" s="1997" t="s">
        <v>1128</v>
      </c>
      <c r="E44" s="1992"/>
      <c r="F44" s="1992"/>
      <c r="G44" s="1992"/>
      <c r="H44" s="2007"/>
      <c r="I44" s="2007"/>
      <c r="J44" s="2007"/>
      <c r="K44" s="2007"/>
      <c r="L44" s="2007"/>
      <c r="M44" s="2007"/>
      <c r="N44" s="2007"/>
      <c r="O44" s="2007"/>
      <c r="P44" s="2007"/>
      <c r="Q44" s="2007"/>
      <c r="R44" s="2007"/>
      <c r="S44" s="2007"/>
      <c r="T44" s="1992"/>
      <c r="U44" s="2007"/>
      <c r="V44" s="2007"/>
      <c r="W44" s="2007"/>
      <c r="X44" s="2007"/>
      <c r="Y44" s="2007"/>
      <c r="Z44" s="2007"/>
      <c r="AA44" s="2007"/>
      <c r="AB44" s="2007"/>
      <c r="AC44" s="1992"/>
      <c r="AD44" s="1992"/>
      <c r="AE44" s="2007"/>
      <c r="AF44" s="2007"/>
      <c r="AG44" s="2007"/>
      <c r="AH44" s="2007"/>
      <c r="AI44" s="2007"/>
      <c r="AJ44" s="2007"/>
      <c r="AK44" s="2007"/>
      <c r="AL44" s="2007"/>
      <c r="AM44" s="2007"/>
      <c r="AN44" s="2007"/>
      <c r="AO44" s="2007"/>
      <c r="AP44" s="2007"/>
      <c r="AQ44" s="2007"/>
      <c r="AR44" s="2007"/>
      <c r="AS44" s="2007"/>
      <c r="AT44" s="2007"/>
      <c r="AU44" s="2007"/>
      <c r="AV44" s="2007"/>
      <c r="AW44" s="2007"/>
      <c r="AX44" s="2007"/>
      <c r="AY44" s="2007"/>
      <c r="AZ44" s="2007"/>
      <c r="BA44" s="2007"/>
      <c r="BB44" s="2007"/>
      <c r="BC44" s="2007"/>
      <c r="BD44" s="2007"/>
      <c r="BE44" s="2007"/>
      <c r="BF44" s="2007"/>
      <c r="BG44" s="2007"/>
      <c r="BH44" s="2007"/>
      <c r="BI44" s="2007"/>
      <c r="BJ44" s="2007"/>
      <c r="BK44" s="2007"/>
      <c r="BL44" s="2007"/>
      <c r="BM44" s="1992"/>
      <c r="BN44" s="1992"/>
      <c r="BO44" s="2007"/>
      <c r="BP44" s="2007"/>
      <c r="BQ44" s="2007"/>
      <c r="BR44" s="2007"/>
      <c r="BS44" s="2007"/>
      <c r="BT44" s="2007"/>
      <c r="BU44" s="2007"/>
      <c r="BV44" s="2007"/>
      <c r="BW44" s="2007"/>
      <c r="BX44" s="2007"/>
      <c r="BY44" s="2007"/>
      <c r="BZ44" s="2007"/>
      <c r="CA44" s="2007"/>
      <c r="CB44" s="2007"/>
      <c r="CC44" s="2007"/>
      <c r="CD44" s="2007"/>
      <c r="CE44" s="2007"/>
      <c r="CF44" s="2007"/>
      <c r="CG44" s="2007"/>
      <c r="CH44" s="2007"/>
      <c r="CI44" s="2007"/>
      <c r="CJ44" s="2007"/>
      <c r="CK44" s="2007"/>
      <c r="CL44" s="2007"/>
      <c r="CM44" s="2007"/>
      <c r="CN44" s="2007"/>
      <c r="CO44" s="2007"/>
      <c r="CP44" s="2007"/>
      <c r="CQ44" s="2007"/>
      <c r="CR44" s="2007"/>
      <c r="CS44" s="2007"/>
      <c r="CT44" s="2007"/>
      <c r="CU44" s="2007"/>
      <c r="CV44" s="2007"/>
    </row>
    <row r="45" spans="2:100" ht="20.25" hidden="1" customHeight="1" outlineLevel="1">
      <c r="B45" s="1995" t="s">
        <v>1179</v>
      </c>
      <c r="C45" s="1996" t="s">
        <v>1180</v>
      </c>
      <c r="D45" s="1997" t="s">
        <v>1128</v>
      </c>
      <c r="E45" s="1992">
        <f>F45+AC45</f>
        <v>0</v>
      </c>
      <c r="F45" s="1992">
        <f>G45+T45</f>
        <v>0</v>
      </c>
      <c r="G45" s="1992">
        <f>SUM(M45:O45)</f>
        <v>0</v>
      </c>
      <c r="H45" s="2007"/>
      <c r="I45" s="2007"/>
      <c r="J45" s="2007"/>
      <c r="K45" s="2007"/>
      <c r="L45" s="2007"/>
      <c r="M45" s="2007"/>
      <c r="N45" s="2007"/>
      <c r="O45" s="2007"/>
      <c r="P45" s="2007"/>
      <c r="Q45" s="2007"/>
      <c r="R45" s="2007"/>
      <c r="S45" s="2007"/>
      <c r="T45" s="1992">
        <f>SUM(Z45:AA45)</f>
        <v>0</v>
      </c>
      <c r="U45" s="2007"/>
      <c r="V45" s="2007"/>
      <c r="W45" s="2007"/>
      <c r="X45" s="2007"/>
      <c r="Y45" s="2007"/>
      <c r="Z45" s="2007"/>
      <c r="AA45" s="2007"/>
      <c r="AB45" s="2007"/>
      <c r="AC45" s="1992">
        <f>AD45+AO45</f>
        <v>0</v>
      </c>
      <c r="AD45" s="1992">
        <f>SUM(AJ45:AL45)</f>
        <v>0</v>
      </c>
      <c r="AE45" s="2007"/>
      <c r="AF45" s="2007"/>
      <c r="AG45" s="2007"/>
      <c r="AH45" s="2007"/>
      <c r="AI45" s="2007"/>
      <c r="AJ45" s="2007"/>
      <c r="AK45" s="2007"/>
      <c r="AL45" s="2007"/>
      <c r="AM45" s="2007"/>
      <c r="AN45" s="2007"/>
      <c r="AO45" s="2007">
        <f>SUM(AU45:AW45)</f>
        <v>0</v>
      </c>
      <c r="AP45" s="2007"/>
      <c r="AQ45" s="2007"/>
      <c r="AR45" s="2007"/>
      <c r="AS45" s="2007"/>
      <c r="AT45" s="2007"/>
      <c r="AU45" s="2007">
        <f>-'[23]расчет_%_на_увеличение_мощн_К'!CC27</f>
        <v>0</v>
      </c>
      <c r="AV45" s="2007">
        <f>-'[23]расчет_%_на_увеличение_мощн_К'!CP27</f>
        <v>0</v>
      </c>
      <c r="AW45" s="2007">
        <f>-'[23]расчет_%_на_увеличение_мощн_К'!DC27</f>
        <v>0</v>
      </c>
      <c r="AX45" s="2007"/>
      <c r="AY45" s="2007"/>
      <c r="AZ45" s="2007"/>
      <c r="BA45" s="2007">
        <f>SUM(BG45:BI45)</f>
        <v>0</v>
      </c>
      <c r="BB45" s="2007"/>
      <c r="BC45" s="2007"/>
      <c r="BD45" s="2007"/>
      <c r="BE45" s="2007"/>
      <c r="BF45" s="2007"/>
      <c r="BG45" s="2007">
        <f>-'[23]расчет_%_на_увеличение_мощн_К'!CO27</f>
        <v>0</v>
      </c>
      <c r="BH45" s="2007">
        <f>-'[23]расчет_%_на_увеличение_мощн_К'!DB27</f>
        <v>0</v>
      </c>
      <c r="BI45" s="2007">
        <f>-'[23]расчет_%_на_увеличение_мощн_К'!DO27</f>
        <v>0</v>
      </c>
      <c r="BJ45" s="2007"/>
      <c r="BK45" s="2007"/>
      <c r="BL45" s="2007"/>
      <c r="BM45" s="1992"/>
      <c r="BN45" s="1992">
        <f>SUM(BT45:BV45)</f>
        <v>0</v>
      </c>
      <c r="BO45" s="2007"/>
      <c r="BP45" s="2007"/>
      <c r="BQ45" s="2007"/>
      <c r="BR45" s="2007"/>
      <c r="BS45" s="2007"/>
      <c r="BT45" s="2007"/>
      <c r="BU45" s="2007"/>
      <c r="BV45" s="2007"/>
      <c r="BW45" s="2007"/>
      <c r="BX45" s="2007"/>
      <c r="BY45" s="2007">
        <f>SUM(CE45:CG45)</f>
        <v>0</v>
      </c>
      <c r="BZ45" s="2007"/>
      <c r="CA45" s="2007"/>
      <c r="CB45" s="2007"/>
      <c r="CC45" s="2007"/>
      <c r="CD45" s="2007"/>
      <c r="CE45" s="2007">
        <f>-'[23]расчет_%_на_увеличение_мощн_К'!DM27</f>
        <v>0</v>
      </c>
      <c r="CF45" s="2007">
        <f>-'[23]расчет_%_на_увеличение_мощн_К'!DZ27</f>
        <v>0</v>
      </c>
      <c r="CG45" s="2007">
        <f>-'[23]расчет_%_на_увеличение_мощн_К'!EM27</f>
        <v>0</v>
      </c>
      <c r="CH45" s="2007"/>
      <c r="CI45" s="2007"/>
      <c r="CJ45" s="2007"/>
      <c r="CK45" s="2007">
        <f>SUM(CQ45:CS45)</f>
        <v>0</v>
      </c>
      <c r="CL45" s="2007"/>
      <c r="CM45" s="2007"/>
      <c r="CN45" s="2007"/>
      <c r="CO45" s="2007"/>
      <c r="CP45" s="2007"/>
      <c r="CQ45" s="2007">
        <f>-'[23]расчет_%_на_увеличение_мощн_К'!DZ27</f>
        <v>0</v>
      </c>
      <c r="CR45" s="2007">
        <f>-'[23]расчет_%_на_увеличение_мощн_К'!EM27</f>
        <v>0</v>
      </c>
      <c r="CS45" s="2007">
        <f>-'[23]расчет_%_на_увеличение_мощн_К'!EZ27</f>
        <v>0</v>
      </c>
      <c r="CT45" s="2007"/>
      <c r="CU45" s="2007"/>
      <c r="CV45" s="2007"/>
    </row>
    <row r="46" spans="2:100" ht="30" customHeight="1" collapsed="1">
      <c r="B46" s="1990" t="s">
        <v>1181</v>
      </c>
      <c r="C46" s="1994" t="s">
        <v>1182</v>
      </c>
      <c r="D46" s="1975" t="s">
        <v>1128</v>
      </c>
      <c r="E46" s="1992">
        <f>F46+AC46</f>
        <v>5979.5377453712354</v>
      </c>
      <c r="F46" s="1992">
        <f>G46+T46</f>
        <v>5277.5994599880414</v>
      </c>
      <c r="G46" s="1992">
        <f>G16/80%*20%+G45/80%*20%</f>
        <v>2329.008276541666</v>
      </c>
      <c r="H46" s="1992"/>
      <c r="I46" s="1992"/>
      <c r="J46" s="1992"/>
      <c r="K46" s="1992"/>
      <c r="L46" s="1992"/>
      <c r="M46" s="1992"/>
      <c r="N46" s="1992"/>
      <c r="O46" s="1992"/>
      <c r="P46" s="1992"/>
      <c r="Q46" s="1992"/>
      <c r="R46" s="1992">
        <f>R16/80%*20%+R45/80%*20%</f>
        <v>452.76809166666663</v>
      </c>
      <c r="S46" s="1992">
        <f>S16/80%*20%+S45/80%*20%</f>
        <v>1876.2401848749996</v>
      </c>
      <c r="T46" s="1992">
        <f>T16/80%*20%+T45/80%*20%</f>
        <v>2948.591183446375</v>
      </c>
      <c r="U46" s="1992">
        <f t="shared" ref="U46:AA46" si="84">U16/80%*20%+U45/80%*20%</f>
        <v>0</v>
      </c>
      <c r="V46" s="1992">
        <f t="shared" si="84"/>
        <v>0</v>
      </c>
      <c r="W46" s="1992">
        <f t="shared" si="84"/>
        <v>0</v>
      </c>
      <c r="X46" s="1992">
        <f t="shared" si="84"/>
        <v>0</v>
      </c>
      <c r="Y46" s="1992">
        <f t="shared" si="84"/>
        <v>0</v>
      </c>
      <c r="Z46" s="1992">
        <f t="shared" si="84"/>
        <v>0</v>
      </c>
      <c r="AA46" s="1992">
        <f t="shared" si="84"/>
        <v>472.909572325</v>
      </c>
      <c r="AB46" s="1992">
        <f>AB16/80%*20%+AB45/80%*20%</f>
        <v>2475.6816111213752</v>
      </c>
      <c r="AC46" s="1992">
        <f>AO46+BY46+CK46</f>
        <v>701.9382853831944</v>
      </c>
      <c r="AD46" s="1992">
        <f>AD16/80%*20%+AD45/80%*20%</f>
        <v>28.037750000000003</v>
      </c>
      <c r="AE46" s="1992">
        <f t="shared" ref="AE46:BL46" si="85">AE16/80%*20%+AE45/80%*20%</f>
        <v>0</v>
      </c>
      <c r="AF46" s="1992">
        <f t="shared" si="85"/>
        <v>0</v>
      </c>
      <c r="AG46" s="1992">
        <f t="shared" si="85"/>
        <v>0</v>
      </c>
      <c r="AH46" s="1992">
        <f t="shared" si="85"/>
        <v>0</v>
      </c>
      <c r="AI46" s="1992">
        <f t="shared" si="85"/>
        <v>0</v>
      </c>
      <c r="AJ46" s="1992">
        <f t="shared" si="85"/>
        <v>0</v>
      </c>
      <c r="AK46" s="1992">
        <f t="shared" si="85"/>
        <v>0</v>
      </c>
      <c r="AL46" s="1992">
        <f t="shared" si="85"/>
        <v>0</v>
      </c>
      <c r="AM46" s="1992"/>
      <c r="AN46" s="1992"/>
      <c r="AO46" s="1992">
        <f>AO16/80%*20%+AO45/80%*20%</f>
        <v>529.28992094374996</v>
      </c>
      <c r="AP46" s="1992">
        <f t="shared" si="85"/>
        <v>0</v>
      </c>
      <c r="AQ46" s="1992">
        <f t="shared" si="85"/>
        <v>0</v>
      </c>
      <c r="AR46" s="1992">
        <f t="shared" si="85"/>
        <v>0</v>
      </c>
      <c r="AS46" s="1992">
        <f t="shared" si="85"/>
        <v>0</v>
      </c>
      <c r="AT46" s="1992">
        <f t="shared" si="85"/>
        <v>0</v>
      </c>
      <c r="AU46" s="1992">
        <f t="shared" si="85"/>
        <v>0</v>
      </c>
      <c r="AV46" s="1992">
        <f t="shared" si="85"/>
        <v>0</v>
      </c>
      <c r="AW46" s="1992">
        <f t="shared" si="85"/>
        <v>0</v>
      </c>
      <c r="AX46" s="1992">
        <f t="shared" si="85"/>
        <v>0</v>
      </c>
      <c r="AY46" s="1992">
        <f t="shared" si="85"/>
        <v>108.43104125000001</v>
      </c>
      <c r="AZ46" s="1992">
        <f t="shared" si="85"/>
        <v>420.85887969375</v>
      </c>
      <c r="BA46" s="1992">
        <f t="shared" si="85"/>
        <v>0</v>
      </c>
      <c r="BB46" s="1992">
        <f t="shared" si="85"/>
        <v>0</v>
      </c>
      <c r="BC46" s="1992">
        <f t="shared" si="85"/>
        <v>0</v>
      </c>
      <c r="BD46" s="1992">
        <f t="shared" si="85"/>
        <v>0</v>
      </c>
      <c r="BE46" s="1992">
        <f t="shared" si="85"/>
        <v>0</v>
      </c>
      <c r="BF46" s="1992">
        <f t="shared" si="85"/>
        <v>0</v>
      </c>
      <c r="BG46" s="1992">
        <f t="shared" si="85"/>
        <v>0</v>
      </c>
      <c r="BH46" s="1992">
        <f t="shared" si="85"/>
        <v>0</v>
      </c>
      <c r="BI46" s="1992">
        <f t="shared" si="85"/>
        <v>0</v>
      </c>
      <c r="BJ46" s="1992">
        <f t="shared" si="85"/>
        <v>0</v>
      </c>
      <c r="BK46" s="1992">
        <f t="shared" si="85"/>
        <v>0</v>
      </c>
      <c r="BL46" s="1992">
        <f t="shared" si="85"/>
        <v>0</v>
      </c>
      <c r="BM46" s="1992"/>
      <c r="BN46" s="1992">
        <f>BN16/80%*20%+BN45/80%*20%</f>
        <v>0</v>
      </c>
      <c r="BO46" s="1992">
        <f t="shared" ref="BO46:BV46" si="86">BO16/80%*20%+BO45/80%*20%</f>
        <v>0</v>
      </c>
      <c r="BP46" s="1992">
        <f t="shared" si="86"/>
        <v>0</v>
      </c>
      <c r="BQ46" s="1992">
        <f t="shared" si="86"/>
        <v>0</v>
      </c>
      <c r="BR46" s="1992">
        <f t="shared" si="86"/>
        <v>0</v>
      </c>
      <c r="BS46" s="1992">
        <f t="shared" si="86"/>
        <v>0</v>
      </c>
      <c r="BT46" s="1992">
        <f t="shared" si="86"/>
        <v>0</v>
      </c>
      <c r="BU46" s="1992">
        <f t="shared" si="86"/>
        <v>0</v>
      </c>
      <c r="BV46" s="1992">
        <f t="shared" si="86"/>
        <v>0</v>
      </c>
      <c r="BW46" s="1992"/>
      <c r="BX46" s="1992"/>
      <c r="BY46" s="1992">
        <f t="shared" ref="BY46:CV46" si="87">BY16/80%*20%+BY45/80%*20%</f>
        <v>19.927293812499997</v>
      </c>
      <c r="BZ46" s="1992">
        <f t="shared" si="87"/>
        <v>0</v>
      </c>
      <c r="CA46" s="1992">
        <f t="shared" si="87"/>
        <v>0</v>
      </c>
      <c r="CB46" s="1992">
        <f t="shared" si="87"/>
        <v>0</v>
      </c>
      <c r="CC46" s="1992">
        <f t="shared" si="87"/>
        <v>0</v>
      </c>
      <c r="CD46" s="1992">
        <f t="shared" si="87"/>
        <v>0</v>
      </c>
      <c r="CE46" s="1992">
        <f t="shared" si="87"/>
        <v>0</v>
      </c>
      <c r="CF46" s="1992">
        <f t="shared" si="87"/>
        <v>0</v>
      </c>
      <c r="CG46" s="1992">
        <f t="shared" si="87"/>
        <v>0</v>
      </c>
      <c r="CH46" s="1992">
        <f t="shared" si="87"/>
        <v>0</v>
      </c>
      <c r="CI46" s="1992">
        <f t="shared" si="87"/>
        <v>3.1960374999999996</v>
      </c>
      <c r="CJ46" s="1992">
        <f t="shared" si="87"/>
        <v>16.731256312499998</v>
      </c>
      <c r="CK46" s="1992">
        <f t="shared" si="87"/>
        <v>152.72107062694445</v>
      </c>
      <c r="CL46" s="1992">
        <f t="shared" si="87"/>
        <v>0</v>
      </c>
      <c r="CM46" s="1992">
        <f t="shared" si="87"/>
        <v>0</v>
      </c>
      <c r="CN46" s="1992">
        <f t="shared" si="87"/>
        <v>0</v>
      </c>
      <c r="CO46" s="1992">
        <f t="shared" si="87"/>
        <v>0</v>
      </c>
      <c r="CP46" s="1992">
        <f t="shared" si="87"/>
        <v>0</v>
      </c>
      <c r="CQ46" s="1992">
        <f t="shared" si="87"/>
        <v>0</v>
      </c>
      <c r="CR46" s="1992">
        <f t="shared" si="87"/>
        <v>0</v>
      </c>
      <c r="CS46" s="1992">
        <f t="shared" si="87"/>
        <v>0</v>
      </c>
      <c r="CT46" s="1992">
        <f t="shared" si="87"/>
        <v>0</v>
      </c>
      <c r="CU46" s="1992">
        <f t="shared" si="87"/>
        <v>110.22370775</v>
      </c>
      <c r="CV46" s="1992">
        <f t="shared" si="87"/>
        <v>577.02111007124995</v>
      </c>
    </row>
    <row r="47" spans="2:100" ht="20.25" hidden="1" customHeight="1">
      <c r="B47" s="1990">
        <v>2</v>
      </c>
      <c r="C47" s="2020" t="s">
        <v>1183</v>
      </c>
      <c r="D47" s="1975"/>
      <c r="E47" s="1992"/>
      <c r="F47" s="1992"/>
      <c r="G47" s="1992"/>
      <c r="H47" s="1992"/>
      <c r="I47" s="1992"/>
      <c r="J47" s="1992"/>
      <c r="K47" s="1992"/>
      <c r="L47" s="1992"/>
      <c r="M47" s="1992"/>
      <c r="N47" s="1992"/>
      <c r="O47" s="1992"/>
      <c r="P47" s="1992"/>
      <c r="Q47" s="1992"/>
      <c r="R47" s="1992"/>
      <c r="S47" s="1992"/>
      <c r="T47" s="1992"/>
      <c r="U47" s="1992"/>
      <c r="V47" s="1992"/>
      <c r="W47" s="1992"/>
      <c r="X47" s="1992"/>
      <c r="Y47" s="1992"/>
      <c r="Z47" s="1992"/>
      <c r="AA47" s="1992"/>
      <c r="AB47" s="1992"/>
      <c r="AC47" s="1992"/>
      <c r="AD47" s="1992"/>
      <c r="AE47" s="1992"/>
      <c r="AF47" s="1992"/>
      <c r="AG47" s="1992"/>
      <c r="AH47" s="1992"/>
      <c r="AI47" s="1992"/>
      <c r="AJ47" s="1992"/>
      <c r="AK47" s="1992"/>
      <c r="AL47" s="1992"/>
      <c r="AM47" s="1992"/>
      <c r="AN47" s="1992"/>
      <c r="AO47" s="1992"/>
      <c r="AP47" s="1992"/>
      <c r="AQ47" s="1992"/>
      <c r="AR47" s="1992"/>
      <c r="AS47" s="1992"/>
      <c r="AT47" s="1992"/>
      <c r="AU47" s="1992"/>
      <c r="AV47" s="1992"/>
      <c r="AW47" s="1992"/>
      <c r="AX47" s="1992"/>
      <c r="AY47" s="1992"/>
      <c r="AZ47" s="1992"/>
      <c r="BA47" s="1992"/>
      <c r="BB47" s="1992"/>
      <c r="BC47" s="1992"/>
      <c r="BD47" s="1992"/>
      <c r="BE47" s="1992"/>
      <c r="BF47" s="1992"/>
      <c r="BG47" s="1992"/>
      <c r="BH47" s="1992"/>
      <c r="BI47" s="1992"/>
      <c r="BJ47" s="1992"/>
      <c r="BK47" s="1992"/>
      <c r="BL47" s="1992"/>
      <c r="BM47" s="1992"/>
      <c r="BN47" s="1992"/>
      <c r="BO47" s="1992"/>
      <c r="BP47" s="1992"/>
      <c r="BQ47" s="1992"/>
      <c r="BR47" s="1992"/>
      <c r="BS47" s="1992"/>
      <c r="BT47" s="1992"/>
      <c r="BU47" s="1992"/>
      <c r="BV47" s="1992"/>
      <c r="BW47" s="1992"/>
      <c r="BX47" s="1992"/>
      <c r="BY47" s="1992"/>
      <c r="BZ47" s="1992"/>
      <c r="CA47" s="1992"/>
      <c r="CB47" s="1992"/>
      <c r="CC47" s="1992"/>
      <c r="CD47" s="1992"/>
      <c r="CE47" s="1992"/>
      <c r="CF47" s="1992"/>
      <c r="CG47" s="1992"/>
      <c r="CH47" s="1992"/>
      <c r="CI47" s="1992"/>
      <c r="CJ47" s="1992"/>
      <c r="CK47" s="1992"/>
      <c r="CL47" s="1992"/>
      <c r="CM47" s="1992"/>
      <c r="CN47" s="1992"/>
      <c r="CO47" s="1992"/>
      <c r="CP47" s="1992"/>
      <c r="CQ47" s="1992"/>
      <c r="CR47" s="1992"/>
      <c r="CS47" s="1992"/>
      <c r="CT47" s="1992"/>
      <c r="CU47" s="1992"/>
      <c r="CV47" s="1992"/>
    </row>
    <row r="48" spans="2:100" ht="20.25" hidden="1" customHeight="1" outlineLevel="1">
      <c r="B48" s="1990" t="s">
        <v>1184</v>
      </c>
      <c r="C48" s="1994" t="s">
        <v>1185</v>
      </c>
      <c r="D48" s="1975" t="s">
        <v>1128</v>
      </c>
      <c r="E48" s="1992"/>
      <c r="F48" s="1992"/>
      <c r="G48" s="1992"/>
      <c r="H48" s="1992"/>
      <c r="I48" s="1992"/>
      <c r="J48" s="1992"/>
      <c r="K48" s="1992"/>
      <c r="L48" s="1992"/>
      <c r="M48" s="1992"/>
      <c r="N48" s="1992"/>
      <c r="O48" s="1992"/>
      <c r="P48" s="1992"/>
      <c r="Q48" s="1992"/>
      <c r="R48" s="1992"/>
      <c r="S48" s="1992"/>
      <c r="T48" s="1992"/>
      <c r="U48" s="1992"/>
      <c r="V48" s="1992"/>
      <c r="W48" s="1992"/>
      <c r="X48" s="1992"/>
      <c r="Y48" s="1992"/>
      <c r="Z48" s="1992"/>
      <c r="AA48" s="1992"/>
      <c r="AB48" s="1992"/>
      <c r="AC48" s="1992"/>
      <c r="AD48" s="1992"/>
      <c r="AE48" s="1992"/>
      <c r="AF48" s="1992"/>
      <c r="AG48" s="1992"/>
      <c r="AH48" s="1992"/>
      <c r="AI48" s="1992"/>
      <c r="AJ48" s="1992"/>
      <c r="AK48" s="1992"/>
      <c r="AL48" s="1992"/>
      <c r="AM48" s="1992"/>
      <c r="AN48" s="1992"/>
      <c r="AO48" s="1992"/>
      <c r="AP48" s="1992"/>
      <c r="AQ48" s="1992"/>
      <c r="AR48" s="1992"/>
      <c r="AS48" s="1992"/>
      <c r="AT48" s="1992"/>
      <c r="AU48" s="1992"/>
      <c r="AV48" s="1992"/>
      <c r="AW48" s="1992"/>
      <c r="AX48" s="1992"/>
      <c r="AY48" s="1992"/>
      <c r="AZ48" s="1992"/>
      <c r="BA48" s="1992"/>
      <c r="BB48" s="1992"/>
      <c r="BC48" s="1992"/>
      <c r="BD48" s="1992"/>
      <c r="BE48" s="1992"/>
      <c r="BF48" s="1992"/>
      <c r="BG48" s="1992"/>
      <c r="BH48" s="1992"/>
      <c r="BI48" s="1992"/>
      <c r="BJ48" s="1992"/>
      <c r="BK48" s="1992"/>
      <c r="BL48" s="1992"/>
      <c r="BM48" s="1992"/>
      <c r="BN48" s="1992"/>
      <c r="BO48" s="1992"/>
      <c r="BP48" s="1992"/>
      <c r="BQ48" s="1992"/>
      <c r="BR48" s="1992"/>
      <c r="BS48" s="1992"/>
      <c r="BT48" s="1992"/>
      <c r="BU48" s="1992"/>
      <c r="BV48" s="1992"/>
      <c r="BW48" s="1992"/>
      <c r="BX48" s="1992"/>
      <c r="BY48" s="1992"/>
      <c r="BZ48" s="1992"/>
      <c r="CA48" s="1992"/>
      <c r="CB48" s="1992"/>
      <c r="CC48" s="1992"/>
      <c r="CD48" s="1992"/>
      <c r="CE48" s="1992"/>
      <c r="CF48" s="1992"/>
      <c r="CG48" s="1992"/>
      <c r="CH48" s="1992"/>
      <c r="CI48" s="1992"/>
      <c r="CJ48" s="1992"/>
      <c r="CK48" s="1992"/>
      <c r="CL48" s="1992"/>
      <c r="CM48" s="1992"/>
      <c r="CN48" s="1992"/>
      <c r="CO48" s="1992"/>
      <c r="CP48" s="1992"/>
      <c r="CQ48" s="1992"/>
      <c r="CR48" s="1992"/>
      <c r="CS48" s="1992"/>
      <c r="CT48" s="1992"/>
      <c r="CU48" s="1992"/>
      <c r="CV48" s="1992"/>
    </row>
    <row r="49" spans="2:100" ht="20.25" hidden="1" customHeight="1" outlineLevel="2">
      <c r="B49" s="1995" t="s">
        <v>1186</v>
      </c>
      <c r="C49" s="1996" t="s">
        <v>1187</v>
      </c>
      <c r="D49" s="1997" t="s">
        <v>1128</v>
      </c>
      <c r="E49" s="1992"/>
      <c r="F49" s="1992"/>
      <c r="G49" s="1992"/>
      <c r="H49" s="2007"/>
      <c r="I49" s="2007"/>
      <c r="J49" s="2007"/>
      <c r="K49" s="2007"/>
      <c r="L49" s="2007"/>
      <c r="M49" s="2007"/>
      <c r="N49" s="2007"/>
      <c r="O49" s="2007"/>
      <c r="P49" s="2007"/>
      <c r="Q49" s="2007"/>
      <c r="R49" s="2007"/>
      <c r="S49" s="2007"/>
      <c r="T49" s="1992"/>
      <c r="U49" s="2007"/>
      <c r="V49" s="2007"/>
      <c r="W49" s="2007"/>
      <c r="X49" s="2007"/>
      <c r="Y49" s="2007"/>
      <c r="Z49" s="2007"/>
      <c r="AA49" s="2007"/>
      <c r="AB49" s="2007"/>
      <c r="AC49" s="1992"/>
      <c r="AD49" s="1992"/>
      <c r="AE49" s="2007"/>
      <c r="AF49" s="2007"/>
      <c r="AG49" s="2007"/>
      <c r="AH49" s="2007"/>
      <c r="AI49" s="2007"/>
      <c r="AJ49" s="2007"/>
      <c r="AK49" s="2007"/>
      <c r="AL49" s="2007"/>
      <c r="AM49" s="2007"/>
      <c r="AN49" s="2007"/>
      <c r="AO49" s="2007"/>
      <c r="AP49" s="2007"/>
      <c r="AQ49" s="2007"/>
      <c r="AR49" s="2007"/>
      <c r="AS49" s="2007"/>
      <c r="AT49" s="2007"/>
      <c r="AU49" s="2007"/>
      <c r="AV49" s="2007"/>
      <c r="AW49" s="2007"/>
      <c r="AX49" s="2007"/>
      <c r="AY49" s="2007"/>
      <c r="AZ49" s="2007"/>
      <c r="BA49" s="2007"/>
      <c r="BB49" s="2007"/>
      <c r="BC49" s="2007"/>
      <c r="BD49" s="2007"/>
      <c r="BE49" s="2007"/>
      <c r="BF49" s="2007"/>
      <c r="BG49" s="2007"/>
      <c r="BH49" s="2007"/>
      <c r="BI49" s="2007"/>
      <c r="BJ49" s="2007"/>
      <c r="BK49" s="2007"/>
      <c r="BL49" s="2007"/>
      <c r="BM49" s="1992"/>
      <c r="BN49" s="1992"/>
      <c r="BO49" s="2007"/>
      <c r="BP49" s="2007"/>
      <c r="BQ49" s="2007"/>
      <c r="BR49" s="2007"/>
      <c r="BS49" s="2007"/>
      <c r="BT49" s="2007"/>
      <c r="BU49" s="2007"/>
      <c r="BV49" s="2007"/>
      <c r="BW49" s="2007"/>
      <c r="BX49" s="2007"/>
      <c r="BY49" s="2007"/>
      <c r="BZ49" s="2007"/>
      <c r="CA49" s="2007"/>
      <c r="CB49" s="2007"/>
      <c r="CC49" s="2007"/>
      <c r="CD49" s="2007"/>
      <c r="CE49" s="2007"/>
      <c r="CF49" s="2007"/>
      <c r="CG49" s="2007"/>
      <c r="CH49" s="2007"/>
      <c r="CI49" s="2007"/>
      <c r="CJ49" s="2007"/>
      <c r="CK49" s="2007"/>
      <c r="CL49" s="2007"/>
      <c r="CM49" s="2007"/>
      <c r="CN49" s="2007"/>
      <c r="CO49" s="2007"/>
      <c r="CP49" s="2007"/>
      <c r="CQ49" s="2007"/>
      <c r="CR49" s="2007"/>
      <c r="CS49" s="2007"/>
      <c r="CT49" s="2007"/>
      <c r="CU49" s="2007"/>
      <c r="CV49" s="2007"/>
    </row>
    <row r="50" spans="2:100" ht="40.5" hidden="1" customHeight="1" outlineLevel="2">
      <c r="B50" s="1995" t="s">
        <v>1188</v>
      </c>
      <c r="C50" s="1996" t="s">
        <v>1189</v>
      </c>
      <c r="D50" s="1997" t="s">
        <v>1128</v>
      </c>
      <c r="E50" s="1992"/>
      <c r="F50" s="1992"/>
      <c r="G50" s="1992"/>
      <c r="H50" s="2007"/>
      <c r="I50" s="2007"/>
      <c r="J50" s="2007"/>
      <c r="K50" s="2007"/>
      <c r="L50" s="2007"/>
      <c r="M50" s="2007"/>
      <c r="N50" s="2007"/>
      <c r="O50" s="2007"/>
      <c r="P50" s="2007"/>
      <c r="Q50" s="2007"/>
      <c r="R50" s="2007"/>
      <c r="S50" s="2007"/>
      <c r="T50" s="1992"/>
      <c r="U50" s="2007"/>
      <c r="V50" s="2007"/>
      <c r="W50" s="2007"/>
      <c r="X50" s="2007"/>
      <c r="Y50" s="2007"/>
      <c r="Z50" s="2007"/>
      <c r="AA50" s="2007"/>
      <c r="AB50" s="2007"/>
      <c r="AC50" s="1992"/>
      <c r="AD50" s="1992"/>
      <c r="AE50" s="2007"/>
      <c r="AF50" s="2007"/>
      <c r="AG50" s="2007"/>
      <c r="AH50" s="2007"/>
      <c r="AI50" s="2007"/>
      <c r="AJ50" s="2007"/>
      <c r="AK50" s="2007"/>
      <c r="AL50" s="2007"/>
      <c r="AM50" s="2007"/>
      <c r="AN50" s="2007"/>
      <c r="AO50" s="2007"/>
      <c r="AP50" s="2007"/>
      <c r="AQ50" s="2007"/>
      <c r="AR50" s="2007"/>
      <c r="AS50" s="2007"/>
      <c r="AT50" s="2007"/>
      <c r="AU50" s="2007"/>
      <c r="AV50" s="2007"/>
      <c r="AW50" s="2007"/>
      <c r="AX50" s="2007"/>
      <c r="AY50" s="2007"/>
      <c r="AZ50" s="2007"/>
      <c r="BA50" s="2007"/>
      <c r="BB50" s="2007"/>
      <c r="BC50" s="2007"/>
      <c r="BD50" s="2007"/>
      <c r="BE50" s="2007"/>
      <c r="BF50" s="2007"/>
      <c r="BG50" s="2007"/>
      <c r="BH50" s="2007"/>
      <c r="BI50" s="2007"/>
      <c r="BJ50" s="2007"/>
      <c r="BK50" s="2007"/>
      <c r="BL50" s="2007"/>
      <c r="BM50" s="1992"/>
      <c r="BN50" s="1992"/>
      <c r="BO50" s="2007"/>
      <c r="BP50" s="2007"/>
      <c r="BQ50" s="2007"/>
      <c r="BR50" s="2007"/>
      <c r="BS50" s="2007"/>
      <c r="BT50" s="2007"/>
      <c r="BU50" s="2007"/>
      <c r="BV50" s="2007"/>
      <c r="BW50" s="2007"/>
      <c r="BX50" s="2007"/>
      <c r="BY50" s="2007"/>
      <c r="BZ50" s="2007"/>
      <c r="CA50" s="2007"/>
      <c r="CB50" s="2007"/>
      <c r="CC50" s="2007"/>
      <c r="CD50" s="2007"/>
      <c r="CE50" s="2007"/>
      <c r="CF50" s="2007"/>
      <c r="CG50" s="2007"/>
      <c r="CH50" s="2007"/>
      <c r="CI50" s="2007"/>
      <c r="CJ50" s="2007"/>
      <c r="CK50" s="2007"/>
      <c r="CL50" s="2007"/>
      <c r="CM50" s="2007"/>
      <c r="CN50" s="2007"/>
      <c r="CO50" s="2007"/>
      <c r="CP50" s="2007"/>
      <c r="CQ50" s="2007"/>
      <c r="CR50" s="2007"/>
      <c r="CS50" s="2007"/>
      <c r="CT50" s="2007"/>
      <c r="CU50" s="2007"/>
      <c r="CV50" s="2007"/>
    </row>
    <row r="51" spans="2:100" ht="40.5" hidden="1" customHeight="1" outlineLevel="2">
      <c r="B51" s="1995" t="s">
        <v>1190</v>
      </c>
      <c r="C51" s="1996" t="s">
        <v>1191</v>
      </c>
      <c r="D51" s="1997" t="s">
        <v>1128</v>
      </c>
      <c r="E51" s="1992"/>
      <c r="F51" s="1992"/>
      <c r="G51" s="1992"/>
      <c r="H51" s="2007"/>
      <c r="I51" s="2007"/>
      <c r="J51" s="2007"/>
      <c r="K51" s="2007"/>
      <c r="L51" s="2007"/>
      <c r="M51" s="2007"/>
      <c r="N51" s="2007"/>
      <c r="O51" s="2007"/>
      <c r="P51" s="2007"/>
      <c r="Q51" s="2007"/>
      <c r="R51" s="2007"/>
      <c r="S51" s="2007"/>
      <c r="T51" s="1992"/>
      <c r="U51" s="2007"/>
      <c r="V51" s="2007"/>
      <c r="W51" s="2007"/>
      <c r="X51" s="2007"/>
      <c r="Y51" s="2007"/>
      <c r="Z51" s="2007"/>
      <c r="AA51" s="2007"/>
      <c r="AB51" s="2007"/>
      <c r="AC51" s="1992"/>
      <c r="AD51" s="1992"/>
      <c r="AE51" s="2007"/>
      <c r="AF51" s="2007"/>
      <c r="AG51" s="2007"/>
      <c r="AH51" s="2007"/>
      <c r="AI51" s="2007"/>
      <c r="AJ51" s="2007"/>
      <c r="AK51" s="2007"/>
      <c r="AL51" s="2007"/>
      <c r="AM51" s="2007"/>
      <c r="AN51" s="2007"/>
      <c r="AO51" s="2007"/>
      <c r="AP51" s="2007"/>
      <c r="AQ51" s="2007"/>
      <c r="AR51" s="2007"/>
      <c r="AS51" s="2007"/>
      <c r="AT51" s="2007"/>
      <c r="AU51" s="2007"/>
      <c r="AV51" s="2007"/>
      <c r="AW51" s="2007"/>
      <c r="AX51" s="2007"/>
      <c r="AY51" s="2007"/>
      <c r="AZ51" s="2007"/>
      <c r="BA51" s="2007"/>
      <c r="BB51" s="2007"/>
      <c r="BC51" s="2007"/>
      <c r="BD51" s="2007"/>
      <c r="BE51" s="2007"/>
      <c r="BF51" s="2007"/>
      <c r="BG51" s="2007"/>
      <c r="BH51" s="2007"/>
      <c r="BI51" s="2007"/>
      <c r="BJ51" s="2007"/>
      <c r="BK51" s="2007"/>
      <c r="BL51" s="2007"/>
      <c r="BM51" s="1992"/>
      <c r="BN51" s="1992"/>
      <c r="BO51" s="2007"/>
      <c r="BP51" s="2007"/>
      <c r="BQ51" s="2007"/>
      <c r="BR51" s="2007"/>
      <c r="BS51" s="2007"/>
      <c r="BT51" s="2007"/>
      <c r="BU51" s="2007"/>
      <c r="BV51" s="2007"/>
      <c r="BW51" s="2007"/>
      <c r="BX51" s="2007"/>
      <c r="BY51" s="2007"/>
      <c r="BZ51" s="2007"/>
      <c r="CA51" s="2007"/>
      <c r="CB51" s="2007"/>
      <c r="CC51" s="2007"/>
      <c r="CD51" s="2007"/>
      <c r="CE51" s="2007"/>
      <c r="CF51" s="2007"/>
      <c r="CG51" s="2007"/>
      <c r="CH51" s="2007"/>
      <c r="CI51" s="2007"/>
      <c r="CJ51" s="2007"/>
      <c r="CK51" s="2007"/>
      <c r="CL51" s="2007"/>
      <c r="CM51" s="2007"/>
      <c r="CN51" s="2007"/>
      <c r="CO51" s="2007"/>
      <c r="CP51" s="2007"/>
      <c r="CQ51" s="2007"/>
      <c r="CR51" s="2007"/>
      <c r="CS51" s="2007"/>
      <c r="CT51" s="2007"/>
      <c r="CU51" s="2007"/>
      <c r="CV51" s="2007"/>
    </row>
    <row r="52" spans="2:100" ht="40.5" hidden="1" customHeight="1" outlineLevel="2">
      <c r="B52" s="1995" t="s">
        <v>1192</v>
      </c>
      <c r="C52" s="1996" t="s">
        <v>1193</v>
      </c>
      <c r="D52" s="1997" t="s">
        <v>1128</v>
      </c>
      <c r="E52" s="1992"/>
      <c r="F52" s="1992"/>
      <c r="G52" s="1992"/>
      <c r="H52" s="2007"/>
      <c r="I52" s="2007"/>
      <c r="J52" s="2007"/>
      <c r="K52" s="2007"/>
      <c r="L52" s="2007"/>
      <c r="M52" s="2007"/>
      <c r="N52" s="2007"/>
      <c r="O52" s="2007"/>
      <c r="P52" s="2007"/>
      <c r="Q52" s="2007"/>
      <c r="R52" s="2007"/>
      <c r="S52" s="2007"/>
      <c r="T52" s="1992"/>
      <c r="U52" s="2007"/>
      <c r="V52" s="2007"/>
      <c r="W52" s="2007"/>
      <c r="X52" s="2007"/>
      <c r="Y52" s="2007"/>
      <c r="Z52" s="2007"/>
      <c r="AA52" s="2007"/>
      <c r="AB52" s="2007"/>
      <c r="AC52" s="1992"/>
      <c r="AD52" s="1992"/>
      <c r="AE52" s="2007"/>
      <c r="AF52" s="2007"/>
      <c r="AG52" s="2007"/>
      <c r="AH52" s="2007"/>
      <c r="AI52" s="2007"/>
      <c r="AJ52" s="2007"/>
      <c r="AK52" s="2007"/>
      <c r="AL52" s="2007"/>
      <c r="AM52" s="2007"/>
      <c r="AN52" s="2007"/>
      <c r="AO52" s="2007"/>
      <c r="AP52" s="2007"/>
      <c r="AQ52" s="2007"/>
      <c r="AR52" s="2007"/>
      <c r="AS52" s="2007"/>
      <c r="AT52" s="2007"/>
      <c r="AU52" s="2007"/>
      <c r="AV52" s="2007"/>
      <c r="AW52" s="2007"/>
      <c r="AX52" s="2007"/>
      <c r="AY52" s="2007"/>
      <c r="AZ52" s="2007"/>
      <c r="BA52" s="2007"/>
      <c r="BB52" s="2007"/>
      <c r="BC52" s="2007"/>
      <c r="BD52" s="2007"/>
      <c r="BE52" s="2007"/>
      <c r="BF52" s="2007"/>
      <c r="BG52" s="2007"/>
      <c r="BH52" s="2007"/>
      <c r="BI52" s="2007"/>
      <c r="BJ52" s="2007"/>
      <c r="BK52" s="2007"/>
      <c r="BL52" s="2007"/>
      <c r="BM52" s="1992"/>
      <c r="BN52" s="1992"/>
      <c r="BO52" s="2007"/>
      <c r="BP52" s="2007"/>
      <c r="BQ52" s="2007"/>
      <c r="BR52" s="2007"/>
      <c r="BS52" s="2007"/>
      <c r="BT52" s="2007"/>
      <c r="BU52" s="2007"/>
      <c r="BV52" s="2007"/>
      <c r="BW52" s="2007"/>
      <c r="BX52" s="2007"/>
      <c r="BY52" s="2007"/>
      <c r="BZ52" s="2007"/>
      <c r="CA52" s="2007"/>
      <c r="CB52" s="2007"/>
      <c r="CC52" s="2007"/>
      <c r="CD52" s="2007"/>
      <c r="CE52" s="2007"/>
      <c r="CF52" s="2007"/>
      <c r="CG52" s="2007"/>
      <c r="CH52" s="2007"/>
      <c r="CI52" s="2007"/>
      <c r="CJ52" s="2007"/>
      <c r="CK52" s="2007"/>
      <c r="CL52" s="2007"/>
      <c r="CM52" s="2007"/>
      <c r="CN52" s="2007"/>
      <c r="CO52" s="2007"/>
      <c r="CP52" s="2007"/>
      <c r="CQ52" s="2007"/>
      <c r="CR52" s="2007"/>
      <c r="CS52" s="2007"/>
      <c r="CT52" s="2007"/>
      <c r="CU52" s="2007"/>
      <c r="CV52" s="2007"/>
    </row>
    <row r="53" spans="2:100" ht="40.5" hidden="1" customHeight="1" outlineLevel="2">
      <c r="B53" s="1995"/>
      <c r="C53" s="1996" t="s">
        <v>1194</v>
      </c>
      <c r="D53" s="1997" t="s">
        <v>1128</v>
      </c>
      <c r="E53" s="1992"/>
      <c r="F53" s="1992"/>
      <c r="G53" s="1992"/>
      <c r="H53" s="2007"/>
      <c r="I53" s="2007"/>
      <c r="J53" s="2007"/>
      <c r="K53" s="2007"/>
      <c r="L53" s="2007"/>
      <c r="M53" s="2007"/>
      <c r="N53" s="2007"/>
      <c r="O53" s="2007"/>
      <c r="P53" s="2007"/>
      <c r="Q53" s="2007"/>
      <c r="R53" s="2007"/>
      <c r="S53" s="2007"/>
      <c r="T53" s="1992"/>
      <c r="U53" s="2007"/>
      <c r="V53" s="2007"/>
      <c r="W53" s="2007"/>
      <c r="X53" s="2007"/>
      <c r="Y53" s="2007"/>
      <c r="Z53" s="2007"/>
      <c r="AA53" s="2007"/>
      <c r="AB53" s="2007"/>
      <c r="AC53" s="1992"/>
      <c r="AD53" s="1992"/>
      <c r="AE53" s="2007"/>
      <c r="AF53" s="2007"/>
      <c r="AG53" s="2007"/>
      <c r="AH53" s="2007"/>
      <c r="AI53" s="2007"/>
      <c r="AJ53" s="2007"/>
      <c r="AK53" s="2007"/>
      <c r="AL53" s="2007"/>
      <c r="AM53" s="2007"/>
      <c r="AN53" s="2007"/>
      <c r="AO53" s="2007"/>
      <c r="AP53" s="2007"/>
      <c r="AQ53" s="2007"/>
      <c r="AR53" s="2007"/>
      <c r="AS53" s="2007"/>
      <c r="AT53" s="2007"/>
      <c r="AU53" s="2007"/>
      <c r="AV53" s="2007"/>
      <c r="AW53" s="2007"/>
      <c r="AX53" s="2007"/>
      <c r="AY53" s="2007"/>
      <c r="AZ53" s="2007"/>
      <c r="BA53" s="2007"/>
      <c r="BB53" s="2007"/>
      <c r="BC53" s="2007"/>
      <c r="BD53" s="2007"/>
      <c r="BE53" s="2007"/>
      <c r="BF53" s="2007"/>
      <c r="BG53" s="2007"/>
      <c r="BH53" s="2007"/>
      <c r="BI53" s="2007"/>
      <c r="BJ53" s="2007"/>
      <c r="BK53" s="2007"/>
      <c r="BL53" s="2007"/>
      <c r="BM53" s="1992"/>
      <c r="BN53" s="1992"/>
      <c r="BO53" s="2007"/>
      <c r="BP53" s="2007"/>
      <c r="BQ53" s="2007"/>
      <c r="BR53" s="2007"/>
      <c r="BS53" s="2007"/>
      <c r="BT53" s="2007"/>
      <c r="BU53" s="2007"/>
      <c r="BV53" s="2007"/>
      <c r="BW53" s="2007"/>
      <c r="BX53" s="2007"/>
      <c r="BY53" s="2007"/>
      <c r="BZ53" s="2007"/>
      <c r="CA53" s="2007"/>
      <c r="CB53" s="2007"/>
      <c r="CC53" s="2007"/>
      <c r="CD53" s="2007"/>
      <c r="CE53" s="2007"/>
      <c r="CF53" s="2007"/>
      <c r="CG53" s="2007"/>
      <c r="CH53" s="2007"/>
      <c r="CI53" s="2007"/>
      <c r="CJ53" s="2007"/>
      <c r="CK53" s="2007"/>
      <c r="CL53" s="2007"/>
      <c r="CM53" s="2007"/>
      <c r="CN53" s="2007"/>
      <c r="CO53" s="2007"/>
      <c r="CP53" s="2007"/>
      <c r="CQ53" s="2007"/>
      <c r="CR53" s="2007"/>
      <c r="CS53" s="2007"/>
      <c r="CT53" s="2007"/>
      <c r="CU53" s="2007"/>
      <c r="CV53" s="2007"/>
    </row>
    <row r="54" spans="2:100" ht="40.5" hidden="1" customHeight="1" outlineLevel="2">
      <c r="B54" s="1995" t="s">
        <v>1195</v>
      </c>
      <c r="C54" s="1996" t="s">
        <v>1196</v>
      </c>
      <c r="D54" s="1997" t="s">
        <v>1128</v>
      </c>
      <c r="E54" s="1992"/>
      <c r="F54" s="1992"/>
      <c r="G54" s="1992"/>
      <c r="H54" s="2007"/>
      <c r="I54" s="2007"/>
      <c r="J54" s="2007"/>
      <c r="K54" s="2007"/>
      <c r="L54" s="2007"/>
      <c r="M54" s="2007"/>
      <c r="N54" s="2007"/>
      <c r="O54" s="2007"/>
      <c r="P54" s="2007"/>
      <c r="Q54" s="2007"/>
      <c r="R54" s="2007"/>
      <c r="S54" s="2007"/>
      <c r="T54" s="1992"/>
      <c r="U54" s="2007"/>
      <c r="V54" s="2007"/>
      <c r="W54" s="2007"/>
      <c r="X54" s="2007"/>
      <c r="Y54" s="2007"/>
      <c r="Z54" s="2007"/>
      <c r="AA54" s="2007"/>
      <c r="AB54" s="2007"/>
      <c r="AC54" s="1992"/>
      <c r="AD54" s="1992"/>
      <c r="AE54" s="2007"/>
      <c r="AF54" s="2007"/>
      <c r="AG54" s="2007"/>
      <c r="AH54" s="2007"/>
      <c r="AI54" s="2007"/>
      <c r="AJ54" s="2007"/>
      <c r="AK54" s="2007"/>
      <c r="AL54" s="2007"/>
      <c r="AM54" s="2007"/>
      <c r="AN54" s="2007"/>
      <c r="AO54" s="2007"/>
      <c r="AP54" s="2007"/>
      <c r="AQ54" s="2007"/>
      <c r="AR54" s="2007"/>
      <c r="AS54" s="2007"/>
      <c r="AT54" s="2007"/>
      <c r="AU54" s="2007"/>
      <c r="AV54" s="2007"/>
      <c r="AW54" s="2007"/>
      <c r="AX54" s="2007"/>
      <c r="AY54" s="2007"/>
      <c r="AZ54" s="2007"/>
      <c r="BA54" s="2007"/>
      <c r="BB54" s="2007"/>
      <c r="BC54" s="2007"/>
      <c r="BD54" s="2007"/>
      <c r="BE54" s="2007"/>
      <c r="BF54" s="2007"/>
      <c r="BG54" s="2007"/>
      <c r="BH54" s="2007"/>
      <c r="BI54" s="2007"/>
      <c r="BJ54" s="2007"/>
      <c r="BK54" s="2007"/>
      <c r="BL54" s="2007"/>
      <c r="BM54" s="1992"/>
      <c r="BN54" s="1992"/>
      <c r="BO54" s="2007"/>
      <c r="BP54" s="2007"/>
      <c r="BQ54" s="2007"/>
      <c r="BR54" s="2007"/>
      <c r="BS54" s="2007"/>
      <c r="BT54" s="2007"/>
      <c r="BU54" s="2007"/>
      <c r="BV54" s="2007"/>
      <c r="BW54" s="2007"/>
      <c r="BX54" s="2007"/>
      <c r="BY54" s="2007"/>
      <c r="BZ54" s="2007"/>
      <c r="CA54" s="2007"/>
      <c r="CB54" s="2007"/>
      <c r="CC54" s="2007"/>
      <c r="CD54" s="2007"/>
      <c r="CE54" s="2007"/>
      <c r="CF54" s="2007"/>
      <c r="CG54" s="2007"/>
      <c r="CH54" s="2007"/>
      <c r="CI54" s="2007"/>
      <c r="CJ54" s="2007"/>
      <c r="CK54" s="2007"/>
      <c r="CL54" s="2007"/>
      <c r="CM54" s="2007"/>
      <c r="CN54" s="2007"/>
      <c r="CO54" s="2007"/>
      <c r="CP54" s="2007"/>
      <c r="CQ54" s="2007"/>
      <c r="CR54" s="2007"/>
      <c r="CS54" s="2007"/>
      <c r="CT54" s="2007"/>
      <c r="CU54" s="2007"/>
      <c r="CV54" s="2007"/>
    </row>
    <row r="55" spans="2:100" ht="20.25" hidden="1" customHeight="1" outlineLevel="2">
      <c r="B55" s="1995" t="s">
        <v>1197</v>
      </c>
      <c r="C55" s="1996" t="s">
        <v>1198</v>
      </c>
      <c r="D55" s="1997" t="s">
        <v>1128</v>
      </c>
      <c r="E55" s="1992"/>
      <c r="F55" s="1992"/>
      <c r="G55" s="1992"/>
      <c r="H55" s="2007"/>
      <c r="I55" s="2007"/>
      <c r="J55" s="2007"/>
      <c r="K55" s="2007"/>
      <c r="L55" s="2007"/>
      <c r="M55" s="2007"/>
      <c r="N55" s="2007"/>
      <c r="O55" s="2007"/>
      <c r="P55" s="2007"/>
      <c r="Q55" s="2007"/>
      <c r="R55" s="2007"/>
      <c r="S55" s="2007"/>
      <c r="T55" s="1992"/>
      <c r="U55" s="2007"/>
      <c r="V55" s="2007"/>
      <c r="W55" s="2007"/>
      <c r="X55" s="2007"/>
      <c r="Y55" s="2007"/>
      <c r="Z55" s="2007"/>
      <c r="AA55" s="2007"/>
      <c r="AB55" s="2007"/>
      <c r="AC55" s="1992"/>
      <c r="AD55" s="1992"/>
      <c r="AE55" s="2007"/>
      <c r="AF55" s="2007"/>
      <c r="AG55" s="2007"/>
      <c r="AH55" s="2007"/>
      <c r="AI55" s="2007"/>
      <c r="AJ55" s="2007"/>
      <c r="AK55" s="2007"/>
      <c r="AL55" s="2007"/>
      <c r="AM55" s="2007"/>
      <c r="AN55" s="2007"/>
      <c r="AO55" s="2007"/>
      <c r="AP55" s="2007"/>
      <c r="AQ55" s="2007"/>
      <c r="AR55" s="2007"/>
      <c r="AS55" s="2007"/>
      <c r="AT55" s="2007"/>
      <c r="AU55" s="2007"/>
      <c r="AV55" s="2007"/>
      <c r="AW55" s="2007"/>
      <c r="AX55" s="2007"/>
      <c r="AY55" s="2007"/>
      <c r="AZ55" s="2007"/>
      <c r="BA55" s="2007"/>
      <c r="BB55" s="2007"/>
      <c r="BC55" s="2007"/>
      <c r="BD55" s="2007"/>
      <c r="BE55" s="2007"/>
      <c r="BF55" s="2007"/>
      <c r="BG55" s="2007"/>
      <c r="BH55" s="2007"/>
      <c r="BI55" s="2007"/>
      <c r="BJ55" s="2007"/>
      <c r="BK55" s="2007"/>
      <c r="BL55" s="2007"/>
      <c r="BM55" s="1992"/>
      <c r="BN55" s="1992"/>
      <c r="BO55" s="2007"/>
      <c r="BP55" s="2007"/>
      <c r="BQ55" s="2007"/>
      <c r="BR55" s="2007"/>
      <c r="BS55" s="2007"/>
      <c r="BT55" s="2007"/>
      <c r="BU55" s="2007"/>
      <c r="BV55" s="2007"/>
      <c r="BW55" s="2007"/>
      <c r="BX55" s="2007"/>
      <c r="BY55" s="2007"/>
      <c r="BZ55" s="2007"/>
      <c r="CA55" s="2007"/>
      <c r="CB55" s="2007"/>
      <c r="CC55" s="2007"/>
      <c r="CD55" s="2007"/>
      <c r="CE55" s="2007"/>
      <c r="CF55" s="2007"/>
      <c r="CG55" s="2007"/>
      <c r="CH55" s="2007"/>
      <c r="CI55" s="2007"/>
      <c r="CJ55" s="2007"/>
      <c r="CK55" s="2007"/>
      <c r="CL55" s="2007"/>
      <c r="CM55" s="2007"/>
      <c r="CN55" s="2007"/>
      <c r="CO55" s="2007"/>
      <c r="CP55" s="2007"/>
      <c r="CQ55" s="2007"/>
      <c r="CR55" s="2007"/>
      <c r="CS55" s="2007"/>
      <c r="CT55" s="2007"/>
      <c r="CU55" s="2007"/>
      <c r="CV55" s="2007"/>
    </row>
    <row r="56" spans="2:100" ht="20.25" hidden="1" customHeight="1" outlineLevel="1" collapsed="1">
      <c r="B56" s="1990" t="s">
        <v>1199</v>
      </c>
      <c r="C56" s="1994" t="s">
        <v>1200</v>
      </c>
      <c r="D56" s="1975" t="s">
        <v>1128</v>
      </c>
      <c r="E56" s="1992"/>
      <c r="F56" s="1992"/>
      <c r="G56" s="1992"/>
      <c r="H56" s="1992"/>
      <c r="I56" s="1992"/>
      <c r="J56" s="1992"/>
      <c r="K56" s="1992"/>
      <c r="L56" s="1992"/>
      <c r="M56" s="1992"/>
      <c r="N56" s="1992"/>
      <c r="O56" s="1992"/>
      <c r="P56" s="1992"/>
      <c r="Q56" s="1992"/>
      <c r="R56" s="1992"/>
      <c r="S56" s="1992"/>
      <c r="T56" s="1992"/>
      <c r="U56" s="1992"/>
      <c r="V56" s="1992"/>
      <c r="W56" s="1992"/>
      <c r="X56" s="1992"/>
      <c r="Y56" s="1992"/>
      <c r="Z56" s="1992"/>
      <c r="AA56" s="1992"/>
      <c r="AB56" s="1992"/>
      <c r="AC56" s="1992"/>
      <c r="AD56" s="1992"/>
      <c r="AE56" s="1992"/>
      <c r="AF56" s="1992"/>
      <c r="AG56" s="1992"/>
      <c r="AH56" s="1992"/>
      <c r="AI56" s="1992"/>
      <c r="AJ56" s="1992"/>
      <c r="AK56" s="1992"/>
      <c r="AL56" s="1992"/>
      <c r="AM56" s="1992"/>
      <c r="AN56" s="1992"/>
      <c r="AO56" s="1992"/>
      <c r="AP56" s="1992"/>
      <c r="AQ56" s="1992"/>
      <c r="AR56" s="1992"/>
      <c r="AS56" s="1992"/>
      <c r="AT56" s="1992"/>
      <c r="AU56" s="1992"/>
      <c r="AV56" s="1992"/>
      <c r="AW56" s="1992"/>
      <c r="AX56" s="1992"/>
      <c r="AY56" s="1992"/>
      <c r="AZ56" s="1992"/>
      <c r="BA56" s="1992"/>
      <c r="BB56" s="1992"/>
      <c r="BC56" s="1992"/>
      <c r="BD56" s="1992"/>
      <c r="BE56" s="1992"/>
      <c r="BF56" s="1992"/>
      <c r="BG56" s="1992"/>
      <c r="BH56" s="1992"/>
      <c r="BI56" s="1992"/>
      <c r="BJ56" s="1992"/>
      <c r="BK56" s="1992"/>
      <c r="BL56" s="1992"/>
      <c r="BM56" s="1992"/>
      <c r="BN56" s="1992"/>
      <c r="BO56" s="1992"/>
      <c r="BP56" s="1992"/>
      <c r="BQ56" s="1992"/>
      <c r="BR56" s="1992"/>
      <c r="BS56" s="1992"/>
      <c r="BT56" s="1992"/>
      <c r="BU56" s="1992"/>
      <c r="BV56" s="1992"/>
      <c r="BW56" s="1992"/>
      <c r="BX56" s="1992"/>
      <c r="BY56" s="1992"/>
      <c r="BZ56" s="1992"/>
      <c r="CA56" s="1992"/>
      <c r="CB56" s="1992"/>
      <c r="CC56" s="1992"/>
      <c r="CD56" s="1992"/>
      <c r="CE56" s="1992"/>
      <c r="CF56" s="1992"/>
      <c r="CG56" s="1992"/>
      <c r="CH56" s="1992"/>
      <c r="CI56" s="1992"/>
      <c r="CJ56" s="1992"/>
      <c r="CK56" s="1992"/>
      <c r="CL56" s="1992"/>
      <c r="CM56" s="1992"/>
      <c r="CN56" s="1992"/>
      <c r="CO56" s="1992"/>
      <c r="CP56" s="1992"/>
      <c r="CQ56" s="1992"/>
      <c r="CR56" s="1992"/>
      <c r="CS56" s="1992"/>
      <c r="CT56" s="1992"/>
      <c r="CU56" s="1992"/>
      <c r="CV56" s="1992"/>
    </row>
    <row r="57" spans="2:100" ht="67.5" hidden="1" customHeight="1" collapsed="1">
      <c r="B57" s="1990" t="s">
        <v>1201</v>
      </c>
      <c r="C57" s="1994" t="s">
        <v>1202</v>
      </c>
      <c r="D57" s="1975" t="s">
        <v>1128</v>
      </c>
      <c r="E57" s="1992">
        <f>F57+AC57</f>
        <v>29174.635654658956</v>
      </c>
      <c r="F57" s="1992">
        <f>G57+T57</f>
        <v>26387.997299940205</v>
      </c>
      <c r="G57" s="1992">
        <f>G14</f>
        <v>11645.04138270833</v>
      </c>
      <c r="H57" s="1992"/>
      <c r="I57" s="1992"/>
      <c r="J57" s="1992"/>
      <c r="K57" s="1992"/>
      <c r="L57" s="1992"/>
      <c r="M57" s="1992"/>
      <c r="N57" s="1992"/>
      <c r="O57" s="1992"/>
      <c r="P57" s="1992"/>
      <c r="Q57" s="1992"/>
      <c r="R57" s="1992"/>
      <c r="S57" s="1992"/>
      <c r="T57" s="1992">
        <f>T14</f>
        <v>14742.955917231875</v>
      </c>
      <c r="U57" s="1992">
        <f t="shared" ref="U57:Z57" si="88">U14</f>
        <v>0</v>
      </c>
      <c r="V57" s="1992">
        <f t="shared" si="88"/>
        <v>0</v>
      </c>
      <c r="W57" s="1992">
        <f t="shared" si="88"/>
        <v>0</v>
      </c>
      <c r="X57" s="1992">
        <f t="shared" si="88"/>
        <v>0</v>
      </c>
      <c r="Y57" s="1992">
        <f t="shared" si="88"/>
        <v>0</v>
      </c>
      <c r="Z57" s="1992">
        <f t="shared" si="88"/>
        <v>0</v>
      </c>
      <c r="AA57" s="1992"/>
      <c r="AB57" s="1992"/>
      <c r="AC57" s="1992">
        <f t="shared" ref="AC57:AC65" si="89">AD57+AO57</f>
        <v>2786.6383547187497</v>
      </c>
      <c r="AD57" s="1992">
        <f>AD14</f>
        <v>140.18875</v>
      </c>
      <c r="AE57" s="1992">
        <f t="shared" ref="AE57:AJ57" si="90">AE14</f>
        <v>0</v>
      </c>
      <c r="AF57" s="1992">
        <f t="shared" si="90"/>
        <v>0</v>
      </c>
      <c r="AG57" s="1992">
        <f t="shared" si="90"/>
        <v>0</v>
      </c>
      <c r="AH57" s="1992">
        <f t="shared" si="90"/>
        <v>0</v>
      </c>
      <c r="AI57" s="1992">
        <f t="shared" si="90"/>
        <v>0</v>
      </c>
      <c r="AJ57" s="1992">
        <f t="shared" si="90"/>
        <v>0</v>
      </c>
      <c r="AK57" s="1992"/>
      <c r="AL57" s="1992"/>
      <c r="AM57" s="1992"/>
      <c r="AN57" s="1992"/>
      <c r="AO57" s="1992">
        <f>AO14</f>
        <v>2646.4496047187499</v>
      </c>
      <c r="AP57" s="1992">
        <f t="shared" ref="AP57:AV57" si="91">AP14</f>
        <v>0</v>
      </c>
      <c r="AQ57" s="1992">
        <f t="shared" si="91"/>
        <v>0</v>
      </c>
      <c r="AR57" s="1992">
        <f t="shared" si="91"/>
        <v>0</v>
      </c>
      <c r="AS57" s="1992">
        <f t="shared" si="91"/>
        <v>0</v>
      </c>
      <c r="AT57" s="1992">
        <f t="shared" si="91"/>
        <v>0</v>
      </c>
      <c r="AU57" s="1992"/>
      <c r="AV57" s="1992">
        <f t="shared" si="91"/>
        <v>0</v>
      </c>
      <c r="AW57" s="1992"/>
      <c r="AX57" s="1992"/>
      <c r="AY57" s="1992"/>
      <c r="AZ57" s="1992"/>
      <c r="BA57" s="1992">
        <f t="shared" ref="BA57:BF57" si="92">BA14</f>
        <v>0</v>
      </c>
      <c r="BB57" s="1992">
        <f t="shared" si="92"/>
        <v>0</v>
      </c>
      <c r="BC57" s="1992">
        <f t="shared" si="92"/>
        <v>0</v>
      </c>
      <c r="BD57" s="1992">
        <f t="shared" si="92"/>
        <v>0</v>
      </c>
      <c r="BE57" s="1992">
        <f t="shared" si="92"/>
        <v>0</v>
      </c>
      <c r="BF57" s="1992">
        <f t="shared" si="92"/>
        <v>0</v>
      </c>
      <c r="BG57" s="1992"/>
      <c r="BH57" s="1992">
        <f>BH14</f>
        <v>0</v>
      </c>
      <c r="BI57" s="1992"/>
      <c r="BJ57" s="1992"/>
      <c r="BK57" s="1992"/>
      <c r="BL57" s="1992"/>
      <c r="BM57" s="1992"/>
      <c r="BN57" s="1992">
        <f>BN14</f>
        <v>0</v>
      </c>
      <c r="BO57" s="1992">
        <f t="shared" ref="BO57:BT57" si="93">BO14</f>
        <v>0</v>
      </c>
      <c r="BP57" s="1992">
        <f t="shared" si="93"/>
        <v>0</v>
      </c>
      <c r="BQ57" s="1992">
        <f t="shared" si="93"/>
        <v>0</v>
      </c>
      <c r="BR57" s="1992">
        <f t="shared" si="93"/>
        <v>0</v>
      </c>
      <c r="BS57" s="1992">
        <f t="shared" si="93"/>
        <v>0</v>
      </c>
      <c r="BT57" s="1992">
        <f t="shared" si="93"/>
        <v>0</v>
      </c>
      <c r="BU57" s="1992"/>
      <c r="BV57" s="1992"/>
      <c r="BW57" s="1992"/>
      <c r="BX57" s="1992"/>
      <c r="BY57" s="1992">
        <f t="shared" ref="BY57:CD57" si="94">BY14</f>
        <v>99.636469062499984</v>
      </c>
      <c r="BZ57" s="1992">
        <f t="shared" si="94"/>
        <v>0</v>
      </c>
      <c r="CA57" s="1992">
        <f t="shared" si="94"/>
        <v>0</v>
      </c>
      <c r="CB57" s="1992">
        <f t="shared" si="94"/>
        <v>0</v>
      </c>
      <c r="CC57" s="1992">
        <f t="shared" si="94"/>
        <v>0</v>
      </c>
      <c r="CD57" s="1992">
        <f t="shared" si="94"/>
        <v>0</v>
      </c>
      <c r="CE57" s="1992"/>
      <c r="CF57" s="1992">
        <f>CF14</f>
        <v>0</v>
      </c>
      <c r="CG57" s="1992"/>
      <c r="CH57" s="1992"/>
      <c r="CI57" s="1992"/>
      <c r="CJ57" s="1992"/>
      <c r="CK57" s="1992">
        <f t="shared" ref="CK57:CP57" si="95">CK14</f>
        <v>763.60535313472224</v>
      </c>
      <c r="CL57" s="1992">
        <f t="shared" si="95"/>
        <v>0</v>
      </c>
      <c r="CM57" s="1992">
        <f t="shared" si="95"/>
        <v>0</v>
      </c>
      <c r="CN57" s="1992">
        <f t="shared" si="95"/>
        <v>0</v>
      </c>
      <c r="CO57" s="1992">
        <f t="shared" si="95"/>
        <v>0</v>
      </c>
      <c r="CP57" s="1992">
        <f t="shared" si="95"/>
        <v>0</v>
      </c>
      <c r="CQ57" s="1992"/>
      <c r="CR57" s="1992">
        <f>CR14</f>
        <v>0</v>
      </c>
      <c r="CS57" s="1992"/>
      <c r="CT57" s="1992"/>
      <c r="CU57" s="1992"/>
      <c r="CV57" s="1992"/>
    </row>
    <row r="58" spans="2:100" ht="20.25" hidden="1" customHeight="1">
      <c r="B58" s="1990">
        <v>3</v>
      </c>
      <c r="C58" s="2020" t="s">
        <v>1203</v>
      </c>
      <c r="D58" s="1975" t="s">
        <v>1204</v>
      </c>
      <c r="E58" s="1992"/>
      <c r="F58" s="1992"/>
      <c r="G58" s="1992"/>
      <c r="H58" s="1992"/>
      <c r="I58" s="1992"/>
      <c r="J58" s="1992"/>
      <c r="K58" s="1992"/>
      <c r="L58" s="1992"/>
      <c r="M58" s="1992"/>
      <c r="N58" s="1992"/>
      <c r="O58" s="1992"/>
      <c r="P58" s="1992"/>
      <c r="Q58" s="1992"/>
      <c r="R58" s="1992"/>
      <c r="S58" s="1992"/>
      <c r="T58" s="1992"/>
      <c r="U58" s="1992"/>
      <c r="V58" s="1992"/>
      <c r="W58" s="1992"/>
      <c r="X58" s="1992"/>
      <c r="Y58" s="1992"/>
      <c r="Z58" s="1992"/>
      <c r="AA58" s="1992"/>
      <c r="AB58" s="1992"/>
      <c r="AC58" s="1992"/>
      <c r="AD58" s="1992"/>
      <c r="AE58" s="1992"/>
      <c r="AF58" s="1992"/>
      <c r="AG58" s="1992"/>
      <c r="AH58" s="1992"/>
      <c r="AI58" s="1992"/>
      <c r="AJ58" s="1992"/>
      <c r="AK58" s="1992"/>
      <c r="AL58" s="1992"/>
      <c r="AM58" s="1992"/>
      <c r="AN58" s="1992"/>
      <c r="AO58" s="1992"/>
      <c r="AP58" s="1992"/>
      <c r="AQ58" s="1992"/>
      <c r="AR58" s="1992"/>
      <c r="AS58" s="1992"/>
      <c r="AT58" s="1992"/>
      <c r="AU58" s="1992"/>
      <c r="AV58" s="1992"/>
      <c r="AW58" s="1992"/>
      <c r="AX58" s="1992"/>
      <c r="AY58" s="1992"/>
      <c r="AZ58" s="1992"/>
      <c r="BA58" s="1992"/>
      <c r="BB58" s="1992"/>
      <c r="BC58" s="1992"/>
      <c r="BD58" s="1992"/>
      <c r="BE58" s="1992"/>
      <c r="BF58" s="1992"/>
      <c r="BG58" s="1992"/>
      <c r="BH58" s="1992"/>
      <c r="BI58" s="1992"/>
      <c r="BJ58" s="1992"/>
      <c r="BK58" s="1992"/>
      <c r="BL58" s="1992"/>
      <c r="BM58" s="1992"/>
      <c r="BN58" s="1992"/>
      <c r="BO58" s="1992"/>
      <c r="BP58" s="1992"/>
      <c r="BQ58" s="1992"/>
      <c r="BR58" s="1992"/>
      <c r="BS58" s="1992"/>
      <c r="BT58" s="1992"/>
      <c r="BU58" s="1992"/>
      <c r="BV58" s="1992"/>
      <c r="BW58" s="1992"/>
      <c r="BX58" s="1992"/>
      <c r="BY58" s="1992"/>
      <c r="BZ58" s="1992"/>
      <c r="CA58" s="1992"/>
      <c r="CB58" s="1992"/>
      <c r="CC58" s="1992"/>
      <c r="CD58" s="1992"/>
      <c r="CE58" s="1992"/>
      <c r="CF58" s="1992"/>
      <c r="CG58" s="1992"/>
      <c r="CH58" s="1992"/>
      <c r="CI58" s="1992"/>
      <c r="CJ58" s="1992"/>
      <c r="CK58" s="1992"/>
      <c r="CL58" s="1992"/>
      <c r="CM58" s="1992"/>
      <c r="CN58" s="1992"/>
      <c r="CO58" s="1992"/>
      <c r="CP58" s="1992"/>
      <c r="CQ58" s="1992"/>
      <c r="CR58" s="1992"/>
      <c r="CS58" s="1992"/>
      <c r="CT58" s="1992"/>
      <c r="CU58" s="1992"/>
      <c r="CV58" s="1992"/>
    </row>
    <row r="59" spans="2:100" ht="34.5" customHeight="1">
      <c r="B59" s="1990" t="s">
        <v>1205</v>
      </c>
      <c r="C59" s="1994" t="s">
        <v>1206</v>
      </c>
      <c r="D59" s="1975" t="s">
        <v>1204</v>
      </c>
      <c r="E59" s="1992"/>
      <c r="F59" s="1992"/>
      <c r="G59" s="1992"/>
      <c r="H59" s="1992"/>
      <c r="I59" s="1992"/>
      <c r="J59" s="1992"/>
      <c r="K59" s="1992"/>
      <c r="L59" s="1992"/>
      <c r="M59" s="1992"/>
      <c r="N59" s="1992"/>
      <c r="O59" s="1992"/>
      <c r="P59" s="1992"/>
      <c r="Q59" s="1992"/>
      <c r="R59" s="1992"/>
      <c r="S59" s="1992"/>
      <c r="T59" s="1992">
        <f>T60+T61+T62+T63+T64+T65+T66</f>
        <v>0</v>
      </c>
      <c r="U59" s="1992"/>
      <c r="V59" s="1992"/>
      <c r="W59" s="1992"/>
      <c r="X59" s="1992"/>
      <c r="Y59" s="1992"/>
      <c r="Z59" s="1992"/>
      <c r="AA59" s="1992"/>
      <c r="AB59" s="1992"/>
      <c r="AC59" s="1992"/>
      <c r="AD59" s="1992"/>
      <c r="AE59" s="1992"/>
      <c r="AF59" s="1992"/>
      <c r="AG59" s="1992"/>
      <c r="AH59" s="1992"/>
      <c r="AI59" s="1992"/>
      <c r="AJ59" s="1992"/>
      <c r="AK59" s="1992"/>
      <c r="AL59" s="1992"/>
      <c r="AM59" s="1992"/>
      <c r="AN59" s="1992"/>
      <c r="AO59" s="1992">
        <f>AO60+AO61+AO62+AO63+AO64+AO65+AO66</f>
        <v>0.16</v>
      </c>
      <c r="AP59" s="1992"/>
      <c r="AQ59" s="1992"/>
      <c r="AR59" s="1992"/>
      <c r="AS59" s="1992"/>
      <c r="AT59" s="1992"/>
      <c r="AU59" s="1992"/>
      <c r="AV59" s="1992"/>
      <c r="AW59" s="1992"/>
      <c r="AX59" s="1992"/>
      <c r="AY59" s="1992"/>
      <c r="AZ59" s="1992"/>
      <c r="BA59" s="1992">
        <f>BA60+BA61+BA62+BA63+BA64+BA65+BA66</f>
        <v>0</v>
      </c>
      <c r="BB59" s="1992"/>
      <c r="BC59" s="1992"/>
      <c r="BD59" s="1992"/>
      <c r="BE59" s="1992"/>
      <c r="BF59" s="1992"/>
      <c r="BG59" s="1992"/>
      <c r="BH59" s="1992"/>
      <c r="BI59" s="1992"/>
      <c r="BJ59" s="1992"/>
      <c r="BK59" s="1992"/>
      <c r="BL59" s="1992"/>
      <c r="BM59" s="1992"/>
      <c r="BN59" s="1992"/>
      <c r="BO59" s="1992"/>
      <c r="BP59" s="1992"/>
      <c r="BQ59" s="1992"/>
      <c r="BR59" s="1992"/>
      <c r="BS59" s="1992"/>
      <c r="BT59" s="1992"/>
      <c r="BU59" s="1992"/>
      <c r="BV59" s="1992"/>
      <c r="BW59" s="1992"/>
      <c r="BX59" s="1992"/>
      <c r="BY59" s="1992">
        <f>BY60+BY61+BY62+BY63+BY64+BY65+BY66</f>
        <v>5.0000000000000001E-3</v>
      </c>
      <c r="BZ59" s="1992"/>
      <c r="CA59" s="1992"/>
      <c r="CB59" s="1992"/>
      <c r="CC59" s="1992"/>
      <c r="CD59" s="1992"/>
      <c r="CE59" s="1992"/>
      <c r="CF59" s="1992"/>
      <c r="CG59" s="1992"/>
      <c r="CH59" s="1992"/>
      <c r="CI59" s="1992"/>
      <c r="CJ59" s="1992"/>
      <c r="CK59" s="1992">
        <f>CK60+CK61+CK62+CK63+CK64+CK65+CK66</f>
        <v>0</v>
      </c>
      <c r="CL59" s="1992"/>
      <c r="CM59" s="1992"/>
      <c r="CN59" s="1992"/>
      <c r="CO59" s="1992"/>
      <c r="CP59" s="1992"/>
      <c r="CQ59" s="1992"/>
      <c r="CR59" s="1992"/>
      <c r="CS59" s="1992"/>
      <c r="CT59" s="1992"/>
      <c r="CU59" s="1992"/>
      <c r="CV59" s="1992"/>
    </row>
    <row r="60" spans="2:100" ht="20.25" hidden="1" customHeight="1" outlineLevel="1">
      <c r="B60" s="1995" t="s">
        <v>1207</v>
      </c>
      <c r="C60" s="1996" t="s">
        <v>1208</v>
      </c>
      <c r="D60" s="1997" t="s">
        <v>1204</v>
      </c>
      <c r="E60" s="1992"/>
      <c r="F60" s="1992">
        <f>G60+T60</f>
        <v>0</v>
      </c>
      <c r="G60" s="1992"/>
      <c r="H60" s="2007"/>
      <c r="I60" s="2007"/>
      <c r="J60" s="2007"/>
      <c r="K60" s="2007"/>
      <c r="L60" s="2007"/>
      <c r="M60" s="2007"/>
      <c r="N60" s="2007"/>
      <c r="O60" s="2007"/>
      <c r="P60" s="2007"/>
      <c r="Q60" s="2007"/>
      <c r="R60" s="2007"/>
      <c r="S60" s="2007"/>
      <c r="T60" s="1992"/>
      <c r="U60" s="2007"/>
      <c r="V60" s="2007"/>
      <c r="W60" s="2007"/>
      <c r="X60" s="2007"/>
      <c r="Y60" s="2007"/>
      <c r="Z60" s="2007"/>
      <c r="AA60" s="2007"/>
      <c r="AB60" s="2007"/>
      <c r="AC60" s="1992">
        <f t="shared" si="89"/>
        <v>0</v>
      </c>
      <c r="AD60" s="1992"/>
      <c r="AE60" s="2007"/>
      <c r="AF60" s="2007"/>
      <c r="AG60" s="2007"/>
      <c r="AH60" s="2007"/>
      <c r="AI60" s="2007"/>
      <c r="AJ60" s="2007"/>
      <c r="AK60" s="2007"/>
      <c r="AL60" s="2007"/>
      <c r="AM60" s="2007"/>
      <c r="AN60" s="2007"/>
      <c r="AO60" s="2007"/>
      <c r="AP60" s="2007"/>
      <c r="AQ60" s="2007"/>
      <c r="AR60" s="2007"/>
      <c r="AS60" s="2007"/>
      <c r="AT60" s="2007"/>
      <c r="AU60" s="2007"/>
      <c r="AV60" s="2007"/>
      <c r="AW60" s="2007"/>
      <c r="AX60" s="2007"/>
      <c r="AY60" s="2007"/>
      <c r="AZ60" s="2007"/>
      <c r="BA60" s="2007"/>
      <c r="BB60" s="2007"/>
      <c r="BC60" s="2007"/>
      <c r="BD60" s="2007"/>
      <c r="BE60" s="2007"/>
      <c r="BF60" s="2007"/>
      <c r="BG60" s="2007"/>
      <c r="BH60" s="2007"/>
      <c r="BI60" s="2007"/>
      <c r="BJ60" s="2007"/>
      <c r="BK60" s="2007"/>
      <c r="BL60" s="2007"/>
      <c r="BM60" s="1992"/>
      <c r="BN60" s="1992"/>
      <c r="BO60" s="2007"/>
      <c r="BP60" s="2007"/>
      <c r="BQ60" s="2007"/>
      <c r="BR60" s="2007"/>
      <c r="BS60" s="2007"/>
      <c r="BT60" s="2007"/>
      <c r="BU60" s="2007"/>
      <c r="BV60" s="2007"/>
      <c r="BW60" s="2007"/>
      <c r="BX60" s="2007"/>
      <c r="BY60" s="2007"/>
      <c r="BZ60" s="2007"/>
      <c r="CA60" s="2007"/>
      <c r="CB60" s="2007"/>
      <c r="CC60" s="2007"/>
      <c r="CD60" s="2007"/>
      <c r="CE60" s="2007"/>
      <c r="CF60" s="2007"/>
      <c r="CG60" s="2007"/>
      <c r="CH60" s="2007"/>
      <c r="CI60" s="2007"/>
      <c r="CJ60" s="2007"/>
      <c r="CK60" s="2007"/>
      <c r="CL60" s="2007"/>
      <c r="CM60" s="2007"/>
      <c r="CN60" s="2007"/>
      <c r="CO60" s="2007"/>
      <c r="CP60" s="2007"/>
      <c r="CQ60" s="2007"/>
      <c r="CR60" s="2007"/>
      <c r="CS60" s="2007"/>
      <c r="CT60" s="2007"/>
      <c r="CU60" s="2007"/>
      <c r="CV60" s="2007"/>
    </row>
    <row r="61" spans="2:100" ht="20.25" hidden="1" customHeight="1" outlineLevel="1">
      <c r="B61" s="1995" t="s">
        <v>1209</v>
      </c>
      <c r="C61" s="1996" t="s">
        <v>1210</v>
      </c>
      <c r="D61" s="1997" t="s">
        <v>1204</v>
      </c>
      <c r="E61" s="1992"/>
      <c r="F61" s="1992">
        <f>G61+T61</f>
        <v>0</v>
      </c>
      <c r="G61" s="1992"/>
      <c r="H61" s="2007"/>
      <c r="I61" s="2007"/>
      <c r="J61" s="2007"/>
      <c r="K61" s="2007"/>
      <c r="L61" s="2007"/>
      <c r="M61" s="2007"/>
      <c r="N61" s="2007"/>
      <c r="O61" s="2007"/>
      <c r="P61" s="2007"/>
      <c r="Q61" s="2007"/>
      <c r="R61" s="2007"/>
      <c r="S61" s="2007"/>
      <c r="T61" s="1992"/>
      <c r="U61" s="2007"/>
      <c r="V61" s="2007"/>
      <c r="W61" s="2007"/>
      <c r="X61" s="2007"/>
      <c r="Y61" s="2007"/>
      <c r="Z61" s="2007"/>
      <c r="AA61" s="2007"/>
      <c r="AB61" s="2007"/>
      <c r="AC61" s="1992">
        <f t="shared" si="89"/>
        <v>0</v>
      </c>
      <c r="AD61" s="1992"/>
      <c r="AE61" s="2007"/>
      <c r="AF61" s="2007"/>
      <c r="AG61" s="2007"/>
      <c r="AH61" s="2007"/>
      <c r="AI61" s="2007"/>
      <c r="AJ61" s="2007"/>
      <c r="AK61" s="2007"/>
      <c r="AL61" s="2007"/>
      <c r="AM61" s="2007"/>
      <c r="AN61" s="2007"/>
      <c r="AO61" s="2007"/>
      <c r="AP61" s="2007"/>
      <c r="AQ61" s="2007"/>
      <c r="AR61" s="2007"/>
      <c r="AS61" s="2007"/>
      <c r="AT61" s="2007"/>
      <c r="AU61" s="2007"/>
      <c r="AV61" s="2007"/>
      <c r="AW61" s="2007"/>
      <c r="AX61" s="2007"/>
      <c r="AY61" s="2007"/>
      <c r="AZ61" s="2007"/>
      <c r="BA61" s="2007"/>
      <c r="BB61" s="2007"/>
      <c r="BC61" s="2007"/>
      <c r="BD61" s="2007"/>
      <c r="BE61" s="2007"/>
      <c r="BF61" s="2007"/>
      <c r="BG61" s="2007"/>
      <c r="BH61" s="2007"/>
      <c r="BI61" s="2007"/>
      <c r="BJ61" s="2007"/>
      <c r="BK61" s="2007"/>
      <c r="BL61" s="2007"/>
      <c r="BM61" s="1992"/>
      <c r="BN61" s="1992"/>
      <c r="BO61" s="2007"/>
      <c r="BP61" s="2007"/>
      <c r="BQ61" s="2007"/>
      <c r="BR61" s="2007"/>
      <c r="BS61" s="2007"/>
      <c r="BT61" s="2007"/>
      <c r="BU61" s="2007"/>
      <c r="BV61" s="2007"/>
      <c r="BW61" s="2007"/>
      <c r="BX61" s="2007"/>
      <c r="BY61" s="2007"/>
      <c r="BZ61" s="2007"/>
      <c r="CA61" s="2007"/>
      <c r="CB61" s="2007"/>
      <c r="CC61" s="2007"/>
      <c r="CD61" s="2007"/>
      <c r="CE61" s="2007"/>
      <c r="CF61" s="2007"/>
      <c r="CG61" s="2007"/>
      <c r="CH61" s="2007"/>
      <c r="CI61" s="2007"/>
      <c r="CJ61" s="2007"/>
      <c r="CK61" s="2007"/>
      <c r="CL61" s="2007"/>
      <c r="CM61" s="2007"/>
      <c r="CN61" s="2007"/>
      <c r="CO61" s="2007"/>
      <c r="CP61" s="2007"/>
      <c r="CQ61" s="2007"/>
      <c r="CR61" s="2007"/>
      <c r="CS61" s="2007"/>
      <c r="CT61" s="2007"/>
      <c r="CU61" s="2007"/>
      <c r="CV61" s="2007"/>
    </row>
    <row r="62" spans="2:100" ht="42.75" hidden="1" customHeight="1" collapsed="1">
      <c r="B62" s="1995" t="s">
        <v>1211</v>
      </c>
      <c r="C62" s="1996" t="s">
        <v>1212</v>
      </c>
      <c r="D62" s="1997" t="s">
        <v>1204</v>
      </c>
      <c r="E62" s="1992"/>
      <c r="F62" s="1992">
        <f>G62+T62</f>
        <v>0</v>
      </c>
      <c r="G62" s="1992"/>
      <c r="H62" s="2007"/>
      <c r="I62" s="2007"/>
      <c r="J62" s="2007"/>
      <c r="K62" s="2007"/>
      <c r="L62" s="2007"/>
      <c r="M62" s="2007"/>
      <c r="N62" s="2007"/>
      <c r="O62" s="2007"/>
      <c r="P62" s="2007"/>
      <c r="Q62" s="2007"/>
      <c r="R62" s="2007"/>
      <c r="S62" s="2007"/>
      <c r="T62" s="1992"/>
      <c r="U62" s="2007"/>
      <c r="V62" s="2007"/>
      <c r="W62" s="2007"/>
      <c r="X62" s="2007"/>
      <c r="Y62" s="2007"/>
      <c r="Z62" s="2007"/>
      <c r="AA62" s="2007"/>
      <c r="AB62" s="2007"/>
      <c r="AC62" s="1992">
        <f t="shared" si="89"/>
        <v>0</v>
      </c>
      <c r="AD62" s="1992"/>
      <c r="AE62" s="2007"/>
      <c r="AF62" s="2007"/>
      <c r="AG62" s="2007"/>
      <c r="AH62" s="2007"/>
      <c r="AI62" s="2007"/>
      <c r="AJ62" s="2007"/>
      <c r="AK62" s="2007"/>
      <c r="AL62" s="2007"/>
      <c r="AM62" s="2007"/>
      <c r="AN62" s="2007"/>
      <c r="AO62" s="2007"/>
      <c r="AP62" s="2007"/>
      <c r="AQ62" s="2007"/>
      <c r="AR62" s="2007"/>
      <c r="AS62" s="2007"/>
      <c r="AT62" s="2007"/>
      <c r="AU62" s="2007"/>
      <c r="AV62" s="2007"/>
      <c r="AW62" s="2007"/>
      <c r="AX62" s="2007"/>
      <c r="AY62" s="2007"/>
      <c r="AZ62" s="2007"/>
      <c r="BA62" s="2007"/>
      <c r="BB62" s="2007"/>
      <c r="BC62" s="2007"/>
      <c r="BD62" s="2007"/>
      <c r="BE62" s="2007"/>
      <c r="BF62" s="2007"/>
      <c r="BG62" s="2007"/>
      <c r="BH62" s="2007"/>
      <c r="BI62" s="2007"/>
      <c r="BJ62" s="2007"/>
      <c r="BK62" s="2007"/>
      <c r="BL62" s="2007"/>
      <c r="BM62" s="1992"/>
      <c r="BN62" s="1992"/>
      <c r="BO62" s="2007"/>
      <c r="BP62" s="2007"/>
      <c r="BQ62" s="2007"/>
      <c r="BR62" s="2007"/>
      <c r="BS62" s="2007"/>
      <c r="BT62" s="2007"/>
      <c r="BU62" s="2007"/>
      <c r="BV62" s="2007"/>
      <c r="BW62" s="2007"/>
      <c r="BX62" s="2007"/>
      <c r="BY62" s="2007"/>
      <c r="BZ62" s="2007"/>
      <c r="CA62" s="2007"/>
      <c r="CB62" s="2007"/>
      <c r="CC62" s="2007"/>
      <c r="CD62" s="2007"/>
      <c r="CE62" s="2007"/>
      <c r="CF62" s="2007"/>
      <c r="CG62" s="2007"/>
      <c r="CH62" s="2007"/>
      <c r="CI62" s="2007"/>
      <c r="CJ62" s="2007"/>
      <c r="CK62" s="2007"/>
      <c r="CL62" s="2007"/>
      <c r="CM62" s="2007"/>
      <c r="CN62" s="2007"/>
      <c r="CO62" s="2007"/>
      <c r="CP62" s="2007"/>
      <c r="CQ62" s="2007"/>
      <c r="CR62" s="2007"/>
      <c r="CS62" s="2007"/>
      <c r="CT62" s="2007"/>
      <c r="CU62" s="2007"/>
      <c r="CV62" s="2007"/>
    </row>
    <row r="63" spans="2:100" ht="44.25" customHeight="1">
      <c r="B63" s="1995" t="s">
        <v>1213</v>
      </c>
      <c r="C63" s="1996" t="s">
        <v>1268</v>
      </c>
      <c r="D63" s="1997" t="s">
        <v>1204</v>
      </c>
      <c r="E63" s="1992"/>
      <c r="F63" s="1992">
        <f>G63+T63</f>
        <v>0.65500000000000003</v>
      </c>
      <c r="G63" s="1992">
        <f>655/1000</f>
        <v>0.65500000000000003</v>
      </c>
      <c r="H63" s="2007"/>
      <c r="I63" s="2007"/>
      <c r="J63" s="2007"/>
      <c r="K63" s="2007"/>
      <c r="L63" s="2007"/>
      <c r="M63" s="2007"/>
      <c r="N63" s="2007"/>
      <c r="O63" s="2007"/>
      <c r="P63" s="2007"/>
      <c r="Q63" s="2007"/>
      <c r="R63" s="2007"/>
      <c r="S63" s="2007"/>
      <c r="T63" s="1992"/>
      <c r="U63" s="2007"/>
      <c r="V63" s="2007"/>
      <c r="W63" s="2007"/>
      <c r="X63" s="2007"/>
      <c r="Y63" s="2007"/>
      <c r="Z63" s="2007"/>
      <c r="AA63" s="2007"/>
      <c r="AB63" s="2007"/>
      <c r="AC63" s="1992">
        <f t="shared" si="89"/>
        <v>0.16</v>
      </c>
      <c r="AD63" s="1992"/>
      <c r="AE63" s="2007"/>
      <c r="AF63" s="2007"/>
      <c r="AG63" s="2007"/>
      <c r="AH63" s="2007"/>
      <c r="AI63" s="2007"/>
      <c r="AJ63" s="2007"/>
      <c r="AK63" s="2007"/>
      <c r="AL63" s="2007"/>
      <c r="AM63" s="2007"/>
      <c r="AN63" s="2007"/>
      <c r="AO63" s="2007">
        <f>80/1000*2</f>
        <v>0.16</v>
      </c>
      <c r="AP63" s="2007"/>
      <c r="AQ63" s="2007"/>
      <c r="AR63" s="2007"/>
      <c r="AS63" s="2007"/>
      <c r="AT63" s="2007"/>
      <c r="AU63" s="2007"/>
      <c r="AV63" s="2007"/>
      <c r="AW63" s="2007"/>
      <c r="AX63" s="2007"/>
      <c r="AY63" s="2007"/>
      <c r="AZ63" s="2007"/>
      <c r="BA63" s="2007"/>
      <c r="BB63" s="2007"/>
      <c r="BC63" s="2007"/>
      <c r="BD63" s="2007"/>
      <c r="BE63" s="2007"/>
      <c r="BF63" s="2007"/>
      <c r="BG63" s="2007"/>
      <c r="BH63" s="2007"/>
      <c r="BI63" s="2007"/>
      <c r="BJ63" s="2007"/>
      <c r="BK63" s="2007"/>
      <c r="BL63" s="2007"/>
      <c r="BM63" s="1992"/>
      <c r="BN63" s="1992"/>
      <c r="BO63" s="2007"/>
      <c r="BP63" s="2007"/>
      <c r="BQ63" s="2007"/>
      <c r="BR63" s="2007"/>
      <c r="BS63" s="2007"/>
      <c r="BT63" s="2007"/>
      <c r="BU63" s="2007"/>
      <c r="BV63" s="2007"/>
      <c r="BW63" s="2007"/>
      <c r="BX63" s="2007"/>
      <c r="BY63" s="2007">
        <f>5/1000</f>
        <v>5.0000000000000001E-3</v>
      </c>
      <c r="BZ63" s="2007"/>
      <c r="CA63" s="2007"/>
      <c r="CB63" s="2007"/>
      <c r="CC63" s="2007"/>
      <c r="CD63" s="2007"/>
      <c r="CE63" s="2007"/>
      <c r="CF63" s="2007"/>
      <c r="CG63" s="2007"/>
      <c r="CH63" s="2007"/>
      <c r="CI63" s="2007"/>
      <c r="CJ63" s="2007"/>
      <c r="CK63" s="2007"/>
      <c r="CL63" s="2007"/>
      <c r="CM63" s="2007"/>
      <c r="CN63" s="2007"/>
      <c r="CO63" s="2007"/>
      <c r="CP63" s="2007"/>
      <c r="CQ63" s="2007"/>
      <c r="CR63" s="2007"/>
      <c r="CS63" s="2007"/>
      <c r="CT63" s="2007"/>
      <c r="CU63" s="2007"/>
      <c r="CV63" s="2007"/>
    </row>
    <row r="64" spans="2:100" ht="32.25" hidden="1" customHeight="1" thickTop="1" thickBot="1">
      <c r="B64" s="1995" t="s">
        <v>1215</v>
      </c>
      <c r="C64" s="1996" t="s">
        <v>1216</v>
      </c>
      <c r="D64" s="1997" t="s">
        <v>1204</v>
      </c>
      <c r="E64" s="1992"/>
      <c r="F64" s="1992">
        <f>G64+T64</f>
        <v>0</v>
      </c>
      <c r="G64" s="1992"/>
      <c r="H64" s="2007"/>
      <c r="I64" s="2007"/>
      <c r="J64" s="2007"/>
      <c r="K64" s="2007"/>
      <c r="L64" s="2007"/>
      <c r="M64" s="2007"/>
      <c r="N64" s="2007"/>
      <c r="O64" s="2007"/>
      <c r="P64" s="2007"/>
      <c r="Q64" s="2007"/>
      <c r="R64" s="2007"/>
      <c r="S64" s="2007"/>
      <c r="T64" s="1992"/>
      <c r="U64" s="2007"/>
      <c r="V64" s="2007"/>
      <c r="W64" s="2007"/>
      <c r="X64" s="2007"/>
      <c r="Y64" s="2007"/>
      <c r="Z64" s="2007"/>
      <c r="AA64" s="2007"/>
      <c r="AB64" s="2007"/>
      <c r="AC64" s="1992">
        <f t="shared" si="89"/>
        <v>0</v>
      </c>
      <c r="AD64" s="2003"/>
      <c r="AE64" s="2007"/>
      <c r="AF64" s="2007"/>
      <c r="AG64" s="2007"/>
      <c r="AH64" s="2007"/>
      <c r="AI64" s="2007"/>
      <c r="AJ64" s="2007"/>
      <c r="AK64" s="2007"/>
      <c r="AL64" s="2007"/>
      <c r="AM64" s="2007"/>
      <c r="AN64" s="2007"/>
      <c r="AO64" s="2007"/>
      <c r="AP64" s="2007"/>
      <c r="AQ64" s="2007"/>
      <c r="AR64" s="2007"/>
      <c r="AS64" s="2007"/>
      <c r="AT64" s="2007"/>
      <c r="AU64" s="2007"/>
      <c r="AV64" s="2007"/>
      <c r="AW64" s="2007"/>
      <c r="AX64" s="2007"/>
      <c r="AY64" s="2007"/>
      <c r="AZ64" s="2007"/>
      <c r="BA64" s="2007"/>
      <c r="BB64" s="2007"/>
      <c r="BC64" s="2007"/>
      <c r="BD64" s="2007"/>
      <c r="BE64" s="2007"/>
      <c r="BF64" s="2007"/>
      <c r="BG64" s="2007"/>
      <c r="BH64" s="2007"/>
      <c r="BI64" s="2007"/>
      <c r="BJ64" s="2007"/>
      <c r="BK64" s="2007"/>
      <c r="BL64" s="2007"/>
      <c r="BM64" s="1992"/>
      <c r="BN64" s="2003"/>
      <c r="BO64" s="2007"/>
      <c r="BP64" s="2007"/>
      <c r="BQ64" s="2007"/>
      <c r="BR64" s="2007"/>
      <c r="BS64" s="2007"/>
      <c r="BT64" s="2007"/>
      <c r="BU64" s="2007"/>
      <c r="BV64" s="2007"/>
      <c r="BW64" s="2007"/>
      <c r="BX64" s="2007"/>
      <c r="BY64" s="2007"/>
      <c r="BZ64" s="2007"/>
      <c r="CA64" s="2007"/>
      <c r="CB64" s="2007"/>
      <c r="CC64" s="2007"/>
      <c r="CD64" s="2007"/>
      <c r="CE64" s="2007"/>
      <c r="CF64" s="2007"/>
      <c r="CG64" s="2007"/>
      <c r="CH64" s="2007"/>
      <c r="CI64" s="2007"/>
      <c r="CJ64" s="2007"/>
      <c r="CK64" s="2007"/>
      <c r="CL64" s="2007"/>
      <c r="CM64" s="2007"/>
      <c r="CN64" s="2007"/>
      <c r="CO64" s="2007"/>
      <c r="CP64" s="2007"/>
      <c r="CQ64" s="2007"/>
      <c r="CR64" s="2007"/>
      <c r="CS64" s="2007"/>
      <c r="CT64" s="2007"/>
      <c r="CU64" s="2007"/>
      <c r="CV64" s="2007"/>
    </row>
    <row r="65" spans="2:100" ht="55.5" hidden="1" customHeight="1" outlineLevel="2" thickTop="1">
      <c r="B65" s="1995" t="s">
        <v>1217</v>
      </c>
      <c r="C65" s="1996" t="s">
        <v>1218</v>
      </c>
      <c r="D65" s="1997" t="s">
        <v>1204</v>
      </c>
      <c r="E65" s="1992"/>
      <c r="F65" s="1992"/>
      <c r="G65" s="1992"/>
      <c r="H65" s="2007"/>
      <c r="I65" s="2007"/>
      <c r="J65" s="2007"/>
      <c r="K65" s="2007"/>
      <c r="L65" s="2007"/>
      <c r="M65" s="2007"/>
      <c r="N65" s="2007"/>
      <c r="O65" s="2007"/>
      <c r="P65" s="2007"/>
      <c r="Q65" s="2007"/>
      <c r="R65" s="2007"/>
      <c r="S65" s="2007"/>
      <c r="T65" s="1992"/>
      <c r="U65" s="2007"/>
      <c r="V65" s="2007"/>
      <c r="W65" s="2007"/>
      <c r="X65" s="2007"/>
      <c r="Y65" s="2007"/>
      <c r="Z65" s="2007"/>
      <c r="AA65" s="2007"/>
      <c r="AB65" s="2007"/>
      <c r="AC65" s="1992">
        <f t="shared" si="89"/>
        <v>0</v>
      </c>
      <c r="AD65" s="1992"/>
      <c r="AE65" s="2007"/>
      <c r="AF65" s="2007"/>
      <c r="AG65" s="2007"/>
      <c r="AH65" s="2007"/>
      <c r="AI65" s="2007"/>
      <c r="AJ65" s="2007"/>
      <c r="AK65" s="2007"/>
      <c r="AL65" s="2007"/>
      <c r="AM65" s="2007"/>
      <c r="AN65" s="2007"/>
      <c r="AO65" s="2007"/>
      <c r="AP65" s="2007"/>
      <c r="AQ65" s="2007"/>
      <c r="AR65" s="2007"/>
      <c r="AS65" s="2007"/>
      <c r="AT65" s="2007"/>
      <c r="AU65" s="2007"/>
      <c r="AV65" s="2007"/>
      <c r="AW65" s="2007"/>
      <c r="AX65" s="2007"/>
      <c r="AY65" s="2007"/>
      <c r="AZ65" s="2007"/>
      <c r="BA65" s="2007"/>
      <c r="BB65" s="2007"/>
      <c r="BC65" s="2007"/>
      <c r="BD65" s="2007"/>
      <c r="BE65" s="2007"/>
      <c r="BF65" s="2007"/>
      <c r="BG65" s="2007"/>
      <c r="BH65" s="2007"/>
      <c r="BI65" s="2007"/>
      <c r="BJ65" s="2007"/>
      <c r="BK65" s="2007"/>
      <c r="BL65" s="2007"/>
      <c r="BM65" s="1992"/>
      <c r="BN65" s="1992"/>
      <c r="BO65" s="2007"/>
      <c r="BP65" s="2007"/>
      <c r="BQ65" s="2007"/>
      <c r="BR65" s="2007"/>
      <c r="BS65" s="2007"/>
      <c r="BT65" s="2007"/>
      <c r="BU65" s="2007"/>
      <c r="BV65" s="2007"/>
      <c r="BW65" s="2007"/>
      <c r="BX65" s="2007"/>
      <c r="BY65" s="2007"/>
      <c r="BZ65" s="2007"/>
      <c r="CA65" s="2007"/>
      <c r="CB65" s="2007"/>
      <c r="CC65" s="2007"/>
      <c r="CD65" s="2007"/>
      <c r="CE65" s="2007"/>
      <c r="CF65" s="2007"/>
      <c r="CG65" s="2007"/>
      <c r="CH65" s="2007"/>
      <c r="CI65" s="2007"/>
      <c r="CJ65" s="2007"/>
      <c r="CK65" s="2007"/>
      <c r="CL65" s="2007"/>
      <c r="CM65" s="2007"/>
      <c r="CN65" s="2007"/>
      <c r="CO65" s="2007"/>
      <c r="CP65" s="2007"/>
      <c r="CQ65" s="2007"/>
      <c r="CR65" s="2007"/>
      <c r="CS65" s="2007"/>
      <c r="CT65" s="2007"/>
      <c r="CU65" s="2007"/>
      <c r="CV65" s="2007"/>
    </row>
    <row r="66" spans="2:100" ht="27.75" hidden="1" customHeight="1" outlineLevel="1">
      <c r="B66" s="1995" t="s">
        <v>1219</v>
      </c>
      <c r="C66" s="1996" t="s">
        <v>1220</v>
      </c>
      <c r="D66" s="1997" t="s">
        <v>1204</v>
      </c>
      <c r="E66" s="1992"/>
      <c r="F66" s="1992">
        <f>G66+T66</f>
        <v>0</v>
      </c>
      <c r="G66" s="1992"/>
      <c r="H66" s="2007"/>
      <c r="I66" s="2007"/>
      <c r="J66" s="2007"/>
      <c r="K66" s="2007"/>
      <c r="L66" s="2007"/>
      <c r="M66" s="2007"/>
      <c r="N66" s="2007"/>
      <c r="O66" s="2007"/>
      <c r="P66" s="2007"/>
      <c r="Q66" s="2007"/>
      <c r="R66" s="2007"/>
      <c r="S66" s="2007"/>
      <c r="T66" s="1992"/>
      <c r="U66" s="2007"/>
      <c r="V66" s="2007"/>
      <c r="W66" s="2007"/>
      <c r="X66" s="2007"/>
      <c r="Y66" s="2007"/>
      <c r="Z66" s="2007"/>
      <c r="AA66" s="2007"/>
      <c r="AB66" s="2007"/>
      <c r="AC66" s="1992">
        <f>AD66+AO66+BA66</f>
        <v>0</v>
      </c>
      <c r="AD66" s="1992"/>
      <c r="AE66" s="2007"/>
      <c r="AF66" s="2007"/>
      <c r="AG66" s="2007"/>
      <c r="AH66" s="2007"/>
      <c r="AI66" s="2007"/>
      <c r="AJ66" s="2007"/>
      <c r="AK66" s="2007"/>
      <c r="AL66" s="2007"/>
      <c r="AM66" s="2007"/>
      <c r="AN66" s="2007"/>
      <c r="AO66" s="2007"/>
      <c r="AP66" s="2007"/>
      <c r="AQ66" s="2007"/>
      <c r="AR66" s="2007"/>
      <c r="AS66" s="2007"/>
      <c r="AT66" s="2007"/>
      <c r="AU66" s="2007"/>
      <c r="AV66" s="2007"/>
      <c r="AW66" s="2007"/>
      <c r="AX66" s="2007"/>
      <c r="AY66" s="2007"/>
      <c r="AZ66" s="2007"/>
      <c r="BA66" s="2007">
        <f>BK66</f>
        <v>0</v>
      </c>
      <c r="BB66" s="2007"/>
      <c r="BC66" s="2007"/>
      <c r="BD66" s="2007"/>
      <c r="BE66" s="2007"/>
      <c r="BF66" s="2007"/>
      <c r="BG66" s="2007"/>
      <c r="BH66" s="2007"/>
      <c r="BI66" s="2007"/>
      <c r="BJ66" s="2007"/>
      <c r="BK66" s="2007"/>
      <c r="BL66" s="2007"/>
      <c r="BM66" s="1992"/>
      <c r="BN66" s="1992"/>
      <c r="BO66" s="2007"/>
      <c r="BP66" s="2007"/>
      <c r="BQ66" s="2007"/>
      <c r="BR66" s="2007"/>
      <c r="BS66" s="2007"/>
      <c r="BT66" s="2007"/>
      <c r="BU66" s="2007"/>
      <c r="BV66" s="2007"/>
      <c r="BW66" s="2007"/>
      <c r="BX66" s="2007"/>
      <c r="BY66" s="2007"/>
      <c r="BZ66" s="2007"/>
      <c r="CA66" s="2007"/>
      <c r="CB66" s="2007"/>
      <c r="CC66" s="2007"/>
      <c r="CD66" s="2007"/>
      <c r="CE66" s="2007"/>
      <c r="CF66" s="2007"/>
      <c r="CG66" s="2007"/>
      <c r="CH66" s="2007"/>
      <c r="CI66" s="2007"/>
      <c r="CJ66" s="2007"/>
      <c r="CK66" s="2007"/>
      <c r="CL66" s="2007"/>
      <c r="CM66" s="2007"/>
      <c r="CN66" s="2007"/>
      <c r="CO66" s="2007"/>
      <c r="CP66" s="2007"/>
      <c r="CQ66" s="2007"/>
      <c r="CR66" s="2007"/>
      <c r="CS66" s="2007"/>
      <c r="CT66" s="2007"/>
      <c r="CU66" s="2007"/>
      <c r="CV66" s="2007"/>
    </row>
    <row r="67" spans="2:100" ht="42.75" customHeight="1" collapsed="1">
      <c r="B67" s="1990">
        <v>4</v>
      </c>
      <c r="C67" s="2020" t="s">
        <v>1221</v>
      </c>
      <c r="D67" s="1974" t="s">
        <v>1222</v>
      </c>
      <c r="E67" s="1992"/>
      <c r="F67" s="2021">
        <f>SUM(G67,T67)</f>
        <v>1079.17</v>
      </c>
      <c r="G67" s="2021"/>
      <c r="H67" s="1992"/>
      <c r="I67" s="1992"/>
      <c r="J67" s="1992"/>
      <c r="K67" s="1992"/>
      <c r="L67" s="1992"/>
      <c r="M67" s="1992"/>
      <c r="N67" s="1992"/>
      <c r="O67" s="1992"/>
      <c r="P67" s="1992"/>
      <c r="Q67" s="1992"/>
      <c r="R67" s="1992"/>
      <c r="S67" s="1992"/>
      <c r="T67" s="2021">
        <v>1079.17</v>
      </c>
      <c r="U67" s="1992"/>
      <c r="V67" s="1992"/>
      <c r="W67" s="1992"/>
      <c r="X67" s="1992"/>
      <c r="Y67" s="1992"/>
      <c r="Z67" s="1992"/>
      <c r="AA67" s="1992"/>
      <c r="AB67" s="1992"/>
      <c r="AC67" s="2021">
        <f>CK67</f>
        <v>1012.7329999999999</v>
      </c>
      <c r="AD67" s="2021"/>
      <c r="AE67" s="2021"/>
      <c r="AF67" s="2021"/>
      <c r="AG67" s="2021"/>
      <c r="AH67" s="2021"/>
      <c r="AI67" s="2021"/>
      <c r="AJ67" s="2021"/>
      <c r="AK67" s="2021"/>
      <c r="AL67" s="2021"/>
      <c r="AM67" s="2021"/>
      <c r="AN67" s="2021"/>
      <c r="AO67" s="1992"/>
      <c r="AP67" s="1992"/>
      <c r="AQ67" s="1992"/>
      <c r="AR67" s="1992"/>
      <c r="AS67" s="1992"/>
      <c r="AT67" s="1992"/>
      <c r="AU67" s="1992"/>
      <c r="AV67" s="1992"/>
      <c r="AW67" s="1992"/>
      <c r="AX67" s="1992"/>
      <c r="AY67" s="1992"/>
      <c r="AZ67" s="1992"/>
      <c r="BA67" s="2021"/>
      <c r="BB67" s="1992"/>
      <c r="BC67" s="1992"/>
      <c r="BD67" s="1992"/>
      <c r="BE67" s="1992"/>
      <c r="BF67" s="1992"/>
      <c r="BG67" s="1992"/>
      <c r="BH67" s="1992"/>
      <c r="BI67" s="1992"/>
      <c r="BJ67" s="1992"/>
      <c r="BK67" s="1992"/>
      <c r="BL67" s="1992"/>
      <c r="BM67" s="2021"/>
      <c r="BN67" s="2021"/>
      <c r="BO67" s="2021"/>
      <c r="BP67" s="2021"/>
      <c r="BQ67" s="2021"/>
      <c r="BR67" s="2021"/>
      <c r="BS67" s="2021"/>
      <c r="BT67" s="2021"/>
      <c r="BU67" s="2021"/>
      <c r="BV67" s="2021"/>
      <c r="BW67" s="2021"/>
      <c r="BX67" s="2021"/>
      <c r="BY67" s="1992"/>
      <c r="BZ67" s="1992"/>
      <c r="CA67" s="1992"/>
      <c r="CB67" s="1992"/>
      <c r="CC67" s="1992"/>
      <c r="CD67" s="1992"/>
      <c r="CE67" s="1992"/>
      <c r="CF67" s="1992"/>
      <c r="CG67" s="1992"/>
      <c r="CH67" s="1992"/>
      <c r="CI67" s="1992"/>
      <c r="CJ67" s="1992"/>
      <c r="CK67" s="2021">
        <v>1012.7329999999999</v>
      </c>
      <c r="CL67" s="1992"/>
      <c r="CM67" s="1992"/>
      <c r="CN67" s="1992"/>
      <c r="CO67" s="1992"/>
      <c r="CP67" s="1992"/>
      <c r="CQ67" s="1992"/>
      <c r="CR67" s="1992"/>
      <c r="CS67" s="1992"/>
      <c r="CT67" s="1992"/>
      <c r="CU67" s="1992"/>
      <c r="CV67" s="1992"/>
    </row>
    <row r="68" spans="2:100" ht="20.25" hidden="1" customHeight="1" outlineLevel="1">
      <c r="B68" s="2022">
        <v>5</v>
      </c>
      <c r="C68" s="2023" t="s">
        <v>1223</v>
      </c>
      <c r="D68" s="2024"/>
      <c r="E68" s="2025"/>
      <c r="F68" s="2025"/>
      <c r="G68" s="2025"/>
      <c r="H68" s="929"/>
      <c r="I68" s="929"/>
      <c r="J68" s="929"/>
      <c r="K68" s="929"/>
      <c r="L68" s="929"/>
      <c r="M68" s="929"/>
      <c r="N68" s="929"/>
      <c r="O68" s="929"/>
      <c r="P68" s="929"/>
      <c r="Q68" s="929"/>
      <c r="R68" s="929"/>
      <c r="S68" s="929"/>
      <c r="T68" s="2025"/>
      <c r="U68" s="929"/>
      <c r="V68" s="929"/>
      <c r="W68" s="929"/>
      <c r="X68" s="929"/>
      <c r="Y68" s="929"/>
      <c r="Z68" s="929"/>
      <c r="AA68" s="929"/>
      <c r="AB68" s="929"/>
      <c r="AC68" s="2025"/>
      <c r="AD68" s="2025"/>
      <c r="AE68" s="929"/>
      <c r="AF68" s="929"/>
      <c r="AG68" s="929"/>
      <c r="AH68" s="929"/>
      <c r="AI68" s="929"/>
      <c r="AJ68" s="929"/>
      <c r="AK68" s="929"/>
      <c r="AL68" s="929"/>
      <c r="AM68" s="929"/>
      <c r="AN68" s="929"/>
      <c r="AO68" s="2025"/>
      <c r="AP68" s="929"/>
      <c r="AQ68" s="929"/>
      <c r="AR68" s="929"/>
      <c r="AS68" s="929"/>
      <c r="AT68" s="930"/>
      <c r="AU68" s="930"/>
      <c r="AV68" s="929"/>
      <c r="AW68" s="929"/>
      <c r="AX68" s="929"/>
      <c r="AY68" s="929"/>
      <c r="AZ68" s="929"/>
      <c r="BA68" s="2025"/>
      <c r="BB68" s="929"/>
      <c r="BC68" s="929"/>
      <c r="BD68" s="929"/>
      <c r="BE68" s="929"/>
      <c r="BF68" s="930"/>
      <c r="BG68" s="930"/>
      <c r="BH68" s="929"/>
      <c r="BI68" s="929"/>
      <c r="BJ68" s="929"/>
      <c r="BK68" s="929"/>
      <c r="BL68" s="929"/>
      <c r="BM68" s="2025"/>
      <c r="BN68" s="2025"/>
      <c r="BO68" s="929"/>
      <c r="BP68" s="929"/>
      <c r="BQ68" s="929"/>
      <c r="BR68" s="929"/>
      <c r="BS68" s="929"/>
      <c r="BT68" s="929"/>
      <c r="BU68" s="929"/>
      <c r="BV68" s="929"/>
      <c r="BW68" s="929"/>
      <c r="BX68" s="929"/>
      <c r="BY68" s="2025"/>
      <c r="BZ68" s="929"/>
      <c r="CA68" s="929"/>
      <c r="CB68" s="929"/>
      <c r="CC68" s="929"/>
      <c r="CD68" s="930"/>
      <c r="CE68" s="930"/>
      <c r="CF68" s="929"/>
      <c r="CG68" s="929"/>
      <c r="CH68" s="929"/>
      <c r="CI68" s="929"/>
      <c r="CJ68" s="929"/>
      <c r="CK68" s="2025"/>
      <c r="CL68" s="929"/>
      <c r="CM68" s="929"/>
      <c r="CN68" s="929"/>
      <c r="CO68" s="929"/>
      <c r="CP68" s="930"/>
      <c r="CQ68" s="930"/>
      <c r="CR68" s="929"/>
      <c r="CS68" s="929"/>
      <c r="CT68" s="929"/>
      <c r="CU68" s="929"/>
      <c r="CV68" s="929"/>
    </row>
    <row r="69" spans="2:100" ht="20.25" hidden="1" customHeight="1" outlineLevel="1">
      <c r="B69" s="917" t="s">
        <v>1224</v>
      </c>
      <c r="C69" s="918" t="s">
        <v>1225</v>
      </c>
      <c r="D69" s="842" t="s">
        <v>1226</v>
      </c>
      <c r="E69" s="2026"/>
      <c r="F69" s="2026"/>
      <c r="G69" s="2026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2026"/>
      <c r="U69" s="862"/>
      <c r="V69" s="862"/>
      <c r="W69" s="862"/>
      <c r="X69" s="862"/>
      <c r="Y69" s="862"/>
      <c r="Z69" s="862"/>
      <c r="AA69" s="862"/>
      <c r="AB69" s="862"/>
      <c r="AC69" s="2026"/>
      <c r="AD69" s="2026"/>
      <c r="AE69" s="862"/>
      <c r="AF69" s="862"/>
      <c r="AG69" s="862"/>
      <c r="AH69" s="862"/>
      <c r="AI69" s="862"/>
      <c r="AJ69" s="862"/>
      <c r="AK69" s="862"/>
      <c r="AL69" s="862"/>
      <c r="AM69" s="862"/>
      <c r="AN69" s="862"/>
      <c r="AO69" s="2026"/>
      <c r="AP69" s="862"/>
      <c r="AQ69" s="862"/>
      <c r="AR69" s="862"/>
      <c r="AS69" s="862"/>
      <c r="AT69" s="863"/>
      <c r="AU69" s="863"/>
      <c r="AV69" s="862"/>
      <c r="AW69" s="862"/>
      <c r="AX69" s="862"/>
      <c r="AY69" s="862"/>
      <c r="AZ69" s="862"/>
      <c r="BA69" s="2026"/>
      <c r="BB69" s="862"/>
      <c r="BC69" s="862"/>
      <c r="BD69" s="862"/>
      <c r="BE69" s="862"/>
      <c r="BF69" s="863"/>
      <c r="BG69" s="863"/>
      <c r="BH69" s="862"/>
      <c r="BI69" s="862"/>
      <c r="BJ69" s="862"/>
      <c r="BK69" s="862"/>
      <c r="BL69" s="862"/>
      <c r="BM69" s="2026"/>
      <c r="BN69" s="2026"/>
      <c r="BO69" s="862"/>
      <c r="BP69" s="862"/>
      <c r="BQ69" s="862"/>
      <c r="BR69" s="862"/>
      <c r="BS69" s="862"/>
      <c r="BT69" s="862"/>
      <c r="BU69" s="862"/>
      <c r="BV69" s="862"/>
      <c r="BW69" s="862"/>
      <c r="BX69" s="862"/>
      <c r="BY69" s="2026"/>
      <c r="BZ69" s="862"/>
      <c r="CA69" s="862"/>
      <c r="CB69" s="862"/>
      <c r="CC69" s="862"/>
      <c r="CD69" s="863"/>
      <c r="CE69" s="863"/>
      <c r="CF69" s="862"/>
      <c r="CG69" s="862"/>
      <c r="CH69" s="862"/>
      <c r="CI69" s="862"/>
      <c r="CJ69" s="862"/>
      <c r="CK69" s="2026"/>
      <c r="CL69" s="862"/>
      <c r="CM69" s="862"/>
      <c r="CN69" s="862"/>
      <c r="CO69" s="862"/>
      <c r="CP69" s="863"/>
      <c r="CQ69" s="863"/>
      <c r="CR69" s="862"/>
      <c r="CS69" s="862"/>
      <c r="CT69" s="862"/>
      <c r="CU69" s="862"/>
      <c r="CV69" s="862"/>
    </row>
    <row r="70" spans="2:100" ht="40.5" hidden="1" customHeight="1" outlineLevel="1">
      <c r="B70" s="917" t="s">
        <v>1227</v>
      </c>
      <c r="C70" s="918" t="s">
        <v>1228</v>
      </c>
      <c r="D70" s="842"/>
      <c r="E70" s="2026"/>
      <c r="F70" s="2026"/>
      <c r="G70" s="2026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2026"/>
      <c r="U70" s="862"/>
      <c r="V70" s="862"/>
      <c r="W70" s="862"/>
      <c r="X70" s="862"/>
      <c r="Y70" s="862"/>
      <c r="Z70" s="862"/>
      <c r="AA70" s="862"/>
      <c r="AB70" s="862"/>
      <c r="AC70" s="2026"/>
      <c r="AD70" s="2026"/>
      <c r="AE70" s="862"/>
      <c r="AF70" s="862"/>
      <c r="AG70" s="862"/>
      <c r="AH70" s="862"/>
      <c r="AI70" s="862"/>
      <c r="AJ70" s="862"/>
      <c r="AK70" s="862"/>
      <c r="AL70" s="862"/>
      <c r="AM70" s="862"/>
      <c r="AN70" s="862"/>
      <c r="AO70" s="2026"/>
      <c r="AP70" s="862"/>
      <c r="AQ70" s="862"/>
      <c r="AR70" s="862"/>
      <c r="AS70" s="862"/>
      <c r="AT70" s="863"/>
      <c r="AU70" s="863"/>
      <c r="AV70" s="862"/>
      <c r="AW70" s="862"/>
      <c r="AX70" s="862"/>
      <c r="AY70" s="862"/>
      <c r="AZ70" s="862"/>
      <c r="BA70" s="2026"/>
      <c r="BB70" s="862"/>
      <c r="BC70" s="862"/>
      <c r="BD70" s="862"/>
      <c r="BE70" s="862"/>
      <c r="BF70" s="863"/>
      <c r="BG70" s="863"/>
      <c r="BH70" s="862"/>
      <c r="BI70" s="862"/>
      <c r="BJ70" s="862"/>
      <c r="BK70" s="862"/>
      <c r="BL70" s="862"/>
      <c r="BM70" s="2026"/>
      <c r="BN70" s="2026"/>
      <c r="BO70" s="862"/>
      <c r="BP70" s="862"/>
      <c r="BQ70" s="862"/>
      <c r="BR70" s="862"/>
      <c r="BS70" s="862"/>
      <c r="BT70" s="862"/>
      <c r="BU70" s="862"/>
      <c r="BV70" s="862"/>
      <c r="BW70" s="862"/>
      <c r="BX70" s="862"/>
      <c r="BY70" s="2026"/>
      <c r="BZ70" s="862"/>
      <c r="CA70" s="862"/>
      <c r="CB70" s="862"/>
      <c r="CC70" s="862"/>
      <c r="CD70" s="863"/>
      <c r="CE70" s="863"/>
      <c r="CF70" s="862"/>
      <c r="CG70" s="862"/>
      <c r="CH70" s="862"/>
      <c r="CI70" s="862"/>
      <c r="CJ70" s="862"/>
      <c r="CK70" s="2026"/>
      <c r="CL70" s="862"/>
      <c r="CM70" s="862"/>
      <c r="CN70" s="862"/>
      <c r="CO70" s="862"/>
      <c r="CP70" s="863"/>
      <c r="CQ70" s="863"/>
      <c r="CR70" s="862"/>
      <c r="CS70" s="862"/>
      <c r="CT70" s="862"/>
      <c r="CU70" s="862"/>
      <c r="CV70" s="862"/>
    </row>
    <row r="71" spans="2:100" ht="20.25" hidden="1" customHeight="1" outlineLevel="1">
      <c r="B71" s="870" t="s">
        <v>1229</v>
      </c>
      <c r="C71" s="871" t="s">
        <v>1230</v>
      </c>
      <c r="D71" s="872" t="s">
        <v>1083</v>
      </c>
      <c r="E71" s="2026"/>
      <c r="F71" s="2026">
        <f t="shared" ref="F71:F77" si="96">G71+T71</f>
        <v>0</v>
      </c>
      <c r="G71" s="2026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2026"/>
      <c r="U71" s="877"/>
      <c r="V71" s="877"/>
      <c r="W71" s="877"/>
      <c r="X71" s="877"/>
      <c r="Y71" s="877"/>
      <c r="Z71" s="877"/>
      <c r="AA71" s="877"/>
      <c r="AB71" s="877"/>
      <c r="AC71" s="2026"/>
      <c r="AD71" s="2026"/>
      <c r="AE71" s="877"/>
      <c r="AF71" s="877"/>
      <c r="AG71" s="877"/>
      <c r="AH71" s="877"/>
      <c r="AI71" s="877"/>
      <c r="AJ71" s="877"/>
      <c r="AK71" s="877"/>
      <c r="AL71" s="877"/>
      <c r="AM71" s="877"/>
      <c r="AN71" s="877"/>
      <c r="AO71" s="2027"/>
      <c r="AP71" s="877"/>
      <c r="AQ71" s="877"/>
      <c r="AR71" s="877"/>
      <c r="AS71" s="877"/>
      <c r="AT71" s="879"/>
      <c r="AU71" s="879"/>
      <c r="AV71" s="877"/>
      <c r="AW71" s="877"/>
      <c r="AX71" s="877"/>
      <c r="AY71" s="877"/>
      <c r="AZ71" s="877"/>
      <c r="BA71" s="2027"/>
      <c r="BB71" s="877"/>
      <c r="BC71" s="877"/>
      <c r="BD71" s="877"/>
      <c r="BE71" s="877"/>
      <c r="BF71" s="879"/>
      <c r="BG71" s="879"/>
      <c r="BH71" s="877"/>
      <c r="BI71" s="877"/>
      <c r="BJ71" s="877"/>
      <c r="BK71" s="877"/>
      <c r="BL71" s="877"/>
      <c r="BM71" s="2026"/>
      <c r="BN71" s="2026"/>
      <c r="BO71" s="877"/>
      <c r="BP71" s="877"/>
      <c r="BQ71" s="877"/>
      <c r="BR71" s="877"/>
      <c r="BS71" s="877"/>
      <c r="BT71" s="877"/>
      <c r="BU71" s="877"/>
      <c r="BV71" s="877"/>
      <c r="BW71" s="877"/>
      <c r="BX71" s="877"/>
      <c r="BY71" s="2027"/>
      <c r="BZ71" s="877"/>
      <c r="CA71" s="877"/>
      <c r="CB71" s="877"/>
      <c r="CC71" s="877"/>
      <c r="CD71" s="879"/>
      <c r="CE71" s="879"/>
      <c r="CF71" s="877"/>
      <c r="CG71" s="877"/>
      <c r="CH71" s="877"/>
      <c r="CI71" s="877"/>
      <c r="CJ71" s="877"/>
      <c r="CK71" s="2027"/>
      <c r="CL71" s="877"/>
      <c r="CM71" s="877"/>
      <c r="CN71" s="877"/>
      <c r="CO71" s="877"/>
      <c r="CP71" s="879"/>
      <c r="CQ71" s="879"/>
      <c r="CR71" s="877"/>
      <c r="CS71" s="877"/>
      <c r="CT71" s="877"/>
      <c r="CU71" s="877"/>
      <c r="CV71" s="877"/>
    </row>
    <row r="72" spans="2:100" ht="20.25" hidden="1" customHeight="1" outlineLevel="1">
      <c r="B72" s="870" t="s">
        <v>1231</v>
      </c>
      <c r="C72" s="871" t="s">
        <v>1232</v>
      </c>
      <c r="D72" s="872" t="s">
        <v>1083</v>
      </c>
      <c r="E72" s="2026"/>
      <c r="F72" s="2026">
        <f t="shared" si="96"/>
        <v>0</v>
      </c>
      <c r="G72" s="2026"/>
      <c r="H72" s="877"/>
      <c r="I72" s="877"/>
      <c r="J72" s="877"/>
      <c r="K72" s="877"/>
      <c r="L72" s="877"/>
      <c r="M72" s="877"/>
      <c r="N72" s="877"/>
      <c r="O72" s="877"/>
      <c r="P72" s="877"/>
      <c r="Q72" s="877"/>
      <c r="R72" s="877"/>
      <c r="S72" s="877"/>
      <c r="T72" s="2026"/>
      <c r="U72" s="877"/>
      <c r="V72" s="877"/>
      <c r="W72" s="877"/>
      <c r="X72" s="877"/>
      <c r="Y72" s="877"/>
      <c r="Z72" s="877"/>
      <c r="AA72" s="877"/>
      <c r="AB72" s="877"/>
      <c r="AC72" s="2026"/>
      <c r="AD72" s="2026"/>
      <c r="AE72" s="877"/>
      <c r="AF72" s="877"/>
      <c r="AG72" s="877"/>
      <c r="AH72" s="877"/>
      <c r="AI72" s="877"/>
      <c r="AJ72" s="877"/>
      <c r="AK72" s="877"/>
      <c r="AL72" s="877"/>
      <c r="AM72" s="877"/>
      <c r="AN72" s="877"/>
      <c r="AO72" s="2027"/>
      <c r="AP72" s="877"/>
      <c r="AQ72" s="877"/>
      <c r="AR72" s="877"/>
      <c r="AS72" s="877"/>
      <c r="AT72" s="879"/>
      <c r="AU72" s="879"/>
      <c r="AV72" s="877"/>
      <c r="AW72" s="877"/>
      <c r="AX72" s="877"/>
      <c r="AY72" s="877"/>
      <c r="AZ72" s="877"/>
      <c r="BA72" s="2027"/>
      <c r="BB72" s="877"/>
      <c r="BC72" s="877"/>
      <c r="BD72" s="877"/>
      <c r="BE72" s="877"/>
      <c r="BF72" s="879"/>
      <c r="BG72" s="879"/>
      <c r="BH72" s="877"/>
      <c r="BI72" s="877"/>
      <c r="BJ72" s="877"/>
      <c r="BK72" s="877"/>
      <c r="BL72" s="877"/>
      <c r="BM72" s="2026"/>
      <c r="BN72" s="2026"/>
      <c r="BO72" s="877"/>
      <c r="BP72" s="877"/>
      <c r="BQ72" s="877"/>
      <c r="BR72" s="877"/>
      <c r="BS72" s="877"/>
      <c r="BT72" s="877"/>
      <c r="BU72" s="877"/>
      <c r="BV72" s="877"/>
      <c r="BW72" s="877"/>
      <c r="BX72" s="877"/>
      <c r="BY72" s="2027"/>
      <c r="BZ72" s="877"/>
      <c r="CA72" s="877"/>
      <c r="CB72" s="877"/>
      <c r="CC72" s="877"/>
      <c r="CD72" s="879"/>
      <c r="CE72" s="879"/>
      <c r="CF72" s="877"/>
      <c r="CG72" s="877"/>
      <c r="CH72" s="877"/>
      <c r="CI72" s="877"/>
      <c r="CJ72" s="877"/>
      <c r="CK72" s="2027"/>
      <c r="CL72" s="877"/>
      <c r="CM72" s="877"/>
      <c r="CN72" s="877"/>
      <c r="CO72" s="877"/>
      <c r="CP72" s="879"/>
      <c r="CQ72" s="879"/>
      <c r="CR72" s="877"/>
      <c r="CS72" s="877"/>
      <c r="CT72" s="877"/>
      <c r="CU72" s="877"/>
      <c r="CV72" s="877"/>
    </row>
    <row r="73" spans="2:100" ht="40.5" hidden="1" customHeight="1" outlineLevel="1">
      <c r="B73" s="870" t="s">
        <v>1233</v>
      </c>
      <c r="C73" s="871" t="s">
        <v>1234</v>
      </c>
      <c r="D73" s="872" t="s">
        <v>1083</v>
      </c>
      <c r="E73" s="2026"/>
      <c r="F73" s="2026">
        <f t="shared" si="96"/>
        <v>0</v>
      </c>
      <c r="G73" s="2026"/>
      <c r="H73" s="877"/>
      <c r="I73" s="877"/>
      <c r="J73" s="877"/>
      <c r="K73" s="877"/>
      <c r="L73" s="877"/>
      <c r="M73" s="877"/>
      <c r="N73" s="877"/>
      <c r="O73" s="877"/>
      <c r="P73" s="877"/>
      <c r="Q73" s="877"/>
      <c r="R73" s="877"/>
      <c r="S73" s="877"/>
      <c r="T73" s="2026"/>
      <c r="U73" s="877"/>
      <c r="V73" s="877"/>
      <c r="W73" s="877"/>
      <c r="X73" s="877"/>
      <c r="Y73" s="877"/>
      <c r="Z73" s="877"/>
      <c r="AA73" s="877"/>
      <c r="AB73" s="877"/>
      <c r="AC73" s="2026"/>
      <c r="AD73" s="2026"/>
      <c r="AE73" s="877"/>
      <c r="AF73" s="877"/>
      <c r="AG73" s="877"/>
      <c r="AH73" s="877"/>
      <c r="AI73" s="877"/>
      <c r="AJ73" s="877"/>
      <c r="AK73" s="877"/>
      <c r="AL73" s="877"/>
      <c r="AM73" s="877"/>
      <c r="AN73" s="877"/>
      <c r="AO73" s="2027"/>
      <c r="AP73" s="877"/>
      <c r="AQ73" s="877"/>
      <c r="AR73" s="877"/>
      <c r="AS73" s="877"/>
      <c r="AT73" s="879"/>
      <c r="AU73" s="879"/>
      <c r="AV73" s="877"/>
      <c r="AW73" s="877"/>
      <c r="AX73" s="877"/>
      <c r="AY73" s="877"/>
      <c r="AZ73" s="877"/>
      <c r="BA73" s="2027"/>
      <c r="BB73" s="877"/>
      <c r="BC73" s="877"/>
      <c r="BD73" s="877"/>
      <c r="BE73" s="877"/>
      <c r="BF73" s="879"/>
      <c r="BG73" s="879"/>
      <c r="BH73" s="877"/>
      <c r="BI73" s="877"/>
      <c r="BJ73" s="877"/>
      <c r="BK73" s="877"/>
      <c r="BL73" s="877"/>
      <c r="BM73" s="2026"/>
      <c r="BN73" s="2026"/>
      <c r="BO73" s="877"/>
      <c r="BP73" s="877"/>
      <c r="BQ73" s="877"/>
      <c r="BR73" s="877"/>
      <c r="BS73" s="877"/>
      <c r="BT73" s="877"/>
      <c r="BU73" s="877"/>
      <c r="BV73" s="877"/>
      <c r="BW73" s="877"/>
      <c r="BX73" s="877"/>
      <c r="BY73" s="2027"/>
      <c r="BZ73" s="877"/>
      <c r="CA73" s="877"/>
      <c r="CB73" s="877"/>
      <c r="CC73" s="877"/>
      <c r="CD73" s="879"/>
      <c r="CE73" s="879"/>
      <c r="CF73" s="877"/>
      <c r="CG73" s="877"/>
      <c r="CH73" s="877"/>
      <c r="CI73" s="877"/>
      <c r="CJ73" s="877"/>
      <c r="CK73" s="2027"/>
      <c r="CL73" s="877"/>
      <c r="CM73" s="877"/>
      <c r="CN73" s="877"/>
      <c r="CO73" s="877"/>
      <c r="CP73" s="879"/>
      <c r="CQ73" s="879"/>
      <c r="CR73" s="877"/>
      <c r="CS73" s="877"/>
      <c r="CT73" s="877"/>
      <c r="CU73" s="877"/>
      <c r="CV73" s="877"/>
    </row>
    <row r="74" spans="2:100" ht="40.5" hidden="1" customHeight="1" outlineLevel="1">
      <c r="B74" s="870" t="s">
        <v>1235</v>
      </c>
      <c r="C74" s="871" t="s">
        <v>1236</v>
      </c>
      <c r="D74" s="872" t="s">
        <v>1083</v>
      </c>
      <c r="E74" s="2026"/>
      <c r="F74" s="2026">
        <f t="shared" si="96"/>
        <v>0</v>
      </c>
      <c r="G74" s="2026"/>
      <c r="H74" s="877"/>
      <c r="I74" s="877"/>
      <c r="J74" s="877"/>
      <c r="K74" s="877"/>
      <c r="L74" s="877"/>
      <c r="M74" s="877"/>
      <c r="N74" s="877"/>
      <c r="O74" s="877"/>
      <c r="P74" s="877"/>
      <c r="Q74" s="877"/>
      <c r="R74" s="877"/>
      <c r="S74" s="877"/>
      <c r="T74" s="2026"/>
      <c r="U74" s="877"/>
      <c r="V74" s="877"/>
      <c r="W74" s="877"/>
      <c r="X74" s="877"/>
      <c r="Y74" s="877"/>
      <c r="Z74" s="877"/>
      <c r="AA74" s="877"/>
      <c r="AB74" s="877"/>
      <c r="AC74" s="2026"/>
      <c r="AD74" s="2026"/>
      <c r="AE74" s="877"/>
      <c r="AF74" s="877"/>
      <c r="AG74" s="877"/>
      <c r="AH74" s="877"/>
      <c r="AI74" s="877"/>
      <c r="AJ74" s="877"/>
      <c r="AK74" s="877"/>
      <c r="AL74" s="877"/>
      <c r="AM74" s="877"/>
      <c r="AN74" s="877"/>
      <c r="AO74" s="2027"/>
      <c r="AP74" s="877"/>
      <c r="AQ74" s="877"/>
      <c r="AR74" s="877"/>
      <c r="AS74" s="877"/>
      <c r="AT74" s="879"/>
      <c r="AU74" s="879"/>
      <c r="AV74" s="877"/>
      <c r="AW74" s="877"/>
      <c r="AX74" s="877"/>
      <c r="AY74" s="877"/>
      <c r="AZ74" s="877"/>
      <c r="BA74" s="2027"/>
      <c r="BB74" s="877"/>
      <c r="BC74" s="877"/>
      <c r="BD74" s="877"/>
      <c r="BE74" s="877"/>
      <c r="BF74" s="879"/>
      <c r="BG74" s="879"/>
      <c r="BH74" s="877"/>
      <c r="BI74" s="877"/>
      <c r="BJ74" s="877"/>
      <c r="BK74" s="877"/>
      <c r="BL74" s="877"/>
      <c r="BM74" s="2026"/>
      <c r="BN74" s="2026"/>
      <c r="BO74" s="877"/>
      <c r="BP74" s="877"/>
      <c r="BQ74" s="877"/>
      <c r="BR74" s="877"/>
      <c r="BS74" s="877"/>
      <c r="BT74" s="877"/>
      <c r="BU74" s="877"/>
      <c r="BV74" s="877"/>
      <c r="BW74" s="877"/>
      <c r="BX74" s="877"/>
      <c r="BY74" s="2027"/>
      <c r="BZ74" s="877"/>
      <c r="CA74" s="877"/>
      <c r="CB74" s="877"/>
      <c r="CC74" s="877"/>
      <c r="CD74" s="879"/>
      <c r="CE74" s="879"/>
      <c r="CF74" s="877"/>
      <c r="CG74" s="877"/>
      <c r="CH74" s="877"/>
      <c r="CI74" s="877"/>
      <c r="CJ74" s="877"/>
      <c r="CK74" s="2027"/>
      <c r="CL74" s="877"/>
      <c r="CM74" s="877"/>
      <c r="CN74" s="877"/>
      <c r="CO74" s="877"/>
      <c r="CP74" s="879"/>
      <c r="CQ74" s="879"/>
      <c r="CR74" s="877"/>
      <c r="CS74" s="877"/>
      <c r="CT74" s="877"/>
      <c r="CU74" s="877"/>
      <c r="CV74" s="877"/>
    </row>
    <row r="75" spans="2:100" ht="40.5" hidden="1" customHeight="1" outlineLevel="1">
      <c r="B75" s="870" t="s">
        <v>1237</v>
      </c>
      <c r="C75" s="871" t="s">
        <v>1238</v>
      </c>
      <c r="D75" s="872" t="s">
        <v>1083</v>
      </c>
      <c r="E75" s="2026"/>
      <c r="F75" s="2026">
        <f t="shared" si="96"/>
        <v>0</v>
      </c>
      <c r="G75" s="2026"/>
      <c r="H75" s="877"/>
      <c r="I75" s="877"/>
      <c r="J75" s="877"/>
      <c r="K75" s="877"/>
      <c r="L75" s="877"/>
      <c r="M75" s="877"/>
      <c r="N75" s="877"/>
      <c r="O75" s="877"/>
      <c r="P75" s="877"/>
      <c r="Q75" s="877"/>
      <c r="R75" s="877"/>
      <c r="S75" s="877"/>
      <c r="T75" s="2026"/>
      <c r="U75" s="877"/>
      <c r="V75" s="877"/>
      <c r="W75" s="877"/>
      <c r="X75" s="877"/>
      <c r="Y75" s="877"/>
      <c r="Z75" s="877"/>
      <c r="AA75" s="877"/>
      <c r="AB75" s="877"/>
      <c r="AC75" s="2026"/>
      <c r="AD75" s="2026"/>
      <c r="AE75" s="877"/>
      <c r="AF75" s="877"/>
      <c r="AG75" s="877"/>
      <c r="AH75" s="877"/>
      <c r="AI75" s="877"/>
      <c r="AJ75" s="877"/>
      <c r="AK75" s="877"/>
      <c r="AL75" s="877"/>
      <c r="AM75" s="877"/>
      <c r="AN75" s="877"/>
      <c r="AO75" s="2027"/>
      <c r="AP75" s="877"/>
      <c r="AQ75" s="877"/>
      <c r="AR75" s="877"/>
      <c r="AS75" s="877"/>
      <c r="AT75" s="879"/>
      <c r="AU75" s="879"/>
      <c r="AV75" s="877"/>
      <c r="AW75" s="877"/>
      <c r="AX75" s="877"/>
      <c r="AY75" s="877"/>
      <c r="AZ75" s="877"/>
      <c r="BA75" s="2027"/>
      <c r="BB75" s="877"/>
      <c r="BC75" s="877"/>
      <c r="BD75" s="877"/>
      <c r="BE75" s="877"/>
      <c r="BF75" s="879"/>
      <c r="BG75" s="879"/>
      <c r="BH75" s="877"/>
      <c r="BI75" s="877"/>
      <c r="BJ75" s="877"/>
      <c r="BK75" s="877"/>
      <c r="BL75" s="877"/>
      <c r="BM75" s="2026"/>
      <c r="BN75" s="2026"/>
      <c r="BO75" s="877"/>
      <c r="BP75" s="877"/>
      <c r="BQ75" s="877"/>
      <c r="BR75" s="877"/>
      <c r="BS75" s="877"/>
      <c r="BT75" s="877"/>
      <c r="BU75" s="877"/>
      <c r="BV75" s="877"/>
      <c r="BW75" s="877"/>
      <c r="BX75" s="877"/>
      <c r="BY75" s="2027"/>
      <c r="BZ75" s="877"/>
      <c r="CA75" s="877"/>
      <c r="CB75" s="877"/>
      <c r="CC75" s="877"/>
      <c r="CD75" s="879"/>
      <c r="CE75" s="879"/>
      <c r="CF75" s="877"/>
      <c r="CG75" s="877"/>
      <c r="CH75" s="877"/>
      <c r="CI75" s="877"/>
      <c r="CJ75" s="877"/>
      <c r="CK75" s="2027"/>
      <c r="CL75" s="877"/>
      <c r="CM75" s="877"/>
      <c r="CN75" s="877"/>
      <c r="CO75" s="877"/>
      <c r="CP75" s="879"/>
      <c r="CQ75" s="879"/>
      <c r="CR75" s="877"/>
      <c r="CS75" s="877"/>
      <c r="CT75" s="877"/>
      <c r="CU75" s="877"/>
      <c r="CV75" s="877"/>
    </row>
    <row r="76" spans="2:100" ht="40.5" hidden="1" customHeight="1" outlineLevel="1">
      <c r="B76" s="870" t="s">
        <v>1239</v>
      </c>
      <c r="C76" s="871" t="s">
        <v>1240</v>
      </c>
      <c r="D76" s="872" t="s">
        <v>1083</v>
      </c>
      <c r="E76" s="2026"/>
      <c r="F76" s="2026">
        <f t="shared" si="96"/>
        <v>0</v>
      </c>
      <c r="G76" s="2026"/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2026"/>
      <c r="U76" s="877"/>
      <c r="V76" s="877"/>
      <c r="W76" s="877"/>
      <c r="X76" s="877"/>
      <c r="Y76" s="877"/>
      <c r="Z76" s="877"/>
      <c r="AA76" s="877"/>
      <c r="AB76" s="877"/>
      <c r="AC76" s="2026"/>
      <c r="AD76" s="2026"/>
      <c r="AE76" s="877"/>
      <c r="AF76" s="877"/>
      <c r="AG76" s="877"/>
      <c r="AH76" s="877"/>
      <c r="AI76" s="877"/>
      <c r="AJ76" s="877"/>
      <c r="AK76" s="877"/>
      <c r="AL76" s="877"/>
      <c r="AM76" s="877"/>
      <c r="AN76" s="877"/>
      <c r="AO76" s="2027"/>
      <c r="AP76" s="877"/>
      <c r="AQ76" s="877"/>
      <c r="AR76" s="877"/>
      <c r="AS76" s="877"/>
      <c r="AT76" s="879"/>
      <c r="AU76" s="879"/>
      <c r="AV76" s="877"/>
      <c r="AW76" s="877"/>
      <c r="AX76" s="877"/>
      <c r="AY76" s="877"/>
      <c r="AZ76" s="877"/>
      <c r="BA76" s="2027"/>
      <c r="BB76" s="877"/>
      <c r="BC76" s="877"/>
      <c r="BD76" s="877"/>
      <c r="BE76" s="877"/>
      <c r="BF76" s="879"/>
      <c r="BG76" s="879"/>
      <c r="BH76" s="877"/>
      <c r="BI76" s="877"/>
      <c r="BJ76" s="877"/>
      <c r="BK76" s="877"/>
      <c r="BL76" s="877"/>
      <c r="BM76" s="2026"/>
      <c r="BN76" s="2026"/>
      <c r="BO76" s="877"/>
      <c r="BP76" s="877"/>
      <c r="BQ76" s="877"/>
      <c r="BR76" s="877"/>
      <c r="BS76" s="877"/>
      <c r="BT76" s="877"/>
      <c r="BU76" s="877"/>
      <c r="BV76" s="877"/>
      <c r="BW76" s="877"/>
      <c r="BX76" s="877"/>
      <c r="BY76" s="2027"/>
      <c r="BZ76" s="877"/>
      <c r="CA76" s="877"/>
      <c r="CB76" s="877"/>
      <c r="CC76" s="877"/>
      <c r="CD76" s="879"/>
      <c r="CE76" s="879"/>
      <c r="CF76" s="877"/>
      <c r="CG76" s="877"/>
      <c r="CH76" s="877"/>
      <c r="CI76" s="877"/>
      <c r="CJ76" s="877"/>
      <c r="CK76" s="2027"/>
      <c r="CL76" s="877"/>
      <c r="CM76" s="877"/>
      <c r="CN76" s="877"/>
      <c r="CO76" s="877"/>
      <c r="CP76" s="879"/>
      <c r="CQ76" s="879"/>
      <c r="CR76" s="877"/>
      <c r="CS76" s="877"/>
      <c r="CT76" s="877"/>
      <c r="CU76" s="877"/>
      <c r="CV76" s="877"/>
    </row>
    <row r="77" spans="2:100" ht="20.25" hidden="1" customHeight="1" outlineLevel="1">
      <c r="B77" s="870" t="s">
        <v>1241</v>
      </c>
      <c r="C77" s="871" t="s">
        <v>1242</v>
      </c>
      <c r="D77" s="872" t="s">
        <v>1083</v>
      </c>
      <c r="E77" s="2026"/>
      <c r="F77" s="2026">
        <f t="shared" si="96"/>
        <v>0</v>
      </c>
      <c r="G77" s="2026"/>
      <c r="H77" s="877"/>
      <c r="I77" s="877"/>
      <c r="J77" s="877"/>
      <c r="K77" s="877"/>
      <c r="L77" s="877"/>
      <c r="M77" s="877"/>
      <c r="N77" s="877"/>
      <c r="O77" s="877"/>
      <c r="P77" s="877"/>
      <c r="Q77" s="877"/>
      <c r="R77" s="877"/>
      <c r="S77" s="877"/>
      <c r="T77" s="2026"/>
      <c r="U77" s="877"/>
      <c r="V77" s="877"/>
      <c r="W77" s="877"/>
      <c r="X77" s="877"/>
      <c r="Y77" s="877"/>
      <c r="Z77" s="877"/>
      <c r="AA77" s="877"/>
      <c r="AB77" s="877"/>
      <c r="AC77" s="2026"/>
      <c r="AD77" s="2026"/>
      <c r="AE77" s="877"/>
      <c r="AF77" s="877"/>
      <c r="AG77" s="877"/>
      <c r="AH77" s="877"/>
      <c r="AI77" s="877"/>
      <c r="AJ77" s="877"/>
      <c r="AK77" s="877"/>
      <c r="AL77" s="877"/>
      <c r="AM77" s="877"/>
      <c r="AN77" s="877"/>
      <c r="AO77" s="2027"/>
      <c r="AP77" s="877"/>
      <c r="AQ77" s="877"/>
      <c r="AR77" s="877"/>
      <c r="AS77" s="877"/>
      <c r="AT77" s="879"/>
      <c r="AU77" s="879"/>
      <c r="AV77" s="877"/>
      <c r="AW77" s="877"/>
      <c r="AX77" s="877"/>
      <c r="AY77" s="877"/>
      <c r="AZ77" s="877"/>
      <c r="BA77" s="2027"/>
      <c r="BB77" s="877"/>
      <c r="BC77" s="877"/>
      <c r="BD77" s="877"/>
      <c r="BE77" s="877"/>
      <c r="BF77" s="879"/>
      <c r="BG77" s="879"/>
      <c r="BH77" s="877"/>
      <c r="BI77" s="877"/>
      <c r="BJ77" s="877"/>
      <c r="BK77" s="877"/>
      <c r="BL77" s="877"/>
      <c r="BM77" s="2026"/>
      <c r="BN77" s="2026"/>
      <c r="BO77" s="877"/>
      <c r="BP77" s="877"/>
      <c r="BQ77" s="877"/>
      <c r="BR77" s="877"/>
      <c r="BS77" s="877"/>
      <c r="BT77" s="877"/>
      <c r="BU77" s="877"/>
      <c r="BV77" s="877"/>
      <c r="BW77" s="877"/>
      <c r="BX77" s="877"/>
      <c r="BY77" s="2027"/>
      <c r="BZ77" s="877"/>
      <c r="CA77" s="877"/>
      <c r="CB77" s="877"/>
      <c r="CC77" s="877"/>
      <c r="CD77" s="879"/>
      <c r="CE77" s="879"/>
      <c r="CF77" s="877"/>
      <c r="CG77" s="877"/>
      <c r="CH77" s="877"/>
      <c r="CI77" s="877"/>
      <c r="CJ77" s="877"/>
      <c r="CK77" s="2027"/>
      <c r="CL77" s="877"/>
      <c r="CM77" s="877"/>
      <c r="CN77" s="877"/>
      <c r="CO77" s="877"/>
      <c r="CP77" s="879"/>
      <c r="CQ77" s="879"/>
      <c r="CR77" s="877"/>
      <c r="CS77" s="877"/>
      <c r="CT77" s="877"/>
      <c r="CU77" s="877"/>
      <c r="CV77" s="877"/>
    </row>
    <row r="78" spans="2:100" ht="60.75" customHeight="1" collapsed="1">
      <c r="B78" s="917" t="s">
        <v>1243</v>
      </c>
      <c r="C78" s="918" t="s">
        <v>1244</v>
      </c>
      <c r="D78" s="841" t="s">
        <v>1245</v>
      </c>
      <c r="E78" s="2026"/>
      <c r="F78" s="2026">
        <f>F15/F67</f>
        <v>29.342547290907127</v>
      </c>
      <c r="G78" s="2026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2026"/>
      <c r="U78" s="862"/>
      <c r="V78" s="862"/>
      <c r="W78" s="862"/>
      <c r="X78" s="862"/>
      <c r="Y78" s="862"/>
      <c r="Z78" s="862"/>
      <c r="AA78" s="862"/>
      <c r="AB78" s="862"/>
      <c r="AC78" s="2026">
        <f>AC15/AC67</f>
        <v>4.1586772745621667</v>
      </c>
      <c r="AD78" s="2026"/>
      <c r="AE78" s="862"/>
      <c r="AF78" s="862"/>
      <c r="AG78" s="862"/>
      <c r="AH78" s="862"/>
      <c r="AI78" s="862"/>
      <c r="AJ78" s="862"/>
      <c r="AK78" s="862"/>
      <c r="AL78" s="862"/>
      <c r="AM78" s="862"/>
      <c r="AN78" s="862"/>
      <c r="AO78" s="2026"/>
      <c r="AP78" s="862"/>
      <c r="AQ78" s="862"/>
      <c r="AR78" s="862"/>
      <c r="AS78" s="862"/>
      <c r="AT78" s="863"/>
      <c r="AU78" s="863"/>
      <c r="AV78" s="862"/>
      <c r="AW78" s="862"/>
      <c r="AX78" s="862"/>
      <c r="AY78" s="862"/>
      <c r="AZ78" s="862"/>
      <c r="BA78" s="2026"/>
      <c r="BB78" s="862"/>
      <c r="BC78" s="862"/>
      <c r="BD78" s="862"/>
      <c r="BE78" s="862"/>
      <c r="BF78" s="863"/>
      <c r="BG78" s="863"/>
      <c r="BH78" s="862"/>
      <c r="BI78" s="862"/>
      <c r="BJ78" s="862"/>
      <c r="BK78" s="862"/>
      <c r="BL78" s="862"/>
      <c r="BM78" s="2026"/>
      <c r="BN78" s="2026"/>
      <c r="BO78" s="862"/>
      <c r="BP78" s="862"/>
      <c r="BQ78" s="862"/>
      <c r="BR78" s="862"/>
      <c r="BS78" s="862"/>
      <c r="BT78" s="862"/>
      <c r="BU78" s="862"/>
      <c r="BV78" s="862"/>
      <c r="BW78" s="862"/>
      <c r="BX78" s="862"/>
      <c r="BY78" s="2026"/>
      <c r="BZ78" s="862"/>
      <c r="CA78" s="862"/>
      <c r="CB78" s="862"/>
      <c r="CC78" s="862"/>
      <c r="CD78" s="863"/>
      <c r="CE78" s="863"/>
      <c r="CF78" s="862"/>
      <c r="CG78" s="862"/>
      <c r="CH78" s="862"/>
      <c r="CI78" s="862"/>
      <c r="CJ78" s="862"/>
      <c r="CK78" s="2026"/>
      <c r="CL78" s="862"/>
      <c r="CM78" s="862"/>
      <c r="CN78" s="862"/>
      <c r="CO78" s="862"/>
      <c r="CP78" s="863"/>
      <c r="CQ78" s="863"/>
      <c r="CR78" s="862"/>
      <c r="CS78" s="862"/>
      <c r="CT78" s="862"/>
      <c r="CU78" s="862"/>
      <c r="CV78" s="862"/>
    </row>
    <row r="79" spans="2:100" ht="20.25" hidden="1" customHeight="1" outlineLevel="1">
      <c r="B79" s="2028"/>
      <c r="C79" s="2029"/>
      <c r="D79" s="1961"/>
      <c r="E79" s="1961"/>
      <c r="F79" s="2030"/>
      <c r="G79" s="2031"/>
      <c r="H79" s="2031"/>
      <c r="I79" s="2031"/>
      <c r="J79" s="2031"/>
      <c r="K79" s="2032"/>
      <c r="L79" s="2032"/>
      <c r="M79" s="2032"/>
      <c r="N79" s="2032"/>
      <c r="O79" s="2032"/>
      <c r="P79" s="2032"/>
      <c r="Q79" s="2032"/>
      <c r="R79" s="2032"/>
      <c r="S79" s="2032"/>
      <c r="T79" s="2032"/>
      <c r="U79" s="2032"/>
      <c r="V79" s="2032"/>
      <c r="W79" s="2032"/>
      <c r="X79" s="2032"/>
      <c r="Y79" s="2032"/>
      <c r="Z79" s="2032"/>
      <c r="AA79" s="2032"/>
      <c r="AB79" s="2032"/>
      <c r="AC79" s="2033"/>
      <c r="AD79" s="2032"/>
      <c r="AE79" s="2032"/>
      <c r="AF79" s="2032"/>
      <c r="AG79" s="2032"/>
      <c r="AH79" s="2032"/>
      <c r="AI79" s="2032"/>
      <c r="AJ79" s="2032"/>
      <c r="AK79" s="2032"/>
      <c r="AL79" s="2032"/>
      <c r="AM79" s="2032"/>
      <c r="AN79" s="2032"/>
      <c r="AO79" s="2032"/>
      <c r="AP79" s="2032"/>
      <c r="AQ79" s="2032"/>
      <c r="AR79" s="2032"/>
      <c r="AS79" s="2032"/>
      <c r="AT79" s="2032"/>
      <c r="AU79" s="2032"/>
      <c r="AV79" s="2032"/>
      <c r="AW79" s="2032"/>
      <c r="AX79" s="2032"/>
      <c r="AY79" s="2032"/>
      <c r="AZ79" s="2032"/>
      <c r="BA79" s="2032"/>
      <c r="BB79" s="2032"/>
      <c r="BC79" s="2032"/>
      <c r="BD79" s="2032"/>
      <c r="BE79" s="2032"/>
      <c r="BF79" s="2032"/>
      <c r="BG79" s="2032"/>
      <c r="BH79" s="2032"/>
      <c r="BI79" s="2032"/>
      <c r="BJ79" s="2032"/>
      <c r="BK79" s="2032"/>
      <c r="BL79" s="2032"/>
      <c r="BM79" s="2033"/>
      <c r="BN79" s="2032"/>
      <c r="BO79" s="2032"/>
      <c r="BP79" s="2032"/>
      <c r="BQ79" s="2032"/>
      <c r="BR79" s="2032"/>
      <c r="BS79" s="2032"/>
      <c r="BT79" s="2032"/>
      <c r="BU79" s="2032"/>
      <c r="BV79" s="2032"/>
      <c r="BW79" s="2032"/>
      <c r="BX79" s="2032"/>
      <c r="BY79" s="2032"/>
      <c r="BZ79" s="2032"/>
      <c r="CA79" s="2032"/>
      <c r="CB79" s="2032"/>
      <c r="CC79" s="2032"/>
      <c r="CD79" s="2032"/>
      <c r="CE79" s="2032"/>
      <c r="CF79" s="2032"/>
      <c r="CG79" s="2032"/>
      <c r="CH79" s="2032"/>
      <c r="CI79" s="2032"/>
      <c r="CJ79" s="2032"/>
      <c r="CK79" s="2032"/>
      <c r="CL79" s="2032"/>
      <c r="CM79" s="2032"/>
      <c r="CN79" s="2032"/>
      <c r="CO79" s="2032"/>
      <c r="CP79" s="2032"/>
      <c r="CQ79" s="2032"/>
      <c r="CR79" s="2032"/>
      <c r="CS79" s="2032"/>
      <c r="CT79" s="2032"/>
      <c r="CU79" s="2032"/>
      <c r="CV79" s="2032"/>
    </row>
    <row r="80" spans="2:100" s="970" customFormat="1" ht="20.25" hidden="1" customHeight="1" outlineLevel="1">
      <c r="B80" s="2034"/>
      <c r="D80" s="2035"/>
      <c r="E80" s="2035"/>
      <c r="F80" s="2036"/>
      <c r="G80" s="971"/>
      <c r="H80" s="971"/>
      <c r="I80" s="971"/>
      <c r="J80" s="971"/>
      <c r="K80" s="974"/>
      <c r="L80" s="974"/>
      <c r="M80" s="974"/>
      <c r="N80" s="974"/>
      <c r="O80" s="974"/>
      <c r="P80" s="974"/>
      <c r="Q80" s="974"/>
      <c r="R80" s="974"/>
      <c r="S80" s="974"/>
      <c r="T80" s="2037"/>
      <c r="U80" s="2037"/>
      <c r="V80" s="2037"/>
      <c r="W80" s="2037"/>
      <c r="X80" s="2037"/>
      <c r="Y80" s="2037"/>
      <c r="Z80" s="2037"/>
      <c r="AA80" s="2037"/>
      <c r="AB80" s="2037"/>
      <c r="AC80" s="2038"/>
      <c r="AD80" s="974"/>
      <c r="AE80" s="974"/>
      <c r="AF80" s="974"/>
      <c r="AG80" s="974"/>
      <c r="AH80" s="974"/>
      <c r="AI80" s="974"/>
      <c r="AJ80" s="974"/>
      <c r="AK80" s="974"/>
      <c r="AL80" s="974"/>
      <c r="AM80" s="974"/>
      <c r="AN80" s="974"/>
      <c r="AO80" s="974"/>
      <c r="AP80" s="974"/>
      <c r="AQ80" s="974"/>
      <c r="AR80" s="974"/>
      <c r="AS80" s="974"/>
      <c r="AT80" s="974"/>
      <c r="AU80" s="974"/>
      <c r="AV80" s="974"/>
      <c r="AW80" s="2037"/>
      <c r="AX80" s="974"/>
      <c r="AY80" s="974"/>
      <c r="AZ80" s="974"/>
      <c r="BA80" s="974"/>
      <c r="BB80" s="974"/>
      <c r="BC80" s="974"/>
      <c r="BD80" s="974"/>
      <c r="BE80" s="974"/>
      <c r="BF80" s="974"/>
      <c r="BG80" s="974"/>
      <c r="BH80" s="974"/>
      <c r="BI80" s="2037"/>
      <c r="BJ80" s="974"/>
      <c r="BK80" s="974"/>
      <c r="BL80" s="974"/>
      <c r="BM80" s="2038"/>
      <c r="BN80" s="974"/>
      <c r="BO80" s="974"/>
      <c r="BP80" s="974"/>
      <c r="BQ80" s="974"/>
      <c r="BR80" s="974"/>
      <c r="BS80" s="974"/>
      <c r="BT80" s="974"/>
      <c r="BU80" s="974"/>
      <c r="BV80" s="974"/>
      <c r="BW80" s="974"/>
      <c r="BX80" s="974"/>
      <c r="BY80" s="974"/>
      <c r="BZ80" s="974"/>
      <c r="CA80" s="974"/>
      <c r="CB80" s="974"/>
      <c r="CC80" s="974"/>
      <c r="CD80" s="974"/>
      <c r="CE80" s="974"/>
      <c r="CF80" s="974"/>
      <c r="CG80" s="2037"/>
      <c r="CH80" s="974"/>
      <c r="CI80" s="974"/>
      <c r="CJ80" s="974"/>
      <c r="CK80" s="974"/>
      <c r="CL80" s="974"/>
      <c r="CM80" s="974"/>
      <c r="CN80" s="974"/>
      <c r="CO80" s="974"/>
      <c r="CP80" s="974"/>
      <c r="CQ80" s="974"/>
      <c r="CR80" s="974"/>
      <c r="CS80" s="2037"/>
      <c r="CT80" s="974"/>
      <c r="CU80" s="974"/>
      <c r="CV80" s="974"/>
    </row>
    <row r="81" spans="2:100" s="970" customFormat="1" ht="20.25" hidden="1" customHeight="1" outlineLevel="1">
      <c r="B81" s="2034"/>
      <c r="D81" s="2035"/>
      <c r="E81" s="2035"/>
      <c r="F81" s="2036"/>
      <c r="G81" s="971"/>
      <c r="H81" s="971"/>
      <c r="I81" s="971"/>
      <c r="J81" s="971"/>
      <c r="K81" s="974"/>
      <c r="L81" s="974"/>
      <c r="M81" s="974"/>
      <c r="N81" s="974"/>
      <c r="O81" s="974"/>
      <c r="P81" s="974"/>
      <c r="Q81" s="974"/>
      <c r="R81" s="974"/>
      <c r="S81" s="974"/>
      <c r="T81" s="2037"/>
      <c r="U81" s="2037"/>
      <c r="V81" s="2037"/>
      <c r="W81" s="2037"/>
      <c r="X81" s="2037"/>
      <c r="Y81" s="2037"/>
      <c r="Z81" s="2037"/>
      <c r="AA81" s="2037"/>
      <c r="AB81" s="2037"/>
      <c r="AC81" s="2038"/>
      <c r="AD81" s="974"/>
      <c r="AE81" s="974"/>
      <c r="AF81" s="974"/>
      <c r="AG81" s="974"/>
      <c r="AH81" s="974"/>
      <c r="AI81" s="974"/>
      <c r="AJ81" s="974"/>
      <c r="AK81" s="974"/>
      <c r="AL81" s="974"/>
      <c r="AM81" s="974"/>
      <c r="AN81" s="974"/>
      <c r="AO81" s="974"/>
      <c r="AP81" s="974"/>
      <c r="AQ81" s="974"/>
      <c r="AR81" s="974"/>
      <c r="AS81" s="974"/>
      <c r="AT81" s="974"/>
      <c r="AU81" s="974"/>
      <c r="AV81" s="974"/>
      <c r="AW81" s="2037"/>
      <c r="AX81" s="974"/>
      <c r="AY81" s="974"/>
      <c r="AZ81" s="974"/>
      <c r="BA81" s="974"/>
      <c r="BB81" s="974"/>
      <c r="BC81" s="974"/>
      <c r="BD81" s="974"/>
      <c r="BE81" s="974"/>
      <c r="BF81" s="974"/>
      <c r="BG81" s="974"/>
      <c r="BH81" s="974"/>
      <c r="BI81" s="2037"/>
      <c r="BJ81" s="974"/>
      <c r="BK81" s="974"/>
      <c r="BL81" s="974"/>
      <c r="BM81" s="2038"/>
      <c r="BN81" s="974"/>
      <c r="BO81" s="974"/>
      <c r="BP81" s="974"/>
      <c r="BQ81" s="974"/>
      <c r="BR81" s="974"/>
      <c r="BS81" s="974"/>
      <c r="BT81" s="974"/>
      <c r="BU81" s="974"/>
      <c r="BV81" s="974"/>
      <c r="BW81" s="974"/>
      <c r="BX81" s="974"/>
      <c r="BY81" s="974"/>
      <c r="BZ81" s="974"/>
      <c r="CA81" s="974"/>
      <c r="CB81" s="974"/>
      <c r="CC81" s="974"/>
      <c r="CD81" s="974"/>
      <c r="CE81" s="974"/>
      <c r="CF81" s="974"/>
      <c r="CG81" s="2037"/>
      <c r="CH81" s="974"/>
      <c r="CI81" s="974"/>
      <c r="CJ81" s="974"/>
      <c r="CK81" s="974"/>
      <c r="CL81" s="974"/>
      <c r="CM81" s="974"/>
      <c r="CN81" s="974"/>
      <c r="CO81" s="974"/>
      <c r="CP81" s="974"/>
      <c r="CQ81" s="974"/>
      <c r="CR81" s="974"/>
      <c r="CS81" s="2037"/>
      <c r="CT81" s="974"/>
      <c r="CU81" s="974"/>
      <c r="CV81" s="974"/>
    </row>
    <row r="82" spans="2:100" s="970" customFormat="1" ht="20.25" hidden="1" customHeight="1" outlineLevel="1">
      <c r="B82" s="2034"/>
      <c r="D82" s="2035"/>
      <c r="E82" s="2035"/>
      <c r="F82" s="2036"/>
      <c r="G82" s="2039"/>
      <c r="H82" s="971"/>
      <c r="I82" s="971"/>
      <c r="J82" s="2039"/>
      <c r="K82" s="974"/>
      <c r="L82" s="974"/>
      <c r="M82" s="974"/>
      <c r="N82" s="974"/>
      <c r="O82" s="974"/>
      <c r="P82" s="974"/>
      <c r="Q82" s="974"/>
      <c r="R82" s="974"/>
      <c r="S82" s="974"/>
      <c r="T82" s="2037"/>
      <c r="U82" s="2037"/>
      <c r="V82" s="2037"/>
      <c r="W82" s="2037"/>
      <c r="X82" s="2037"/>
      <c r="Y82" s="2037"/>
      <c r="Z82" s="2037"/>
      <c r="AA82" s="2037"/>
      <c r="AB82" s="2037"/>
      <c r="AC82" s="2038"/>
      <c r="AD82" s="974"/>
      <c r="AE82" s="974"/>
      <c r="AF82" s="974"/>
      <c r="AG82" s="974"/>
      <c r="AH82" s="974"/>
      <c r="AI82" s="974"/>
      <c r="AJ82" s="974"/>
      <c r="AK82" s="974"/>
      <c r="AL82" s="974"/>
      <c r="AM82" s="974"/>
      <c r="AN82" s="974"/>
      <c r="AO82" s="974"/>
      <c r="AP82" s="974"/>
      <c r="AQ82" s="974"/>
      <c r="AR82" s="974"/>
      <c r="AS82" s="974"/>
      <c r="AT82" s="974"/>
      <c r="AU82" s="974"/>
      <c r="AV82" s="974"/>
      <c r="AW82" s="2037"/>
      <c r="AX82" s="974"/>
      <c r="AY82" s="974"/>
      <c r="AZ82" s="974"/>
      <c r="BA82" s="974"/>
      <c r="BB82" s="974"/>
      <c r="BC82" s="974"/>
      <c r="BD82" s="974"/>
      <c r="BE82" s="974"/>
      <c r="BF82" s="974"/>
      <c r="BG82" s="974"/>
      <c r="BH82" s="974"/>
      <c r="BI82" s="2037"/>
      <c r="BJ82" s="974"/>
      <c r="BK82" s="974"/>
      <c r="BL82" s="974"/>
      <c r="BM82" s="2038"/>
      <c r="BN82" s="974"/>
      <c r="BO82" s="974"/>
      <c r="BP82" s="974"/>
      <c r="BQ82" s="974"/>
      <c r="BR82" s="974"/>
      <c r="BS82" s="974"/>
      <c r="BT82" s="974"/>
      <c r="BU82" s="974"/>
      <c r="BV82" s="974"/>
      <c r="BW82" s="974"/>
      <c r="BX82" s="974"/>
      <c r="BY82" s="974"/>
      <c r="BZ82" s="974"/>
      <c r="CA82" s="974"/>
      <c r="CB82" s="974"/>
      <c r="CC82" s="974"/>
      <c r="CD82" s="974"/>
      <c r="CE82" s="974"/>
      <c r="CF82" s="974"/>
      <c r="CG82" s="2037"/>
      <c r="CH82" s="974"/>
      <c r="CI82" s="974"/>
      <c r="CJ82" s="974"/>
      <c r="CK82" s="974"/>
      <c r="CL82" s="974"/>
      <c r="CM82" s="974"/>
      <c r="CN82" s="974"/>
      <c r="CO82" s="974"/>
      <c r="CP82" s="974"/>
      <c r="CQ82" s="974"/>
      <c r="CR82" s="974"/>
      <c r="CS82" s="2037"/>
      <c r="CT82" s="974"/>
      <c r="CU82" s="974"/>
      <c r="CV82" s="974"/>
    </row>
    <row r="83" spans="2:100" s="970" customFormat="1" ht="20.25" hidden="1" customHeight="1" outlineLevel="1">
      <c r="B83" s="2034"/>
      <c r="D83" s="2035"/>
      <c r="E83" s="2035"/>
      <c r="F83" s="2036"/>
      <c r="G83" s="971"/>
      <c r="H83" s="971"/>
      <c r="I83" s="971"/>
      <c r="J83" s="971"/>
      <c r="K83" s="974"/>
      <c r="L83" s="974"/>
      <c r="M83" s="974"/>
      <c r="N83" s="974"/>
      <c r="O83" s="974"/>
      <c r="P83" s="974"/>
      <c r="Q83" s="974"/>
      <c r="R83" s="974"/>
      <c r="S83" s="974"/>
      <c r="T83" s="2037"/>
      <c r="U83" s="2037"/>
      <c r="V83" s="2037"/>
      <c r="W83" s="2037"/>
      <c r="X83" s="2037"/>
      <c r="Y83" s="2037"/>
      <c r="Z83" s="2037"/>
      <c r="AA83" s="2037"/>
      <c r="AB83" s="2037"/>
      <c r="AC83" s="2038"/>
      <c r="AD83" s="974"/>
      <c r="AE83" s="974"/>
      <c r="AF83" s="974"/>
      <c r="AG83" s="974"/>
      <c r="AH83" s="974"/>
      <c r="AI83" s="974"/>
      <c r="AJ83" s="974"/>
      <c r="AK83" s="974"/>
      <c r="AL83" s="974"/>
      <c r="AM83" s="974"/>
      <c r="AN83" s="974"/>
      <c r="AO83" s="974"/>
      <c r="AP83" s="974"/>
      <c r="AQ83" s="974"/>
      <c r="AR83" s="974"/>
      <c r="AS83" s="974"/>
      <c r="AT83" s="974"/>
      <c r="AU83" s="974"/>
      <c r="AV83" s="974"/>
      <c r="AW83" s="2037"/>
      <c r="AX83" s="974"/>
      <c r="AY83" s="974"/>
      <c r="AZ83" s="974"/>
      <c r="BA83" s="974"/>
      <c r="BB83" s="974"/>
      <c r="BC83" s="974"/>
      <c r="BD83" s="974"/>
      <c r="BE83" s="974"/>
      <c r="BF83" s="974"/>
      <c r="BG83" s="974"/>
      <c r="BH83" s="974"/>
      <c r="BI83" s="2037"/>
      <c r="BJ83" s="974"/>
      <c r="BK83" s="974"/>
      <c r="BL83" s="974"/>
      <c r="BM83" s="2038"/>
      <c r="BN83" s="974"/>
      <c r="BO83" s="974"/>
      <c r="BP83" s="974"/>
      <c r="BQ83" s="974"/>
      <c r="BR83" s="974"/>
      <c r="BS83" s="974"/>
      <c r="BT83" s="974"/>
      <c r="BU83" s="974"/>
      <c r="BV83" s="974"/>
      <c r="BW83" s="974"/>
      <c r="BX83" s="974"/>
      <c r="BY83" s="974"/>
      <c r="BZ83" s="974"/>
      <c r="CA83" s="974"/>
      <c r="CB83" s="974"/>
      <c r="CC83" s="974"/>
      <c r="CD83" s="974"/>
      <c r="CE83" s="974"/>
      <c r="CF83" s="974"/>
      <c r="CG83" s="2037"/>
      <c r="CH83" s="974"/>
      <c r="CI83" s="974"/>
      <c r="CJ83" s="974"/>
      <c r="CK83" s="974"/>
      <c r="CL83" s="974"/>
      <c r="CM83" s="974"/>
      <c r="CN83" s="974"/>
      <c r="CO83" s="974"/>
      <c r="CP83" s="974"/>
      <c r="CQ83" s="974"/>
      <c r="CR83" s="974"/>
      <c r="CS83" s="2037"/>
      <c r="CT83" s="974"/>
      <c r="CU83" s="974"/>
      <c r="CV83" s="974"/>
    </row>
    <row r="84" spans="2:100" s="970" customFormat="1" ht="32.450000000000003" customHeight="1" collapsed="1">
      <c r="B84" s="2034"/>
      <c r="C84" s="2040" t="s">
        <v>14918</v>
      </c>
      <c r="D84" s="2035"/>
      <c r="E84" s="2035"/>
      <c r="F84" s="2041">
        <v>28963.096000000001</v>
      </c>
      <c r="G84" s="971"/>
      <c r="H84" s="971"/>
      <c r="I84" s="971"/>
      <c r="J84" s="971"/>
      <c r="K84" s="974"/>
      <c r="L84" s="974"/>
      <c r="M84" s="974"/>
      <c r="N84" s="974"/>
      <c r="O84" s="974"/>
      <c r="P84" s="974"/>
      <c r="Q84" s="974"/>
      <c r="R84" s="974"/>
      <c r="S84" s="974"/>
      <c r="T84" s="2037"/>
      <c r="U84" s="2037"/>
      <c r="V84" s="2037"/>
      <c r="W84" s="2037"/>
      <c r="X84" s="2037"/>
      <c r="Y84" s="2037"/>
      <c r="Z84" s="2037"/>
      <c r="AA84" s="2037"/>
      <c r="AB84" s="2037"/>
      <c r="AC84" s="2042">
        <v>7018.7790000000005</v>
      </c>
      <c r="AD84" s="974"/>
      <c r="AE84" s="974"/>
      <c r="AF84" s="974"/>
      <c r="AG84" s="974"/>
      <c r="AH84" s="974"/>
      <c r="AI84" s="974"/>
      <c r="AJ84" s="974"/>
      <c r="AK84" s="974"/>
      <c r="AL84" s="974"/>
      <c r="AM84" s="974"/>
      <c r="AN84" s="974"/>
      <c r="AO84" s="974"/>
      <c r="AP84" s="974"/>
      <c r="AQ84" s="974"/>
      <c r="AR84" s="974"/>
      <c r="AS84" s="974"/>
      <c r="AT84" s="974"/>
      <c r="AU84" s="974"/>
      <c r="AV84" s="974"/>
      <c r="AW84" s="2037"/>
      <c r="AX84" s="974"/>
      <c r="AY84" s="974"/>
      <c r="AZ84" s="974"/>
      <c r="BA84" s="974"/>
      <c r="BB84" s="974"/>
      <c r="BC84" s="974"/>
      <c r="BD84" s="974"/>
      <c r="BE84" s="974"/>
      <c r="BF84" s="974"/>
      <c r="BG84" s="974"/>
      <c r="BH84" s="974"/>
      <c r="BI84" s="2037"/>
      <c r="BJ84" s="974"/>
      <c r="BK84" s="974"/>
      <c r="BL84" s="974"/>
      <c r="BM84" s="2038"/>
      <c r="BN84" s="974"/>
      <c r="BO84" s="974"/>
      <c r="BP84" s="974"/>
      <c r="BQ84" s="974"/>
      <c r="BR84" s="974"/>
      <c r="BS84" s="974"/>
      <c r="BT84" s="974"/>
      <c r="BU84" s="974"/>
      <c r="BV84" s="974"/>
      <c r="BW84" s="974"/>
      <c r="BX84" s="974"/>
      <c r="BY84" s="974"/>
      <c r="BZ84" s="974"/>
      <c r="CA84" s="974"/>
      <c r="CB84" s="974"/>
      <c r="CC84" s="974"/>
      <c r="CD84" s="974"/>
      <c r="CE84" s="974"/>
      <c r="CF84" s="974"/>
      <c r="CG84" s="2037"/>
      <c r="CH84" s="974"/>
      <c r="CI84" s="974"/>
      <c r="CJ84" s="974"/>
      <c r="CK84" s="974"/>
      <c r="CL84" s="974"/>
      <c r="CM84" s="974"/>
      <c r="CN84" s="974"/>
      <c r="CO84" s="974"/>
      <c r="CP84" s="974"/>
      <c r="CQ84" s="974"/>
      <c r="CR84" s="974"/>
      <c r="CS84" s="2037"/>
      <c r="CT84" s="974"/>
      <c r="CU84" s="974"/>
      <c r="CV84" s="974"/>
    </row>
    <row r="85" spans="2:100" s="970" customFormat="1" ht="38.450000000000003" customHeight="1">
      <c r="B85" s="2034"/>
      <c r="C85" s="2043" t="s">
        <v>14919</v>
      </c>
      <c r="D85" s="2035"/>
      <c r="E85" s="2035"/>
      <c r="F85" s="2041">
        <f>F14-F84</f>
        <v>-2575.0987000597925</v>
      </c>
      <c r="G85" s="971"/>
      <c r="H85" s="971"/>
      <c r="I85" s="971"/>
      <c r="J85" s="971"/>
      <c r="K85" s="974"/>
      <c r="L85" s="974"/>
      <c r="M85" s="974"/>
      <c r="N85" s="974"/>
      <c r="O85" s="974"/>
      <c r="P85" s="974"/>
      <c r="Q85" s="974"/>
      <c r="R85" s="2044"/>
      <c r="S85" s="974">
        <f>(441.382 +2195.504 +90.673 +2887.464)/80%*20%</f>
        <v>1403.75575</v>
      </c>
      <c r="T85" s="2037"/>
      <c r="U85" s="2037"/>
      <c r="V85" s="2037"/>
      <c r="W85" s="2037"/>
      <c r="X85" s="2037"/>
      <c r="Y85" s="2037"/>
      <c r="Z85" s="2037"/>
      <c r="AA85" s="2037"/>
      <c r="AB85" s="2037"/>
      <c r="AC85" s="2042">
        <f>AC14-AC84</f>
        <v>-3509.0875730840285</v>
      </c>
      <c r="AD85" s="974"/>
      <c r="AE85" s="974"/>
      <c r="AF85" s="974"/>
      <c r="AG85" s="974"/>
      <c r="AH85" s="974"/>
      <c r="AI85" s="974"/>
      <c r="AJ85" s="974"/>
      <c r="AK85" s="974"/>
      <c r="AL85" s="974"/>
      <c r="AM85" s="974"/>
      <c r="AN85" s="974"/>
      <c r="AO85" s="974"/>
      <c r="AP85" s="974"/>
      <c r="AQ85" s="974"/>
      <c r="AR85" s="974"/>
      <c r="AS85" s="974"/>
      <c r="AT85" s="974"/>
      <c r="AU85" s="974"/>
      <c r="AV85" s="974"/>
      <c r="AW85" s="2037"/>
      <c r="AX85" s="974"/>
      <c r="AY85" s="2044"/>
      <c r="AZ85" s="2044"/>
      <c r="BA85" s="974"/>
      <c r="BB85" s="974"/>
      <c r="BC85" s="974"/>
      <c r="BD85" s="974"/>
      <c r="BE85" s="974"/>
      <c r="BF85" s="974"/>
      <c r="BG85" s="974"/>
      <c r="BH85" s="974"/>
      <c r="BI85" s="2037"/>
      <c r="BJ85" s="974"/>
      <c r="BK85" s="2044"/>
      <c r="BL85" s="2044"/>
      <c r="BM85" s="2038"/>
      <c r="BN85" s="974"/>
      <c r="BO85" s="974"/>
      <c r="BP85" s="974"/>
      <c r="BQ85" s="974"/>
      <c r="BR85" s="974"/>
      <c r="BS85" s="974"/>
      <c r="BT85" s="974"/>
      <c r="BU85" s="974"/>
      <c r="BV85" s="974"/>
      <c r="BW85" s="974"/>
      <c r="BX85" s="974"/>
      <c r="BY85" s="974"/>
      <c r="BZ85" s="974"/>
      <c r="CA85" s="974"/>
      <c r="CB85" s="974"/>
      <c r="CC85" s="974"/>
      <c r="CD85" s="974"/>
      <c r="CE85" s="974"/>
      <c r="CF85" s="974"/>
      <c r="CG85" s="2037"/>
      <c r="CH85" s="974"/>
      <c r="CI85" s="2044"/>
      <c r="CJ85" s="2044"/>
      <c r="CK85" s="974"/>
      <c r="CL85" s="974"/>
      <c r="CM85" s="974"/>
      <c r="CN85" s="974"/>
      <c r="CO85" s="974"/>
      <c r="CP85" s="974"/>
      <c r="CQ85" s="974"/>
      <c r="CR85" s="974"/>
      <c r="CS85" s="2037"/>
      <c r="CT85" s="974"/>
      <c r="CU85" s="2044"/>
      <c r="CV85" s="2044"/>
    </row>
    <row r="86" spans="2:100" s="970" customFormat="1" ht="20.25" hidden="1" customHeight="1" outlineLevel="1">
      <c r="B86" s="2034"/>
      <c r="D86" s="2035"/>
      <c r="E86" s="2035"/>
      <c r="F86" s="2036"/>
      <c r="G86" s="971"/>
      <c r="H86" s="971"/>
      <c r="I86" s="971"/>
      <c r="J86" s="971"/>
      <c r="K86" s="974"/>
      <c r="L86" s="974"/>
      <c r="M86" s="974"/>
      <c r="N86" s="974"/>
      <c r="O86" s="974"/>
      <c r="P86" s="974"/>
      <c r="Q86" s="974"/>
      <c r="R86" s="974"/>
      <c r="S86" s="974"/>
      <c r="T86" s="2037"/>
      <c r="U86" s="2037"/>
      <c r="V86" s="2037"/>
      <c r="W86" s="2037"/>
      <c r="X86" s="2037"/>
      <c r="Y86" s="2037"/>
      <c r="Z86" s="2037"/>
      <c r="AA86" s="2037"/>
      <c r="AB86" s="2037"/>
      <c r="AC86" s="2038"/>
      <c r="AD86" s="974"/>
      <c r="AE86" s="974"/>
      <c r="AF86" s="974"/>
      <c r="AG86" s="974"/>
      <c r="AH86" s="974"/>
      <c r="AI86" s="974"/>
      <c r="AJ86" s="974"/>
      <c r="AK86" s="974"/>
      <c r="AL86" s="974"/>
      <c r="AM86" s="974"/>
      <c r="AN86" s="974"/>
      <c r="AO86" s="974"/>
      <c r="AP86" s="974"/>
      <c r="AQ86" s="974"/>
      <c r="AR86" s="974"/>
      <c r="AS86" s="974"/>
      <c r="AT86" s="974"/>
      <c r="AU86" s="974"/>
      <c r="AV86" s="974"/>
      <c r="AW86" s="2037"/>
      <c r="AX86" s="974"/>
      <c r="AY86" s="974"/>
      <c r="AZ86" s="974"/>
      <c r="BA86" s="974"/>
      <c r="BB86" s="974"/>
      <c r="BC86" s="974"/>
      <c r="BD86" s="974"/>
      <c r="BE86" s="974"/>
      <c r="BF86" s="974"/>
      <c r="BG86" s="974"/>
      <c r="BH86" s="974"/>
      <c r="BI86" s="2037"/>
      <c r="BJ86" s="974"/>
      <c r="BK86" s="974"/>
      <c r="BL86" s="974"/>
      <c r="BM86" s="2038"/>
      <c r="BN86" s="974"/>
      <c r="BO86" s="974"/>
      <c r="BP86" s="974"/>
      <c r="BQ86" s="974"/>
      <c r="BR86" s="974"/>
      <c r="BS86" s="974"/>
      <c r="BT86" s="974"/>
      <c r="BU86" s="974"/>
      <c r="BV86" s="974"/>
      <c r="BW86" s="974"/>
      <c r="BX86" s="974"/>
      <c r="BY86" s="974"/>
      <c r="BZ86" s="974"/>
      <c r="CA86" s="974"/>
      <c r="CB86" s="974"/>
      <c r="CC86" s="974"/>
      <c r="CD86" s="974"/>
      <c r="CE86" s="974"/>
      <c r="CF86" s="974"/>
      <c r="CG86" s="2037"/>
      <c r="CH86" s="974"/>
      <c r="CI86" s="974"/>
      <c r="CJ86" s="974"/>
      <c r="CK86" s="974"/>
      <c r="CL86" s="974"/>
      <c r="CM86" s="974"/>
      <c r="CN86" s="974"/>
      <c r="CO86" s="974"/>
      <c r="CP86" s="974"/>
      <c r="CQ86" s="974"/>
      <c r="CR86" s="974"/>
      <c r="CS86" s="2037"/>
      <c r="CT86" s="974"/>
      <c r="CU86" s="974"/>
      <c r="CV86" s="974"/>
    </row>
    <row r="87" spans="2:100" s="970" customFormat="1" ht="20.25" hidden="1" customHeight="1" outlineLevel="1">
      <c r="B87" s="2034"/>
      <c r="D87" s="2035"/>
      <c r="E87" s="2035"/>
      <c r="F87" s="2036"/>
      <c r="G87" s="971"/>
      <c r="H87" s="971"/>
      <c r="I87" s="971"/>
      <c r="J87" s="971"/>
      <c r="K87" s="974"/>
      <c r="L87" s="974"/>
      <c r="M87" s="974"/>
      <c r="N87" s="974"/>
      <c r="O87" s="974"/>
      <c r="P87" s="974"/>
      <c r="Q87" s="974"/>
      <c r="R87" s="974"/>
      <c r="S87" s="974"/>
      <c r="T87" s="2037"/>
      <c r="U87" s="2037"/>
      <c r="V87" s="2037"/>
      <c r="W87" s="2037"/>
      <c r="X87" s="2037"/>
      <c r="Y87" s="2037"/>
      <c r="Z87" s="2037"/>
      <c r="AA87" s="2037"/>
      <c r="AB87" s="2037"/>
      <c r="AC87" s="2038"/>
      <c r="AD87" s="974"/>
      <c r="AE87" s="974"/>
      <c r="AF87" s="974"/>
      <c r="AG87" s="974"/>
      <c r="AH87" s="974"/>
      <c r="AI87" s="974"/>
      <c r="AJ87" s="974"/>
      <c r="AK87" s="974"/>
      <c r="AL87" s="974"/>
      <c r="AM87" s="974"/>
      <c r="AN87" s="974"/>
      <c r="AO87" s="974"/>
      <c r="AP87" s="974"/>
      <c r="AQ87" s="974"/>
      <c r="AR87" s="974"/>
      <c r="AS87" s="974"/>
      <c r="AT87" s="974"/>
      <c r="AU87" s="974"/>
      <c r="AV87" s="974"/>
      <c r="AW87" s="2037"/>
      <c r="AX87" s="974"/>
      <c r="AY87" s="974"/>
      <c r="AZ87" s="974"/>
      <c r="BA87" s="974"/>
      <c r="BB87" s="974"/>
      <c r="BC87" s="974"/>
      <c r="BD87" s="974"/>
      <c r="BE87" s="974"/>
      <c r="BF87" s="974"/>
      <c r="BG87" s="974"/>
      <c r="BH87" s="974"/>
      <c r="BI87" s="2037"/>
      <c r="BJ87" s="974"/>
      <c r="BK87" s="974"/>
      <c r="BL87" s="974"/>
      <c r="BM87" s="2038"/>
      <c r="BN87" s="974"/>
      <c r="BO87" s="974"/>
      <c r="BP87" s="974"/>
      <c r="BQ87" s="974"/>
      <c r="BR87" s="974"/>
      <c r="BS87" s="974"/>
      <c r="BT87" s="974"/>
      <c r="BU87" s="974"/>
      <c r="BV87" s="974"/>
      <c r="BW87" s="974"/>
      <c r="BX87" s="974"/>
      <c r="BY87" s="974"/>
      <c r="BZ87" s="974"/>
      <c r="CA87" s="974"/>
      <c r="CB87" s="974"/>
      <c r="CC87" s="974"/>
      <c r="CD87" s="974"/>
      <c r="CE87" s="974"/>
      <c r="CF87" s="974"/>
      <c r="CG87" s="2037"/>
      <c r="CH87" s="974"/>
      <c r="CI87" s="974"/>
      <c r="CJ87" s="974"/>
      <c r="CK87" s="974"/>
      <c r="CL87" s="974"/>
      <c r="CM87" s="974"/>
      <c r="CN87" s="974"/>
      <c r="CO87" s="974"/>
      <c r="CP87" s="974"/>
      <c r="CQ87" s="974"/>
      <c r="CR87" s="974"/>
      <c r="CS87" s="2037"/>
      <c r="CT87" s="974"/>
      <c r="CU87" s="974"/>
      <c r="CV87" s="974"/>
    </row>
    <row r="88" spans="2:100" s="970" customFormat="1" ht="20.25" hidden="1" customHeight="1" outlineLevel="1">
      <c r="B88" s="2034"/>
      <c r="D88" s="2035"/>
      <c r="E88" s="2035"/>
      <c r="F88" s="2036"/>
      <c r="G88" s="971"/>
      <c r="H88" s="971"/>
      <c r="I88" s="971"/>
      <c r="J88" s="971"/>
      <c r="K88" s="974"/>
      <c r="L88" s="974"/>
      <c r="M88" s="974"/>
      <c r="N88" s="974"/>
      <c r="O88" s="974"/>
      <c r="P88" s="974"/>
      <c r="Q88" s="974"/>
      <c r="R88" s="974"/>
      <c r="S88" s="974"/>
      <c r="T88" s="2037"/>
      <c r="U88" s="2037"/>
      <c r="V88" s="2037"/>
      <c r="W88" s="2037"/>
      <c r="X88" s="2037"/>
      <c r="Y88" s="2037"/>
      <c r="Z88" s="2037"/>
      <c r="AA88" s="2037"/>
      <c r="AB88" s="2037"/>
      <c r="AC88" s="2038"/>
      <c r="AD88" s="974"/>
      <c r="AE88" s="974"/>
      <c r="AF88" s="974"/>
      <c r="AG88" s="974"/>
      <c r="AH88" s="974"/>
      <c r="AI88" s="974"/>
      <c r="AJ88" s="974"/>
      <c r="AK88" s="974"/>
      <c r="AL88" s="974"/>
      <c r="AM88" s="974"/>
      <c r="AN88" s="974"/>
      <c r="AO88" s="974"/>
      <c r="AP88" s="974"/>
      <c r="AQ88" s="974"/>
      <c r="AR88" s="974"/>
      <c r="AS88" s="974"/>
      <c r="AT88" s="974"/>
      <c r="AU88" s="974"/>
      <c r="AV88" s="974"/>
      <c r="AW88" s="2037"/>
      <c r="AX88" s="974"/>
      <c r="AY88" s="974"/>
      <c r="AZ88" s="974"/>
      <c r="BA88" s="974"/>
      <c r="BB88" s="974"/>
      <c r="BC88" s="974"/>
      <c r="BD88" s="974"/>
      <c r="BE88" s="974"/>
      <c r="BF88" s="974"/>
      <c r="BG88" s="974"/>
      <c r="BH88" s="974"/>
      <c r="BI88" s="2037"/>
      <c r="BJ88" s="974"/>
      <c r="BK88" s="974"/>
      <c r="BL88" s="974"/>
      <c r="BM88" s="2038"/>
      <c r="BN88" s="974"/>
      <c r="BO88" s="974"/>
      <c r="BP88" s="974"/>
      <c r="BQ88" s="974"/>
      <c r="BR88" s="974"/>
      <c r="BS88" s="974"/>
      <c r="BT88" s="974"/>
      <c r="BU88" s="974"/>
      <c r="BV88" s="974"/>
      <c r="BW88" s="974"/>
      <c r="BX88" s="974"/>
      <c r="BY88" s="974"/>
      <c r="BZ88" s="974"/>
      <c r="CA88" s="974"/>
      <c r="CB88" s="974"/>
      <c r="CC88" s="974"/>
      <c r="CD88" s="974"/>
      <c r="CE88" s="974"/>
      <c r="CF88" s="974"/>
      <c r="CG88" s="2037"/>
      <c r="CH88" s="974"/>
      <c r="CI88" s="974"/>
      <c r="CJ88" s="974"/>
      <c r="CK88" s="974"/>
      <c r="CL88" s="974"/>
      <c r="CM88" s="974"/>
      <c r="CN88" s="974"/>
      <c r="CO88" s="974"/>
      <c r="CP88" s="974"/>
      <c r="CQ88" s="974"/>
      <c r="CR88" s="974"/>
      <c r="CS88" s="2037"/>
      <c r="CT88" s="974"/>
      <c r="CU88" s="974"/>
      <c r="CV88" s="974"/>
    </row>
    <row r="89" spans="2:100" s="970" customFormat="1" ht="20.25" hidden="1" customHeight="1" outlineLevel="1">
      <c r="B89" s="2034"/>
      <c r="D89" s="2035"/>
      <c r="E89" s="2035"/>
      <c r="F89" s="2036"/>
      <c r="G89" s="971"/>
      <c r="H89" s="971"/>
      <c r="I89" s="971"/>
      <c r="J89" s="971"/>
      <c r="K89" s="974"/>
      <c r="L89" s="974"/>
      <c r="M89" s="974"/>
      <c r="N89" s="974"/>
      <c r="O89" s="974"/>
      <c r="P89" s="974"/>
      <c r="Q89" s="974"/>
      <c r="R89" s="974"/>
      <c r="S89" s="974"/>
      <c r="T89" s="2037"/>
      <c r="U89" s="2037"/>
      <c r="V89" s="2037"/>
      <c r="W89" s="2037"/>
      <c r="X89" s="2037"/>
      <c r="Y89" s="2037"/>
      <c r="Z89" s="2037"/>
      <c r="AA89" s="2037"/>
      <c r="AB89" s="2037"/>
      <c r="AC89" s="2038"/>
      <c r="AD89" s="974"/>
      <c r="AE89" s="974"/>
      <c r="AF89" s="974"/>
      <c r="AG89" s="974"/>
      <c r="AH89" s="974"/>
      <c r="AI89" s="974"/>
      <c r="AJ89" s="974"/>
      <c r="AK89" s="974"/>
      <c r="AL89" s="974"/>
      <c r="AM89" s="974"/>
      <c r="AN89" s="974"/>
      <c r="AO89" s="974"/>
      <c r="AP89" s="974"/>
      <c r="AQ89" s="974"/>
      <c r="AR89" s="974"/>
      <c r="AS89" s="974"/>
      <c r="AT89" s="974"/>
      <c r="AU89" s="974"/>
      <c r="AV89" s="974"/>
      <c r="AW89" s="2037"/>
      <c r="AX89" s="974"/>
      <c r="AY89" s="974"/>
      <c r="AZ89" s="974"/>
      <c r="BA89" s="974"/>
      <c r="BB89" s="974"/>
      <c r="BC89" s="974"/>
      <c r="BD89" s="974"/>
      <c r="BE89" s="974"/>
      <c r="BF89" s="974"/>
      <c r="BG89" s="974"/>
      <c r="BH89" s="974"/>
      <c r="BI89" s="2037"/>
      <c r="BJ89" s="974"/>
      <c r="BK89" s="974"/>
      <c r="BL89" s="974"/>
      <c r="BM89" s="2038"/>
      <c r="BN89" s="974"/>
      <c r="BO89" s="974"/>
      <c r="BP89" s="974"/>
      <c r="BQ89" s="974"/>
      <c r="BR89" s="974"/>
      <c r="BS89" s="974"/>
      <c r="BT89" s="974"/>
      <c r="BU89" s="974"/>
      <c r="BV89" s="974"/>
      <c r="BW89" s="974"/>
      <c r="BX89" s="974"/>
      <c r="BY89" s="974"/>
      <c r="BZ89" s="974"/>
      <c r="CA89" s="974"/>
      <c r="CB89" s="974"/>
      <c r="CC89" s="974"/>
      <c r="CD89" s="974"/>
      <c r="CE89" s="974"/>
      <c r="CF89" s="974"/>
      <c r="CG89" s="2037"/>
      <c r="CH89" s="974"/>
      <c r="CI89" s="974"/>
      <c r="CJ89" s="974"/>
      <c r="CK89" s="974"/>
      <c r="CL89" s="974"/>
      <c r="CM89" s="974"/>
      <c r="CN89" s="974"/>
      <c r="CO89" s="974"/>
      <c r="CP89" s="974"/>
      <c r="CQ89" s="974"/>
      <c r="CR89" s="974"/>
      <c r="CS89" s="2037"/>
      <c r="CT89" s="974"/>
      <c r="CU89" s="974"/>
      <c r="CV89" s="974"/>
    </row>
    <row r="90" spans="2:100" s="970" customFormat="1" ht="20.25" hidden="1" customHeight="1" outlineLevel="1">
      <c r="B90" s="2034"/>
      <c r="D90" s="2035"/>
      <c r="E90" s="2035"/>
      <c r="F90" s="2036"/>
      <c r="G90" s="971"/>
      <c r="H90" s="971"/>
      <c r="I90" s="971"/>
      <c r="J90" s="971"/>
      <c r="K90" s="974"/>
      <c r="L90" s="974"/>
      <c r="M90" s="974"/>
      <c r="N90" s="974"/>
      <c r="O90" s="974"/>
      <c r="P90" s="974"/>
      <c r="Q90" s="974"/>
      <c r="R90" s="974"/>
      <c r="S90" s="974"/>
      <c r="T90" s="2037"/>
      <c r="U90" s="2037"/>
      <c r="V90" s="2037"/>
      <c r="W90" s="2037"/>
      <c r="X90" s="2037"/>
      <c r="Y90" s="2037"/>
      <c r="Z90" s="2037"/>
      <c r="AA90" s="2037"/>
      <c r="AB90" s="2037"/>
      <c r="AC90" s="2038"/>
      <c r="AD90" s="974"/>
      <c r="AE90" s="974"/>
      <c r="AF90" s="974"/>
      <c r="AG90" s="974"/>
      <c r="AH90" s="974"/>
      <c r="AI90" s="974"/>
      <c r="AJ90" s="974"/>
      <c r="AK90" s="974"/>
      <c r="AL90" s="974"/>
      <c r="AM90" s="974"/>
      <c r="AN90" s="974"/>
      <c r="AO90" s="974"/>
      <c r="AP90" s="974"/>
      <c r="AQ90" s="974"/>
      <c r="AR90" s="974"/>
      <c r="AS90" s="974"/>
      <c r="AT90" s="974"/>
      <c r="AU90" s="974"/>
      <c r="AV90" s="974"/>
      <c r="AW90" s="2037"/>
      <c r="AX90" s="974"/>
      <c r="AY90" s="974"/>
      <c r="AZ90" s="974"/>
      <c r="BA90" s="974"/>
      <c r="BB90" s="974"/>
      <c r="BC90" s="974"/>
      <c r="BD90" s="974"/>
      <c r="BE90" s="974"/>
      <c r="BF90" s="974"/>
      <c r="BG90" s="974"/>
      <c r="BH90" s="974"/>
      <c r="BI90" s="2037"/>
      <c r="BJ90" s="974"/>
      <c r="BK90" s="974"/>
      <c r="BL90" s="974"/>
      <c r="BM90" s="2038"/>
      <c r="BN90" s="974"/>
      <c r="BO90" s="974"/>
      <c r="BP90" s="974"/>
      <c r="BQ90" s="974"/>
      <c r="BR90" s="974"/>
      <c r="BS90" s="974"/>
      <c r="BT90" s="974"/>
      <c r="BU90" s="974"/>
      <c r="BV90" s="974"/>
      <c r="BW90" s="974"/>
      <c r="BX90" s="974"/>
      <c r="BY90" s="974"/>
      <c r="BZ90" s="974"/>
      <c r="CA90" s="974"/>
      <c r="CB90" s="974"/>
      <c r="CC90" s="974"/>
      <c r="CD90" s="974"/>
      <c r="CE90" s="974"/>
      <c r="CF90" s="974"/>
      <c r="CG90" s="2037"/>
      <c r="CH90" s="974"/>
      <c r="CI90" s="974"/>
      <c r="CJ90" s="974"/>
      <c r="CK90" s="974"/>
      <c r="CL90" s="974"/>
      <c r="CM90" s="974"/>
      <c r="CN90" s="974"/>
      <c r="CO90" s="974"/>
      <c r="CP90" s="974"/>
      <c r="CQ90" s="974"/>
      <c r="CR90" s="974"/>
      <c r="CS90" s="2037"/>
      <c r="CT90" s="974"/>
      <c r="CU90" s="974"/>
      <c r="CV90" s="974"/>
    </row>
    <row r="91" spans="2:100" s="970" customFormat="1" ht="22.5" hidden="1" customHeight="1" outlineLevel="2">
      <c r="B91" s="2034"/>
      <c r="D91" s="2035"/>
      <c r="E91" s="2035"/>
      <c r="F91" s="2036"/>
      <c r="G91" s="971"/>
      <c r="H91" s="971"/>
      <c r="I91" s="971"/>
      <c r="J91" s="971"/>
      <c r="K91" s="974"/>
      <c r="L91" s="974"/>
      <c r="M91" s="974"/>
      <c r="N91" s="974"/>
      <c r="O91" s="974"/>
      <c r="P91" s="974"/>
      <c r="Q91" s="974"/>
      <c r="R91" s="974"/>
      <c r="S91" s="974"/>
      <c r="T91" s="2037"/>
      <c r="U91" s="2037"/>
      <c r="V91" s="2037"/>
      <c r="W91" s="2037"/>
      <c r="X91" s="2037"/>
      <c r="Y91" s="2037"/>
      <c r="Z91" s="2037"/>
      <c r="AA91" s="2037"/>
      <c r="AB91" s="2037"/>
      <c r="AC91" s="2038"/>
      <c r="AD91" s="974"/>
      <c r="AE91" s="974"/>
      <c r="AF91" s="974"/>
      <c r="AG91" s="974"/>
      <c r="AH91" s="974"/>
      <c r="AI91" s="974"/>
      <c r="AJ91" s="974"/>
      <c r="AK91" s="974"/>
      <c r="AL91" s="974"/>
      <c r="AM91" s="974"/>
      <c r="AN91" s="974"/>
      <c r="AO91" s="974"/>
      <c r="AP91" s="974"/>
      <c r="AQ91" s="974"/>
      <c r="AR91" s="974"/>
      <c r="AS91" s="974"/>
      <c r="AT91" s="974"/>
      <c r="AU91" s="974"/>
      <c r="AV91" s="974"/>
      <c r="AW91" s="2037"/>
      <c r="AX91" s="974"/>
      <c r="AY91" s="974"/>
      <c r="AZ91" s="974"/>
      <c r="BA91" s="974"/>
      <c r="BB91" s="974"/>
      <c r="BC91" s="974"/>
      <c r="BD91" s="974"/>
      <c r="BE91" s="974"/>
      <c r="BF91" s="974"/>
      <c r="BG91" s="974"/>
      <c r="BH91" s="974"/>
      <c r="BI91" s="2037"/>
      <c r="BJ91" s="974"/>
      <c r="BK91" s="974"/>
      <c r="BL91" s="974"/>
      <c r="BM91" s="2038"/>
      <c r="BN91" s="974"/>
      <c r="BO91" s="974"/>
      <c r="BP91" s="974"/>
      <c r="BQ91" s="974"/>
      <c r="BR91" s="974"/>
      <c r="BS91" s="974"/>
      <c r="BT91" s="974"/>
      <c r="BU91" s="974"/>
      <c r="BV91" s="974"/>
      <c r="BW91" s="974"/>
      <c r="BX91" s="974"/>
      <c r="BY91" s="974"/>
      <c r="BZ91" s="974"/>
      <c r="CA91" s="974"/>
      <c r="CB91" s="974"/>
      <c r="CC91" s="974"/>
      <c r="CD91" s="974"/>
      <c r="CE91" s="974"/>
      <c r="CF91" s="974"/>
      <c r="CG91" s="2037"/>
      <c r="CH91" s="974"/>
      <c r="CI91" s="974"/>
      <c r="CJ91" s="974"/>
      <c r="CK91" s="974"/>
      <c r="CL91" s="974"/>
      <c r="CM91" s="974"/>
      <c r="CN91" s="974"/>
      <c r="CO91" s="974"/>
      <c r="CP91" s="974"/>
      <c r="CQ91" s="974"/>
      <c r="CR91" s="974"/>
      <c r="CS91" s="2037"/>
      <c r="CT91" s="974"/>
      <c r="CU91" s="974"/>
      <c r="CV91" s="974"/>
    </row>
    <row r="92" spans="2:100" s="970" customFormat="1" ht="20.25" hidden="1" customHeight="1" outlineLevel="1">
      <c r="B92" s="2034"/>
      <c r="C92" s="2028"/>
      <c r="D92" s="2035"/>
      <c r="E92" s="2035"/>
      <c r="F92" s="2045"/>
      <c r="G92" s="971"/>
      <c r="H92" s="971"/>
      <c r="I92" s="971"/>
      <c r="J92" s="971"/>
      <c r="K92" s="974"/>
      <c r="L92" s="974"/>
      <c r="M92" s="974"/>
      <c r="N92" s="974"/>
      <c r="O92" s="974"/>
      <c r="P92" s="974"/>
      <c r="Q92" s="974"/>
      <c r="R92" s="974"/>
      <c r="S92" s="974"/>
      <c r="T92" s="2037"/>
      <c r="U92" s="2037"/>
      <c r="V92" s="2037"/>
      <c r="W92" s="2037"/>
      <c r="X92" s="2037"/>
      <c r="Y92" s="2037"/>
      <c r="Z92" s="2037"/>
      <c r="AA92" s="2037"/>
      <c r="AB92" s="2037"/>
      <c r="AC92" s="2038"/>
      <c r="AD92" s="2037"/>
      <c r="AE92" s="2037"/>
      <c r="AF92" s="2037"/>
      <c r="AG92" s="2037"/>
      <c r="AH92" s="2037"/>
      <c r="AI92" s="2037"/>
      <c r="AJ92" s="2037"/>
      <c r="AK92" s="2037"/>
      <c r="AL92" s="2037"/>
      <c r="AM92" s="2037"/>
      <c r="AN92" s="2037"/>
      <c r="AO92" s="2037"/>
      <c r="AP92" s="2037"/>
      <c r="AQ92" s="2037"/>
      <c r="AR92" s="2037"/>
      <c r="AS92" s="2037"/>
      <c r="AT92" s="2037"/>
      <c r="AU92" s="2037"/>
      <c r="AV92" s="2037"/>
      <c r="AW92" s="2037"/>
      <c r="AX92" s="2037"/>
      <c r="AY92" s="2037"/>
      <c r="AZ92" s="2037"/>
      <c r="BA92" s="2037"/>
      <c r="BB92" s="2037"/>
      <c r="BC92" s="2037"/>
      <c r="BD92" s="2037"/>
      <c r="BE92" s="2037"/>
      <c r="BF92" s="2037"/>
      <c r="BG92" s="2037"/>
      <c r="BH92" s="2037"/>
      <c r="BI92" s="2037"/>
      <c r="BJ92" s="2037"/>
      <c r="BK92" s="2037"/>
      <c r="BL92" s="2037"/>
      <c r="BM92" s="2038"/>
      <c r="BN92" s="2037"/>
      <c r="BO92" s="2037"/>
      <c r="BP92" s="2037"/>
      <c r="BQ92" s="2037"/>
      <c r="BR92" s="2037"/>
      <c r="BS92" s="2037"/>
      <c r="BT92" s="2037"/>
      <c r="BU92" s="2037"/>
      <c r="BV92" s="2037"/>
      <c r="BW92" s="2037"/>
      <c r="BX92" s="2037"/>
      <c r="BY92" s="2037"/>
      <c r="BZ92" s="2037"/>
      <c r="CA92" s="2037"/>
      <c r="CB92" s="2037"/>
      <c r="CC92" s="2037"/>
      <c r="CD92" s="2037"/>
      <c r="CE92" s="2037"/>
      <c r="CF92" s="2037"/>
      <c r="CG92" s="2037"/>
      <c r="CH92" s="2037"/>
      <c r="CI92" s="2037"/>
      <c r="CJ92" s="2037"/>
      <c r="CK92" s="2037"/>
      <c r="CL92" s="2037"/>
      <c r="CM92" s="2037"/>
      <c r="CN92" s="2037"/>
      <c r="CO92" s="2037"/>
      <c r="CP92" s="2037"/>
      <c r="CQ92" s="2037"/>
      <c r="CR92" s="2037"/>
      <c r="CS92" s="2037"/>
      <c r="CT92" s="2037"/>
      <c r="CU92" s="2037"/>
      <c r="CV92" s="2037"/>
    </row>
    <row r="93" spans="2:100" s="970" customFormat="1" ht="20.25" hidden="1" customHeight="1" outlineLevel="1">
      <c r="B93" s="2034"/>
      <c r="C93" s="2046" t="s">
        <v>1248</v>
      </c>
      <c r="D93" s="2035"/>
      <c r="E93" s="2035"/>
      <c r="F93" s="2036" t="s">
        <v>1249</v>
      </c>
      <c r="G93" s="971"/>
      <c r="H93" s="971"/>
      <c r="I93" s="971"/>
      <c r="J93" s="971"/>
      <c r="K93" s="974"/>
      <c r="L93" s="974"/>
      <c r="M93" s="974"/>
      <c r="N93" s="974"/>
      <c r="O93" s="974"/>
      <c r="P93" s="974"/>
      <c r="Q93" s="974"/>
      <c r="R93" s="974"/>
      <c r="S93" s="974"/>
      <c r="T93" s="2037"/>
      <c r="U93" s="2037"/>
      <c r="V93" s="2037"/>
      <c r="W93" s="2037"/>
      <c r="X93" s="2037"/>
      <c r="Y93" s="2037"/>
      <c r="Z93" s="2037"/>
      <c r="AA93" s="2037"/>
      <c r="AB93" s="2037"/>
      <c r="AC93" s="2038"/>
      <c r="AD93" s="974"/>
      <c r="AE93" s="974"/>
      <c r="AF93" s="974"/>
      <c r="AG93" s="974"/>
      <c r="AH93" s="974"/>
      <c r="AI93" s="974"/>
      <c r="AJ93" s="974"/>
      <c r="AK93" s="974"/>
      <c r="AL93" s="974"/>
      <c r="AM93" s="974"/>
      <c r="AN93" s="974"/>
      <c r="AO93" s="974"/>
      <c r="AP93" s="974"/>
      <c r="AQ93" s="974"/>
      <c r="AR93" s="974"/>
      <c r="AS93" s="974"/>
      <c r="AT93" s="974"/>
      <c r="AU93" s="974"/>
      <c r="AV93" s="974"/>
      <c r="AW93" s="2037"/>
      <c r="AX93" s="974"/>
      <c r="AY93" s="974"/>
      <c r="AZ93" s="974"/>
      <c r="BA93" s="974"/>
      <c r="BB93" s="974"/>
      <c r="BC93" s="974"/>
      <c r="BD93" s="974"/>
      <c r="BE93" s="974"/>
      <c r="BF93" s="974"/>
      <c r="BG93" s="974"/>
      <c r="BH93" s="974"/>
      <c r="BI93" s="2037"/>
      <c r="BJ93" s="974"/>
      <c r="BK93" s="974"/>
      <c r="BL93" s="974"/>
      <c r="BM93" s="2038"/>
      <c r="BN93" s="974"/>
      <c r="BO93" s="974"/>
      <c r="BP93" s="974"/>
      <c r="BQ93" s="974"/>
      <c r="BR93" s="974"/>
      <c r="BS93" s="974"/>
      <c r="BT93" s="974"/>
      <c r="BU93" s="974"/>
      <c r="BV93" s="974"/>
      <c r="BW93" s="974"/>
      <c r="BX93" s="974"/>
      <c r="BY93" s="974"/>
      <c r="BZ93" s="974"/>
      <c r="CA93" s="974"/>
      <c r="CB93" s="974"/>
      <c r="CC93" s="974"/>
      <c r="CD93" s="974"/>
      <c r="CE93" s="974"/>
      <c r="CF93" s="974"/>
      <c r="CG93" s="2037"/>
      <c r="CH93" s="974"/>
      <c r="CI93" s="974"/>
      <c r="CJ93" s="974"/>
      <c r="CK93" s="974"/>
      <c r="CL93" s="974"/>
      <c r="CM93" s="974"/>
      <c r="CN93" s="974"/>
      <c r="CO93" s="974"/>
      <c r="CP93" s="974"/>
      <c r="CQ93" s="974"/>
      <c r="CR93" s="974"/>
      <c r="CS93" s="2037"/>
      <c r="CT93" s="974"/>
      <c r="CU93" s="974"/>
      <c r="CV93" s="974"/>
    </row>
    <row r="94" spans="2:100" collapsed="1">
      <c r="H94" s="899"/>
      <c r="I94" s="899"/>
      <c r="J94" s="899"/>
      <c r="K94" s="977"/>
      <c r="L94" s="977"/>
      <c r="M94" s="977"/>
      <c r="N94" s="977"/>
      <c r="O94" s="977"/>
      <c r="P94" s="977"/>
      <c r="Q94" s="977"/>
      <c r="R94" s="977"/>
      <c r="S94" s="977"/>
      <c r="U94" s="977"/>
      <c r="V94" s="977"/>
      <c r="W94" s="977"/>
      <c r="X94" s="977"/>
      <c r="Y94" s="977"/>
      <c r="Z94" s="977"/>
      <c r="AA94" s="977"/>
      <c r="AB94" s="977"/>
      <c r="AE94" s="977"/>
      <c r="AF94" s="977"/>
      <c r="AG94" s="977"/>
      <c r="AH94" s="977"/>
      <c r="AI94" s="977"/>
      <c r="AJ94" s="977"/>
      <c r="AK94" s="977"/>
      <c r="AL94" s="977"/>
      <c r="AM94" s="977"/>
      <c r="AN94" s="977"/>
      <c r="AP94" s="977"/>
      <c r="AQ94" s="977"/>
      <c r="AR94" s="977"/>
      <c r="AS94" s="977"/>
      <c r="AT94" s="977"/>
      <c r="AU94" s="977"/>
      <c r="AV94" s="977"/>
      <c r="AW94" s="977"/>
      <c r="AX94" s="977"/>
      <c r="AY94" s="977"/>
      <c r="AZ94" s="977"/>
      <c r="BB94" s="977"/>
      <c r="BC94" s="977"/>
      <c r="BD94" s="977"/>
      <c r="BE94" s="977"/>
      <c r="BF94" s="977"/>
      <c r="BG94" s="977"/>
      <c r="BH94" s="977"/>
      <c r="BI94" s="977"/>
      <c r="BJ94" s="977"/>
      <c r="BK94" s="977"/>
      <c r="BL94" s="977"/>
      <c r="BO94" s="977"/>
      <c r="BP94" s="977"/>
      <c r="BQ94" s="977"/>
      <c r="BR94" s="977"/>
      <c r="BS94" s="977"/>
      <c r="BT94" s="977"/>
      <c r="BU94" s="977"/>
      <c r="BV94" s="977"/>
      <c r="BW94" s="977"/>
      <c r="BX94" s="977"/>
      <c r="BZ94" s="977"/>
      <c r="CA94" s="977"/>
      <c r="CB94" s="977"/>
      <c r="CC94" s="977"/>
      <c r="CD94" s="977"/>
      <c r="CE94" s="977"/>
      <c r="CF94" s="977"/>
      <c r="CG94" s="977"/>
      <c r="CH94" s="977"/>
      <c r="CI94" s="977"/>
      <c r="CJ94" s="977"/>
      <c r="CL94" s="977"/>
      <c r="CM94" s="977"/>
      <c r="CN94" s="977"/>
      <c r="CO94" s="977"/>
      <c r="CP94" s="977"/>
      <c r="CQ94" s="977"/>
      <c r="CR94" s="977"/>
      <c r="CS94" s="977"/>
      <c r="CT94" s="977"/>
      <c r="CU94" s="977"/>
      <c r="CV94" s="977"/>
    </row>
    <row r="95" spans="2:100">
      <c r="C95" s="846" t="s">
        <v>1250</v>
      </c>
      <c r="F95" s="2036"/>
      <c r="H95" s="899"/>
      <c r="I95" s="899"/>
      <c r="J95" s="899"/>
      <c r="K95" s="977"/>
      <c r="L95" s="977"/>
      <c r="M95" s="977"/>
      <c r="N95" s="977"/>
      <c r="O95" s="977"/>
      <c r="P95" s="977"/>
      <c r="Q95" s="977"/>
      <c r="R95" s="846"/>
      <c r="S95" s="977"/>
      <c r="U95" s="977"/>
      <c r="V95" s="977"/>
      <c r="W95" s="977"/>
      <c r="X95" s="977"/>
      <c r="Y95" s="977"/>
      <c r="Z95" s="977"/>
      <c r="AA95" s="977"/>
      <c r="AB95" s="977"/>
      <c r="AE95" s="977"/>
      <c r="AF95" s="977"/>
      <c r="AG95" s="977"/>
      <c r="AH95" s="977"/>
      <c r="AI95" s="977"/>
      <c r="AJ95" s="977"/>
      <c r="AK95" s="977"/>
      <c r="AL95" s="977"/>
      <c r="AM95" s="977"/>
      <c r="AN95" s="977"/>
      <c r="AP95" s="977"/>
      <c r="AQ95" s="977"/>
      <c r="AR95" s="977"/>
      <c r="AS95" s="977"/>
      <c r="AT95" s="977"/>
      <c r="AU95" s="977"/>
      <c r="AV95" s="977"/>
      <c r="AW95" s="977"/>
      <c r="AX95" s="977"/>
      <c r="AY95" s="977"/>
      <c r="AZ95" s="2047"/>
      <c r="BB95" s="977"/>
      <c r="BC95" s="977"/>
      <c r="BD95" s="977"/>
      <c r="BE95" s="977"/>
      <c r="BF95" s="977"/>
      <c r="BG95" s="977"/>
      <c r="BH95" s="977"/>
      <c r="BI95" s="977"/>
      <c r="BJ95" s="977"/>
      <c r="BK95" s="977"/>
      <c r="BL95" s="977"/>
      <c r="BO95" s="977"/>
      <c r="BP95" s="977"/>
      <c r="BQ95" s="977"/>
      <c r="BR95" s="977"/>
      <c r="BS95" s="977"/>
      <c r="BT95" s="977"/>
      <c r="BU95" s="977"/>
      <c r="BV95" s="977"/>
      <c r="BW95" s="977"/>
      <c r="BX95" s="977"/>
      <c r="BZ95" s="977"/>
      <c r="CA95" s="977"/>
      <c r="CB95" s="977"/>
      <c r="CC95" s="977"/>
      <c r="CD95" s="977"/>
      <c r="CE95" s="977"/>
      <c r="CF95" s="977"/>
      <c r="CG95" s="977"/>
      <c r="CH95" s="977"/>
      <c r="CI95" s="977"/>
      <c r="CJ95" s="2047"/>
      <c r="CL95" s="977"/>
      <c r="CM95" s="977"/>
      <c r="CN95" s="977"/>
      <c r="CO95" s="977"/>
      <c r="CP95" s="977"/>
      <c r="CQ95" s="977"/>
      <c r="CR95" s="977"/>
      <c r="CS95" s="977"/>
      <c r="CT95" s="977"/>
      <c r="CU95" s="977"/>
      <c r="CV95" s="2047"/>
    </row>
    <row r="96" spans="2:100">
      <c r="C96" s="846" t="s">
        <v>1251</v>
      </c>
      <c r="H96" s="899"/>
      <c r="I96" s="899"/>
      <c r="J96" s="899"/>
      <c r="K96" s="977"/>
      <c r="L96" s="977"/>
      <c r="M96" s="977"/>
      <c r="N96" s="977"/>
      <c r="O96" s="977"/>
      <c r="P96" s="977"/>
      <c r="Q96" s="977"/>
      <c r="R96" s="977"/>
      <c r="S96" s="977"/>
      <c r="U96" s="977"/>
      <c r="V96" s="977"/>
      <c r="W96" s="977"/>
      <c r="X96" s="977"/>
      <c r="Y96" s="977"/>
      <c r="Z96" s="977"/>
      <c r="AA96" s="977"/>
      <c r="AB96" s="977"/>
      <c r="AE96" s="977"/>
      <c r="AF96" s="977"/>
      <c r="AG96" s="977"/>
      <c r="AH96" s="977"/>
      <c r="AI96" s="977"/>
      <c r="AJ96" s="977"/>
      <c r="AK96" s="977"/>
      <c r="AL96" s="977"/>
      <c r="AM96" s="977"/>
      <c r="AN96" s="977"/>
      <c r="AP96" s="977"/>
      <c r="AQ96" s="977"/>
      <c r="AR96" s="977"/>
      <c r="AS96" s="977"/>
      <c r="AT96" s="977"/>
      <c r="AU96" s="977"/>
      <c r="AV96" s="977"/>
      <c r="AW96" s="977"/>
      <c r="AX96" s="977"/>
      <c r="AY96" s="977"/>
      <c r="AZ96" s="977"/>
      <c r="BB96" s="977"/>
      <c r="BC96" s="977"/>
      <c r="BD96" s="977"/>
      <c r="BE96" s="977"/>
      <c r="BF96" s="977"/>
      <c r="BG96" s="977"/>
      <c r="BH96" s="977"/>
      <c r="BI96" s="977"/>
      <c r="BJ96" s="977"/>
      <c r="BK96" s="977"/>
      <c r="BL96" s="977"/>
      <c r="BO96" s="977"/>
      <c r="BP96" s="977"/>
      <c r="BQ96" s="977"/>
      <c r="BR96" s="977"/>
      <c r="BS96" s="977"/>
      <c r="BT96" s="977"/>
      <c r="BU96" s="977"/>
      <c r="BV96" s="977"/>
      <c r="BW96" s="977"/>
      <c r="BX96" s="977"/>
      <c r="BZ96" s="977"/>
      <c r="CA96" s="977"/>
      <c r="CB96" s="977"/>
      <c r="CC96" s="977"/>
      <c r="CD96" s="977"/>
      <c r="CE96" s="977"/>
      <c r="CF96" s="977"/>
      <c r="CG96" s="977"/>
      <c r="CH96" s="977"/>
      <c r="CI96" s="977"/>
      <c r="CJ96" s="977"/>
      <c r="CL96" s="977"/>
      <c r="CM96" s="977"/>
      <c r="CN96" s="977"/>
      <c r="CO96" s="977"/>
      <c r="CP96" s="977"/>
      <c r="CQ96" s="977"/>
      <c r="CR96" s="977"/>
      <c r="CS96" s="977"/>
      <c r="CT96" s="977"/>
      <c r="CU96" s="977"/>
      <c r="CV96" s="977"/>
    </row>
    <row r="97" spans="3:100" ht="21" thickBot="1">
      <c r="H97" s="899"/>
      <c r="I97" s="899"/>
      <c r="J97" s="899"/>
      <c r="K97" s="977"/>
      <c r="L97" s="977"/>
      <c r="M97" s="977"/>
      <c r="N97" s="977"/>
      <c r="O97" s="977"/>
      <c r="P97" s="977"/>
      <c r="Q97" s="977"/>
      <c r="R97" s="977"/>
      <c r="S97" s="977"/>
      <c r="U97" s="977"/>
      <c r="V97" s="977"/>
      <c r="W97" s="977"/>
      <c r="X97" s="977"/>
      <c r="Y97" s="977"/>
      <c r="Z97" s="977"/>
      <c r="AA97" s="977"/>
      <c r="AB97" s="977"/>
      <c r="AE97" s="977"/>
      <c r="AF97" s="977"/>
      <c r="AG97" s="977"/>
      <c r="AH97" s="977"/>
      <c r="AI97" s="977"/>
      <c r="AJ97" s="977"/>
      <c r="AK97" s="977"/>
      <c r="AL97" s="977"/>
      <c r="AM97" s="977"/>
      <c r="AN97" s="977"/>
      <c r="AO97" s="970"/>
      <c r="AP97" s="970"/>
      <c r="AQ97" s="970"/>
      <c r="AR97" s="970"/>
      <c r="AS97" s="970"/>
      <c r="AT97" s="970"/>
      <c r="AU97" s="970"/>
      <c r="AV97" s="970"/>
      <c r="AW97" s="970"/>
      <c r="AX97" s="970"/>
      <c r="AY97" s="970"/>
      <c r="AZ97" s="970"/>
      <c r="BA97" s="970"/>
      <c r="BB97" s="970"/>
      <c r="BC97" s="970"/>
      <c r="BD97" s="970"/>
      <c r="BE97" s="970"/>
      <c r="BF97" s="970"/>
      <c r="BG97" s="970"/>
      <c r="BH97" s="970"/>
      <c r="BI97" s="970"/>
      <c r="BJ97" s="970"/>
      <c r="BK97" s="970"/>
      <c r="BL97" s="970"/>
      <c r="BO97" s="977"/>
      <c r="BP97" s="977"/>
      <c r="BQ97" s="977"/>
      <c r="BR97" s="977"/>
      <c r="BS97" s="977"/>
      <c r="BT97" s="977"/>
      <c r="BU97" s="977"/>
      <c r="BV97" s="977"/>
      <c r="BW97" s="977"/>
      <c r="BX97" s="977"/>
      <c r="BY97" s="970"/>
      <c r="BZ97" s="970"/>
      <c r="CA97" s="970"/>
      <c r="CB97" s="970"/>
      <c r="CC97" s="970"/>
      <c r="CD97" s="970"/>
      <c r="CE97" s="970"/>
      <c r="CF97" s="970"/>
      <c r="CG97" s="970"/>
      <c r="CH97" s="970"/>
      <c r="CI97" s="977"/>
      <c r="CJ97" s="970"/>
      <c r="CK97" s="970"/>
      <c r="CL97" s="970"/>
      <c r="CM97" s="970"/>
      <c r="CN97" s="970"/>
      <c r="CO97" s="970"/>
      <c r="CP97" s="970"/>
      <c r="CQ97" s="970"/>
      <c r="CR97" s="970"/>
      <c r="CS97" s="970"/>
      <c r="CT97" s="970"/>
      <c r="CU97" s="977"/>
      <c r="CV97" s="970"/>
    </row>
    <row r="98" spans="3:100" ht="135" customHeight="1" thickTop="1" thickBot="1">
      <c r="C98" s="2048" t="s">
        <v>1252</v>
      </c>
      <c r="G98" s="953">
        <v>8601.6741999999995</v>
      </c>
      <c r="H98" s="2049"/>
      <c r="I98" s="2049"/>
      <c r="J98" s="2049"/>
      <c r="K98" s="2049"/>
      <c r="L98" s="2049"/>
      <c r="M98" s="2049"/>
      <c r="N98" s="2049"/>
      <c r="O98" s="2049"/>
      <c r="P98" s="2049"/>
      <c r="Q98" s="2049"/>
      <c r="R98" s="3580" t="s">
        <v>1269</v>
      </c>
      <c r="S98" s="3583"/>
      <c r="T98" s="948">
        <f>1.94291*30.05+3.83132*11.94+514.00607*4.6+2.34302*30.05+1.22713*30.05</f>
        <v>2575.8413357999998</v>
      </c>
      <c r="U98" s="977"/>
      <c r="V98" s="977"/>
      <c r="W98" s="977"/>
      <c r="X98" s="977"/>
      <c r="Y98" s="950"/>
      <c r="Z98" s="3579" t="s">
        <v>1270</v>
      </c>
      <c r="AA98" s="3580"/>
      <c r="AB98" s="3583"/>
      <c r="AC98" s="2050">
        <v>1929.4389900000001</v>
      </c>
      <c r="AD98" s="3578" t="s">
        <v>1254</v>
      </c>
      <c r="AE98" s="974"/>
      <c r="AF98" s="974"/>
      <c r="AG98" s="2051"/>
      <c r="AH98" s="974"/>
      <c r="AI98" s="974"/>
      <c r="AJ98" s="974"/>
      <c r="AK98" s="953">
        <f>(139.43696+9.90146+6.03099)*9.26</f>
        <v>1438.7207365999998</v>
      </c>
      <c r="AL98" s="953">
        <f>3.94577*24.24+29.69871*10.53+93.63136*7.06+5.85439*24.24+3.20522*24.239</f>
        <v>1289.01202388</v>
      </c>
      <c r="AM98" s="953"/>
      <c r="AN98" s="3578" t="s">
        <v>1255</v>
      </c>
      <c r="AO98" s="3579" t="s">
        <v>1271</v>
      </c>
      <c r="AP98" s="3580"/>
      <c r="AQ98" s="3580"/>
      <c r="AR98" s="3580"/>
      <c r="AS98" s="3580"/>
      <c r="AT98" s="3580"/>
      <c r="AU98" s="3580"/>
      <c r="AV98" s="3580"/>
      <c r="AW98" s="3580"/>
      <c r="AX98" s="3580"/>
      <c r="AY98" s="3580"/>
      <c r="AZ98" s="970"/>
      <c r="BA98" s="948"/>
      <c r="BB98" s="3578" t="s">
        <v>1254</v>
      </c>
      <c r="BC98" s="974"/>
      <c r="BD98" s="974"/>
      <c r="BE98" s="2051"/>
      <c r="BF98" s="974"/>
      <c r="BG98" s="974"/>
      <c r="BH98" s="974"/>
      <c r="BI98" s="953">
        <f>(139.43696+9.90146+6.03099)*9.26</f>
        <v>1438.7207365999998</v>
      </c>
      <c r="BJ98" s="953">
        <f>3.94577*24.24+29.69871*10.53+93.63136*7.06+5.85439*24.24+3.20522*24.239</f>
        <v>1289.01202388</v>
      </c>
      <c r="BK98" s="3579" t="s">
        <v>1272</v>
      </c>
      <c r="BL98" s="3580"/>
      <c r="BM98" s="948">
        <f>1.33603*29.52+3.23838*11.76+46.95973*4.57+1.70894*29.52+0.97806*29.51929</f>
        <v>371.44846607740004</v>
      </c>
      <c r="BN98" s="3578" t="s">
        <v>1254</v>
      </c>
      <c r="BO98" s="974"/>
      <c r="BP98" s="974"/>
      <c r="BQ98" s="2051"/>
      <c r="BR98" s="974"/>
      <c r="BS98" s="974"/>
      <c r="BT98" s="974"/>
      <c r="BU98" s="953">
        <f>(139.43696+9.90146+6.03099)*9.26</f>
        <v>1438.7207365999998</v>
      </c>
      <c r="BV98" s="953">
        <f>3.94577*24.24+29.69871*10.53+93.63136*7.06+5.85439*24.24+3.20522*24.239</f>
        <v>1289.01202388</v>
      </c>
      <c r="BW98" s="953"/>
      <c r="BX98" s="3578" t="s">
        <v>1255</v>
      </c>
      <c r="BY98" s="953">
        <v>76.704899999999995</v>
      </c>
      <c r="BZ98" s="3578" t="s">
        <v>1254</v>
      </c>
      <c r="CA98" s="974"/>
      <c r="CB98" s="974"/>
      <c r="CC98" s="2051"/>
      <c r="CD98" s="974"/>
      <c r="CE98" s="974"/>
      <c r="CF98" s="974"/>
      <c r="CG98" s="953">
        <f>(139.43696+9.90146+6.03099)*9.26</f>
        <v>1438.7207365999998</v>
      </c>
      <c r="CH98" s="953">
        <f>3.94577*24.24+29.69871*10.53+93.63136*7.06+5.85439*24.24+3.20522*24.239</f>
        <v>1289.01202388</v>
      </c>
      <c r="CI98" s="3579" t="s">
        <v>1273</v>
      </c>
      <c r="CJ98" s="3580"/>
      <c r="CK98" s="953">
        <f>0.91667*30.05+0.37936*12.2+0.65985*8.16+0.873*30.05+0.45089*30.05</f>
        <v>77.341396000000003</v>
      </c>
      <c r="CL98" s="3578" t="s">
        <v>1254</v>
      </c>
      <c r="CM98" s="974"/>
      <c r="CN98" s="974"/>
      <c r="CO98" s="2051"/>
      <c r="CP98" s="974"/>
      <c r="CQ98" s="974"/>
      <c r="CR98" s="974"/>
      <c r="CS98" s="953">
        <f>(139.43696+9.90146+6.03099)*9.26</f>
        <v>1438.7207365999998</v>
      </c>
      <c r="CT98" s="953">
        <f>3.94577*24.24+29.69871*10.53+93.63136*7.06+5.85439*24.24+3.20522*24.239</f>
        <v>1289.01202388</v>
      </c>
      <c r="CU98" s="3579" t="s">
        <v>1274</v>
      </c>
      <c r="CV98" s="3580"/>
    </row>
    <row r="99" spans="3:100" ht="70.5" customHeight="1" thickTop="1" thickBot="1">
      <c r="C99" s="846" t="s">
        <v>1257</v>
      </c>
      <c r="G99" s="953"/>
      <c r="H99" s="899"/>
      <c r="I99" s="899"/>
      <c r="J99" s="899"/>
      <c r="K99" s="899"/>
      <c r="L99" s="2052"/>
      <c r="M99" s="971"/>
      <c r="N99" s="953"/>
      <c r="O99" s="2053"/>
      <c r="P99" s="3579"/>
      <c r="Q99" s="3580"/>
      <c r="R99" s="2054" t="s">
        <v>14920</v>
      </c>
      <c r="S99" s="2054"/>
      <c r="T99" s="948">
        <v>8773.9884000000002</v>
      </c>
      <c r="U99" s="977"/>
      <c r="V99" s="977"/>
      <c r="W99" s="977"/>
      <c r="X99" s="977"/>
      <c r="Y99" s="950"/>
      <c r="Z99" s="977"/>
      <c r="AA99" s="3579" t="s">
        <v>1275</v>
      </c>
      <c r="AB99" s="3580"/>
      <c r="AC99" s="960"/>
      <c r="AD99" s="3578"/>
      <c r="AE99" s="2055"/>
      <c r="AF99" s="2055"/>
      <c r="AG99" s="2055"/>
      <c r="AH99" s="974"/>
      <c r="AI99" s="974"/>
      <c r="AJ99" s="974"/>
      <c r="AK99" s="962"/>
      <c r="AL99" s="963"/>
      <c r="AM99" s="963"/>
      <c r="AN99" s="3578"/>
      <c r="AO99" s="2056" t="s">
        <v>14921</v>
      </c>
      <c r="AP99" s="2049"/>
      <c r="AQ99" s="2049"/>
      <c r="AR99" s="2049"/>
      <c r="AS99" s="2049"/>
      <c r="AT99" s="2049"/>
      <c r="AU99" s="2049"/>
      <c r="AV99" s="2049"/>
      <c r="AW99" s="2049"/>
      <c r="AX99" s="2049"/>
      <c r="AY99" s="2049"/>
      <c r="AZ99" s="970"/>
      <c r="BA99" s="960"/>
      <c r="BB99" s="3578"/>
      <c r="BC99" s="2055"/>
      <c r="BD99" s="2055"/>
      <c r="BE99" s="2055"/>
      <c r="BF99" s="974"/>
      <c r="BG99" s="974"/>
      <c r="BH99" s="974"/>
      <c r="BI99" s="962"/>
      <c r="BJ99" s="963"/>
      <c r="BK99" s="977"/>
      <c r="BL99" s="2049"/>
      <c r="BM99" s="960"/>
      <c r="BN99" s="3578"/>
      <c r="BO99" s="2055"/>
      <c r="BP99" s="2055"/>
      <c r="BQ99" s="2055"/>
      <c r="BR99" s="974"/>
      <c r="BS99" s="974"/>
      <c r="BT99" s="974"/>
      <c r="BU99" s="962"/>
      <c r="BV99" s="963"/>
      <c r="BW99" s="963"/>
      <c r="BX99" s="3578"/>
      <c r="BY99" s="960"/>
      <c r="BZ99" s="3578"/>
      <c r="CA99" s="2055"/>
      <c r="CB99" s="2055"/>
      <c r="CC99" s="2055"/>
      <c r="CD99" s="974"/>
      <c r="CE99" s="974"/>
      <c r="CF99" s="974"/>
      <c r="CG99" s="962"/>
      <c r="CH99" s="963"/>
      <c r="CI99" s="2057" t="s">
        <v>14922</v>
      </c>
      <c r="CJ99" s="2049"/>
      <c r="CK99" s="963">
        <v>2568.0275900000001</v>
      </c>
      <c r="CL99" s="3578"/>
      <c r="CM99" s="2055"/>
      <c r="CN99" s="2055"/>
      <c r="CO99" s="2055"/>
      <c r="CP99" s="974"/>
      <c r="CQ99" s="974"/>
      <c r="CR99" s="974"/>
      <c r="CS99" s="962"/>
      <c r="CT99" s="963"/>
      <c r="CU99" s="2056" t="s">
        <v>1275</v>
      </c>
      <c r="CV99" s="2049" t="s">
        <v>14923</v>
      </c>
    </row>
    <row r="100" spans="3:100" ht="75.75" customHeight="1" thickTop="1" thickBot="1">
      <c r="G100" s="968">
        <f>G98+G99</f>
        <v>8601.6741999999995</v>
      </c>
      <c r="H100" s="899"/>
      <c r="I100" s="899"/>
      <c r="J100" s="899"/>
      <c r="K100" s="977"/>
      <c r="L100" s="977"/>
      <c r="M100" s="971"/>
      <c r="N100" s="965">
        <f>SUM(N98:N99)</f>
        <v>0</v>
      </c>
      <c r="O100" s="2058" t="s">
        <v>16</v>
      </c>
      <c r="P100" s="3579"/>
      <c r="Q100" s="3580"/>
      <c r="R100" s="2059" t="s">
        <v>14924</v>
      </c>
      <c r="S100" s="2054"/>
      <c r="T100" s="968">
        <f>T98+T99</f>
        <v>11349.8297358</v>
      </c>
      <c r="U100" s="974"/>
      <c r="V100" s="974"/>
      <c r="W100" s="974"/>
      <c r="X100" s="974"/>
      <c r="Y100" s="2037"/>
      <c r="Z100" s="974"/>
      <c r="AA100" s="2060" t="s">
        <v>14925</v>
      </c>
      <c r="AB100" s="2037"/>
      <c r="AC100" s="968">
        <f>SUM(AC98:AC99)</f>
        <v>1929.4389900000001</v>
      </c>
      <c r="AD100" s="3578"/>
      <c r="AE100" s="2061"/>
      <c r="AF100" s="2061"/>
      <c r="AG100" s="2061"/>
      <c r="AH100" s="2061"/>
      <c r="AI100" s="2061"/>
      <c r="AJ100" s="2061"/>
      <c r="AK100" s="968">
        <f>SUM(AK98:AK99)</f>
        <v>1438.7207365999998</v>
      </c>
      <c r="AL100" s="968">
        <f>SUM(AL98:AL99)</f>
        <v>1289.01202388</v>
      </c>
      <c r="AM100" s="968">
        <f>SUM(AM98:AM99)</f>
        <v>0</v>
      </c>
      <c r="AN100" s="3578"/>
      <c r="AO100" s="2059" t="s">
        <v>14924</v>
      </c>
      <c r="AP100" s="970"/>
      <c r="AQ100" s="970"/>
      <c r="AR100" s="970"/>
      <c r="AS100" s="970"/>
      <c r="AT100" s="970"/>
      <c r="AU100" s="970"/>
      <c r="AV100" s="970"/>
      <c r="AW100" s="970"/>
      <c r="AX100" s="970"/>
      <c r="AY100" s="970"/>
      <c r="AZ100" s="970"/>
      <c r="BA100" s="964">
        <f>SUM(BA98:BA99)</f>
        <v>0</v>
      </c>
      <c r="BB100" s="3578"/>
      <c r="BC100" s="2061"/>
      <c r="BD100" s="2061"/>
      <c r="BE100" s="2061"/>
      <c r="BF100" s="2061"/>
      <c r="BG100" s="2061"/>
      <c r="BH100" s="2061"/>
      <c r="BI100" s="968">
        <f>SUM(BI98:BI99)</f>
        <v>1438.7207365999998</v>
      </c>
      <c r="BJ100" s="968">
        <f>SUM(BJ98:BJ99)</f>
        <v>1289.01202388</v>
      </c>
      <c r="BK100" s="977"/>
      <c r="BL100" s="2062"/>
      <c r="BM100" s="964">
        <f>SUM(BM98:BM99)</f>
        <v>371.44846607740004</v>
      </c>
      <c r="BN100" s="3578"/>
      <c r="BO100" s="2061"/>
      <c r="BP100" s="2061"/>
      <c r="BQ100" s="2061"/>
      <c r="BR100" s="2061"/>
      <c r="BS100" s="2061"/>
      <c r="BT100" s="2061"/>
      <c r="BU100" s="968">
        <f>SUM(BU98:BU99)</f>
        <v>1438.7207365999998</v>
      </c>
      <c r="BV100" s="968">
        <f>SUM(BV98:BV99)</f>
        <v>1289.01202388</v>
      </c>
      <c r="BW100" s="968">
        <f>SUM(BW98:BW99)</f>
        <v>0</v>
      </c>
      <c r="BX100" s="3578"/>
      <c r="BY100" s="968">
        <f>SUM(BY98:BY99)</f>
        <v>76.704899999999995</v>
      </c>
      <c r="BZ100" s="3578"/>
      <c r="CA100" s="2061"/>
      <c r="CB100" s="2061"/>
      <c r="CC100" s="2061"/>
      <c r="CD100" s="2061"/>
      <c r="CE100" s="2061"/>
      <c r="CF100" s="2061"/>
      <c r="CG100" s="968">
        <f>SUM(CG98:CG99)</f>
        <v>1438.7207365999998</v>
      </c>
      <c r="CH100" s="968">
        <f>SUM(CH98:CH99)</f>
        <v>1289.01202388</v>
      </c>
      <c r="CI100" s="2059" t="s">
        <v>14924</v>
      </c>
      <c r="CJ100" s="2049"/>
      <c r="CK100" s="968">
        <f>CK98+CK99</f>
        <v>2645.3689859999999</v>
      </c>
      <c r="CL100" s="3578"/>
      <c r="CM100" s="2061"/>
      <c r="CN100" s="2061"/>
      <c r="CO100" s="2061"/>
      <c r="CP100" s="2061"/>
      <c r="CQ100" s="2061"/>
      <c r="CR100" s="2061"/>
      <c r="CS100" s="968">
        <f>SUM(CS98:CS99)</f>
        <v>1438.7207365999998</v>
      </c>
      <c r="CT100" s="968">
        <f>SUM(CT98:CT99)</f>
        <v>1289.01202388</v>
      </c>
      <c r="CU100" s="2063" t="s">
        <v>14925</v>
      </c>
      <c r="CV100" s="2064">
        <f>CK100/450*100</f>
        <v>587.85977466666668</v>
      </c>
    </row>
    <row r="101" spans="3:100" ht="21" thickTop="1">
      <c r="P101" s="977"/>
      <c r="Q101" s="977"/>
      <c r="R101" s="977"/>
      <c r="S101" s="977"/>
      <c r="Y101" s="2037"/>
      <c r="AC101" s="974"/>
      <c r="BM101" s="974"/>
    </row>
    <row r="102" spans="3:100">
      <c r="Y102" s="2037"/>
      <c r="AC102" s="974"/>
      <c r="BM102" s="974"/>
    </row>
    <row r="103" spans="3:100">
      <c r="Y103" s="2038"/>
    </row>
    <row r="104" spans="3:100">
      <c r="Y104" s="2038"/>
      <c r="Z104" s="2065"/>
      <c r="AA104" s="2065"/>
      <c r="AB104" s="2065"/>
      <c r="AW104" s="2065"/>
      <c r="BI104" s="2065"/>
      <c r="CG104" s="2065"/>
      <c r="CS104" s="2065"/>
    </row>
    <row r="105" spans="3:100">
      <c r="Y105" s="2038"/>
    </row>
    <row r="106" spans="3:100">
      <c r="Y106" s="2038"/>
    </row>
    <row r="107" spans="3:100">
      <c r="Y107" s="2038"/>
    </row>
    <row r="108" spans="3:100">
      <c r="Y108" s="2038"/>
    </row>
    <row r="109" spans="3:100">
      <c r="Y109" s="2038"/>
    </row>
    <row r="110" spans="3:100">
      <c r="Y110" s="2038"/>
    </row>
    <row r="111" spans="3:100">
      <c r="Y111" s="2038"/>
    </row>
    <row r="112" spans="3:100">
      <c r="Y112" s="2038"/>
    </row>
    <row r="113" spans="25:25">
      <c r="Y113" s="2038"/>
    </row>
    <row r="114" spans="25:25">
      <c r="Y114" s="2038"/>
    </row>
    <row r="115" spans="25:25">
      <c r="Y115" s="2038"/>
    </row>
  </sheetData>
  <mergeCells count="32">
    <mergeCell ref="D2:E2"/>
    <mergeCell ref="F2:G2"/>
    <mergeCell ref="D3:E3"/>
    <mergeCell ref="F3:G3"/>
    <mergeCell ref="D4:E4"/>
    <mergeCell ref="F4:G4"/>
    <mergeCell ref="D5:E5"/>
    <mergeCell ref="F5:G5"/>
    <mergeCell ref="B6:AW6"/>
    <mergeCell ref="B7:AM7"/>
    <mergeCell ref="B8:G8"/>
    <mergeCell ref="M8:AL8"/>
    <mergeCell ref="B9:G9"/>
    <mergeCell ref="M9:AL9"/>
    <mergeCell ref="B10:G10"/>
    <mergeCell ref="M10:AL10"/>
    <mergeCell ref="R98:S98"/>
    <mergeCell ref="Z98:AB98"/>
    <mergeCell ref="AD98:AD100"/>
    <mergeCell ref="BZ98:BZ100"/>
    <mergeCell ref="CI98:CJ98"/>
    <mergeCell ref="CL98:CL100"/>
    <mergeCell ref="CU98:CV98"/>
    <mergeCell ref="P99:Q99"/>
    <mergeCell ref="AA99:AB99"/>
    <mergeCell ref="P100:Q100"/>
    <mergeCell ref="AN98:AN100"/>
    <mergeCell ref="AO98:AY98"/>
    <mergeCell ref="BB98:BB100"/>
    <mergeCell ref="BK98:BL98"/>
    <mergeCell ref="BN98:BN100"/>
    <mergeCell ref="BX98:BX100"/>
  </mergeCells>
  <printOptions horizontalCentered="1"/>
  <pageMargins left="0" right="0" top="0.39370078740157483" bottom="0.39370078740157483" header="0.19685039370078741" footer="0.19685039370078741"/>
  <pageSetup paperSize="9" scale="2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16"/>
  <sheetViews>
    <sheetView view="pageBreakPreview" zoomScale="80" zoomScaleNormal="100" zoomScaleSheetLayoutView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7" sqref="O17"/>
    </sheetView>
  </sheetViews>
  <sheetFormatPr defaultRowHeight="12.75" outlineLevelRow="1" outlineLevelCol="1"/>
  <cols>
    <col min="1" max="1" width="58.85546875" style="163" bestFit="1" customWidth="1"/>
    <col min="2" max="5" width="12" style="3074" bestFit="1" customWidth="1"/>
    <col min="6" max="6" width="11" style="163" hidden="1" customWidth="1" outlineLevel="1"/>
    <col min="7" max="7" width="10.42578125" style="163" hidden="1" customWidth="1" outlineLevel="1"/>
    <col min="8" max="8" width="12" style="163" bestFit="1" customWidth="1" collapsed="1"/>
    <col min="9" max="13" width="12" style="163" bestFit="1" customWidth="1"/>
    <col min="14" max="14" width="18.140625" style="163" customWidth="1"/>
    <col min="15" max="16384" width="9.140625" style="163"/>
  </cols>
  <sheetData>
    <row r="1" spans="1:14" s="3069" customFormat="1" ht="14.25" thickTop="1" thickBot="1">
      <c r="A1" s="3152" t="s">
        <v>5</v>
      </c>
    </row>
    <row r="2" spans="1:14" ht="39" thickBot="1">
      <c r="A2" s="3062" t="s">
        <v>583</v>
      </c>
      <c r="B2" s="3173" t="s">
        <v>15246</v>
      </c>
      <c r="C2" s="3173" t="s">
        <v>15247</v>
      </c>
      <c r="D2" s="3173" t="s">
        <v>15236</v>
      </c>
      <c r="E2" s="3173" t="s">
        <v>15237</v>
      </c>
      <c r="F2" s="3063" t="s">
        <v>15238</v>
      </c>
      <c r="G2" s="3063" t="s">
        <v>15239</v>
      </c>
      <c r="H2" s="3063" t="s">
        <v>264</v>
      </c>
      <c r="I2" s="3063" t="s">
        <v>265</v>
      </c>
      <c r="J2" s="3063" t="s">
        <v>266</v>
      </c>
      <c r="K2" s="3063" t="s">
        <v>267</v>
      </c>
      <c r="L2" s="3064" t="s">
        <v>268</v>
      </c>
      <c r="N2" s="3065"/>
    </row>
    <row r="3" spans="1:14" s="3075" customFormat="1">
      <c r="A3" s="3078" t="s">
        <v>15306</v>
      </c>
      <c r="B3" s="3083">
        <f>SUM(B4:B11)</f>
        <v>77851.06</v>
      </c>
      <c r="C3" s="3083">
        <f t="shared" ref="C3:D3" si="0">SUM(C4:C11)</f>
        <v>87253.33</v>
      </c>
      <c r="D3" s="3083">
        <f t="shared" si="0"/>
        <v>97560.75</v>
      </c>
      <c r="E3" s="3083">
        <f>SUM(E4:E11)</f>
        <v>116245.36</v>
      </c>
      <c r="F3" s="3083">
        <f t="shared" ref="F3:L3" si="1">SUM(F4:F11)</f>
        <v>87174.459999999992</v>
      </c>
      <c r="G3" s="3083">
        <f t="shared" si="1"/>
        <v>0</v>
      </c>
      <c r="H3" s="3083">
        <f t="shared" si="1"/>
        <v>96823</v>
      </c>
      <c r="I3" s="3083">
        <f t="shared" si="1"/>
        <v>96823</v>
      </c>
      <c r="J3" s="3083">
        <f t="shared" si="1"/>
        <v>96823</v>
      </c>
      <c r="K3" s="3083">
        <f t="shared" si="1"/>
        <v>96823</v>
      </c>
      <c r="L3" s="3084">
        <f t="shared" si="1"/>
        <v>96823</v>
      </c>
      <c r="N3" s="3076"/>
    </row>
    <row r="4" spans="1:14" s="3070" customFormat="1" ht="25.5">
      <c r="A4" s="3307" t="s">
        <v>15311</v>
      </c>
      <c r="B4" s="3114">
        <v>87</v>
      </c>
      <c r="C4" s="3087">
        <v>103</v>
      </c>
      <c r="D4" s="3087">
        <v>112</v>
      </c>
      <c r="E4" s="3087">
        <v>337</v>
      </c>
      <c r="F4" s="3087">
        <v>213</v>
      </c>
      <c r="G4" s="3087"/>
      <c r="H4" s="3087">
        <v>159</v>
      </c>
      <c r="I4" s="3087">
        <v>159</v>
      </c>
      <c r="J4" s="3087">
        <v>159</v>
      </c>
      <c r="K4" s="3087">
        <v>159</v>
      </c>
      <c r="L4" s="3090">
        <v>159</v>
      </c>
      <c r="N4" s="3071"/>
    </row>
    <row r="5" spans="1:14" s="3070" customFormat="1" ht="25.5">
      <c r="A5" s="3307" t="s">
        <v>15312</v>
      </c>
      <c r="B5" s="3114">
        <v>20</v>
      </c>
      <c r="C5" s="3087">
        <v>12</v>
      </c>
      <c r="D5" s="3087"/>
      <c r="E5" s="3087"/>
      <c r="F5" s="3087"/>
      <c r="G5" s="3087"/>
      <c r="H5" s="3087">
        <v>0</v>
      </c>
      <c r="I5" s="3087">
        <v>0</v>
      </c>
      <c r="J5" s="3087">
        <v>0</v>
      </c>
      <c r="K5" s="3087">
        <v>0</v>
      </c>
      <c r="L5" s="3090">
        <v>0</v>
      </c>
      <c r="N5" s="3071"/>
    </row>
    <row r="6" spans="1:14" s="3070" customFormat="1">
      <c r="A6" s="3307" t="s">
        <v>15313</v>
      </c>
      <c r="B6" s="3114">
        <v>1999</v>
      </c>
      <c r="C6" s="3087">
        <v>1157</v>
      </c>
      <c r="D6" s="3087">
        <v>1414</v>
      </c>
      <c r="E6" s="3087">
        <v>2067</v>
      </c>
      <c r="F6" s="3087">
        <v>1402</v>
      </c>
      <c r="G6" s="3087"/>
      <c r="H6" s="3087">
        <v>1660</v>
      </c>
      <c r="I6" s="3087">
        <v>1660</v>
      </c>
      <c r="J6" s="3087">
        <v>1660</v>
      </c>
      <c r="K6" s="3087">
        <v>1660</v>
      </c>
      <c r="L6" s="3090">
        <v>1660</v>
      </c>
      <c r="N6" s="3071"/>
    </row>
    <row r="7" spans="1:14">
      <c r="A7" s="3073" t="s">
        <v>15314</v>
      </c>
      <c r="B7" s="3114">
        <v>0</v>
      </c>
      <c r="C7" s="3087"/>
      <c r="D7" s="3087">
        <v>1002</v>
      </c>
      <c r="E7" s="3087">
        <v>806</v>
      </c>
      <c r="F7" s="3085"/>
      <c r="G7" s="3085"/>
      <c r="H7" s="3087">
        <v>600</v>
      </c>
      <c r="I7" s="3087">
        <v>600</v>
      </c>
      <c r="J7" s="3087">
        <v>600</v>
      </c>
      <c r="K7" s="3087">
        <v>600</v>
      </c>
      <c r="L7" s="3090">
        <v>600</v>
      </c>
      <c r="N7" s="3065"/>
    </row>
    <row r="8" spans="1:14">
      <c r="A8" s="3073" t="s">
        <v>15315</v>
      </c>
      <c r="B8" s="3114">
        <v>84</v>
      </c>
      <c r="C8" s="3087">
        <v>16</v>
      </c>
      <c r="D8" s="3087">
        <v>9</v>
      </c>
      <c r="E8" s="3087"/>
      <c r="F8" s="3085"/>
      <c r="G8" s="3085"/>
      <c r="H8" s="3085">
        <v>36</v>
      </c>
      <c r="I8" s="3085">
        <v>36</v>
      </c>
      <c r="J8" s="3085">
        <v>36</v>
      </c>
      <c r="K8" s="3085">
        <v>36</v>
      </c>
      <c r="L8" s="3086">
        <v>36</v>
      </c>
      <c r="N8" s="3065"/>
    </row>
    <row r="9" spans="1:14">
      <c r="A9" s="3073" t="s">
        <v>15316</v>
      </c>
      <c r="B9" s="3114">
        <v>512</v>
      </c>
      <c r="C9" s="3087">
        <v>344</v>
      </c>
      <c r="D9" s="3087">
        <v>30</v>
      </c>
      <c r="E9" s="3087"/>
      <c r="F9" s="3085"/>
      <c r="G9" s="3085"/>
      <c r="H9" s="3085">
        <v>295</v>
      </c>
      <c r="I9" s="3085">
        <v>295</v>
      </c>
      <c r="J9" s="3085">
        <v>295</v>
      </c>
      <c r="K9" s="3085">
        <v>295</v>
      </c>
      <c r="L9" s="3086">
        <v>295</v>
      </c>
      <c r="N9" s="3065"/>
    </row>
    <row r="10" spans="1:14" s="3070" customFormat="1">
      <c r="A10" s="3307" t="s">
        <v>15234</v>
      </c>
      <c r="B10" s="3114">
        <v>75149.06</v>
      </c>
      <c r="C10" s="3087">
        <v>85621.33</v>
      </c>
      <c r="D10" s="3087">
        <v>91188.67</v>
      </c>
      <c r="E10" s="3087">
        <v>109342.65</v>
      </c>
      <c r="F10" s="3087">
        <v>82550.429999999993</v>
      </c>
      <c r="G10" s="3087"/>
      <c r="H10" s="3087">
        <v>90325</v>
      </c>
      <c r="I10" s="3087">
        <v>90325</v>
      </c>
      <c r="J10" s="3087">
        <v>90325</v>
      </c>
      <c r="K10" s="3087">
        <v>90325</v>
      </c>
      <c r="L10" s="3090">
        <v>90325</v>
      </c>
      <c r="N10" s="3071"/>
    </row>
    <row r="11" spans="1:14" s="3070" customFormat="1" ht="13.5" thickBot="1">
      <c r="A11" s="3308" t="s">
        <v>15235</v>
      </c>
      <c r="B11" s="3116"/>
      <c r="C11" s="3093"/>
      <c r="D11" s="3093">
        <v>3805.08</v>
      </c>
      <c r="E11" s="3093">
        <v>3692.7099999999996</v>
      </c>
      <c r="F11" s="3093">
        <v>3009.03</v>
      </c>
      <c r="G11" s="3093"/>
      <c r="H11" s="3093">
        <v>3748</v>
      </c>
      <c r="I11" s="3093">
        <v>3748</v>
      </c>
      <c r="J11" s="3093">
        <v>3748</v>
      </c>
      <c r="K11" s="3093">
        <v>3748</v>
      </c>
      <c r="L11" s="3094">
        <v>3748</v>
      </c>
      <c r="N11" s="3071"/>
    </row>
    <row r="12" spans="1:14" s="3075" customFormat="1">
      <c r="A12" s="3066" t="s">
        <v>15129</v>
      </c>
      <c r="B12" s="3088">
        <f>SUM(B13:B20)</f>
        <v>26007.55</v>
      </c>
      <c r="C12" s="3088">
        <f t="shared" ref="C12" si="2">SUM(C13:C20)</f>
        <v>25287.03</v>
      </c>
      <c r="D12" s="3088">
        <f t="shared" ref="D12" si="3">SUM(D13:D20)</f>
        <v>24522.59</v>
      </c>
      <c r="E12" s="3088">
        <f>SUM(E13:E20)</f>
        <v>23527.91</v>
      </c>
      <c r="F12" s="3088">
        <f t="shared" ref="F12" si="4">SUM(F13:F20)</f>
        <v>0</v>
      </c>
      <c r="G12" s="3088">
        <f t="shared" ref="G12" si="5">SUM(G13:G20)</f>
        <v>0</v>
      </c>
      <c r="H12" s="3088">
        <f t="shared" ref="H12" si="6">SUM(H13:H20)</f>
        <v>23919</v>
      </c>
      <c r="I12" s="3088">
        <f t="shared" ref="I12" si="7">SUM(I13:I20)</f>
        <v>23919</v>
      </c>
      <c r="J12" s="3088">
        <f t="shared" ref="J12" si="8">SUM(J13:J20)</f>
        <v>23919</v>
      </c>
      <c r="K12" s="3088">
        <f t="shared" ref="K12" si="9">SUM(K13:K20)</f>
        <v>23919</v>
      </c>
      <c r="L12" s="3089">
        <f t="shared" ref="L12" si="10">SUM(L13:L20)</f>
        <v>23919</v>
      </c>
      <c r="N12" s="3077"/>
    </row>
    <row r="13" spans="1:14" s="3070" customFormat="1">
      <c r="A13" s="3307" t="s">
        <v>15317</v>
      </c>
      <c r="B13" s="3114">
        <v>85</v>
      </c>
      <c r="C13" s="3087">
        <v>90</v>
      </c>
      <c r="D13" s="3087">
        <v>125</v>
      </c>
      <c r="E13" s="3087">
        <v>97</v>
      </c>
      <c r="F13" s="3087"/>
      <c r="G13" s="3087"/>
      <c r="H13" s="3087">
        <v>99</v>
      </c>
      <c r="I13" s="3087">
        <v>99</v>
      </c>
      <c r="J13" s="3087">
        <v>99</v>
      </c>
      <c r="K13" s="3087">
        <v>99</v>
      </c>
      <c r="L13" s="3090">
        <v>99</v>
      </c>
      <c r="N13" s="3139"/>
    </row>
    <row r="14" spans="1:14">
      <c r="A14" s="3072" t="s">
        <v>15318</v>
      </c>
      <c r="B14" s="3114">
        <v>55</v>
      </c>
      <c r="C14" s="3087">
        <v>24</v>
      </c>
      <c r="D14" s="3087">
        <v>20</v>
      </c>
      <c r="E14" s="3087">
        <v>13</v>
      </c>
      <c r="F14" s="3085"/>
      <c r="G14" s="3085"/>
      <c r="H14" s="3087">
        <v>28</v>
      </c>
      <c r="I14" s="3087">
        <v>28</v>
      </c>
      <c r="J14" s="3087">
        <v>28</v>
      </c>
      <c r="K14" s="3087">
        <v>28</v>
      </c>
      <c r="L14" s="3090">
        <v>28</v>
      </c>
      <c r="N14" s="3067"/>
    </row>
    <row r="15" spans="1:14">
      <c r="A15" s="3072" t="s">
        <v>15319</v>
      </c>
      <c r="B15" s="3114">
        <v>143</v>
      </c>
      <c r="C15" s="3087">
        <v>95</v>
      </c>
      <c r="D15" s="3087">
        <v>115</v>
      </c>
      <c r="E15" s="3087">
        <v>84</v>
      </c>
      <c r="F15" s="3085"/>
      <c r="G15" s="3085"/>
      <c r="H15" s="3087">
        <v>109</v>
      </c>
      <c r="I15" s="3087">
        <v>109</v>
      </c>
      <c r="J15" s="3087">
        <v>109</v>
      </c>
      <c r="K15" s="3087">
        <v>109</v>
      </c>
      <c r="L15" s="3090">
        <v>109</v>
      </c>
      <c r="N15" s="3067"/>
    </row>
    <row r="16" spans="1:14">
      <c r="A16" s="3072" t="s">
        <v>15320</v>
      </c>
      <c r="B16" s="3117">
        <v>13</v>
      </c>
      <c r="C16" s="3087">
        <v>20</v>
      </c>
      <c r="D16" s="3087">
        <v>44</v>
      </c>
      <c r="E16" s="3087">
        <v>32</v>
      </c>
      <c r="F16" s="3085"/>
      <c r="G16" s="3085"/>
      <c r="H16" s="3087">
        <v>27</v>
      </c>
      <c r="I16" s="3087">
        <v>27</v>
      </c>
      <c r="J16" s="3087">
        <v>27</v>
      </c>
      <c r="K16" s="3087">
        <v>27</v>
      </c>
      <c r="L16" s="3090">
        <v>27</v>
      </c>
      <c r="N16" s="3067"/>
    </row>
    <row r="17" spans="1:14">
      <c r="A17" s="3072" t="s">
        <v>15321</v>
      </c>
      <c r="B17" s="3114"/>
      <c r="C17" s="3087">
        <v>208</v>
      </c>
      <c r="D17" s="3087">
        <v>131</v>
      </c>
      <c r="E17" s="3087">
        <v>154</v>
      </c>
      <c r="F17" s="3085"/>
      <c r="G17" s="3085"/>
      <c r="H17" s="3087">
        <v>164</v>
      </c>
      <c r="I17" s="3087">
        <v>164</v>
      </c>
      <c r="J17" s="3087">
        <v>164</v>
      </c>
      <c r="K17" s="3087">
        <v>164</v>
      </c>
      <c r="L17" s="3090">
        <v>164</v>
      </c>
      <c r="N17" s="3067"/>
    </row>
    <row r="18" spans="1:14">
      <c r="A18" s="3072" t="s">
        <v>15322</v>
      </c>
      <c r="B18" s="3114">
        <v>139</v>
      </c>
      <c r="C18" s="3087">
        <v>105</v>
      </c>
      <c r="D18" s="3087">
        <v>128</v>
      </c>
      <c r="E18" s="3087">
        <v>129</v>
      </c>
      <c r="F18" s="3085"/>
      <c r="G18" s="3085"/>
      <c r="H18" s="3087">
        <v>125</v>
      </c>
      <c r="I18" s="3087">
        <v>125</v>
      </c>
      <c r="J18" s="3087">
        <v>125</v>
      </c>
      <c r="K18" s="3087">
        <v>125</v>
      </c>
      <c r="L18" s="3090">
        <v>125</v>
      </c>
      <c r="N18" s="3067"/>
    </row>
    <row r="19" spans="1:14">
      <c r="A19" s="3072" t="s">
        <v>15323</v>
      </c>
      <c r="B19" s="3114">
        <v>6200</v>
      </c>
      <c r="C19" s="3087">
        <v>5362</v>
      </c>
      <c r="D19" s="3087">
        <v>4270</v>
      </c>
      <c r="E19" s="3087">
        <v>4806</v>
      </c>
      <c r="F19" s="3085"/>
      <c r="G19" s="3085"/>
      <c r="H19" s="3087">
        <v>5160</v>
      </c>
      <c r="I19" s="3087">
        <v>5160</v>
      </c>
      <c r="J19" s="3087">
        <v>5160</v>
      </c>
      <c r="K19" s="3087">
        <v>5160</v>
      </c>
      <c r="L19" s="3090">
        <v>5160</v>
      </c>
      <c r="N19" s="3067"/>
    </row>
    <row r="20" spans="1:14" s="3070" customFormat="1" ht="13.5" thickBot="1">
      <c r="A20" s="3308" t="s">
        <v>15244</v>
      </c>
      <c r="B20" s="3116">
        <v>19372.55</v>
      </c>
      <c r="C20" s="3093">
        <v>19383.03</v>
      </c>
      <c r="D20" s="3093">
        <v>19689.59</v>
      </c>
      <c r="E20" s="3093">
        <v>18212.91</v>
      </c>
      <c r="F20" s="3093"/>
      <c r="G20" s="3093"/>
      <c r="H20" s="3093">
        <v>18207</v>
      </c>
      <c r="I20" s="3093">
        <v>18207</v>
      </c>
      <c r="J20" s="3093">
        <v>18207</v>
      </c>
      <c r="K20" s="3093">
        <v>18207</v>
      </c>
      <c r="L20" s="3094">
        <v>18207</v>
      </c>
      <c r="M20" s="3309"/>
      <c r="N20" s="3139"/>
    </row>
    <row r="21" spans="1:14" s="3075" customFormat="1">
      <c r="A21" s="3066" t="s">
        <v>15248</v>
      </c>
      <c r="B21" s="3088">
        <f>SUM(B22)</f>
        <v>1625.77</v>
      </c>
      <c r="C21" s="3088">
        <f t="shared" ref="C21" si="11">SUM(C22)</f>
        <v>1562.31</v>
      </c>
      <c r="D21" s="3088">
        <f t="shared" ref="D21" si="12">SUM(D22)</f>
        <v>1507.51</v>
      </c>
      <c r="E21" s="3088">
        <f>SUM(E22)</f>
        <v>1561.93</v>
      </c>
      <c r="F21" s="3088">
        <f t="shared" ref="F21" si="13">SUM(F22)</f>
        <v>0</v>
      </c>
      <c r="G21" s="3088">
        <f t="shared" ref="G21" si="14">SUM(G22)</f>
        <v>0</v>
      </c>
      <c r="H21" s="3088">
        <f t="shared" ref="H21" si="15">SUM(H22)</f>
        <v>1564</v>
      </c>
      <c r="I21" s="3088">
        <f t="shared" ref="I21" si="16">SUM(I22)</f>
        <v>1564</v>
      </c>
      <c r="J21" s="3088">
        <f t="shared" ref="J21" si="17">SUM(J22)</f>
        <v>1564</v>
      </c>
      <c r="K21" s="3088">
        <f t="shared" ref="K21" si="18">SUM(K22)</f>
        <v>1564</v>
      </c>
      <c r="L21" s="3089">
        <f t="shared" ref="L21" si="19">SUM(L22)</f>
        <v>1564</v>
      </c>
      <c r="N21" s="3077"/>
    </row>
    <row r="22" spans="1:14" s="3070" customFormat="1" ht="13.5" thickBot="1">
      <c r="A22" s="3310" t="s">
        <v>15241</v>
      </c>
      <c r="B22" s="3115">
        <v>1625.77</v>
      </c>
      <c r="C22" s="3091">
        <v>1562.31</v>
      </c>
      <c r="D22" s="3091">
        <v>1507.51</v>
      </c>
      <c r="E22" s="3091">
        <v>1561.93</v>
      </c>
      <c r="F22" s="3091"/>
      <c r="G22" s="3091"/>
      <c r="H22" s="3091">
        <v>1564</v>
      </c>
      <c r="I22" s="3091">
        <v>1564</v>
      </c>
      <c r="J22" s="3091">
        <v>1564</v>
      </c>
      <c r="K22" s="3091">
        <v>1564</v>
      </c>
      <c r="L22" s="3092">
        <v>1564</v>
      </c>
      <c r="N22" s="3139"/>
    </row>
    <row r="23" spans="1:14" s="3075" customFormat="1">
      <c r="A23" s="3066" t="s">
        <v>15249</v>
      </c>
      <c r="B23" s="3088">
        <f>SUM(B24)</f>
        <v>2814.76</v>
      </c>
      <c r="C23" s="3088">
        <f t="shared" ref="C23" si="20">SUM(C24)</f>
        <v>3125.76</v>
      </c>
      <c r="D23" s="3088">
        <f t="shared" ref="D23" si="21">SUM(D24)</f>
        <v>3341.76</v>
      </c>
      <c r="E23" s="3088">
        <f>SUM(E24)</f>
        <v>3269.61</v>
      </c>
      <c r="F23" s="3088">
        <f t="shared" ref="F23" si="22">SUM(F24)</f>
        <v>0</v>
      </c>
      <c r="G23" s="3088">
        <f t="shared" ref="G23" si="23">SUM(G24)</f>
        <v>0</v>
      </c>
      <c r="H23" s="3088">
        <f t="shared" ref="H23" si="24">SUM(H24)</f>
        <v>3137</v>
      </c>
      <c r="I23" s="3088">
        <f t="shared" ref="I23" si="25">SUM(I24)</f>
        <v>3137</v>
      </c>
      <c r="J23" s="3088">
        <f t="shared" ref="J23" si="26">SUM(J24)</f>
        <v>3137</v>
      </c>
      <c r="K23" s="3088">
        <f t="shared" ref="K23" si="27">SUM(K24)</f>
        <v>3137</v>
      </c>
      <c r="L23" s="3089">
        <f t="shared" ref="L23" si="28">SUM(L24)</f>
        <v>3137</v>
      </c>
      <c r="N23" s="3077"/>
    </row>
    <row r="24" spans="1:14" s="3070" customFormat="1" ht="13.5" thickBot="1">
      <c r="A24" s="3310" t="s">
        <v>15241</v>
      </c>
      <c r="B24" s="3115">
        <v>2814.76</v>
      </c>
      <c r="C24" s="3091">
        <v>3125.76</v>
      </c>
      <c r="D24" s="3091">
        <v>3341.76</v>
      </c>
      <c r="E24" s="3091">
        <v>3269.61</v>
      </c>
      <c r="F24" s="3091"/>
      <c r="G24" s="3091"/>
      <c r="H24" s="3091">
        <v>3137</v>
      </c>
      <c r="I24" s="3091">
        <v>3137</v>
      </c>
      <c r="J24" s="3091">
        <v>3137</v>
      </c>
      <c r="K24" s="3091">
        <v>3137</v>
      </c>
      <c r="L24" s="3092">
        <v>3137</v>
      </c>
      <c r="N24" s="3139"/>
    </row>
    <row r="25" spans="1:14" s="3075" customFormat="1">
      <c r="A25" s="3078" t="s">
        <v>15250</v>
      </c>
      <c r="B25" s="3083">
        <f>SUM(B26)</f>
        <v>5054</v>
      </c>
      <c r="C25" s="3083">
        <f t="shared" ref="C25" si="29">SUM(C26)</f>
        <v>6463</v>
      </c>
      <c r="D25" s="3083">
        <f t="shared" ref="D25" si="30">SUM(D26)</f>
        <v>6737</v>
      </c>
      <c r="E25" s="3083">
        <f>SUM(E26)</f>
        <v>5920</v>
      </c>
      <c r="F25" s="3083">
        <f t="shared" ref="F25" si="31">SUM(F26)</f>
        <v>0</v>
      </c>
      <c r="G25" s="3083">
        <f t="shared" ref="G25" si="32">SUM(G26)</f>
        <v>0</v>
      </c>
      <c r="H25" s="3083">
        <f t="shared" ref="H25" si="33">SUM(H26)</f>
        <v>6043</v>
      </c>
      <c r="I25" s="3083">
        <f t="shared" ref="I25" si="34">SUM(I26)</f>
        <v>6043</v>
      </c>
      <c r="J25" s="3083">
        <f t="shared" ref="J25" si="35">SUM(J26)</f>
        <v>6043</v>
      </c>
      <c r="K25" s="3083">
        <f t="shared" ref="K25" si="36">SUM(K26)</f>
        <v>6043</v>
      </c>
      <c r="L25" s="3084">
        <f t="shared" ref="L25" si="37">SUM(L26)</f>
        <v>6043</v>
      </c>
      <c r="N25" s="3077"/>
    </row>
    <row r="26" spans="1:14" s="3070" customFormat="1" ht="13.5" thickBot="1">
      <c r="A26" s="3308" t="s">
        <v>15241</v>
      </c>
      <c r="B26" s="3116">
        <v>5054</v>
      </c>
      <c r="C26" s="3093">
        <v>6463</v>
      </c>
      <c r="D26" s="3093">
        <v>6737</v>
      </c>
      <c r="E26" s="3093">
        <v>5920</v>
      </c>
      <c r="F26" s="3093"/>
      <c r="G26" s="3093"/>
      <c r="H26" s="3093">
        <v>6043</v>
      </c>
      <c r="I26" s="3093">
        <v>6043</v>
      </c>
      <c r="J26" s="3093">
        <v>6043</v>
      </c>
      <c r="K26" s="3093">
        <v>6043</v>
      </c>
      <c r="L26" s="3094">
        <v>6043</v>
      </c>
      <c r="N26" s="3139"/>
    </row>
    <row r="27" spans="1:14" s="3075" customFormat="1">
      <c r="A27" s="3066" t="s">
        <v>16</v>
      </c>
      <c r="B27" s="3088">
        <f>SUM(B3,B12,B21,B23,B25)</f>
        <v>113353.14</v>
      </c>
      <c r="C27" s="3088">
        <f t="shared" ref="C27:L27" si="38">SUM(C3,C12,C21,C23,C25)</f>
        <v>123691.43</v>
      </c>
      <c r="D27" s="3088">
        <f t="shared" si="38"/>
        <v>133669.60999999999</v>
      </c>
      <c r="E27" s="3088">
        <f t="shared" si="38"/>
        <v>150524.80999999997</v>
      </c>
      <c r="F27" s="3088">
        <f t="shared" si="38"/>
        <v>87174.459999999992</v>
      </c>
      <c r="G27" s="3088">
        <f t="shared" si="38"/>
        <v>0</v>
      </c>
      <c r="H27" s="3088">
        <f t="shared" si="38"/>
        <v>131486</v>
      </c>
      <c r="I27" s="3088">
        <f t="shared" si="38"/>
        <v>131486</v>
      </c>
      <c r="J27" s="3088">
        <f t="shared" si="38"/>
        <v>131486</v>
      </c>
      <c r="K27" s="3088">
        <f t="shared" si="38"/>
        <v>131486</v>
      </c>
      <c r="L27" s="3089">
        <f t="shared" si="38"/>
        <v>131486</v>
      </c>
      <c r="N27" s="3077"/>
    </row>
    <row r="28" spans="1:14" s="3070" customFormat="1">
      <c r="A28" s="3137" t="s">
        <v>15253</v>
      </c>
      <c r="B28" s="3142">
        <f>B4+B5+B6+B13</f>
        <v>2191</v>
      </c>
      <c r="C28" s="3142">
        <f>C4+C5+C6+C13</f>
        <v>1362</v>
      </c>
      <c r="D28" s="3142">
        <f>D4+D5+D6+D13</f>
        <v>1651</v>
      </c>
      <c r="E28" s="3142">
        <f>E4+E5+E6+E13</f>
        <v>2501</v>
      </c>
      <c r="F28" s="3142">
        <f t="shared" ref="F28:G28" si="39">F4+F5+F6</f>
        <v>1615</v>
      </c>
      <c r="G28" s="3142">
        <f t="shared" si="39"/>
        <v>0</v>
      </c>
      <c r="H28" s="3142">
        <f>H4+H5+H6+H13</f>
        <v>1918</v>
      </c>
      <c r="I28" s="3142">
        <f>I4+I5+I6+I13</f>
        <v>1918</v>
      </c>
      <c r="J28" s="3142">
        <f>J4+J5+J6+J13</f>
        <v>1918</v>
      </c>
      <c r="K28" s="3142">
        <f>K4+K5+K6+K13</f>
        <v>1918</v>
      </c>
      <c r="L28" s="3153">
        <f>L4+L5+L6+L13</f>
        <v>1918</v>
      </c>
      <c r="N28" s="3139"/>
    </row>
    <row r="29" spans="1:14" s="3070" customFormat="1">
      <c r="A29" s="3143" t="s">
        <v>15251</v>
      </c>
      <c r="B29" s="3119">
        <f>B10+B11+B20+B22+B24+B26</f>
        <v>104016.14</v>
      </c>
      <c r="C29" s="3119">
        <f>C10+C11+C20+C22+C24+C26</f>
        <v>116155.43</v>
      </c>
      <c r="D29" s="3119">
        <f>D10+D11+D20+D22+D24+D26</f>
        <v>126269.60999999999</v>
      </c>
      <c r="E29" s="3119">
        <f>E10+E11+E20+E22+E24+E26</f>
        <v>141999.80999999997</v>
      </c>
      <c r="F29" s="3119">
        <f t="shared" ref="F29:G29" si="40">F10+F20+F22+F24+F26</f>
        <v>82550.429999999993</v>
      </c>
      <c r="G29" s="3119">
        <f t="shared" si="40"/>
        <v>0</v>
      </c>
      <c r="H29" s="3119">
        <f>H10+H11+H20+H22+H24+H26</f>
        <v>123024</v>
      </c>
      <c r="I29" s="3119">
        <f>I10+I11+I20+I22+I24+I26</f>
        <v>123024</v>
      </c>
      <c r="J29" s="3119">
        <f>J10+J11+J20+J22+J24+J26</f>
        <v>123024</v>
      </c>
      <c r="K29" s="3119">
        <f>K10+K11+K20+K22+K24+K26</f>
        <v>123024</v>
      </c>
      <c r="L29" s="3145">
        <f>L10+L11+L20+L22+L24+L26</f>
        <v>123024</v>
      </c>
      <c r="N29" s="3139"/>
    </row>
    <row r="30" spans="1:14" s="3070" customFormat="1" ht="13.5" thickBot="1">
      <c r="A30" s="3140" t="s">
        <v>15252</v>
      </c>
      <c r="B30" s="3141">
        <f>B27-B28-B29</f>
        <v>7146</v>
      </c>
      <c r="C30" s="3141">
        <f>C27-C28-C29</f>
        <v>6174</v>
      </c>
      <c r="D30" s="3141">
        <f>D27-D28-D29</f>
        <v>5749</v>
      </c>
      <c r="E30" s="3141">
        <f>E27-E28-E29</f>
        <v>6024</v>
      </c>
      <c r="F30" s="3141">
        <f t="shared" ref="F30:G30" si="41">F27-F28-F29</f>
        <v>3009.0299999999988</v>
      </c>
      <c r="G30" s="3141">
        <f t="shared" si="41"/>
        <v>0</v>
      </c>
      <c r="H30" s="3141">
        <f>H27-H28-H29</f>
        <v>6544</v>
      </c>
      <c r="I30" s="3141">
        <f>I27-I28-I29</f>
        <v>6544</v>
      </c>
      <c r="J30" s="3141">
        <f>J27-J28-J29</f>
        <v>6544</v>
      </c>
      <c r="K30" s="3141">
        <f>K27-K28-K29</f>
        <v>6544</v>
      </c>
      <c r="L30" s="3154">
        <f>L27-L28-L29</f>
        <v>6544</v>
      </c>
      <c r="N30" s="3139"/>
    </row>
    <row r="31" spans="1:14">
      <c r="A31" s="3319"/>
      <c r="B31" s="3320"/>
      <c r="C31" s="3321"/>
      <c r="D31" s="3321"/>
      <c r="E31" s="3321"/>
      <c r="F31" s="3322"/>
      <c r="G31" s="3322"/>
      <c r="H31" s="3322"/>
      <c r="I31" s="3322"/>
      <c r="J31" s="3322"/>
      <c r="K31" s="3322"/>
      <c r="L31" s="3323"/>
      <c r="N31" s="3065"/>
    </row>
    <row r="32" spans="1:14">
      <c r="A32" s="3080" t="s">
        <v>15260</v>
      </c>
      <c r="B32" s="3095">
        <f>B27/1000-B43</f>
        <v>9.3370000000000033</v>
      </c>
      <c r="C32" s="3095">
        <f>C33+C36+C39</f>
        <v>29.500429999999994</v>
      </c>
      <c r="D32" s="3095">
        <f t="shared" ref="D32" si="42">D33+D36+D39</f>
        <v>117.69360999999999</v>
      </c>
      <c r="E32" s="3095">
        <f>E33+E36+E39</f>
        <v>132.06489999999997</v>
      </c>
      <c r="F32" s="3095">
        <f t="shared" ref="F32" si="43">F33+F36+F39</f>
        <v>0</v>
      </c>
      <c r="G32" s="3095">
        <f>G33+G36+G39</f>
        <v>0</v>
      </c>
      <c r="H32" s="3119"/>
      <c r="I32" s="3119"/>
      <c r="J32" s="3119"/>
      <c r="K32" s="3119"/>
      <c r="L32" s="3145"/>
      <c r="N32" s="3065"/>
    </row>
    <row r="33" spans="1:14" s="141" customFormat="1">
      <c r="A33" s="3110" t="s">
        <v>15240</v>
      </c>
      <c r="B33" s="3119">
        <f>B28/1000-B44</f>
        <v>2.1909999999999998</v>
      </c>
      <c r="C33" s="3119">
        <f>C34+C35</f>
        <v>1.3620000000000001</v>
      </c>
      <c r="D33" s="3119">
        <f>D34+D35</f>
        <v>1.611</v>
      </c>
      <c r="E33" s="3111">
        <f>E28/1000-E44</f>
        <v>2.3859999999999997</v>
      </c>
      <c r="F33" s="3111">
        <f t="shared" ref="F33:G33" si="44">F34+F35</f>
        <v>0</v>
      </c>
      <c r="G33" s="3111">
        <f t="shared" si="44"/>
        <v>0</v>
      </c>
      <c r="H33" s="3119"/>
      <c r="I33" s="3119"/>
      <c r="J33" s="3119"/>
      <c r="K33" s="3119"/>
      <c r="L33" s="3145"/>
    </row>
    <row r="34" spans="1:14" s="3108" customFormat="1">
      <c r="A34" s="3105" t="s">
        <v>15242</v>
      </c>
      <c r="B34" s="3120"/>
      <c r="C34" s="3120"/>
      <c r="D34" s="3120"/>
      <c r="E34" s="3106"/>
      <c r="F34" s="3106"/>
      <c r="G34" s="3106"/>
      <c r="H34" s="3120"/>
      <c r="I34" s="3120"/>
      <c r="J34" s="3120"/>
      <c r="K34" s="3120"/>
      <c r="L34" s="3136"/>
    </row>
    <row r="35" spans="1:14" s="3108" customFormat="1">
      <c r="A35" s="3105" t="s">
        <v>15243</v>
      </c>
      <c r="B35" s="3120">
        <f t="shared" ref="B35" si="45">(B4+B6+B5)/1000</f>
        <v>2.1059999999999999</v>
      </c>
      <c r="C35" s="3120">
        <f>C28/1000</f>
        <v>1.3620000000000001</v>
      </c>
      <c r="D35" s="3120">
        <f>D28/1000-D46</f>
        <v>1.611</v>
      </c>
      <c r="E35" s="3106">
        <f>E33</f>
        <v>2.3859999999999997</v>
      </c>
      <c r="F35" s="3106"/>
      <c r="G35" s="3106"/>
      <c r="H35" s="3120"/>
      <c r="I35" s="3120"/>
      <c r="J35" s="3120"/>
      <c r="K35" s="3120"/>
      <c r="L35" s="3136"/>
    </row>
    <row r="36" spans="1:14" s="141" customFormat="1">
      <c r="A36" s="3110" t="s">
        <v>15244</v>
      </c>
      <c r="B36" s="3119">
        <f>B29/1000-B47</f>
        <v>0</v>
      </c>
      <c r="C36" s="3119">
        <f>C29/1000-C47</f>
        <v>21.964429999999993</v>
      </c>
      <c r="D36" s="3119">
        <f>D29/1000-D47</f>
        <v>110.33360999999999</v>
      </c>
      <c r="E36" s="3111">
        <f>E29/1000-E47</f>
        <v>123.78689999999997</v>
      </c>
      <c r="F36" s="3111">
        <f t="shared" ref="F36" si="46">F37+F38</f>
        <v>0</v>
      </c>
      <c r="G36" s="3111">
        <f>G37+G38</f>
        <v>0</v>
      </c>
      <c r="H36" s="3119"/>
      <c r="I36" s="3119"/>
      <c r="J36" s="3119"/>
      <c r="K36" s="3119"/>
      <c r="L36" s="3145"/>
    </row>
    <row r="37" spans="1:14" s="3108" customFormat="1">
      <c r="A37" s="3105" t="s">
        <v>15242</v>
      </c>
      <c r="B37" s="3120"/>
      <c r="C37" s="3120"/>
      <c r="D37" s="3120"/>
      <c r="E37" s="3106"/>
      <c r="F37" s="3106"/>
      <c r="G37" s="3106"/>
      <c r="H37" s="3120"/>
      <c r="I37" s="3120"/>
      <c r="J37" s="3120"/>
      <c r="K37" s="3120"/>
      <c r="L37" s="3136"/>
    </row>
    <row r="38" spans="1:14" s="3108" customFormat="1">
      <c r="A38" s="3105" t="s">
        <v>15243</v>
      </c>
      <c r="B38" s="3120"/>
      <c r="C38" s="3120"/>
      <c r="D38" s="3120"/>
      <c r="E38" s="3106"/>
      <c r="F38" s="3106"/>
      <c r="G38" s="3106"/>
      <c r="H38" s="3120"/>
      <c r="I38" s="3120"/>
      <c r="J38" s="3120"/>
      <c r="K38" s="3120"/>
      <c r="L38" s="3136"/>
    </row>
    <row r="39" spans="1:14" s="141" customFormat="1">
      <c r="A39" s="3110" t="s">
        <v>15245</v>
      </c>
      <c r="B39" s="3119">
        <f>B30/1000-B50</f>
        <v>7.1459999999999999</v>
      </c>
      <c r="C39" s="3119">
        <f>C30/1000-C50</f>
        <v>6.1740000000000004</v>
      </c>
      <c r="D39" s="3119">
        <f>D30/1000</f>
        <v>5.7489999999999997</v>
      </c>
      <c r="E39" s="3111">
        <f>E30/1000-E50</f>
        <v>5.8920000000000003</v>
      </c>
      <c r="F39" s="3111">
        <f t="shared" ref="F39" si="47">F40+F41</f>
        <v>0</v>
      </c>
      <c r="G39" s="3111">
        <f>G40+G41</f>
        <v>0</v>
      </c>
      <c r="H39" s="3119"/>
      <c r="I39" s="3119"/>
      <c r="J39" s="3119"/>
      <c r="K39" s="3119"/>
      <c r="L39" s="3145"/>
    </row>
    <row r="40" spans="1:14" s="3108" customFormat="1">
      <c r="A40" s="3105" t="s">
        <v>15242</v>
      </c>
      <c r="B40" s="3120">
        <f>B39</f>
        <v>7.1459999999999999</v>
      </c>
      <c r="C40" s="3120">
        <f>C39</f>
        <v>6.1740000000000004</v>
      </c>
      <c r="D40" s="3120">
        <f>D39</f>
        <v>5.7489999999999997</v>
      </c>
      <c r="E40" s="3106">
        <f>E39</f>
        <v>5.8920000000000003</v>
      </c>
      <c r="F40" s="3106"/>
      <c r="G40" s="3106"/>
      <c r="H40" s="3120"/>
      <c r="I40" s="3120"/>
      <c r="J40" s="3120"/>
      <c r="K40" s="3120"/>
      <c r="L40" s="3136"/>
      <c r="N40" s="3328"/>
    </row>
    <row r="41" spans="1:14" s="3108" customFormat="1">
      <c r="A41" s="3109" t="s">
        <v>15243</v>
      </c>
      <c r="B41" s="3120"/>
      <c r="C41" s="3120"/>
      <c r="D41" s="3120"/>
      <c r="E41" s="3106"/>
      <c r="F41" s="3106"/>
      <c r="G41" s="3106"/>
      <c r="H41" s="3106"/>
      <c r="I41" s="3106"/>
      <c r="J41" s="3106"/>
      <c r="K41" s="3106"/>
      <c r="L41" s="3107"/>
      <c r="N41" s="3328"/>
    </row>
    <row r="42" spans="1:14" s="3070" customFormat="1" ht="13.5" thickBot="1">
      <c r="A42" s="3146"/>
      <c r="B42" s="3147"/>
      <c r="C42" s="3099"/>
      <c r="D42" s="3099"/>
      <c r="E42" s="3099"/>
      <c r="F42" s="3099"/>
      <c r="G42" s="3099"/>
      <c r="H42" s="3099"/>
      <c r="I42" s="3326"/>
      <c r="J42" s="3326"/>
      <c r="K42" s="3326"/>
      <c r="L42" s="3327"/>
      <c r="N42" s="3071"/>
    </row>
    <row r="43" spans="1:14" s="141" customFormat="1" ht="14.25" thickTop="1" thickBot="1">
      <c r="A43" s="3329" t="s">
        <v>15262</v>
      </c>
      <c r="B43" s="3149">
        <f t="shared" ref="B43:E43" si="48">B44+B47+B50</f>
        <v>104.01613999999999</v>
      </c>
      <c r="C43" s="3149">
        <f>C44+C47+C50</f>
        <v>94.191000000000003</v>
      </c>
      <c r="D43" s="3149">
        <f t="shared" si="48"/>
        <v>15.975999999999999</v>
      </c>
      <c r="E43" s="3149">
        <f t="shared" si="48"/>
        <v>18.459910000000001</v>
      </c>
      <c r="F43" s="3095">
        <f t="shared" ref="F43" si="49">F44+F47+F50</f>
        <v>0</v>
      </c>
      <c r="G43" s="3313">
        <f>G44+G47+G50</f>
        <v>0</v>
      </c>
      <c r="H43" s="3095">
        <f>H44+H47+H50</f>
        <v>131.48600000000002</v>
      </c>
      <c r="I43" s="3083">
        <f t="shared" ref="I43:L43" si="50">I44+I47+I50</f>
        <v>131.48600000000002</v>
      </c>
      <c r="J43" s="3083">
        <f t="shared" si="50"/>
        <v>131.48600000000002</v>
      </c>
      <c r="K43" s="3083">
        <f t="shared" si="50"/>
        <v>131.48600000000002</v>
      </c>
      <c r="L43" s="3084">
        <f t="shared" si="50"/>
        <v>131.48600000000002</v>
      </c>
      <c r="M43" s="3316"/>
      <c r="N43" s="3387"/>
    </row>
    <row r="44" spans="1:14" s="3069" customFormat="1" ht="13.5" thickTop="1">
      <c r="A44" s="3144" t="s">
        <v>15240</v>
      </c>
      <c r="B44" s="3119"/>
      <c r="C44" s="3119"/>
      <c r="D44" s="3119">
        <f t="shared" ref="D44:E44" si="51">D45+D46</f>
        <v>0.04</v>
      </c>
      <c r="E44" s="3119">
        <f t="shared" si="51"/>
        <v>0.115</v>
      </c>
      <c r="F44" s="3119">
        <f t="shared" ref="F44" si="52">F45+F46</f>
        <v>0</v>
      </c>
      <c r="G44" s="3314">
        <f>G45+G46</f>
        <v>0</v>
      </c>
      <c r="H44" s="3119">
        <f>(H4+H5+H6+H13)/1000</f>
        <v>1.9179999999999999</v>
      </c>
      <c r="I44" s="3119">
        <f t="shared" ref="I44:L44" si="53">(I4+I5+I6+I13)/1000</f>
        <v>1.9179999999999999</v>
      </c>
      <c r="J44" s="3119">
        <f t="shared" si="53"/>
        <v>1.9179999999999999</v>
      </c>
      <c r="K44" s="3119">
        <f t="shared" si="53"/>
        <v>1.9179999999999999</v>
      </c>
      <c r="L44" s="3145">
        <f t="shared" si="53"/>
        <v>1.9179999999999999</v>
      </c>
      <c r="M44" s="3317"/>
      <c r="N44" s="3387"/>
    </row>
    <row r="45" spans="1:14" s="3133" customFormat="1">
      <c r="A45" s="3112" t="s">
        <v>15242</v>
      </c>
      <c r="B45" s="3148"/>
      <c r="C45" s="3120"/>
      <c r="D45" s="3120"/>
      <c r="E45" s="3120"/>
      <c r="F45" s="3120"/>
      <c r="G45" s="3315"/>
      <c r="H45" s="3120"/>
      <c r="I45" s="3120"/>
      <c r="J45" s="3120"/>
      <c r="K45" s="3120"/>
      <c r="L45" s="3136"/>
      <c r="M45" s="3318"/>
      <c r="N45" s="3387"/>
    </row>
    <row r="46" spans="1:14" s="3133" customFormat="1">
      <c r="A46" s="3112" t="s">
        <v>15243</v>
      </c>
      <c r="B46" s="3120"/>
      <c r="C46" s="3120"/>
      <c r="D46" s="3120">
        <v>0.04</v>
      </c>
      <c r="E46" s="3120">
        <v>0.115</v>
      </c>
      <c r="F46" s="3120"/>
      <c r="G46" s="3315">
        <f t="shared" ref="G46" si="54">(G15+G16)/1000</f>
        <v>0</v>
      </c>
      <c r="H46" s="3120">
        <f>H44</f>
        <v>1.9179999999999999</v>
      </c>
      <c r="I46" s="3120">
        <v>0.11600000000000001</v>
      </c>
      <c r="J46" s="3120">
        <v>0.11600000000000001</v>
      </c>
      <c r="K46" s="3120">
        <v>0.11600000000000001</v>
      </c>
      <c r="L46" s="3136">
        <v>0.11600000000000001</v>
      </c>
      <c r="M46" s="3318"/>
      <c r="N46" s="3387"/>
    </row>
    <row r="47" spans="1:14" s="3069" customFormat="1">
      <c r="A47" s="3144" t="s">
        <v>15244</v>
      </c>
      <c r="B47" s="3119">
        <f>(B20+B24+B26+B22+B10)/1000</f>
        <v>104.01613999999999</v>
      </c>
      <c r="C47" s="3119">
        <v>94.191000000000003</v>
      </c>
      <c r="D47" s="3119">
        <f>D48+D49</f>
        <v>15.936</v>
      </c>
      <c r="E47" s="3119">
        <f>E20/1000</f>
        <v>18.212910000000001</v>
      </c>
      <c r="F47" s="3119">
        <f t="shared" ref="F47" si="55">F48+F49</f>
        <v>0</v>
      </c>
      <c r="G47" s="3314">
        <f>G20/1000</f>
        <v>0</v>
      </c>
      <c r="H47" s="3119">
        <f>(H10+H11+H20+H22+H24+H26)/1000</f>
        <v>123.024</v>
      </c>
      <c r="I47" s="3119">
        <f t="shared" ref="I47:L47" si="56">(I10+I11+I20+I22+I24+I26)/1000</f>
        <v>123.024</v>
      </c>
      <c r="J47" s="3119">
        <f t="shared" si="56"/>
        <v>123.024</v>
      </c>
      <c r="K47" s="3119">
        <f t="shared" si="56"/>
        <v>123.024</v>
      </c>
      <c r="L47" s="3145">
        <f t="shared" si="56"/>
        <v>123.024</v>
      </c>
      <c r="M47" s="3317"/>
      <c r="N47" s="3387"/>
    </row>
    <row r="48" spans="1:14" s="3133" customFormat="1">
      <c r="A48" s="3112" t="s">
        <v>15242</v>
      </c>
      <c r="B48" s="3120">
        <v>12.69769</v>
      </c>
      <c r="C48" s="3120">
        <v>28.257000000000001</v>
      </c>
      <c r="D48" s="3120">
        <v>4.7809999999999997</v>
      </c>
      <c r="E48" s="3120">
        <f>E47-E49</f>
        <v>6.2659100000000016</v>
      </c>
      <c r="F48" s="3120"/>
      <c r="G48" s="3315"/>
      <c r="H48" s="3126"/>
      <c r="I48" s="3126"/>
      <c r="J48" s="3126"/>
      <c r="K48" s="3126"/>
      <c r="L48" s="3312"/>
      <c r="M48" s="3318"/>
      <c r="N48" s="3387"/>
    </row>
    <row r="49" spans="1:14" s="3133" customFormat="1">
      <c r="A49" s="3112" t="s">
        <v>15243</v>
      </c>
      <c r="B49" s="3120">
        <v>91.318449999999999</v>
      </c>
      <c r="C49" s="3120">
        <v>65.933999999999997</v>
      </c>
      <c r="D49" s="3120">
        <v>11.154999999999999</v>
      </c>
      <c r="E49" s="3120">
        <v>11.946999999999999</v>
      </c>
      <c r="F49" s="3120"/>
      <c r="G49" s="3315"/>
      <c r="H49" s="3126"/>
      <c r="I49" s="3126"/>
      <c r="J49" s="3126"/>
      <c r="K49" s="3126"/>
      <c r="L49" s="3312"/>
      <c r="M49" s="3318"/>
      <c r="N49" s="3387"/>
    </row>
    <row r="50" spans="1:14" s="3069" customFormat="1">
      <c r="A50" s="3144" t="s">
        <v>15245</v>
      </c>
      <c r="B50" s="3119"/>
      <c r="C50" s="3119"/>
      <c r="D50" s="3119"/>
      <c r="E50" s="3119">
        <f>E51+E52</f>
        <v>0.13200000000000001</v>
      </c>
      <c r="F50" s="3119">
        <f t="shared" ref="F50" si="57">F51+F52</f>
        <v>0</v>
      </c>
      <c r="G50" s="3314">
        <f>G51+G52</f>
        <v>0</v>
      </c>
      <c r="H50" s="3119">
        <f>(H7+H8+H9+H14+H15+H16+H17+H18+H19)/1000</f>
        <v>6.5439999999999996</v>
      </c>
      <c r="I50" s="3119">
        <f t="shared" ref="I50:L50" si="58">(I7+I8+I9+I14+I15+I16+I17+I18+I19)/1000</f>
        <v>6.5439999999999996</v>
      </c>
      <c r="J50" s="3119">
        <f t="shared" si="58"/>
        <v>6.5439999999999996</v>
      </c>
      <c r="K50" s="3119">
        <f t="shared" si="58"/>
        <v>6.5439999999999996</v>
      </c>
      <c r="L50" s="3145">
        <f t="shared" si="58"/>
        <v>6.5439999999999996</v>
      </c>
      <c r="M50" s="3317"/>
      <c r="N50" s="3387"/>
    </row>
    <row r="51" spans="1:14" s="3133" customFormat="1">
      <c r="A51" s="3112" t="s">
        <v>15242</v>
      </c>
      <c r="B51" s="3120"/>
      <c r="C51" s="3120"/>
      <c r="D51" s="3120"/>
      <c r="E51" s="3120"/>
      <c r="F51" s="3120"/>
      <c r="G51" s="3315"/>
      <c r="H51" s="3120"/>
      <c r="I51" s="3120"/>
      <c r="J51" s="3120"/>
      <c r="K51" s="3120"/>
      <c r="L51" s="3136"/>
      <c r="M51" s="3318"/>
      <c r="N51" s="3387"/>
    </row>
    <row r="52" spans="1:14" s="3133" customFormat="1" ht="13.5" thickBot="1">
      <c r="A52" s="3113" t="s">
        <v>15243</v>
      </c>
      <c r="B52" s="3121"/>
      <c r="C52" s="3121"/>
      <c r="D52" s="3121"/>
      <c r="E52" s="3121">
        <v>0.13200000000000001</v>
      </c>
      <c r="F52" s="3121"/>
      <c r="G52" s="3324">
        <f>G18/1000</f>
        <v>0</v>
      </c>
      <c r="H52" s="3325">
        <f>H50</f>
        <v>6.5439999999999996</v>
      </c>
      <c r="I52" s="3121">
        <v>0.13300000000000001</v>
      </c>
      <c r="J52" s="3121">
        <v>0.13300000000000001</v>
      </c>
      <c r="K52" s="3121">
        <v>0.13300000000000001</v>
      </c>
      <c r="L52" s="3311">
        <v>0.13300000000000001</v>
      </c>
      <c r="M52" s="3318"/>
      <c r="N52" s="3387"/>
    </row>
    <row r="53" spans="1:14" s="3070" customFormat="1">
      <c r="A53" s="3081"/>
      <c r="B53" s="3150">
        <f>B27/1000-B32-B43</f>
        <v>0</v>
      </c>
      <c r="C53" s="3150">
        <f t="shared" ref="C53:L53" si="59">C27/1000-C32-C43</f>
        <v>0</v>
      </c>
      <c r="D53" s="3150">
        <f t="shared" si="59"/>
        <v>-1.4210854715202004E-14</v>
      </c>
      <c r="E53" s="3150">
        <f t="shared" si="59"/>
        <v>0</v>
      </c>
      <c r="F53" s="3150">
        <f t="shared" si="59"/>
        <v>87.174459999999996</v>
      </c>
      <c r="G53" s="3150">
        <f t="shared" si="59"/>
        <v>0</v>
      </c>
      <c r="H53" s="3150">
        <f t="shared" si="59"/>
        <v>0</v>
      </c>
      <c r="I53" s="3150">
        <f t="shared" si="59"/>
        <v>0</v>
      </c>
      <c r="J53" s="3150">
        <f t="shared" si="59"/>
        <v>0</v>
      </c>
      <c r="K53" s="3150">
        <f t="shared" si="59"/>
        <v>0</v>
      </c>
      <c r="L53" s="3155">
        <f t="shared" si="59"/>
        <v>0</v>
      </c>
      <c r="N53" s="3071"/>
    </row>
    <row r="54" spans="1:14" s="3070" customFormat="1" ht="13.5" thickBot="1">
      <c r="A54" s="3082" t="s">
        <v>0</v>
      </c>
      <c r="B54" s="3156"/>
      <c r="C54" s="3156"/>
      <c r="D54" s="3156"/>
      <c r="E54" s="3156"/>
      <c r="F54" s="3099"/>
      <c r="G54" s="3099"/>
      <c r="H54" s="3099"/>
      <c r="I54" s="3099"/>
      <c r="J54" s="3099"/>
      <c r="K54" s="3099"/>
      <c r="L54" s="3100"/>
      <c r="N54" s="3071"/>
    </row>
    <row r="55" spans="1:14" ht="39" thickBot="1">
      <c r="A55" s="3062" t="s">
        <v>583</v>
      </c>
      <c r="B55" s="3174" t="s">
        <v>15246</v>
      </c>
      <c r="C55" s="3174" t="s">
        <v>15247</v>
      </c>
      <c r="D55" s="3174" t="s">
        <v>15236</v>
      </c>
      <c r="E55" s="3174" t="s">
        <v>15237</v>
      </c>
      <c r="F55" s="3101" t="s">
        <v>15238</v>
      </c>
      <c r="G55" s="3101" t="s">
        <v>15239</v>
      </c>
      <c r="H55" s="3101" t="s">
        <v>264</v>
      </c>
      <c r="I55" s="3101" t="s">
        <v>265</v>
      </c>
      <c r="J55" s="3101" t="s">
        <v>266</v>
      </c>
      <c r="K55" s="3101" t="s">
        <v>267</v>
      </c>
      <c r="L55" s="3102" t="s">
        <v>268</v>
      </c>
      <c r="N55" s="3067"/>
    </row>
    <row r="56" spans="1:14" s="3075" customFormat="1">
      <c r="A56" s="3078" t="s">
        <v>15306</v>
      </c>
      <c r="B56" s="3083">
        <f t="shared" ref="B56:C56" si="60">SUM(B57:B63)</f>
        <v>77866.710000000006</v>
      </c>
      <c r="C56" s="3083">
        <f t="shared" si="60"/>
        <v>86407.23</v>
      </c>
      <c r="D56" s="3083">
        <f>SUM(D57:D63)</f>
        <v>95735.59</v>
      </c>
      <c r="E56" s="3083">
        <f>SUM(E57:E63)</f>
        <v>111676.29999999999</v>
      </c>
      <c r="F56" s="3083">
        <f t="shared" ref="F56:L56" si="61">SUM(F57:F63)</f>
        <v>78080.27</v>
      </c>
      <c r="G56" s="3083">
        <f t="shared" si="61"/>
        <v>0</v>
      </c>
      <c r="H56" s="3083">
        <f t="shared" si="61"/>
        <v>94704</v>
      </c>
      <c r="I56" s="3083">
        <f t="shared" si="61"/>
        <v>94704</v>
      </c>
      <c r="J56" s="3083">
        <f t="shared" si="61"/>
        <v>94704</v>
      </c>
      <c r="K56" s="3083">
        <f t="shared" si="61"/>
        <v>94704</v>
      </c>
      <c r="L56" s="3084">
        <f t="shared" si="61"/>
        <v>94704</v>
      </c>
      <c r="N56" s="3077"/>
    </row>
    <row r="57" spans="1:14" s="3070" customFormat="1" ht="25.5">
      <c r="A57" s="3307" t="s">
        <v>15311</v>
      </c>
      <c r="B57" s="3114">
        <v>635</v>
      </c>
      <c r="C57" s="3087">
        <v>445</v>
      </c>
      <c r="D57" s="3087">
        <f>[9]Лист2!$H$4</f>
        <v>653</v>
      </c>
      <c r="E57" s="3087">
        <v>1319</v>
      </c>
      <c r="F57" s="3087">
        <v>405</v>
      </c>
      <c r="G57" s="3087"/>
      <c r="H57" s="3087">
        <v>763</v>
      </c>
      <c r="I57" s="3087">
        <v>763</v>
      </c>
      <c r="J57" s="3087">
        <v>763</v>
      </c>
      <c r="K57" s="3087">
        <v>763</v>
      </c>
      <c r="L57" s="3090">
        <v>763</v>
      </c>
      <c r="N57" s="3139"/>
    </row>
    <row r="58" spans="1:14" s="3070" customFormat="1" ht="28.5" customHeight="1">
      <c r="A58" s="3307" t="s">
        <v>15312</v>
      </c>
      <c r="B58" s="3114">
        <v>132</v>
      </c>
      <c r="C58" s="3087">
        <v>51</v>
      </c>
      <c r="D58" s="3087"/>
      <c r="E58" s="3087"/>
      <c r="F58" s="3087"/>
      <c r="G58" s="3087"/>
      <c r="H58" s="3087">
        <v>0</v>
      </c>
      <c r="I58" s="3087">
        <v>0</v>
      </c>
      <c r="J58" s="3087">
        <v>0</v>
      </c>
      <c r="K58" s="3087">
        <v>0</v>
      </c>
      <c r="L58" s="3090">
        <v>0</v>
      </c>
      <c r="N58" s="3139"/>
    </row>
    <row r="59" spans="1:14">
      <c r="A59" s="3072" t="s">
        <v>15315</v>
      </c>
      <c r="B59" s="3114">
        <v>84</v>
      </c>
      <c r="C59" s="3087">
        <v>16</v>
      </c>
      <c r="D59" s="3087">
        <f>[9]Лист2!$H$8</f>
        <v>9</v>
      </c>
      <c r="E59" s="3087"/>
      <c r="F59" s="3085"/>
      <c r="G59" s="3085"/>
      <c r="H59" s="3085">
        <v>36</v>
      </c>
      <c r="I59" s="3085">
        <v>36</v>
      </c>
      <c r="J59" s="3085">
        <v>36</v>
      </c>
      <c r="K59" s="3085">
        <v>36</v>
      </c>
      <c r="L59" s="3086">
        <v>36</v>
      </c>
      <c r="N59" s="3067"/>
    </row>
    <row r="60" spans="1:14">
      <c r="A60" s="3073" t="s">
        <v>15316</v>
      </c>
      <c r="B60" s="3117">
        <v>512</v>
      </c>
      <c r="C60" s="3087">
        <v>344</v>
      </c>
      <c r="D60" s="3087">
        <f>[9]Лист2!$H$9</f>
        <v>30</v>
      </c>
      <c r="E60" s="3087"/>
      <c r="F60" s="3085"/>
      <c r="G60" s="3085"/>
      <c r="H60" s="3085">
        <v>295</v>
      </c>
      <c r="I60" s="3085">
        <v>295</v>
      </c>
      <c r="J60" s="3085">
        <v>295</v>
      </c>
      <c r="K60" s="3085">
        <v>295</v>
      </c>
      <c r="L60" s="3086">
        <v>295</v>
      </c>
      <c r="N60" s="3067"/>
    </row>
    <row r="61" spans="1:14">
      <c r="A61" s="3072" t="s">
        <v>15233</v>
      </c>
      <c r="B61" s="3114">
        <v>1999</v>
      </c>
      <c r="C61" s="3087">
        <v>1157</v>
      </c>
      <c r="D61" s="3087">
        <f>[9]Лист2!$H$6</f>
        <v>1414</v>
      </c>
      <c r="E61" s="3087">
        <v>2067</v>
      </c>
      <c r="F61" s="3085">
        <v>1402</v>
      </c>
      <c r="G61" s="3085"/>
      <c r="H61" s="3085">
        <v>1660</v>
      </c>
      <c r="I61" s="3085">
        <v>1660</v>
      </c>
      <c r="J61" s="3085">
        <v>1660</v>
      </c>
      <c r="K61" s="3085">
        <v>1660</v>
      </c>
      <c r="L61" s="3086">
        <v>1660</v>
      </c>
      <c r="N61" s="3067"/>
    </row>
    <row r="62" spans="1:14" s="3070" customFormat="1">
      <c r="A62" s="3307" t="s">
        <v>15234</v>
      </c>
      <c r="B62" s="3114">
        <v>74504.710000000006</v>
      </c>
      <c r="C62" s="3087">
        <v>84394.23</v>
      </c>
      <c r="D62" s="3087">
        <v>90055.360000000001</v>
      </c>
      <c r="E62" s="3087">
        <v>105164.54999999999</v>
      </c>
      <c r="F62" s="3087">
        <v>72818.06</v>
      </c>
      <c r="G62" s="3087"/>
      <c r="H62" s="3087">
        <v>88600</v>
      </c>
      <c r="I62" s="3087">
        <v>88600</v>
      </c>
      <c r="J62" s="3087">
        <v>88600</v>
      </c>
      <c r="K62" s="3087">
        <v>88600</v>
      </c>
      <c r="L62" s="3090">
        <v>88600</v>
      </c>
      <c r="N62" s="3139"/>
    </row>
    <row r="63" spans="1:14" s="3070" customFormat="1" ht="13.5" thickBot="1">
      <c r="A63" s="3308" t="s">
        <v>15235</v>
      </c>
      <c r="B63" s="3116"/>
      <c r="C63" s="3093"/>
      <c r="D63" s="3093">
        <v>3574.2300000000005</v>
      </c>
      <c r="E63" s="3093">
        <v>3125.75</v>
      </c>
      <c r="F63" s="3093">
        <v>3455.2099999999996</v>
      </c>
      <c r="G63" s="3093"/>
      <c r="H63" s="3093">
        <v>3350</v>
      </c>
      <c r="I63" s="3093">
        <v>3350</v>
      </c>
      <c r="J63" s="3093">
        <v>3350</v>
      </c>
      <c r="K63" s="3093">
        <v>3350</v>
      </c>
      <c r="L63" s="3094">
        <v>3350</v>
      </c>
      <c r="N63" s="3139"/>
    </row>
    <row r="64" spans="1:14" s="3075" customFormat="1">
      <c r="A64" s="3066" t="s">
        <v>15129</v>
      </c>
      <c r="B64" s="3088">
        <f>SUM(B65:B70)</f>
        <v>17529.879999999997</v>
      </c>
      <c r="C64" s="3088">
        <f t="shared" ref="C64:L64" si="62">SUM(C65:C70)</f>
        <v>17927.78</v>
      </c>
      <c r="D64" s="3088">
        <f t="shared" si="62"/>
        <v>17970.120000000003</v>
      </c>
      <c r="E64" s="3088">
        <f>SUM(E65:E70)</f>
        <v>16799.71</v>
      </c>
      <c r="F64" s="3088">
        <f t="shared" si="62"/>
        <v>0</v>
      </c>
      <c r="G64" s="3088">
        <f t="shared" si="62"/>
        <v>0</v>
      </c>
      <c r="H64" s="3088">
        <f t="shared" si="62"/>
        <v>17596</v>
      </c>
      <c r="I64" s="3088">
        <f t="shared" si="62"/>
        <v>17596</v>
      </c>
      <c r="J64" s="3088">
        <f t="shared" si="62"/>
        <v>17596</v>
      </c>
      <c r="K64" s="3088">
        <f t="shared" si="62"/>
        <v>17596</v>
      </c>
      <c r="L64" s="3089">
        <f t="shared" si="62"/>
        <v>17596</v>
      </c>
      <c r="N64" s="3077"/>
    </row>
    <row r="65" spans="1:14" s="3070" customFormat="1">
      <c r="A65" s="3307" t="s">
        <v>15317</v>
      </c>
      <c r="B65" s="3114">
        <v>85</v>
      </c>
      <c r="C65" s="3087">
        <v>90</v>
      </c>
      <c r="D65" s="3087">
        <v>125</v>
      </c>
      <c r="E65" s="3087">
        <v>97</v>
      </c>
      <c r="F65" s="3087"/>
      <c r="G65" s="3087"/>
      <c r="H65" s="3087">
        <v>99</v>
      </c>
      <c r="I65" s="3087">
        <v>99</v>
      </c>
      <c r="J65" s="3087">
        <v>99</v>
      </c>
      <c r="K65" s="3087">
        <v>99</v>
      </c>
      <c r="L65" s="3090">
        <v>99</v>
      </c>
      <c r="N65" s="3139"/>
    </row>
    <row r="66" spans="1:14">
      <c r="A66" s="3072" t="s">
        <v>15318</v>
      </c>
      <c r="B66" s="3114">
        <v>55</v>
      </c>
      <c r="C66" s="3087">
        <v>24</v>
      </c>
      <c r="D66" s="3087">
        <v>20</v>
      </c>
      <c r="E66" s="3087">
        <v>13</v>
      </c>
      <c r="F66" s="3085"/>
      <c r="G66" s="3085"/>
      <c r="H66" s="3085">
        <v>28</v>
      </c>
      <c r="I66" s="3085">
        <v>28</v>
      </c>
      <c r="J66" s="3085">
        <v>28</v>
      </c>
      <c r="K66" s="3085">
        <v>28</v>
      </c>
      <c r="L66" s="3086">
        <v>28</v>
      </c>
      <c r="N66" s="3067"/>
    </row>
    <row r="67" spans="1:14">
      <c r="A67" s="3072" t="s">
        <v>15321</v>
      </c>
      <c r="B67" s="3114"/>
      <c r="C67" s="3087">
        <v>208</v>
      </c>
      <c r="D67" s="3087">
        <v>131</v>
      </c>
      <c r="E67" s="3087">
        <v>154</v>
      </c>
      <c r="F67" s="3085"/>
      <c r="G67" s="3085"/>
      <c r="H67" s="3085">
        <v>164</v>
      </c>
      <c r="I67" s="3085">
        <v>164</v>
      </c>
      <c r="J67" s="3085">
        <v>164</v>
      </c>
      <c r="K67" s="3085">
        <v>164</v>
      </c>
      <c r="L67" s="3086">
        <v>164</v>
      </c>
      <c r="N67" s="3067"/>
    </row>
    <row r="68" spans="1:14">
      <c r="A68" s="3072" t="s">
        <v>15322</v>
      </c>
      <c r="B68" s="3114">
        <v>139</v>
      </c>
      <c r="C68" s="3087">
        <v>105</v>
      </c>
      <c r="D68" s="3087">
        <v>128</v>
      </c>
      <c r="E68" s="3087">
        <v>129</v>
      </c>
      <c r="F68" s="3085"/>
      <c r="G68" s="3085"/>
      <c r="H68" s="3087">
        <v>125</v>
      </c>
      <c r="I68" s="3087">
        <v>125</v>
      </c>
      <c r="J68" s="3087">
        <v>125</v>
      </c>
      <c r="K68" s="3087">
        <v>125</v>
      </c>
      <c r="L68" s="3090">
        <v>125</v>
      </c>
      <c r="N68" s="3067"/>
    </row>
    <row r="69" spans="1:14">
      <c r="A69" s="3072" t="s">
        <v>15323</v>
      </c>
      <c r="B69" s="3114">
        <v>1273</v>
      </c>
      <c r="C69" s="3087">
        <v>1202</v>
      </c>
      <c r="D69" s="3087">
        <v>1198</v>
      </c>
      <c r="E69" s="3087">
        <v>1330</v>
      </c>
      <c r="F69" s="3085"/>
      <c r="G69" s="3085"/>
      <c r="H69" s="3085">
        <v>1250</v>
      </c>
      <c r="I69" s="3085">
        <v>1250</v>
      </c>
      <c r="J69" s="3085">
        <v>1250</v>
      </c>
      <c r="K69" s="3085">
        <v>1250</v>
      </c>
      <c r="L69" s="3086">
        <v>1250</v>
      </c>
      <c r="N69" s="3067"/>
    </row>
    <row r="70" spans="1:14" s="3070" customFormat="1" ht="13.5" thickBot="1">
      <c r="A70" s="3310" t="s">
        <v>15244</v>
      </c>
      <c r="B70" s="3115">
        <v>15977.88</v>
      </c>
      <c r="C70" s="3091">
        <v>16298.78</v>
      </c>
      <c r="D70" s="3091">
        <v>16368.12</v>
      </c>
      <c r="E70" s="3091">
        <v>15076.71</v>
      </c>
      <c r="F70" s="3091"/>
      <c r="G70" s="3091"/>
      <c r="H70" s="3091">
        <v>15930</v>
      </c>
      <c r="I70" s="3091">
        <v>15930</v>
      </c>
      <c r="J70" s="3091">
        <v>15930</v>
      </c>
      <c r="K70" s="3091">
        <v>15930</v>
      </c>
      <c r="L70" s="3092">
        <v>15930</v>
      </c>
      <c r="N70" s="3139"/>
    </row>
    <row r="71" spans="1:14" s="3075" customFormat="1">
      <c r="A71" s="3066" t="s">
        <v>15248</v>
      </c>
      <c r="B71" s="3088">
        <f>SUM(B72)</f>
        <v>784</v>
      </c>
      <c r="C71" s="3088">
        <f t="shared" ref="C71:L71" si="63">SUM(C72)</f>
        <v>759</v>
      </c>
      <c r="D71" s="3088">
        <f t="shared" si="63"/>
        <v>771</v>
      </c>
      <c r="E71" s="3088">
        <f>SUM(E72)</f>
        <v>713</v>
      </c>
      <c r="F71" s="3088">
        <f t="shared" si="63"/>
        <v>0</v>
      </c>
      <c r="G71" s="3088">
        <f t="shared" si="63"/>
        <v>0</v>
      </c>
      <c r="H71" s="3088">
        <f t="shared" si="63"/>
        <v>756</v>
      </c>
      <c r="I71" s="3088">
        <f t="shared" si="63"/>
        <v>756</v>
      </c>
      <c r="J71" s="3088">
        <f t="shared" si="63"/>
        <v>756</v>
      </c>
      <c r="K71" s="3088">
        <f t="shared" si="63"/>
        <v>756</v>
      </c>
      <c r="L71" s="3089">
        <f t="shared" si="63"/>
        <v>756</v>
      </c>
      <c r="N71" s="3077"/>
    </row>
    <row r="72" spans="1:14" s="3070" customFormat="1" ht="13.5" thickBot="1">
      <c r="A72" s="3308" t="s">
        <v>15241</v>
      </c>
      <c r="B72" s="3116">
        <v>784</v>
      </c>
      <c r="C72" s="3093">
        <v>759</v>
      </c>
      <c r="D72" s="3093">
        <v>771</v>
      </c>
      <c r="E72" s="3093">
        <v>713</v>
      </c>
      <c r="F72" s="3093"/>
      <c r="G72" s="3093"/>
      <c r="H72" s="3093">
        <v>756</v>
      </c>
      <c r="I72" s="3093">
        <v>756</v>
      </c>
      <c r="J72" s="3093">
        <v>756</v>
      </c>
      <c r="K72" s="3093">
        <v>756</v>
      </c>
      <c r="L72" s="3094">
        <v>756</v>
      </c>
      <c r="N72" s="3139"/>
    </row>
    <row r="73" spans="1:14" s="3075" customFormat="1">
      <c r="A73" s="3066" t="s">
        <v>16</v>
      </c>
      <c r="B73" s="3088">
        <f t="shared" ref="B73:L73" si="64">SUM(B56,B64,B71)</f>
        <v>96180.59</v>
      </c>
      <c r="C73" s="3088">
        <f t="shared" si="64"/>
        <v>105094.01</v>
      </c>
      <c r="D73" s="3088">
        <f t="shared" si="64"/>
        <v>114476.70999999999</v>
      </c>
      <c r="E73" s="3088">
        <f t="shared" si="64"/>
        <v>129189.00999999998</v>
      </c>
      <c r="F73" s="3088">
        <f t="shared" si="64"/>
        <v>78080.27</v>
      </c>
      <c r="G73" s="3088">
        <f t="shared" si="64"/>
        <v>0</v>
      </c>
      <c r="H73" s="3088">
        <f t="shared" si="64"/>
        <v>113056</v>
      </c>
      <c r="I73" s="3088">
        <f t="shared" si="64"/>
        <v>113056</v>
      </c>
      <c r="J73" s="3088">
        <f t="shared" si="64"/>
        <v>113056</v>
      </c>
      <c r="K73" s="3088">
        <f t="shared" si="64"/>
        <v>113056</v>
      </c>
      <c r="L73" s="3089">
        <f t="shared" si="64"/>
        <v>113056</v>
      </c>
      <c r="N73" s="3077"/>
    </row>
    <row r="74" spans="1:14" s="3070" customFormat="1">
      <c r="A74" s="3137" t="s">
        <v>15253</v>
      </c>
      <c r="B74" s="3138">
        <f>B57+B58+B61+B65</f>
        <v>2851</v>
      </c>
      <c r="C74" s="3138">
        <f>C57+C58+C61+C65</f>
        <v>1743</v>
      </c>
      <c r="D74" s="3138">
        <f>D57+D58+D61+D65</f>
        <v>2192</v>
      </c>
      <c r="E74" s="3138">
        <f>E57+E58+E61+E65</f>
        <v>3483</v>
      </c>
      <c r="F74" s="3138">
        <f t="shared" ref="F74:G74" si="65">F57+F58+F61</f>
        <v>1807</v>
      </c>
      <c r="G74" s="3138">
        <f t="shared" si="65"/>
        <v>0</v>
      </c>
      <c r="H74" s="3138">
        <f>H57+H58+H61+H65</f>
        <v>2522</v>
      </c>
      <c r="I74" s="3138">
        <f>I57+I58+I61+I65</f>
        <v>2522</v>
      </c>
      <c r="J74" s="3138">
        <f>J57+J58+J61+J65</f>
        <v>2522</v>
      </c>
      <c r="K74" s="3138">
        <f>K57+K58+K61+K65</f>
        <v>2522</v>
      </c>
      <c r="L74" s="3157">
        <f>L57+L58+L61+L65</f>
        <v>2522</v>
      </c>
      <c r="N74" s="3139"/>
    </row>
    <row r="75" spans="1:14" s="3070" customFormat="1">
      <c r="A75" s="3137" t="s">
        <v>15251</v>
      </c>
      <c r="B75" s="3138">
        <f>B62+B63+B70+B72</f>
        <v>91266.590000000011</v>
      </c>
      <c r="C75" s="3138">
        <f>C62+C63+C70+C72</f>
        <v>101452.01</v>
      </c>
      <c r="D75" s="3138">
        <f>D62+D63+D70+D72</f>
        <v>110768.70999999999</v>
      </c>
      <c r="E75" s="3138">
        <f>E62+E63+E70+E72</f>
        <v>124080.00999999998</v>
      </c>
      <c r="F75" s="3138">
        <f t="shared" ref="F75:L75" si="66">F62+F70+F72</f>
        <v>72818.06</v>
      </c>
      <c r="G75" s="3138">
        <f t="shared" si="66"/>
        <v>0</v>
      </c>
      <c r="H75" s="3138">
        <f>H62+H63+H70+H72</f>
        <v>108636</v>
      </c>
      <c r="I75" s="3138">
        <f>I62+I63+I70+I72</f>
        <v>108636</v>
      </c>
      <c r="J75" s="3138">
        <f>J62+J63+J70+J72</f>
        <v>108636</v>
      </c>
      <c r="K75" s="3138">
        <f>K62+K63+K70+K72</f>
        <v>108636</v>
      </c>
      <c r="L75" s="3157">
        <f t="shared" si="66"/>
        <v>105286</v>
      </c>
      <c r="N75" s="3139"/>
    </row>
    <row r="76" spans="1:14" s="3070" customFormat="1" ht="13.5" thickBot="1">
      <c r="A76" s="3140" t="s">
        <v>15252</v>
      </c>
      <c r="B76" s="3141">
        <f>B73-B74-B75</f>
        <v>2062.9999999999854</v>
      </c>
      <c r="C76" s="3141">
        <f t="shared" ref="C76:L76" si="67">C73-C74-C75</f>
        <v>1899</v>
      </c>
      <c r="D76" s="3141">
        <f t="shared" si="67"/>
        <v>1516</v>
      </c>
      <c r="E76" s="3141">
        <f t="shared" si="67"/>
        <v>1626</v>
      </c>
      <c r="F76" s="3141">
        <f t="shared" si="67"/>
        <v>3455.2100000000064</v>
      </c>
      <c r="G76" s="3141">
        <f t="shared" si="67"/>
        <v>0</v>
      </c>
      <c r="H76" s="3141">
        <f t="shared" si="67"/>
        <v>1898</v>
      </c>
      <c r="I76" s="3141">
        <f t="shared" si="67"/>
        <v>1898</v>
      </c>
      <c r="J76" s="3141">
        <f t="shared" si="67"/>
        <v>1898</v>
      </c>
      <c r="K76" s="3141">
        <f t="shared" si="67"/>
        <v>1898</v>
      </c>
      <c r="L76" s="3154">
        <f t="shared" si="67"/>
        <v>5248</v>
      </c>
      <c r="N76" s="3139"/>
    </row>
    <row r="77" spans="1:14">
      <c r="A77" s="3079"/>
      <c r="B77" s="3118"/>
      <c r="C77" s="3103"/>
      <c r="D77" s="3103"/>
      <c r="E77" s="3103"/>
      <c r="F77" s="3103"/>
      <c r="G77" s="3103"/>
      <c r="H77" s="3103"/>
      <c r="I77" s="3103"/>
      <c r="J77" s="3103"/>
      <c r="K77" s="3103"/>
      <c r="L77" s="3104"/>
      <c r="N77" s="3067"/>
    </row>
    <row r="78" spans="1:14" s="3125" customFormat="1">
      <c r="A78" s="3080" t="s">
        <v>15260</v>
      </c>
      <c r="B78" s="3095">
        <f t="shared" ref="B78:E79" si="68">B73/1000-B89</f>
        <v>4.9139999999999873</v>
      </c>
      <c r="C78" s="3095">
        <f t="shared" si="68"/>
        <v>5.863119999999995</v>
      </c>
      <c r="D78" s="3095">
        <f t="shared" si="68"/>
        <v>98.085709999999992</v>
      </c>
      <c r="E78" s="3095">
        <f t="shared" si="68"/>
        <v>113.88329999999996</v>
      </c>
      <c r="F78" s="3095"/>
      <c r="G78" s="3095"/>
      <c r="H78" s="3119"/>
      <c r="I78" s="3119"/>
      <c r="J78" s="3119"/>
      <c r="K78" s="3119"/>
      <c r="L78" s="3145"/>
      <c r="N78" s="3077"/>
    </row>
    <row r="79" spans="1:14" s="141" customFormat="1">
      <c r="A79" s="3110" t="s">
        <v>15240</v>
      </c>
      <c r="B79" s="3119">
        <f t="shared" si="68"/>
        <v>2.851</v>
      </c>
      <c r="C79" s="3119">
        <f t="shared" si="68"/>
        <v>1.7430000000000001</v>
      </c>
      <c r="D79" s="3119">
        <f>D74/1000-D90</f>
        <v>2.1920000000000002</v>
      </c>
      <c r="E79" s="3119">
        <f>E74/1000-E90</f>
        <v>3.3860000000000001</v>
      </c>
      <c r="F79" s="3111"/>
      <c r="G79" s="3111"/>
      <c r="H79" s="3119"/>
      <c r="I79" s="3119"/>
      <c r="J79" s="3119"/>
      <c r="K79" s="3119"/>
      <c r="L79" s="3145"/>
      <c r="N79" s="3067"/>
    </row>
    <row r="80" spans="1:14" s="3133" customFormat="1">
      <c r="A80" s="3112" t="s">
        <v>15242</v>
      </c>
      <c r="B80" s="3120"/>
      <c r="C80" s="3120"/>
      <c r="D80" s="3120"/>
      <c r="E80" s="3120"/>
      <c r="F80" s="3120"/>
      <c r="G80" s="3120"/>
      <c r="H80" s="3120"/>
      <c r="I80" s="3120"/>
      <c r="J80" s="3120"/>
      <c r="K80" s="3120"/>
      <c r="L80" s="3136"/>
      <c r="N80" s="3134"/>
    </row>
    <row r="81" spans="1:14" s="3133" customFormat="1">
      <c r="A81" s="3112" t="s">
        <v>15243</v>
      </c>
      <c r="B81" s="3120"/>
      <c r="C81" s="3120"/>
      <c r="D81" s="3120"/>
      <c r="E81" s="3120"/>
      <c r="F81" s="3120"/>
      <c r="G81" s="3120"/>
      <c r="H81" s="3120"/>
      <c r="I81" s="3120"/>
      <c r="J81" s="3120"/>
      <c r="K81" s="3120"/>
      <c r="L81" s="3136"/>
      <c r="N81" s="3135"/>
    </row>
    <row r="82" spans="1:14" s="141" customFormat="1">
      <c r="A82" s="3110" t="s">
        <v>15244</v>
      </c>
      <c r="B82" s="3119">
        <f t="shared" ref="B82:E82" si="69">B75/1000-B93</f>
        <v>0</v>
      </c>
      <c r="C82" s="3119">
        <f t="shared" si="69"/>
        <v>2.24512</v>
      </c>
      <c r="D82" s="3119">
        <f t="shared" si="69"/>
        <v>94.377709999999993</v>
      </c>
      <c r="E82" s="3119">
        <f t="shared" si="69"/>
        <v>109.0033</v>
      </c>
      <c r="F82" s="3111"/>
      <c r="G82" s="3111"/>
      <c r="H82" s="3119"/>
      <c r="I82" s="3119"/>
      <c r="J82" s="3119"/>
      <c r="K82" s="3119"/>
      <c r="L82" s="3145"/>
      <c r="N82" s="3067"/>
    </row>
    <row r="83" spans="1:14" s="3133" customFormat="1">
      <c r="A83" s="3112" t="s">
        <v>15242</v>
      </c>
      <c r="B83" s="3120"/>
      <c r="C83" s="3120"/>
      <c r="D83" s="3120"/>
      <c r="E83" s="3120"/>
      <c r="F83" s="3120"/>
      <c r="G83" s="3120"/>
      <c r="H83" s="3120"/>
      <c r="I83" s="3120"/>
      <c r="J83" s="3120"/>
      <c r="K83" s="3120"/>
      <c r="L83" s="3136"/>
      <c r="N83" s="3134"/>
    </row>
    <row r="84" spans="1:14" s="3133" customFormat="1">
      <c r="A84" s="3112" t="s">
        <v>15243</v>
      </c>
      <c r="B84" s="3120"/>
      <c r="C84" s="3120"/>
      <c r="D84" s="3120"/>
      <c r="E84" s="3120"/>
      <c r="F84" s="3120"/>
      <c r="G84" s="3120"/>
      <c r="H84" s="3120"/>
      <c r="I84" s="3120"/>
      <c r="J84" s="3120"/>
      <c r="K84" s="3120"/>
      <c r="L84" s="3136"/>
      <c r="N84" s="3134"/>
    </row>
    <row r="85" spans="1:14" s="141" customFormat="1">
      <c r="A85" s="3110" t="s">
        <v>15245</v>
      </c>
      <c r="B85" s="3119">
        <f t="shared" ref="B85:E85" si="70">B76/1000-B96</f>
        <v>2.0629999999999855</v>
      </c>
      <c r="C85" s="3119">
        <f t="shared" si="70"/>
        <v>1.875</v>
      </c>
      <c r="D85" s="3119">
        <f>D76/1000-D96</f>
        <v>1.516</v>
      </c>
      <c r="E85" s="3119">
        <f t="shared" si="70"/>
        <v>1.4939999999999998</v>
      </c>
      <c r="F85" s="3111"/>
      <c r="G85" s="3111"/>
      <c r="H85" s="3119"/>
      <c r="I85" s="3119"/>
      <c r="J85" s="3119"/>
      <c r="K85" s="3119"/>
      <c r="L85" s="3145"/>
      <c r="N85" s="3067"/>
    </row>
    <row r="86" spans="1:14" s="3124" customFormat="1">
      <c r="A86" s="3122" t="s">
        <v>15242</v>
      </c>
      <c r="B86" s="3123"/>
      <c r="C86" s="3123"/>
      <c r="D86" s="3123"/>
      <c r="E86" s="3123"/>
      <c r="F86" s="3123"/>
      <c r="G86" s="3123"/>
      <c r="H86" s="3120"/>
      <c r="I86" s="3120"/>
      <c r="J86" s="3120"/>
      <c r="K86" s="3120"/>
      <c r="L86" s="3136"/>
    </row>
    <row r="87" spans="1:14" s="3124" customFormat="1">
      <c r="A87" s="3122" t="s">
        <v>15243</v>
      </c>
      <c r="B87" s="3123"/>
      <c r="C87" s="3123"/>
      <c r="D87" s="3123"/>
      <c r="E87" s="3123"/>
      <c r="F87" s="3123"/>
      <c r="G87" s="3123"/>
      <c r="H87" s="3120"/>
      <c r="I87" s="3120"/>
      <c r="J87" s="3120"/>
      <c r="K87" s="3120"/>
      <c r="L87" s="3136"/>
    </row>
    <row r="88" spans="1:14" ht="13.5" thickBot="1">
      <c r="A88" s="3068"/>
      <c r="B88" s="3087"/>
      <c r="C88" s="3087"/>
      <c r="D88" s="3087"/>
      <c r="E88" s="3087"/>
      <c r="F88" s="3085"/>
      <c r="G88" s="3085"/>
      <c r="H88" s="3096"/>
      <c r="I88" s="3096"/>
      <c r="J88" s="3096"/>
      <c r="K88" s="3096"/>
      <c r="L88" s="3097"/>
    </row>
    <row r="89" spans="1:14" s="3075" customFormat="1" ht="14.25" thickTop="1" thickBot="1">
      <c r="A89" s="3329" t="s">
        <v>15262</v>
      </c>
      <c r="B89" s="3151">
        <f t="shared" ref="B89:E89" si="71">B90+B93+B96</f>
        <v>91.266590000000008</v>
      </c>
      <c r="C89" s="3151">
        <f t="shared" si="71"/>
        <v>99.230890000000002</v>
      </c>
      <c r="D89" s="3151">
        <f>D90+D93+D96</f>
        <v>16.391000000000002</v>
      </c>
      <c r="E89" s="3151">
        <f t="shared" si="71"/>
        <v>15.305709999999998</v>
      </c>
      <c r="F89" s="3095"/>
      <c r="G89" s="3095"/>
      <c r="H89" s="3095">
        <f>SUM(H90,H93,H96)</f>
        <v>113.05599999999998</v>
      </c>
      <c r="I89" s="3095">
        <f t="shared" ref="I89" si="72">SUM(I90,I93,I96)</f>
        <v>113.05599999999998</v>
      </c>
      <c r="J89" s="3095">
        <f t="shared" ref="J89" si="73">SUM(J90,J93,J96)</f>
        <v>113.05599999999998</v>
      </c>
      <c r="K89" s="3095">
        <f t="shared" ref="K89" si="74">SUM(K90,K93,K96)</f>
        <v>113.05599999999998</v>
      </c>
      <c r="L89" s="3098">
        <f t="shared" ref="L89" si="75">SUM(L90,L93,L96)</f>
        <v>113.05599999999998</v>
      </c>
    </row>
    <row r="90" spans="1:14" s="141" customFormat="1" ht="13.5" thickTop="1">
      <c r="A90" s="3110" t="s">
        <v>15240</v>
      </c>
      <c r="B90" s="3119"/>
      <c r="C90" s="3119"/>
      <c r="D90" s="3119"/>
      <c r="E90" s="3119">
        <f t="shared" ref="E90" si="76">E91+E92</f>
        <v>9.7000000000000003E-2</v>
      </c>
      <c r="F90" s="3111">
        <f t="shared" ref="F90:G90" si="77">F91+F92</f>
        <v>0</v>
      </c>
      <c r="G90" s="3111">
        <f t="shared" si="77"/>
        <v>0</v>
      </c>
      <c r="H90" s="3119">
        <f>(H57+H58+H65)/1000</f>
        <v>0.86199999999999999</v>
      </c>
      <c r="I90" s="3119">
        <f t="shared" ref="I90:L90" si="78">(I57+I58+I65)/1000</f>
        <v>0.86199999999999999</v>
      </c>
      <c r="J90" s="3119">
        <f t="shared" si="78"/>
        <v>0.86199999999999999</v>
      </c>
      <c r="K90" s="3119">
        <f t="shared" si="78"/>
        <v>0.86199999999999999</v>
      </c>
      <c r="L90" s="3145">
        <f t="shared" si="78"/>
        <v>0.86199999999999999</v>
      </c>
    </row>
    <row r="91" spans="1:14" s="3133" customFormat="1">
      <c r="A91" s="3112" t="s">
        <v>15242</v>
      </c>
      <c r="B91" s="3120"/>
      <c r="C91" s="3120"/>
      <c r="D91" s="3120"/>
      <c r="E91" s="3120">
        <f>E65/1000</f>
        <v>9.7000000000000003E-2</v>
      </c>
      <c r="F91" s="3120">
        <f t="shared" ref="F91:G91" si="79">F65/1000</f>
        <v>0</v>
      </c>
      <c r="G91" s="3120">
        <f t="shared" si="79"/>
        <v>0</v>
      </c>
      <c r="H91" s="3120"/>
      <c r="I91" s="3120"/>
      <c r="J91" s="3120"/>
      <c r="K91" s="3120"/>
      <c r="L91" s="3136"/>
    </row>
    <row r="92" spans="1:14" s="3133" customFormat="1">
      <c r="A92" s="3112" t="s">
        <v>15243</v>
      </c>
      <c r="B92" s="3120"/>
      <c r="C92" s="3120"/>
      <c r="D92" s="3120"/>
      <c r="E92" s="3120"/>
      <c r="F92" s="3120"/>
      <c r="G92" s="3120"/>
      <c r="H92" s="3120">
        <f>H90</f>
        <v>0.86199999999999999</v>
      </c>
      <c r="I92" s="3120">
        <f t="shared" ref="I92:L92" si="80">I90</f>
        <v>0.86199999999999999</v>
      </c>
      <c r="J92" s="3120">
        <f t="shared" si="80"/>
        <v>0.86199999999999999</v>
      </c>
      <c r="K92" s="3120">
        <f t="shared" si="80"/>
        <v>0.86199999999999999</v>
      </c>
      <c r="L92" s="3136">
        <f t="shared" si="80"/>
        <v>0.86199999999999999</v>
      </c>
    </row>
    <row r="93" spans="1:14" s="141" customFormat="1">
      <c r="A93" s="3110" t="s">
        <v>15241</v>
      </c>
      <c r="B93" s="3119">
        <f>(B62+B70+B72)/1000</f>
        <v>91.266590000000008</v>
      </c>
      <c r="C93" s="3119">
        <f>C94+C95</f>
        <v>99.206890000000001</v>
      </c>
      <c r="D93" s="3119">
        <f>D94+D95</f>
        <v>16.391000000000002</v>
      </c>
      <c r="E93" s="3119">
        <f>E70/1000</f>
        <v>15.076709999999999</v>
      </c>
      <c r="F93" s="3111"/>
      <c r="G93" s="3111"/>
      <c r="H93" s="3119">
        <f>(H62+H63+H70+H72)/1000</f>
        <v>108.636</v>
      </c>
      <c r="I93" s="3119">
        <f t="shared" ref="I93:L93" si="81">(I62+I63+I70+I72)/1000</f>
        <v>108.636</v>
      </c>
      <c r="J93" s="3119">
        <f t="shared" si="81"/>
        <v>108.636</v>
      </c>
      <c r="K93" s="3119">
        <f t="shared" si="81"/>
        <v>108.636</v>
      </c>
      <c r="L93" s="3145">
        <f t="shared" si="81"/>
        <v>108.636</v>
      </c>
    </row>
    <row r="94" spans="1:14" s="3133" customFormat="1">
      <c r="A94" s="3112" t="s">
        <v>15242</v>
      </c>
      <c r="B94" s="3120">
        <f>B93-B95</f>
        <v>9.7005900000000054</v>
      </c>
      <c r="C94" s="3120">
        <v>9.6318900000000003</v>
      </c>
      <c r="D94" s="3120">
        <v>12.457000000000001</v>
      </c>
      <c r="E94" s="3120">
        <v>9.89</v>
      </c>
      <c r="F94" s="3120"/>
      <c r="G94" s="3120"/>
      <c r="H94" s="3126"/>
      <c r="I94" s="3126"/>
      <c r="J94" s="3126"/>
      <c r="K94" s="3126"/>
      <c r="L94" s="3312"/>
    </row>
    <row r="95" spans="1:14" s="3133" customFormat="1">
      <c r="A95" s="3112" t="s">
        <v>15243</v>
      </c>
      <c r="B95" s="3120">
        <v>81.566000000000003</v>
      </c>
      <c r="C95" s="3120">
        <v>89.575000000000003</v>
      </c>
      <c r="D95" s="3120">
        <v>3.9340000000000002</v>
      </c>
      <c r="E95" s="3120">
        <f>E93-E94</f>
        <v>5.1867099999999979</v>
      </c>
      <c r="F95" s="3120"/>
      <c r="G95" s="3120"/>
      <c r="H95" s="3126"/>
      <c r="I95" s="3126"/>
      <c r="J95" s="3126"/>
      <c r="K95" s="3126"/>
      <c r="L95" s="3312"/>
    </row>
    <row r="96" spans="1:14" s="141" customFormat="1">
      <c r="A96" s="3110" t="s">
        <v>1813</v>
      </c>
      <c r="B96" s="3119"/>
      <c r="C96" s="3119">
        <f>C97+C98</f>
        <v>2.4E-2</v>
      </c>
      <c r="D96" s="3119"/>
      <c r="E96" s="3119">
        <f>E97+E98</f>
        <v>0.13200000000000001</v>
      </c>
      <c r="F96" s="3111">
        <f t="shared" ref="F96:G96" si="82">(F68)/1000</f>
        <v>0</v>
      </c>
      <c r="G96" s="3111">
        <f t="shared" si="82"/>
        <v>0</v>
      </c>
      <c r="H96" s="3119">
        <f>(H59+H60+H61+H66+H67+H68+H69)/1000</f>
        <v>3.5579999999999998</v>
      </c>
      <c r="I96" s="3119">
        <f t="shared" ref="I96:L96" si="83">(I59+I60+I61+I66+I67+I68+I69)/1000</f>
        <v>3.5579999999999998</v>
      </c>
      <c r="J96" s="3119">
        <f t="shared" si="83"/>
        <v>3.5579999999999998</v>
      </c>
      <c r="K96" s="3119">
        <f t="shared" si="83"/>
        <v>3.5579999999999998</v>
      </c>
      <c r="L96" s="3145">
        <f t="shared" si="83"/>
        <v>3.5579999999999998</v>
      </c>
    </row>
    <row r="97" spans="1:13" s="3133" customFormat="1" ht="15.75" customHeight="1">
      <c r="A97" s="3112" t="s">
        <v>15242</v>
      </c>
      <c r="B97" s="3120"/>
      <c r="C97" s="3120"/>
      <c r="D97" s="3120"/>
      <c r="E97" s="3120"/>
      <c r="F97" s="3120"/>
      <c r="G97" s="3120"/>
      <c r="H97" s="3120"/>
      <c r="I97" s="3120"/>
      <c r="J97" s="3120"/>
      <c r="K97" s="3120"/>
      <c r="L97" s="3136"/>
    </row>
    <row r="98" spans="1:13" s="3133" customFormat="1" ht="13.5" thickBot="1">
      <c r="A98" s="3113" t="s">
        <v>15243</v>
      </c>
      <c r="B98" s="3121"/>
      <c r="C98" s="3121">
        <f>C66/1000</f>
        <v>2.4E-2</v>
      </c>
      <c r="D98" s="3121"/>
      <c r="E98" s="3121">
        <v>0.13200000000000001</v>
      </c>
      <c r="F98" s="3121"/>
      <c r="G98" s="3121"/>
      <c r="H98" s="3121">
        <f>H96</f>
        <v>3.5579999999999998</v>
      </c>
      <c r="I98" s="3121">
        <f t="shared" ref="I98:L98" si="84">I96</f>
        <v>3.5579999999999998</v>
      </c>
      <c r="J98" s="3121">
        <f t="shared" si="84"/>
        <v>3.5579999999999998</v>
      </c>
      <c r="K98" s="3121">
        <f t="shared" si="84"/>
        <v>3.5579999999999998</v>
      </c>
      <c r="L98" s="3311">
        <f t="shared" si="84"/>
        <v>3.5579999999999998</v>
      </c>
    </row>
    <row r="99" spans="1:13" s="3158" customFormat="1">
      <c r="B99" s="3159">
        <f>B73/1000-B78-B89</f>
        <v>0</v>
      </c>
      <c r="C99" s="3159">
        <f t="shared" ref="C99:L99" si="85">C73/1000-C78-C89</f>
        <v>0</v>
      </c>
      <c r="D99" s="3159">
        <f t="shared" si="85"/>
        <v>0</v>
      </c>
      <c r="E99" s="3159">
        <f t="shared" si="85"/>
        <v>0</v>
      </c>
      <c r="F99" s="3159">
        <f t="shared" si="85"/>
        <v>78.080269999999999</v>
      </c>
      <c r="G99" s="3159">
        <f t="shared" si="85"/>
        <v>0</v>
      </c>
      <c r="H99" s="3159">
        <f t="shared" si="85"/>
        <v>0</v>
      </c>
      <c r="I99" s="3159">
        <f t="shared" si="85"/>
        <v>0</v>
      </c>
      <c r="J99" s="3159">
        <f t="shared" si="85"/>
        <v>0</v>
      </c>
      <c r="K99" s="3159">
        <f t="shared" si="85"/>
        <v>0</v>
      </c>
      <c r="L99" s="3159">
        <f t="shared" si="85"/>
        <v>0</v>
      </c>
    </row>
    <row r="101" spans="1:13">
      <c r="D101" s="3160"/>
    </row>
    <row r="102" spans="1:13" hidden="1" outlineLevel="1">
      <c r="A102" s="3127" t="s">
        <v>15255</v>
      </c>
      <c r="B102" s="3127">
        <v>2019</v>
      </c>
      <c r="C102" s="3127">
        <v>2020</v>
      </c>
      <c r="D102" s="3127">
        <v>2021</v>
      </c>
      <c r="E102" s="3127">
        <v>2022</v>
      </c>
      <c r="F102" s="3127"/>
      <c r="G102" s="3127"/>
      <c r="H102" s="3127">
        <v>2024</v>
      </c>
      <c r="I102" s="3127">
        <v>2026</v>
      </c>
      <c r="J102" s="3127">
        <v>2027</v>
      </c>
      <c r="K102" s="3127">
        <v>2028</v>
      </c>
      <c r="L102" s="3127">
        <v>2028</v>
      </c>
    </row>
    <row r="103" spans="1:13" hidden="1" outlineLevel="1">
      <c r="A103" s="3128" t="s">
        <v>17</v>
      </c>
      <c r="B103" s="3129"/>
      <c r="C103" s="3129"/>
      <c r="D103" s="3129"/>
      <c r="E103" s="3129"/>
      <c r="F103" s="3129"/>
      <c r="G103" s="3129"/>
      <c r="H103" s="3129"/>
      <c r="I103" s="3129"/>
      <c r="J103" s="3129"/>
      <c r="K103" s="3129"/>
      <c r="L103" s="3129"/>
    </row>
    <row r="104" spans="1:13" hidden="1" outlineLevel="1">
      <c r="A104" s="3171" t="s">
        <v>15254</v>
      </c>
      <c r="B104" s="3166">
        <v>91.266000000000005</v>
      </c>
      <c r="C104" s="3129">
        <v>99.230999999999995</v>
      </c>
      <c r="D104" s="3129">
        <v>16.390999999999998</v>
      </c>
      <c r="E104" s="3129">
        <v>15.305999999999999</v>
      </c>
      <c r="F104" s="3129"/>
      <c r="G104" s="3129"/>
      <c r="H104" s="3166">
        <v>15.303000000000001</v>
      </c>
      <c r="I104" s="3166">
        <v>15.303000000000001</v>
      </c>
      <c r="J104" s="3166">
        <v>15.303000000000001</v>
      </c>
      <c r="K104" s="3166">
        <v>15.303000000000001</v>
      </c>
      <c r="L104" s="3166">
        <v>15.303000000000001</v>
      </c>
    </row>
    <row r="105" spans="1:13" hidden="1" outlineLevel="1">
      <c r="A105" s="3167" t="s">
        <v>15256</v>
      </c>
      <c r="B105" s="3167"/>
      <c r="C105" s="3130"/>
      <c r="D105" s="3130"/>
      <c r="E105" s="3130"/>
      <c r="F105" s="3130"/>
      <c r="G105" s="3130"/>
      <c r="H105" s="3167"/>
      <c r="I105" s="3167"/>
      <c r="J105" s="3167"/>
      <c r="K105" s="3167"/>
      <c r="L105" s="3167"/>
    </row>
    <row r="106" spans="1:13" s="3165" customFormat="1" hidden="1" outlineLevel="1">
      <c r="A106" s="3168" t="s">
        <v>15257</v>
      </c>
      <c r="B106" s="3168">
        <v>0</v>
      </c>
      <c r="C106" s="3164">
        <v>0</v>
      </c>
      <c r="D106" s="3164">
        <v>0</v>
      </c>
      <c r="E106" s="3164">
        <v>9.7000000000000003E-2</v>
      </c>
      <c r="F106" s="3164"/>
      <c r="G106" s="3164"/>
      <c r="H106" s="3168">
        <v>9.8000000000000004E-2</v>
      </c>
      <c r="I106" s="3168">
        <v>9.8000000000000004E-2</v>
      </c>
      <c r="J106" s="3168">
        <v>9.8000000000000004E-2</v>
      </c>
      <c r="K106" s="3168">
        <v>9.8000000000000004E-2</v>
      </c>
      <c r="L106" s="3168">
        <v>9.8000000000000004E-2</v>
      </c>
      <c r="M106" s="141"/>
    </row>
    <row r="107" spans="1:13" s="3161" customFormat="1" hidden="1" outlineLevel="1">
      <c r="A107" s="3167" t="s">
        <v>15243</v>
      </c>
      <c r="B107" s="3169"/>
      <c r="C107" s="3163"/>
      <c r="D107" s="3163"/>
      <c r="E107" s="3162">
        <v>9.7000000000000003E-2</v>
      </c>
      <c r="F107" s="3162"/>
      <c r="G107" s="3162"/>
      <c r="H107" s="3167">
        <v>9.8000000000000004E-2</v>
      </c>
      <c r="I107" s="3167">
        <v>9.8000000000000004E-2</v>
      </c>
      <c r="J107" s="3167">
        <v>9.8000000000000004E-2</v>
      </c>
      <c r="K107" s="3167">
        <v>9.8000000000000004E-2</v>
      </c>
      <c r="L107" s="3167">
        <v>9.8000000000000004E-2</v>
      </c>
      <c r="M107" s="163"/>
    </row>
    <row r="108" spans="1:13" hidden="1" outlineLevel="1">
      <c r="A108" s="3167" t="s">
        <v>15242</v>
      </c>
      <c r="B108" s="3169"/>
      <c r="C108" s="3131"/>
      <c r="D108" s="3131"/>
      <c r="E108" s="3130">
        <v>0</v>
      </c>
      <c r="F108" s="3130"/>
      <c r="G108" s="3130"/>
      <c r="H108" s="3167">
        <v>0</v>
      </c>
      <c r="I108" s="3167">
        <v>0</v>
      </c>
      <c r="J108" s="3167">
        <v>0</v>
      </c>
      <c r="K108" s="3167">
        <v>0</v>
      </c>
      <c r="L108" s="3167">
        <v>0</v>
      </c>
    </row>
    <row r="109" spans="1:13" s="141" customFormat="1" hidden="1" outlineLevel="1">
      <c r="A109" s="3168" t="s">
        <v>15258</v>
      </c>
      <c r="B109" s="3168">
        <v>91.266000000000005</v>
      </c>
      <c r="C109" s="3128">
        <v>99.206999999999994</v>
      </c>
      <c r="D109" s="3128">
        <v>16.390999999999998</v>
      </c>
      <c r="E109" s="3128">
        <v>15.077</v>
      </c>
      <c r="F109" s="3128"/>
      <c r="G109" s="3128"/>
      <c r="H109" s="3168">
        <v>15.071999999999999</v>
      </c>
      <c r="I109" s="3168">
        <v>15.071999999999999</v>
      </c>
      <c r="J109" s="3168">
        <v>15.071999999999999</v>
      </c>
      <c r="K109" s="3168">
        <v>15.071999999999999</v>
      </c>
      <c r="L109" s="3168">
        <v>15.071999999999999</v>
      </c>
    </row>
    <row r="110" spans="1:13" hidden="1" outlineLevel="1">
      <c r="A110" s="3167" t="s">
        <v>15243</v>
      </c>
      <c r="B110" s="3169">
        <v>81.566000000000003</v>
      </c>
      <c r="C110" s="3131">
        <v>89.575000000000003</v>
      </c>
      <c r="D110" s="3131">
        <v>12.457000000000001</v>
      </c>
      <c r="E110" s="3130">
        <v>9.89</v>
      </c>
      <c r="F110" s="3130"/>
      <c r="G110" s="3130"/>
      <c r="H110" s="3167">
        <v>9.9890000000000008</v>
      </c>
      <c r="I110" s="3167">
        <v>9.9890000000000008</v>
      </c>
      <c r="J110" s="3167">
        <v>9.9890000000000008</v>
      </c>
      <c r="K110" s="3167">
        <v>9.9890000000000008</v>
      </c>
      <c r="L110" s="3167">
        <v>9.9890000000000008</v>
      </c>
    </row>
    <row r="111" spans="1:13" hidden="1" outlineLevel="1">
      <c r="A111" s="3167" t="s">
        <v>15242</v>
      </c>
      <c r="B111" s="3169">
        <v>9.6999999999999993</v>
      </c>
      <c r="C111" s="3131">
        <v>9.6319999999999997</v>
      </c>
      <c r="D111" s="3131">
        <v>3.9340000000000002</v>
      </c>
      <c r="E111" s="3130">
        <v>5.1870000000000003</v>
      </c>
      <c r="F111" s="3130"/>
      <c r="G111" s="3130"/>
      <c r="H111" s="3167">
        <v>5.0830000000000002</v>
      </c>
      <c r="I111" s="3167">
        <v>5.0830000000000002</v>
      </c>
      <c r="J111" s="3167">
        <v>5.0830000000000002</v>
      </c>
      <c r="K111" s="3167">
        <v>5.0830000000000002</v>
      </c>
      <c r="L111" s="3167">
        <v>5.0830000000000002</v>
      </c>
    </row>
    <row r="112" spans="1:13" s="141" customFormat="1" hidden="1" outlineLevel="1">
      <c r="A112" s="3168" t="s">
        <v>15259</v>
      </c>
      <c r="B112" s="3168">
        <v>0</v>
      </c>
      <c r="C112" s="3128">
        <v>2.4E-2</v>
      </c>
      <c r="D112" s="3128">
        <v>0</v>
      </c>
      <c r="E112" s="3128">
        <v>0.13200000000000001</v>
      </c>
      <c r="F112" s="3128"/>
      <c r="G112" s="3128"/>
      <c r="H112" s="3168">
        <v>0.13300000000000001</v>
      </c>
      <c r="I112" s="3168">
        <v>0.13300000000000001</v>
      </c>
      <c r="J112" s="3168">
        <v>0.13300000000000001</v>
      </c>
      <c r="K112" s="3168">
        <v>0.13300000000000001</v>
      </c>
      <c r="L112" s="3168">
        <v>0.13300000000000001</v>
      </c>
    </row>
    <row r="113" spans="1:12" hidden="1" outlineLevel="1">
      <c r="A113" s="3167" t="s">
        <v>15243</v>
      </c>
      <c r="B113" s="3169"/>
      <c r="C113" s="3131">
        <v>2.4E-2</v>
      </c>
      <c r="D113" s="3131"/>
      <c r="E113" s="3130">
        <v>0.13200000000000001</v>
      </c>
      <c r="F113" s="3130"/>
      <c r="G113" s="3130"/>
      <c r="H113" s="3167">
        <v>0.13300000000000001</v>
      </c>
      <c r="I113" s="3167">
        <v>0.13300000000000001</v>
      </c>
      <c r="J113" s="3167">
        <v>0.13300000000000001</v>
      </c>
      <c r="K113" s="3167">
        <v>0.13300000000000001</v>
      </c>
      <c r="L113" s="3167">
        <v>0.13300000000000001</v>
      </c>
    </row>
    <row r="114" spans="1:12" hidden="1" outlineLevel="1">
      <c r="A114" s="3167" t="s">
        <v>15242</v>
      </c>
      <c r="B114" s="3167"/>
      <c r="C114" s="3130"/>
      <c r="D114" s="3130"/>
      <c r="E114" s="3130"/>
      <c r="F114" s="3130"/>
      <c r="G114" s="3130"/>
      <c r="H114" s="3167">
        <v>0</v>
      </c>
      <c r="I114" s="3167">
        <v>0</v>
      </c>
      <c r="J114" s="3167">
        <v>0</v>
      </c>
      <c r="K114" s="3167">
        <v>0</v>
      </c>
      <c r="L114" s="3167">
        <v>0</v>
      </c>
    </row>
    <row r="115" spans="1:12" hidden="1" outlineLevel="1">
      <c r="A115" s="3172" t="s">
        <v>15261</v>
      </c>
      <c r="B115" s="3170">
        <f>B89-B104</f>
        <v>5.9000000000253294E-4</v>
      </c>
      <c r="C115" s="3132">
        <f t="shared" ref="C115:K115" si="86">C89-C104</f>
        <v>-1.0999999999228294E-4</v>
      </c>
      <c r="D115" s="3132">
        <f t="shared" si="86"/>
        <v>0</v>
      </c>
      <c r="E115" s="3132">
        <f t="shared" si="86"/>
        <v>-2.9000000000145576E-4</v>
      </c>
      <c r="F115" s="3132">
        <f t="shared" si="86"/>
        <v>0</v>
      </c>
      <c r="G115" s="3132">
        <f t="shared" si="86"/>
        <v>0</v>
      </c>
      <c r="H115" s="3170">
        <f t="shared" si="86"/>
        <v>97.752999999999986</v>
      </c>
      <c r="I115" s="3170">
        <f t="shared" si="86"/>
        <v>97.752999999999986</v>
      </c>
      <c r="J115" s="3170">
        <f t="shared" si="86"/>
        <v>97.752999999999986</v>
      </c>
      <c r="K115" s="3170">
        <f t="shared" si="86"/>
        <v>97.752999999999986</v>
      </c>
      <c r="L115" s="3170">
        <f t="shared" ref="L115" si="87">L89-L104</f>
        <v>97.752999999999986</v>
      </c>
    </row>
    <row r="116" spans="1:12" collapsed="1"/>
  </sheetData>
  <mergeCells count="1">
    <mergeCell ref="N43:N52"/>
  </mergeCells>
  <printOptions horizontalCentered="1"/>
  <pageMargins left="0" right="0" top="0.39370078740157483" bottom="0.39370078740157483" header="0.31496062992125984" footer="0.31496062992125984"/>
  <pageSetup paperSize="9" scale="75" orientation="landscape" r:id="rId1"/>
  <rowBreaks count="1" manualBreakCount="1">
    <brk id="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Q111"/>
  <sheetViews>
    <sheetView view="pageBreakPreview" zoomScale="70" zoomScaleNormal="100" zoomScaleSheetLayoutView="70" workbookViewId="0">
      <pane xSplit="2" ySplit="9" topLeftCell="C77" activePane="bottomRight" state="frozen"/>
      <selection pane="topRight" activeCell="C1" sqref="C1"/>
      <selection pane="bottomLeft" activeCell="A10" sqref="A10"/>
      <selection pane="bottomRight" activeCell="F97" sqref="F97"/>
    </sheetView>
  </sheetViews>
  <sheetFormatPr defaultRowHeight="12.75" outlineLevelRow="1" outlineLevelCol="1"/>
  <cols>
    <col min="1" max="1" width="31.28515625" style="2617" customWidth="1"/>
    <col min="2" max="2" width="28.140625" style="2617" hidden="1" customWidth="1" outlineLevel="1"/>
    <col min="3" max="3" width="31.7109375" style="2621" customWidth="1" collapsed="1"/>
    <col min="4" max="4" width="23" style="2621" customWidth="1"/>
    <col min="5" max="5" width="36.5703125" style="2621" bestFit="1" customWidth="1"/>
    <col min="6" max="6" width="22.7109375" style="2621" customWidth="1"/>
    <col min="7" max="7" width="20.85546875" style="2621" customWidth="1"/>
    <col min="8" max="8" width="36.140625" style="2621" bestFit="1" customWidth="1"/>
    <col min="9" max="9" width="65.140625" style="2621" customWidth="1"/>
    <col min="10" max="10" width="16.5703125" style="2621" customWidth="1"/>
    <col min="11" max="11" width="9.28515625" style="2621" bestFit="1" customWidth="1"/>
    <col min="12" max="12" width="11.85546875" style="2621" bestFit="1" customWidth="1"/>
    <col min="13" max="13" width="18.7109375" style="2621" bestFit="1" customWidth="1"/>
    <col min="14" max="14" width="13.28515625" style="2621" customWidth="1"/>
    <col min="15" max="15" width="9.28515625" style="2617" bestFit="1" customWidth="1"/>
    <col min="16" max="16" width="11.85546875" style="2617" bestFit="1" customWidth="1"/>
    <col min="17" max="17" width="18.7109375" style="2617" bestFit="1" customWidth="1"/>
    <col min="18" max="16384" width="9.140625" style="2617"/>
  </cols>
  <sheetData>
    <row r="1" spans="1:17" s="3285" customFormat="1" ht="37.5" customHeight="1">
      <c r="A1" s="3388" t="s">
        <v>15304</v>
      </c>
      <c r="B1" s="3388"/>
      <c r="C1" s="3388"/>
      <c r="D1" s="3388"/>
      <c r="E1" s="3388"/>
      <c r="F1" s="3388"/>
      <c r="G1" s="3388"/>
      <c r="H1" s="3388"/>
      <c r="I1" s="3388"/>
      <c r="J1" s="3388"/>
      <c r="K1" s="3388"/>
      <c r="L1" s="3388"/>
      <c r="M1" s="3388"/>
      <c r="N1" s="3388"/>
      <c r="O1" s="3388"/>
      <c r="P1" s="3388"/>
      <c r="Q1" s="3388"/>
    </row>
    <row r="2" spans="1:17" ht="3.75" customHeight="1"/>
    <row r="3" spans="1:17" s="3196" customFormat="1" ht="39.75" customHeight="1">
      <c r="A3" s="3405" t="s">
        <v>15303</v>
      </c>
      <c r="B3" s="3405"/>
      <c r="C3" s="3405"/>
      <c r="D3" s="3405"/>
      <c r="E3" s="3405"/>
      <c r="F3" s="3405"/>
      <c r="G3" s="3405"/>
      <c r="H3" s="3405"/>
      <c r="I3" s="3405"/>
      <c r="J3" s="3405"/>
      <c r="K3" s="3405"/>
      <c r="L3" s="3405"/>
      <c r="M3" s="3405"/>
      <c r="N3" s="3405"/>
      <c r="O3" s="3405"/>
      <c r="P3" s="3405"/>
      <c r="Q3" s="3405"/>
    </row>
    <row r="4" spans="1:17" s="3196" customFormat="1" ht="6" customHeight="1">
      <c r="A4" s="3284"/>
      <c r="B4" s="3284"/>
      <c r="C4" s="3284"/>
      <c r="D4" s="3284"/>
      <c r="E4" s="3284"/>
      <c r="F4" s="3284"/>
      <c r="G4" s="3284"/>
      <c r="H4" s="3284"/>
      <c r="I4" s="3284"/>
      <c r="J4" s="3284"/>
      <c r="K4" s="3284"/>
      <c r="L4" s="3284"/>
      <c r="M4" s="3284"/>
      <c r="N4" s="3284"/>
    </row>
    <row r="5" spans="1:17" s="3196" customFormat="1" ht="21.75" customHeight="1">
      <c r="A5" s="3406" t="s">
        <v>15302</v>
      </c>
      <c r="B5" s="3406"/>
      <c r="C5" s="3406"/>
      <c r="D5" s="3406"/>
      <c r="E5" s="3406"/>
      <c r="F5" s="3406"/>
      <c r="G5" s="3406"/>
      <c r="H5" s="3406"/>
      <c r="I5" s="3406"/>
      <c r="J5" s="3406"/>
      <c r="K5" s="3406"/>
      <c r="L5" s="3406"/>
      <c r="M5" s="3406"/>
      <c r="N5" s="3406"/>
      <c r="O5" s="3406"/>
      <c r="P5" s="3406"/>
      <c r="Q5" s="3406"/>
    </row>
    <row r="6" spans="1:17" s="3196" customFormat="1" ht="4.5" customHeight="1">
      <c r="A6" s="3284"/>
      <c r="B6" s="3284"/>
      <c r="C6" s="3284"/>
      <c r="D6" s="3284"/>
      <c r="E6" s="3284"/>
      <c r="F6" s="3284"/>
      <c r="G6" s="3284"/>
      <c r="H6" s="3284"/>
      <c r="I6" s="3284"/>
      <c r="J6" s="3284"/>
      <c r="K6" s="3284"/>
      <c r="L6" s="3284"/>
      <c r="M6" s="3284"/>
      <c r="N6" s="3284"/>
    </row>
    <row r="7" spans="1:17" s="3196" customFormat="1" ht="33" customHeight="1" thickBot="1">
      <c r="A7" s="3406" t="s">
        <v>15301</v>
      </c>
      <c r="B7" s="3406"/>
      <c r="C7" s="3406"/>
      <c r="D7" s="3406"/>
      <c r="E7" s="3406"/>
      <c r="F7" s="3406"/>
      <c r="G7" s="3406"/>
      <c r="H7" s="3406"/>
      <c r="I7" s="3406"/>
      <c r="J7" s="3406"/>
      <c r="K7" s="3406"/>
      <c r="L7" s="3406"/>
      <c r="M7" s="3406"/>
      <c r="N7" s="3406"/>
      <c r="O7" s="3406"/>
      <c r="P7" s="3406"/>
      <c r="Q7" s="3406"/>
    </row>
    <row r="8" spans="1:17">
      <c r="A8" s="3409" t="s">
        <v>15300</v>
      </c>
      <c r="B8" s="3411"/>
      <c r="C8" s="3371" t="s">
        <v>15127</v>
      </c>
      <c r="D8" s="3371" t="s">
        <v>15299</v>
      </c>
      <c r="E8" s="3407" t="s">
        <v>15154</v>
      </c>
      <c r="F8" s="3371" t="s">
        <v>15298</v>
      </c>
      <c r="G8" s="3413" t="s">
        <v>15297</v>
      </c>
      <c r="H8" s="3377" t="s">
        <v>15126</v>
      </c>
      <c r="I8" s="3415" t="s">
        <v>15296</v>
      </c>
      <c r="J8" s="3377" t="s">
        <v>15295</v>
      </c>
      <c r="K8" s="3396" t="s">
        <v>15293</v>
      </c>
      <c r="L8" s="3397"/>
      <c r="M8" s="3398"/>
      <c r="N8" s="3377" t="s">
        <v>15294</v>
      </c>
      <c r="O8" s="3399" t="s">
        <v>15293</v>
      </c>
      <c r="P8" s="3400"/>
      <c r="Q8" s="3401"/>
    </row>
    <row r="9" spans="1:17" ht="60" customHeight="1" thickBot="1">
      <c r="A9" s="3410"/>
      <c r="B9" s="3412"/>
      <c r="C9" s="3402"/>
      <c r="D9" s="3402"/>
      <c r="E9" s="3408"/>
      <c r="F9" s="3402"/>
      <c r="G9" s="3414"/>
      <c r="H9" s="3395"/>
      <c r="I9" s="3416"/>
      <c r="J9" s="3395"/>
      <c r="K9" s="3283" t="s">
        <v>15292</v>
      </c>
      <c r="L9" s="3282" t="s">
        <v>15291</v>
      </c>
      <c r="M9" s="3281" t="s">
        <v>15290</v>
      </c>
      <c r="N9" s="3395"/>
      <c r="O9" s="3283" t="s">
        <v>15292</v>
      </c>
      <c r="P9" s="3282" t="s">
        <v>15291</v>
      </c>
      <c r="Q9" s="3281" t="s">
        <v>15290</v>
      </c>
    </row>
    <row r="10" spans="1:17">
      <c r="A10" s="2642" t="s">
        <v>15157</v>
      </c>
      <c r="B10" s="2643"/>
      <c r="C10" s="3280"/>
      <c r="D10" s="3279"/>
      <c r="E10" s="3278"/>
      <c r="F10" s="3277"/>
      <c r="G10" s="2684"/>
      <c r="H10" s="2646"/>
      <c r="I10" s="3276"/>
      <c r="J10" s="3275"/>
      <c r="K10" s="3274"/>
      <c r="L10" s="3273"/>
      <c r="M10" s="3272"/>
      <c r="N10" s="3275"/>
      <c r="O10" s="3274"/>
      <c r="P10" s="3273"/>
      <c r="Q10" s="3272"/>
    </row>
    <row r="11" spans="1:17">
      <c r="A11" s="2630" t="s">
        <v>15047</v>
      </c>
      <c r="B11" s="2622"/>
      <c r="C11" s="3227" t="s">
        <v>15146</v>
      </c>
      <c r="D11" s="3226"/>
      <c r="E11" s="3225" t="s">
        <v>15142</v>
      </c>
      <c r="F11" s="3224"/>
      <c r="G11" s="3223"/>
      <c r="H11" s="2629" t="s">
        <v>15048</v>
      </c>
      <c r="I11" s="2624" t="s">
        <v>15142</v>
      </c>
      <c r="J11" s="3222"/>
      <c r="K11" s="3221"/>
      <c r="L11" s="3220"/>
      <c r="M11" s="3219"/>
      <c r="N11" s="3222"/>
      <c r="O11" s="3221"/>
      <c r="P11" s="3220"/>
      <c r="Q11" s="3219"/>
    </row>
    <row r="12" spans="1:17">
      <c r="A12" s="2630" t="s">
        <v>15049</v>
      </c>
      <c r="B12" s="2622"/>
      <c r="C12" s="3227" t="s">
        <v>15146</v>
      </c>
      <c r="D12" s="3226"/>
      <c r="E12" s="3225" t="s">
        <v>15142</v>
      </c>
      <c r="F12" s="3224"/>
      <c r="G12" s="3223"/>
      <c r="H12" s="2629" t="s">
        <v>15048</v>
      </c>
      <c r="I12" s="2624" t="s">
        <v>15142</v>
      </c>
      <c r="J12" s="3222"/>
      <c r="K12" s="3221"/>
      <c r="L12" s="3220"/>
      <c r="M12" s="3219"/>
      <c r="N12" s="3222"/>
      <c r="O12" s="3221"/>
      <c r="P12" s="3220"/>
      <c r="Q12" s="3219"/>
    </row>
    <row r="13" spans="1:17">
      <c r="A13" s="2630" t="s">
        <v>15050</v>
      </c>
      <c r="B13" s="2622"/>
      <c r="C13" s="3227" t="s">
        <v>15128</v>
      </c>
      <c r="D13" s="3236" t="s">
        <v>15289</v>
      </c>
      <c r="E13" s="3235" t="s">
        <v>15143</v>
      </c>
      <c r="F13" s="3234">
        <f>4703/1000</f>
        <v>4.7030000000000003</v>
      </c>
      <c r="G13" s="3233"/>
      <c r="H13" s="2629" t="s">
        <v>15051</v>
      </c>
      <c r="I13" s="3259" t="s">
        <v>15143</v>
      </c>
      <c r="J13" s="3271">
        <f>4703/1000</f>
        <v>4.7030000000000003</v>
      </c>
      <c r="K13" s="3270"/>
      <c r="L13" s="3269"/>
      <c r="M13" s="3268"/>
      <c r="N13" s="3271"/>
      <c r="O13" s="3270"/>
      <c r="P13" s="3269"/>
      <c r="Q13" s="3268"/>
    </row>
    <row r="14" spans="1:17">
      <c r="A14" s="2630" t="s">
        <v>15052</v>
      </c>
      <c r="B14" s="2622"/>
      <c r="C14" s="3227" t="s">
        <v>15128</v>
      </c>
      <c r="D14" s="3236" t="s">
        <v>15288</v>
      </c>
      <c r="E14" s="3235" t="s">
        <v>15143</v>
      </c>
      <c r="F14" s="3234">
        <f>10047/1000</f>
        <v>10.047000000000001</v>
      </c>
      <c r="G14" s="3233"/>
      <c r="H14" s="2629" t="s">
        <v>15053</v>
      </c>
      <c r="I14" s="3232" t="s">
        <v>15156</v>
      </c>
      <c r="J14" s="3231"/>
      <c r="K14" s="3230"/>
      <c r="L14" s="3229"/>
      <c r="M14" s="3228"/>
      <c r="N14" s="3231"/>
      <c r="O14" s="3230"/>
      <c r="P14" s="3229"/>
      <c r="Q14" s="3228"/>
    </row>
    <row r="15" spans="1:17">
      <c r="A15" s="2630" t="s">
        <v>15054</v>
      </c>
      <c r="B15" s="2623"/>
      <c r="C15" s="3227" t="s">
        <v>15146</v>
      </c>
      <c r="D15" s="3226"/>
      <c r="E15" s="3225" t="s">
        <v>15142</v>
      </c>
      <c r="F15" s="3224"/>
      <c r="G15" s="3223"/>
      <c r="H15" s="2629" t="s">
        <v>15053</v>
      </c>
      <c r="I15" s="3232" t="s">
        <v>15156</v>
      </c>
      <c r="J15" s="3231"/>
      <c r="K15" s="3230"/>
      <c r="L15" s="3229"/>
      <c r="M15" s="3228"/>
      <c r="N15" s="3231"/>
      <c r="O15" s="3230"/>
      <c r="P15" s="3229"/>
      <c r="Q15" s="3228"/>
    </row>
    <row r="16" spans="1:17">
      <c r="A16" s="2630" t="s">
        <v>15055</v>
      </c>
      <c r="B16" s="2623"/>
      <c r="C16" s="3227" t="s">
        <v>15146</v>
      </c>
      <c r="D16" s="3226"/>
      <c r="E16" s="3225" t="s">
        <v>15142</v>
      </c>
      <c r="F16" s="3224"/>
      <c r="G16" s="3223"/>
      <c r="H16" s="2629" t="s">
        <v>15053</v>
      </c>
      <c r="I16" s="3232" t="s">
        <v>15156</v>
      </c>
      <c r="J16" s="3231"/>
      <c r="K16" s="3230"/>
      <c r="L16" s="3229"/>
      <c r="M16" s="3228"/>
      <c r="N16" s="3231"/>
      <c r="O16" s="3230"/>
      <c r="P16" s="3229"/>
      <c r="Q16" s="3228"/>
    </row>
    <row r="17" spans="1:17">
      <c r="A17" s="2630" t="s">
        <v>15056</v>
      </c>
      <c r="B17" s="2623"/>
      <c r="C17" s="3227" t="s">
        <v>15146</v>
      </c>
      <c r="D17" s="3226"/>
      <c r="E17" s="3225" t="s">
        <v>15142</v>
      </c>
      <c r="F17" s="3224"/>
      <c r="G17" s="3223"/>
      <c r="H17" s="2629" t="s">
        <v>15053</v>
      </c>
      <c r="I17" s="3232" t="s">
        <v>15156</v>
      </c>
      <c r="J17" s="3231"/>
      <c r="K17" s="3230"/>
      <c r="L17" s="3229"/>
      <c r="M17" s="3228"/>
      <c r="N17" s="3231"/>
      <c r="O17" s="3230"/>
      <c r="P17" s="3229"/>
      <c r="Q17" s="3228"/>
    </row>
    <row r="18" spans="1:17">
      <c r="A18" s="2630" t="s">
        <v>15057</v>
      </c>
      <c r="B18" s="2624"/>
      <c r="C18" s="3227" t="s">
        <v>15128</v>
      </c>
      <c r="D18" s="3236" t="s">
        <v>15170</v>
      </c>
      <c r="E18" s="3235" t="s">
        <v>15143</v>
      </c>
      <c r="F18" s="3234">
        <f>5520/1000</f>
        <v>5.52</v>
      </c>
      <c r="G18" s="3233"/>
      <c r="H18" s="2629" t="s">
        <v>15053</v>
      </c>
      <c r="I18" s="3232" t="s">
        <v>15156</v>
      </c>
      <c r="J18" s="3231"/>
      <c r="K18" s="3230"/>
      <c r="L18" s="3229"/>
      <c r="M18" s="3228"/>
      <c r="N18" s="3231"/>
      <c r="O18" s="3230"/>
      <c r="P18" s="3229"/>
      <c r="Q18" s="3228"/>
    </row>
    <row r="19" spans="1:17" ht="25.5">
      <c r="A19" s="2630" t="s">
        <v>15058</v>
      </c>
      <c r="B19" s="2622"/>
      <c r="C19" s="3227" t="s">
        <v>15128</v>
      </c>
      <c r="D19" s="3236" t="s">
        <v>15287</v>
      </c>
      <c r="E19" s="3235" t="s">
        <v>15143</v>
      </c>
      <c r="F19" s="3234">
        <f>70335/1000</f>
        <v>70.334999999999994</v>
      </c>
      <c r="G19" s="3233"/>
      <c r="H19" s="2629" t="s">
        <v>15059</v>
      </c>
      <c r="I19" s="3259" t="s">
        <v>15143</v>
      </c>
      <c r="J19" s="3271">
        <f>49077/1000</f>
        <v>49.076999999999998</v>
      </c>
      <c r="K19" s="3270"/>
      <c r="L19" s="3269"/>
      <c r="M19" s="3268"/>
      <c r="N19" s="3271"/>
      <c r="O19" s="3270"/>
      <c r="P19" s="3269"/>
      <c r="Q19" s="3268"/>
    </row>
    <row r="20" spans="1:17">
      <c r="A20" s="2630" t="s">
        <v>15060</v>
      </c>
      <c r="B20" s="2623"/>
      <c r="C20" s="3227" t="s">
        <v>15146</v>
      </c>
      <c r="D20" s="3226"/>
      <c r="E20" s="3225" t="s">
        <v>15142</v>
      </c>
      <c r="F20" s="3224"/>
      <c r="G20" s="3223"/>
      <c r="H20" s="2629" t="s">
        <v>15053</v>
      </c>
      <c r="I20" s="3232" t="s">
        <v>15156</v>
      </c>
      <c r="J20" s="3231"/>
      <c r="K20" s="3230"/>
      <c r="L20" s="3229"/>
      <c r="M20" s="3228"/>
      <c r="N20" s="3231"/>
      <c r="O20" s="3230"/>
      <c r="P20" s="3229"/>
      <c r="Q20" s="3228"/>
    </row>
    <row r="21" spans="1:17">
      <c r="A21" s="2630" t="s">
        <v>15061</v>
      </c>
      <c r="B21" s="2623"/>
      <c r="C21" s="3227" t="s">
        <v>15146</v>
      </c>
      <c r="D21" s="3226"/>
      <c r="E21" s="3225" t="s">
        <v>15142</v>
      </c>
      <c r="F21" s="3224"/>
      <c r="G21" s="3223"/>
      <c r="H21" s="2629" t="s">
        <v>15053</v>
      </c>
      <c r="I21" s="3232" t="s">
        <v>15156</v>
      </c>
      <c r="J21" s="3231"/>
      <c r="K21" s="3230"/>
      <c r="L21" s="3229"/>
      <c r="M21" s="3228"/>
      <c r="N21" s="3231"/>
      <c r="O21" s="3230"/>
      <c r="P21" s="3229"/>
      <c r="Q21" s="3228"/>
    </row>
    <row r="22" spans="1:17">
      <c r="A22" s="2630" t="s">
        <v>15062</v>
      </c>
      <c r="B22" s="2622"/>
      <c r="C22" s="3227" t="s">
        <v>15146</v>
      </c>
      <c r="D22" s="3226"/>
      <c r="E22" s="3225" t="s">
        <v>15142</v>
      </c>
      <c r="F22" s="3224"/>
      <c r="G22" s="3223"/>
      <c r="H22" s="2629" t="s">
        <v>15048</v>
      </c>
      <c r="I22" s="2624" t="s">
        <v>15142</v>
      </c>
      <c r="J22" s="3222"/>
      <c r="K22" s="3221"/>
      <c r="L22" s="3220"/>
      <c r="M22" s="3219"/>
      <c r="N22" s="3222"/>
      <c r="O22" s="3221"/>
      <c r="P22" s="3220"/>
      <c r="Q22" s="3219"/>
    </row>
    <row r="23" spans="1:17">
      <c r="A23" s="2630" t="s">
        <v>15063</v>
      </c>
      <c r="B23" s="2623"/>
      <c r="C23" s="3227" t="s">
        <v>15146</v>
      </c>
      <c r="D23" s="3226"/>
      <c r="E23" s="3225" t="s">
        <v>15142</v>
      </c>
      <c r="F23" s="3224"/>
      <c r="G23" s="3223"/>
      <c r="H23" s="2629" t="s">
        <v>15053</v>
      </c>
      <c r="I23" s="3232" t="s">
        <v>15156</v>
      </c>
      <c r="J23" s="3231"/>
      <c r="K23" s="3230"/>
      <c r="L23" s="3229"/>
      <c r="M23" s="3228"/>
      <c r="N23" s="3231"/>
      <c r="O23" s="3230"/>
      <c r="P23" s="3229"/>
      <c r="Q23" s="3228"/>
    </row>
    <row r="24" spans="1:17">
      <c r="A24" s="2630" t="s">
        <v>15064</v>
      </c>
      <c r="B24" s="2622"/>
      <c r="C24" s="3227" t="s">
        <v>15146</v>
      </c>
      <c r="D24" s="3226"/>
      <c r="E24" s="3225" t="s">
        <v>15142</v>
      </c>
      <c r="F24" s="3224"/>
      <c r="G24" s="3223"/>
      <c r="H24" s="2629" t="s">
        <v>15048</v>
      </c>
      <c r="I24" s="2624" t="s">
        <v>15142</v>
      </c>
      <c r="J24" s="3222"/>
      <c r="K24" s="3221"/>
      <c r="L24" s="3220"/>
      <c r="M24" s="3219"/>
      <c r="N24" s="3222"/>
      <c r="O24" s="3221"/>
      <c r="P24" s="3220"/>
      <c r="Q24" s="3219"/>
    </row>
    <row r="25" spans="1:17">
      <c r="A25" s="2630" t="s">
        <v>15065</v>
      </c>
      <c r="B25" s="2623"/>
      <c r="C25" s="3227" t="s">
        <v>15146</v>
      </c>
      <c r="D25" s="3226"/>
      <c r="E25" s="3225" t="s">
        <v>15142</v>
      </c>
      <c r="F25" s="3224"/>
      <c r="G25" s="3223"/>
      <c r="H25" s="2629" t="s">
        <v>15053</v>
      </c>
      <c r="I25" s="3232" t="s">
        <v>15156</v>
      </c>
      <c r="J25" s="3231"/>
      <c r="K25" s="3230"/>
      <c r="L25" s="3229"/>
      <c r="M25" s="3228"/>
      <c r="N25" s="3231"/>
      <c r="O25" s="3230"/>
      <c r="P25" s="3229"/>
      <c r="Q25" s="3228"/>
    </row>
    <row r="26" spans="1:17">
      <c r="A26" s="2630" t="s">
        <v>15066</v>
      </c>
      <c r="B26" s="2623"/>
      <c r="C26" s="3227" t="s">
        <v>15146</v>
      </c>
      <c r="D26" s="3226"/>
      <c r="E26" s="3225" t="s">
        <v>15142</v>
      </c>
      <c r="F26" s="3224"/>
      <c r="G26" s="3223"/>
      <c r="H26" s="2629" t="s">
        <v>15053</v>
      </c>
      <c r="I26" s="3232" t="s">
        <v>15156</v>
      </c>
      <c r="J26" s="3231"/>
      <c r="K26" s="3230"/>
      <c r="L26" s="3229"/>
      <c r="M26" s="3228"/>
      <c r="N26" s="3231"/>
      <c r="O26" s="3230"/>
      <c r="P26" s="3229"/>
      <c r="Q26" s="3228"/>
    </row>
    <row r="27" spans="1:17">
      <c r="A27" s="2630" t="s">
        <v>15067</v>
      </c>
      <c r="B27" s="2622"/>
      <c r="C27" s="3227" t="s">
        <v>15146</v>
      </c>
      <c r="D27" s="3226"/>
      <c r="E27" s="3225" t="s">
        <v>15142</v>
      </c>
      <c r="F27" s="3224"/>
      <c r="G27" s="3223"/>
      <c r="H27" s="2629" t="s">
        <v>15048</v>
      </c>
      <c r="I27" s="2624" t="s">
        <v>15142</v>
      </c>
      <c r="J27" s="3222"/>
      <c r="K27" s="3221"/>
      <c r="L27" s="3220"/>
      <c r="M27" s="3219"/>
      <c r="N27" s="3222"/>
      <c r="O27" s="3221"/>
      <c r="P27" s="3220"/>
      <c r="Q27" s="3219"/>
    </row>
    <row r="28" spans="1:17">
      <c r="A28" s="2630" t="s">
        <v>15068</v>
      </c>
      <c r="B28" s="2623"/>
      <c r="C28" s="3227" t="s">
        <v>15146</v>
      </c>
      <c r="D28" s="3226"/>
      <c r="E28" s="3225" t="s">
        <v>15142</v>
      </c>
      <c r="F28" s="3224"/>
      <c r="G28" s="3223"/>
      <c r="H28" s="2629" t="s">
        <v>15053</v>
      </c>
      <c r="I28" s="3232" t="s">
        <v>15156</v>
      </c>
      <c r="J28" s="3231"/>
      <c r="K28" s="3230"/>
      <c r="L28" s="3229"/>
      <c r="M28" s="3228"/>
      <c r="N28" s="3231"/>
      <c r="O28" s="3230"/>
      <c r="P28" s="3229"/>
      <c r="Q28" s="3228"/>
    </row>
    <row r="29" spans="1:17">
      <c r="A29" s="2630" t="s">
        <v>15069</v>
      </c>
      <c r="B29" s="2623"/>
      <c r="C29" s="3227" t="s">
        <v>15146</v>
      </c>
      <c r="D29" s="3226"/>
      <c r="E29" s="3225" t="s">
        <v>15142</v>
      </c>
      <c r="F29" s="3224"/>
      <c r="G29" s="3223"/>
      <c r="H29" s="2629" t="s">
        <v>15053</v>
      </c>
      <c r="I29" s="3232" t="s">
        <v>15156</v>
      </c>
      <c r="J29" s="3231"/>
      <c r="K29" s="3230"/>
      <c r="L29" s="3229"/>
      <c r="M29" s="3228"/>
      <c r="N29" s="3231"/>
      <c r="O29" s="3230"/>
      <c r="P29" s="3229"/>
      <c r="Q29" s="3228"/>
    </row>
    <row r="30" spans="1:17">
      <c r="A30" s="2630" t="s">
        <v>15070</v>
      </c>
      <c r="B30" s="2622"/>
      <c r="C30" s="3227" t="s">
        <v>15146</v>
      </c>
      <c r="D30" s="3226"/>
      <c r="E30" s="3225" t="s">
        <v>15142</v>
      </c>
      <c r="F30" s="3224"/>
      <c r="G30" s="3223"/>
      <c r="H30" s="2629" t="s">
        <v>15053</v>
      </c>
      <c r="I30" s="3232" t="s">
        <v>15156</v>
      </c>
      <c r="J30" s="3231"/>
      <c r="K30" s="3230"/>
      <c r="L30" s="3229"/>
      <c r="M30" s="3228"/>
      <c r="N30" s="3231"/>
      <c r="O30" s="3230"/>
      <c r="P30" s="3229"/>
      <c r="Q30" s="3228"/>
    </row>
    <row r="31" spans="1:17">
      <c r="A31" s="2630" t="s">
        <v>15071</v>
      </c>
      <c r="B31" s="2623"/>
      <c r="C31" s="3227" t="s">
        <v>15146</v>
      </c>
      <c r="D31" s="3226"/>
      <c r="E31" s="3225" t="s">
        <v>15142</v>
      </c>
      <c r="F31" s="3224"/>
      <c r="G31" s="3223"/>
      <c r="H31" s="2629" t="s">
        <v>15053</v>
      </c>
      <c r="I31" s="3232" t="s">
        <v>15156</v>
      </c>
      <c r="J31" s="3231"/>
      <c r="K31" s="3230"/>
      <c r="L31" s="3229"/>
      <c r="M31" s="3228"/>
      <c r="N31" s="3231"/>
      <c r="O31" s="3230"/>
      <c r="P31" s="3229"/>
      <c r="Q31" s="3228"/>
    </row>
    <row r="32" spans="1:17">
      <c r="A32" s="2630" t="s">
        <v>15072</v>
      </c>
      <c r="B32" s="2623"/>
      <c r="C32" s="3227" t="s">
        <v>15146</v>
      </c>
      <c r="D32" s="3226"/>
      <c r="E32" s="3225" t="s">
        <v>15142</v>
      </c>
      <c r="F32" s="3224"/>
      <c r="G32" s="3223"/>
      <c r="H32" s="2629" t="s">
        <v>15053</v>
      </c>
      <c r="I32" s="3232" t="s">
        <v>15156</v>
      </c>
      <c r="J32" s="3231"/>
      <c r="K32" s="3230"/>
      <c r="L32" s="3229"/>
      <c r="M32" s="3228"/>
      <c r="N32" s="3231"/>
      <c r="O32" s="3230"/>
      <c r="P32" s="3229"/>
      <c r="Q32" s="3228"/>
    </row>
    <row r="33" spans="1:17" ht="38.25">
      <c r="A33" s="2630" t="s">
        <v>15073</v>
      </c>
      <c r="B33" s="2622"/>
      <c r="C33" s="3227" t="s">
        <v>15286</v>
      </c>
      <c r="D33" s="3267" t="s">
        <v>15285</v>
      </c>
      <c r="E33" s="3266" t="s">
        <v>15156</v>
      </c>
      <c r="F33" s="3265"/>
      <c r="G33" s="3264"/>
      <c r="H33" s="2629" t="s">
        <v>15053</v>
      </c>
      <c r="I33" s="3232" t="s">
        <v>15156</v>
      </c>
      <c r="J33" s="3231"/>
      <c r="K33" s="3230"/>
      <c r="L33" s="3229"/>
      <c r="M33" s="3228"/>
      <c r="N33" s="3231"/>
      <c r="O33" s="3230"/>
      <c r="P33" s="3229"/>
      <c r="Q33" s="3228"/>
    </row>
    <row r="34" spans="1:17">
      <c r="A34" s="2630" t="s">
        <v>15074</v>
      </c>
      <c r="B34" s="2623"/>
      <c r="C34" s="3227" t="s">
        <v>15146</v>
      </c>
      <c r="D34" s="3226"/>
      <c r="E34" s="3225" t="s">
        <v>15142</v>
      </c>
      <c r="F34" s="3224"/>
      <c r="G34" s="3223"/>
      <c r="H34" s="2629" t="s">
        <v>15053</v>
      </c>
      <c r="I34" s="3232" t="s">
        <v>15156</v>
      </c>
      <c r="J34" s="3231"/>
      <c r="K34" s="3230"/>
      <c r="L34" s="3229"/>
      <c r="M34" s="3228"/>
      <c r="N34" s="3231"/>
      <c r="O34" s="3230"/>
      <c r="P34" s="3229"/>
      <c r="Q34" s="3228"/>
    </row>
    <row r="35" spans="1:17">
      <c r="A35" s="2630" t="s">
        <v>15075</v>
      </c>
      <c r="B35" s="2623"/>
      <c r="C35" s="3227" t="s">
        <v>15146</v>
      </c>
      <c r="D35" s="3226"/>
      <c r="E35" s="3225" t="s">
        <v>15142</v>
      </c>
      <c r="F35" s="3224"/>
      <c r="G35" s="3223"/>
      <c r="H35" s="2629" t="s">
        <v>15053</v>
      </c>
      <c r="I35" s="3232" t="s">
        <v>15156</v>
      </c>
      <c r="J35" s="3231"/>
      <c r="K35" s="3230"/>
      <c r="L35" s="3229"/>
      <c r="M35" s="3228"/>
      <c r="N35" s="3231"/>
      <c r="O35" s="3230"/>
      <c r="P35" s="3229"/>
      <c r="Q35" s="3228"/>
    </row>
    <row r="36" spans="1:17">
      <c r="A36" s="2630" t="s">
        <v>15076</v>
      </c>
      <c r="B36" s="2623"/>
      <c r="C36" s="3227" t="s">
        <v>15146</v>
      </c>
      <c r="D36" s="3226"/>
      <c r="E36" s="3225" t="s">
        <v>15142</v>
      </c>
      <c r="F36" s="3224"/>
      <c r="G36" s="3223"/>
      <c r="H36" s="2629" t="s">
        <v>15053</v>
      </c>
      <c r="I36" s="3232" t="s">
        <v>15156</v>
      </c>
      <c r="J36" s="3231"/>
      <c r="K36" s="3230"/>
      <c r="L36" s="3229"/>
      <c r="M36" s="3228"/>
      <c r="N36" s="3231"/>
      <c r="O36" s="3230"/>
      <c r="P36" s="3229"/>
      <c r="Q36" s="3228"/>
    </row>
    <row r="37" spans="1:17" ht="25.5">
      <c r="A37" s="2630" t="s">
        <v>15284</v>
      </c>
      <c r="B37" s="2622"/>
      <c r="C37" s="3227" t="s">
        <v>15128</v>
      </c>
      <c r="D37" s="3236" t="s">
        <v>15283</v>
      </c>
      <c r="E37" s="3235" t="s">
        <v>15143</v>
      </c>
      <c r="F37" s="3234"/>
      <c r="G37" s="3233"/>
      <c r="H37" s="2629" t="s">
        <v>15053</v>
      </c>
      <c r="I37" s="3232" t="s">
        <v>15156</v>
      </c>
      <c r="J37" s="3231"/>
      <c r="K37" s="3230"/>
      <c r="L37" s="3229"/>
      <c r="M37" s="3228"/>
      <c r="N37" s="3231"/>
      <c r="O37" s="3230"/>
      <c r="P37" s="3229"/>
      <c r="Q37" s="3228"/>
    </row>
    <row r="38" spans="1:17">
      <c r="A38" s="2630" t="s">
        <v>15078</v>
      </c>
      <c r="B38" s="2623"/>
      <c r="C38" s="3227" t="s">
        <v>15146</v>
      </c>
      <c r="D38" s="3226"/>
      <c r="E38" s="3225" t="s">
        <v>15142</v>
      </c>
      <c r="F38" s="3224"/>
      <c r="G38" s="3223"/>
      <c r="H38" s="2629" t="s">
        <v>15053</v>
      </c>
      <c r="I38" s="3232" t="s">
        <v>15156</v>
      </c>
      <c r="J38" s="3231"/>
      <c r="K38" s="3230"/>
      <c r="L38" s="3229"/>
      <c r="M38" s="3228"/>
      <c r="N38" s="3231"/>
      <c r="O38" s="3230"/>
      <c r="P38" s="3229"/>
      <c r="Q38" s="3228"/>
    </row>
    <row r="39" spans="1:17">
      <c r="A39" s="2630" t="s">
        <v>15079</v>
      </c>
      <c r="B39" s="2623"/>
      <c r="C39" s="3227" t="s">
        <v>15146</v>
      </c>
      <c r="D39" s="3226"/>
      <c r="E39" s="3225" t="s">
        <v>15142</v>
      </c>
      <c r="F39" s="3224"/>
      <c r="G39" s="3223"/>
      <c r="H39" s="2629" t="s">
        <v>15053</v>
      </c>
      <c r="I39" s="3232" t="s">
        <v>15156</v>
      </c>
      <c r="J39" s="3231"/>
      <c r="K39" s="3230"/>
      <c r="L39" s="3229"/>
      <c r="M39" s="3228"/>
      <c r="N39" s="3231"/>
      <c r="O39" s="3230"/>
      <c r="P39" s="3229"/>
      <c r="Q39" s="3228"/>
    </row>
    <row r="40" spans="1:17">
      <c r="A40" s="2630" t="s">
        <v>15080</v>
      </c>
      <c r="B40" s="2623"/>
      <c r="C40" s="3227" t="s">
        <v>15146</v>
      </c>
      <c r="D40" s="3226"/>
      <c r="E40" s="3225" t="s">
        <v>15142</v>
      </c>
      <c r="F40" s="3224"/>
      <c r="G40" s="3223"/>
      <c r="H40" s="2629" t="s">
        <v>15053</v>
      </c>
      <c r="I40" s="3232" t="s">
        <v>15156</v>
      </c>
      <c r="J40" s="3231"/>
      <c r="K40" s="3230"/>
      <c r="L40" s="3229"/>
      <c r="M40" s="3228"/>
      <c r="N40" s="3231"/>
      <c r="O40" s="3230"/>
      <c r="P40" s="3229"/>
      <c r="Q40" s="3228"/>
    </row>
    <row r="41" spans="1:17">
      <c r="A41" s="2630" t="s">
        <v>15081</v>
      </c>
      <c r="B41" s="2622"/>
      <c r="C41" s="3227" t="s">
        <v>15128</v>
      </c>
      <c r="D41" s="3226" t="s">
        <v>15282</v>
      </c>
      <c r="E41" s="3225" t="s">
        <v>15278</v>
      </c>
      <c r="F41" s="3224"/>
      <c r="G41" s="3223"/>
      <c r="H41" s="2629" t="s">
        <v>15048</v>
      </c>
      <c r="I41" s="2624" t="s">
        <v>15142</v>
      </c>
      <c r="J41" s="3222"/>
      <c r="K41" s="3221"/>
      <c r="L41" s="3220"/>
      <c r="M41" s="3219"/>
      <c r="N41" s="3222"/>
      <c r="O41" s="3221"/>
      <c r="P41" s="3220"/>
      <c r="Q41" s="3219"/>
    </row>
    <row r="42" spans="1:17" hidden="1" outlineLevel="1">
      <c r="A42" s="2625"/>
      <c r="B42" s="2622" t="s">
        <v>15082</v>
      </c>
      <c r="C42" s="3227" t="s">
        <v>15128</v>
      </c>
      <c r="D42" s="3226"/>
      <c r="E42" s="3225"/>
      <c r="F42" s="3224"/>
      <c r="G42" s="3223"/>
      <c r="H42" s="2629" t="s">
        <v>15048</v>
      </c>
      <c r="I42" s="2624" t="s">
        <v>15142</v>
      </c>
      <c r="J42" s="3222"/>
      <c r="K42" s="3221"/>
      <c r="L42" s="3220"/>
      <c r="M42" s="3219"/>
      <c r="N42" s="3222"/>
      <c r="O42" s="3221"/>
      <c r="P42" s="3220"/>
      <c r="Q42" s="3219"/>
    </row>
    <row r="43" spans="1:17" ht="25.5" hidden="1" outlineLevel="1">
      <c r="A43" s="2625"/>
      <c r="B43" s="2622" t="s">
        <v>15083</v>
      </c>
      <c r="C43" s="3227" t="s">
        <v>15128</v>
      </c>
      <c r="D43" s="3226"/>
      <c r="E43" s="3225"/>
      <c r="F43" s="3224"/>
      <c r="G43" s="3223"/>
      <c r="H43" s="2629" t="s">
        <v>15048</v>
      </c>
      <c r="I43" s="2624" t="s">
        <v>15142</v>
      </c>
      <c r="J43" s="3222"/>
      <c r="K43" s="3221"/>
      <c r="L43" s="3220"/>
      <c r="M43" s="3219"/>
      <c r="N43" s="3222"/>
      <c r="O43" s="3221"/>
      <c r="P43" s="3220"/>
      <c r="Q43" s="3219"/>
    </row>
    <row r="44" spans="1:17" collapsed="1">
      <c r="A44" s="2630" t="s">
        <v>15084</v>
      </c>
      <c r="B44" s="2622"/>
      <c r="C44" s="3227" t="s">
        <v>15146</v>
      </c>
      <c r="D44" s="3226"/>
      <c r="E44" s="3225" t="s">
        <v>15142</v>
      </c>
      <c r="F44" s="3224"/>
      <c r="G44" s="3223"/>
      <c r="H44" s="2629" t="s">
        <v>15053</v>
      </c>
      <c r="I44" s="3232" t="s">
        <v>15156</v>
      </c>
      <c r="J44" s="3231"/>
      <c r="K44" s="3230"/>
      <c r="L44" s="3229"/>
      <c r="M44" s="3228"/>
      <c r="N44" s="3231"/>
      <c r="O44" s="3230"/>
      <c r="P44" s="3229"/>
      <c r="Q44" s="3228"/>
    </row>
    <row r="45" spans="1:17">
      <c r="A45" s="2630" t="s">
        <v>15085</v>
      </c>
      <c r="B45" s="2622"/>
      <c r="C45" s="3227" t="s">
        <v>15128</v>
      </c>
      <c r="D45" s="3236" t="s">
        <v>15281</v>
      </c>
      <c r="E45" s="3235" t="s">
        <v>15143</v>
      </c>
      <c r="F45" s="3234">
        <v>1.1399999999999999</v>
      </c>
      <c r="G45" s="3233"/>
      <c r="H45" s="2629" t="s">
        <v>15053</v>
      </c>
      <c r="I45" s="3232" t="s">
        <v>15156</v>
      </c>
      <c r="J45" s="3231"/>
      <c r="K45" s="3230"/>
      <c r="L45" s="3229"/>
      <c r="M45" s="3228"/>
      <c r="N45" s="3231"/>
      <c r="O45" s="3230"/>
      <c r="P45" s="3229"/>
      <c r="Q45" s="3228"/>
    </row>
    <row r="46" spans="1:17">
      <c r="A46" s="2630" t="s">
        <v>15086</v>
      </c>
      <c r="B46" s="2622"/>
      <c r="C46" s="3227" t="s">
        <v>15128</v>
      </c>
      <c r="D46" s="3236" t="s">
        <v>15280</v>
      </c>
      <c r="E46" s="3235" t="s">
        <v>15143</v>
      </c>
      <c r="F46" s="3234"/>
      <c r="G46" s="3233"/>
      <c r="H46" s="2629" t="s">
        <v>15053</v>
      </c>
      <c r="I46" s="3232" t="s">
        <v>15156</v>
      </c>
      <c r="J46" s="3231"/>
      <c r="K46" s="3230"/>
      <c r="L46" s="3229"/>
      <c r="M46" s="3228"/>
      <c r="N46" s="3231"/>
      <c r="O46" s="3230"/>
      <c r="P46" s="3229"/>
      <c r="Q46" s="3228"/>
    </row>
    <row r="47" spans="1:17">
      <c r="A47" s="2630" t="s">
        <v>15087</v>
      </c>
      <c r="B47" s="2622"/>
      <c r="C47" s="3227" t="s">
        <v>15146</v>
      </c>
      <c r="D47" s="3226"/>
      <c r="E47" s="3225" t="s">
        <v>15142</v>
      </c>
      <c r="F47" s="3224"/>
      <c r="G47" s="3223"/>
      <c r="H47" s="2629" t="s">
        <v>15053</v>
      </c>
      <c r="I47" s="3232" t="s">
        <v>15156</v>
      </c>
      <c r="J47" s="3231"/>
      <c r="K47" s="3230"/>
      <c r="L47" s="3229"/>
      <c r="M47" s="3228"/>
      <c r="N47" s="3231"/>
      <c r="O47" s="3230"/>
      <c r="P47" s="3229"/>
      <c r="Q47" s="3228"/>
    </row>
    <row r="48" spans="1:17">
      <c r="A48" s="2630" t="s">
        <v>15088</v>
      </c>
      <c r="B48" s="2622"/>
      <c r="C48" s="3227" t="s">
        <v>15146</v>
      </c>
      <c r="D48" s="3226"/>
      <c r="E48" s="3225" t="s">
        <v>15142</v>
      </c>
      <c r="F48" s="3224"/>
      <c r="G48" s="3223"/>
      <c r="H48" s="2629" t="s">
        <v>15053</v>
      </c>
      <c r="I48" s="3232" t="s">
        <v>15156</v>
      </c>
      <c r="J48" s="3231"/>
      <c r="K48" s="3230"/>
      <c r="L48" s="3229"/>
      <c r="M48" s="3228"/>
      <c r="N48" s="3231"/>
      <c r="O48" s="3230"/>
      <c r="P48" s="3229"/>
      <c r="Q48" s="3228"/>
    </row>
    <row r="49" spans="1:17">
      <c r="A49" s="2630" t="s">
        <v>15089</v>
      </c>
      <c r="B49" s="2622"/>
      <c r="C49" s="3227" t="s">
        <v>15128</v>
      </c>
      <c r="D49" s="3226" t="s">
        <v>15279</v>
      </c>
      <c r="E49" s="3225" t="s">
        <v>15278</v>
      </c>
      <c r="F49" s="3224"/>
      <c r="G49" s="3223"/>
      <c r="H49" s="2629" t="s">
        <v>15053</v>
      </c>
      <c r="I49" s="3232" t="s">
        <v>15156</v>
      </c>
      <c r="J49" s="3231"/>
      <c r="K49" s="3230"/>
      <c r="L49" s="3229"/>
      <c r="M49" s="3228"/>
      <c r="N49" s="3231"/>
      <c r="O49" s="3230"/>
      <c r="P49" s="3229"/>
      <c r="Q49" s="3228"/>
    </row>
    <row r="50" spans="1:17">
      <c r="A50" s="2630" t="s">
        <v>15090</v>
      </c>
      <c r="B50" s="2622"/>
      <c r="C50" s="3227" t="s">
        <v>15146</v>
      </c>
      <c r="D50" s="3226"/>
      <c r="E50" s="3225" t="s">
        <v>15142</v>
      </c>
      <c r="F50" s="3224"/>
      <c r="G50" s="3223"/>
      <c r="H50" s="2629" t="s">
        <v>15053</v>
      </c>
      <c r="I50" s="3232" t="s">
        <v>15156</v>
      </c>
      <c r="J50" s="3231"/>
      <c r="K50" s="3230"/>
      <c r="L50" s="3229"/>
      <c r="M50" s="3228"/>
      <c r="N50" s="3231"/>
      <c r="O50" s="3230"/>
      <c r="P50" s="3229"/>
      <c r="Q50" s="3228"/>
    </row>
    <row r="51" spans="1:17">
      <c r="A51" s="2630" t="s">
        <v>15091</v>
      </c>
      <c r="B51" s="2622"/>
      <c r="C51" s="3227" t="s">
        <v>15128</v>
      </c>
      <c r="D51" s="3403" t="s">
        <v>15277</v>
      </c>
      <c r="E51" s="3235" t="s">
        <v>15143</v>
      </c>
      <c r="F51" s="3234"/>
      <c r="G51" s="3233"/>
      <c r="H51" s="2629" t="s">
        <v>15053</v>
      </c>
      <c r="I51" s="3232" t="s">
        <v>15156</v>
      </c>
      <c r="J51" s="3231"/>
      <c r="K51" s="3230"/>
      <c r="L51" s="3229"/>
      <c r="M51" s="3228"/>
      <c r="N51" s="3231"/>
      <c r="O51" s="3230"/>
      <c r="P51" s="3229"/>
      <c r="Q51" s="3228"/>
    </row>
    <row r="52" spans="1:17" ht="25.5">
      <c r="A52" s="2630" t="s">
        <v>15144</v>
      </c>
      <c r="B52" s="2622"/>
      <c r="C52" s="3227" t="s">
        <v>15128</v>
      </c>
      <c r="D52" s="3404"/>
      <c r="E52" s="3235" t="s">
        <v>15143</v>
      </c>
      <c r="F52" s="3234">
        <f>22704/1000</f>
        <v>22.704000000000001</v>
      </c>
      <c r="G52" s="3233"/>
      <c r="H52" s="2629" t="s">
        <v>15048</v>
      </c>
      <c r="I52" s="2624" t="s">
        <v>15142</v>
      </c>
      <c r="J52" s="3222"/>
      <c r="K52" s="3221"/>
      <c r="L52" s="3220"/>
      <c r="M52" s="3219"/>
      <c r="N52" s="3222"/>
      <c r="O52" s="3221"/>
      <c r="P52" s="3220"/>
      <c r="Q52" s="3219"/>
    </row>
    <row r="53" spans="1:17">
      <c r="A53" s="2630" t="s">
        <v>15092</v>
      </c>
      <c r="B53" s="2623"/>
      <c r="C53" s="3227" t="s">
        <v>15146</v>
      </c>
      <c r="D53" s="3226"/>
      <c r="E53" s="3225" t="s">
        <v>15142</v>
      </c>
      <c r="F53" s="3224"/>
      <c r="G53" s="3223"/>
      <c r="H53" s="2629" t="s">
        <v>15053</v>
      </c>
      <c r="I53" s="3232" t="s">
        <v>15156</v>
      </c>
      <c r="J53" s="3231"/>
      <c r="K53" s="3230"/>
      <c r="L53" s="3229"/>
      <c r="M53" s="3228"/>
      <c r="N53" s="3231"/>
      <c r="O53" s="3230"/>
      <c r="P53" s="3229"/>
      <c r="Q53" s="3228"/>
    </row>
    <row r="54" spans="1:17">
      <c r="A54" s="2630" t="s">
        <v>15093</v>
      </c>
      <c r="B54" s="2623"/>
      <c r="C54" s="3227" t="s">
        <v>15146</v>
      </c>
      <c r="D54" s="3226"/>
      <c r="E54" s="3225" t="s">
        <v>15142</v>
      </c>
      <c r="F54" s="3224"/>
      <c r="G54" s="3223"/>
      <c r="H54" s="2629" t="s">
        <v>15053</v>
      </c>
      <c r="I54" s="3232" t="s">
        <v>15156</v>
      </c>
      <c r="J54" s="3231"/>
      <c r="K54" s="3230"/>
      <c r="L54" s="3229"/>
      <c r="M54" s="3228"/>
      <c r="N54" s="3231"/>
      <c r="O54" s="3230"/>
      <c r="P54" s="3229"/>
      <c r="Q54" s="3228"/>
    </row>
    <row r="55" spans="1:17">
      <c r="A55" s="2630" t="s">
        <v>15094</v>
      </c>
      <c r="B55" s="2622"/>
      <c r="C55" s="3227" t="s">
        <v>15146</v>
      </c>
      <c r="D55" s="3226"/>
      <c r="E55" s="3225" t="s">
        <v>15142</v>
      </c>
      <c r="F55" s="3224"/>
      <c r="G55" s="3223"/>
      <c r="H55" s="2629" t="s">
        <v>15053</v>
      </c>
      <c r="I55" s="3232" t="s">
        <v>15156</v>
      </c>
      <c r="J55" s="3231"/>
      <c r="K55" s="3230"/>
      <c r="L55" s="3229"/>
      <c r="M55" s="3228"/>
      <c r="N55" s="3231"/>
      <c r="O55" s="3230"/>
      <c r="P55" s="3229"/>
      <c r="Q55" s="3228"/>
    </row>
    <row r="56" spans="1:17">
      <c r="A56" s="2630" t="s">
        <v>15095</v>
      </c>
      <c r="B56" s="2623"/>
      <c r="C56" s="3227" t="s">
        <v>15146</v>
      </c>
      <c r="D56" s="3226"/>
      <c r="E56" s="3225" t="s">
        <v>15142</v>
      </c>
      <c r="F56" s="3224"/>
      <c r="G56" s="3223"/>
      <c r="H56" s="2629" t="s">
        <v>15053</v>
      </c>
      <c r="I56" s="3232" t="s">
        <v>15156</v>
      </c>
      <c r="J56" s="3231"/>
      <c r="K56" s="3230"/>
      <c r="L56" s="3229"/>
      <c r="M56" s="3228"/>
      <c r="N56" s="3231"/>
      <c r="O56" s="3230"/>
      <c r="P56" s="3229"/>
      <c r="Q56" s="3228"/>
    </row>
    <row r="57" spans="1:17">
      <c r="A57" s="2630" t="s">
        <v>15096</v>
      </c>
      <c r="B57" s="2622"/>
      <c r="C57" s="3227" t="s">
        <v>15128</v>
      </c>
      <c r="D57" s="3236" t="s">
        <v>15276</v>
      </c>
      <c r="E57" s="3235" t="s">
        <v>15143</v>
      </c>
      <c r="F57" s="3234">
        <f>13898/1000</f>
        <v>13.898</v>
      </c>
      <c r="G57" s="3233"/>
      <c r="H57" s="2629" t="s">
        <v>15053</v>
      </c>
      <c r="I57" s="3232" t="s">
        <v>15156</v>
      </c>
      <c r="J57" s="3231"/>
      <c r="K57" s="3230"/>
      <c r="L57" s="3229"/>
      <c r="M57" s="3228"/>
      <c r="N57" s="3231"/>
      <c r="O57" s="3230"/>
      <c r="P57" s="3229"/>
      <c r="Q57" s="3228"/>
    </row>
    <row r="58" spans="1:17" ht="51">
      <c r="A58" s="2630" t="s">
        <v>15097</v>
      </c>
      <c r="B58" s="2622"/>
      <c r="C58" s="3227" t="s">
        <v>15128</v>
      </c>
      <c r="D58" s="3236" t="s">
        <v>15174</v>
      </c>
      <c r="E58" s="3235" t="s">
        <v>15143</v>
      </c>
      <c r="F58" s="3389">
        <f>35928/1000</f>
        <v>35.927999999999997</v>
      </c>
      <c r="G58" s="3391"/>
      <c r="H58" s="2629" t="s">
        <v>15098</v>
      </c>
      <c r="I58" s="3259" t="s">
        <v>15147</v>
      </c>
      <c r="J58" s="3419">
        <f>20015/1000</f>
        <v>20.015000000000001</v>
      </c>
      <c r="K58" s="3263"/>
      <c r="L58" s="3262"/>
      <c r="M58" s="3261"/>
      <c r="N58" s="3260"/>
      <c r="O58" s="3417"/>
      <c r="P58" s="3389"/>
      <c r="Q58" s="3393"/>
    </row>
    <row r="59" spans="1:17">
      <c r="A59" s="2630" t="s">
        <v>15099</v>
      </c>
      <c r="B59" s="2623"/>
      <c r="C59" s="3227" t="s">
        <v>15128</v>
      </c>
      <c r="D59" s="3236" t="s">
        <v>15275</v>
      </c>
      <c r="E59" s="3235" t="s">
        <v>15143</v>
      </c>
      <c r="F59" s="3390"/>
      <c r="G59" s="3392"/>
      <c r="H59" s="2629" t="s">
        <v>15098</v>
      </c>
      <c r="I59" s="3259" t="s">
        <v>15143</v>
      </c>
      <c r="J59" s="3420"/>
      <c r="K59" s="3258"/>
      <c r="L59" s="3257"/>
      <c r="M59" s="3256"/>
      <c r="N59" s="3255"/>
      <c r="O59" s="3418"/>
      <c r="P59" s="3390"/>
      <c r="Q59" s="3394"/>
    </row>
    <row r="60" spans="1:17">
      <c r="A60" s="2630" t="s">
        <v>15100</v>
      </c>
      <c r="B60" s="2623"/>
      <c r="C60" s="3227" t="s">
        <v>15146</v>
      </c>
      <c r="D60" s="3226"/>
      <c r="E60" s="3225" t="s">
        <v>15142</v>
      </c>
      <c r="F60" s="3224"/>
      <c r="G60" s="3223"/>
      <c r="H60" s="2629" t="s">
        <v>15053</v>
      </c>
      <c r="I60" s="3232" t="s">
        <v>15156</v>
      </c>
      <c r="J60" s="3231"/>
      <c r="K60" s="3230"/>
      <c r="L60" s="3229"/>
      <c r="M60" s="3228"/>
      <c r="N60" s="3231"/>
      <c r="O60" s="3230"/>
      <c r="P60" s="3229"/>
      <c r="Q60" s="3228"/>
    </row>
    <row r="61" spans="1:17">
      <c r="A61" s="2630" t="s">
        <v>15101</v>
      </c>
      <c r="B61" s="2622"/>
      <c r="C61" s="3227" t="s">
        <v>15128</v>
      </c>
      <c r="D61" s="3236" t="s">
        <v>15274</v>
      </c>
      <c r="E61" s="3235" t="s">
        <v>15143</v>
      </c>
      <c r="F61" s="3234">
        <f>1185/1000</f>
        <v>1.1850000000000001</v>
      </c>
      <c r="G61" s="3233"/>
      <c r="H61" s="2629" t="s">
        <v>15053</v>
      </c>
      <c r="I61" s="3232" t="s">
        <v>15156</v>
      </c>
      <c r="J61" s="3231"/>
      <c r="K61" s="3230"/>
      <c r="L61" s="3229"/>
      <c r="M61" s="3228"/>
      <c r="N61" s="3231"/>
      <c r="O61" s="3230"/>
      <c r="P61" s="3229"/>
      <c r="Q61" s="3228"/>
    </row>
    <row r="62" spans="1:17">
      <c r="A62" s="2630" t="s">
        <v>15102</v>
      </c>
      <c r="B62" s="2623"/>
      <c r="C62" s="3227" t="s">
        <v>15146</v>
      </c>
      <c r="D62" s="3226"/>
      <c r="E62" s="3225" t="s">
        <v>15142</v>
      </c>
      <c r="F62" s="3224"/>
      <c r="G62" s="3223"/>
      <c r="H62" s="2629" t="s">
        <v>15053</v>
      </c>
      <c r="I62" s="3232" t="s">
        <v>15156</v>
      </c>
      <c r="J62" s="3231"/>
      <c r="K62" s="3230"/>
      <c r="L62" s="3229"/>
      <c r="M62" s="3228"/>
      <c r="N62" s="3231"/>
      <c r="O62" s="3230"/>
      <c r="P62" s="3229"/>
      <c r="Q62" s="3228"/>
    </row>
    <row r="63" spans="1:17">
      <c r="A63" s="2630" t="s">
        <v>15103</v>
      </c>
      <c r="B63" s="2622"/>
      <c r="C63" s="3227" t="s">
        <v>15128</v>
      </c>
      <c r="D63" s="3236" t="s">
        <v>15273</v>
      </c>
      <c r="E63" s="3235" t="s">
        <v>15143</v>
      </c>
      <c r="F63" s="3234">
        <f>4031/1000</f>
        <v>4.0309999999999997</v>
      </c>
      <c r="G63" s="3233"/>
      <c r="H63" s="2629" t="s">
        <v>15053</v>
      </c>
      <c r="I63" s="3232" t="s">
        <v>15156</v>
      </c>
      <c r="J63" s="3231"/>
      <c r="K63" s="3230"/>
      <c r="L63" s="3229"/>
      <c r="M63" s="3228"/>
      <c r="N63" s="3231"/>
      <c r="O63" s="3230"/>
      <c r="P63" s="3229"/>
      <c r="Q63" s="3228"/>
    </row>
    <row r="64" spans="1:17">
      <c r="A64" s="2630" t="s">
        <v>15104</v>
      </c>
      <c r="B64" s="2622"/>
      <c r="C64" s="3227" t="s">
        <v>15146</v>
      </c>
      <c r="D64" s="3226"/>
      <c r="E64" s="3225" t="s">
        <v>15142</v>
      </c>
      <c r="F64" s="3224"/>
      <c r="G64" s="3223"/>
      <c r="H64" s="2629" t="s">
        <v>15048</v>
      </c>
      <c r="I64" s="2624" t="s">
        <v>15142</v>
      </c>
      <c r="J64" s="3222"/>
      <c r="K64" s="3221"/>
      <c r="L64" s="3220"/>
      <c r="M64" s="3219"/>
      <c r="N64" s="3222"/>
      <c r="O64" s="3221"/>
      <c r="P64" s="3220"/>
      <c r="Q64" s="3219"/>
    </row>
    <row r="65" spans="1:17">
      <c r="A65" s="2630" t="s">
        <v>15105</v>
      </c>
      <c r="B65" s="2623"/>
      <c r="C65" s="3227" t="s">
        <v>15146</v>
      </c>
      <c r="D65" s="3226"/>
      <c r="E65" s="3225" t="s">
        <v>15142</v>
      </c>
      <c r="F65" s="3224"/>
      <c r="G65" s="3223"/>
      <c r="H65" s="2629" t="s">
        <v>15053</v>
      </c>
      <c r="I65" s="3232" t="s">
        <v>15156</v>
      </c>
      <c r="J65" s="3231"/>
      <c r="K65" s="3230"/>
      <c r="L65" s="3229"/>
      <c r="M65" s="3228"/>
      <c r="N65" s="3231"/>
      <c r="O65" s="3230"/>
      <c r="P65" s="3229"/>
      <c r="Q65" s="3228"/>
    </row>
    <row r="66" spans="1:17">
      <c r="A66" s="2630" t="s">
        <v>15106</v>
      </c>
      <c r="B66" s="2623"/>
      <c r="C66" s="3227" t="s">
        <v>15146</v>
      </c>
      <c r="D66" s="3226"/>
      <c r="E66" s="3225" t="s">
        <v>15142</v>
      </c>
      <c r="F66" s="3224"/>
      <c r="G66" s="3223"/>
      <c r="H66" s="2629" t="s">
        <v>15053</v>
      </c>
      <c r="I66" s="3232" t="s">
        <v>15156</v>
      </c>
      <c r="J66" s="3231"/>
      <c r="K66" s="3230"/>
      <c r="L66" s="3229"/>
      <c r="M66" s="3228"/>
      <c r="N66" s="3231"/>
      <c r="O66" s="3230"/>
      <c r="P66" s="3229"/>
      <c r="Q66" s="3228"/>
    </row>
    <row r="67" spans="1:17">
      <c r="A67" s="2630" t="s">
        <v>15107</v>
      </c>
      <c r="B67" s="2623"/>
      <c r="C67" s="3227" t="s">
        <v>15146</v>
      </c>
      <c r="D67" s="3226"/>
      <c r="E67" s="3225" t="s">
        <v>15142</v>
      </c>
      <c r="F67" s="3224"/>
      <c r="G67" s="3223"/>
      <c r="H67" s="2629" t="s">
        <v>15053</v>
      </c>
      <c r="I67" s="3232" t="s">
        <v>15156</v>
      </c>
      <c r="J67" s="3231"/>
      <c r="K67" s="3230"/>
      <c r="L67" s="3229"/>
      <c r="M67" s="3228"/>
      <c r="N67" s="3231"/>
      <c r="O67" s="3230"/>
      <c r="P67" s="3229"/>
      <c r="Q67" s="3228"/>
    </row>
    <row r="68" spans="1:17">
      <c r="A68" s="2630" t="s">
        <v>15108</v>
      </c>
      <c r="B68" s="2623"/>
      <c r="C68" s="3227" t="s">
        <v>15146</v>
      </c>
      <c r="D68" s="3226"/>
      <c r="E68" s="3225" t="s">
        <v>15142</v>
      </c>
      <c r="F68" s="3224"/>
      <c r="G68" s="3223"/>
      <c r="H68" s="2629" t="s">
        <v>15053</v>
      </c>
      <c r="I68" s="3232" t="s">
        <v>15156</v>
      </c>
      <c r="J68" s="3231"/>
      <c r="K68" s="3230"/>
      <c r="L68" s="3229"/>
      <c r="M68" s="3228"/>
      <c r="N68" s="3231"/>
      <c r="O68" s="3230"/>
      <c r="P68" s="3229"/>
      <c r="Q68" s="3228"/>
    </row>
    <row r="69" spans="1:17">
      <c r="A69" s="2630" t="s">
        <v>15109</v>
      </c>
      <c r="B69" s="2623"/>
      <c r="C69" s="3227" t="s">
        <v>15146</v>
      </c>
      <c r="D69" s="3226"/>
      <c r="E69" s="3225" t="s">
        <v>15142</v>
      </c>
      <c r="F69" s="3224"/>
      <c r="G69" s="3223"/>
      <c r="H69" s="2629" t="s">
        <v>15053</v>
      </c>
      <c r="I69" s="3232" t="s">
        <v>15156</v>
      </c>
      <c r="J69" s="3231"/>
      <c r="K69" s="3230"/>
      <c r="L69" s="3229"/>
      <c r="M69" s="3228"/>
      <c r="N69" s="3231"/>
      <c r="O69" s="3230"/>
      <c r="P69" s="3229"/>
      <c r="Q69" s="3228"/>
    </row>
    <row r="70" spans="1:17">
      <c r="A70" s="2630" t="s">
        <v>15110</v>
      </c>
      <c r="B70" s="2623"/>
      <c r="C70" s="3227" t="s">
        <v>15146</v>
      </c>
      <c r="D70" s="3226"/>
      <c r="E70" s="3225" t="s">
        <v>15142</v>
      </c>
      <c r="F70" s="3224"/>
      <c r="G70" s="3223"/>
      <c r="H70" s="2629" t="s">
        <v>15053</v>
      </c>
      <c r="I70" s="3232" t="s">
        <v>15156</v>
      </c>
      <c r="J70" s="3231"/>
      <c r="K70" s="3230"/>
      <c r="L70" s="3229"/>
      <c r="M70" s="3228"/>
      <c r="N70" s="3231"/>
      <c r="O70" s="3230"/>
      <c r="P70" s="3229"/>
      <c r="Q70" s="3228"/>
    </row>
    <row r="71" spans="1:17">
      <c r="A71" s="2630" t="s">
        <v>15111</v>
      </c>
      <c r="B71" s="2622"/>
      <c r="C71" s="3227" t="s">
        <v>15146</v>
      </c>
      <c r="D71" s="3226"/>
      <c r="E71" s="3225" t="s">
        <v>15142</v>
      </c>
      <c r="F71" s="3224"/>
      <c r="G71" s="3223"/>
      <c r="H71" s="2629" t="s">
        <v>15048</v>
      </c>
      <c r="I71" s="2624" t="s">
        <v>15142</v>
      </c>
      <c r="J71" s="3222"/>
      <c r="K71" s="3221"/>
      <c r="L71" s="3220"/>
      <c r="M71" s="3219"/>
      <c r="N71" s="3222"/>
      <c r="O71" s="3221"/>
      <c r="P71" s="3220"/>
      <c r="Q71" s="3219"/>
    </row>
    <row r="72" spans="1:17" ht="25.5">
      <c r="A72" s="2630" t="s">
        <v>15112</v>
      </c>
      <c r="B72" s="2622"/>
      <c r="C72" s="3227" t="s">
        <v>15128</v>
      </c>
      <c r="D72" s="3236" t="s">
        <v>15272</v>
      </c>
      <c r="E72" s="3235" t="s">
        <v>15143</v>
      </c>
      <c r="F72" s="3234">
        <f>2927/1000</f>
        <v>2.927</v>
      </c>
      <c r="G72" s="3233"/>
      <c r="H72" s="2629" t="s">
        <v>15053</v>
      </c>
      <c r="I72" s="3232" t="s">
        <v>15156</v>
      </c>
      <c r="J72" s="3231"/>
      <c r="K72" s="3230"/>
      <c r="L72" s="3229"/>
      <c r="M72" s="3228"/>
      <c r="N72" s="3231"/>
      <c r="O72" s="3230"/>
      <c r="P72" s="3229"/>
      <c r="Q72" s="3228"/>
    </row>
    <row r="73" spans="1:17" ht="25.5">
      <c r="A73" s="2630" t="s">
        <v>15113</v>
      </c>
      <c r="B73" s="2622"/>
      <c r="C73" s="3227" t="s">
        <v>15128</v>
      </c>
      <c r="D73" s="3236" t="s">
        <v>15171</v>
      </c>
      <c r="E73" s="3235" t="s">
        <v>15143</v>
      </c>
      <c r="F73" s="3389">
        <f>3552/1000</f>
        <v>3.552</v>
      </c>
      <c r="G73" s="3391"/>
      <c r="H73" s="2629" t="s">
        <v>15053</v>
      </c>
      <c r="I73" s="3232" t="s">
        <v>15156</v>
      </c>
      <c r="J73" s="3231"/>
      <c r="K73" s="3230"/>
      <c r="L73" s="3229"/>
      <c r="M73" s="3228"/>
      <c r="N73" s="3231"/>
      <c r="O73" s="3230"/>
      <c r="P73" s="3229"/>
      <c r="Q73" s="3228"/>
    </row>
    <row r="74" spans="1:17" ht="25.5">
      <c r="A74" s="2630" t="s">
        <v>15114</v>
      </c>
      <c r="B74" s="2622"/>
      <c r="C74" s="3227" t="s">
        <v>15128</v>
      </c>
      <c r="D74" s="3236" t="s">
        <v>15171</v>
      </c>
      <c r="E74" s="3235" t="s">
        <v>15143</v>
      </c>
      <c r="F74" s="3390"/>
      <c r="G74" s="3392"/>
      <c r="H74" s="2629" t="s">
        <v>15053</v>
      </c>
      <c r="I74" s="3232" t="s">
        <v>15156</v>
      </c>
      <c r="J74" s="3231"/>
      <c r="K74" s="3230"/>
      <c r="L74" s="3229"/>
      <c r="M74" s="3228"/>
      <c r="N74" s="3231"/>
      <c r="O74" s="3230"/>
      <c r="P74" s="3229"/>
      <c r="Q74" s="3228"/>
    </row>
    <row r="75" spans="1:17">
      <c r="A75" s="2630" t="s">
        <v>15115</v>
      </c>
      <c r="B75" s="2623"/>
      <c r="C75" s="3227" t="s">
        <v>15146</v>
      </c>
      <c r="D75" s="3226"/>
      <c r="E75" s="3225" t="s">
        <v>15142</v>
      </c>
      <c r="F75" s="3224"/>
      <c r="G75" s="3223"/>
      <c r="H75" s="2629" t="s">
        <v>15053</v>
      </c>
      <c r="I75" s="3232" t="s">
        <v>15156</v>
      </c>
      <c r="J75" s="3231"/>
      <c r="K75" s="3230"/>
      <c r="L75" s="3229"/>
      <c r="M75" s="3228"/>
      <c r="N75" s="3231"/>
      <c r="O75" s="3230"/>
      <c r="P75" s="3229"/>
      <c r="Q75" s="3228"/>
    </row>
    <row r="76" spans="1:17">
      <c r="A76" s="2630" t="s">
        <v>15116</v>
      </c>
      <c r="B76" s="2623"/>
      <c r="C76" s="3227" t="s">
        <v>15146</v>
      </c>
      <c r="D76" s="3226"/>
      <c r="E76" s="3225" t="s">
        <v>15142</v>
      </c>
      <c r="F76" s="3224"/>
      <c r="G76" s="3223"/>
      <c r="H76" s="2629" t="s">
        <v>15053</v>
      </c>
      <c r="I76" s="3232" t="s">
        <v>15156</v>
      </c>
      <c r="J76" s="3231"/>
      <c r="K76" s="3230"/>
      <c r="L76" s="3229"/>
      <c r="M76" s="3228"/>
      <c r="N76" s="3231"/>
      <c r="O76" s="3230"/>
      <c r="P76" s="3229"/>
      <c r="Q76" s="3228"/>
    </row>
    <row r="77" spans="1:17">
      <c r="A77" s="2630" t="s">
        <v>15117</v>
      </c>
      <c r="B77" s="2623"/>
      <c r="C77" s="3227" t="s">
        <v>15146</v>
      </c>
      <c r="D77" s="3226"/>
      <c r="E77" s="3225" t="s">
        <v>15142</v>
      </c>
      <c r="F77" s="3224"/>
      <c r="G77" s="3223"/>
      <c r="H77" s="2629" t="s">
        <v>15053</v>
      </c>
      <c r="I77" s="3232" t="s">
        <v>15156</v>
      </c>
      <c r="J77" s="3231"/>
      <c r="K77" s="3230"/>
      <c r="L77" s="3229"/>
      <c r="M77" s="3228"/>
      <c r="N77" s="3231"/>
      <c r="O77" s="3230"/>
      <c r="P77" s="3229"/>
      <c r="Q77" s="3228"/>
    </row>
    <row r="78" spans="1:17" ht="25.5">
      <c r="A78" s="2630" t="s">
        <v>15118</v>
      </c>
      <c r="B78" s="2622"/>
      <c r="C78" s="3227" t="s">
        <v>15128</v>
      </c>
      <c r="D78" s="3236" t="s">
        <v>15271</v>
      </c>
      <c r="E78" s="3235" t="s">
        <v>15143</v>
      </c>
      <c r="F78" s="3234">
        <v>0</v>
      </c>
      <c r="G78" s="3233"/>
      <c r="H78" s="2629" t="s">
        <v>15053</v>
      </c>
      <c r="I78" s="3232" t="s">
        <v>15156</v>
      </c>
      <c r="J78" s="3231"/>
      <c r="K78" s="3230"/>
      <c r="L78" s="3229"/>
      <c r="M78" s="3228"/>
      <c r="N78" s="3231"/>
      <c r="O78" s="3230"/>
      <c r="P78" s="3229"/>
      <c r="Q78" s="3228"/>
    </row>
    <row r="79" spans="1:17">
      <c r="A79" s="2630" t="s">
        <v>15119</v>
      </c>
      <c r="B79" s="2622"/>
      <c r="C79" s="3227" t="s">
        <v>15128</v>
      </c>
      <c r="D79" s="3236" t="s">
        <v>15170</v>
      </c>
      <c r="E79" s="3235" t="s">
        <v>15143</v>
      </c>
      <c r="F79" s="3234">
        <f>1590.12/1000</f>
        <v>1.59012</v>
      </c>
      <c r="G79" s="3233"/>
      <c r="H79" s="2629" t="s">
        <v>15053</v>
      </c>
      <c r="I79" s="3232" t="s">
        <v>15156</v>
      </c>
      <c r="J79" s="3231"/>
      <c r="K79" s="3230"/>
      <c r="L79" s="3229"/>
      <c r="M79" s="3228"/>
      <c r="N79" s="3231"/>
      <c r="O79" s="3230"/>
      <c r="P79" s="3229"/>
      <c r="Q79" s="3228"/>
    </row>
    <row r="80" spans="1:17" ht="25.5">
      <c r="A80" s="2630" t="s">
        <v>15120</v>
      </c>
      <c r="B80" s="2622"/>
      <c r="C80" s="3227" t="s">
        <v>15128</v>
      </c>
      <c r="D80" s="3236" t="s">
        <v>15270</v>
      </c>
      <c r="E80" s="3235" t="s">
        <v>15143</v>
      </c>
      <c r="F80" s="3234">
        <f>881/1000</f>
        <v>0.88100000000000001</v>
      </c>
      <c r="G80" s="3233"/>
      <c r="H80" s="2629" t="s">
        <v>15053</v>
      </c>
      <c r="I80" s="3232" t="s">
        <v>15156</v>
      </c>
      <c r="J80" s="3231"/>
      <c r="K80" s="3230"/>
      <c r="L80" s="3229"/>
      <c r="M80" s="3228"/>
      <c r="N80" s="3231"/>
      <c r="O80" s="3230"/>
      <c r="P80" s="3229"/>
      <c r="Q80" s="3228"/>
    </row>
    <row r="81" spans="1:17">
      <c r="A81" s="2630" t="s">
        <v>15121</v>
      </c>
      <c r="B81" s="2623"/>
      <c r="C81" s="3227" t="s">
        <v>15146</v>
      </c>
      <c r="D81" s="3226"/>
      <c r="E81" s="3225" t="s">
        <v>15142</v>
      </c>
      <c r="F81" s="3224"/>
      <c r="G81" s="3223"/>
      <c r="H81" s="2629" t="s">
        <v>15053</v>
      </c>
      <c r="I81" s="3232" t="s">
        <v>15156</v>
      </c>
      <c r="J81" s="3231"/>
      <c r="K81" s="3230"/>
      <c r="L81" s="3229"/>
      <c r="M81" s="3228"/>
      <c r="N81" s="3231"/>
      <c r="O81" s="3230"/>
      <c r="P81" s="3229"/>
      <c r="Q81" s="3228"/>
    </row>
    <row r="82" spans="1:17">
      <c r="A82" s="2630" t="s">
        <v>15122</v>
      </c>
      <c r="B82" s="2623"/>
      <c r="C82" s="3227" t="s">
        <v>15146</v>
      </c>
      <c r="D82" s="3226"/>
      <c r="E82" s="3225" t="s">
        <v>15142</v>
      </c>
      <c r="F82" s="3224"/>
      <c r="G82" s="3223"/>
      <c r="H82" s="2629" t="s">
        <v>15053</v>
      </c>
      <c r="I82" s="3232" t="s">
        <v>15156</v>
      </c>
      <c r="J82" s="3231"/>
      <c r="K82" s="3230"/>
      <c r="L82" s="3229"/>
      <c r="M82" s="3228"/>
      <c r="N82" s="3231"/>
      <c r="O82" s="3230"/>
      <c r="P82" s="3229"/>
      <c r="Q82" s="3228"/>
    </row>
    <row r="83" spans="1:17">
      <c r="A83" s="2630" t="s">
        <v>15123</v>
      </c>
      <c r="B83" s="2623"/>
      <c r="C83" s="3227" t="s">
        <v>15146</v>
      </c>
      <c r="D83" s="3226"/>
      <c r="E83" s="3225" t="s">
        <v>15142</v>
      </c>
      <c r="F83" s="3224"/>
      <c r="G83" s="3223"/>
      <c r="H83" s="2629" t="s">
        <v>15053</v>
      </c>
      <c r="I83" s="3232" t="s">
        <v>15156</v>
      </c>
      <c r="J83" s="3231"/>
      <c r="K83" s="3230"/>
      <c r="L83" s="3229"/>
      <c r="M83" s="3228"/>
      <c r="N83" s="3231"/>
      <c r="O83" s="3230"/>
      <c r="P83" s="3229"/>
      <c r="Q83" s="3228"/>
    </row>
    <row r="84" spans="1:17">
      <c r="A84" s="2630" t="s">
        <v>15124</v>
      </c>
      <c r="B84" s="2623"/>
      <c r="C84" s="3227" t="s">
        <v>15146</v>
      </c>
      <c r="D84" s="3226"/>
      <c r="E84" s="3225" t="s">
        <v>15142</v>
      </c>
      <c r="F84" s="3224"/>
      <c r="G84" s="3223"/>
      <c r="H84" s="2629" t="s">
        <v>15053</v>
      </c>
      <c r="I84" s="3232" t="s">
        <v>15156</v>
      </c>
      <c r="J84" s="3231"/>
      <c r="K84" s="3230"/>
      <c r="L84" s="3229"/>
      <c r="M84" s="3228"/>
      <c r="N84" s="3231"/>
      <c r="O84" s="3230"/>
      <c r="P84" s="3229"/>
      <c r="Q84" s="3228"/>
    </row>
    <row r="85" spans="1:17">
      <c r="A85" s="2630" t="s">
        <v>15125</v>
      </c>
      <c r="B85" s="2623"/>
      <c r="C85" s="3227" t="s">
        <v>15146</v>
      </c>
      <c r="D85" s="3226"/>
      <c r="E85" s="3225" t="s">
        <v>15142</v>
      </c>
      <c r="F85" s="3224"/>
      <c r="G85" s="3223"/>
      <c r="H85" s="2629" t="s">
        <v>15053</v>
      </c>
      <c r="I85" s="3232" t="s">
        <v>15156</v>
      </c>
      <c r="J85" s="3231"/>
      <c r="K85" s="3230"/>
      <c r="L85" s="3229"/>
      <c r="M85" s="3228"/>
      <c r="N85" s="3231"/>
      <c r="O85" s="3230"/>
      <c r="P85" s="3229"/>
      <c r="Q85" s="3228"/>
    </row>
    <row r="86" spans="1:17" ht="25.5">
      <c r="A86" s="2630" t="s">
        <v>15150</v>
      </c>
      <c r="B86" s="2624"/>
      <c r="C86" s="3227" t="s">
        <v>15128</v>
      </c>
      <c r="D86" s="3236" t="s">
        <v>15269</v>
      </c>
      <c r="E86" s="3235" t="s">
        <v>15143</v>
      </c>
      <c r="F86" s="3234">
        <v>126.01300000000001</v>
      </c>
      <c r="G86" s="3233"/>
      <c r="H86" s="2629" t="s">
        <v>15048</v>
      </c>
      <c r="I86" s="2624" t="s">
        <v>15142</v>
      </c>
      <c r="J86" s="3222"/>
      <c r="K86" s="3221"/>
      <c r="L86" s="3220"/>
      <c r="M86" s="3219"/>
      <c r="N86" s="3222"/>
      <c r="O86" s="3221"/>
      <c r="P86" s="3220"/>
      <c r="Q86" s="3219"/>
    </row>
    <row r="87" spans="1:17" ht="25.5">
      <c r="A87" s="2630" t="s">
        <v>15151</v>
      </c>
      <c r="B87" s="2624"/>
      <c r="C87" s="3227" t="s">
        <v>15146</v>
      </c>
      <c r="D87" s="3226"/>
      <c r="E87" s="3225" t="s">
        <v>15142</v>
      </c>
      <c r="F87" s="3224"/>
      <c r="G87" s="3223"/>
      <c r="H87" s="2629" t="s">
        <v>15048</v>
      </c>
      <c r="I87" s="2624" t="s">
        <v>15142</v>
      </c>
      <c r="J87" s="3222"/>
      <c r="K87" s="3221"/>
      <c r="L87" s="3220"/>
      <c r="M87" s="3219"/>
      <c r="N87" s="3222"/>
      <c r="O87" s="3221"/>
      <c r="P87" s="3220"/>
      <c r="Q87" s="3219"/>
    </row>
    <row r="88" spans="1:17" ht="25.5">
      <c r="A88" s="2630" t="s">
        <v>15152</v>
      </c>
      <c r="B88" s="2624"/>
      <c r="C88" s="3227" t="s">
        <v>15146</v>
      </c>
      <c r="D88" s="3226"/>
      <c r="E88" s="3225" t="s">
        <v>15142</v>
      </c>
      <c r="F88" s="3224"/>
      <c r="G88" s="3223"/>
      <c r="H88" s="2629" t="s">
        <v>15048</v>
      </c>
      <c r="I88" s="2624" t="s">
        <v>15142</v>
      </c>
      <c r="J88" s="3222"/>
      <c r="K88" s="3221"/>
      <c r="L88" s="3220"/>
      <c r="M88" s="3219"/>
      <c r="N88" s="3222"/>
      <c r="O88" s="3221"/>
      <c r="P88" s="3220"/>
      <c r="Q88" s="3219"/>
    </row>
    <row r="89" spans="1:17" ht="26.25" thickBot="1">
      <c r="A89" s="2701" t="s">
        <v>15153</v>
      </c>
      <c r="B89" s="2634"/>
      <c r="C89" s="3254" t="s">
        <v>15146</v>
      </c>
      <c r="D89" s="3253"/>
      <c r="E89" s="3252" t="s">
        <v>15142</v>
      </c>
      <c r="F89" s="3251"/>
      <c r="G89" s="3250"/>
      <c r="H89" s="2636" t="s">
        <v>15048</v>
      </c>
      <c r="I89" s="2634" t="s">
        <v>15142</v>
      </c>
      <c r="J89" s="3249"/>
      <c r="K89" s="3248"/>
      <c r="L89" s="3247"/>
      <c r="M89" s="3246"/>
      <c r="N89" s="3249"/>
      <c r="O89" s="3248"/>
      <c r="P89" s="3247"/>
      <c r="Q89" s="3246"/>
    </row>
    <row r="90" spans="1:17">
      <c r="A90" s="2637" t="s">
        <v>15145</v>
      </c>
      <c r="B90" s="2638"/>
      <c r="C90" s="3245"/>
      <c r="D90" s="3245"/>
      <c r="E90" s="3244"/>
      <c r="F90" s="3243"/>
      <c r="G90" s="3242"/>
      <c r="H90" s="2641"/>
      <c r="I90" s="3241"/>
      <c r="J90" s="3240"/>
      <c r="K90" s="3239"/>
      <c r="L90" s="3238"/>
      <c r="M90" s="3237"/>
      <c r="N90" s="3240"/>
      <c r="O90" s="3239"/>
      <c r="P90" s="3238"/>
      <c r="Q90" s="3237"/>
    </row>
    <row r="91" spans="1:17">
      <c r="A91" s="2631" t="s">
        <v>15129</v>
      </c>
      <c r="B91" s="2623"/>
      <c r="C91" s="3227" t="s">
        <v>15133</v>
      </c>
      <c r="D91" s="3226"/>
      <c r="E91" s="3225" t="s">
        <v>15142</v>
      </c>
      <c r="F91" s="3224"/>
      <c r="G91" s="3223"/>
      <c r="H91" s="2629" t="s">
        <v>15053</v>
      </c>
      <c r="I91" s="3232" t="s">
        <v>15156</v>
      </c>
      <c r="J91" s="3231"/>
      <c r="K91" s="3230"/>
      <c r="L91" s="3229"/>
      <c r="M91" s="3228"/>
      <c r="N91" s="3231"/>
      <c r="O91" s="3230"/>
      <c r="P91" s="3229"/>
      <c r="Q91" s="3228"/>
    </row>
    <row r="92" spans="1:17">
      <c r="A92" s="2631" t="s">
        <v>15130</v>
      </c>
      <c r="B92" s="2623"/>
      <c r="C92" s="3227" t="s">
        <v>15133</v>
      </c>
      <c r="D92" s="3226"/>
      <c r="E92" s="3225" t="s">
        <v>15142</v>
      </c>
      <c r="F92" s="3224"/>
      <c r="G92" s="3223"/>
      <c r="H92" s="2629" t="s">
        <v>15053</v>
      </c>
      <c r="I92" s="3232" t="s">
        <v>15156</v>
      </c>
      <c r="J92" s="3231"/>
      <c r="K92" s="3230"/>
      <c r="L92" s="3229"/>
      <c r="M92" s="3228"/>
      <c r="N92" s="3231"/>
      <c r="O92" s="3230"/>
      <c r="P92" s="3229"/>
      <c r="Q92" s="3228"/>
    </row>
    <row r="93" spans="1:17">
      <c r="A93" s="2631" t="s">
        <v>15131</v>
      </c>
      <c r="B93" s="2622"/>
      <c r="C93" s="3227" t="s">
        <v>15128</v>
      </c>
      <c r="D93" s="3236"/>
      <c r="E93" s="3235" t="s">
        <v>15143</v>
      </c>
      <c r="F93" s="3234"/>
      <c r="G93" s="3233"/>
      <c r="H93" s="2629" t="s">
        <v>15053</v>
      </c>
      <c r="I93" s="3232" t="s">
        <v>15156</v>
      </c>
      <c r="J93" s="3231"/>
      <c r="K93" s="3230"/>
      <c r="L93" s="3229"/>
      <c r="M93" s="3228"/>
      <c r="N93" s="3231"/>
      <c r="O93" s="3230"/>
      <c r="P93" s="3229"/>
      <c r="Q93" s="3228"/>
    </row>
    <row r="94" spans="1:17" ht="38.25">
      <c r="A94" s="3286" t="s">
        <v>15305</v>
      </c>
      <c r="B94" s="2622"/>
      <c r="C94" s="3227" t="s">
        <v>15133</v>
      </c>
      <c r="D94" s="3226"/>
      <c r="E94" s="3225" t="s">
        <v>15142</v>
      </c>
      <c r="F94" s="3224"/>
      <c r="G94" s="3223"/>
      <c r="H94" s="2629" t="s">
        <v>15134</v>
      </c>
      <c r="I94" s="2624" t="s">
        <v>15142</v>
      </c>
      <c r="J94" s="3222"/>
      <c r="K94" s="3221"/>
      <c r="L94" s="3220"/>
      <c r="M94" s="3219"/>
      <c r="N94" s="3222"/>
      <c r="O94" s="3221"/>
      <c r="P94" s="3220"/>
      <c r="Q94" s="3219"/>
    </row>
    <row r="95" spans="1:17">
      <c r="A95" s="2631" t="s">
        <v>15132</v>
      </c>
      <c r="B95" s="2623"/>
      <c r="C95" s="3227" t="s">
        <v>15133</v>
      </c>
      <c r="D95" s="3226"/>
      <c r="E95" s="3225" t="s">
        <v>15142</v>
      </c>
      <c r="F95" s="3224"/>
      <c r="G95" s="3223"/>
      <c r="H95" s="2629" t="s">
        <v>15053</v>
      </c>
      <c r="I95" s="3232" t="s">
        <v>15156</v>
      </c>
      <c r="J95" s="3231"/>
      <c r="K95" s="3230"/>
      <c r="L95" s="3229"/>
      <c r="M95" s="3228"/>
      <c r="N95" s="3231"/>
      <c r="O95" s="3230"/>
      <c r="P95" s="3229"/>
      <c r="Q95" s="3228"/>
    </row>
    <row r="96" spans="1:17">
      <c r="A96" s="3287" t="s">
        <v>15307</v>
      </c>
      <c r="B96" s="3288"/>
      <c r="C96" s="3289" t="s">
        <v>15309</v>
      </c>
      <c r="D96" s="3290"/>
      <c r="E96" s="3291"/>
      <c r="F96" s="3292"/>
      <c r="G96" s="3293"/>
      <c r="H96" s="3294" t="s">
        <v>15310</v>
      </c>
      <c r="I96" s="3295"/>
      <c r="J96" s="3296"/>
      <c r="K96" s="3297"/>
      <c r="L96" s="3298"/>
      <c r="M96" s="3299"/>
      <c r="N96" s="3296"/>
      <c r="O96" s="3297"/>
      <c r="P96" s="3298"/>
      <c r="Q96" s="3299"/>
    </row>
    <row r="97" spans="1:17" ht="13.5" thickBot="1">
      <c r="A97" s="3300" t="s">
        <v>15308</v>
      </c>
      <c r="B97" s="3301"/>
      <c r="C97" s="3218" t="s">
        <v>15309</v>
      </c>
      <c r="D97" s="3217"/>
      <c r="E97" s="3216"/>
      <c r="F97" s="3215"/>
      <c r="G97" s="3214"/>
      <c r="H97" s="2675" t="s">
        <v>15310</v>
      </c>
      <c r="I97" s="3302"/>
      <c r="J97" s="3303"/>
      <c r="K97" s="3304"/>
      <c r="L97" s="3305"/>
      <c r="M97" s="3306"/>
      <c r="N97" s="3303"/>
      <c r="O97" s="3304"/>
      <c r="P97" s="3305"/>
      <c r="Q97" s="3306"/>
    </row>
    <row r="98" spans="1:17">
      <c r="F98" s="2700"/>
      <c r="G98" s="2700"/>
      <c r="J98" s="3209"/>
      <c r="K98" s="3209"/>
      <c r="L98" s="3209"/>
      <c r="M98" s="3209"/>
      <c r="N98" s="3209"/>
      <c r="O98" s="3213"/>
      <c r="P98" s="3213"/>
      <c r="Q98" s="3213"/>
    </row>
    <row r="99" spans="1:17">
      <c r="F99" s="2700"/>
      <c r="G99" s="2700"/>
      <c r="J99" s="3209"/>
      <c r="K99" s="3209"/>
      <c r="L99" s="3209"/>
      <c r="M99" s="3209"/>
      <c r="N99" s="3209"/>
      <c r="O99" s="3213"/>
      <c r="P99" s="3213"/>
      <c r="Q99" s="3213"/>
    </row>
    <row r="100" spans="1:17" s="3210" customFormat="1" ht="45">
      <c r="A100" s="3212" t="s">
        <v>15268</v>
      </c>
      <c r="B100" s="3212"/>
      <c r="C100" s="3212"/>
      <c r="D100" s="3212"/>
      <c r="E100" s="3212"/>
      <c r="F100" s="3211">
        <f>SUM(F13,F14,F18,F19,F33,F37,F42,F43,F45,F46,F51,F52,F57,F58,F61,F63,F72,F73,F78,F79,F80,F86)</f>
        <v>304.45411999999999</v>
      </c>
      <c r="G100" s="3211">
        <f>SUM(G13,G14,G18,G19,G33,G37,G42,G43,G45,G46,G51,G52,G57,G58,G61,G63,G72,G73,G78,G79,G80,G86)</f>
        <v>0</v>
      </c>
      <c r="H100" s="3212"/>
      <c r="I100" s="3212"/>
      <c r="J100" s="3211">
        <f t="shared" ref="J100:Q100" si="0">SUM(J13,J19,J58)</f>
        <v>73.795000000000002</v>
      </c>
      <c r="K100" s="3211">
        <f t="shared" si="0"/>
        <v>0</v>
      </c>
      <c r="L100" s="3211">
        <f t="shared" si="0"/>
        <v>0</v>
      </c>
      <c r="M100" s="3211">
        <f t="shared" si="0"/>
        <v>0</v>
      </c>
      <c r="N100" s="3211">
        <f t="shared" si="0"/>
        <v>0</v>
      </c>
      <c r="O100" s="3211">
        <f t="shared" si="0"/>
        <v>0</v>
      </c>
      <c r="P100" s="3211">
        <f t="shared" si="0"/>
        <v>0</v>
      </c>
      <c r="Q100" s="3211">
        <f t="shared" si="0"/>
        <v>0</v>
      </c>
    </row>
    <row r="101" spans="1:17" s="3196" customFormat="1">
      <c r="A101" s="3196" t="s">
        <v>15267</v>
      </c>
      <c r="F101" s="3199"/>
      <c r="G101" s="3199"/>
      <c r="J101" s="3209"/>
      <c r="K101" s="3209"/>
      <c r="L101" s="3209"/>
      <c r="M101" s="3209"/>
      <c r="N101" s="3209"/>
      <c r="O101" s="3209"/>
      <c r="P101" s="3209"/>
      <c r="Q101" s="3209"/>
    </row>
    <row r="102" spans="1:17" s="3196" customFormat="1">
      <c r="F102" s="3199"/>
      <c r="G102" s="3199"/>
      <c r="J102" s="3209"/>
      <c r="K102" s="3209"/>
      <c r="L102" s="3209"/>
      <c r="M102" s="3209"/>
      <c r="N102" s="3209"/>
      <c r="O102" s="3209"/>
      <c r="P102" s="3209"/>
      <c r="Q102" s="3209"/>
    </row>
    <row r="103" spans="1:17" s="3207" customFormat="1" ht="13.5" thickBot="1">
      <c r="A103" s="3198" t="s">
        <v>15266</v>
      </c>
      <c r="B103" s="3198"/>
      <c r="C103" s="3198"/>
      <c r="D103" s="3198"/>
      <c r="E103" s="3198"/>
      <c r="F103" s="3197"/>
      <c r="G103" s="3197"/>
      <c r="H103" s="3197"/>
      <c r="I103" s="3197"/>
      <c r="J103" s="3208"/>
      <c r="K103" s="3208"/>
      <c r="L103" s="3208"/>
      <c r="M103" s="3208"/>
      <c r="N103" s="3208"/>
      <c r="O103" s="3208"/>
      <c r="P103" s="3208"/>
      <c r="Q103" s="3208"/>
    </row>
    <row r="104" spans="1:17" s="3200" customFormat="1">
      <c r="A104" s="3195" t="s">
        <v>15264</v>
      </c>
      <c r="B104" s="3194"/>
      <c r="C104" s="3193"/>
      <c r="D104" s="3192"/>
      <c r="E104" s="3192"/>
      <c r="F104" s="3187"/>
      <c r="G104" s="3191">
        <v>29485.982</v>
      </c>
      <c r="H104" s="3190"/>
      <c r="I104" s="3189"/>
      <c r="J104" s="3206"/>
      <c r="K104" s="3205"/>
      <c r="L104" s="3205"/>
      <c r="M104" s="3204"/>
      <c r="N104" s="3206"/>
      <c r="O104" s="3206">
        <v>28291.572</v>
      </c>
      <c r="P104" s="3205">
        <v>27948.18</v>
      </c>
      <c r="Q104" s="3204">
        <v>28246.627</v>
      </c>
    </row>
    <row r="105" spans="1:17" s="3200" customFormat="1" ht="13.5" thickBot="1">
      <c r="A105" s="3185" t="s">
        <v>15263</v>
      </c>
      <c r="B105" s="3184"/>
      <c r="C105" s="3183"/>
      <c r="D105" s="3182"/>
      <c r="E105" s="3182"/>
      <c r="F105" s="3177"/>
      <c r="G105" s="3181">
        <v>13180.037</v>
      </c>
      <c r="H105" s="3180"/>
      <c r="I105" s="3179"/>
      <c r="J105" s="3203"/>
      <c r="K105" s="3202"/>
      <c r="L105" s="3202"/>
      <c r="M105" s="3201"/>
      <c r="N105" s="3203"/>
      <c r="O105" s="3203">
        <v>7880.9439999999995</v>
      </c>
      <c r="P105" s="3202">
        <v>7702.3239999999987</v>
      </c>
      <c r="Q105" s="3201">
        <v>8199.5969999999979</v>
      </c>
    </row>
    <row r="106" spans="1:17" s="3196" customFormat="1">
      <c r="F106" s="3199"/>
      <c r="G106" s="3199"/>
    </row>
    <row r="107" spans="1:17" s="3196" customFormat="1">
      <c r="F107" s="3199"/>
      <c r="G107" s="3199"/>
    </row>
    <row r="108" spans="1:17" s="3196" customFormat="1" ht="13.5" thickBot="1">
      <c r="A108" s="3198" t="s">
        <v>15265</v>
      </c>
      <c r="B108" s="3198"/>
      <c r="C108" s="3198"/>
      <c r="D108" s="3198"/>
      <c r="E108" s="3198"/>
      <c r="F108" s="3197"/>
      <c r="G108" s="3197"/>
      <c r="H108" s="3197"/>
      <c r="I108" s="3197"/>
      <c r="J108" s="3197"/>
      <c r="K108" s="3197"/>
      <c r="L108" s="3197"/>
      <c r="M108" s="3197"/>
      <c r="N108" s="3197"/>
      <c r="O108" s="3197"/>
      <c r="P108" s="3197"/>
      <c r="Q108" s="3197"/>
    </row>
    <row r="109" spans="1:17">
      <c r="A109" s="3195" t="s">
        <v>15264</v>
      </c>
      <c r="B109" s="3194"/>
      <c r="C109" s="3193"/>
      <c r="D109" s="3192"/>
      <c r="E109" s="3192"/>
      <c r="F109" s="3187"/>
      <c r="G109" s="3191"/>
      <c r="H109" s="3190"/>
      <c r="I109" s="3189"/>
      <c r="J109" s="3188"/>
      <c r="K109" s="3187"/>
      <c r="L109" s="3187"/>
      <c r="M109" s="3186"/>
      <c r="N109" s="3188"/>
      <c r="O109" s="3188"/>
      <c r="P109" s="3187"/>
      <c r="Q109" s="3186"/>
    </row>
    <row r="110" spans="1:17" ht="13.5" thickBot="1">
      <c r="A110" s="3185" t="s">
        <v>15263</v>
      </c>
      <c r="B110" s="3184"/>
      <c r="C110" s="3183"/>
      <c r="D110" s="3182"/>
      <c r="E110" s="3182"/>
      <c r="F110" s="3177"/>
      <c r="G110" s="3181"/>
      <c r="H110" s="3180"/>
      <c r="I110" s="3179"/>
      <c r="J110" s="3178"/>
      <c r="K110" s="3177"/>
      <c r="L110" s="3177"/>
      <c r="M110" s="3176"/>
      <c r="N110" s="3178"/>
      <c r="O110" s="3178"/>
      <c r="P110" s="3177"/>
      <c r="Q110" s="3176"/>
    </row>
    <row r="111" spans="1:17">
      <c r="K111" s="3175"/>
    </row>
  </sheetData>
  <autoFilter ref="A9:I95">
    <filterColumn colId="3"/>
    <filterColumn colId="4"/>
    <filterColumn colId="5"/>
    <filterColumn colId="6"/>
    <filterColumn colId="8"/>
  </autoFilter>
  <mergeCells count="26">
    <mergeCell ref="F73:F74"/>
    <mergeCell ref="D8:D9"/>
    <mergeCell ref="D51:D52"/>
    <mergeCell ref="A3:Q3"/>
    <mergeCell ref="A5:Q5"/>
    <mergeCell ref="A7:Q7"/>
    <mergeCell ref="E8:E9"/>
    <mergeCell ref="C8:C9"/>
    <mergeCell ref="A8:A9"/>
    <mergeCell ref="B8:B9"/>
    <mergeCell ref="G8:G9"/>
    <mergeCell ref="H8:H9"/>
    <mergeCell ref="I8:I9"/>
    <mergeCell ref="G73:G74"/>
    <mergeCell ref="O58:O59"/>
    <mergeCell ref="J58:J59"/>
    <mergeCell ref="A1:Q1"/>
    <mergeCell ref="F58:F59"/>
    <mergeCell ref="G58:G59"/>
    <mergeCell ref="P58:P59"/>
    <mergeCell ref="Q58:Q59"/>
    <mergeCell ref="J8:J9"/>
    <mergeCell ref="K8:M8"/>
    <mergeCell ref="N8:N9"/>
    <mergeCell ref="O8:Q8"/>
    <mergeCell ref="F8:F9"/>
  </mergeCells>
  <printOptions horizontalCentered="1"/>
  <pageMargins left="0" right="0" top="0.39370078740157483" bottom="0.39370078740157483" header="0.31496062992125984" footer="0.31496062992125984"/>
  <pageSetup paperSize="9" scale="3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7"/>
  <sheetViews>
    <sheetView view="pageBreakPreview" zoomScaleNormal="100" zoomScaleSheetLayoutView="100" workbookViewId="0">
      <pane xSplit="2" ySplit="1" topLeftCell="C68" activePane="bottomRight" state="frozen"/>
      <selection pane="topRight" activeCell="C1" sqref="C1"/>
      <selection pane="bottomLeft" activeCell="A2" sqref="A2"/>
      <selection pane="bottomRight" activeCell="D96" sqref="D96:E98"/>
    </sheetView>
  </sheetViews>
  <sheetFormatPr defaultRowHeight="12.75" outlineLevelRow="1" outlineLevelCol="1"/>
  <cols>
    <col min="1" max="1" width="58.7109375" style="2617" customWidth="1"/>
    <col min="2" max="2" width="37" style="2617" hidden="1" customWidth="1" outlineLevel="1"/>
    <col min="3" max="3" width="29.7109375" style="2621" bestFit="1" customWidth="1" collapsed="1"/>
    <col min="4" max="4" width="29.28515625" style="2621" bestFit="1" customWidth="1"/>
    <col min="5" max="5" width="15.5703125" style="2621" customWidth="1"/>
    <col min="6" max="6" width="36.140625" style="2621" bestFit="1" customWidth="1"/>
    <col min="7" max="7" width="28" style="2621" customWidth="1"/>
    <col min="8" max="8" width="15.42578125" style="2621" customWidth="1"/>
    <col min="9" max="9" width="29.28515625" style="2621" bestFit="1" customWidth="1"/>
    <col min="10" max="16384" width="9.140625" style="2617"/>
  </cols>
  <sheetData>
    <row r="1" spans="1:9" ht="64.5" thickBot="1">
      <c r="A1" s="2647" t="s">
        <v>15149</v>
      </c>
      <c r="B1" s="2648" t="s">
        <v>15148</v>
      </c>
      <c r="C1" s="2649" t="s">
        <v>15127</v>
      </c>
      <c r="D1" s="2650" t="s">
        <v>15154</v>
      </c>
      <c r="E1" s="2673" t="s">
        <v>15164</v>
      </c>
      <c r="F1" s="2651" t="s">
        <v>15126</v>
      </c>
      <c r="G1" s="2650" t="s">
        <v>15155</v>
      </c>
      <c r="H1" s="2674" t="s">
        <v>15164</v>
      </c>
      <c r="I1" s="2650" t="s">
        <v>15172</v>
      </c>
    </row>
    <row r="2" spans="1:9">
      <c r="A2" s="2642" t="s">
        <v>15157</v>
      </c>
      <c r="B2" s="2643"/>
      <c r="C2" s="2644"/>
      <c r="D2" s="2645"/>
      <c r="E2" s="2677"/>
      <c r="F2" s="2646"/>
      <c r="G2" s="2645"/>
      <c r="H2" s="2684"/>
      <c r="I2" s="2645"/>
    </row>
    <row r="3" spans="1:9">
      <c r="A3" s="2630" t="s">
        <v>15047</v>
      </c>
      <c r="B3" s="2622"/>
      <c r="C3" s="2625" t="s">
        <v>15146</v>
      </c>
      <c r="D3" s="2652" t="s">
        <v>15142</v>
      </c>
      <c r="E3" s="2678"/>
      <c r="F3" s="2629" t="s">
        <v>15048</v>
      </c>
      <c r="G3" s="2652" t="s">
        <v>15142</v>
      </c>
      <c r="H3" s="2685"/>
      <c r="I3" s="2652"/>
    </row>
    <row r="4" spans="1:9">
      <c r="A4" s="2630" t="s">
        <v>15049</v>
      </c>
      <c r="B4" s="2622"/>
      <c r="C4" s="2625" t="s">
        <v>15146</v>
      </c>
      <c r="D4" s="2652" t="s">
        <v>15142</v>
      </c>
      <c r="E4" s="2678"/>
      <c r="F4" s="2629" t="s">
        <v>15048</v>
      </c>
      <c r="G4" s="2652" t="s">
        <v>15142</v>
      </c>
      <c r="H4" s="2685"/>
      <c r="I4" s="2652"/>
    </row>
    <row r="5" spans="1:9">
      <c r="A5" s="2630" t="s">
        <v>15050</v>
      </c>
      <c r="B5" s="2622"/>
      <c r="C5" s="2625" t="s">
        <v>15128</v>
      </c>
      <c r="D5" s="2626" t="s">
        <v>15143</v>
      </c>
      <c r="E5" s="2679">
        <v>4703</v>
      </c>
      <c r="F5" s="2629" t="s">
        <v>15051</v>
      </c>
      <c r="G5" s="2626" t="s">
        <v>15143</v>
      </c>
      <c r="H5" s="2686">
        <v>4703</v>
      </c>
      <c r="I5" s="2626" t="s">
        <v>15169</v>
      </c>
    </row>
    <row r="6" spans="1:9">
      <c r="A6" s="2630" t="s">
        <v>15052</v>
      </c>
      <c r="B6" s="2622"/>
      <c r="C6" s="2625" t="s">
        <v>15128</v>
      </c>
      <c r="D6" s="2626" t="s">
        <v>15143</v>
      </c>
      <c r="E6" s="2679">
        <v>10047</v>
      </c>
      <c r="F6" s="2629" t="s">
        <v>15053</v>
      </c>
      <c r="G6" s="2655" t="s">
        <v>15156</v>
      </c>
      <c r="H6" s="2687"/>
      <c r="I6" s="2626" t="s">
        <v>15169</v>
      </c>
    </row>
    <row r="7" spans="1:9">
      <c r="A7" s="2630" t="s">
        <v>15054</v>
      </c>
      <c r="B7" s="2623"/>
      <c r="C7" s="2625" t="s">
        <v>15146</v>
      </c>
      <c r="D7" s="2652" t="s">
        <v>15142</v>
      </c>
      <c r="E7" s="2678"/>
      <c r="F7" s="2629" t="s">
        <v>15053</v>
      </c>
      <c r="G7" s="2655" t="s">
        <v>15156</v>
      </c>
      <c r="H7" s="2687"/>
      <c r="I7" s="2652"/>
    </row>
    <row r="8" spans="1:9">
      <c r="A8" s="2630" t="s">
        <v>15055</v>
      </c>
      <c r="B8" s="2623"/>
      <c r="C8" s="2625" t="s">
        <v>15146</v>
      </c>
      <c r="D8" s="2652" t="s">
        <v>15142</v>
      </c>
      <c r="E8" s="2678"/>
      <c r="F8" s="2629" t="s">
        <v>15053</v>
      </c>
      <c r="G8" s="2655" t="s">
        <v>15156</v>
      </c>
      <c r="H8" s="2687"/>
      <c r="I8" s="2652"/>
    </row>
    <row r="9" spans="1:9">
      <c r="A9" s="2630" t="s">
        <v>15056</v>
      </c>
      <c r="B9" s="2623"/>
      <c r="C9" s="2625" t="s">
        <v>15146</v>
      </c>
      <c r="D9" s="2652" t="s">
        <v>15142</v>
      </c>
      <c r="E9" s="2678"/>
      <c r="F9" s="2629" t="s">
        <v>15053</v>
      </c>
      <c r="G9" s="2655" t="s">
        <v>15156</v>
      </c>
      <c r="H9" s="2687"/>
      <c r="I9" s="2652"/>
    </row>
    <row r="10" spans="1:9">
      <c r="A10" s="2630" t="s">
        <v>15057</v>
      </c>
      <c r="B10" s="2624"/>
      <c r="C10" s="2625" t="s">
        <v>15128</v>
      </c>
      <c r="D10" s="2626" t="s">
        <v>15143</v>
      </c>
      <c r="E10" s="2679">
        <v>5520</v>
      </c>
      <c r="F10" s="2629" t="s">
        <v>15053</v>
      </c>
      <c r="G10" s="2655" t="s">
        <v>15156</v>
      </c>
      <c r="H10" s="2687"/>
      <c r="I10" s="2626" t="s">
        <v>15170</v>
      </c>
    </row>
    <row r="11" spans="1:9">
      <c r="A11" s="2630" t="s">
        <v>15058</v>
      </c>
      <c r="B11" s="2622"/>
      <c r="C11" s="2625" t="s">
        <v>15128</v>
      </c>
      <c r="D11" s="2626" t="s">
        <v>15143</v>
      </c>
      <c r="E11" s="2679">
        <v>70335</v>
      </c>
      <c r="F11" s="2629" t="s">
        <v>15059</v>
      </c>
      <c r="G11" s="2626" t="s">
        <v>15143</v>
      </c>
      <c r="H11" s="2686">
        <v>49077</v>
      </c>
      <c r="I11" s="2626" t="s">
        <v>15169</v>
      </c>
    </row>
    <row r="12" spans="1:9">
      <c r="A12" s="2630" t="s">
        <v>15060</v>
      </c>
      <c r="B12" s="2623"/>
      <c r="C12" s="2625" t="s">
        <v>15146</v>
      </c>
      <c r="D12" s="2652" t="s">
        <v>15142</v>
      </c>
      <c r="E12" s="2678"/>
      <c r="F12" s="2629" t="s">
        <v>15053</v>
      </c>
      <c r="G12" s="2655" t="s">
        <v>15156</v>
      </c>
      <c r="H12" s="2687"/>
      <c r="I12" s="2652"/>
    </row>
    <row r="13" spans="1:9">
      <c r="A13" s="2630" t="s">
        <v>15061</v>
      </c>
      <c r="B13" s="2623"/>
      <c r="C13" s="2625" t="s">
        <v>15146</v>
      </c>
      <c r="D13" s="2652" t="s">
        <v>15142</v>
      </c>
      <c r="E13" s="2678"/>
      <c r="F13" s="2629" t="s">
        <v>15053</v>
      </c>
      <c r="G13" s="2655" t="s">
        <v>15156</v>
      </c>
      <c r="H13" s="2687"/>
      <c r="I13" s="2652"/>
    </row>
    <row r="14" spans="1:9">
      <c r="A14" s="2630" t="s">
        <v>15062</v>
      </c>
      <c r="B14" s="2622"/>
      <c r="C14" s="2625" t="s">
        <v>15146</v>
      </c>
      <c r="D14" s="2652" t="s">
        <v>15142</v>
      </c>
      <c r="E14" s="2678"/>
      <c r="F14" s="2629" t="s">
        <v>15048</v>
      </c>
      <c r="G14" s="2652" t="s">
        <v>15142</v>
      </c>
      <c r="H14" s="2685"/>
      <c r="I14" s="2652"/>
    </row>
    <row r="15" spans="1:9">
      <c r="A15" s="2630" t="s">
        <v>15063</v>
      </c>
      <c r="B15" s="2623"/>
      <c r="C15" s="2625" t="s">
        <v>15146</v>
      </c>
      <c r="D15" s="2652" t="s">
        <v>15142</v>
      </c>
      <c r="E15" s="2678"/>
      <c r="F15" s="2629" t="s">
        <v>15053</v>
      </c>
      <c r="G15" s="2655" t="s">
        <v>15156</v>
      </c>
      <c r="H15" s="2687"/>
      <c r="I15" s="2652"/>
    </row>
    <row r="16" spans="1:9">
      <c r="A16" s="2630" t="s">
        <v>15064</v>
      </c>
      <c r="B16" s="2622"/>
      <c r="C16" s="2625" t="s">
        <v>15146</v>
      </c>
      <c r="D16" s="2652" t="s">
        <v>15142</v>
      </c>
      <c r="E16" s="2678"/>
      <c r="F16" s="2629" t="s">
        <v>15048</v>
      </c>
      <c r="G16" s="2652" t="s">
        <v>15142</v>
      </c>
      <c r="H16" s="2685"/>
      <c r="I16" s="2652"/>
    </row>
    <row r="17" spans="1:9">
      <c r="A17" s="2630" t="s">
        <v>15065</v>
      </c>
      <c r="B17" s="2623"/>
      <c r="C17" s="2625" t="s">
        <v>15146</v>
      </c>
      <c r="D17" s="2652" t="s">
        <v>15142</v>
      </c>
      <c r="E17" s="2678"/>
      <c r="F17" s="2629" t="s">
        <v>15053</v>
      </c>
      <c r="G17" s="2655" t="s">
        <v>15156</v>
      </c>
      <c r="H17" s="2687"/>
      <c r="I17" s="2652"/>
    </row>
    <row r="18" spans="1:9">
      <c r="A18" s="2630" t="s">
        <v>15066</v>
      </c>
      <c r="B18" s="2623"/>
      <c r="C18" s="2625" t="s">
        <v>15146</v>
      </c>
      <c r="D18" s="2652" t="s">
        <v>15142</v>
      </c>
      <c r="E18" s="2678"/>
      <c r="F18" s="2629" t="s">
        <v>15053</v>
      </c>
      <c r="G18" s="2655" t="s">
        <v>15156</v>
      </c>
      <c r="H18" s="2687"/>
      <c r="I18" s="2652"/>
    </row>
    <row r="19" spans="1:9">
      <c r="A19" s="2630" t="s">
        <v>15067</v>
      </c>
      <c r="B19" s="2622"/>
      <c r="C19" s="2625" t="s">
        <v>15146</v>
      </c>
      <c r="D19" s="2652" t="s">
        <v>15142</v>
      </c>
      <c r="E19" s="2678"/>
      <c r="F19" s="2629" t="s">
        <v>15048</v>
      </c>
      <c r="G19" s="2652" t="s">
        <v>15142</v>
      </c>
      <c r="H19" s="2685"/>
      <c r="I19" s="2652"/>
    </row>
    <row r="20" spans="1:9">
      <c r="A20" s="2630" t="s">
        <v>15068</v>
      </c>
      <c r="B20" s="2623"/>
      <c r="C20" s="2625" t="s">
        <v>15146</v>
      </c>
      <c r="D20" s="2652" t="s">
        <v>15142</v>
      </c>
      <c r="E20" s="2678"/>
      <c r="F20" s="2629" t="s">
        <v>15053</v>
      </c>
      <c r="G20" s="2655" t="s">
        <v>15156</v>
      </c>
      <c r="H20" s="2687"/>
      <c r="I20" s="2652"/>
    </row>
    <row r="21" spans="1:9">
      <c r="A21" s="2630" t="s">
        <v>15069</v>
      </c>
      <c r="B21" s="2623"/>
      <c r="C21" s="2625" t="s">
        <v>15146</v>
      </c>
      <c r="D21" s="2652" t="s">
        <v>15142</v>
      </c>
      <c r="E21" s="2678"/>
      <c r="F21" s="2629" t="s">
        <v>15053</v>
      </c>
      <c r="G21" s="2655" t="s">
        <v>15156</v>
      </c>
      <c r="H21" s="2687"/>
      <c r="I21" s="2652"/>
    </row>
    <row r="22" spans="1:9">
      <c r="A22" s="2630" t="s">
        <v>15070</v>
      </c>
      <c r="B22" s="2622"/>
      <c r="C22" s="2625" t="s">
        <v>15146</v>
      </c>
      <c r="D22" s="2652" t="s">
        <v>15142</v>
      </c>
      <c r="E22" s="2678"/>
      <c r="F22" s="2629" t="s">
        <v>15053</v>
      </c>
      <c r="G22" s="2655" t="s">
        <v>15156</v>
      </c>
      <c r="H22" s="2687"/>
      <c r="I22" s="2652"/>
    </row>
    <row r="23" spans="1:9">
      <c r="A23" s="2630" t="s">
        <v>15071</v>
      </c>
      <c r="B23" s="2623"/>
      <c r="C23" s="2625" t="s">
        <v>15146</v>
      </c>
      <c r="D23" s="2652" t="s">
        <v>15142</v>
      </c>
      <c r="E23" s="2678"/>
      <c r="F23" s="2629" t="s">
        <v>15053</v>
      </c>
      <c r="G23" s="2655" t="s">
        <v>15156</v>
      </c>
      <c r="H23" s="2687"/>
      <c r="I23" s="2652"/>
    </row>
    <row r="24" spans="1:9">
      <c r="A24" s="2630" t="s">
        <v>15072</v>
      </c>
      <c r="B24" s="2623"/>
      <c r="C24" s="2625" t="s">
        <v>15146</v>
      </c>
      <c r="D24" s="2652" t="s">
        <v>15142</v>
      </c>
      <c r="E24" s="2678"/>
      <c r="F24" s="2629" t="s">
        <v>15053</v>
      </c>
      <c r="G24" s="2655" t="s">
        <v>15156</v>
      </c>
      <c r="H24" s="2687"/>
      <c r="I24" s="2652"/>
    </row>
    <row r="25" spans="1:9" ht="41.25" customHeight="1">
      <c r="A25" s="2630" t="s">
        <v>15073</v>
      </c>
      <c r="B25" s="2622"/>
      <c r="C25" s="2699" t="s">
        <v>15168</v>
      </c>
      <c r="D25" s="2655" t="s">
        <v>15156</v>
      </c>
      <c r="E25" s="2698"/>
      <c r="F25" s="2629" t="s">
        <v>15053</v>
      </c>
      <c r="G25" s="2655" t="s">
        <v>15156</v>
      </c>
      <c r="H25" s="2687"/>
      <c r="I25" s="2655" t="s">
        <v>15173</v>
      </c>
    </row>
    <row r="26" spans="1:9">
      <c r="A26" s="2630" t="s">
        <v>15074</v>
      </c>
      <c r="B26" s="2623"/>
      <c r="C26" s="2625" t="s">
        <v>15146</v>
      </c>
      <c r="D26" s="2652" t="s">
        <v>15142</v>
      </c>
      <c r="E26" s="2678"/>
      <c r="F26" s="2629" t="s">
        <v>15053</v>
      </c>
      <c r="G26" s="2655" t="s">
        <v>15156</v>
      </c>
      <c r="H26" s="2687"/>
      <c r="I26" s="2652"/>
    </row>
    <row r="27" spans="1:9">
      <c r="A27" s="2630" t="s">
        <v>15075</v>
      </c>
      <c r="B27" s="2623"/>
      <c r="C27" s="2625" t="s">
        <v>15146</v>
      </c>
      <c r="D27" s="2652" t="s">
        <v>15142</v>
      </c>
      <c r="E27" s="2678"/>
      <c r="F27" s="2629" t="s">
        <v>15053</v>
      </c>
      <c r="G27" s="2655" t="s">
        <v>15156</v>
      </c>
      <c r="H27" s="2687"/>
      <c r="I27" s="2652"/>
    </row>
    <row r="28" spans="1:9">
      <c r="A28" s="2630" t="s">
        <v>15076</v>
      </c>
      <c r="B28" s="2623"/>
      <c r="C28" s="2625" t="s">
        <v>15146</v>
      </c>
      <c r="D28" s="2652" t="s">
        <v>15142</v>
      </c>
      <c r="E28" s="2678"/>
      <c r="F28" s="2629" t="s">
        <v>15053</v>
      </c>
      <c r="G28" s="2655" t="s">
        <v>15156</v>
      </c>
      <c r="H28" s="2687"/>
      <c r="I28" s="2652"/>
    </row>
    <row r="29" spans="1:9">
      <c r="A29" s="2630" t="s">
        <v>15077</v>
      </c>
      <c r="B29" s="2622" t="s">
        <v>15135</v>
      </c>
      <c r="C29" s="2625" t="s">
        <v>15128</v>
      </c>
      <c r="D29" s="2626" t="s">
        <v>15143</v>
      </c>
      <c r="E29" s="2679"/>
      <c r="F29" s="2629" t="s">
        <v>15053</v>
      </c>
      <c r="G29" s="2655" t="s">
        <v>15156</v>
      </c>
      <c r="H29" s="2687"/>
      <c r="I29" s="2626" t="s">
        <v>15169</v>
      </c>
    </row>
    <row r="30" spans="1:9">
      <c r="A30" s="2630" t="s">
        <v>15078</v>
      </c>
      <c r="B30" s="2623"/>
      <c r="C30" s="2625" t="s">
        <v>15146</v>
      </c>
      <c r="D30" s="2652" t="s">
        <v>15142</v>
      </c>
      <c r="E30" s="2678"/>
      <c r="F30" s="2629" t="s">
        <v>15053</v>
      </c>
      <c r="G30" s="2655" t="s">
        <v>15156</v>
      </c>
      <c r="H30" s="2687"/>
      <c r="I30" s="2652"/>
    </row>
    <row r="31" spans="1:9">
      <c r="A31" s="2630" t="s">
        <v>15079</v>
      </c>
      <c r="B31" s="2623"/>
      <c r="C31" s="2625" t="s">
        <v>15146</v>
      </c>
      <c r="D31" s="2652" t="s">
        <v>15142</v>
      </c>
      <c r="E31" s="2678"/>
      <c r="F31" s="2629" t="s">
        <v>15053</v>
      </c>
      <c r="G31" s="2655" t="s">
        <v>15156</v>
      </c>
      <c r="H31" s="2687"/>
      <c r="I31" s="2652"/>
    </row>
    <row r="32" spans="1:9">
      <c r="A32" s="2630" t="s">
        <v>15080</v>
      </c>
      <c r="B32" s="2623"/>
      <c r="C32" s="2625" t="s">
        <v>15146</v>
      </c>
      <c r="D32" s="2652" t="s">
        <v>15142</v>
      </c>
      <c r="E32" s="2678"/>
      <c r="F32" s="2629" t="s">
        <v>15053</v>
      </c>
      <c r="G32" s="2655" t="s">
        <v>15156</v>
      </c>
      <c r="H32" s="2687"/>
      <c r="I32" s="2652"/>
    </row>
    <row r="33" spans="1:9">
      <c r="A33" s="2630" t="s">
        <v>15081</v>
      </c>
      <c r="B33" s="2622" t="s">
        <v>15136</v>
      </c>
      <c r="C33" s="2625" t="s">
        <v>15128</v>
      </c>
      <c r="D33" s="2652" t="s">
        <v>15141</v>
      </c>
      <c r="E33" s="2678">
        <v>29748</v>
      </c>
      <c r="F33" s="2629" t="s">
        <v>15048</v>
      </c>
      <c r="G33" s="2652" t="s">
        <v>15142</v>
      </c>
      <c r="H33" s="2685">
        <v>48744</v>
      </c>
      <c r="I33" s="2652" t="s">
        <v>15169</v>
      </c>
    </row>
    <row r="34" spans="1:9" outlineLevel="1">
      <c r="A34" s="2630"/>
      <c r="B34" s="2622" t="s">
        <v>15082</v>
      </c>
      <c r="C34" s="2625" t="s">
        <v>15128</v>
      </c>
      <c r="D34" s="2626" t="s">
        <v>14900</v>
      </c>
      <c r="E34" s="2679"/>
      <c r="F34" s="2629" t="s">
        <v>15048</v>
      </c>
      <c r="G34" s="2652" t="s">
        <v>15142</v>
      </c>
      <c r="H34" s="2685"/>
      <c r="I34" s="2626"/>
    </row>
    <row r="35" spans="1:9" outlineLevel="1">
      <c r="A35" s="2630"/>
      <c r="B35" s="2622" t="s">
        <v>15083</v>
      </c>
      <c r="C35" s="2625" t="s">
        <v>15128</v>
      </c>
      <c r="D35" s="2626" t="s">
        <v>14900</v>
      </c>
      <c r="E35" s="2679"/>
      <c r="F35" s="2629" t="s">
        <v>15048</v>
      </c>
      <c r="G35" s="2652" t="s">
        <v>15142</v>
      </c>
      <c r="H35" s="2685"/>
      <c r="I35" s="2626"/>
    </row>
    <row r="36" spans="1:9">
      <c r="A36" s="2630" t="s">
        <v>15084</v>
      </c>
      <c r="B36" s="2622"/>
      <c r="C36" s="2625" t="s">
        <v>15146</v>
      </c>
      <c r="D36" s="2652" t="s">
        <v>15142</v>
      </c>
      <c r="E36" s="2678"/>
      <c r="F36" s="2629" t="s">
        <v>15053</v>
      </c>
      <c r="G36" s="2655" t="s">
        <v>15156</v>
      </c>
      <c r="H36" s="2687"/>
      <c r="I36" s="2652"/>
    </row>
    <row r="37" spans="1:9">
      <c r="A37" s="2630" t="s">
        <v>15085</v>
      </c>
      <c r="B37" s="2622" t="s">
        <v>15137</v>
      </c>
      <c r="C37" s="2625" t="s">
        <v>15128</v>
      </c>
      <c r="D37" s="2626" t="s">
        <v>15143</v>
      </c>
      <c r="E37" s="2679">
        <v>1140</v>
      </c>
      <c r="F37" s="2629" t="s">
        <v>15053</v>
      </c>
      <c r="G37" s="2655" t="s">
        <v>15156</v>
      </c>
      <c r="H37" s="2687"/>
      <c r="I37" s="2626" t="s">
        <v>15169</v>
      </c>
    </row>
    <row r="38" spans="1:9">
      <c r="A38" s="2630" t="s">
        <v>15086</v>
      </c>
      <c r="B38" s="2622"/>
      <c r="C38" s="2625" t="s">
        <v>15128</v>
      </c>
      <c r="D38" s="2626" t="s">
        <v>15143</v>
      </c>
      <c r="E38" s="2679">
        <v>0</v>
      </c>
      <c r="F38" s="2629" t="s">
        <v>15053</v>
      </c>
      <c r="G38" s="2655" t="s">
        <v>15156</v>
      </c>
      <c r="H38" s="2687"/>
      <c r="I38" s="2626" t="s">
        <v>15169</v>
      </c>
    </row>
    <row r="39" spans="1:9">
      <c r="A39" s="2630" t="s">
        <v>15087</v>
      </c>
      <c r="B39" s="2622"/>
      <c r="C39" s="2625" t="s">
        <v>15146</v>
      </c>
      <c r="D39" s="2652" t="s">
        <v>15142</v>
      </c>
      <c r="E39" s="2678"/>
      <c r="F39" s="2629" t="s">
        <v>15053</v>
      </c>
      <c r="G39" s="2655" t="s">
        <v>15156</v>
      </c>
      <c r="H39" s="2687"/>
      <c r="I39" s="2652"/>
    </row>
    <row r="40" spans="1:9">
      <c r="A40" s="2630" t="s">
        <v>15088</v>
      </c>
      <c r="B40" s="2622"/>
      <c r="C40" s="2625" t="s">
        <v>15146</v>
      </c>
      <c r="D40" s="2652" t="s">
        <v>15142</v>
      </c>
      <c r="E40" s="2678"/>
      <c r="F40" s="2629" t="s">
        <v>15053</v>
      </c>
      <c r="G40" s="2655" t="s">
        <v>15156</v>
      </c>
      <c r="H40" s="2687"/>
      <c r="I40" s="2652"/>
    </row>
    <row r="41" spans="1:9" ht="32.25" customHeight="1">
      <c r="A41" s="2630" t="s">
        <v>15089</v>
      </c>
      <c r="B41" s="2622" t="s">
        <v>15138</v>
      </c>
      <c r="C41" s="2625" t="s">
        <v>15128</v>
      </c>
      <c r="D41" s="2652" t="s">
        <v>15141</v>
      </c>
      <c r="E41" s="2678">
        <v>60</v>
      </c>
      <c r="F41" s="2629" t="s">
        <v>15053</v>
      </c>
      <c r="G41" s="2655" t="s">
        <v>15156</v>
      </c>
      <c r="H41" s="2687"/>
      <c r="I41" s="2652" t="s">
        <v>15169</v>
      </c>
    </row>
    <row r="42" spans="1:9">
      <c r="A42" s="2630" t="s">
        <v>15090</v>
      </c>
      <c r="B42" s="2622"/>
      <c r="C42" s="2625" t="s">
        <v>15146</v>
      </c>
      <c r="D42" s="2652" t="s">
        <v>15142</v>
      </c>
      <c r="E42" s="2678"/>
      <c r="F42" s="2629" t="s">
        <v>15053</v>
      </c>
      <c r="G42" s="2655" t="s">
        <v>15156</v>
      </c>
      <c r="H42" s="2687"/>
      <c r="I42" s="2652"/>
    </row>
    <row r="43" spans="1:9">
      <c r="A43" s="2630" t="s">
        <v>15091</v>
      </c>
      <c r="B43" s="2622"/>
      <c r="C43" s="2625" t="s">
        <v>15128</v>
      </c>
      <c r="D43" s="2626" t="s">
        <v>15143</v>
      </c>
      <c r="E43" s="2679"/>
      <c r="F43" s="2629" t="s">
        <v>15053</v>
      </c>
      <c r="G43" s="2655" t="s">
        <v>15156</v>
      </c>
      <c r="H43" s="2687"/>
      <c r="I43" s="2626" t="s">
        <v>15169</v>
      </c>
    </row>
    <row r="44" spans="1:9">
      <c r="A44" s="2630" t="s">
        <v>15144</v>
      </c>
      <c r="B44" s="2622"/>
      <c r="C44" s="2625" t="s">
        <v>15128</v>
      </c>
      <c r="D44" s="2626" t="s">
        <v>15143</v>
      </c>
      <c r="E44" s="2679">
        <v>22704</v>
      </c>
      <c r="F44" s="2629" t="s">
        <v>15048</v>
      </c>
      <c r="G44" s="2652" t="s">
        <v>15142</v>
      </c>
      <c r="H44" s="2685">
        <v>21438</v>
      </c>
      <c r="I44" s="2626" t="s">
        <v>15169</v>
      </c>
    </row>
    <row r="45" spans="1:9">
      <c r="A45" s="2630" t="s">
        <v>15092</v>
      </c>
      <c r="B45" s="2623"/>
      <c r="C45" s="2625" t="s">
        <v>15146</v>
      </c>
      <c r="D45" s="2652" t="s">
        <v>15142</v>
      </c>
      <c r="E45" s="2678"/>
      <c r="F45" s="2629" t="s">
        <v>15053</v>
      </c>
      <c r="G45" s="2655" t="s">
        <v>15156</v>
      </c>
      <c r="H45" s="2687"/>
      <c r="I45" s="2652"/>
    </row>
    <row r="46" spans="1:9">
      <c r="A46" s="2630" t="s">
        <v>15093</v>
      </c>
      <c r="B46" s="2623"/>
      <c r="C46" s="2625" t="s">
        <v>15146</v>
      </c>
      <c r="D46" s="2652" t="s">
        <v>15142</v>
      </c>
      <c r="E46" s="2678"/>
      <c r="F46" s="2629" t="s">
        <v>15053</v>
      </c>
      <c r="G46" s="2655" t="s">
        <v>15156</v>
      </c>
      <c r="H46" s="2687"/>
      <c r="I46" s="2652"/>
    </row>
    <row r="47" spans="1:9">
      <c r="A47" s="2630" t="s">
        <v>15094</v>
      </c>
      <c r="B47" s="2622"/>
      <c r="C47" s="2625" t="s">
        <v>15146</v>
      </c>
      <c r="D47" s="2652" t="s">
        <v>15142</v>
      </c>
      <c r="E47" s="2678"/>
      <c r="F47" s="2629" t="s">
        <v>15053</v>
      </c>
      <c r="G47" s="2655" t="s">
        <v>15156</v>
      </c>
      <c r="H47" s="2687"/>
      <c r="I47" s="2652"/>
    </row>
    <row r="48" spans="1:9">
      <c r="A48" s="2630" t="s">
        <v>15095</v>
      </c>
      <c r="B48" s="2623"/>
      <c r="C48" s="2625" t="s">
        <v>15146</v>
      </c>
      <c r="D48" s="2652" t="s">
        <v>15142</v>
      </c>
      <c r="E48" s="2678"/>
      <c r="F48" s="2629" t="s">
        <v>15053</v>
      </c>
      <c r="G48" s="2655" t="s">
        <v>15156</v>
      </c>
      <c r="H48" s="2687"/>
      <c r="I48" s="2652"/>
    </row>
    <row r="49" spans="1:9">
      <c r="A49" s="2630" t="s">
        <v>15096</v>
      </c>
      <c r="B49" s="2622"/>
      <c r="C49" s="2625" t="s">
        <v>15128</v>
      </c>
      <c r="D49" s="2626" t="s">
        <v>15143</v>
      </c>
      <c r="E49" s="2679">
        <v>13898</v>
      </c>
      <c r="F49" s="2629" t="s">
        <v>15053</v>
      </c>
      <c r="G49" s="2655" t="s">
        <v>15156</v>
      </c>
      <c r="H49" s="2687"/>
      <c r="I49" s="2626" t="s">
        <v>15169</v>
      </c>
    </row>
    <row r="50" spans="1:9" ht="51">
      <c r="A50" s="2630" t="s">
        <v>15097</v>
      </c>
      <c r="B50" s="2622"/>
      <c r="C50" s="2625" t="s">
        <v>15128</v>
      </c>
      <c r="D50" s="2626" t="s">
        <v>15143</v>
      </c>
      <c r="E50" s="3421">
        <v>35928</v>
      </c>
      <c r="F50" s="2629" t="s">
        <v>15098</v>
      </c>
      <c r="G50" s="2626" t="s">
        <v>15147</v>
      </c>
      <c r="H50" s="3421">
        <v>20015</v>
      </c>
      <c r="I50" s="2626" t="s">
        <v>15174</v>
      </c>
    </row>
    <row r="51" spans="1:9">
      <c r="A51" s="2630" t="s">
        <v>15099</v>
      </c>
      <c r="B51" s="2623"/>
      <c r="C51" s="2625" t="s">
        <v>15128</v>
      </c>
      <c r="D51" s="2626" t="s">
        <v>15143</v>
      </c>
      <c r="E51" s="3422"/>
      <c r="F51" s="2629" t="s">
        <v>15098</v>
      </c>
      <c r="G51" s="2626" t="s">
        <v>15143</v>
      </c>
      <c r="H51" s="3422"/>
      <c r="I51" s="2626" t="s">
        <v>15169</v>
      </c>
    </row>
    <row r="52" spans="1:9">
      <c r="A52" s="2630" t="s">
        <v>15100</v>
      </c>
      <c r="B52" s="2623"/>
      <c r="C52" s="2625" t="s">
        <v>15146</v>
      </c>
      <c r="D52" s="2652" t="s">
        <v>15142</v>
      </c>
      <c r="E52" s="2678"/>
      <c r="F52" s="2629" t="s">
        <v>15053</v>
      </c>
      <c r="G52" s="2655" t="s">
        <v>15156</v>
      </c>
      <c r="H52" s="2687"/>
      <c r="I52" s="2652"/>
    </row>
    <row r="53" spans="1:9">
      <c r="A53" s="2630" t="s">
        <v>15101</v>
      </c>
      <c r="B53" s="2622"/>
      <c r="C53" s="2625" t="s">
        <v>15128</v>
      </c>
      <c r="D53" s="2626" t="s">
        <v>15143</v>
      </c>
      <c r="E53" s="2679">
        <v>1185</v>
      </c>
      <c r="F53" s="2629" t="s">
        <v>15053</v>
      </c>
      <c r="G53" s="2655" t="s">
        <v>15156</v>
      </c>
      <c r="H53" s="2687"/>
      <c r="I53" s="2626" t="s">
        <v>15169</v>
      </c>
    </row>
    <row r="54" spans="1:9">
      <c r="A54" s="2630" t="s">
        <v>15102</v>
      </c>
      <c r="B54" s="2623"/>
      <c r="C54" s="2625" t="s">
        <v>15146</v>
      </c>
      <c r="D54" s="2652" t="s">
        <v>15142</v>
      </c>
      <c r="E54" s="2678"/>
      <c r="F54" s="2629" t="s">
        <v>15053</v>
      </c>
      <c r="G54" s="2655" t="s">
        <v>15156</v>
      </c>
      <c r="H54" s="2687"/>
      <c r="I54" s="2652"/>
    </row>
    <row r="55" spans="1:9">
      <c r="A55" s="2630" t="s">
        <v>15103</v>
      </c>
      <c r="B55" s="2622"/>
      <c r="C55" s="2625" t="s">
        <v>15128</v>
      </c>
      <c r="D55" s="2626" t="s">
        <v>15143</v>
      </c>
      <c r="E55" s="2679">
        <v>4031</v>
      </c>
      <c r="F55" s="2629" t="s">
        <v>15053</v>
      </c>
      <c r="G55" s="2655" t="s">
        <v>15156</v>
      </c>
      <c r="H55" s="2687"/>
      <c r="I55" s="2626" t="s">
        <v>15169</v>
      </c>
    </row>
    <row r="56" spans="1:9">
      <c r="A56" s="2630" t="s">
        <v>15104</v>
      </c>
      <c r="B56" s="2622"/>
      <c r="C56" s="2625" t="s">
        <v>15146</v>
      </c>
      <c r="D56" s="2652" t="s">
        <v>15142</v>
      </c>
      <c r="E56" s="2678"/>
      <c r="F56" s="2629" t="s">
        <v>15048</v>
      </c>
      <c r="G56" s="2652" t="s">
        <v>15142</v>
      </c>
      <c r="H56" s="2685"/>
      <c r="I56" s="2652"/>
    </row>
    <row r="57" spans="1:9">
      <c r="A57" s="2630" t="s">
        <v>15105</v>
      </c>
      <c r="B57" s="2623"/>
      <c r="C57" s="2625" t="s">
        <v>15146</v>
      </c>
      <c r="D57" s="2652" t="s">
        <v>15142</v>
      </c>
      <c r="E57" s="2678"/>
      <c r="F57" s="2629" t="s">
        <v>15053</v>
      </c>
      <c r="G57" s="2655" t="s">
        <v>15156</v>
      </c>
      <c r="H57" s="2687"/>
      <c r="I57" s="2652"/>
    </row>
    <row r="58" spans="1:9">
      <c r="A58" s="2630" t="s">
        <v>15106</v>
      </c>
      <c r="B58" s="2623"/>
      <c r="C58" s="2625" t="s">
        <v>15146</v>
      </c>
      <c r="D58" s="2652" t="s">
        <v>15142</v>
      </c>
      <c r="E58" s="2678"/>
      <c r="F58" s="2629" t="s">
        <v>15053</v>
      </c>
      <c r="G58" s="2655" t="s">
        <v>15156</v>
      </c>
      <c r="H58" s="2687"/>
      <c r="I58" s="2652"/>
    </row>
    <row r="59" spans="1:9">
      <c r="A59" s="2630" t="s">
        <v>15107</v>
      </c>
      <c r="B59" s="2623"/>
      <c r="C59" s="2625" t="s">
        <v>15146</v>
      </c>
      <c r="D59" s="2652" t="s">
        <v>15142</v>
      </c>
      <c r="E59" s="2678"/>
      <c r="F59" s="2629" t="s">
        <v>15053</v>
      </c>
      <c r="G59" s="2655" t="s">
        <v>15156</v>
      </c>
      <c r="H59" s="2687"/>
      <c r="I59" s="2652"/>
    </row>
    <row r="60" spans="1:9">
      <c r="A60" s="2630" t="s">
        <v>15108</v>
      </c>
      <c r="B60" s="2623"/>
      <c r="C60" s="2625" t="s">
        <v>15146</v>
      </c>
      <c r="D60" s="2652" t="s">
        <v>15142</v>
      </c>
      <c r="E60" s="2678"/>
      <c r="F60" s="2629" t="s">
        <v>15053</v>
      </c>
      <c r="G60" s="2655" t="s">
        <v>15156</v>
      </c>
      <c r="H60" s="2687"/>
      <c r="I60" s="2652"/>
    </row>
    <row r="61" spans="1:9">
      <c r="A61" s="2630" t="s">
        <v>15109</v>
      </c>
      <c r="B61" s="2623"/>
      <c r="C61" s="2625" t="s">
        <v>15146</v>
      </c>
      <c r="D61" s="2652" t="s">
        <v>15142</v>
      </c>
      <c r="E61" s="2678"/>
      <c r="F61" s="2629" t="s">
        <v>15053</v>
      </c>
      <c r="G61" s="2655" t="s">
        <v>15156</v>
      </c>
      <c r="H61" s="2687"/>
      <c r="I61" s="2652"/>
    </row>
    <row r="62" spans="1:9">
      <c r="A62" s="2630" t="s">
        <v>15110</v>
      </c>
      <c r="B62" s="2623"/>
      <c r="C62" s="2625" t="s">
        <v>15146</v>
      </c>
      <c r="D62" s="2652" t="s">
        <v>15142</v>
      </c>
      <c r="E62" s="2678"/>
      <c r="F62" s="2629" t="s">
        <v>15053</v>
      </c>
      <c r="G62" s="2655" t="s">
        <v>15156</v>
      </c>
      <c r="H62" s="2687"/>
      <c r="I62" s="2652"/>
    </row>
    <row r="63" spans="1:9">
      <c r="A63" s="2630" t="s">
        <v>15111</v>
      </c>
      <c r="B63" s="2622"/>
      <c r="C63" s="2625" t="s">
        <v>15146</v>
      </c>
      <c r="D63" s="2652" t="s">
        <v>15142</v>
      </c>
      <c r="E63" s="2678"/>
      <c r="F63" s="2629" t="s">
        <v>15048</v>
      </c>
      <c r="G63" s="2652" t="s">
        <v>15142</v>
      </c>
      <c r="H63" s="2685"/>
      <c r="I63" s="2652"/>
    </row>
    <row r="64" spans="1:9">
      <c r="A64" s="2630" t="s">
        <v>15112</v>
      </c>
      <c r="B64" s="2622"/>
      <c r="C64" s="2625" t="s">
        <v>15128</v>
      </c>
      <c r="D64" s="2626" t="s">
        <v>15143</v>
      </c>
      <c r="E64" s="2679">
        <v>2927</v>
      </c>
      <c r="F64" s="2629" t="s">
        <v>15053</v>
      </c>
      <c r="G64" s="2655" t="s">
        <v>15156</v>
      </c>
      <c r="H64" s="2687"/>
      <c r="I64" s="2626" t="s">
        <v>15169</v>
      </c>
    </row>
    <row r="65" spans="1:9">
      <c r="A65" s="2630" t="s">
        <v>15113</v>
      </c>
      <c r="B65" s="2622"/>
      <c r="C65" s="2625" t="s">
        <v>15128</v>
      </c>
      <c r="D65" s="2626" t="s">
        <v>15143</v>
      </c>
      <c r="E65" s="3421">
        <v>3552</v>
      </c>
      <c r="F65" s="2629" t="s">
        <v>15053</v>
      </c>
      <c r="G65" s="2655" t="s">
        <v>15156</v>
      </c>
      <c r="H65" s="2687"/>
      <c r="I65" s="2626" t="s">
        <v>15171</v>
      </c>
    </row>
    <row r="66" spans="1:9">
      <c r="A66" s="2630" t="s">
        <v>15114</v>
      </c>
      <c r="B66" s="2622"/>
      <c r="C66" s="2625" t="s">
        <v>15128</v>
      </c>
      <c r="D66" s="2626" t="s">
        <v>15143</v>
      </c>
      <c r="E66" s="3422"/>
      <c r="F66" s="2629" t="s">
        <v>15053</v>
      </c>
      <c r="G66" s="2655" t="s">
        <v>15156</v>
      </c>
      <c r="H66" s="2687"/>
      <c r="I66" s="2626" t="s">
        <v>15171</v>
      </c>
    </row>
    <row r="67" spans="1:9">
      <c r="A67" s="2630" t="s">
        <v>15115</v>
      </c>
      <c r="B67" s="2623"/>
      <c r="C67" s="2625" t="s">
        <v>15146</v>
      </c>
      <c r="D67" s="2652" t="s">
        <v>15142</v>
      </c>
      <c r="E67" s="2678"/>
      <c r="F67" s="2629" t="s">
        <v>15053</v>
      </c>
      <c r="G67" s="2655" t="s">
        <v>15156</v>
      </c>
      <c r="H67" s="2687"/>
      <c r="I67" s="2652"/>
    </row>
    <row r="68" spans="1:9">
      <c r="A68" s="2630" t="s">
        <v>15116</v>
      </c>
      <c r="B68" s="2623"/>
      <c r="C68" s="2625" t="s">
        <v>15146</v>
      </c>
      <c r="D68" s="2652" t="s">
        <v>15142</v>
      </c>
      <c r="E68" s="2678"/>
      <c r="F68" s="2629" t="s">
        <v>15053</v>
      </c>
      <c r="G68" s="2655" t="s">
        <v>15156</v>
      </c>
      <c r="H68" s="2687"/>
      <c r="I68" s="2652"/>
    </row>
    <row r="69" spans="1:9">
      <c r="A69" s="2630" t="s">
        <v>15117</v>
      </c>
      <c r="B69" s="2623"/>
      <c r="C69" s="2625" t="s">
        <v>15146</v>
      </c>
      <c r="D69" s="2652" t="s">
        <v>15142</v>
      </c>
      <c r="E69" s="2678"/>
      <c r="F69" s="2629" t="s">
        <v>15053</v>
      </c>
      <c r="G69" s="2655" t="s">
        <v>15156</v>
      </c>
      <c r="H69" s="2687"/>
      <c r="I69" s="2652"/>
    </row>
    <row r="70" spans="1:9">
      <c r="A70" s="2630" t="s">
        <v>15118</v>
      </c>
      <c r="B70" s="2622"/>
      <c r="C70" s="2625" t="s">
        <v>15128</v>
      </c>
      <c r="D70" s="2626" t="s">
        <v>15143</v>
      </c>
      <c r="E70" s="2679">
        <v>0</v>
      </c>
      <c r="F70" s="2629" t="s">
        <v>15053</v>
      </c>
      <c r="G70" s="2655" t="s">
        <v>15156</v>
      </c>
      <c r="H70" s="2687"/>
      <c r="I70" s="2626" t="s">
        <v>15169</v>
      </c>
    </row>
    <row r="71" spans="1:9">
      <c r="A71" s="2630" t="s">
        <v>15119</v>
      </c>
      <c r="B71" s="2622"/>
      <c r="C71" s="2625" t="s">
        <v>15128</v>
      </c>
      <c r="D71" s="2626" t="s">
        <v>15143</v>
      </c>
      <c r="E71" s="2679">
        <v>1590.12</v>
      </c>
      <c r="F71" s="2629" t="s">
        <v>15053</v>
      </c>
      <c r="G71" s="2655" t="s">
        <v>15156</v>
      </c>
      <c r="H71" s="2687"/>
      <c r="I71" s="2626" t="s">
        <v>15170</v>
      </c>
    </row>
    <row r="72" spans="1:9">
      <c r="A72" s="2630" t="s">
        <v>15120</v>
      </c>
      <c r="B72" s="2622"/>
      <c r="C72" s="2625" t="s">
        <v>15128</v>
      </c>
      <c r="D72" s="2626" t="s">
        <v>15143</v>
      </c>
      <c r="E72" s="2679">
        <v>881</v>
      </c>
      <c r="F72" s="2629" t="s">
        <v>15053</v>
      </c>
      <c r="G72" s="2655" t="s">
        <v>15156</v>
      </c>
      <c r="H72" s="2687"/>
      <c r="I72" s="2626" t="s">
        <v>15169</v>
      </c>
    </row>
    <row r="73" spans="1:9">
      <c r="A73" s="2630" t="s">
        <v>15121</v>
      </c>
      <c r="B73" s="2623"/>
      <c r="C73" s="2625" t="s">
        <v>15146</v>
      </c>
      <c r="D73" s="2652" t="s">
        <v>15142</v>
      </c>
      <c r="E73" s="2678"/>
      <c r="F73" s="2629" t="s">
        <v>15053</v>
      </c>
      <c r="G73" s="2655" t="s">
        <v>15156</v>
      </c>
      <c r="H73" s="2687"/>
      <c r="I73" s="2652"/>
    </row>
    <row r="74" spans="1:9">
      <c r="A74" s="2630" t="s">
        <v>15122</v>
      </c>
      <c r="B74" s="2623"/>
      <c r="C74" s="2625" t="s">
        <v>15146</v>
      </c>
      <c r="D74" s="2652" t="s">
        <v>15142</v>
      </c>
      <c r="E74" s="2678"/>
      <c r="F74" s="2629" t="s">
        <v>15053</v>
      </c>
      <c r="G74" s="2655" t="s">
        <v>15156</v>
      </c>
      <c r="H74" s="2687"/>
      <c r="I74" s="2652"/>
    </row>
    <row r="75" spans="1:9">
      <c r="A75" s="2630" t="s">
        <v>15123</v>
      </c>
      <c r="B75" s="2623"/>
      <c r="C75" s="2625" t="s">
        <v>15146</v>
      </c>
      <c r="D75" s="2652" t="s">
        <v>15142</v>
      </c>
      <c r="E75" s="2678"/>
      <c r="F75" s="2629" t="s">
        <v>15053</v>
      </c>
      <c r="G75" s="2655" t="s">
        <v>15156</v>
      </c>
      <c r="H75" s="2687"/>
      <c r="I75" s="2652"/>
    </row>
    <row r="76" spans="1:9">
      <c r="A76" s="2630" t="s">
        <v>15124</v>
      </c>
      <c r="B76" s="2623"/>
      <c r="C76" s="2625" t="s">
        <v>15146</v>
      </c>
      <c r="D76" s="2652" t="s">
        <v>15142</v>
      </c>
      <c r="E76" s="2678"/>
      <c r="F76" s="2629" t="s">
        <v>15053</v>
      </c>
      <c r="G76" s="2655" t="s">
        <v>15156</v>
      </c>
      <c r="H76" s="2687"/>
      <c r="I76" s="2652"/>
    </row>
    <row r="77" spans="1:9">
      <c r="A77" s="2630" t="s">
        <v>15125</v>
      </c>
      <c r="B77" s="2623"/>
      <c r="C77" s="2625" t="s">
        <v>15146</v>
      </c>
      <c r="D77" s="2652" t="s">
        <v>15142</v>
      </c>
      <c r="E77" s="2678"/>
      <c r="F77" s="2629" t="s">
        <v>15053</v>
      </c>
      <c r="G77" s="2655" t="s">
        <v>15156</v>
      </c>
      <c r="H77" s="2687"/>
      <c r="I77" s="2652"/>
    </row>
    <row r="78" spans="1:9">
      <c r="A78" s="2630" t="s">
        <v>15150</v>
      </c>
      <c r="B78" s="2624"/>
      <c r="C78" s="2627" t="s">
        <v>15128</v>
      </c>
      <c r="D78" s="2626" t="s">
        <v>15143</v>
      </c>
      <c r="E78" s="2679">
        <v>126013</v>
      </c>
      <c r="F78" s="2629" t="s">
        <v>15048</v>
      </c>
      <c r="G78" s="2652" t="s">
        <v>15142</v>
      </c>
      <c r="H78" s="2685">
        <v>119800.38</v>
      </c>
      <c r="I78" s="2626" t="s">
        <v>15169</v>
      </c>
    </row>
    <row r="79" spans="1:9">
      <c r="A79" s="2630" t="s">
        <v>15151</v>
      </c>
      <c r="B79" s="2624"/>
      <c r="C79" s="2625" t="s">
        <v>15146</v>
      </c>
      <c r="D79" s="2652" t="s">
        <v>15142</v>
      </c>
      <c r="E79" s="2678"/>
      <c r="F79" s="2629" t="s">
        <v>15048</v>
      </c>
      <c r="G79" s="2652" t="s">
        <v>15142</v>
      </c>
      <c r="H79" s="2685"/>
      <c r="I79" s="2652"/>
    </row>
    <row r="80" spans="1:9">
      <c r="A80" s="2630" t="s">
        <v>15152</v>
      </c>
      <c r="B80" s="2624"/>
      <c r="C80" s="2625" t="s">
        <v>15146</v>
      </c>
      <c r="D80" s="2652" t="s">
        <v>15142</v>
      </c>
      <c r="E80" s="2678"/>
      <c r="F80" s="2629" t="s">
        <v>15048</v>
      </c>
      <c r="G80" s="2652" t="s">
        <v>15142</v>
      </c>
      <c r="H80" s="2685"/>
      <c r="I80" s="2652"/>
    </row>
    <row r="81" spans="1:9" ht="13.5" thickBot="1">
      <c r="A81" s="2701" t="s">
        <v>15153</v>
      </c>
      <c r="B81" s="2634"/>
      <c r="C81" s="2635" t="s">
        <v>15146</v>
      </c>
      <c r="D81" s="2653" t="s">
        <v>15142</v>
      </c>
      <c r="E81" s="2680"/>
      <c r="F81" s="2636" t="s">
        <v>15048</v>
      </c>
      <c r="G81" s="2653" t="s">
        <v>15142</v>
      </c>
      <c r="H81" s="2688"/>
      <c r="I81" s="2653"/>
    </row>
    <row r="82" spans="1:9">
      <c r="A82" s="2637" t="s">
        <v>15145</v>
      </c>
      <c r="B82" s="2638"/>
      <c r="C82" s="2639"/>
      <c r="D82" s="2640"/>
      <c r="E82" s="2681"/>
      <c r="F82" s="2641"/>
      <c r="G82" s="2640"/>
      <c r="H82" s="2689"/>
      <c r="I82" s="2640"/>
    </row>
    <row r="83" spans="1:9">
      <c r="A83" s="2631" t="s">
        <v>15129</v>
      </c>
      <c r="B83" s="2623"/>
      <c r="C83" s="2625" t="s">
        <v>15133</v>
      </c>
      <c r="D83" s="2652" t="s">
        <v>15142</v>
      </c>
      <c r="E83" s="2678"/>
      <c r="F83" s="2629" t="s">
        <v>15053</v>
      </c>
      <c r="G83" s="2655" t="s">
        <v>15156</v>
      </c>
      <c r="H83" s="2687"/>
      <c r="I83" s="2652"/>
    </row>
    <row r="84" spans="1:9">
      <c r="A84" s="2631" t="s">
        <v>15130</v>
      </c>
      <c r="B84" s="2623"/>
      <c r="C84" s="2625" t="s">
        <v>15133</v>
      </c>
      <c r="D84" s="2652" t="s">
        <v>15142</v>
      </c>
      <c r="E84" s="2678"/>
      <c r="F84" s="2629" t="s">
        <v>15053</v>
      </c>
      <c r="G84" s="2655" t="s">
        <v>15156</v>
      </c>
      <c r="H84" s="2687"/>
      <c r="I84" s="2652"/>
    </row>
    <row r="85" spans="1:9">
      <c r="A85" s="2631" t="s">
        <v>15131</v>
      </c>
      <c r="B85" s="2622" t="s">
        <v>15139</v>
      </c>
      <c r="C85" s="2625" t="s">
        <v>15128</v>
      </c>
      <c r="D85" s="2626" t="s">
        <v>15143</v>
      </c>
      <c r="E85" s="2679"/>
      <c r="F85" s="2629" t="s">
        <v>15053</v>
      </c>
      <c r="G85" s="2655" t="s">
        <v>15156</v>
      </c>
      <c r="H85" s="2687"/>
      <c r="I85" s="2626"/>
    </row>
    <row r="86" spans="1:9" ht="38.25">
      <c r="A86" s="2631"/>
      <c r="B86" s="2622" t="s">
        <v>15140</v>
      </c>
      <c r="C86" s="2625" t="s">
        <v>15133</v>
      </c>
      <c r="D86" s="2652" t="s">
        <v>15142</v>
      </c>
      <c r="E86" s="2678"/>
      <c r="F86" s="2629" t="s">
        <v>15134</v>
      </c>
      <c r="G86" s="2652" t="s">
        <v>15142</v>
      </c>
      <c r="H86" s="2685"/>
      <c r="I86" s="2652"/>
    </row>
    <row r="87" spans="1:9" ht="13.5" thickBot="1">
      <c r="A87" s="2632" t="s">
        <v>15132</v>
      </c>
      <c r="B87" s="2633"/>
      <c r="C87" s="2628" t="s">
        <v>15133</v>
      </c>
      <c r="D87" s="2654" t="s">
        <v>15142</v>
      </c>
      <c r="E87" s="2682"/>
      <c r="F87" s="2675" t="s">
        <v>15053</v>
      </c>
      <c r="G87" s="2676" t="s">
        <v>15156</v>
      </c>
      <c r="H87" s="2690"/>
      <c r="I87" s="2654"/>
    </row>
    <row r="88" spans="1:9" ht="13.5" thickBot="1">
      <c r="A88" s="2691"/>
      <c r="B88" s="2620"/>
      <c r="C88" s="2616"/>
      <c r="D88" s="2616"/>
      <c r="E88" s="2683"/>
      <c r="F88" s="2616"/>
      <c r="G88" s="2616"/>
      <c r="H88" s="2683"/>
      <c r="I88" s="2616"/>
    </row>
    <row r="89" spans="1:9" ht="13.5" thickBot="1">
      <c r="A89" s="2691" t="s">
        <v>15166</v>
      </c>
      <c r="B89" s="2692"/>
      <c r="C89" s="2693"/>
      <c r="D89" s="2694"/>
      <c r="E89" s="2695">
        <f>E5+E6+E11+E10+E25+E29+E37+E38+E43+E44+E49+E50+E53+E55+E64+E65+E70+E71+E72+E85+E78</f>
        <v>304454.12</v>
      </c>
      <c r="F89" s="2696"/>
      <c r="G89" s="2694"/>
      <c r="H89" s="2697">
        <f>H5+H11+H50</f>
        <v>73795</v>
      </c>
      <c r="I89" s="2694"/>
    </row>
    <row r="90" spans="1:9" ht="13.5" thickBot="1"/>
    <row r="91" spans="1:9" ht="13.5" thickBot="1">
      <c r="A91" s="2691" t="s">
        <v>15165</v>
      </c>
      <c r="B91" s="2692"/>
      <c r="C91" s="2693"/>
      <c r="D91" s="2694"/>
      <c r="E91" s="2695">
        <f>E93-E89</f>
        <v>29403462.813999999</v>
      </c>
      <c r="F91" s="2696"/>
      <c r="G91" s="2694"/>
      <c r="H91" s="2697">
        <f>H93-H89</f>
        <v>27374859.361000001</v>
      </c>
      <c r="I91" s="2694"/>
    </row>
    <row r="92" spans="1:9" ht="13.5" thickBot="1"/>
    <row r="93" spans="1:9" ht="13.5" thickBot="1">
      <c r="A93" s="2691" t="s">
        <v>24</v>
      </c>
      <c r="B93" s="2692"/>
      <c r="C93" s="2693"/>
      <c r="D93" s="2694"/>
      <c r="E93" s="2695">
        <v>29707916.934</v>
      </c>
      <c r="F93" s="2696"/>
      <c r="G93" s="2694"/>
      <c r="H93" s="2695">
        <v>27448654.361000001</v>
      </c>
      <c r="I93" s="2694"/>
    </row>
    <row r="96" spans="1:9">
      <c r="E96" s="2700"/>
    </row>
    <row r="97" spans="5:5" s="2617" customFormat="1">
      <c r="E97" s="2700"/>
    </row>
  </sheetData>
  <autoFilter ref="A1:M1"/>
  <mergeCells count="3">
    <mergeCell ref="E50:E51"/>
    <mergeCell ref="H50:H51"/>
    <mergeCell ref="E65:E66"/>
  </mergeCells>
  <printOptions horizontalCentered="1"/>
  <pageMargins left="0" right="0" top="0.39370078740157483" bottom="0.39370078740157483" header="0.31496062992125984" footer="0.31496062992125984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110"/>
  <sheetViews>
    <sheetView view="pageBreakPreview" zoomScale="60" zoomScaleNormal="50" workbookViewId="0">
      <pane xSplit="1" ySplit="2" topLeftCell="H57" activePane="bottomRight" state="frozen"/>
      <selection pane="topRight" activeCell="B1" sqref="B1"/>
      <selection pane="bottomLeft" activeCell="A3" sqref="A3"/>
      <selection pane="bottomRight" activeCell="AG65" sqref="AG65"/>
    </sheetView>
  </sheetViews>
  <sheetFormatPr defaultRowHeight="15" outlineLevelCol="1"/>
  <cols>
    <col min="1" max="1" width="47.42578125" style="1876" customWidth="1"/>
    <col min="2" max="2" width="10.28515625" style="1877" customWidth="1" outlineLevel="1"/>
    <col min="3" max="3" width="45.5703125" style="1876" customWidth="1" outlineLevel="1"/>
    <col min="4" max="4" width="33" style="1893" customWidth="1" outlineLevel="1"/>
    <col min="5" max="5" width="9.28515625" style="1878" customWidth="1" outlineLevel="1"/>
    <col min="6" max="6" width="14.42578125" style="1878" bestFit="1" customWidth="1"/>
    <col min="7" max="7" width="14.42578125" style="1878" customWidth="1"/>
    <col min="8" max="12" width="9.28515625" style="1878" customWidth="1"/>
    <col min="13" max="13" width="14.5703125" style="1877" customWidth="1"/>
    <col min="14" max="14" width="22.7109375" style="1876" customWidth="1" outlineLevel="1"/>
    <col min="15" max="15" width="11.5703125" style="1877" customWidth="1"/>
    <col min="16" max="16" width="16" style="1877" customWidth="1"/>
    <col min="17" max="17" width="15.28515625" style="1877" customWidth="1"/>
    <col min="18" max="18" width="15.28515625" style="1878" customWidth="1"/>
    <col min="19" max="19" width="14.85546875" style="1878" customWidth="1"/>
    <col min="20" max="25" width="13.140625" style="1878" customWidth="1"/>
    <col min="26" max="30" width="14.28515625" style="1878" customWidth="1"/>
    <col min="31" max="31" width="16.140625" style="1877" customWidth="1"/>
    <col min="32" max="33" width="8" style="1878" bestFit="1" customWidth="1"/>
    <col min="34" max="34" width="8.5703125" style="1547" bestFit="1" customWidth="1"/>
    <col min="35" max="38" width="9.140625" style="1547" bestFit="1" customWidth="1"/>
    <col min="39" max="39" width="9.140625" style="1547"/>
    <col min="40" max="40" width="10.85546875" style="1547" bestFit="1" customWidth="1"/>
    <col min="41" max="16384" width="9.140625" style="1547"/>
  </cols>
  <sheetData>
    <row r="1" spans="1:40" s="1783" customFormat="1" ht="15.75" thickBot="1">
      <c r="A1" s="1769" t="s">
        <v>14864</v>
      </c>
      <c r="B1" s="1770"/>
      <c r="C1" s="1771"/>
      <c r="D1" s="1885"/>
      <c r="E1" s="1770"/>
      <c r="F1" s="1772"/>
      <c r="G1" s="3423" t="s">
        <v>2156</v>
      </c>
      <c r="H1" s="3424"/>
      <c r="I1" s="3424"/>
      <c r="J1" s="3424"/>
      <c r="K1" s="3424"/>
      <c r="L1" s="3425"/>
      <c r="M1" s="1773"/>
      <c r="N1" s="1774"/>
      <c r="O1" s="1775"/>
      <c r="P1" s="1776">
        <v>2022</v>
      </c>
      <c r="Q1" s="1777">
        <v>2022</v>
      </c>
      <c r="R1" s="1778">
        <v>2022</v>
      </c>
      <c r="S1" s="1779">
        <v>2023</v>
      </c>
      <c r="T1" s="1780">
        <v>2023</v>
      </c>
      <c r="U1" s="1776">
        <v>2024</v>
      </c>
      <c r="V1" s="1777">
        <v>2025</v>
      </c>
      <c r="W1" s="1777">
        <v>2026</v>
      </c>
      <c r="X1" s="1777">
        <v>2027</v>
      </c>
      <c r="Y1" s="1778">
        <v>2028</v>
      </c>
      <c r="Z1" s="1687">
        <v>2024</v>
      </c>
      <c r="AA1" s="1688">
        <v>2025</v>
      </c>
      <c r="AB1" s="1688">
        <v>2026</v>
      </c>
      <c r="AC1" s="1688">
        <v>2027</v>
      </c>
      <c r="AD1" s="1689">
        <v>2028</v>
      </c>
      <c r="AE1" s="1773"/>
      <c r="AF1" s="1781">
        <v>2022</v>
      </c>
      <c r="AG1" s="1782">
        <v>2023</v>
      </c>
      <c r="AH1" s="1694">
        <v>2024</v>
      </c>
      <c r="AI1" s="1688">
        <v>2025</v>
      </c>
      <c r="AJ1" s="1688">
        <v>2026</v>
      </c>
      <c r="AK1" s="1688">
        <v>2027</v>
      </c>
      <c r="AL1" s="1689">
        <v>2028</v>
      </c>
    </row>
    <row r="2" spans="1:40" s="1793" customFormat="1" ht="88.5" customHeight="1" thickTop="1" thickBot="1">
      <c r="A2" s="1784" t="str">
        <f>Мероприятия_и_источники!B4</f>
        <v>Наименование мероприятия</v>
      </c>
      <c r="B2" s="1785" t="str">
        <f>Мероприятия_и_источники!C4</f>
        <v>Протяженность, п.м.</v>
      </c>
      <c r="C2" s="1785" t="str">
        <f>Мероприятия_и_источники!D4</f>
        <v xml:space="preserve">Наименование и местонахождение объекта капитального строительства </v>
      </c>
      <c r="D2" s="1785" t="str">
        <f>Мероприятия_и_источники!E4</f>
        <v>Абонент объекта капитального строительства</v>
      </c>
      <c r="E2" s="1785" t="str">
        <f>Мероприятия_и_источники!F4</f>
        <v>Нагрузка, куб. м. в сутки</v>
      </c>
      <c r="F2" s="1786" t="str">
        <f>Мероприятия_и_источники!G4</f>
        <v>Итого финансовые потребности, тыс. руб. без НДС</v>
      </c>
      <c r="G2" s="1787" t="str">
        <f>Мероприятия_и_источники!H4</f>
        <v>Итого финансовые потребности, тыс. руб. с НДС</v>
      </c>
      <c r="H2" s="1785" t="str">
        <f>Мероприятия_и_источники!I5</f>
        <v>План 2024 год</v>
      </c>
      <c r="I2" s="1785" t="str">
        <f>Мероприятия_и_источники!J5</f>
        <v>План 2025 год</v>
      </c>
      <c r="J2" s="1785" t="str">
        <f>Мероприятия_и_источники!K5</f>
        <v>План 2026 год</v>
      </c>
      <c r="K2" s="1785" t="str">
        <f>Мероприятия_и_источники!L5</f>
        <v>План 2027 год</v>
      </c>
      <c r="L2" s="1788" t="str">
        <f>Мероприятия_и_источники!M5</f>
        <v>План 2028 год</v>
      </c>
      <c r="M2" s="1789" t="str">
        <f>Мероприятия_и_источники!N4</f>
        <v>Дата ввода в эксплуатацию</v>
      </c>
      <c r="N2" s="1786" t="str">
        <f>Мероприятия_и_источники!O4</f>
        <v>Источник финансирования</v>
      </c>
      <c r="O2" s="1790" t="s">
        <v>14879</v>
      </c>
      <c r="P2" s="1789" t="s">
        <v>14863</v>
      </c>
      <c r="Q2" s="1785" t="s">
        <v>14849</v>
      </c>
      <c r="R2" s="1786" t="s">
        <v>14850</v>
      </c>
      <c r="S2" s="1787" t="s">
        <v>14915</v>
      </c>
      <c r="T2" s="1788" t="s">
        <v>14851</v>
      </c>
      <c r="U2" s="1789" t="s">
        <v>14852</v>
      </c>
      <c r="V2" s="1785" t="s">
        <v>14853</v>
      </c>
      <c r="W2" s="1785" t="s">
        <v>14854</v>
      </c>
      <c r="X2" s="1785" t="s">
        <v>14855</v>
      </c>
      <c r="Y2" s="1786" t="s">
        <v>14856</v>
      </c>
      <c r="Z2" s="1684" t="s">
        <v>14857</v>
      </c>
      <c r="AA2" s="1685" t="s">
        <v>14859</v>
      </c>
      <c r="AB2" s="1685" t="s">
        <v>14858</v>
      </c>
      <c r="AC2" s="1685" t="s">
        <v>14860</v>
      </c>
      <c r="AD2" s="1686" t="s">
        <v>14861</v>
      </c>
      <c r="AE2" s="1791" t="s">
        <v>14848</v>
      </c>
      <c r="AF2" s="1792" t="s">
        <v>14862</v>
      </c>
      <c r="AG2" s="1788" t="s">
        <v>14862</v>
      </c>
      <c r="AH2" s="1695" t="s">
        <v>14862</v>
      </c>
      <c r="AI2" s="1690" t="s">
        <v>14862</v>
      </c>
      <c r="AJ2" s="1690" t="s">
        <v>14862</v>
      </c>
      <c r="AK2" s="1690" t="s">
        <v>14862</v>
      </c>
      <c r="AL2" s="1691" t="s">
        <v>14862</v>
      </c>
    </row>
    <row r="3" spans="1:40" s="1808" customFormat="1">
      <c r="A3" s="1794" t="s">
        <v>14876</v>
      </c>
      <c r="B3" s="1795"/>
      <c r="C3" s="1794"/>
      <c r="D3" s="1886"/>
      <c r="E3" s="1696"/>
      <c r="F3" s="1796"/>
      <c r="G3" s="1797"/>
      <c r="H3" s="1696"/>
      <c r="I3" s="1696"/>
      <c r="J3" s="1696"/>
      <c r="K3" s="1696"/>
      <c r="L3" s="1798"/>
      <c r="M3" s="1799"/>
      <c r="N3" s="1796"/>
      <c r="O3" s="1800"/>
      <c r="P3" s="1799">
        <f>Износ!N7486/1000</f>
        <v>1790519.6213499999</v>
      </c>
      <c r="Q3" s="1801">
        <f>Износ!O7486/1000</f>
        <v>1319726.32898</v>
      </c>
      <c r="R3" s="1796">
        <f>Износ!R7486/1000</f>
        <v>470793.29236999998</v>
      </c>
      <c r="S3" s="1797">
        <f>R3+Износ!Q7486/1000</f>
        <v>520068.05674999999</v>
      </c>
      <c r="T3" s="1798">
        <f>P3</f>
        <v>1790519.6213499999</v>
      </c>
      <c r="U3" s="1802">
        <f>T3+U4-Износ!N3957/1000-Износ!N2995/1000-Износ!N4650/1000-Износ!N3009/1000-Износ!N296/1000-Износ!N5722/1000-Износ!N5183/1000-Износ!N4107/1000-Износ!N5732/1000-Износ!N3690/1000-Износ!N4153/1000-Износ!N5668/1000</f>
        <v>1838061.5058565035</v>
      </c>
      <c r="V3" s="1696">
        <f>U3+V4-Износ!N3717/1000-Износ!N229/1000-Износ!N2596/1000-Износ!N4906/1000-Износ!N4643/1000-Износ!N3941/1000-Износ!N1561/1000-Износ!N5647/1000</f>
        <v>2090221.6879961672</v>
      </c>
      <c r="W3" s="1696">
        <f>V3+W4-Износ!N4765/1000</f>
        <v>2388650.138432953</v>
      </c>
      <c r="X3" s="1696">
        <f>W3+X4-Износ!N4637/1000-Износ!N7481/1000-Износ!N7482/1000</f>
        <v>2813201.1398277492</v>
      </c>
      <c r="Y3" s="1796">
        <f>X3+Y4-Износ!N3035/1000-Износ!N4891/1000</f>
        <v>3326165.3102546032</v>
      </c>
      <c r="Z3" s="1797">
        <f>S3+Износ!$Q$7486/1000+Z4</f>
        <v>569342.82112999994</v>
      </c>
      <c r="AA3" s="1696">
        <f>Z3+AA4</f>
        <v>573269.88055284671</v>
      </c>
      <c r="AB3" s="1696">
        <f>AA3+AB4</f>
        <v>588403.7933991903</v>
      </c>
      <c r="AC3" s="1696">
        <f>AB3+AC4</f>
        <v>609521.3603576239</v>
      </c>
      <c r="AD3" s="1798">
        <f>AC3+AD4</f>
        <v>637605.1021563824</v>
      </c>
      <c r="AE3" s="1803"/>
      <c r="AF3" s="1804">
        <f>R3/P3</f>
        <v>0.26293668427662104</v>
      </c>
      <c r="AG3" s="1805">
        <f>S3/T3</f>
        <v>0.29045649684524749</v>
      </c>
      <c r="AH3" s="1806">
        <f>Z3/U3</f>
        <v>0.30975177888005245</v>
      </c>
      <c r="AI3" s="1807">
        <f>AA3/V3</f>
        <v>0.27426271760792192</v>
      </c>
      <c r="AJ3" s="1807">
        <f>AB3/W3</f>
        <v>0.24633318372242072</v>
      </c>
      <c r="AK3" s="1807">
        <f>AC3/X3</f>
        <v>0.21666469266216229</v>
      </c>
      <c r="AL3" s="1807">
        <f>AD3/Y3</f>
        <v>0.19169375021459067</v>
      </c>
    </row>
    <row r="4" spans="1:40" s="1808" customFormat="1">
      <c r="A4" s="1809" t="s">
        <v>14875</v>
      </c>
      <c r="B4" s="1810"/>
      <c r="C4" s="1809"/>
      <c r="D4" s="1887"/>
      <c r="E4" s="1811"/>
      <c r="F4" s="1812">
        <f t="shared" ref="F4:L4" si="0">SUM(F5:F63)</f>
        <v>1889066.285396714</v>
      </c>
      <c r="G4" s="1813">
        <f t="shared" si="0"/>
        <v>2266879.5424760575</v>
      </c>
      <c r="H4" s="1811">
        <f t="shared" si="0"/>
        <v>311771.47487940447</v>
      </c>
      <c r="I4" s="1811">
        <f t="shared" si="0"/>
        <v>455428.89617962943</v>
      </c>
      <c r="J4" s="1811">
        <f t="shared" si="0"/>
        <v>359004.51098377589</v>
      </c>
      <c r="K4" s="1811">
        <f t="shared" si="0"/>
        <v>510191.56602938904</v>
      </c>
      <c r="L4" s="1814">
        <f t="shared" si="0"/>
        <v>630483.09440385748</v>
      </c>
      <c r="M4" s="1815"/>
      <c r="N4" s="1812"/>
      <c r="O4" s="1816"/>
      <c r="P4" s="1815"/>
      <c r="Q4" s="1817"/>
      <c r="R4" s="1812"/>
      <c r="S4" s="1813"/>
      <c r="T4" s="1814">
        <f t="shared" ref="T4:AD4" si="1">SUM(T5:T63)</f>
        <v>0</v>
      </c>
      <c r="U4" s="1818">
        <f t="shared" si="1"/>
        <v>83698.486836503769</v>
      </c>
      <c r="V4" s="1811">
        <f t="shared" si="1"/>
        <v>348919.95119966369</v>
      </c>
      <c r="W4" s="1811">
        <f t="shared" si="1"/>
        <v>299295.4754367859</v>
      </c>
      <c r="X4" s="1811">
        <f t="shared" si="1"/>
        <v>425284.68797479675</v>
      </c>
      <c r="Y4" s="1812">
        <f t="shared" si="1"/>
        <v>525527.6282868539</v>
      </c>
      <c r="Z4" s="1813">
        <f t="shared" si="1"/>
        <v>0</v>
      </c>
      <c r="AA4" s="1811">
        <f>SUM(AA5:AA63)</f>
        <v>3927.0594228467144</v>
      </c>
      <c r="AB4" s="1811">
        <f>SUM(AB5:AB63)</f>
        <v>15133.912846343537</v>
      </c>
      <c r="AC4" s="1811">
        <f>SUM(AC5:AC63)</f>
        <v>21117.566958433643</v>
      </c>
      <c r="AD4" s="1814">
        <f t="shared" si="1"/>
        <v>28083.741798758452</v>
      </c>
      <c r="AE4" s="1819"/>
      <c r="AF4" s="1813"/>
      <c r="AG4" s="1814"/>
      <c r="AH4" s="1806"/>
      <c r="AI4" s="1807"/>
      <c r="AJ4" s="1807"/>
      <c r="AK4" s="1807"/>
      <c r="AL4" s="1807"/>
    </row>
    <row r="5" spans="1:40" s="1748" customFormat="1" ht="45">
      <c r="A5" s="1735" t="str">
        <f>Мероприятия_и_источники!B20</f>
        <v xml:space="preserve">Строительство сетей водоснабжения диаметром от 40 мм и менее до 250 мм </v>
      </c>
      <c r="B5" s="1736">
        <f>Мероприятия_и_источники!C20</f>
        <v>13925</v>
      </c>
      <c r="C5" s="1735" t="str">
        <f>Мероприятия_и_источники!D20</f>
        <v>Жилые дома, нежилые здания и помещения на территории г.Калуга</v>
      </c>
      <c r="D5" s="1888" t="str">
        <f>Мероприятия_и_источники!E20</f>
        <v>Заявители, величина подключаемой нагрузки которых не превышает 40 куб.м.в сутки</v>
      </c>
      <c r="E5" s="1737">
        <f>Мероприятия_и_источники!F20</f>
        <v>2042.4900000000007</v>
      </c>
      <c r="F5" s="1738">
        <f>Мероприятия_и_источники!G20</f>
        <v>180359.00241483081</v>
      </c>
      <c r="G5" s="1739">
        <f>Мероприятия_и_источники!H20</f>
        <v>216430.80289779697</v>
      </c>
      <c r="H5" s="1737">
        <f>Мероприятия_и_источники!I20</f>
        <v>39958.994410000007</v>
      </c>
      <c r="I5" s="1737">
        <f>Мероприятия_и_источники!J20</f>
        <v>41557.354186400007</v>
      </c>
      <c r="J5" s="1737">
        <f>Мероприятия_и_источники!K20</f>
        <v>43219.648353856006</v>
      </c>
      <c r="K5" s="1737">
        <f>Мероприятия_и_источники!L20</f>
        <v>44948.434288010249</v>
      </c>
      <c r="L5" s="1740">
        <f>Мероприятия_и_источники!M20</f>
        <v>46746.371659530661</v>
      </c>
      <c r="M5" s="1741" t="str">
        <f>Мероприятия_и_источники!N20</f>
        <v>2024-2028гг.</v>
      </c>
      <c r="N5" s="1820" t="str">
        <f>Мероприятия_и_источники!O20</f>
        <v>плата за подключение (по тарифам на подключение)</v>
      </c>
      <c r="O5" s="1742">
        <v>361</v>
      </c>
      <c r="P5" s="1741"/>
      <c r="Q5" s="1743"/>
      <c r="R5" s="1738"/>
      <c r="S5" s="1739"/>
      <c r="T5" s="1740"/>
      <c r="U5" s="1744">
        <f t="shared" ref="U5:Y10" si="2">H5/1.2</f>
        <v>33299.16200833334</v>
      </c>
      <c r="V5" s="1737">
        <f t="shared" si="2"/>
        <v>34631.128488666676</v>
      </c>
      <c r="W5" s="1737">
        <f t="shared" si="2"/>
        <v>36016.37362821334</v>
      </c>
      <c r="X5" s="1737">
        <f t="shared" si="2"/>
        <v>37457.028573341879</v>
      </c>
      <c r="Y5" s="1738">
        <f t="shared" si="2"/>
        <v>38955.309716275551</v>
      </c>
      <c r="Z5" s="1739"/>
      <c r="AA5" s="1737">
        <f>H5/1.2/O5*12</f>
        <v>1106.8973520775626</v>
      </c>
      <c r="AB5" s="1737">
        <f>AA5+I5/1.2/O5*12</f>
        <v>2258.0705982382278</v>
      </c>
      <c r="AC5" s="1737">
        <f>AB5+J5/1.2/O5*12</f>
        <v>3455.2907742453194</v>
      </c>
      <c r="AD5" s="1740">
        <f>AC5+K5/1.2/O5*12</f>
        <v>4700.3997572926946</v>
      </c>
      <c r="AE5" s="1745" t="s">
        <v>1083</v>
      </c>
      <c r="AF5" s="1739"/>
      <c r="AG5" s="1740"/>
      <c r="AH5" s="1806"/>
      <c r="AI5" s="1807"/>
      <c r="AJ5" s="1807"/>
      <c r="AK5" s="1807"/>
      <c r="AL5" s="1807"/>
      <c r="AN5" s="2068"/>
    </row>
    <row r="6" spans="1:40" s="1748" customFormat="1" ht="60">
      <c r="A6" s="1735" t="str">
        <f>Мероприятия_и_источники!B24</f>
        <v>Строительство водовода Д=225 мм протяженностью 48,5 п.м. и Д=160 мм протяженностью 204 п.м. от границы земельного участка до водопровода диаметром 225 мм</v>
      </c>
      <c r="B6" s="1736">
        <f>Мероприятия_и_источники!C24</f>
        <v>252.5</v>
      </c>
      <c r="C6" s="1735" t="str">
        <f>Мероприятия_и_источники!D24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D6" s="1888" t="str">
        <f>Мероприятия_и_источники!E24</f>
        <v>ООО Совместное предприятие "Минскстройэкспорт"</v>
      </c>
      <c r="E6" s="1737">
        <f>Мероприятия_и_источники!F24</f>
        <v>576.9</v>
      </c>
      <c r="F6" s="1738">
        <f>Мероприятия_и_источники!G24</f>
        <v>848.86400000000003</v>
      </c>
      <c r="G6" s="1739">
        <f>Мероприятия_и_источники!H24</f>
        <v>1018.6368</v>
      </c>
      <c r="H6" s="1737">
        <f>Мероприятия_и_источники!I24</f>
        <v>0</v>
      </c>
      <c r="I6" s="1737">
        <f>Мероприятия_и_источники!J24</f>
        <v>1018.6368</v>
      </c>
      <c r="J6" s="1737">
        <f>Мероприятия_и_источники!K24</f>
        <v>0</v>
      </c>
      <c r="K6" s="1737">
        <f>Мероприятия_и_источники!L24</f>
        <v>0</v>
      </c>
      <c r="L6" s="1740">
        <f>Мероприятия_и_источники!M24</f>
        <v>0</v>
      </c>
      <c r="M6" s="1741" t="str">
        <f>Мероприятия_и_источники!N24</f>
        <v>2025год</v>
      </c>
      <c r="N6" s="1820" t="str">
        <f>Мероприятия_и_источники!O24</f>
        <v>плата за подключение в индивидуальном порядке</v>
      </c>
      <c r="O6" s="1742">
        <v>361</v>
      </c>
      <c r="P6" s="1741"/>
      <c r="Q6" s="1743"/>
      <c r="R6" s="1738"/>
      <c r="S6" s="1739"/>
      <c r="T6" s="1740"/>
      <c r="U6" s="1744">
        <f t="shared" si="2"/>
        <v>0</v>
      </c>
      <c r="V6" s="1737">
        <f t="shared" si="2"/>
        <v>848.86400000000003</v>
      </c>
      <c r="W6" s="1737">
        <f t="shared" si="2"/>
        <v>0</v>
      </c>
      <c r="X6" s="1737">
        <f t="shared" si="2"/>
        <v>0</v>
      </c>
      <c r="Y6" s="1738">
        <f t="shared" si="2"/>
        <v>0</v>
      </c>
      <c r="Z6" s="1739"/>
      <c r="AA6" s="1737"/>
      <c r="AB6" s="1737">
        <f>I6/1.2/O6*12</f>
        <v>28.217085872576178</v>
      </c>
      <c r="AC6" s="1737">
        <f t="shared" ref="AC6:AD9" si="3">AB6</f>
        <v>28.217085872576178</v>
      </c>
      <c r="AD6" s="1740">
        <f t="shared" si="3"/>
        <v>28.217085872576178</v>
      </c>
      <c r="AE6" s="1745" t="s">
        <v>1083</v>
      </c>
      <c r="AF6" s="1739"/>
      <c r="AG6" s="1740"/>
      <c r="AH6" s="1806"/>
      <c r="AI6" s="1807"/>
      <c r="AJ6" s="1807"/>
      <c r="AK6" s="1807"/>
      <c r="AL6" s="1807"/>
      <c r="AN6" s="2068"/>
    </row>
    <row r="7" spans="1:40" s="1748" customFormat="1" ht="120">
      <c r="A7" s="1735" t="str">
        <f>Мероприятия_и_источники!B28</f>
        <v>Строительство водовода  Д=200 мм.  протяженностью 50 п.м. при прокладке трубопровода выполнить строительство 2 в/колодцев диаметром 1,5м  с установкой запорной арматуры Д=200мм – 2 шт., а также учесть переход под а/дорогой  ул. Анненки с обустройством футляра диаметром не менее 400 мм протяженностью 50 п.м.</v>
      </c>
      <c r="B7" s="1736">
        <f>Мероприятия_и_источники!C28</f>
        <v>50</v>
      </c>
      <c r="C7" s="1735" t="str">
        <f>Мероприятия_и_источники!D28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D7" s="1888" t="str">
        <f>Мероприятия_и_источники!E28</f>
        <v>ООО Совместное предприятие "Минскстройэкспорт"</v>
      </c>
      <c r="E7" s="1737">
        <f>Мероприятия_и_источники!F28</f>
        <v>345.6</v>
      </c>
      <c r="F7" s="1738">
        <f>Мероприятия_и_источники!G28</f>
        <v>1350.54</v>
      </c>
      <c r="G7" s="1739">
        <f>Мероприятия_и_источники!H28</f>
        <v>1620.6479999999999</v>
      </c>
      <c r="H7" s="1737">
        <f>Мероприятия_и_источники!I28</f>
        <v>1620.6479999999999</v>
      </c>
      <c r="I7" s="1737">
        <f>Мероприятия_и_источники!J28</f>
        <v>0</v>
      </c>
      <c r="J7" s="1737">
        <f>Мероприятия_и_источники!K28</f>
        <v>0</v>
      </c>
      <c r="K7" s="1737">
        <f>Мероприятия_и_источники!L28</f>
        <v>0</v>
      </c>
      <c r="L7" s="1740">
        <f>Мероприятия_и_источники!M28</f>
        <v>0</v>
      </c>
      <c r="M7" s="1741" t="str">
        <f>Мероприятия_и_источники!N28</f>
        <v>2024год</v>
      </c>
      <c r="N7" s="1820" t="str">
        <f>Мероприятия_и_источники!O28</f>
        <v>плата за подключение в индивидуальном порядке</v>
      </c>
      <c r="O7" s="1742">
        <v>361</v>
      </c>
      <c r="P7" s="1741"/>
      <c r="Q7" s="1743"/>
      <c r="R7" s="1738"/>
      <c r="S7" s="1739"/>
      <c r="T7" s="1740"/>
      <c r="U7" s="1744">
        <f t="shared" si="2"/>
        <v>1350.54</v>
      </c>
      <c r="V7" s="1737">
        <f t="shared" si="2"/>
        <v>0</v>
      </c>
      <c r="W7" s="1737">
        <f t="shared" si="2"/>
        <v>0</v>
      </c>
      <c r="X7" s="1737">
        <f t="shared" si="2"/>
        <v>0</v>
      </c>
      <c r="Y7" s="1738">
        <f t="shared" si="2"/>
        <v>0</v>
      </c>
      <c r="Z7" s="1739"/>
      <c r="AA7" s="1737">
        <f>H7/1.2/O7*12</f>
        <v>44.893296398891962</v>
      </c>
      <c r="AB7" s="1737">
        <f>AA7</f>
        <v>44.893296398891962</v>
      </c>
      <c r="AC7" s="1737">
        <f t="shared" si="3"/>
        <v>44.893296398891962</v>
      </c>
      <c r="AD7" s="1740">
        <f t="shared" si="3"/>
        <v>44.893296398891962</v>
      </c>
      <c r="AE7" s="1745" t="s">
        <v>1083</v>
      </c>
      <c r="AF7" s="1739"/>
      <c r="AG7" s="1740"/>
      <c r="AH7" s="1746"/>
      <c r="AI7" s="1747"/>
      <c r="AJ7" s="1747"/>
      <c r="AK7" s="1747"/>
      <c r="AL7" s="1747"/>
      <c r="AN7" s="2068"/>
    </row>
    <row r="8" spans="1:40" s="1748" customFormat="1" ht="195">
      <c r="A8" s="1735" t="str">
        <f>Мероприятия_и_источники!B32</f>
        <v>Строительство водовода Дн=110 мм.  от площадки застройки (границы земельного участка) до ВК1  протяженностью 20 п.м. с обустройством смотровых в/колодцев диметром 1м – 2 шт.
При строительстве водовода под а/дорогой предусмотреть устройство футляров внутренним диаметром не менее 300мм, протяженностью 20 п.м.
В точке подключения ВК1 - подключение к существующему водоводу Ду=200мм с установкой задвижек:  Ду=200мм – 1 шт., Ду=100 мм. – 1 шт.; а также ПГ (h=1750м) – 1 шт.</v>
      </c>
      <c r="B8" s="1736">
        <f>Мероприятия_и_источники!C32</f>
        <v>20</v>
      </c>
      <c r="C8" s="1735" t="str">
        <f>Мероприятия_и_источники!D32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D8" s="1888" t="str">
        <f>Мероприятия_и_источники!E32</f>
        <v xml:space="preserve"> ГКУ КО "Управление капитального строительства"</v>
      </c>
      <c r="E8" s="1737">
        <f>Мероприятия_и_источники!F32</f>
        <v>135.6</v>
      </c>
      <c r="F8" s="1738">
        <f>Мероприятия_и_источники!G32</f>
        <v>629.779</v>
      </c>
      <c r="G8" s="1739">
        <f>Мероприятия_и_источники!H32</f>
        <v>755.73479999999995</v>
      </c>
      <c r="H8" s="1737">
        <f>Мероприятия_и_источники!I32</f>
        <v>0</v>
      </c>
      <c r="I8" s="1737">
        <f>Мероприятия_и_источники!J32</f>
        <v>755.73479999999995</v>
      </c>
      <c r="J8" s="1737">
        <f>Мероприятия_и_источники!K32</f>
        <v>0</v>
      </c>
      <c r="K8" s="1737">
        <f>Мероприятия_и_источники!L32</f>
        <v>0</v>
      </c>
      <c r="L8" s="1740">
        <f>Мероприятия_и_источники!M32</f>
        <v>0</v>
      </c>
      <c r="M8" s="1741" t="str">
        <f>Мероприятия_и_источники!N32</f>
        <v>2025год</v>
      </c>
      <c r="N8" s="1820" t="str">
        <f>Мероприятия_и_источники!O32</f>
        <v>плата за подключение в индивидуальном порядке</v>
      </c>
      <c r="O8" s="1742">
        <v>361</v>
      </c>
      <c r="P8" s="1741"/>
      <c r="Q8" s="1743"/>
      <c r="R8" s="1738"/>
      <c r="S8" s="1739"/>
      <c r="T8" s="1740"/>
      <c r="U8" s="1744">
        <f t="shared" si="2"/>
        <v>0</v>
      </c>
      <c r="V8" s="1737">
        <f t="shared" si="2"/>
        <v>629.779</v>
      </c>
      <c r="W8" s="1737">
        <f t="shared" si="2"/>
        <v>0</v>
      </c>
      <c r="X8" s="1737">
        <f t="shared" si="2"/>
        <v>0</v>
      </c>
      <c r="Y8" s="1738">
        <f t="shared" si="2"/>
        <v>0</v>
      </c>
      <c r="Z8" s="1739"/>
      <c r="AA8" s="1737"/>
      <c r="AB8" s="1737">
        <f>I8/1.2/O8*12</f>
        <v>20.934481994459833</v>
      </c>
      <c r="AC8" s="1737">
        <f t="shared" si="3"/>
        <v>20.934481994459833</v>
      </c>
      <c r="AD8" s="1740">
        <f t="shared" si="3"/>
        <v>20.934481994459833</v>
      </c>
      <c r="AE8" s="1745" t="s">
        <v>1083</v>
      </c>
      <c r="AF8" s="1739"/>
      <c r="AG8" s="1740"/>
      <c r="AH8" s="1746"/>
      <c r="AI8" s="1747"/>
      <c r="AJ8" s="1747"/>
      <c r="AK8" s="1747"/>
      <c r="AL8" s="1747"/>
    </row>
    <row r="9" spans="1:40" s="1748" customFormat="1" ht="90">
      <c r="A9" s="1735" t="str">
        <f>Мероприятия_и_источники!B36</f>
        <v xml:space="preserve">Строительство  водовода Д=160 мм от границ застройки до точки подключения к водоводу Д=500 мм общей протяженностью 3 п.м. Строительство водовода Д=160 мм от границ застройки до точки подключения к водоводу Д=315 мм общей протяженностью 5 п.м.  </v>
      </c>
      <c r="B9" s="1736">
        <f>Мероприятия_и_источники!C36</f>
        <v>8</v>
      </c>
      <c r="C9" s="1735" t="str">
        <f>Мероприятия_и_источники!D36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D9" s="1888" t="str">
        <f>Мероприятия_и_источники!E36</f>
        <v>ЗАО Строительная компания "Правый берег" (ЗАО СК Правый берег)</v>
      </c>
      <c r="E9" s="1737">
        <f>Мероприятия_и_источники!F36</f>
        <v>560</v>
      </c>
      <c r="F9" s="1738">
        <f>Мероприятия_и_источники!G36</f>
        <v>206.26600000000002</v>
      </c>
      <c r="G9" s="1739">
        <f>Мероприятия_и_источники!H36</f>
        <v>247.51920000000001</v>
      </c>
      <c r="H9" s="1737">
        <f>Мероприятия_и_источники!I36</f>
        <v>0</v>
      </c>
      <c r="I9" s="1737">
        <f>Мероприятия_и_источники!J36</f>
        <v>247.51920000000001</v>
      </c>
      <c r="J9" s="1737">
        <f>Мероприятия_и_источники!K36</f>
        <v>0</v>
      </c>
      <c r="K9" s="1737">
        <f>Мероприятия_и_источники!L36</f>
        <v>0</v>
      </c>
      <c r="L9" s="1740">
        <f>Мероприятия_и_источники!M36</f>
        <v>0</v>
      </c>
      <c r="M9" s="1741" t="str">
        <f>Мероприятия_и_источники!N36</f>
        <v>2025год</v>
      </c>
      <c r="N9" s="1820" t="str">
        <f>Мероприятия_и_источники!O36</f>
        <v>плата за подключение в индивидуальном порядке</v>
      </c>
      <c r="O9" s="1742">
        <v>361</v>
      </c>
      <c r="P9" s="1741"/>
      <c r="Q9" s="1743"/>
      <c r="R9" s="1738"/>
      <c r="S9" s="1739"/>
      <c r="T9" s="1740"/>
      <c r="U9" s="1744">
        <f t="shared" si="2"/>
        <v>0</v>
      </c>
      <c r="V9" s="1737">
        <f t="shared" si="2"/>
        <v>206.26600000000002</v>
      </c>
      <c r="W9" s="1737">
        <f t="shared" si="2"/>
        <v>0</v>
      </c>
      <c r="X9" s="1737">
        <f t="shared" si="2"/>
        <v>0</v>
      </c>
      <c r="Y9" s="1738">
        <f t="shared" si="2"/>
        <v>0</v>
      </c>
      <c r="Z9" s="1739"/>
      <c r="AA9" s="1737"/>
      <c r="AB9" s="1737">
        <f>I9/1.2/O9*12</f>
        <v>6.8564875346260399</v>
      </c>
      <c r="AC9" s="1737">
        <f t="shared" si="3"/>
        <v>6.8564875346260399</v>
      </c>
      <c r="AD9" s="1740">
        <f t="shared" si="3"/>
        <v>6.8564875346260399</v>
      </c>
      <c r="AE9" s="1745" t="s">
        <v>1083</v>
      </c>
      <c r="AF9" s="1739"/>
      <c r="AG9" s="1740"/>
      <c r="AH9" s="1746"/>
      <c r="AI9" s="1747"/>
      <c r="AJ9" s="1747"/>
      <c r="AK9" s="1747"/>
      <c r="AL9" s="1747"/>
    </row>
    <row r="10" spans="1:40" s="1748" customFormat="1" ht="165">
      <c r="A10" s="1735" t="str">
        <f>Мероприятия_и_источники!B40</f>
        <v>Строительство отдельного водовода  Д=225 мм от водовода Д=300 мм по ул. Ленина 39 протяженностью 345 п.м. в точке подключения выполнить строительство водопроводной камеры из ж/б плит размером 2*2,5 м., выполнить перемычку Д=225мм с существующим трубопроводом Д=200 мм, установить задвижки: Д=200 мм. - 5 шт.,  строительство трубопровода Д=225 мм. от в/камеры  до запрашиваемых границ участка, протяженностью 25 п.м.</v>
      </c>
      <c r="B10" s="1736">
        <f>Мероприятия_и_источники!C40</f>
        <v>370</v>
      </c>
      <c r="C10" s="1735" t="str">
        <f>Мероприятия_и_источники!D40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D10" s="1888" t="str">
        <f>Мероприятия_и_источники!E40</f>
        <v>ООО "СтройСервис" (АО ЦентрСпецСтрой)</v>
      </c>
      <c r="E10" s="1737">
        <f>Мероприятия_и_источники!F40</f>
        <v>1220</v>
      </c>
      <c r="F10" s="1738">
        <f>Мероприятия_и_источники!G40</f>
        <v>5378.5309999999999</v>
      </c>
      <c r="G10" s="1739">
        <f>Мероприятия_и_источники!H40</f>
        <v>6454.2371999999996</v>
      </c>
      <c r="H10" s="1737">
        <f>Мероприятия_и_источники!I40</f>
        <v>0</v>
      </c>
      <c r="I10" s="1737">
        <f>Мероприятия_и_источники!J40</f>
        <v>0</v>
      </c>
      <c r="J10" s="1737">
        <f>Мероприятия_и_источники!K40</f>
        <v>6454.2371999999996</v>
      </c>
      <c r="K10" s="1737">
        <f>Мероприятия_и_источники!L40</f>
        <v>0</v>
      </c>
      <c r="L10" s="1740">
        <f>Мероприятия_и_источники!M40</f>
        <v>0</v>
      </c>
      <c r="M10" s="1741" t="str">
        <f>Мероприятия_и_источники!N40</f>
        <v>2026год</v>
      </c>
      <c r="N10" s="1820" t="str">
        <f>Мероприятия_и_источники!O40</f>
        <v>плата за подключение в индивидуальном порядке</v>
      </c>
      <c r="O10" s="1742">
        <v>361</v>
      </c>
      <c r="P10" s="1741"/>
      <c r="Q10" s="1743"/>
      <c r="R10" s="1738"/>
      <c r="S10" s="1739"/>
      <c r="T10" s="1740"/>
      <c r="U10" s="1744">
        <f t="shared" si="2"/>
        <v>0</v>
      </c>
      <c r="V10" s="1737">
        <f t="shared" si="2"/>
        <v>0</v>
      </c>
      <c r="W10" s="1737">
        <f t="shared" si="2"/>
        <v>5378.5309999999999</v>
      </c>
      <c r="X10" s="1737">
        <f t="shared" si="2"/>
        <v>0</v>
      </c>
      <c r="Y10" s="1738">
        <f t="shared" si="2"/>
        <v>0</v>
      </c>
      <c r="Z10" s="1739"/>
      <c r="AA10" s="1737"/>
      <c r="AB10" s="1737"/>
      <c r="AC10" s="1737">
        <f>J10/1.2/O10*12</f>
        <v>178.78773407202215</v>
      </c>
      <c r="AD10" s="1740">
        <f>AC10</f>
        <v>178.78773407202215</v>
      </c>
      <c r="AE10" s="1745" t="s">
        <v>1083</v>
      </c>
      <c r="AF10" s="1739"/>
      <c r="AG10" s="1740"/>
      <c r="AH10" s="1746"/>
      <c r="AI10" s="1747"/>
      <c r="AJ10" s="1747"/>
      <c r="AK10" s="1747"/>
      <c r="AL10" s="1747"/>
    </row>
    <row r="11" spans="1:40" s="1748" customFormat="1" ht="120">
      <c r="A11" s="1735" t="str">
        <f>Мероприятия_и_источники!B44</f>
        <v>Строительство водопровода Д-160 мм от площадки застройки до существующего водопровода по пер.Баррикад протяженностью 6 п.м, закрытым способом, 
Выполнить подключение водопровода Ду-160 мм, по ул. Грабцевское шоссе в существующей камере и Ду-200  по ул. В. Андриановой к реконструированному трубопроводу Ду-200 мм</v>
      </c>
      <c r="B11" s="1736">
        <f>Мероприятия_и_источники!C44</f>
        <v>6</v>
      </c>
      <c r="C11" s="1894" t="str">
        <f>Мероприятия_и_источники!D44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D11" s="1888" t="str">
        <f>Мероприятия_и_источники!E44</f>
        <v>ООО «КалугаЭлитДевелопмент»</v>
      </c>
      <c r="E11" s="1737">
        <f>Мероприятия_и_источники!F44</f>
        <v>146.24</v>
      </c>
      <c r="F11" s="1738">
        <f>Мероприятия_и_источники!G44</f>
        <v>195.25874999999999</v>
      </c>
      <c r="G11" s="1739">
        <f>Мероприятия_и_источники!H44</f>
        <v>234.31049999999999</v>
      </c>
      <c r="H11" s="1737">
        <f>Мероприятия_и_источники!I44</f>
        <v>234.31049999999999</v>
      </c>
      <c r="I11" s="1737">
        <f>Мероприятия_и_источники!J44</f>
        <v>0</v>
      </c>
      <c r="J11" s="1737">
        <f>Мероприятия_и_источники!K44</f>
        <v>0</v>
      </c>
      <c r="K11" s="1737">
        <f>Мероприятия_и_источники!L44</f>
        <v>0</v>
      </c>
      <c r="L11" s="1740">
        <f>Мероприятия_и_источники!M44</f>
        <v>0</v>
      </c>
      <c r="M11" s="1741" t="str">
        <f>Мероприятия_и_источники!N44</f>
        <v>2024год</v>
      </c>
      <c r="N11" s="1820" t="str">
        <f>Мероприятия_и_источники!O44</f>
        <v>плата за подключение в индивидуальном порядке</v>
      </c>
      <c r="O11" s="1742">
        <v>361</v>
      </c>
      <c r="P11" s="1741"/>
      <c r="Q11" s="1743"/>
      <c r="R11" s="1738"/>
      <c r="S11" s="1739"/>
      <c r="T11" s="1740"/>
      <c r="U11" s="1744">
        <f t="shared" ref="U11:V18" si="4">H11/1.2</f>
        <v>195.25874999999999</v>
      </c>
      <c r="V11" s="1737">
        <f t="shared" si="4"/>
        <v>0</v>
      </c>
      <c r="W11" s="1737">
        <f t="shared" ref="W11:W18" si="5">J11/1.2</f>
        <v>0</v>
      </c>
      <c r="X11" s="1737">
        <f t="shared" ref="X11:X18" si="6">K11/1.2</f>
        <v>0</v>
      </c>
      <c r="Y11" s="1738">
        <f t="shared" ref="Y11:Y19" si="7">L11/1.2</f>
        <v>0</v>
      </c>
      <c r="Z11" s="1739"/>
      <c r="AA11" s="1737">
        <f>H11/1.2/O11*12</f>
        <v>6.490595567867036</v>
      </c>
      <c r="AB11" s="1737">
        <f t="shared" ref="AB11:AC14" si="8">AA11</f>
        <v>6.490595567867036</v>
      </c>
      <c r="AC11" s="1737">
        <f t="shared" si="8"/>
        <v>6.490595567867036</v>
      </c>
      <c r="AD11" s="1740">
        <f>AC11</f>
        <v>6.490595567867036</v>
      </c>
      <c r="AE11" s="1745" t="s">
        <v>1083</v>
      </c>
      <c r="AF11" s="1739"/>
      <c r="AG11" s="1740"/>
      <c r="AH11" s="1746"/>
      <c r="AI11" s="1747"/>
      <c r="AJ11" s="1747"/>
      <c r="AK11" s="1747"/>
      <c r="AL11" s="1747"/>
    </row>
    <row r="12" spans="1:40" s="1748" customFormat="1" ht="120">
      <c r="A12" s="1735" t="str">
        <f>Мероприятия_и_источники!B48</f>
        <v>Строительство водопровода Д-110 мм  от границы земельного участка  до существующего водопровода Д-200 мм  по ул.Знаменская  открытым способом, протяженностью 17,5 п.м.в месте врезки построить новый колодец диаметром 1,5 м, глубиной 2,0 м. в точке подключения  произвести врезку с установкой на ввод  задвижки Д=110 мм. - 1 шт.</v>
      </c>
      <c r="B12" s="1736">
        <f>Мероприятия_и_источники!C48</f>
        <v>17.5</v>
      </c>
      <c r="C12" s="1735" t="str">
        <f>Мероприятия_и_источники!D48</f>
        <v>Многоквартирный жилой дом со встроенными административными помещениями» 8 этажей, высота 25 метров расположенному по адресу :г. Калуга, в районе, ограниченном улицами: Салтыкова – Щедрина, Беляева, Знаменской, Луначарского</v>
      </c>
      <c r="D12" s="1888" t="str">
        <f>Мероприятия_и_источники!E48</f>
        <v>ООО Совместное предприятие "Минскстройэкспорт" (уступка права ООО Драйвер)</v>
      </c>
      <c r="E12" s="1737">
        <f>Мероприятия_и_источники!F48</f>
        <v>64.430000000000007</v>
      </c>
      <c r="F12" s="1738">
        <f>Мероприятия_и_источники!G48</f>
        <v>150.31175000000002</v>
      </c>
      <c r="G12" s="1739">
        <f>Мероприятия_и_источники!H48</f>
        <v>180.3741</v>
      </c>
      <c r="H12" s="1737">
        <f>Мероприятия_и_источники!I48</f>
        <v>180.3741</v>
      </c>
      <c r="I12" s="1737">
        <f>Мероприятия_и_источники!J48</f>
        <v>0</v>
      </c>
      <c r="J12" s="1737">
        <f>Мероприятия_и_источники!K48</f>
        <v>0</v>
      </c>
      <c r="K12" s="1737">
        <f>Мероприятия_и_источники!L48</f>
        <v>0</v>
      </c>
      <c r="L12" s="1740">
        <f>Мероприятия_и_источники!M48</f>
        <v>0</v>
      </c>
      <c r="M12" s="1741" t="str">
        <f>Мероприятия_и_источники!N48</f>
        <v>2024год</v>
      </c>
      <c r="N12" s="1820" t="str">
        <f>Мероприятия_и_источники!O48</f>
        <v>плата за подключение в индивидуальном порядке</v>
      </c>
      <c r="O12" s="1742">
        <v>361</v>
      </c>
      <c r="P12" s="1741"/>
      <c r="Q12" s="1743"/>
      <c r="R12" s="1738"/>
      <c r="S12" s="1739"/>
      <c r="T12" s="1740"/>
      <c r="U12" s="1744">
        <f t="shared" si="4"/>
        <v>150.31175000000002</v>
      </c>
      <c r="V12" s="1737">
        <f t="shared" si="4"/>
        <v>0</v>
      </c>
      <c r="W12" s="1737">
        <f t="shared" si="5"/>
        <v>0</v>
      </c>
      <c r="X12" s="1737">
        <f t="shared" si="6"/>
        <v>0</v>
      </c>
      <c r="Y12" s="1738">
        <f t="shared" si="7"/>
        <v>0</v>
      </c>
      <c r="Z12" s="1739"/>
      <c r="AA12" s="1737">
        <f>H12/1.2/O12*12</f>
        <v>4.9965124653739617</v>
      </c>
      <c r="AB12" s="1737">
        <f t="shared" si="8"/>
        <v>4.9965124653739617</v>
      </c>
      <c r="AC12" s="1737">
        <f t="shared" si="8"/>
        <v>4.9965124653739617</v>
      </c>
      <c r="AD12" s="1740">
        <f>AC12</f>
        <v>4.9965124653739617</v>
      </c>
      <c r="AE12" s="1745" t="s">
        <v>1083</v>
      </c>
      <c r="AF12" s="1739"/>
      <c r="AG12" s="1740"/>
      <c r="AH12" s="1746"/>
      <c r="AI12" s="1747"/>
      <c r="AJ12" s="1747"/>
      <c r="AK12" s="1747"/>
      <c r="AL12" s="1747"/>
    </row>
    <row r="13" spans="1:40" s="1748" customFormat="1" ht="75">
      <c r="A13" s="1735" t="str">
        <f>Мероприятия_и_источники!B52</f>
        <v>Врезка в точке подключения (существующая ж/бетонная камера размером 3*3 м) с установкой запорной арматуры.</v>
      </c>
      <c r="B13" s="1736">
        <f>Мероприятия_и_источники!C52</f>
        <v>0</v>
      </c>
      <c r="C13" s="1735" t="str">
        <f>Мероприятия_и_источники!D52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D13" s="1888" t="str">
        <f>Мероприятия_и_источники!E52</f>
        <v>АО СЗ КОШЕЛЕВ-ПРОЕКТ</v>
      </c>
      <c r="E13" s="1737">
        <f>Мероприятия_и_источники!F52</f>
        <v>351</v>
      </c>
      <c r="F13" s="1738">
        <f>Мероприятия_и_источники!G52</f>
        <v>41.217500000000001</v>
      </c>
      <c r="G13" s="1739">
        <f>Мероприятия_и_источники!H52</f>
        <v>49.460999999999999</v>
      </c>
      <c r="H13" s="1737">
        <f>Мероприятия_и_источники!I52</f>
        <v>49.460999999999999</v>
      </c>
      <c r="I13" s="1737">
        <f>Мероприятия_и_источники!J52</f>
        <v>0</v>
      </c>
      <c r="J13" s="1737">
        <f>Мероприятия_и_источники!K52</f>
        <v>0</v>
      </c>
      <c r="K13" s="1737">
        <f>Мероприятия_и_источники!L52</f>
        <v>0</v>
      </c>
      <c r="L13" s="1740">
        <f>Мероприятия_и_источники!M52</f>
        <v>0</v>
      </c>
      <c r="M13" s="1741" t="str">
        <f>Мероприятия_и_источники!N52</f>
        <v>2024год</v>
      </c>
      <c r="N13" s="1820" t="str">
        <f>Мероприятия_и_источники!O52</f>
        <v>плата за подключение в индивидуальном порядке</v>
      </c>
      <c r="O13" s="1742">
        <v>361</v>
      </c>
      <c r="P13" s="1741"/>
      <c r="Q13" s="1743"/>
      <c r="R13" s="1738"/>
      <c r="S13" s="1739"/>
      <c r="T13" s="1740"/>
      <c r="U13" s="1744">
        <f t="shared" si="4"/>
        <v>41.217500000000001</v>
      </c>
      <c r="V13" s="1737">
        <f t="shared" si="4"/>
        <v>0</v>
      </c>
      <c r="W13" s="1737">
        <f t="shared" si="5"/>
        <v>0</v>
      </c>
      <c r="X13" s="1737">
        <f t="shared" si="6"/>
        <v>0</v>
      </c>
      <c r="Y13" s="1738">
        <f t="shared" si="7"/>
        <v>0</v>
      </c>
      <c r="Z13" s="1739"/>
      <c r="AA13" s="1737">
        <f>H13/1.2/O13*12</f>
        <v>1.3701108033240998</v>
      </c>
      <c r="AB13" s="1737">
        <f t="shared" si="8"/>
        <v>1.3701108033240998</v>
      </c>
      <c r="AC13" s="1737">
        <f t="shared" si="8"/>
        <v>1.3701108033240998</v>
      </c>
      <c r="AD13" s="1740">
        <f>AC13</f>
        <v>1.3701108033240998</v>
      </c>
      <c r="AE13" s="1745" t="s">
        <v>1083</v>
      </c>
      <c r="AF13" s="1739"/>
      <c r="AG13" s="1740"/>
      <c r="AH13" s="1746"/>
      <c r="AI13" s="1747"/>
      <c r="AJ13" s="1747"/>
      <c r="AK13" s="1747"/>
      <c r="AL13" s="1747"/>
    </row>
    <row r="14" spans="1:40" s="1748" customFormat="1" ht="150">
      <c r="A14" s="1735" t="str">
        <f>Мероприятия_и_источники!B56</f>
        <v>Строительство двух трубопроводов ПЭ 100 Ду=100 мм  от границы участка , протяженностью 100 п.м. каждый, открытым способом,произвести строительство двух футляров  диаметром Ду=300 мм, протяженностью 35 п.м., закрытым методом.В точке врезеи выполнить строительство ж/б колодца Д=1,5 м , глубиной не менее 2,0 м, с установкой задвижки клиновая  Ду=100 мм - 2 шт.;</v>
      </c>
      <c r="B14" s="1736">
        <f>Мероприятия_и_источники!C56</f>
        <v>100</v>
      </c>
      <c r="C14" s="1735" t="str">
        <f>Мероприятия_и_источники!D56</f>
        <v>Жилой дом, 17 этажей, 119 квартирный,расположенного по адресу: г. Калуга, ул. Серафима Туликова</v>
      </c>
      <c r="D14" s="1888" t="str">
        <f>Мероприятия_и_источники!E56</f>
        <v>ООО КОМЕТА</v>
      </c>
      <c r="E14" s="1737">
        <f>Мероприятия_и_источники!F56</f>
        <v>52.98</v>
      </c>
      <c r="F14" s="1738">
        <f>Мероприятия_и_источники!G56</f>
        <v>4758.6487499999994</v>
      </c>
      <c r="G14" s="1739">
        <f>Мероприятия_и_источники!H56</f>
        <v>5710.3784999999989</v>
      </c>
      <c r="H14" s="1737">
        <f>Мероприятия_и_источники!I56</f>
        <v>5710.3784999999989</v>
      </c>
      <c r="I14" s="1737">
        <f>Мероприятия_и_источники!J56</f>
        <v>0</v>
      </c>
      <c r="J14" s="1737">
        <f>Мероприятия_и_источники!K56</f>
        <v>0</v>
      </c>
      <c r="K14" s="1737">
        <f>Мероприятия_и_источники!L56</f>
        <v>0</v>
      </c>
      <c r="L14" s="1740">
        <f>Мероприятия_и_источники!M56</f>
        <v>0</v>
      </c>
      <c r="M14" s="1741" t="str">
        <f>Мероприятия_и_источники!N56</f>
        <v>2024год</v>
      </c>
      <c r="N14" s="1820" t="str">
        <f>Мероприятия_и_источники!O56</f>
        <v>плата за подключение в индивидуальном порядке</v>
      </c>
      <c r="O14" s="1742">
        <v>361</v>
      </c>
      <c r="P14" s="1741"/>
      <c r="Q14" s="1743"/>
      <c r="R14" s="1738"/>
      <c r="S14" s="1739"/>
      <c r="T14" s="1740"/>
      <c r="U14" s="1744">
        <f t="shared" si="4"/>
        <v>4758.6487499999994</v>
      </c>
      <c r="V14" s="1737">
        <f t="shared" si="4"/>
        <v>0</v>
      </c>
      <c r="W14" s="1737">
        <f t="shared" si="5"/>
        <v>0</v>
      </c>
      <c r="X14" s="1737">
        <f t="shared" si="6"/>
        <v>0</v>
      </c>
      <c r="Y14" s="1738">
        <f t="shared" si="7"/>
        <v>0</v>
      </c>
      <c r="Z14" s="1739"/>
      <c r="AA14" s="1737">
        <f>H14/1.2/O14*12</f>
        <v>158.18222991689748</v>
      </c>
      <c r="AB14" s="1737">
        <f t="shared" si="8"/>
        <v>158.18222991689748</v>
      </c>
      <c r="AC14" s="1737">
        <f t="shared" si="8"/>
        <v>158.18222991689748</v>
      </c>
      <c r="AD14" s="1740">
        <f>AC14</f>
        <v>158.18222991689748</v>
      </c>
      <c r="AE14" s="1745" t="s">
        <v>1083</v>
      </c>
      <c r="AF14" s="1739"/>
      <c r="AG14" s="1740"/>
      <c r="AH14" s="1746"/>
      <c r="AI14" s="1747"/>
      <c r="AJ14" s="1747"/>
      <c r="AK14" s="1747"/>
      <c r="AL14" s="1747"/>
    </row>
    <row r="15" spans="1:40" s="1748" customFormat="1" ht="375">
      <c r="A15" s="1735" t="str">
        <f>Мероприятия_и_источники!B60</f>
        <v>Строительство футляра Д=560 мм от ВК-1 до ВК-1- 34 п.м. закрытым методом. Протаскивание трубопровода Д=315 в футляр Д=560 мм - 34 п.м. Строительство трубопровода Д=315 - 94 п.м. отрытым методом. Строительство трубопровода Д=315 до существующей камеры ВК (сущ.) - 52 п.м. закрытым методом. Строительство трубопровода 2хД=110 мм от границы земельного участка до проектируемого водовода Д=315мм. (ВК-2) - 4 п.м. каждый открытым способом. Строительство в/камеры ВК-1 2х2,5м глубиной 3 м с установкой арматуры: крест фланцевый Д=200х200 мм – 1 шт.; переходник фланцевый Д=200х300 мм – 1 шт.; переходник фланцевый Д=200х100 мм – 1 шт.; фланец Systems Д=300 мм – 1 шт.; фланец Systems Д=200 – 2 шт.; задвижка Hawle (4000Е1+) Д=300мм – 1 шт.; задвижка Hawle (4000Е1+) Д=100 мм – 1 шт.; ПГ Hawle Duo – Gost (2500 мм) – 1 шт. Строительство в/камеры (ВК-2) 2х2,5 м глубиной 3 м с установкой запорной арматуры: тройник фланцевый Д=300-100 мм – 2 шт.; задвижка Hawle (4000Е1+) Д=100мм – 2 шт.; Ф=фланец Systems Д=100 – 2 шт.; фланец Systems Д=300 – 2 шт. В существующей камере (ВКсущ.) 2х2,5 м глубиной 3 м с установкой запорной арматуры: тройник фланцевый Д=300х300 мм, Systems 300 – 3 шт., Hawle 4000A Д=300мм – 1 шт.</v>
      </c>
      <c r="B15" s="1736">
        <f>Мероприятия_и_источники!C60</f>
        <v>184</v>
      </c>
      <c r="C15" s="1735" t="str">
        <f>Мероприятия_и_источники!D60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D15" s="1888" t="str">
        <f>Мероприятия_и_источники!E60</f>
        <v xml:space="preserve"> ГКУ КО "Управление капитального строительства"</v>
      </c>
      <c r="E15" s="1737">
        <f>Мероприятия_и_источники!F60</f>
        <v>66.552000000000007</v>
      </c>
      <c r="F15" s="1738">
        <f>Мероприятия_и_источники!G60</f>
        <v>11310.267986530294</v>
      </c>
      <c r="G15" s="1739">
        <f>Мероприятия_и_источники!H60</f>
        <v>13572.321583836352</v>
      </c>
      <c r="H15" s="1737">
        <f>Мероприятия_и_источники!I60</f>
        <v>9031.7704870707366</v>
      </c>
      <c r="I15" s="1737">
        <f>Мероприятия_и_источники!J60</f>
        <v>4540.5510967656155</v>
      </c>
      <c r="J15" s="1737">
        <f>Мероприятия_и_источники!K60</f>
        <v>0</v>
      </c>
      <c r="K15" s="1737">
        <f>Мероприятия_и_источники!L60</f>
        <v>0</v>
      </c>
      <c r="L15" s="1740">
        <f>Мероприятия_и_источники!M60</f>
        <v>0</v>
      </c>
      <c r="M15" s="1741" t="str">
        <f>Мероприятия_и_источники!N60</f>
        <v>2025год</v>
      </c>
      <c r="N15" s="1820" t="str">
        <f>Мероприятия_и_источники!O60</f>
        <v>плата за подключение в индивидуальном порядке</v>
      </c>
      <c r="O15" s="1742">
        <v>361</v>
      </c>
      <c r="P15" s="1741"/>
      <c r="Q15" s="1743"/>
      <c r="R15" s="1738"/>
      <c r="S15" s="1739"/>
      <c r="T15" s="1740"/>
      <c r="U15" s="1744">
        <f t="shared" si="4"/>
        <v>7526.4754058922808</v>
      </c>
      <c r="V15" s="1737">
        <f t="shared" si="4"/>
        <v>3783.7925806380131</v>
      </c>
      <c r="W15" s="1737">
        <f t="shared" si="5"/>
        <v>0</v>
      </c>
      <c r="X15" s="1737">
        <f t="shared" si="6"/>
        <v>0</v>
      </c>
      <c r="Y15" s="1738">
        <f t="shared" si="7"/>
        <v>0</v>
      </c>
      <c r="Z15" s="1739"/>
      <c r="AA15" s="1737"/>
      <c r="AB15" s="1737">
        <f>I15/1.2/O15*12</f>
        <v>125.77703869156829</v>
      </c>
      <c r="AC15" s="1737">
        <f t="shared" ref="AC15:AD20" si="9">AB15</f>
        <v>125.77703869156829</v>
      </c>
      <c r="AD15" s="1740">
        <f t="shared" si="9"/>
        <v>125.77703869156829</v>
      </c>
      <c r="AE15" s="1745" t="s">
        <v>1083</v>
      </c>
      <c r="AF15" s="1739"/>
      <c r="AG15" s="1740"/>
      <c r="AH15" s="1746"/>
      <c r="AI15" s="1747"/>
      <c r="AJ15" s="1747"/>
      <c r="AK15" s="1747"/>
      <c r="AL15" s="1747"/>
    </row>
    <row r="16" spans="1:40" s="1748" customFormat="1" ht="150">
      <c r="A16" s="1735" t="str">
        <f>Мероприятия_и_источники!B64</f>
        <v>Строительство водопровода Д=160 мм от границ земельного участка  до существующего водовода Ду = 300 мм, протяженностью 15 п.м., открытым способом, в точке подключения выполнить строительство ж/б колодца диаметром 1,5 м, глубиной не менее 2 м, с установкой арматуры.Строительство водопровода Д=160 мм от границ земельного участка  до существующего водовода Ду = 200 мм, протяженностью 10 п.м., открытым способом.</v>
      </c>
      <c r="B16" s="1736">
        <f>Мероприятия_и_источники!C64</f>
        <v>25</v>
      </c>
      <c r="C16" s="1735" t="str">
        <f>Мероприятия_и_источники!D64</f>
        <v>Общеобразовательная школа на 1125 мест, размещение которого предусмотрено ул. Байконурская.</v>
      </c>
      <c r="D16" s="1888" t="str">
        <f>Мероприятия_и_источники!E64</f>
        <v>ООО «ПроШкола№2»</v>
      </c>
      <c r="E16" s="1737">
        <f>Мероприятия_и_источники!F64</f>
        <v>58.405999999999999</v>
      </c>
      <c r="F16" s="1738">
        <f>Мероприятия_и_источники!G64</f>
        <v>118.08575</v>
      </c>
      <c r="G16" s="1739">
        <f>Мероприятия_и_источники!H64</f>
        <v>141.7029</v>
      </c>
      <c r="H16" s="1737">
        <f>Мероприятия_и_источники!I64</f>
        <v>141.7029</v>
      </c>
      <c r="I16" s="1737">
        <f>Мероприятия_и_источники!J64</f>
        <v>0</v>
      </c>
      <c r="J16" s="1737">
        <f>Мероприятия_и_источники!K64</f>
        <v>0</v>
      </c>
      <c r="K16" s="1737">
        <f>Мероприятия_и_источники!L64</f>
        <v>0</v>
      </c>
      <c r="L16" s="1740">
        <f>Мероприятия_и_источники!M64</f>
        <v>0</v>
      </c>
      <c r="M16" s="1741" t="str">
        <f>Мероприятия_и_источники!N64</f>
        <v>2024год</v>
      </c>
      <c r="N16" s="1820" t="str">
        <f>Мероприятия_и_источники!O64</f>
        <v>плата за подключение в индивидуальном порядке</v>
      </c>
      <c r="O16" s="1742">
        <v>361</v>
      </c>
      <c r="P16" s="1741"/>
      <c r="Q16" s="1743"/>
      <c r="R16" s="1738"/>
      <c r="S16" s="1739"/>
      <c r="T16" s="1740"/>
      <c r="U16" s="1744">
        <f t="shared" si="4"/>
        <v>118.08575</v>
      </c>
      <c r="V16" s="1737">
        <f t="shared" si="4"/>
        <v>0</v>
      </c>
      <c r="W16" s="1737">
        <f t="shared" si="5"/>
        <v>0</v>
      </c>
      <c r="X16" s="1737">
        <f t="shared" si="6"/>
        <v>0</v>
      </c>
      <c r="Y16" s="1738">
        <f t="shared" si="7"/>
        <v>0</v>
      </c>
      <c r="Z16" s="1739"/>
      <c r="AA16" s="1737">
        <f>H16/1.2/O16*12</f>
        <v>3.9252880886426595</v>
      </c>
      <c r="AB16" s="1737">
        <f>AA16</f>
        <v>3.9252880886426595</v>
      </c>
      <c r="AC16" s="1737">
        <f t="shared" si="9"/>
        <v>3.9252880886426595</v>
      </c>
      <c r="AD16" s="1740">
        <f t="shared" si="9"/>
        <v>3.9252880886426595</v>
      </c>
      <c r="AE16" s="1745" t="s">
        <v>1083</v>
      </c>
      <c r="AF16" s="1739"/>
      <c r="AG16" s="1740"/>
      <c r="AH16" s="1746"/>
      <c r="AI16" s="1747"/>
      <c r="AJ16" s="1747"/>
      <c r="AK16" s="1747"/>
      <c r="AL16" s="1747"/>
    </row>
    <row r="17" spans="1:38" s="1748" customFormat="1" ht="120">
      <c r="A17" s="1735" t="str">
        <f>Мероприятия_и_источники!B68</f>
        <v>Строительство водопровода Д=225 мм от границ земельного участка до существующего водовода Ду = 250 мм, протяженностью 435 п.м., из которых 10 п.м. методом ГНБ; В точке подключения  выполнить строительство ж/б колодца диаметром 1,5 м, глубиной не менее 2 м, с установкой задвижкиДу=200 мм - 1 шт. и фланца DN200/225 – 2 шт.</v>
      </c>
      <c r="B17" s="1736">
        <f>Мероприятия_и_источники!C68</f>
        <v>435</v>
      </c>
      <c r="C17" s="1735" t="str">
        <f>Мероприятия_и_источники!D68</f>
        <v xml:space="preserve">Нежилое здание для реализации общеобразовательных программ в г. Калуге на 1300 мест ул. Ермоловская </v>
      </c>
      <c r="D17" s="1888" t="str">
        <f>Мероприятия_и_источники!E68</f>
        <v>ЗАО Калугагазстрой</v>
      </c>
      <c r="E17" s="1737">
        <f>Мероприятия_и_источники!F68</f>
        <v>169.62</v>
      </c>
      <c r="F17" s="1738">
        <f>Мероприятия_и_источники!G68</f>
        <v>2817.0946249999997</v>
      </c>
      <c r="G17" s="1739">
        <f>Мероприятия_и_источники!H68</f>
        <v>3380.5135499999997</v>
      </c>
      <c r="H17" s="1737">
        <f>Мероприятия_и_источники!I68</f>
        <v>0</v>
      </c>
      <c r="I17" s="1737">
        <f>Мероприятия_и_источники!J68</f>
        <v>3380.5135499999997</v>
      </c>
      <c r="J17" s="1737">
        <f>Мероприятия_и_источники!K68</f>
        <v>0</v>
      </c>
      <c r="K17" s="1737">
        <f>Мероприятия_и_источники!L68</f>
        <v>0</v>
      </c>
      <c r="L17" s="1740">
        <f>Мероприятия_и_источники!M68</f>
        <v>0</v>
      </c>
      <c r="M17" s="1741" t="str">
        <f>Мероприятия_и_источники!N68</f>
        <v>2025год</v>
      </c>
      <c r="N17" s="1820" t="str">
        <f>Мероприятия_и_источники!O68</f>
        <v>плата за подключение в индивидуальном порядке</v>
      </c>
      <c r="O17" s="1742">
        <v>361</v>
      </c>
      <c r="P17" s="1741"/>
      <c r="Q17" s="1743"/>
      <c r="R17" s="1738"/>
      <c r="S17" s="1739"/>
      <c r="T17" s="1740"/>
      <c r="U17" s="1744">
        <f t="shared" si="4"/>
        <v>0</v>
      </c>
      <c r="V17" s="1737">
        <f t="shared" si="4"/>
        <v>2817.0946249999997</v>
      </c>
      <c r="W17" s="1737">
        <f t="shared" si="5"/>
        <v>0</v>
      </c>
      <c r="X17" s="1737">
        <f t="shared" si="6"/>
        <v>0</v>
      </c>
      <c r="Y17" s="1738">
        <f t="shared" si="7"/>
        <v>0</v>
      </c>
      <c r="Z17" s="1739"/>
      <c r="AA17" s="1737"/>
      <c r="AB17" s="1737">
        <f>I17/1.2/O17*12</f>
        <v>93.643034626038769</v>
      </c>
      <c r="AC17" s="1737">
        <f t="shared" si="9"/>
        <v>93.643034626038769</v>
      </c>
      <c r="AD17" s="1740">
        <f t="shared" si="9"/>
        <v>93.643034626038769</v>
      </c>
      <c r="AE17" s="1745" t="s">
        <v>1083</v>
      </c>
      <c r="AF17" s="1739"/>
      <c r="AG17" s="1740"/>
      <c r="AH17" s="1746"/>
      <c r="AI17" s="1747"/>
      <c r="AJ17" s="1747"/>
      <c r="AK17" s="1747"/>
      <c r="AL17" s="1747"/>
    </row>
    <row r="18" spans="1:38" s="1748" customFormat="1" ht="90">
      <c r="A18" s="1735" t="str">
        <f>Мероприятия_и_источники!B72</f>
        <v>Строительство двух трубопроводов ПЭ 100 Ду=250 мм от границы участка  протяженностью 15 п.м. каждый, открытым способом.В точке присоединения выполнить строительство ж/б колодца Д=2 м  глубиной не менее 2,0 м, с установкой запорной арматуры.</v>
      </c>
      <c r="B18" s="1736">
        <f>Мероприятия_и_источники!C72</f>
        <v>15</v>
      </c>
      <c r="C18" s="1735" t="str">
        <f>Мероприятия_и_источники!D72</f>
        <v>Здание жилое многоквартирное со встроенными помещениями,г. Калуга, 3-Академический проезд, д.1</v>
      </c>
      <c r="D18" s="1888" t="str">
        <f>Мероприятия_и_источники!E72</f>
        <v>ООО «Строительная компания «Азимут-Калуга»</v>
      </c>
      <c r="E18" s="1737">
        <f>Мероприятия_и_источники!F72</f>
        <v>73.27</v>
      </c>
      <c r="F18" s="1738">
        <f>Мероприятия_и_источники!G72</f>
        <v>1502.9916781048332</v>
      </c>
      <c r="G18" s="1739">
        <f>Мероприятия_и_источники!H72</f>
        <v>1803.5900137257997</v>
      </c>
      <c r="H18" s="1737">
        <f>Мероприятия_и_источники!I72</f>
        <v>0</v>
      </c>
      <c r="I18" s="1737">
        <f>Мероприятия_и_источники!J72</f>
        <v>1803.5900137257997</v>
      </c>
      <c r="J18" s="1737">
        <f>Мероприятия_и_источники!K72</f>
        <v>0</v>
      </c>
      <c r="K18" s="1737">
        <f>Мероприятия_и_источники!L72</f>
        <v>0</v>
      </c>
      <c r="L18" s="1740">
        <f>Мероприятия_и_источники!M72</f>
        <v>0</v>
      </c>
      <c r="M18" s="1741" t="str">
        <f>Мероприятия_и_источники!N72</f>
        <v>2025год</v>
      </c>
      <c r="N18" s="1820" t="str">
        <f>Мероприятия_и_источники!O72</f>
        <v>плата за подключение в индивидуальном порядке</v>
      </c>
      <c r="O18" s="1742">
        <v>361</v>
      </c>
      <c r="P18" s="1741"/>
      <c r="Q18" s="1743"/>
      <c r="R18" s="1738"/>
      <c r="S18" s="1739"/>
      <c r="T18" s="1740"/>
      <c r="U18" s="1744">
        <f t="shared" si="4"/>
        <v>0</v>
      </c>
      <c r="V18" s="1737">
        <f t="shared" si="4"/>
        <v>1502.9916781048332</v>
      </c>
      <c r="W18" s="1737">
        <f t="shared" si="5"/>
        <v>0</v>
      </c>
      <c r="X18" s="1737">
        <f t="shared" si="6"/>
        <v>0</v>
      </c>
      <c r="Y18" s="1738">
        <f t="shared" si="7"/>
        <v>0</v>
      </c>
      <c r="Z18" s="1739"/>
      <c r="AA18" s="1737"/>
      <c r="AB18" s="1737">
        <f>I18/1.2/O18*12</f>
        <v>49.960942208470911</v>
      </c>
      <c r="AC18" s="1737">
        <f t="shared" si="9"/>
        <v>49.960942208470911</v>
      </c>
      <c r="AD18" s="1740">
        <f t="shared" si="9"/>
        <v>49.960942208470911</v>
      </c>
      <c r="AE18" s="1745" t="s">
        <v>1083</v>
      </c>
      <c r="AF18" s="1739"/>
      <c r="AG18" s="1740"/>
      <c r="AH18" s="1746"/>
      <c r="AI18" s="1747"/>
      <c r="AJ18" s="1747"/>
      <c r="AK18" s="1747"/>
      <c r="AL18" s="1747"/>
    </row>
    <row r="19" spans="1:38" s="1748" customFormat="1" ht="90">
      <c r="A19" s="1735" t="str">
        <f>Мероприятия_и_источники!B76</f>
        <v xml:space="preserve">Строительство сетей водоснабжения Ду=300мм, протяженностью около 1000 п.м, строительство сетей водоснабженияДу=300мм, подключение  к водоводу Ду 500 в районе ОСК, протяженностью около 250 п.м.
</v>
      </c>
      <c r="B19" s="1736">
        <f>Мероприятия_и_источники!C76</f>
        <v>1250</v>
      </c>
      <c r="C19" s="1735" t="str">
        <f>Мероприятия_и_источники!D76</f>
        <v>Комплексное освоение территории, в рамках которого предусматривается жилищное строительство, г. Калуга, ул. 40 лет Октября</v>
      </c>
      <c r="D19" s="1888" t="str">
        <f>Мероприятия_и_источники!E76</f>
        <v>АО СЗ КОШЕЛЕВ-ПРОЕКТ</v>
      </c>
      <c r="E19" s="1737">
        <f>Мероприятия_и_источники!F76</f>
        <v>1463.404</v>
      </c>
      <c r="F19" s="1738">
        <f>Мероприятия_и_источники!G76</f>
        <v>13451.935525848239</v>
      </c>
      <c r="G19" s="1739">
        <f>Мероприятия_и_источники!H76</f>
        <v>16142.322631017887</v>
      </c>
      <c r="H19" s="1737">
        <f>Мероприятия_и_источники!I76</f>
        <v>1785.6534744000001</v>
      </c>
      <c r="I19" s="1737">
        <f>Мероприятия_и_источники!J76</f>
        <v>14356.669156617887</v>
      </c>
      <c r="J19" s="1737">
        <f>Мероприятия_и_источники!K76</f>
        <v>0</v>
      </c>
      <c r="K19" s="1737">
        <f>Мероприятия_и_источники!L76</f>
        <v>0</v>
      </c>
      <c r="L19" s="1740">
        <f>Мероприятия_и_источники!M76</f>
        <v>0</v>
      </c>
      <c r="M19" s="1741" t="str">
        <f>Мероприятия_и_источники!N76</f>
        <v>2025год</v>
      </c>
      <c r="N19" s="1820" t="str">
        <f>Мероприятия_и_источники!O76</f>
        <v>плата за подключение в индивидуальном порядке</v>
      </c>
      <c r="O19" s="1742">
        <v>361</v>
      </c>
      <c r="P19" s="1741"/>
      <c r="Q19" s="1743"/>
      <c r="R19" s="1738"/>
      <c r="S19" s="1739"/>
      <c r="T19" s="1740"/>
      <c r="U19" s="1744"/>
      <c r="V19" s="1737">
        <f>(H19+I19)/1.2</f>
        <v>13451.935525848239</v>
      </c>
      <c r="W19" s="1737">
        <f>J19/1.2</f>
        <v>0</v>
      </c>
      <c r="X19" s="1737">
        <f>K19/1.2</f>
        <v>0</v>
      </c>
      <c r="Y19" s="1738">
        <f t="shared" si="7"/>
        <v>0</v>
      </c>
      <c r="Z19" s="1739"/>
      <c r="AA19" s="1737"/>
      <c r="AB19" s="1737">
        <f>(H19+I19)/1.2/O19*12</f>
        <v>447.15575155174201</v>
      </c>
      <c r="AC19" s="1737">
        <f t="shared" si="9"/>
        <v>447.15575155174201</v>
      </c>
      <c r="AD19" s="1740">
        <f t="shared" si="9"/>
        <v>447.15575155174201</v>
      </c>
      <c r="AE19" s="1745" t="s">
        <v>1083</v>
      </c>
      <c r="AF19" s="1739"/>
      <c r="AG19" s="1740"/>
      <c r="AH19" s="1746"/>
      <c r="AI19" s="1747"/>
      <c r="AJ19" s="1747"/>
      <c r="AK19" s="1747"/>
      <c r="AL19" s="1747"/>
    </row>
    <row r="20" spans="1:38" s="1748" customFormat="1" ht="75">
      <c r="A20" s="1735" t="str">
        <f>Мероприятия_и_источники!B80</f>
        <v>Строительство водопровод Д=110 мм от границ площадки застройки (границ земельного участка 40:26:000384:12390) до ВК1 (существующие водовод Ду = 315 мм), протяженностью 15 п.м. открытым способом</v>
      </c>
      <c r="B20" s="1736">
        <f>Мероприятия_и_источники!C80</f>
        <v>15</v>
      </c>
      <c r="C20" s="1735" t="str">
        <f>Мероприятия_и_источники!D80</f>
        <v>Отдельно стоящая котельная для теплоснабжения жилого комплекса с объектами соцкультбыта. г.Калуга,район Правобережья ,ограниченной улицами Минская,Фомушина,Академика Потехина</v>
      </c>
      <c r="D20" s="1888" t="str">
        <f>Мероприятия_и_источники!E80</f>
        <v>ООО СЗ "Лидер-Бетон"</v>
      </c>
      <c r="E20" s="1737">
        <f>Мероприятия_и_источники!F80</f>
        <v>65.459999999999994</v>
      </c>
      <c r="F20" s="1738">
        <f>Мероприятия_и_источники!G80</f>
        <v>125.04961697258334</v>
      </c>
      <c r="G20" s="1739">
        <f>Мероприятия_и_источники!H80</f>
        <v>150.0595403671</v>
      </c>
      <c r="H20" s="1737">
        <f>Мероприятия_и_источники!I80</f>
        <v>150.0595403671</v>
      </c>
      <c r="I20" s="1737">
        <f>Мероприятия_и_источники!J80</f>
        <v>0</v>
      </c>
      <c r="J20" s="1737">
        <f>Мероприятия_и_источники!K80</f>
        <v>0</v>
      </c>
      <c r="K20" s="1737">
        <f>Мероприятия_и_источники!L80</f>
        <v>0</v>
      </c>
      <c r="L20" s="1740">
        <f>Мероприятия_и_источники!M80</f>
        <v>0</v>
      </c>
      <c r="M20" s="1741" t="str">
        <f>Мероприятия_и_источники!N80</f>
        <v>2024год</v>
      </c>
      <c r="N20" s="1820" t="str">
        <f>Мероприятия_и_источники!O80</f>
        <v>плата за подключение в индивидуальном порядке</v>
      </c>
      <c r="O20" s="1742">
        <v>361</v>
      </c>
      <c r="P20" s="1741"/>
      <c r="Q20" s="1743"/>
      <c r="R20" s="1738"/>
      <c r="S20" s="1739"/>
      <c r="T20" s="1740"/>
      <c r="U20" s="1744">
        <f>H20/1.2</f>
        <v>125.04961697258334</v>
      </c>
      <c r="V20" s="1737">
        <f>U20</f>
        <v>125.04961697258334</v>
      </c>
      <c r="W20" s="1737">
        <f>V20</f>
        <v>125.04961697258334</v>
      </c>
      <c r="X20" s="1737">
        <f>W20</f>
        <v>125.04961697258334</v>
      </c>
      <c r="Y20" s="1738">
        <f>X20</f>
        <v>125.04961697258334</v>
      </c>
      <c r="Z20" s="1739"/>
      <c r="AA20" s="1737">
        <f>(H20/1.2)/O20*12</f>
        <v>4.1567739713878114</v>
      </c>
      <c r="AB20" s="1737">
        <f>AA20</f>
        <v>4.1567739713878114</v>
      </c>
      <c r="AC20" s="1737">
        <f>AB20</f>
        <v>4.1567739713878114</v>
      </c>
      <c r="AD20" s="1740">
        <f t="shared" si="9"/>
        <v>4.1567739713878114</v>
      </c>
      <c r="AE20" s="1745" t="s">
        <v>1083</v>
      </c>
      <c r="AF20" s="1739"/>
      <c r="AG20" s="1740"/>
      <c r="AH20" s="1746"/>
      <c r="AI20" s="1747"/>
      <c r="AJ20" s="1747"/>
      <c r="AK20" s="1747"/>
      <c r="AL20" s="1747"/>
    </row>
    <row r="21" spans="1:38" s="1748" customFormat="1" ht="75">
      <c r="A21" s="1735" t="str">
        <f>Мероприятия_и_источники!B84</f>
        <v>Строительство двух линий водопровода Д=315 мм от границ земельного участка  до существующего водовода Ду = 500 мм, протяженностью 655 п.м. каждый, открытым способом</v>
      </c>
      <c r="B21" s="1736">
        <f>Мероприятия_и_источники!C84</f>
        <v>655</v>
      </c>
      <c r="C21" s="1735" t="str">
        <f>Мероприятия_и_источники!D84</f>
        <v>Комплекс многоквартирных жилых домов со встроенно-пристроенными торговыми помещениями,детский сад на 300 мест,школа на 1100 мест,г.Калуга,р-он с.Некрасово,уч.2</v>
      </c>
      <c r="D21" s="1888" t="str">
        <f>Мероприятия_и_источники!E84</f>
        <v>ООО Специализированный застройщик "УАЙТ ГРУПП-КАЛУГА"</v>
      </c>
      <c r="E21" s="1737">
        <f>Мероприятия_и_источники!F84</f>
        <v>1079.17</v>
      </c>
      <c r="F21" s="1738">
        <f>Мероприятия_и_источники!G84</f>
        <v>11645.04138270833</v>
      </c>
      <c r="G21" s="1739">
        <f>Мероприятия_и_источники!H84</f>
        <v>13974.049659249995</v>
      </c>
      <c r="H21" s="1737">
        <f>Мероприятия_и_источники!I84</f>
        <v>0</v>
      </c>
      <c r="I21" s="1737">
        <f>Мероприятия_и_источники!J84</f>
        <v>13974.049659249995</v>
      </c>
      <c r="J21" s="1737">
        <f>Мероприятия_и_источники!K84</f>
        <v>0</v>
      </c>
      <c r="K21" s="1737">
        <f>Мероприятия_и_источники!L84</f>
        <v>0</v>
      </c>
      <c r="L21" s="1740">
        <f>Мероприятия_и_источники!M84</f>
        <v>0</v>
      </c>
      <c r="M21" s="1741" t="str">
        <f>Мероприятия_и_источники!N84</f>
        <v>2025год</v>
      </c>
      <c r="N21" s="1820" t="str">
        <f>Мероприятия_и_источники!O84</f>
        <v>плата за подключение в индивидуальном порядке</v>
      </c>
      <c r="O21" s="1742">
        <v>361</v>
      </c>
      <c r="P21" s="1741"/>
      <c r="Q21" s="1743"/>
      <c r="R21" s="1738"/>
      <c r="S21" s="1739"/>
      <c r="T21" s="1740"/>
      <c r="U21" s="1744">
        <f>H21/1.2</f>
        <v>0</v>
      </c>
      <c r="V21" s="1737">
        <f t="shared" ref="V21:Y22" si="10">I21/1.2</f>
        <v>11645.04138270833</v>
      </c>
      <c r="W21" s="1737">
        <f t="shared" si="10"/>
        <v>0</v>
      </c>
      <c r="X21" s="1737">
        <f t="shared" si="10"/>
        <v>0</v>
      </c>
      <c r="Y21" s="1738">
        <f t="shared" si="10"/>
        <v>0</v>
      </c>
      <c r="Z21" s="1739"/>
      <c r="AA21" s="1737"/>
      <c r="AB21" s="1737">
        <f>I21/1.2/O21*12</f>
        <v>387.0927883448752</v>
      </c>
      <c r="AC21" s="1737">
        <f t="shared" ref="AC21:AD23" si="11">AB21</f>
        <v>387.0927883448752</v>
      </c>
      <c r="AD21" s="1740">
        <f t="shared" si="11"/>
        <v>387.0927883448752</v>
      </c>
      <c r="AE21" s="1745" t="s">
        <v>1083</v>
      </c>
      <c r="AF21" s="1739"/>
      <c r="AG21" s="1740"/>
      <c r="AH21" s="1746"/>
      <c r="AI21" s="1747"/>
      <c r="AJ21" s="1747"/>
      <c r="AK21" s="1747"/>
      <c r="AL21" s="1747"/>
    </row>
    <row r="22" spans="1:38" s="1748" customFormat="1" ht="165">
      <c r="A22" s="1735" t="str">
        <f>Мероприятия_и_источники!B96</f>
        <v>Строительство станции водоочистки производительностью 32 м³/час на территории насосной станции водозабора «Малинники».Реконструкция артезианской скважины на земельном участке водопроводной башни «Малинники», расположенной на ул. Тарутинская - пер. Луговой, производительностью 400 м3/сут (инв.№25934) с выполненинм обвязки устья скважины с установкой насосного оборудования и обустройством павильона.</v>
      </c>
      <c r="B22" s="1736">
        <f>Мероприятия_и_источники!C96</f>
        <v>0</v>
      </c>
      <c r="C22" s="1735" t="str">
        <f>Мероприятия_и_источники!D96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D22" s="1888" t="str">
        <f>Мероприятия_и_источники!E96</f>
        <v>ООО Совместное предприятие "Минскстройэкспорт"</v>
      </c>
      <c r="E22" s="1737">
        <f>Мероприятия_и_источники!F96</f>
        <v>0</v>
      </c>
      <c r="F22" s="1738">
        <f>Мероприятия_и_источники!G96</f>
        <v>22646.181</v>
      </c>
      <c r="G22" s="1739">
        <f>Мероприятия_и_источники!H96</f>
        <v>27175.4172</v>
      </c>
      <c r="H22" s="1737">
        <f>Мероприятия_и_источники!I96</f>
        <v>0</v>
      </c>
      <c r="I22" s="1737">
        <f>Мероприятия_и_источники!J96</f>
        <v>27175.4172</v>
      </c>
      <c r="J22" s="1737">
        <f>Мероприятия_и_источники!K96</f>
        <v>0</v>
      </c>
      <c r="K22" s="1737">
        <f>Мероприятия_и_источники!L96</f>
        <v>0</v>
      </c>
      <c r="L22" s="1740">
        <f>Мероприятия_и_источники!M96</f>
        <v>0</v>
      </c>
      <c r="M22" s="1741" t="str">
        <f>Мероприятия_и_источники!N96</f>
        <v>2025год</v>
      </c>
      <c r="N22" s="1820" t="str">
        <f>Мероприятия_и_источники!O96</f>
        <v>плата за подключение в индивидуальном порядке</v>
      </c>
      <c r="O22" s="1742">
        <v>361</v>
      </c>
      <c r="P22" s="1741"/>
      <c r="Q22" s="1743"/>
      <c r="R22" s="1738"/>
      <c r="S22" s="1739"/>
      <c r="T22" s="1740"/>
      <c r="U22" s="1744">
        <f>H22/1.2</f>
        <v>0</v>
      </c>
      <c r="V22" s="1737">
        <f t="shared" si="10"/>
        <v>22646.181</v>
      </c>
      <c r="W22" s="1737">
        <f t="shared" si="10"/>
        <v>0</v>
      </c>
      <c r="X22" s="1737">
        <f t="shared" si="10"/>
        <v>0</v>
      </c>
      <c r="Y22" s="1738">
        <f t="shared" si="10"/>
        <v>0</v>
      </c>
      <c r="Z22" s="1739"/>
      <c r="AA22" s="1737"/>
      <c r="AB22" s="1737">
        <f>I22/1.2/O22*12</f>
        <v>752.78163988919664</v>
      </c>
      <c r="AC22" s="1737">
        <f t="shared" si="11"/>
        <v>752.78163988919664</v>
      </c>
      <c r="AD22" s="1740">
        <f t="shared" si="11"/>
        <v>752.78163988919664</v>
      </c>
      <c r="AE22" s="1745" t="s">
        <v>1083</v>
      </c>
      <c r="AF22" s="1739"/>
      <c r="AG22" s="1740"/>
      <c r="AH22" s="1746"/>
      <c r="AI22" s="1747"/>
      <c r="AJ22" s="1747"/>
      <c r="AK22" s="1747"/>
      <c r="AL22" s="1747"/>
    </row>
    <row r="23" spans="1:38" s="1748" customFormat="1" ht="75">
      <c r="A23" s="1735" t="str">
        <f>Мероприятия_и_источники!B104</f>
        <v>Строительство водовода Дн=315 мм от ул.Гурьянова до ул.Анненки  протяженностью 5799 п.м. (в том числе 147 п.м. методом ГНБ) с обустройством смотровых в/колодцев диметром 1,5м – 29 шт.</v>
      </c>
      <c r="B23" s="1736">
        <f>Мероприятия_и_источники!C104</f>
        <v>5799</v>
      </c>
      <c r="C23" s="1735" t="str">
        <f>Мероприятия_и_источники!D104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D23" s="1888" t="str">
        <f>Мероприятия_и_источники!E104</f>
        <v xml:space="preserve"> ГКУ КО "Управление капитального строительства"</v>
      </c>
      <c r="E23" s="1737">
        <f>Мероприятия_и_источники!F104</f>
        <v>0</v>
      </c>
      <c r="F23" s="1738">
        <f>Мероприятия_и_источники!G104</f>
        <v>49190.533333333333</v>
      </c>
      <c r="G23" s="1739">
        <f>Мероприятия_и_источники!H104</f>
        <v>59028.639999999999</v>
      </c>
      <c r="H23" s="1737">
        <f>Мероприятия_и_источники!I104</f>
        <v>0</v>
      </c>
      <c r="I23" s="1737">
        <f>Мероприятия_и_источники!J104</f>
        <v>59028.639999999999</v>
      </c>
      <c r="J23" s="1737">
        <f>Мероприятия_и_источники!K104</f>
        <v>0</v>
      </c>
      <c r="K23" s="1737">
        <f>Мероприятия_и_источники!L104</f>
        <v>0</v>
      </c>
      <c r="L23" s="1740">
        <f>Мероприятия_и_источники!M104</f>
        <v>0</v>
      </c>
      <c r="M23" s="1741" t="str">
        <f>Мероприятия_и_источники!N104</f>
        <v>2025год</v>
      </c>
      <c r="N23" s="1820" t="str">
        <f>Мероприятия_и_источники!O104</f>
        <v xml:space="preserve"> бюджет муниципального образования</v>
      </c>
      <c r="O23" s="1742">
        <v>361</v>
      </c>
      <c r="P23" s="1741"/>
      <c r="Q23" s="1743"/>
      <c r="R23" s="1738"/>
      <c r="S23" s="1739"/>
      <c r="T23" s="1740"/>
      <c r="U23" s="1744">
        <f t="shared" ref="U23:U29" si="12">H23/1.2</f>
        <v>0</v>
      </c>
      <c r="V23" s="1737">
        <f t="shared" ref="V23:V29" si="13">I23/1.2</f>
        <v>49190.533333333333</v>
      </c>
      <c r="W23" s="1737">
        <f t="shared" ref="W23:W29" si="14">J23/1.2</f>
        <v>0</v>
      </c>
      <c r="X23" s="1737">
        <f t="shared" ref="X23:X29" si="15">K23/1.2</f>
        <v>0</v>
      </c>
      <c r="Y23" s="1738">
        <f t="shared" ref="Y23:Y29" si="16">L23/1.2</f>
        <v>0</v>
      </c>
      <c r="Z23" s="1739"/>
      <c r="AA23" s="1737"/>
      <c r="AB23" s="1737">
        <f>I23/1.2/O23*12</f>
        <v>1635.1423822714683</v>
      </c>
      <c r="AC23" s="1737">
        <f t="shared" si="11"/>
        <v>1635.1423822714683</v>
      </c>
      <c r="AD23" s="1740">
        <f t="shared" si="11"/>
        <v>1635.1423822714683</v>
      </c>
      <c r="AE23" s="1745" t="s">
        <v>1083</v>
      </c>
      <c r="AF23" s="1739"/>
      <c r="AG23" s="1740"/>
      <c r="AH23" s="1746"/>
      <c r="AI23" s="1747"/>
      <c r="AJ23" s="1747"/>
      <c r="AK23" s="1747"/>
      <c r="AL23" s="1747"/>
    </row>
    <row r="24" spans="1:38" s="1748" customFormat="1" ht="60">
      <c r="A24" s="1735" t="str">
        <f>Мероприятия_и_источники!B108</f>
        <v xml:space="preserve">Строительство  кольцевой водопроводной сети   Д=225 мм. от камеры переключения вдоль ул. К. Либкнехта, ул. Грабцевское шоссе до ул. Константиновых, д.9,  протяженностью 435 п.м. </v>
      </c>
      <c r="B24" s="1736">
        <f>Мероприятия_и_источники!C108</f>
        <v>435</v>
      </c>
      <c r="C24" s="1735" t="str">
        <f>Мероприятия_и_источники!D108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D24" s="1888" t="str">
        <f>Мероприятия_и_источники!E108</f>
        <v>ООО "СтройСервис" (АО ЦентрСпецСтрой)</v>
      </c>
      <c r="E24" s="1737">
        <f>Мероприятия_и_источники!F108</f>
        <v>0</v>
      </c>
      <c r="F24" s="1738">
        <f>Мероприятия_и_источники!G108</f>
        <v>4589.0150000000003</v>
      </c>
      <c r="G24" s="1739">
        <f>Мероприятия_и_источники!H108</f>
        <v>5506.8180000000002</v>
      </c>
      <c r="H24" s="1737">
        <f>Мероприятия_и_источники!I108</f>
        <v>0</v>
      </c>
      <c r="I24" s="1737">
        <f>Мероприятия_и_источники!J108</f>
        <v>0</v>
      </c>
      <c r="J24" s="1737">
        <f>Мероприятия_и_источники!K108</f>
        <v>5506.8180000000002</v>
      </c>
      <c r="K24" s="1737">
        <f>Мероприятия_и_источники!L108</f>
        <v>0</v>
      </c>
      <c r="L24" s="1740">
        <f>Мероприятия_и_источники!M108</f>
        <v>0</v>
      </c>
      <c r="M24" s="1741" t="str">
        <f>Мероприятия_и_источники!N108</f>
        <v>2026год</v>
      </c>
      <c r="N24" s="1820" t="str">
        <f>Мероприятия_и_источники!O108</f>
        <v>плата за подключение в индивидуальном порядке</v>
      </c>
      <c r="O24" s="1742">
        <v>361</v>
      </c>
      <c r="P24" s="1741"/>
      <c r="Q24" s="1743"/>
      <c r="R24" s="1738"/>
      <c r="S24" s="1739"/>
      <c r="T24" s="1740"/>
      <c r="U24" s="1744">
        <f t="shared" si="12"/>
        <v>0</v>
      </c>
      <c r="V24" s="1737">
        <f t="shared" si="13"/>
        <v>0</v>
      </c>
      <c r="W24" s="1737">
        <f t="shared" si="14"/>
        <v>4589.0150000000003</v>
      </c>
      <c r="X24" s="1737">
        <f t="shared" si="15"/>
        <v>0</v>
      </c>
      <c r="Y24" s="1738">
        <f t="shared" si="16"/>
        <v>0</v>
      </c>
      <c r="Z24" s="1739"/>
      <c r="AA24" s="1737"/>
      <c r="AB24" s="1737"/>
      <c r="AC24" s="1737">
        <f>J24/1.2/O24*12</f>
        <v>152.54343490304711</v>
      </c>
      <c r="AD24" s="1740">
        <f t="shared" ref="AD24:AD31" si="17">AC24</f>
        <v>152.54343490304711</v>
      </c>
      <c r="AE24" s="1745" t="s">
        <v>1083</v>
      </c>
      <c r="AF24" s="1739"/>
      <c r="AG24" s="1740"/>
      <c r="AH24" s="1746"/>
      <c r="AI24" s="1747"/>
      <c r="AJ24" s="1747"/>
      <c r="AK24" s="1747"/>
      <c r="AL24" s="1747"/>
    </row>
    <row r="25" spans="1:38" s="1748" customFormat="1" ht="60">
      <c r="A25" s="1735" t="str">
        <f>Мероприятия_и_источники!B112</f>
        <v>Реконструкция существующего участка чугунного водовода Ду=500 мм на ПЭ Д=560 SDR 17 от точки в районе границ земельного участка до камеры, протяженностью 185 м.</v>
      </c>
      <c r="B25" s="1736">
        <f>Мероприятия_и_источники!C112</f>
        <v>0</v>
      </c>
      <c r="C25" s="1735" t="str">
        <f>Мероприятия_и_источники!D112</f>
        <v>Индустриальный парк «Грабцево» (с целью увеличения мощности системы (2 этажа)), расположенный по адресу: г. Калуга, Индустриальный парк «Грабцево»</v>
      </c>
      <c r="D25" s="1888" t="str">
        <f>Мероприятия_и_источники!E112</f>
        <v>Акционерное общество «Корпорация развития Калужской области»</v>
      </c>
      <c r="E25" s="1737">
        <f>Мероприятия_и_источники!F112</f>
        <v>2000</v>
      </c>
      <c r="F25" s="1738">
        <f>Мероприятия_и_источники!G112</f>
        <v>2980.2962499999999</v>
      </c>
      <c r="G25" s="1739">
        <f>Мероприятия_и_источники!H112</f>
        <v>3576.3554999999997</v>
      </c>
      <c r="H25" s="1737">
        <f>Мероприятия_и_источники!I112</f>
        <v>0</v>
      </c>
      <c r="I25" s="1737">
        <f>Мероприятия_и_источники!J112</f>
        <v>3576.3554999999997</v>
      </c>
      <c r="J25" s="1737">
        <f>Мероприятия_и_источники!K112</f>
        <v>0</v>
      </c>
      <c r="K25" s="1737">
        <f>Мероприятия_и_источники!L112</f>
        <v>0</v>
      </c>
      <c r="L25" s="1740">
        <f>Мероприятия_и_источники!M112</f>
        <v>0</v>
      </c>
      <c r="M25" s="1741" t="str">
        <f>Мероприятия_и_источники!N112</f>
        <v>2025год</v>
      </c>
      <c r="N25" s="1820" t="str">
        <f>Мероприятия_и_источники!O112</f>
        <v>плата за подключение в индивидуальном порядке</v>
      </c>
      <c r="O25" s="1742">
        <v>361</v>
      </c>
      <c r="P25" s="1741"/>
      <c r="Q25" s="1750">
        <v>1207.9100699999999</v>
      </c>
      <c r="R25" s="1738"/>
      <c r="S25" s="1739"/>
      <c r="T25" s="1740"/>
      <c r="U25" s="1744">
        <f>H25/1.2</f>
        <v>0</v>
      </c>
      <c r="V25" s="1737">
        <f>I25/1.2</f>
        <v>2980.2962499999999</v>
      </c>
      <c r="W25" s="1737">
        <f>J25/1.2</f>
        <v>0</v>
      </c>
      <c r="X25" s="1737">
        <f t="shared" si="15"/>
        <v>0</v>
      </c>
      <c r="Y25" s="1738">
        <f t="shared" si="16"/>
        <v>0</v>
      </c>
      <c r="Z25" s="1739"/>
      <c r="AA25" s="1737"/>
      <c r="AB25" s="1737">
        <f>(I25/1.2+Q25)/O25*12</f>
        <v>139.22015468144042</v>
      </c>
      <c r="AC25" s="1737">
        <f t="shared" ref="AC25:AC31" si="18">AB25</f>
        <v>139.22015468144042</v>
      </c>
      <c r="AD25" s="1740">
        <f t="shared" si="17"/>
        <v>139.22015468144042</v>
      </c>
      <c r="AE25" s="1745">
        <v>10503</v>
      </c>
      <c r="AF25" s="1739"/>
      <c r="AG25" s="1740"/>
      <c r="AH25" s="1746"/>
      <c r="AI25" s="1747"/>
      <c r="AJ25" s="1747"/>
      <c r="AK25" s="1747"/>
      <c r="AL25" s="1747"/>
    </row>
    <row r="26" spans="1:38" s="1748" customFormat="1" ht="90">
      <c r="A26" s="1735" t="str">
        <f>Мероприятия_и_источники!B116</f>
        <v>Реконструкция существующего водопровода Ду-100 мм (чуг.) по пер.Баррикад от водопровода по ул. В. Андриановой. до водопровода по ул. Грабцевское шоссе с увеличением диаметра до Ду-200 мм (ПНД SDR 13,6), протяженностью 605 п.м, прокладку выполнить закрытым методом.</v>
      </c>
      <c r="B26" s="1736">
        <f>Мероприятия_и_источники!C116</f>
        <v>0</v>
      </c>
      <c r="C26" s="1821" t="str">
        <f>Мероприятия_и_источники!D116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D26" s="1888" t="str">
        <f>Мероприятия_и_источники!E116</f>
        <v>ООО «КалугаЭлитДевелопмент»</v>
      </c>
      <c r="E26" s="1737">
        <f>Мероприятия_и_источники!F116</f>
        <v>0</v>
      </c>
      <c r="F26" s="1738">
        <f>Мероприятия_и_источники!G116</f>
        <v>11264.28275</v>
      </c>
      <c r="G26" s="1739">
        <f>Мероприятия_и_источники!H116</f>
        <v>13517.139299999999</v>
      </c>
      <c r="H26" s="1737">
        <f>Мероприятия_и_источники!I116</f>
        <v>13517.139299999999</v>
      </c>
      <c r="I26" s="1737">
        <f>Мероприятия_и_источники!J116</f>
        <v>0</v>
      </c>
      <c r="J26" s="1737">
        <f>Мероприятия_и_источники!K116</f>
        <v>0</v>
      </c>
      <c r="K26" s="1737">
        <f>Мероприятия_и_источники!L116</f>
        <v>0</v>
      </c>
      <c r="L26" s="1740">
        <f>Мероприятия_и_источники!M116</f>
        <v>0</v>
      </c>
      <c r="M26" s="1741" t="str">
        <f>Мероприятия_и_источники!N116</f>
        <v>2024год</v>
      </c>
      <c r="N26" s="1820" t="str">
        <f>Мероприятия_и_источники!O116</f>
        <v>плата за подключение в индивидуальном порядке</v>
      </c>
      <c r="O26" s="1742">
        <v>108</v>
      </c>
      <c r="P26" s="1741"/>
      <c r="Q26" s="1750">
        <f>Износ!O5668/1000</f>
        <v>7.5623999999999993</v>
      </c>
      <c r="R26" s="1738"/>
      <c r="S26" s="1739"/>
      <c r="T26" s="1740"/>
      <c r="U26" s="1744">
        <f t="shared" si="12"/>
        <v>11264.28275</v>
      </c>
      <c r="V26" s="1737">
        <f t="shared" si="13"/>
        <v>0</v>
      </c>
      <c r="W26" s="1737">
        <f t="shared" si="14"/>
        <v>0</v>
      </c>
      <c r="X26" s="1737">
        <f>K26/1.2</f>
        <v>0</v>
      </c>
      <c r="Y26" s="1738">
        <f t="shared" si="16"/>
        <v>0</v>
      </c>
      <c r="Z26" s="1739"/>
      <c r="AA26" s="1737">
        <f>(H26+Q26)/O26*12</f>
        <v>1502.7446333333332</v>
      </c>
      <c r="AB26" s="1737">
        <f>AA26</f>
        <v>1502.7446333333332</v>
      </c>
      <c r="AC26" s="1737">
        <f>AB26</f>
        <v>1502.7446333333332</v>
      </c>
      <c r="AD26" s="1740">
        <f>AC26</f>
        <v>1502.7446333333332</v>
      </c>
      <c r="AE26" s="1745">
        <v>44012</v>
      </c>
      <c r="AF26" s="1739"/>
      <c r="AG26" s="1740"/>
      <c r="AH26" s="1746"/>
      <c r="AI26" s="1747"/>
      <c r="AJ26" s="1747"/>
      <c r="AK26" s="1747"/>
      <c r="AL26" s="1747"/>
    </row>
    <row r="27" spans="1:38" s="1748" customFormat="1" ht="45">
      <c r="A27" s="1735" t="str">
        <f>Мероприятия_и_источники!B120</f>
        <v>Строительство водовода Д=500 от 3 подъема ст.Турынино до ул. Тульская (в одну нитку) протяженностью 1800 п.м.</v>
      </c>
      <c r="B27" s="1736">
        <f>Мероприятия_и_источники!C120</f>
        <v>1800</v>
      </c>
      <c r="C27" s="1735" t="str">
        <f>Мероприятия_и_источники!D120</f>
        <v>Комплексное освоение территории, в рамках которого предусматривается жилищное строительство, г. Калуга, ул. 40 лет Октября</v>
      </c>
      <c r="D27" s="1888" t="str">
        <f>Мероприятия_и_источники!E120</f>
        <v>АО СЗ КОШЕЛЕВ-ПРОЕКТ</v>
      </c>
      <c r="E27" s="1737">
        <f>Мероприятия_и_источники!F120</f>
        <v>0</v>
      </c>
      <c r="F27" s="1738">
        <f>Мероприятия_и_источники!G120</f>
        <v>54045.532852193035</v>
      </c>
      <c r="G27" s="1739">
        <f>Мероприятия_и_источники!H120</f>
        <v>64854.639422631641</v>
      </c>
      <c r="H27" s="1737">
        <f>Мероприятия_и_источники!I120</f>
        <v>4029.2036039999994</v>
      </c>
      <c r="I27" s="1737">
        <f>Мероприятия_и_источники!J120</f>
        <v>60825.435818631639</v>
      </c>
      <c r="J27" s="1737">
        <f>Мероприятия_и_источники!K120</f>
        <v>0</v>
      </c>
      <c r="K27" s="1737">
        <f>Мероприятия_и_источники!L120</f>
        <v>0</v>
      </c>
      <c r="L27" s="1740">
        <f>Мероприятия_и_источники!M120</f>
        <v>0</v>
      </c>
      <c r="M27" s="1741" t="str">
        <f>Мероприятия_и_источники!N120</f>
        <v>2025год</v>
      </c>
      <c r="N27" s="1820" t="str">
        <f>Мероприятия_и_источники!O120</f>
        <v>плата за подключение в индивидуальном порядке</v>
      </c>
      <c r="O27" s="1742">
        <v>300</v>
      </c>
      <c r="P27" s="1741"/>
      <c r="Q27" s="1750">
        <f>Износ!O1561/1000</f>
        <v>56217.177179999999</v>
      </c>
      <c r="R27" s="1738"/>
      <c r="S27" s="1739"/>
      <c r="T27" s="1740"/>
      <c r="U27" s="1744"/>
      <c r="V27" s="1737">
        <f>(H27+I27)/1.2</f>
        <v>54045.532852193035</v>
      </c>
      <c r="W27" s="1737">
        <f t="shared" si="14"/>
        <v>0</v>
      </c>
      <c r="X27" s="1737">
        <f t="shared" si="15"/>
        <v>0</v>
      </c>
      <c r="Y27" s="1738">
        <f t="shared" si="16"/>
        <v>0</v>
      </c>
      <c r="Z27" s="1739"/>
      <c r="AA27" s="1737"/>
      <c r="AB27" s="1737">
        <f>(H27+I27)/1.2/O27*12</f>
        <v>2161.8213140877215</v>
      </c>
      <c r="AC27" s="1737">
        <f t="shared" si="18"/>
        <v>2161.8213140877215</v>
      </c>
      <c r="AD27" s="1740">
        <f t="shared" si="17"/>
        <v>2161.8213140877215</v>
      </c>
      <c r="AE27" s="1745">
        <v>46482</v>
      </c>
      <c r="AF27" s="1739"/>
      <c r="AG27" s="1740"/>
      <c r="AH27" s="1746"/>
      <c r="AI27" s="1747"/>
      <c r="AJ27" s="1747"/>
      <c r="AK27" s="1747"/>
      <c r="AL27" s="1747"/>
    </row>
    <row r="28" spans="1:38" s="1748" customFormat="1" ht="60">
      <c r="A28" s="1735" t="str">
        <f>Мероприятия_и_источники!B124</f>
        <v>Реконструкция существующих водоводов (стеклопластик) Ду-400 в г. Калуга,  протяженностью 290 п.м. каждый (580 п.м. общая) мкрн.Байконур</v>
      </c>
      <c r="B28" s="1736">
        <f>Мероприятия_и_источники!C124</f>
        <v>0</v>
      </c>
      <c r="C28" s="1735" t="str">
        <f>Мероприятия_и_источники!D124</f>
        <v>Проект планировки и проект межевания территории жилого квартала, г.Калуга мкр.Кубяка,Байконур</v>
      </c>
      <c r="D28" s="1888" t="str">
        <f>Мероприятия_и_источники!E124</f>
        <v>Заявитель</v>
      </c>
      <c r="E28" s="1737">
        <f>Мероприятия_и_источники!F124</f>
        <v>1637.85</v>
      </c>
      <c r="F28" s="1738">
        <f>Мероприятия_и_источники!G124</f>
        <v>8810.9336615040011</v>
      </c>
      <c r="G28" s="1739">
        <f>Мероприятия_и_источники!H124</f>
        <v>10573.1203938048</v>
      </c>
      <c r="H28" s="1737">
        <f>Мероприятия_и_источники!I124</f>
        <v>0</v>
      </c>
      <c r="I28" s="1737">
        <f>Мероприятия_и_источники!J124</f>
        <v>10573.1203938048</v>
      </c>
      <c r="J28" s="1737">
        <f>Мероприятия_и_источники!K124</f>
        <v>0</v>
      </c>
      <c r="K28" s="1737">
        <f>Мероприятия_и_источники!L124</f>
        <v>0</v>
      </c>
      <c r="L28" s="1740">
        <f>Мероприятия_и_источники!M124</f>
        <v>0</v>
      </c>
      <c r="M28" s="1741" t="str">
        <f>Мероприятия_и_источники!N124</f>
        <v>2025год</v>
      </c>
      <c r="N28" s="1820" t="str">
        <f>Мероприятия_и_источники!O124</f>
        <v>бюджет муниципального образования</v>
      </c>
      <c r="O28" s="1742">
        <v>240</v>
      </c>
      <c r="P28" s="1741"/>
      <c r="Q28" s="1750">
        <v>112.99807</v>
      </c>
      <c r="R28" s="1738"/>
      <c r="S28" s="1739"/>
      <c r="T28" s="1740"/>
      <c r="U28" s="1744">
        <f t="shared" si="12"/>
        <v>0</v>
      </c>
      <c r="V28" s="1737">
        <f>I28/1.2</f>
        <v>8810.9336615040011</v>
      </c>
      <c r="W28" s="1737">
        <f>J28/1.2</f>
        <v>0</v>
      </c>
      <c r="X28" s="1737">
        <f t="shared" si="15"/>
        <v>0</v>
      </c>
      <c r="Y28" s="1738">
        <f>L28/1.2</f>
        <v>0</v>
      </c>
      <c r="Z28" s="1739"/>
      <c r="AA28" s="1737"/>
      <c r="AB28" s="1737">
        <f>(I28/1.2+Q28)/O28*12</f>
        <v>446.19658657520006</v>
      </c>
      <c r="AC28" s="1737">
        <f t="shared" si="18"/>
        <v>446.19658657520006</v>
      </c>
      <c r="AD28" s="1740">
        <f t="shared" si="17"/>
        <v>446.19658657520006</v>
      </c>
      <c r="AE28" s="1745">
        <v>11407</v>
      </c>
      <c r="AF28" s="1739"/>
      <c r="AG28" s="1740"/>
      <c r="AH28" s="1746"/>
      <c r="AI28" s="1747"/>
      <c r="AJ28" s="1747"/>
      <c r="AK28" s="1747"/>
      <c r="AL28" s="1747"/>
    </row>
    <row r="29" spans="1:38" s="1748" customFormat="1" ht="75">
      <c r="A29" s="1735" t="str">
        <f>Мероприятия_и_источники!B132</f>
        <v>Замена существующего насосного оборудования на НС I-го подъема Q=346 м3 с увеличением подачи до Q=400 м3.</v>
      </c>
      <c r="B29" s="1736">
        <f>Мероприятия_и_источники!C132</f>
        <v>0</v>
      </c>
      <c r="C29" s="1735" t="str">
        <f>Мероприятия_и_источники!D132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D29" s="1889" t="str">
        <f>Мероприятия_и_источники!E132</f>
        <v>АО СЗ КОШЕЛЕВ-ПРОЕКТ</v>
      </c>
      <c r="E29" s="1737">
        <f>Мероприятия_и_источники!F132</f>
        <v>0</v>
      </c>
      <c r="F29" s="1738">
        <f>Мероприятия_и_источники!G132</f>
        <v>1783.72</v>
      </c>
      <c r="G29" s="1739">
        <f>Мероприятия_и_источники!H132</f>
        <v>2140.4639999999999</v>
      </c>
      <c r="H29" s="1737">
        <f>Мероприятия_и_источники!I132</f>
        <v>2140.4639999999999</v>
      </c>
      <c r="I29" s="1737">
        <f>Мероприятия_и_источники!J132</f>
        <v>0</v>
      </c>
      <c r="J29" s="1737">
        <f>Мероприятия_и_источники!K132</f>
        <v>0</v>
      </c>
      <c r="K29" s="1737">
        <f>Мероприятия_и_источники!L132</f>
        <v>0</v>
      </c>
      <c r="L29" s="1740">
        <f>Мероприятия_и_источники!M132</f>
        <v>0</v>
      </c>
      <c r="M29" s="1741" t="str">
        <f>Мероприятия_и_источники!N132</f>
        <v>2024год</v>
      </c>
      <c r="N29" s="1820" t="str">
        <f>Мероприятия_и_источники!O132</f>
        <v>плата за подключение в индивидуальном порядке</v>
      </c>
      <c r="O29" s="1742">
        <v>300</v>
      </c>
      <c r="P29" s="1741"/>
      <c r="Q29" s="1750">
        <f>Износ!O296/1000</f>
        <v>531.42896999999994</v>
      </c>
      <c r="R29" s="1738"/>
      <c r="S29" s="1739"/>
      <c r="T29" s="1740"/>
      <c r="U29" s="1744">
        <f t="shared" si="12"/>
        <v>1783.72</v>
      </c>
      <c r="V29" s="1737">
        <f t="shared" si="13"/>
        <v>0</v>
      </c>
      <c r="W29" s="1737">
        <f t="shared" si="14"/>
        <v>0</v>
      </c>
      <c r="X29" s="1737">
        <f t="shared" si="15"/>
        <v>0</v>
      </c>
      <c r="Y29" s="1738">
        <f t="shared" si="16"/>
        <v>0</v>
      </c>
      <c r="Z29" s="1739"/>
      <c r="AA29" s="1737">
        <f>(H29/1.2+Q29)/O29*12</f>
        <v>92.60595880000001</v>
      </c>
      <c r="AB29" s="1737">
        <f>AA29</f>
        <v>92.60595880000001</v>
      </c>
      <c r="AC29" s="1737">
        <f t="shared" si="18"/>
        <v>92.60595880000001</v>
      </c>
      <c r="AD29" s="1740">
        <f t="shared" si="17"/>
        <v>92.60595880000001</v>
      </c>
      <c r="AE29" s="1745">
        <v>10729</v>
      </c>
      <c r="AF29" s="1739"/>
      <c r="AG29" s="1740"/>
      <c r="AH29" s="1746"/>
      <c r="AI29" s="1747"/>
      <c r="AJ29" s="1747"/>
      <c r="AK29" s="1747"/>
      <c r="AL29" s="1747"/>
    </row>
    <row r="30" spans="1:38" s="1748" customFormat="1" ht="60">
      <c r="A30" s="1735" t="str">
        <f>Мероприятия_и_источники!B136</f>
        <v>Реконструкция насосной станции 2-го подъема Окского водозабора с 1 800 м куб. в час до 2300 куб. м. в час</v>
      </c>
      <c r="B30" s="1736">
        <f>Мероприятия_и_источники!C136</f>
        <v>0</v>
      </c>
      <c r="C30" s="1735" t="str">
        <f>Мероприятия_и_источники!D136</f>
        <v>Комплекс многоквартирных жилых домов со встроенно-пристроенными торговыми помещениями,детский сад на 300 мест,школа на 1100 мест</v>
      </c>
      <c r="D30" s="1888" t="str">
        <f>Мероприятия_и_источники!E136</f>
        <v>ООО Специализированный застройщик "УАЙТ ГРУПП-КАЛУГА"</v>
      </c>
      <c r="E30" s="1737">
        <f>Мероприятия_и_источники!F136</f>
        <v>0</v>
      </c>
      <c r="F30" s="1738">
        <f>Мероприятия_и_источники!G136</f>
        <v>14742.955917231875</v>
      </c>
      <c r="G30" s="1739">
        <f>Мероприятия_и_источники!H136</f>
        <v>17691.54710067825</v>
      </c>
      <c r="H30" s="1737">
        <f>Мероприятия_и_источники!I136</f>
        <v>0</v>
      </c>
      <c r="I30" s="1737">
        <f>Мероприятия_и_источники!J136</f>
        <v>17691.54710067825</v>
      </c>
      <c r="J30" s="1737">
        <f>Мероприятия_и_источники!K136</f>
        <v>0</v>
      </c>
      <c r="K30" s="1737">
        <f>Мероприятия_и_источники!L136</f>
        <v>0</v>
      </c>
      <c r="L30" s="1740">
        <f>Мероприятия_и_источники!M136</f>
        <v>0</v>
      </c>
      <c r="M30" s="1741" t="str">
        <f>Мероприятия_и_источники!N136</f>
        <v>2025год</v>
      </c>
      <c r="N30" s="1820" t="str">
        <f>Мероприятия_и_источники!O136</f>
        <v>плата за подключение в индивидуальном порядке</v>
      </c>
      <c r="O30" s="1742">
        <v>300</v>
      </c>
      <c r="P30" s="1741"/>
      <c r="Q30" s="1750">
        <v>226.86904000000001</v>
      </c>
      <c r="R30" s="1738"/>
      <c r="S30" s="1739"/>
      <c r="T30" s="1740"/>
      <c r="U30" s="1744">
        <f t="shared" ref="U30:U37" si="19">H30/1.2</f>
        <v>0</v>
      </c>
      <c r="V30" s="1737">
        <f t="shared" ref="V30:V37" si="20">I30/1.2</f>
        <v>14742.955917231875</v>
      </c>
      <c r="W30" s="1737">
        <f t="shared" ref="W30:W37" si="21">J30/1.2</f>
        <v>0</v>
      </c>
      <c r="X30" s="1737">
        <f t="shared" ref="X30:X37" si="22">K30/1.2</f>
        <v>0</v>
      </c>
      <c r="Y30" s="1738">
        <f t="shared" ref="Y30:Y37" si="23">L30/1.2</f>
        <v>0</v>
      </c>
      <c r="Z30" s="1739"/>
      <c r="AA30" s="1737"/>
      <c r="AB30" s="1737">
        <f>(I30/1.2+Q30)/O30*12</f>
        <v>598.79299828927503</v>
      </c>
      <c r="AC30" s="1737">
        <f t="shared" si="18"/>
        <v>598.79299828927503</v>
      </c>
      <c r="AD30" s="1740">
        <f t="shared" si="17"/>
        <v>598.79299828927503</v>
      </c>
      <c r="AE30" s="1745">
        <v>10606</v>
      </c>
      <c r="AF30" s="1739"/>
      <c r="AG30" s="1740"/>
      <c r="AH30" s="1746"/>
      <c r="AI30" s="1747"/>
      <c r="AJ30" s="1747"/>
      <c r="AK30" s="1747"/>
      <c r="AL30" s="1747"/>
    </row>
    <row r="31" spans="1:38" s="1748" customFormat="1" ht="45">
      <c r="A31" s="1735" t="str">
        <f>Мероприятия_и_источники!B140</f>
        <v xml:space="preserve">Реконструкция скорых фильтров станции  "Северного водозабора" </v>
      </c>
      <c r="B31" s="1736">
        <f>Мероприятия_и_источники!C140</f>
        <v>0</v>
      </c>
      <c r="C31" s="1735" t="str">
        <f>Мероприятия_и_источники!D140</f>
        <v>Проект планировки и проект межевания территории жилого квартала, г.Калуга мкр.Кубяка,Байконур</v>
      </c>
      <c r="D31" s="1888" t="str">
        <f>Мероприятия_и_источники!E140</f>
        <v>Заявитель</v>
      </c>
      <c r="E31" s="1737">
        <f>Мероприятия_и_источники!F140</f>
        <v>0</v>
      </c>
      <c r="F31" s="1738">
        <f>Мероприятия_и_источники!G140</f>
        <v>24442.2818667846</v>
      </c>
      <c r="G31" s="1739">
        <f>Мероприятия_и_источники!H140</f>
        <v>29330.73824014152</v>
      </c>
      <c r="H31" s="1737">
        <f>Мероприятия_и_источники!I140</f>
        <v>0</v>
      </c>
      <c r="I31" s="1737">
        <f>Мероприятия_и_источники!J140</f>
        <v>29330.73824014152</v>
      </c>
      <c r="J31" s="1737">
        <f>Мероприятия_и_источники!K140</f>
        <v>0</v>
      </c>
      <c r="K31" s="1737">
        <f>Мероприятия_и_источники!L140</f>
        <v>0</v>
      </c>
      <c r="L31" s="1740">
        <f>Мероприятия_и_источники!M140</f>
        <v>0</v>
      </c>
      <c r="M31" s="1741" t="str">
        <f>Мероприятия_и_источники!N140</f>
        <v>2025год</v>
      </c>
      <c r="N31" s="1820" t="str">
        <f>Мероприятия_и_источники!O140</f>
        <v>бюджет муниципального образования</v>
      </c>
      <c r="O31" s="1742">
        <v>413</v>
      </c>
      <c r="P31" s="1741"/>
      <c r="Q31" s="1750">
        <v>69.701719999999995</v>
      </c>
      <c r="R31" s="1738"/>
      <c r="S31" s="1739"/>
      <c r="T31" s="1740"/>
      <c r="U31" s="1744">
        <f t="shared" si="19"/>
        <v>0</v>
      </c>
      <c r="V31" s="1737">
        <f>I31/1.2</f>
        <v>24442.2818667846</v>
      </c>
      <c r="W31" s="1737">
        <f t="shared" si="21"/>
        <v>0</v>
      </c>
      <c r="X31" s="1737">
        <f t="shared" si="22"/>
        <v>0</v>
      </c>
      <c r="Y31" s="1738">
        <f t="shared" si="23"/>
        <v>0</v>
      </c>
      <c r="Z31" s="1739"/>
      <c r="AA31" s="1737"/>
      <c r="AB31" s="1737">
        <f>(I31/1.2+Q31)/O31*12</f>
        <v>712.212598163233</v>
      </c>
      <c r="AC31" s="1737">
        <f t="shared" si="18"/>
        <v>712.212598163233</v>
      </c>
      <c r="AD31" s="1740">
        <f t="shared" si="17"/>
        <v>712.212598163233</v>
      </c>
      <c r="AE31" s="1745">
        <v>10278</v>
      </c>
      <c r="AF31" s="1739"/>
      <c r="AG31" s="1740"/>
      <c r="AH31" s="1746"/>
      <c r="AI31" s="1747"/>
      <c r="AJ31" s="1747"/>
      <c r="AK31" s="1747"/>
      <c r="AL31" s="1747"/>
    </row>
    <row r="32" spans="1:38" s="1748" customFormat="1" ht="150">
      <c r="A32" s="1735" t="str">
        <f>Мероприятия_и_источники!B152</f>
        <v>Строительство водопровода Д-110 мм, протяженностью 474,8 п.м, открытым способом; 
Строительство водопровода Д-110 мм, протяженностью 162,9 п.м, закрытым способом; 
Строительство водопровода Д-63 мм, протяженностью 186,8 п.м, открытым способом; 
При прокладке водовода учесть переход под а/дорогой с обустройством футляра из трубы Ду = 225 мм, протяженностью не менее 92,6 п.м., и из трубы Ду = 315 мм, протяженностью 55,3 п.м.</v>
      </c>
      <c r="B32" s="1736">
        <f>Мероприятия_и_источники!C152</f>
        <v>824.5</v>
      </c>
      <c r="C32" s="1735" t="str">
        <f>Мероприятия_и_источники!D152</f>
        <v>Проектирование и строительство систем водоснабжения по адресам:  г. Калуга, д. Мстихино, ул. Центральная, в районе д.д.1,1а,1б; г.Калуга, пер. Прудный, в районе д.д.1,1а,2,3,4,8</v>
      </c>
      <c r="D32" s="1888" t="str">
        <f>Мероприятия_и_источники!E152</f>
        <v>-</v>
      </c>
      <c r="E32" s="1737">
        <f>Мероприятия_и_источники!F152</f>
        <v>0</v>
      </c>
      <c r="F32" s="1738">
        <f>Мероприятия_и_источники!G152</f>
        <v>7696.6249999999991</v>
      </c>
      <c r="G32" s="1739">
        <f>Мероприятия_и_источники!H152</f>
        <v>9235.9499999999989</v>
      </c>
      <c r="H32" s="1737">
        <f>Мероприятия_и_источники!I152</f>
        <v>0</v>
      </c>
      <c r="I32" s="1737">
        <f>Мероприятия_и_источники!J152</f>
        <v>0</v>
      </c>
      <c r="J32" s="1737">
        <f>Мероприятия_и_источники!K152</f>
        <v>0</v>
      </c>
      <c r="K32" s="1737">
        <f>Мероприятия_и_источники!L152</f>
        <v>9235.9499999999989</v>
      </c>
      <c r="L32" s="1740">
        <f>Мероприятия_и_источники!M152</f>
        <v>0</v>
      </c>
      <c r="M32" s="1741" t="str">
        <f>Мероприятия_и_источники!N152</f>
        <v>2027год</v>
      </c>
      <c r="N32" s="1820" t="str">
        <f>Мероприятия_и_источники!O152</f>
        <v>бюджет муниципального образования</v>
      </c>
      <c r="O32" s="1742">
        <v>361</v>
      </c>
      <c r="P32" s="1741"/>
      <c r="Q32" s="1743"/>
      <c r="R32" s="1738"/>
      <c r="S32" s="1739"/>
      <c r="T32" s="1740"/>
      <c r="U32" s="1744">
        <f t="shared" si="19"/>
        <v>0</v>
      </c>
      <c r="V32" s="1737">
        <f t="shared" si="20"/>
        <v>0</v>
      </c>
      <c r="W32" s="1737">
        <f t="shared" si="21"/>
        <v>0</v>
      </c>
      <c r="X32" s="1737">
        <f t="shared" si="22"/>
        <v>7696.6249999999991</v>
      </c>
      <c r="Y32" s="1738">
        <f t="shared" si="23"/>
        <v>0</v>
      </c>
      <c r="Z32" s="1739"/>
      <c r="AA32" s="1737"/>
      <c r="AB32" s="1737"/>
      <c r="AC32" s="1737"/>
      <c r="AD32" s="1740">
        <f>K32/1.2/O32*12</f>
        <v>255.84349030470912</v>
      </c>
      <c r="AE32" s="1745" t="s">
        <v>1083</v>
      </c>
      <c r="AF32" s="1739"/>
      <c r="AG32" s="1740"/>
      <c r="AH32" s="1746"/>
      <c r="AI32" s="1747"/>
      <c r="AJ32" s="1747"/>
      <c r="AK32" s="1747"/>
      <c r="AL32" s="1747"/>
    </row>
    <row r="33" spans="1:39" s="1748" customFormat="1" ht="60">
      <c r="A33" s="1735" t="str">
        <f>Мероприятия_и_источники!B156</f>
        <v>Строительство водовода "Турынино" Д-800 L = 10 км - прокладка дублирующей нитки Ду 800 мм от насосной ст. I подъема до водоочистной станции протяженностью 10 000 п.м.</v>
      </c>
      <c r="B33" s="1736">
        <f>Мероприятия_и_источники!C156</f>
        <v>10000</v>
      </c>
      <c r="C33" s="1735" t="str">
        <f>Мероприятия_и_источники!D156</f>
        <v>Проектирование и строительство сетей водоснабжения г.Калуга</v>
      </c>
      <c r="D33" s="1888" t="str">
        <f>Мероприятия_и_источники!E156</f>
        <v>-</v>
      </c>
      <c r="E33" s="1737">
        <f>Мероприятия_и_источники!F156</f>
        <v>0</v>
      </c>
      <c r="F33" s="1738">
        <f>Мероприятия_и_источники!G156</f>
        <v>687205.47378142946</v>
      </c>
      <c r="G33" s="1739">
        <f>Мероприятия_и_источники!H156</f>
        <v>824646.56853771536</v>
      </c>
      <c r="H33" s="1737">
        <f>Мероприятия_и_источники!I156</f>
        <v>0</v>
      </c>
      <c r="I33" s="1737">
        <f>Мероприятия_и_источники!J156</f>
        <v>0</v>
      </c>
      <c r="J33" s="1737">
        <f>Мероприятия_и_источники!K156</f>
        <v>145687.56044166302</v>
      </c>
      <c r="K33" s="1737">
        <f>Мероприятия_и_источники!L156</f>
        <v>247393.97056131458</v>
      </c>
      <c r="L33" s="1740">
        <f>Мероприятия_и_источники!M156</f>
        <v>431565.03753473767</v>
      </c>
      <c r="M33" s="1741" t="str">
        <f>Мероприятия_и_источники!N156</f>
        <v>2026-2028гг.</v>
      </c>
      <c r="N33" s="1820" t="str">
        <f>Мероприятия_и_источники!O156</f>
        <v>капитальные вложения из прибыли предприятия</v>
      </c>
      <c r="O33" s="1742">
        <v>361</v>
      </c>
      <c r="P33" s="1741"/>
      <c r="Q33" s="1743"/>
      <c r="R33" s="1738"/>
      <c r="S33" s="1739"/>
      <c r="T33" s="1740"/>
      <c r="U33" s="1744">
        <f t="shared" si="19"/>
        <v>0</v>
      </c>
      <c r="V33" s="1737">
        <f t="shared" si="20"/>
        <v>0</v>
      </c>
      <c r="W33" s="1737">
        <f>J33/1.2</f>
        <v>121406.30036805253</v>
      </c>
      <c r="X33" s="1737">
        <f t="shared" si="22"/>
        <v>206161.64213442881</v>
      </c>
      <c r="Y33" s="1738">
        <f t="shared" si="23"/>
        <v>359637.53127894807</v>
      </c>
      <c r="Z33" s="1739"/>
      <c r="AA33" s="1737"/>
      <c r="AB33" s="1737"/>
      <c r="AC33" s="1737"/>
      <c r="AD33" s="1740"/>
      <c r="AE33" s="1745" t="s">
        <v>1083</v>
      </c>
      <c r="AF33" s="1739"/>
      <c r="AG33" s="1740"/>
      <c r="AH33" s="1746"/>
      <c r="AI33" s="1747"/>
      <c r="AJ33" s="1747"/>
      <c r="AK33" s="1747"/>
      <c r="AL33" s="1747"/>
    </row>
    <row r="34" spans="1:39" s="1748" customFormat="1" ht="60">
      <c r="A34" s="1735" t="str">
        <f>Мероприятия_и_источники!B160</f>
        <v>Строительство водопровода Д=150 мм от ул. Чапаева, по пл.Маяковского, до ул.Грабцевское Шоссе с устройством закольцовки протяженностью 300 п.м.</v>
      </c>
      <c r="B34" s="1736">
        <f>Мероприятия_и_источники!C160</f>
        <v>300</v>
      </c>
      <c r="C34" s="1735" t="str">
        <f>Мероприятия_и_источники!D160</f>
        <v>Проектирование и строительство сетей водоснабжения г.Калуга</v>
      </c>
      <c r="D34" s="1888" t="str">
        <f>Мероприятия_и_источники!E160</f>
        <v>-</v>
      </c>
      <c r="E34" s="1737">
        <f>Мероприятия_и_источники!F160</f>
        <v>0</v>
      </c>
      <c r="F34" s="1738">
        <f>Мероприятия_и_источники!G160</f>
        <v>8848.5624335627999</v>
      </c>
      <c r="G34" s="1739">
        <f>Мероприятия_и_источники!H160</f>
        <v>10618.274920275358</v>
      </c>
      <c r="H34" s="1737">
        <f>Мероприятия_и_источники!I160</f>
        <v>0</v>
      </c>
      <c r="I34" s="1737">
        <f>Мероприятия_и_источники!J160</f>
        <v>10618.274920275358</v>
      </c>
      <c r="J34" s="1737">
        <f>Мероприятия_и_источники!K160</f>
        <v>0</v>
      </c>
      <c r="K34" s="1737">
        <f>Мероприятия_и_источники!L160</f>
        <v>0</v>
      </c>
      <c r="L34" s="1740">
        <f>Мероприятия_и_источники!M160</f>
        <v>0</v>
      </c>
      <c r="M34" s="1741" t="str">
        <f>Мероприятия_и_источники!N160</f>
        <v>2025год</v>
      </c>
      <c r="N34" s="1820" t="str">
        <f>Мероприятия_и_источники!O160</f>
        <v>капитальные вложения из прибыли предприятия</v>
      </c>
      <c r="O34" s="1742">
        <v>361</v>
      </c>
      <c r="P34" s="1741"/>
      <c r="Q34" s="1743"/>
      <c r="R34" s="1738"/>
      <c r="S34" s="1739"/>
      <c r="T34" s="1740"/>
      <c r="U34" s="1744">
        <f t="shared" si="19"/>
        <v>0</v>
      </c>
      <c r="V34" s="1737">
        <f t="shared" si="20"/>
        <v>8848.5624335627999</v>
      </c>
      <c r="W34" s="1737">
        <f t="shared" si="21"/>
        <v>0</v>
      </c>
      <c r="X34" s="1737">
        <f t="shared" si="22"/>
        <v>0</v>
      </c>
      <c r="Y34" s="1738">
        <f t="shared" si="23"/>
        <v>0</v>
      </c>
      <c r="Z34" s="1739"/>
      <c r="AA34" s="1737"/>
      <c r="AB34" s="1737">
        <f>$I$34/1.2/$O$34*12</f>
        <v>294.13503934280777</v>
      </c>
      <c r="AC34" s="1744">
        <f>AB34</f>
        <v>294.13503934280777</v>
      </c>
      <c r="AD34" s="1740">
        <f>AC34</f>
        <v>294.13503934280777</v>
      </c>
      <c r="AE34" s="1745" t="s">
        <v>1083</v>
      </c>
      <c r="AF34" s="1739"/>
      <c r="AG34" s="1740"/>
      <c r="AH34" s="1746"/>
      <c r="AI34" s="1747"/>
      <c r="AJ34" s="1747"/>
      <c r="AK34" s="1747"/>
      <c r="AL34" s="1747"/>
    </row>
    <row r="35" spans="1:39" s="1748" customFormat="1" ht="30">
      <c r="A35" s="1735" t="str">
        <f>Мероприятия_и_источники!B188</f>
        <v>Строительство (проектирование) станции водоочистки  д. Косарево  ГО Калуга 10 м3/час</v>
      </c>
      <c r="B35" s="1736">
        <f>Мероприятия_и_источники!C188</f>
        <v>0</v>
      </c>
      <c r="C35" s="1735" t="str">
        <f>Мероприятия_и_источники!D188</f>
        <v>г.Калуга.д.Косарево</v>
      </c>
      <c r="D35" s="1888">
        <f>Мероприятия_и_источники!E188</f>
        <v>0</v>
      </c>
      <c r="E35" s="1737">
        <f>Мероприятия_и_источники!F188</f>
        <v>0</v>
      </c>
      <c r="F35" s="1738">
        <f>Мероприятия_и_источники!G188</f>
        <v>6980.5639640055588</v>
      </c>
      <c r="G35" s="1739">
        <f>Мероприятия_и_источники!H188</f>
        <v>8376.6767568066698</v>
      </c>
      <c r="H35" s="1737">
        <f>Мероприятия_и_источники!I188</f>
        <v>8376.6767568066698</v>
      </c>
      <c r="I35" s="1737">
        <f>Мероприятия_и_источники!J188</f>
        <v>0</v>
      </c>
      <c r="J35" s="1737">
        <f>Мероприятия_и_источники!K188</f>
        <v>0</v>
      </c>
      <c r="K35" s="1737">
        <f>Мероприятия_и_источники!L188</f>
        <v>0</v>
      </c>
      <c r="L35" s="1740">
        <f>Мероприятия_и_источники!M188</f>
        <v>0</v>
      </c>
      <c r="M35" s="1741" t="str">
        <f>Мероприятия_и_источники!N188</f>
        <v>2024год</v>
      </c>
      <c r="N35" s="1820" t="str">
        <f>Мероприятия_и_источники!O188</f>
        <v>прочие</v>
      </c>
      <c r="O35" s="1742">
        <v>361</v>
      </c>
      <c r="P35" s="1741"/>
      <c r="Q35" s="1743"/>
      <c r="R35" s="1738"/>
      <c r="S35" s="1739"/>
      <c r="T35" s="1740"/>
      <c r="U35" s="1744">
        <f t="shared" si="19"/>
        <v>6980.5639640055588</v>
      </c>
      <c r="V35" s="1737">
        <f t="shared" si="20"/>
        <v>0</v>
      </c>
      <c r="W35" s="1737">
        <f t="shared" si="21"/>
        <v>0</v>
      </c>
      <c r="X35" s="1737">
        <f t="shared" si="22"/>
        <v>0</v>
      </c>
      <c r="Y35" s="1738">
        <f t="shared" si="23"/>
        <v>0</v>
      </c>
      <c r="Z35" s="1739"/>
      <c r="AA35" s="1737">
        <f>H35/1.2/O35*12</f>
        <v>232.04090739076651</v>
      </c>
      <c r="AB35" s="1737">
        <f t="shared" ref="AB35:AD36" si="24">AA35</f>
        <v>232.04090739076651</v>
      </c>
      <c r="AC35" s="1737">
        <f t="shared" si="24"/>
        <v>232.04090739076651</v>
      </c>
      <c r="AD35" s="1740">
        <f t="shared" si="24"/>
        <v>232.04090739076651</v>
      </c>
      <c r="AE35" s="1745" t="s">
        <v>1083</v>
      </c>
      <c r="AF35" s="1739"/>
      <c r="AG35" s="1740"/>
      <c r="AH35" s="1746"/>
      <c r="AI35" s="1747"/>
      <c r="AJ35" s="1747"/>
      <c r="AK35" s="1747"/>
      <c r="AL35" s="1747"/>
    </row>
    <row r="36" spans="1:39" s="1748" customFormat="1" ht="30">
      <c r="A36" s="1735" t="str">
        <f>Мероприятия_и_источники!B192</f>
        <v>Строительство (проектирование) станции водоочистки  с. Козлово  ГО Калуга 5 м3/час</v>
      </c>
      <c r="B36" s="1736">
        <f>Мероприятия_и_источники!C192</f>
        <v>0</v>
      </c>
      <c r="C36" s="1735" t="str">
        <f>Мероприятия_и_источники!D192</f>
        <v>г.Калуга.с.Козлово</v>
      </c>
      <c r="D36" s="1888">
        <f>Мероприятия_и_источники!E192</f>
        <v>0</v>
      </c>
      <c r="E36" s="1737">
        <f>Мероприятия_и_источники!F192</f>
        <v>0</v>
      </c>
      <c r="F36" s="1738">
        <f>Мероприятия_и_источники!G192</f>
        <v>3433.9122105000001</v>
      </c>
      <c r="G36" s="1739">
        <f>Мероприятия_и_источники!H192</f>
        <v>4120.6946526000002</v>
      </c>
      <c r="H36" s="1737">
        <f>Мероприятия_и_источники!I192</f>
        <v>4120.6946526000002</v>
      </c>
      <c r="I36" s="1737">
        <f>Мероприятия_и_источники!J192</f>
        <v>0</v>
      </c>
      <c r="J36" s="1737">
        <f>Мероприятия_и_источники!K192</f>
        <v>0</v>
      </c>
      <c r="K36" s="1737">
        <f>Мероприятия_и_источники!L192</f>
        <v>0</v>
      </c>
      <c r="L36" s="1740">
        <f>Мероприятия_и_источники!M192</f>
        <v>0</v>
      </c>
      <c r="M36" s="1741" t="str">
        <f>Мероприятия_и_источники!N192</f>
        <v>2024год</v>
      </c>
      <c r="N36" s="1820" t="str">
        <f>Мероприятия_и_источники!O192</f>
        <v>прочие</v>
      </c>
      <c r="O36" s="1742">
        <v>361</v>
      </c>
      <c r="P36" s="1741"/>
      <c r="Q36" s="1743"/>
      <c r="R36" s="1738"/>
      <c r="S36" s="1739"/>
      <c r="T36" s="1740"/>
      <c r="U36" s="1744">
        <f t="shared" si="19"/>
        <v>3433.9122105000001</v>
      </c>
      <c r="V36" s="1737">
        <f t="shared" si="20"/>
        <v>0</v>
      </c>
      <c r="W36" s="1737">
        <f t="shared" si="21"/>
        <v>0</v>
      </c>
      <c r="X36" s="1737">
        <f t="shared" si="22"/>
        <v>0</v>
      </c>
      <c r="Y36" s="1738">
        <f t="shared" si="23"/>
        <v>0</v>
      </c>
      <c r="Z36" s="1739"/>
      <c r="AA36" s="1737">
        <f>H36/1.2/O36*12</f>
        <v>114.14666627700831</v>
      </c>
      <c r="AB36" s="1737">
        <f t="shared" si="24"/>
        <v>114.14666627700831</v>
      </c>
      <c r="AC36" s="1737">
        <f t="shared" si="24"/>
        <v>114.14666627700831</v>
      </c>
      <c r="AD36" s="1740">
        <f t="shared" si="24"/>
        <v>114.14666627700831</v>
      </c>
      <c r="AE36" s="1745" t="s">
        <v>1083</v>
      </c>
      <c r="AF36" s="1739"/>
      <c r="AG36" s="1740"/>
      <c r="AH36" s="1746"/>
      <c r="AI36" s="1747"/>
      <c r="AJ36" s="1747"/>
      <c r="AK36" s="1747"/>
      <c r="AL36" s="1747"/>
    </row>
    <row r="37" spans="1:39" s="1748" customFormat="1" ht="30">
      <c r="A37" s="1735" t="str">
        <f>Мероприятия_и_источники!B196</f>
        <v>Строительство (проектирование) станции водоочистки  д. Починки  ГО Калуга 5 м3/час</v>
      </c>
      <c r="B37" s="1736">
        <f>Мероприятия_и_источники!C196</f>
        <v>0</v>
      </c>
      <c r="C37" s="1735" t="str">
        <f>Мероприятия_и_источники!D196</f>
        <v>г.Калуга.д.Починки</v>
      </c>
      <c r="D37" s="1888">
        <f>Мероприятия_и_источники!E196</f>
        <v>0</v>
      </c>
      <c r="E37" s="1737">
        <f>Мероприятия_и_источники!F196</f>
        <v>0</v>
      </c>
      <c r="F37" s="1738">
        <f>Мероприятия_и_источники!G196</f>
        <v>3433.9122105000001</v>
      </c>
      <c r="G37" s="1739">
        <f>Мероприятия_и_источники!H196</f>
        <v>4120.6946526000002</v>
      </c>
      <c r="H37" s="1737">
        <f>Мероприятия_и_источники!I196</f>
        <v>4120.6946526000002</v>
      </c>
      <c r="I37" s="1737">
        <f>Мероприятия_и_источники!J196</f>
        <v>0</v>
      </c>
      <c r="J37" s="1737">
        <f>Мероприятия_и_источники!K196</f>
        <v>0</v>
      </c>
      <c r="K37" s="1737">
        <f>Мероприятия_и_источники!L196</f>
        <v>0</v>
      </c>
      <c r="L37" s="1740">
        <f>Мероприятия_и_источники!M196</f>
        <v>0</v>
      </c>
      <c r="M37" s="1741" t="str">
        <f>Мероприятия_и_источники!N196</f>
        <v>2024год</v>
      </c>
      <c r="N37" s="1820" t="str">
        <f>Мероприятия_и_источники!O196</f>
        <v>прочие</v>
      </c>
      <c r="O37" s="1742">
        <v>361</v>
      </c>
      <c r="P37" s="1741"/>
      <c r="Q37" s="1743"/>
      <c r="R37" s="1738"/>
      <c r="S37" s="1739"/>
      <c r="T37" s="1740"/>
      <c r="U37" s="1744">
        <f t="shared" si="19"/>
        <v>3433.9122105000001</v>
      </c>
      <c r="V37" s="1737">
        <f t="shared" si="20"/>
        <v>0</v>
      </c>
      <c r="W37" s="1737">
        <f t="shared" si="21"/>
        <v>0</v>
      </c>
      <c r="X37" s="1737">
        <f t="shared" si="22"/>
        <v>0</v>
      </c>
      <c r="Y37" s="1738">
        <f t="shared" si="23"/>
        <v>0</v>
      </c>
      <c r="Z37" s="1739"/>
      <c r="AA37" s="1737">
        <f>H37/1.2/O37*12</f>
        <v>114.14666627700831</v>
      </c>
      <c r="AB37" s="1737">
        <f>AA37</f>
        <v>114.14666627700831</v>
      </c>
      <c r="AC37" s="1737">
        <f>AB37</f>
        <v>114.14666627700831</v>
      </c>
      <c r="AD37" s="1740">
        <f>AC37</f>
        <v>114.14666627700831</v>
      </c>
      <c r="AE37" s="1745" t="s">
        <v>1083</v>
      </c>
      <c r="AF37" s="1739"/>
      <c r="AG37" s="1740"/>
      <c r="AH37" s="1746"/>
      <c r="AI37" s="1747"/>
      <c r="AJ37" s="1747"/>
      <c r="AK37" s="1747"/>
      <c r="AL37" s="1747"/>
    </row>
    <row r="38" spans="1:39" s="1748" customFormat="1" ht="60">
      <c r="A38" s="1735" t="str">
        <f>Мероприятия_и_источники!B200</f>
        <v>Корректировка Проектной документации на объект капитального строительства: «Андреевский водозабор подземных вод МО "Город Калуга"»</v>
      </c>
      <c r="B38" s="1736">
        <f>Мероприятия_и_источники!C200</f>
        <v>0</v>
      </c>
      <c r="C38" s="1735" t="str">
        <f>Мероприятия_и_источники!D200</f>
        <v>г.Калуга</v>
      </c>
      <c r="D38" s="1888">
        <f>Мероприятия_и_источники!E200</f>
        <v>0</v>
      </c>
      <c r="E38" s="1737">
        <f>Мероприятия_и_источники!F200</f>
        <v>0</v>
      </c>
      <c r="F38" s="1738">
        <f>Мероприятия_и_источники!G200</f>
        <v>136000</v>
      </c>
      <c r="G38" s="1739">
        <f>Мероприятия_и_источники!H200</f>
        <v>163200</v>
      </c>
      <c r="H38" s="1737">
        <f>Мероприятия_и_источники!I200</f>
        <v>163200</v>
      </c>
      <c r="I38" s="1737">
        <f>Мероприятия_и_источники!J200</f>
        <v>0</v>
      </c>
      <c r="J38" s="1737">
        <f>Мероприятия_и_источники!K200</f>
        <v>0</v>
      </c>
      <c r="K38" s="1737">
        <f>Мероприятия_и_источники!L200</f>
        <v>0</v>
      </c>
      <c r="L38" s="1740">
        <f>Мероприятия_и_источники!M200</f>
        <v>0</v>
      </c>
      <c r="M38" s="1741" t="str">
        <f>Мероприятия_и_источники!N200</f>
        <v>2024год</v>
      </c>
      <c r="N38" s="1820" t="str">
        <f>Мероприятия_и_источники!O200</f>
        <v>прочие</v>
      </c>
      <c r="O38" s="1742"/>
      <c r="P38" s="1741"/>
      <c r="Q38" s="1743"/>
      <c r="R38" s="1738"/>
      <c r="S38" s="1739"/>
      <c r="T38" s="1740"/>
      <c r="U38" s="1744"/>
      <c r="V38" s="1737"/>
      <c r="W38" s="1737"/>
      <c r="X38" s="1737"/>
      <c r="Y38" s="1738"/>
      <c r="Z38" s="1739"/>
      <c r="AA38" s="1737"/>
      <c r="AB38" s="1737"/>
      <c r="AC38" s="1737"/>
      <c r="AD38" s="1740"/>
      <c r="AE38" s="1745" t="s">
        <v>1083</v>
      </c>
      <c r="AF38" s="1739"/>
      <c r="AG38" s="1740"/>
      <c r="AH38" s="1746"/>
      <c r="AI38" s="1747"/>
      <c r="AJ38" s="1747"/>
      <c r="AK38" s="1747"/>
      <c r="AL38" s="1747"/>
    </row>
    <row r="39" spans="1:39" s="1748" customFormat="1" ht="49.5" customHeight="1">
      <c r="A39" s="1735" t="str">
        <f>Мероприятия_и_источники!B204</f>
        <v>Реконструкция водовода по пер.Хуторской д.22 до детской колонии, Д-400 мм протяженностью 800 п.м.</v>
      </c>
      <c r="B39" s="1736">
        <f>Мероприятия_и_источники!C204</f>
        <v>0</v>
      </c>
      <c r="C39" s="1735" t="str">
        <f>Мероприятия_и_источники!D204</f>
        <v>г.Калуга, пер.Хуторской</v>
      </c>
      <c r="D39" s="1888">
        <f>Мероприятия_и_источники!E204</f>
        <v>0</v>
      </c>
      <c r="E39" s="1737">
        <f>Мероприятия_и_источники!F204</f>
        <v>0</v>
      </c>
      <c r="F39" s="1738">
        <f>Мероприятия_и_источники!G204</f>
        <v>10166.320288565999</v>
      </c>
      <c r="G39" s="1739">
        <f>Мероприятия_и_источники!H204</f>
        <v>12199.584346279198</v>
      </c>
      <c r="H39" s="1737">
        <f>Мероприятия_и_источники!I204</f>
        <v>0</v>
      </c>
      <c r="I39" s="1737">
        <f>Мероприятия_и_источники!J204</f>
        <v>12199.584346279198</v>
      </c>
      <c r="J39" s="1737">
        <f>Мероприятия_и_источники!K204</f>
        <v>0</v>
      </c>
      <c r="K39" s="1737">
        <f>Мероприятия_и_источники!L204</f>
        <v>0</v>
      </c>
      <c r="L39" s="1740">
        <f>Мероприятия_и_источники!M204</f>
        <v>0</v>
      </c>
      <c r="M39" s="1741" t="str">
        <f>Мероприятия_и_источники!N204</f>
        <v>2025год</v>
      </c>
      <c r="N39" s="1820" t="str">
        <f>Мероприятия_и_источники!O204</f>
        <v>капитальные вложения из прибыли предприятия</v>
      </c>
      <c r="O39" s="1742">
        <v>360</v>
      </c>
      <c r="P39" s="1741"/>
      <c r="Q39" s="1750">
        <v>289.11597999999998</v>
      </c>
      <c r="R39" s="1738"/>
      <c r="S39" s="1739"/>
      <c r="T39" s="1740"/>
      <c r="U39" s="1744">
        <f>H39/1.2</f>
        <v>0</v>
      </c>
      <c r="V39" s="1737">
        <f>I39/1.2</f>
        <v>10166.320288565999</v>
      </c>
      <c r="W39" s="1737">
        <f t="shared" ref="W39:W49" si="25">J39/1.2</f>
        <v>0</v>
      </c>
      <c r="X39" s="1737">
        <f t="shared" ref="X39:X49" si="26">K39/1.2</f>
        <v>0</v>
      </c>
      <c r="Y39" s="1738">
        <f t="shared" ref="Y39:Y49" si="27">L39/1.2</f>
        <v>0</v>
      </c>
      <c r="Z39" s="1739"/>
      <c r="AA39" s="1737"/>
      <c r="AB39" s="1737">
        <f>(I39/1.2+Q39)/O39*12</f>
        <v>348.51454228553331</v>
      </c>
      <c r="AC39" s="1737">
        <f t="shared" ref="AC39:AD42" si="28">AB39</f>
        <v>348.51454228553331</v>
      </c>
      <c r="AD39" s="1740">
        <f t="shared" si="28"/>
        <v>348.51454228553331</v>
      </c>
      <c r="AE39" s="1745">
        <v>24734</v>
      </c>
      <c r="AF39" s="1739"/>
      <c r="AG39" s="1740"/>
      <c r="AH39" s="1746"/>
      <c r="AI39" s="1747"/>
      <c r="AJ39" s="1747"/>
      <c r="AK39" s="1747"/>
      <c r="AL39" s="1747"/>
      <c r="AM39" s="1672"/>
    </row>
    <row r="40" spans="1:39" s="1748" customFormat="1" ht="45">
      <c r="A40" s="1735" t="str">
        <f>Мероприятия_и_источники!B208</f>
        <v xml:space="preserve">Реконструкция водовода  по ул.Суворова от ул.Вооруженного восстания д.1 до д.65  Д-225 мм протяженностью 170 п.м  </v>
      </c>
      <c r="B40" s="1736">
        <f>Мероприятия_и_источники!C208</f>
        <v>0</v>
      </c>
      <c r="C40" s="1735" t="str">
        <f>Мероприятия_и_источники!D208</f>
        <v>г.Калуга ул.Суворова</v>
      </c>
      <c r="D40" s="1888">
        <f>Мероприятия_и_источники!E208</f>
        <v>0</v>
      </c>
      <c r="E40" s="1737">
        <f>Мероприятия_и_источники!F208</f>
        <v>0</v>
      </c>
      <c r="F40" s="1738">
        <f>Мероприятия_и_источники!G208</f>
        <v>3659.1499002707997</v>
      </c>
      <c r="G40" s="1739">
        <f>Мероприятия_и_источники!H208</f>
        <v>4390.9798803249596</v>
      </c>
      <c r="H40" s="1737">
        <f>Мероприятия_и_источники!I208</f>
        <v>0</v>
      </c>
      <c r="I40" s="1737">
        <f>Мероприятия_и_источники!J208</f>
        <v>4390.9798803249596</v>
      </c>
      <c r="J40" s="1737">
        <f>Мероприятия_и_источники!K208</f>
        <v>0</v>
      </c>
      <c r="K40" s="1737">
        <f>Мероприятия_и_источники!L208</f>
        <v>0</v>
      </c>
      <c r="L40" s="1740">
        <f>Мероприятия_и_источники!M208</f>
        <v>0</v>
      </c>
      <c r="M40" s="1741" t="str">
        <f>Мероприятия_и_источники!N208</f>
        <v>2025год</v>
      </c>
      <c r="N40" s="1820" t="str">
        <f>Мероприятия_и_источники!O208</f>
        <v>капитальные вложения из прибыли предприятия</v>
      </c>
      <c r="O40" s="1742">
        <v>108</v>
      </c>
      <c r="P40" s="1741"/>
      <c r="Q40" s="1750">
        <f>Износ!O5722/1000</f>
        <v>20.573070000000001</v>
      </c>
      <c r="R40" s="1738"/>
      <c r="S40" s="1739"/>
      <c r="T40" s="1740"/>
      <c r="U40" s="1744">
        <f t="shared" ref="U40:U49" si="29">H40/1.2</f>
        <v>0</v>
      </c>
      <c r="V40" s="1737">
        <f t="shared" ref="V40:V49" si="30">I40/1.2</f>
        <v>3659.1499002707997</v>
      </c>
      <c r="W40" s="1737">
        <f t="shared" si="25"/>
        <v>0</v>
      </c>
      <c r="X40" s="1737">
        <f t="shared" si="26"/>
        <v>0</v>
      </c>
      <c r="Y40" s="1738">
        <f t="shared" si="27"/>
        <v>0</v>
      </c>
      <c r="Z40" s="1739"/>
      <c r="AA40" s="1737"/>
      <c r="AB40" s="1737">
        <f>(I40/1.2+$Q$40)/$O$40*12</f>
        <v>408.85810780786665</v>
      </c>
      <c r="AC40" s="1737">
        <f t="shared" si="28"/>
        <v>408.85810780786665</v>
      </c>
      <c r="AD40" s="1740">
        <f t="shared" si="28"/>
        <v>408.85810780786665</v>
      </c>
      <c r="AE40" s="1745">
        <v>44542</v>
      </c>
      <c r="AF40" s="1739"/>
      <c r="AG40" s="1740"/>
      <c r="AH40" s="1746"/>
      <c r="AI40" s="1747"/>
      <c r="AJ40" s="1747"/>
      <c r="AK40" s="1747"/>
      <c r="AL40" s="1747"/>
    </row>
    <row r="41" spans="1:39" s="1748" customFormat="1" ht="45">
      <c r="A41" s="1735" t="str">
        <f>Мероприятия_и_источники!B212</f>
        <v>Реконструкция водовода от ул.Плеханова д.26 через территорию лицея №36 до ул.Герцена д.14а, Д-300 мм протяженностью 370 п.м.</v>
      </c>
      <c r="B41" s="1736">
        <f>Мероприятия_и_источники!C212</f>
        <v>0</v>
      </c>
      <c r="C41" s="1735" t="str">
        <f>Мероприятия_и_источники!D212</f>
        <v>г.Калуга, ул.Плеханова</v>
      </c>
      <c r="D41" s="1888">
        <f>Мероприятия_и_источники!E212</f>
        <v>0</v>
      </c>
      <c r="E41" s="1737">
        <f>Мероприятия_и_источники!F212</f>
        <v>0</v>
      </c>
      <c r="F41" s="1738">
        <f>Мероприятия_и_источники!G212</f>
        <v>4758.3808272935994</v>
      </c>
      <c r="G41" s="1739">
        <f>Мероприятия_и_источники!H212</f>
        <v>5710.0569927523193</v>
      </c>
      <c r="H41" s="1737">
        <f>Мероприятия_и_источники!I212</f>
        <v>0</v>
      </c>
      <c r="I41" s="1737">
        <f>Мероприятия_и_источники!J212</f>
        <v>5710.0569927523193</v>
      </c>
      <c r="J41" s="1737">
        <f>Мероприятия_и_источники!K212</f>
        <v>0</v>
      </c>
      <c r="K41" s="1737">
        <f>Мероприятия_и_источники!L212</f>
        <v>0</v>
      </c>
      <c r="L41" s="1740">
        <f>Мероприятия_и_источники!M212</f>
        <v>0</v>
      </c>
      <c r="M41" s="1741" t="str">
        <f>Мероприятия_и_источники!N212</f>
        <v>2025год</v>
      </c>
      <c r="N41" s="1820" t="str">
        <f>Мероприятия_и_источники!O212</f>
        <v>капитальные вложения из прибыли предприятия</v>
      </c>
      <c r="O41" s="1742">
        <v>360</v>
      </c>
      <c r="P41" s="1741"/>
      <c r="Q41" s="1750">
        <v>85.113159999999993</v>
      </c>
      <c r="R41" s="1738"/>
      <c r="S41" s="1739"/>
      <c r="T41" s="1740"/>
      <c r="U41" s="1744">
        <f t="shared" si="29"/>
        <v>0</v>
      </c>
      <c r="V41" s="1737">
        <f t="shared" si="30"/>
        <v>4758.3808272935994</v>
      </c>
      <c r="W41" s="1737">
        <f>J41/1.2</f>
        <v>0</v>
      </c>
      <c r="X41" s="1737">
        <f>K41/1.2</f>
        <v>0</v>
      </c>
      <c r="Y41" s="1738">
        <f t="shared" si="27"/>
        <v>0</v>
      </c>
      <c r="Z41" s="1739"/>
      <c r="AA41" s="1737"/>
      <c r="AB41" s="1737">
        <f>($I$41/1.2+$Q$41)/$O$41*12</f>
        <v>161.4497995764533</v>
      </c>
      <c r="AC41" s="1744">
        <f t="shared" si="28"/>
        <v>161.4497995764533</v>
      </c>
      <c r="AD41" s="1740">
        <f t="shared" si="28"/>
        <v>161.4497995764533</v>
      </c>
      <c r="AE41" s="1745">
        <v>27858</v>
      </c>
      <c r="AF41" s="1739"/>
      <c r="AG41" s="1740"/>
      <c r="AH41" s="1746"/>
      <c r="AI41" s="1747"/>
      <c r="AJ41" s="1747"/>
      <c r="AK41" s="1747"/>
      <c r="AL41" s="1747"/>
    </row>
    <row r="42" spans="1:39" s="1748" customFormat="1" ht="45">
      <c r="A42" s="1735" t="str">
        <f>Мероприятия_и_источники!B216</f>
        <v>Реконструкция водовода по ул.Родниковая - от ул.Советская до дома №28, Д-200 мм протяженностью 600 п.м.</v>
      </c>
      <c r="B42" s="1736">
        <f>Мероприятия_и_источники!C216</f>
        <v>0</v>
      </c>
      <c r="C42" s="1735" t="str">
        <f>Мероприятия_и_источники!D216</f>
        <v>г.Калуга, ул.Родниковая</v>
      </c>
      <c r="D42" s="1888">
        <f>Мероприятия_и_источники!E216</f>
        <v>0</v>
      </c>
      <c r="E42" s="1737">
        <f>Мероприятия_и_источники!F216</f>
        <v>0</v>
      </c>
      <c r="F42" s="1738">
        <f>Мероприятия_и_источники!G216</f>
        <v>4030.9675411589997</v>
      </c>
      <c r="G42" s="1739">
        <f>Мероприятия_и_источники!H216</f>
        <v>4837.1610493907992</v>
      </c>
      <c r="H42" s="1737">
        <f>Мероприятия_и_источники!I216</f>
        <v>0</v>
      </c>
      <c r="I42" s="1737">
        <f>Мероприятия_и_источники!J216</f>
        <v>4837.1610493907992</v>
      </c>
      <c r="J42" s="1737">
        <f>Мероприятия_и_источники!K216</f>
        <v>0</v>
      </c>
      <c r="K42" s="1737">
        <f>Мероприятия_и_источники!L216</f>
        <v>0</v>
      </c>
      <c r="L42" s="1740">
        <f>Мероприятия_и_источники!M216</f>
        <v>0</v>
      </c>
      <c r="M42" s="1741" t="str">
        <f>Мероприятия_и_источники!N216</f>
        <v>2025год</v>
      </c>
      <c r="N42" s="1820" t="str">
        <f>Мероприятия_и_источники!O216</f>
        <v>капитальные вложения из прибыли предприятия</v>
      </c>
      <c r="O42" s="1742">
        <v>360</v>
      </c>
      <c r="P42" s="1741"/>
      <c r="Q42" s="1750">
        <v>166.05348000000001</v>
      </c>
      <c r="R42" s="1738"/>
      <c r="S42" s="1739"/>
      <c r="T42" s="1740"/>
      <c r="U42" s="1744">
        <f t="shared" si="29"/>
        <v>0</v>
      </c>
      <c r="V42" s="1737">
        <f t="shared" si="30"/>
        <v>4030.9675411589997</v>
      </c>
      <c r="W42" s="1737">
        <f t="shared" si="25"/>
        <v>0</v>
      </c>
      <c r="X42" s="1737">
        <f t="shared" si="26"/>
        <v>0</v>
      </c>
      <c r="Y42" s="1738">
        <f t="shared" si="27"/>
        <v>0</v>
      </c>
      <c r="Z42" s="1739"/>
      <c r="AA42" s="1737"/>
      <c r="AB42" s="1737">
        <f>($I$42/1.2+$Q$42)/$O$42*12</f>
        <v>139.90070070529998</v>
      </c>
      <c r="AC42" s="1737">
        <f t="shared" si="28"/>
        <v>139.90070070529998</v>
      </c>
      <c r="AD42" s="1740">
        <f t="shared" si="28"/>
        <v>139.90070070529998</v>
      </c>
      <c r="AE42" s="1745">
        <v>39010</v>
      </c>
      <c r="AF42" s="1739"/>
      <c r="AG42" s="1740"/>
      <c r="AH42" s="1746"/>
      <c r="AI42" s="1747"/>
      <c r="AJ42" s="1747"/>
      <c r="AK42" s="1747"/>
      <c r="AL42" s="1747"/>
    </row>
    <row r="43" spans="1:39" s="1748" customFormat="1" ht="45">
      <c r="A43" s="1735" t="str">
        <f>Мероприятия_и_источники!B220</f>
        <v>Реконструкция водовода  по ул.Грабцевское Шоссе от поворота на д.Кукареки до поворота на Аэропорт, Д-500 мм протяженностью 725 п.м.</v>
      </c>
      <c r="B43" s="1736">
        <f>Мероприятия_и_источники!C220</f>
        <v>0</v>
      </c>
      <c r="C43" s="1735" t="str">
        <f>Мероприятия_и_источники!D220</f>
        <v>г.Калуга,ул.Грабцевское шоссе</v>
      </c>
      <c r="D43" s="1888">
        <f>Мероприятия_и_источники!E220</f>
        <v>0</v>
      </c>
      <c r="E43" s="1737">
        <f>Мероприятия_и_источники!F220</f>
        <v>0</v>
      </c>
      <c r="F43" s="1738">
        <f>Мероприятия_и_источники!G220</f>
        <v>25206.1393733443</v>
      </c>
      <c r="G43" s="1739">
        <f>Мероприятия_и_источники!H220</f>
        <v>30247.367248013157</v>
      </c>
      <c r="H43" s="1737">
        <f>Мероприятия_и_источники!I220</f>
        <v>0</v>
      </c>
      <c r="I43" s="1737">
        <f>Мероприятия_и_источники!J220</f>
        <v>0</v>
      </c>
      <c r="J43" s="1737">
        <f>Мероприятия_и_источники!K220</f>
        <v>30247.367248013157</v>
      </c>
      <c r="K43" s="1737">
        <f>Мероприятия_и_источники!L220</f>
        <v>0</v>
      </c>
      <c r="L43" s="1740">
        <f>Мероприятия_и_источники!M220</f>
        <v>0</v>
      </c>
      <c r="M43" s="1741" t="str">
        <f>Мероприятия_и_источники!N220</f>
        <v>2026год</v>
      </c>
      <c r="N43" s="1820" t="str">
        <f>Мероприятия_и_источники!O220</f>
        <v>капитальные вложения из прибыли предприятия</v>
      </c>
      <c r="O43" s="1742">
        <v>360</v>
      </c>
      <c r="P43" s="1741"/>
      <c r="Q43" s="1750">
        <v>1207.9100699999999</v>
      </c>
      <c r="R43" s="1738"/>
      <c r="S43" s="1739"/>
      <c r="T43" s="1740"/>
      <c r="U43" s="1744">
        <f t="shared" si="29"/>
        <v>0</v>
      </c>
      <c r="V43" s="1737">
        <f t="shared" si="30"/>
        <v>0</v>
      </c>
      <c r="W43" s="1737">
        <f t="shared" si="25"/>
        <v>25206.1393733443</v>
      </c>
      <c r="X43" s="1737">
        <f t="shared" si="26"/>
        <v>0</v>
      </c>
      <c r="Y43" s="1738">
        <f t="shared" si="27"/>
        <v>0</v>
      </c>
      <c r="Z43" s="1739"/>
      <c r="AA43" s="1737"/>
      <c r="AB43" s="1737"/>
      <c r="AC43" s="1737">
        <f>($J$43/1.2+$Q$43)/$O$43*12</f>
        <v>880.46831477814339</v>
      </c>
      <c r="AD43" s="1740">
        <f>AC43</f>
        <v>880.46831477814339</v>
      </c>
      <c r="AE43" s="1745">
        <v>10503</v>
      </c>
      <c r="AF43" s="1739"/>
      <c r="AG43" s="1740"/>
      <c r="AH43" s="1746"/>
      <c r="AI43" s="1747"/>
      <c r="AJ43" s="1747"/>
      <c r="AK43" s="1747"/>
      <c r="AL43" s="1747"/>
    </row>
    <row r="44" spans="1:39" s="1748" customFormat="1" ht="45">
      <c r="A44" s="1735" t="str">
        <f>Мероприятия_и_источники!B224</f>
        <v>Реконструкция Болдинского водовода  (вокруг ОСК), Д-500 мм протяженностью 1301 п.м.</v>
      </c>
      <c r="B44" s="1736">
        <f>Мероприятия_и_источники!C224</f>
        <v>0</v>
      </c>
      <c r="C44" s="1821" t="str">
        <f>Мероприятия_и_источники!D224</f>
        <v>г.Калуга ул.40 лет Октября</v>
      </c>
      <c r="D44" s="1888">
        <f>Мероприятия_и_источники!E224</f>
        <v>0</v>
      </c>
      <c r="E44" s="1737">
        <f>Мероприятия_и_источники!F224</f>
        <v>0</v>
      </c>
      <c r="F44" s="1738">
        <f>Мероприятия_и_источники!G224</f>
        <v>29555.671138338763</v>
      </c>
      <c r="G44" s="1739">
        <f>Мероприятия_и_источники!H224</f>
        <v>35466.805366006512</v>
      </c>
      <c r="H44" s="1737">
        <f>Мероприятия_и_источники!I224</f>
        <v>0</v>
      </c>
      <c r="I44" s="1737">
        <f>Мероприятия_и_источники!J224</f>
        <v>0</v>
      </c>
      <c r="J44" s="1737">
        <f>Мероприятия_и_источники!K224</f>
        <v>35466.805366006512</v>
      </c>
      <c r="K44" s="1737">
        <f>Мероприятия_и_источники!L224</f>
        <v>0</v>
      </c>
      <c r="L44" s="1740">
        <f>Мероприятия_и_источники!M224</f>
        <v>0</v>
      </c>
      <c r="M44" s="1741" t="str">
        <f>Мероприятия_и_источники!N224</f>
        <v>2026год</v>
      </c>
      <c r="N44" s="1820" t="str">
        <f>Мероприятия_и_источники!O224</f>
        <v>капитальные вложения из прибыли предприятия</v>
      </c>
      <c r="O44" s="1742">
        <v>361</v>
      </c>
      <c r="P44" s="1741"/>
      <c r="Q44" s="1933"/>
      <c r="R44" s="1738"/>
      <c r="S44" s="1739"/>
      <c r="T44" s="1740"/>
      <c r="U44" s="1744">
        <f t="shared" si="29"/>
        <v>0</v>
      </c>
      <c r="V44" s="1737">
        <f t="shared" si="30"/>
        <v>0</v>
      </c>
      <c r="W44" s="1737">
        <f t="shared" si="25"/>
        <v>29555.671138338763</v>
      </c>
      <c r="X44" s="1737">
        <f t="shared" si="26"/>
        <v>0</v>
      </c>
      <c r="Y44" s="1738">
        <f t="shared" si="27"/>
        <v>0</v>
      </c>
      <c r="Z44" s="1739"/>
      <c r="AA44" s="1737"/>
      <c r="AB44" s="1737"/>
      <c r="AC44" s="1737">
        <f>($J$44/1.2+$Q$44)/$O$44*12</f>
        <v>982.45998243785357</v>
      </c>
      <c r="AD44" s="2663">
        <f>AC44</f>
        <v>982.45998243785357</v>
      </c>
      <c r="AE44" s="1932"/>
      <c r="AF44" s="1739"/>
      <c r="AG44" s="1740"/>
      <c r="AH44" s="1746"/>
      <c r="AI44" s="1747"/>
      <c r="AJ44" s="1747"/>
      <c r="AK44" s="1747"/>
      <c r="AL44" s="1747"/>
    </row>
    <row r="45" spans="1:39" s="1748" customFormat="1" ht="45">
      <c r="A45" s="1735" t="str">
        <f>Мероприятия_и_источники!B228</f>
        <v>Реконструкция водовода по ул.Мелиораторов, Д-300 мм протяженностью 150 п.м.</v>
      </c>
      <c r="B45" s="1736">
        <f>Мероприятия_и_источники!C228</f>
        <v>0</v>
      </c>
      <c r="C45" s="1821" t="str">
        <f>Мероприятия_и_источники!D228</f>
        <v>г.Калуга,ул.Мелиораторов</v>
      </c>
      <c r="D45" s="1888">
        <f>Мероприятия_и_источники!E228</f>
        <v>0</v>
      </c>
      <c r="E45" s="1737">
        <f>Мероприятия_и_источники!F228</f>
        <v>0</v>
      </c>
      <c r="F45" s="1738">
        <f>Мероприятия_и_источники!G228</f>
        <v>1481.7212631000002</v>
      </c>
      <c r="G45" s="1739">
        <f>Мероприятия_и_источники!H228</f>
        <v>1778.0655157200001</v>
      </c>
      <c r="H45" s="1737">
        <f>Мероприятия_и_источники!I228</f>
        <v>1778.0655157200001</v>
      </c>
      <c r="I45" s="1737">
        <f>Мероприятия_и_источники!J228</f>
        <v>0</v>
      </c>
      <c r="J45" s="1737">
        <f>Мероприятия_и_источники!K228</f>
        <v>0</v>
      </c>
      <c r="K45" s="1737">
        <f>Мероприятия_и_источники!L228</f>
        <v>0</v>
      </c>
      <c r="L45" s="1740">
        <f>Мероприятия_и_источники!M228</f>
        <v>0</v>
      </c>
      <c r="M45" s="1741" t="str">
        <f>Мероприятия_и_источники!N228</f>
        <v>2024год</v>
      </c>
      <c r="N45" s="1820" t="str">
        <f>Мероприятия_и_источники!O228</f>
        <v>капитальные вложения из прибыли предприятия</v>
      </c>
      <c r="O45" s="1742">
        <v>108</v>
      </c>
      <c r="P45" s="1741"/>
      <c r="Q45" s="1750">
        <f>Износ!O5647/1000</f>
        <v>341.77296000000001</v>
      </c>
      <c r="R45" s="1738"/>
      <c r="S45" s="1739"/>
      <c r="T45" s="1740"/>
      <c r="U45" s="1744">
        <f t="shared" si="29"/>
        <v>1481.7212631000002</v>
      </c>
      <c r="V45" s="1737">
        <f t="shared" si="30"/>
        <v>0</v>
      </c>
      <c r="W45" s="1737">
        <f t="shared" si="25"/>
        <v>0</v>
      </c>
      <c r="X45" s="1737">
        <f t="shared" si="26"/>
        <v>0</v>
      </c>
      <c r="Y45" s="1738">
        <f t="shared" si="27"/>
        <v>0</v>
      </c>
      <c r="Z45" s="1739"/>
      <c r="AA45" s="1737">
        <f>($H$45/1.2+$Q$45)/$O$45*12</f>
        <v>202.61046923333333</v>
      </c>
      <c r="AB45" s="1737">
        <f>AA45</f>
        <v>202.61046923333333</v>
      </c>
      <c r="AC45" s="1737">
        <f>AB45</f>
        <v>202.61046923333333</v>
      </c>
      <c r="AD45" s="1740">
        <f>AC45</f>
        <v>202.61046923333333</v>
      </c>
      <c r="AE45" s="1745">
        <v>43745</v>
      </c>
      <c r="AF45" s="1739"/>
      <c r="AG45" s="1740"/>
      <c r="AH45" s="1746"/>
      <c r="AI45" s="1747"/>
      <c r="AJ45" s="1747"/>
      <c r="AK45" s="1747"/>
      <c r="AL45" s="1747"/>
    </row>
    <row r="46" spans="1:39" s="1748" customFormat="1" ht="45">
      <c r="A46" s="1735" t="str">
        <f>Мероприятия_и_источники!B232</f>
        <v>Реконструкция водовода пер.Малинники  (на ПРМЗ), Д-500 мм протяженностью 220 п.м.</v>
      </c>
      <c r="B46" s="1736">
        <f>Мероприятия_и_источники!C232</f>
        <v>0</v>
      </c>
      <c r="C46" s="1735" t="str">
        <f>Мероприятия_и_источники!D232</f>
        <v>г.Калуга пер.Малинники</v>
      </c>
      <c r="D46" s="1888">
        <f>Мероприятия_и_источники!E232</f>
        <v>0</v>
      </c>
      <c r="E46" s="1737">
        <f>Мероприятия_и_источники!F232</f>
        <v>0</v>
      </c>
      <c r="F46" s="1738">
        <f>Мероприятия_и_источники!G232</f>
        <v>4350.6094561955997</v>
      </c>
      <c r="G46" s="1739">
        <f>Мероприятия_и_источники!H232</f>
        <v>5220.7313474347193</v>
      </c>
      <c r="H46" s="1737">
        <f>Мероприятия_и_источники!I232</f>
        <v>0</v>
      </c>
      <c r="I46" s="1737">
        <f>Мероприятия_и_источники!J232</f>
        <v>5220.7313474347193</v>
      </c>
      <c r="J46" s="1737">
        <f>Мероприятия_и_источники!K232</f>
        <v>0</v>
      </c>
      <c r="K46" s="1737">
        <f>Мероприятия_и_источники!L232</f>
        <v>0</v>
      </c>
      <c r="L46" s="1740">
        <f>Мероприятия_и_источники!M232</f>
        <v>0</v>
      </c>
      <c r="M46" s="1741" t="str">
        <f>Мероприятия_и_источники!N232</f>
        <v>2025год</v>
      </c>
      <c r="N46" s="1820" t="str">
        <f>Мероприятия_и_источники!O232</f>
        <v>капитальные вложения из прибыли предприятия</v>
      </c>
      <c r="O46" s="1742">
        <v>240</v>
      </c>
      <c r="P46" s="1741"/>
      <c r="Q46" s="1750">
        <v>28.555679999999999</v>
      </c>
      <c r="R46" s="1738"/>
      <c r="S46" s="1739"/>
      <c r="T46" s="1740"/>
      <c r="U46" s="1744">
        <f t="shared" si="29"/>
        <v>0</v>
      </c>
      <c r="V46" s="1737">
        <f t="shared" si="30"/>
        <v>4350.6094561955997</v>
      </c>
      <c r="W46" s="1737">
        <f t="shared" si="25"/>
        <v>0</v>
      </c>
      <c r="X46" s="1737">
        <f t="shared" si="26"/>
        <v>0</v>
      </c>
      <c r="Y46" s="1738">
        <f t="shared" si="27"/>
        <v>0</v>
      </c>
      <c r="Z46" s="1739"/>
      <c r="AA46" s="1737"/>
      <c r="AB46" s="1737">
        <f>(($I$46)/1.2+$Q$46)/$O$46*12</f>
        <v>218.95825680978004</v>
      </c>
      <c r="AC46" s="1737">
        <f t="shared" ref="AC46:AC52" si="31">AB46</f>
        <v>218.95825680978004</v>
      </c>
      <c r="AD46" s="1740">
        <f t="shared" ref="AD46:AD52" si="32">AC46</f>
        <v>218.95825680978004</v>
      </c>
      <c r="AE46" s="1745">
        <v>27871</v>
      </c>
      <c r="AF46" s="1739"/>
      <c r="AG46" s="1740"/>
      <c r="AH46" s="1746"/>
      <c r="AI46" s="1747"/>
      <c r="AJ46" s="1747"/>
      <c r="AK46" s="1747"/>
      <c r="AL46" s="1747"/>
    </row>
    <row r="47" spans="1:39" s="1748" customFormat="1" ht="45">
      <c r="A47" s="1735" t="str">
        <f>Мероприятия_и_источники!B236</f>
        <v>Реконструкция водовода ул.Азаровская в сторону п.Силикатный с проколом под ж/д, Д-200 мм протяженностью 100 п.м.</v>
      </c>
      <c r="B47" s="1736">
        <f>Мероприятия_и_источники!C236</f>
        <v>0</v>
      </c>
      <c r="C47" s="1735" t="str">
        <f>Мероприятия_и_источники!D236</f>
        <v>г.Калуга,ул.Азаровская</v>
      </c>
      <c r="D47" s="1888">
        <f>Мероприятия_и_источники!E236</f>
        <v>0</v>
      </c>
      <c r="E47" s="1737">
        <f>Мероприятия_и_источники!F236</f>
        <v>0</v>
      </c>
      <c r="F47" s="1738">
        <f>Мероприятия_и_источники!G236</f>
        <v>5004.5488471835997</v>
      </c>
      <c r="G47" s="1739">
        <f>Мероприятия_и_источники!H236</f>
        <v>6005.4586166203198</v>
      </c>
      <c r="H47" s="1737">
        <f>Мероприятия_и_источники!I236</f>
        <v>0</v>
      </c>
      <c r="I47" s="1737">
        <f>Мероприятия_и_источники!J236</f>
        <v>6005.4586166203198</v>
      </c>
      <c r="J47" s="1737">
        <f>Мероприятия_и_источники!K236</f>
        <v>0</v>
      </c>
      <c r="K47" s="1737">
        <f>Мероприятия_и_источники!L236</f>
        <v>0</v>
      </c>
      <c r="L47" s="1740">
        <f>Мероприятия_и_источники!M236</f>
        <v>0</v>
      </c>
      <c r="M47" s="1741" t="str">
        <f>Мероприятия_и_источники!N236</f>
        <v>2025год</v>
      </c>
      <c r="N47" s="1820" t="str">
        <f>Мероприятия_и_источники!O236</f>
        <v>капитальные вложения из прибыли предприятия</v>
      </c>
      <c r="O47" s="1742">
        <v>360</v>
      </c>
      <c r="P47" s="1741"/>
      <c r="Q47" s="1750">
        <f>Износ!O4107/1000</f>
        <v>68.991</v>
      </c>
      <c r="R47" s="1738"/>
      <c r="S47" s="1739"/>
      <c r="T47" s="1740"/>
      <c r="U47" s="1744">
        <f t="shared" si="29"/>
        <v>0</v>
      </c>
      <c r="V47" s="1737">
        <f t="shared" si="30"/>
        <v>5004.5488471835997</v>
      </c>
      <c r="W47" s="1737">
        <f t="shared" si="25"/>
        <v>0</v>
      </c>
      <c r="X47" s="1737">
        <f t="shared" si="26"/>
        <v>0</v>
      </c>
      <c r="Y47" s="1738">
        <f t="shared" si="27"/>
        <v>0</v>
      </c>
      <c r="Z47" s="1739"/>
      <c r="AA47" s="1737"/>
      <c r="AB47" s="1737">
        <f>(($I$47)/1.2+$Q$47)/$O$47*12</f>
        <v>169.11799490612</v>
      </c>
      <c r="AC47" s="1737">
        <f t="shared" si="31"/>
        <v>169.11799490612</v>
      </c>
      <c r="AD47" s="1740">
        <f t="shared" si="32"/>
        <v>169.11799490612</v>
      </c>
      <c r="AE47" s="1745">
        <v>25768</v>
      </c>
      <c r="AF47" s="1739"/>
      <c r="AG47" s="1740"/>
      <c r="AH47" s="1746"/>
      <c r="AI47" s="1747"/>
      <c r="AJ47" s="1747"/>
      <c r="AK47" s="1747"/>
      <c r="AL47" s="1747"/>
    </row>
    <row r="48" spans="1:39" s="1748" customFormat="1" ht="45">
      <c r="A48" s="1735" t="str">
        <f>Мероприятия_и_источники!B240</f>
        <v>Реконструкция водовода по ул.Московская в районе д.334, Д-400 мм протяженностью 120 п.м.</v>
      </c>
      <c r="B48" s="1736">
        <f>Мероприятия_и_источники!C240</f>
        <v>0</v>
      </c>
      <c r="C48" s="1735" t="str">
        <f>Мероприятия_и_источники!D240</f>
        <v>г.Калуга,ул.Московская</v>
      </c>
      <c r="D48" s="1888">
        <f>Мероприятия_и_источники!E240</f>
        <v>0</v>
      </c>
      <c r="E48" s="1737">
        <f>Мероприятия_и_источники!F240</f>
        <v>0</v>
      </c>
      <c r="F48" s="1738">
        <f>Мероприятия_и_источники!G240</f>
        <v>1907.2750878123695</v>
      </c>
      <c r="G48" s="1739">
        <f>Мероприятия_и_источники!H240</f>
        <v>2288.7301053748433</v>
      </c>
      <c r="H48" s="1737">
        <f>Мероприятия_и_источники!I240</f>
        <v>0</v>
      </c>
      <c r="I48" s="1737">
        <f>Мероприятия_и_источники!J240</f>
        <v>0</v>
      </c>
      <c r="J48" s="1737">
        <f>Мероприятия_и_источники!K240</f>
        <v>2288.7301053748433</v>
      </c>
      <c r="K48" s="1737">
        <f>Мероприятия_и_источники!L240</f>
        <v>0</v>
      </c>
      <c r="L48" s="1740">
        <f>Мероприятия_и_источники!M240</f>
        <v>0</v>
      </c>
      <c r="M48" s="1741" t="str">
        <f>Мероприятия_и_источники!N240</f>
        <v>2026год</v>
      </c>
      <c r="N48" s="1820" t="str">
        <f>Мероприятия_и_источники!O240</f>
        <v>капитальные вложения из прибыли предприятия</v>
      </c>
      <c r="O48" s="1742">
        <v>361</v>
      </c>
      <c r="P48" s="1741"/>
      <c r="Q48" s="1750">
        <v>31813.2749</v>
      </c>
      <c r="R48" s="1738"/>
      <c r="S48" s="1739"/>
      <c r="T48" s="1740"/>
      <c r="U48" s="1744">
        <f t="shared" si="29"/>
        <v>0</v>
      </c>
      <c r="V48" s="1737">
        <f>I48/1.2</f>
        <v>0</v>
      </c>
      <c r="W48" s="1737">
        <f t="shared" si="25"/>
        <v>1907.2750878123695</v>
      </c>
      <c r="X48" s="1737">
        <f t="shared" si="26"/>
        <v>0</v>
      </c>
      <c r="Y48" s="1738">
        <f t="shared" si="27"/>
        <v>0</v>
      </c>
      <c r="Z48" s="1739"/>
      <c r="AA48" s="1737"/>
      <c r="AB48" s="1737"/>
      <c r="AC48" s="1737">
        <f>(J48/1.2+$Q$48)/$O$48*12</f>
        <v>1120.9047087361453</v>
      </c>
      <c r="AD48" s="1740">
        <f t="shared" si="32"/>
        <v>1120.9047087361453</v>
      </c>
      <c r="AE48" s="1745">
        <v>27864</v>
      </c>
      <c r="AF48" s="1739"/>
      <c r="AG48" s="1740"/>
      <c r="AH48" s="1746"/>
      <c r="AI48" s="1747"/>
      <c r="AJ48" s="1747"/>
      <c r="AK48" s="1747"/>
      <c r="AL48" s="1747"/>
    </row>
    <row r="49" spans="1:38" s="1748" customFormat="1" ht="45">
      <c r="A49" s="1735" t="str">
        <f>Мероприятия_и_источники!B244</f>
        <v>Реконструкция водовода микрорайона Калуга-2 с проколом под ж/д, Д-100 мм протяженностью 310 п.м.</v>
      </c>
      <c r="B49" s="1736">
        <f>Мероприятия_и_источники!C244</f>
        <v>0</v>
      </c>
      <c r="C49" s="1735" t="str">
        <f>Мероприятия_и_источники!D244</f>
        <v>г.Калуга,ул. Привокзальная</v>
      </c>
      <c r="D49" s="1888">
        <f>Мероприятия_и_источники!E244</f>
        <v>0</v>
      </c>
      <c r="E49" s="1737">
        <f>Мероприятия_и_источники!F244</f>
        <v>0</v>
      </c>
      <c r="F49" s="1738">
        <f>Мероприятия_и_источники!G244</f>
        <v>8951.0690539764</v>
      </c>
      <c r="G49" s="1739">
        <f>Мероприятия_и_источники!H244</f>
        <v>10741.28286477168</v>
      </c>
      <c r="H49" s="1737">
        <f>Мероприятия_и_источники!I244</f>
        <v>0</v>
      </c>
      <c r="I49" s="1737">
        <f>Мероприятия_и_источники!J244</f>
        <v>10741.28286477168</v>
      </c>
      <c r="J49" s="1737">
        <f>Мероприятия_и_источники!K244</f>
        <v>0</v>
      </c>
      <c r="K49" s="1737">
        <f>Мероприятия_и_источники!L244</f>
        <v>0</v>
      </c>
      <c r="L49" s="1740">
        <f>Мероприятия_и_источники!M244</f>
        <v>0</v>
      </c>
      <c r="M49" s="1741" t="str">
        <f>Мероприятия_и_источники!N244</f>
        <v>2025год</v>
      </c>
      <c r="N49" s="1820" t="str">
        <f>Мероприятия_и_источники!O244</f>
        <v>капитальные вложения из прибыли предприятия</v>
      </c>
      <c r="O49" s="1742">
        <v>360</v>
      </c>
      <c r="P49" s="1741"/>
      <c r="Q49" s="1750">
        <f>Износ!O4153/1000</f>
        <v>187.61025000000001</v>
      </c>
      <c r="R49" s="1738"/>
      <c r="S49" s="1739"/>
      <c r="T49" s="1740"/>
      <c r="U49" s="1744">
        <f t="shared" si="29"/>
        <v>0</v>
      </c>
      <c r="V49" s="1737">
        <f t="shared" si="30"/>
        <v>8951.0690539764</v>
      </c>
      <c r="W49" s="1737">
        <f t="shared" si="25"/>
        <v>0</v>
      </c>
      <c r="X49" s="1737">
        <f t="shared" si="26"/>
        <v>0</v>
      </c>
      <c r="Y49" s="1738">
        <f t="shared" si="27"/>
        <v>0</v>
      </c>
      <c r="Z49" s="1739"/>
      <c r="AA49" s="1737"/>
      <c r="AB49" s="1737">
        <f>($I$49/1.2+$Q$49)/$O$49*12</f>
        <v>304.62264346588</v>
      </c>
      <c r="AC49" s="1737">
        <f t="shared" si="31"/>
        <v>304.62264346588</v>
      </c>
      <c r="AD49" s="1740">
        <f t="shared" si="32"/>
        <v>304.62264346588</v>
      </c>
      <c r="AE49" s="1745">
        <v>26034</v>
      </c>
      <c r="AF49" s="1739"/>
      <c r="AG49" s="1740"/>
      <c r="AH49" s="1746"/>
      <c r="AI49" s="1747"/>
      <c r="AJ49" s="1747"/>
      <c r="AK49" s="1747"/>
      <c r="AL49" s="1747"/>
    </row>
    <row r="50" spans="1:38" s="1748" customFormat="1" ht="45">
      <c r="A50" s="1735" t="str">
        <f>Мероприятия_и_источники!B248</f>
        <v>Реконструкция водовода по ул.Звездная, Д-300 мм протяженностью 670 п.м.</v>
      </c>
      <c r="B50" s="1736">
        <f>Мероприятия_и_источники!C248</f>
        <v>0</v>
      </c>
      <c r="C50" s="1735" t="str">
        <f>Мероприятия_и_источники!D248</f>
        <v>г.Калуга,ул.Звездная</v>
      </c>
      <c r="D50" s="1888">
        <f>Мероприятия_и_источники!E248</f>
        <v>0</v>
      </c>
      <c r="E50" s="1737">
        <f>Мероприятия_и_источники!F248</f>
        <v>0</v>
      </c>
      <c r="F50" s="1738">
        <f>Мероприятия_и_источники!G248</f>
        <v>5890.7239230995992</v>
      </c>
      <c r="G50" s="1739">
        <f>Мероприятия_и_источники!H248</f>
        <v>7068.8687077195191</v>
      </c>
      <c r="H50" s="1737">
        <f>Мероприятия_и_источники!I248</f>
        <v>0</v>
      </c>
      <c r="I50" s="1737">
        <f>Мероприятия_и_источники!J248</f>
        <v>7068.8687077195191</v>
      </c>
      <c r="J50" s="1737">
        <f>Мероприятия_и_источники!K248</f>
        <v>0</v>
      </c>
      <c r="K50" s="1737">
        <f>Мероприятия_и_источники!L248</f>
        <v>0</v>
      </c>
      <c r="L50" s="1740">
        <f>Мероприятия_и_источники!M248</f>
        <v>0</v>
      </c>
      <c r="M50" s="1741" t="str">
        <f>Мероприятия_и_источники!N248</f>
        <v>2025год</v>
      </c>
      <c r="N50" s="1820" t="str">
        <f>Мероприятия_и_источники!O248</f>
        <v>капитальные вложения из прибыли предприятия</v>
      </c>
      <c r="O50" s="1742">
        <v>240</v>
      </c>
      <c r="P50" s="1741"/>
      <c r="Q50" s="1750">
        <f>Износ!O3717/1000</f>
        <v>112.99807000000001</v>
      </c>
      <c r="R50" s="1738"/>
      <c r="S50" s="1739"/>
      <c r="T50" s="1740"/>
      <c r="U50" s="1744">
        <f t="shared" ref="U50:U63" si="33">H50/1.2</f>
        <v>0</v>
      </c>
      <c r="V50" s="1737">
        <f>I50/1.2</f>
        <v>5890.7239230995992</v>
      </c>
      <c r="W50" s="1737">
        <f t="shared" ref="W50:W63" si="34">J50/1.2</f>
        <v>0</v>
      </c>
      <c r="X50" s="1737">
        <f t="shared" ref="X50:X63" si="35">K50/1.2</f>
        <v>0</v>
      </c>
      <c r="Y50" s="1738">
        <f t="shared" ref="Y50:Y63" si="36">L50/1.2</f>
        <v>0</v>
      </c>
      <c r="Z50" s="1739"/>
      <c r="AA50" s="1737"/>
      <c r="AB50" s="1737">
        <f>(I50/1.2+Q50)/O50*12</f>
        <v>300.18609965497996</v>
      </c>
      <c r="AC50" s="1737">
        <f t="shared" si="31"/>
        <v>300.18609965497996</v>
      </c>
      <c r="AD50" s="1740">
        <f t="shared" si="32"/>
        <v>300.18609965497996</v>
      </c>
      <c r="AE50" s="1745">
        <v>11407</v>
      </c>
      <c r="AF50" s="1739"/>
      <c r="AG50" s="1740"/>
      <c r="AH50" s="1746"/>
      <c r="AI50" s="1747"/>
      <c r="AJ50" s="1747"/>
      <c r="AK50" s="1747"/>
      <c r="AL50" s="1747"/>
    </row>
    <row r="51" spans="1:38" s="1748" customFormat="1" ht="45">
      <c r="A51" s="1735" t="str">
        <f>Мероприятия_и_источники!B252</f>
        <v>Реконструкция водопровода по ул.Азаровская (от ул.Московская до СТО) Д-600 мм - 600 п.м.</v>
      </c>
      <c r="B51" s="1736">
        <f>Мероприятия_и_источники!C252</f>
        <v>0</v>
      </c>
      <c r="C51" s="1735" t="str">
        <f>Мероприятия_и_источники!D252</f>
        <v>г.Калуга, от ул.Московская по ул.Азаровская</v>
      </c>
      <c r="D51" s="1888">
        <f>Мероприятия_и_источники!E252</f>
        <v>0</v>
      </c>
      <c r="E51" s="1737">
        <f>Мероприятия_и_источники!F252</f>
        <v>0</v>
      </c>
      <c r="F51" s="1738">
        <f>Мероприятия_и_источники!G252</f>
        <v>69887.010908496493</v>
      </c>
      <c r="G51" s="1739">
        <f>Мероприятия_и_источники!H252</f>
        <v>83864.413090195783</v>
      </c>
      <c r="H51" s="1737">
        <f>Мероприятия_и_источники!I252</f>
        <v>0</v>
      </c>
      <c r="I51" s="1737">
        <f>Мероприятия_и_источники!J252</f>
        <v>0</v>
      </c>
      <c r="J51" s="1737">
        <f>Мероприятия_и_источники!K252</f>
        <v>0</v>
      </c>
      <c r="K51" s="1737">
        <f>Мероприятия_и_источники!L252</f>
        <v>83864.413090195783</v>
      </c>
      <c r="L51" s="1740">
        <f>Мероприятия_и_источники!M252</f>
        <v>0</v>
      </c>
      <c r="M51" s="1741" t="str">
        <f>Мероприятия_и_источники!N252</f>
        <v>2027год</v>
      </c>
      <c r="N51" s="1820" t="str">
        <f>Мероприятия_и_источники!O252</f>
        <v>капитальные вложения из прибыли предприятия</v>
      </c>
      <c r="O51" s="1742">
        <v>240</v>
      </c>
      <c r="P51" s="1741"/>
      <c r="Q51" s="1750">
        <f>Износ!O3690/1000</f>
        <v>1.53196</v>
      </c>
      <c r="R51" s="1738"/>
      <c r="S51" s="1739"/>
      <c r="T51" s="1740"/>
      <c r="U51" s="1744">
        <f t="shared" si="33"/>
        <v>0</v>
      </c>
      <c r="V51" s="1737">
        <f t="shared" ref="V51:V63" si="37">I51/1.2</f>
        <v>0</v>
      </c>
      <c r="W51" s="1737">
        <f t="shared" si="34"/>
        <v>0</v>
      </c>
      <c r="X51" s="1737">
        <f t="shared" si="35"/>
        <v>69887.010908496493</v>
      </c>
      <c r="Y51" s="1738">
        <f t="shared" si="36"/>
        <v>0</v>
      </c>
      <c r="Z51" s="1739"/>
      <c r="AA51" s="1737"/>
      <c r="AB51" s="1737"/>
      <c r="AC51" s="1737"/>
      <c r="AD51" s="1737">
        <f>(K51/1.2+$Q$51)/$O$51*12</f>
        <v>3494.427143424824</v>
      </c>
      <c r="AE51" s="1745">
        <v>11315</v>
      </c>
      <c r="AF51" s="1739"/>
      <c r="AG51" s="1740"/>
      <c r="AH51" s="1746"/>
      <c r="AI51" s="1747"/>
      <c r="AJ51" s="1747"/>
      <c r="AK51" s="1747"/>
      <c r="AL51" s="1747"/>
    </row>
    <row r="52" spans="1:38" s="1748" customFormat="1" ht="45">
      <c r="A52" s="1735" t="str">
        <f>Мероприятия_и_источники!B256</f>
        <v>Реконструкция водопровода по ул.Родниковая по дамбе до микрорайона Турынино-3, Д-300 мм протяженностью 350 п.м.</v>
      </c>
      <c r="B52" s="1736">
        <f>Мероприятия_и_источники!C256</f>
        <v>0</v>
      </c>
      <c r="C52" s="1735" t="str">
        <f>Мероприятия_и_источники!D256</f>
        <v>г.Калуга,  по ул.Родниковая до мкр.Турынино</v>
      </c>
      <c r="D52" s="1888">
        <f>Мероприятия_и_источники!E256</f>
        <v>0</v>
      </c>
      <c r="E52" s="1737">
        <f>Мероприятия_и_источники!F256</f>
        <v>0</v>
      </c>
      <c r="F52" s="1738">
        <f>Мероприятия_и_источники!G256</f>
        <v>3186.0149743187999</v>
      </c>
      <c r="G52" s="1739">
        <f>Мероприятия_и_источники!H256</f>
        <v>3823.21796918256</v>
      </c>
      <c r="H52" s="1737">
        <f>Мероприятия_и_источники!I256</f>
        <v>0</v>
      </c>
      <c r="I52" s="1737">
        <f>Мероприятия_и_источники!J256</f>
        <v>3823.21796918256</v>
      </c>
      <c r="J52" s="1737">
        <f>Мероприятия_и_источники!K256</f>
        <v>0</v>
      </c>
      <c r="K52" s="1737">
        <f>Мероприятия_и_источники!L256</f>
        <v>0</v>
      </c>
      <c r="L52" s="1740">
        <f>Мероприятия_и_источники!M256</f>
        <v>0</v>
      </c>
      <c r="M52" s="1741" t="str">
        <f>Мероприятия_и_источники!N256</f>
        <v>2025год</v>
      </c>
      <c r="N52" s="1820" t="str">
        <f>Мероприятия_и_источники!O256</f>
        <v>капитальные вложения из прибыли предприятия</v>
      </c>
      <c r="O52" s="1742">
        <v>379</v>
      </c>
      <c r="P52" s="1741"/>
      <c r="Q52" s="1750">
        <v>102.81147</v>
      </c>
      <c r="R52" s="1738"/>
      <c r="S52" s="1739"/>
      <c r="T52" s="1740"/>
      <c r="U52" s="1744">
        <f t="shared" si="33"/>
        <v>0</v>
      </c>
      <c r="V52" s="1737">
        <f>I52/1.2</f>
        <v>3186.0149743187999</v>
      </c>
      <c r="W52" s="1737">
        <f t="shared" si="34"/>
        <v>0</v>
      </c>
      <c r="X52" s="1737">
        <f t="shared" si="35"/>
        <v>0</v>
      </c>
      <c r="Y52" s="1738">
        <f t="shared" si="36"/>
        <v>0</v>
      </c>
      <c r="Z52" s="1739"/>
      <c r="AA52" s="1737"/>
      <c r="AB52" s="1737">
        <f>(I52/1.2+Q52)/O52*12</f>
        <v>104.13170799953984</v>
      </c>
      <c r="AC52" s="1737">
        <f t="shared" si="31"/>
        <v>104.13170799953984</v>
      </c>
      <c r="AD52" s="1740">
        <f t="shared" si="32"/>
        <v>104.13170799953984</v>
      </c>
      <c r="AE52" s="1745">
        <v>24573</v>
      </c>
      <c r="AF52" s="1739"/>
      <c r="AG52" s="1740"/>
      <c r="AH52" s="1746"/>
      <c r="AI52" s="1747"/>
      <c r="AJ52" s="1747"/>
      <c r="AK52" s="1747"/>
      <c r="AL52" s="1747"/>
    </row>
    <row r="53" spans="1:38" s="1748" customFormat="1" ht="60">
      <c r="A53" s="1735" t="str">
        <f>Мероприятия_и_источники!B260</f>
        <v>Реконструкция водовода питьевой воды по ул.Салтыкова-Щедрина (от ул.Степана Разина до дома 80) Д-225 мм протяженностью 1217 п.м  в г.Калуга</v>
      </c>
      <c r="B53" s="1736">
        <f>Мероприятия_и_источники!C260</f>
        <v>0</v>
      </c>
      <c r="C53" s="1735" t="str">
        <f>Мероприятия_и_источники!D260</f>
        <v xml:space="preserve">г.Калуга от ул.Степана Разина по ул.Салтыкова-Щедрина </v>
      </c>
      <c r="D53" s="1888">
        <f>Мероприятия_и_источники!E260</f>
        <v>0</v>
      </c>
      <c r="E53" s="1737">
        <f>Мероприятия_и_источники!F260</f>
        <v>0</v>
      </c>
      <c r="F53" s="1738">
        <f>Мероприятия_и_источники!G260</f>
        <v>28111.763361796584</v>
      </c>
      <c r="G53" s="1739">
        <f>Мероприятия_и_источники!H260</f>
        <v>33734.116034155901</v>
      </c>
      <c r="H53" s="1737">
        <f>Мероприятия_и_источники!I260</f>
        <v>0</v>
      </c>
      <c r="I53" s="1737">
        <f>Мероприятия_и_источники!J260</f>
        <v>0</v>
      </c>
      <c r="J53" s="1737">
        <f>Мероприятия_и_источники!K260</f>
        <v>0</v>
      </c>
      <c r="K53" s="1737">
        <f>Мероприятия_и_источники!L260</f>
        <v>33734.116034155901</v>
      </c>
      <c r="L53" s="1740">
        <f>Мероприятия_и_источники!M260</f>
        <v>0</v>
      </c>
      <c r="M53" s="1741" t="str">
        <f>Мероприятия_и_источники!N260</f>
        <v>2027год</v>
      </c>
      <c r="N53" s="1820" t="str">
        <f>Мероприятия_и_источники!O260</f>
        <v>капитальные вложения из прибыли предприятия</v>
      </c>
      <c r="O53" s="1742">
        <v>360</v>
      </c>
      <c r="P53" s="1741"/>
      <c r="Q53" s="1750">
        <f>Износ!O3035/1000</f>
        <v>11603.191419999999</v>
      </c>
      <c r="R53" s="1738"/>
      <c r="S53" s="1739"/>
      <c r="T53" s="1740"/>
      <c r="U53" s="1744">
        <f t="shared" si="33"/>
        <v>0</v>
      </c>
      <c r="V53" s="1737">
        <f t="shared" si="37"/>
        <v>0</v>
      </c>
      <c r="W53" s="1737">
        <f>J53/1.2</f>
        <v>0</v>
      </c>
      <c r="X53" s="1737">
        <f t="shared" si="35"/>
        <v>28111.763361796584</v>
      </c>
      <c r="Y53" s="1738">
        <f t="shared" si="36"/>
        <v>0</v>
      </c>
      <c r="Z53" s="1739"/>
      <c r="AA53" s="1737"/>
      <c r="AB53" s="1737"/>
      <c r="AC53" s="1737"/>
      <c r="AD53" s="1737">
        <f>($K$53/1.2+$Q$53)/$O$53*12</f>
        <v>1323.831826059886</v>
      </c>
      <c r="AE53" s="1745">
        <v>11233</v>
      </c>
      <c r="AF53" s="1739"/>
      <c r="AG53" s="1740"/>
      <c r="AH53" s="1746"/>
      <c r="AI53" s="1747"/>
      <c r="AJ53" s="1747"/>
      <c r="AK53" s="1747"/>
      <c r="AL53" s="1747"/>
    </row>
    <row r="54" spans="1:38" s="1748" customFormat="1" ht="45">
      <c r="A54" s="1735" t="str">
        <f>Мероприятия_и_источники!B264</f>
        <v>Реконструкция водопровода в с.Росва, ул.Мира д.8 - ул.Московская д.5, Д-100 мм протяженностью 460 п.м.</v>
      </c>
      <c r="B54" s="1736">
        <f>Мероприятия_и_источники!C264</f>
        <v>0</v>
      </c>
      <c r="C54" s="1735" t="str">
        <f>Мероприятия_и_источники!D264</f>
        <v>г.Калуга , с.Росва, ул.Мира д.8 - ул.Московская д.5</v>
      </c>
      <c r="D54" s="1888">
        <f>Мероприятия_и_источники!E264</f>
        <v>0</v>
      </c>
      <c r="E54" s="1737">
        <f>Мероприятия_и_источники!F264</f>
        <v>0</v>
      </c>
      <c r="F54" s="1738">
        <f>Мероприятия_и_источники!G264</f>
        <v>2003.8333155749999</v>
      </c>
      <c r="G54" s="1739">
        <f>Мероприятия_и_источники!H264</f>
        <v>2404.5999786899997</v>
      </c>
      <c r="H54" s="1737">
        <f>Мероприятия_и_источники!I264</f>
        <v>2404.5999786899997</v>
      </c>
      <c r="I54" s="1737">
        <f>Мероприятия_и_источники!J264</f>
        <v>0</v>
      </c>
      <c r="J54" s="1737">
        <f>Мероприятия_и_источники!K264</f>
        <v>0</v>
      </c>
      <c r="K54" s="1737">
        <f>Мероприятия_и_источники!L264</f>
        <v>0</v>
      </c>
      <c r="L54" s="1740">
        <f>Мероприятия_и_источники!M264</f>
        <v>0</v>
      </c>
      <c r="M54" s="1741" t="str">
        <f>Мероприятия_и_источники!N264</f>
        <v>2024год</v>
      </c>
      <c r="N54" s="1820" t="str">
        <f>Мероприятия_и_источники!O264</f>
        <v>капитальные вложения из прибыли предприятия</v>
      </c>
      <c r="O54" s="1742">
        <v>341</v>
      </c>
      <c r="P54" s="1741"/>
      <c r="Q54" s="1750">
        <v>194.29419999999999</v>
      </c>
      <c r="R54" s="1738"/>
      <c r="S54" s="1739"/>
      <c r="T54" s="1740"/>
      <c r="U54" s="1744">
        <f t="shared" si="33"/>
        <v>2003.8333155749999</v>
      </c>
      <c r="V54" s="1737">
        <f t="shared" si="37"/>
        <v>0</v>
      </c>
      <c r="W54" s="1737">
        <f>J54/1.2</f>
        <v>0</v>
      </c>
      <c r="X54" s="1737">
        <f t="shared" si="35"/>
        <v>0</v>
      </c>
      <c r="Y54" s="1738">
        <f t="shared" si="36"/>
        <v>0</v>
      </c>
      <c r="Z54" s="1739"/>
      <c r="AA54" s="1737">
        <f>(H54/1.2+$Q$54)/$O$54*12</f>
        <v>77.353460958651027</v>
      </c>
      <c r="AB54" s="1744">
        <f t="shared" ref="AB54:AD55" si="38">AA54</f>
        <v>77.353460958651027</v>
      </c>
      <c r="AC54" s="1737">
        <f t="shared" si="38"/>
        <v>77.353460958651027</v>
      </c>
      <c r="AD54" s="1740">
        <f t="shared" si="38"/>
        <v>77.353460958651027</v>
      </c>
      <c r="AE54" s="1745">
        <v>40855</v>
      </c>
      <c r="AF54" s="1739"/>
      <c r="AG54" s="1740"/>
      <c r="AH54" s="1746"/>
      <c r="AI54" s="1747"/>
      <c r="AJ54" s="1747"/>
      <c r="AK54" s="1747"/>
      <c r="AL54" s="1747"/>
    </row>
    <row r="55" spans="1:38" s="1748" customFormat="1" ht="45">
      <c r="A55" s="1735" t="str">
        <f>Мероприятия_и_источники!B268</f>
        <v>Реконструкция водопровода в с.Спас  г.Калуга, Д-40 мм протяженностью 326 п.м.</v>
      </c>
      <c r="B55" s="1736">
        <f>Мероприятия_и_источники!C268</f>
        <v>0</v>
      </c>
      <c r="C55" s="1735" t="str">
        <f>Мероприятия_и_источники!D268</f>
        <v>г.Калуга,  с.Спас</v>
      </c>
      <c r="D55" s="1888">
        <f>Мероприятия_и_источники!E268</f>
        <v>0</v>
      </c>
      <c r="E55" s="1737">
        <f>Мероприятия_и_источники!F268</f>
        <v>0</v>
      </c>
      <c r="F55" s="1738">
        <f>Мероприятия_и_источники!G268</f>
        <v>1014.08703435</v>
      </c>
      <c r="G55" s="1739">
        <f>Мероприятия_и_источники!H268</f>
        <v>1216.9044412199999</v>
      </c>
      <c r="H55" s="1737">
        <f>Мероприятия_и_источники!I268</f>
        <v>1216.9044412199999</v>
      </c>
      <c r="I55" s="1737">
        <f>Мероприятия_и_источники!J268</f>
        <v>0</v>
      </c>
      <c r="J55" s="1737">
        <f>Мероприятия_и_источники!K268</f>
        <v>0</v>
      </c>
      <c r="K55" s="1737">
        <f>Мероприятия_и_источники!L268</f>
        <v>0</v>
      </c>
      <c r="L55" s="1740">
        <f>Мероприятия_и_источники!M268</f>
        <v>0</v>
      </c>
      <c r="M55" s="1741" t="str">
        <f>Мероприятия_и_источники!N268</f>
        <v>2024год</v>
      </c>
      <c r="N55" s="1820" t="str">
        <f>Мероприятия_и_источники!O268</f>
        <v>капитальные вложения из прибыли предприятия</v>
      </c>
      <c r="O55" s="1742">
        <v>360</v>
      </c>
      <c r="P55" s="1741"/>
      <c r="Q55" s="1750">
        <v>149.72021000000001</v>
      </c>
      <c r="R55" s="1738"/>
      <c r="S55" s="1739"/>
      <c r="T55" s="1740"/>
      <c r="U55" s="1744">
        <f t="shared" si="33"/>
        <v>1014.08703435</v>
      </c>
      <c r="V55" s="1737">
        <f t="shared" si="37"/>
        <v>0</v>
      </c>
      <c r="W55" s="1737">
        <f>J55/1.2</f>
        <v>0</v>
      </c>
      <c r="X55" s="1737">
        <f t="shared" si="35"/>
        <v>0</v>
      </c>
      <c r="Y55" s="1738">
        <f t="shared" si="36"/>
        <v>0</v>
      </c>
      <c r="Z55" s="1739"/>
      <c r="AA55" s="1737">
        <f>($H$55/1.2+$Q$55)/$O$55*12</f>
        <v>38.793574811666666</v>
      </c>
      <c r="AB55" s="1744">
        <f t="shared" si="38"/>
        <v>38.793574811666666</v>
      </c>
      <c r="AC55" s="1737">
        <f t="shared" si="38"/>
        <v>38.793574811666666</v>
      </c>
      <c r="AD55" s="1740">
        <f t="shared" si="38"/>
        <v>38.793574811666666</v>
      </c>
      <c r="AE55" s="1745">
        <v>39063</v>
      </c>
      <c r="AF55" s="1739"/>
      <c r="AG55" s="1740"/>
      <c r="AH55" s="1746"/>
      <c r="AI55" s="1747"/>
      <c r="AJ55" s="1747"/>
      <c r="AK55" s="1747"/>
      <c r="AL55" s="1747"/>
    </row>
    <row r="56" spans="1:38" s="1748" customFormat="1" ht="45">
      <c r="A56" s="1735" t="str">
        <f>Мероприятия_и_источники!B272</f>
        <v>Реконструкция водопровода  от ул.Глаголева по товарному двору до ул.Ленина, Д-250-300 мм,  протяженностью 960 п.м.</v>
      </c>
      <c r="B56" s="1736">
        <f>Мероприятия_и_источники!C272</f>
        <v>0</v>
      </c>
      <c r="C56" s="1821" t="str">
        <f>Мероприятия_и_источники!D272</f>
        <v>г.Калуга от ул. Глаголева до ул.Ленина</v>
      </c>
      <c r="D56" s="1888">
        <f>Мероприятия_и_источники!E272</f>
        <v>0</v>
      </c>
      <c r="E56" s="1737">
        <f>Мероприятия_и_источники!F272</f>
        <v>0</v>
      </c>
      <c r="F56" s="1738">
        <f>Мероприятия_и_источники!G272</f>
        <v>12918.948379760433</v>
      </c>
      <c r="G56" s="1739">
        <f>Мероприятия_и_источники!H272</f>
        <v>15502.73805571252</v>
      </c>
      <c r="H56" s="1737">
        <f>Мероприятия_и_источники!I272</f>
        <v>0</v>
      </c>
      <c r="I56" s="1737">
        <f>Мероприятия_и_источники!J272</f>
        <v>0</v>
      </c>
      <c r="J56" s="1737">
        <f>Мероприятия_и_источники!K272</f>
        <v>0</v>
      </c>
      <c r="K56" s="1737">
        <f>Мероприятия_и_источники!L272</f>
        <v>15502.73805571252</v>
      </c>
      <c r="L56" s="1740">
        <f>Мероприятия_и_источники!M272</f>
        <v>0</v>
      </c>
      <c r="M56" s="1741" t="str">
        <f>Мероприятия_и_источники!N272</f>
        <v>2027год</v>
      </c>
      <c r="N56" s="1820" t="str">
        <f>Мероприятия_и_источники!O272</f>
        <v>капитальные вложения из прибыли предприятия</v>
      </c>
      <c r="O56" s="1742">
        <v>240</v>
      </c>
      <c r="P56" s="1741"/>
      <c r="Q56" s="1750">
        <f>Износ!O4891/1000</f>
        <v>20.319569999999999</v>
      </c>
      <c r="R56" s="1738"/>
      <c r="S56" s="1739"/>
      <c r="T56" s="1740"/>
      <c r="U56" s="1744">
        <f t="shared" si="33"/>
        <v>0</v>
      </c>
      <c r="V56" s="1737">
        <f t="shared" si="37"/>
        <v>0</v>
      </c>
      <c r="W56" s="1737">
        <f t="shared" si="34"/>
        <v>0</v>
      </c>
      <c r="X56" s="1737">
        <f t="shared" si="35"/>
        <v>12918.948379760433</v>
      </c>
      <c r="Y56" s="1738">
        <f t="shared" si="36"/>
        <v>0</v>
      </c>
      <c r="Z56" s="1739"/>
      <c r="AA56" s="1737"/>
      <c r="AB56" s="1737"/>
      <c r="AC56" s="1737"/>
      <c r="AD56" s="1737">
        <f>(K56/1.2+Q56)/O56*12</f>
        <v>646.96339748802166</v>
      </c>
      <c r="AE56" s="1745">
        <v>37739</v>
      </c>
      <c r="AF56" s="1739"/>
      <c r="AG56" s="1740"/>
      <c r="AH56" s="1746"/>
      <c r="AI56" s="1747"/>
      <c r="AJ56" s="1747"/>
      <c r="AK56" s="1747"/>
      <c r="AL56" s="1747"/>
    </row>
    <row r="57" spans="1:38" s="1748" customFormat="1" ht="45">
      <c r="A57" s="1735" t="str">
        <f>Мероприятия_и_источники!B276</f>
        <v>Реконструкция водовода от ГНС до С.-Щедрина Д=500 мм протяженностью 1100 п.м</v>
      </c>
      <c r="B57" s="1736">
        <f>Мероприятия_и_источники!C276</f>
        <v>0</v>
      </c>
      <c r="C57" s="1735" t="str">
        <f>Мероприятия_и_источники!D276</f>
        <v>г.Калуга, от ул.Зеленый Крупец по ул.С.-Щедрина, ул.Краснопивцева</v>
      </c>
      <c r="D57" s="1888">
        <f>Мероприятия_и_источники!E276</f>
        <v>0</v>
      </c>
      <c r="E57" s="1737">
        <f>Мероприятия_и_источники!F276</f>
        <v>0</v>
      </c>
      <c r="F57" s="1738">
        <f>Мероприятия_и_источники!G276</f>
        <v>37164.831261665422</v>
      </c>
      <c r="G57" s="1739">
        <f>Мероприятия_и_источники!H276</f>
        <v>44597.797513998506</v>
      </c>
      <c r="H57" s="1737">
        <f>Мероприятия_и_источники!I276</f>
        <v>0</v>
      </c>
      <c r="I57" s="1737">
        <f>Мероприятия_и_источники!J276</f>
        <v>0</v>
      </c>
      <c r="J57" s="1737">
        <f>Мероприятия_и_источники!K276</f>
        <v>0</v>
      </c>
      <c r="K57" s="1737">
        <f>Мероприятия_и_источники!L276</f>
        <v>0</v>
      </c>
      <c r="L57" s="1740">
        <f>Мероприятия_и_источники!M276</f>
        <v>44597.797513998506</v>
      </c>
      <c r="M57" s="1741" t="str">
        <f>Мероприятия_и_источники!N276</f>
        <v>2028год</v>
      </c>
      <c r="N57" s="1820" t="str">
        <f>Мероприятия_и_источники!O276</f>
        <v>капитальные вложения из прибыли предприятия</v>
      </c>
      <c r="O57" s="1742">
        <v>240</v>
      </c>
      <c r="P57" s="1741"/>
      <c r="Q57" s="1750">
        <v>39.739089999999997</v>
      </c>
      <c r="R57" s="1738"/>
      <c r="S57" s="1739"/>
      <c r="T57" s="1740"/>
      <c r="U57" s="1744">
        <f t="shared" si="33"/>
        <v>0</v>
      </c>
      <c r="V57" s="1737">
        <f t="shared" si="37"/>
        <v>0</v>
      </c>
      <c r="W57" s="1737">
        <f>J57/1.2</f>
        <v>0</v>
      </c>
      <c r="X57" s="1737">
        <f t="shared" si="35"/>
        <v>0</v>
      </c>
      <c r="Y57" s="1738">
        <f t="shared" si="36"/>
        <v>37164.831261665422</v>
      </c>
      <c r="Z57" s="1739"/>
      <c r="AA57" s="1737"/>
      <c r="AB57" s="1737"/>
      <c r="AC57" s="1737"/>
      <c r="AD57" s="1740"/>
      <c r="AE57" s="1745">
        <v>31008</v>
      </c>
      <c r="AF57" s="1739"/>
      <c r="AG57" s="1740"/>
      <c r="AH57" s="1746"/>
      <c r="AI57" s="1747"/>
      <c r="AJ57" s="1747"/>
      <c r="AK57" s="1747"/>
      <c r="AL57" s="1747"/>
    </row>
    <row r="58" spans="1:38" s="1748" customFormat="1" ht="45">
      <c r="A58" s="1735" t="str">
        <f>Мероприятия_и_источники!B280</f>
        <v>Реконструкция  водовода от Южного водозабора до ул.Комарова  Д=500 мм протяженностью 350 п.м.</v>
      </c>
      <c r="B58" s="1736">
        <f>Мероприятия_и_источники!C280</f>
        <v>0</v>
      </c>
      <c r="C58" s="1735" t="str">
        <f>Мероприятия_и_источники!D280</f>
        <v>г.Калуга,от ул.Октябрьский проезд до ул.Комарова</v>
      </c>
      <c r="D58" s="1888">
        <f>Мероприятия_и_источники!E280</f>
        <v>0</v>
      </c>
      <c r="E58" s="1737">
        <f>Мероприятия_и_источники!F280</f>
        <v>0</v>
      </c>
      <c r="F58" s="1738">
        <f>Мероприятия_и_источники!G280</f>
        <v>26718.286412992307</v>
      </c>
      <c r="G58" s="1739">
        <f>Мероприятия_и_источники!H280</f>
        <v>32061.943695590769</v>
      </c>
      <c r="H58" s="1737">
        <f>Мероприятия_и_источники!I280</f>
        <v>0</v>
      </c>
      <c r="I58" s="1737">
        <f>Мероприятия_и_источники!J280</f>
        <v>0</v>
      </c>
      <c r="J58" s="1737">
        <f>Мероприятия_и_источники!K280</f>
        <v>0</v>
      </c>
      <c r="K58" s="1737">
        <f>Мероприятия_и_источники!L280</f>
        <v>0</v>
      </c>
      <c r="L58" s="1740">
        <f>Мероприятия_и_источники!M280</f>
        <v>32061.943695590769</v>
      </c>
      <c r="M58" s="1741" t="str">
        <f>Мероприятия_и_источники!N280</f>
        <v>2028год</v>
      </c>
      <c r="N58" s="1820" t="str">
        <f>Мероприятия_и_источники!O280</f>
        <v>капитальные вложения из прибыли предприятия</v>
      </c>
      <c r="O58" s="1742">
        <v>413</v>
      </c>
      <c r="P58" s="1741"/>
      <c r="Q58" s="1750">
        <v>1025.8895199999999</v>
      </c>
      <c r="R58" s="1738"/>
      <c r="S58" s="1739"/>
      <c r="T58" s="1740"/>
      <c r="U58" s="1744">
        <f>H58/1.2</f>
        <v>0</v>
      </c>
      <c r="V58" s="1737">
        <f>I58/1.2</f>
        <v>0</v>
      </c>
      <c r="W58" s="1737">
        <f t="shared" si="34"/>
        <v>0</v>
      </c>
      <c r="X58" s="1737">
        <f t="shared" si="35"/>
        <v>0</v>
      </c>
      <c r="Y58" s="1738">
        <f t="shared" si="36"/>
        <v>26718.286412992307</v>
      </c>
      <c r="Z58" s="1739"/>
      <c r="AA58" s="1737"/>
      <c r="AB58" s="1737"/>
      <c r="AC58" s="1737"/>
      <c r="AD58" s="1740"/>
      <c r="AE58" s="1745">
        <v>10563</v>
      </c>
      <c r="AF58" s="1739"/>
      <c r="AG58" s="1740"/>
      <c r="AH58" s="1746"/>
      <c r="AI58" s="1747"/>
      <c r="AJ58" s="1747"/>
      <c r="AK58" s="1747"/>
      <c r="AL58" s="1747"/>
    </row>
    <row r="59" spans="1:38" s="1748" customFormat="1" ht="45">
      <c r="A59" s="1735" t="str">
        <f>Мероприятия_и_источники!B284</f>
        <v>Реконструкция водопровода по проезду 2-ой Загородный, Д-100 мм протяженностью 385 п.м.</v>
      </c>
      <c r="B59" s="1736">
        <f>Мероприятия_и_источники!C284</f>
        <v>0</v>
      </c>
      <c r="C59" s="1821" t="str">
        <f>Мероприятия_и_источники!D284</f>
        <v>г.Калуга, 2-ой Загородный проезд</v>
      </c>
      <c r="D59" s="1888">
        <f>Мероприятия_и_источники!E284</f>
        <v>0</v>
      </c>
      <c r="E59" s="1737">
        <f>Мероприятия_и_источники!F284</f>
        <v>0</v>
      </c>
      <c r="F59" s="1738">
        <f>Мероприятия_и_источники!G284</f>
        <v>1831.5371382750002</v>
      </c>
      <c r="G59" s="1739">
        <f>Мероприятия_и_источники!H284</f>
        <v>2197.84456593</v>
      </c>
      <c r="H59" s="1737">
        <f>Мероприятия_и_источники!I284</f>
        <v>2197.84456593</v>
      </c>
      <c r="I59" s="1737">
        <f>Мероприятия_и_источники!J284</f>
        <v>0</v>
      </c>
      <c r="J59" s="1737">
        <f>Мероприятия_и_источники!K284</f>
        <v>0</v>
      </c>
      <c r="K59" s="1737">
        <f>Мероприятия_и_источники!L284</f>
        <v>0</v>
      </c>
      <c r="L59" s="1740">
        <f>Мероприятия_и_источники!M284</f>
        <v>0</v>
      </c>
      <c r="M59" s="1741" t="str">
        <f>Мероприятия_и_источники!N284</f>
        <v>2024год</v>
      </c>
      <c r="N59" s="1820" t="str">
        <f>Мероприятия_и_источники!O284</f>
        <v>капитальные вложения из прибыли предприятия</v>
      </c>
      <c r="O59" s="1742">
        <v>108</v>
      </c>
      <c r="P59" s="1741"/>
      <c r="Q59" s="1750">
        <f>Износ!O5732/1000</f>
        <v>163.80720000000002</v>
      </c>
      <c r="R59" s="1738"/>
      <c r="S59" s="1739"/>
      <c r="T59" s="1740"/>
      <c r="U59" s="1744">
        <f t="shared" si="33"/>
        <v>1831.5371382750002</v>
      </c>
      <c r="V59" s="1737">
        <f t="shared" si="37"/>
        <v>0</v>
      </c>
      <c r="W59" s="1737">
        <f t="shared" si="34"/>
        <v>0</v>
      </c>
      <c r="X59" s="1737">
        <f t="shared" si="35"/>
        <v>0</v>
      </c>
      <c r="Y59" s="1738">
        <f t="shared" si="36"/>
        <v>0</v>
      </c>
      <c r="Z59" s="1739"/>
      <c r="AA59" s="1737">
        <f>(($H$59)/1.2+$Q$59)/$O$59*12</f>
        <v>221.70492647500004</v>
      </c>
      <c r="AB59" s="1737">
        <f>AA59</f>
        <v>221.70492647500004</v>
      </c>
      <c r="AC59" s="1737">
        <f>AB59</f>
        <v>221.70492647500004</v>
      </c>
      <c r="AD59" s="1740">
        <f>AC59</f>
        <v>221.70492647500004</v>
      </c>
      <c r="AE59" s="1745">
        <v>44683</v>
      </c>
      <c r="AF59" s="1739"/>
      <c r="AG59" s="1740"/>
      <c r="AH59" s="1746"/>
      <c r="AI59" s="1747"/>
      <c r="AJ59" s="1747"/>
      <c r="AK59" s="1747"/>
      <c r="AL59" s="1747"/>
    </row>
    <row r="60" spans="1:38" s="1748" customFormat="1" ht="90">
      <c r="A60" s="1735" t="str">
        <f>Мероприятия_и_источники!B304</f>
        <v>Корректировка Проектной документации на объект капитального строительства: «Строительство сетей водоснабжения  микрорайонов «Кошелев-проект, Ташир, кварталов № 5-19, 22, 23 в районе д. Верховая, д. Квань, г. Калуга»</v>
      </c>
      <c r="B60" s="1736">
        <f>Мероприятия_и_источники!C304</f>
        <v>0</v>
      </c>
      <c r="C60" s="1735" t="str">
        <f>Мероприятия_и_источники!D304</f>
        <v xml:space="preserve">г.Калуга, в районе д. Верховая, д. Квань </v>
      </c>
      <c r="D60" s="1888">
        <f>Мероприятия_и_источники!E304</f>
        <v>0</v>
      </c>
      <c r="E60" s="1737">
        <f>Мероприятия_и_источники!F304</f>
        <v>0</v>
      </c>
      <c r="F60" s="1738">
        <f>Мероприятия_и_источники!G304</f>
        <v>24369.000448104001</v>
      </c>
      <c r="G60" s="1739">
        <f>Мероприятия_и_источники!H304</f>
        <v>29242.800537724801</v>
      </c>
      <c r="H60" s="1737">
        <f>Мероприятия_и_источники!I304</f>
        <v>0</v>
      </c>
      <c r="I60" s="1737">
        <f>Мероприятия_и_источники!J304</f>
        <v>14621.4002688624</v>
      </c>
      <c r="J60" s="1737">
        <f>Мероприятия_и_источники!K304</f>
        <v>14621.4002688624</v>
      </c>
      <c r="K60" s="1737">
        <f>Мероприятия_и_источники!L304</f>
        <v>0</v>
      </c>
      <c r="L60" s="1740">
        <f>Мероприятия_и_источники!M304</f>
        <v>0</v>
      </c>
      <c r="M60" s="1741" t="str">
        <f>Мероприятия_и_источники!N304</f>
        <v>2025-2026гг.</v>
      </c>
      <c r="N60" s="1820" t="str">
        <f>Мероприятия_и_источники!O304</f>
        <v>капитальные вложения из прибыли предприятия</v>
      </c>
      <c r="O60" s="1742">
        <v>361</v>
      </c>
      <c r="P60" s="1741"/>
      <c r="Q60" s="1750">
        <f>Износ!O5183/1000</f>
        <v>19891.698199999999</v>
      </c>
      <c r="R60" s="1738"/>
      <c r="S60" s="1739"/>
      <c r="T60" s="1740"/>
      <c r="U60" s="1744">
        <f t="shared" si="33"/>
        <v>0</v>
      </c>
      <c r="V60" s="1737">
        <f t="shared" si="37"/>
        <v>12184.500224052001</v>
      </c>
      <c r="W60" s="1737">
        <f t="shared" si="34"/>
        <v>12184.500224052001</v>
      </c>
      <c r="X60" s="1737">
        <f t="shared" si="35"/>
        <v>0</v>
      </c>
      <c r="Y60" s="1738">
        <f t="shared" si="36"/>
        <v>0</v>
      </c>
      <c r="Z60" s="1739"/>
      <c r="AA60" s="1737"/>
      <c r="AB60" s="1737"/>
      <c r="AC60" s="1737">
        <f>((I60+J60)/1.2+$Q$60)/$O$60*12</f>
        <v>1471.2697611558115</v>
      </c>
      <c r="AD60" s="1740">
        <f>AC60</f>
        <v>1471.2697611558115</v>
      </c>
      <c r="AE60" s="1745">
        <v>42562</v>
      </c>
      <c r="AF60" s="1739"/>
      <c r="AG60" s="1740"/>
      <c r="AH60" s="1746"/>
      <c r="AI60" s="1747"/>
      <c r="AJ60" s="1747"/>
      <c r="AK60" s="1747"/>
      <c r="AL60" s="1747"/>
    </row>
    <row r="61" spans="1:38" s="1748" customFormat="1" ht="60">
      <c r="A61" s="1735" t="str">
        <f>Мероприятия_и_источники!B308</f>
        <v>Внедрение модуля программного обеспечения "Расчеты с абонентами","Промышленный документооборот","Разработка личного кабинета"</v>
      </c>
      <c r="B61" s="1736">
        <f>Мероприятия_и_источники!C308</f>
        <v>0</v>
      </c>
      <c r="C61" s="1735" t="str">
        <f>Мероприятия_и_источники!D308</f>
        <v>г.Калуга</v>
      </c>
      <c r="D61" s="1888">
        <f>Мероприятия_и_источники!E308</f>
        <v>0</v>
      </c>
      <c r="E61" s="1737">
        <f>Мероприятия_и_источники!F308</f>
        <v>0</v>
      </c>
      <c r="F61" s="1738">
        <f>Мероприятия_и_источники!G308</f>
        <v>8073.4375</v>
      </c>
      <c r="G61" s="1739">
        <f>Мероприятия_и_источники!H308</f>
        <v>9688.125</v>
      </c>
      <c r="H61" s="1737">
        <f>Мероприятия_и_источники!I308</f>
        <v>4844.0625</v>
      </c>
      <c r="I61" s="1737">
        <f>Мероприятия_и_источники!J308</f>
        <v>4844.0625</v>
      </c>
      <c r="J61" s="1737">
        <f>Мероприятия_и_источники!K308</f>
        <v>0</v>
      </c>
      <c r="K61" s="1737">
        <f>Мероприятия_и_источники!L308</f>
        <v>0</v>
      </c>
      <c r="L61" s="1740">
        <f>Мероприятия_и_источники!M308</f>
        <v>0</v>
      </c>
      <c r="M61" s="1741" t="str">
        <f>Мероприятия_и_источники!N308</f>
        <v>2024-2025гг.</v>
      </c>
      <c r="N61" s="1820" t="str">
        <f>Мероприятия_и_источники!O308</f>
        <v>капитальные вложения из прибыли предприятия</v>
      </c>
      <c r="O61" s="1742" t="s">
        <v>1083</v>
      </c>
      <c r="P61" s="1741"/>
      <c r="Q61" s="1743"/>
      <c r="R61" s="1738"/>
      <c r="S61" s="1739"/>
      <c r="T61" s="1740"/>
      <c r="U61" s="1744"/>
      <c r="V61" s="1737"/>
      <c r="W61" s="1737"/>
      <c r="X61" s="1737"/>
      <c r="Y61" s="1738"/>
      <c r="Z61" s="1749"/>
      <c r="AA61" s="1750"/>
      <c r="AB61" s="1750"/>
      <c r="AC61" s="1750"/>
      <c r="AD61" s="1751"/>
      <c r="AE61" s="1745" t="s">
        <v>1083</v>
      </c>
      <c r="AF61" s="1739"/>
      <c r="AG61" s="1740"/>
      <c r="AH61" s="1746"/>
      <c r="AI61" s="1747"/>
      <c r="AJ61" s="1747"/>
      <c r="AK61" s="1747"/>
      <c r="AL61" s="1747"/>
    </row>
    <row r="62" spans="1:38" s="1748" customFormat="1" ht="60">
      <c r="A62" s="1735" t="str">
        <f>Мероприятия_и_источники!B312</f>
        <v>Выполнение работ по установке (внедрению) автоматизированной информационно-измерительной системы учета водоснабжения (АИИСУВ)</v>
      </c>
      <c r="B62" s="1736">
        <f>Мероприятия_и_источники!C312</f>
        <v>0</v>
      </c>
      <c r="C62" s="1735" t="str">
        <f>Мероприятия_и_источники!D312</f>
        <v>г.Калуга</v>
      </c>
      <c r="D62" s="1888">
        <f>Мероприятия_и_источники!E312</f>
        <v>0</v>
      </c>
      <c r="E62" s="1737">
        <f>Мероприятия_и_источники!F312</f>
        <v>0</v>
      </c>
      <c r="F62" s="1738">
        <f>Мероприятия_и_источники!G312</f>
        <v>282295.90910100006</v>
      </c>
      <c r="G62" s="1739">
        <f>Мероприятия_и_источники!H312</f>
        <v>338755.09092120006</v>
      </c>
      <c r="H62" s="1737">
        <f>Мероприятия_и_источники!I312</f>
        <v>37474.371097199997</v>
      </c>
      <c r="I62" s="1737">
        <f>Мероприятия_и_источники!J312</f>
        <v>75320.179956000007</v>
      </c>
      <c r="J62" s="1737">
        <f>Мероприятия_и_источники!K312</f>
        <v>75320.179956000007</v>
      </c>
      <c r="K62" s="1737">
        <f>Мероприятия_и_источники!L312</f>
        <v>75320.179956000007</v>
      </c>
      <c r="L62" s="1740">
        <f>Мероприятия_и_источники!M312</f>
        <v>75320.179956000007</v>
      </c>
      <c r="M62" s="1741" t="str">
        <f>Мероприятия_и_источники!N312</f>
        <v>2024-2028гг.</v>
      </c>
      <c r="N62" s="1820" t="str">
        <f>Мероприятия_и_источники!O312</f>
        <v>амортизационные отчисления</v>
      </c>
      <c r="O62" s="1742">
        <v>120</v>
      </c>
      <c r="P62" s="1741"/>
      <c r="Q62" s="1743"/>
      <c r="R62" s="1738"/>
      <c r="S62" s="1739"/>
      <c r="T62" s="1740"/>
      <c r="U62" s="1744"/>
      <c r="V62" s="1737">
        <f>(H62)/1.2</f>
        <v>31228.642581</v>
      </c>
      <c r="W62" s="1737">
        <f>I62/1.2</f>
        <v>62766.816630000008</v>
      </c>
      <c r="X62" s="1737">
        <f>J62/1.2</f>
        <v>62766.816630000008</v>
      </c>
      <c r="Y62" s="1738">
        <f>K62/1.2</f>
        <v>62766.816630000008</v>
      </c>
      <c r="Z62" s="1739"/>
      <c r="AA62" s="1737"/>
      <c r="AB62" s="1737"/>
      <c r="AC62" s="1737"/>
      <c r="AD62" s="1740"/>
      <c r="AE62" s="1745" t="s">
        <v>1083</v>
      </c>
      <c r="AF62" s="1739"/>
      <c r="AG62" s="1740"/>
      <c r="AH62" s="1746"/>
      <c r="AI62" s="1747"/>
      <c r="AJ62" s="1747"/>
      <c r="AK62" s="1747"/>
      <c r="AL62" s="1747"/>
    </row>
    <row r="63" spans="1:38" s="1748" customFormat="1" ht="60">
      <c r="A63" s="1735" t="str">
        <f>Мероприятия_и_источники!B316</f>
        <v>Мероприятия по защите централизованных систем водоснабжения и их отдельных объектов от угроз техногенного, природного характера и террористических актов</v>
      </c>
      <c r="B63" s="1736">
        <f>Мероприятия_и_источники!C316</f>
        <v>0</v>
      </c>
      <c r="C63" s="1735" t="str">
        <f>Мероприятия_и_источники!D316</f>
        <v>г.Калуга</v>
      </c>
      <c r="D63" s="1888">
        <f>Мероприятия_и_источники!E316</f>
        <v>0</v>
      </c>
      <c r="E63" s="1737">
        <f>Мероприятия_и_источники!F316</f>
        <v>0</v>
      </c>
      <c r="F63" s="1738">
        <f>Мероприятия_и_источники!G316</f>
        <v>3545.3808989999993</v>
      </c>
      <c r="G63" s="1739">
        <f>Мероприятия_и_источники!H316</f>
        <v>4254.4570787999992</v>
      </c>
      <c r="H63" s="1737">
        <f>Мероприятия_и_источники!I316</f>
        <v>3487.4009027999996</v>
      </c>
      <c r="I63" s="1737">
        <f>Мероприятия_и_источники!J316</f>
        <v>191.76404399999998</v>
      </c>
      <c r="J63" s="1737">
        <f>Мероприятия_и_источники!K316</f>
        <v>191.76404399999998</v>
      </c>
      <c r="K63" s="1737">
        <f>Мероприятия_и_источники!L316</f>
        <v>191.76404399999998</v>
      </c>
      <c r="L63" s="1740">
        <f>Мероприятия_и_источники!M316</f>
        <v>191.76404399999998</v>
      </c>
      <c r="M63" s="1741" t="str">
        <f>Мероприятия_и_источники!N316</f>
        <v>2024-2028гг.</v>
      </c>
      <c r="N63" s="1820" t="str">
        <f>Мероприятия_и_источники!O316</f>
        <v>амортизационные отчисления</v>
      </c>
      <c r="O63" s="1742" t="s">
        <v>1083</v>
      </c>
      <c r="P63" s="1741"/>
      <c r="Q63" s="1743"/>
      <c r="R63" s="1738"/>
      <c r="S63" s="1739"/>
      <c r="T63" s="1740"/>
      <c r="U63" s="1744">
        <f t="shared" si="33"/>
        <v>2906.1674189999999</v>
      </c>
      <c r="V63" s="1737">
        <f t="shared" si="37"/>
        <v>159.80337</v>
      </c>
      <c r="W63" s="1737">
        <f t="shared" si="34"/>
        <v>159.80337</v>
      </c>
      <c r="X63" s="1737">
        <f t="shared" si="35"/>
        <v>159.80337</v>
      </c>
      <c r="Y63" s="1738">
        <f t="shared" si="36"/>
        <v>159.80337</v>
      </c>
      <c r="Z63" s="1739"/>
      <c r="AA63" s="1737"/>
      <c r="AB63" s="1737"/>
      <c r="AC63" s="1737"/>
      <c r="AD63" s="1740"/>
      <c r="AE63" s="1745" t="s">
        <v>1083</v>
      </c>
      <c r="AF63" s="1739"/>
      <c r="AG63" s="1740"/>
      <c r="AH63" s="1746"/>
      <c r="AI63" s="1747"/>
      <c r="AJ63" s="1747"/>
      <c r="AK63" s="1747"/>
      <c r="AL63" s="1747"/>
    </row>
    <row r="64" spans="1:38">
      <c r="A64" s="1822"/>
      <c r="B64" s="1823"/>
      <c r="C64" s="1822"/>
      <c r="D64" s="1890"/>
      <c r="E64" s="1824"/>
      <c r="F64" s="1825"/>
      <c r="G64" s="1826"/>
      <c r="H64" s="1824"/>
      <c r="I64" s="1824"/>
      <c r="J64" s="1824"/>
      <c r="K64" s="1824"/>
      <c r="L64" s="1827"/>
      <c r="M64" s="1828"/>
      <c r="N64" s="1829"/>
      <c r="O64" s="1830"/>
      <c r="P64" s="1828"/>
      <c r="Q64" s="1831"/>
      <c r="R64" s="1825"/>
      <c r="S64" s="1826"/>
      <c r="T64" s="1827"/>
      <c r="U64" s="1832"/>
      <c r="V64" s="1824"/>
      <c r="W64" s="1824"/>
      <c r="X64" s="1824"/>
      <c r="Y64" s="1825"/>
      <c r="Z64" s="1833"/>
      <c r="AA64" s="1834"/>
      <c r="AB64" s="1834"/>
      <c r="AC64" s="1834"/>
      <c r="AD64" s="1835"/>
      <c r="AE64" s="1836"/>
      <c r="AF64" s="1826"/>
      <c r="AG64" s="1827"/>
      <c r="AH64" s="1837"/>
      <c r="AI64" s="1838"/>
      <c r="AJ64" s="1838"/>
      <c r="AK64" s="1838"/>
      <c r="AL64" s="1838"/>
    </row>
    <row r="65" spans="1:38" s="1855" customFormat="1">
      <c r="A65" s="1839" t="s">
        <v>14877</v>
      </c>
      <c r="B65" s="1840"/>
      <c r="C65" s="1839"/>
      <c r="D65" s="1891"/>
      <c r="E65" s="1841"/>
      <c r="F65" s="1842"/>
      <c r="G65" s="1843"/>
      <c r="H65" s="1841"/>
      <c r="I65" s="1841"/>
      <c r="J65" s="1841"/>
      <c r="K65" s="1841"/>
      <c r="L65" s="1844"/>
      <c r="M65" s="1845"/>
      <c r="N65" s="1846"/>
      <c r="O65" s="1847"/>
      <c r="P65" s="1845">
        <f>Износ!N7487/1000</f>
        <v>1054598.6784000001</v>
      </c>
      <c r="Q65" s="1848">
        <f>Износ!O7487/1000</f>
        <v>621650.40699000005</v>
      </c>
      <c r="R65" s="1842">
        <f>Износ!R7487/1000</f>
        <v>432948.27141000004</v>
      </c>
      <c r="S65" s="1843">
        <f>R65+Износ!Q7487/1000</f>
        <v>505624.62037000002</v>
      </c>
      <c r="T65" s="1844">
        <f>P65</f>
        <v>1054598.6784000001</v>
      </c>
      <c r="U65" s="1849">
        <f>T65+U66-Износ!N6801/1000-Износ!N7111/1000-Износ!N6152/1000-Износ!N6971/1000-Износ!N5966/1000-Износ!N7126/1000</f>
        <v>1096763.5317450927</v>
      </c>
      <c r="V65" s="1841">
        <f>U65+V66-Износ!N6723/1000-Износ!N6269/1000-Износ!N1581/1000-Износ!N1895/1000-Износ!N1584/1000</f>
        <v>1386926.7258031152</v>
      </c>
      <c r="W65" s="1841">
        <f>V65+W66</f>
        <v>1500924.492929474</v>
      </c>
      <c r="X65" s="1841">
        <f>W65+X66-Износ!N6527/1000-Износ!N6761/1000-Износ!N5968/1000</f>
        <v>1648755.1731864887</v>
      </c>
      <c r="Y65" s="1842">
        <f>X65+Y66-Износ!N6538/1000-Износ!N6870/1000-Износ!N6143/1000-Износ!N6971/1000-Износ!N5964/1000-Износ!N5983/1000-Износ!N6538/1000-Износ!N5951/1000-Износ!N5977/1000-Износ!N6032/1000</f>
        <v>1935426.5114486497</v>
      </c>
      <c r="Z65" s="1843">
        <f>S65+Износ!$Q$7487/1000+Z66</f>
        <v>578300.96932999999</v>
      </c>
      <c r="AA65" s="1841">
        <f>Z65+AA66</f>
        <v>583402.95319386979</v>
      </c>
      <c r="AB65" s="1841">
        <f>AA65+AB66</f>
        <v>601411.9895752928</v>
      </c>
      <c r="AC65" s="1841">
        <f>AB65+AC66</f>
        <v>624072.45901632728</v>
      </c>
      <c r="AD65" s="1844">
        <f>AC65++AD66</f>
        <v>650440.13769461657</v>
      </c>
      <c r="AE65" s="1850"/>
      <c r="AF65" s="1851">
        <f>R65/P65</f>
        <v>0.41053367529992918</v>
      </c>
      <c r="AG65" s="1852">
        <f>S65/T65</f>
        <v>0.47944742462328499</v>
      </c>
      <c r="AH65" s="1853">
        <f>Z65/U65</f>
        <v>0.52727953892654356</v>
      </c>
      <c r="AI65" s="1854">
        <f>AA65/V65</f>
        <v>0.42064439479024668</v>
      </c>
      <c r="AJ65" s="1854">
        <f>AB65/W65</f>
        <v>0.40069436697742805</v>
      </c>
      <c r="AK65" s="1854">
        <f>AC65/X65</f>
        <v>0.37851129698668684</v>
      </c>
      <c r="AL65" s="1854">
        <f>AD65/Y65</f>
        <v>0.3360706975165737</v>
      </c>
    </row>
    <row r="66" spans="1:38" s="1855" customFormat="1">
      <c r="A66" s="1839" t="s">
        <v>14874</v>
      </c>
      <c r="B66" s="1840"/>
      <c r="C66" s="1839"/>
      <c r="D66" s="1891"/>
      <c r="E66" s="1841"/>
      <c r="F66" s="1842">
        <f t="shared" ref="F66:L66" si="39">SUM(F67:F110)</f>
        <v>906183.60582864983</v>
      </c>
      <c r="G66" s="1843">
        <f t="shared" si="39"/>
        <v>1087420.3269943795</v>
      </c>
      <c r="H66" s="1841">
        <f t="shared" si="39"/>
        <v>53478.216690111236</v>
      </c>
      <c r="I66" s="1841">
        <f t="shared" si="39"/>
        <v>364858.83947762713</v>
      </c>
      <c r="J66" s="1841">
        <f t="shared" si="39"/>
        <v>173764.840203445</v>
      </c>
      <c r="K66" s="1841">
        <f t="shared" si="39"/>
        <v>218205.90401223209</v>
      </c>
      <c r="L66" s="1844">
        <f t="shared" si="39"/>
        <v>277112.52661096404</v>
      </c>
      <c r="M66" s="1845"/>
      <c r="N66" s="1846"/>
      <c r="O66" s="1847"/>
      <c r="P66" s="1845"/>
      <c r="Q66" s="1848"/>
      <c r="R66" s="1842"/>
      <c r="S66" s="1843"/>
      <c r="T66" s="1844"/>
      <c r="U66" s="1849">
        <f t="shared" ref="U66:AD66" si="40">SUM(U67:U110)</f>
        <v>44565.180575092694</v>
      </c>
      <c r="V66" s="1841">
        <f t="shared" si="40"/>
        <v>304049.03289802262</v>
      </c>
      <c r="W66" s="1841">
        <f t="shared" si="40"/>
        <v>113997.7671263587</v>
      </c>
      <c r="X66" s="1841">
        <f t="shared" si="40"/>
        <v>151031.98696701461</v>
      </c>
      <c r="Y66" s="1842">
        <f t="shared" si="40"/>
        <v>292539.638262161</v>
      </c>
      <c r="Z66" s="1843">
        <f t="shared" si="40"/>
        <v>0</v>
      </c>
      <c r="AA66" s="1841">
        <f t="shared" si="40"/>
        <v>5101.9838638698111</v>
      </c>
      <c r="AB66" s="1841">
        <f t="shared" si="40"/>
        <v>18009.03638142304</v>
      </c>
      <c r="AC66" s="1841">
        <f t="shared" si="40"/>
        <v>22660.469441034485</v>
      </c>
      <c r="AD66" s="1844">
        <f t="shared" si="40"/>
        <v>26367.678678289245</v>
      </c>
      <c r="AE66" s="1850"/>
      <c r="AF66" s="1843"/>
      <c r="AG66" s="1844"/>
      <c r="AH66" s="1856"/>
      <c r="AI66" s="1857"/>
      <c r="AJ66" s="1857"/>
      <c r="AK66" s="1857"/>
      <c r="AL66" s="1857"/>
    </row>
    <row r="67" spans="1:38" s="1871" customFormat="1" ht="45">
      <c r="A67" s="1858" t="str">
        <f>Мероприятия_и_источники!B333</f>
        <v>Строительство сетей водоотведения Д=40-150 мм</v>
      </c>
      <c r="B67" s="1859">
        <f>Мероприятия_и_источники!C333</f>
        <v>2490</v>
      </c>
      <c r="C67" s="1858" t="str">
        <f>Мероприятия_и_источники!D333</f>
        <v>Жилые дома, нежилые здания и помещения на территории г.Калуга</v>
      </c>
      <c r="D67" s="1892" t="str">
        <f>Мероприятия_и_источники!E333</f>
        <v>Заявители, величина подключаемой нагрузки которых не превышает 40 куб.м.в сутки</v>
      </c>
      <c r="E67" s="1860">
        <f>Мероприятия_и_источники!F333</f>
        <v>1165.1899999999998</v>
      </c>
      <c r="F67" s="1861">
        <f>Мероприятия_и_источники!G333</f>
        <v>74618.914114799292</v>
      </c>
      <c r="G67" s="1862">
        <f>Мероприятия_и_источники!H333</f>
        <v>89542.696937759145</v>
      </c>
      <c r="H67" s="1860">
        <f>Мероприятия_и_источники!I333</f>
        <v>16532.009669999996</v>
      </c>
      <c r="I67" s="1860">
        <f>Мероприятия_и_источники!J333</f>
        <v>17193.290056799997</v>
      </c>
      <c r="J67" s="1860">
        <f>Мероприятия_и_источники!K333</f>
        <v>17881.021659071997</v>
      </c>
      <c r="K67" s="1860">
        <f>Мероприятия_и_источники!L333</f>
        <v>18596.262525434879</v>
      </c>
      <c r="L67" s="1863">
        <f>Мероприятия_и_источники!M333</f>
        <v>19340.113026452276</v>
      </c>
      <c r="M67" s="1864" t="str">
        <f>Мероприятия_и_источники!N333</f>
        <v>2024-2028гг.</v>
      </c>
      <c r="N67" s="1865" t="str">
        <f>Мероприятия_и_источники!O333</f>
        <v>плата за подключение (по тарифам на подключение)</v>
      </c>
      <c r="O67" s="1866">
        <v>181</v>
      </c>
      <c r="P67" s="1864"/>
      <c r="Q67" s="1743"/>
      <c r="R67" s="1861"/>
      <c r="S67" s="1862"/>
      <c r="T67" s="1863"/>
      <c r="U67" s="1867">
        <f t="shared" ref="U67:U83" si="41">H67/1.2</f>
        <v>13776.674724999997</v>
      </c>
      <c r="V67" s="1860">
        <f t="shared" ref="V67:V83" si="42">I67/1.2</f>
        <v>14327.741713999998</v>
      </c>
      <c r="W67" s="1860">
        <f t="shared" ref="W67:W83" si="43">J67/1.2</f>
        <v>14900.851382559998</v>
      </c>
      <c r="X67" s="1860">
        <f t="shared" ref="X67:X83" si="44">K67/1.2</f>
        <v>15496.8854378624</v>
      </c>
      <c r="Y67" s="1861">
        <f t="shared" ref="Y67:Y83" si="45">L67/1.2</f>
        <v>16116.760855376897</v>
      </c>
      <c r="Z67" s="1862"/>
      <c r="AA67" s="1860">
        <f>H67/1.2/O67*12</f>
        <v>913.37069999999994</v>
      </c>
      <c r="AB67" s="1860">
        <f>AA67+I67/1.2/O67*12</f>
        <v>1863.2762279999997</v>
      </c>
      <c r="AC67" s="1860">
        <f>AB67+J67/1.2/O67*12</f>
        <v>2851.1779771199999</v>
      </c>
      <c r="AD67" s="1863">
        <f>AC67+K67/1.2/O67*12</f>
        <v>3878.5957962048001</v>
      </c>
      <c r="AE67" s="1868" t="s">
        <v>1083</v>
      </c>
      <c r="AF67" s="1862"/>
      <c r="AG67" s="1863"/>
      <c r="AH67" s="1869"/>
      <c r="AI67" s="1870"/>
      <c r="AJ67" s="1870"/>
      <c r="AK67" s="1870"/>
      <c r="AL67" s="1870"/>
    </row>
    <row r="68" spans="1:38" s="1871" customFormat="1" ht="60">
      <c r="A68" s="1858" t="str">
        <f>Мероприятия_и_источники!B337</f>
        <v xml:space="preserve">Строительство самотечного канализационного  коллектора  Ду 200 мм протяженностью 85,5 п.м. и диаметром 160 мм протяженностью 155 п.м.  
</v>
      </c>
      <c r="B68" s="1859">
        <f>Мероприятия_и_источники!C337</f>
        <v>240.5</v>
      </c>
      <c r="C68" s="1858" t="str">
        <f>Мероприятия_и_источники!D337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D68" s="1892" t="str">
        <f>Мероприятия_и_источники!E337</f>
        <v>ООО Совместное предприятие "Минскстройэкспорт"</v>
      </c>
      <c r="E68" s="1860">
        <f>Мероприятия_и_источники!F337</f>
        <v>0</v>
      </c>
      <c r="F68" s="1861">
        <f>Мероприятия_и_источники!G337</f>
        <v>274.93600000000004</v>
      </c>
      <c r="G68" s="1862">
        <f>Мероприятия_и_источники!H337</f>
        <v>329.92320000000001</v>
      </c>
      <c r="H68" s="1860">
        <f>Мероприятия_и_источники!I337</f>
        <v>0</v>
      </c>
      <c r="I68" s="1860">
        <f>Мероприятия_и_источники!J337</f>
        <v>329.92320000000001</v>
      </c>
      <c r="J68" s="1860">
        <f>Мероприятия_и_источники!K337</f>
        <v>0</v>
      </c>
      <c r="K68" s="1860">
        <f>Мероприятия_и_источники!L337</f>
        <v>0</v>
      </c>
      <c r="L68" s="1863">
        <f>Мероприятия_и_источники!M337</f>
        <v>0</v>
      </c>
      <c r="M68" s="1864" t="str">
        <f>Мероприятия_и_источники!N337</f>
        <v>2025год</v>
      </c>
      <c r="N68" s="1865" t="str">
        <f>Мероприятия_и_источники!O337</f>
        <v>плата за подключение в индивидуальном порядке</v>
      </c>
      <c r="O68" s="1866">
        <v>181</v>
      </c>
      <c r="P68" s="1864"/>
      <c r="Q68" s="1743"/>
      <c r="R68" s="1861"/>
      <c r="S68" s="1862"/>
      <c r="T68" s="1863"/>
      <c r="U68" s="1867">
        <f t="shared" si="41"/>
        <v>0</v>
      </c>
      <c r="V68" s="1860">
        <f t="shared" si="42"/>
        <v>274.93600000000004</v>
      </c>
      <c r="W68" s="1860">
        <f t="shared" si="43"/>
        <v>0</v>
      </c>
      <c r="X68" s="1860">
        <f t="shared" si="44"/>
        <v>0</v>
      </c>
      <c r="Y68" s="1861">
        <f t="shared" si="45"/>
        <v>0</v>
      </c>
      <c r="Z68" s="1862"/>
      <c r="AA68" s="1860"/>
      <c r="AB68" s="1860">
        <f>I68/1.2/O68*12</f>
        <v>18.227801104972379</v>
      </c>
      <c r="AC68" s="1860">
        <f t="shared" ref="AC68:AD71" si="46">AB68</f>
        <v>18.227801104972379</v>
      </c>
      <c r="AD68" s="1863">
        <f t="shared" si="46"/>
        <v>18.227801104972379</v>
      </c>
      <c r="AE68" s="1868" t="s">
        <v>1083</v>
      </c>
      <c r="AF68" s="1862"/>
      <c r="AG68" s="1863"/>
      <c r="AH68" s="1869"/>
      <c r="AI68" s="1870"/>
      <c r="AJ68" s="1870"/>
      <c r="AK68" s="1870"/>
      <c r="AL68" s="1870"/>
    </row>
    <row r="69" spans="1:38" s="1871" customFormat="1" ht="75">
      <c r="A69" s="1858" t="str">
        <f>Мероприятия_и_источники!B341</f>
        <v>Строительство самотечного канализационного коллектора Ду300мм. Протяженностью 151 п.м. со строительством смотровых канализационных колодцев диаметром 1500 мм - 3 шт. от пер.Дорожного до КНС "Ольговка"</v>
      </c>
      <c r="B69" s="1859">
        <f>Мероприятия_и_источники!C341</f>
        <v>151</v>
      </c>
      <c r="C69" s="1858" t="str">
        <f>Мероприятия_и_источники!D341</f>
        <v xml:space="preserve"> Комплекс жилых домов по ул. Тарутинская. Мкр. «Малиновка-2», расположенный по адресу:  г.Калуга, ул.Тарутинская д.241, д.243</v>
      </c>
      <c r="D69" s="1892" t="str">
        <f>Мероприятия_и_источники!E341</f>
        <v>ООО Совместное предприятие "Минскстройэкспорт"</v>
      </c>
      <c r="E69" s="1860">
        <f>Мероприятия_и_источники!F341</f>
        <v>576.9</v>
      </c>
      <c r="F69" s="1861">
        <f>Мероприятия_и_источники!G341</f>
        <v>1145.4880000000001</v>
      </c>
      <c r="G69" s="1862">
        <f>Мероприятия_и_источники!H341</f>
        <v>1374.5855999999999</v>
      </c>
      <c r="H69" s="1860">
        <f>Мероприятия_и_источники!I341</f>
        <v>0</v>
      </c>
      <c r="I69" s="1860">
        <f>Мероприятия_и_источники!J341</f>
        <v>1374.5855999999999</v>
      </c>
      <c r="J69" s="1860">
        <f>Мероприятия_и_источники!K341</f>
        <v>0</v>
      </c>
      <c r="K69" s="1860">
        <f>Мероприятия_и_источники!L341</f>
        <v>0</v>
      </c>
      <c r="L69" s="1863">
        <f>Мероприятия_и_источники!M341</f>
        <v>0</v>
      </c>
      <c r="M69" s="1864" t="str">
        <f>Мероприятия_и_источники!N341</f>
        <v>2025год</v>
      </c>
      <c r="N69" s="1865" t="str">
        <f>Мероприятия_и_источники!O341</f>
        <v>плата за подключение в индивидуальном порядке</v>
      </c>
      <c r="O69" s="1866">
        <v>181</v>
      </c>
      <c r="P69" s="1864"/>
      <c r="Q69" s="1743"/>
      <c r="R69" s="1861"/>
      <c r="S69" s="1862"/>
      <c r="T69" s="1863"/>
      <c r="U69" s="1867">
        <f t="shared" si="41"/>
        <v>0</v>
      </c>
      <c r="V69" s="1860">
        <f t="shared" si="42"/>
        <v>1145.4880000000001</v>
      </c>
      <c r="W69" s="1860">
        <f t="shared" si="43"/>
        <v>0</v>
      </c>
      <c r="X69" s="1860">
        <f t="shared" si="44"/>
        <v>0</v>
      </c>
      <c r="Y69" s="1861">
        <f t="shared" si="45"/>
        <v>0</v>
      </c>
      <c r="Z69" s="1862"/>
      <c r="AA69" s="1860"/>
      <c r="AB69" s="1860">
        <f>I69/1.2/O69*12</f>
        <v>75.943955801104977</v>
      </c>
      <c r="AC69" s="1860">
        <f t="shared" si="46"/>
        <v>75.943955801104977</v>
      </c>
      <c r="AD69" s="1863">
        <f t="shared" si="46"/>
        <v>75.943955801104977</v>
      </c>
      <c r="AE69" s="1868" t="s">
        <v>1083</v>
      </c>
      <c r="AF69" s="1862"/>
      <c r="AG69" s="1863"/>
      <c r="AH69" s="1869"/>
      <c r="AI69" s="1870"/>
      <c r="AJ69" s="1870"/>
      <c r="AK69" s="1870"/>
      <c r="AL69" s="1870"/>
    </row>
    <row r="70" spans="1:38" s="1871" customFormat="1" ht="165">
      <c r="A70" s="1858" t="str">
        <f>Мероприятия_и_источники!B345</f>
        <v>Строительство  самотечного канализационного  коллектора    Ду=200 мм. от площадки застройки (границы земельного участка)  до точки подключения КК1 (существующий канализационный коллектор Ду=500мм) протяженностью 86 п.м. с обустройством смотровых к/колодцев диаметром 2м – 2 шт.
При строительстве коллектора под а/дорогой предусмотреть устройство футляра внутренним диаметром не менее 400мм, протяженностью 28 п.м.</v>
      </c>
      <c r="B70" s="1859">
        <f>Мероприятия_и_источники!C345</f>
        <v>86</v>
      </c>
      <c r="C70" s="1858" t="str">
        <f>Мероприятия_и_источники!D345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D70" s="1892" t="str">
        <f>Мероприятия_и_источники!E345</f>
        <v xml:space="preserve"> ГКУ КО "Управление капитального строительства"</v>
      </c>
      <c r="E70" s="1860">
        <f>Мероприятия_и_источники!F345</f>
        <v>93</v>
      </c>
      <c r="F70" s="1861">
        <f>Мероприятия_и_источники!G345</f>
        <v>1766.924</v>
      </c>
      <c r="G70" s="1862">
        <f>Мероприятия_и_источники!H345</f>
        <v>2120.3087999999998</v>
      </c>
      <c r="H70" s="1860">
        <f>Мероприятия_и_источники!I345</f>
        <v>0</v>
      </c>
      <c r="I70" s="1860">
        <f>Мероприятия_и_источники!J345</f>
        <v>2120.3087999999998</v>
      </c>
      <c r="J70" s="1860">
        <f>Мероприятия_и_источники!K345</f>
        <v>0</v>
      </c>
      <c r="K70" s="1860">
        <f>Мероприятия_и_источники!L345</f>
        <v>0</v>
      </c>
      <c r="L70" s="1863">
        <f>Мероприятия_и_источники!M345</f>
        <v>0</v>
      </c>
      <c r="M70" s="1864" t="str">
        <f>Мероприятия_и_источники!N345</f>
        <v>2025год</v>
      </c>
      <c r="N70" s="1865" t="str">
        <f>Мероприятия_и_источники!O345</f>
        <v>плата за подключение в индивидуальном порядке</v>
      </c>
      <c r="O70" s="1866">
        <v>181</v>
      </c>
      <c r="P70" s="1864"/>
      <c r="Q70" s="1743"/>
      <c r="R70" s="1861"/>
      <c r="S70" s="1862"/>
      <c r="T70" s="1863"/>
      <c r="U70" s="1867">
        <f t="shared" si="41"/>
        <v>0</v>
      </c>
      <c r="V70" s="1860">
        <f t="shared" si="42"/>
        <v>1766.924</v>
      </c>
      <c r="W70" s="1860">
        <f t="shared" si="43"/>
        <v>0</v>
      </c>
      <c r="X70" s="1860">
        <f t="shared" si="44"/>
        <v>0</v>
      </c>
      <c r="Y70" s="1861">
        <f t="shared" si="45"/>
        <v>0</v>
      </c>
      <c r="Z70" s="1862"/>
      <c r="AA70" s="1860"/>
      <c r="AB70" s="1860">
        <f>I70/1.2/O70*12</f>
        <v>117.14413259668508</v>
      </c>
      <c r="AC70" s="1860">
        <f t="shared" si="46"/>
        <v>117.14413259668508</v>
      </c>
      <c r="AD70" s="1863">
        <f t="shared" si="46"/>
        <v>117.14413259668508</v>
      </c>
      <c r="AE70" s="1868" t="s">
        <v>1083</v>
      </c>
      <c r="AF70" s="1862"/>
      <c r="AG70" s="1863"/>
      <c r="AH70" s="1869"/>
      <c r="AI70" s="1870"/>
      <c r="AJ70" s="1870"/>
      <c r="AK70" s="1870"/>
      <c r="AL70" s="1870"/>
    </row>
    <row r="71" spans="1:38" s="1871" customFormat="1" ht="105">
      <c r="A71" s="1858" t="str">
        <f>Мероприятия_и_источники!B349</f>
        <v>Строительство запроектированного канализационного коллектора Д=315 мм  протяженностью 608,5 п.м. (открытым способом)
Строительство запроектированного канализационного коллектора Д=400 мм протяженностью 180 п.м. (методом ГНБ). Для труб использовать материал ПЭ.</v>
      </c>
      <c r="B71" s="1859">
        <f>Мероприятия_и_источники!C349</f>
        <v>788.5</v>
      </c>
      <c r="C71" s="1858" t="str">
        <f>Мероприятия_и_источники!D349</f>
        <v>Строящийся многоэтажный жилой дом с помещениями общественного назначения и надземной многоуровневой автостоянкой", расположенный по адресу: г. Калуга, район Правобережья, квартал № 5</v>
      </c>
      <c r="D71" s="1892" t="str">
        <f>Мероприятия_и_источники!E349</f>
        <v>ЗАО Строительная компания "Правый берег" (ЗАО СК Правый берег)</v>
      </c>
      <c r="E71" s="1860">
        <f>Мероприятия_и_источники!F349</f>
        <v>530</v>
      </c>
      <c r="F71" s="1861">
        <f>Мероприятия_и_источники!G349</f>
        <v>6526.1379999999999</v>
      </c>
      <c r="G71" s="1862">
        <f>Мероприятия_и_источники!H349</f>
        <v>7831.3655999999992</v>
      </c>
      <c r="H71" s="1860">
        <f>Мероприятия_и_источники!I349</f>
        <v>0</v>
      </c>
      <c r="I71" s="1860">
        <f>Мероприятия_и_источники!J349</f>
        <v>7831.3655999999992</v>
      </c>
      <c r="J71" s="1860">
        <f>Мероприятия_и_источники!K349</f>
        <v>0</v>
      </c>
      <c r="K71" s="1860">
        <f>Мероприятия_и_источники!L349</f>
        <v>0</v>
      </c>
      <c r="L71" s="1863">
        <f>Мероприятия_и_источники!M349</f>
        <v>0</v>
      </c>
      <c r="M71" s="1864" t="str">
        <f>Мероприятия_и_источники!N349</f>
        <v>2025год</v>
      </c>
      <c r="N71" s="1865" t="str">
        <f>Мероприятия_и_источники!O349</f>
        <v>плата за подключение в индивидуальном порядке</v>
      </c>
      <c r="O71" s="1866">
        <v>181</v>
      </c>
      <c r="P71" s="1864"/>
      <c r="Q71" s="1743"/>
      <c r="R71" s="1861"/>
      <c r="S71" s="1862"/>
      <c r="T71" s="1863"/>
      <c r="U71" s="1867">
        <f t="shared" si="41"/>
        <v>0</v>
      </c>
      <c r="V71" s="1860">
        <f t="shared" si="42"/>
        <v>6526.1379999999999</v>
      </c>
      <c r="W71" s="1860">
        <f t="shared" si="43"/>
        <v>0</v>
      </c>
      <c r="X71" s="1860">
        <f t="shared" si="44"/>
        <v>0</v>
      </c>
      <c r="Y71" s="1861">
        <f t="shared" si="45"/>
        <v>0</v>
      </c>
      <c r="Z71" s="1862"/>
      <c r="AA71" s="1860"/>
      <c r="AB71" s="1860">
        <f>I71/1.2/O71*12</f>
        <v>432.67213259668506</v>
      </c>
      <c r="AC71" s="1860">
        <f t="shared" si="46"/>
        <v>432.67213259668506</v>
      </c>
      <c r="AD71" s="1863">
        <f t="shared" si="46"/>
        <v>432.67213259668506</v>
      </c>
      <c r="AE71" s="1868" t="s">
        <v>1083</v>
      </c>
      <c r="AF71" s="1862"/>
      <c r="AG71" s="1863"/>
      <c r="AH71" s="1869"/>
      <c r="AI71" s="1870"/>
      <c r="AJ71" s="1870"/>
      <c r="AK71" s="1870"/>
      <c r="AL71" s="1870"/>
    </row>
    <row r="72" spans="1:38" s="1871" customFormat="1" ht="60">
      <c r="A72" s="1858" t="str">
        <f>Мероприятия_и_источники!B353</f>
        <v>Строительство  напорного  коллектора    2Д=160 мм. в две линии (резерв) протяженностью по 864 п.м. каждая</v>
      </c>
      <c r="B72" s="1859">
        <f>Мероприятия_и_источники!C353</f>
        <v>1728</v>
      </c>
      <c r="C72" s="1858" t="str">
        <f>Мероприятия_и_источники!D353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D72" s="1892" t="str">
        <f>Мероприятия_и_источники!E353</f>
        <v>ООО "СтройСервис" (АО ЦентрСпецСтрой)</v>
      </c>
      <c r="E72" s="1860">
        <f>Мероприятия_и_источники!F353</f>
        <v>1131</v>
      </c>
      <c r="F72" s="1861">
        <f>Мероприятия_и_источники!G353</f>
        <v>17286.659</v>
      </c>
      <c r="G72" s="1862">
        <f>Мероприятия_и_источники!H353</f>
        <v>20743.9908</v>
      </c>
      <c r="H72" s="1860">
        <f>Мероприятия_и_источники!I353</f>
        <v>0</v>
      </c>
      <c r="I72" s="1860">
        <f>Мероприятия_и_источники!J353</f>
        <v>0</v>
      </c>
      <c r="J72" s="1860">
        <f>Мероприятия_и_источники!K353</f>
        <v>20743.9908</v>
      </c>
      <c r="K72" s="1860">
        <f>Мероприятия_и_источники!L353</f>
        <v>0</v>
      </c>
      <c r="L72" s="1863">
        <f>Мероприятия_и_источники!M353</f>
        <v>0</v>
      </c>
      <c r="M72" s="1864" t="str">
        <f>Мероприятия_и_источники!N353</f>
        <v>2026год</v>
      </c>
      <c r="N72" s="1865" t="str">
        <f>Мероприятия_и_источники!O353</f>
        <v>плата за подключение в индивидуальном порядке</v>
      </c>
      <c r="O72" s="1866">
        <v>181</v>
      </c>
      <c r="P72" s="1864"/>
      <c r="Q72" s="1743"/>
      <c r="R72" s="1861"/>
      <c r="S72" s="1862"/>
      <c r="T72" s="1863"/>
      <c r="U72" s="1867">
        <f t="shared" si="41"/>
        <v>0</v>
      </c>
      <c r="V72" s="1860">
        <f t="shared" si="42"/>
        <v>0</v>
      </c>
      <c r="W72" s="1860">
        <f t="shared" si="43"/>
        <v>17286.659</v>
      </c>
      <c r="X72" s="1860">
        <f t="shared" si="44"/>
        <v>0</v>
      </c>
      <c r="Y72" s="1861">
        <f t="shared" si="45"/>
        <v>0</v>
      </c>
      <c r="Z72" s="1862"/>
      <c r="AA72" s="1860"/>
      <c r="AB72" s="1860"/>
      <c r="AC72" s="1860">
        <f>J72/1.2/O72*12</f>
        <v>1146.0768397790055</v>
      </c>
      <c r="AD72" s="1863">
        <f>AC72</f>
        <v>1146.0768397790055</v>
      </c>
      <c r="AE72" s="1868" t="s">
        <v>1083</v>
      </c>
      <c r="AF72" s="1862"/>
      <c r="AG72" s="1863"/>
      <c r="AH72" s="1869"/>
      <c r="AI72" s="1870"/>
      <c r="AJ72" s="1870"/>
      <c r="AK72" s="1870"/>
      <c r="AL72" s="1870"/>
    </row>
    <row r="73" spans="1:38" s="1871" customFormat="1" ht="135">
      <c r="A73" s="1858" t="str">
        <f>Мероприятия_и_источники!B357</f>
        <v xml:space="preserve">Строительство самотечного канализационного коллектора Д=200 мм, с уклоном не менее 1000i=8, от площадки застройки  до существующего колодца по ул. Грабцевское шоссе и пер. Баррикад, протяженностью 90 м, закрытым способом.На коллекторе установить ж/б колодцы диаметром 1,0 м, через каждые 35 м.
</v>
      </c>
      <c r="B73" s="1859">
        <f>Мероприятия_и_источники!C357</f>
        <v>90</v>
      </c>
      <c r="C73" s="1858" t="str">
        <f>Мероприятия_и_источники!D357</f>
        <v>«Многоквартирный жилой дом с подземными парковками» 12 этажей расположенному по адресу: г. Калуга,  пер. Баррикад, р-н д. 5, 13, 15, 17, 23, 29</v>
      </c>
      <c r="D73" s="1892" t="str">
        <f>Мероприятия_и_источники!E357</f>
        <v>ООО «КалугаЭлитДевелопмент»</v>
      </c>
      <c r="E73" s="1860">
        <f>Мероприятия_и_источники!F357</f>
        <v>140.28</v>
      </c>
      <c r="F73" s="1861">
        <f>Мероприятия_и_источники!G357</f>
        <v>3127.0416250000003</v>
      </c>
      <c r="G73" s="1862">
        <f>Мероприятия_и_источники!H357</f>
        <v>3752.4499500000002</v>
      </c>
      <c r="H73" s="1860">
        <f>Мероприятия_и_источники!I357</f>
        <v>3752.4499500000002</v>
      </c>
      <c r="I73" s="1860">
        <f>Мероприятия_и_источники!J357</f>
        <v>0</v>
      </c>
      <c r="J73" s="1860">
        <f>Мероприятия_и_источники!K357</f>
        <v>0</v>
      </c>
      <c r="K73" s="1860">
        <f>Мероприятия_и_источники!L357</f>
        <v>0</v>
      </c>
      <c r="L73" s="1863">
        <f>Мероприятия_и_источники!M357</f>
        <v>0</v>
      </c>
      <c r="M73" s="1864" t="str">
        <f>Мероприятия_и_источники!N357</f>
        <v>2024год</v>
      </c>
      <c r="N73" s="1865" t="str">
        <f>Мероприятия_и_источники!O357</f>
        <v>плата за подключение в индивидуальном порядке</v>
      </c>
      <c r="O73" s="1866">
        <v>181</v>
      </c>
      <c r="P73" s="1864"/>
      <c r="Q73" s="1743"/>
      <c r="R73" s="1861"/>
      <c r="S73" s="1862"/>
      <c r="T73" s="1863"/>
      <c r="U73" s="1867">
        <f t="shared" si="41"/>
        <v>3127.0416250000003</v>
      </c>
      <c r="V73" s="1860">
        <f t="shared" si="42"/>
        <v>0</v>
      </c>
      <c r="W73" s="1860">
        <f t="shared" si="43"/>
        <v>0</v>
      </c>
      <c r="X73" s="1860">
        <f t="shared" si="44"/>
        <v>0</v>
      </c>
      <c r="Y73" s="1861">
        <f t="shared" si="45"/>
        <v>0</v>
      </c>
      <c r="Z73" s="1862"/>
      <c r="AA73" s="1860">
        <f>H73/1.2/O73*12</f>
        <v>207.31767679558013</v>
      </c>
      <c r="AB73" s="1860">
        <f t="shared" ref="AB73:AC75" si="47">AA73</f>
        <v>207.31767679558013</v>
      </c>
      <c r="AC73" s="1860">
        <f t="shared" si="47"/>
        <v>207.31767679558013</v>
      </c>
      <c r="AD73" s="1863">
        <f>AC73</f>
        <v>207.31767679558013</v>
      </c>
      <c r="AE73" s="1868" t="s">
        <v>1083</v>
      </c>
      <c r="AF73" s="1862"/>
      <c r="AG73" s="1863"/>
      <c r="AH73" s="1869"/>
      <c r="AI73" s="1870"/>
      <c r="AJ73" s="1870"/>
      <c r="AK73" s="1870"/>
      <c r="AL73" s="1870"/>
    </row>
    <row r="74" spans="1:38" s="1871" customFormat="1" ht="90">
      <c r="A74" s="1858" t="str">
        <f>Мероприятия_и_источники!B361</f>
        <v xml:space="preserve">Строительство самотечного канализационного коллектора Д=150мм, с уклоном не менее 1000i=6, от площадки застройки до самотечного канализационного коллектора по ул. Знаменская, к существующему колодцу К1 открытым способом,  протяженностью 10 п.м.; </v>
      </c>
      <c r="B74" s="1859">
        <f>Мероприятия_и_источники!C361</f>
        <v>10</v>
      </c>
      <c r="C74" s="1858" t="str">
        <f>Мероприятия_и_источники!D361</f>
        <v>Многоквартирный жилой дом со встроенными административными помещениями  8 этажей, высота 25 м, расположенный по адресу: г.Калуга, в районе, ограниченном улицами С-Щедрина, Беляева, Знаменской, Луначарского</v>
      </c>
      <c r="D74" s="1892" t="str">
        <f>Мероприятия_и_источники!E361</f>
        <v>ООО Совместное предприятие "Минскстройэкспорт" (уступка права ООО Драйвер)</v>
      </c>
      <c r="E74" s="1860">
        <f>Мероприятия_и_источники!F361</f>
        <v>64.430000000000007</v>
      </c>
      <c r="F74" s="1861">
        <f>Мероприятия_и_источники!G361</f>
        <v>59.706000000000003</v>
      </c>
      <c r="G74" s="1862">
        <f>Мероприятия_и_источники!H361</f>
        <v>71.647199999999998</v>
      </c>
      <c r="H74" s="1860">
        <f>Мероприятия_и_источники!I361</f>
        <v>71.647199999999998</v>
      </c>
      <c r="I74" s="1860">
        <f>Мероприятия_и_источники!J361</f>
        <v>0</v>
      </c>
      <c r="J74" s="1860">
        <f>Мероприятия_и_источники!K361</f>
        <v>0</v>
      </c>
      <c r="K74" s="1860">
        <f>Мероприятия_и_источники!L361</f>
        <v>0</v>
      </c>
      <c r="L74" s="1863">
        <f>Мероприятия_и_источники!M361</f>
        <v>0</v>
      </c>
      <c r="M74" s="1864" t="str">
        <f>Мероприятия_и_источники!N361</f>
        <v>2024год</v>
      </c>
      <c r="N74" s="1865" t="str">
        <f>Мероприятия_и_источники!O361</f>
        <v>плата за подключение в индивидуальном порядке</v>
      </c>
      <c r="O74" s="1866">
        <v>181</v>
      </c>
      <c r="P74" s="1864"/>
      <c r="Q74" s="1743"/>
      <c r="R74" s="1861"/>
      <c r="S74" s="1862"/>
      <c r="T74" s="1863"/>
      <c r="U74" s="1867">
        <f t="shared" si="41"/>
        <v>59.706000000000003</v>
      </c>
      <c r="V74" s="1860">
        <f t="shared" si="42"/>
        <v>0</v>
      </c>
      <c r="W74" s="1860">
        <f t="shared" si="43"/>
        <v>0</v>
      </c>
      <c r="X74" s="1860">
        <f t="shared" si="44"/>
        <v>0</v>
      </c>
      <c r="Y74" s="1861">
        <f t="shared" si="45"/>
        <v>0</v>
      </c>
      <c r="Z74" s="1862"/>
      <c r="AA74" s="1860">
        <f>H74/1.2/O74*12</f>
        <v>3.9584088397790058</v>
      </c>
      <c r="AB74" s="1860">
        <f t="shared" si="47"/>
        <v>3.9584088397790058</v>
      </c>
      <c r="AC74" s="1860">
        <f t="shared" si="47"/>
        <v>3.9584088397790058</v>
      </c>
      <c r="AD74" s="1863">
        <f>AC74</f>
        <v>3.9584088397790058</v>
      </c>
      <c r="AE74" s="1868" t="s">
        <v>1083</v>
      </c>
      <c r="AF74" s="1862"/>
      <c r="AG74" s="1863"/>
      <c r="AH74" s="1869"/>
      <c r="AI74" s="1870"/>
      <c r="AJ74" s="1870"/>
      <c r="AK74" s="1870"/>
      <c r="AL74" s="1870"/>
    </row>
    <row r="75" spans="1:38" s="1871" customFormat="1" ht="75">
      <c r="A75" s="1858" t="str">
        <f>Мероприятия_и_источники!B365</f>
        <v>В точке врезки существующий канализационный коллектор Ду = 400 мм строительство ж/б колодца диаметром 1000 мм глубиной 2 метра.</v>
      </c>
      <c r="B75" s="1859">
        <f>Мероприятия_и_источники!C365</f>
        <v>0</v>
      </c>
      <c r="C75" s="1858" t="str">
        <f>Мероприятия_и_источники!D365</f>
        <v xml:space="preserve">«Малоэтажные жилые дома, очередь строительства 7, на земельном участке, расположенном по адресу: Калужская область, г. Калуга, ул. Верховая, дома №№ 124-138 по ГП» </v>
      </c>
      <c r="D75" s="1892" t="str">
        <f>Мероприятия_и_источники!E365</f>
        <v>АО СЗ КОШЕЛЕВ-ПРОЕКТ</v>
      </c>
      <c r="E75" s="1860">
        <f>Мероприятия_и_источники!F365</f>
        <v>351</v>
      </c>
      <c r="F75" s="1861">
        <f>Мероприятия_и_источники!G365</f>
        <v>28.928750000000001</v>
      </c>
      <c r="G75" s="1862">
        <f>Мероприятия_и_источники!H365</f>
        <v>34.714500000000001</v>
      </c>
      <c r="H75" s="1860">
        <f>Мероприятия_и_источники!I365</f>
        <v>34.714500000000001</v>
      </c>
      <c r="I75" s="1860">
        <f>Мероприятия_и_источники!J365</f>
        <v>0</v>
      </c>
      <c r="J75" s="1860">
        <f>Мероприятия_и_источники!K365</f>
        <v>0</v>
      </c>
      <c r="K75" s="1860">
        <f>Мероприятия_и_источники!L365</f>
        <v>0</v>
      </c>
      <c r="L75" s="1863">
        <f>Мероприятия_и_источники!M365</f>
        <v>0</v>
      </c>
      <c r="M75" s="1864" t="str">
        <f>Мероприятия_и_источники!N365</f>
        <v>2024год</v>
      </c>
      <c r="N75" s="1865" t="str">
        <f>Мероприятия_и_источники!O365</f>
        <v>плата за подключение в индивидуальном порядке</v>
      </c>
      <c r="O75" s="1866">
        <v>181</v>
      </c>
      <c r="P75" s="1864"/>
      <c r="Q75" s="1743"/>
      <c r="R75" s="1861"/>
      <c r="S75" s="1862"/>
      <c r="T75" s="1863"/>
      <c r="U75" s="1867">
        <f t="shared" si="41"/>
        <v>28.928750000000001</v>
      </c>
      <c r="V75" s="1860">
        <f t="shared" si="42"/>
        <v>0</v>
      </c>
      <c r="W75" s="1860">
        <f t="shared" si="43"/>
        <v>0</v>
      </c>
      <c r="X75" s="1860">
        <f t="shared" si="44"/>
        <v>0</v>
      </c>
      <c r="Y75" s="1861">
        <f t="shared" si="45"/>
        <v>0</v>
      </c>
      <c r="Z75" s="1862"/>
      <c r="AA75" s="1860">
        <f>H75/1.2/O75*12</f>
        <v>1.91792817679558</v>
      </c>
      <c r="AB75" s="1860">
        <f t="shared" si="47"/>
        <v>1.91792817679558</v>
      </c>
      <c r="AC75" s="1860">
        <f t="shared" si="47"/>
        <v>1.91792817679558</v>
      </c>
      <c r="AD75" s="1863">
        <f>AC75</f>
        <v>1.91792817679558</v>
      </c>
      <c r="AE75" s="1868" t="s">
        <v>1083</v>
      </c>
      <c r="AF75" s="1862"/>
      <c r="AG75" s="1863"/>
      <c r="AH75" s="1869"/>
      <c r="AI75" s="1870"/>
      <c r="AJ75" s="1870"/>
      <c r="AK75" s="1870"/>
      <c r="AL75" s="1870"/>
    </row>
    <row r="76" spans="1:38" s="1871" customFormat="1" ht="150">
      <c r="A76" s="1858" t="str">
        <f>Мероприятия_и_источники!B369</f>
        <v>Строительство футляра Ду-350 мм на границе земельного участка до существующего самотечного канализационного коллектора, протяженностью 45 п.м., закрытым методом. 
Протаскивание самотечного канализационного коллектора Ду-150 в футляр Ду-350 мм с уклоном i=0,007, протяженностью 50 п.м.В точке врезки существующий канализационный коллектор Ду = 500 мм выполнить строительство ж/б колодца диаметром 1000 мм глубиной 2 метра.</v>
      </c>
      <c r="B76" s="1859">
        <f>Мероприятия_и_источники!C369</f>
        <v>45</v>
      </c>
      <c r="C76" s="1858" t="str">
        <f>Мероприятия_и_источники!D369</f>
        <v>Жилой дом, 17 этажей, 119 квартирный,расположенного по адресу: г. Калуга, ул. Серафима Туликова</v>
      </c>
      <c r="D76" s="1892" t="str">
        <f>Мероприятия_и_источники!E369</f>
        <v>ООО КОМЕТА</v>
      </c>
      <c r="E76" s="1860">
        <f>Мероприятия_и_источники!F369</f>
        <v>52.98</v>
      </c>
      <c r="F76" s="1861">
        <f>Мероприятия_и_источники!G369</f>
        <v>3563.7125000000001</v>
      </c>
      <c r="G76" s="1862">
        <f>Мероприятия_и_источники!H369</f>
        <v>4276.4549999999999</v>
      </c>
      <c r="H76" s="1860">
        <f>Мероприятия_и_источники!I369</f>
        <v>4276.4549999999999</v>
      </c>
      <c r="I76" s="1860">
        <f>Мероприятия_и_источники!J369</f>
        <v>0</v>
      </c>
      <c r="J76" s="1860">
        <f>Мероприятия_и_источники!K369</f>
        <v>0</v>
      </c>
      <c r="K76" s="1860">
        <f>Мероприятия_и_источники!L369</f>
        <v>0</v>
      </c>
      <c r="L76" s="1863">
        <f>Мероприятия_и_источники!M369</f>
        <v>0</v>
      </c>
      <c r="M76" s="1864" t="str">
        <f>Мероприятия_и_источники!N369</f>
        <v>2024год</v>
      </c>
      <c r="N76" s="1865" t="str">
        <f>Мероприятия_и_источники!O369</f>
        <v>плата за подключение в индивидуальном порядке</v>
      </c>
      <c r="O76" s="1866">
        <v>181</v>
      </c>
      <c r="P76" s="1864"/>
      <c r="Q76" s="1743"/>
      <c r="R76" s="1861"/>
      <c r="S76" s="1862"/>
      <c r="T76" s="1863"/>
      <c r="U76" s="1867">
        <f t="shared" si="41"/>
        <v>3563.7125000000001</v>
      </c>
      <c r="V76" s="1860">
        <f t="shared" si="42"/>
        <v>0</v>
      </c>
      <c r="W76" s="1860">
        <f t="shared" si="43"/>
        <v>0</v>
      </c>
      <c r="X76" s="1860">
        <f t="shared" si="44"/>
        <v>0</v>
      </c>
      <c r="Y76" s="1861">
        <f t="shared" si="45"/>
        <v>0</v>
      </c>
      <c r="Z76" s="1862"/>
      <c r="AA76" s="1860">
        <f>H76/1.2/O76*12</f>
        <v>236.2682320441989</v>
      </c>
      <c r="AB76" s="1860">
        <f>AA76</f>
        <v>236.2682320441989</v>
      </c>
      <c r="AC76" s="1860">
        <f t="shared" ref="AC76:AD82" si="48">AB76</f>
        <v>236.2682320441989</v>
      </c>
      <c r="AD76" s="1863">
        <f t="shared" si="48"/>
        <v>236.2682320441989</v>
      </c>
      <c r="AE76" s="1868" t="s">
        <v>1083</v>
      </c>
      <c r="AF76" s="1862"/>
      <c r="AG76" s="1863"/>
      <c r="AH76" s="1869"/>
      <c r="AI76" s="1870"/>
      <c r="AJ76" s="1870"/>
      <c r="AK76" s="1870"/>
      <c r="AL76" s="1870"/>
    </row>
    <row r="77" spans="1:38" s="1871" customFormat="1" ht="150">
      <c r="A77" s="1858" t="str">
        <f>Мероприятия_и_источники!B373</f>
        <v>Строительство футляра Д=400 мм от КК (внутр.пл.) до КК-1, протяженностью 30 п.м. закрытым методом; протаскивание самотечного канализационного коллектора Д=225 в футляр Д=400 мм, протяженностью 30 п.м. Строительство самотечного канализационного коллектора  от КК-1 до КК (сущ.), протяженностью 134 п.м. закрытым методом; строительство ж/б колодцев Д-1,0 м, глубиной до 2 м – 3 шт.</v>
      </c>
      <c r="B77" s="1859">
        <f>Мероприятия_и_источники!C373</f>
        <v>164</v>
      </c>
      <c r="C77" s="1858" t="str">
        <f>Мероприятия_и_источники!D373</f>
        <v>Строительство детско-взрослой поликлиники в г. Калуга, в том числе ПИР,  расположенный по адресу: Калужская область, г. Калуга, ул. Фомушина – ул. Генерала Попова, кадастровый номер земельного участка: 40:26:000374:2012</v>
      </c>
      <c r="D77" s="1892" t="str">
        <f>Мероприятия_и_источники!E373</f>
        <v xml:space="preserve"> ГКУ КО "Управление капитального строительства"</v>
      </c>
      <c r="E77" s="1860">
        <f>Мероприятия_и_источники!F373</f>
        <v>45.156799999999997</v>
      </c>
      <c r="F77" s="1861">
        <f>Мероприятия_и_источники!G373</f>
        <v>7099.8142107725416</v>
      </c>
      <c r="G77" s="1862">
        <f>Мероприятия_и_источники!H373</f>
        <v>8519.7770529270492</v>
      </c>
      <c r="H77" s="1860">
        <f>Мероприятия_и_источники!I373</f>
        <v>5706.944196741244</v>
      </c>
      <c r="I77" s="1860">
        <f>Мероприятия_и_источники!J373</f>
        <v>2812.8328561858052</v>
      </c>
      <c r="J77" s="1860">
        <f>Мероприятия_и_источники!K373</f>
        <v>0</v>
      </c>
      <c r="K77" s="1860">
        <f>Мероприятия_и_источники!L373</f>
        <v>0</v>
      </c>
      <c r="L77" s="1863">
        <f>Мероприятия_и_источники!M373</f>
        <v>0</v>
      </c>
      <c r="M77" s="1864" t="str">
        <f>Мероприятия_и_источники!N373</f>
        <v>2025год</v>
      </c>
      <c r="N77" s="1865" t="str">
        <f>Мероприятия_и_источники!O373</f>
        <v>плата за подключение в индивидуальном порядке</v>
      </c>
      <c r="O77" s="1866">
        <v>181</v>
      </c>
      <c r="P77" s="1864"/>
      <c r="Q77" s="1743"/>
      <c r="R77" s="1861"/>
      <c r="S77" s="1862"/>
      <c r="T77" s="1863"/>
      <c r="U77" s="1867">
        <f t="shared" si="41"/>
        <v>4755.7868306177033</v>
      </c>
      <c r="V77" s="1860">
        <f t="shared" si="42"/>
        <v>2344.0273801548378</v>
      </c>
      <c r="W77" s="1860">
        <f t="shared" si="43"/>
        <v>0</v>
      </c>
      <c r="X77" s="1860">
        <f t="shared" si="44"/>
        <v>0</v>
      </c>
      <c r="Y77" s="1861">
        <f t="shared" si="45"/>
        <v>0</v>
      </c>
      <c r="Z77" s="1862"/>
      <c r="AA77" s="1860"/>
      <c r="AB77" s="1860">
        <f>I77/1.2/O77*12</f>
        <v>155.40513017601137</v>
      </c>
      <c r="AC77" s="1860">
        <f t="shared" ref="AC77:AC82" si="49">AB77</f>
        <v>155.40513017601137</v>
      </c>
      <c r="AD77" s="1863">
        <f t="shared" si="48"/>
        <v>155.40513017601137</v>
      </c>
      <c r="AE77" s="1868" t="s">
        <v>1083</v>
      </c>
      <c r="AF77" s="1862"/>
      <c r="AG77" s="1863"/>
      <c r="AH77" s="1869"/>
      <c r="AI77" s="1870"/>
      <c r="AJ77" s="1870"/>
      <c r="AK77" s="1870"/>
      <c r="AL77" s="1870"/>
    </row>
    <row r="78" spans="1:38" s="1871" customFormat="1" ht="90">
      <c r="A78" s="1858" t="str">
        <f>Мероприятия_и_источники!B377</f>
        <v>Строительство самотечного канализационного коллектора Ду-200 мм с уклоном не менее 1000i=8, от площадки застройки   протяженностью 50 п.м., открытым способом;в точке подключения КК2 выполнить строительство ж/б колодца Ду=1,5 м;</v>
      </c>
      <c r="B78" s="1859">
        <f>Мероприятия_и_источники!C377</f>
        <v>50</v>
      </c>
      <c r="C78" s="1858" t="str">
        <f>Мероприятия_и_источники!D377</f>
        <v xml:space="preserve">«Объект образования: общеобразовательная школа на 1125 мест,г. Калуга, ул. Байконурская. </v>
      </c>
      <c r="D78" s="1892" t="str">
        <f>Мероприятия_и_источники!E377</f>
        <v>ООО «ПроШкола№2»</v>
      </c>
      <c r="E78" s="1860">
        <f>Мероприятия_и_источники!F377</f>
        <v>57.436</v>
      </c>
      <c r="F78" s="1861">
        <f>Мероприятия_и_источники!G377</f>
        <v>192.08874999999998</v>
      </c>
      <c r="G78" s="1862">
        <f>Мероприятия_и_источники!H377</f>
        <v>230.50649999999996</v>
      </c>
      <c r="H78" s="1860">
        <f>Мероприятия_и_источники!I377</f>
        <v>230.50649999999996</v>
      </c>
      <c r="I78" s="1860">
        <f>Мероприятия_и_источники!J377</f>
        <v>0</v>
      </c>
      <c r="J78" s="1860">
        <f>Мероприятия_и_источники!K377</f>
        <v>0</v>
      </c>
      <c r="K78" s="1860">
        <f>Мероприятия_и_источники!L377</f>
        <v>0</v>
      </c>
      <c r="L78" s="1863">
        <f>Мероприятия_и_источники!M377</f>
        <v>0</v>
      </c>
      <c r="M78" s="1864" t="str">
        <f>Мероприятия_и_источники!N377</f>
        <v>2024год</v>
      </c>
      <c r="N78" s="1865" t="str">
        <f>Мероприятия_и_источники!O377</f>
        <v>плата за подключение в индивидуальном порядке</v>
      </c>
      <c r="O78" s="1866">
        <v>181</v>
      </c>
      <c r="P78" s="1864"/>
      <c r="Q78" s="1743"/>
      <c r="R78" s="1861"/>
      <c r="S78" s="1862"/>
      <c r="T78" s="1863"/>
      <c r="U78" s="1867">
        <f t="shared" si="41"/>
        <v>192.08874999999998</v>
      </c>
      <c r="V78" s="1860">
        <f t="shared" si="42"/>
        <v>0</v>
      </c>
      <c r="W78" s="1860">
        <f t="shared" si="43"/>
        <v>0</v>
      </c>
      <c r="X78" s="1860">
        <f t="shared" si="44"/>
        <v>0</v>
      </c>
      <c r="Y78" s="1861">
        <f t="shared" si="45"/>
        <v>0</v>
      </c>
      <c r="Z78" s="1862"/>
      <c r="AA78" s="1860">
        <f>H78/1.2/O78*12</f>
        <v>12.735165745856353</v>
      </c>
      <c r="AB78" s="1860">
        <f>AA78</f>
        <v>12.735165745856353</v>
      </c>
      <c r="AC78" s="1860">
        <f t="shared" si="49"/>
        <v>12.735165745856353</v>
      </c>
      <c r="AD78" s="1863">
        <f t="shared" si="48"/>
        <v>12.735165745856353</v>
      </c>
      <c r="AE78" s="1868" t="s">
        <v>1083</v>
      </c>
      <c r="AF78" s="1862"/>
      <c r="AG78" s="1863"/>
      <c r="AH78" s="1869"/>
      <c r="AI78" s="1870"/>
      <c r="AJ78" s="1870"/>
      <c r="AK78" s="1870"/>
      <c r="AL78" s="1870"/>
    </row>
    <row r="79" spans="1:38" s="1871" customFormat="1" ht="180">
      <c r="A79" s="1858" t="str">
        <f>Мероприятия_и_источники!B381</f>
        <v>Строительство напорных канализационных коллекторов 2хДу-160 мм от площадки застройки  до колодца гасителя, диаметром 2 м протяженностью 450 п.м. каждый. Строительство трубопровода методом ГНБ протяженностью 25 п.м. (12,5 п.м. каждый). Монтаж колодца гасителя, диаметром 2 м; строительство самотечного канализационного коллектора Ду=250 мм от колодца гасителя КК1 до КК2 (существующий канализационный коллектор Ду = 300 мм) протяженностью 5 п.м. открытым способом.</v>
      </c>
      <c r="B79" s="1859">
        <f>Мероприятия_и_источники!C381</f>
        <v>450</v>
      </c>
      <c r="C79" s="1858" t="str">
        <f>Мероприятия_и_источники!D381</f>
        <v xml:space="preserve">Нежилое здание для реализации общеобразовательных программ в г. Калуге на 1300 мест ул. Ермоловская </v>
      </c>
      <c r="D79" s="1892" t="str">
        <f>Мероприятия_и_источники!E381</f>
        <v>ЗАО Калугагазстрой</v>
      </c>
      <c r="E79" s="1860">
        <f>Мероприятия_и_источники!F381</f>
        <v>119.38</v>
      </c>
      <c r="F79" s="1861">
        <f>Мероприятия_и_источники!G381</f>
        <v>3721.4355</v>
      </c>
      <c r="G79" s="1862">
        <f>Мероприятия_и_источники!H381</f>
        <v>4465.7226000000001</v>
      </c>
      <c r="H79" s="1860">
        <f>Мероприятия_и_источники!I381</f>
        <v>0</v>
      </c>
      <c r="I79" s="1860">
        <f>Мероприятия_и_источники!J381</f>
        <v>4465.7226000000001</v>
      </c>
      <c r="J79" s="1860">
        <f>Мероприятия_и_источники!K381</f>
        <v>0</v>
      </c>
      <c r="K79" s="1860">
        <f>Мероприятия_и_источники!L381</f>
        <v>0</v>
      </c>
      <c r="L79" s="1863">
        <f>Мероприятия_и_источники!M381</f>
        <v>0</v>
      </c>
      <c r="M79" s="1864" t="str">
        <f>Мероприятия_и_источники!N381</f>
        <v>2025год</v>
      </c>
      <c r="N79" s="1865" t="str">
        <f>Мероприятия_и_источники!O381</f>
        <v>плата за подключение в индивидуальном порядке</v>
      </c>
      <c r="O79" s="1866">
        <v>181</v>
      </c>
      <c r="P79" s="1864"/>
      <c r="Q79" s="1743"/>
      <c r="R79" s="1861"/>
      <c r="S79" s="1862"/>
      <c r="T79" s="1863"/>
      <c r="U79" s="1867">
        <f t="shared" si="41"/>
        <v>0</v>
      </c>
      <c r="V79" s="1860">
        <f t="shared" si="42"/>
        <v>3721.4355</v>
      </c>
      <c r="W79" s="1860">
        <f t="shared" si="43"/>
        <v>0</v>
      </c>
      <c r="X79" s="1860">
        <f t="shared" si="44"/>
        <v>0</v>
      </c>
      <c r="Y79" s="1861">
        <f t="shared" si="45"/>
        <v>0</v>
      </c>
      <c r="Z79" s="1862"/>
      <c r="AA79" s="1860"/>
      <c r="AB79" s="1860">
        <f>I79/1.2/O79*12</f>
        <v>246.72500552486187</v>
      </c>
      <c r="AC79" s="1860">
        <f t="shared" si="49"/>
        <v>246.72500552486187</v>
      </c>
      <c r="AD79" s="1863">
        <f t="shared" si="48"/>
        <v>246.72500552486187</v>
      </c>
      <c r="AE79" s="1868" t="s">
        <v>1083</v>
      </c>
      <c r="AF79" s="1862"/>
      <c r="AG79" s="1863"/>
      <c r="AH79" s="1869"/>
      <c r="AI79" s="1870"/>
      <c r="AJ79" s="1870"/>
      <c r="AK79" s="1870"/>
      <c r="AL79" s="1870"/>
    </row>
    <row r="80" spans="1:38" s="1871" customFormat="1" ht="75">
      <c r="A80" s="1858" t="str">
        <f>Мероприятия_и_источники!B385</f>
        <v>Строительство самотечного канализационного коллектора DN/ID-200 от границ земельного участка до точки на существующем самотечном канализационном коллекторе, протяженностью 20 п.м., открытым способом.</v>
      </c>
      <c r="B80" s="1859">
        <f>Мероприятия_и_источники!C385</f>
        <v>20</v>
      </c>
      <c r="C80" s="1858" t="str">
        <f>Мероприятия_и_источники!D385</f>
        <v>Здание жилое многоквартирное со встроенными помещениями,почтовый адрес ориентира: г. Калуга, 3-Академический проезд, д.1".</v>
      </c>
      <c r="D80" s="1892" t="str">
        <f>Мероприятия_и_источники!E385</f>
        <v>ООО «Строительная компания «Азимут-Калуга»</v>
      </c>
      <c r="E80" s="1860">
        <f>Мероприятия_и_источники!F385</f>
        <v>73.27</v>
      </c>
      <c r="F80" s="1861">
        <f>Мероприятия_и_источники!G385</f>
        <v>285.78463695950001</v>
      </c>
      <c r="G80" s="1862">
        <f>Мероприятия_и_источники!H385</f>
        <v>342.94156435139996</v>
      </c>
      <c r="H80" s="1860">
        <f>Мероприятия_и_источники!I385</f>
        <v>0</v>
      </c>
      <c r="I80" s="1860">
        <f>Мероприятия_и_источники!J385</f>
        <v>342.94156435139996</v>
      </c>
      <c r="J80" s="1860">
        <f>Мероприятия_и_источники!K385</f>
        <v>0</v>
      </c>
      <c r="K80" s="1860">
        <f>Мероприятия_и_источники!L385</f>
        <v>0</v>
      </c>
      <c r="L80" s="1863">
        <f>Мероприятия_и_источники!M385</f>
        <v>0</v>
      </c>
      <c r="M80" s="1864" t="str">
        <f>Мероприятия_и_источники!N385</f>
        <v>2025год</v>
      </c>
      <c r="N80" s="1865" t="str">
        <f>Мероприятия_и_источники!O385</f>
        <v>плата за подключение в индивидуальном порядке</v>
      </c>
      <c r="O80" s="1866">
        <v>181</v>
      </c>
      <c r="P80" s="1864"/>
      <c r="Q80" s="1743"/>
      <c r="R80" s="1861"/>
      <c r="S80" s="1862"/>
      <c r="T80" s="1863"/>
      <c r="U80" s="1867">
        <f t="shared" si="41"/>
        <v>0</v>
      </c>
      <c r="V80" s="1860">
        <f t="shared" si="42"/>
        <v>285.78463695950001</v>
      </c>
      <c r="W80" s="1860">
        <f t="shared" si="43"/>
        <v>0</v>
      </c>
      <c r="X80" s="1860">
        <f t="shared" si="44"/>
        <v>0</v>
      </c>
      <c r="Y80" s="1861">
        <f t="shared" si="45"/>
        <v>0</v>
      </c>
      <c r="Z80" s="1862"/>
      <c r="AA80" s="1860"/>
      <c r="AB80" s="1860">
        <f>I80/1.2/O80*12</f>
        <v>18.947047754220996</v>
      </c>
      <c r="AC80" s="1860">
        <f t="shared" si="49"/>
        <v>18.947047754220996</v>
      </c>
      <c r="AD80" s="1863">
        <f t="shared" si="48"/>
        <v>18.947047754220996</v>
      </c>
      <c r="AE80" s="1868" t="s">
        <v>1083</v>
      </c>
      <c r="AF80" s="1862"/>
      <c r="AG80" s="1863"/>
      <c r="AH80" s="1869"/>
      <c r="AI80" s="1870"/>
      <c r="AJ80" s="1870"/>
      <c r="AK80" s="1870"/>
      <c r="AL80" s="1870"/>
    </row>
    <row r="81" spans="1:38" s="1871" customFormat="1" ht="105">
      <c r="A81" s="1858" t="str">
        <f>Мероприятия_и_источники!B389</f>
        <v>Строительство двух напорных канализационных коллекторов Ду-315 мм от площадки застройки протяженностью 80 п.м. каждый, открытым способом; 
строительство самотечного канализационного коллектора Ду-450 с уклоном 1000i-5  протяженностью 5 п.м.</v>
      </c>
      <c r="B81" s="1859">
        <f>Мероприятия_и_источники!C389</f>
        <v>85</v>
      </c>
      <c r="C81" s="1858" t="str">
        <f>Мероприятия_и_источники!D389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D81" s="1892" t="str">
        <f>Мероприятия_и_источники!E389</f>
        <v>ООО Специализированный застройщик "УАЙТ ГРУПП-КАЛУГА"</v>
      </c>
      <c r="E81" s="1860">
        <f>Мероприятия_и_источники!F389</f>
        <v>1012.7329999999999</v>
      </c>
      <c r="F81" s="1861">
        <f>Мероприятия_и_источники!G389</f>
        <v>2746.08607378125</v>
      </c>
      <c r="G81" s="1862">
        <f>Мероприятия_и_источники!H389</f>
        <v>3295.3032885375001</v>
      </c>
      <c r="H81" s="1860">
        <f>Мероприятия_и_источники!I389</f>
        <v>0</v>
      </c>
      <c r="I81" s="1860">
        <f>Мероприятия_и_источники!J389</f>
        <v>3295.3032885375001</v>
      </c>
      <c r="J81" s="1860">
        <f>Мероприятия_и_источники!K389</f>
        <v>0</v>
      </c>
      <c r="K81" s="1860">
        <f>Мероприятия_и_источники!L389</f>
        <v>0</v>
      </c>
      <c r="L81" s="1863">
        <f>Мероприятия_и_источники!M389</f>
        <v>0</v>
      </c>
      <c r="M81" s="1864" t="str">
        <f>Мероприятия_и_источники!N389</f>
        <v>2025год</v>
      </c>
      <c r="N81" s="1865" t="str">
        <f>Мероприятия_и_источники!O389</f>
        <v>плата за подключение в индивидуальном порядке</v>
      </c>
      <c r="O81" s="1866">
        <v>181</v>
      </c>
      <c r="P81" s="1864"/>
      <c r="Q81" s="1743"/>
      <c r="R81" s="1861"/>
      <c r="S81" s="1862"/>
      <c r="T81" s="1863"/>
      <c r="U81" s="1867">
        <f t="shared" si="41"/>
        <v>0</v>
      </c>
      <c r="V81" s="1867">
        <f t="shared" si="42"/>
        <v>2746.08607378125</v>
      </c>
      <c r="W81" s="1867">
        <f t="shared" si="43"/>
        <v>0</v>
      </c>
      <c r="X81" s="1867">
        <f t="shared" si="44"/>
        <v>0</v>
      </c>
      <c r="Y81" s="1867">
        <f t="shared" si="45"/>
        <v>0</v>
      </c>
      <c r="Z81" s="1862"/>
      <c r="AA81" s="1860"/>
      <c r="AB81" s="1860">
        <f>I81/1.2/O81*12</f>
        <v>182.06095516781767</v>
      </c>
      <c r="AC81" s="1860">
        <f t="shared" si="49"/>
        <v>182.06095516781767</v>
      </c>
      <c r="AD81" s="1863">
        <f t="shared" si="48"/>
        <v>182.06095516781767</v>
      </c>
      <c r="AE81" s="1868" t="s">
        <v>1083</v>
      </c>
      <c r="AF81" s="1862"/>
      <c r="AG81" s="1863"/>
      <c r="AH81" s="1869"/>
      <c r="AI81" s="1870"/>
      <c r="AJ81" s="1870"/>
      <c r="AK81" s="1870"/>
      <c r="AL81" s="1870"/>
    </row>
    <row r="82" spans="1:38" s="1871" customFormat="1" ht="90">
      <c r="A82" s="1858" t="str">
        <f>Мероприятия_и_источники!B409</f>
        <v>Реконструкция участка самотечного канализационного коллектора Ду500 мм,  протяженностью 22,73 п.м.</v>
      </c>
      <c r="B82" s="1859">
        <f>Мероприятия_и_источники!C409</f>
        <v>22.73</v>
      </c>
      <c r="C82" s="1858" t="str">
        <f>Мероприятия_и_источники!D409</f>
        <v xml:space="preserve">Комплекс жилых домов по ул. Анненки г. Калуга, 1 этап – жилой дом №1 , котельная; 2 этап – жилой дом №3 ; 
3 этап – жилой дом №4», расположенный по адресу: г. Калуга, ул. Анненки, д.38к1, д.40, д.40к1; </v>
      </c>
      <c r="D82" s="1892" t="str">
        <f>Мероприятия_и_источники!E409</f>
        <v>ООО Совместное предприятие "Минскстройэкспорт"</v>
      </c>
      <c r="E82" s="1860">
        <f>Мероприятия_и_источники!F409</f>
        <v>336</v>
      </c>
      <c r="F82" s="1861">
        <f>Мероприятия_и_источники!G409</f>
        <v>332.53399999999999</v>
      </c>
      <c r="G82" s="1862">
        <f>Мероприятия_и_источники!H409</f>
        <v>399.04079999999999</v>
      </c>
      <c r="H82" s="1860">
        <f>Мероприятия_и_источники!I409</f>
        <v>399.04079999999999</v>
      </c>
      <c r="I82" s="1860">
        <f>Мероприятия_и_источники!J409</f>
        <v>0</v>
      </c>
      <c r="J82" s="1860">
        <f>Мероприятия_и_источники!K409</f>
        <v>0</v>
      </c>
      <c r="K82" s="1860">
        <f>Мероприятия_и_источники!L409</f>
        <v>0</v>
      </c>
      <c r="L82" s="1863">
        <f>Мероприятия_и_источники!M409</f>
        <v>0</v>
      </c>
      <c r="M82" s="1864" t="str">
        <f>Мероприятия_и_источники!N409</f>
        <v>2024год</v>
      </c>
      <c r="N82" s="1865" t="str">
        <f>Мероприятия_и_источники!O409</f>
        <v>плата за подключение в индивидуальном порядке</v>
      </c>
      <c r="O82" s="1866">
        <v>240</v>
      </c>
      <c r="P82" s="1864"/>
      <c r="Q82" s="1872">
        <f>Износ!O6801/1000</f>
        <v>261.63096000000002</v>
      </c>
      <c r="R82" s="1861"/>
      <c r="S82" s="1862"/>
      <c r="T82" s="1863"/>
      <c r="U82" s="1867">
        <f t="shared" si="41"/>
        <v>332.53399999999999</v>
      </c>
      <c r="V82" s="1867">
        <f t="shared" si="42"/>
        <v>0</v>
      </c>
      <c r="W82" s="1867">
        <f t="shared" si="43"/>
        <v>0</v>
      </c>
      <c r="X82" s="1867">
        <f t="shared" si="44"/>
        <v>0</v>
      </c>
      <c r="Y82" s="1867">
        <f t="shared" si="45"/>
        <v>0</v>
      </c>
      <c r="Z82" s="1862"/>
      <c r="AA82" s="1860">
        <f>(H82/1.2+Q82)/O82*12</f>
        <v>29.708248000000005</v>
      </c>
      <c r="AB82" s="1860">
        <f>AA82</f>
        <v>29.708248000000005</v>
      </c>
      <c r="AC82" s="1860">
        <f t="shared" si="49"/>
        <v>29.708248000000005</v>
      </c>
      <c r="AD82" s="1863">
        <f t="shared" si="48"/>
        <v>29.708248000000005</v>
      </c>
      <c r="AE82" s="1868">
        <v>27827</v>
      </c>
      <c r="AF82" s="1862"/>
      <c r="AG82" s="1863"/>
      <c r="AH82" s="1869"/>
      <c r="AI82" s="1870"/>
      <c r="AJ82" s="1870"/>
      <c r="AK82" s="1870"/>
      <c r="AL82" s="1870"/>
    </row>
    <row r="83" spans="1:38" s="1871" customFormat="1" ht="90">
      <c r="A83" s="1858" t="str">
        <f>Мероприятия_и_источники!B413</f>
        <v>Реконструкция существующего самотечного канализационного коллектора (от ул. Грабцевское шоссе д. 22а до ул. Стекольная д. 4, согласно схемы),  с увеличением диаметра с Ду=800 мм. на ПЭ Ду=1000 мм, общей  протяженностью 260  п.м.</v>
      </c>
      <c r="B83" s="1859">
        <f>Мероприятия_и_источники!C413</f>
        <v>260</v>
      </c>
      <c r="C83" s="1858" t="str">
        <f>Мероприятия_и_источники!D413</f>
        <v>Жилой комплекс «Мельница», макс. высота зданий 71 м, этажность – 21 эт., проектируемый, расположенный по адресу: г. Калуга, ул. Карла Либкнехта, 40</v>
      </c>
      <c r="D83" s="1892" t="str">
        <f>Мероприятия_и_источники!E413</f>
        <v>ООО "СтройСервис" (АО ЦентрСпецСтрой)</v>
      </c>
      <c r="E83" s="1860">
        <f>Мероприятия_и_источники!F413</f>
        <v>0</v>
      </c>
      <c r="F83" s="1861">
        <f>Мероприятия_и_источники!G413</f>
        <v>12925.107218254861</v>
      </c>
      <c r="G83" s="1862">
        <f>Мероприятия_и_источники!H413</f>
        <v>15510.128661905834</v>
      </c>
      <c r="H83" s="1860">
        <f>Мероприятия_и_источники!I413</f>
        <v>0</v>
      </c>
      <c r="I83" s="1860">
        <f>Мероприятия_и_источники!J413</f>
        <v>0</v>
      </c>
      <c r="J83" s="1860">
        <f>Мероприятия_и_источники!K413</f>
        <v>15510.128661905834</v>
      </c>
      <c r="K83" s="1860">
        <f>Мероприятия_и_источники!L413</f>
        <v>0</v>
      </c>
      <c r="L83" s="1863">
        <f>Мероприятия_и_источники!M413</f>
        <v>0</v>
      </c>
      <c r="M83" s="1864" t="str">
        <f>Мероприятия_и_источники!N413</f>
        <v>2026год</v>
      </c>
      <c r="N83" s="1865" t="str">
        <f>Мероприятия_и_источники!O413</f>
        <v>плата за подключение в индивидуальном порядке</v>
      </c>
      <c r="O83" s="1866">
        <v>413</v>
      </c>
      <c r="P83" s="1864"/>
      <c r="Q83" s="1872">
        <f>Износ!O5977/1000</f>
        <v>309.42265000000003</v>
      </c>
      <c r="R83" s="1861"/>
      <c r="S83" s="1862"/>
      <c r="T83" s="1863"/>
      <c r="U83" s="1867">
        <f t="shared" si="41"/>
        <v>0</v>
      </c>
      <c r="V83" s="1867">
        <f t="shared" si="42"/>
        <v>0</v>
      </c>
      <c r="W83" s="1867">
        <f t="shared" si="43"/>
        <v>12925.107218254861</v>
      </c>
      <c r="X83" s="1867">
        <f t="shared" si="44"/>
        <v>0</v>
      </c>
      <c r="Y83" s="1867">
        <f t="shared" si="45"/>
        <v>0</v>
      </c>
      <c r="Z83" s="1862"/>
      <c r="AA83" s="1860"/>
      <c r="AB83" s="1860"/>
      <c r="AC83" s="1860">
        <f>(J83/1.2+Q83)/O83*12</f>
        <v>384.53839810910011</v>
      </c>
      <c r="AD83" s="1863">
        <f t="shared" ref="AD83:AD88" si="50">AC83</f>
        <v>384.53839810910011</v>
      </c>
      <c r="AE83" s="1868">
        <v>11139</v>
      </c>
      <c r="AF83" s="1862"/>
      <c r="AG83" s="1863"/>
      <c r="AH83" s="1869"/>
      <c r="AI83" s="1870"/>
      <c r="AJ83" s="1870"/>
      <c r="AK83" s="1870"/>
      <c r="AL83" s="1870"/>
    </row>
    <row r="84" spans="1:38" s="1871" customFormat="1" ht="210">
      <c r="A84" s="1858" t="str">
        <f>Мероприятия_и_источники!B417</f>
        <v xml:space="preserve">Реконструкция существующего самотечного канализационного коллектора Д=600 мм. (сталь) по ул. Прончищева,  протяженностью  130 п.м.,  на эстакаде высотой до 2 м. с заменой на стальной трубопровод диаметром 820х16мм.
Реконструкция существующего самотечного канализационного коллектора Д=800 мм. (ж/б) в районе мкр. Дубрава,   протяженностью  374 п.м.,  с заменой на трубопровод Корсис Про DN/OD 1000мм. 
Реконструкция 12 ж/б колодцев, диаметром 1,5м, глубина залегания до 3м
</v>
      </c>
      <c r="B84" s="1859">
        <f>Мероприятия_и_источники!C417</f>
        <v>504</v>
      </c>
      <c r="C84" s="1858" t="str">
        <f>Мероприятия_и_источники!D417</f>
        <v>Индустриальный парк «Грабцево» (с целью увеличения мощности системы (2 этажа)), расположенный по адресу: г. Калуга, Индустриальный парк «Грабцево»</v>
      </c>
      <c r="D84" s="1892" t="str">
        <f>Мероприятия_и_источники!E417</f>
        <v>Акционерное общество «Корпорация развития Калужской области»</v>
      </c>
      <c r="E84" s="1860">
        <f>Мероприятия_и_источники!F417</f>
        <v>2000</v>
      </c>
      <c r="F84" s="1861">
        <f>Мероприятия_и_источники!G417</f>
        <v>31186.242999999995</v>
      </c>
      <c r="G84" s="1862">
        <f>Мероприятия_и_источники!H417</f>
        <v>37423.491599999994</v>
      </c>
      <c r="H84" s="1860">
        <f>Мероприятия_и_источники!I417</f>
        <v>0</v>
      </c>
      <c r="I84" s="1860">
        <f>Мероприятия_и_источники!J417</f>
        <v>37423.491599999994</v>
      </c>
      <c r="J84" s="1860">
        <f>Мероприятия_и_источники!K417</f>
        <v>0</v>
      </c>
      <c r="K84" s="1860">
        <f>Мероприятия_и_источники!L417</f>
        <v>0</v>
      </c>
      <c r="L84" s="1863">
        <f>Мероприятия_и_источники!M417</f>
        <v>0</v>
      </c>
      <c r="M84" s="1864" t="str">
        <f>Мероприятия_и_источники!N417</f>
        <v>2025год</v>
      </c>
      <c r="N84" s="1865" t="str">
        <f>Мероприятия_и_источники!O417</f>
        <v>плата за подключение в индивидуальном порядке</v>
      </c>
      <c r="O84" s="1866">
        <v>413</v>
      </c>
      <c r="P84" s="1864"/>
      <c r="Q84" s="1872">
        <f>309.42265+798.63076</f>
        <v>1108.05341</v>
      </c>
      <c r="R84" s="1861"/>
      <c r="S84" s="1862"/>
      <c r="T84" s="1863"/>
      <c r="U84" s="1867">
        <f>H84/1.2</f>
        <v>0</v>
      </c>
      <c r="V84" s="1860">
        <f>I84/1.2</f>
        <v>31186.242999999995</v>
      </c>
      <c r="W84" s="1860">
        <f t="shared" ref="W84:Y85" si="51">J84/1.2</f>
        <v>0</v>
      </c>
      <c r="X84" s="1860">
        <f>K84/1.2</f>
        <v>0</v>
      </c>
      <c r="Y84" s="1860">
        <f t="shared" si="51"/>
        <v>0</v>
      </c>
      <c r="Z84" s="1862"/>
      <c r="AA84" s="1860"/>
      <c r="AB84" s="1860">
        <f>(I84/1.2+Q84)/O84*12</f>
        <v>938.33306760290543</v>
      </c>
      <c r="AC84" s="1860">
        <f>AB84</f>
        <v>938.33306760290543</v>
      </c>
      <c r="AD84" s="1863">
        <f t="shared" si="50"/>
        <v>938.33306760290543</v>
      </c>
      <c r="AE84" s="1868" t="s">
        <v>14873</v>
      </c>
      <c r="AF84" s="1862"/>
      <c r="AG84" s="1863"/>
      <c r="AH84" s="1869"/>
      <c r="AI84" s="1870"/>
      <c r="AJ84" s="1870"/>
      <c r="AK84" s="1870"/>
      <c r="AL84" s="1870"/>
    </row>
    <row r="85" spans="1:38" s="1871" customFormat="1" ht="60">
      <c r="A85" s="1858" t="str">
        <f>Мероприятия_и_источники!B421</f>
        <v xml:space="preserve">Реконструкция самотечного канализационного коллектора Д=500-600 мм от дома 319 по ул. Московская до КНС "Терепец", протяженностью 3500 п.м. </v>
      </c>
      <c r="B85" s="1859">
        <f>Мероприятия_и_источники!C421</f>
        <v>0</v>
      </c>
      <c r="C85" s="1858" t="str">
        <f>Мероприятия_и_источники!D421</f>
        <v>Проект планировки и проект межевания территории жилого квартала, г.Калуга мкр.Кубяка,Байконур</v>
      </c>
      <c r="D85" s="1892" t="str">
        <f>Мероприятия_и_источники!E421</f>
        <v>Заявитель</v>
      </c>
      <c r="E85" s="1860">
        <f>Мероприятия_и_источники!F421</f>
        <v>1637.85</v>
      </c>
      <c r="F85" s="1861">
        <f>Мероприятия_и_источники!G421</f>
        <v>136611.66024043199</v>
      </c>
      <c r="G85" s="1862">
        <f>Мероприятия_и_источники!H421</f>
        <v>163933.99228851838</v>
      </c>
      <c r="H85" s="1860">
        <f>Мероприятия_и_источники!I421</f>
        <v>0</v>
      </c>
      <c r="I85" s="1860">
        <f>Мероприятия_и_источники!J421</f>
        <v>163933.99228851838</v>
      </c>
      <c r="J85" s="1860">
        <f>Мероприятия_и_источники!K421</f>
        <v>0</v>
      </c>
      <c r="K85" s="1860">
        <f>Мероприятия_и_источники!L421</f>
        <v>0</v>
      </c>
      <c r="L85" s="1863">
        <f>Мероприятия_и_источники!M421</f>
        <v>0</v>
      </c>
      <c r="M85" s="1864" t="str">
        <f>Мероприятия_и_источники!N421</f>
        <v>2025год</v>
      </c>
      <c r="N85" s="1865" t="str">
        <f>Мероприятия_и_источники!O421</f>
        <v>бюджет муниципального образования</v>
      </c>
      <c r="O85" s="1866">
        <v>240</v>
      </c>
      <c r="P85" s="1864"/>
      <c r="Q85" s="1872">
        <v>37.560639999999999</v>
      </c>
      <c r="R85" s="1861"/>
      <c r="S85" s="1862"/>
      <c r="T85" s="1863"/>
      <c r="U85" s="1867">
        <f>H85/1.2</f>
        <v>0</v>
      </c>
      <c r="V85" s="1860">
        <f>I85/1.2</f>
        <v>136611.66024043199</v>
      </c>
      <c r="W85" s="1860">
        <f t="shared" si="51"/>
        <v>0</v>
      </c>
      <c r="X85" s="1860">
        <f t="shared" si="51"/>
        <v>0</v>
      </c>
      <c r="Y85" s="1860">
        <f t="shared" si="51"/>
        <v>0</v>
      </c>
      <c r="Z85" s="1862"/>
      <c r="AA85" s="1860"/>
      <c r="AB85" s="1860">
        <f>(I85/1.2+Q85)/O85*12</f>
        <v>6832.4610440216002</v>
      </c>
      <c r="AC85" s="1860">
        <f>AB85</f>
        <v>6832.4610440216002</v>
      </c>
      <c r="AD85" s="1863">
        <f t="shared" si="50"/>
        <v>6832.4610440216002</v>
      </c>
      <c r="AE85" s="1868" t="s">
        <v>14846</v>
      </c>
      <c r="AF85" s="1862"/>
      <c r="AG85" s="1863"/>
      <c r="AH85" s="1869"/>
      <c r="AI85" s="1870"/>
      <c r="AJ85" s="1870"/>
      <c r="AK85" s="1870"/>
      <c r="AL85" s="1870"/>
    </row>
    <row r="86" spans="1:38" s="1871" customFormat="1" ht="195">
      <c r="A86" s="1873" t="str">
        <f>Мероприятия_и_источники!B429</f>
        <v xml:space="preserve">В связи с недостаточной мощностью насосного оборудования на КНС «Анненки» (один насосный агрегат в работе) и для нормального функционирования КНС при приеме дополнительного объема стоков, в том числе в период паводка: 
монтаж энергооборудования шкаф управления ОНИКС МК3-210-П-GPRS-IP54-У3.1 – 1 шт.
монтаж  насосного  оборудования  марки WILO FA 15.98D  + FK 34.1-4/42 – 1 шт. 
</v>
      </c>
      <c r="B86" s="1859">
        <f>Мероприятия_и_источники!C429</f>
        <v>0</v>
      </c>
      <c r="C86" s="1874" t="str">
        <f>Мероприятия_и_источники!D429</f>
        <v>Строительство лечебно-диагностического корпуса ГБУЗ КО "Калужский областной онкологический диспансер", в том числе ПИР", расположенного по адресу: Калужская область, г. Калуга, ул. Вишневского, д. 1</v>
      </c>
      <c r="D86" s="1892" t="str">
        <f>Мероприятия_и_источники!E429</f>
        <v xml:space="preserve"> ГКУ КО "Управление капитального строительства"</v>
      </c>
      <c r="E86" s="1860">
        <f>Мероприятия_и_источники!F429</f>
        <v>0</v>
      </c>
      <c r="F86" s="1861">
        <f>Мероприятия_и_источники!G429</f>
        <v>3915.8910000000001</v>
      </c>
      <c r="G86" s="1862">
        <f>Мероприятия_и_источники!H429</f>
        <v>4699.0691999999999</v>
      </c>
      <c r="H86" s="1860">
        <f>Мероприятия_и_источники!I429</f>
        <v>0</v>
      </c>
      <c r="I86" s="1860">
        <f>Мероприятия_и_источники!J429</f>
        <v>4699.0691999999999</v>
      </c>
      <c r="J86" s="1860">
        <f>Мероприятия_и_источники!K429</f>
        <v>0</v>
      </c>
      <c r="K86" s="1860">
        <f>Мероприятия_и_источники!L429</f>
        <v>0</v>
      </c>
      <c r="L86" s="1863">
        <f>Мероприятия_и_источники!M429</f>
        <v>0</v>
      </c>
      <c r="M86" s="1864" t="str">
        <f>Мероприятия_и_источники!N429</f>
        <v>2025год</v>
      </c>
      <c r="N86" s="1865" t="str">
        <f>Мероприятия_и_источники!O429</f>
        <v>плата за подключение в индивидуальном порядке</v>
      </c>
      <c r="O86" s="1866">
        <v>300</v>
      </c>
      <c r="P86" s="1864"/>
      <c r="Q86" s="1872">
        <f>Износ!O1584/1000</f>
        <v>195.18287000000001</v>
      </c>
      <c r="R86" s="1861"/>
      <c r="S86" s="1862"/>
      <c r="T86" s="1863"/>
      <c r="U86" s="1867">
        <f>H86/1.2</f>
        <v>0</v>
      </c>
      <c r="V86" s="1860">
        <f t="shared" ref="V86:V110" si="52">I86/1.2</f>
        <v>3915.8910000000001</v>
      </c>
      <c r="W86" s="1860">
        <f t="shared" ref="W86:W110" si="53">J86/1.2</f>
        <v>0</v>
      </c>
      <c r="X86" s="1860">
        <f t="shared" ref="X86:X110" si="54">K86/1.2</f>
        <v>0</v>
      </c>
      <c r="Y86" s="1860">
        <f t="shared" ref="Y86:Y110" si="55">L86/1.2</f>
        <v>0</v>
      </c>
      <c r="Z86" s="1862"/>
      <c r="AA86" s="1860"/>
      <c r="AB86" s="1860">
        <f>(I86/1.2+Q86)/O86*12</f>
        <v>164.4429548</v>
      </c>
      <c r="AC86" s="1860">
        <f>AB86</f>
        <v>164.4429548</v>
      </c>
      <c r="AD86" s="1863">
        <f t="shared" si="50"/>
        <v>164.4429548</v>
      </c>
      <c r="AE86" s="1868">
        <v>25995</v>
      </c>
      <c r="AF86" s="1862"/>
      <c r="AG86" s="1863"/>
      <c r="AH86" s="1869"/>
      <c r="AI86" s="1870"/>
      <c r="AJ86" s="1870"/>
      <c r="AK86" s="1870"/>
      <c r="AL86" s="1870"/>
    </row>
    <row r="87" spans="1:38" s="1871" customFormat="1" ht="101.25" customHeight="1">
      <c r="A87" s="1858" t="str">
        <f>Мероприятия_и_источники!B433</f>
        <v>Замена существующего насосного оборудования на канализационной насосной станции в районе Пучковского моста</v>
      </c>
      <c r="B87" s="1859">
        <f>Мероприятия_и_источники!C433</f>
        <v>0</v>
      </c>
      <c r="C87" s="1875" t="str">
        <f>Мероприятия_и_источники!D433</f>
        <v xml:space="preserve">Комплекс многоквартирных жилых домов со встроенно-пристоенными торговыми помещениями, детский сад на 300 мест, школа на 800 мест, расположенные в границах земельного участка номер 40:25:000200:203 </v>
      </c>
      <c r="D87" s="1892" t="str">
        <f>Мероприятия_и_источники!E433</f>
        <v>ООО Специализированный застройщик "УАЙТ ГРУПП-КАЛУГА"</v>
      </c>
      <c r="E87" s="1860">
        <f>Мероприятия_и_источники!F433</f>
        <v>0</v>
      </c>
      <c r="F87" s="1861">
        <f>Мероприятия_и_источники!G433</f>
        <v>763.60535313472235</v>
      </c>
      <c r="G87" s="1862">
        <f>Мероприятия_и_источники!H433</f>
        <v>916.32642376166677</v>
      </c>
      <c r="H87" s="1860">
        <f>Мероприятия_и_источники!I433</f>
        <v>0</v>
      </c>
      <c r="I87" s="1860">
        <f>Мероприятия_и_источники!J433</f>
        <v>916.32642376166677</v>
      </c>
      <c r="J87" s="1860">
        <f>Мероприятия_и_источники!K433</f>
        <v>0</v>
      </c>
      <c r="K87" s="1860">
        <f>Мероприятия_и_источники!L433</f>
        <v>0</v>
      </c>
      <c r="L87" s="1863">
        <f>Мероприятия_и_источники!M433</f>
        <v>0</v>
      </c>
      <c r="M87" s="1864" t="str">
        <f>Мероприятия_и_источники!N433</f>
        <v>2025год</v>
      </c>
      <c r="N87" s="1865" t="str">
        <f>Мероприятия_и_источники!O433</f>
        <v>плата за подключение в индивидуальном порядке</v>
      </c>
      <c r="O87" s="1866">
        <v>180</v>
      </c>
      <c r="P87" s="1864"/>
      <c r="Q87" s="1872">
        <f>Износ!O1895/1000</f>
        <v>5893.3334400000003</v>
      </c>
      <c r="R87" s="1861"/>
      <c r="S87" s="1862"/>
      <c r="T87" s="1863"/>
      <c r="U87" s="1867">
        <f>H87/1.2</f>
        <v>0</v>
      </c>
      <c r="V87" s="1860">
        <f t="shared" si="52"/>
        <v>763.60535313472235</v>
      </c>
      <c r="W87" s="1860">
        <f t="shared" si="53"/>
        <v>0</v>
      </c>
      <c r="X87" s="1860">
        <f t="shared" si="54"/>
        <v>0</v>
      </c>
      <c r="Y87" s="1860">
        <f t="shared" si="55"/>
        <v>0</v>
      </c>
      <c r="Z87" s="1862"/>
      <c r="AA87" s="1860"/>
      <c r="AB87" s="1860">
        <f>(I87/1.2+Q87)/O87*12</f>
        <v>443.79591954231489</v>
      </c>
      <c r="AC87" s="1860">
        <f>AB87</f>
        <v>443.79591954231489</v>
      </c>
      <c r="AD87" s="1863">
        <f t="shared" si="50"/>
        <v>443.79591954231489</v>
      </c>
      <c r="AE87" s="1868">
        <v>46805</v>
      </c>
      <c r="AF87" s="1862"/>
      <c r="AG87" s="1863"/>
      <c r="AH87" s="1869"/>
      <c r="AI87" s="1870"/>
      <c r="AJ87" s="1870"/>
      <c r="AK87" s="1870"/>
      <c r="AL87" s="1870"/>
    </row>
    <row r="88" spans="1:38" s="1871" customFormat="1" ht="45">
      <c r="A88" s="1858" t="str">
        <f>Мероприятия_и_источники!B437</f>
        <v xml:space="preserve">Реконструкция канализационной насосной станции "Терепец" район ул.Панорамная </v>
      </c>
      <c r="B88" s="1859">
        <f>Мероприятия_и_источники!C437</f>
        <v>0</v>
      </c>
      <c r="C88" s="1858" t="str">
        <f>Мероприятия_и_источники!D437</f>
        <v>Проект планировки и проект межевания территории жилого квартала, г.Калуга мкр.Кубяка,Байконур</v>
      </c>
      <c r="D88" s="1892" t="str">
        <f>Мероприятия_и_источники!E437</f>
        <v>Заявитель</v>
      </c>
      <c r="E88" s="1860">
        <f>Мероприятия_и_источники!F437</f>
        <v>0</v>
      </c>
      <c r="F88" s="1861">
        <f>Мероприятия_и_источники!G437</f>
        <v>58692.606102842401</v>
      </c>
      <c r="G88" s="1862">
        <f>Мероприятия_и_источники!H437</f>
        <v>70431.127323410881</v>
      </c>
      <c r="H88" s="1860">
        <f>Мероприятия_и_источники!I437</f>
        <v>0</v>
      </c>
      <c r="I88" s="1860">
        <f>Мероприятия_и_источники!J437</f>
        <v>70431.127323410881</v>
      </c>
      <c r="J88" s="1860">
        <f>Мероприятия_и_источники!K437</f>
        <v>0</v>
      </c>
      <c r="K88" s="1860">
        <f>Мероприятия_и_источники!L437</f>
        <v>0</v>
      </c>
      <c r="L88" s="1863">
        <f>Мероприятия_и_источники!M437</f>
        <v>0</v>
      </c>
      <c r="M88" s="1864" t="str">
        <f>Мероприятия_и_источники!N437</f>
        <v>2025год</v>
      </c>
      <c r="N88" s="1865" t="str">
        <f>Мероприятия_и_источники!O437</f>
        <v>бюджет муниципального образования</v>
      </c>
      <c r="O88" s="1866">
        <v>300</v>
      </c>
      <c r="P88" s="1864"/>
      <c r="Q88" s="1872">
        <v>43.808549999999997</v>
      </c>
      <c r="R88" s="1861"/>
      <c r="S88" s="1862"/>
      <c r="T88" s="1863"/>
      <c r="U88" s="1867">
        <f>H88/1.2</f>
        <v>0</v>
      </c>
      <c r="V88" s="1860">
        <f>I88/1.2</f>
        <v>58692.606102842401</v>
      </c>
      <c r="W88" s="1860">
        <f t="shared" si="53"/>
        <v>0</v>
      </c>
      <c r="X88" s="1860">
        <f t="shared" si="54"/>
        <v>0</v>
      </c>
      <c r="Y88" s="1860">
        <f t="shared" si="55"/>
        <v>0</v>
      </c>
      <c r="Z88" s="1862"/>
      <c r="AA88" s="1860"/>
      <c r="AB88" s="1860">
        <f>(I88/1.2+Q88)/O88*12</f>
        <v>2349.4565861136962</v>
      </c>
      <c r="AC88" s="1860">
        <f>AB88</f>
        <v>2349.4565861136962</v>
      </c>
      <c r="AD88" s="1863">
        <f t="shared" si="50"/>
        <v>2349.4565861136962</v>
      </c>
      <c r="AE88" s="1868">
        <v>11120</v>
      </c>
      <c r="AF88" s="1862"/>
      <c r="AG88" s="1863"/>
      <c r="AH88" s="1869"/>
      <c r="AI88" s="1870"/>
      <c r="AJ88" s="1870"/>
      <c r="AK88" s="1870"/>
      <c r="AL88" s="1870"/>
    </row>
    <row r="89" spans="1:38" s="1871" customFormat="1" ht="45">
      <c r="A89" s="1858" t="str">
        <f>Мероприятия_и_источники!B449</f>
        <v>Строительство самотечного канализационного коллектора Ду=200 мм, протяженностью 230 п.м.</v>
      </c>
      <c r="B89" s="1859">
        <f>Мероприятия_и_источники!C449</f>
        <v>230</v>
      </c>
      <c r="C89" s="1858" t="str">
        <f>Мероприятия_и_источники!D449</f>
        <v>Проектирование и строительство систем водоотведения по адресу: г.Калуга, переулок 2-й Стекольный</v>
      </c>
      <c r="D89" s="1892">
        <f>Мероприятия_и_источники!E449</f>
        <v>0</v>
      </c>
      <c r="E89" s="1860">
        <f>Мероприятия_и_источники!F449</f>
        <v>0</v>
      </c>
      <c r="F89" s="1861">
        <f>Мероприятия_и_источники!G449</f>
        <v>5208.7600000000011</v>
      </c>
      <c r="G89" s="1862">
        <f>Мероприятия_и_источники!H449</f>
        <v>6250.5120000000006</v>
      </c>
      <c r="H89" s="1860">
        <f>Мероприятия_и_источники!I449</f>
        <v>0</v>
      </c>
      <c r="I89" s="1860">
        <f>Мероприятия_и_источники!J449</f>
        <v>0</v>
      </c>
      <c r="J89" s="1860">
        <f>Мероприятия_и_источники!K449</f>
        <v>0</v>
      </c>
      <c r="K89" s="1860">
        <f>Мероприятия_и_источники!L449</f>
        <v>6250.5120000000006</v>
      </c>
      <c r="L89" s="1863">
        <f>Мероприятия_и_источники!M449</f>
        <v>0</v>
      </c>
      <c r="M89" s="1864" t="str">
        <f>Мероприятия_и_источники!N449</f>
        <v>2027год</v>
      </c>
      <c r="N89" s="1865" t="str">
        <f>Мероприятия_и_источники!O449</f>
        <v>бюджет муниципального образования</v>
      </c>
      <c r="O89" s="1866">
        <v>181</v>
      </c>
      <c r="P89" s="1864"/>
      <c r="Q89" s="1743"/>
      <c r="R89" s="1861"/>
      <c r="S89" s="1862"/>
      <c r="T89" s="1863"/>
      <c r="U89" s="1867">
        <f t="shared" ref="U89:U110" si="56">H89/1.2</f>
        <v>0</v>
      </c>
      <c r="V89" s="1860">
        <f t="shared" si="52"/>
        <v>0</v>
      </c>
      <c r="W89" s="1860">
        <f t="shared" si="53"/>
        <v>0</v>
      </c>
      <c r="X89" s="1860">
        <f>K89/1.2</f>
        <v>5208.7600000000011</v>
      </c>
      <c r="Y89" s="1860">
        <f t="shared" si="55"/>
        <v>0</v>
      </c>
      <c r="Z89" s="1862"/>
      <c r="AA89" s="1860"/>
      <c r="AB89" s="1860"/>
      <c r="AC89" s="1860"/>
      <c r="AD89" s="1863">
        <f>K89/1.2/O89*12</f>
        <v>345.33215469613265</v>
      </c>
      <c r="AE89" s="1868" t="s">
        <v>1083</v>
      </c>
      <c r="AF89" s="1862"/>
      <c r="AG89" s="1863"/>
      <c r="AH89" s="1869"/>
      <c r="AI89" s="1870"/>
      <c r="AJ89" s="1870"/>
      <c r="AK89" s="1870"/>
      <c r="AL89" s="1870"/>
    </row>
    <row r="90" spans="1:38" s="1871" customFormat="1" ht="75">
      <c r="A90" s="1858" t="str">
        <f>Мероприятия_и_источники!B453</f>
        <v>Строительство самотечного канализационного коллектора Д=200 мм, протяженность 600 п.м.; Установка КНС на 100 м3/сут.; Строительство напорного коллектора 2хД=63 мм, протяженностью 200 п.м. каждая.</v>
      </c>
      <c r="B90" s="1859">
        <f>Мероприятия_и_источники!C453</f>
        <v>800</v>
      </c>
      <c r="C90" s="1858" t="str">
        <f>Мероприятия_и_источники!D453</f>
        <v>Строительство системы водоотведения по адресу: г.Калуга, ул. Овражная</v>
      </c>
      <c r="D90" s="1892">
        <f>Мероприятия_и_источники!E453</f>
        <v>0</v>
      </c>
      <c r="E90" s="1860">
        <f>Мероприятия_и_источники!F453</f>
        <v>0</v>
      </c>
      <c r="F90" s="1861">
        <f>Мероприятия_и_источники!G453</f>
        <v>7518.25</v>
      </c>
      <c r="G90" s="1862">
        <f>Мероприятия_и_источники!H453</f>
        <v>9021.9</v>
      </c>
      <c r="H90" s="1860">
        <f>Мероприятия_и_источники!I453</f>
        <v>0</v>
      </c>
      <c r="I90" s="1860">
        <f>Мероприятия_и_источники!J453</f>
        <v>0</v>
      </c>
      <c r="J90" s="1860">
        <f>Мероприятия_и_источники!K453</f>
        <v>0</v>
      </c>
      <c r="K90" s="1860">
        <f>Мероприятия_и_источники!L453</f>
        <v>0</v>
      </c>
      <c r="L90" s="1863">
        <f>Мероприятия_и_источники!M453</f>
        <v>9021.9</v>
      </c>
      <c r="M90" s="1864" t="str">
        <f>Мероприятия_и_источники!N453</f>
        <v>2028год</v>
      </c>
      <c r="N90" s="1865" t="str">
        <f>Мероприятия_и_источники!O453</f>
        <v>бюджет муниципального образования</v>
      </c>
      <c r="O90" s="1866">
        <v>181</v>
      </c>
      <c r="P90" s="1864"/>
      <c r="Q90" s="1743"/>
      <c r="R90" s="1861"/>
      <c r="S90" s="1862"/>
      <c r="T90" s="1863"/>
      <c r="U90" s="1867">
        <f t="shared" si="56"/>
        <v>0</v>
      </c>
      <c r="V90" s="1860">
        <f t="shared" si="52"/>
        <v>0</v>
      </c>
      <c r="W90" s="1860">
        <f t="shared" si="53"/>
        <v>0</v>
      </c>
      <c r="X90" s="1860">
        <f t="shared" si="54"/>
        <v>0</v>
      </c>
      <c r="Y90" s="1860">
        <f t="shared" si="55"/>
        <v>7518.25</v>
      </c>
      <c r="Z90" s="1862"/>
      <c r="AA90" s="1860"/>
      <c r="AB90" s="1860"/>
      <c r="AC90" s="1860"/>
      <c r="AD90" s="1863"/>
      <c r="AE90" s="1868" t="s">
        <v>1083</v>
      </c>
      <c r="AF90" s="1862"/>
      <c r="AG90" s="1863"/>
      <c r="AH90" s="1869"/>
      <c r="AI90" s="1870"/>
      <c r="AJ90" s="1870"/>
      <c r="AK90" s="1870"/>
      <c r="AL90" s="1870"/>
    </row>
    <row r="91" spans="1:38" s="1871" customFormat="1" ht="105">
      <c r="A91" s="1858" t="str">
        <f>Мероприятия_и_источники!B473</f>
        <v>Реконструкция очистных сооружений канализации п.Муратовского Щебзавода</v>
      </c>
      <c r="B91" s="1859">
        <f>Мероприятия_и_источники!C473</f>
        <v>0</v>
      </c>
      <c r="C91" s="1874" t="str">
        <f>Мероприятия_и_источники!D473</f>
        <v>г.Калуга, п.Муратовский Щебзавод</v>
      </c>
      <c r="D91" s="1892">
        <f>Мероприятия_и_источники!E473</f>
        <v>0</v>
      </c>
      <c r="E91" s="1860">
        <f>Мероприятия_и_источники!F473</f>
        <v>0</v>
      </c>
      <c r="F91" s="1861">
        <f>Мероприятия_и_источники!G473</f>
        <v>3476.35617615</v>
      </c>
      <c r="G91" s="1862">
        <f>Мероприятия_и_источники!H473</f>
        <v>4171.62741138</v>
      </c>
      <c r="H91" s="1860">
        <f>Мероприятия_и_источники!I473</f>
        <v>4171.62741138</v>
      </c>
      <c r="I91" s="1860">
        <f>Мероприятия_и_источники!J473</f>
        <v>0</v>
      </c>
      <c r="J91" s="1860">
        <f>Мероприятия_и_источники!K473</f>
        <v>0</v>
      </c>
      <c r="K91" s="1860">
        <f>Мероприятия_и_источники!L473</f>
        <v>0</v>
      </c>
      <c r="L91" s="1863">
        <f>Мероприятия_и_источники!M473</f>
        <v>0</v>
      </c>
      <c r="M91" s="1864" t="str">
        <f>Мероприятия_и_источники!N473</f>
        <v>2024год</v>
      </c>
      <c r="N91" s="1865" t="str">
        <f>Мероприятия_и_источники!O473</f>
        <v xml:space="preserve">средства, полученные в виде платы за негативное воздействие на работу централизованной системы водоотведения </v>
      </c>
      <c r="O91" s="1866">
        <v>300</v>
      </c>
      <c r="P91" s="1864"/>
      <c r="Q91" s="1872">
        <f>Износ!O7126/1000</f>
        <v>1.58904</v>
      </c>
      <c r="R91" s="1861"/>
      <c r="S91" s="1862"/>
      <c r="T91" s="1863"/>
      <c r="U91" s="1867">
        <f t="shared" si="56"/>
        <v>3476.35617615</v>
      </c>
      <c r="V91" s="1860">
        <f t="shared" si="52"/>
        <v>0</v>
      </c>
      <c r="W91" s="1860">
        <f t="shared" si="53"/>
        <v>0</v>
      </c>
      <c r="X91" s="1860">
        <f t="shared" si="54"/>
        <v>0</v>
      </c>
      <c r="Y91" s="1860">
        <f t="shared" si="55"/>
        <v>0</v>
      </c>
      <c r="Z91" s="1862"/>
      <c r="AA91" s="1860">
        <f>(H91/1.2+$Q$91)/$O$91*12</f>
        <v>139.11780864599999</v>
      </c>
      <c r="AB91" s="1867">
        <f>AA91</f>
        <v>139.11780864599999</v>
      </c>
      <c r="AC91" s="1860">
        <f>AB91</f>
        <v>139.11780864599999</v>
      </c>
      <c r="AD91" s="1863">
        <f>AC91</f>
        <v>139.11780864599999</v>
      </c>
      <c r="AE91" s="1868">
        <v>44547</v>
      </c>
      <c r="AF91" s="1862"/>
      <c r="AG91" s="1863"/>
      <c r="AH91" s="1869"/>
      <c r="AI91" s="1870"/>
      <c r="AJ91" s="1870"/>
      <c r="AK91" s="1870"/>
      <c r="AL91" s="1870"/>
    </row>
    <row r="92" spans="1:38" s="1871" customFormat="1" ht="60">
      <c r="A92" s="1858" t="str">
        <f>Мероприятия_и_источники!B477</f>
        <v>Реконструкция самотечного канализационного коллектора Д-150мм, керамика, протяженностью 193 п.м, по пер. Воскресенский от д. 3а до ул. Луначарского.</v>
      </c>
      <c r="B92" s="1859">
        <f>Мероприятия_и_источники!C477</f>
        <v>193</v>
      </c>
      <c r="C92" s="1874" t="str">
        <f>Мероприятия_и_источники!D477</f>
        <v xml:space="preserve">г.Калуга, пер. Воскресенский от д. 3а до ул. Луначарского </v>
      </c>
      <c r="D92" s="1892">
        <f>Мероприятия_и_источники!E477</f>
        <v>0</v>
      </c>
      <c r="E92" s="1860">
        <f>Мероприятия_и_источники!F477</f>
        <v>0</v>
      </c>
      <c r="F92" s="1861">
        <f>Мероприятия_и_источники!G477</f>
        <v>8081.98215230393</v>
      </c>
      <c r="G92" s="1862">
        <f>Мероприятия_и_источники!H477</f>
        <v>9698.3785827647152</v>
      </c>
      <c r="H92" s="1860">
        <f>Мероприятия_и_источники!I477</f>
        <v>0</v>
      </c>
      <c r="I92" s="1860">
        <f>Мероприятия_и_источники!J477</f>
        <v>0</v>
      </c>
      <c r="J92" s="1860">
        <f>Мероприятия_и_источники!K477</f>
        <v>0</v>
      </c>
      <c r="K92" s="1860">
        <f>Мероприятия_и_источники!L477</f>
        <v>9698.3785827647152</v>
      </c>
      <c r="L92" s="1863">
        <f>Мероприятия_и_источники!M477</f>
        <v>0</v>
      </c>
      <c r="M92" s="1864" t="str">
        <f>Мероприятия_и_источники!N477</f>
        <v>2027год</v>
      </c>
      <c r="N92" s="1865" t="str">
        <f>Мероприятия_и_источники!O477</f>
        <v>капитальные вложения из прибыли предприятия</v>
      </c>
      <c r="O92" s="1866">
        <v>181</v>
      </c>
      <c r="P92" s="1864"/>
      <c r="Q92" s="1872">
        <f>Износ!O5968/1000</f>
        <v>1500.66571</v>
      </c>
      <c r="R92" s="1861"/>
      <c r="S92" s="1862"/>
      <c r="T92" s="1863"/>
      <c r="U92" s="1867">
        <f t="shared" si="56"/>
        <v>0</v>
      </c>
      <c r="V92" s="1860">
        <f t="shared" si="52"/>
        <v>0</v>
      </c>
      <c r="W92" s="1860">
        <f t="shared" si="53"/>
        <v>0</v>
      </c>
      <c r="X92" s="1860">
        <f t="shared" si="54"/>
        <v>8081.98215230393</v>
      </c>
      <c r="Y92" s="1860">
        <f t="shared" si="55"/>
        <v>0</v>
      </c>
      <c r="Z92" s="1862"/>
      <c r="AA92" s="1860"/>
      <c r="AB92" s="1860"/>
      <c r="AC92" s="1860"/>
      <c r="AD92" s="1863">
        <f>(K92/1.2+Q92)/O92*12</f>
        <v>635.31367042898978</v>
      </c>
      <c r="AE92" s="1868">
        <v>11027</v>
      </c>
      <c r="AF92" s="1862"/>
      <c r="AG92" s="1863"/>
      <c r="AH92" s="1869"/>
      <c r="AI92" s="1870"/>
      <c r="AJ92" s="1870"/>
      <c r="AK92" s="1870"/>
      <c r="AL92" s="1870"/>
    </row>
    <row r="93" spans="1:38" s="1871" customFormat="1" ht="60">
      <c r="A93" s="1858" t="str">
        <f>Мероприятия_и_источники!B481</f>
        <v>Реконструкция самотечного канализационного коллектора Д-200мм, керамика, протяженностью 197 п.м, по ул. Поле Свободы от д.30 до ул К. Либкнехта.</v>
      </c>
      <c r="B93" s="1859">
        <f>Мероприятия_и_источники!C481</f>
        <v>197</v>
      </c>
      <c r="C93" s="1874" t="str">
        <f>Мероприятия_и_источники!D481</f>
        <v>г.Калуга по ул. Поле Свободы от д.30 до ул К. Либкнехта.</v>
      </c>
      <c r="D93" s="1892">
        <f>Мероприятия_и_источники!E481</f>
        <v>0</v>
      </c>
      <c r="E93" s="1860">
        <f>Мероприятия_и_источники!F481</f>
        <v>0</v>
      </c>
      <c r="F93" s="1861">
        <f>Мероприятия_и_источники!G481</f>
        <v>5785.8944124753643</v>
      </c>
      <c r="G93" s="1862">
        <f>Мероприятия_и_источники!H481</f>
        <v>6943.073294970437</v>
      </c>
      <c r="H93" s="1860">
        <f>Мероприятия_и_источники!I481</f>
        <v>0</v>
      </c>
      <c r="I93" s="1860">
        <f>Мероприятия_и_источники!J481</f>
        <v>0</v>
      </c>
      <c r="J93" s="1860">
        <f>Мероприятия_и_источники!K481</f>
        <v>0</v>
      </c>
      <c r="K93" s="1860">
        <f>Мероприятия_и_источники!L481</f>
        <v>6943.073294970437</v>
      </c>
      <c r="L93" s="1863">
        <f>Мероприятия_и_источники!M481</f>
        <v>0</v>
      </c>
      <c r="M93" s="1864" t="str">
        <f>Мероприятия_и_источники!N481</f>
        <v>2027год</v>
      </c>
      <c r="N93" s="1865" t="str">
        <f>Мероприятия_и_источники!O481</f>
        <v>капитальные вложения из прибыли предприятия</v>
      </c>
      <c r="O93" s="1866">
        <v>360</v>
      </c>
      <c r="P93" s="1864"/>
      <c r="Q93" s="1872">
        <f>Износ!O6870/1000</f>
        <v>10.438979999999999</v>
      </c>
      <c r="R93" s="1861"/>
      <c r="S93" s="1862"/>
      <c r="T93" s="1863"/>
      <c r="U93" s="1867">
        <f t="shared" si="56"/>
        <v>0</v>
      </c>
      <c r="V93" s="1860">
        <f t="shared" si="52"/>
        <v>0</v>
      </c>
      <c r="W93" s="1860">
        <f t="shared" si="53"/>
        <v>0</v>
      </c>
      <c r="X93" s="1860">
        <f t="shared" si="54"/>
        <v>5785.8944124753643</v>
      </c>
      <c r="Y93" s="1860">
        <f t="shared" si="55"/>
        <v>0</v>
      </c>
      <c r="Z93" s="1862"/>
      <c r="AA93" s="1860"/>
      <c r="AB93" s="1860"/>
      <c r="AC93" s="1860"/>
      <c r="AD93" s="1863">
        <f>(K93/1.2+Q93)/O93*12</f>
        <v>193.21111308251216</v>
      </c>
      <c r="AE93" s="1868">
        <v>28769</v>
      </c>
      <c r="AF93" s="1862"/>
      <c r="AG93" s="1863"/>
      <c r="AH93" s="1869"/>
      <c r="AI93" s="1870"/>
      <c r="AJ93" s="1870"/>
      <c r="AK93" s="1870"/>
      <c r="AL93" s="1870"/>
    </row>
    <row r="94" spans="1:38" s="1871" customFormat="1" ht="75">
      <c r="A94" s="1858" t="str">
        <f>Мероприятия_и_источники!B485</f>
        <v>Реконструкция двух участков самотечного канализационного коллектора Д-500-600мм, ж/б, а/ц, общей протяженностью 1046 п.м: ул. Промышленная от КК№33 до КК№37;  ул. В. Никитиной от д.№29 до ул. Зерновая</v>
      </c>
      <c r="B94" s="1859">
        <f>Мероприятия_и_источники!C485</f>
        <v>1046</v>
      </c>
      <c r="C94" s="1858" t="str">
        <f>Мероприятия_и_источники!D485</f>
        <v>г.Калуга ул. Промышленная ;  ул. В. Никитиной от д.№29 до ул. Зерновая</v>
      </c>
      <c r="D94" s="1892">
        <f>Мероприятия_и_источники!E485</f>
        <v>0</v>
      </c>
      <c r="E94" s="1860">
        <f>Мероприятия_и_источники!F485</f>
        <v>0</v>
      </c>
      <c r="F94" s="1861">
        <f>Мероприятия_и_источники!G485</f>
        <v>70864.733161106182</v>
      </c>
      <c r="G94" s="1862">
        <f>Мероприятия_и_источники!H485</f>
        <v>85037.679793327407</v>
      </c>
      <c r="H94" s="1860">
        <f>Мероприятия_и_источники!I485</f>
        <v>0</v>
      </c>
      <c r="I94" s="1860">
        <f>Мероприятия_и_источники!J485</f>
        <v>0</v>
      </c>
      <c r="J94" s="1860">
        <f>Мероприятия_и_источники!K485</f>
        <v>0</v>
      </c>
      <c r="K94" s="1860">
        <f>Мероприятия_и_источники!L485</f>
        <v>17007.535958665481</v>
      </c>
      <c r="L94" s="1863">
        <f>Мероприятия_и_источники!M485</f>
        <v>68030.143834661925</v>
      </c>
      <c r="M94" s="1864" t="str">
        <f>Мероприятия_и_источники!N485</f>
        <v>2027-2028гг.</v>
      </c>
      <c r="N94" s="1865" t="str">
        <f>Мероприятия_и_источники!O485</f>
        <v>капитальные вложения из прибыли предприятия</v>
      </c>
      <c r="O94" s="1866">
        <v>413</v>
      </c>
      <c r="P94" s="1864"/>
      <c r="Q94" s="1872">
        <v>309.42264999999998</v>
      </c>
      <c r="R94" s="1861"/>
      <c r="S94" s="1862"/>
      <c r="T94" s="1863"/>
      <c r="U94" s="1867">
        <f>H94/1.2</f>
        <v>0</v>
      </c>
      <c r="V94" s="1860">
        <f t="shared" si="52"/>
        <v>0</v>
      </c>
      <c r="W94" s="1860">
        <f t="shared" si="53"/>
        <v>0</v>
      </c>
      <c r="X94" s="1860">
        <f t="shared" si="54"/>
        <v>14172.946632221236</v>
      </c>
      <c r="Y94" s="1860">
        <f t="shared" si="55"/>
        <v>56691.786528884943</v>
      </c>
      <c r="Z94" s="1862"/>
      <c r="AA94" s="1860"/>
      <c r="AB94" s="1860"/>
      <c r="AC94" s="1860"/>
      <c r="AD94" s="1863"/>
      <c r="AE94" s="1868">
        <v>11139</v>
      </c>
      <c r="AF94" s="1862"/>
      <c r="AG94" s="1863"/>
      <c r="AH94" s="1869"/>
      <c r="AI94" s="1870"/>
      <c r="AJ94" s="1870"/>
      <c r="AK94" s="1870"/>
      <c r="AL94" s="1870"/>
    </row>
    <row r="95" spans="1:38" s="1871" customFormat="1" ht="60">
      <c r="A95" s="1858" t="str">
        <f>Мероприятия_и_источники!B489</f>
        <v>Реконструкция самотечного канализационного коллектора Д-600мм, ж/б, протяженностью 230 п.м, по ул. Карла Либкнехта от ул. Московская в р-не д. 178 до д. 16 по ул. К. Либкнехта</v>
      </c>
      <c r="B95" s="1859">
        <f>Мероприятия_и_источники!C489</f>
        <v>230</v>
      </c>
      <c r="C95" s="1874" t="str">
        <f>Мероприятия_и_источники!D489</f>
        <v>г.Калуга, по ул. Карла Либкнехта от ул. Московская в р-не д. 178 до д. 16 по ул. К. Либкнехта</v>
      </c>
      <c r="D95" s="1892">
        <f>Мероприятия_и_источники!E489</f>
        <v>0</v>
      </c>
      <c r="E95" s="1860">
        <f>Мероприятия_и_источники!F489</f>
        <v>0</v>
      </c>
      <c r="F95" s="1861">
        <f>Мероприятия_и_источники!G489</f>
        <v>30762.278378916017</v>
      </c>
      <c r="G95" s="1862">
        <f>Мероприятия_и_источники!H489</f>
        <v>36914.73405469922</v>
      </c>
      <c r="H95" s="1860">
        <f>Мероприятия_и_источники!I489</f>
        <v>0</v>
      </c>
      <c r="I95" s="1860">
        <f>Мероприятия_и_источники!J489</f>
        <v>0</v>
      </c>
      <c r="J95" s="1860">
        <f>Мероприятия_и_источники!K489</f>
        <v>0</v>
      </c>
      <c r="K95" s="1860">
        <f>Мероприятия_и_источники!L489</f>
        <v>36914.73405469922</v>
      </c>
      <c r="L95" s="1863">
        <f>Мероприятия_и_источники!M489</f>
        <v>0</v>
      </c>
      <c r="M95" s="1864" t="str">
        <f>Мероприятия_и_источники!N489</f>
        <v>2027год</v>
      </c>
      <c r="N95" s="1865" t="str">
        <f>Мероприятия_и_источники!O489</f>
        <v>капитальные вложения из прибыли предприятия</v>
      </c>
      <c r="O95" s="1866">
        <v>413</v>
      </c>
      <c r="P95" s="1864"/>
      <c r="Q95" s="1872">
        <f>Износ!O5966/1000</f>
        <v>174.40160999999998</v>
      </c>
      <c r="R95" s="1861"/>
      <c r="S95" s="1862"/>
      <c r="T95" s="1863"/>
      <c r="U95" s="1867">
        <f t="shared" si="56"/>
        <v>0</v>
      </c>
      <c r="V95" s="1860">
        <f t="shared" si="52"/>
        <v>0</v>
      </c>
      <c r="W95" s="1860">
        <f t="shared" si="53"/>
        <v>0</v>
      </c>
      <c r="X95" s="1860">
        <f t="shared" si="54"/>
        <v>30762.278378916017</v>
      </c>
      <c r="Y95" s="1860">
        <f t="shared" si="55"/>
        <v>0</v>
      </c>
      <c r="Z95" s="1862"/>
      <c r="AA95" s="1860"/>
      <c r="AB95" s="1860"/>
      <c r="AC95" s="1860"/>
      <c r="AD95" s="1860">
        <f>((K95)/1.2+$Q$95)/$O$95*12</f>
        <v>898.88658563436377</v>
      </c>
      <c r="AE95" s="1868">
        <v>11024</v>
      </c>
      <c r="AF95" s="1862"/>
      <c r="AG95" s="1863"/>
      <c r="AH95" s="1869"/>
      <c r="AI95" s="1870"/>
      <c r="AJ95" s="1870"/>
      <c r="AK95" s="1870"/>
      <c r="AL95" s="1870"/>
    </row>
    <row r="96" spans="1:38" s="1871" customFormat="1" ht="60">
      <c r="A96" s="1858" t="str">
        <f>Мероприятия_и_источники!B493</f>
        <v>Реконструкция самотечного канализационного коллектора Д-200мм, керамика, протяженностью  500п.м, по ул. Ленина от д.8 до д. 22.</v>
      </c>
      <c r="B96" s="1859">
        <f>Мероприятия_и_источники!C493</f>
        <v>500</v>
      </c>
      <c r="C96" s="1874" t="str">
        <f>Мероприятия_и_источники!D493</f>
        <v>г.Калуга по ул. Ленина от д.8 до д. 22.</v>
      </c>
      <c r="D96" s="1892">
        <f>Мероприятия_и_источники!E493</f>
        <v>0</v>
      </c>
      <c r="E96" s="1860">
        <f>Мероприятия_и_источники!F493</f>
        <v>0</v>
      </c>
      <c r="F96" s="1861">
        <f>Мероприятия_и_источники!G493</f>
        <v>15164.129358199041</v>
      </c>
      <c r="G96" s="1862">
        <f>Мероприятия_и_источники!H493</f>
        <v>18196.955229838848</v>
      </c>
      <c r="H96" s="1860">
        <f>Мероприятия_и_источники!I493</f>
        <v>0</v>
      </c>
      <c r="I96" s="1860">
        <f>Мероприятия_и_источники!J493</f>
        <v>0</v>
      </c>
      <c r="J96" s="1860">
        <f>Мероприятия_и_источники!K493</f>
        <v>0</v>
      </c>
      <c r="K96" s="1860">
        <f>Мероприятия_и_источники!L493</f>
        <v>18196.955229838848</v>
      </c>
      <c r="L96" s="1863">
        <f>Мероприятия_и_источники!M493</f>
        <v>0</v>
      </c>
      <c r="M96" s="1864" t="str">
        <f>Мероприятия_и_источники!N493</f>
        <v>2027год</v>
      </c>
      <c r="N96" s="1865" t="str">
        <f>Мероприятия_и_источники!O493</f>
        <v>капитальные вложения из прибыли предприятия</v>
      </c>
      <c r="O96" s="1866">
        <v>300</v>
      </c>
      <c r="P96" s="1864"/>
      <c r="Q96" s="1872">
        <f>Износ!O6971/1000</f>
        <v>12.068</v>
      </c>
      <c r="R96" s="1861"/>
      <c r="S96" s="1862"/>
      <c r="T96" s="1863"/>
      <c r="U96" s="1867">
        <f t="shared" si="56"/>
        <v>0</v>
      </c>
      <c r="V96" s="1860">
        <f t="shared" si="52"/>
        <v>0</v>
      </c>
      <c r="W96" s="1860">
        <f t="shared" si="53"/>
        <v>0</v>
      </c>
      <c r="X96" s="1860">
        <f t="shared" si="54"/>
        <v>15164.129358199041</v>
      </c>
      <c r="Y96" s="1860">
        <f t="shared" si="55"/>
        <v>0</v>
      </c>
      <c r="Z96" s="1862"/>
      <c r="AA96" s="1860"/>
      <c r="AB96" s="1860"/>
      <c r="AC96" s="1860"/>
      <c r="AD96" s="1863">
        <f>(K96/1.2+Q96)/O96*12</f>
        <v>607.04789432796156</v>
      </c>
      <c r="AE96" s="1868">
        <v>38203</v>
      </c>
      <c r="AF96" s="1862"/>
      <c r="AG96" s="1863"/>
      <c r="AH96" s="1869"/>
      <c r="AI96" s="1870"/>
      <c r="AJ96" s="1870"/>
      <c r="AK96" s="1870"/>
      <c r="AL96" s="1870"/>
    </row>
    <row r="97" spans="1:38" s="1871" customFormat="1" ht="60">
      <c r="A97" s="1858" t="str">
        <f>Мероприятия_и_источники!B497</f>
        <v>Реконструкция самотечного коллектора на эстакаде  Д-300мм, сталь в д. Анненки, ул. Ипподромная  в районе КСШОР,  протяженностью  70 п.м.</v>
      </c>
      <c r="B97" s="1859">
        <f>Мероприятия_и_источники!C497</f>
        <v>70</v>
      </c>
      <c r="C97" s="1874" t="str">
        <f>Мероприятия_и_источники!D497</f>
        <v>г.Калуга  д. Анненки, ул. Ипподромная  в районе КСШОР</v>
      </c>
      <c r="D97" s="1892">
        <f>Мероприятия_и_источники!E497</f>
        <v>0</v>
      </c>
      <c r="E97" s="1860">
        <f>Мероприятия_и_источники!F497</f>
        <v>0</v>
      </c>
      <c r="F97" s="1861">
        <f>Мероприятия_и_источники!G497</f>
        <v>580.99000342499994</v>
      </c>
      <c r="G97" s="1862">
        <f>Мероприятия_и_источники!H497</f>
        <v>697.18800410999995</v>
      </c>
      <c r="H97" s="1860">
        <f>Мероприятия_и_источники!I497</f>
        <v>697.18800410999995</v>
      </c>
      <c r="I97" s="1860">
        <f>Мероприятия_и_источники!J497</f>
        <v>0</v>
      </c>
      <c r="J97" s="1860">
        <f>Мероприятия_и_источники!K497</f>
        <v>0</v>
      </c>
      <c r="K97" s="1860">
        <f>Мероприятия_и_источники!L497</f>
        <v>0</v>
      </c>
      <c r="L97" s="1863">
        <f>Мероприятия_и_источники!M497</f>
        <v>0</v>
      </c>
      <c r="M97" s="1864" t="str">
        <f>Мероприятия_и_источники!N497</f>
        <v>2024год</v>
      </c>
      <c r="N97" s="1865" t="str">
        <f>Мероприятия_и_источники!O497</f>
        <v>капитальные вложения из прибыли предприятия</v>
      </c>
      <c r="O97" s="1866">
        <v>425</v>
      </c>
      <c r="P97" s="1864"/>
      <c r="Q97" s="1872">
        <f>Износ!O5964/1000</f>
        <v>73.111320000000006</v>
      </c>
      <c r="R97" s="1861"/>
      <c r="S97" s="1862"/>
      <c r="T97" s="1863"/>
      <c r="U97" s="1867">
        <f t="shared" si="56"/>
        <v>580.99000342499994</v>
      </c>
      <c r="V97" s="1860">
        <f t="shared" si="52"/>
        <v>0</v>
      </c>
      <c r="W97" s="1860">
        <f t="shared" si="53"/>
        <v>0</v>
      </c>
      <c r="X97" s="1860">
        <f t="shared" si="54"/>
        <v>0</v>
      </c>
      <c r="Y97" s="1860">
        <f t="shared" si="55"/>
        <v>0</v>
      </c>
      <c r="Z97" s="1862"/>
      <c r="AA97" s="1860">
        <f>(H97/1.2+Q97)/O97*12</f>
        <v>18.468743249647055</v>
      </c>
      <c r="AB97" s="1860"/>
      <c r="AC97" s="1860"/>
      <c r="AD97" s="1863"/>
      <c r="AE97" s="1868">
        <v>10446</v>
      </c>
      <c r="AF97" s="1862"/>
      <c r="AG97" s="1863"/>
      <c r="AH97" s="1869"/>
      <c r="AI97" s="1870"/>
      <c r="AJ97" s="1870"/>
      <c r="AK97" s="1870"/>
      <c r="AL97" s="1870"/>
    </row>
    <row r="98" spans="1:38" s="1871" customFormat="1" ht="60">
      <c r="A98" s="1858" t="str">
        <f>Мероприятия_и_источники!B501</f>
        <v>Реконструкция самотечного канализационного коллектора  Д-150мм, кер., протяженностью 314 п.м, в д. Канищево от территории гаражей до КНС</v>
      </c>
      <c r="B98" s="1859">
        <f>Мероприятия_и_источники!C501</f>
        <v>314</v>
      </c>
      <c r="C98" s="1858" t="str">
        <f>Мероприятия_и_источники!D501</f>
        <v>г.Калуга,д.Канищево от территории гаражей до КНС</v>
      </c>
      <c r="D98" s="1892">
        <f>Мероприятия_и_источники!E501</f>
        <v>0</v>
      </c>
      <c r="E98" s="1860">
        <f>Мероприятия_и_источники!F501</f>
        <v>0</v>
      </c>
      <c r="F98" s="1861">
        <f>Мероприятия_и_источники!G501</f>
        <v>4901.6412930370952</v>
      </c>
      <c r="G98" s="1862">
        <f>Мероприятия_и_источники!H501</f>
        <v>5881.9695516445136</v>
      </c>
      <c r="H98" s="1860">
        <f>Мероприятия_и_источники!I501</f>
        <v>0</v>
      </c>
      <c r="I98" s="1860">
        <f>Мероприятия_и_источники!J501</f>
        <v>0</v>
      </c>
      <c r="J98" s="1860">
        <f>Мероприятия_и_источники!K501</f>
        <v>0</v>
      </c>
      <c r="K98" s="1860">
        <f>Мероприятия_и_источники!L501</f>
        <v>0</v>
      </c>
      <c r="L98" s="1863">
        <f>Мероприятия_и_источники!M501</f>
        <v>5881.9695516445136</v>
      </c>
      <c r="M98" s="1864" t="str">
        <f>Мероприятия_и_источники!N501</f>
        <v>2028год</v>
      </c>
      <c r="N98" s="1865" t="str">
        <f>Мероприятия_и_источники!O501</f>
        <v>капитальные вложения из прибыли предприятия</v>
      </c>
      <c r="O98" s="1866">
        <v>413</v>
      </c>
      <c r="P98" s="1864"/>
      <c r="Q98" s="1872">
        <v>0.86021000000000003</v>
      </c>
      <c r="R98" s="1861"/>
      <c r="S98" s="1862"/>
      <c r="T98" s="1863"/>
      <c r="U98" s="1867">
        <f t="shared" si="56"/>
        <v>0</v>
      </c>
      <c r="V98" s="1860">
        <f t="shared" si="52"/>
        <v>0</v>
      </c>
      <c r="W98" s="1860">
        <f t="shared" si="53"/>
        <v>0</v>
      </c>
      <c r="X98" s="1860">
        <f t="shared" si="54"/>
        <v>0</v>
      </c>
      <c r="Y98" s="1860">
        <f t="shared" si="55"/>
        <v>4901.6412930370952</v>
      </c>
      <c r="Z98" s="1862"/>
      <c r="AA98" s="1860"/>
      <c r="AB98" s="1860"/>
      <c r="AC98" s="1860"/>
      <c r="AD98" s="1863"/>
      <c r="AE98" s="1868">
        <v>11184</v>
      </c>
      <c r="AF98" s="1862"/>
      <c r="AG98" s="1863"/>
      <c r="AH98" s="1869"/>
      <c r="AI98" s="1870"/>
      <c r="AJ98" s="1870"/>
      <c r="AK98" s="1870"/>
      <c r="AL98" s="1870"/>
    </row>
    <row r="99" spans="1:38" s="1871" customFormat="1" ht="60">
      <c r="A99" s="1858" t="str">
        <f>Мероприятия_и_источники!B505</f>
        <v xml:space="preserve">Реконструкция самотечного канализационного коллектора Д-250-500мм, ж/б, протяженностью 810 п.м, по ул. Степана Разина от д.57 до ул. Салтыкова - Щедрина </v>
      </c>
      <c r="B99" s="1859">
        <f>Мероприятия_и_источники!C505</f>
        <v>810</v>
      </c>
      <c r="C99" s="1874" t="str">
        <f>Мероприятия_и_источники!D505</f>
        <v xml:space="preserve">г.Калуга по ул. Степана Разина от д.57 до ул. Салтыкова - Щедрина </v>
      </c>
      <c r="D99" s="1892">
        <f>Мероприятия_и_источники!E505</f>
        <v>0</v>
      </c>
      <c r="E99" s="1860">
        <f>Мероприятия_и_источники!F505</f>
        <v>0</v>
      </c>
      <c r="F99" s="1861">
        <f>Мероприятия_и_источники!G505</f>
        <v>62401.52050371722</v>
      </c>
      <c r="G99" s="1862">
        <f>Мероприятия_и_источники!H505</f>
        <v>74881.824604460664</v>
      </c>
      <c r="H99" s="1860">
        <f>Мероприятия_и_источники!I505</f>
        <v>0</v>
      </c>
      <c r="I99" s="1860">
        <f>Мероприятия_и_источники!J505</f>
        <v>28080.684226672747</v>
      </c>
      <c r="J99" s="1860">
        <f>Мероприятия_и_источники!K505</f>
        <v>33696.821072007297</v>
      </c>
      <c r="K99" s="1860">
        <f>Мероприятия_и_источники!L505</f>
        <v>11232.273690669099</v>
      </c>
      <c r="L99" s="1863">
        <f>Мероприятия_и_источники!M505</f>
        <v>1872.0456151115166</v>
      </c>
      <c r="M99" s="1864" t="str">
        <f>Мероприятия_и_источники!N505</f>
        <v>2025-2028гг.</v>
      </c>
      <c r="N99" s="1865" t="str">
        <f>Мероприятия_и_источники!O505</f>
        <v>капитальные вложения из прибыли предприятия</v>
      </c>
      <c r="O99" s="1866">
        <v>240</v>
      </c>
      <c r="P99" s="1864"/>
      <c r="Q99" s="1872">
        <f>Износ!O6032/1000</f>
        <v>48.853139999999996</v>
      </c>
      <c r="R99" s="1861"/>
      <c r="S99" s="1862"/>
      <c r="T99" s="1863"/>
      <c r="U99" s="1867">
        <f t="shared" si="56"/>
        <v>0</v>
      </c>
      <c r="V99" s="1860">
        <f t="shared" si="52"/>
        <v>23400.570188893958</v>
      </c>
      <c r="W99" s="1860">
        <f t="shared" si="53"/>
        <v>28080.684226672747</v>
      </c>
      <c r="X99" s="1860">
        <f t="shared" si="54"/>
        <v>9360.228075557583</v>
      </c>
      <c r="Y99" s="1860">
        <f t="shared" si="55"/>
        <v>1560.0380125929305</v>
      </c>
      <c r="Z99" s="1862"/>
      <c r="AA99" s="1860"/>
      <c r="AB99" s="1860"/>
      <c r="AC99" s="1860"/>
      <c r="AD99" s="1863"/>
      <c r="AE99" s="1868">
        <v>11330</v>
      </c>
      <c r="AF99" s="1862"/>
      <c r="AG99" s="1863"/>
      <c r="AH99" s="1869"/>
      <c r="AI99" s="1870"/>
      <c r="AJ99" s="1870"/>
      <c r="AK99" s="1870"/>
      <c r="AL99" s="1870"/>
    </row>
    <row r="100" spans="1:38" s="1871" customFormat="1" ht="105">
      <c r="A100" s="1858" t="str">
        <f>Мероприятия_и_источники!B509</f>
        <v>Реконструкция самотечного канализационного коллектора Д-500мм, кер., протяженностью 300 п.м, от ул. Ленина д.58  до ул. Веры Андриановой</v>
      </c>
      <c r="B100" s="1859">
        <f>Мероприятия_и_источники!C509</f>
        <v>300</v>
      </c>
      <c r="C100" s="1874" t="str">
        <f>Мероприятия_и_источники!D509</f>
        <v>г.Калуга от ул. Ленина д.58  до ул. Веры Андриановой</v>
      </c>
      <c r="D100" s="1892">
        <f>Мероприятия_и_источники!E509</f>
        <v>0</v>
      </c>
      <c r="E100" s="1860">
        <f>Мероприятия_и_источники!F509</f>
        <v>0</v>
      </c>
      <c r="F100" s="1861">
        <f>Мероприятия_и_источники!G509</f>
        <v>6324.7056005249997</v>
      </c>
      <c r="G100" s="1862">
        <f>Мероприятия_и_источники!H509</f>
        <v>7589.6467206299994</v>
      </c>
      <c r="H100" s="1860">
        <f>Мероприятия_и_источники!I509</f>
        <v>7589.6467206299994</v>
      </c>
      <c r="I100" s="1860">
        <f>Мероприятия_и_источники!J509</f>
        <v>0</v>
      </c>
      <c r="J100" s="1860">
        <f>Мероприятия_и_источники!K509</f>
        <v>0</v>
      </c>
      <c r="K100" s="1860">
        <f>Мероприятия_и_источники!L509</f>
        <v>0</v>
      </c>
      <c r="L100" s="1863">
        <f>Мероприятия_и_источники!M509</f>
        <v>0</v>
      </c>
      <c r="M100" s="1864" t="str">
        <f>Мероприятия_и_источники!N509</f>
        <v>2024год</v>
      </c>
      <c r="N100" s="1865" t="str">
        <f>Мероприятия_и_источники!O509</f>
        <v xml:space="preserve">средства, полученные в виде платы за негативное воздействие на работу централизованной системы водоотведения </v>
      </c>
      <c r="O100" s="1866">
        <v>300</v>
      </c>
      <c r="P100" s="1864"/>
      <c r="Q100" s="1872">
        <f>Износ!O6971/1000</f>
        <v>12.068</v>
      </c>
      <c r="R100" s="1861"/>
      <c r="S100" s="1862"/>
      <c r="T100" s="1863"/>
      <c r="U100" s="1867">
        <f t="shared" si="56"/>
        <v>6324.7056005249997</v>
      </c>
      <c r="V100" s="1860">
        <f t="shared" si="52"/>
        <v>0</v>
      </c>
      <c r="W100" s="1860">
        <f t="shared" si="53"/>
        <v>0</v>
      </c>
      <c r="X100" s="1860">
        <f t="shared" si="54"/>
        <v>0</v>
      </c>
      <c r="Y100" s="1860">
        <f t="shared" si="55"/>
        <v>0</v>
      </c>
      <c r="Z100" s="1862"/>
      <c r="AA100" s="1860">
        <f>(H100/1.2+Q100)/O100*12</f>
        <v>253.47094402099998</v>
      </c>
      <c r="AB100" s="1860">
        <f t="shared" ref="AB100:AD101" si="57">AA100</f>
        <v>253.47094402099998</v>
      </c>
      <c r="AC100" s="1860">
        <f t="shared" si="57"/>
        <v>253.47094402099998</v>
      </c>
      <c r="AD100" s="1863">
        <f t="shared" si="57"/>
        <v>253.47094402099998</v>
      </c>
      <c r="AE100" s="1868">
        <v>38203</v>
      </c>
      <c r="AF100" s="1862"/>
      <c r="AG100" s="1863"/>
      <c r="AH100" s="1869"/>
      <c r="AI100" s="1870"/>
      <c r="AJ100" s="1870"/>
      <c r="AK100" s="1870"/>
      <c r="AL100" s="1870"/>
    </row>
    <row r="101" spans="1:38" s="1871" customFormat="1" ht="60">
      <c r="A101" s="1858" t="str">
        <f>Мероприятия_и_источники!B513</f>
        <v>Реконструкция напорного коллектора, Д-100мм, сталь, протяженностью 420 п.м,  от КНС Канищево до площадки коттеджного поселка Швейцарская деревня</v>
      </c>
      <c r="B101" s="1859">
        <f>Мероприятия_и_источники!C513</f>
        <v>420</v>
      </c>
      <c r="C101" s="1858" t="str">
        <f>Мероприятия_и_источники!D513</f>
        <v>г.Калуга от КНС Канищево до площадки коттеджного поселка Швейцарская деревня</v>
      </c>
      <c r="D101" s="1892">
        <f>Мероприятия_и_источники!E513</f>
        <v>0</v>
      </c>
      <c r="E101" s="1860">
        <f>Мероприятия_и_источники!F513</f>
        <v>0</v>
      </c>
      <c r="F101" s="1861">
        <f>Мероприятия_и_источники!G513</f>
        <v>4671.3545687249998</v>
      </c>
      <c r="G101" s="1862">
        <f>Мероприятия_и_источники!H513</f>
        <v>5605.62548247</v>
      </c>
      <c r="H101" s="1860">
        <f>Мероприятия_и_источники!I513</f>
        <v>5605.62548247</v>
      </c>
      <c r="I101" s="1860">
        <f>Мероприятия_и_источники!J513</f>
        <v>0</v>
      </c>
      <c r="J101" s="1860">
        <f>Мероприятия_и_источники!K513</f>
        <v>0</v>
      </c>
      <c r="K101" s="1860">
        <f>Мероприятия_и_источники!L513</f>
        <v>0</v>
      </c>
      <c r="L101" s="1863">
        <f>Мероприятия_и_источники!M513</f>
        <v>0</v>
      </c>
      <c r="M101" s="1864" t="str">
        <f>Мероприятия_и_источники!N513</f>
        <v>2024год</v>
      </c>
      <c r="N101" s="1865" t="str">
        <f>Мероприятия_и_источники!O513</f>
        <v>капитальные вложения из прибыли предприятия</v>
      </c>
      <c r="O101" s="1866">
        <v>360</v>
      </c>
      <c r="P101" s="1864"/>
      <c r="Q101" s="1872">
        <v>15.757669999999999</v>
      </c>
      <c r="R101" s="1861"/>
      <c r="S101" s="1862"/>
      <c r="T101" s="1863"/>
      <c r="U101" s="1867">
        <f t="shared" si="56"/>
        <v>4671.3545687249998</v>
      </c>
      <c r="V101" s="1860">
        <f>I101/1.2</f>
        <v>0</v>
      </c>
      <c r="W101" s="1860">
        <f t="shared" si="53"/>
        <v>0</v>
      </c>
      <c r="X101" s="1860">
        <f t="shared" si="54"/>
        <v>0</v>
      </c>
      <c r="Y101" s="1860">
        <f t="shared" si="55"/>
        <v>0</v>
      </c>
      <c r="Z101" s="1862"/>
      <c r="AA101" s="1860">
        <f>(H101/1.2+Q101)/O101*12</f>
        <v>156.23707462416667</v>
      </c>
      <c r="AB101" s="1860">
        <f t="shared" si="57"/>
        <v>156.23707462416667</v>
      </c>
      <c r="AC101" s="1860">
        <f t="shared" si="57"/>
        <v>156.23707462416667</v>
      </c>
      <c r="AD101" s="1863">
        <f t="shared" si="57"/>
        <v>156.23707462416667</v>
      </c>
      <c r="AE101" s="1868">
        <v>26577</v>
      </c>
      <c r="AF101" s="1862"/>
      <c r="AG101" s="1863"/>
      <c r="AH101" s="1869"/>
      <c r="AI101" s="1870"/>
      <c r="AJ101" s="1870"/>
      <c r="AK101" s="1870"/>
      <c r="AL101" s="1870"/>
    </row>
    <row r="102" spans="1:38" s="1871" customFormat="1" ht="60">
      <c r="A102" s="1858" t="str">
        <f>Мероприятия_и_источники!B517</f>
        <v>Реконструкция напорного коллектора, Д-200мм, сталь, протяженностью 3920 п.м,  от КНС "Шопино" №13 до камеры гашения в районе ул. Хорошая</v>
      </c>
      <c r="B102" s="1859">
        <f>Мероприятия_и_источники!C517</f>
        <v>3920</v>
      </c>
      <c r="C102" s="1858" t="str">
        <f>Мероприятия_и_источники!D517</f>
        <v>г.Калуга от КНС "Шопино" №13 до камеры гашения в районе ул. Хорошая</v>
      </c>
      <c r="D102" s="1892">
        <f>Мероприятия_и_источники!E517</f>
        <v>0</v>
      </c>
      <c r="E102" s="1860">
        <f>Мероприятия_и_источники!F517</f>
        <v>0</v>
      </c>
      <c r="F102" s="1861">
        <f>Мероприятия_и_источники!G517</f>
        <v>110022.37991611479</v>
      </c>
      <c r="G102" s="1862">
        <f>Мероприятия_и_источники!H517</f>
        <v>132026.85589933774</v>
      </c>
      <c r="H102" s="1860">
        <f>Мероприятия_и_источники!I517</f>
        <v>0</v>
      </c>
      <c r="I102" s="1860">
        <f>Мероприятия_и_источники!J517</f>
        <v>0</v>
      </c>
      <c r="J102" s="1860">
        <f>Мероприятия_и_источники!K517</f>
        <v>36967.51965181456</v>
      </c>
      <c r="K102" s="1860">
        <f>Мероприятия_и_источники!L517</f>
        <v>36967.51965181456</v>
      </c>
      <c r="L102" s="1863">
        <f>Мероприятия_и_источники!M517</f>
        <v>58091.816595708602</v>
      </c>
      <c r="M102" s="1864" t="str">
        <f>Мероприятия_и_источники!N517</f>
        <v>2026-2028гг.</v>
      </c>
      <c r="N102" s="1865" t="str">
        <f>Мероприятия_и_источники!O517</f>
        <v>капитальные вложения из прибыли предприятия</v>
      </c>
      <c r="O102" s="1866">
        <v>240</v>
      </c>
      <c r="P102" s="1864"/>
      <c r="Q102" s="1872">
        <v>95.194900000000004</v>
      </c>
      <c r="R102" s="1861"/>
      <c r="S102" s="1862"/>
      <c r="T102" s="1863"/>
      <c r="U102" s="1867"/>
      <c r="V102" s="1860"/>
      <c r="W102" s="1860"/>
      <c r="X102" s="1860"/>
      <c r="Y102" s="1860">
        <f>(J102+K102+L102)/1.2</f>
        <v>110022.37991611479</v>
      </c>
      <c r="Z102" s="1862"/>
      <c r="AA102" s="1860"/>
      <c r="AB102" s="1860"/>
      <c r="AC102" s="1860"/>
      <c r="AD102" s="1863"/>
      <c r="AE102" s="1868">
        <v>24072</v>
      </c>
      <c r="AF102" s="1862"/>
      <c r="AG102" s="1863"/>
      <c r="AH102" s="1869"/>
      <c r="AI102" s="1870"/>
      <c r="AJ102" s="1870"/>
      <c r="AK102" s="1870"/>
      <c r="AL102" s="1870"/>
    </row>
    <row r="103" spans="1:38" s="1871" customFormat="1" ht="45">
      <c r="A103" s="1858" t="str">
        <f>Мероприятия_и_источники!B521</f>
        <v>Реконструкция напорного коллектора, Д-150мм, чугун, две нитки общей протяженностью 2800 п.м,  от КНС Аэропорт докамеры гашения</v>
      </c>
      <c r="B103" s="1859">
        <f>Мероприятия_и_источники!C521</f>
        <v>2800</v>
      </c>
      <c r="C103" s="1858" t="str">
        <f>Мероприятия_и_источники!D521</f>
        <v>г.Калуга от КНС Аэропорт до камеры гашения</v>
      </c>
      <c r="D103" s="1892">
        <f>Мероприятия_и_источники!E521</f>
        <v>0</v>
      </c>
      <c r="E103" s="1860">
        <f>Мероприятия_и_источники!F521</f>
        <v>0</v>
      </c>
      <c r="F103" s="1861">
        <f>Мероприятия_и_источники!G521</f>
        <v>24464.569591047082</v>
      </c>
      <c r="G103" s="1862">
        <f>Мероприятия_и_источники!H521</f>
        <v>29357.483509256497</v>
      </c>
      <c r="H103" s="1860">
        <f>Мероприятия_и_источники!I521</f>
        <v>0</v>
      </c>
      <c r="I103" s="1860">
        <f>Мероприятия_и_источники!J521</f>
        <v>0</v>
      </c>
      <c r="J103" s="1860">
        <f>Мероприятия_и_источники!K521</f>
        <v>29357.483509256497</v>
      </c>
      <c r="K103" s="1860">
        <f>Мероприятия_и_источники!L521</f>
        <v>0</v>
      </c>
      <c r="L103" s="1863">
        <f>Мероприятия_и_источники!M521</f>
        <v>0</v>
      </c>
      <c r="M103" s="1864" t="str">
        <f>Мероприятия_и_источники!N521</f>
        <v>2026год</v>
      </c>
      <c r="N103" s="1865" t="str">
        <f>Мероприятия_и_источники!O521</f>
        <v>капитальные вложения из прибыли предприятия</v>
      </c>
      <c r="O103" s="1866">
        <v>600</v>
      </c>
      <c r="P103" s="1864"/>
      <c r="Q103" s="1872">
        <v>206.41319999999999</v>
      </c>
      <c r="R103" s="1861"/>
      <c r="S103" s="1862"/>
      <c r="T103" s="1863"/>
      <c r="U103" s="1867">
        <f t="shared" si="56"/>
        <v>0</v>
      </c>
      <c r="V103" s="1860">
        <f t="shared" si="52"/>
        <v>0</v>
      </c>
      <c r="W103" s="1860">
        <f t="shared" si="53"/>
        <v>24464.569591047082</v>
      </c>
      <c r="X103" s="1860">
        <f t="shared" si="54"/>
        <v>0</v>
      </c>
      <c r="Y103" s="1860">
        <f t="shared" si="55"/>
        <v>0</v>
      </c>
      <c r="Z103" s="1862"/>
      <c r="AA103" s="1860"/>
      <c r="AB103" s="1860"/>
      <c r="AC103" s="1860">
        <f>($J$103/1.2+$Q$103)/$O$103*12</f>
        <v>493.41965582094161</v>
      </c>
      <c r="AD103" s="1863">
        <f>AC103</f>
        <v>493.41965582094161</v>
      </c>
      <c r="AE103" s="1868">
        <v>26484</v>
      </c>
      <c r="AF103" s="1862"/>
      <c r="AG103" s="1863"/>
      <c r="AH103" s="1869"/>
      <c r="AI103" s="1870"/>
      <c r="AJ103" s="1870"/>
      <c r="AK103" s="1870"/>
      <c r="AL103" s="1870"/>
    </row>
    <row r="104" spans="1:38" s="1871" customFormat="1" ht="45">
      <c r="A104" s="1858" t="str">
        <f>Мероприятия_и_источники!B525</f>
        <v>Реконструкция напорного коллектора, 2Д-250мм, чугун, протяженностью 454 п.м, от КНС "Подгорная" до камеры гашения.</v>
      </c>
      <c r="B104" s="1859">
        <f>Мероприятия_и_источники!C525</f>
        <v>454</v>
      </c>
      <c r="C104" s="1858" t="str">
        <f>Мероприятия_и_источники!D525</f>
        <v>г.Калуга от КНС "Подгорная" до камеры гашения.</v>
      </c>
      <c r="D104" s="1892">
        <f>Мероприятия_и_источники!E525</f>
        <v>0</v>
      </c>
      <c r="E104" s="1860">
        <f>Мероприятия_и_источники!F525</f>
        <v>0</v>
      </c>
      <c r="F104" s="1861">
        <f>Мероприятия_и_источники!G525</f>
        <v>33437.376978552522</v>
      </c>
      <c r="G104" s="1862">
        <f>Мероприятия_и_источники!H525</f>
        <v>40124.852374263028</v>
      </c>
      <c r="H104" s="1860">
        <f>Мероприятия_и_источники!I525</f>
        <v>0</v>
      </c>
      <c r="I104" s="1860">
        <f>Мероприятия_и_источники!J525</f>
        <v>0</v>
      </c>
      <c r="J104" s="1860">
        <f>Мероприятия_и_источники!K525</f>
        <v>0</v>
      </c>
      <c r="K104" s="1860">
        <f>Мероприятия_и_источники!L525</f>
        <v>0</v>
      </c>
      <c r="L104" s="1863">
        <f>Мероприятия_и_источники!M525</f>
        <v>40124.852374263028</v>
      </c>
      <c r="M104" s="1864" t="str">
        <f>Мероприятия_и_источники!N525</f>
        <v>2028год</v>
      </c>
      <c r="N104" s="1865" t="str">
        <f>Мероприятия_и_источники!O525</f>
        <v>капитальные вложения из прибыли предприятия</v>
      </c>
      <c r="O104" s="1866">
        <v>360</v>
      </c>
      <c r="P104" s="1864"/>
      <c r="Q104" s="1872">
        <v>108.89615999999999</v>
      </c>
      <c r="R104" s="1861"/>
      <c r="S104" s="1862"/>
      <c r="T104" s="1863"/>
      <c r="U104" s="1867">
        <f t="shared" si="56"/>
        <v>0</v>
      </c>
      <c r="V104" s="1860">
        <f t="shared" si="52"/>
        <v>0</v>
      </c>
      <c r="W104" s="1860">
        <f t="shared" si="53"/>
        <v>0</v>
      </c>
      <c r="X104" s="1860">
        <f>K104/1.2</f>
        <v>0</v>
      </c>
      <c r="Y104" s="1860">
        <f t="shared" si="55"/>
        <v>33437.376978552522</v>
      </c>
      <c r="Z104" s="1862"/>
      <c r="AA104" s="1860"/>
      <c r="AB104" s="1860"/>
      <c r="AC104" s="1860"/>
      <c r="AD104" s="1863"/>
      <c r="AE104" s="1868">
        <v>27786</v>
      </c>
      <c r="AF104" s="1862"/>
      <c r="AG104" s="1863"/>
      <c r="AH104" s="1869"/>
      <c r="AI104" s="1870"/>
      <c r="AJ104" s="1870"/>
      <c r="AK104" s="1870"/>
      <c r="AL104" s="1870"/>
    </row>
    <row r="105" spans="1:38" s="1871" customFormat="1" ht="45">
      <c r="A105" s="1858" t="str">
        <f>Мероприятия_и_источники!B529</f>
        <v>Реконструкция напорного коллектора Д-400мм, чугун по ул. Ипподромная (от КНС№7 до КНС№6) протяженностью 200 п.м.</v>
      </c>
      <c r="B105" s="1859">
        <f>Мероприятия_и_источники!C529</f>
        <v>200</v>
      </c>
      <c r="C105" s="1874" t="str">
        <f>Мероприятия_и_источники!D529</f>
        <v>г.Калуга ,ул.Ипподромная</v>
      </c>
      <c r="D105" s="1892">
        <f>Мероприятия_и_источники!E529</f>
        <v>0</v>
      </c>
      <c r="E105" s="1860">
        <f>Мероприятия_и_источники!F529</f>
        <v>0</v>
      </c>
      <c r="F105" s="1861">
        <f>Мероприятия_и_источники!G529</f>
        <v>5795.5767738897821</v>
      </c>
      <c r="G105" s="1862">
        <f>Мероприятия_и_источники!H529</f>
        <v>6954.692128667738</v>
      </c>
      <c r="H105" s="1860">
        <f>Мероприятия_и_источники!I529</f>
        <v>0</v>
      </c>
      <c r="I105" s="1860">
        <f>Мероприятия_и_источники!J529</f>
        <v>0</v>
      </c>
      <c r="J105" s="1860">
        <f>Мероприятия_и_источники!K529</f>
        <v>0</v>
      </c>
      <c r="K105" s="1860">
        <f>Мероприятия_и_источники!L529</f>
        <v>0</v>
      </c>
      <c r="L105" s="1863">
        <f>Мероприятия_и_источники!M529</f>
        <v>6954.692128667738</v>
      </c>
      <c r="M105" s="1864" t="str">
        <f>Мероприятия_и_источники!N529</f>
        <v>2028год</v>
      </c>
      <c r="N105" s="1865" t="str">
        <f>Мероприятия_и_источники!O529</f>
        <v>капитальные вложения из прибыли предприятия</v>
      </c>
      <c r="O105" s="1866">
        <v>360</v>
      </c>
      <c r="P105" s="1864"/>
      <c r="Q105" s="1872">
        <f>Износ!O5951/1000</f>
        <v>998.31778000000008</v>
      </c>
      <c r="R105" s="1861"/>
      <c r="S105" s="1862"/>
      <c r="T105" s="1863"/>
      <c r="U105" s="1867">
        <f t="shared" si="56"/>
        <v>0</v>
      </c>
      <c r="V105" s="1860">
        <f t="shared" si="52"/>
        <v>0</v>
      </c>
      <c r="W105" s="1860">
        <f t="shared" si="53"/>
        <v>0</v>
      </c>
      <c r="X105" s="1860">
        <f t="shared" si="54"/>
        <v>0</v>
      </c>
      <c r="Y105" s="1860">
        <f t="shared" si="55"/>
        <v>5795.5767738897821</v>
      </c>
      <c r="Z105" s="1862"/>
      <c r="AA105" s="1860"/>
      <c r="AB105" s="1860"/>
      <c r="AC105" s="1860"/>
      <c r="AD105" s="1863"/>
      <c r="AE105" s="1868">
        <v>10409</v>
      </c>
      <c r="AF105" s="1862"/>
      <c r="AG105" s="1863"/>
      <c r="AH105" s="1869"/>
      <c r="AI105" s="1870"/>
      <c r="AJ105" s="1870"/>
      <c r="AK105" s="1870"/>
      <c r="AL105" s="1870"/>
    </row>
    <row r="106" spans="1:38" s="1871" customFormat="1" ht="105">
      <c r="A106" s="1858" t="str">
        <f>Мероприятия_и_источники!B533</f>
        <v>Реконструкция коллектора Калуга-Бор (вдоль бора) протяженностью 294 п.м.</v>
      </c>
      <c r="B106" s="1859">
        <f>Мероприятия_и_источники!C533</f>
        <v>294</v>
      </c>
      <c r="C106" s="1874" t="str">
        <f>Мероприятия_и_источники!D533</f>
        <v>г.Калуга</v>
      </c>
      <c r="D106" s="1892">
        <f>Мероприятия_и_источники!E533</f>
        <v>0</v>
      </c>
      <c r="E106" s="1860">
        <f>Мероприятия_и_источники!F533</f>
        <v>0</v>
      </c>
      <c r="F106" s="1861">
        <f>Мероприятия_и_источники!G533</f>
        <v>3675.3010456500006</v>
      </c>
      <c r="G106" s="1862">
        <f>Мероприятия_и_источники!H533</f>
        <v>4410.3612547800003</v>
      </c>
      <c r="H106" s="1860">
        <f>Мероприятия_и_источники!I533</f>
        <v>4410.3612547800003</v>
      </c>
      <c r="I106" s="1860">
        <f>Мероприятия_и_источники!J533</f>
        <v>0</v>
      </c>
      <c r="J106" s="1860">
        <f>Мероприятия_и_источники!K533</f>
        <v>0</v>
      </c>
      <c r="K106" s="1860">
        <f>Мероприятия_и_источники!L533</f>
        <v>0</v>
      </c>
      <c r="L106" s="1863">
        <f>Мероприятия_и_источники!M533</f>
        <v>0</v>
      </c>
      <c r="M106" s="1864" t="str">
        <f>Мероприятия_и_источники!N533</f>
        <v>2024год</v>
      </c>
      <c r="N106" s="1865" t="str">
        <f>Мероприятия_и_источники!O533</f>
        <v xml:space="preserve">средства, полученные в виде платы за негативное воздействие на работу централизованной системы водоотведения </v>
      </c>
      <c r="O106" s="1866">
        <v>360</v>
      </c>
      <c r="P106" s="1864"/>
      <c r="Q106" s="1872">
        <f>Износ!O6152/1000</f>
        <v>13.30964</v>
      </c>
      <c r="R106" s="1861"/>
      <c r="S106" s="1862"/>
      <c r="T106" s="1863"/>
      <c r="U106" s="1867">
        <f t="shared" si="56"/>
        <v>3675.3010456500006</v>
      </c>
      <c r="V106" s="1860">
        <f t="shared" si="52"/>
        <v>0</v>
      </c>
      <c r="W106" s="1860">
        <f t="shared" si="53"/>
        <v>0</v>
      </c>
      <c r="X106" s="1860">
        <f t="shared" si="54"/>
        <v>0</v>
      </c>
      <c r="Y106" s="1860">
        <f t="shared" si="55"/>
        <v>0</v>
      </c>
      <c r="Z106" s="1862"/>
      <c r="AA106" s="1860">
        <f>(H106/1.2+Q106)/O106*12</f>
        <v>122.95368952166669</v>
      </c>
      <c r="AB106" s="1860">
        <f>AA106</f>
        <v>122.95368952166669</v>
      </c>
      <c r="AC106" s="1860">
        <f>AB106</f>
        <v>122.95368952166669</v>
      </c>
      <c r="AD106" s="1863">
        <f>AC106</f>
        <v>122.95368952166669</v>
      </c>
      <c r="AE106" s="1868">
        <v>24120</v>
      </c>
      <c r="AF106" s="1862"/>
      <c r="AG106" s="1863"/>
      <c r="AH106" s="1869"/>
      <c r="AI106" s="1870"/>
      <c r="AJ106" s="1870"/>
      <c r="AK106" s="1870"/>
      <c r="AL106" s="1870"/>
    </row>
    <row r="107" spans="1:38" s="1871" customFormat="1" ht="90">
      <c r="A107" s="1858" t="str">
        <f>Мероприятия_и_источники!B553</f>
        <v>Корректировка Проектной документации на объект капитального строительства: «Строительство сетей водоотведения микрорайонов «Кошелев-проект, Ташир, кварталов № 5-19, 22, 23 в районе д. Верховая, д. Квань, г. Калуга»</v>
      </c>
      <c r="B107" s="1859">
        <f>Мероприятия_и_источники!C553</f>
        <v>0</v>
      </c>
      <c r="C107" s="1874" t="str">
        <f>Мероприятия_и_источники!D553</f>
        <v xml:space="preserve">г.Калуга, в районе д. Верховая, д. Квань </v>
      </c>
      <c r="D107" s="1892">
        <f>Мероприятия_и_источники!E553</f>
        <v>0</v>
      </c>
      <c r="E107" s="1860">
        <f>Мероприятия_и_источники!F553</f>
        <v>0</v>
      </c>
      <c r="F107" s="1861">
        <f>Мероприятия_и_источники!G553</f>
        <v>32679.791415648004</v>
      </c>
      <c r="G107" s="1862">
        <f>Мероприятия_и_источники!H553</f>
        <v>39215.749698777603</v>
      </c>
      <c r="H107" s="1860">
        <f>Мероприятия_и_источники!I553</f>
        <v>0</v>
      </c>
      <c r="I107" s="1860">
        <f>Мероприятия_и_источники!J553</f>
        <v>19607.874849388802</v>
      </c>
      <c r="J107" s="1860">
        <f>Мероприятия_и_источники!K553</f>
        <v>19607.874849388802</v>
      </c>
      <c r="K107" s="1860">
        <f>Мероприятия_и_источники!L553</f>
        <v>0</v>
      </c>
      <c r="L107" s="1863">
        <f>Мероприятия_и_источники!M553</f>
        <v>0</v>
      </c>
      <c r="M107" s="1864" t="str">
        <f>Мероприятия_и_источники!N553</f>
        <v>2025-2026гг.</v>
      </c>
      <c r="N107" s="1865" t="str">
        <f>Мероприятия_и_источники!O553</f>
        <v>капитальные вложения из прибыли предприятия</v>
      </c>
      <c r="O107" s="1866">
        <v>240</v>
      </c>
      <c r="P107" s="1864"/>
      <c r="Q107" s="1872">
        <f>Износ!O7111/1000</f>
        <v>110.13692</v>
      </c>
      <c r="R107" s="1861"/>
      <c r="S107" s="1862"/>
      <c r="T107" s="1863"/>
      <c r="U107" s="1867">
        <f t="shared" si="56"/>
        <v>0</v>
      </c>
      <c r="V107" s="1860">
        <f t="shared" si="52"/>
        <v>16339.895707824002</v>
      </c>
      <c r="W107" s="1860">
        <f t="shared" si="53"/>
        <v>16339.895707824002</v>
      </c>
      <c r="X107" s="1860">
        <f t="shared" si="54"/>
        <v>0</v>
      </c>
      <c r="Y107" s="1860">
        <f t="shared" si="55"/>
        <v>0</v>
      </c>
      <c r="Z107" s="1862"/>
      <c r="AA107" s="1860"/>
      <c r="AB107" s="1860"/>
      <c r="AC107" s="1860">
        <f>(($I$107+$J$107)/1.2+$Q$107)/O107*12</f>
        <v>1639.4964167824</v>
      </c>
      <c r="AD107" s="1863">
        <f>AC107</f>
        <v>1639.4964167824</v>
      </c>
      <c r="AE107" s="1868">
        <v>43885</v>
      </c>
      <c r="AF107" s="1862"/>
      <c r="AG107" s="1863"/>
      <c r="AH107" s="1869"/>
      <c r="AI107" s="1870"/>
      <c r="AJ107" s="1870"/>
      <c r="AK107" s="1870"/>
      <c r="AL107" s="1870"/>
    </row>
    <row r="108" spans="1:38" s="1871" customFormat="1" ht="60">
      <c r="A108" s="1858" t="str">
        <f>Мероприятия_и_источники!B557</f>
        <v>Строительство напорной линии канализации от КНС до камеры гашения (район развлекательного комплекса "Ёлки-палки")  протяженностью 1000 п.м., восстановление КНС</v>
      </c>
      <c r="B108" s="1859">
        <f>Мероприятия_и_источники!C557</f>
        <v>1000</v>
      </c>
      <c r="C108" s="1858" t="str">
        <f>Мероприятия_и_источники!D557</f>
        <v xml:space="preserve">г.Калуга ,район развлекательного комплекса "Ёлки - палки" </v>
      </c>
      <c r="D108" s="1892">
        <f>Мероприятия_и_источники!E557</f>
        <v>0</v>
      </c>
      <c r="E108" s="1860">
        <f>Мероприятия_и_источники!F557</f>
        <v>0</v>
      </c>
      <c r="F108" s="1861">
        <f>Мероприятия_и_источники!G557</f>
        <v>45347.426933427247</v>
      </c>
      <c r="G108" s="1862">
        <f>Мероприятия_и_источники!H557</f>
        <v>54416.912320112686</v>
      </c>
      <c r="H108" s="1860">
        <f>Мероприятия_и_источники!I557</f>
        <v>0</v>
      </c>
      <c r="I108" s="1860">
        <f>Мероприятия_и_источники!J557</f>
        <v>0</v>
      </c>
      <c r="J108" s="1860">
        <f>Мероприятия_и_источники!K557</f>
        <v>0</v>
      </c>
      <c r="K108" s="1860">
        <f>Мероприятия_и_источники!L557</f>
        <v>54416.912320112686</v>
      </c>
      <c r="L108" s="1863">
        <f>Мероприятия_и_источники!M557</f>
        <v>0</v>
      </c>
      <c r="M108" s="1864" t="str">
        <f>Мероприятия_и_источники!N557</f>
        <v>2024год</v>
      </c>
      <c r="N108" s="1865" t="str">
        <f>Мероприятия_и_источники!O557</f>
        <v>капитальные вложения из прибыли предприятия</v>
      </c>
      <c r="O108" s="1866">
        <v>181</v>
      </c>
      <c r="P108" s="1864"/>
      <c r="Q108" s="1743"/>
      <c r="R108" s="1861"/>
      <c r="S108" s="1862"/>
      <c r="T108" s="1863"/>
      <c r="U108" s="1867">
        <f t="shared" si="56"/>
        <v>0</v>
      </c>
      <c r="V108" s="1860">
        <f t="shared" si="52"/>
        <v>0</v>
      </c>
      <c r="W108" s="1860">
        <f>J108/1.2</f>
        <v>0</v>
      </c>
      <c r="X108" s="1860">
        <f t="shared" si="54"/>
        <v>45347.426933427239</v>
      </c>
      <c r="Y108" s="1860">
        <f t="shared" si="55"/>
        <v>0</v>
      </c>
      <c r="Z108" s="1862"/>
      <c r="AA108" s="1860">
        <f>K108/1.2/O108*12</f>
        <v>3006.4592442051207</v>
      </c>
      <c r="AB108" s="1860">
        <f>AA108</f>
        <v>3006.4592442051207</v>
      </c>
      <c r="AC108" s="1860">
        <f>AB108</f>
        <v>3006.4592442051207</v>
      </c>
      <c r="AD108" s="1863">
        <f>AC108</f>
        <v>3006.4592442051207</v>
      </c>
      <c r="AE108" s="1868" t="s">
        <v>1083</v>
      </c>
      <c r="AF108" s="1862"/>
      <c r="AG108" s="1863"/>
      <c r="AH108" s="1869"/>
      <c r="AI108" s="1870"/>
      <c r="AJ108" s="1870"/>
      <c r="AK108" s="1870"/>
      <c r="AL108" s="1870"/>
    </row>
    <row r="109" spans="1:38" s="1871" customFormat="1" ht="45">
      <c r="A109" s="1858" t="str">
        <f>Мероприятия_и_источники!B561</f>
        <v>Строительство напорной канализации в 2 нитки Ду200 до КНС "Росва" протяженностью 2500 п.м. (д. Яглово)</v>
      </c>
      <c r="B109" s="1859">
        <f>Мероприятия_и_источники!C561</f>
        <v>2500</v>
      </c>
      <c r="C109" s="1858" t="str">
        <f>Мероприятия_и_источники!D561</f>
        <v>г.Калуга, д. Яглово</v>
      </c>
      <c r="D109" s="1892">
        <f>Мероприятия_и_источники!E561</f>
        <v>0</v>
      </c>
      <c r="E109" s="1860">
        <f>Мероприятия_и_источники!F561</f>
        <v>0</v>
      </c>
      <c r="F109" s="1861">
        <f>Мероприятия_и_источники!G561</f>
        <v>58147.283489763824</v>
      </c>
      <c r="G109" s="1862">
        <f>Мероприятия_и_источники!H561</f>
        <v>69776.740187716583</v>
      </c>
      <c r="H109" s="1860">
        <f>Мероприятия_и_источники!I561</f>
        <v>0</v>
      </c>
      <c r="I109" s="1860">
        <f>Мероприятия_и_источники!J561</f>
        <v>0</v>
      </c>
      <c r="J109" s="1860">
        <f>Мероприятия_и_источники!K561</f>
        <v>0</v>
      </c>
      <c r="K109" s="1860">
        <f>Мероприятия_и_источники!L561</f>
        <v>1981.746703262153</v>
      </c>
      <c r="L109" s="1863">
        <f>Мероприятия_и_источники!M561</f>
        <v>67794.993484454433</v>
      </c>
      <c r="M109" s="1864" t="str">
        <f>Мероприятия_и_источники!N561</f>
        <v>2027-2028гг.</v>
      </c>
      <c r="N109" s="1865" t="str">
        <f>Мероприятия_и_источники!O561</f>
        <v>капитальные вложения из прибыли предприятия</v>
      </c>
      <c r="O109" s="1866">
        <v>181</v>
      </c>
      <c r="P109" s="1864"/>
      <c r="Q109" s="1743"/>
      <c r="R109" s="1861"/>
      <c r="S109" s="1862"/>
      <c r="T109" s="1863"/>
      <c r="U109" s="1867">
        <f t="shared" si="56"/>
        <v>0</v>
      </c>
      <c r="V109" s="1860">
        <f t="shared" si="52"/>
        <v>0</v>
      </c>
      <c r="W109" s="1860">
        <f t="shared" si="53"/>
        <v>0</v>
      </c>
      <c r="X109" s="1860">
        <f t="shared" si="54"/>
        <v>1651.4555860517942</v>
      </c>
      <c r="Y109" s="1860">
        <f t="shared" si="55"/>
        <v>56495.82790371203</v>
      </c>
      <c r="Z109" s="1862"/>
      <c r="AA109" s="1860"/>
      <c r="AB109" s="1860"/>
      <c r="AC109" s="1860"/>
      <c r="AD109" s="1863"/>
      <c r="AE109" s="1868" t="s">
        <v>1083</v>
      </c>
      <c r="AF109" s="1862"/>
      <c r="AG109" s="1863"/>
      <c r="AH109" s="1869"/>
      <c r="AI109" s="1870"/>
      <c r="AJ109" s="1870"/>
      <c r="AK109" s="1870"/>
      <c r="AL109" s="1870"/>
    </row>
    <row r="110" spans="1:38" s="1871" customFormat="1" ht="60">
      <c r="A110" s="1858" t="str">
        <f>Мероприятия_и_источники!B565</f>
        <v>Мероприятия по защите централизованных систем водоотведения и их отдельных объектов от угроз техногенного, природного характера и террористических актов</v>
      </c>
      <c r="B110" s="1859">
        <f>Мероприятия_и_источники!C565</f>
        <v>0</v>
      </c>
      <c r="C110" s="1858" t="str">
        <f>Мероприятия_и_источники!D565</f>
        <v>-</v>
      </c>
      <c r="D110" s="1892">
        <f>Мероприятия_и_источники!E565</f>
        <v>0</v>
      </c>
      <c r="E110" s="1860">
        <f>Мероприятия_и_источники!F565</f>
        <v>0</v>
      </c>
      <c r="F110" s="1861">
        <f>Мероприятия_и_источники!G565</f>
        <v>0</v>
      </c>
      <c r="G110" s="1862">
        <f>Мероприятия_и_источники!H565</f>
        <v>0</v>
      </c>
      <c r="H110" s="1860">
        <f>Мероприятия_и_источники!I565</f>
        <v>0</v>
      </c>
      <c r="I110" s="1860">
        <f>Мероприятия_и_источники!J565</f>
        <v>0</v>
      </c>
      <c r="J110" s="1860">
        <f>Мероприятия_и_источники!K565</f>
        <v>0</v>
      </c>
      <c r="K110" s="1860">
        <f>Мероприятия_и_источники!L565</f>
        <v>0</v>
      </c>
      <c r="L110" s="1863">
        <f>Мероприятия_и_источники!M565</f>
        <v>0</v>
      </c>
      <c r="M110" s="1864" t="str">
        <f>Мероприятия_и_источники!N565</f>
        <v>-</v>
      </c>
      <c r="N110" s="1865" t="str">
        <f>Мероприятия_и_источники!O565</f>
        <v>-</v>
      </c>
      <c r="O110" s="1866" t="s">
        <v>1083</v>
      </c>
      <c r="P110" s="1864"/>
      <c r="Q110" s="1743"/>
      <c r="R110" s="1861"/>
      <c r="S110" s="1862"/>
      <c r="T110" s="1863"/>
      <c r="U110" s="1867">
        <f t="shared" si="56"/>
        <v>0</v>
      </c>
      <c r="V110" s="1860">
        <f t="shared" si="52"/>
        <v>0</v>
      </c>
      <c r="W110" s="1860">
        <f t="shared" si="53"/>
        <v>0</v>
      </c>
      <c r="X110" s="1860">
        <f t="shared" si="54"/>
        <v>0</v>
      </c>
      <c r="Y110" s="1860">
        <f t="shared" si="55"/>
        <v>0</v>
      </c>
      <c r="Z110" s="1862"/>
      <c r="AA110" s="1860"/>
      <c r="AB110" s="1860"/>
      <c r="AC110" s="1860"/>
      <c r="AD110" s="1863"/>
      <c r="AE110" s="1868" t="s">
        <v>1083</v>
      </c>
      <c r="AF110" s="1862"/>
      <c r="AG110" s="1863"/>
      <c r="AH110" s="1869"/>
      <c r="AI110" s="1870"/>
      <c r="AJ110" s="1870"/>
      <c r="AK110" s="1870"/>
      <c r="AL110" s="1870"/>
    </row>
  </sheetData>
  <autoFilter ref="AE1:AE110"/>
  <mergeCells count="1">
    <mergeCell ref="G1:L1"/>
  </mergeCells>
  <printOptions horizontalCentered="1"/>
  <pageMargins left="0" right="0" top="0" bottom="0" header="0.31496062992125984" footer="0.31496062992125984"/>
  <pageSetup paperSize="9" scale="2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B1:U7520"/>
  <sheetViews>
    <sheetView workbookViewId="0">
      <pane xSplit="4" ySplit="10" topLeftCell="E7477" activePane="bottomRight" state="frozen"/>
      <selection pane="topRight" activeCell="E1" sqref="E1"/>
      <selection pane="bottomLeft" activeCell="A11" sqref="A11"/>
      <selection pane="bottomRight" activeCell="G7492" sqref="G7492"/>
    </sheetView>
  </sheetViews>
  <sheetFormatPr defaultColWidth="9.140625" defaultRowHeight="11.25" outlineLevelRow="1" outlineLevelCol="1"/>
  <cols>
    <col min="1" max="1" width="2" style="1557" customWidth="1"/>
    <col min="2" max="2" width="15" style="1557" customWidth="1"/>
    <col min="3" max="3" width="15" style="1557" customWidth="1" outlineLevel="1"/>
    <col min="4" max="4" width="49.28515625" style="1557" customWidth="1"/>
    <col min="5" max="5" width="30.140625" style="1557" customWidth="1" outlineLevel="1"/>
    <col min="6" max="6" width="24" style="1557" customWidth="1" outlineLevel="1"/>
    <col min="7" max="7" width="42.140625" style="1557" customWidth="1" outlineLevel="1"/>
    <col min="8" max="8" width="15" style="1557" customWidth="1"/>
    <col min="9" max="9" width="15" style="1557" customWidth="1" outlineLevel="1"/>
    <col min="10" max="10" width="41" style="1557" customWidth="1" outlineLevel="1"/>
    <col min="11" max="16" width="17" style="1557" customWidth="1"/>
    <col min="17" max="17" width="15" style="1557" customWidth="1"/>
    <col min="18" max="18" width="17" style="1557" customWidth="1"/>
    <col min="19" max="20" width="9.140625" style="1557"/>
    <col min="21" max="21" width="11.7109375" style="1557" bestFit="1" customWidth="1"/>
    <col min="22" max="16384" width="9.140625" style="1557"/>
  </cols>
  <sheetData>
    <row r="1" spans="2:19" ht="15.75" customHeight="1">
      <c r="B1" s="1580" t="s">
        <v>14832</v>
      </c>
    </row>
    <row r="2" spans="2:19" ht="11.25" customHeight="1">
      <c r="B2" s="1579" t="s">
        <v>922</v>
      </c>
    </row>
    <row r="3" spans="2:19" ht="11.25" customHeight="1">
      <c r="B3" s="1579" t="s">
        <v>14831</v>
      </c>
    </row>
    <row r="4" spans="2:19" ht="11.25" customHeight="1">
      <c r="B4" s="1579" t="s">
        <v>14830</v>
      </c>
    </row>
    <row r="5" spans="2:19" ht="21.75" customHeight="1">
      <c r="B5" s="3426" t="s">
        <v>14829</v>
      </c>
      <c r="C5" s="3426"/>
      <c r="D5" s="3426"/>
    </row>
    <row r="6" spans="2:19" ht="16.5" customHeight="1">
      <c r="B6" s="3426" t="s">
        <v>14828</v>
      </c>
      <c r="C6" s="3426"/>
      <c r="D6" s="3426"/>
      <c r="E6" s="3426"/>
    </row>
    <row r="7" spans="2:19" ht="11.25" customHeight="1">
      <c r="B7" s="1579" t="s">
        <v>14827</v>
      </c>
      <c r="N7" s="1619"/>
    </row>
    <row r="9" spans="2:19" ht="11.25" customHeight="1">
      <c r="B9" s="1577"/>
      <c r="C9" s="1577"/>
      <c r="D9" s="1577" t="s">
        <v>14826</v>
      </c>
      <c r="E9" s="1578"/>
      <c r="F9" s="1578"/>
      <c r="G9" s="1578"/>
      <c r="H9" s="1578"/>
      <c r="I9" s="1578"/>
      <c r="J9" s="1578"/>
      <c r="K9" s="3427" t="s">
        <v>14825</v>
      </c>
      <c r="L9" s="3427"/>
      <c r="M9" s="3427"/>
      <c r="N9" s="3427"/>
      <c r="O9" s="3427"/>
      <c r="P9" s="3427" t="s">
        <v>2084</v>
      </c>
      <c r="Q9" s="3427"/>
      <c r="R9" s="3427"/>
    </row>
    <row r="10" spans="2:19" ht="34.5" customHeight="1">
      <c r="B10" s="1577" t="s">
        <v>14824</v>
      </c>
      <c r="C10" s="1577" t="s">
        <v>106</v>
      </c>
      <c r="D10" s="1577" t="s">
        <v>14823</v>
      </c>
      <c r="E10" s="1577" t="s">
        <v>14822</v>
      </c>
      <c r="F10" s="1577" t="s">
        <v>14821</v>
      </c>
      <c r="G10" s="1577" t="s">
        <v>14820</v>
      </c>
      <c r="H10" s="1577" t="s">
        <v>14819</v>
      </c>
      <c r="I10" s="1577" t="s">
        <v>14818</v>
      </c>
      <c r="J10" s="1577" t="s">
        <v>14817</v>
      </c>
      <c r="K10" s="1576" t="s">
        <v>14816</v>
      </c>
      <c r="L10" s="1576" t="s">
        <v>14813</v>
      </c>
      <c r="M10" s="1576" t="s">
        <v>14815</v>
      </c>
      <c r="N10" s="1576" t="s">
        <v>14811</v>
      </c>
      <c r="O10" s="1576" t="s">
        <v>14814</v>
      </c>
      <c r="P10" s="1576" t="s">
        <v>14813</v>
      </c>
      <c r="Q10" s="1576" t="s">
        <v>14812</v>
      </c>
      <c r="R10" s="1576" t="s">
        <v>14811</v>
      </c>
      <c r="S10" s="1562"/>
    </row>
    <row r="11" spans="2:19" ht="5.0999999999999996" customHeight="1">
      <c r="S11" s="1562"/>
    </row>
    <row r="12" spans="2:19" s="1593" customFormat="1" ht="21.75" customHeight="1">
      <c r="B12" s="1590" t="s">
        <v>13651</v>
      </c>
      <c r="C12" s="1590"/>
      <c r="D12" s="1590" t="s">
        <v>14810</v>
      </c>
      <c r="E12" s="1590"/>
      <c r="F12" s="1590"/>
      <c r="G12" s="1590"/>
      <c r="H12" s="1590">
        <v>1</v>
      </c>
      <c r="I12" s="1590"/>
      <c r="J12" s="1590"/>
      <c r="K12" s="1591">
        <v>866540.18</v>
      </c>
      <c r="L12" s="1591">
        <v>866540.18</v>
      </c>
      <c r="M12" s="1591">
        <v>-229822.71</v>
      </c>
      <c r="N12" s="1591">
        <v>636717.47</v>
      </c>
      <c r="O12" s="1591">
        <v>377682.25</v>
      </c>
      <c r="P12" s="1591">
        <v>429095.11</v>
      </c>
      <c r="Q12" s="1591">
        <v>-170059.89</v>
      </c>
      <c r="R12" s="1591">
        <v>259035.22</v>
      </c>
      <c r="S12" s="1592">
        <f>R12/N12</f>
        <v>0.4068291388329584</v>
      </c>
    </row>
    <row r="13" spans="2:19" s="1593" customFormat="1" ht="11.25" customHeight="1" outlineLevel="1">
      <c r="B13" s="1594">
        <v>10752</v>
      </c>
      <c r="C13" s="1595" t="s">
        <v>5403</v>
      </c>
      <c r="D13" s="1595" t="s">
        <v>14809</v>
      </c>
      <c r="E13" s="1595"/>
      <c r="F13" s="1595"/>
      <c r="G13" s="1595" t="s">
        <v>14051</v>
      </c>
      <c r="H13" s="1596">
        <v>1</v>
      </c>
      <c r="I13" s="1595"/>
      <c r="J13" s="1595"/>
      <c r="K13" s="1597">
        <v>489011</v>
      </c>
      <c r="L13" s="1597">
        <v>489011</v>
      </c>
      <c r="M13" s="1598"/>
      <c r="N13" s="1597">
        <v>489011</v>
      </c>
      <c r="O13" s="1597">
        <v>345159.97</v>
      </c>
      <c r="P13" s="1597">
        <v>138960.91</v>
      </c>
      <c r="Q13" s="1597">
        <v>4890.12</v>
      </c>
      <c r="R13" s="1597">
        <v>143851.03</v>
      </c>
      <c r="S13" s="1592"/>
    </row>
    <row r="14" spans="2:19" s="1593" customFormat="1" ht="11.25" customHeight="1" outlineLevel="1">
      <c r="B14" s="1594">
        <v>10754</v>
      </c>
      <c r="C14" s="1595" t="s">
        <v>5403</v>
      </c>
      <c r="D14" s="1595" t="s">
        <v>14808</v>
      </c>
      <c r="E14" s="1595"/>
      <c r="F14" s="1595"/>
      <c r="G14" s="1595"/>
      <c r="H14" s="1596">
        <v>1</v>
      </c>
      <c r="I14" s="1595"/>
      <c r="J14" s="1595"/>
      <c r="K14" s="1597">
        <v>18578</v>
      </c>
      <c r="L14" s="1597">
        <v>18578</v>
      </c>
      <c r="M14" s="1597">
        <v>-18578</v>
      </c>
      <c r="N14" s="1598"/>
      <c r="O14" s="1598"/>
      <c r="P14" s="1597">
        <v>18578</v>
      </c>
      <c r="Q14" s="1597">
        <v>-18578</v>
      </c>
      <c r="R14" s="1598"/>
      <c r="S14" s="1592"/>
    </row>
    <row r="15" spans="2:19" s="1593" customFormat="1" ht="11.25" customHeight="1" outlineLevel="1">
      <c r="B15" s="1594">
        <v>10761</v>
      </c>
      <c r="C15" s="1595" t="s">
        <v>5403</v>
      </c>
      <c r="D15" s="1595" t="s">
        <v>14807</v>
      </c>
      <c r="E15" s="1595"/>
      <c r="F15" s="1595"/>
      <c r="G15" s="1595"/>
      <c r="H15" s="1596">
        <v>1</v>
      </c>
      <c r="I15" s="1595"/>
      <c r="J15" s="1595"/>
      <c r="K15" s="1597">
        <v>7888</v>
      </c>
      <c r="L15" s="1597">
        <v>7888</v>
      </c>
      <c r="M15" s="1597">
        <v>-7888</v>
      </c>
      <c r="N15" s="1598"/>
      <c r="O15" s="1598"/>
      <c r="P15" s="1597">
        <v>7888</v>
      </c>
      <c r="Q15" s="1597">
        <v>-7888</v>
      </c>
      <c r="R15" s="1598"/>
      <c r="S15" s="1592"/>
    </row>
    <row r="16" spans="2:19" s="1593" customFormat="1" ht="11.25" customHeight="1" outlineLevel="1">
      <c r="B16" s="1594">
        <v>34834</v>
      </c>
      <c r="C16" s="1595" t="s">
        <v>5403</v>
      </c>
      <c r="D16" s="1595" t="s">
        <v>14806</v>
      </c>
      <c r="E16" s="1595"/>
      <c r="F16" s="1595"/>
      <c r="G16" s="1595"/>
      <c r="H16" s="1596">
        <v>1</v>
      </c>
      <c r="I16" s="1595"/>
      <c r="J16" s="1595"/>
      <c r="K16" s="1599">
        <v>373</v>
      </c>
      <c r="L16" s="1599">
        <v>373</v>
      </c>
      <c r="M16" s="1599">
        <v>-373</v>
      </c>
      <c r="N16" s="1598"/>
      <c r="O16" s="1598"/>
      <c r="P16" s="1599">
        <v>373</v>
      </c>
      <c r="Q16" s="1599">
        <v>-373</v>
      </c>
      <c r="R16" s="1598"/>
      <c r="S16" s="1592"/>
    </row>
    <row r="17" spans="2:19" s="1593" customFormat="1" ht="11.25" customHeight="1" outlineLevel="1">
      <c r="B17" s="1594">
        <v>27656</v>
      </c>
      <c r="C17" s="1595" t="s">
        <v>8496</v>
      </c>
      <c r="D17" s="1595" t="s">
        <v>14805</v>
      </c>
      <c r="E17" s="1595"/>
      <c r="F17" s="1595"/>
      <c r="G17" s="1595"/>
      <c r="H17" s="1596">
        <v>1</v>
      </c>
      <c r="I17" s="1595"/>
      <c r="J17" s="1595"/>
      <c r="K17" s="1597">
        <v>10608</v>
      </c>
      <c r="L17" s="1597">
        <v>10608</v>
      </c>
      <c r="M17" s="1597">
        <v>-10608</v>
      </c>
      <c r="N17" s="1598"/>
      <c r="O17" s="1598"/>
      <c r="P17" s="1597">
        <v>10608</v>
      </c>
      <c r="Q17" s="1597">
        <v>-10608</v>
      </c>
      <c r="R17" s="1598"/>
      <c r="S17" s="1592"/>
    </row>
    <row r="18" spans="2:19" s="1593" customFormat="1" ht="11.25" customHeight="1" outlineLevel="1">
      <c r="B18" s="1594">
        <v>29072</v>
      </c>
      <c r="C18" s="1595" t="s">
        <v>13626</v>
      </c>
      <c r="D18" s="1595" t="s">
        <v>14804</v>
      </c>
      <c r="E18" s="1595"/>
      <c r="F18" s="1595"/>
      <c r="G18" s="1595"/>
      <c r="H18" s="1596">
        <v>1</v>
      </c>
      <c r="I18" s="1595"/>
      <c r="J18" s="1595"/>
      <c r="K18" s="1597">
        <v>43416</v>
      </c>
      <c r="L18" s="1597">
        <v>43416</v>
      </c>
      <c r="M18" s="1597">
        <v>-43416</v>
      </c>
      <c r="N18" s="1598"/>
      <c r="O18" s="1598"/>
      <c r="P18" s="1597">
        <v>43416</v>
      </c>
      <c r="Q18" s="1597">
        <v>-43416</v>
      </c>
      <c r="R18" s="1598"/>
      <c r="S18" s="1592"/>
    </row>
    <row r="19" spans="2:19" s="1593" customFormat="1" ht="11.25" customHeight="1" outlineLevel="1">
      <c r="B19" s="1594">
        <v>31582</v>
      </c>
      <c r="C19" s="1595" t="s">
        <v>8097</v>
      </c>
      <c r="D19" s="1595" t="s">
        <v>14803</v>
      </c>
      <c r="E19" s="1595"/>
      <c r="F19" s="1595"/>
      <c r="G19" s="1595"/>
      <c r="H19" s="1596">
        <v>1</v>
      </c>
      <c r="I19" s="1595"/>
      <c r="J19" s="1595"/>
      <c r="K19" s="1599">
        <v>892</v>
      </c>
      <c r="L19" s="1599">
        <v>892</v>
      </c>
      <c r="M19" s="1599">
        <v>-892</v>
      </c>
      <c r="N19" s="1598"/>
      <c r="O19" s="1598"/>
      <c r="P19" s="1599">
        <v>892</v>
      </c>
      <c r="Q19" s="1599">
        <v>-892</v>
      </c>
      <c r="R19" s="1598"/>
      <c r="S19" s="1592"/>
    </row>
    <row r="20" spans="2:19" s="1593" customFormat="1" ht="11.25" customHeight="1" outlineLevel="1">
      <c r="B20" s="1594">
        <v>31928</v>
      </c>
      <c r="C20" s="1595" t="s">
        <v>3660</v>
      </c>
      <c r="D20" s="1595" t="s">
        <v>14802</v>
      </c>
      <c r="E20" s="1595"/>
      <c r="F20" s="1595"/>
      <c r="G20" s="1595"/>
      <c r="H20" s="1596">
        <v>1</v>
      </c>
      <c r="I20" s="1595"/>
      <c r="J20" s="1595"/>
      <c r="K20" s="1599">
        <v>687.5</v>
      </c>
      <c r="L20" s="1599">
        <v>687.5</v>
      </c>
      <c r="M20" s="1599">
        <v>-687.5</v>
      </c>
      <c r="N20" s="1598"/>
      <c r="O20" s="1598"/>
      <c r="P20" s="1599">
        <v>687.5</v>
      </c>
      <c r="Q20" s="1599">
        <v>-687.5</v>
      </c>
      <c r="R20" s="1598"/>
      <c r="S20" s="1592"/>
    </row>
    <row r="21" spans="2:19" s="1593" customFormat="1" ht="11.25" customHeight="1" outlineLevel="1">
      <c r="B21" s="1594">
        <v>31929</v>
      </c>
      <c r="C21" s="1595" t="s">
        <v>3660</v>
      </c>
      <c r="D21" s="1595" t="s">
        <v>14801</v>
      </c>
      <c r="E21" s="1595"/>
      <c r="F21" s="1595"/>
      <c r="G21" s="1595"/>
      <c r="H21" s="1596">
        <v>1</v>
      </c>
      <c r="I21" s="1595"/>
      <c r="J21" s="1595"/>
      <c r="K21" s="1597">
        <v>1471.25</v>
      </c>
      <c r="L21" s="1597">
        <v>1471.25</v>
      </c>
      <c r="M21" s="1597">
        <v>-1471.25</v>
      </c>
      <c r="N21" s="1598"/>
      <c r="O21" s="1598"/>
      <c r="P21" s="1597">
        <v>1471.25</v>
      </c>
      <c r="Q21" s="1597">
        <v>-1471.25</v>
      </c>
      <c r="R21" s="1598"/>
      <c r="S21" s="1592"/>
    </row>
    <row r="22" spans="2:19" s="1593" customFormat="1" ht="11.25" customHeight="1" outlineLevel="1">
      <c r="B22" s="1594">
        <v>31930</v>
      </c>
      <c r="C22" s="1595" t="s">
        <v>3660</v>
      </c>
      <c r="D22" s="1595" t="s">
        <v>14800</v>
      </c>
      <c r="E22" s="1595"/>
      <c r="F22" s="1595"/>
      <c r="G22" s="1595"/>
      <c r="H22" s="1596">
        <v>1</v>
      </c>
      <c r="I22" s="1595"/>
      <c r="J22" s="1595"/>
      <c r="K22" s="1599">
        <v>625</v>
      </c>
      <c r="L22" s="1599">
        <v>625</v>
      </c>
      <c r="M22" s="1599">
        <v>-625</v>
      </c>
      <c r="N22" s="1598"/>
      <c r="O22" s="1598"/>
      <c r="P22" s="1599">
        <v>625</v>
      </c>
      <c r="Q22" s="1599">
        <v>-625</v>
      </c>
      <c r="R22" s="1598"/>
      <c r="S22" s="1592"/>
    </row>
    <row r="23" spans="2:19" s="1593" customFormat="1" ht="11.25" customHeight="1" outlineLevel="1">
      <c r="B23" s="1594">
        <v>32782</v>
      </c>
      <c r="C23" s="1595" t="s">
        <v>3660</v>
      </c>
      <c r="D23" s="1595" t="s">
        <v>14799</v>
      </c>
      <c r="E23" s="1595"/>
      <c r="F23" s="1595"/>
      <c r="G23" s="1595"/>
      <c r="H23" s="1596">
        <v>1</v>
      </c>
      <c r="I23" s="1595"/>
      <c r="J23" s="1595"/>
      <c r="K23" s="1597">
        <v>2000</v>
      </c>
      <c r="L23" s="1597">
        <v>2000</v>
      </c>
      <c r="M23" s="1597">
        <v>-2000</v>
      </c>
      <c r="N23" s="1598"/>
      <c r="O23" s="1598"/>
      <c r="P23" s="1597">
        <v>2000</v>
      </c>
      <c r="Q23" s="1597">
        <v>-2000</v>
      </c>
      <c r="R23" s="1598"/>
      <c r="S23" s="1592"/>
    </row>
    <row r="24" spans="2:19" s="1593" customFormat="1" ht="11.25" customHeight="1" outlineLevel="1">
      <c r="B24" s="1594">
        <v>38196</v>
      </c>
      <c r="C24" s="1595" t="s">
        <v>14798</v>
      </c>
      <c r="D24" s="1595" t="s">
        <v>14797</v>
      </c>
      <c r="E24" s="1595"/>
      <c r="F24" s="1595"/>
      <c r="G24" s="1595"/>
      <c r="H24" s="1596">
        <v>1</v>
      </c>
      <c r="I24" s="1595"/>
      <c r="J24" s="1595"/>
      <c r="K24" s="1597">
        <v>2200</v>
      </c>
      <c r="L24" s="1597">
        <v>2200</v>
      </c>
      <c r="M24" s="1597">
        <v>-2200</v>
      </c>
      <c r="N24" s="1598"/>
      <c r="O24" s="1598"/>
      <c r="P24" s="1597">
        <v>2200</v>
      </c>
      <c r="Q24" s="1597">
        <v>-2200</v>
      </c>
      <c r="R24" s="1598"/>
      <c r="S24" s="1592"/>
    </row>
    <row r="25" spans="2:19" s="1593" customFormat="1" ht="11.25" customHeight="1" outlineLevel="1">
      <c r="B25" s="1594">
        <v>38295</v>
      </c>
      <c r="C25" s="1595" t="s">
        <v>12772</v>
      </c>
      <c r="D25" s="1595" t="s">
        <v>14796</v>
      </c>
      <c r="E25" s="1595"/>
      <c r="F25" s="1595"/>
      <c r="G25" s="1595"/>
      <c r="H25" s="1596">
        <v>1</v>
      </c>
      <c r="I25" s="1595"/>
      <c r="J25" s="1595"/>
      <c r="K25" s="1597">
        <v>21169</v>
      </c>
      <c r="L25" s="1597">
        <v>21169</v>
      </c>
      <c r="M25" s="1597">
        <v>-21169</v>
      </c>
      <c r="N25" s="1598"/>
      <c r="O25" s="1598"/>
      <c r="P25" s="1597">
        <v>21169</v>
      </c>
      <c r="Q25" s="1597">
        <v>-21169</v>
      </c>
      <c r="R25" s="1598"/>
      <c r="S25" s="1592"/>
    </row>
    <row r="26" spans="2:19" s="1593" customFormat="1" ht="11.25" customHeight="1" outlineLevel="1">
      <c r="B26" s="1600" t="s">
        <v>14795</v>
      </c>
      <c r="C26" s="1595" t="s">
        <v>10683</v>
      </c>
      <c r="D26" s="1595" t="s">
        <v>14794</v>
      </c>
      <c r="E26" s="1595"/>
      <c r="F26" s="1595"/>
      <c r="G26" s="1595"/>
      <c r="H26" s="1596">
        <v>1</v>
      </c>
      <c r="I26" s="1595"/>
      <c r="J26" s="1595"/>
      <c r="K26" s="1597">
        <v>147706.47</v>
      </c>
      <c r="L26" s="1597">
        <v>147706.47</v>
      </c>
      <c r="M26" s="1598"/>
      <c r="N26" s="1597">
        <v>147706.47</v>
      </c>
      <c r="O26" s="1597">
        <v>32522.28</v>
      </c>
      <c r="P26" s="1597">
        <v>98923.03</v>
      </c>
      <c r="Q26" s="1597">
        <v>16261.16</v>
      </c>
      <c r="R26" s="1597">
        <v>115184.19</v>
      </c>
      <c r="S26" s="1592"/>
    </row>
    <row r="27" spans="2:19" s="1593" customFormat="1" ht="11.25" customHeight="1" outlineLevel="1">
      <c r="B27" s="1600" t="s">
        <v>14793</v>
      </c>
      <c r="C27" s="1595" t="s">
        <v>14792</v>
      </c>
      <c r="D27" s="1595" t="s">
        <v>14791</v>
      </c>
      <c r="E27" s="1595"/>
      <c r="F27" s="1595" t="s">
        <v>14790</v>
      </c>
      <c r="G27" s="1595"/>
      <c r="H27" s="1595"/>
      <c r="I27" s="1595"/>
      <c r="J27" s="1595"/>
      <c r="K27" s="1597">
        <v>62711.86</v>
      </c>
      <c r="L27" s="1597">
        <v>62711.86</v>
      </c>
      <c r="M27" s="1597">
        <v>-62711.86</v>
      </c>
      <c r="N27" s="1598"/>
      <c r="O27" s="1598"/>
      <c r="P27" s="1597">
        <v>47290.76</v>
      </c>
      <c r="Q27" s="1597">
        <v>-47290.76</v>
      </c>
      <c r="R27" s="1598"/>
      <c r="S27" s="1592"/>
    </row>
    <row r="28" spans="2:19" s="1593" customFormat="1" ht="11.25" customHeight="1" outlineLevel="1">
      <c r="B28" s="1600" t="s">
        <v>14789</v>
      </c>
      <c r="C28" s="1595" t="s">
        <v>14788</v>
      </c>
      <c r="D28" s="1595" t="s">
        <v>14787</v>
      </c>
      <c r="E28" s="1595" t="s">
        <v>2288</v>
      </c>
      <c r="F28" s="1595" t="s">
        <v>14786</v>
      </c>
      <c r="G28" s="1595"/>
      <c r="H28" s="1596">
        <v>1</v>
      </c>
      <c r="I28" s="1595"/>
      <c r="J28" s="1595"/>
      <c r="K28" s="1597">
        <v>57203.1</v>
      </c>
      <c r="L28" s="1597">
        <v>57203.1</v>
      </c>
      <c r="M28" s="1597">
        <v>-57203.1</v>
      </c>
      <c r="N28" s="1598"/>
      <c r="O28" s="1598"/>
      <c r="P28" s="1597">
        <v>34012.660000000003</v>
      </c>
      <c r="Q28" s="1597">
        <v>-34012.660000000003</v>
      </c>
      <c r="R28" s="1598"/>
      <c r="S28" s="1592"/>
    </row>
    <row r="29" spans="2:19" s="1593" customFormat="1" ht="5.0999999999999996" customHeight="1">
      <c r="S29" s="1592"/>
    </row>
    <row r="30" spans="2:19" s="1593" customFormat="1" ht="11.25" customHeight="1">
      <c r="B30" s="1590" t="s">
        <v>11039</v>
      </c>
      <c r="C30" s="1590"/>
      <c r="D30" s="1590" t="s">
        <v>14785</v>
      </c>
      <c r="E30" s="1590"/>
      <c r="F30" s="1590"/>
      <c r="G30" s="1590"/>
      <c r="H30" s="1590">
        <v>1</v>
      </c>
      <c r="I30" s="1590"/>
      <c r="J30" s="1590"/>
      <c r="K30" s="1591">
        <v>28130835.190000001</v>
      </c>
      <c r="L30" s="1591">
        <v>28904846.289999999</v>
      </c>
      <c r="M30" s="1591">
        <v>-947414.68</v>
      </c>
      <c r="N30" s="1591">
        <v>27957431.609999999</v>
      </c>
      <c r="O30" s="1591">
        <v>9757149.1600000001</v>
      </c>
      <c r="P30" s="1591">
        <v>18298179.620000001</v>
      </c>
      <c r="Q30" s="1591">
        <v>-97897.17</v>
      </c>
      <c r="R30" s="1591">
        <v>18200282.449999999</v>
      </c>
      <c r="S30" s="1592">
        <f>R30/N30</f>
        <v>0.65099980226688636</v>
      </c>
    </row>
    <row r="31" spans="2:19" s="1593" customFormat="1" ht="11.25" customHeight="1" outlineLevel="1">
      <c r="B31" s="1594">
        <v>11033</v>
      </c>
      <c r="C31" s="1595" t="s">
        <v>5403</v>
      </c>
      <c r="D31" s="1595" t="s">
        <v>14784</v>
      </c>
      <c r="E31" s="1595"/>
      <c r="F31" s="1595"/>
      <c r="G31" s="1595"/>
      <c r="H31" s="1596">
        <v>1</v>
      </c>
      <c r="I31" s="1595"/>
      <c r="J31" s="1595"/>
      <c r="K31" s="1599">
        <v>207</v>
      </c>
      <c r="L31" s="1599">
        <v>207</v>
      </c>
      <c r="M31" s="1599">
        <v>-207</v>
      </c>
      <c r="N31" s="1598"/>
      <c r="O31" s="1598"/>
      <c r="P31" s="1599">
        <v>207</v>
      </c>
      <c r="Q31" s="1599">
        <v>-207</v>
      </c>
      <c r="R31" s="1598"/>
      <c r="S31" s="1592"/>
    </row>
    <row r="32" spans="2:19" s="1593" customFormat="1" ht="21.75" customHeight="1" outlineLevel="1">
      <c r="B32" s="1594">
        <v>22291</v>
      </c>
      <c r="C32" s="1595" t="s">
        <v>5403</v>
      </c>
      <c r="D32" s="1595" t="s">
        <v>14783</v>
      </c>
      <c r="E32" s="1595"/>
      <c r="F32" s="1595"/>
      <c r="G32" s="1595" t="s">
        <v>14781</v>
      </c>
      <c r="H32" s="1596">
        <v>1</v>
      </c>
      <c r="I32" s="1595"/>
      <c r="J32" s="1595"/>
      <c r="K32" s="1597">
        <v>122974</v>
      </c>
      <c r="L32" s="1597">
        <v>122974</v>
      </c>
      <c r="M32" s="1598"/>
      <c r="N32" s="1597">
        <v>122974</v>
      </c>
      <c r="O32" s="1597">
        <v>17864.84</v>
      </c>
      <c r="P32" s="1597">
        <v>101536.16</v>
      </c>
      <c r="Q32" s="1597">
        <v>3573</v>
      </c>
      <c r="R32" s="1597">
        <v>105109.16</v>
      </c>
      <c r="S32" s="1592"/>
    </row>
    <row r="33" spans="2:19" s="1593" customFormat="1" ht="21.75" customHeight="1" outlineLevel="1">
      <c r="B33" s="1594">
        <v>22294</v>
      </c>
      <c r="C33" s="1595" t="s">
        <v>5403</v>
      </c>
      <c r="D33" s="1595" t="s">
        <v>14782</v>
      </c>
      <c r="E33" s="1595"/>
      <c r="F33" s="1595"/>
      <c r="G33" s="1595" t="s">
        <v>14781</v>
      </c>
      <c r="H33" s="1596">
        <v>1</v>
      </c>
      <c r="I33" s="1595"/>
      <c r="J33" s="1595"/>
      <c r="K33" s="1597">
        <v>1006252</v>
      </c>
      <c r="L33" s="1597">
        <v>1006252</v>
      </c>
      <c r="M33" s="1598"/>
      <c r="N33" s="1597">
        <v>1006252</v>
      </c>
      <c r="O33" s="1597">
        <v>266237.03999999998</v>
      </c>
      <c r="P33" s="1597">
        <v>714858.76</v>
      </c>
      <c r="Q33" s="1597">
        <v>25156.2</v>
      </c>
      <c r="R33" s="1597">
        <v>740014.96</v>
      </c>
      <c r="S33" s="1592"/>
    </row>
    <row r="34" spans="2:19" s="1593" customFormat="1" ht="11.25" customHeight="1" outlineLevel="1">
      <c r="B34" s="1594">
        <v>22306</v>
      </c>
      <c r="C34" s="1595" t="s">
        <v>5403</v>
      </c>
      <c r="D34" s="1595" t="s">
        <v>14780</v>
      </c>
      <c r="E34" s="1595"/>
      <c r="F34" s="1595"/>
      <c r="G34" s="1595" t="s">
        <v>14765</v>
      </c>
      <c r="H34" s="1596">
        <v>1</v>
      </c>
      <c r="I34" s="1595"/>
      <c r="J34" s="1595"/>
      <c r="K34" s="1597">
        <v>584598</v>
      </c>
      <c r="L34" s="1597">
        <v>584598</v>
      </c>
      <c r="M34" s="1598"/>
      <c r="N34" s="1597">
        <v>584598</v>
      </c>
      <c r="O34" s="1597">
        <v>154675.65</v>
      </c>
      <c r="P34" s="1597">
        <v>415307.31</v>
      </c>
      <c r="Q34" s="1597">
        <v>14615.04</v>
      </c>
      <c r="R34" s="1597">
        <v>429922.35</v>
      </c>
      <c r="S34" s="1592"/>
    </row>
    <row r="35" spans="2:19" s="1593" customFormat="1" ht="11.25" customHeight="1" outlineLevel="1">
      <c r="B35" s="1594">
        <v>22307</v>
      </c>
      <c r="C35" s="1595" t="s">
        <v>5403</v>
      </c>
      <c r="D35" s="1595" t="s">
        <v>14779</v>
      </c>
      <c r="E35" s="1595"/>
      <c r="F35" s="1595"/>
      <c r="G35" s="1595" t="s">
        <v>14765</v>
      </c>
      <c r="H35" s="1596">
        <v>1</v>
      </c>
      <c r="I35" s="1595"/>
      <c r="J35" s="1595"/>
      <c r="K35" s="1597">
        <v>630831</v>
      </c>
      <c r="L35" s="1597">
        <v>630831</v>
      </c>
      <c r="M35" s="1598"/>
      <c r="N35" s="1597">
        <v>630831</v>
      </c>
      <c r="O35" s="1597">
        <v>166907.81</v>
      </c>
      <c r="P35" s="1597">
        <v>448152.43</v>
      </c>
      <c r="Q35" s="1597">
        <v>15770.76</v>
      </c>
      <c r="R35" s="1597">
        <v>463923.19</v>
      </c>
      <c r="S35" s="1592"/>
    </row>
    <row r="36" spans="2:19" s="1593" customFormat="1" ht="11.25" customHeight="1" outlineLevel="1">
      <c r="B36" s="1594">
        <v>22310</v>
      </c>
      <c r="C36" s="1595" t="s">
        <v>5403</v>
      </c>
      <c r="D36" s="1595" t="s">
        <v>14778</v>
      </c>
      <c r="E36" s="1595"/>
      <c r="F36" s="1595"/>
      <c r="G36" s="1595" t="s">
        <v>14765</v>
      </c>
      <c r="H36" s="1596">
        <v>1</v>
      </c>
      <c r="I36" s="1595"/>
      <c r="J36" s="1595"/>
      <c r="K36" s="1597">
        <v>32430</v>
      </c>
      <c r="L36" s="1597">
        <v>32430</v>
      </c>
      <c r="M36" s="1598"/>
      <c r="N36" s="1597">
        <v>32430</v>
      </c>
      <c r="O36" s="1597">
        <v>12415.02</v>
      </c>
      <c r="P36" s="1597">
        <v>19334.7</v>
      </c>
      <c r="Q36" s="1599">
        <v>680.28</v>
      </c>
      <c r="R36" s="1597">
        <v>20014.98</v>
      </c>
      <c r="S36" s="1592"/>
    </row>
    <row r="37" spans="2:19" s="1593" customFormat="1" ht="11.25" customHeight="1" outlineLevel="1">
      <c r="B37" s="1594">
        <v>22311</v>
      </c>
      <c r="C37" s="1595" t="s">
        <v>5403</v>
      </c>
      <c r="D37" s="1595" t="s">
        <v>14777</v>
      </c>
      <c r="E37" s="1595"/>
      <c r="F37" s="1595"/>
      <c r="G37" s="1595" t="s">
        <v>14765</v>
      </c>
      <c r="H37" s="1596">
        <v>1</v>
      </c>
      <c r="I37" s="1595"/>
      <c r="J37" s="1595"/>
      <c r="K37" s="1597">
        <v>44405</v>
      </c>
      <c r="L37" s="1597">
        <v>44405</v>
      </c>
      <c r="M37" s="1598"/>
      <c r="N37" s="1597">
        <v>44405</v>
      </c>
      <c r="O37" s="1597">
        <v>11748.97</v>
      </c>
      <c r="P37" s="1597">
        <v>31545.91</v>
      </c>
      <c r="Q37" s="1597">
        <v>1110.1199999999999</v>
      </c>
      <c r="R37" s="1597">
        <v>32656.03</v>
      </c>
      <c r="S37" s="1592"/>
    </row>
    <row r="38" spans="2:19" s="1593" customFormat="1" ht="11.25" customHeight="1" outlineLevel="1">
      <c r="B38" s="1594">
        <v>22315</v>
      </c>
      <c r="C38" s="1595" t="s">
        <v>5403</v>
      </c>
      <c r="D38" s="1595" t="s">
        <v>14776</v>
      </c>
      <c r="E38" s="1595"/>
      <c r="F38" s="1595"/>
      <c r="G38" s="1595" t="s">
        <v>14706</v>
      </c>
      <c r="H38" s="1596">
        <v>1</v>
      </c>
      <c r="I38" s="1595"/>
      <c r="J38" s="1595"/>
      <c r="K38" s="1597">
        <v>9052031</v>
      </c>
      <c r="L38" s="1597">
        <v>9052031</v>
      </c>
      <c r="M38" s="1598"/>
      <c r="N38" s="1597">
        <v>9052031</v>
      </c>
      <c r="O38" s="1597">
        <v>3726418.84</v>
      </c>
      <c r="P38" s="1597">
        <v>5144571.5199999996</v>
      </c>
      <c r="Q38" s="1597">
        <v>181040.64000000001</v>
      </c>
      <c r="R38" s="1597">
        <v>5325612.16</v>
      </c>
      <c r="S38" s="1592"/>
    </row>
    <row r="39" spans="2:19" s="1593" customFormat="1" ht="11.25" customHeight="1" outlineLevel="1">
      <c r="B39" s="1594">
        <v>22316</v>
      </c>
      <c r="C39" s="1595" t="s">
        <v>5403</v>
      </c>
      <c r="D39" s="1595" t="s">
        <v>14775</v>
      </c>
      <c r="E39" s="1595"/>
      <c r="F39" s="1595"/>
      <c r="G39" s="1595" t="s">
        <v>14765</v>
      </c>
      <c r="H39" s="1596">
        <v>1</v>
      </c>
      <c r="I39" s="1595"/>
      <c r="J39" s="1595"/>
      <c r="K39" s="1597">
        <v>7658674</v>
      </c>
      <c r="L39" s="1597">
        <v>7658674</v>
      </c>
      <c r="M39" s="1598"/>
      <c r="N39" s="1597">
        <v>7658674</v>
      </c>
      <c r="O39" s="1597">
        <v>3152819.74</v>
      </c>
      <c r="P39" s="1597">
        <v>4352680.8600000003</v>
      </c>
      <c r="Q39" s="1597">
        <v>153173.4</v>
      </c>
      <c r="R39" s="1597">
        <v>4505854.26</v>
      </c>
      <c r="S39" s="1592"/>
    </row>
    <row r="40" spans="2:19" s="1593" customFormat="1" ht="11.25" customHeight="1" outlineLevel="1">
      <c r="B40" s="1594">
        <v>22318</v>
      </c>
      <c r="C40" s="1595" t="s">
        <v>5403</v>
      </c>
      <c r="D40" s="1595" t="s">
        <v>14774</v>
      </c>
      <c r="E40" s="1595"/>
      <c r="F40" s="1595"/>
      <c r="G40" s="1595" t="s">
        <v>14765</v>
      </c>
      <c r="H40" s="1596">
        <v>1</v>
      </c>
      <c r="I40" s="1595"/>
      <c r="J40" s="1595"/>
      <c r="K40" s="1597">
        <v>803535</v>
      </c>
      <c r="L40" s="1597">
        <v>803535</v>
      </c>
      <c r="M40" s="1598"/>
      <c r="N40" s="1597">
        <v>803535</v>
      </c>
      <c r="O40" s="1597">
        <v>519885.5</v>
      </c>
      <c r="P40" s="1597">
        <v>274007.14</v>
      </c>
      <c r="Q40" s="1597">
        <v>9642.36</v>
      </c>
      <c r="R40" s="1597">
        <v>283649.5</v>
      </c>
      <c r="S40" s="1592"/>
    </row>
    <row r="41" spans="2:19" s="1593" customFormat="1" ht="11.25" customHeight="1" outlineLevel="1">
      <c r="B41" s="1594">
        <v>22319</v>
      </c>
      <c r="C41" s="1595" t="s">
        <v>5403</v>
      </c>
      <c r="D41" s="1595" t="s">
        <v>14773</v>
      </c>
      <c r="E41" s="1595"/>
      <c r="F41" s="1595"/>
      <c r="G41" s="1595" t="s">
        <v>14765</v>
      </c>
      <c r="H41" s="1596">
        <v>1</v>
      </c>
      <c r="I41" s="1595"/>
      <c r="J41" s="1595"/>
      <c r="K41" s="1597">
        <v>389140</v>
      </c>
      <c r="L41" s="1597">
        <v>389140</v>
      </c>
      <c r="M41" s="1598"/>
      <c r="N41" s="1597">
        <v>389140</v>
      </c>
      <c r="O41" s="1597">
        <v>251773.58</v>
      </c>
      <c r="P41" s="1597">
        <v>132696.74</v>
      </c>
      <c r="Q41" s="1597">
        <v>4669.68</v>
      </c>
      <c r="R41" s="1597">
        <v>137366.42000000001</v>
      </c>
      <c r="S41" s="1592"/>
    </row>
    <row r="42" spans="2:19" s="1593" customFormat="1" ht="11.25" customHeight="1" outlineLevel="1">
      <c r="B42" s="1594">
        <v>22320</v>
      </c>
      <c r="C42" s="1595" t="s">
        <v>5403</v>
      </c>
      <c r="D42" s="1595" t="s">
        <v>14772</v>
      </c>
      <c r="E42" s="1595"/>
      <c r="F42" s="1595"/>
      <c r="G42" s="1595" t="s">
        <v>14765</v>
      </c>
      <c r="H42" s="1596">
        <v>1</v>
      </c>
      <c r="I42" s="1595"/>
      <c r="J42" s="1595"/>
      <c r="K42" s="1597">
        <v>233577</v>
      </c>
      <c r="L42" s="1597">
        <v>233577.34</v>
      </c>
      <c r="M42" s="1598"/>
      <c r="N42" s="1597">
        <v>233577.34</v>
      </c>
      <c r="O42" s="1597">
        <v>1301.99</v>
      </c>
      <c r="P42" s="1597">
        <v>225636.29</v>
      </c>
      <c r="Q42" s="1597">
        <v>6639.06</v>
      </c>
      <c r="R42" s="1597">
        <v>232275.35</v>
      </c>
      <c r="S42" s="1592"/>
    </row>
    <row r="43" spans="2:19" s="1593" customFormat="1" ht="11.25" customHeight="1" outlineLevel="1">
      <c r="B43" s="1594">
        <v>22321</v>
      </c>
      <c r="C43" s="1595" t="s">
        <v>5403</v>
      </c>
      <c r="D43" s="1595" t="s">
        <v>14771</v>
      </c>
      <c r="E43" s="1595"/>
      <c r="F43" s="1595"/>
      <c r="G43" s="1595" t="s">
        <v>14765</v>
      </c>
      <c r="H43" s="1596">
        <v>1</v>
      </c>
      <c r="I43" s="1595"/>
      <c r="J43" s="1595"/>
      <c r="K43" s="1597">
        <v>293223</v>
      </c>
      <c r="L43" s="1597">
        <v>293223</v>
      </c>
      <c r="M43" s="1598"/>
      <c r="N43" s="1597">
        <v>293223</v>
      </c>
      <c r="O43" s="1597">
        <v>77582.36</v>
      </c>
      <c r="P43" s="1597">
        <v>208310.08</v>
      </c>
      <c r="Q43" s="1597">
        <v>7330.56</v>
      </c>
      <c r="R43" s="1597">
        <v>215640.64</v>
      </c>
      <c r="S43" s="1592"/>
    </row>
    <row r="44" spans="2:19" s="1593" customFormat="1" ht="11.25" customHeight="1" outlineLevel="1">
      <c r="B44" s="1594">
        <v>22322</v>
      </c>
      <c r="C44" s="1595" t="s">
        <v>5403</v>
      </c>
      <c r="D44" s="1595" t="s">
        <v>14770</v>
      </c>
      <c r="E44" s="1595"/>
      <c r="F44" s="1595"/>
      <c r="G44" s="1595" t="s">
        <v>14765</v>
      </c>
      <c r="H44" s="1596">
        <v>1</v>
      </c>
      <c r="I44" s="1595"/>
      <c r="J44" s="1595"/>
      <c r="K44" s="1597">
        <v>540339</v>
      </c>
      <c r="L44" s="1597">
        <v>540339</v>
      </c>
      <c r="M44" s="1598"/>
      <c r="N44" s="1597">
        <v>540339</v>
      </c>
      <c r="O44" s="1597">
        <v>222437.91</v>
      </c>
      <c r="P44" s="1597">
        <v>307094.37</v>
      </c>
      <c r="Q44" s="1597">
        <v>10806.72</v>
      </c>
      <c r="R44" s="1597">
        <v>317901.09000000003</v>
      </c>
      <c r="S44" s="1592"/>
    </row>
    <row r="45" spans="2:19" s="1593" customFormat="1" ht="11.25" customHeight="1" outlineLevel="1">
      <c r="B45" s="1594">
        <v>22323</v>
      </c>
      <c r="C45" s="1595" t="s">
        <v>5403</v>
      </c>
      <c r="D45" s="1595" t="s">
        <v>14769</v>
      </c>
      <c r="E45" s="1595"/>
      <c r="F45" s="1595"/>
      <c r="G45" s="1595" t="s">
        <v>14765</v>
      </c>
      <c r="H45" s="1596">
        <v>1</v>
      </c>
      <c r="I45" s="1595"/>
      <c r="J45" s="1595"/>
      <c r="K45" s="1597">
        <v>53464</v>
      </c>
      <c r="L45" s="1597">
        <v>53464</v>
      </c>
      <c r="M45" s="1598"/>
      <c r="N45" s="1597">
        <v>53464</v>
      </c>
      <c r="O45" s="1597">
        <v>14146.74</v>
      </c>
      <c r="P45" s="1597">
        <v>37980.58</v>
      </c>
      <c r="Q45" s="1597">
        <v>1336.68</v>
      </c>
      <c r="R45" s="1597">
        <v>39317.26</v>
      </c>
      <c r="S45" s="1592"/>
    </row>
    <row r="46" spans="2:19" s="1593" customFormat="1" ht="11.25" customHeight="1" outlineLevel="1">
      <c r="B46" s="1594">
        <v>22324</v>
      </c>
      <c r="C46" s="1595" t="s">
        <v>5403</v>
      </c>
      <c r="D46" s="1595" t="s">
        <v>14768</v>
      </c>
      <c r="E46" s="1595"/>
      <c r="F46" s="1595"/>
      <c r="G46" s="1595" t="s">
        <v>14765</v>
      </c>
      <c r="H46" s="1596">
        <v>2</v>
      </c>
      <c r="I46" s="1595"/>
      <c r="J46" s="1595"/>
      <c r="K46" s="1597">
        <v>1260101</v>
      </c>
      <c r="L46" s="1597">
        <v>1260101</v>
      </c>
      <c r="M46" s="1598"/>
      <c r="N46" s="1597">
        <v>1260101</v>
      </c>
      <c r="O46" s="1597">
        <v>333401.87</v>
      </c>
      <c r="P46" s="1597">
        <v>895196.61</v>
      </c>
      <c r="Q46" s="1597">
        <v>31502.52</v>
      </c>
      <c r="R46" s="1597">
        <v>926699.13</v>
      </c>
      <c r="S46" s="1592"/>
    </row>
    <row r="47" spans="2:19" s="1593" customFormat="1" ht="11.25" customHeight="1" outlineLevel="1">
      <c r="B47" s="1594">
        <v>22325</v>
      </c>
      <c r="C47" s="1595" t="s">
        <v>5403</v>
      </c>
      <c r="D47" s="1595" t="s">
        <v>14767</v>
      </c>
      <c r="E47" s="1595"/>
      <c r="F47" s="1595"/>
      <c r="G47" s="1595" t="s">
        <v>14765</v>
      </c>
      <c r="H47" s="1596">
        <v>3</v>
      </c>
      <c r="I47" s="1595"/>
      <c r="J47" s="1595"/>
      <c r="K47" s="1597">
        <v>237516</v>
      </c>
      <c r="L47" s="1597">
        <v>237516</v>
      </c>
      <c r="M47" s="1598"/>
      <c r="N47" s="1597">
        <v>237516</v>
      </c>
      <c r="O47" s="1597">
        <v>15119.42</v>
      </c>
      <c r="P47" s="1597">
        <v>214836.82</v>
      </c>
      <c r="Q47" s="1597">
        <v>7559.76</v>
      </c>
      <c r="R47" s="1597">
        <v>222396.58</v>
      </c>
      <c r="S47" s="1592"/>
    </row>
    <row r="48" spans="2:19" s="1593" customFormat="1" ht="21.75" customHeight="1" outlineLevel="1">
      <c r="B48" s="1594">
        <v>22326</v>
      </c>
      <c r="C48" s="1595" t="s">
        <v>5403</v>
      </c>
      <c r="D48" s="1595" t="s">
        <v>14766</v>
      </c>
      <c r="E48" s="1595" t="s">
        <v>3732</v>
      </c>
      <c r="F48" s="1595"/>
      <c r="G48" s="1595" t="s">
        <v>14765</v>
      </c>
      <c r="H48" s="1596">
        <v>2</v>
      </c>
      <c r="I48" s="1595"/>
      <c r="J48" s="1595"/>
      <c r="K48" s="1597">
        <v>62359</v>
      </c>
      <c r="L48" s="1597">
        <v>832359</v>
      </c>
      <c r="M48" s="1598"/>
      <c r="N48" s="1597">
        <v>832359</v>
      </c>
      <c r="O48" s="1597">
        <v>587586</v>
      </c>
      <c r="P48" s="1597">
        <v>212576.52</v>
      </c>
      <c r="Q48" s="1597">
        <v>32196.48</v>
      </c>
      <c r="R48" s="1597">
        <v>244773</v>
      </c>
      <c r="S48" s="1592"/>
    </row>
    <row r="49" spans="2:19" s="1593" customFormat="1" ht="11.25" customHeight="1" outlineLevel="1">
      <c r="B49" s="1594">
        <v>22330</v>
      </c>
      <c r="C49" s="1595" t="s">
        <v>5403</v>
      </c>
      <c r="D49" s="1595" t="s">
        <v>14764</v>
      </c>
      <c r="E49" s="1595"/>
      <c r="F49" s="1595"/>
      <c r="G49" s="1595"/>
      <c r="H49" s="1596">
        <v>1</v>
      </c>
      <c r="I49" s="1595"/>
      <c r="J49" s="1595"/>
      <c r="K49" s="1597">
        <v>6083</v>
      </c>
      <c r="L49" s="1597">
        <v>6082.5</v>
      </c>
      <c r="M49" s="1597">
        <v>-6082.5</v>
      </c>
      <c r="N49" s="1598"/>
      <c r="O49" s="1598"/>
      <c r="P49" s="1597">
        <v>6082.5</v>
      </c>
      <c r="Q49" s="1597">
        <v>-6082.5</v>
      </c>
      <c r="R49" s="1598"/>
      <c r="S49" s="1592"/>
    </row>
    <row r="50" spans="2:19" s="1593" customFormat="1" ht="11.25" customHeight="1" outlineLevel="1">
      <c r="B50" s="1594">
        <v>22331</v>
      </c>
      <c r="C50" s="1595" t="s">
        <v>5403</v>
      </c>
      <c r="D50" s="1595" t="s">
        <v>14763</v>
      </c>
      <c r="E50" s="1595"/>
      <c r="F50" s="1595"/>
      <c r="G50" s="1595"/>
      <c r="H50" s="1596">
        <v>1</v>
      </c>
      <c r="I50" s="1595"/>
      <c r="J50" s="1595"/>
      <c r="K50" s="1599">
        <v>154</v>
      </c>
      <c r="L50" s="1599">
        <v>154.5</v>
      </c>
      <c r="M50" s="1599">
        <v>-154.5</v>
      </c>
      <c r="N50" s="1598"/>
      <c r="O50" s="1598"/>
      <c r="P50" s="1599">
        <v>154.5</v>
      </c>
      <c r="Q50" s="1599">
        <v>-154.5</v>
      </c>
      <c r="R50" s="1598"/>
      <c r="S50" s="1592"/>
    </row>
    <row r="51" spans="2:19" s="1593" customFormat="1" ht="11.25" customHeight="1" outlineLevel="1">
      <c r="B51" s="1594">
        <v>22333</v>
      </c>
      <c r="C51" s="1595" t="s">
        <v>5403</v>
      </c>
      <c r="D51" s="1595" t="s">
        <v>14762</v>
      </c>
      <c r="E51" s="1595"/>
      <c r="F51" s="1595"/>
      <c r="G51" s="1595"/>
      <c r="H51" s="1596">
        <v>1</v>
      </c>
      <c r="I51" s="1595"/>
      <c r="J51" s="1595"/>
      <c r="K51" s="1597">
        <v>1052</v>
      </c>
      <c r="L51" s="1597">
        <v>1052</v>
      </c>
      <c r="M51" s="1597">
        <v>-1052</v>
      </c>
      <c r="N51" s="1598"/>
      <c r="O51" s="1598"/>
      <c r="P51" s="1597">
        <v>1052</v>
      </c>
      <c r="Q51" s="1597">
        <v>-1052</v>
      </c>
      <c r="R51" s="1598"/>
      <c r="S51" s="1592"/>
    </row>
    <row r="52" spans="2:19" s="1593" customFormat="1" ht="11.25" customHeight="1" outlineLevel="1">
      <c r="B52" s="1594">
        <v>22334</v>
      </c>
      <c r="C52" s="1595" t="s">
        <v>5403</v>
      </c>
      <c r="D52" s="1595" t="s">
        <v>14761</v>
      </c>
      <c r="E52" s="1595"/>
      <c r="F52" s="1595"/>
      <c r="G52" s="1595"/>
      <c r="H52" s="1596">
        <v>1</v>
      </c>
      <c r="I52" s="1595"/>
      <c r="J52" s="1595"/>
      <c r="K52" s="1599">
        <v>732</v>
      </c>
      <c r="L52" s="1599">
        <v>732</v>
      </c>
      <c r="M52" s="1599">
        <v>-732</v>
      </c>
      <c r="N52" s="1598"/>
      <c r="O52" s="1598"/>
      <c r="P52" s="1599">
        <v>732</v>
      </c>
      <c r="Q52" s="1599">
        <v>-732</v>
      </c>
      <c r="R52" s="1598"/>
      <c r="S52" s="1592"/>
    </row>
    <row r="53" spans="2:19" s="1593" customFormat="1" ht="11.25" customHeight="1" outlineLevel="1">
      <c r="B53" s="1594">
        <v>22337</v>
      </c>
      <c r="C53" s="1595" t="s">
        <v>5403</v>
      </c>
      <c r="D53" s="1595" t="s">
        <v>14760</v>
      </c>
      <c r="E53" s="1595"/>
      <c r="F53" s="1595"/>
      <c r="G53" s="1595"/>
      <c r="H53" s="1596">
        <v>1</v>
      </c>
      <c r="I53" s="1595"/>
      <c r="J53" s="1595"/>
      <c r="K53" s="1597">
        <v>1255</v>
      </c>
      <c r="L53" s="1597">
        <v>1255</v>
      </c>
      <c r="M53" s="1597">
        <v>-1255</v>
      </c>
      <c r="N53" s="1598"/>
      <c r="O53" s="1598"/>
      <c r="P53" s="1597">
        <v>1255</v>
      </c>
      <c r="Q53" s="1597">
        <v>-1255</v>
      </c>
      <c r="R53" s="1598"/>
      <c r="S53" s="1592"/>
    </row>
    <row r="54" spans="2:19" s="1593" customFormat="1" ht="11.25" customHeight="1" outlineLevel="1">
      <c r="B54" s="1594">
        <v>22338</v>
      </c>
      <c r="C54" s="1595" t="s">
        <v>5403</v>
      </c>
      <c r="D54" s="1595" t="s">
        <v>14759</v>
      </c>
      <c r="E54" s="1595"/>
      <c r="F54" s="1595"/>
      <c r="G54" s="1595"/>
      <c r="H54" s="1596">
        <v>1</v>
      </c>
      <c r="I54" s="1595"/>
      <c r="J54" s="1595"/>
      <c r="K54" s="1597">
        <v>5461</v>
      </c>
      <c r="L54" s="1597">
        <v>5461</v>
      </c>
      <c r="M54" s="1597">
        <v>-5461</v>
      </c>
      <c r="N54" s="1598"/>
      <c r="O54" s="1598"/>
      <c r="P54" s="1597">
        <v>5461</v>
      </c>
      <c r="Q54" s="1597">
        <v>-5461</v>
      </c>
      <c r="R54" s="1598"/>
      <c r="S54" s="1592"/>
    </row>
    <row r="55" spans="2:19" s="1593" customFormat="1" ht="11.25" customHeight="1" outlineLevel="1">
      <c r="B55" s="1594">
        <v>22339</v>
      </c>
      <c r="C55" s="1595" t="s">
        <v>5403</v>
      </c>
      <c r="D55" s="1595" t="s">
        <v>14758</v>
      </c>
      <c r="E55" s="1595"/>
      <c r="F55" s="1595"/>
      <c r="G55" s="1595"/>
      <c r="H55" s="1596">
        <v>1</v>
      </c>
      <c r="I55" s="1595"/>
      <c r="J55" s="1595"/>
      <c r="K55" s="1597">
        <v>15433</v>
      </c>
      <c r="L55" s="1597">
        <v>15433</v>
      </c>
      <c r="M55" s="1597">
        <v>-15433</v>
      </c>
      <c r="N55" s="1598"/>
      <c r="O55" s="1598"/>
      <c r="P55" s="1597">
        <v>15433</v>
      </c>
      <c r="Q55" s="1597">
        <v>-15433</v>
      </c>
      <c r="R55" s="1598"/>
      <c r="S55" s="1592"/>
    </row>
    <row r="56" spans="2:19" s="1593" customFormat="1" ht="11.25" customHeight="1" outlineLevel="1">
      <c r="B56" s="1594">
        <v>22340</v>
      </c>
      <c r="C56" s="1595" t="s">
        <v>5403</v>
      </c>
      <c r="D56" s="1595" t="s">
        <v>14757</v>
      </c>
      <c r="E56" s="1595"/>
      <c r="F56" s="1595"/>
      <c r="G56" s="1595"/>
      <c r="H56" s="1596">
        <v>1</v>
      </c>
      <c r="I56" s="1595"/>
      <c r="J56" s="1595"/>
      <c r="K56" s="1597">
        <v>1719</v>
      </c>
      <c r="L56" s="1597">
        <v>1719</v>
      </c>
      <c r="M56" s="1597">
        <v>-1719</v>
      </c>
      <c r="N56" s="1598"/>
      <c r="O56" s="1598"/>
      <c r="P56" s="1597">
        <v>1719</v>
      </c>
      <c r="Q56" s="1597">
        <v>-1719</v>
      </c>
      <c r="R56" s="1598"/>
      <c r="S56" s="1592"/>
    </row>
    <row r="57" spans="2:19" s="1593" customFormat="1" ht="11.25" customHeight="1" outlineLevel="1">
      <c r="B57" s="1594">
        <v>22341</v>
      </c>
      <c r="C57" s="1595" t="s">
        <v>5403</v>
      </c>
      <c r="D57" s="1595" t="s">
        <v>14756</v>
      </c>
      <c r="E57" s="1595"/>
      <c r="F57" s="1595"/>
      <c r="G57" s="1595"/>
      <c r="H57" s="1596">
        <v>1</v>
      </c>
      <c r="I57" s="1595"/>
      <c r="J57" s="1595"/>
      <c r="K57" s="1597">
        <v>4166</v>
      </c>
      <c r="L57" s="1597">
        <v>4166</v>
      </c>
      <c r="M57" s="1597">
        <v>-4166</v>
      </c>
      <c r="N57" s="1598"/>
      <c r="O57" s="1598"/>
      <c r="P57" s="1597">
        <v>4166</v>
      </c>
      <c r="Q57" s="1597">
        <v>-4166</v>
      </c>
      <c r="R57" s="1598"/>
      <c r="S57" s="1592"/>
    </row>
    <row r="58" spans="2:19" s="1593" customFormat="1" ht="11.25" customHeight="1" outlineLevel="1">
      <c r="B58" s="1594">
        <v>22342</v>
      </c>
      <c r="C58" s="1595" t="s">
        <v>5403</v>
      </c>
      <c r="D58" s="1595" t="s">
        <v>14755</v>
      </c>
      <c r="E58" s="1595"/>
      <c r="F58" s="1595"/>
      <c r="G58" s="1595"/>
      <c r="H58" s="1596">
        <v>1</v>
      </c>
      <c r="I58" s="1595"/>
      <c r="J58" s="1595"/>
      <c r="K58" s="1597">
        <v>20037</v>
      </c>
      <c r="L58" s="1597">
        <v>20037</v>
      </c>
      <c r="M58" s="1597">
        <v>-20037</v>
      </c>
      <c r="N58" s="1598"/>
      <c r="O58" s="1598"/>
      <c r="P58" s="1597">
        <v>20037</v>
      </c>
      <c r="Q58" s="1597">
        <v>-20037</v>
      </c>
      <c r="R58" s="1598"/>
      <c r="S58" s="1592"/>
    </row>
    <row r="59" spans="2:19" s="1593" customFormat="1" ht="11.25" customHeight="1" outlineLevel="1">
      <c r="B59" s="1594">
        <v>22345</v>
      </c>
      <c r="C59" s="1595" t="s">
        <v>5403</v>
      </c>
      <c r="D59" s="1595" t="s">
        <v>14754</v>
      </c>
      <c r="E59" s="1595"/>
      <c r="F59" s="1595"/>
      <c r="G59" s="1595"/>
      <c r="H59" s="1596">
        <v>1</v>
      </c>
      <c r="I59" s="1595"/>
      <c r="J59" s="1595"/>
      <c r="K59" s="1597">
        <v>9202</v>
      </c>
      <c r="L59" s="1597">
        <v>9201.6</v>
      </c>
      <c r="M59" s="1597">
        <v>-9201.6</v>
      </c>
      <c r="N59" s="1598"/>
      <c r="O59" s="1598"/>
      <c r="P59" s="1597">
        <v>9201.6</v>
      </c>
      <c r="Q59" s="1597">
        <v>-9201.6</v>
      </c>
      <c r="R59" s="1598"/>
      <c r="S59" s="1592"/>
    </row>
    <row r="60" spans="2:19" s="1593" customFormat="1" ht="11.25" customHeight="1" outlineLevel="1">
      <c r="B60" s="1594">
        <v>22347</v>
      </c>
      <c r="C60" s="1595" t="s">
        <v>5403</v>
      </c>
      <c r="D60" s="1595" t="s">
        <v>14753</v>
      </c>
      <c r="E60" s="1595"/>
      <c r="F60" s="1595"/>
      <c r="G60" s="1595"/>
      <c r="H60" s="1596">
        <v>1</v>
      </c>
      <c r="I60" s="1595"/>
      <c r="J60" s="1595"/>
      <c r="K60" s="1597">
        <v>2409</v>
      </c>
      <c r="L60" s="1597">
        <v>2409</v>
      </c>
      <c r="M60" s="1597">
        <v>-2409</v>
      </c>
      <c r="N60" s="1598"/>
      <c r="O60" s="1598"/>
      <c r="P60" s="1597">
        <v>2409</v>
      </c>
      <c r="Q60" s="1597">
        <v>-2409</v>
      </c>
      <c r="R60" s="1598"/>
      <c r="S60" s="1592"/>
    </row>
    <row r="61" spans="2:19" s="1593" customFormat="1" ht="11.25" customHeight="1" outlineLevel="1">
      <c r="B61" s="1594">
        <v>22348</v>
      </c>
      <c r="C61" s="1595" t="s">
        <v>5403</v>
      </c>
      <c r="D61" s="1595" t="s">
        <v>14752</v>
      </c>
      <c r="E61" s="1595"/>
      <c r="F61" s="1595"/>
      <c r="G61" s="1595"/>
      <c r="H61" s="1596">
        <v>1</v>
      </c>
      <c r="I61" s="1595"/>
      <c r="J61" s="1595"/>
      <c r="K61" s="1597">
        <v>3247</v>
      </c>
      <c r="L61" s="1597">
        <v>3246.6</v>
      </c>
      <c r="M61" s="1597">
        <v>-3246.6</v>
      </c>
      <c r="N61" s="1598"/>
      <c r="O61" s="1598"/>
      <c r="P61" s="1597">
        <v>3246.6</v>
      </c>
      <c r="Q61" s="1597">
        <v>-3246.6</v>
      </c>
      <c r="R61" s="1598"/>
      <c r="S61" s="1592"/>
    </row>
    <row r="62" spans="2:19" s="1593" customFormat="1" ht="11.25" customHeight="1" outlineLevel="1">
      <c r="B62" s="1594">
        <v>22349</v>
      </c>
      <c r="C62" s="1595" t="s">
        <v>5403</v>
      </c>
      <c r="D62" s="1595" t="s">
        <v>14751</v>
      </c>
      <c r="E62" s="1595"/>
      <c r="F62" s="1595"/>
      <c r="G62" s="1595"/>
      <c r="H62" s="1596">
        <v>1</v>
      </c>
      <c r="I62" s="1595"/>
      <c r="J62" s="1595"/>
      <c r="K62" s="1597">
        <v>5893</v>
      </c>
      <c r="L62" s="1597">
        <v>5892.66</v>
      </c>
      <c r="M62" s="1597">
        <v>-5892.66</v>
      </c>
      <c r="N62" s="1598"/>
      <c r="O62" s="1598"/>
      <c r="P62" s="1597">
        <v>5892.66</v>
      </c>
      <c r="Q62" s="1597">
        <v>-5892.66</v>
      </c>
      <c r="R62" s="1598"/>
      <c r="S62" s="1592"/>
    </row>
    <row r="63" spans="2:19" s="1593" customFormat="1" ht="11.25" customHeight="1" outlineLevel="1">
      <c r="B63" s="1594">
        <v>22350</v>
      </c>
      <c r="C63" s="1595" t="s">
        <v>5403</v>
      </c>
      <c r="D63" s="1595" t="s">
        <v>14750</v>
      </c>
      <c r="E63" s="1595"/>
      <c r="F63" s="1595"/>
      <c r="G63" s="1595"/>
      <c r="H63" s="1596">
        <v>1</v>
      </c>
      <c r="I63" s="1595"/>
      <c r="J63" s="1595"/>
      <c r="K63" s="1597">
        <v>1397</v>
      </c>
      <c r="L63" s="1597">
        <v>1396.5</v>
      </c>
      <c r="M63" s="1597">
        <v>-1396.5</v>
      </c>
      <c r="N63" s="1598"/>
      <c r="O63" s="1598"/>
      <c r="P63" s="1597">
        <v>1396.5</v>
      </c>
      <c r="Q63" s="1597">
        <v>-1396.5</v>
      </c>
      <c r="R63" s="1598"/>
      <c r="S63" s="1592"/>
    </row>
    <row r="64" spans="2:19" s="1593" customFormat="1" ht="11.25" customHeight="1" outlineLevel="1">
      <c r="B64" s="1594">
        <v>22351</v>
      </c>
      <c r="C64" s="1595" t="s">
        <v>5403</v>
      </c>
      <c r="D64" s="1595" t="s">
        <v>14749</v>
      </c>
      <c r="E64" s="1595"/>
      <c r="F64" s="1595"/>
      <c r="G64" s="1595"/>
      <c r="H64" s="1596">
        <v>1</v>
      </c>
      <c r="I64" s="1595"/>
      <c r="J64" s="1595"/>
      <c r="K64" s="1597">
        <v>55474</v>
      </c>
      <c r="L64" s="1597">
        <v>55474.5</v>
      </c>
      <c r="M64" s="1597">
        <v>-55474.5</v>
      </c>
      <c r="N64" s="1598"/>
      <c r="O64" s="1598"/>
      <c r="P64" s="1597">
        <v>55474.5</v>
      </c>
      <c r="Q64" s="1597">
        <v>-55474.5</v>
      </c>
      <c r="R64" s="1598"/>
      <c r="S64" s="1592"/>
    </row>
    <row r="65" spans="2:19" s="1593" customFormat="1" ht="11.25" customHeight="1" outlineLevel="1">
      <c r="B65" s="1594">
        <v>22352</v>
      </c>
      <c r="C65" s="1595" t="s">
        <v>5403</v>
      </c>
      <c r="D65" s="1595" t="s">
        <v>14748</v>
      </c>
      <c r="E65" s="1595"/>
      <c r="F65" s="1595"/>
      <c r="G65" s="1595"/>
      <c r="H65" s="1596">
        <v>1</v>
      </c>
      <c r="I65" s="1595"/>
      <c r="J65" s="1595"/>
      <c r="K65" s="1597">
        <v>14515</v>
      </c>
      <c r="L65" s="1597">
        <v>14515</v>
      </c>
      <c r="M65" s="1597">
        <v>-14515</v>
      </c>
      <c r="N65" s="1598"/>
      <c r="O65" s="1598"/>
      <c r="P65" s="1597">
        <v>14515</v>
      </c>
      <c r="Q65" s="1597">
        <v>-14515</v>
      </c>
      <c r="R65" s="1598"/>
      <c r="S65" s="1592"/>
    </row>
    <row r="66" spans="2:19" s="1593" customFormat="1" ht="11.25" customHeight="1" outlineLevel="1">
      <c r="B66" s="1594">
        <v>22353</v>
      </c>
      <c r="C66" s="1595" t="s">
        <v>5403</v>
      </c>
      <c r="D66" s="1595" t="s">
        <v>14747</v>
      </c>
      <c r="E66" s="1595"/>
      <c r="F66" s="1595"/>
      <c r="G66" s="1595"/>
      <c r="H66" s="1596">
        <v>1</v>
      </c>
      <c r="I66" s="1595"/>
      <c r="J66" s="1595"/>
      <c r="K66" s="1597">
        <v>5709</v>
      </c>
      <c r="L66" s="1597">
        <v>5709</v>
      </c>
      <c r="M66" s="1597">
        <v>-5709</v>
      </c>
      <c r="N66" s="1598"/>
      <c r="O66" s="1598"/>
      <c r="P66" s="1597">
        <v>5709</v>
      </c>
      <c r="Q66" s="1597">
        <v>-5709</v>
      </c>
      <c r="R66" s="1598"/>
      <c r="S66" s="1592"/>
    </row>
    <row r="67" spans="2:19" s="1593" customFormat="1" ht="11.25" customHeight="1" outlineLevel="1">
      <c r="B67" s="1594">
        <v>22355</v>
      </c>
      <c r="C67" s="1595" t="s">
        <v>5403</v>
      </c>
      <c r="D67" s="1595" t="s">
        <v>14746</v>
      </c>
      <c r="E67" s="1595"/>
      <c r="F67" s="1595"/>
      <c r="G67" s="1595"/>
      <c r="H67" s="1596">
        <v>1</v>
      </c>
      <c r="I67" s="1595"/>
      <c r="J67" s="1595"/>
      <c r="K67" s="1597">
        <v>1048</v>
      </c>
      <c r="L67" s="1597">
        <v>1048</v>
      </c>
      <c r="M67" s="1597">
        <v>-1048</v>
      </c>
      <c r="N67" s="1598"/>
      <c r="O67" s="1598"/>
      <c r="P67" s="1597">
        <v>1048</v>
      </c>
      <c r="Q67" s="1597">
        <v>-1048</v>
      </c>
      <c r="R67" s="1598"/>
      <c r="S67" s="1592"/>
    </row>
    <row r="68" spans="2:19" s="1593" customFormat="1" ht="11.25" customHeight="1" outlineLevel="1">
      <c r="B68" s="1594">
        <v>22360</v>
      </c>
      <c r="C68" s="1595" t="s">
        <v>5403</v>
      </c>
      <c r="D68" s="1595" t="s">
        <v>14745</v>
      </c>
      <c r="E68" s="1595"/>
      <c r="F68" s="1595"/>
      <c r="G68" s="1595"/>
      <c r="H68" s="1596">
        <v>2</v>
      </c>
      <c r="I68" s="1595"/>
      <c r="J68" s="1595"/>
      <c r="K68" s="1597">
        <v>1370</v>
      </c>
      <c r="L68" s="1597">
        <v>1370</v>
      </c>
      <c r="M68" s="1597">
        <v>-1370</v>
      </c>
      <c r="N68" s="1598"/>
      <c r="O68" s="1598"/>
      <c r="P68" s="1597">
        <v>1370</v>
      </c>
      <c r="Q68" s="1597">
        <v>-1370</v>
      </c>
      <c r="R68" s="1598"/>
      <c r="S68" s="1592"/>
    </row>
    <row r="69" spans="2:19" s="1593" customFormat="1" ht="11.25" customHeight="1" outlineLevel="1">
      <c r="B69" s="1594">
        <v>22365</v>
      </c>
      <c r="C69" s="1595" t="s">
        <v>5403</v>
      </c>
      <c r="D69" s="1595" t="s">
        <v>14744</v>
      </c>
      <c r="E69" s="1595"/>
      <c r="F69" s="1595"/>
      <c r="G69" s="1595"/>
      <c r="H69" s="1596">
        <v>1</v>
      </c>
      <c r="I69" s="1595"/>
      <c r="J69" s="1595"/>
      <c r="K69" s="1599">
        <v>289</v>
      </c>
      <c r="L69" s="1599">
        <v>289</v>
      </c>
      <c r="M69" s="1599">
        <v>-289</v>
      </c>
      <c r="N69" s="1598"/>
      <c r="O69" s="1598"/>
      <c r="P69" s="1599">
        <v>289</v>
      </c>
      <c r="Q69" s="1599">
        <v>-289</v>
      </c>
      <c r="R69" s="1598"/>
      <c r="S69" s="1592"/>
    </row>
    <row r="70" spans="2:19" s="1593" customFormat="1" ht="11.25" customHeight="1" outlineLevel="1">
      <c r="B70" s="1594">
        <v>22380</v>
      </c>
      <c r="C70" s="1595" t="s">
        <v>5403</v>
      </c>
      <c r="D70" s="1595" t="s">
        <v>14743</v>
      </c>
      <c r="E70" s="1595"/>
      <c r="F70" s="1595"/>
      <c r="G70" s="1595" t="s">
        <v>3596</v>
      </c>
      <c r="H70" s="1596">
        <v>3</v>
      </c>
      <c r="I70" s="1595"/>
      <c r="J70" s="1595"/>
      <c r="K70" s="1597">
        <v>1039</v>
      </c>
      <c r="L70" s="1597">
        <v>1039</v>
      </c>
      <c r="M70" s="1598"/>
      <c r="N70" s="1597">
        <v>1039</v>
      </c>
      <c r="O70" s="1599">
        <v>244.62</v>
      </c>
      <c r="P70" s="1599">
        <v>767.25</v>
      </c>
      <c r="Q70" s="1599">
        <v>27.13</v>
      </c>
      <c r="R70" s="1599">
        <v>794.38</v>
      </c>
      <c r="S70" s="1592"/>
    </row>
    <row r="71" spans="2:19" s="1593" customFormat="1" ht="11.25" customHeight="1" outlineLevel="1">
      <c r="B71" s="1594">
        <v>34244</v>
      </c>
      <c r="C71" s="1595" t="s">
        <v>5403</v>
      </c>
      <c r="D71" s="1595" t="s">
        <v>14742</v>
      </c>
      <c r="E71" s="1595"/>
      <c r="F71" s="1595"/>
      <c r="G71" s="1595"/>
      <c r="H71" s="1596">
        <v>1</v>
      </c>
      <c r="I71" s="1595"/>
      <c r="J71" s="1595"/>
      <c r="K71" s="1597">
        <v>1719</v>
      </c>
      <c r="L71" s="1597">
        <v>1719</v>
      </c>
      <c r="M71" s="1597">
        <v>-1719</v>
      </c>
      <c r="N71" s="1598"/>
      <c r="O71" s="1598"/>
      <c r="P71" s="1597">
        <v>1719</v>
      </c>
      <c r="Q71" s="1597">
        <v>-1719</v>
      </c>
      <c r="R71" s="1598"/>
      <c r="S71" s="1592"/>
    </row>
    <row r="72" spans="2:19" s="1593" customFormat="1" ht="11.25" customHeight="1" outlineLevel="1">
      <c r="B72" s="1594">
        <v>34571</v>
      </c>
      <c r="C72" s="1595" t="s">
        <v>5403</v>
      </c>
      <c r="D72" s="1595" t="s">
        <v>14741</v>
      </c>
      <c r="E72" s="1595"/>
      <c r="F72" s="1595"/>
      <c r="G72" s="1595"/>
      <c r="H72" s="1596">
        <v>1</v>
      </c>
      <c r="I72" s="1595"/>
      <c r="J72" s="1595"/>
      <c r="K72" s="1599">
        <v>154</v>
      </c>
      <c r="L72" s="1599">
        <v>154.5</v>
      </c>
      <c r="M72" s="1599">
        <v>-154.5</v>
      </c>
      <c r="N72" s="1598"/>
      <c r="O72" s="1598"/>
      <c r="P72" s="1599">
        <v>154.5</v>
      </c>
      <c r="Q72" s="1599">
        <v>-154.5</v>
      </c>
      <c r="R72" s="1598"/>
      <c r="S72" s="1592"/>
    </row>
    <row r="73" spans="2:19" s="1593" customFormat="1" ht="11.25" customHeight="1" outlineLevel="1">
      <c r="B73" s="1594">
        <v>34892</v>
      </c>
      <c r="C73" s="1595" t="s">
        <v>5403</v>
      </c>
      <c r="D73" s="1595" t="s">
        <v>14740</v>
      </c>
      <c r="E73" s="1595"/>
      <c r="F73" s="1595"/>
      <c r="G73" s="1595"/>
      <c r="H73" s="1596">
        <v>1</v>
      </c>
      <c r="I73" s="1595"/>
      <c r="J73" s="1595"/>
      <c r="K73" s="1597">
        <v>1048</v>
      </c>
      <c r="L73" s="1597">
        <v>1048</v>
      </c>
      <c r="M73" s="1597">
        <v>-1048</v>
      </c>
      <c r="N73" s="1598"/>
      <c r="O73" s="1598"/>
      <c r="P73" s="1597">
        <v>1048</v>
      </c>
      <c r="Q73" s="1597">
        <v>-1048</v>
      </c>
      <c r="R73" s="1598"/>
      <c r="S73" s="1592"/>
    </row>
    <row r="74" spans="2:19" s="1593" customFormat="1" ht="11.25" customHeight="1" outlineLevel="1">
      <c r="B74" s="1594">
        <v>34901</v>
      </c>
      <c r="C74" s="1595" t="s">
        <v>5403</v>
      </c>
      <c r="D74" s="1595" t="s">
        <v>14739</v>
      </c>
      <c r="E74" s="1595"/>
      <c r="F74" s="1595"/>
      <c r="G74" s="1595"/>
      <c r="H74" s="1596">
        <v>1</v>
      </c>
      <c r="I74" s="1595"/>
      <c r="J74" s="1595"/>
      <c r="K74" s="1597">
        <v>3247</v>
      </c>
      <c r="L74" s="1597">
        <v>3246.6</v>
      </c>
      <c r="M74" s="1597">
        <v>-3246.6</v>
      </c>
      <c r="N74" s="1598"/>
      <c r="O74" s="1598"/>
      <c r="P74" s="1597">
        <v>3246.6</v>
      </c>
      <c r="Q74" s="1597">
        <v>-3246.6</v>
      </c>
      <c r="R74" s="1598"/>
      <c r="S74" s="1592"/>
    </row>
    <row r="75" spans="2:19" s="1593" customFormat="1" ht="11.25" customHeight="1" outlineLevel="1">
      <c r="B75" s="1594">
        <v>34902</v>
      </c>
      <c r="C75" s="1595" t="s">
        <v>5403</v>
      </c>
      <c r="D75" s="1595" t="s">
        <v>14738</v>
      </c>
      <c r="E75" s="1595"/>
      <c r="F75" s="1595"/>
      <c r="G75" s="1595"/>
      <c r="H75" s="1596">
        <v>1</v>
      </c>
      <c r="I75" s="1595"/>
      <c r="J75" s="1595"/>
      <c r="K75" s="1597">
        <v>3247</v>
      </c>
      <c r="L75" s="1597">
        <v>3246.6</v>
      </c>
      <c r="M75" s="1597">
        <v>-3246.6</v>
      </c>
      <c r="N75" s="1598"/>
      <c r="O75" s="1598"/>
      <c r="P75" s="1597">
        <v>3246.6</v>
      </c>
      <c r="Q75" s="1597">
        <v>-3246.6</v>
      </c>
      <c r="R75" s="1598"/>
      <c r="S75" s="1592"/>
    </row>
    <row r="76" spans="2:19" s="1593" customFormat="1" ht="11.25" customHeight="1" outlineLevel="1">
      <c r="B76" s="1594">
        <v>34903</v>
      </c>
      <c r="C76" s="1595" t="s">
        <v>5403</v>
      </c>
      <c r="D76" s="1595" t="s">
        <v>14737</v>
      </c>
      <c r="E76" s="1595"/>
      <c r="F76" s="1595"/>
      <c r="G76" s="1595"/>
      <c r="H76" s="1596">
        <v>1</v>
      </c>
      <c r="I76" s="1595"/>
      <c r="J76" s="1595"/>
      <c r="K76" s="1597">
        <v>3247</v>
      </c>
      <c r="L76" s="1597">
        <v>3246.6</v>
      </c>
      <c r="M76" s="1597">
        <v>-3246.6</v>
      </c>
      <c r="N76" s="1598"/>
      <c r="O76" s="1598"/>
      <c r="P76" s="1597">
        <v>3246.6</v>
      </c>
      <c r="Q76" s="1597">
        <v>-3246.6</v>
      </c>
      <c r="R76" s="1598"/>
      <c r="S76" s="1592"/>
    </row>
    <row r="77" spans="2:19" s="1593" customFormat="1" ht="11.25" customHeight="1" outlineLevel="1">
      <c r="B77" s="1594">
        <v>34904</v>
      </c>
      <c r="C77" s="1595" t="s">
        <v>5403</v>
      </c>
      <c r="D77" s="1595" t="s">
        <v>14736</v>
      </c>
      <c r="E77" s="1595"/>
      <c r="F77" s="1595"/>
      <c r="G77" s="1595"/>
      <c r="H77" s="1596">
        <v>1</v>
      </c>
      <c r="I77" s="1595"/>
      <c r="J77" s="1595"/>
      <c r="K77" s="1597">
        <v>3247</v>
      </c>
      <c r="L77" s="1597">
        <v>3246.6</v>
      </c>
      <c r="M77" s="1597">
        <v>-3246.6</v>
      </c>
      <c r="N77" s="1598"/>
      <c r="O77" s="1598"/>
      <c r="P77" s="1597">
        <v>3246.6</v>
      </c>
      <c r="Q77" s="1597">
        <v>-3246.6</v>
      </c>
      <c r="R77" s="1598"/>
      <c r="S77" s="1592"/>
    </row>
    <row r="78" spans="2:19" s="1593" customFormat="1" ht="11.25" customHeight="1" outlineLevel="1">
      <c r="B78" s="1594">
        <v>35086</v>
      </c>
      <c r="C78" s="1595" t="s">
        <v>5403</v>
      </c>
      <c r="D78" s="1595" t="s">
        <v>14735</v>
      </c>
      <c r="E78" s="1595"/>
      <c r="F78" s="1595"/>
      <c r="G78" s="1595"/>
      <c r="H78" s="1596">
        <v>1</v>
      </c>
      <c r="I78" s="1595"/>
      <c r="J78" s="1595"/>
      <c r="K78" s="1597">
        <v>5709</v>
      </c>
      <c r="L78" s="1597">
        <v>5709</v>
      </c>
      <c r="M78" s="1597">
        <v>-5709</v>
      </c>
      <c r="N78" s="1598"/>
      <c r="O78" s="1598"/>
      <c r="P78" s="1597">
        <v>5709</v>
      </c>
      <c r="Q78" s="1597">
        <v>-5709</v>
      </c>
      <c r="R78" s="1598"/>
      <c r="S78" s="1592"/>
    </row>
    <row r="79" spans="2:19" s="1593" customFormat="1" ht="11.25" customHeight="1" outlineLevel="1">
      <c r="B79" s="1594">
        <v>35110</v>
      </c>
      <c r="C79" s="1595" t="s">
        <v>5403</v>
      </c>
      <c r="D79" s="1595" t="s">
        <v>14734</v>
      </c>
      <c r="E79" s="1595"/>
      <c r="F79" s="1595"/>
      <c r="G79" s="1595"/>
      <c r="H79" s="1596">
        <v>1</v>
      </c>
      <c r="I79" s="1595"/>
      <c r="J79" s="1595"/>
      <c r="K79" s="1597">
        <v>9202</v>
      </c>
      <c r="L79" s="1597">
        <v>9201.6</v>
      </c>
      <c r="M79" s="1597">
        <v>-9201.6</v>
      </c>
      <c r="N79" s="1598"/>
      <c r="O79" s="1598"/>
      <c r="P79" s="1597">
        <v>9201.6</v>
      </c>
      <c r="Q79" s="1597">
        <v>-9201.6</v>
      </c>
      <c r="R79" s="1598"/>
      <c r="S79" s="1592"/>
    </row>
    <row r="80" spans="2:19" s="1593" customFormat="1" ht="11.25" customHeight="1" outlineLevel="1">
      <c r="B80" s="1594">
        <v>35111</v>
      </c>
      <c r="C80" s="1595" t="s">
        <v>5403</v>
      </c>
      <c r="D80" s="1595" t="s">
        <v>14733</v>
      </c>
      <c r="E80" s="1595"/>
      <c r="F80" s="1595"/>
      <c r="G80" s="1595"/>
      <c r="H80" s="1596">
        <v>1</v>
      </c>
      <c r="I80" s="1595"/>
      <c r="J80" s="1595"/>
      <c r="K80" s="1597">
        <v>9202</v>
      </c>
      <c r="L80" s="1597">
        <v>9201.6</v>
      </c>
      <c r="M80" s="1597">
        <v>-9201.6</v>
      </c>
      <c r="N80" s="1598"/>
      <c r="O80" s="1598"/>
      <c r="P80" s="1597">
        <v>9201.6</v>
      </c>
      <c r="Q80" s="1597">
        <v>-9201.6</v>
      </c>
      <c r="R80" s="1598"/>
      <c r="S80" s="1592"/>
    </row>
    <row r="81" spans="2:19" s="1593" customFormat="1" ht="11.25" customHeight="1" outlineLevel="1">
      <c r="B81" s="1594">
        <v>35112</v>
      </c>
      <c r="C81" s="1595" t="s">
        <v>5403</v>
      </c>
      <c r="D81" s="1595" t="s">
        <v>14732</v>
      </c>
      <c r="E81" s="1595"/>
      <c r="F81" s="1595"/>
      <c r="G81" s="1595"/>
      <c r="H81" s="1596">
        <v>1</v>
      </c>
      <c r="I81" s="1595"/>
      <c r="J81" s="1595"/>
      <c r="K81" s="1597">
        <v>9202</v>
      </c>
      <c r="L81" s="1597">
        <v>9201.6</v>
      </c>
      <c r="M81" s="1597">
        <v>-9201.6</v>
      </c>
      <c r="N81" s="1598"/>
      <c r="O81" s="1598"/>
      <c r="P81" s="1597">
        <v>9201.6</v>
      </c>
      <c r="Q81" s="1597">
        <v>-9201.6</v>
      </c>
      <c r="R81" s="1598"/>
      <c r="S81" s="1592"/>
    </row>
    <row r="82" spans="2:19" s="1593" customFormat="1" ht="11.25" customHeight="1" outlineLevel="1">
      <c r="B82" s="1594">
        <v>35113</v>
      </c>
      <c r="C82" s="1595" t="s">
        <v>5403</v>
      </c>
      <c r="D82" s="1595" t="s">
        <v>14731</v>
      </c>
      <c r="E82" s="1595"/>
      <c r="F82" s="1595"/>
      <c r="G82" s="1595"/>
      <c r="H82" s="1596">
        <v>1</v>
      </c>
      <c r="I82" s="1595"/>
      <c r="J82" s="1595"/>
      <c r="K82" s="1597">
        <v>9202</v>
      </c>
      <c r="L82" s="1597">
        <v>9201.6</v>
      </c>
      <c r="M82" s="1597">
        <v>-9201.6</v>
      </c>
      <c r="N82" s="1598"/>
      <c r="O82" s="1598"/>
      <c r="P82" s="1597">
        <v>9201.6</v>
      </c>
      <c r="Q82" s="1597">
        <v>-9201.6</v>
      </c>
      <c r="R82" s="1598"/>
      <c r="S82" s="1592"/>
    </row>
    <row r="83" spans="2:19" s="1593" customFormat="1" ht="11.25" customHeight="1" outlineLevel="1">
      <c r="B83" s="1594">
        <v>35114</v>
      </c>
      <c r="C83" s="1595" t="s">
        <v>5403</v>
      </c>
      <c r="D83" s="1595" t="s">
        <v>14730</v>
      </c>
      <c r="E83" s="1595"/>
      <c r="F83" s="1595"/>
      <c r="G83" s="1595"/>
      <c r="H83" s="1596">
        <v>1</v>
      </c>
      <c r="I83" s="1595"/>
      <c r="J83" s="1595"/>
      <c r="K83" s="1597">
        <v>9202</v>
      </c>
      <c r="L83" s="1597">
        <v>9201.6</v>
      </c>
      <c r="M83" s="1597">
        <v>-9201.6</v>
      </c>
      <c r="N83" s="1598"/>
      <c r="O83" s="1598"/>
      <c r="P83" s="1597">
        <v>9201.6</v>
      </c>
      <c r="Q83" s="1597">
        <v>-9201.6</v>
      </c>
      <c r="R83" s="1598"/>
      <c r="S83" s="1592"/>
    </row>
    <row r="84" spans="2:19" s="1593" customFormat="1" ht="11.25" customHeight="1" outlineLevel="1">
      <c r="B84" s="1594">
        <v>35115</v>
      </c>
      <c r="C84" s="1595" t="s">
        <v>5403</v>
      </c>
      <c r="D84" s="1595" t="s">
        <v>14729</v>
      </c>
      <c r="E84" s="1595"/>
      <c r="F84" s="1595"/>
      <c r="G84" s="1595"/>
      <c r="H84" s="1596">
        <v>1</v>
      </c>
      <c r="I84" s="1595"/>
      <c r="J84" s="1595"/>
      <c r="K84" s="1597">
        <v>9202</v>
      </c>
      <c r="L84" s="1597">
        <v>9201.6</v>
      </c>
      <c r="M84" s="1597">
        <v>-9201.6</v>
      </c>
      <c r="N84" s="1598"/>
      <c r="O84" s="1598"/>
      <c r="P84" s="1597">
        <v>9201.6</v>
      </c>
      <c r="Q84" s="1597">
        <v>-9201.6</v>
      </c>
      <c r="R84" s="1598"/>
      <c r="S84" s="1592"/>
    </row>
    <row r="85" spans="2:19" s="1593" customFormat="1" ht="11.25" customHeight="1" outlineLevel="1">
      <c r="B85" s="1594">
        <v>35116</v>
      </c>
      <c r="C85" s="1595" t="s">
        <v>5403</v>
      </c>
      <c r="D85" s="1595" t="s">
        <v>14728</v>
      </c>
      <c r="E85" s="1595"/>
      <c r="F85" s="1595"/>
      <c r="G85" s="1595"/>
      <c r="H85" s="1596">
        <v>1</v>
      </c>
      <c r="I85" s="1595"/>
      <c r="J85" s="1595"/>
      <c r="K85" s="1597">
        <v>9202</v>
      </c>
      <c r="L85" s="1597">
        <v>9201.6</v>
      </c>
      <c r="M85" s="1597">
        <v>-9201.6</v>
      </c>
      <c r="N85" s="1598"/>
      <c r="O85" s="1598"/>
      <c r="P85" s="1597">
        <v>9201.6</v>
      </c>
      <c r="Q85" s="1597">
        <v>-9201.6</v>
      </c>
      <c r="R85" s="1598"/>
      <c r="S85" s="1592"/>
    </row>
    <row r="86" spans="2:19" s="1593" customFormat="1" ht="11.25" customHeight="1" outlineLevel="1">
      <c r="B86" s="1594">
        <v>35117</v>
      </c>
      <c r="C86" s="1595" t="s">
        <v>5403</v>
      </c>
      <c r="D86" s="1595" t="s">
        <v>14727</v>
      </c>
      <c r="E86" s="1595"/>
      <c r="F86" s="1595"/>
      <c r="G86" s="1595"/>
      <c r="H86" s="1596">
        <v>1</v>
      </c>
      <c r="I86" s="1595"/>
      <c r="J86" s="1595"/>
      <c r="K86" s="1597">
        <v>9202</v>
      </c>
      <c r="L86" s="1597">
        <v>9201.6</v>
      </c>
      <c r="M86" s="1597">
        <v>-9201.6</v>
      </c>
      <c r="N86" s="1598"/>
      <c r="O86" s="1598"/>
      <c r="P86" s="1597">
        <v>9201.6</v>
      </c>
      <c r="Q86" s="1597">
        <v>-9201.6</v>
      </c>
      <c r="R86" s="1598"/>
      <c r="S86" s="1592"/>
    </row>
    <row r="87" spans="2:19" s="1593" customFormat="1" ht="11.25" customHeight="1" outlineLevel="1">
      <c r="B87" s="1594">
        <v>35118</v>
      </c>
      <c r="C87" s="1595" t="s">
        <v>5403</v>
      </c>
      <c r="D87" s="1595" t="s">
        <v>14726</v>
      </c>
      <c r="E87" s="1595"/>
      <c r="F87" s="1595"/>
      <c r="G87" s="1595"/>
      <c r="H87" s="1596">
        <v>1</v>
      </c>
      <c r="I87" s="1595"/>
      <c r="J87" s="1595"/>
      <c r="K87" s="1597">
        <v>9202</v>
      </c>
      <c r="L87" s="1597">
        <v>9201.6</v>
      </c>
      <c r="M87" s="1597">
        <v>-9201.6</v>
      </c>
      <c r="N87" s="1598"/>
      <c r="O87" s="1598"/>
      <c r="P87" s="1597">
        <v>9201.6</v>
      </c>
      <c r="Q87" s="1597">
        <v>-9201.6</v>
      </c>
      <c r="R87" s="1598"/>
      <c r="S87" s="1592"/>
    </row>
    <row r="88" spans="2:19" s="1593" customFormat="1" ht="11.25" customHeight="1" outlineLevel="1">
      <c r="B88" s="1594">
        <v>35119</v>
      </c>
      <c r="C88" s="1595" t="s">
        <v>5403</v>
      </c>
      <c r="D88" s="1595" t="s">
        <v>14725</v>
      </c>
      <c r="E88" s="1595"/>
      <c r="F88" s="1595"/>
      <c r="G88" s="1595"/>
      <c r="H88" s="1596">
        <v>1</v>
      </c>
      <c r="I88" s="1595"/>
      <c r="J88" s="1595"/>
      <c r="K88" s="1597">
        <v>9202</v>
      </c>
      <c r="L88" s="1597">
        <v>9201.6</v>
      </c>
      <c r="M88" s="1597">
        <v>-9201.6</v>
      </c>
      <c r="N88" s="1598"/>
      <c r="O88" s="1598"/>
      <c r="P88" s="1597">
        <v>9201.6</v>
      </c>
      <c r="Q88" s="1597">
        <v>-9201.6</v>
      </c>
      <c r="R88" s="1598"/>
      <c r="S88" s="1592"/>
    </row>
    <row r="89" spans="2:19" s="1593" customFormat="1" ht="11.25" customHeight="1" outlineLevel="1">
      <c r="B89" s="1594">
        <v>35120</v>
      </c>
      <c r="C89" s="1595" t="s">
        <v>5403</v>
      </c>
      <c r="D89" s="1595" t="s">
        <v>14724</v>
      </c>
      <c r="E89" s="1595"/>
      <c r="F89" s="1595"/>
      <c r="G89" s="1595"/>
      <c r="H89" s="1596">
        <v>1</v>
      </c>
      <c r="I89" s="1595"/>
      <c r="J89" s="1595"/>
      <c r="K89" s="1597">
        <v>9202</v>
      </c>
      <c r="L89" s="1597">
        <v>9201.6</v>
      </c>
      <c r="M89" s="1597">
        <v>-9201.6</v>
      </c>
      <c r="N89" s="1598"/>
      <c r="O89" s="1598"/>
      <c r="P89" s="1597">
        <v>9201.6</v>
      </c>
      <c r="Q89" s="1597">
        <v>-9201.6</v>
      </c>
      <c r="R89" s="1598"/>
      <c r="S89" s="1592"/>
    </row>
    <row r="90" spans="2:19" s="1593" customFormat="1" ht="11.25" customHeight="1" outlineLevel="1">
      <c r="B90" s="1594">
        <v>35121</v>
      </c>
      <c r="C90" s="1595" t="s">
        <v>5403</v>
      </c>
      <c r="D90" s="1595" t="s">
        <v>14723</v>
      </c>
      <c r="E90" s="1595"/>
      <c r="F90" s="1595"/>
      <c r="G90" s="1595"/>
      <c r="H90" s="1596">
        <v>1</v>
      </c>
      <c r="I90" s="1595"/>
      <c r="J90" s="1595"/>
      <c r="K90" s="1597">
        <v>9202</v>
      </c>
      <c r="L90" s="1597">
        <v>9201.6</v>
      </c>
      <c r="M90" s="1597">
        <v>-9201.6</v>
      </c>
      <c r="N90" s="1598"/>
      <c r="O90" s="1598"/>
      <c r="P90" s="1597">
        <v>9201.6</v>
      </c>
      <c r="Q90" s="1597">
        <v>-9201.6</v>
      </c>
      <c r="R90" s="1598"/>
      <c r="S90" s="1592"/>
    </row>
    <row r="91" spans="2:19" s="1593" customFormat="1" ht="11.25" customHeight="1" outlineLevel="1">
      <c r="B91" s="1594">
        <v>35122</v>
      </c>
      <c r="C91" s="1595" t="s">
        <v>5403</v>
      </c>
      <c r="D91" s="1595" t="s">
        <v>14722</v>
      </c>
      <c r="E91" s="1595"/>
      <c r="F91" s="1595"/>
      <c r="G91" s="1595"/>
      <c r="H91" s="1596">
        <v>1</v>
      </c>
      <c r="I91" s="1595"/>
      <c r="J91" s="1595"/>
      <c r="K91" s="1597">
        <v>9202</v>
      </c>
      <c r="L91" s="1597">
        <v>9201.6</v>
      </c>
      <c r="M91" s="1597">
        <v>-9201.6</v>
      </c>
      <c r="N91" s="1598"/>
      <c r="O91" s="1598"/>
      <c r="P91" s="1597">
        <v>9201.6</v>
      </c>
      <c r="Q91" s="1597">
        <v>-9201.6</v>
      </c>
      <c r="R91" s="1598"/>
      <c r="S91" s="1592"/>
    </row>
    <row r="92" spans="2:19" s="1593" customFormat="1" ht="11.25" customHeight="1" outlineLevel="1">
      <c r="B92" s="1594">
        <v>35123</v>
      </c>
      <c r="C92" s="1595" t="s">
        <v>5403</v>
      </c>
      <c r="D92" s="1595" t="s">
        <v>14721</v>
      </c>
      <c r="E92" s="1595"/>
      <c r="F92" s="1595"/>
      <c r="G92" s="1595"/>
      <c r="H92" s="1596">
        <v>1</v>
      </c>
      <c r="I92" s="1595"/>
      <c r="J92" s="1595"/>
      <c r="K92" s="1597">
        <v>9202</v>
      </c>
      <c r="L92" s="1597">
        <v>9201.6</v>
      </c>
      <c r="M92" s="1597">
        <v>-9201.6</v>
      </c>
      <c r="N92" s="1598"/>
      <c r="O92" s="1598"/>
      <c r="P92" s="1597">
        <v>9201.6</v>
      </c>
      <c r="Q92" s="1597">
        <v>-9201.6</v>
      </c>
      <c r="R92" s="1598"/>
      <c r="S92" s="1592"/>
    </row>
    <row r="93" spans="2:19" s="1593" customFormat="1" ht="11.25" customHeight="1" outlineLevel="1">
      <c r="B93" s="1594">
        <v>35124</v>
      </c>
      <c r="C93" s="1595" t="s">
        <v>5403</v>
      </c>
      <c r="D93" s="1595" t="s">
        <v>14720</v>
      </c>
      <c r="E93" s="1595"/>
      <c r="F93" s="1595"/>
      <c r="G93" s="1595"/>
      <c r="H93" s="1596">
        <v>1</v>
      </c>
      <c r="I93" s="1595"/>
      <c r="J93" s="1595"/>
      <c r="K93" s="1597">
        <v>9202</v>
      </c>
      <c r="L93" s="1597">
        <v>9201.6</v>
      </c>
      <c r="M93" s="1597">
        <v>-9201.6</v>
      </c>
      <c r="N93" s="1598"/>
      <c r="O93" s="1598"/>
      <c r="P93" s="1597">
        <v>9201.6</v>
      </c>
      <c r="Q93" s="1597">
        <v>-9201.6</v>
      </c>
      <c r="R93" s="1598"/>
      <c r="S93" s="1592"/>
    </row>
    <row r="94" spans="2:19" s="1593" customFormat="1" ht="11.25" customHeight="1" outlineLevel="1">
      <c r="B94" s="1594">
        <v>35125</v>
      </c>
      <c r="C94" s="1595" t="s">
        <v>5403</v>
      </c>
      <c r="D94" s="1595" t="s">
        <v>14719</v>
      </c>
      <c r="E94" s="1595"/>
      <c r="F94" s="1595"/>
      <c r="G94" s="1595"/>
      <c r="H94" s="1596">
        <v>1</v>
      </c>
      <c r="I94" s="1595"/>
      <c r="J94" s="1595"/>
      <c r="K94" s="1597">
        <v>9202</v>
      </c>
      <c r="L94" s="1597">
        <v>9201.6</v>
      </c>
      <c r="M94" s="1597">
        <v>-9201.6</v>
      </c>
      <c r="N94" s="1598"/>
      <c r="O94" s="1598"/>
      <c r="P94" s="1597">
        <v>9201.6</v>
      </c>
      <c r="Q94" s="1597">
        <v>-9201.6</v>
      </c>
      <c r="R94" s="1598"/>
      <c r="S94" s="1592"/>
    </row>
    <row r="95" spans="2:19" s="1593" customFormat="1" ht="11.25" customHeight="1" outlineLevel="1">
      <c r="B95" s="1594">
        <v>35126</v>
      </c>
      <c r="C95" s="1595" t="s">
        <v>5403</v>
      </c>
      <c r="D95" s="1595" t="s">
        <v>14718</v>
      </c>
      <c r="E95" s="1595"/>
      <c r="F95" s="1595"/>
      <c r="G95" s="1595"/>
      <c r="H95" s="1596">
        <v>1</v>
      </c>
      <c r="I95" s="1595"/>
      <c r="J95" s="1595"/>
      <c r="K95" s="1597">
        <v>9202</v>
      </c>
      <c r="L95" s="1597">
        <v>9201.6</v>
      </c>
      <c r="M95" s="1597">
        <v>-9201.6</v>
      </c>
      <c r="N95" s="1598"/>
      <c r="O95" s="1598"/>
      <c r="P95" s="1597">
        <v>9201.6</v>
      </c>
      <c r="Q95" s="1597">
        <v>-9201.6</v>
      </c>
      <c r="R95" s="1598"/>
      <c r="S95" s="1592"/>
    </row>
    <row r="96" spans="2:19" s="1593" customFormat="1" ht="11.25" customHeight="1" outlineLevel="1">
      <c r="B96" s="1594">
        <v>35127</v>
      </c>
      <c r="C96" s="1595" t="s">
        <v>5403</v>
      </c>
      <c r="D96" s="1595" t="s">
        <v>14717</v>
      </c>
      <c r="E96" s="1595"/>
      <c r="F96" s="1595"/>
      <c r="G96" s="1595"/>
      <c r="H96" s="1596">
        <v>1</v>
      </c>
      <c r="I96" s="1595"/>
      <c r="J96" s="1595"/>
      <c r="K96" s="1597">
        <v>9202</v>
      </c>
      <c r="L96" s="1597">
        <v>9201.6</v>
      </c>
      <c r="M96" s="1597">
        <v>-9201.6</v>
      </c>
      <c r="N96" s="1598"/>
      <c r="O96" s="1598"/>
      <c r="P96" s="1597">
        <v>9201.6</v>
      </c>
      <c r="Q96" s="1597">
        <v>-9201.6</v>
      </c>
      <c r="R96" s="1598"/>
      <c r="S96" s="1592"/>
    </row>
    <row r="97" spans="2:19" s="1593" customFormat="1" ht="11.25" customHeight="1" outlineLevel="1">
      <c r="B97" s="1594">
        <v>35128</v>
      </c>
      <c r="C97" s="1595" t="s">
        <v>5403</v>
      </c>
      <c r="D97" s="1595" t="s">
        <v>14716</v>
      </c>
      <c r="E97" s="1595"/>
      <c r="F97" s="1595"/>
      <c r="G97" s="1595"/>
      <c r="H97" s="1596">
        <v>1</v>
      </c>
      <c r="I97" s="1595"/>
      <c r="J97" s="1595"/>
      <c r="K97" s="1597">
        <v>9202</v>
      </c>
      <c r="L97" s="1597">
        <v>9201.6</v>
      </c>
      <c r="M97" s="1597">
        <v>-9201.6</v>
      </c>
      <c r="N97" s="1598"/>
      <c r="O97" s="1598"/>
      <c r="P97" s="1597">
        <v>9201.6</v>
      </c>
      <c r="Q97" s="1597">
        <v>-9201.6</v>
      </c>
      <c r="R97" s="1598"/>
      <c r="S97" s="1592"/>
    </row>
    <row r="98" spans="2:19" s="1593" customFormat="1" ht="11.25" customHeight="1" outlineLevel="1">
      <c r="B98" s="1594">
        <v>35129</v>
      </c>
      <c r="C98" s="1595" t="s">
        <v>5403</v>
      </c>
      <c r="D98" s="1595" t="s">
        <v>14715</v>
      </c>
      <c r="E98" s="1595"/>
      <c r="F98" s="1595"/>
      <c r="G98" s="1595"/>
      <c r="H98" s="1596">
        <v>1</v>
      </c>
      <c r="I98" s="1595"/>
      <c r="J98" s="1595"/>
      <c r="K98" s="1597">
        <v>9202</v>
      </c>
      <c r="L98" s="1597">
        <v>9201.6</v>
      </c>
      <c r="M98" s="1597">
        <v>-9201.6</v>
      </c>
      <c r="N98" s="1598"/>
      <c r="O98" s="1598"/>
      <c r="P98" s="1597">
        <v>9201.6</v>
      </c>
      <c r="Q98" s="1597">
        <v>-9201.6</v>
      </c>
      <c r="R98" s="1598"/>
      <c r="S98" s="1592"/>
    </row>
    <row r="99" spans="2:19" s="1593" customFormat="1" ht="11.25" customHeight="1" outlineLevel="1">
      <c r="B99" s="1594">
        <v>35130</v>
      </c>
      <c r="C99" s="1595" t="s">
        <v>5403</v>
      </c>
      <c r="D99" s="1595" t="s">
        <v>14714</v>
      </c>
      <c r="E99" s="1595"/>
      <c r="F99" s="1595"/>
      <c r="G99" s="1595"/>
      <c r="H99" s="1596">
        <v>1</v>
      </c>
      <c r="I99" s="1595"/>
      <c r="J99" s="1595"/>
      <c r="K99" s="1597">
        <v>9202</v>
      </c>
      <c r="L99" s="1597">
        <v>9201.6</v>
      </c>
      <c r="M99" s="1597">
        <v>-9201.6</v>
      </c>
      <c r="N99" s="1598"/>
      <c r="O99" s="1598"/>
      <c r="P99" s="1597">
        <v>9201.6</v>
      </c>
      <c r="Q99" s="1597">
        <v>-9201.6</v>
      </c>
      <c r="R99" s="1598"/>
      <c r="S99" s="1592"/>
    </row>
    <row r="100" spans="2:19" s="1593" customFormat="1" ht="11.25" customHeight="1" outlineLevel="1">
      <c r="B100" s="1594">
        <v>35131</v>
      </c>
      <c r="C100" s="1595" t="s">
        <v>5403</v>
      </c>
      <c r="D100" s="1595" t="s">
        <v>14713</v>
      </c>
      <c r="E100" s="1595"/>
      <c r="F100" s="1595"/>
      <c r="G100" s="1595"/>
      <c r="H100" s="1596">
        <v>1</v>
      </c>
      <c r="I100" s="1595"/>
      <c r="J100" s="1595"/>
      <c r="K100" s="1597">
        <v>9202</v>
      </c>
      <c r="L100" s="1597">
        <v>9201.6</v>
      </c>
      <c r="M100" s="1597">
        <v>-9201.6</v>
      </c>
      <c r="N100" s="1598"/>
      <c r="O100" s="1598"/>
      <c r="P100" s="1597">
        <v>9201.6</v>
      </c>
      <c r="Q100" s="1597">
        <v>-9201.6</v>
      </c>
      <c r="R100" s="1598"/>
      <c r="S100" s="1592"/>
    </row>
    <row r="101" spans="2:19" s="1593" customFormat="1" ht="11.25" customHeight="1" outlineLevel="1">
      <c r="B101" s="1594">
        <v>35132</v>
      </c>
      <c r="C101" s="1595" t="s">
        <v>5403</v>
      </c>
      <c r="D101" s="1595" t="s">
        <v>14712</v>
      </c>
      <c r="E101" s="1595"/>
      <c r="F101" s="1595"/>
      <c r="G101" s="1595"/>
      <c r="H101" s="1596">
        <v>1</v>
      </c>
      <c r="I101" s="1595"/>
      <c r="J101" s="1595"/>
      <c r="K101" s="1597">
        <v>9202</v>
      </c>
      <c r="L101" s="1597">
        <v>9201.6</v>
      </c>
      <c r="M101" s="1597">
        <v>-9201.6</v>
      </c>
      <c r="N101" s="1598"/>
      <c r="O101" s="1598"/>
      <c r="P101" s="1597">
        <v>9201.6</v>
      </c>
      <c r="Q101" s="1597">
        <v>-9201.6</v>
      </c>
      <c r="R101" s="1598"/>
      <c r="S101" s="1592"/>
    </row>
    <row r="102" spans="2:19" s="1593" customFormat="1" ht="11.25" customHeight="1" outlineLevel="1">
      <c r="B102" s="1594">
        <v>35133</v>
      </c>
      <c r="C102" s="1595" t="s">
        <v>5403</v>
      </c>
      <c r="D102" s="1595" t="s">
        <v>14711</v>
      </c>
      <c r="E102" s="1595"/>
      <c r="F102" s="1595"/>
      <c r="G102" s="1595"/>
      <c r="H102" s="1596">
        <v>1</v>
      </c>
      <c r="I102" s="1595"/>
      <c r="J102" s="1595"/>
      <c r="K102" s="1597">
        <v>9202</v>
      </c>
      <c r="L102" s="1597">
        <v>9201.6</v>
      </c>
      <c r="M102" s="1597">
        <v>-9201.6</v>
      </c>
      <c r="N102" s="1598"/>
      <c r="O102" s="1598"/>
      <c r="P102" s="1597">
        <v>9201.6</v>
      </c>
      <c r="Q102" s="1597">
        <v>-9201.6</v>
      </c>
      <c r="R102" s="1598"/>
      <c r="S102" s="1592"/>
    </row>
    <row r="103" spans="2:19" s="1593" customFormat="1" ht="11.25" customHeight="1" outlineLevel="1">
      <c r="B103" s="1594">
        <v>35134</v>
      </c>
      <c r="C103" s="1595" t="s">
        <v>5403</v>
      </c>
      <c r="D103" s="1595" t="s">
        <v>14710</v>
      </c>
      <c r="E103" s="1595"/>
      <c r="F103" s="1595"/>
      <c r="G103" s="1595"/>
      <c r="H103" s="1596">
        <v>2</v>
      </c>
      <c r="I103" s="1595"/>
      <c r="J103" s="1595"/>
      <c r="K103" s="1597">
        <v>2831</v>
      </c>
      <c r="L103" s="1597">
        <v>2830.6</v>
      </c>
      <c r="M103" s="1597">
        <v>-2830.6</v>
      </c>
      <c r="N103" s="1598"/>
      <c r="O103" s="1598"/>
      <c r="P103" s="1597">
        <v>2830.6</v>
      </c>
      <c r="Q103" s="1597">
        <v>-2830.6</v>
      </c>
      <c r="R103" s="1598"/>
      <c r="S103" s="1592"/>
    </row>
    <row r="104" spans="2:19" s="1593" customFormat="1" ht="11.25" customHeight="1" outlineLevel="1">
      <c r="B104" s="1594">
        <v>35141</v>
      </c>
      <c r="C104" s="1595" t="s">
        <v>5403</v>
      </c>
      <c r="D104" s="1595" t="s">
        <v>14709</v>
      </c>
      <c r="E104" s="1595"/>
      <c r="F104" s="1595"/>
      <c r="G104" s="1595"/>
      <c r="H104" s="1596">
        <v>1</v>
      </c>
      <c r="I104" s="1595"/>
      <c r="J104" s="1595"/>
      <c r="K104" s="1597">
        <v>6083</v>
      </c>
      <c r="L104" s="1597">
        <v>6082.5</v>
      </c>
      <c r="M104" s="1597">
        <v>-6082.5</v>
      </c>
      <c r="N104" s="1598"/>
      <c r="O104" s="1598"/>
      <c r="P104" s="1597">
        <v>6082.5</v>
      </c>
      <c r="Q104" s="1597">
        <v>-6082.5</v>
      </c>
      <c r="R104" s="1598"/>
      <c r="S104" s="1592"/>
    </row>
    <row r="105" spans="2:19" s="1593" customFormat="1" ht="11.25" customHeight="1" outlineLevel="1">
      <c r="B105" s="1594">
        <v>35473</v>
      </c>
      <c r="C105" s="1595" t="s">
        <v>5403</v>
      </c>
      <c r="D105" s="1595" t="s">
        <v>14708</v>
      </c>
      <c r="E105" s="1595"/>
      <c r="F105" s="1595"/>
      <c r="G105" s="1595" t="s">
        <v>14706</v>
      </c>
      <c r="H105" s="1596">
        <v>1</v>
      </c>
      <c r="I105" s="1595"/>
      <c r="J105" s="1595"/>
      <c r="K105" s="1597">
        <v>233577</v>
      </c>
      <c r="L105" s="1597">
        <v>233577.33</v>
      </c>
      <c r="M105" s="1598"/>
      <c r="N105" s="1597">
        <v>233577.33</v>
      </c>
      <c r="O105" s="1597">
        <v>1301.99</v>
      </c>
      <c r="P105" s="1597">
        <v>225636.29</v>
      </c>
      <c r="Q105" s="1597">
        <v>6639.05</v>
      </c>
      <c r="R105" s="1597">
        <v>232275.34</v>
      </c>
      <c r="S105" s="1592"/>
    </row>
    <row r="106" spans="2:19" s="1593" customFormat="1" ht="11.25" customHeight="1" outlineLevel="1">
      <c r="B106" s="1594">
        <v>35474</v>
      </c>
      <c r="C106" s="1595" t="s">
        <v>5403</v>
      </c>
      <c r="D106" s="1595" t="s">
        <v>14707</v>
      </c>
      <c r="E106" s="1595"/>
      <c r="F106" s="1595"/>
      <c r="G106" s="1595" t="s">
        <v>14706</v>
      </c>
      <c r="H106" s="1596">
        <v>1</v>
      </c>
      <c r="I106" s="1595"/>
      <c r="J106" s="1595"/>
      <c r="K106" s="1597">
        <v>233577</v>
      </c>
      <c r="L106" s="1597">
        <v>233577.33</v>
      </c>
      <c r="M106" s="1598"/>
      <c r="N106" s="1597">
        <v>233577.33</v>
      </c>
      <c r="O106" s="1597">
        <v>1301.99</v>
      </c>
      <c r="P106" s="1597">
        <v>225636.29</v>
      </c>
      <c r="Q106" s="1597">
        <v>6639.05</v>
      </c>
      <c r="R106" s="1597">
        <v>232275.34</v>
      </c>
      <c r="S106" s="1592"/>
    </row>
    <row r="107" spans="2:19" s="1593" customFormat="1" ht="11.25" customHeight="1" outlineLevel="1">
      <c r="B107" s="1594">
        <v>36629</v>
      </c>
      <c r="C107" s="1595" t="s">
        <v>5403</v>
      </c>
      <c r="D107" s="1595" t="s">
        <v>14705</v>
      </c>
      <c r="E107" s="1595"/>
      <c r="F107" s="1595"/>
      <c r="G107" s="1595"/>
      <c r="H107" s="1596">
        <v>1</v>
      </c>
      <c r="I107" s="1595"/>
      <c r="J107" s="1595"/>
      <c r="K107" s="1597">
        <v>5893</v>
      </c>
      <c r="L107" s="1597">
        <v>5892.67</v>
      </c>
      <c r="M107" s="1597">
        <v>-5892.67</v>
      </c>
      <c r="N107" s="1598"/>
      <c r="O107" s="1598"/>
      <c r="P107" s="1597">
        <v>5892.67</v>
      </c>
      <c r="Q107" s="1597">
        <v>-5892.67</v>
      </c>
      <c r="R107" s="1598"/>
      <c r="S107" s="1592"/>
    </row>
    <row r="108" spans="2:19" s="1593" customFormat="1" ht="11.25" customHeight="1" outlineLevel="1">
      <c r="B108" s="1594">
        <v>36630</v>
      </c>
      <c r="C108" s="1595" t="s">
        <v>5403</v>
      </c>
      <c r="D108" s="1595" t="s">
        <v>14704</v>
      </c>
      <c r="E108" s="1595"/>
      <c r="F108" s="1595"/>
      <c r="G108" s="1595"/>
      <c r="H108" s="1596">
        <v>1</v>
      </c>
      <c r="I108" s="1595"/>
      <c r="J108" s="1595"/>
      <c r="K108" s="1597">
        <v>5893</v>
      </c>
      <c r="L108" s="1597">
        <v>5892.67</v>
      </c>
      <c r="M108" s="1597">
        <v>-5892.67</v>
      </c>
      <c r="N108" s="1598"/>
      <c r="O108" s="1598"/>
      <c r="P108" s="1597">
        <v>5892.67</v>
      </c>
      <c r="Q108" s="1597">
        <v>-5892.67</v>
      </c>
      <c r="R108" s="1598"/>
      <c r="S108" s="1592"/>
    </row>
    <row r="109" spans="2:19" s="1593" customFormat="1" ht="11.25" customHeight="1" outlineLevel="1">
      <c r="B109" s="1594">
        <v>37323</v>
      </c>
      <c r="C109" s="1595" t="s">
        <v>5403</v>
      </c>
      <c r="D109" s="1595" t="s">
        <v>14703</v>
      </c>
      <c r="E109" s="1595"/>
      <c r="F109" s="1595"/>
      <c r="G109" s="1595"/>
      <c r="H109" s="1596">
        <v>1</v>
      </c>
      <c r="I109" s="1595"/>
      <c r="J109" s="1595"/>
      <c r="K109" s="1597">
        <v>1397</v>
      </c>
      <c r="L109" s="1597">
        <v>1396.5</v>
      </c>
      <c r="M109" s="1597">
        <v>-1396.5</v>
      </c>
      <c r="N109" s="1598"/>
      <c r="O109" s="1598"/>
      <c r="P109" s="1597">
        <v>1396.5</v>
      </c>
      <c r="Q109" s="1597">
        <v>-1396.5</v>
      </c>
      <c r="R109" s="1598"/>
      <c r="S109" s="1592"/>
    </row>
    <row r="110" spans="2:19" s="1593" customFormat="1" ht="11.25" customHeight="1" outlineLevel="1">
      <c r="B110" s="1594">
        <v>11276</v>
      </c>
      <c r="C110" s="1595" t="s">
        <v>5395</v>
      </c>
      <c r="D110" s="1595" t="s">
        <v>14702</v>
      </c>
      <c r="E110" s="1595"/>
      <c r="F110" s="1595"/>
      <c r="G110" s="1595"/>
      <c r="H110" s="1596">
        <v>1</v>
      </c>
      <c r="I110" s="1595"/>
      <c r="J110" s="1595"/>
      <c r="K110" s="1597">
        <v>4431</v>
      </c>
      <c r="L110" s="1597">
        <v>4431</v>
      </c>
      <c r="M110" s="1597">
        <v>-4431</v>
      </c>
      <c r="N110" s="1598"/>
      <c r="O110" s="1598"/>
      <c r="P110" s="1597">
        <v>4431</v>
      </c>
      <c r="Q110" s="1597">
        <v>-4431</v>
      </c>
      <c r="R110" s="1598"/>
      <c r="S110" s="1592"/>
    </row>
    <row r="111" spans="2:19" s="1593" customFormat="1" ht="11.25" customHeight="1" outlineLevel="1">
      <c r="B111" s="1594">
        <v>22562</v>
      </c>
      <c r="C111" s="1595" t="s">
        <v>5381</v>
      </c>
      <c r="D111" s="1595" t="s">
        <v>14701</v>
      </c>
      <c r="E111" s="1595"/>
      <c r="F111" s="1595"/>
      <c r="G111" s="1595"/>
      <c r="H111" s="1596">
        <v>1</v>
      </c>
      <c r="I111" s="1595"/>
      <c r="J111" s="1595"/>
      <c r="K111" s="1597">
        <v>19169</v>
      </c>
      <c r="L111" s="1597">
        <v>19169</v>
      </c>
      <c r="M111" s="1597">
        <v>-19169</v>
      </c>
      <c r="N111" s="1598"/>
      <c r="O111" s="1598"/>
      <c r="P111" s="1597">
        <v>19169</v>
      </c>
      <c r="Q111" s="1597">
        <v>-19169</v>
      </c>
      <c r="R111" s="1598"/>
      <c r="S111" s="1592"/>
    </row>
    <row r="112" spans="2:19" s="1593" customFormat="1" ht="11.25" customHeight="1" outlineLevel="1">
      <c r="B112" s="1594">
        <v>22888</v>
      </c>
      <c r="C112" s="1595" t="s">
        <v>14700</v>
      </c>
      <c r="D112" s="1595" t="s">
        <v>14699</v>
      </c>
      <c r="E112" s="1595"/>
      <c r="F112" s="1595"/>
      <c r="G112" s="1595"/>
      <c r="H112" s="1596">
        <v>1</v>
      </c>
      <c r="I112" s="1595"/>
      <c r="J112" s="1595"/>
      <c r="K112" s="1597">
        <v>2798</v>
      </c>
      <c r="L112" s="1597">
        <v>2798</v>
      </c>
      <c r="M112" s="1597">
        <v>-2798</v>
      </c>
      <c r="N112" s="1598"/>
      <c r="O112" s="1598"/>
      <c r="P112" s="1597">
        <v>2798</v>
      </c>
      <c r="Q112" s="1597">
        <v>-2798</v>
      </c>
      <c r="R112" s="1598"/>
      <c r="S112" s="1592"/>
    </row>
    <row r="113" spans="2:19" s="1593" customFormat="1" ht="11.25" customHeight="1" outlineLevel="1">
      <c r="B113" s="1594">
        <v>37440</v>
      </c>
      <c r="C113" s="1595" t="s">
        <v>5351</v>
      </c>
      <c r="D113" s="1595" t="s">
        <v>14698</v>
      </c>
      <c r="E113" s="1595"/>
      <c r="F113" s="1595"/>
      <c r="G113" s="1595"/>
      <c r="H113" s="1596">
        <v>1</v>
      </c>
      <c r="I113" s="1595"/>
      <c r="J113" s="1595"/>
      <c r="K113" s="1597">
        <v>1800</v>
      </c>
      <c r="L113" s="1597">
        <v>5400</v>
      </c>
      <c r="M113" s="1597">
        <v>-5400</v>
      </c>
      <c r="N113" s="1598"/>
      <c r="O113" s="1598"/>
      <c r="P113" s="1597">
        <v>5400</v>
      </c>
      <c r="Q113" s="1597">
        <v>-5400</v>
      </c>
      <c r="R113" s="1598"/>
      <c r="S113" s="1592"/>
    </row>
    <row r="114" spans="2:19" s="1593" customFormat="1" ht="11.25" customHeight="1" outlineLevel="1">
      <c r="B114" s="1594">
        <v>26097</v>
      </c>
      <c r="C114" s="1595" t="s">
        <v>4584</v>
      </c>
      <c r="D114" s="1595" t="s">
        <v>14697</v>
      </c>
      <c r="E114" s="1595"/>
      <c r="F114" s="1595"/>
      <c r="G114" s="1595"/>
      <c r="H114" s="1596">
        <v>1</v>
      </c>
      <c r="I114" s="1595"/>
      <c r="J114" s="1595"/>
      <c r="K114" s="1597">
        <v>9105</v>
      </c>
      <c r="L114" s="1597">
        <v>9105</v>
      </c>
      <c r="M114" s="1597">
        <v>-9105</v>
      </c>
      <c r="N114" s="1598"/>
      <c r="O114" s="1598"/>
      <c r="P114" s="1597">
        <v>9105</v>
      </c>
      <c r="Q114" s="1597">
        <v>-9105</v>
      </c>
      <c r="R114" s="1598"/>
      <c r="S114" s="1592"/>
    </row>
    <row r="115" spans="2:19" s="1593" customFormat="1" ht="11.25" customHeight="1" outlineLevel="1">
      <c r="B115" s="1594">
        <v>23121</v>
      </c>
      <c r="C115" s="1595" t="s">
        <v>4447</v>
      </c>
      <c r="D115" s="1595" t="s">
        <v>14696</v>
      </c>
      <c r="E115" s="1595"/>
      <c r="F115" s="1595"/>
      <c r="G115" s="1595"/>
      <c r="H115" s="1596">
        <v>1</v>
      </c>
      <c r="I115" s="1595"/>
      <c r="J115" s="1595"/>
      <c r="K115" s="1599">
        <v>628</v>
      </c>
      <c r="L115" s="1599">
        <v>628</v>
      </c>
      <c r="M115" s="1599">
        <v>-628</v>
      </c>
      <c r="N115" s="1598"/>
      <c r="O115" s="1598"/>
      <c r="P115" s="1599">
        <v>628</v>
      </c>
      <c r="Q115" s="1599">
        <v>-628</v>
      </c>
      <c r="R115" s="1598"/>
      <c r="S115" s="1592"/>
    </row>
    <row r="116" spans="2:19" s="1593" customFormat="1" ht="11.25" customHeight="1" outlineLevel="1">
      <c r="B116" s="1594">
        <v>26980</v>
      </c>
      <c r="C116" s="1595" t="s">
        <v>4246</v>
      </c>
      <c r="D116" s="1595" t="s">
        <v>14695</v>
      </c>
      <c r="E116" s="1595"/>
      <c r="F116" s="1595"/>
      <c r="G116" s="1595"/>
      <c r="H116" s="1596">
        <v>1</v>
      </c>
      <c r="I116" s="1595"/>
      <c r="J116" s="1595"/>
      <c r="K116" s="1597">
        <v>12678</v>
      </c>
      <c r="L116" s="1597">
        <v>12678</v>
      </c>
      <c r="M116" s="1597">
        <v>-12678</v>
      </c>
      <c r="N116" s="1598"/>
      <c r="O116" s="1598"/>
      <c r="P116" s="1597">
        <v>12678</v>
      </c>
      <c r="Q116" s="1597">
        <v>-12678</v>
      </c>
      <c r="R116" s="1598"/>
      <c r="S116" s="1592"/>
    </row>
    <row r="117" spans="2:19" s="1593" customFormat="1" ht="11.25" customHeight="1" outlineLevel="1">
      <c r="B117" s="1594">
        <v>27021</v>
      </c>
      <c r="C117" s="1595" t="s">
        <v>4241</v>
      </c>
      <c r="D117" s="1595" t="s">
        <v>14694</v>
      </c>
      <c r="E117" s="1595"/>
      <c r="F117" s="1595"/>
      <c r="G117" s="1595"/>
      <c r="H117" s="1596">
        <v>1</v>
      </c>
      <c r="I117" s="1595"/>
      <c r="J117" s="1595"/>
      <c r="K117" s="1599">
        <v>970</v>
      </c>
      <c r="L117" s="1599">
        <v>970</v>
      </c>
      <c r="M117" s="1599">
        <v>-970</v>
      </c>
      <c r="N117" s="1598"/>
      <c r="O117" s="1598"/>
      <c r="P117" s="1599">
        <v>970</v>
      </c>
      <c r="Q117" s="1599">
        <v>-970</v>
      </c>
      <c r="R117" s="1598"/>
      <c r="S117" s="1592"/>
    </row>
    <row r="118" spans="2:19" s="1593" customFormat="1" ht="11.25" customHeight="1" outlineLevel="1">
      <c r="B118" s="1594">
        <v>28049</v>
      </c>
      <c r="C118" s="1595" t="s">
        <v>4070</v>
      </c>
      <c r="D118" s="1595" t="s">
        <v>14693</v>
      </c>
      <c r="E118" s="1595"/>
      <c r="F118" s="1595"/>
      <c r="G118" s="1595"/>
      <c r="H118" s="1596">
        <v>1</v>
      </c>
      <c r="I118" s="1595"/>
      <c r="J118" s="1595"/>
      <c r="K118" s="1597">
        <v>2418</v>
      </c>
      <c r="L118" s="1597">
        <v>2418</v>
      </c>
      <c r="M118" s="1597">
        <v>-2418</v>
      </c>
      <c r="N118" s="1598"/>
      <c r="O118" s="1598"/>
      <c r="P118" s="1597">
        <v>2418</v>
      </c>
      <c r="Q118" s="1597">
        <v>-2418</v>
      </c>
      <c r="R118" s="1598"/>
      <c r="S118" s="1592"/>
    </row>
    <row r="119" spans="2:19" s="1593" customFormat="1" ht="11.25" customHeight="1" outlineLevel="1">
      <c r="B119" s="1594">
        <v>34553</v>
      </c>
      <c r="C119" s="1595" t="s">
        <v>4070</v>
      </c>
      <c r="D119" s="1595" t="s">
        <v>14692</v>
      </c>
      <c r="E119" s="1595"/>
      <c r="F119" s="1595"/>
      <c r="G119" s="1595"/>
      <c r="H119" s="1596">
        <v>1</v>
      </c>
      <c r="I119" s="1595"/>
      <c r="J119" s="1595"/>
      <c r="K119" s="1597">
        <v>2418</v>
      </c>
      <c r="L119" s="1597">
        <v>2418</v>
      </c>
      <c r="M119" s="1597">
        <v>-2418</v>
      </c>
      <c r="N119" s="1598"/>
      <c r="O119" s="1598"/>
      <c r="P119" s="1597">
        <v>2418</v>
      </c>
      <c r="Q119" s="1597">
        <v>-2418</v>
      </c>
      <c r="R119" s="1598"/>
      <c r="S119" s="1592"/>
    </row>
    <row r="120" spans="2:19" s="1593" customFormat="1" ht="11.25" customHeight="1" outlineLevel="1">
      <c r="B120" s="1594">
        <v>34979</v>
      </c>
      <c r="C120" s="1595" t="s">
        <v>4070</v>
      </c>
      <c r="D120" s="1595" t="s">
        <v>14691</v>
      </c>
      <c r="E120" s="1595"/>
      <c r="F120" s="1595"/>
      <c r="G120" s="1595"/>
      <c r="H120" s="1596">
        <v>1</v>
      </c>
      <c r="I120" s="1595"/>
      <c r="J120" s="1595"/>
      <c r="K120" s="1597">
        <v>15500</v>
      </c>
      <c r="L120" s="1597">
        <v>15500</v>
      </c>
      <c r="M120" s="1597">
        <v>-15500</v>
      </c>
      <c r="N120" s="1598"/>
      <c r="O120" s="1598"/>
      <c r="P120" s="1597">
        <v>15500</v>
      </c>
      <c r="Q120" s="1597">
        <v>-15500</v>
      </c>
      <c r="R120" s="1598"/>
      <c r="S120" s="1592"/>
    </row>
    <row r="121" spans="2:19" s="1593" customFormat="1" ht="11.25" customHeight="1" outlineLevel="1">
      <c r="B121" s="1594">
        <v>27876</v>
      </c>
      <c r="C121" s="1595" t="s">
        <v>4063</v>
      </c>
      <c r="D121" s="1595" t="s">
        <v>14690</v>
      </c>
      <c r="E121" s="1595"/>
      <c r="F121" s="1595"/>
      <c r="G121" s="1595" t="s">
        <v>3596</v>
      </c>
      <c r="H121" s="1596">
        <v>1</v>
      </c>
      <c r="I121" s="1595"/>
      <c r="J121" s="1595"/>
      <c r="K121" s="1597">
        <v>280000</v>
      </c>
      <c r="L121" s="1597">
        <v>280000</v>
      </c>
      <c r="M121" s="1598"/>
      <c r="N121" s="1597">
        <v>280000</v>
      </c>
      <c r="O121" s="1597">
        <v>12130.02</v>
      </c>
      <c r="P121" s="1597">
        <v>255739.99</v>
      </c>
      <c r="Q121" s="1597">
        <v>12129.99</v>
      </c>
      <c r="R121" s="1597">
        <v>267869.98</v>
      </c>
      <c r="S121" s="1592"/>
    </row>
    <row r="122" spans="2:19" s="1593" customFormat="1" ht="11.25" customHeight="1" outlineLevel="1">
      <c r="B122" s="1594">
        <v>28247</v>
      </c>
      <c r="C122" s="1595" t="s">
        <v>13242</v>
      </c>
      <c r="D122" s="1595" t="s">
        <v>14689</v>
      </c>
      <c r="E122" s="1595"/>
      <c r="F122" s="1595"/>
      <c r="G122" s="1595"/>
      <c r="H122" s="1596">
        <v>1</v>
      </c>
      <c r="I122" s="1595"/>
      <c r="J122" s="1595"/>
      <c r="K122" s="1597">
        <v>200000</v>
      </c>
      <c r="L122" s="1597">
        <v>200000</v>
      </c>
      <c r="M122" s="1598"/>
      <c r="N122" s="1597">
        <v>200000</v>
      </c>
      <c r="O122" s="1597">
        <v>8955.06</v>
      </c>
      <c r="P122" s="1597">
        <v>182089.88</v>
      </c>
      <c r="Q122" s="1597">
        <v>8955.06</v>
      </c>
      <c r="R122" s="1597">
        <v>191044.94</v>
      </c>
      <c r="S122" s="1592"/>
    </row>
    <row r="123" spans="2:19" s="1593" customFormat="1" ht="11.25" customHeight="1" outlineLevel="1">
      <c r="B123" s="1594">
        <v>29135</v>
      </c>
      <c r="C123" s="1595" t="s">
        <v>3765</v>
      </c>
      <c r="D123" s="1595" t="s">
        <v>14688</v>
      </c>
      <c r="E123" s="1595"/>
      <c r="F123" s="1595"/>
      <c r="G123" s="1595"/>
      <c r="H123" s="1596">
        <v>1</v>
      </c>
      <c r="I123" s="1595"/>
      <c r="J123" s="1595"/>
      <c r="K123" s="1597">
        <v>16445</v>
      </c>
      <c r="L123" s="1597">
        <v>16445</v>
      </c>
      <c r="M123" s="1597">
        <v>-16445</v>
      </c>
      <c r="N123" s="1598"/>
      <c r="O123" s="1598"/>
      <c r="P123" s="1597">
        <v>16445</v>
      </c>
      <c r="Q123" s="1597">
        <v>-16445</v>
      </c>
      <c r="R123" s="1598"/>
      <c r="S123" s="1592"/>
    </row>
    <row r="124" spans="2:19" s="1593" customFormat="1" ht="11.25" customHeight="1" outlineLevel="1">
      <c r="B124" s="1594">
        <v>29353</v>
      </c>
      <c r="C124" s="1595" t="s">
        <v>14687</v>
      </c>
      <c r="D124" s="1595" t="s">
        <v>14686</v>
      </c>
      <c r="E124" s="1595"/>
      <c r="F124" s="1595"/>
      <c r="G124" s="1595"/>
      <c r="H124" s="1596">
        <v>1</v>
      </c>
      <c r="I124" s="1595"/>
      <c r="J124" s="1595"/>
      <c r="K124" s="1597">
        <v>21370</v>
      </c>
      <c r="L124" s="1597">
        <v>21370</v>
      </c>
      <c r="M124" s="1597">
        <v>-21370</v>
      </c>
      <c r="N124" s="1598"/>
      <c r="O124" s="1598"/>
      <c r="P124" s="1597">
        <v>21370</v>
      </c>
      <c r="Q124" s="1597">
        <v>-21370</v>
      </c>
      <c r="R124" s="1598"/>
      <c r="S124" s="1592"/>
    </row>
    <row r="125" spans="2:19" s="1593" customFormat="1" ht="11.25" customHeight="1" outlineLevel="1">
      <c r="B125" s="1594">
        <v>29638</v>
      </c>
      <c r="C125" s="1595" t="s">
        <v>8224</v>
      </c>
      <c r="D125" s="1595" t="s">
        <v>14685</v>
      </c>
      <c r="E125" s="1595"/>
      <c r="F125" s="1595"/>
      <c r="G125" s="1595" t="s">
        <v>14684</v>
      </c>
      <c r="H125" s="1596">
        <v>1</v>
      </c>
      <c r="I125" s="1595"/>
      <c r="J125" s="1595"/>
      <c r="K125" s="1597">
        <v>467500</v>
      </c>
      <c r="L125" s="1597">
        <v>467500</v>
      </c>
      <c r="M125" s="1598"/>
      <c r="N125" s="1597">
        <v>467500</v>
      </c>
      <c r="O125" s="1597">
        <v>33260.31</v>
      </c>
      <c r="P125" s="1597">
        <v>412066.09</v>
      </c>
      <c r="Q125" s="1597">
        <v>22173.599999999999</v>
      </c>
      <c r="R125" s="1597">
        <v>434239.69</v>
      </c>
      <c r="S125" s="1592"/>
    </row>
    <row r="126" spans="2:19" s="1593" customFormat="1" ht="11.25" customHeight="1" outlineLevel="1">
      <c r="B126" s="1594">
        <v>29639</v>
      </c>
      <c r="C126" s="1595" t="s">
        <v>8224</v>
      </c>
      <c r="D126" s="1595" t="s">
        <v>14683</v>
      </c>
      <c r="E126" s="1595"/>
      <c r="F126" s="1595"/>
      <c r="G126" s="1595"/>
      <c r="H126" s="1596">
        <v>1</v>
      </c>
      <c r="I126" s="1595"/>
      <c r="J126" s="1595"/>
      <c r="K126" s="1597">
        <v>12500</v>
      </c>
      <c r="L126" s="1597">
        <v>12500</v>
      </c>
      <c r="M126" s="1597">
        <v>-12500</v>
      </c>
      <c r="N126" s="1598"/>
      <c r="O126" s="1598"/>
      <c r="P126" s="1597">
        <v>12500</v>
      </c>
      <c r="Q126" s="1597">
        <v>-12500</v>
      </c>
      <c r="R126" s="1598"/>
      <c r="S126" s="1592"/>
    </row>
    <row r="127" spans="2:19" s="1593" customFormat="1" ht="11.25" customHeight="1" outlineLevel="1">
      <c r="B127" s="1594">
        <v>29760</v>
      </c>
      <c r="C127" s="1595" t="s">
        <v>8224</v>
      </c>
      <c r="D127" s="1595" t="s">
        <v>14682</v>
      </c>
      <c r="E127" s="1595"/>
      <c r="F127" s="1595"/>
      <c r="G127" s="1595"/>
      <c r="H127" s="1596">
        <v>1</v>
      </c>
      <c r="I127" s="1595"/>
      <c r="J127" s="1595"/>
      <c r="K127" s="1597">
        <v>57600</v>
      </c>
      <c r="L127" s="1597">
        <v>57600</v>
      </c>
      <c r="M127" s="1597">
        <v>-57600</v>
      </c>
      <c r="N127" s="1598"/>
      <c r="O127" s="1598"/>
      <c r="P127" s="1597">
        <v>57600</v>
      </c>
      <c r="Q127" s="1597">
        <v>-57600</v>
      </c>
      <c r="R127" s="1598"/>
      <c r="S127" s="1592"/>
    </row>
    <row r="128" spans="2:19" s="1593" customFormat="1" ht="11.25" customHeight="1" outlineLevel="1">
      <c r="B128" s="1594">
        <v>29767</v>
      </c>
      <c r="C128" s="1595" t="s">
        <v>8224</v>
      </c>
      <c r="D128" s="1595" t="s">
        <v>14681</v>
      </c>
      <c r="E128" s="1595"/>
      <c r="F128" s="1595"/>
      <c r="G128" s="1595"/>
      <c r="H128" s="1596">
        <v>1</v>
      </c>
      <c r="I128" s="1595"/>
      <c r="J128" s="1595"/>
      <c r="K128" s="1597">
        <v>2418</v>
      </c>
      <c r="L128" s="1597">
        <v>2418</v>
      </c>
      <c r="M128" s="1597">
        <v>-2418</v>
      </c>
      <c r="N128" s="1598"/>
      <c r="O128" s="1598"/>
      <c r="P128" s="1597">
        <v>2418</v>
      </c>
      <c r="Q128" s="1597">
        <v>-2418</v>
      </c>
      <c r="R128" s="1598"/>
      <c r="S128" s="1592"/>
    </row>
    <row r="129" spans="2:19" s="1593" customFormat="1" ht="11.25" customHeight="1" outlineLevel="1">
      <c r="B129" s="1594">
        <v>34554</v>
      </c>
      <c r="C129" s="1595" t="s">
        <v>8224</v>
      </c>
      <c r="D129" s="1595" t="s">
        <v>14680</v>
      </c>
      <c r="E129" s="1595"/>
      <c r="F129" s="1595"/>
      <c r="G129" s="1595"/>
      <c r="H129" s="1596">
        <v>1</v>
      </c>
      <c r="I129" s="1595"/>
      <c r="J129" s="1595"/>
      <c r="K129" s="1597">
        <v>2418</v>
      </c>
      <c r="L129" s="1597">
        <v>2418</v>
      </c>
      <c r="M129" s="1597">
        <v>-2418</v>
      </c>
      <c r="N129" s="1598"/>
      <c r="O129" s="1598"/>
      <c r="P129" s="1597">
        <v>2418</v>
      </c>
      <c r="Q129" s="1597">
        <v>-2418</v>
      </c>
      <c r="R129" s="1598"/>
      <c r="S129" s="1592"/>
    </row>
    <row r="130" spans="2:19" s="1593" customFormat="1" ht="11.25" customHeight="1" outlineLevel="1">
      <c r="B130" s="1594">
        <v>29773</v>
      </c>
      <c r="C130" s="1595" t="s">
        <v>8215</v>
      </c>
      <c r="D130" s="1595" t="s">
        <v>14679</v>
      </c>
      <c r="E130" s="1595"/>
      <c r="F130" s="1595"/>
      <c r="G130" s="1595"/>
      <c r="H130" s="1596">
        <v>1</v>
      </c>
      <c r="I130" s="1595"/>
      <c r="J130" s="1595"/>
      <c r="K130" s="1597">
        <v>23437</v>
      </c>
      <c r="L130" s="1597">
        <v>23437</v>
      </c>
      <c r="M130" s="1597">
        <v>-23437</v>
      </c>
      <c r="N130" s="1598"/>
      <c r="O130" s="1598"/>
      <c r="P130" s="1597">
        <v>23437</v>
      </c>
      <c r="Q130" s="1597">
        <v>-23437</v>
      </c>
      <c r="R130" s="1598"/>
      <c r="S130" s="1592"/>
    </row>
    <row r="131" spans="2:19" s="1593" customFormat="1" ht="11.25" customHeight="1" outlineLevel="1">
      <c r="B131" s="1594">
        <v>29837</v>
      </c>
      <c r="C131" s="1595" t="s">
        <v>8215</v>
      </c>
      <c r="D131" s="1595" t="s">
        <v>14678</v>
      </c>
      <c r="E131" s="1595"/>
      <c r="F131" s="1595"/>
      <c r="G131" s="1595"/>
      <c r="H131" s="1596">
        <v>1</v>
      </c>
      <c r="I131" s="1595"/>
      <c r="J131" s="1595"/>
      <c r="K131" s="1597">
        <v>12072</v>
      </c>
      <c r="L131" s="1597">
        <v>12072</v>
      </c>
      <c r="M131" s="1597">
        <v>-12072</v>
      </c>
      <c r="N131" s="1598"/>
      <c r="O131" s="1598"/>
      <c r="P131" s="1597">
        <v>12072</v>
      </c>
      <c r="Q131" s="1597">
        <v>-12072</v>
      </c>
      <c r="R131" s="1598"/>
      <c r="S131" s="1592"/>
    </row>
    <row r="132" spans="2:19" s="1593" customFormat="1" ht="11.25" customHeight="1" outlineLevel="1">
      <c r="B132" s="1594">
        <v>29839</v>
      </c>
      <c r="C132" s="1595" t="s">
        <v>8215</v>
      </c>
      <c r="D132" s="1595" t="s">
        <v>14677</v>
      </c>
      <c r="E132" s="1595"/>
      <c r="F132" s="1595"/>
      <c r="G132" s="1595"/>
      <c r="H132" s="1596">
        <v>1</v>
      </c>
      <c r="I132" s="1595"/>
      <c r="J132" s="1595"/>
      <c r="K132" s="1597">
        <v>2856</v>
      </c>
      <c r="L132" s="1597">
        <v>2856</v>
      </c>
      <c r="M132" s="1597">
        <v>-2856</v>
      </c>
      <c r="N132" s="1598"/>
      <c r="O132" s="1598"/>
      <c r="P132" s="1597">
        <v>2856</v>
      </c>
      <c r="Q132" s="1597">
        <v>-2856</v>
      </c>
      <c r="R132" s="1598"/>
      <c r="S132" s="1592"/>
    </row>
    <row r="133" spans="2:19" s="1593" customFormat="1" ht="11.25" customHeight="1" outlineLevel="1">
      <c r="B133" s="1594">
        <v>30287</v>
      </c>
      <c r="C133" s="1595" t="s">
        <v>8215</v>
      </c>
      <c r="D133" s="1595" t="s">
        <v>14676</v>
      </c>
      <c r="E133" s="1595"/>
      <c r="F133" s="1595"/>
      <c r="G133" s="1595"/>
      <c r="H133" s="1596">
        <v>1</v>
      </c>
      <c r="I133" s="1595"/>
      <c r="J133" s="1595"/>
      <c r="K133" s="1597">
        <v>2424</v>
      </c>
      <c r="L133" s="1597">
        <v>2424</v>
      </c>
      <c r="M133" s="1597">
        <v>-2424</v>
      </c>
      <c r="N133" s="1598"/>
      <c r="O133" s="1598"/>
      <c r="P133" s="1597">
        <v>2424</v>
      </c>
      <c r="Q133" s="1597">
        <v>-2424</v>
      </c>
      <c r="R133" s="1598"/>
      <c r="S133" s="1592"/>
    </row>
    <row r="134" spans="2:19" s="1593" customFormat="1" ht="11.25" customHeight="1" outlineLevel="1">
      <c r="B134" s="1594">
        <v>30291</v>
      </c>
      <c r="C134" s="1595" t="s">
        <v>8215</v>
      </c>
      <c r="D134" s="1595" t="s">
        <v>14675</v>
      </c>
      <c r="E134" s="1595"/>
      <c r="F134" s="1595"/>
      <c r="G134" s="1595"/>
      <c r="H134" s="1596">
        <v>1</v>
      </c>
      <c r="I134" s="1595"/>
      <c r="J134" s="1595"/>
      <c r="K134" s="1597">
        <v>1083.3399999999999</v>
      </c>
      <c r="L134" s="1597">
        <v>1083.3399999999999</v>
      </c>
      <c r="M134" s="1597">
        <v>-1083.3399999999999</v>
      </c>
      <c r="N134" s="1598"/>
      <c r="O134" s="1598"/>
      <c r="P134" s="1597">
        <v>1083.3399999999999</v>
      </c>
      <c r="Q134" s="1597">
        <v>-1083.3399999999999</v>
      </c>
      <c r="R134" s="1598"/>
      <c r="S134" s="1592"/>
    </row>
    <row r="135" spans="2:19" s="1593" customFormat="1" ht="11.25" customHeight="1" outlineLevel="1">
      <c r="B135" s="1594">
        <v>30294</v>
      </c>
      <c r="C135" s="1595" t="s">
        <v>8215</v>
      </c>
      <c r="D135" s="1595" t="s">
        <v>14674</v>
      </c>
      <c r="E135" s="1595"/>
      <c r="F135" s="1595"/>
      <c r="G135" s="1595"/>
      <c r="H135" s="1596">
        <v>2</v>
      </c>
      <c r="I135" s="1595"/>
      <c r="J135" s="1595"/>
      <c r="K135" s="1597">
        <v>3379.17</v>
      </c>
      <c r="L135" s="1597">
        <v>3379.17</v>
      </c>
      <c r="M135" s="1597">
        <v>-3379.17</v>
      </c>
      <c r="N135" s="1598"/>
      <c r="O135" s="1598"/>
      <c r="P135" s="1597">
        <v>3379.17</v>
      </c>
      <c r="Q135" s="1597">
        <v>-3379.17</v>
      </c>
      <c r="R135" s="1598"/>
      <c r="S135" s="1592"/>
    </row>
    <row r="136" spans="2:19" s="1593" customFormat="1" ht="11.25" customHeight="1" outlineLevel="1">
      <c r="B136" s="1594">
        <v>35191</v>
      </c>
      <c r="C136" s="1595" t="s">
        <v>8215</v>
      </c>
      <c r="D136" s="1595" t="s">
        <v>14673</v>
      </c>
      <c r="E136" s="1595"/>
      <c r="F136" s="1595"/>
      <c r="G136" s="1595"/>
      <c r="H136" s="1596">
        <v>2</v>
      </c>
      <c r="I136" s="1595"/>
      <c r="J136" s="1595"/>
      <c r="K136" s="1597">
        <v>3379.17</v>
      </c>
      <c r="L136" s="1597">
        <v>3379.17</v>
      </c>
      <c r="M136" s="1597">
        <v>-3379.17</v>
      </c>
      <c r="N136" s="1598"/>
      <c r="O136" s="1598"/>
      <c r="P136" s="1597">
        <v>3379.17</v>
      </c>
      <c r="Q136" s="1597">
        <v>-3379.17</v>
      </c>
      <c r="R136" s="1598"/>
      <c r="S136" s="1592"/>
    </row>
    <row r="137" spans="2:19" s="1593" customFormat="1" ht="11.25" customHeight="1" outlineLevel="1">
      <c r="B137" s="1594">
        <v>31681</v>
      </c>
      <c r="C137" s="1595" t="s">
        <v>3660</v>
      </c>
      <c r="D137" s="1595" t="s">
        <v>14672</v>
      </c>
      <c r="E137" s="1595"/>
      <c r="F137" s="1595"/>
      <c r="G137" s="1595" t="s">
        <v>3596</v>
      </c>
      <c r="H137" s="1596">
        <v>1</v>
      </c>
      <c r="I137" s="1595"/>
      <c r="J137" s="1595"/>
      <c r="K137" s="1597">
        <v>441667</v>
      </c>
      <c r="L137" s="1597">
        <v>441667</v>
      </c>
      <c r="M137" s="1598"/>
      <c r="N137" s="1597">
        <v>441667</v>
      </c>
      <c r="O137" s="1597">
        <v>22844.560000000001</v>
      </c>
      <c r="P137" s="1597">
        <v>395977.92</v>
      </c>
      <c r="Q137" s="1597">
        <v>22844.52</v>
      </c>
      <c r="R137" s="1597">
        <v>418822.44</v>
      </c>
      <c r="S137" s="1592"/>
    </row>
    <row r="138" spans="2:19" s="1593" customFormat="1" ht="11.25" customHeight="1" outlineLevel="1">
      <c r="B138" s="1594">
        <v>29146</v>
      </c>
      <c r="C138" s="1595" t="s">
        <v>8069</v>
      </c>
      <c r="D138" s="1595" t="s">
        <v>14671</v>
      </c>
      <c r="E138" s="1595"/>
      <c r="F138" s="1595"/>
      <c r="G138" s="1595" t="s">
        <v>3596</v>
      </c>
      <c r="H138" s="1596">
        <v>1</v>
      </c>
      <c r="I138" s="1595"/>
      <c r="J138" s="1595"/>
      <c r="K138" s="1597">
        <v>227500</v>
      </c>
      <c r="L138" s="1597">
        <v>227500</v>
      </c>
      <c r="M138" s="1598"/>
      <c r="N138" s="1597">
        <v>227500</v>
      </c>
      <c r="O138" s="1597">
        <v>2011.77</v>
      </c>
      <c r="P138" s="1597">
        <v>215033.67</v>
      </c>
      <c r="Q138" s="1597">
        <v>10454.56</v>
      </c>
      <c r="R138" s="1597">
        <v>225488.23</v>
      </c>
      <c r="S138" s="1592"/>
    </row>
    <row r="139" spans="2:19" s="1593" customFormat="1" ht="11.25" customHeight="1" outlineLevel="1">
      <c r="B139" s="1594">
        <v>29752</v>
      </c>
      <c r="C139" s="1595" t="s">
        <v>11889</v>
      </c>
      <c r="D139" s="1595" t="s">
        <v>14670</v>
      </c>
      <c r="E139" s="1595"/>
      <c r="F139" s="1595"/>
      <c r="G139" s="1595"/>
      <c r="H139" s="1596">
        <v>1</v>
      </c>
      <c r="I139" s="1595"/>
      <c r="J139" s="1595"/>
      <c r="K139" s="1597">
        <v>21600</v>
      </c>
      <c r="L139" s="1597">
        <v>21600</v>
      </c>
      <c r="M139" s="1597">
        <v>-21600</v>
      </c>
      <c r="N139" s="1598"/>
      <c r="O139" s="1598"/>
      <c r="P139" s="1597">
        <v>21600</v>
      </c>
      <c r="Q139" s="1597">
        <v>-21600</v>
      </c>
      <c r="R139" s="1598"/>
      <c r="S139" s="1592"/>
    </row>
    <row r="140" spans="2:19" s="1593" customFormat="1" ht="11.25" customHeight="1" outlineLevel="1">
      <c r="B140" s="1594">
        <v>29063</v>
      </c>
      <c r="C140" s="1595" t="s">
        <v>8063</v>
      </c>
      <c r="D140" s="1595" t="s">
        <v>14669</v>
      </c>
      <c r="E140" s="1595"/>
      <c r="F140" s="1595"/>
      <c r="G140" s="1595"/>
      <c r="H140" s="1596">
        <v>1</v>
      </c>
      <c r="I140" s="1595"/>
      <c r="J140" s="1595"/>
      <c r="K140" s="1597">
        <v>124381</v>
      </c>
      <c r="L140" s="1597">
        <v>124381</v>
      </c>
      <c r="M140" s="1598"/>
      <c r="N140" s="1597">
        <v>124381</v>
      </c>
      <c r="O140" s="1597">
        <v>1115.05</v>
      </c>
      <c r="P140" s="1597">
        <v>117471.36</v>
      </c>
      <c r="Q140" s="1597">
        <v>5794.59</v>
      </c>
      <c r="R140" s="1597">
        <v>123265.95</v>
      </c>
      <c r="S140" s="1592"/>
    </row>
    <row r="141" spans="2:19" s="1593" customFormat="1" ht="11.25" customHeight="1" outlineLevel="1">
      <c r="B141" s="1594">
        <v>37533</v>
      </c>
      <c r="C141" s="1595" t="s">
        <v>8047</v>
      </c>
      <c r="D141" s="1595" t="s">
        <v>14668</v>
      </c>
      <c r="E141" s="1595"/>
      <c r="F141" s="1595"/>
      <c r="G141" s="1595"/>
      <c r="H141" s="1596">
        <v>1</v>
      </c>
      <c r="I141" s="1595"/>
      <c r="J141" s="1595"/>
      <c r="K141" s="1597">
        <v>29780</v>
      </c>
      <c r="L141" s="1597">
        <v>30204</v>
      </c>
      <c r="M141" s="1597">
        <v>-30204</v>
      </c>
      <c r="N141" s="1598"/>
      <c r="O141" s="1598"/>
      <c r="P141" s="1597">
        <v>30204</v>
      </c>
      <c r="Q141" s="1597">
        <v>-30204</v>
      </c>
      <c r="R141" s="1598"/>
      <c r="S141" s="1592"/>
    </row>
    <row r="142" spans="2:19" s="1593" customFormat="1" ht="11.25" customHeight="1" outlineLevel="1">
      <c r="B142" s="1594">
        <v>37851</v>
      </c>
      <c r="C142" s="1595" t="s">
        <v>11874</v>
      </c>
      <c r="D142" s="1595" t="s">
        <v>14667</v>
      </c>
      <c r="E142" s="1595"/>
      <c r="F142" s="1595"/>
      <c r="G142" s="1595"/>
      <c r="H142" s="1596">
        <v>1</v>
      </c>
      <c r="I142" s="1595"/>
      <c r="J142" s="1595"/>
      <c r="K142" s="1597">
        <v>3315</v>
      </c>
      <c r="L142" s="1597">
        <v>3315</v>
      </c>
      <c r="M142" s="1597">
        <v>-3315</v>
      </c>
      <c r="N142" s="1598"/>
      <c r="O142" s="1598"/>
      <c r="P142" s="1597">
        <v>3315</v>
      </c>
      <c r="Q142" s="1597">
        <v>-3315</v>
      </c>
      <c r="R142" s="1598"/>
      <c r="S142" s="1592"/>
    </row>
    <row r="143" spans="2:19" s="1593" customFormat="1" ht="11.25" customHeight="1" outlineLevel="1">
      <c r="B143" s="1594">
        <v>39426</v>
      </c>
      <c r="C143" s="1595" t="s">
        <v>7966</v>
      </c>
      <c r="D143" s="1595" t="s">
        <v>14666</v>
      </c>
      <c r="E143" s="1595"/>
      <c r="F143" s="1595"/>
      <c r="G143" s="1595" t="s">
        <v>3596</v>
      </c>
      <c r="H143" s="1596">
        <v>1</v>
      </c>
      <c r="I143" s="1595"/>
      <c r="J143" s="1595"/>
      <c r="K143" s="1597">
        <v>233400</v>
      </c>
      <c r="L143" s="1597">
        <v>233400</v>
      </c>
      <c r="M143" s="1598"/>
      <c r="N143" s="1597">
        <v>233400</v>
      </c>
      <c r="O143" s="1597">
        <v>18426.060000000001</v>
      </c>
      <c r="P143" s="1597">
        <v>196547.84</v>
      </c>
      <c r="Q143" s="1597">
        <v>18426.099999999999</v>
      </c>
      <c r="R143" s="1597">
        <v>214973.94</v>
      </c>
      <c r="S143" s="1592"/>
    </row>
    <row r="144" spans="2:19" s="1593" customFormat="1" ht="11.25" customHeight="1" outlineLevel="1">
      <c r="B144" s="1594">
        <v>39428</v>
      </c>
      <c r="C144" s="1595" t="s">
        <v>7966</v>
      </c>
      <c r="D144" s="1595" t="s">
        <v>14665</v>
      </c>
      <c r="E144" s="1595"/>
      <c r="F144" s="1595"/>
      <c r="G144" s="1595" t="s">
        <v>3596</v>
      </c>
      <c r="H144" s="1596">
        <v>1</v>
      </c>
      <c r="I144" s="1595"/>
      <c r="J144" s="1595"/>
      <c r="K144" s="1597">
        <v>233400</v>
      </c>
      <c r="L144" s="1597">
        <v>233400</v>
      </c>
      <c r="M144" s="1598"/>
      <c r="N144" s="1597">
        <v>233400</v>
      </c>
      <c r="O144" s="1597">
        <v>18426.060000000001</v>
      </c>
      <c r="P144" s="1597">
        <v>196547.84</v>
      </c>
      <c r="Q144" s="1597">
        <v>18426.099999999999</v>
      </c>
      <c r="R144" s="1597">
        <v>214973.94</v>
      </c>
      <c r="S144" s="1592"/>
    </row>
    <row r="145" spans="2:19" s="1593" customFormat="1" ht="11.25" customHeight="1" outlineLevel="1">
      <c r="B145" s="1600" t="s">
        <v>14664</v>
      </c>
      <c r="C145" s="1595" t="s">
        <v>14661</v>
      </c>
      <c r="D145" s="1595" t="s">
        <v>14663</v>
      </c>
      <c r="E145" s="1595"/>
      <c r="F145" s="1595"/>
      <c r="G145" s="1595"/>
      <c r="H145" s="1596">
        <v>1</v>
      </c>
      <c r="I145" s="1595"/>
      <c r="J145" s="1595"/>
      <c r="K145" s="1597">
        <v>62692.89</v>
      </c>
      <c r="L145" s="1597">
        <v>62692.89</v>
      </c>
      <c r="M145" s="1597">
        <v>-62692.89</v>
      </c>
      <c r="N145" s="1598"/>
      <c r="O145" s="1598"/>
      <c r="P145" s="1597">
        <v>54680.08</v>
      </c>
      <c r="Q145" s="1597">
        <v>-54680.08</v>
      </c>
      <c r="R145" s="1598"/>
      <c r="S145" s="1592"/>
    </row>
    <row r="146" spans="2:19" s="1593" customFormat="1" ht="11.25" customHeight="1" outlineLevel="1">
      <c r="B146" s="1600" t="s">
        <v>14662</v>
      </c>
      <c r="C146" s="1595" t="s">
        <v>14661</v>
      </c>
      <c r="D146" s="1595" t="s">
        <v>14660</v>
      </c>
      <c r="E146" s="1595"/>
      <c r="F146" s="1595"/>
      <c r="G146" s="1595"/>
      <c r="H146" s="1596">
        <v>1</v>
      </c>
      <c r="I146" s="1595"/>
      <c r="J146" s="1595"/>
      <c r="K146" s="1597">
        <v>47575.68</v>
      </c>
      <c r="L146" s="1597">
        <v>47575.68</v>
      </c>
      <c r="M146" s="1597">
        <v>-47575.68</v>
      </c>
      <c r="N146" s="1598"/>
      <c r="O146" s="1598"/>
      <c r="P146" s="1597">
        <v>41494.36</v>
      </c>
      <c r="Q146" s="1597">
        <v>-41494.36</v>
      </c>
      <c r="R146" s="1598"/>
      <c r="S146" s="1592"/>
    </row>
    <row r="147" spans="2:19" s="1593" customFormat="1" ht="11.25" customHeight="1" outlineLevel="1">
      <c r="B147" s="1600" t="s">
        <v>14659</v>
      </c>
      <c r="C147" s="1595" t="s">
        <v>14658</v>
      </c>
      <c r="D147" s="1595" t="s">
        <v>14657</v>
      </c>
      <c r="E147" s="1595"/>
      <c r="F147" s="1595"/>
      <c r="G147" s="1595"/>
      <c r="H147" s="1596">
        <v>1</v>
      </c>
      <c r="I147" s="1595"/>
      <c r="J147" s="1595"/>
      <c r="K147" s="1597">
        <v>68036</v>
      </c>
      <c r="L147" s="1597">
        <v>68036</v>
      </c>
      <c r="M147" s="1597">
        <v>-68036</v>
      </c>
      <c r="N147" s="1598"/>
      <c r="O147" s="1598"/>
      <c r="P147" s="1597">
        <v>68036</v>
      </c>
      <c r="Q147" s="1597">
        <v>-68036</v>
      </c>
      <c r="R147" s="1598"/>
      <c r="S147" s="1592"/>
    </row>
    <row r="148" spans="2:19" s="1593" customFormat="1" ht="11.25" customHeight="1" outlineLevel="1">
      <c r="B148" s="1600" t="s">
        <v>14656</v>
      </c>
      <c r="C148" s="1595" t="s">
        <v>14655</v>
      </c>
      <c r="D148" s="1595" t="s">
        <v>14654</v>
      </c>
      <c r="E148" s="1595"/>
      <c r="F148" s="1595"/>
      <c r="G148" s="1595" t="s">
        <v>3596</v>
      </c>
      <c r="H148" s="1596">
        <v>1</v>
      </c>
      <c r="I148" s="1595"/>
      <c r="J148" s="1595"/>
      <c r="K148" s="1597">
        <v>622881.36</v>
      </c>
      <c r="L148" s="1597">
        <v>622881.36</v>
      </c>
      <c r="M148" s="1598"/>
      <c r="N148" s="1597">
        <v>622881.36</v>
      </c>
      <c r="O148" s="1597">
        <v>88983.24</v>
      </c>
      <c r="P148" s="1597">
        <v>474576</v>
      </c>
      <c r="Q148" s="1597">
        <v>59322.12</v>
      </c>
      <c r="R148" s="1597">
        <v>533898.12</v>
      </c>
      <c r="S148" s="1592"/>
    </row>
    <row r="149" spans="2:19" s="1593" customFormat="1" ht="21.75" customHeight="1" outlineLevel="1">
      <c r="B149" s="1600" t="s">
        <v>14653</v>
      </c>
      <c r="C149" s="1595" t="s">
        <v>14650</v>
      </c>
      <c r="D149" s="1595" t="s">
        <v>14652</v>
      </c>
      <c r="E149" s="1595"/>
      <c r="F149" s="1595"/>
      <c r="G149" s="1595"/>
      <c r="H149" s="1596">
        <v>1</v>
      </c>
      <c r="I149" s="1595"/>
      <c r="J149" s="1595"/>
      <c r="K149" s="1597">
        <v>226939</v>
      </c>
      <c r="L149" s="1597">
        <v>226939</v>
      </c>
      <c r="M149" s="1598"/>
      <c r="N149" s="1597">
        <v>226939</v>
      </c>
      <c r="O149" s="1597">
        <v>4394.7</v>
      </c>
      <c r="P149" s="1597">
        <v>199706.32</v>
      </c>
      <c r="Q149" s="1597">
        <v>22837.98</v>
      </c>
      <c r="R149" s="1597">
        <v>222544.3</v>
      </c>
      <c r="S149" s="1592"/>
    </row>
    <row r="150" spans="2:19" s="1593" customFormat="1" ht="21.75" customHeight="1" outlineLevel="1">
      <c r="B150" s="1600" t="s">
        <v>14651</v>
      </c>
      <c r="C150" s="1595" t="s">
        <v>14650</v>
      </c>
      <c r="D150" s="1595" t="s">
        <v>14649</v>
      </c>
      <c r="E150" s="1595"/>
      <c r="F150" s="1595"/>
      <c r="G150" s="1595"/>
      <c r="H150" s="1596">
        <v>1</v>
      </c>
      <c r="I150" s="1595"/>
      <c r="J150" s="1595"/>
      <c r="K150" s="1597">
        <v>226939</v>
      </c>
      <c r="L150" s="1597">
        <v>226939</v>
      </c>
      <c r="M150" s="1598"/>
      <c r="N150" s="1597">
        <v>226939</v>
      </c>
      <c r="O150" s="1597">
        <v>4394.7</v>
      </c>
      <c r="P150" s="1597">
        <v>199706.32</v>
      </c>
      <c r="Q150" s="1597">
        <v>22837.98</v>
      </c>
      <c r="R150" s="1597">
        <v>222544.3</v>
      </c>
      <c r="S150" s="1592"/>
    </row>
    <row r="151" spans="2:19" s="1593" customFormat="1" ht="21.75" customHeight="1" outlineLevel="1">
      <c r="B151" s="1600" t="s">
        <v>14648</v>
      </c>
      <c r="C151" s="1595" t="s">
        <v>14647</v>
      </c>
      <c r="D151" s="1595" t="s">
        <v>14646</v>
      </c>
      <c r="E151" s="1595"/>
      <c r="F151" s="1595" t="s">
        <v>14645</v>
      </c>
      <c r="G151" s="1595"/>
      <c r="H151" s="1595"/>
      <c r="I151" s="1595"/>
      <c r="J151" s="1595"/>
      <c r="K151" s="1597">
        <v>429181.25</v>
      </c>
      <c r="L151" s="1597">
        <v>429181.25</v>
      </c>
      <c r="M151" s="1598"/>
      <c r="N151" s="1597">
        <v>429181.25</v>
      </c>
      <c r="O151" s="1597">
        <v>7035.75</v>
      </c>
      <c r="P151" s="1597">
        <v>337716.47999999998</v>
      </c>
      <c r="Q151" s="1597">
        <v>84429.02</v>
      </c>
      <c r="R151" s="1597">
        <v>422145.5</v>
      </c>
      <c r="S151" s="1592"/>
    </row>
    <row r="152" spans="2:19" s="1593" customFormat="1" ht="11.25" customHeight="1" outlineLevel="1">
      <c r="B152" s="1600" t="s">
        <v>14644</v>
      </c>
      <c r="C152" s="1595" t="s">
        <v>14643</v>
      </c>
      <c r="D152" s="1595" t="s">
        <v>14642</v>
      </c>
      <c r="E152" s="1595" t="s">
        <v>2288</v>
      </c>
      <c r="F152" s="1595" t="s">
        <v>14641</v>
      </c>
      <c r="G152" s="1595"/>
      <c r="H152" s="1596">
        <v>1</v>
      </c>
      <c r="I152" s="1595"/>
      <c r="J152" s="1595"/>
      <c r="K152" s="1597">
        <v>55693.33</v>
      </c>
      <c r="L152" s="1597">
        <v>55693.33</v>
      </c>
      <c r="M152" s="1597">
        <v>-55693.33</v>
      </c>
      <c r="N152" s="1598"/>
      <c r="O152" s="1598"/>
      <c r="P152" s="1597">
        <v>49010.06</v>
      </c>
      <c r="Q152" s="1597">
        <v>-49010.06</v>
      </c>
      <c r="R152" s="1598"/>
      <c r="S152" s="1592"/>
    </row>
    <row r="153" spans="2:19" s="1593" customFormat="1" ht="5.0999999999999996" customHeight="1">
      <c r="S153" s="1592"/>
    </row>
    <row r="154" spans="2:19" s="1593" customFormat="1" ht="21.75" customHeight="1">
      <c r="B154" s="1590" t="s">
        <v>13651</v>
      </c>
      <c r="C154" s="1590"/>
      <c r="D154" s="1590" t="s">
        <v>14640</v>
      </c>
      <c r="E154" s="1590"/>
      <c r="F154" s="1590"/>
      <c r="G154" s="1590"/>
      <c r="H154" s="1590">
        <v>1</v>
      </c>
      <c r="I154" s="1590"/>
      <c r="J154" s="1590"/>
      <c r="K154" s="1591">
        <v>514913.46</v>
      </c>
      <c r="L154" s="1591">
        <v>514913.46</v>
      </c>
      <c r="M154" s="1591">
        <v>-367206.99</v>
      </c>
      <c r="N154" s="1591">
        <v>147706.47</v>
      </c>
      <c r="O154" s="1591">
        <v>32522.28</v>
      </c>
      <c r="P154" s="1591">
        <v>347992.54</v>
      </c>
      <c r="Q154" s="1591">
        <v>-232808.35</v>
      </c>
      <c r="R154" s="1591">
        <v>115184.19</v>
      </c>
      <c r="S154" s="1592">
        <f>R154/N154</f>
        <v>0.77981817587272917</v>
      </c>
    </row>
    <row r="155" spans="2:19" s="1593" customFormat="1" ht="11.25" customHeight="1" outlineLevel="1">
      <c r="B155" s="1594">
        <v>22379</v>
      </c>
      <c r="C155" s="1595" t="s">
        <v>5403</v>
      </c>
      <c r="D155" s="1595" t="s">
        <v>14639</v>
      </c>
      <c r="E155" s="1595"/>
      <c r="F155" s="1595"/>
      <c r="G155" s="1595"/>
      <c r="H155" s="1596">
        <v>1</v>
      </c>
      <c r="I155" s="1595"/>
      <c r="J155" s="1595"/>
      <c r="K155" s="1597">
        <v>2393</v>
      </c>
      <c r="L155" s="1597">
        <v>2393</v>
      </c>
      <c r="M155" s="1597">
        <v>-2393</v>
      </c>
      <c r="N155" s="1598"/>
      <c r="O155" s="1598"/>
      <c r="P155" s="1597">
        <v>2393</v>
      </c>
      <c r="Q155" s="1597">
        <v>-2393</v>
      </c>
      <c r="R155" s="1598"/>
      <c r="S155" s="1592"/>
    </row>
    <row r="156" spans="2:19" s="1593" customFormat="1" ht="11.25" customHeight="1" outlineLevel="1">
      <c r="B156" s="1594">
        <v>27564</v>
      </c>
      <c r="C156" s="1595" t="s">
        <v>8496</v>
      </c>
      <c r="D156" s="1595" t="s">
        <v>14638</v>
      </c>
      <c r="E156" s="1595"/>
      <c r="F156" s="1595"/>
      <c r="G156" s="1595"/>
      <c r="H156" s="1596">
        <v>1</v>
      </c>
      <c r="I156" s="1595"/>
      <c r="J156" s="1595"/>
      <c r="K156" s="1597">
        <v>17112</v>
      </c>
      <c r="L156" s="1597">
        <v>17112</v>
      </c>
      <c r="M156" s="1597">
        <v>-17112</v>
      </c>
      <c r="N156" s="1598"/>
      <c r="O156" s="1598"/>
      <c r="P156" s="1597">
        <v>17112</v>
      </c>
      <c r="Q156" s="1597">
        <v>-17112</v>
      </c>
      <c r="R156" s="1598"/>
      <c r="S156" s="1592"/>
    </row>
    <row r="157" spans="2:19" s="1593" customFormat="1" ht="11.25" customHeight="1" outlineLevel="1">
      <c r="B157" s="1594">
        <v>27629</v>
      </c>
      <c r="C157" s="1595" t="s">
        <v>4108</v>
      </c>
      <c r="D157" s="1595" t="s">
        <v>14637</v>
      </c>
      <c r="E157" s="1595"/>
      <c r="F157" s="1595"/>
      <c r="G157" s="1595"/>
      <c r="H157" s="1596">
        <v>1</v>
      </c>
      <c r="I157" s="1595"/>
      <c r="J157" s="1595"/>
      <c r="K157" s="1597">
        <v>10850</v>
      </c>
      <c r="L157" s="1597">
        <v>10850</v>
      </c>
      <c r="M157" s="1597">
        <v>-10850</v>
      </c>
      <c r="N157" s="1598"/>
      <c r="O157" s="1598"/>
      <c r="P157" s="1597">
        <v>10850</v>
      </c>
      <c r="Q157" s="1597">
        <v>-10850</v>
      </c>
      <c r="R157" s="1598"/>
      <c r="S157" s="1592"/>
    </row>
    <row r="158" spans="2:19" s="1593" customFormat="1" ht="11.25" customHeight="1" outlineLevel="1">
      <c r="B158" s="1594">
        <v>28362</v>
      </c>
      <c r="C158" s="1595" t="s">
        <v>14636</v>
      </c>
      <c r="D158" s="1595" t="s">
        <v>14635</v>
      </c>
      <c r="E158" s="1595"/>
      <c r="F158" s="1595"/>
      <c r="G158" s="1595"/>
      <c r="H158" s="1596">
        <v>1</v>
      </c>
      <c r="I158" s="1595"/>
      <c r="J158" s="1595"/>
      <c r="K158" s="1597">
        <v>45667</v>
      </c>
      <c r="L158" s="1597">
        <v>45667</v>
      </c>
      <c r="M158" s="1597">
        <v>-45667</v>
      </c>
      <c r="N158" s="1598"/>
      <c r="O158" s="1598"/>
      <c r="P158" s="1597">
        <v>45667</v>
      </c>
      <c r="Q158" s="1597">
        <v>-45667</v>
      </c>
      <c r="R158" s="1598"/>
      <c r="S158" s="1592"/>
    </row>
    <row r="159" spans="2:19" s="1593" customFormat="1" ht="11.25" customHeight="1" outlineLevel="1">
      <c r="B159" s="1594">
        <v>28965</v>
      </c>
      <c r="C159" s="1595" t="s">
        <v>12810</v>
      </c>
      <c r="D159" s="1595" t="s">
        <v>14634</v>
      </c>
      <c r="E159" s="1595"/>
      <c r="F159" s="1595"/>
      <c r="G159" s="1595"/>
      <c r="H159" s="1596">
        <v>1</v>
      </c>
      <c r="I159" s="1595"/>
      <c r="J159" s="1595"/>
      <c r="K159" s="1597">
        <v>12860</v>
      </c>
      <c r="L159" s="1597">
        <v>12860</v>
      </c>
      <c r="M159" s="1597">
        <v>-12860</v>
      </c>
      <c r="N159" s="1598"/>
      <c r="O159" s="1598"/>
      <c r="P159" s="1597">
        <v>12860</v>
      </c>
      <c r="Q159" s="1597">
        <v>-12860</v>
      </c>
      <c r="R159" s="1598"/>
      <c r="S159" s="1592"/>
    </row>
    <row r="160" spans="2:19" s="1593" customFormat="1" ht="11.25" customHeight="1" outlineLevel="1">
      <c r="B160" s="1594">
        <v>28968</v>
      </c>
      <c r="C160" s="1595" t="s">
        <v>12810</v>
      </c>
      <c r="D160" s="1595" t="s">
        <v>14633</v>
      </c>
      <c r="E160" s="1595"/>
      <c r="F160" s="1595"/>
      <c r="G160" s="1595"/>
      <c r="H160" s="1596">
        <v>1</v>
      </c>
      <c r="I160" s="1595"/>
      <c r="J160" s="1595"/>
      <c r="K160" s="1597">
        <v>27720</v>
      </c>
      <c r="L160" s="1597">
        <v>27720</v>
      </c>
      <c r="M160" s="1597">
        <v>-27720</v>
      </c>
      <c r="N160" s="1598"/>
      <c r="O160" s="1598"/>
      <c r="P160" s="1597">
        <v>27720</v>
      </c>
      <c r="Q160" s="1597">
        <v>-27720</v>
      </c>
      <c r="R160" s="1598"/>
      <c r="S160" s="1592"/>
    </row>
    <row r="161" spans="2:19" s="1593" customFormat="1" ht="11.25" customHeight="1" outlineLevel="1">
      <c r="B161" s="1594">
        <v>29070</v>
      </c>
      <c r="C161" s="1595" t="s">
        <v>13626</v>
      </c>
      <c r="D161" s="1595" t="s">
        <v>14632</v>
      </c>
      <c r="E161" s="1595"/>
      <c r="F161" s="1595"/>
      <c r="G161" s="1595"/>
      <c r="H161" s="1596">
        <v>1</v>
      </c>
      <c r="I161" s="1595"/>
      <c r="J161" s="1595"/>
      <c r="K161" s="1597">
        <v>11448</v>
      </c>
      <c r="L161" s="1597">
        <v>11448</v>
      </c>
      <c r="M161" s="1597">
        <v>-11448</v>
      </c>
      <c r="N161" s="1598"/>
      <c r="O161" s="1598"/>
      <c r="P161" s="1597">
        <v>11448</v>
      </c>
      <c r="Q161" s="1597">
        <v>-11448</v>
      </c>
      <c r="R161" s="1598"/>
      <c r="S161" s="1592"/>
    </row>
    <row r="162" spans="2:19" s="1593" customFormat="1" ht="11.25" customHeight="1" outlineLevel="1">
      <c r="B162" s="1594">
        <v>35837</v>
      </c>
      <c r="C162" s="1595" t="s">
        <v>8215</v>
      </c>
      <c r="D162" s="1595" t="s">
        <v>14631</v>
      </c>
      <c r="E162" s="1595"/>
      <c r="F162" s="1595"/>
      <c r="G162" s="1595"/>
      <c r="H162" s="1596">
        <v>1</v>
      </c>
      <c r="I162" s="1595"/>
      <c r="J162" s="1595"/>
      <c r="K162" s="1599">
        <v>500</v>
      </c>
      <c r="L162" s="1599">
        <v>500</v>
      </c>
      <c r="M162" s="1599">
        <v>-500</v>
      </c>
      <c r="N162" s="1598"/>
      <c r="O162" s="1598"/>
      <c r="P162" s="1599">
        <v>500</v>
      </c>
      <c r="Q162" s="1599">
        <v>-500</v>
      </c>
      <c r="R162" s="1598"/>
      <c r="S162" s="1592"/>
    </row>
    <row r="163" spans="2:19" s="1593" customFormat="1" ht="11.25" customHeight="1" outlineLevel="1">
      <c r="B163" s="1594">
        <v>32555</v>
      </c>
      <c r="C163" s="1595" t="s">
        <v>3660</v>
      </c>
      <c r="D163" s="1595" t="s">
        <v>14630</v>
      </c>
      <c r="E163" s="1595"/>
      <c r="F163" s="1595"/>
      <c r="G163" s="1595"/>
      <c r="H163" s="1596">
        <v>1</v>
      </c>
      <c r="I163" s="1595"/>
      <c r="J163" s="1595"/>
      <c r="K163" s="1597">
        <v>2000</v>
      </c>
      <c r="L163" s="1597">
        <v>2000</v>
      </c>
      <c r="M163" s="1597">
        <v>-2000</v>
      </c>
      <c r="N163" s="1598"/>
      <c r="O163" s="1598"/>
      <c r="P163" s="1597">
        <v>2000</v>
      </c>
      <c r="Q163" s="1597">
        <v>-2000</v>
      </c>
      <c r="R163" s="1598"/>
      <c r="S163" s="1592"/>
    </row>
    <row r="164" spans="2:19" s="1593" customFormat="1" ht="11.25" customHeight="1" outlineLevel="1">
      <c r="B164" s="1594">
        <v>32559</v>
      </c>
      <c r="C164" s="1595" t="s">
        <v>3660</v>
      </c>
      <c r="D164" s="1595" t="s">
        <v>14629</v>
      </c>
      <c r="E164" s="1595"/>
      <c r="F164" s="1595"/>
      <c r="G164" s="1595"/>
      <c r="H164" s="1596">
        <v>1</v>
      </c>
      <c r="I164" s="1595"/>
      <c r="J164" s="1595"/>
      <c r="K164" s="1599">
        <v>687.5</v>
      </c>
      <c r="L164" s="1599">
        <v>687.5</v>
      </c>
      <c r="M164" s="1599">
        <v>-687.5</v>
      </c>
      <c r="N164" s="1598"/>
      <c r="O164" s="1598"/>
      <c r="P164" s="1599">
        <v>687.5</v>
      </c>
      <c r="Q164" s="1599">
        <v>-687.5</v>
      </c>
      <c r="R164" s="1598"/>
      <c r="S164" s="1592"/>
    </row>
    <row r="165" spans="2:19" s="1593" customFormat="1" ht="11.25" customHeight="1" outlineLevel="1">
      <c r="B165" s="1594">
        <v>32560</v>
      </c>
      <c r="C165" s="1595" t="s">
        <v>3660</v>
      </c>
      <c r="D165" s="1595" t="s">
        <v>14628</v>
      </c>
      <c r="E165" s="1595"/>
      <c r="F165" s="1595"/>
      <c r="G165" s="1595"/>
      <c r="H165" s="1596">
        <v>1</v>
      </c>
      <c r="I165" s="1595"/>
      <c r="J165" s="1595"/>
      <c r="K165" s="1597">
        <v>1465.25</v>
      </c>
      <c r="L165" s="1597">
        <v>1465.25</v>
      </c>
      <c r="M165" s="1597">
        <v>-1465.25</v>
      </c>
      <c r="N165" s="1598"/>
      <c r="O165" s="1598"/>
      <c r="P165" s="1597">
        <v>1465.25</v>
      </c>
      <c r="Q165" s="1597">
        <v>-1465.25</v>
      </c>
      <c r="R165" s="1598"/>
      <c r="S165" s="1592"/>
    </row>
    <row r="166" spans="2:19" s="1593" customFormat="1" ht="11.25" customHeight="1" outlineLevel="1">
      <c r="B166" s="1594">
        <v>32566</v>
      </c>
      <c r="C166" s="1595" t="s">
        <v>3660</v>
      </c>
      <c r="D166" s="1595" t="s">
        <v>14627</v>
      </c>
      <c r="E166" s="1595"/>
      <c r="F166" s="1595"/>
      <c r="G166" s="1595"/>
      <c r="H166" s="1596">
        <v>1</v>
      </c>
      <c r="I166" s="1595"/>
      <c r="J166" s="1595"/>
      <c r="K166" s="1599">
        <v>400</v>
      </c>
      <c r="L166" s="1599">
        <v>400</v>
      </c>
      <c r="M166" s="1599">
        <v>-400</v>
      </c>
      <c r="N166" s="1598"/>
      <c r="O166" s="1598"/>
      <c r="P166" s="1599">
        <v>400</v>
      </c>
      <c r="Q166" s="1599">
        <v>-400</v>
      </c>
      <c r="R166" s="1598"/>
      <c r="S166" s="1592"/>
    </row>
    <row r="167" spans="2:19" s="1593" customFormat="1" ht="11.25" customHeight="1" outlineLevel="1">
      <c r="B167" s="1594">
        <v>35834</v>
      </c>
      <c r="C167" s="1595" t="s">
        <v>3660</v>
      </c>
      <c r="D167" s="1595" t="s">
        <v>14626</v>
      </c>
      <c r="E167" s="1595"/>
      <c r="F167" s="1595"/>
      <c r="G167" s="1595"/>
      <c r="H167" s="1596">
        <v>1</v>
      </c>
      <c r="I167" s="1595"/>
      <c r="J167" s="1595"/>
      <c r="K167" s="1599">
        <v>400</v>
      </c>
      <c r="L167" s="1599">
        <v>400</v>
      </c>
      <c r="M167" s="1599">
        <v>-400</v>
      </c>
      <c r="N167" s="1598"/>
      <c r="O167" s="1598"/>
      <c r="P167" s="1599">
        <v>400</v>
      </c>
      <c r="Q167" s="1599">
        <v>-400</v>
      </c>
      <c r="R167" s="1598"/>
      <c r="S167" s="1592"/>
    </row>
    <row r="168" spans="2:19" s="1593" customFormat="1" ht="11.25" customHeight="1" outlineLevel="1">
      <c r="B168" s="1600" t="s">
        <v>14625</v>
      </c>
      <c r="C168" s="1595" t="s">
        <v>13592</v>
      </c>
      <c r="D168" s="1595" t="s">
        <v>14624</v>
      </c>
      <c r="E168" s="1595"/>
      <c r="F168" s="1595"/>
      <c r="G168" s="1595"/>
      <c r="H168" s="1596">
        <v>1</v>
      </c>
      <c r="I168" s="1595"/>
      <c r="J168" s="1595"/>
      <c r="K168" s="1597">
        <v>62263.28</v>
      </c>
      <c r="L168" s="1597">
        <v>62263.28</v>
      </c>
      <c r="M168" s="1597">
        <v>-62263.28</v>
      </c>
      <c r="N168" s="1598"/>
      <c r="O168" s="1598"/>
      <c r="P168" s="1597">
        <v>62263.28</v>
      </c>
      <c r="Q168" s="1597">
        <v>-62263.28</v>
      </c>
      <c r="R168" s="1598"/>
      <c r="S168" s="1592"/>
    </row>
    <row r="169" spans="2:19" s="1593" customFormat="1" ht="11.25" customHeight="1" outlineLevel="1">
      <c r="B169" s="1600" t="s">
        <v>14623</v>
      </c>
      <c r="C169" s="1595" t="s">
        <v>10683</v>
      </c>
      <c r="D169" s="1595" t="s">
        <v>14622</v>
      </c>
      <c r="E169" s="1595"/>
      <c r="F169" s="1595"/>
      <c r="G169" s="1595"/>
      <c r="H169" s="1596">
        <v>1</v>
      </c>
      <c r="I169" s="1595"/>
      <c r="J169" s="1595"/>
      <c r="K169" s="1597">
        <v>147706.47</v>
      </c>
      <c r="L169" s="1597">
        <v>147706.47</v>
      </c>
      <c r="M169" s="1598"/>
      <c r="N169" s="1597">
        <v>147706.47</v>
      </c>
      <c r="O169" s="1597">
        <v>32522.28</v>
      </c>
      <c r="P169" s="1597">
        <v>98923.03</v>
      </c>
      <c r="Q169" s="1597">
        <v>16261.16</v>
      </c>
      <c r="R169" s="1597">
        <v>115184.19</v>
      </c>
      <c r="S169" s="1592"/>
    </row>
    <row r="170" spans="2:19" s="1593" customFormat="1" ht="21.75" customHeight="1" outlineLevel="1">
      <c r="B170" s="1600" t="s">
        <v>14621</v>
      </c>
      <c r="C170" s="1595" t="s">
        <v>14620</v>
      </c>
      <c r="D170" s="1595" t="s">
        <v>14619</v>
      </c>
      <c r="E170" s="1595" t="s">
        <v>2288</v>
      </c>
      <c r="F170" s="1595"/>
      <c r="G170" s="1595"/>
      <c r="H170" s="1596">
        <v>1</v>
      </c>
      <c r="I170" s="1595"/>
      <c r="J170" s="1595"/>
      <c r="K170" s="1597">
        <v>60011.47</v>
      </c>
      <c r="L170" s="1597">
        <v>60011.47</v>
      </c>
      <c r="M170" s="1597">
        <v>-60011.47</v>
      </c>
      <c r="N170" s="1598"/>
      <c r="O170" s="1598"/>
      <c r="P170" s="1597">
        <v>20659.59</v>
      </c>
      <c r="Q170" s="1597">
        <v>-20659.59</v>
      </c>
      <c r="R170" s="1598"/>
      <c r="S170" s="1592"/>
    </row>
    <row r="171" spans="2:19" s="1593" customFormat="1" ht="21.75" customHeight="1" outlineLevel="1">
      <c r="B171" s="1600" t="s">
        <v>14618</v>
      </c>
      <c r="C171" s="1595" t="s">
        <v>14617</v>
      </c>
      <c r="D171" s="1595" t="s">
        <v>14616</v>
      </c>
      <c r="E171" s="1595" t="s">
        <v>2288</v>
      </c>
      <c r="F171" s="1595" t="s">
        <v>14615</v>
      </c>
      <c r="G171" s="1595"/>
      <c r="H171" s="1596">
        <v>1</v>
      </c>
      <c r="I171" s="1595"/>
      <c r="J171" s="1595"/>
      <c r="K171" s="1597">
        <v>46616.99</v>
      </c>
      <c r="L171" s="1597">
        <v>46616.99</v>
      </c>
      <c r="M171" s="1597">
        <v>-46616.99</v>
      </c>
      <c r="N171" s="1598"/>
      <c r="O171" s="1598"/>
      <c r="P171" s="1597">
        <v>9871.92</v>
      </c>
      <c r="Q171" s="1597">
        <v>-9871.92</v>
      </c>
      <c r="R171" s="1598"/>
      <c r="S171" s="1592"/>
    </row>
    <row r="172" spans="2:19" s="1593" customFormat="1" ht="21.75" customHeight="1" outlineLevel="1">
      <c r="B172" s="1600" t="s">
        <v>14614</v>
      </c>
      <c r="C172" s="1595" t="s">
        <v>14613</v>
      </c>
      <c r="D172" s="1595" t="s">
        <v>14612</v>
      </c>
      <c r="E172" s="1595" t="s">
        <v>2288</v>
      </c>
      <c r="F172" s="1595" t="s">
        <v>14611</v>
      </c>
      <c r="G172" s="1595"/>
      <c r="H172" s="1596">
        <v>1</v>
      </c>
      <c r="I172" s="1595"/>
      <c r="J172" s="1595"/>
      <c r="K172" s="1597">
        <v>64812.5</v>
      </c>
      <c r="L172" s="1597">
        <v>64812.5</v>
      </c>
      <c r="M172" s="1597">
        <v>-64812.5</v>
      </c>
      <c r="N172" s="1598"/>
      <c r="O172" s="1598"/>
      <c r="P172" s="1597">
        <v>22771.97</v>
      </c>
      <c r="Q172" s="1597">
        <v>-22771.97</v>
      </c>
      <c r="R172" s="1598"/>
      <c r="S172" s="1592"/>
    </row>
    <row r="173" spans="2:19" s="1593" customFormat="1" ht="5.0999999999999996" customHeight="1">
      <c r="S173" s="1592"/>
    </row>
    <row r="174" spans="2:19" s="1593" customFormat="1" ht="11.25" customHeight="1">
      <c r="B174" s="1590" t="s">
        <v>13651</v>
      </c>
      <c r="C174" s="1590"/>
      <c r="D174" s="1590" t="s">
        <v>14610</v>
      </c>
      <c r="E174" s="1590"/>
      <c r="F174" s="1590"/>
      <c r="G174" s="1590"/>
      <c r="H174" s="1590">
        <v>2</v>
      </c>
      <c r="I174" s="1590"/>
      <c r="J174" s="1590"/>
      <c r="K174" s="1591">
        <v>1551053.8</v>
      </c>
      <c r="L174" s="1591">
        <v>1550713.3</v>
      </c>
      <c r="M174" s="1591">
        <v>-790473.51</v>
      </c>
      <c r="N174" s="1591">
        <v>760239.79</v>
      </c>
      <c r="O174" s="1591">
        <v>199243.26</v>
      </c>
      <c r="P174" s="1591">
        <v>876658.57</v>
      </c>
      <c r="Q174" s="1591">
        <v>-315662.03999999998</v>
      </c>
      <c r="R174" s="1591">
        <v>560996.53</v>
      </c>
      <c r="S174" s="1592">
        <f>R174/N174</f>
        <v>0.7379205053184601</v>
      </c>
    </row>
    <row r="175" spans="2:19" s="1593" customFormat="1" ht="11.25" customHeight="1" outlineLevel="1">
      <c r="B175" s="1594">
        <v>10013</v>
      </c>
      <c r="C175" s="1595" t="s">
        <v>5403</v>
      </c>
      <c r="D175" s="1595" t="s">
        <v>14609</v>
      </c>
      <c r="E175" s="1595"/>
      <c r="F175" s="1595"/>
      <c r="G175" s="1595"/>
      <c r="H175" s="1596">
        <v>2</v>
      </c>
      <c r="I175" s="1595"/>
      <c r="J175" s="1595"/>
      <c r="K175" s="1599">
        <v>127</v>
      </c>
      <c r="L175" s="1599">
        <v>127</v>
      </c>
      <c r="M175" s="1599">
        <v>-127</v>
      </c>
      <c r="N175" s="1598"/>
      <c r="O175" s="1598"/>
      <c r="P175" s="1599">
        <v>127</v>
      </c>
      <c r="Q175" s="1599">
        <v>-127</v>
      </c>
      <c r="R175" s="1598"/>
      <c r="S175" s="1592"/>
    </row>
    <row r="176" spans="2:19" s="1593" customFormat="1" ht="11.25" customHeight="1" outlineLevel="1">
      <c r="B176" s="1594">
        <v>10014</v>
      </c>
      <c r="C176" s="1595" t="s">
        <v>5403</v>
      </c>
      <c r="D176" s="1595" t="s">
        <v>14608</v>
      </c>
      <c r="E176" s="1595"/>
      <c r="F176" s="1595"/>
      <c r="G176" s="1595"/>
      <c r="H176" s="1596">
        <v>2</v>
      </c>
      <c r="I176" s="1595"/>
      <c r="J176" s="1595"/>
      <c r="K176" s="1599">
        <v>825</v>
      </c>
      <c r="L176" s="1599">
        <v>825</v>
      </c>
      <c r="M176" s="1599">
        <v>-825</v>
      </c>
      <c r="N176" s="1598"/>
      <c r="O176" s="1598"/>
      <c r="P176" s="1599">
        <v>825</v>
      </c>
      <c r="Q176" s="1599">
        <v>-825</v>
      </c>
      <c r="R176" s="1598"/>
      <c r="S176" s="1592"/>
    </row>
    <row r="177" spans="2:19" s="1593" customFormat="1" ht="11.25" customHeight="1" outlineLevel="1">
      <c r="B177" s="1594">
        <v>10015</v>
      </c>
      <c r="C177" s="1595" t="s">
        <v>5403</v>
      </c>
      <c r="D177" s="1595" t="s">
        <v>14607</v>
      </c>
      <c r="E177" s="1595"/>
      <c r="F177" s="1595"/>
      <c r="G177" s="1595"/>
      <c r="H177" s="1596">
        <v>2</v>
      </c>
      <c r="I177" s="1595"/>
      <c r="J177" s="1595"/>
      <c r="K177" s="1599">
        <v>411</v>
      </c>
      <c r="L177" s="1599">
        <v>410.66</v>
      </c>
      <c r="M177" s="1599">
        <v>-410.66</v>
      </c>
      <c r="N177" s="1598"/>
      <c r="O177" s="1598"/>
      <c r="P177" s="1599">
        <v>410.66</v>
      </c>
      <c r="Q177" s="1599">
        <v>-410.66</v>
      </c>
      <c r="R177" s="1598"/>
      <c r="S177" s="1592"/>
    </row>
    <row r="178" spans="2:19" s="1593" customFormat="1" ht="21.75" customHeight="1" outlineLevel="1">
      <c r="B178" s="1594">
        <v>35783</v>
      </c>
      <c r="C178" s="1595" t="s">
        <v>5403</v>
      </c>
      <c r="D178" s="1595" t="s">
        <v>14606</v>
      </c>
      <c r="E178" s="1595"/>
      <c r="F178" s="1595"/>
      <c r="G178" s="1595"/>
      <c r="H178" s="1596">
        <v>2</v>
      </c>
      <c r="I178" s="1595"/>
      <c r="J178" s="1595"/>
      <c r="K178" s="1599">
        <v>343</v>
      </c>
      <c r="L178" s="1599">
        <v>343.5</v>
      </c>
      <c r="M178" s="1599">
        <v>-343.5</v>
      </c>
      <c r="N178" s="1598"/>
      <c r="O178" s="1598"/>
      <c r="P178" s="1599">
        <v>343.5</v>
      </c>
      <c r="Q178" s="1599">
        <v>-343.5</v>
      </c>
      <c r="R178" s="1598"/>
      <c r="S178" s="1592"/>
    </row>
    <row r="179" spans="2:19" s="1593" customFormat="1" ht="21.75" customHeight="1" outlineLevel="1">
      <c r="B179" s="1594">
        <v>35784</v>
      </c>
      <c r="C179" s="1595" t="s">
        <v>5403</v>
      </c>
      <c r="D179" s="1595" t="s">
        <v>14605</v>
      </c>
      <c r="E179" s="1595"/>
      <c r="F179" s="1595"/>
      <c r="G179" s="1595"/>
      <c r="H179" s="1596">
        <v>2</v>
      </c>
      <c r="I179" s="1595"/>
      <c r="J179" s="1595"/>
      <c r="K179" s="1599">
        <v>343</v>
      </c>
      <c r="L179" s="1599">
        <v>343.5</v>
      </c>
      <c r="M179" s="1599">
        <v>-343.5</v>
      </c>
      <c r="N179" s="1598"/>
      <c r="O179" s="1598"/>
      <c r="P179" s="1599">
        <v>343.5</v>
      </c>
      <c r="Q179" s="1599">
        <v>-343.5</v>
      </c>
      <c r="R179" s="1598"/>
      <c r="S179" s="1592"/>
    </row>
    <row r="180" spans="2:19" s="1593" customFormat="1" ht="21.75" customHeight="1" outlineLevel="1">
      <c r="B180" s="1594">
        <v>35785</v>
      </c>
      <c r="C180" s="1595" t="s">
        <v>5403</v>
      </c>
      <c r="D180" s="1595" t="s">
        <v>14604</v>
      </c>
      <c r="E180" s="1595"/>
      <c r="F180" s="1595"/>
      <c r="G180" s="1595"/>
      <c r="H180" s="1596">
        <v>2</v>
      </c>
      <c r="I180" s="1595"/>
      <c r="J180" s="1595"/>
      <c r="K180" s="1599">
        <v>343</v>
      </c>
      <c r="L180" s="1599">
        <v>343.5</v>
      </c>
      <c r="M180" s="1599">
        <v>-343.5</v>
      </c>
      <c r="N180" s="1598"/>
      <c r="O180" s="1598"/>
      <c r="P180" s="1599">
        <v>343.5</v>
      </c>
      <c r="Q180" s="1599">
        <v>-343.5</v>
      </c>
      <c r="R180" s="1598"/>
      <c r="S180" s="1592"/>
    </row>
    <row r="181" spans="2:19" s="1593" customFormat="1" ht="11.25" customHeight="1" outlineLevel="1">
      <c r="B181" s="1594">
        <v>35847</v>
      </c>
      <c r="C181" s="1595" t="s">
        <v>5403</v>
      </c>
      <c r="D181" s="1595" t="s">
        <v>14603</v>
      </c>
      <c r="E181" s="1595"/>
      <c r="F181" s="1595"/>
      <c r="G181" s="1595"/>
      <c r="H181" s="1596">
        <v>2</v>
      </c>
      <c r="I181" s="1595"/>
      <c r="J181" s="1595"/>
      <c r="K181" s="1599">
        <v>411</v>
      </c>
      <c r="L181" s="1599">
        <v>410.67</v>
      </c>
      <c r="M181" s="1599">
        <v>-410.67</v>
      </c>
      <c r="N181" s="1598"/>
      <c r="O181" s="1598"/>
      <c r="P181" s="1599">
        <v>410.67</v>
      </c>
      <c r="Q181" s="1599">
        <v>-410.67</v>
      </c>
      <c r="R181" s="1598"/>
      <c r="S181" s="1592"/>
    </row>
    <row r="182" spans="2:19" s="1593" customFormat="1" ht="11.25" customHeight="1" outlineLevel="1">
      <c r="B182" s="1594">
        <v>35848</v>
      </c>
      <c r="C182" s="1595" t="s">
        <v>5403</v>
      </c>
      <c r="D182" s="1595" t="s">
        <v>14602</v>
      </c>
      <c r="E182" s="1595"/>
      <c r="F182" s="1595"/>
      <c r="G182" s="1595"/>
      <c r="H182" s="1596">
        <v>2</v>
      </c>
      <c r="I182" s="1595"/>
      <c r="J182" s="1595"/>
      <c r="K182" s="1599">
        <v>411</v>
      </c>
      <c r="L182" s="1599">
        <v>410.67</v>
      </c>
      <c r="M182" s="1599">
        <v>-410.67</v>
      </c>
      <c r="N182" s="1598"/>
      <c r="O182" s="1598"/>
      <c r="P182" s="1599">
        <v>410.67</v>
      </c>
      <c r="Q182" s="1599">
        <v>-410.67</v>
      </c>
      <c r="R182" s="1598"/>
      <c r="S182" s="1592"/>
    </row>
    <row r="183" spans="2:19" s="1593" customFormat="1" ht="11.25" customHeight="1" outlineLevel="1">
      <c r="B183" s="1594">
        <v>35849</v>
      </c>
      <c r="C183" s="1595" t="s">
        <v>5403</v>
      </c>
      <c r="D183" s="1595" t="s">
        <v>14601</v>
      </c>
      <c r="E183" s="1595"/>
      <c r="F183" s="1595"/>
      <c r="G183" s="1595"/>
      <c r="H183" s="1596">
        <v>2</v>
      </c>
      <c r="I183" s="1595"/>
      <c r="J183" s="1595"/>
      <c r="K183" s="1599">
        <v>825</v>
      </c>
      <c r="L183" s="1599">
        <v>825</v>
      </c>
      <c r="M183" s="1599">
        <v>-825</v>
      </c>
      <c r="N183" s="1598"/>
      <c r="O183" s="1598"/>
      <c r="P183" s="1599">
        <v>825</v>
      </c>
      <c r="Q183" s="1599">
        <v>-825</v>
      </c>
      <c r="R183" s="1598"/>
      <c r="S183" s="1592"/>
    </row>
    <row r="184" spans="2:19" s="1593" customFormat="1" ht="11.25" customHeight="1" outlineLevel="1">
      <c r="B184" s="1594">
        <v>35850</v>
      </c>
      <c r="C184" s="1595" t="s">
        <v>5403</v>
      </c>
      <c r="D184" s="1595" t="s">
        <v>14600</v>
      </c>
      <c r="E184" s="1595"/>
      <c r="F184" s="1595"/>
      <c r="G184" s="1595"/>
      <c r="H184" s="1596">
        <v>2</v>
      </c>
      <c r="I184" s="1595"/>
      <c r="J184" s="1595"/>
      <c r="K184" s="1599">
        <v>825</v>
      </c>
      <c r="L184" s="1599">
        <v>825</v>
      </c>
      <c r="M184" s="1599">
        <v>-825</v>
      </c>
      <c r="N184" s="1598"/>
      <c r="O184" s="1598"/>
      <c r="P184" s="1599">
        <v>825</v>
      </c>
      <c r="Q184" s="1599">
        <v>-825</v>
      </c>
      <c r="R184" s="1598"/>
      <c r="S184" s="1592"/>
    </row>
    <row r="185" spans="2:19" s="1593" customFormat="1" ht="11.25" customHeight="1" outlineLevel="1">
      <c r="B185" s="1594">
        <v>36984</v>
      </c>
      <c r="C185" s="1595" t="s">
        <v>5403</v>
      </c>
      <c r="D185" s="1595" t="s">
        <v>14599</v>
      </c>
      <c r="E185" s="1595"/>
      <c r="F185" s="1595"/>
      <c r="G185" s="1595"/>
      <c r="H185" s="1596">
        <v>2</v>
      </c>
      <c r="I185" s="1595"/>
      <c r="J185" s="1595"/>
      <c r="K185" s="1599">
        <v>127</v>
      </c>
      <c r="L185" s="1599">
        <v>127</v>
      </c>
      <c r="M185" s="1599">
        <v>-127</v>
      </c>
      <c r="N185" s="1598"/>
      <c r="O185" s="1598"/>
      <c r="P185" s="1599">
        <v>127</v>
      </c>
      <c r="Q185" s="1599">
        <v>-127</v>
      </c>
      <c r="R185" s="1598"/>
      <c r="S185" s="1592"/>
    </row>
    <row r="186" spans="2:19" s="1593" customFormat="1" ht="11.25" customHeight="1" outlineLevel="1">
      <c r="B186" s="1594">
        <v>36985</v>
      </c>
      <c r="C186" s="1595" t="s">
        <v>5403</v>
      </c>
      <c r="D186" s="1595" t="s">
        <v>14598</v>
      </c>
      <c r="E186" s="1595"/>
      <c r="F186" s="1595"/>
      <c r="G186" s="1595"/>
      <c r="H186" s="1596">
        <v>2</v>
      </c>
      <c r="I186" s="1595"/>
      <c r="J186" s="1595"/>
      <c r="K186" s="1599">
        <v>127</v>
      </c>
      <c r="L186" s="1599">
        <v>127</v>
      </c>
      <c r="M186" s="1599">
        <v>-127</v>
      </c>
      <c r="N186" s="1598"/>
      <c r="O186" s="1598"/>
      <c r="P186" s="1599">
        <v>127</v>
      </c>
      <c r="Q186" s="1599">
        <v>-127</v>
      </c>
      <c r="R186" s="1598"/>
      <c r="S186" s="1592"/>
    </row>
    <row r="187" spans="2:19" s="1593" customFormat="1" ht="11.25" customHeight="1" outlineLevel="1">
      <c r="B187" s="1594">
        <v>36986</v>
      </c>
      <c r="C187" s="1595" t="s">
        <v>5403</v>
      </c>
      <c r="D187" s="1595" t="s">
        <v>14597</v>
      </c>
      <c r="E187" s="1595"/>
      <c r="F187" s="1595"/>
      <c r="G187" s="1595"/>
      <c r="H187" s="1596">
        <v>2</v>
      </c>
      <c r="I187" s="1595"/>
      <c r="J187" s="1595"/>
      <c r="K187" s="1599">
        <v>127</v>
      </c>
      <c r="L187" s="1599">
        <v>127</v>
      </c>
      <c r="M187" s="1599">
        <v>-127</v>
      </c>
      <c r="N187" s="1598"/>
      <c r="O187" s="1598"/>
      <c r="P187" s="1599">
        <v>127</v>
      </c>
      <c r="Q187" s="1599">
        <v>-127</v>
      </c>
      <c r="R187" s="1598"/>
      <c r="S187" s="1592"/>
    </row>
    <row r="188" spans="2:19" s="1593" customFormat="1" ht="11.25" customHeight="1" outlineLevel="1">
      <c r="B188" s="1594">
        <v>36987</v>
      </c>
      <c r="C188" s="1595" t="s">
        <v>5403</v>
      </c>
      <c r="D188" s="1595" t="s">
        <v>14596</v>
      </c>
      <c r="E188" s="1595"/>
      <c r="F188" s="1595"/>
      <c r="G188" s="1595"/>
      <c r="H188" s="1596">
        <v>2</v>
      </c>
      <c r="I188" s="1595"/>
      <c r="J188" s="1595"/>
      <c r="K188" s="1599">
        <v>127</v>
      </c>
      <c r="L188" s="1599">
        <v>127</v>
      </c>
      <c r="M188" s="1599">
        <v>-127</v>
      </c>
      <c r="N188" s="1598"/>
      <c r="O188" s="1598"/>
      <c r="P188" s="1599">
        <v>127</v>
      </c>
      <c r="Q188" s="1599">
        <v>-127</v>
      </c>
      <c r="R188" s="1598"/>
      <c r="S188" s="1592"/>
    </row>
    <row r="189" spans="2:19" s="1593" customFormat="1" ht="11.25" customHeight="1" outlineLevel="1">
      <c r="B189" s="1594">
        <v>36988</v>
      </c>
      <c r="C189" s="1595" t="s">
        <v>5403</v>
      </c>
      <c r="D189" s="1595" t="s">
        <v>14595</v>
      </c>
      <c r="E189" s="1595"/>
      <c r="F189" s="1595"/>
      <c r="G189" s="1595"/>
      <c r="H189" s="1596">
        <v>2</v>
      </c>
      <c r="I189" s="1595"/>
      <c r="J189" s="1595"/>
      <c r="K189" s="1599">
        <v>127</v>
      </c>
      <c r="L189" s="1599">
        <v>127</v>
      </c>
      <c r="M189" s="1599">
        <v>-127</v>
      </c>
      <c r="N189" s="1598"/>
      <c r="O189" s="1598"/>
      <c r="P189" s="1599">
        <v>127</v>
      </c>
      <c r="Q189" s="1599">
        <v>-127</v>
      </c>
      <c r="R189" s="1598"/>
      <c r="S189" s="1592"/>
    </row>
    <row r="190" spans="2:19" s="1593" customFormat="1" ht="21.75" customHeight="1" outlineLevel="1">
      <c r="B190" s="1594">
        <v>11456</v>
      </c>
      <c r="C190" s="1595" t="s">
        <v>5328</v>
      </c>
      <c r="D190" s="1595" t="s">
        <v>14594</v>
      </c>
      <c r="E190" s="1595"/>
      <c r="F190" s="1595"/>
      <c r="G190" s="1595"/>
      <c r="H190" s="1596">
        <v>2</v>
      </c>
      <c r="I190" s="1595"/>
      <c r="J190" s="1595"/>
      <c r="K190" s="1597">
        <v>181672</v>
      </c>
      <c r="L190" s="1597">
        <v>181672</v>
      </c>
      <c r="M190" s="1598"/>
      <c r="N190" s="1597">
        <v>181672</v>
      </c>
      <c r="O190" s="1597">
        <v>12248.52</v>
      </c>
      <c r="P190" s="1597">
        <v>163299.20000000001</v>
      </c>
      <c r="Q190" s="1597">
        <v>6124.28</v>
      </c>
      <c r="R190" s="1597">
        <v>169423.48</v>
      </c>
      <c r="S190" s="1592"/>
    </row>
    <row r="191" spans="2:19" s="1593" customFormat="1" ht="11.25" customHeight="1" outlineLevel="1">
      <c r="B191" s="1594">
        <v>37097</v>
      </c>
      <c r="C191" s="1595" t="s">
        <v>5135</v>
      </c>
      <c r="D191" s="1595" t="s">
        <v>14593</v>
      </c>
      <c r="E191" s="1595"/>
      <c r="F191" s="1595"/>
      <c r="G191" s="1595"/>
      <c r="H191" s="1596">
        <v>2</v>
      </c>
      <c r="I191" s="1595"/>
      <c r="J191" s="1595"/>
      <c r="K191" s="1597">
        <v>2750</v>
      </c>
      <c r="L191" s="1597">
        <v>2750</v>
      </c>
      <c r="M191" s="1597">
        <v>-2750</v>
      </c>
      <c r="N191" s="1598"/>
      <c r="O191" s="1598"/>
      <c r="P191" s="1597">
        <v>2750</v>
      </c>
      <c r="Q191" s="1597">
        <v>-2750</v>
      </c>
      <c r="R191" s="1598"/>
      <c r="S191" s="1592"/>
    </row>
    <row r="192" spans="2:19" s="1593" customFormat="1" ht="11.25" customHeight="1" outlineLevel="1">
      <c r="B192" s="1594">
        <v>26222</v>
      </c>
      <c r="C192" s="1595" t="s">
        <v>13321</v>
      </c>
      <c r="D192" s="1595" t="s">
        <v>14592</v>
      </c>
      <c r="E192" s="1595"/>
      <c r="F192" s="1595"/>
      <c r="G192" s="1595"/>
      <c r="H192" s="1596">
        <v>2</v>
      </c>
      <c r="I192" s="1595"/>
      <c r="J192" s="1595"/>
      <c r="K192" s="1597">
        <v>15290</v>
      </c>
      <c r="L192" s="1597">
        <v>15290</v>
      </c>
      <c r="M192" s="1597">
        <v>-15290</v>
      </c>
      <c r="N192" s="1598"/>
      <c r="O192" s="1598"/>
      <c r="P192" s="1597">
        <v>15290</v>
      </c>
      <c r="Q192" s="1597">
        <v>-15290</v>
      </c>
      <c r="R192" s="1598"/>
      <c r="S192" s="1592"/>
    </row>
    <row r="193" spans="2:19" s="1593" customFormat="1" ht="11.25" customHeight="1" outlineLevel="1">
      <c r="B193" s="1594">
        <v>23107</v>
      </c>
      <c r="C193" s="1595" t="s">
        <v>4584</v>
      </c>
      <c r="D193" s="1595" t="s">
        <v>14591</v>
      </c>
      <c r="E193" s="1595"/>
      <c r="F193" s="1595"/>
      <c r="G193" s="1595"/>
      <c r="H193" s="1596">
        <v>2</v>
      </c>
      <c r="I193" s="1595"/>
      <c r="J193" s="1595"/>
      <c r="K193" s="1597">
        <v>2085</v>
      </c>
      <c r="L193" s="1597">
        <v>2084.5</v>
      </c>
      <c r="M193" s="1597">
        <v>-2084.5</v>
      </c>
      <c r="N193" s="1598"/>
      <c r="O193" s="1598"/>
      <c r="P193" s="1597">
        <v>2084.5</v>
      </c>
      <c r="Q193" s="1597">
        <v>-2084.5</v>
      </c>
      <c r="R193" s="1598"/>
      <c r="S193" s="1592"/>
    </row>
    <row r="194" spans="2:19" s="1593" customFormat="1" ht="11.25" customHeight="1" outlineLevel="1">
      <c r="B194" s="1594">
        <v>33262</v>
      </c>
      <c r="C194" s="1595" t="s">
        <v>4584</v>
      </c>
      <c r="D194" s="1595" t="s">
        <v>14590</v>
      </c>
      <c r="E194" s="1595"/>
      <c r="F194" s="1595"/>
      <c r="G194" s="1595"/>
      <c r="H194" s="1596">
        <v>2</v>
      </c>
      <c r="I194" s="1595"/>
      <c r="J194" s="1595"/>
      <c r="K194" s="1597">
        <v>2085</v>
      </c>
      <c r="L194" s="1597">
        <v>2084.5</v>
      </c>
      <c r="M194" s="1597">
        <v>-2084.5</v>
      </c>
      <c r="N194" s="1598"/>
      <c r="O194" s="1598"/>
      <c r="P194" s="1597">
        <v>2084.5</v>
      </c>
      <c r="Q194" s="1597">
        <v>-2084.5</v>
      </c>
      <c r="R194" s="1598"/>
      <c r="S194" s="1592"/>
    </row>
    <row r="195" spans="2:19" s="1593" customFormat="1" ht="11.25" customHeight="1" outlineLevel="1">
      <c r="B195" s="1594">
        <v>28671</v>
      </c>
      <c r="C195" s="1595" t="s">
        <v>8445</v>
      </c>
      <c r="D195" s="1595" t="s">
        <v>14589</v>
      </c>
      <c r="E195" s="1595"/>
      <c r="F195" s="1595"/>
      <c r="G195" s="1595"/>
      <c r="H195" s="1596">
        <v>2</v>
      </c>
      <c r="I195" s="1595"/>
      <c r="J195" s="1595"/>
      <c r="K195" s="1597">
        <v>15354</v>
      </c>
      <c r="L195" s="1597">
        <v>15354</v>
      </c>
      <c r="M195" s="1597">
        <v>-15354</v>
      </c>
      <c r="N195" s="1598"/>
      <c r="O195" s="1598"/>
      <c r="P195" s="1597">
        <v>15354</v>
      </c>
      <c r="Q195" s="1597">
        <v>-15354</v>
      </c>
      <c r="R195" s="1598"/>
      <c r="S195" s="1592"/>
    </row>
    <row r="196" spans="2:19" s="1593" customFormat="1" ht="11.25" customHeight="1" outlineLevel="1">
      <c r="B196" s="1594">
        <v>28887</v>
      </c>
      <c r="C196" s="1595" t="s">
        <v>4023</v>
      </c>
      <c r="D196" s="1595" t="s">
        <v>14588</v>
      </c>
      <c r="E196" s="1595"/>
      <c r="F196" s="1595"/>
      <c r="G196" s="1595"/>
      <c r="H196" s="1596">
        <v>2</v>
      </c>
      <c r="I196" s="1595"/>
      <c r="J196" s="1595"/>
      <c r="K196" s="1597">
        <v>54797</v>
      </c>
      <c r="L196" s="1597">
        <v>54797</v>
      </c>
      <c r="M196" s="1597">
        <v>-54797</v>
      </c>
      <c r="N196" s="1598"/>
      <c r="O196" s="1598"/>
      <c r="P196" s="1597">
        <v>54797</v>
      </c>
      <c r="Q196" s="1597">
        <v>-54797</v>
      </c>
      <c r="R196" s="1598"/>
      <c r="S196" s="1592"/>
    </row>
    <row r="197" spans="2:19" s="1593" customFormat="1" ht="11.25" customHeight="1" outlineLevel="1">
      <c r="B197" s="1594">
        <v>29012</v>
      </c>
      <c r="C197" s="1595" t="s">
        <v>3768</v>
      </c>
      <c r="D197" s="1595" t="s">
        <v>14587</v>
      </c>
      <c r="E197" s="1595"/>
      <c r="F197" s="1595"/>
      <c r="G197" s="1595"/>
      <c r="H197" s="1596">
        <v>2</v>
      </c>
      <c r="I197" s="1595"/>
      <c r="J197" s="1595"/>
      <c r="K197" s="1597">
        <v>20002</v>
      </c>
      <c r="L197" s="1597">
        <v>20002</v>
      </c>
      <c r="M197" s="1597">
        <v>-20002</v>
      </c>
      <c r="N197" s="1598"/>
      <c r="O197" s="1598"/>
      <c r="P197" s="1597">
        <v>20002</v>
      </c>
      <c r="Q197" s="1597">
        <v>-20002</v>
      </c>
      <c r="R197" s="1598"/>
      <c r="S197" s="1592"/>
    </row>
    <row r="198" spans="2:19" s="1593" customFormat="1" ht="11.25" customHeight="1" outlineLevel="1">
      <c r="B198" s="1594">
        <v>29011</v>
      </c>
      <c r="C198" s="1595" t="s">
        <v>8224</v>
      </c>
      <c r="D198" s="1595" t="s">
        <v>14586</v>
      </c>
      <c r="E198" s="1595"/>
      <c r="F198" s="1595"/>
      <c r="G198" s="1595"/>
      <c r="H198" s="1596">
        <v>2</v>
      </c>
      <c r="I198" s="1595"/>
      <c r="J198" s="1595"/>
      <c r="K198" s="1597">
        <v>26105</v>
      </c>
      <c r="L198" s="1597">
        <v>26105</v>
      </c>
      <c r="M198" s="1597">
        <v>-26105</v>
      </c>
      <c r="N198" s="1598"/>
      <c r="O198" s="1598"/>
      <c r="P198" s="1597">
        <v>26105</v>
      </c>
      <c r="Q198" s="1597">
        <v>-26105</v>
      </c>
      <c r="R198" s="1598"/>
      <c r="S198" s="1592"/>
    </row>
    <row r="199" spans="2:19" s="1593" customFormat="1" ht="11.25" customHeight="1" outlineLevel="1">
      <c r="B199" s="1594">
        <v>30402</v>
      </c>
      <c r="C199" s="1595" t="s">
        <v>8215</v>
      </c>
      <c r="D199" s="1595" t="s">
        <v>14585</v>
      </c>
      <c r="E199" s="1595"/>
      <c r="F199" s="1595"/>
      <c r="G199" s="1595"/>
      <c r="H199" s="1596">
        <v>2</v>
      </c>
      <c r="I199" s="1595"/>
      <c r="J199" s="1595"/>
      <c r="K199" s="1597">
        <v>2815</v>
      </c>
      <c r="L199" s="1597">
        <v>2815</v>
      </c>
      <c r="M199" s="1597">
        <v>-2815</v>
      </c>
      <c r="N199" s="1598"/>
      <c r="O199" s="1598"/>
      <c r="P199" s="1597">
        <v>2815</v>
      </c>
      <c r="Q199" s="1597">
        <v>-2815</v>
      </c>
      <c r="R199" s="1598"/>
      <c r="S199" s="1592"/>
    </row>
    <row r="200" spans="2:19" s="1593" customFormat="1" ht="11.25" customHeight="1" outlineLevel="1">
      <c r="B200" s="1594">
        <v>31593</v>
      </c>
      <c r="C200" s="1595" t="s">
        <v>3705</v>
      </c>
      <c r="D200" s="1595" t="s">
        <v>14584</v>
      </c>
      <c r="E200" s="1595"/>
      <c r="F200" s="1595"/>
      <c r="G200" s="1595"/>
      <c r="H200" s="1596">
        <v>2</v>
      </c>
      <c r="I200" s="1595"/>
      <c r="J200" s="1595"/>
      <c r="K200" s="1597">
        <v>1106</v>
      </c>
      <c r="L200" s="1599">
        <v>936</v>
      </c>
      <c r="M200" s="1599">
        <v>-936</v>
      </c>
      <c r="N200" s="1598"/>
      <c r="O200" s="1598"/>
      <c r="P200" s="1599">
        <v>936</v>
      </c>
      <c r="Q200" s="1599">
        <v>-936</v>
      </c>
      <c r="R200" s="1598"/>
      <c r="S200" s="1592"/>
    </row>
    <row r="201" spans="2:19" s="1593" customFormat="1" ht="11.25" customHeight="1" outlineLevel="1">
      <c r="B201" s="1594">
        <v>31594</v>
      </c>
      <c r="C201" s="1595" t="s">
        <v>3705</v>
      </c>
      <c r="D201" s="1595" t="s">
        <v>14583</v>
      </c>
      <c r="E201" s="1595"/>
      <c r="F201" s="1595"/>
      <c r="G201" s="1595"/>
      <c r="H201" s="1596">
        <v>2</v>
      </c>
      <c r="I201" s="1595"/>
      <c r="J201" s="1595"/>
      <c r="K201" s="1597">
        <v>1106</v>
      </c>
      <c r="L201" s="1599">
        <v>936</v>
      </c>
      <c r="M201" s="1599">
        <v>-936</v>
      </c>
      <c r="N201" s="1598"/>
      <c r="O201" s="1598"/>
      <c r="P201" s="1599">
        <v>936</v>
      </c>
      <c r="Q201" s="1599">
        <v>-936</v>
      </c>
      <c r="R201" s="1598"/>
      <c r="S201" s="1592"/>
    </row>
    <row r="202" spans="2:19" s="1593" customFormat="1" ht="11.25" customHeight="1" outlineLevel="1">
      <c r="B202" s="1594">
        <v>31937</v>
      </c>
      <c r="C202" s="1595" t="s">
        <v>3660</v>
      </c>
      <c r="D202" s="1595" t="s">
        <v>14582</v>
      </c>
      <c r="E202" s="1595"/>
      <c r="F202" s="1595"/>
      <c r="G202" s="1595"/>
      <c r="H202" s="1596">
        <v>2</v>
      </c>
      <c r="I202" s="1595"/>
      <c r="J202" s="1595"/>
      <c r="K202" s="1599">
        <v>579.16999999999996</v>
      </c>
      <c r="L202" s="1599">
        <v>579.16999999999996</v>
      </c>
      <c r="M202" s="1599">
        <v>-579.16999999999996</v>
      </c>
      <c r="N202" s="1598"/>
      <c r="O202" s="1598"/>
      <c r="P202" s="1599">
        <v>579.16999999999996</v>
      </c>
      <c r="Q202" s="1599">
        <v>-579.16999999999996</v>
      </c>
      <c r="R202" s="1598"/>
      <c r="S202" s="1592"/>
    </row>
    <row r="203" spans="2:19" s="1593" customFormat="1" ht="11.25" customHeight="1" outlineLevel="1">
      <c r="B203" s="1594">
        <v>31938</v>
      </c>
      <c r="C203" s="1595" t="s">
        <v>3660</v>
      </c>
      <c r="D203" s="1595" t="s">
        <v>14581</v>
      </c>
      <c r="E203" s="1595"/>
      <c r="F203" s="1595"/>
      <c r="G203" s="1595"/>
      <c r="H203" s="1596">
        <v>2</v>
      </c>
      <c r="I203" s="1595"/>
      <c r="J203" s="1595"/>
      <c r="K203" s="1597">
        <v>2547.48</v>
      </c>
      <c r="L203" s="1597">
        <v>2547.48</v>
      </c>
      <c r="M203" s="1597">
        <v>-2547.48</v>
      </c>
      <c r="N203" s="1598"/>
      <c r="O203" s="1598"/>
      <c r="P203" s="1597">
        <v>2547.48</v>
      </c>
      <c r="Q203" s="1597">
        <v>-2547.48</v>
      </c>
      <c r="R203" s="1598"/>
      <c r="S203" s="1592"/>
    </row>
    <row r="204" spans="2:19" s="1593" customFormat="1" ht="11.25" customHeight="1" outlineLevel="1">
      <c r="B204" s="1594">
        <v>31941</v>
      </c>
      <c r="C204" s="1595" t="s">
        <v>3660</v>
      </c>
      <c r="D204" s="1595" t="s">
        <v>14580</v>
      </c>
      <c r="E204" s="1595"/>
      <c r="F204" s="1595"/>
      <c r="G204" s="1595"/>
      <c r="H204" s="1596">
        <v>2</v>
      </c>
      <c r="I204" s="1595"/>
      <c r="J204" s="1595"/>
      <c r="K204" s="1599">
        <v>950</v>
      </c>
      <c r="L204" s="1599">
        <v>950</v>
      </c>
      <c r="M204" s="1599">
        <v>-950</v>
      </c>
      <c r="N204" s="1598"/>
      <c r="O204" s="1598"/>
      <c r="P204" s="1599">
        <v>950</v>
      </c>
      <c r="Q204" s="1599">
        <v>-950</v>
      </c>
      <c r="R204" s="1598"/>
      <c r="S204" s="1592"/>
    </row>
    <row r="205" spans="2:19" s="1593" customFormat="1" ht="11.25" customHeight="1" outlineLevel="1">
      <c r="B205" s="1594">
        <v>37632</v>
      </c>
      <c r="C205" s="1595" t="s">
        <v>3658</v>
      </c>
      <c r="D205" s="1595" t="s">
        <v>14579</v>
      </c>
      <c r="E205" s="1595"/>
      <c r="F205" s="1595"/>
      <c r="G205" s="1595"/>
      <c r="H205" s="1596">
        <v>2</v>
      </c>
      <c r="I205" s="1595"/>
      <c r="J205" s="1595"/>
      <c r="K205" s="1597">
        <v>138321</v>
      </c>
      <c r="L205" s="1597">
        <v>138321</v>
      </c>
      <c r="M205" s="1598"/>
      <c r="N205" s="1597">
        <v>138321</v>
      </c>
      <c r="O205" s="1597">
        <v>14066.04</v>
      </c>
      <c r="P205" s="1597">
        <v>117222</v>
      </c>
      <c r="Q205" s="1597">
        <v>7032.96</v>
      </c>
      <c r="R205" s="1597">
        <v>124254.96</v>
      </c>
      <c r="S205" s="1592"/>
    </row>
    <row r="206" spans="2:19" s="1593" customFormat="1" ht="21.75" customHeight="1" outlineLevel="1">
      <c r="B206" s="1594">
        <v>37633</v>
      </c>
      <c r="C206" s="1595" t="s">
        <v>3658</v>
      </c>
      <c r="D206" s="1595" t="s">
        <v>14578</v>
      </c>
      <c r="E206" s="1595"/>
      <c r="F206" s="1595"/>
      <c r="G206" s="1595"/>
      <c r="H206" s="1596">
        <v>2</v>
      </c>
      <c r="I206" s="1595"/>
      <c r="J206" s="1595"/>
      <c r="K206" s="1597">
        <v>20889</v>
      </c>
      <c r="L206" s="1597">
        <v>20889</v>
      </c>
      <c r="M206" s="1597">
        <v>-20889</v>
      </c>
      <c r="N206" s="1598"/>
      <c r="O206" s="1598"/>
      <c r="P206" s="1597">
        <v>20889</v>
      </c>
      <c r="Q206" s="1597">
        <v>-20889</v>
      </c>
      <c r="R206" s="1598"/>
      <c r="S206" s="1592"/>
    </row>
    <row r="207" spans="2:19" s="1593" customFormat="1" ht="11.25" customHeight="1" outlineLevel="1">
      <c r="B207" s="1594">
        <v>38087</v>
      </c>
      <c r="C207" s="1595" t="s">
        <v>14576</v>
      </c>
      <c r="D207" s="1595" t="s">
        <v>14577</v>
      </c>
      <c r="E207" s="1595"/>
      <c r="F207" s="1595"/>
      <c r="G207" s="1595"/>
      <c r="H207" s="1596">
        <v>2</v>
      </c>
      <c r="I207" s="1595"/>
      <c r="J207" s="1595"/>
      <c r="K207" s="1597">
        <v>21356</v>
      </c>
      <c r="L207" s="1597">
        <v>21356</v>
      </c>
      <c r="M207" s="1597">
        <v>-21356</v>
      </c>
      <c r="N207" s="1598"/>
      <c r="O207" s="1598"/>
      <c r="P207" s="1597">
        <v>21356</v>
      </c>
      <c r="Q207" s="1597">
        <v>-21356</v>
      </c>
      <c r="R207" s="1598"/>
      <c r="S207" s="1592"/>
    </row>
    <row r="208" spans="2:19" s="1593" customFormat="1" ht="11.25" customHeight="1" outlineLevel="1">
      <c r="B208" s="1594">
        <v>38133</v>
      </c>
      <c r="C208" s="1595" t="s">
        <v>14576</v>
      </c>
      <c r="D208" s="1595" t="s">
        <v>14575</v>
      </c>
      <c r="E208" s="1595"/>
      <c r="F208" s="1595"/>
      <c r="G208" s="1595"/>
      <c r="H208" s="1596">
        <v>2</v>
      </c>
      <c r="I208" s="1595"/>
      <c r="J208" s="1595"/>
      <c r="K208" s="1597">
        <v>18755</v>
      </c>
      <c r="L208" s="1597">
        <v>18755</v>
      </c>
      <c r="M208" s="1597">
        <v>-18755</v>
      </c>
      <c r="N208" s="1598"/>
      <c r="O208" s="1598"/>
      <c r="P208" s="1597">
        <v>18755</v>
      </c>
      <c r="Q208" s="1597">
        <v>-18755</v>
      </c>
      <c r="R208" s="1598"/>
      <c r="S208" s="1592"/>
    </row>
    <row r="209" spans="2:19" s="1593" customFormat="1" ht="11.25" customHeight="1" outlineLevel="1">
      <c r="B209" s="1600" t="s">
        <v>14574</v>
      </c>
      <c r="C209" s="1595" t="s">
        <v>14573</v>
      </c>
      <c r="D209" s="1595" t="s">
        <v>14572</v>
      </c>
      <c r="E209" s="1595"/>
      <c r="F209" s="1595"/>
      <c r="G209" s="1595"/>
      <c r="H209" s="1596">
        <v>2</v>
      </c>
      <c r="I209" s="1595"/>
      <c r="J209" s="1595"/>
      <c r="K209" s="1597">
        <v>59670</v>
      </c>
      <c r="L209" s="1597">
        <v>59670</v>
      </c>
      <c r="M209" s="1597">
        <v>-59670</v>
      </c>
      <c r="N209" s="1598"/>
      <c r="O209" s="1598"/>
      <c r="P209" s="1597">
        <v>58692</v>
      </c>
      <c r="Q209" s="1597">
        <v>-58692</v>
      </c>
      <c r="R209" s="1598"/>
      <c r="S209" s="1592"/>
    </row>
    <row r="210" spans="2:19" s="1593" customFormat="1" ht="11.25" customHeight="1" outlineLevel="1">
      <c r="B210" s="1600" t="s">
        <v>14571</v>
      </c>
      <c r="C210" s="1595" t="s">
        <v>14570</v>
      </c>
      <c r="D210" s="1595" t="s">
        <v>14569</v>
      </c>
      <c r="E210" s="1595"/>
      <c r="F210" s="1595" t="s">
        <v>14568</v>
      </c>
      <c r="G210" s="1595"/>
      <c r="H210" s="1596">
        <v>2</v>
      </c>
      <c r="I210" s="1595"/>
      <c r="J210" s="1595"/>
      <c r="K210" s="1597">
        <v>100332.49</v>
      </c>
      <c r="L210" s="1597">
        <v>100332.49</v>
      </c>
      <c r="M210" s="1598"/>
      <c r="N210" s="1597">
        <v>100332.49</v>
      </c>
      <c r="O210" s="1597">
        <v>22427.31</v>
      </c>
      <c r="P210" s="1597">
        <v>63740.52</v>
      </c>
      <c r="Q210" s="1597">
        <v>14164.66</v>
      </c>
      <c r="R210" s="1597">
        <v>77905.179999999993</v>
      </c>
      <c r="S210" s="1592"/>
    </row>
    <row r="211" spans="2:19" s="1593" customFormat="1" ht="11.25" customHeight="1" outlineLevel="1">
      <c r="B211" s="1600" t="s">
        <v>14567</v>
      </c>
      <c r="C211" s="1595" t="s">
        <v>14564</v>
      </c>
      <c r="D211" s="1595" t="s">
        <v>14566</v>
      </c>
      <c r="E211" s="1595"/>
      <c r="F211" s="1595"/>
      <c r="G211" s="1595"/>
      <c r="H211" s="1596">
        <v>2</v>
      </c>
      <c r="I211" s="1595"/>
      <c r="J211" s="1595"/>
      <c r="K211" s="1597">
        <v>49155</v>
      </c>
      <c r="L211" s="1597">
        <v>49155</v>
      </c>
      <c r="M211" s="1597">
        <v>-49155</v>
      </c>
      <c r="N211" s="1598"/>
      <c r="O211" s="1598"/>
      <c r="P211" s="1597">
        <v>23709.89</v>
      </c>
      <c r="Q211" s="1597">
        <v>-23709.89</v>
      </c>
      <c r="R211" s="1598"/>
      <c r="S211" s="1592"/>
    </row>
    <row r="212" spans="2:19" s="1593" customFormat="1" ht="11.25" customHeight="1" outlineLevel="1">
      <c r="B212" s="1600" t="s">
        <v>14565</v>
      </c>
      <c r="C212" s="1595" t="s">
        <v>14564</v>
      </c>
      <c r="D212" s="1595" t="s">
        <v>14563</v>
      </c>
      <c r="E212" s="1595"/>
      <c r="F212" s="1595"/>
      <c r="G212" s="1595"/>
      <c r="H212" s="1596">
        <v>2</v>
      </c>
      <c r="I212" s="1595"/>
      <c r="J212" s="1595"/>
      <c r="K212" s="1597">
        <v>49155</v>
      </c>
      <c r="L212" s="1597">
        <v>49155</v>
      </c>
      <c r="M212" s="1597">
        <v>-49155</v>
      </c>
      <c r="N212" s="1598"/>
      <c r="O212" s="1598"/>
      <c r="P212" s="1597">
        <v>23709.89</v>
      </c>
      <c r="Q212" s="1597">
        <v>-23709.89</v>
      </c>
      <c r="R212" s="1598"/>
      <c r="S212" s="1592"/>
    </row>
    <row r="213" spans="2:19" s="1593" customFormat="1" ht="11.25" customHeight="1" outlineLevel="1">
      <c r="B213" s="1600" t="s">
        <v>14562</v>
      </c>
      <c r="C213" s="1595" t="s">
        <v>14561</v>
      </c>
      <c r="D213" s="1595" t="s">
        <v>14560</v>
      </c>
      <c r="E213" s="1595" t="s">
        <v>2288</v>
      </c>
      <c r="F213" s="1595" t="s">
        <v>14559</v>
      </c>
      <c r="G213" s="1595"/>
      <c r="H213" s="1596">
        <v>2</v>
      </c>
      <c r="I213" s="1595"/>
      <c r="J213" s="1595"/>
      <c r="K213" s="1597">
        <v>208198.3</v>
      </c>
      <c r="L213" s="1597">
        <v>208198.3</v>
      </c>
      <c r="M213" s="1598"/>
      <c r="N213" s="1597">
        <v>208198.3</v>
      </c>
      <c r="O213" s="1597">
        <v>68448.83</v>
      </c>
      <c r="P213" s="1597">
        <v>105525.11</v>
      </c>
      <c r="Q213" s="1597">
        <v>34224.36</v>
      </c>
      <c r="R213" s="1597">
        <v>139749.47</v>
      </c>
      <c r="S213" s="1592"/>
    </row>
    <row r="214" spans="2:19" s="1593" customFormat="1" ht="11.25" customHeight="1" outlineLevel="1">
      <c r="B214" s="1600" t="s">
        <v>14558</v>
      </c>
      <c r="C214" s="1595" t="s">
        <v>3270</v>
      </c>
      <c r="D214" s="1595" t="s">
        <v>14557</v>
      </c>
      <c r="E214" s="1595" t="s">
        <v>2288</v>
      </c>
      <c r="F214" s="1595" t="s">
        <v>14556</v>
      </c>
      <c r="G214" s="1595"/>
      <c r="H214" s="1596">
        <v>1</v>
      </c>
      <c r="I214" s="1595"/>
      <c r="J214" s="1595"/>
      <c r="K214" s="1597">
        <v>57820.03</v>
      </c>
      <c r="L214" s="1597">
        <v>57820.03</v>
      </c>
      <c r="M214" s="1597">
        <v>-57820.03</v>
      </c>
      <c r="N214" s="1598"/>
      <c r="O214" s="1598"/>
      <c r="P214" s="1597">
        <v>19726.96</v>
      </c>
      <c r="Q214" s="1597">
        <v>-19726.96</v>
      </c>
      <c r="R214" s="1598"/>
      <c r="S214" s="1592"/>
    </row>
    <row r="215" spans="2:19" s="1593" customFormat="1" ht="11.25" customHeight="1" outlineLevel="1">
      <c r="B215" s="1600" t="s">
        <v>14555</v>
      </c>
      <c r="C215" s="1595" t="s">
        <v>14554</v>
      </c>
      <c r="D215" s="1595" t="s">
        <v>14553</v>
      </c>
      <c r="E215" s="1595" t="s">
        <v>2288</v>
      </c>
      <c r="F215" s="1595" t="s">
        <v>14552</v>
      </c>
      <c r="G215" s="1595"/>
      <c r="H215" s="1596">
        <v>2</v>
      </c>
      <c r="I215" s="1595"/>
      <c r="J215" s="1595"/>
      <c r="K215" s="1597">
        <v>96100</v>
      </c>
      <c r="L215" s="1597">
        <v>96100</v>
      </c>
      <c r="M215" s="1597">
        <v>-96100</v>
      </c>
      <c r="N215" s="1598"/>
      <c r="O215" s="1598"/>
      <c r="P215" s="1597">
        <v>30525.93</v>
      </c>
      <c r="Q215" s="1597">
        <v>-30525.93</v>
      </c>
      <c r="R215" s="1598"/>
      <c r="S215" s="1592"/>
    </row>
    <row r="216" spans="2:19" s="1593" customFormat="1" ht="11.25" customHeight="1" outlineLevel="1">
      <c r="B216" s="1600" t="s">
        <v>14551</v>
      </c>
      <c r="C216" s="1595" t="s">
        <v>14547</v>
      </c>
      <c r="D216" s="1595" t="s">
        <v>14550</v>
      </c>
      <c r="E216" s="1595" t="s">
        <v>2288</v>
      </c>
      <c r="F216" s="1595" t="s">
        <v>14549</v>
      </c>
      <c r="G216" s="1595"/>
      <c r="H216" s="1596">
        <v>3</v>
      </c>
      <c r="I216" s="1595"/>
      <c r="J216" s="1595"/>
      <c r="K216" s="1597">
        <v>44800</v>
      </c>
      <c r="L216" s="1597">
        <v>44800</v>
      </c>
      <c r="M216" s="1597">
        <v>-44800</v>
      </c>
      <c r="N216" s="1598"/>
      <c r="O216" s="1598"/>
      <c r="P216" s="1597">
        <v>10014.14</v>
      </c>
      <c r="Q216" s="1597">
        <v>-10014.14</v>
      </c>
      <c r="R216" s="1598"/>
      <c r="S216" s="1592"/>
    </row>
    <row r="217" spans="2:19" s="1593" customFormat="1" ht="11.25" customHeight="1" outlineLevel="1">
      <c r="B217" s="1600" t="s">
        <v>14548</v>
      </c>
      <c r="C217" s="1595" t="s">
        <v>14547</v>
      </c>
      <c r="D217" s="1595" t="s">
        <v>14546</v>
      </c>
      <c r="E217" s="1595" t="s">
        <v>2288</v>
      </c>
      <c r="F217" s="1595" t="s">
        <v>14545</v>
      </c>
      <c r="G217" s="1595"/>
      <c r="H217" s="1596">
        <v>3</v>
      </c>
      <c r="I217" s="1595"/>
      <c r="J217" s="1595"/>
      <c r="K217" s="1597">
        <v>64300</v>
      </c>
      <c r="L217" s="1597">
        <v>64300</v>
      </c>
      <c r="M217" s="1597">
        <v>-64300</v>
      </c>
      <c r="N217" s="1598"/>
      <c r="O217" s="1598"/>
      <c r="P217" s="1597">
        <v>14372.93</v>
      </c>
      <c r="Q217" s="1597">
        <v>-14372.93</v>
      </c>
      <c r="R217" s="1598"/>
      <c r="S217" s="1592"/>
    </row>
    <row r="218" spans="2:19" s="1593" customFormat="1" ht="11.25" customHeight="1" outlineLevel="1">
      <c r="B218" s="1600" t="s">
        <v>14544</v>
      </c>
      <c r="C218" s="1595" t="s">
        <v>14543</v>
      </c>
      <c r="D218" s="1595" t="s">
        <v>14542</v>
      </c>
      <c r="E218" s="1595" t="s">
        <v>2288</v>
      </c>
      <c r="F218" s="1595" t="s">
        <v>14541</v>
      </c>
      <c r="G218" s="1595"/>
      <c r="H218" s="1596">
        <v>2</v>
      </c>
      <c r="I218" s="1595"/>
      <c r="J218" s="1595"/>
      <c r="K218" s="1597">
        <v>131716</v>
      </c>
      <c r="L218" s="1597">
        <v>131716</v>
      </c>
      <c r="M218" s="1598"/>
      <c r="N218" s="1597">
        <v>131716</v>
      </c>
      <c r="O218" s="1597">
        <v>82052.56</v>
      </c>
      <c r="P218" s="1597">
        <v>23752.080000000002</v>
      </c>
      <c r="Q218" s="1597">
        <v>25911.360000000001</v>
      </c>
      <c r="R218" s="1597">
        <v>49663.44</v>
      </c>
      <c r="S218" s="1592"/>
    </row>
    <row r="219" spans="2:19" s="1593" customFormat="1" ht="21.75" customHeight="1" outlineLevel="1">
      <c r="B219" s="1600" t="s">
        <v>14540</v>
      </c>
      <c r="C219" s="1595" t="s">
        <v>14539</v>
      </c>
      <c r="D219" s="1595" t="s">
        <v>14538</v>
      </c>
      <c r="E219" s="1595" t="s">
        <v>2288</v>
      </c>
      <c r="F219" s="1595" t="s">
        <v>14537</v>
      </c>
      <c r="G219" s="1595"/>
      <c r="H219" s="1596">
        <v>2</v>
      </c>
      <c r="I219" s="1595"/>
      <c r="J219" s="1595"/>
      <c r="K219" s="1597">
        <v>94160</v>
      </c>
      <c r="L219" s="1597">
        <v>94160</v>
      </c>
      <c r="M219" s="1597">
        <v>-94160</v>
      </c>
      <c r="N219" s="1598"/>
      <c r="O219" s="1598"/>
      <c r="P219" s="1597">
        <v>6174.44</v>
      </c>
      <c r="Q219" s="1597">
        <v>-6174.44</v>
      </c>
      <c r="R219" s="1598"/>
      <c r="S219" s="1592"/>
    </row>
    <row r="220" spans="2:19" s="1593" customFormat="1" ht="11.25" customHeight="1" outlineLevel="1">
      <c r="B220" s="1600" t="s">
        <v>14536</v>
      </c>
      <c r="C220" s="1595" t="s">
        <v>14535</v>
      </c>
      <c r="D220" s="1595" t="s">
        <v>14534</v>
      </c>
      <c r="E220" s="1595"/>
      <c r="F220" s="1595"/>
      <c r="G220" s="1595"/>
      <c r="H220" s="1595"/>
      <c r="I220" s="1595"/>
      <c r="J220" s="1595"/>
      <c r="K220" s="1597">
        <v>61583.33</v>
      </c>
      <c r="L220" s="1597">
        <v>61583.33</v>
      </c>
      <c r="M220" s="1597">
        <v>-61583.33</v>
      </c>
      <c r="N220" s="1598"/>
      <c r="O220" s="1598"/>
      <c r="P220" s="1597">
        <v>2463.33</v>
      </c>
      <c r="Q220" s="1597">
        <v>-2463.33</v>
      </c>
      <c r="R220" s="1598"/>
      <c r="S220" s="1592"/>
    </row>
    <row r="221" spans="2:19" s="1593" customFormat="1" ht="5.0999999999999996" customHeight="1">
      <c r="S221" s="1592"/>
    </row>
    <row r="222" spans="2:19" s="1593" customFormat="1" ht="21.75" customHeight="1">
      <c r="B222" s="1590" t="s">
        <v>11039</v>
      </c>
      <c r="C222" s="1590"/>
      <c r="D222" s="1590" t="s">
        <v>14533</v>
      </c>
      <c r="E222" s="1590"/>
      <c r="F222" s="1590"/>
      <c r="G222" s="1590"/>
      <c r="H222" s="1590">
        <v>1</v>
      </c>
      <c r="I222" s="1590"/>
      <c r="J222" s="1590"/>
      <c r="K222" s="1591">
        <v>597195.82999999996</v>
      </c>
      <c r="L222" s="1591">
        <v>597195.82999999996</v>
      </c>
      <c r="M222" s="1591">
        <v>-76000</v>
      </c>
      <c r="N222" s="1591">
        <v>521195.83</v>
      </c>
      <c r="O222" s="1591">
        <v>312999.14</v>
      </c>
      <c r="P222" s="1591">
        <v>57442.1</v>
      </c>
      <c r="Q222" s="1591">
        <v>150754.59</v>
      </c>
      <c r="R222" s="1591">
        <v>208196.69</v>
      </c>
      <c r="S222" s="1592">
        <f>R222/N222</f>
        <v>0.39945962345861441</v>
      </c>
    </row>
    <row r="223" spans="2:19" s="1593" customFormat="1" ht="11.25" customHeight="1" outlineLevel="1">
      <c r="B223" s="1600" t="s">
        <v>14532</v>
      </c>
      <c r="C223" s="1595" t="s">
        <v>14531</v>
      </c>
      <c r="D223" s="1595" t="s">
        <v>14530</v>
      </c>
      <c r="E223" s="1595" t="s">
        <v>2288</v>
      </c>
      <c r="F223" s="1595" t="s">
        <v>14529</v>
      </c>
      <c r="G223" s="1595"/>
      <c r="H223" s="1596">
        <v>3</v>
      </c>
      <c r="I223" s="1595"/>
      <c r="J223" s="1595"/>
      <c r="K223" s="1597">
        <v>76000</v>
      </c>
      <c r="L223" s="1597">
        <v>76000</v>
      </c>
      <c r="M223" s="1597">
        <v>-76000</v>
      </c>
      <c r="N223" s="1598"/>
      <c r="O223" s="1598"/>
      <c r="P223" s="1597">
        <v>7475.4</v>
      </c>
      <c r="Q223" s="1597">
        <v>-7475.4</v>
      </c>
      <c r="R223" s="1598"/>
      <c r="S223" s="1592"/>
    </row>
    <row r="224" spans="2:19" s="1593" customFormat="1" ht="11.25" customHeight="1" outlineLevel="1">
      <c r="B224" s="1600" t="s">
        <v>14528</v>
      </c>
      <c r="C224" s="1595" t="s">
        <v>14525</v>
      </c>
      <c r="D224" s="1595" t="s">
        <v>14527</v>
      </c>
      <c r="E224" s="1595" t="s">
        <v>2288</v>
      </c>
      <c r="F224" s="1595" t="s">
        <v>14523</v>
      </c>
      <c r="G224" s="1595"/>
      <c r="H224" s="1595"/>
      <c r="I224" s="1595"/>
      <c r="J224" s="1595"/>
      <c r="K224" s="1597">
        <v>124916.67</v>
      </c>
      <c r="L224" s="1597">
        <v>124916.67</v>
      </c>
      <c r="M224" s="1598"/>
      <c r="N224" s="1597">
        <v>124916.67</v>
      </c>
      <c r="O224" s="1597">
        <v>39973.32</v>
      </c>
      <c r="P224" s="1597">
        <v>24983.35</v>
      </c>
      <c r="Q224" s="1597">
        <v>59960</v>
      </c>
      <c r="R224" s="1597">
        <v>84943.35</v>
      </c>
      <c r="S224" s="1592"/>
    </row>
    <row r="225" spans="2:19" s="1593" customFormat="1" ht="11.25" customHeight="1" outlineLevel="1">
      <c r="B225" s="1600" t="s">
        <v>14526</v>
      </c>
      <c r="C225" s="1595" t="s">
        <v>14525</v>
      </c>
      <c r="D225" s="1595" t="s">
        <v>14524</v>
      </c>
      <c r="E225" s="1595" t="s">
        <v>2288</v>
      </c>
      <c r="F225" s="1595" t="s">
        <v>14523</v>
      </c>
      <c r="G225" s="1595"/>
      <c r="H225" s="1595"/>
      <c r="I225" s="1595"/>
      <c r="J225" s="1595"/>
      <c r="K225" s="1597">
        <v>124916.66</v>
      </c>
      <c r="L225" s="1597">
        <v>124916.66</v>
      </c>
      <c r="M225" s="1598"/>
      <c r="N225" s="1597">
        <v>124916.66</v>
      </c>
      <c r="O225" s="1597">
        <v>39973.32</v>
      </c>
      <c r="P225" s="1597">
        <v>24983.35</v>
      </c>
      <c r="Q225" s="1597">
        <v>59959.99</v>
      </c>
      <c r="R225" s="1597">
        <v>84943.34</v>
      </c>
      <c r="S225" s="1592"/>
    </row>
    <row r="226" spans="2:19" s="1593" customFormat="1" ht="11.25" customHeight="1" outlineLevel="1">
      <c r="B226" s="1600" t="s">
        <v>14522</v>
      </c>
      <c r="C226" s="1595" t="s">
        <v>14521</v>
      </c>
      <c r="D226" s="1595" t="s">
        <v>14520</v>
      </c>
      <c r="E226" s="1595" t="s">
        <v>2266</v>
      </c>
      <c r="F226" s="1595" t="s">
        <v>14519</v>
      </c>
      <c r="G226" s="1595"/>
      <c r="H226" s="1596">
        <v>3</v>
      </c>
      <c r="I226" s="1595"/>
      <c r="J226" s="1595"/>
      <c r="K226" s="1597">
        <v>271362.5</v>
      </c>
      <c r="L226" s="1597">
        <v>271362.5</v>
      </c>
      <c r="M226" s="1598"/>
      <c r="N226" s="1597">
        <v>271362.5</v>
      </c>
      <c r="O226" s="1597">
        <v>233052.5</v>
      </c>
      <c r="P226" s="1598"/>
      <c r="Q226" s="1597">
        <v>38310</v>
      </c>
      <c r="R226" s="1597">
        <v>38310</v>
      </c>
      <c r="S226" s="1592"/>
    </row>
    <row r="227" spans="2:19" s="1593" customFormat="1" ht="5.0999999999999996" customHeight="1">
      <c r="S227" s="1592"/>
    </row>
    <row r="228" spans="2:19" s="1593" customFormat="1" ht="11.25" customHeight="1">
      <c r="B228" s="1590" t="s">
        <v>11039</v>
      </c>
      <c r="C228" s="1590"/>
      <c r="D228" s="1590" t="s">
        <v>14518</v>
      </c>
      <c r="E228" s="1590"/>
      <c r="F228" s="1590"/>
      <c r="G228" s="1590"/>
      <c r="H228" s="1590">
        <v>1</v>
      </c>
      <c r="I228" s="1590"/>
      <c r="J228" s="1590"/>
      <c r="K228" s="1591">
        <v>77751034.739999995</v>
      </c>
      <c r="L228" s="1591">
        <v>116756375.20999999</v>
      </c>
      <c r="M228" s="1591">
        <v>-2973047.28</v>
      </c>
      <c r="N228" s="1591">
        <v>113783327.93000001</v>
      </c>
      <c r="O228" s="1591">
        <v>44881796.159999996</v>
      </c>
      <c r="P228" s="1591">
        <v>66550868</v>
      </c>
      <c r="Q228" s="1591">
        <v>2350663.77</v>
      </c>
      <c r="R228" s="1591">
        <v>68901531.769999996</v>
      </c>
      <c r="S228" s="1592">
        <f>R228/N228</f>
        <v>0.60555032994278846</v>
      </c>
    </row>
    <row r="229" spans="2:19" s="1593" customFormat="1" ht="11.25" customHeight="1" outlineLevel="1">
      <c r="B229" s="1594">
        <v>10606</v>
      </c>
      <c r="C229" s="1595" t="s">
        <v>5403</v>
      </c>
      <c r="D229" s="1595" t="s">
        <v>14517</v>
      </c>
      <c r="E229" s="1595"/>
      <c r="F229" s="1595"/>
      <c r="G229" s="1595" t="s">
        <v>14418</v>
      </c>
      <c r="H229" s="1596">
        <v>1</v>
      </c>
      <c r="I229" s="1595"/>
      <c r="J229" s="1595"/>
      <c r="K229" s="1597">
        <v>1677529</v>
      </c>
      <c r="L229" s="1597">
        <v>2020532.91</v>
      </c>
      <c r="M229" s="1598"/>
      <c r="N229" s="1597">
        <v>2020532.91</v>
      </c>
      <c r="O229" s="1597">
        <v>226869.04</v>
      </c>
      <c r="P229" s="1597">
        <v>1772227.43</v>
      </c>
      <c r="Q229" s="1597">
        <v>21436.44</v>
      </c>
      <c r="R229" s="1597">
        <v>1793663.87</v>
      </c>
      <c r="S229" s="1592"/>
    </row>
    <row r="230" spans="2:19" s="1593" customFormat="1" ht="11.25" customHeight="1" outlineLevel="1">
      <c r="B230" s="1594">
        <v>10607</v>
      </c>
      <c r="C230" s="1595" t="s">
        <v>5403</v>
      </c>
      <c r="D230" s="1595" t="s">
        <v>14516</v>
      </c>
      <c r="E230" s="1595"/>
      <c r="F230" s="1595"/>
      <c r="G230" s="1595"/>
      <c r="H230" s="1596">
        <v>1</v>
      </c>
      <c r="I230" s="1595"/>
      <c r="J230" s="1595"/>
      <c r="K230" s="1597">
        <v>27910</v>
      </c>
      <c r="L230" s="1597">
        <v>27910</v>
      </c>
      <c r="M230" s="1597">
        <v>-27910</v>
      </c>
      <c r="N230" s="1598"/>
      <c r="O230" s="1598"/>
      <c r="P230" s="1597">
        <v>27910</v>
      </c>
      <c r="Q230" s="1597">
        <v>-27910</v>
      </c>
      <c r="R230" s="1598"/>
      <c r="S230" s="1592"/>
    </row>
    <row r="231" spans="2:19" s="1593" customFormat="1" ht="11.25" customHeight="1" outlineLevel="1">
      <c r="B231" s="1594">
        <v>10609</v>
      </c>
      <c r="C231" s="1595" t="s">
        <v>5403</v>
      </c>
      <c r="D231" s="1595" t="s">
        <v>14515</v>
      </c>
      <c r="E231" s="1595"/>
      <c r="F231" s="1595"/>
      <c r="G231" s="1595"/>
      <c r="H231" s="1596">
        <v>1</v>
      </c>
      <c r="I231" s="1595"/>
      <c r="J231" s="1595"/>
      <c r="K231" s="1597">
        <v>43922</v>
      </c>
      <c r="L231" s="1597">
        <v>43921.5</v>
      </c>
      <c r="M231" s="1597">
        <v>-43921.5</v>
      </c>
      <c r="N231" s="1598"/>
      <c r="O231" s="1598"/>
      <c r="P231" s="1597">
        <v>43921.5</v>
      </c>
      <c r="Q231" s="1597">
        <v>-43921.5</v>
      </c>
      <c r="R231" s="1598"/>
      <c r="S231" s="1592"/>
    </row>
    <row r="232" spans="2:19" s="1593" customFormat="1" ht="11.25" customHeight="1" outlineLevel="1">
      <c r="B232" s="1594">
        <v>10610</v>
      </c>
      <c r="C232" s="1595" t="s">
        <v>5403</v>
      </c>
      <c r="D232" s="1595" t="s">
        <v>14514</v>
      </c>
      <c r="E232" s="1595"/>
      <c r="F232" s="1595"/>
      <c r="G232" s="1595"/>
      <c r="H232" s="1596">
        <v>1</v>
      </c>
      <c r="I232" s="1595"/>
      <c r="J232" s="1595"/>
      <c r="K232" s="1597">
        <v>39716</v>
      </c>
      <c r="L232" s="1597">
        <v>39716.25</v>
      </c>
      <c r="M232" s="1597">
        <v>-39716.25</v>
      </c>
      <c r="N232" s="1598"/>
      <c r="O232" s="1598"/>
      <c r="P232" s="1597">
        <v>39716.25</v>
      </c>
      <c r="Q232" s="1597">
        <v>-39716.25</v>
      </c>
      <c r="R232" s="1598"/>
      <c r="S232" s="1592"/>
    </row>
    <row r="233" spans="2:19" s="1593" customFormat="1" ht="11.25" customHeight="1" outlineLevel="1">
      <c r="B233" s="1594">
        <v>10611</v>
      </c>
      <c r="C233" s="1595" t="s">
        <v>5403</v>
      </c>
      <c r="D233" s="1595" t="s">
        <v>14513</v>
      </c>
      <c r="E233" s="1595"/>
      <c r="F233" s="1595"/>
      <c r="G233" s="1595"/>
      <c r="H233" s="1596">
        <v>1</v>
      </c>
      <c r="I233" s="1595"/>
      <c r="J233" s="1595"/>
      <c r="K233" s="1597">
        <v>11570</v>
      </c>
      <c r="L233" s="1597">
        <v>11570</v>
      </c>
      <c r="M233" s="1597">
        <v>-11570</v>
      </c>
      <c r="N233" s="1598"/>
      <c r="O233" s="1598"/>
      <c r="P233" s="1597">
        <v>11570</v>
      </c>
      <c r="Q233" s="1597">
        <v>-11570</v>
      </c>
      <c r="R233" s="1598"/>
      <c r="S233" s="1592"/>
    </row>
    <row r="234" spans="2:19" s="1593" customFormat="1" ht="11.25" customHeight="1" outlineLevel="1">
      <c r="B234" s="1594">
        <v>10612</v>
      </c>
      <c r="C234" s="1595" t="s">
        <v>5403</v>
      </c>
      <c r="D234" s="1595" t="s">
        <v>14512</v>
      </c>
      <c r="E234" s="1595"/>
      <c r="F234" s="1595"/>
      <c r="G234" s="1595"/>
      <c r="H234" s="1596">
        <v>1</v>
      </c>
      <c r="I234" s="1595"/>
      <c r="J234" s="1595"/>
      <c r="K234" s="1597">
        <v>13120</v>
      </c>
      <c r="L234" s="1597">
        <v>13120</v>
      </c>
      <c r="M234" s="1597">
        <v>-13120</v>
      </c>
      <c r="N234" s="1598"/>
      <c r="O234" s="1598"/>
      <c r="P234" s="1597">
        <v>13120</v>
      </c>
      <c r="Q234" s="1597">
        <v>-13120</v>
      </c>
      <c r="R234" s="1598"/>
      <c r="S234" s="1592"/>
    </row>
    <row r="235" spans="2:19" s="1593" customFormat="1" ht="11.25" customHeight="1" outlineLevel="1">
      <c r="B235" s="1594">
        <v>10613</v>
      </c>
      <c r="C235" s="1595" t="s">
        <v>5403</v>
      </c>
      <c r="D235" s="1595" t="s">
        <v>14511</v>
      </c>
      <c r="E235" s="1595"/>
      <c r="F235" s="1595"/>
      <c r="G235" s="1595"/>
      <c r="H235" s="1596">
        <v>1</v>
      </c>
      <c r="I235" s="1595"/>
      <c r="J235" s="1595"/>
      <c r="K235" s="1597">
        <v>1735</v>
      </c>
      <c r="L235" s="1597">
        <v>1735.5</v>
      </c>
      <c r="M235" s="1597">
        <v>-1735.5</v>
      </c>
      <c r="N235" s="1598"/>
      <c r="O235" s="1598"/>
      <c r="P235" s="1597">
        <v>1735.5</v>
      </c>
      <c r="Q235" s="1597">
        <v>-1735.5</v>
      </c>
      <c r="R235" s="1598"/>
      <c r="S235" s="1592"/>
    </row>
    <row r="236" spans="2:19" s="1593" customFormat="1" ht="11.25" customHeight="1" outlineLevel="1">
      <c r="B236" s="1594">
        <v>10614</v>
      </c>
      <c r="C236" s="1595" t="s">
        <v>5403</v>
      </c>
      <c r="D236" s="1595" t="s">
        <v>14510</v>
      </c>
      <c r="E236" s="1595"/>
      <c r="F236" s="1595"/>
      <c r="G236" s="1595"/>
      <c r="H236" s="1596">
        <v>1</v>
      </c>
      <c r="I236" s="1595"/>
      <c r="J236" s="1595"/>
      <c r="K236" s="1597">
        <v>15220</v>
      </c>
      <c r="L236" s="1597">
        <v>15220.4</v>
      </c>
      <c r="M236" s="1597">
        <v>-15220.4</v>
      </c>
      <c r="N236" s="1598"/>
      <c r="O236" s="1598"/>
      <c r="P236" s="1597">
        <v>15220.4</v>
      </c>
      <c r="Q236" s="1597">
        <v>-15220.4</v>
      </c>
      <c r="R236" s="1598"/>
      <c r="S236" s="1592"/>
    </row>
    <row r="237" spans="2:19" s="1593" customFormat="1" ht="11.25" customHeight="1" outlineLevel="1">
      <c r="B237" s="1594">
        <v>10615</v>
      </c>
      <c r="C237" s="1595" t="s">
        <v>5403</v>
      </c>
      <c r="D237" s="1595" t="s">
        <v>14509</v>
      </c>
      <c r="E237" s="1595"/>
      <c r="F237" s="1595"/>
      <c r="G237" s="1595"/>
      <c r="H237" s="1596">
        <v>1</v>
      </c>
      <c r="I237" s="1595"/>
      <c r="J237" s="1595"/>
      <c r="K237" s="1599">
        <v>289</v>
      </c>
      <c r="L237" s="1599">
        <v>289</v>
      </c>
      <c r="M237" s="1599">
        <v>-289</v>
      </c>
      <c r="N237" s="1598"/>
      <c r="O237" s="1598"/>
      <c r="P237" s="1599">
        <v>289</v>
      </c>
      <c r="Q237" s="1599">
        <v>-289</v>
      </c>
      <c r="R237" s="1598"/>
      <c r="S237" s="1592"/>
    </row>
    <row r="238" spans="2:19" s="1593" customFormat="1" ht="11.25" customHeight="1" outlineLevel="1">
      <c r="B238" s="1594">
        <v>10616</v>
      </c>
      <c r="C238" s="1595" t="s">
        <v>5403</v>
      </c>
      <c r="D238" s="1595" t="s">
        <v>14508</v>
      </c>
      <c r="E238" s="1595"/>
      <c r="F238" s="1595"/>
      <c r="G238" s="1595"/>
      <c r="H238" s="1596">
        <v>1</v>
      </c>
      <c r="I238" s="1595"/>
      <c r="J238" s="1595"/>
      <c r="K238" s="1597">
        <v>4577</v>
      </c>
      <c r="L238" s="1597">
        <v>4577</v>
      </c>
      <c r="M238" s="1597">
        <v>-4577</v>
      </c>
      <c r="N238" s="1598"/>
      <c r="O238" s="1598"/>
      <c r="P238" s="1597">
        <v>4577</v>
      </c>
      <c r="Q238" s="1597">
        <v>-4577</v>
      </c>
      <c r="R238" s="1598"/>
      <c r="S238" s="1592"/>
    </row>
    <row r="239" spans="2:19" s="1593" customFormat="1" ht="11.25" customHeight="1" outlineLevel="1">
      <c r="B239" s="1594">
        <v>10617</v>
      </c>
      <c r="C239" s="1595" t="s">
        <v>5403</v>
      </c>
      <c r="D239" s="1595" t="s">
        <v>14507</v>
      </c>
      <c r="E239" s="1595"/>
      <c r="F239" s="1595"/>
      <c r="G239" s="1595"/>
      <c r="H239" s="1596">
        <v>1</v>
      </c>
      <c r="I239" s="1595"/>
      <c r="J239" s="1595"/>
      <c r="K239" s="1597">
        <v>4173</v>
      </c>
      <c r="L239" s="1597">
        <v>4173</v>
      </c>
      <c r="M239" s="1597">
        <v>-4173</v>
      </c>
      <c r="N239" s="1598"/>
      <c r="O239" s="1598"/>
      <c r="P239" s="1597">
        <v>4173</v>
      </c>
      <c r="Q239" s="1597">
        <v>-4173</v>
      </c>
      <c r="R239" s="1598"/>
      <c r="S239" s="1592"/>
    </row>
    <row r="240" spans="2:19" s="1593" customFormat="1" ht="11.25" customHeight="1" outlineLevel="1">
      <c r="B240" s="1594">
        <v>10619</v>
      </c>
      <c r="C240" s="1595" t="s">
        <v>5403</v>
      </c>
      <c r="D240" s="1595" t="s">
        <v>14506</v>
      </c>
      <c r="E240" s="1595"/>
      <c r="F240" s="1595"/>
      <c r="G240" s="1595"/>
      <c r="H240" s="1596">
        <v>1</v>
      </c>
      <c r="I240" s="1595"/>
      <c r="J240" s="1595"/>
      <c r="K240" s="1599">
        <v>493</v>
      </c>
      <c r="L240" s="1599">
        <v>493.5</v>
      </c>
      <c r="M240" s="1599">
        <v>-493.5</v>
      </c>
      <c r="N240" s="1598"/>
      <c r="O240" s="1598"/>
      <c r="P240" s="1599">
        <v>493.5</v>
      </c>
      <c r="Q240" s="1599">
        <v>-493.5</v>
      </c>
      <c r="R240" s="1598"/>
      <c r="S240" s="1592"/>
    </row>
    <row r="241" spans="2:19" s="1593" customFormat="1" ht="11.25" customHeight="1" outlineLevel="1">
      <c r="B241" s="1594">
        <v>10623</v>
      </c>
      <c r="C241" s="1595" t="s">
        <v>5403</v>
      </c>
      <c r="D241" s="1595" t="s">
        <v>14505</v>
      </c>
      <c r="E241" s="1595"/>
      <c r="F241" s="1595"/>
      <c r="G241" s="1595"/>
      <c r="H241" s="1596">
        <v>1</v>
      </c>
      <c r="I241" s="1595"/>
      <c r="J241" s="1595"/>
      <c r="K241" s="1599">
        <v>855</v>
      </c>
      <c r="L241" s="1599">
        <v>854.65</v>
      </c>
      <c r="M241" s="1599">
        <v>-854.65</v>
      </c>
      <c r="N241" s="1598"/>
      <c r="O241" s="1598"/>
      <c r="P241" s="1599">
        <v>854.65</v>
      </c>
      <c r="Q241" s="1599">
        <v>-854.65</v>
      </c>
      <c r="R241" s="1598"/>
      <c r="S241" s="1592"/>
    </row>
    <row r="242" spans="2:19" s="1593" customFormat="1" ht="11.25" customHeight="1" outlineLevel="1">
      <c r="B242" s="1594">
        <v>10624</v>
      </c>
      <c r="C242" s="1595" t="s">
        <v>5403</v>
      </c>
      <c r="D242" s="1595" t="s">
        <v>14504</v>
      </c>
      <c r="E242" s="1595"/>
      <c r="F242" s="1595"/>
      <c r="G242" s="1595"/>
      <c r="H242" s="1596">
        <v>1</v>
      </c>
      <c r="I242" s="1595"/>
      <c r="J242" s="1595"/>
      <c r="K242" s="1597">
        <v>9018</v>
      </c>
      <c r="L242" s="1597">
        <v>9017.6</v>
      </c>
      <c r="M242" s="1597">
        <v>-9017.6</v>
      </c>
      <c r="N242" s="1598"/>
      <c r="O242" s="1598"/>
      <c r="P242" s="1597">
        <v>9017.6</v>
      </c>
      <c r="Q242" s="1597">
        <v>-9017.6</v>
      </c>
      <c r="R242" s="1598"/>
      <c r="S242" s="1592"/>
    </row>
    <row r="243" spans="2:19" s="1593" customFormat="1" ht="11.25" customHeight="1" outlineLevel="1">
      <c r="B243" s="1594">
        <v>10625</v>
      </c>
      <c r="C243" s="1595" t="s">
        <v>5403</v>
      </c>
      <c r="D243" s="1595" t="s">
        <v>14503</v>
      </c>
      <c r="E243" s="1595"/>
      <c r="F243" s="1595"/>
      <c r="G243" s="1595"/>
      <c r="H243" s="1596">
        <v>1</v>
      </c>
      <c r="I243" s="1595"/>
      <c r="J243" s="1595"/>
      <c r="K243" s="1597">
        <v>2638</v>
      </c>
      <c r="L243" s="1597">
        <v>2638</v>
      </c>
      <c r="M243" s="1597">
        <v>-2638</v>
      </c>
      <c r="N243" s="1598"/>
      <c r="O243" s="1598"/>
      <c r="P243" s="1597">
        <v>2638</v>
      </c>
      <c r="Q243" s="1597">
        <v>-2638</v>
      </c>
      <c r="R243" s="1598"/>
      <c r="S243" s="1592"/>
    </row>
    <row r="244" spans="2:19" s="1593" customFormat="1" ht="11.25" customHeight="1" outlineLevel="1">
      <c r="B244" s="1594">
        <v>10626</v>
      </c>
      <c r="C244" s="1595" t="s">
        <v>5403</v>
      </c>
      <c r="D244" s="1595" t="s">
        <v>14502</v>
      </c>
      <c r="E244" s="1595"/>
      <c r="F244" s="1595"/>
      <c r="G244" s="1595"/>
      <c r="H244" s="1596">
        <v>1</v>
      </c>
      <c r="I244" s="1595"/>
      <c r="J244" s="1595"/>
      <c r="K244" s="1599">
        <v>868</v>
      </c>
      <c r="L244" s="1599">
        <v>868</v>
      </c>
      <c r="M244" s="1599">
        <v>-868</v>
      </c>
      <c r="N244" s="1598"/>
      <c r="O244" s="1598"/>
      <c r="P244" s="1599">
        <v>868</v>
      </c>
      <c r="Q244" s="1599">
        <v>-868</v>
      </c>
      <c r="R244" s="1598"/>
      <c r="S244" s="1592"/>
    </row>
    <row r="245" spans="2:19" s="1593" customFormat="1" ht="11.25" customHeight="1" outlineLevel="1">
      <c r="B245" s="1594">
        <v>10627</v>
      </c>
      <c r="C245" s="1595" t="s">
        <v>5403</v>
      </c>
      <c r="D245" s="1595" t="s">
        <v>14501</v>
      </c>
      <c r="E245" s="1595"/>
      <c r="F245" s="1595"/>
      <c r="G245" s="1595"/>
      <c r="H245" s="1596">
        <v>1</v>
      </c>
      <c r="I245" s="1595"/>
      <c r="J245" s="1595"/>
      <c r="K245" s="1599">
        <v>313</v>
      </c>
      <c r="L245" s="1599">
        <v>313.5</v>
      </c>
      <c r="M245" s="1599">
        <v>-313.5</v>
      </c>
      <c r="N245" s="1598"/>
      <c r="O245" s="1598"/>
      <c r="P245" s="1599">
        <v>313.5</v>
      </c>
      <c r="Q245" s="1599">
        <v>-313.5</v>
      </c>
      <c r="R245" s="1598"/>
      <c r="S245" s="1592"/>
    </row>
    <row r="246" spans="2:19" s="1593" customFormat="1" ht="11.25" customHeight="1" outlineLevel="1">
      <c r="B246" s="1594">
        <v>10628</v>
      </c>
      <c r="C246" s="1595" t="s">
        <v>5403</v>
      </c>
      <c r="D246" s="1595" t="s">
        <v>14500</v>
      </c>
      <c r="E246" s="1595"/>
      <c r="F246" s="1595"/>
      <c r="G246" s="1595"/>
      <c r="H246" s="1596">
        <v>1</v>
      </c>
      <c r="I246" s="1595"/>
      <c r="J246" s="1595"/>
      <c r="K246" s="1599">
        <v>96</v>
      </c>
      <c r="L246" s="1599">
        <v>96.5</v>
      </c>
      <c r="M246" s="1599">
        <v>-96.5</v>
      </c>
      <c r="N246" s="1598"/>
      <c r="O246" s="1598"/>
      <c r="P246" s="1599">
        <v>96.5</v>
      </c>
      <c r="Q246" s="1599">
        <v>-96.5</v>
      </c>
      <c r="R246" s="1598"/>
      <c r="S246" s="1592"/>
    </row>
    <row r="247" spans="2:19" s="1593" customFormat="1" ht="11.25" customHeight="1" outlineLevel="1">
      <c r="B247" s="1594">
        <v>10629</v>
      </c>
      <c r="C247" s="1595" t="s">
        <v>5403</v>
      </c>
      <c r="D247" s="1595" t="s">
        <v>14499</v>
      </c>
      <c r="E247" s="1595"/>
      <c r="F247" s="1595"/>
      <c r="G247" s="1595" t="s">
        <v>14051</v>
      </c>
      <c r="H247" s="1596">
        <v>1</v>
      </c>
      <c r="I247" s="1595"/>
      <c r="J247" s="1595"/>
      <c r="K247" s="1597">
        <v>414250</v>
      </c>
      <c r="L247" s="1597">
        <v>414250</v>
      </c>
      <c r="M247" s="1598"/>
      <c r="N247" s="1597">
        <v>414250</v>
      </c>
      <c r="O247" s="1597">
        <v>49586.64</v>
      </c>
      <c r="P247" s="1597">
        <v>352266.64</v>
      </c>
      <c r="Q247" s="1597">
        <v>12396.72</v>
      </c>
      <c r="R247" s="1597">
        <v>364663.36</v>
      </c>
      <c r="S247" s="1592"/>
    </row>
    <row r="248" spans="2:19" s="1593" customFormat="1" ht="11.25" customHeight="1" outlineLevel="1">
      <c r="B248" s="1594">
        <v>10630</v>
      </c>
      <c r="C248" s="1595" t="s">
        <v>5403</v>
      </c>
      <c r="D248" s="1595" t="s">
        <v>14498</v>
      </c>
      <c r="E248" s="1595"/>
      <c r="F248" s="1595"/>
      <c r="G248" s="1595"/>
      <c r="H248" s="1596">
        <v>1</v>
      </c>
      <c r="I248" s="1595"/>
      <c r="J248" s="1595"/>
      <c r="K248" s="1597">
        <v>11570</v>
      </c>
      <c r="L248" s="1597">
        <v>11570</v>
      </c>
      <c r="M248" s="1597">
        <v>-11570</v>
      </c>
      <c r="N248" s="1598"/>
      <c r="O248" s="1598"/>
      <c r="P248" s="1597">
        <v>11570</v>
      </c>
      <c r="Q248" s="1597">
        <v>-11570</v>
      </c>
      <c r="R248" s="1598"/>
      <c r="S248" s="1592"/>
    </row>
    <row r="249" spans="2:19" s="1593" customFormat="1" ht="11.25" customHeight="1" outlineLevel="1">
      <c r="B249" s="1594">
        <v>10632</v>
      </c>
      <c r="C249" s="1595" t="s">
        <v>5403</v>
      </c>
      <c r="D249" s="1595" t="s">
        <v>14497</v>
      </c>
      <c r="E249" s="1595"/>
      <c r="F249" s="1595"/>
      <c r="G249" s="1595"/>
      <c r="H249" s="1596">
        <v>1</v>
      </c>
      <c r="I249" s="1595"/>
      <c r="J249" s="1595"/>
      <c r="K249" s="1599">
        <v>608</v>
      </c>
      <c r="L249" s="1599">
        <v>607.52</v>
      </c>
      <c r="M249" s="1599">
        <v>-607.52</v>
      </c>
      <c r="N249" s="1598"/>
      <c r="O249" s="1598"/>
      <c r="P249" s="1599">
        <v>607.52</v>
      </c>
      <c r="Q249" s="1599">
        <v>-607.52</v>
      </c>
      <c r="R249" s="1598"/>
      <c r="S249" s="1592"/>
    </row>
    <row r="250" spans="2:19" s="1593" customFormat="1" ht="11.25" customHeight="1" outlineLevel="1">
      <c r="B250" s="1594">
        <v>10634</v>
      </c>
      <c r="C250" s="1595" t="s">
        <v>5403</v>
      </c>
      <c r="D250" s="1595" t="s">
        <v>14496</v>
      </c>
      <c r="E250" s="1595"/>
      <c r="F250" s="1595"/>
      <c r="G250" s="1595"/>
      <c r="H250" s="1596">
        <v>1</v>
      </c>
      <c r="I250" s="1595"/>
      <c r="J250" s="1595"/>
      <c r="K250" s="1599">
        <v>251</v>
      </c>
      <c r="L250" s="1599">
        <v>251</v>
      </c>
      <c r="M250" s="1599">
        <v>-251</v>
      </c>
      <c r="N250" s="1598"/>
      <c r="O250" s="1598"/>
      <c r="P250" s="1599">
        <v>251</v>
      </c>
      <c r="Q250" s="1599">
        <v>-251</v>
      </c>
      <c r="R250" s="1598"/>
      <c r="S250" s="1592"/>
    </row>
    <row r="251" spans="2:19" s="1593" customFormat="1" ht="11.25" customHeight="1" outlineLevel="1">
      <c r="B251" s="1594">
        <v>10635</v>
      </c>
      <c r="C251" s="1595" t="s">
        <v>5403</v>
      </c>
      <c r="D251" s="1595" t="s">
        <v>14495</v>
      </c>
      <c r="E251" s="1595"/>
      <c r="F251" s="1595"/>
      <c r="G251" s="1595"/>
      <c r="H251" s="1596">
        <v>1</v>
      </c>
      <c r="I251" s="1595"/>
      <c r="J251" s="1595"/>
      <c r="K251" s="1599">
        <v>159</v>
      </c>
      <c r="L251" s="1599">
        <v>159</v>
      </c>
      <c r="M251" s="1599">
        <v>-159</v>
      </c>
      <c r="N251" s="1598"/>
      <c r="O251" s="1598"/>
      <c r="P251" s="1599">
        <v>159</v>
      </c>
      <c r="Q251" s="1599">
        <v>-159</v>
      </c>
      <c r="R251" s="1598"/>
      <c r="S251" s="1592"/>
    </row>
    <row r="252" spans="2:19" s="1593" customFormat="1" ht="11.25" customHeight="1" outlineLevel="1">
      <c r="B252" s="1594">
        <v>10636</v>
      </c>
      <c r="C252" s="1595" t="s">
        <v>5403</v>
      </c>
      <c r="D252" s="1595" t="s">
        <v>14494</v>
      </c>
      <c r="E252" s="1595"/>
      <c r="F252" s="1595"/>
      <c r="G252" s="1595"/>
      <c r="H252" s="1596">
        <v>1</v>
      </c>
      <c r="I252" s="1595"/>
      <c r="J252" s="1595"/>
      <c r="K252" s="1599">
        <v>482</v>
      </c>
      <c r="L252" s="1599">
        <v>482</v>
      </c>
      <c r="M252" s="1599">
        <v>-482</v>
      </c>
      <c r="N252" s="1598"/>
      <c r="O252" s="1598"/>
      <c r="P252" s="1599">
        <v>482</v>
      </c>
      <c r="Q252" s="1599">
        <v>-482</v>
      </c>
      <c r="R252" s="1598"/>
      <c r="S252" s="1592"/>
    </row>
    <row r="253" spans="2:19" s="1593" customFormat="1" ht="11.25" customHeight="1" outlineLevel="1">
      <c r="B253" s="1594">
        <v>10640</v>
      </c>
      <c r="C253" s="1595" t="s">
        <v>5403</v>
      </c>
      <c r="D253" s="1595" t="s">
        <v>14493</v>
      </c>
      <c r="E253" s="1595"/>
      <c r="F253" s="1595"/>
      <c r="G253" s="1595"/>
      <c r="H253" s="1596">
        <v>1</v>
      </c>
      <c r="I253" s="1595"/>
      <c r="J253" s="1595"/>
      <c r="K253" s="1599">
        <v>442</v>
      </c>
      <c r="L253" s="1599">
        <v>442</v>
      </c>
      <c r="M253" s="1599">
        <v>-442</v>
      </c>
      <c r="N253" s="1598"/>
      <c r="O253" s="1598"/>
      <c r="P253" s="1599">
        <v>442</v>
      </c>
      <c r="Q253" s="1599">
        <v>-442</v>
      </c>
      <c r="R253" s="1598"/>
      <c r="S253" s="1592"/>
    </row>
    <row r="254" spans="2:19" s="1593" customFormat="1" ht="21.75" customHeight="1" outlineLevel="1">
      <c r="B254" s="1594">
        <v>10655</v>
      </c>
      <c r="C254" s="1595" t="s">
        <v>5403</v>
      </c>
      <c r="D254" s="1595" t="s">
        <v>14492</v>
      </c>
      <c r="E254" s="1595"/>
      <c r="F254" s="1595"/>
      <c r="G254" s="1595" t="s">
        <v>14051</v>
      </c>
      <c r="H254" s="1596">
        <v>1</v>
      </c>
      <c r="I254" s="1595"/>
      <c r="J254" s="1595"/>
      <c r="K254" s="1597">
        <v>743274</v>
      </c>
      <c r="L254" s="1597">
        <v>3035099.51</v>
      </c>
      <c r="M254" s="1598"/>
      <c r="N254" s="1597">
        <v>3035099.51</v>
      </c>
      <c r="O254" s="1597">
        <v>1448834.67</v>
      </c>
      <c r="P254" s="1597">
        <v>1483388.96</v>
      </c>
      <c r="Q254" s="1597">
        <v>102875.88</v>
      </c>
      <c r="R254" s="1597">
        <v>1586264.84</v>
      </c>
      <c r="S254" s="1592"/>
    </row>
    <row r="255" spans="2:19" s="1593" customFormat="1" ht="11.25" customHeight="1" outlineLevel="1">
      <c r="B255" s="1594">
        <v>10656</v>
      </c>
      <c r="C255" s="1595" t="s">
        <v>5403</v>
      </c>
      <c r="D255" s="1595" t="s">
        <v>14491</v>
      </c>
      <c r="E255" s="1595"/>
      <c r="F255" s="1595"/>
      <c r="G255" s="1595"/>
      <c r="H255" s="1596">
        <v>1</v>
      </c>
      <c r="I255" s="1595"/>
      <c r="J255" s="1595"/>
      <c r="K255" s="1597">
        <v>44760</v>
      </c>
      <c r="L255" s="1597">
        <v>44760.34</v>
      </c>
      <c r="M255" s="1597">
        <v>-44760.34</v>
      </c>
      <c r="N255" s="1598"/>
      <c r="O255" s="1598"/>
      <c r="P255" s="1597">
        <v>44760.34</v>
      </c>
      <c r="Q255" s="1597">
        <v>-44760.34</v>
      </c>
      <c r="R255" s="1598"/>
      <c r="S255" s="1592"/>
    </row>
    <row r="256" spans="2:19" s="1593" customFormat="1" ht="11.25" customHeight="1" outlineLevel="1">
      <c r="B256" s="1594">
        <v>10657</v>
      </c>
      <c r="C256" s="1595" t="s">
        <v>5403</v>
      </c>
      <c r="D256" s="1595" t="s">
        <v>14490</v>
      </c>
      <c r="E256" s="1595"/>
      <c r="F256" s="1595"/>
      <c r="G256" s="1595"/>
      <c r="H256" s="1596">
        <v>1</v>
      </c>
      <c r="I256" s="1595"/>
      <c r="J256" s="1595"/>
      <c r="K256" s="1597">
        <v>6269</v>
      </c>
      <c r="L256" s="1597">
        <v>6269</v>
      </c>
      <c r="M256" s="1597">
        <v>-6269</v>
      </c>
      <c r="N256" s="1598"/>
      <c r="O256" s="1598"/>
      <c r="P256" s="1597">
        <v>6269</v>
      </c>
      <c r="Q256" s="1597">
        <v>-6269</v>
      </c>
      <c r="R256" s="1598"/>
      <c r="S256" s="1592"/>
    </row>
    <row r="257" spans="2:19" s="1593" customFormat="1" ht="11.25" customHeight="1" outlineLevel="1">
      <c r="B257" s="1594">
        <v>10658</v>
      </c>
      <c r="C257" s="1595" t="s">
        <v>5403</v>
      </c>
      <c r="D257" s="1595" t="s">
        <v>14489</v>
      </c>
      <c r="E257" s="1595"/>
      <c r="F257" s="1595"/>
      <c r="G257" s="1595"/>
      <c r="H257" s="1596">
        <v>1</v>
      </c>
      <c r="I257" s="1595"/>
      <c r="J257" s="1595"/>
      <c r="K257" s="1597">
        <v>1929</v>
      </c>
      <c r="L257" s="1597">
        <v>1929</v>
      </c>
      <c r="M257" s="1597">
        <v>-1929</v>
      </c>
      <c r="N257" s="1598"/>
      <c r="O257" s="1598"/>
      <c r="P257" s="1597">
        <v>1929</v>
      </c>
      <c r="Q257" s="1597">
        <v>-1929</v>
      </c>
      <c r="R257" s="1598"/>
      <c r="S257" s="1592"/>
    </row>
    <row r="258" spans="2:19" s="1593" customFormat="1" ht="11.25" customHeight="1" outlineLevel="1">
      <c r="B258" s="1594">
        <v>10659</v>
      </c>
      <c r="C258" s="1595" t="s">
        <v>5403</v>
      </c>
      <c r="D258" s="1595" t="s">
        <v>14488</v>
      </c>
      <c r="E258" s="1595"/>
      <c r="F258" s="1595"/>
      <c r="G258" s="1595"/>
      <c r="H258" s="1596">
        <v>1</v>
      </c>
      <c r="I258" s="1595"/>
      <c r="J258" s="1595"/>
      <c r="K258" s="1597">
        <v>5787</v>
      </c>
      <c r="L258" s="1597">
        <v>5786.5</v>
      </c>
      <c r="M258" s="1597">
        <v>-5786.5</v>
      </c>
      <c r="N258" s="1598"/>
      <c r="O258" s="1598"/>
      <c r="P258" s="1597">
        <v>5786.5</v>
      </c>
      <c r="Q258" s="1597">
        <v>-5786.5</v>
      </c>
      <c r="R258" s="1598"/>
      <c r="S258" s="1592"/>
    </row>
    <row r="259" spans="2:19" s="1593" customFormat="1" ht="11.25" customHeight="1" outlineLevel="1">
      <c r="B259" s="1594">
        <v>10660</v>
      </c>
      <c r="C259" s="1595" t="s">
        <v>5403</v>
      </c>
      <c r="D259" s="1595" t="s">
        <v>14487</v>
      </c>
      <c r="E259" s="1595"/>
      <c r="F259" s="1595"/>
      <c r="G259" s="1595"/>
      <c r="H259" s="1596">
        <v>1</v>
      </c>
      <c r="I259" s="1595"/>
      <c r="J259" s="1595"/>
      <c r="K259" s="1599">
        <v>868</v>
      </c>
      <c r="L259" s="1599">
        <v>868</v>
      </c>
      <c r="M259" s="1599">
        <v>-868</v>
      </c>
      <c r="N259" s="1598"/>
      <c r="O259" s="1598"/>
      <c r="P259" s="1599">
        <v>868</v>
      </c>
      <c r="Q259" s="1599">
        <v>-868</v>
      </c>
      <c r="R259" s="1598"/>
      <c r="S259" s="1592"/>
    </row>
    <row r="260" spans="2:19" s="1593" customFormat="1" ht="11.25" customHeight="1" outlineLevel="1">
      <c r="B260" s="1594">
        <v>10661</v>
      </c>
      <c r="C260" s="1595" t="s">
        <v>5403</v>
      </c>
      <c r="D260" s="1595" t="s">
        <v>14486</v>
      </c>
      <c r="E260" s="1595"/>
      <c r="F260" s="1595"/>
      <c r="G260" s="1595"/>
      <c r="H260" s="1596">
        <v>1</v>
      </c>
      <c r="I260" s="1595"/>
      <c r="J260" s="1595"/>
      <c r="K260" s="1599">
        <v>96</v>
      </c>
      <c r="L260" s="1599">
        <v>96.48</v>
      </c>
      <c r="M260" s="1599">
        <v>-96.48</v>
      </c>
      <c r="N260" s="1598"/>
      <c r="O260" s="1598"/>
      <c r="P260" s="1599">
        <v>96.48</v>
      </c>
      <c r="Q260" s="1599">
        <v>-96.48</v>
      </c>
      <c r="R260" s="1598"/>
      <c r="S260" s="1592"/>
    </row>
    <row r="261" spans="2:19" s="1593" customFormat="1" ht="11.25" customHeight="1" outlineLevel="1">
      <c r="B261" s="1594">
        <v>10662</v>
      </c>
      <c r="C261" s="1595" t="s">
        <v>5403</v>
      </c>
      <c r="D261" s="1595" t="s">
        <v>14485</v>
      </c>
      <c r="E261" s="1595"/>
      <c r="F261" s="1595"/>
      <c r="G261" s="1595"/>
      <c r="H261" s="1596">
        <v>1</v>
      </c>
      <c r="I261" s="1595"/>
      <c r="J261" s="1595"/>
      <c r="K261" s="1597">
        <v>42352</v>
      </c>
      <c r="L261" s="1597">
        <v>42352</v>
      </c>
      <c r="M261" s="1597">
        <v>-42352</v>
      </c>
      <c r="N261" s="1598"/>
      <c r="O261" s="1598"/>
      <c r="P261" s="1597">
        <v>42352</v>
      </c>
      <c r="Q261" s="1597">
        <v>-42352</v>
      </c>
      <c r="R261" s="1598"/>
      <c r="S261" s="1592"/>
    </row>
    <row r="262" spans="2:19" s="1593" customFormat="1" ht="11.25" customHeight="1" outlineLevel="1">
      <c r="B262" s="1594">
        <v>10668</v>
      </c>
      <c r="C262" s="1595" t="s">
        <v>5403</v>
      </c>
      <c r="D262" s="1595" t="s">
        <v>14484</v>
      </c>
      <c r="E262" s="1595"/>
      <c r="F262" s="1595"/>
      <c r="G262" s="1595" t="s">
        <v>14051</v>
      </c>
      <c r="H262" s="1596">
        <v>1</v>
      </c>
      <c r="I262" s="1595"/>
      <c r="J262" s="1595"/>
      <c r="K262" s="1597">
        <v>17106</v>
      </c>
      <c r="L262" s="1597">
        <v>17106</v>
      </c>
      <c r="M262" s="1598"/>
      <c r="N262" s="1597">
        <v>17106</v>
      </c>
      <c r="O262" s="1597">
        <v>2484.86</v>
      </c>
      <c r="P262" s="1597">
        <v>14124.22</v>
      </c>
      <c r="Q262" s="1599">
        <v>496.92</v>
      </c>
      <c r="R262" s="1597">
        <v>14621.14</v>
      </c>
      <c r="S262" s="1592"/>
    </row>
    <row r="263" spans="2:19" s="1593" customFormat="1" ht="11.25" customHeight="1" outlineLevel="1">
      <c r="B263" s="1594">
        <v>10669</v>
      </c>
      <c r="C263" s="1595" t="s">
        <v>5403</v>
      </c>
      <c r="D263" s="1595" t="s">
        <v>14483</v>
      </c>
      <c r="E263" s="1595"/>
      <c r="F263" s="1595"/>
      <c r="G263" s="1595"/>
      <c r="H263" s="1596">
        <v>1</v>
      </c>
      <c r="I263" s="1595"/>
      <c r="J263" s="1595"/>
      <c r="K263" s="1597">
        <v>4075</v>
      </c>
      <c r="L263" s="1597">
        <v>4075.25</v>
      </c>
      <c r="M263" s="1597">
        <v>-4075.25</v>
      </c>
      <c r="N263" s="1598"/>
      <c r="O263" s="1598"/>
      <c r="P263" s="1597">
        <v>4075.25</v>
      </c>
      <c r="Q263" s="1597">
        <v>-4075.25</v>
      </c>
      <c r="R263" s="1598"/>
      <c r="S263" s="1592"/>
    </row>
    <row r="264" spans="2:19" s="1593" customFormat="1" ht="11.25" customHeight="1" outlineLevel="1">
      <c r="B264" s="1594">
        <v>10670</v>
      </c>
      <c r="C264" s="1595" t="s">
        <v>5403</v>
      </c>
      <c r="D264" s="1595" t="s">
        <v>14482</v>
      </c>
      <c r="E264" s="1595"/>
      <c r="F264" s="1595"/>
      <c r="G264" s="1595" t="s">
        <v>14051</v>
      </c>
      <c r="H264" s="1596">
        <v>1</v>
      </c>
      <c r="I264" s="1595"/>
      <c r="J264" s="1595"/>
      <c r="K264" s="1597">
        <v>36895</v>
      </c>
      <c r="L264" s="1597">
        <v>36895</v>
      </c>
      <c r="M264" s="1598"/>
      <c r="N264" s="1597">
        <v>36895</v>
      </c>
      <c r="O264" s="1597">
        <v>9763.18</v>
      </c>
      <c r="P264" s="1597">
        <v>26209.26</v>
      </c>
      <c r="Q264" s="1599">
        <v>922.56</v>
      </c>
      <c r="R264" s="1597">
        <v>27131.82</v>
      </c>
      <c r="S264" s="1592"/>
    </row>
    <row r="265" spans="2:19" s="1593" customFormat="1" ht="21.75" customHeight="1" outlineLevel="1">
      <c r="B265" s="1594">
        <v>10673</v>
      </c>
      <c r="C265" s="1595" t="s">
        <v>5403</v>
      </c>
      <c r="D265" s="1595" t="s">
        <v>14481</v>
      </c>
      <c r="E265" s="1595"/>
      <c r="F265" s="1595"/>
      <c r="G265" s="1595" t="s">
        <v>8184</v>
      </c>
      <c r="H265" s="1596">
        <v>1</v>
      </c>
      <c r="I265" s="1595"/>
      <c r="J265" s="1595"/>
      <c r="K265" s="1597">
        <v>126649</v>
      </c>
      <c r="L265" s="1597">
        <v>153019.20000000001</v>
      </c>
      <c r="M265" s="1598"/>
      <c r="N265" s="1597">
        <v>153019.20000000001</v>
      </c>
      <c r="O265" s="1597">
        <v>2583.37</v>
      </c>
      <c r="P265" s="1597">
        <v>137262.74</v>
      </c>
      <c r="Q265" s="1597">
        <v>13173.09</v>
      </c>
      <c r="R265" s="1597">
        <v>150435.82999999999</v>
      </c>
      <c r="S265" s="1592"/>
    </row>
    <row r="266" spans="2:19" s="1593" customFormat="1" ht="11.25" customHeight="1" outlineLevel="1">
      <c r="B266" s="1594">
        <v>10674</v>
      </c>
      <c r="C266" s="1595" t="s">
        <v>5403</v>
      </c>
      <c r="D266" s="1595" t="s">
        <v>14480</v>
      </c>
      <c r="E266" s="1595"/>
      <c r="F266" s="1595"/>
      <c r="G266" s="1595" t="s">
        <v>3734</v>
      </c>
      <c r="H266" s="1596">
        <v>1</v>
      </c>
      <c r="I266" s="1595"/>
      <c r="J266" s="1595"/>
      <c r="K266" s="1597">
        <v>90352</v>
      </c>
      <c r="L266" s="1597">
        <v>527540</v>
      </c>
      <c r="M266" s="1598"/>
      <c r="N266" s="1597">
        <v>527540</v>
      </c>
      <c r="O266" s="1597">
        <v>43340.13</v>
      </c>
      <c r="P266" s="1597">
        <v>263201.02</v>
      </c>
      <c r="Q266" s="1597">
        <v>220998.85</v>
      </c>
      <c r="R266" s="1597">
        <v>484199.87</v>
      </c>
      <c r="S266" s="1592"/>
    </row>
    <row r="267" spans="2:19" s="1593" customFormat="1" ht="11.25" customHeight="1" outlineLevel="1">
      <c r="B267" s="1594">
        <v>10675</v>
      </c>
      <c r="C267" s="1595" t="s">
        <v>5403</v>
      </c>
      <c r="D267" s="1595" t="s">
        <v>14479</v>
      </c>
      <c r="E267" s="1595"/>
      <c r="F267" s="1595"/>
      <c r="G267" s="1595" t="s">
        <v>3734</v>
      </c>
      <c r="H267" s="1596">
        <v>1</v>
      </c>
      <c r="I267" s="1595"/>
      <c r="J267" s="1595"/>
      <c r="K267" s="1597">
        <v>260173</v>
      </c>
      <c r="L267" s="1597">
        <v>260173</v>
      </c>
      <c r="M267" s="1598"/>
      <c r="N267" s="1597">
        <v>260173</v>
      </c>
      <c r="O267" s="1597">
        <v>44076.87</v>
      </c>
      <c r="P267" s="1597">
        <v>208749.97</v>
      </c>
      <c r="Q267" s="1597">
        <v>7346.16</v>
      </c>
      <c r="R267" s="1597">
        <v>216096.13</v>
      </c>
      <c r="S267" s="1592"/>
    </row>
    <row r="268" spans="2:19" s="1593" customFormat="1" ht="11.25" customHeight="1" outlineLevel="1">
      <c r="B268" s="1594">
        <v>10676</v>
      </c>
      <c r="C268" s="1595" t="s">
        <v>5403</v>
      </c>
      <c r="D268" s="1595" t="s">
        <v>14478</v>
      </c>
      <c r="E268" s="1595"/>
      <c r="F268" s="1595"/>
      <c r="G268" s="1595" t="s">
        <v>3734</v>
      </c>
      <c r="H268" s="1596">
        <v>1</v>
      </c>
      <c r="I268" s="1601">
        <v>5400</v>
      </c>
      <c r="J268" s="1595"/>
      <c r="K268" s="1597">
        <v>9412714</v>
      </c>
      <c r="L268" s="1597">
        <v>9864509.8300000001</v>
      </c>
      <c r="M268" s="1598"/>
      <c r="N268" s="1597">
        <v>9864509.8300000001</v>
      </c>
      <c r="O268" s="1597">
        <v>54171.16</v>
      </c>
      <c r="P268" s="1597">
        <v>9534110.4700000007</v>
      </c>
      <c r="Q268" s="1597">
        <v>276228.2</v>
      </c>
      <c r="R268" s="1597">
        <v>9810338.6699999999</v>
      </c>
      <c r="S268" s="1592"/>
    </row>
    <row r="269" spans="2:19" s="1593" customFormat="1" ht="11.25" customHeight="1" outlineLevel="1">
      <c r="B269" s="1594">
        <v>10677</v>
      </c>
      <c r="C269" s="1595" t="s">
        <v>5403</v>
      </c>
      <c r="D269" s="1595" t="s">
        <v>14477</v>
      </c>
      <c r="E269" s="1595"/>
      <c r="F269" s="1595"/>
      <c r="G269" s="1595" t="s">
        <v>14051</v>
      </c>
      <c r="H269" s="1596">
        <v>1</v>
      </c>
      <c r="I269" s="1595"/>
      <c r="J269" s="1595"/>
      <c r="K269" s="1597">
        <v>213248.88</v>
      </c>
      <c r="L269" s="1597">
        <v>251379.88</v>
      </c>
      <c r="M269" s="1598"/>
      <c r="N269" s="1597">
        <v>251379.88</v>
      </c>
      <c r="O269" s="1597">
        <v>20387.23</v>
      </c>
      <c r="P269" s="1597">
        <v>125045.88</v>
      </c>
      <c r="Q269" s="1597">
        <v>105946.77</v>
      </c>
      <c r="R269" s="1597">
        <v>230992.65</v>
      </c>
      <c r="S269" s="1592"/>
    </row>
    <row r="270" spans="2:19" s="1593" customFormat="1" ht="11.25" customHeight="1" outlineLevel="1">
      <c r="B270" s="1594">
        <v>10678</v>
      </c>
      <c r="C270" s="1595" t="s">
        <v>5403</v>
      </c>
      <c r="D270" s="1595" t="s">
        <v>14476</v>
      </c>
      <c r="E270" s="1595"/>
      <c r="F270" s="1595"/>
      <c r="G270" s="1595"/>
      <c r="H270" s="1596">
        <v>1</v>
      </c>
      <c r="I270" s="1595"/>
      <c r="J270" s="1595"/>
      <c r="K270" s="1597">
        <v>1000</v>
      </c>
      <c r="L270" s="1597">
        <v>1000.25</v>
      </c>
      <c r="M270" s="1597">
        <v>-1000.25</v>
      </c>
      <c r="N270" s="1598"/>
      <c r="O270" s="1598"/>
      <c r="P270" s="1597">
        <v>1000.25</v>
      </c>
      <c r="Q270" s="1597">
        <v>-1000.25</v>
      </c>
      <c r="R270" s="1598"/>
      <c r="S270" s="1592"/>
    </row>
    <row r="271" spans="2:19" s="1593" customFormat="1" ht="11.25" customHeight="1" outlineLevel="1">
      <c r="B271" s="1594">
        <v>10679</v>
      </c>
      <c r="C271" s="1595" t="s">
        <v>5403</v>
      </c>
      <c r="D271" s="1595" t="s">
        <v>14475</v>
      </c>
      <c r="E271" s="1595"/>
      <c r="F271" s="1595"/>
      <c r="G271" s="1595"/>
      <c r="H271" s="1596">
        <v>1</v>
      </c>
      <c r="I271" s="1595"/>
      <c r="J271" s="1595"/>
      <c r="K271" s="1599">
        <v>74</v>
      </c>
      <c r="L271" s="1599">
        <v>74</v>
      </c>
      <c r="M271" s="1599">
        <v>-74</v>
      </c>
      <c r="N271" s="1598"/>
      <c r="O271" s="1598"/>
      <c r="P271" s="1599">
        <v>74</v>
      </c>
      <c r="Q271" s="1599">
        <v>-74</v>
      </c>
      <c r="R271" s="1598"/>
      <c r="S271" s="1592"/>
    </row>
    <row r="272" spans="2:19" s="1593" customFormat="1" ht="11.25" customHeight="1" outlineLevel="1">
      <c r="B272" s="1594">
        <v>10688</v>
      </c>
      <c r="C272" s="1595" t="s">
        <v>5403</v>
      </c>
      <c r="D272" s="1595" t="s">
        <v>14474</v>
      </c>
      <c r="E272" s="1595"/>
      <c r="F272" s="1595"/>
      <c r="G272" s="1595"/>
      <c r="H272" s="1596">
        <v>1</v>
      </c>
      <c r="I272" s="1595"/>
      <c r="J272" s="1595"/>
      <c r="K272" s="1599">
        <v>159</v>
      </c>
      <c r="L272" s="1599">
        <v>159.19999999999999</v>
      </c>
      <c r="M272" s="1599">
        <v>-159.19999999999999</v>
      </c>
      <c r="N272" s="1598"/>
      <c r="O272" s="1598"/>
      <c r="P272" s="1599">
        <v>159.19999999999999</v>
      </c>
      <c r="Q272" s="1599">
        <v>-159.19999999999999</v>
      </c>
      <c r="R272" s="1598"/>
      <c r="S272" s="1592"/>
    </row>
    <row r="273" spans="2:19" s="1593" customFormat="1" ht="11.25" customHeight="1" outlineLevel="1">
      <c r="B273" s="1594">
        <v>10689</v>
      </c>
      <c r="C273" s="1595" t="s">
        <v>5403</v>
      </c>
      <c r="D273" s="1595" t="s">
        <v>14473</v>
      </c>
      <c r="E273" s="1595"/>
      <c r="F273" s="1595"/>
      <c r="G273" s="1595"/>
      <c r="H273" s="1596">
        <v>1</v>
      </c>
      <c r="I273" s="1595"/>
      <c r="J273" s="1595"/>
      <c r="K273" s="1599">
        <v>82</v>
      </c>
      <c r="L273" s="1599">
        <v>81.84</v>
      </c>
      <c r="M273" s="1599">
        <v>-81.84</v>
      </c>
      <c r="N273" s="1598"/>
      <c r="O273" s="1598"/>
      <c r="P273" s="1599">
        <v>81.84</v>
      </c>
      <c r="Q273" s="1599">
        <v>-81.84</v>
      </c>
      <c r="R273" s="1598"/>
      <c r="S273" s="1592"/>
    </row>
    <row r="274" spans="2:19" s="1593" customFormat="1" ht="11.25" customHeight="1" outlineLevel="1">
      <c r="B274" s="1594">
        <v>10690</v>
      </c>
      <c r="C274" s="1595" t="s">
        <v>5403</v>
      </c>
      <c r="D274" s="1595" t="s">
        <v>14472</v>
      </c>
      <c r="E274" s="1595"/>
      <c r="F274" s="1595"/>
      <c r="G274" s="1595"/>
      <c r="H274" s="1596">
        <v>1</v>
      </c>
      <c r="I274" s="1595"/>
      <c r="J274" s="1595"/>
      <c r="K274" s="1599">
        <v>58</v>
      </c>
      <c r="L274" s="1599">
        <v>57.9</v>
      </c>
      <c r="M274" s="1599">
        <v>-57.9</v>
      </c>
      <c r="N274" s="1598"/>
      <c r="O274" s="1598"/>
      <c r="P274" s="1599">
        <v>57.9</v>
      </c>
      <c r="Q274" s="1599">
        <v>-57.9</v>
      </c>
      <c r="R274" s="1598"/>
      <c r="S274" s="1592"/>
    </row>
    <row r="275" spans="2:19" s="1593" customFormat="1" ht="11.25" customHeight="1" outlineLevel="1">
      <c r="B275" s="1594">
        <v>10691</v>
      </c>
      <c r="C275" s="1595" t="s">
        <v>5403</v>
      </c>
      <c r="D275" s="1595" t="s">
        <v>14471</v>
      </c>
      <c r="E275" s="1595"/>
      <c r="F275" s="1595"/>
      <c r="G275" s="1595" t="s">
        <v>14051</v>
      </c>
      <c r="H275" s="1596">
        <v>1</v>
      </c>
      <c r="I275" s="1595"/>
      <c r="J275" s="1595"/>
      <c r="K275" s="1597">
        <v>1659631</v>
      </c>
      <c r="L275" s="1597">
        <v>1659631</v>
      </c>
      <c r="M275" s="1598"/>
      <c r="N275" s="1597">
        <v>1659631</v>
      </c>
      <c r="O275" s="1597">
        <v>439112.08</v>
      </c>
      <c r="P275" s="1597">
        <v>1179027.96</v>
      </c>
      <c r="Q275" s="1597">
        <v>41490.959999999999</v>
      </c>
      <c r="R275" s="1597">
        <v>1220518.92</v>
      </c>
      <c r="S275" s="1592"/>
    </row>
    <row r="276" spans="2:19" s="1593" customFormat="1" ht="11.25" customHeight="1" outlineLevel="1">
      <c r="B276" s="1594">
        <v>10692</v>
      </c>
      <c r="C276" s="1595" t="s">
        <v>5403</v>
      </c>
      <c r="D276" s="1595" t="s">
        <v>14470</v>
      </c>
      <c r="E276" s="1595"/>
      <c r="F276" s="1595"/>
      <c r="G276" s="1595" t="s">
        <v>3734</v>
      </c>
      <c r="H276" s="1596">
        <v>1</v>
      </c>
      <c r="I276" s="1595"/>
      <c r="J276" s="1595"/>
      <c r="K276" s="1597">
        <v>5488</v>
      </c>
      <c r="L276" s="1597">
        <v>5488</v>
      </c>
      <c r="M276" s="1598"/>
      <c r="N276" s="1597">
        <v>5488</v>
      </c>
      <c r="O276" s="1597">
        <v>2258.17</v>
      </c>
      <c r="P276" s="1597">
        <v>3120.15</v>
      </c>
      <c r="Q276" s="1599">
        <v>109.68</v>
      </c>
      <c r="R276" s="1597">
        <v>3229.83</v>
      </c>
      <c r="S276" s="1592"/>
    </row>
    <row r="277" spans="2:19" s="1593" customFormat="1" ht="11.25" customHeight="1" outlineLevel="1">
      <c r="B277" s="1594">
        <v>10693</v>
      </c>
      <c r="C277" s="1595" t="s">
        <v>5403</v>
      </c>
      <c r="D277" s="1595" t="s">
        <v>14469</v>
      </c>
      <c r="E277" s="1595"/>
      <c r="F277" s="1595"/>
      <c r="G277" s="1595"/>
      <c r="H277" s="1596">
        <v>1</v>
      </c>
      <c r="I277" s="1595"/>
      <c r="J277" s="1595"/>
      <c r="K277" s="1597">
        <v>24024</v>
      </c>
      <c r="L277" s="1597">
        <v>24024</v>
      </c>
      <c r="M277" s="1597">
        <v>-24024</v>
      </c>
      <c r="N277" s="1598"/>
      <c r="O277" s="1598"/>
      <c r="P277" s="1597">
        <v>24024</v>
      </c>
      <c r="Q277" s="1597">
        <v>-24024</v>
      </c>
      <c r="R277" s="1598"/>
      <c r="S277" s="1592"/>
    </row>
    <row r="278" spans="2:19" s="1593" customFormat="1" ht="11.25" customHeight="1" outlineLevel="1">
      <c r="B278" s="1594">
        <v>10695</v>
      </c>
      <c r="C278" s="1595" t="s">
        <v>5403</v>
      </c>
      <c r="D278" s="1595" t="s">
        <v>14468</v>
      </c>
      <c r="E278" s="1595"/>
      <c r="F278" s="1595"/>
      <c r="G278" s="1595"/>
      <c r="H278" s="1596">
        <v>1</v>
      </c>
      <c r="I278" s="1595"/>
      <c r="J278" s="1595"/>
      <c r="K278" s="1599">
        <v>543</v>
      </c>
      <c r="L278" s="1599">
        <v>543</v>
      </c>
      <c r="M278" s="1599">
        <v>-543</v>
      </c>
      <c r="N278" s="1598"/>
      <c r="O278" s="1598"/>
      <c r="P278" s="1599">
        <v>543</v>
      </c>
      <c r="Q278" s="1599">
        <v>-543</v>
      </c>
      <c r="R278" s="1598"/>
      <c r="S278" s="1592"/>
    </row>
    <row r="279" spans="2:19" s="1593" customFormat="1" ht="11.25" customHeight="1" outlineLevel="1">
      <c r="B279" s="1594">
        <v>10697</v>
      </c>
      <c r="C279" s="1595" t="s">
        <v>5403</v>
      </c>
      <c r="D279" s="1595" t="s">
        <v>14467</v>
      </c>
      <c r="E279" s="1595"/>
      <c r="F279" s="1595"/>
      <c r="G279" s="1595"/>
      <c r="H279" s="1596">
        <v>1</v>
      </c>
      <c r="I279" s="1595"/>
      <c r="J279" s="1595"/>
      <c r="K279" s="1597">
        <v>2230</v>
      </c>
      <c r="L279" s="1597">
        <v>2230</v>
      </c>
      <c r="M279" s="1597">
        <v>-2230</v>
      </c>
      <c r="N279" s="1598"/>
      <c r="O279" s="1598"/>
      <c r="P279" s="1597">
        <v>2230</v>
      </c>
      <c r="Q279" s="1597">
        <v>-2230</v>
      </c>
      <c r="R279" s="1598"/>
      <c r="S279" s="1592"/>
    </row>
    <row r="280" spans="2:19" s="1593" customFormat="1" ht="11.25" customHeight="1" outlineLevel="1">
      <c r="B280" s="1594">
        <v>10698</v>
      </c>
      <c r="C280" s="1595" t="s">
        <v>5403</v>
      </c>
      <c r="D280" s="1595" t="s">
        <v>14466</v>
      </c>
      <c r="E280" s="1595"/>
      <c r="F280" s="1595"/>
      <c r="G280" s="1595"/>
      <c r="H280" s="1596">
        <v>1</v>
      </c>
      <c r="I280" s="1595"/>
      <c r="J280" s="1595"/>
      <c r="K280" s="1597">
        <v>9461</v>
      </c>
      <c r="L280" s="1597">
        <v>189441</v>
      </c>
      <c r="M280" s="1598"/>
      <c r="N280" s="1597">
        <v>189441</v>
      </c>
      <c r="O280" s="1597">
        <v>5760.84</v>
      </c>
      <c r="P280" s="1597">
        <v>153742.68</v>
      </c>
      <c r="Q280" s="1597">
        <v>29937.48</v>
      </c>
      <c r="R280" s="1597">
        <v>183680.16</v>
      </c>
      <c r="S280" s="1592"/>
    </row>
    <row r="281" spans="2:19" s="1593" customFormat="1" ht="11.25" customHeight="1" outlineLevel="1">
      <c r="B281" s="1594">
        <v>10700</v>
      </c>
      <c r="C281" s="1595" t="s">
        <v>5403</v>
      </c>
      <c r="D281" s="1595" t="s">
        <v>14465</v>
      </c>
      <c r="E281" s="1595"/>
      <c r="F281" s="1595"/>
      <c r="G281" s="1595"/>
      <c r="H281" s="1596">
        <v>1</v>
      </c>
      <c r="I281" s="1595"/>
      <c r="J281" s="1595"/>
      <c r="K281" s="1597">
        <v>6098</v>
      </c>
      <c r="L281" s="1597">
        <v>6098</v>
      </c>
      <c r="M281" s="1597">
        <v>-6098</v>
      </c>
      <c r="N281" s="1598"/>
      <c r="O281" s="1598"/>
      <c r="P281" s="1597">
        <v>6098</v>
      </c>
      <c r="Q281" s="1597">
        <v>-6098</v>
      </c>
      <c r="R281" s="1598"/>
      <c r="S281" s="1592"/>
    </row>
    <row r="282" spans="2:19" s="1593" customFormat="1" ht="11.25" customHeight="1" outlineLevel="1">
      <c r="B282" s="1594">
        <v>10701</v>
      </c>
      <c r="C282" s="1595" t="s">
        <v>5403</v>
      </c>
      <c r="D282" s="1595" t="s">
        <v>14464</v>
      </c>
      <c r="E282" s="1595"/>
      <c r="F282" s="1595"/>
      <c r="G282" s="1595"/>
      <c r="H282" s="1596">
        <v>1</v>
      </c>
      <c r="I282" s="1595"/>
      <c r="J282" s="1595"/>
      <c r="K282" s="1597">
        <v>2150</v>
      </c>
      <c r="L282" s="1597">
        <v>2150</v>
      </c>
      <c r="M282" s="1597">
        <v>-2150</v>
      </c>
      <c r="N282" s="1598"/>
      <c r="O282" s="1598"/>
      <c r="P282" s="1597">
        <v>2150</v>
      </c>
      <c r="Q282" s="1597">
        <v>-2150</v>
      </c>
      <c r="R282" s="1598"/>
      <c r="S282" s="1592"/>
    </row>
    <row r="283" spans="2:19" s="1593" customFormat="1" ht="11.25" customHeight="1" outlineLevel="1">
      <c r="B283" s="1594">
        <v>10705</v>
      </c>
      <c r="C283" s="1595" t="s">
        <v>5403</v>
      </c>
      <c r="D283" s="1595" t="s">
        <v>14463</v>
      </c>
      <c r="E283" s="1595"/>
      <c r="F283" s="1595"/>
      <c r="G283" s="1595"/>
      <c r="H283" s="1596">
        <v>1</v>
      </c>
      <c r="I283" s="1595"/>
      <c r="J283" s="1595"/>
      <c r="K283" s="1597">
        <v>25516</v>
      </c>
      <c r="L283" s="1597">
        <v>25516</v>
      </c>
      <c r="M283" s="1597">
        <v>-25516</v>
      </c>
      <c r="N283" s="1598"/>
      <c r="O283" s="1598"/>
      <c r="P283" s="1597">
        <v>25516</v>
      </c>
      <c r="Q283" s="1597">
        <v>-25516</v>
      </c>
      <c r="R283" s="1598"/>
      <c r="S283" s="1592"/>
    </row>
    <row r="284" spans="2:19" s="1593" customFormat="1" ht="11.25" customHeight="1" outlineLevel="1">
      <c r="B284" s="1594">
        <v>10707</v>
      </c>
      <c r="C284" s="1595" t="s">
        <v>5403</v>
      </c>
      <c r="D284" s="1595" t="s">
        <v>14462</v>
      </c>
      <c r="E284" s="1595"/>
      <c r="F284" s="1595"/>
      <c r="G284" s="1595"/>
      <c r="H284" s="1596">
        <v>1</v>
      </c>
      <c r="I284" s="1595"/>
      <c r="J284" s="1595"/>
      <c r="K284" s="1599">
        <v>746</v>
      </c>
      <c r="L284" s="1599">
        <v>746</v>
      </c>
      <c r="M284" s="1599">
        <v>-746</v>
      </c>
      <c r="N284" s="1598"/>
      <c r="O284" s="1598"/>
      <c r="P284" s="1599">
        <v>746</v>
      </c>
      <c r="Q284" s="1599">
        <v>-746</v>
      </c>
      <c r="R284" s="1598"/>
      <c r="S284" s="1592"/>
    </row>
    <row r="285" spans="2:19" s="1593" customFormat="1" ht="11.25" customHeight="1" outlineLevel="1">
      <c r="B285" s="1594">
        <v>10708</v>
      </c>
      <c r="C285" s="1595" t="s">
        <v>5403</v>
      </c>
      <c r="D285" s="1595" t="s">
        <v>14461</v>
      </c>
      <c r="E285" s="1595"/>
      <c r="F285" s="1595"/>
      <c r="G285" s="1595"/>
      <c r="H285" s="1596">
        <v>1</v>
      </c>
      <c r="I285" s="1595"/>
      <c r="J285" s="1595"/>
      <c r="K285" s="1599">
        <v>809</v>
      </c>
      <c r="L285" s="1599">
        <v>809</v>
      </c>
      <c r="M285" s="1599">
        <v>-809</v>
      </c>
      <c r="N285" s="1598"/>
      <c r="O285" s="1598"/>
      <c r="P285" s="1599">
        <v>809</v>
      </c>
      <c r="Q285" s="1599">
        <v>-809</v>
      </c>
      <c r="R285" s="1598"/>
      <c r="S285" s="1592"/>
    </row>
    <row r="286" spans="2:19" s="1593" customFormat="1" ht="11.25" customHeight="1" outlineLevel="1">
      <c r="B286" s="1594">
        <v>10710</v>
      </c>
      <c r="C286" s="1595" t="s">
        <v>5403</v>
      </c>
      <c r="D286" s="1595" t="s">
        <v>14460</v>
      </c>
      <c r="E286" s="1595"/>
      <c r="F286" s="1595"/>
      <c r="G286" s="1595"/>
      <c r="H286" s="1596">
        <v>1</v>
      </c>
      <c r="I286" s="1595"/>
      <c r="J286" s="1595"/>
      <c r="K286" s="1599">
        <v>96</v>
      </c>
      <c r="L286" s="1599">
        <v>96.4</v>
      </c>
      <c r="M286" s="1599">
        <v>-96.4</v>
      </c>
      <c r="N286" s="1598"/>
      <c r="O286" s="1598"/>
      <c r="P286" s="1599">
        <v>96.4</v>
      </c>
      <c r="Q286" s="1599">
        <v>-96.4</v>
      </c>
      <c r="R286" s="1598"/>
      <c r="S286" s="1592"/>
    </row>
    <row r="287" spans="2:19" s="1593" customFormat="1" ht="11.25" customHeight="1" outlineLevel="1">
      <c r="B287" s="1594">
        <v>10711</v>
      </c>
      <c r="C287" s="1595" t="s">
        <v>5403</v>
      </c>
      <c r="D287" s="1595" t="s">
        <v>14459</v>
      </c>
      <c r="E287" s="1595"/>
      <c r="F287" s="1595"/>
      <c r="G287" s="1595"/>
      <c r="H287" s="1596">
        <v>1</v>
      </c>
      <c r="I287" s="1595"/>
      <c r="J287" s="1595"/>
      <c r="K287" s="1599">
        <v>159</v>
      </c>
      <c r="L287" s="1599">
        <v>159.08000000000001</v>
      </c>
      <c r="M287" s="1599">
        <v>-159.08000000000001</v>
      </c>
      <c r="N287" s="1598"/>
      <c r="O287" s="1598"/>
      <c r="P287" s="1599">
        <v>159.08000000000001</v>
      </c>
      <c r="Q287" s="1599">
        <v>-159.08000000000001</v>
      </c>
      <c r="R287" s="1598"/>
      <c r="S287" s="1592"/>
    </row>
    <row r="288" spans="2:19" s="1593" customFormat="1" ht="11.25" customHeight="1" outlineLevel="1">
      <c r="B288" s="1594">
        <v>10712</v>
      </c>
      <c r="C288" s="1595" t="s">
        <v>5403</v>
      </c>
      <c r="D288" s="1595" t="s">
        <v>14458</v>
      </c>
      <c r="E288" s="1595"/>
      <c r="F288" s="1595"/>
      <c r="G288" s="1595"/>
      <c r="H288" s="1596">
        <v>1</v>
      </c>
      <c r="I288" s="1595"/>
      <c r="J288" s="1595"/>
      <c r="K288" s="1599">
        <v>251</v>
      </c>
      <c r="L288" s="1599">
        <v>250.74</v>
      </c>
      <c r="M288" s="1599">
        <v>-250.74</v>
      </c>
      <c r="N288" s="1598"/>
      <c r="O288" s="1598"/>
      <c r="P288" s="1599">
        <v>250.74</v>
      </c>
      <c r="Q288" s="1599">
        <v>-250.74</v>
      </c>
      <c r="R288" s="1598"/>
      <c r="S288" s="1592"/>
    </row>
    <row r="289" spans="2:19" s="1593" customFormat="1" ht="11.25" customHeight="1" outlineLevel="1">
      <c r="B289" s="1594">
        <v>10713</v>
      </c>
      <c r="C289" s="1595" t="s">
        <v>5403</v>
      </c>
      <c r="D289" s="1595" t="s">
        <v>14457</v>
      </c>
      <c r="E289" s="1595"/>
      <c r="F289" s="1595"/>
      <c r="G289" s="1595"/>
      <c r="H289" s="1596">
        <v>1</v>
      </c>
      <c r="I289" s="1595"/>
      <c r="J289" s="1595"/>
      <c r="K289" s="1599">
        <v>82</v>
      </c>
      <c r="L289" s="1599">
        <v>81.8</v>
      </c>
      <c r="M289" s="1599">
        <v>-81.8</v>
      </c>
      <c r="N289" s="1598"/>
      <c r="O289" s="1598"/>
      <c r="P289" s="1599">
        <v>81.8</v>
      </c>
      <c r="Q289" s="1599">
        <v>-81.8</v>
      </c>
      <c r="R289" s="1598"/>
      <c r="S289" s="1592"/>
    </row>
    <row r="290" spans="2:19" s="1593" customFormat="1" ht="11.25" customHeight="1" outlineLevel="1">
      <c r="B290" s="1594">
        <v>10714</v>
      </c>
      <c r="C290" s="1595" t="s">
        <v>5403</v>
      </c>
      <c r="D290" s="1595" t="s">
        <v>14456</v>
      </c>
      <c r="E290" s="1595"/>
      <c r="F290" s="1595"/>
      <c r="G290" s="1595"/>
      <c r="H290" s="1596">
        <v>1</v>
      </c>
      <c r="I290" s="1595"/>
      <c r="J290" s="1595"/>
      <c r="K290" s="1599">
        <v>60</v>
      </c>
      <c r="L290" s="1599">
        <v>59.88</v>
      </c>
      <c r="M290" s="1599">
        <v>-59.88</v>
      </c>
      <c r="N290" s="1598"/>
      <c r="O290" s="1598"/>
      <c r="P290" s="1599">
        <v>59.88</v>
      </c>
      <c r="Q290" s="1599">
        <v>-59.88</v>
      </c>
      <c r="R290" s="1598"/>
      <c r="S290" s="1592"/>
    </row>
    <row r="291" spans="2:19" s="1593" customFormat="1" ht="11.25" customHeight="1" outlineLevel="1">
      <c r="B291" s="1594">
        <v>10717</v>
      </c>
      <c r="C291" s="1595" t="s">
        <v>5403</v>
      </c>
      <c r="D291" s="1595" t="s">
        <v>14455</v>
      </c>
      <c r="E291" s="1595"/>
      <c r="F291" s="1595"/>
      <c r="G291" s="1595"/>
      <c r="H291" s="1596">
        <v>1</v>
      </c>
      <c r="I291" s="1595"/>
      <c r="J291" s="1595"/>
      <c r="K291" s="1597">
        <v>5898</v>
      </c>
      <c r="L291" s="1597">
        <v>5898</v>
      </c>
      <c r="M291" s="1597">
        <v>-5898</v>
      </c>
      <c r="N291" s="1598"/>
      <c r="O291" s="1598"/>
      <c r="P291" s="1597">
        <v>5898</v>
      </c>
      <c r="Q291" s="1597">
        <v>-5898</v>
      </c>
      <c r="R291" s="1598"/>
      <c r="S291" s="1592"/>
    </row>
    <row r="292" spans="2:19" s="1593" customFormat="1" ht="11.25" customHeight="1" outlineLevel="1">
      <c r="B292" s="1594">
        <v>10718</v>
      </c>
      <c r="C292" s="1595" t="s">
        <v>5403</v>
      </c>
      <c r="D292" s="1595" t="s">
        <v>14454</v>
      </c>
      <c r="E292" s="1595"/>
      <c r="F292" s="1595"/>
      <c r="G292" s="1595"/>
      <c r="H292" s="1596">
        <v>1</v>
      </c>
      <c r="I292" s="1595"/>
      <c r="J292" s="1595"/>
      <c r="K292" s="1597">
        <v>4673</v>
      </c>
      <c r="L292" s="1597">
        <v>4672.5</v>
      </c>
      <c r="M292" s="1597">
        <v>-4672.5</v>
      </c>
      <c r="N292" s="1598"/>
      <c r="O292" s="1598"/>
      <c r="P292" s="1597">
        <v>4672.5</v>
      </c>
      <c r="Q292" s="1597">
        <v>-4672.5</v>
      </c>
      <c r="R292" s="1598"/>
      <c r="S292" s="1592"/>
    </row>
    <row r="293" spans="2:19" s="1593" customFormat="1" ht="11.25" customHeight="1" outlineLevel="1">
      <c r="B293" s="1594">
        <v>10721</v>
      </c>
      <c r="C293" s="1595" t="s">
        <v>5403</v>
      </c>
      <c r="D293" s="1595" t="s">
        <v>14453</v>
      </c>
      <c r="E293" s="1595"/>
      <c r="F293" s="1595"/>
      <c r="G293" s="1595"/>
      <c r="H293" s="1596">
        <v>1</v>
      </c>
      <c r="I293" s="1595"/>
      <c r="J293" s="1595"/>
      <c r="K293" s="1597">
        <v>7508</v>
      </c>
      <c r="L293" s="1597">
        <v>7508</v>
      </c>
      <c r="M293" s="1597">
        <v>-7508</v>
      </c>
      <c r="N293" s="1598"/>
      <c r="O293" s="1598"/>
      <c r="P293" s="1597">
        <v>7508</v>
      </c>
      <c r="Q293" s="1597">
        <v>-7508</v>
      </c>
      <c r="R293" s="1598"/>
      <c r="S293" s="1592"/>
    </row>
    <row r="294" spans="2:19" s="1593" customFormat="1" ht="11.25" customHeight="1" outlineLevel="1">
      <c r="B294" s="1594">
        <v>10723</v>
      </c>
      <c r="C294" s="1595" t="s">
        <v>5403</v>
      </c>
      <c r="D294" s="1595" t="s">
        <v>14452</v>
      </c>
      <c r="E294" s="1595"/>
      <c r="F294" s="1595"/>
      <c r="G294" s="1595"/>
      <c r="H294" s="1596">
        <v>1</v>
      </c>
      <c r="I294" s="1595"/>
      <c r="J294" s="1595"/>
      <c r="K294" s="1597">
        <v>4205</v>
      </c>
      <c r="L294" s="1597">
        <v>4205.34</v>
      </c>
      <c r="M294" s="1597">
        <v>-4205.34</v>
      </c>
      <c r="N294" s="1598"/>
      <c r="O294" s="1598"/>
      <c r="P294" s="1597">
        <v>4205.34</v>
      </c>
      <c r="Q294" s="1597">
        <v>-4205.34</v>
      </c>
      <c r="R294" s="1598"/>
      <c r="S294" s="1592"/>
    </row>
    <row r="295" spans="2:19" s="1593" customFormat="1" ht="11.25" customHeight="1" outlineLevel="1">
      <c r="B295" s="1594">
        <v>10724</v>
      </c>
      <c r="C295" s="1595" t="s">
        <v>5403</v>
      </c>
      <c r="D295" s="1595" t="s">
        <v>14451</v>
      </c>
      <c r="E295" s="1595"/>
      <c r="F295" s="1595"/>
      <c r="G295" s="1595"/>
      <c r="H295" s="1596">
        <v>1</v>
      </c>
      <c r="I295" s="1595"/>
      <c r="J295" s="1595"/>
      <c r="K295" s="1597">
        <v>5898</v>
      </c>
      <c r="L295" s="1597">
        <v>5898</v>
      </c>
      <c r="M295" s="1597">
        <v>-5898</v>
      </c>
      <c r="N295" s="1598"/>
      <c r="O295" s="1598"/>
      <c r="P295" s="1597">
        <v>5898</v>
      </c>
      <c r="Q295" s="1597">
        <v>-5898</v>
      </c>
      <c r="R295" s="1598"/>
      <c r="S295" s="1592"/>
    </row>
    <row r="296" spans="2:19" s="1593" customFormat="1" ht="11.25" customHeight="1" outlineLevel="1">
      <c r="B296" s="1594">
        <v>10729</v>
      </c>
      <c r="C296" s="1595" t="s">
        <v>5403</v>
      </c>
      <c r="D296" s="1595" t="s">
        <v>14450</v>
      </c>
      <c r="E296" s="1595"/>
      <c r="F296" s="1595"/>
      <c r="G296" s="1595" t="s">
        <v>14418</v>
      </c>
      <c r="H296" s="1596">
        <v>1</v>
      </c>
      <c r="I296" s="1595"/>
      <c r="J296" s="1595"/>
      <c r="K296" s="1597">
        <v>2004774</v>
      </c>
      <c r="L296" s="1597">
        <v>2008547</v>
      </c>
      <c r="M296" s="1598"/>
      <c r="N296" s="1597">
        <v>2008547</v>
      </c>
      <c r="O296" s="1597">
        <v>531428.97</v>
      </c>
      <c r="P296" s="1597">
        <v>1426904.27</v>
      </c>
      <c r="Q296" s="1597">
        <v>50213.760000000002</v>
      </c>
      <c r="R296" s="1597">
        <v>1477118.03</v>
      </c>
      <c r="S296" s="1592"/>
    </row>
    <row r="297" spans="2:19" s="1593" customFormat="1" ht="11.25" customHeight="1" outlineLevel="1">
      <c r="B297" s="1594">
        <v>10730</v>
      </c>
      <c r="C297" s="1595" t="s">
        <v>5403</v>
      </c>
      <c r="D297" s="1595" t="s">
        <v>14449</v>
      </c>
      <c r="E297" s="1595"/>
      <c r="F297" s="1595"/>
      <c r="G297" s="1595"/>
      <c r="H297" s="1596">
        <v>1</v>
      </c>
      <c r="I297" s="1595"/>
      <c r="J297" s="1595"/>
      <c r="K297" s="1597">
        <v>22820</v>
      </c>
      <c r="L297" s="1597">
        <v>22820</v>
      </c>
      <c r="M297" s="1597">
        <v>-22820</v>
      </c>
      <c r="N297" s="1598"/>
      <c r="O297" s="1598"/>
      <c r="P297" s="1597">
        <v>22820</v>
      </c>
      <c r="Q297" s="1597">
        <v>-22820</v>
      </c>
      <c r="R297" s="1598"/>
      <c r="S297" s="1592"/>
    </row>
    <row r="298" spans="2:19" s="1593" customFormat="1" ht="11.25" customHeight="1" outlineLevel="1">
      <c r="B298" s="1594">
        <v>10731</v>
      </c>
      <c r="C298" s="1595" t="s">
        <v>5403</v>
      </c>
      <c r="D298" s="1595" t="s">
        <v>14448</v>
      </c>
      <c r="E298" s="1595"/>
      <c r="F298" s="1595"/>
      <c r="G298" s="1595"/>
      <c r="H298" s="1596">
        <v>1</v>
      </c>
      <c r="I298" s="1595"/>
      <c r="J298" s="1595"/>
      <c r="K298" s="1597">
        <v>1006</v>
      </c>
      <c r="L298" s="1597">
        <v>1006</v>
      </c>
      <c r="M298" s="1597">
        <v>-1006</v>
      </c>
      <c r="N298" s="1598"/>
      <c r="O298" s="1598"/>
      <c r="P298" s="1597">
        <v>1006</v>
      </c>
      <c r="Q298" s="1597">
        <v>-1006</v>
      </c>
      <c r="R298" s="1598"/>
      <c r="S298" s="1592"/>
    </row>
    <row r="299" spans="2:19" s="1593" customFormat="1" ht="11.25" customHeight="1" outlineLevel="1">
      <c r="B299" s="1594">
        <v>10733</v>
      </c>
      <c r="C299" s="1595" t="s">
        <v>5403</v>
      </c>
      <c r="D299" s="1595" t="s">
        <v>14447</v>
      </c>
      <c r="E299" s="1595"/>
      <c r="F299" s="1595"/>
      <c r="G299" s="1595"/>
      <c r="H299" s="1596">
        <v>1</v>
      </c>
      <c r="I299" s="1595"/>
      <c r="J299" s="1595"/>
      <c r="K299" s="1597">
        <v>13161</v>
      </c>
      <c r="L299" s="1597">
        <v>13161</v>
      </c>
      <c r="M299" s="1597">
        <v>-13161</v>
      </c>
      <c r="N299" s="1598"/>
      <c r="O299" s="1598"/>
      <c r="P299" s="1597">
        <v>13161</v>
      </c>
      <c r="Q299" s="1597">
        <v>-13161</v>
      </c>
      <c r="R299" s="1598"/>
      <c r="S299" s="1592"/>
    </row>
    <row r="300" spans="2:19" s="1593" customFormat="1" ht="11.25" customHeight="1" outlineLevel="1">
      <c r="B300" s="1594">
        <v>10734</v>
      </c>
      <c r="C300" s="1595" t="s">
        <v>5403</v>
      </c>
      <c r="D300" s="1595" t="s">
        <v>14446</v>
      </c>
      <c r="E300" s="1595"/>
      <c r="F300" s="1595"/>
      <c r="G300" s="1595"/>
      <c r="H300" s="1596">
        <v>1</v>
      </c>
      <c r="I300" s="1595"/>
      <c r="J300" s="1595"/>
      <c r="K300" s="1597">
        <v>6269</v>
      </c>
      <c r="L300" s="1597">
        <v>6269</v>
      </c>
      <c r="M300" s="1597">
        <v>-6269</v>
      </c>
      <c r="N300" s="1598"/>
      <c r="O300" s="1598"/>
      <c r="P300" s="1597">
        <v>6269</v>
      </c>
      <c r="Q300" s="1597">
        <v>-6269</v>
      </c>
      <c r="R300" s="1598"/>
      <c r="S300" s="1592"/>
    </row>
    <row r="301" spans="2:19" s="1593" customFormat="1" ht="11.25" customHeight="1" outlineLevel="1">
      <c r="B301" s="1594">
        <v>10735</v>
      </c>
      <c r="C301" s="1595" t="s">
        <v>5403</v>
      </c>
      <c r="D301" s="1595" t="s">
        <v>14445</v>
      </c>
      <c r="E301" s="1595"/>
      <c r="F301" s="1595"/>
      <c r="G301" s="1595"/>
      <c r="H301" s="1596">
        <v>1</v>
      </c>
      <c r="I301" s="1595"/>
      <c r="J301" s="1595"/>
      <c r="K301" s="1597">
        <v>9018</v>
      </c>
      <c r="L301" s="1597">
        <v>9017.66</v>
      </c>
      <c r="M301" s="1597">
        <v>-9017.66</v>
      </c>
      <c r="N301" s="1598"/>
      <c r="O301" s="1598"/>
      <c r="P301" s="1597">
        <v>9017.66</v>
      </c>
      <c r="Q301" s="1597">
        <v>-9017.66</v>
      </c>
      <c r="R301" s="1598"/>
      <c r="S301" s="1592"/>
    </row>
    <row r="302" spans="2:19" s="1593" customFormat="1" ht="11.25" customHeight="1" outlineLevel="1">
      <c r="B302" s="1594">
        <v>10736</v>
      </c>
      <c r="C302" s="1595" t="s">
        <v>5403</v>
      </c>
      <c r="D302" s="1595" t="s">
        <v>14444</v>
      </c>
      <c r="E302" s="1595"/>
      <c r="F302" s="1595"/>
      <c r="G302" s="1595"/>
      <c r="H302" s="1596">
        <v>1</v>
      </c>
      <c r="I302" s="1595"/>
      <c r="J302" s="1595"/>
      <c r="K302" s="1599">
        <v>461</v>
      </c>
      <c r="L302" s="1599">
        <v>461</v>
      </c>
      <c r="M302" s="1599">
        <v>-461</v>
      </c>
      <c r="N302" s="1598"/>
      <c r="O302" s="1598"/>
      <c r="P302" s="1599">
        <v>461</v>
      </c>
      <c r="Q302" s="1599">
        <v>-461</v>
      </c>
      <c r="R302" s="1598"/>
      <c r="S302" s="1592"/>
    </row>
    <row r="303" spans="2:19" s="1593" customFormat="1" ht="11.25" customHeight="1" outlineLevel="1">
      <c r="B303" s="1594">
        <v>10737</v>
      </c>
      <c r="C303" s="1595" t="s">
        <v>5403</v>
      </c>
      <c r="D303" s="1595" t="s">
        <v>14443</v>
      </c>
      <c r="E303" s="1595"/>
      <c r="F303" s="1595"/>
      <c r="G303" s="1595"/>
      <c r="H303" s="1596">
        <v>1</v>
      </c>
      <c r="I303" s="1595"/>
      <c r="J303" s="1595"/>
      <c r="K303" s="1599">
        <v>244</v>
      </c>
      <c r="L303" s="1599">
        <v>244.5</v>
      </c>
      <c r="M303" s="1599">
        <v>-244.5</v>
      </c>
      <c r="N303" s="1598"/>
      <c r="O303" s="1598"/>
      <c r="P303" s="1599">
        <v>244.5</v>
      </c>
      <c r="Q303" s="1599">
        <v>-244.5</v>
      </c>
      <c r="R303" s="1598"/>
      <c r="S303" s="1592"/>
    </row>
    <row r="304" spans="2:19" s="1593" customFormat="1" ht="11.25" customHeight="1" outlineLevel="1">
      <c r="B304" s="1594">
        <v>10738</v>
      </c>
      <c r="C304" s="1595" t="s">
        <v>5403</v>
      </c>
      <c r="D304" s="1595" t="s">
        <v>14442</v>
      </c>
      <c r="E304" s="1595"/>
      <c r="F304" s="1595"/>
      <c r="G304" s="1595"/>
      <c r="H304" s="1596">
        <v>1</v>
      </c>
      <c r="I304" s="1595"/>
      <c r="J304" s="1595"/>
      <c r="K304" s="1599">
        <v>159</v>
      </c>
      <c r="L304" s="1599">
        <v>159.18</v>
      </c>
      <c r="M304" s="1599">
        <v>-159.18</v>
      </c>
      <c r="N304" s="1598"/>
      <c r="O304" s="1598"/>
      <c r="P304" s="1599">
        <v>159.18</v>
      </c>
      <c r="Q304" s="1599">
        <v>-159.18</v>
      </c>
      <c r="R304" s="1598"/>
      <c r="S304" s="1592"/>
    </row>
    <row r="305" spans="2:19" s="1593" customFormat="1" ht="11.25" customHeight="1" outlineLevel="1">
      <c r="B305" s="1594">
        <v>10739</v>
      </c>
      <c r="C305" s="1595" t="s">
        <v>5403</v>
      </c>
      <c r="D305" s="1595" t="s">
        <v>14441</v>
      </c>
      <c r="E305" s="1595"/>
      <c r="F305" s="1595"/>
      <c r="G305" s="1595"/>
      <c r="H305" s="1596">
        <v>1</v>
      </c>
      <c r="I305" s="1595"/>
      <c r="J305" s="1595"/>
      <c r="K305" s="1599">
        <v>186</v>
      </c>
      <c r="L305" s="1599">
        <v>186</v>
      </c>
      <c r="M305" s="1599">
        <v>-186</v>
      </c>
      <c r="N305" s="1598"/>
      <c r="O305" s="1598"/>
      <c r="P305" s="1599">
        <v>186</v>
      </c>
      <c r="Q305" s="1599">
        <v>-186</v>
      </c>
      <c r="R305" s="1598"/>
      <c r="S305" s="1592"/>
    </row>
    <row r="306" spans="2:19" s="1593" customFormat="1" ht="11.25" customHeight="1" outlineLevel="1">
      <c r="B306" s="1594">
        <v>10741</v>
      </c>
      <c r="C306" s="1595" t="s">
        <v>5403</v>
      </c>
      <c r="D306" s="1595" t="s">
        <v>14440</v>
      </c>
      <c r="E306" s="1595"/>
      <c r="F306" s="1595"/>
      <c r="G306" s="1595"/>
      <c r="H306" s="1596">
        <v>1</v>
      </c>
      <c r="I306" s="1595"/>
      <c r="J306" s="1595"/>
      <c r="K306" s="1597">
        <v>30970</v>
      </c>
      <c r="L306" s="1597">
        <v>30970</v>
      </c>
      <c r="M306" s="1597">
        <v>-30970</v>
      </c>
      <c r="N306" s="1598"/>
      <c r="O306" s="1598"/>
      <c r="P306" s="1597">
        <v>30970</v>
      </c>
      <c r="Q306" s="1597">
        <v>-30970</v>
      </c>
      <c r="R306" s="1598"/>
      <c r="S306" s="1592"/>
    </row>
    <row r="307" spans="2:19" s="1593" customFormat="1" ht="11.25" customHeight="1" outlineLevel="1">
      <c r="B307" s="1594">
        <v>10742</v>
      </c>
      <c r="C307" s="1595" t="s">
        <v>5403</v>
      </c>
      <c r="D307" s="1595" t="s">
        <v>14439</v>
      </c>
      <c r="E307" s="1595"/>
      <c r="F307" s="1595"/>
      <c r="G307" s="1595"/>
      <c r="H307" s="1596">
        <v>1</v>
      </c>
      <c r="I307" s="1595"/>
      <c r="J307" s="1595"/>
      <c r="K307" s="1597">
        <v>12649</v>
      </c>
      <c r="L307" s="1597">
        <v>12649</v>
      </c>
      <c r="M307" s="1597">
        <v>-12649</v>
      </c>
      <c r="N307" s="1598"/>
      <c r="O307" s="1598"/>
      <c r="P307" s="1597">
        <v>12649</v>
      </c>
      <c r="Q307" s="1597">
        <v>-12649</v>
      </c>
      <c r="R307" s="1598"/>
      <c r="S307" s="1592"/>
    </row>
    <row r="308" spans="2:19" s="1593" customFormat="1" ht="11.25" customHeight="1" outlineLevel="1">
      <c r="B308" s="1594">
        <v>10745</v>
      </c>
      <c r="C308" s="1595" t="s">
        <v>5403</v>
      </c>
      <c r="D308" s="1595" t="s">
        <v>14438</v>
      </c>
      <c r="E308" s="1595"/>
      <c r="F308" s="1595"/>
      <c r="G308" s="1595" t="s">
        <v>14418</v>
      </c>
      <c r="H308" s="1596">
        <v>1</v>
      </c>
      <c r="I308" s="1595"/>
      <c r="J308" s="1595"/>
      <c r="K308" s="1597">
        <v>704126</v>
      </c>
      <c r="L308" s="1597">
        <v>704126</v>
      </c>
      <c r="M308" s="1598"/>
      <c r="N308" s="1597">
        <v>704126</v>
      </c>
      <c r="O308" s="1597">
        <v>289866.26</v>
      </c>
      <c r="P308" s="1597">
        <v>400177.14</v>
      </c>
      <c r="Q308" s="1597">
        <v>14082.6</v>
      </c>
      <c r="R308" s="1597">
        <v>414259.74</v>
      </c>
      <c r="S308" s="1592"/>
    </row>
    <row r="309" spans="2:19" s="1593" customFormat="1" ht="11.25" customHeight="1" outlineLevel="1">
      <c r="B309" s="1594">
        <v>10749</v>
      </c>
      <c r="C309" s="1595" t="s">
        <v>5403</v>
      </c>
      <c r="D309" s="1595" t="s">
        <v>14437</v>
      </c>
      <c r="E309" s="1595"/>
      <c r="F309" s="1595"/>
      <c r="G309" s="1595"/>
      <c r="H309" s="1596">
        <v>1</v>
      </c>
      <c r="I309" s="1595"/>
      <c r="J309" s="1595"/>
      <c r="K309" s="1599">
        <v>251</v>
      </c>
      <c r="L309" s="1599">
        <v>251</v>
      </c>
      <c r="M309" s="1599">
        <v>-251</v>
      </c>
      <c r="N309" s="1598"/>
      <c r="O309" s="1598"/>
      <c r="P309" s="1599">
        <v>251</v>
      </c>
      <c r="Q309" s="1599">
        <v>-251</v>
      </c>
      <c r="R309" s="1598"/>
      <c r="S309" s="1592"/>
    </row>
    <row r="310" spans="2:19" s="1593" customFormat="1" ht="11.25" customHeight="1" outlineLevel="1">
      <c r="B310" s="1594">
        <v>10750</v>
      </c>
      <c r="C310" s="1595" t="s">
        <v>5403</v>
      </c>
      <c r="D310" s="1595" t="s">
        <v>14436</v>
      </c>
      <c r="E310" s="1595"/>
      <c r="F310" s="1595"/>
      <c r="G310" s="1595"/>
      <c r="H310" s="1596">
        <v>1</v>
      </c>
      <c r="I310" s="1595"/>
      <c r="J310" s="1595"/>
      <c r="K310" s="1599">
        <v>96</v>
      </c>
      <c r="L310" s="1599">
        <v>96</v>
      </c>
      <c r="M310" s="1599">
        <v>-96</v>
      </c>
      <c r="N310" s="1598"/>
      <c r="O310" s="1598"/>
      <c r="P310" s="1599">
        <v>96</v>
      </c>
      <c r="Q310" s="1599">
        <v>-96</v>
      </c>
      <c r="R310" s="1598"/>
      <c r="S310" s="1592"/>
    </row>
    <row r="311" spans="2:19" s="1593" customFormat="1" ht="11.25" customHeight="1" outlineLevel="1">
      <c r="B311" s="1594">
        <v>10764</v>
      </c>
      <c r="C311" s="1595" t="s">
        <v>5403</v>
      </c>
      <c r="D311" s="1595" t="s">
        <v>14435</v>
      </c>
      <c r="E311" s="1595"/>
      <c r="F311" s="1595"/>
      <c r="G311" s="1595" t="s">
        <v>14051</v>
      </c>
      <c r="H311" s="1596">
        <v>3</v>
      </c>
      <c r="I311" s="1595"/>
      <c r="J311" s="1595"/>
      <c r="K311" s="1597">
        <v>291113</v>
      </c>
      <c r="L311" s="1597">
        <v>425716</v>
      </c>
      <c r="M311" s="1598"/>
      <c r="N311" s="1597">
        <v>425716</v>
      </c>
      <c r="O311" s="1597">
        <v>300485.71999999997</v>
      </c>
      <c r="P311" s="1597">
        <v>120973.16</v>
      </c>
      <c r="Q311" s="1597">
        <v>4257.12</v>
      </c>
      <c r="R311" s="1597">
        <v>125230.28</v>
      </c>
      <c r="S311" s="1592"/>
    </row>
    <row r="312" spans="2:19" s="1593" customFormat="1" ht="11.25" customHeight="1" outlineLevel="1">
      <c r="B312" s="1594">
        <v>10771</v>
      </c>
      <c r="C312" s="1595" t="s">
        <v>5403</v>
      </c>
      <c r="D312" s="1595" t="s">
        <v>14434</v>
      </c>
      <c r="E312" s="1595"/>
      <c r="F312" s="1595"/>
      <c r="G312" s="1595" t="s">
        <v>3734</v>
      </c>
      <c r="H312" s="1596">
        <v>3</v>
      </c>
      <c r="I312" s="1595"/>
      <c r="J312" s="1595"/>
      <c r="K312" s="1597">
        <v>2060524</v>
      </c>
      <c r="L312" s="1597">
        <v>2089096</v>
      </c>
      <c r="M312" s="1598"/>
      <c r="N312" s="1597">
        <v>2089096</v>
      </c>
      <c r="O312" s="1597">
        <v>132992.51999999999</v>
      </c>
      <c r="P312" s="1597">
        <v>1889607.17</v>
      </c>
      <c r="Q312" s="1597">
        <v>66496.31</v>
      </c>
      <c r="R312" s="1597">
        <v>1956103.48</v>
      </c>
      <c r="S312" s="1592"/>
    </row>
    <row r="313" spans="2:19" s="1593" customFormat="1" ht="11.25" customHeight="1" outlineLevel="1">
      <c r="B313" s="1594">
        <v>10772</v>
      </c>
      <c r="C313" s="1595" t="s">
        <v>5403</v>
      </c>
      <c r="D313" s="1595" t="s">
        <v>14433</v>
      </c>
      <c r="E313" s="1595"/>
      <c r="F313" s="1595"/>
      <c r="G313" s="1595" t="s">
        <v>14051</v>
      </c>
      <c r="H313" s="1596">
        <v>2</v>
      </c>
      <c r="I313" s="1595"/>
      <c r="J313" s="1595"/>
      <c r="K313" s="1597">
        <v>210158</v>
      </c>
      <c r="L313" s="1597">
        <v>210158</v>
      </c>
      <c r="M313" s="1598"/>
      <c r="N313" s="1597">
        <v>210158</v>
      </c>
      <c r="O313" s="1597">
        <v>148337.10999999999</v>
      </c>
      <c r="P313" s="1597">
        <v>59719.33</v>
      </c>
      <c r="Q313" s="1597">
        <v>2101.56</v>
      </c>
      <c r="R313" s="1597">
        <v>61820.89</v>
      </c>
      <c r="S313" s="1592"/>
    </row>
    <row r="314" spans="2:19" s="1593" customFormat="1" ht="11.25" customHeight="1" outlineLevel="1">
      <c r="B314" s="1594">
        <v>10773</v>
      </c>
      <c r="C314" s="1595" t="s">
        <v>5403</v>
      </c>
      <c r="D314" s="1595" t="s">
        <v>14432</v>
      </c>
      <c r="E314" s="1595"/>
      <c r="F314" s="1595"/>
      <c r="G314" s="1595"/>
      <c r="H314" s="1596">
        <v>1</v>
      </c>
      <c r="I314" s="1595"/>
      <c r="J314" s="1595"/>
      <c r="K314" s="1597">
        <v>8786</v>
      </c>
      <c r="L314" s="1597">
        <v>8786</v>
      </c>
      <c r="M314" s="1597">
        <v>-8786</v>
      </c>
      <c r="N314" s="1598"/>
      <c r="O314" s="1598"/>
      <c r="P314" s="1597">
        <v>8786</v>
      </c>
      <c r="Q314" s="1597">
        <v>-8786</v>
      </c>
      <c r="R314" s="1598"/>
      <c r="S314" s="1592"/>
    </row>
    <row r="315" spans="2:19" s="1593" customFormat="1" ht="11.25" customHeight="1" outlineLevel="1">
      <c r="B315" s="1594">
        <v>10774</v>
      </c>
      <c r="C315" s="1595" t="s">
        <v>5403</v>
      </c>
      <c r="D315" s="1595" t="s">
        <v>14431</v>
      </c>
      <c r="E315" s="1595"/>
      <c r="F315" s="1595"/>
      <c r="G315" s="1595"/>
      <c r="H315" s="1596">
        <v>1</v>
      </c>
      <c r="I315" s="1595"/>
      <c r="J315" s="1595"/>
      <c r="K315" s="1599">
        <v>33</v>
      </c>
      <c r="L315" s="1599">
        <v>33</v>
      </c>
      <c r="M315" s="1599">
        <v>-33</v>
      </c>
      <c r="N315" s="1598"/>
      <c r="O315" s="1598"/>
      <c r="P315" s="1599">
        <v>33</v>
      </c>
      <c r="Q315" s="1599">
        <v>-33</v>
      </c>
      <c r="R315" s="1598"/>
      <c r="S315" s="1592"/>
    </row>
    <row r="316" spans="2:19" s="1593" customFormat="1" ht="11.25" customHeight="1" outlineLevel="1">
      <c r="B316" s="1594">
        <v>10775</v>
      </c>
      <c r="C316" s="1595" t="s">
        <v>5403</v>
      </c>
      <c r="D316" s="1595" t="s">
        <v>14430</v>
      </c>
      <c r="E316" s="1595"/>
      <c r="F316" s="1595"/>
      <c r="G316" s="1595"/>
      <c r="H316" s="1596">
        <v>1</v>
      </c>
      <c r="I316" s="1595"/>
      <c r="J316" s="1595"/>
      <c r="K316" s="1599">
        <v>974</v>
      </c>
      <c r="L316" s="1599">
        <v>974</v>
      </c>
      <c r="M316" s="1599">
        <v>-974</v>
      </c>
      <c r="N316" s="1598"/>
      <c r="O316" s="1598"/>
      <c r="P316" s="1599">
        <v>974</v>
      </c>
      <c r="Q316" s="1599">
        <v>-974</v>
      </c>
      <c r="R316" s="1598"/>
      <c r="S316" s="1592"/>
    </row>
    <row r="317" spans="2:19" s="1593" customFormat="1" ht="11.25" customHeight="1" outlineLevel="1">
      <c r="B317" s="1594">
        <v>10776</v>
      </c>
      <c r="C317" s="1595" t="s">
        <v>5403</v>
      </c>
      <c r="D317" s="1595" t="s">
        <v>14429</v>
      </c>
      <c r="E317" s="1595"/>
      <c r="F317" s="1595"/>
      <c r="G317" s="1595"/>
      <c r="H317" s="1596">
        <v>1</v>
      </c>
      <c r="I317" s="1595"/>
      <c r="J317" s="1595"/>
      <c r="K317" s="1597">
        <v>20272</v>
      </c>
      <c r="L317" s="1597">
        <v>20272</v>
      </c>
      <c r="M317" s="1598"/>
      <c r="N317" s="1597">
        <v>20272</v>
      </c>
      <c r="O317" s="1597">
        <v>3434.02</v>
      </c>
      <c r="P317" s="1597">
        <v>16265.7</v>
      </c>
      <c r="Q317" s="1599">
        <v>572.28</v>
      </c>
      <c r="R317" s="1597">
        <v>16837.98</v>
      </c>
      <c r="S317" s="1592"/>
    </row>
    <row r="318" spans="2:19" s="1593" customFormat="1" ht="11.25" customHeight="1" outlineLevel="1">
      <c r="B318" s="1594">
        <v>10777</v>
      </c>
      <c r="C318" s="1595" t="s">
        <v>5403</v>
      </c>
      <c r="D318" s="1595" t="s">
        <v>14428</v>
      </c>
      <c r="E318" s="1595"/>
      <c r="F318" s="1595"/>
      <c r="G318" s="1595" t="s">
        <v>3734</v>
      </c>
      <c r="H318" s="1596">
        <v>2</v>
      </c>
      <c r="I318" s="1595"/>
      <c r="J318" s="1595"/>
      <c r="K318" s="1597">
        <v>311931</v>
      </c>
      <c r="L318" s="1597">
        <v>265109.89</v>
      </c>
      <c r="M318" s="1598"/>
      <c r="N318" s="1597">
        <v>265109.89</v>
      </c>
      <c r="O318" s="1597">
        <v>44912.14</v>
      </c>
      <c r="P318" s="1597">
        <v>212712.39</v>
      </c>
      <c r="Q318" s="1597">
        <v>7485.36</v>
      </c>
      <c r="R318" s="1597">
        <v>220197.75</v>
      </c>
      <c r="S318" s="1592"/>
    </row>
    <row r="319" spans="2:19" s="1593" customFormat="1" ht="11.25" customHeight="1" outlineLevel="1">
      <c r="B319" s="1594">
        <v>10778</v>
      </c>
      <c r="C319" s="1595" t="s">
        <v>5403</v>
      </c>
      <c r="D319" s="1595" t="s">
        <v>14427</v>
      </c>
      <c r="E319" s="1595"/>
      <c r="F319" s="1595"/>
      <c r="G319" s="1595"/>
      <c r="H319" s="1596">
        <v>1</v>
      </c>
      <c r="I319" s="1595"/>
      <c r="J319" s="1595"/>
      <c r="K319" s="1599">
        <v>792</v>
      </c>
      <c r="L319" s="1599">
        <v>792</v>
      </c>
      <c r="M319" s="1599">
        <v>-792</v>
      </c>
      <c r="N319" s="1598"/>
      <c r="O319" s="1598"/>
      <c r="P319" s="1599">
        <v>792</v>
      </c>
      <c r="Q319" s="1599">
        <v>-792</v>
      </c>
      <c r="R319" s="1598"/>
      <c r="S319" s="1592"/>
    </row>
    <row r="320" spans="2:19" s="1593" customFormat="1" ht="21.75" customHeight="1" outlineLevel="1">
      <c r="B320" s="1594">
        <v>10779</v>
      </c>
      <c r="C320" s="1595" t="s">
        <v>5403</v>
      </c>
      <c r="D320" s="1595" t="s">
        <v>14426</v>
      </c>
      <c r="E320" s="1595"/>
      <c r="F320" s="1595"/>
      <c r="G320" s="1595" t="s">
        <v>14051</v>
      </c>
      <c r="H320" s="1596">
        <v>2</v>
      </c>
      <c r="I320" s="1595"/>
      <c r="J320" s="1595"/>
      <c r="K320" s="1597">
        <v>6013198</v>
      </c>
      <c r="L320" s="1597">
        <v>9986580.8499999996</v>
      </c>
      <c r="M320" s="1598"/>
      <c r="N320" s="1597">
        <v>9986580.8499999996</v>
      </c>
      <c r="O320" s="1597">
        <v>2191532.7599999998</v>
      </c>
      <c r="P320" s="1597">
        <v>7587974.1699999999</v>
      </c>
      <c r="Q320" s="1597">
        <v>207073.92000000001</v>
      </c>
      <c r="R320" s="1597">
        <v>7795048.0899999999</v>
      </c>
      <c r="S320" s="1592"/>
    </row>
    <row r="321" spans="2:19" s="1593" customFormat="1" ht="11.25" customHeight="1" outlineLevel="1">
      <c r="B321" s="1594">
        <v>10780</v>
      </c>
      <c r="C321" s="1595" t="s">
        <v>5403</v>
      </c>
      <c r="D321" s="1595" t="s">
        <v>14425</v>
      </c>
      <c r="E321" s="1595"/>
      <c r="F321" s="1595"/>
      <c r="G321" s="1595" t="s">
        <v>3734</v>
      </c>
      <c r="H321" s="1596">
        <v>1</v>
      </c>
      <c r="I321" s="1595"/>
      <c r="J321" s="1595"/>
      <c r="K321" s="1597">
        <v>4141798</v>
      </c>
      <c r="L321" s="1597">
        <v>4141798</v>
      </c>
      <c r="M321" s="1598"/>
      <c r="N321" s="1597">
        <v>4141798</v>
      </c>
      <c r="O321" s="1597">
        <v>701668.44</v>
      </c>
      <c r="P321" s="1597">
        <v>3323184.81</v>
      </c>
      <c r="Q321" s="1597">
        <v>116944.75</v>
      </c>
      <c r="R321" s="1597">
        <v>3440129.56</v>
      </c>
      <c r="S321" s="1592"/>
    </row>
    <row r="322" spans="2:19" s="1593" customFormat="1" ht="11.25" customHeight="1" outlineLevel="1">
      <c r="B322" s="1594">
        <v>10781</v>
      </c>
      <c r="C322" s="1595" t="s">
        <v>5403</v>
      </c>
      <c r="D322" s="1595" t="s">
        <v>14424</v>
      </c>
      <c r="E322" s="1595"/>
      <c r="F322" s="1595"/>
      <c r="G322" s="1595" t="s">
        <v>3664</v>
      </c>
      <c r="H322" s="1596">
        <v>1</v>
      </c>
      <c r="I322" s="1595"/>
      <c r="J322" s="1595"/>
      <c r="K322" s="1597">
        <v>191499</v>
      </c>
      <c r="L322" s="1597">
        <v>1133654.95</v>
      </c>
      <c r="M322" s="1598"/>
      <c r="N322" s="1597">
        <v>1133654.95</v>
      </c>
      <c r="O322" s="1597">
        <v>6318.37</v>
      </c>
      <c r="P322" s="1597">
        <v>1095118.0900000001</v>
      </c>
      <c r="Q322" s="1597">
        <v>32218.49</v>
      </c>
      <c r="R322" s="1597">
        <v>1127336.58</v>
      </c>
      <c r="S322" s="1592"/>
    </row>
    <row r="323" spans="2:19" s="1593" customFormat="1" ht="11.25" customHeight="1" outlineLevel="1">
      <c r="B323" s="1594">
        <v>10782</v>
      </c>
      <c r="C323" s="1595" t="s">
        <v>5403</v>
      </c>
      <c r="D323" s="1595" t="s">
        <v>14423</v>
      </c>
      <c r="E323" s="1595"/>
      <c r="F323" s="1595"/>
      <c r="G323" s="1595" t="s">
        <v>3734</v>
      </c>
      <c r="H323" s="1596">
        <v>3</v>
      </c>
      <c r="I323" s="1595"/>
      <c r="J323" s="1595"/>
      <c r="K323" s="1597">
        <v>211079</v>
      </c>
      <c r="L323" s="1597">
        <v>211079</v>
      </c>
      <c r="M323" s="1598"/>
      <c r="N323" s="1597">
        <v>211079</v>
      </c>
      <c r="O323" s="1597">
        <v>13437.71</v>
      </c>
      <c r="P323" s="1597">
        <v>190922.49</v>
      </c>
      <c r="Q323" s="1597">
        <v>6718.8</v>
      </c>
      <c r="R323" s="1597">
        <v>197641.29</v>
      </c>
      <c r="S323" s="1592"/>
    </row>
    <row r="324" spans="2:19" s="1593" customFormat="1" ht="11.25" customHeight="1" outlineLevel="1">
      <c r="B324" s="1594">
        <v>10783</v>
      </c>
      <c r="C324" s="1595" t="s">
        <v>5403</v>
      </c>
      <c r="D324" s="1595" t="s">
        <v>14422</v>
      </c>
      <c r="E324" s="1595"/>
      <c r="F324" s="1595"/>
      <c r="G324" s="1595" t="s">
        <v>3734</v>
      </c>
      <c r="H324" s="1596">
        <v>3</v>
      </c>
      <c r="I324" s="1595"/>
      <c r="J324" s="1595"/>
      <c r="K324" s="1597">
        <v>499809</v>
      </c>
      <c r="L324" s="1597">
        <v>499809</v>
      </c>
      <c r="M324" s="1598"/>
      <c r="N324" s="1597">
        <v>499809</v>
      </c>
      <c r="O324" s="1597">
        <v>31818.84</v>
      </c>
      <c r="P324" s="1597">
        <v>452080.75</v>
      </c>
      <c r="Q324" s="1597">
        <v>15909.41</v>
      </c>
      <c r="R324" s="1597">
        <v>467990.16</v>
      </c>
      <c r="S324" s="1592"/>
    </row>
    <row r="325" spans="2:19" s="1593" customFormat="1" ht="11.25" customHeight="1" outlineLevel="1">
      <c r="B325" s="1594">
        <v>10784</v>
      </c>
      <c r="C325" s="1595" t="s">
        <v>5403</v>
      </c>
      <c r="D325" s="1595" t="s">
        <v>14421</v>
      </c>
      <c r="E325" s="1595"/>
      <c r="F325" s="1595"/>
      <c r="G325" s="1595" t="s">
        <v>3734</v>
      </c>
      <c r="H325" s="1596">
        <v>3</v>
      </c>
      <c r="I325" s="1595"/>
      <c r="J325" s="1595"/>
      <c r="K325" s="1597">
        <v>322852</v>
      </c>
      <c r="L325" s="1597">
        <v>341206</v>
      </c>
      <c r="M325" s="1598"/>
      <c r="N325" s="1597">
        <v>341206</v>
      </c>
      <c r="O325" s="1597">
        <v>21720.36</v>
      </c>
      <c r="P325" s="1597">
        <v>308625.46000000002</v>
      </c>
      <c r="Q325" s="1597">
        <v>10860.18</v>
      </c>
      <c r="R325" s="1597">
        <v>319485.64</v>
      </c>
      <c r="S325" s="1592"/>
    </row>
    <row r="326" spans="2:19" s="1593" customFormat="1" ht="11.25" customHeight="1" outlineLevel="1">
      <c r="B326" s="1594">
        <v>10786</v>
      </c>
      <c r="C326" s="1595" t="s">
        <v>5403</v>
      </c>
      <c r="D326" s="1595" t="s">
        <v>14420</v>
      </c>
      <c r="E326" s="1595"/>
      <c r="F326" s="1595"/>
      <c r="G326" s="1595" t="s">
        <v>3734</v>
      </c>
      <c r="H326" s="1596">
        <v>1</v>
      </c>
      <c r="I326" s="1595"/>
      <c r="J326" s="1595"/>
      <c r="K326" s="1597">
        <v>445007</v>
      </c>
      <c r="L326" s="1597">
        <v>1078525</v>
      </c>
      <c r="M326" s="1598"/>
      <c r="N326" s="1597">
        <v>1078525</v>
      </c>
      <c r="O326" s="1597">
        <v>78247.210000000006</v>
      </c>
      <c r="P326" s="1597">
        <v>593648.86</v>
      </c>
      <c r="Q326" s="1597">
        <v>406628.93</v>
      </c>
      <c r="R326" s="1597">
        <v>1000277.79</v>
      </c>
      <c r="S326" s="1592"/>
    </row>
    <row r="327" spans="2:19" s="1593" customFormat="1" ht="11.25" customHeight="1" outlineLevel="1">
      <c r="B327" s="1594">
        <v>10787</v>
      </c>
      <c r="C327" s="1595" t="s">
        <v>5403</v>
      </c>
      <c r="D327" s="1595" t="s">
        <v>14419</v>
      </c>
      <c r="E327" s="1595"/>
      <c r="F327" s="1595"/>
      <c r="G327" s="1595" t="s">
        <v>14418</v>
      </c>
      <c r="H327" s="1596">
        <v>1</v>
      </c>
      <c r="I327" s="1595"/>
      <c r="J327" s="1595"/>
      <c r="K327" s="1597">
        <v>937853</v>
      </c>
      <c r="L327" s="1597">
        <v>18383611.600000001</v>
      </c>
      <c r="M327" s="1598"/>
      <c r="N327" s="1597">
        <v>18383611.600000001</v>
      </c>
      <c r="O327" s="1597">
        <v>12314437.9</v>
      </c>
      <c r="P327" s="1597">
        <v>5659829.46</v>
      </c>
      <c r="Q327" s="1597">
        <v>409344.24</v>
      </c>
      <c r="R327" s="1597">
        <v>6069173.7000000002</v>
      </c>
      <c r="S327" s="1592"/>
    </row>
    <row r="328" spans="2:19" s="1593" customFormat="1" ht="11.25" customHeight="1" outlineLevel="1">
      <c r="B328" s="1594">
        <v>10788</v>
      </c>
      <c r="C328" s="1595" t="s">
        <v>5403</v>
      </c>
      <c r="D328" s="1595" t="s">
        <v>14417</v>
      </c>
      <c r="E328" s="1595"/>
      <c r="F328" s="1595"/>
      <c r="G328" s="1595" t="s">
        <v>3734</v>
      </c>
      <c r="H328" s="1596">
        <v>2</v>
      </c>
      <c r="I328" s="1595"/>
      <c r="J328" s="1595"/>
      <c r="K328" s="1597">
        <v>157543</v>
      </c>
      <c r="L328" s="1597">
        <v>777918</v>
      </c>
      <c r="M328" s="1598"/>
      <c r="N328" s="1597">
        <v>777918</v>
      </c>
      <c r="O328" s="1597">
        <v>182244.74</v>
      </c>
      <c r="P328" s="1597">
        <v>575423.86</v>
      </c>
      <c r="Q328" s="1597">
        <v>20249.400000000001</v>
      </c>
      <c r="R328" s="1597">
        <v>595673.26</v>
      </c>
      <c r="S328" s="1592"/>
    </row>
    <row r="329" spans="2:19" s="1593" customFormat="1" ht="11.25" customHeight="1" outlineLevel="1">
      <c r="B329" s="1594">
        <v>10789</v>
      </c>
      <c r="C329" s="1595" t="s">
        <v>5403</v>
      </c>
      <c r="D329" s="1595" t="s">
        <v>14416</v>
      </c>
      <c r="E329" s="1595"/>
      <c r="F329" s="1595"/>
      <c r="G329" s="1595" t="s">
        <v>14051</v>
      </c>
      <c r="H329" s="1596">
        <v>1</v>
      </c>
      <c r="I329" s="1595"/>
      <c r="J329" s="1595"/>
      <c r="K329" s="1597">
        <v>277980</v>
      </c>
      <c r="L329" s="1597">
        <v>277980</v>
      </c>
      <c r="M329" s="1598"/>
      <c r="N329" s="1597">
        <v>277980</v>
      </c>
      <c r="O329" s="1597">
        <v>179853.06</v>
      </c>
      <c r="P329" s="1597">
        <v>94791.18</v>
      </c>
      <c r="Q329" s="1597">
        <v>3335.76</v>
      </c>
      <c r="R329" s="1597">
        <v>98126.94</v>
      </c>
      <c r="S329" s="1592"/>
    </row>
    <row r="330" spans="2:19" s="1593" customFormat="1" ht="11.25" customHeight="1" outlineLevel="1">
      <c r="B330" s="1594">
        <v>10790</v>
      </c>
      <c r="C330" s="1595" t="s">
        <v>5403</v>
      </c>
      <c r="D330" s="1595" t="s">
        <v>14415</v>
      </c>
      <c r="E330" s="1595"/>
      <c r="F330" s="1595"/>
      <c r="G330" s="1595" t="s">
        <v>14051</v>
      </c>
      <c r="H330" s="1596">
        <v>1</v>
      </c>
      <c r="I330" s="1595"/>
      <c r="J330" s="1595"/>
      <c r="K330" s="1597">
        <v>532425</v>
      </c>
      <c r="L330" s="1597">
        <v>532425</v>
      </c>
      <c r="M330" s="1598"/>
      <c r="N330" s="1597">
        <v>532425</v>
      </c>
      <c r="O330" s="1597">
        <v>140870.34</v>
      </c>
      <c r="P330" s="1597">
        <v>378244.02</v>
      </c>
      <c r="Q330" s="1597">
        <v>13310.64</v>
      </c>
      <c r="R330" s="1597">
        <v>391554.66</v>
      </c>
      <c r="S330" s="1592"/>
    </row>
    <row r="331" spans="2:19" s="1593" customFormat="1" ht="11.25" customHeight="1" outlineLevel="1">
      <c r="B331" s="1594">
        <v>10791</v>
      </c>
      <c r="C331" s="1595" t="s">
        <v>5403</v>
      </c>
      <c r="D331" s="1595" t="s">
        <v>14414</v>
      </c>
      <c r="E331" s="1595"/>
      <c r="F331" s="1595"/>
      <c r="G331" s="1595" t="s">
        <v>3734</v>
      </c>
      <c r="H331" s="1596">
        <v>1</v>
      </c>
      <c r="I331" s="1595"/>
      <c r="J331" s="1595"/>
      <c r="K331" s="1597">
        <v>353975</v>
      </c>
      <c r="L331" s="1597">
        <v>353975</v>
      </c>
      <c r="M331" s="1598"/>
      <c r="N331" s="1597">
        <v>353975</v>
      </c>
      <c r="O331" s="1597">
        <v>22533.24</v>
      </c>
      <c r="P331" s="1597">
        <v>320175.13</v>
      </c>
      <c r="Q331" s="1597">
        <v>11266.63</v>
      </c>
      <c r="R331" s="1597">
        <v>331441.76</v>
      </c>
      <c r="S331" s="1592"/>
    </row>
    <row r="332" spans="2:19" s="1593" customFormat="1" ht="11.25" customHeight="1" outlineLevel="1">
      <c r="B332" s="1594">
        <v>10792</v>
      </c>
      <c r="C332" s="1595" t="s">
        <v>5403</v>
      </c>
      <c r="D332" s="1595" t="s">
        <v>14413</v>
      </c>
      <c r="E332" s="1595"/>
      <c r="F332" s="1595"/>
      <c r="G332" s="1595"/>
      <c r="H332" s="1596">
        <v>1</v>
      </c>
      <c r="I332" s="1595"/>
      <c r="J332" s="1595"/>
      <c r="K332" s="1599">
        <v>105</v>
      </c>
      <c r="L332" s="1599">
        <v>105</v>
      </c>
      <c r="M332" s="1599">
        <v>-105</v>
      </c>
      <c r="N332" s="1598"/>
      <c r="O332" s="1598"/>
      <c r="P332" s="1599">
        <v>105</v>
      </c>
      <c r="Q332" s="1599">
        <v>-105</v>
      </c>
      <c r="R332" s="1598"/>
      <c r="S332" s="1592"/>
    </row>
    <row r="333" spans="2:19" s="1593" customFormat="1" ht="11.25" customHeight="1" outlineLevel="1">
      <c r="B333" s="1594">
        <v>10795</v>
      </c>
      <c r="C333" s="1595" t="s">
        <v>5403</v>
      </c>
      <c r="D333" s="1595" t="s">
        <v>14412</v>
      </c>
      <c r="E333" s="1595"/>
      <c r="F333" s="1595"/>
      <c r="G333" s="1595"/>
      <c r="H333" s="1596">
        <v>1</v>
      </c>
      <c r="I333" s="1595"/>
      <c r="J333" s="1595"/>
      <c r="K333" s="1597">
        <v>6028</v>
      </c>
      <c r="L333" s="1597">
        <v>6027.76</v>
      </c>
      <c r="M333" s="1597">
        <v>-6027.76</v>
      </c>
      <c r="N333" s="1598"/>
      <c r="O333" s="1598"/>
      <c r="P333" s="1597">
        <v>6027.76</v>
      </c>
      <c r="Q333" s="1597">
        <v>-6027.76</v>
      </c>
      <c r="R333" s="1598"/>
      <c r="S333" s="1592"/>
    </row>
    <row r="334" spans="2:19" s="1593" customFormat="1" ht="11.25" customHeight="1" outlineLevel="1">
      <c r="B334" s="1594">
        <v>10796</v>
      </c>
      <c r="C334" s="1595" t="s">
        <v>5403</v>
      </c>
      <c r="D334" s="1595" t="s">
        <v>14411</v>
      </c>
      <c r="E334" s="1595"/>
      <c r="F334" s="1595"/>
      <c r="G334" s="1595"/>
      <c r="H334" s="1596">
        <v>1</v>
      </c>
      <c r="I334" s="1595"/>
      <c r="J334" s="1595"/>
      <c r="K334" s="1597">
        <v>2638</v>
      </c>
      <c r="L334" s="1597">
        <v>2637.8</v>
      </c>
      <c r="M334" s="1597">
        <v>-2637.8</v>
      </c>
      <c r="N334" s="1598"/>
      <c r="O334" s="1598"/>
      <c r="P334" s="1597">
        <v>2637.8</v>
      </c>
      <c r="Q334" s="1597">
        <v>-2637.8</v>
      </c>
      <c r="R334" s="1598"/>
      <c r="S334" s="1592"/>
    </row>
    <row r="335" spans="2:19" s="1593" customFormat="1" ht="11.25" customHeight="1" outlineLevel="1">
      <c r="B335" s="1594">
        <v>10799</v>
      </c>
      <c r="C335" s="1595" t="s">
        <v>5403</v>
      </c>
      <c r="D335" s="1595" t="s">
        <v>14410</v>
      </c>
      <c r="E335" s="1595"/>
      <c r="F335" s="1595"/>
      <c r="G335" s="1595"/>
      <c r="H335" s="1596">
        <v>1</v>
      </c>
      <c r="I335" s="1595"/>
      <c r="J335" s="1595"/>
      <c r="K335" s="1597">
        <v>1326</v>
      </c>
      <c r="L335" s="1597">
        <v>1326.5</v>
      </c>
      <c r="M335" s="1597">
        <v>-1326.5</v>
      </c>
      <c r="N335" s="1598"/>
      <c r="O335" s="1598"/>
      <c r="P335" s="1597">
        <v>1326.5</v>
      </c>
      <c r="Q335" s="1597">
        <v>-1326.5</v>
      </c>
      <c r="R335" s="1598"/>
      <c r="S335" s="1592"/>
    </row>
    <row r="336" spans="2:19" s="1593" customFormat="1" ht="11.25" customHeight="1" outlineLevel="1">
      <c r="B336" s="1594">
        <v>10803</v>
      </c>
      <c r="C336" s="1595" t="s">
        <v>5403</v>
      </c>
      <c r="D336" s="1595" t="s">
        <v>14409</v>
      </c>
      <c r="E336" s="1595"/>
      <c r="F336" s="1595"/>
      <c r="G336" s="1595"/>
      <c r="H336" s="1596">
        <v>1</v>
      </c>
      <c r="I336" s="1595"/>
      <c r="J336" s="1595"/>
      <c r="K336" s="1597">
        <v>9583</v>
      </c>
      <c r="L336" s="1597">
        <v>9582.7999999999993</v>
      </c>
      <c r="M336" s="1597">
        <v>-9582.7999999999993</v>
      </c>
      <c r="N336" s="1598"/>
      <c r="O336" s="1598"/>
      <c r="P336" s="1597">
        <v>9582.7999999999993</v>
      </c>
      <c r="Q336" s="1597">
        <v>-9582.7999999999993</v>
      </c>
      <c r="R336" s="1598"/>
      <c r="S336" s="1592"/>
    </row>
    <row r="337" spans="2:19" s="1593" customFormat="1" ht="11.25" customHeight="1" outlineLevel="1">
      <c r="B337" s="1594">
        <v>10804</v>
      </c>
      <c r="C337" s="1595" t="s">
        <v>5403</v>
      </c>
      <c r="D337" s="1595" t="s">
        <v>14408</v>
      </c>
      <c r="E337" s="1595"/>
      <c r="F337" s="1595"/>
      <c r="G337" s="1595" t="s">
        <v>3734</v>
      </c>
      <c r="H337" s="1596">
        <v>1</v>
      </c>
      <c r="I337" s="1595"/>
      <c r="J337" s="1595"/>
      <c r="K337" s="1599">
        <v>466</v>
      </c>
      <c r="L337" s="1597">
        <v>859718</v>
      </c>
      <c r="M337" s="1598"/>
      <c r="N337" s="1597">
        <v>859718</v>
      </c>
      <c r="O337" s="1597">
        <v>353918.3</v>
      </c>
      <c r="P337" s="1597">
        <v>488605.26</v>
      </c>
      <c r="Q337" s="1597">
        <v>17194.439999999999</v>
      </c>
      <c r="R337" s="1597">
        <v>505799.7</v>
      </c>
      <c r="S337" s="1592"/>
    </row>
    <row r="338" spans="2:19" s="1593" customFormat="1" ht="11.25" customHeight="1" outlineLevel="1">
      <c r="B338" s="1594">
        <v>10810</v>
      </c>
      <c r="C338" s="1595" t="s">
        <v>5403</v>
      </c>
      <c r="D338" s="1595" t="s">
        <v>14407</v>
      </c>
      <c r="E338" s="1595"/>
      <c r="F338" s="1595"/>
      <c r="G338" s="1595"/>
      <c r="H338" s="1596">
        <v>1</v>
      </c>
      <c r="I338" s="1595"/>
      <c r="J338" s="1595"/>
      <c r="K338" s="1599">
        <v>114</v>
      </c>
      <c r="L338" s="1599">
        <v>113.6</v>
      </c>
      <c r="M338" s="1599">
        <v>-113.6</v>
      </c>
      <c r="N338" s="1598"/>
      <c r="O338" s="1598"/>
      <c r="P338" s="1599">
        <v>113.6</v>
      </c>
      <c r="Q338" s="1599">
        <v>-113.6</v>
      </c>
      <c r="R338" s="1598"/>
      <c r="S338" s="1592"/>
    </row>
    <row r="339" spans="2:19" s="1593" customFormat="1" ht="11.25" customHeight="1" outlineLevel="1">
      <c r="B339" s="1594">
        <v>10811</v>
      </c>
      <c r="C339" s="1595" t="s">
        <v>5403</v>
      </c>
      <c r="D339" s="1595" t="s">
        <v>14406</v>
      </c>
      <c r="E339" s="1595"/>
      <c r="F339" s="1595"/>
      <c r="G339" s="1595" t="s">
        <v>3734</v>
      </c>
      <c r="H339" s="1596">
        <v>1</v>
      </c>
      <c r="I339" s="1595"/>
      <c r="J339" s="1595"/>
      <c r="K339" s="1599">
        <v>928</v>
      </c>
      <c r="L339" s="1599">
        <v>927.75</v>
      </c>
      <c r="M339" s="1598"/>
      <c r="N339" s="1599">
        <v>927.75</v>
      </c>
      <c r="O339" s="1599">
        <v>380.72</v>
      </c>
      <c r="P339" s="1599">
        <v>528.54999999999995</v>
      </c>
      <c r="Q339" s="1599">
        <v>18.48</v>
      </c>
      <c r="R339" s="1599">
        <v>547.03</v>
      </c>
      <c r="S339" s="1592"/>
    </row>
    <row r="340" spans="2:19" s="1593" customFormat="1" ht="11.25" customHeight="1" outlineLevel="1">
      <c r="B340" s="1594">
        <v>10812</v>
      </c>
      <c r="C340" s="1595" t="s">
        <v>5403</v>
      </c>
      <c r="D340" s="1595" t="s">
        <v>14405</v>
      </c>
      <c r="E340" s="1595"/>
      <c r="F340" s="1595"/>
      <c r="G340" s="1595"/>
      <c r="H340" s="1596">
        <v>1</v>
      </c>
      <c r="I340" s="1595"/>
      <c r="J340" s="1595"/>
      <c r="K340" s="1599">
        <v>287</v>
      </c>
      <c r="L340" s="1599">
        <v>287.39999999999998</v>
      </c>
      <c r="M340" s="1599">
        <v>-287.39999999999998</v>
      </c>
      <c r="N340" s="1598"/>
      <c r="O340" s="1598"/>
      <c r="P340" s="1599">
        <v>287.39999999999998</v>
      </c>
      <c r="Q340" s="1599">
        <v>-287.39999999999998</v>
      </c>
      <c r="R340" s="1598"/>
      <c r="S340" s="1592"/>
    </row>
    <row r="341" spans="2:19" s="1593" customFormat="1" ht="11.25" customHeight="1" outlineLevel="1">
      <c r="B341" s="1594">
        <v>10813</v>
      </c>
      <c r="C341" s="1595" t="s">
        <v>5403</v>
      </c>
      <c r="D341" s="1595" t="s">
        <v>14404</v>
      </c>
      <c r="E341" s="1595"/>
      <c r="F341" s="1595"/>
      <c r="G341" s="1595"/>
      <c r="H341" s="1596">
        <v>1</v>
      </c>
      <c r="I341" s="1595"/>
      <c r="J341" s="1595"/>
      <c r="K341" s="1599">
        <v>868</v>
      </c>
      <c r="L341" s="1599">
        <v>868</v>
      </c>
      <c r="M341" s="1599">
        <v>-868</v>
      </c>
      <c r="N341" s="1598"/>
      <c r="O341" s="1598"/>
      <c r="P341" s="1599">
        <v>868</v>
      </c>
      <c r="Q341" s="1599">
        <v>-868</v>
      </c>
      <c r="R341" s="1598"/>
      <c r="S341" s="1592"/>
    </row>
    <row r="342" spans="2:19" s="1593" customFormat="1" ht="11.25" customHeight="1" outlineLevel="1">
      <c r="B342" s="1594">
        <v>10814</v>
      </c>
      <c r="C342" s="1595" t="s">
        <v>5403</v>
      </c>
      <c r="D342" s="1595" t="s">
        <v>14403</v>
      </c>
      <c r="E342" s="1595"/>
      <c r="F342" s="1595"/>
      <c r="G342" s="1595"/>
      <c r="H342" s="1596">
        <v>1</v>
      </c>
      <c r="I342" s="1595"/>
      <c r="J342" s="1595"/>
      <c r="K342" s="1599">
        <v>219</v>
      </c>
      <c r="L342" s="1599">
        <v>218.52</v>
      </c>
      <c r="M342" s="1599">
        <v>-218.52</v>
      </c>
      <c r="N342" s="1598"/>
      <c r="O342" s="1598"/>
      <c r="P342" s="1599">
        <v>218.52</v>
      </c>
      <c r="Q342" s="1599">
        <v>-218.52</v>
      </c>
      <c r="R342" s="1598"/>
      <c r="S342" s="1592"/>
    </row>
    <row r="343" spans="2:19" s="1593" customFormat="1" ht="11.25" customHeight="1" outlineLevel="1">
      <c r="B343" s="1594">
        <v>33227</v>
      </c>
      <c r="C343" s="1595" t="s">
        <v>5403</v>
      </c>
      <c r="D343" s="1595" t="s">
        <v>14402</v>
      </c>
      <c r="E343" s="1595"/>
      <c r="F343" s="1595"/>
      <c r="G343" s="1595" t="s">
        <v>14401</v>
      </c>
      <c r="H343" s="1596">
        <v>1</v>
      </c>
      <c r="I343" s="1595"/>
      <c r="J343" s="1595"/>
      <c r="K343" s="1597">
        <v>5488</v>
      </c>
      <c r="L343" s="1597">
        <v>5488</v>
      </c>
      <c r="M343" s="1598"/>
      <c r="N343" s="1597">
        <v>5488</v>
      </c>
      <c r="O343" s="1597">
        <v>2258.17</v>
      </c>
      <c r="P343" s="1597">
        <v>3120.15</v>
      </c>
      <c r="Q343" s="1599">
        <v>109.68</v>
      </c>
      <c r="R343" s="1597">
        <v>3229.83</v>
      </c>
      <c r="S343" s="1592"/>
    </row>
    <row r="344" spans="2:19" s="1593" customFormat="1" ht="11.25" customHeight="1" outlineLevel="1">
      <c r="B344" s="1594">
        <v>33293</v>
      </c>
      <c r="C344" s="1595" t="s">
        <v>5403</v>
      </c>
      <c r="D344" s="1595" t="s">
        <v>14400</v>
      </c>
      <c r="E344" s="1595"/>
      <c r="F344" s="1595"/>
      <c r="G344" s="1595"/>
      <c r="H344" s="1596">
        <v>1</v>
      </c>
      <c r="I344" s="1595"/>
      <c r="J344" s="1595"/>
      <c r="K344" s="1597">
        <v>9461</v>
      </c>
      <c r="L344" s="1597">
        <v>9461</v>
      </c>
      <c r="M344" s="1597">
        <v>-9461</v>
      </c>
      <c r="N344" s="1598"/>
      <c r="O344" s="1598"/>
      <c r="P344" s="1597">
        <v>9461</v>
      </c>
      <c r="Q344" s="1597">
        <v>-9461</v>
      </c>
      <c r="R344" s="1598"/>
      <c r="S344" s="1592"/>
    </row>
    <row r="345" spans="2:19" s="1593" customFormat="1" ht="11.25" customHeight="1" outlineLevel="1">
      <c r="B345" s="1594">
        <v>33294</v>
      </c>
      <c r="C345" s="1595" t="s">
        <v>5403</v>
      </c>
      <c r="D345" s="1595" t="s">
        <v>14399</v>
      </c>
      <c r="E345" s="1595"/>
      <c r="F345" s="1595"/>
      <c r="G345" s="1595"/>
      <c r="H345" s="1596">
        <v>1</v>
      </c>
      <c r="I345" s="1595"/>
      <c r="J345" s="1595"/>
      <c r="K345" s="1597">
        <v>9461</v>
      </c>
      <c r="L345" s="1597">
        <v>9461</v>
      </c>
      <c r="M345" s="1597">
        <v>-9461</v>
      </c>
      <c r="N345" s="1598"/>
      <c r="O345" s="1598"/>
      <c r="P345" s="1597">
        <v>9461</v>
      </c>
      <c r="Q345" s="1597">
        <v>-9461</v>
      </c>
      <c r="R345" s="1598"/>
      <c r="S345" s="1592"/>
    </row>
    <row r="346" spans="2:19" s="1593" customFormat="1" ht="11.25" customHeight="1" outlineLevel="1">
      <c r="B346" s="1594">
        <v>33456</v>
      </c>
      <c r="C346" s="1595" t="s">
        <v>5403</v>
      </c>
      <c r="D346" s="1595" t="s">
        <v>14398</v>
      </c>
      <c r="E346" s="1595"/>
      <c r="F346" s="1595"/>
      <c r="G346" s="1595"/>
      <c r="H346" s="1596">
        <v>1</v>
      </c>
      <c r="I346" s="1595"/>
      <c r="J346" s="1595"/>
      <c r="K346" s="1599">
        <v>96</v>
      </c>
      <c r="L346" s="1599">
        <v>96.5</v>
      </c>
      <c r="M346" s="1599">
        <v>-96.5</v>
      </c>
      <c r="N346" s="1598"/>
      <c r="O346" s="1598"/>
      <c r="P346" s="1599">
        <v>96.5</v>
      </c>
      <c r="Q346" s="1599">
        <v>-96.5</v>
      </c>
      <c r="R346" s="1598"/>
      <c r="S346" s="1592"/>
    </row>
    <row r="347" spans="2:19" s="1593" customFormat="1" ht="11.25" customHeight="1" outlineLevel="1">
      <c r="B347" s="1594">
        <v>33459</v>
      </c>
      <c r="C347" s="1595" t="s">
        <v>5403</v>
      </c>
      <c r="D347" s="1595" t="s">
        <v>14397</v>
      </c>
      <c r="E347" s="1595"/>
      <c r="F347" s="1595"/>
      <c r="G347" s="1595"/>
      <c r="H347" s="1596">
        <v>1</v>
      </c>
      <c r="I347" s="1595"/>
      <c r="J347" s="1595"/>
      <c r="K347" s="1599">
        <v>96</v>
      </c>
      <c r="L347" s="1599">
        <v>96.45</v>
      </c>
      <c r="M347" s="1599">
        <v>-96.45</v>
      </c>
      <c r="N347" s="1598"/>
      <c r="O347" s="1598"/>
      <c r="P347" s="1599">
        <v>96.45</v>
      </c>
      <c r="Q347" s="1599">
        <v>-96.45</v>
      </c>
      <c r="R347" s="1598"/>
      <c r="S347" s="1592"/>
    </row>
    <row r="348" spans="2:19" s="1593" customFormat="1" ht="11.25" customHeight="1" outlineLevel="1">
      <c r="B348" s="1594">
        <v>33460</v>
      </c>
      <c r="C348" s="1595" t="s">
        <v>5403</v>
      </c>
      <c r="D348" s="1595" t="s">
        <v>14396</v>
      </c>
      <c r="E348" s="1595"/>
      <c r="F348" s="1595"/>
      <c r="G348" s="1595"/>
      <c r="H348" s="1596">
        <v>1</v>
      </c>
      <c r="I348" s="1595"/>
      <c r="J348" s="1595"/>
      <c r="K348" s="1599">
        <v>96</v>
      </c>
      <c r="L348" s="1599">
        <v>96.45</v>
      </c>
      <c r="M348" s="1599">
        <v>-96.45</v>
      </c>
      <c r="N348" s="1598"/>
      <c r="O348" s="1598"/>
      <c r="P348" s="1599">
        <v>96.45</v>
      </c>
      <c r="Q348" s="1599">
        <v>-96.45</v>
      </c>
      <c r="R348" s="1598"/>
      <c r="S348" s="1592"/>
    </row>
    <row r="349" spans="2:19" s="1593" customFormat="1" ht="11.25" customHeight="1" outlineLevel="1">
      <c r="B349" s="1594">
        <v>33461</v>
      </c>
      <c r="C349" s="1595" t="s">
        <v>5403</v>
      </c>
      <c r="D349" s="1595" t="s">
        <v>14395</v>
      </c>
      <c r="E349" s="1595"/>
      <c r="F349" s="1595"/>
      <c r="G349" s="1595"/>
      <c r="H349" s="1596">
        <v>1</v>
      </c>
      <c r="I349" s="1595"/>
      <c r="J349" s="1595"/>
      <c r="K349" s="1599">
        <v>96</v>
      </c>
      <c r="L349" s="1599">
        <v>96.45</v>
      </c>
      <c r="M349" s="1599">
        <v>-96.45</v>
      </c>
      <c r="N349" s="1598"/>
      <c r="O349" s="1598"/>
      <c r="P349" s="1599">
        <v>96.45</v>
      </c>
      <c r="Q349" s="1599">
        <v>-96.45</v>
      </c>
      <c r="R349" s="1598"/>
      <c r="S349" s="1592"/>
    </row>
    <row r="350" spans="2:19" s="1593" customFormat="1" ht="11.25" customHeight="1" outlineLevel="1">
      <c r="B350" s="1594">
        <v>33462</v>
      </c>
      <c r="C350" s="1595" t="s">
        <v>5403</v>
      </c>
      <c r="D350" s="1595" t="s">
        <v>14394</v>
      </c>
      <c r="E350" s="1595"/>
      <c r="F350" s="1595"/>
      <c r="G350" s="1595"/>
      <c r="H350" s="1596">
        <v>1</v>
      </c>
      <c r="I350" s="1595"/>
      <c r="J350" s="1595"/>
      <c r="K350" s="1599">
        <v>96</v>
      </c>
      <c r="L350" s="1599">
        <v>96.45</v>
      </c>
      <c r="M350" s="1599">
        <v>-96.45</v>
      </c>
      <c r="N350" s="1598"/>
      <c r="O350" s="1598"/>
      <c r="P350" s="1599">
        <v>96.45</v>
      </c>
      <c r="Q350" s="1599">
        <v>-96.45</v>
      </c>
      <c r="R350" s="1598"/>
      <c r="S350" s="1592"/>
    </row>
    <row r="351" spans="2:19" s="1593" customFormat="1" ht="11.25" customHeight="1" outlineLevel="1">
      <c r="B351" s="1594">
        <v>33463</v>
      </c>
      <c r="C351" s="1595" t="s">
        <v>5403</v>
      </c>
      <c r="D351" s="1595" t="s">
        <v>14393</v>
      </c>
      <c r="E351" s="1595"/>
      <c r="F351" s="1595"/>
      <c r="G351" s="1595"/>
      <c r="H351" s="1596">
        <v>1</v>
      </c>
      <c r="I351" s="1595"/>
      <c r="J351" s="1595"/>
      <c r="K351" s="1599">
        <v>96</v>
      </c>
      <c r="L351" s="1599">
        <v>96.45</v>
      </c>
      <c r="M351" s="1599">
        <v>-96.45</v>
      </c>
      <c r="N351" s="1598"/>
      <c r="O351" s="1598"/>
      <c r="P351" s="1599">
        <v>96.45</v>
      </c>
      <c r="Q351" s="1599">
        <v>-96.45</v>
      </c>
      <c r="R351" s="1598"/>
      <c r="S351" s="1592"/>
    </row>
    <row r="352" spans="2:19" s="1593" customFormat="1" ht="11.25" customHeight="1" outlineLevel="1">
      <c r="B352" s="1594">
        <v>33464</v>
      </c>
      <c r="C352" s="1595" t="s">
        <v>5403</v>
      </c>
      <c r="D352" s="1595" t="s">
        <v>14392</v>
      </c>
      <c r="E352" s="1595"/>
      <c r="F352" s="1595"/>
      <c r="G352" s="1595"/>
      <c r="H352" s="1596">
        <v>1</v>
      </c>
      <c r="I352" s="1595"/>
      <c r="J352" s="1595"/>
      <c r="K352" s="1599">
        <v>96</v>
      </c>
      <c r="L352" s="1599">
        <v>96.45</v>
      </c>
      <c r="M352" s="1599">
        <v>-96.45</v>
      </c>
      <c r="N352" s="1598"/>
      <c r="O352" s="1598"/>
      <c r="P352" s="1599">
        <v>96.45</v>
      </c>
      <c r="Q352" s="1599">
        <v>-96.45</v>
      </c>
      <c r="R352" s="1598"/>
      <c r="S352" s="1592"/>
    </row>
    <row r="353" spans="2:19" s="1593" customFormat="1" ht="11.25" customHeight="1" outlineLevel="1">
      <c r="B353" s="1594">
        <v>33465</v>
      </c>
      <c r="C353" s="1595" t="s">
        <v>5403</v>
      </c>
      <c r="D353" s="1595" t="s">
        <v>14391</v>
      </c>
      <c r="E353" s="1595"/>
      <c r="F353" s="1595"/>
      <c r="G353" s="1595"/>
      <c r="H353" s="1596">
        <v>1</v>
      </c>
      <c r="I353" s="1595"/>
      <c r="J353" s="1595"/>
      <c r="K353" s="1599">
        <v>96</v>
      </c>
      <c r="L353" s="1599">
        <v>96.45</v>
      </c>
      <c r="M353" s="1599">
        <v>-96.45</v>
      </c>
      <c r="N353" s="1598"/>
      <c r="O353" s="1598"/>
      <c r="P353" s="1599">
        <v>96.45</v>
      </c>
      <c r="Q353" s="1599">
        <v>-96.45</v>
      </c>
      <c r="R353" s="1598"/>
      <c r="S353" s="1592"/>
    </row>
    <row r="354" spans="2:19" s="1593" customFormat="1" ht="11.25" customHeight="1" outlineLevel="1">
      <c r="B354" s="1594">
        <v>33466</v>
      </c>
      <c r="C354" s="1595" t="s">
        <v>5403</v>
      </c>
      <c r="D354" s="1595" t="s">
        <v>14390</v>
      </c>
      <c r="E354" s="1595"/>
      <c r="F354" s="1595"/>
      <c r="G354" s="1595"/>
      <c r="H354" s="1596">
        <v>1</v>
      </c>
      <c r="I354" s="1595"/>
      <c r="J354" s="1595"/>
      <c r="K354" s="1599">
        <v>96</v>
      </c>
      <c r="L354" s="1599">
        <v>96.45</v>
      </c>
      <c r="M354" s="1599">
        <v>-96.45</v>
      </c>
      <c r="N354" s="1598"/>
      <c r="O354" s="1598"/>
      <c r="P354" s="1599">
        <v>96.45</v>
      </c>
      <c r="Q354" s="1599">
        <v>-96.45</v>
      </c>
      <c r="R354" s="1598"/>
      <c r="S354" s="1592"/>
    </row>
    <row r="355" spans="2:19" s="1593" customFormat="1" ht="11.25" customHeight="1" outlineLevel="1">
      <c r="B355" s="1594">
        <v>33467</v>
      </c>
      <c r="C355" s="1595" t="s">
        <v>5403</v>
      </c>
      <c r="D355" s="1595" t="s">
        <v>14389</v>
      </c>
      <c r="E355" s="1595"/>
      <c r="F355" s="1595"/>
      <c r="G355" s="1595"/>
      <c r="H355" s="1596">
        <v>1</v>
      </c>
      <c r="I355" s="1595"/>
      <c r="J355" s="1595"/>
      <c r="K355" s="1599">
        <v>96</v>
      </c>
      <c r="L355" s="1599">
        <v>96.45</v>
      </c>
      <c r="M355" s="1599">
        <v>-96.45</v>
      </c>
      <c r="N355" s="1598"/>
      <c r="O355" s="1598"/>
      <c r="P355" s="1599">
        <v>96.45</v>
      </c>
      <c r="Q355" s="1599">
        <v>-96.45</v>
      </c>
      <c r="R355" s="1598"/>
      <c r="S355" s="1592"/>
    </row>
    <row r="356" spans="2:19" s="1593" customFormat="1" ht="11.25" customHeight="1" outlineLevel="1">
      <c r="B356" s="1594">
        <v>33468</v>
      </c>
      <c r="C356" s="1595" t="s">
        <v>5403</v>
      </c>
      <c r="D356" s="1595" t="s">
        <v>14388</v>
      </c>
      <c r="E356" s="1595"/>
      <c r="F356" s="1595"/>
      <c r="G356" s="1595"/>
      <c r="H356" s="1596">
        <v>1</v>
      </c>
      <c r="I356" s="1595"/>
      <c r="J356" s="1595"/>
      <c r="K356" s="1599">
        <v>96</v>
      </c>
      <c r="L356" s="1599">
        <v>96.45</v>
      </c>
      <c r="M356" s="1599">
        <v>-96.45</v>
      </c>
      <c r="N356" s="1598"/>
      <c r="O356" s="1598"/>
      <c r="P356" s="1599">
        <v>96.45</v>
      </c>
      <c r="Q356" s="1599">
        <v>-96.45</v>
      </c>
      <c r="R356" s="1598"/>
      <c r="S356" s="1592"/>
    </row>
    <row r="357" spans="2:19" s="1593" customFormat="1" ht="11.25" customHeight="1" outlineLevel="1">
      <c r="B357" s="1594">
        <v>33469</v>
      </c>
      <c r="C357" s="1595" t="s">
        <v>5403</v>
      </c>
      <c r="D357" s="1595" t="s">
        <v>14387</v>
      </c>
      <c r="E357" s="1595"/>
      <c r="F357" s="1595"/>
      <c r="G357" s="1595"/>
      <c r="H357" s="1596">
        <v>1</v>
      </c>
      <c r="I357" s="1595"/>
      <c r="J357" s="1595"/>
      <c r="K357" s="1599">
        <v>96</v>
      </c>
      <c r="L357" s="1599">
        <v>96.45</v>
      </c>
      <c r="M357" s="1599">
        <v>-96.45</v>
      </c>
      <c r="N357" s="1598"/>
      <c r="O357" s="1598"/>
      <c r="P357" s="1599">
        <v>96.45</v>
      </c>
      <c r="Q357" s="1599">
        <v>-96.45</v>
      </c>
      <c r="R357" s="1598"/>
      <c r="S357" s="1592"/>
    </row>
    <row r="358" spans="2:19" s="1593" customFormat="1" ht="11.25" customHeight="1" outlineLevel="1">
      <c r="B358" s="1594">
        <v>33470</v>
      </c>
      <c r="C358" s="1595" t="s">
        <v>5403</v>
      </c>
      <c r="D358" s="1595" t="s">
        <v>14386</v>
      </c>
      <c r="E358" s="1595"/>
      <c r="F358" s="1595"/>
      <c r="G358" s="1595"/>
      <c r="H358" s="1596">
        <v>1</v>
      </c>
      <c r="I358" s="1595"/>
      <c r="J358" s="1595"/>
      <c r="K358" s="1599">
        <v>96</v>
      </c>
      <c r="L358" s="1599">
        <v>96.45</v>
      </c>
      <c r="M358" s="1599">
        <v>-96.45</v>
      </c>
      <c r="N358" s="1598"/>
      <c r="O358" s="1598"/>
      <c r="P358" s="1599">
        <v>96.45</v>
      </c>
      <c r="Q358" s="1599">
        <v>-96.45</v>
      </c>
      <c r="R358" s="1598"/>
      <c r="S358" s="1592"/>
    </row>
    <row r="359" spans="2:19" s="1593" customFormat="1" ht="11.25" customHeight="1" outlineLevel="1">
      <c r="B359" s="1594">
        <v>33471</v>
      </c>
      <c r="C359" s="1595" t="s">
        <v>5403</v>
      </c>
      <c r="D359" s="1595" t="s">
        <v>14385</v>
      </c>
      <c r="E359" s="1595"/>
      <c r="F359" s="1595"/>
      <c r="G359" s="1595"/>
      <c r="H359" s="1596">
        <v>1</v>
      </c>
      <c r="I359" s="1595"/>
      <c r="J359" s="1595"/>
      <c r="K359" s="1599">
        <v>96</v>
      </c>
      <c r="L359" s="1599">
        <v>96.45</v>
      </c>
      <c r="M359" s="1599">
        <v>-96.45</v>
      </c>
      <c r="N359" s="1598"/>
      <c r="O359" s="1598"/>
      <c r="P359" s="1599">
        <v>96.45</v>
      </c>
      <c r="Q359" s="1599">
        <v>-96.45</v>
      </c>
      <c r="R359" s="1598"/>
      <c r="S359" s="1592"/>
    </row>
    <row r="360" spans="2:19" s="1593" customFormat="1" ht="11.25" customHeight="1" outlineLevel="1">
      <c r="B360" s="1594">
        <v>33472</v>
      </c>
      <c r="C360" s="1595" t="s">
        <v>5403</v>
      </c>
      <c r="D360" s="1595" t="s">
        <v>14384</v>
      </c>
      <c r="E360" s="1595"/>
      <c r="F360" s="1595"/>
      <c r="G360" s="1595"/>
      <c r="H360" s="1596">
        <v>1</v>
      </c>
      <c r="I360" s="1595"/>
      <c r="J360" s="1595"/>
      <c r="K360" s="1599">
        <v>96</v>
      </c>
      <c r="L360" s="1599">
        <v>96.45</v>
      </c>
      <c r="M360" s="1599">
        <v>-96.45</v>
      </c>
      <c r="N360" s="1598"/>
      <c r="O360" s="1598"/>
      <c r="P360" s="1599">
        <v>96.45</v>
      </c>
      <c r="Q360" s="1599">
        <v>-96.45</v>
      </c>
      <c r="R360" s="1598"/>
      <c r="S360" s="1592"/>
    </row>
    <row r="361" spans="2:19" s="1593" customFormat="1" ht="11.25" customHeight="1" outlineLevel="1">
      <c r="B361" s="1594">
        <v>33473</v>
      </c>
      <c r="C361" s="1595" t="s">
        <v>5403</v>
      </c>
      <c r="D361" s="1595" t="s">
        <v>14383</v>
      </c>
      <c r="E361" s="1595"/>
      <c r="F361" s="1595"/>
      <c r="G361" s="1595"/>
      <c r="H361" s="1596">
        <v>1</v>
      </c>
      <c r="I361" s="1595"/>
      <c r="J361" s="1595"/>
      <c r="K361" s="1599">
        <v>96</v>
      </c>
      <c r="L361" s="1599">
        <v>96.45</v>
      </c>
      <c r="M361" s="1599">
        <v>-96.45</v>
      </c>
      <c r="N361" s="1598"/>
      <c r="O361" s="1598"/>
      <c r="P361" s="1599">
        <v>96.45</v>
      </c>
      <c r="Q361" s="1599">
        <v>-96.45</v>
      </c>
      <c r="R361" s="1598"/>
      <c r="S361" s="1592"/>
    </row>
    <row r="362" spans="2:19" s="1593" customFormat="1" ht="11.25" customHeight="1" outlineLevel="1">
      <c r="B362" s="1594">
        <v>33474</v>
      </c>
      <c r="C362" s="1595" t="s">
        <v>5403</v>
      </c>
      <c r="D362" s="1595" t="s">
        <v>14382</v>
      </c>
      <c r="E362" s="1595"/>
      <c r="F362" s="1595"/>
      <c r="G362" s="1595"/>
      <c r="H362" s="1596">
        <v>1</v>
      </c>
      <c r="I362" s="1595"/>
      <c r="J362" s="1595"/>
      <c r="K362" s="1599">
        <v>96</v>
      </c>
      <c r="L362" s="1599">
        <v>96.45</v>
      </c>
      <c r="M362" s="1599">
        <v>-96.45</v>
      </c>
      <c r="N362" s="1598"/>
      <c r="O362" s="1598"/>
      <c r="P362" s="1599">
        <v>96.45</v>
      </c>
      <c r="Q362" s="1599">
        <v>-96.45</v>
      </c>
      <c r="R362" s="1598"/>
      <c r="S362" s="1592"/>
    </row>
    <row r="363" spans="2:19" s="1593" customFormat="1" ht="11.25" customHeight="1" outlineLevel="1">
      <c r="B363" s="1594">
        <v>33475</v>
      </c>
      <c r="C363" s="1595" t="s">
        <v>5403</v>
      </c>
      <c r="D363" s="1595" t="s">
        <v>14381</v>
      </c>
      <c r="E363" s="1595"/>
      <c r="F363" s="1595"/>
      <c r="G363" s="1595"/>
      <c r="H363" s="1596">
        <v>1</v>
      </c>
      <c r="I363" s="1595"/>
      <c r="J363" s="1595"/>
      <c r="K363" s="1599">
        <v>96</v>
      </c>
      <c r="L363" s="1599">
        <v>96.45</v>
      </c>
      <c r="M363" s="1599">
        <v>-96.45</v>
      </c>
      <c r="N363" s="1598"/>
      <c r="O363" s="1598"/>
      <c r="P363" s="1599">
        <v>96.45</v>
      </c>
      <c r="Q363" s="1599">
        <v>-96.45</v>
      </c>
      <c r="R363" s="1598"/>
      <c r="S363" s="1592"/>
    </row>
    <row r="364" spans="2:19" s="1593" customFormat="1" ht="11.25" customHeight="1" outlineLevel="1">
      <c r="B364" s="1594">
        <v>33476</v>
      </c>
      <c r="C364" s="1595" t="s">
        <v>5403</v>
      </c>
      <c r="D364" s="1595" t="s">
        <v>14380</v>
      </c>
      <c r="E364" s="1595"/>
      <c r="F364" s="1595"/>
      <c r="G364" s="1595"/>
      <c r="H364" s="1596">
        <v>1</v>
      </c>
      <c r="I364" s="1595"/>
      <c r="J364" s="1595"/>
      <c r="K364" s="1599">
        <v>96</v>
      </c>
      <c r="L364" s="1599">
        <v>96.45</v>
      </c>
      <c r="M364" s="1599">
        <v>-96.45</v>
      </c>
      <c r="N364" s="1598"/>
      <c r="O364" s="1598"/>
      <c r="P364" s="1599">
        <v>96.45</v>
      </c>
      <c r="Q364" s="1599">
        <v>-96.45</v>
      </c>
      <c r="R364" s="1598"/>
      <c r="S364" s="1592"/>
    </row>
    <row r="365" spans="2:19" s="1593" customFormat="1" ht="11.25" customHeight="1" outlineLevel="1">
      <c r="B365" s="1594">
        <v>33477</v>
      </c>
      <c r="C365" s="1595" t="s">
        <v>5403</v>
      </c>
      <c r="D365" s="1595" t="s">
        <v>14379</v>
      </c>
      <c r="E365" s="1595"/>
      <c r="F365" s="1595"/>
      <c r="G365" s="1595"/>
      <c r="H365" s="1596">
        <v>1</v>
      </c>
      <c r="I365" s="1595"/>
      <c r="J365" s="1595"/>
      <c r="K365" s="1599">
        <v>96</v>
      </c>
      <c r="L365" s="1599">
        <v>96.45</v>
      </c>
      <c r="M365" s="1599">
        <v>-96.45</v>
      </c>
      <c r="N365" s="1598"/>
      <c r="O365" s="1598"/>
      <c r="P365" s="1599">
        <v>96.45</v>
      </c>
      <c r="Q365" s="1599">
        <v>-96.45</v>
      </c>
      <c r="R365" s="1598"/>
      <c r="S365" s="1592"/>
    </row>
    <row r="366" spans="2:19" s="1593" customFormat="1" ht="11.25" customHeight="1" outlineLevel="1">
      <c r="B366" s="1594">
        <v>33478</v>
      </c>
      <c r="C366" s="1595" t="s">
        <v>5403</v>
      </c>
      <c r="D366" s="1595" t="s">
        <v>14378</v>
      </c>
      <c r="E366" s="1595"/>
      <c r="F366" s="1595"/>
      <c r="G366" s="1595"/>
      <c r="H366" s="1596">
        <v>1</v>
      </c>
      <c r="I366" s="1595"/>
      <c r="J366" s="1595"/>
      <c r="K366" s="1599">
        <v>96</v>
      </c>
      <c r="L366" s="1599">
        <v>96.45</v>
      </c>
      <c r="M366" s="1599">
        <v>-96.45</v>
      </c>
      <c r="N366" s="1598"/>
      <c r="O366" s="1598"/>
      <c r="P366" s="1599">
        <v>96.45</v>
      </c>
      <c r="Q366" s="1599">
        <v>-96.45</v>
      </c>
      <c r="R366" s="1598"/>
      <c r="S366" s="1592"/>
    </row>
    <row r="367" spans="2:19" s="1593" customFormat="1" ht="11.25" customHeight="1" outlineLevel="1">
      <c r="B367" s="1594">
        <v>33479</v>
      </c>
      <c r="C367" s="1595" t="s">
        <v>5403</v>
      </c>
      <c r="D367" s="1595" t="s">
        <v>14377</v>
      </c>
      <c r="E367" s="1595"/>
      <c r="F367" s="1595"/>
      <c r="G367" s="1595"/>
      <c r="H367" s="1596">
        <v>1</v>
      </c>
      <c r="I367" s="1595"/>
      <c r="J367" s="1595"/>
      <c r="K367" s="1599">
        <v>96</v>
      </c>
      <c r="L367" s="1599">
        <v>96.45</v>
      </c>
      <c r="M367" s="1599">
        <v>-96.45</v>
      </c>
      <c r="N367" s="1598"/>
      <c r="O367" s="1598"/>
      <c r="P367" s="1599">
        <v>96.45</v>
      </c>
      <c r="Q367" s="1599">
        <v>-96.45</v>
      </c>
      <c r="R367" s="1598"/>
      <c r="S367" s="1592"/>
    </row>
    <row r="368" spans="2:19" s="1593" customFormat="1" ht="11.25" customHeight="1" outlineLevel="1">
      <c r="B368" s="1594">
        <v>33480</v>
      </c>
      <c r="C368" s="1595" t="s">
        <v>5403</v>
      </c>
      <c r="D368" s="1595" t="s">
        <v>14376</v>
      </c>
      <c r="E368" s="1595"/>
      <c r="F368" s="1595"/>
      <c r="G368" s="1595"/>
      <c r="H368" s="1596">
        <v>1</v>
      </c>
      <c r="I368" s="1595"/>
      <c r="J368" s="1595"/>
      <c r="K368" s="1599">
        <v>96</v>
      </c>
      <c r="L368" s="1599">
        <v>96.45</v>
      </c>
      <c r="M368" s="1599">
        <v>-96.45</v>
      </c>
      <c r="N368" s="1598"/>
      <c r="O368" s="1598"/>
      <c r="P368" s="1599">
        <v>96.45</v>
      </c>
      <c r="Q368" s="1599">
        <v>-96.45</v>
      </c>
      <c r="R368" s="1598"/>
      <c r="S368" s="1592"/>
    </row>
    <row r="369" spans="2:19" s="1593" customFormat="1" ht="11.25" customHeight="1" outlineLevel="1">
      <c r="B369" s="1594">
        <v>33481</v>
      </c>
      <c r="C369" s="1595" t="s">
        <v>5403</v>
      </c>
      <c r="D369" s="1595" t="s">
        <v>14375</v>
      </c>
      <c r="E369" s="1595"/>
      <c r="F369" s="1595"/>
      <c r="G369" s="1595"/>
      <c r="H369" s="1596">
        <v>1</v>
      </c>
      <c r="I369" s="1595"/>
      <c r="J369" s="1595"/>
      <c r="K369" s="1599">
        <v>96</v>
      </c>
      <c r="L369" s="1599">
        <v>96.45</v>
      </c>
      <c r="M369" s="1599">
        <v>-96.45</v>
      </c>
      <c r="N369" s="1598"/>
      <c r="O369" s="1598"/>
      <c r="P369" s="1599">
        <v>96.45</v>
      </c>
      <c r="Q369" s="1599">
        <v>-96.45</v>
      </c>
      <c r="R369" s="1598"/>
      <c r="S369" s="1592"/>
    </row>
    <row r="370" spans="2:19" s="1593" customFormat="1" ht="11.25" customHeight="1" outlineLevel="1">
      <c r="B370" s="1594">
        <v>33482</v>
      </c>
      <c r="C370" s="1595" t="s">
        <v>5403</v>
      </c>
      <c r="D370" s="1595" t="s">
        <v>14374</v>
      </c>
      <c r="E370" s="1595"/>
      <c r="F370" s="1595"/>
      <c r="G370" s="1595"/>
      <c r="H370" s="1596">
        <v>1</v>
      </c>
      <c r="I370" s="1595"/>
      <c r="J370" s="1595"/>
      <c r="K370" s="1599">
        <v>96</v>
      </c>
      <c r="L370" s="1599">
        <v>96.45</v>
      </c>
      <c r="M370" s="1599">
        <v>-96.45</v>
      </c>
      <c r="N370" s="1598"/>
      <c r="O370" s="1598"/>
      <c r="P370" s="1599">
        <v>96.45</v>
      </c>
      <c r="Q370" s="1599">
        <v>-96.45</v>
      </c>
      <c r="R370" s="1598"/>
      <c r="S370" s="1592"/>
    </row>
    <row r="371" spans="2:19" s="1593" customFormat="1" ht="11.25" customHeight="1" outlineLevel="1">
      <c r="B371" s="1594">
        <v>33483</v>
      </c>
      <c r="C371" s="1595" t="s">
        <v>5403</v>
      </c>
      <c r="D371" s="1595" t="s">
        <v>14373</v>
      </c>
      <c r="E371" s="1595"/>
      <c r="F371" s="1595"/>
      <c r="G371" s="1595"/>
      <c r="H371" s="1596">
        <v>1</v>
      </c>
      <c r="I371" s="1595"/>
      <c r="J371" s="1595"/>
      <c r="K371" s="1599">
        <v>96</v>
      </c>
      <c r="L371" s="1599">
        <v>96.45</v>
      </c>
      <c r="M371" s="1599">
        <v>-96.45</v>
      </c>
      <c r="N371" s="1598"/>
      <c r="O371" s="1598"/>
      <c r="P371" s="1599">
        <v>96.45</v>
      </c>
      <c r="Q371" s="1599">
        <v>-96.45</v>
      </c>
      <c r="R371" s="1598"/>
      <c r="S371" s="1592"/>
    </row>
    <row r="372" spans="2:19" s="1593" customFormat="1" ht="11.25" customHeight="1" outlineLevel="1">
      <c r="B372" s="1594">
        <v>33484</v>
      </c>
      <c r="C372" s="1595" t="s">
        <v>5403</v>
      </c>
      <c r="D372" s="1595" t="s">
        <v>14372</v>
      </c>
      <c r="E372" s="1595"/>
      <c r="F372" s="1595"/>
      <c r="G372" s="1595"/>
      <c r="H372" s="1596">
        <v>1</v>
      </c>
      <c r="I372" s="1595"/>
      <c r="J372" s="1595"/>
      <c r="K372" s="1599">
        <v>96</v>
      </c>
      <c r="L372" s="1599">
        <v>96.45</v>
      </c>
      <c r="M372" s="1599">
        <v>-96.45</v>
      </c>
      <c r="N372" s="1598"/>
      <c r="O372" s="1598"/>
      <c r="P372" s="1599">
        <v>96.45</v>
      </c>
      <c r="Q372" s="1599">
        <v>-96.45</v>
      </c>
      <c r="R372" s="1598"/>
      <c r="S372" s="1592"/>
    </row>
    <row r="373" spans="2:19" s="1593" customFormat="1" ht="11.25" customHeight="1" outlineLevel="1">
      <c r="B373" s="1594">
        <v>33486</v>
      </c>
      <c r="C373" s="1595" t="s">
        <v>5403</v>
      </c>
      <c r="D373" s="1595" t="s">
        <v>14371</v>
      </c>
      <c r="E373" s="1595"/>
      <c r="F373" s="1595"/>
      <c r="G373" s="1595"/>
      <c r="H373" s="1596">
        <v>1</v>
      </c>
      <c r="I373" s="1595"/>
      <c r="J373" s="1595"/>
      <c r="K373" s="1599">
        <v>96</v>
      </c>
      <c r="L373" s="1599">
        <v>96.46</v>
      </c>
      <c r="M373" s="1599">
        <v>-96.46</v>
      </c>
      <c r="N373" s="1598"/>
      <c r="O373" s="1598"/>
      <c r="P373" s="1599">
        <v>96.46</v>
      </c>
      <c r="Q373" s="1599">
        <v>-96.46</v>
      </c>
      <c r="R373" s="1598"/>
      <c r="S373" s="1592"/>
    </row>
    <row r="374" spans="2:19" s="1593" customFormat="1" ht="11.25" customHeight="1" outlineLevel="1">
      <c r="B374" s="1594">
        <v>33487</v>
      </c>
      <c r="C374" s="1595" t="s">
        <v>5403</v>
      </c>
      <c r="D374" s="1595" t="s">
        <v>14370</v>
      </c>
      <c r="E374" s="1595"/>
      <c r="F374" s="1595"/>
      <c r="G374" s="1595"/>
      <c r="H374" s="1596">
        <v>1</v>
      </c>
      <c r="I374" s="1595"/>
      <c r="J374" s="1595"/>
      <c r="K374" s="1599">
        <v>96</v>
      </c>
      <c r="L374" s="1599">
        <v>96.46</v>
      </c>
      <c r="M374" s="1599">
        <v>-96.46</v>
      </c>
      <c r="N374" s="1598"/>
      <c r="O374" s="1598"/>
      <c r="P374" s="1599">
        <v>96.46</v>
      </c>
      <c r="Q374" s="1599">
        <v>-96.46</v>
      </c>
      <c r="R374" s="1598"/>
      <c r="S374" s="1592"/>
    </row>
    <row r="375" spans="2:19" s="1593" customFormat="1" ht="11.25" customHeight="1" outlineLevel="1">
      <c r="B375" s="1594">
        <v>33488</v>
      </c>
      <c r="C375" s="1595" t="s">
        <v>5403</v>
      </c>
      <c r="D375" s="1595" t="s">
        <v>14369</v>
      </c>
      <c r="E375" s="1595"/>
      <c r="F375" s="1595"/>
      <c r="G375" s="1595"/>
      <c r="H375" s="1596">
        <v>1</v>
      </c>
      <c r="I375" s="1595"/>
      <c r="J375" s="1595"/>
      <c r="K375" s="1599">
        <v>96</v>
      </c>
      <c r="L375" s="1599">
        <v>96.46</v>
      </c>
      <c r="M375" s="1599">
        <v>-96.46</v>
      </c>
      <c r="N375" s="1598"/>
      <c r="O375" s="1598"/>
      <c r="P375" s="1599">
        <v>96.46</v>
      </c>
      <c r="Q375" s="1599">
        <v>-96.46</v>
      </c>
      <c r="R375" s="1598"/>
      <c r="S375" s="1592"/>
    </row>
    <row r="376" spans="2:19" s="1593" customFormat="1" ht="11.25" customHeight="1" outlineLevel="1">
      <c r="B376" s="1594">
        <v>33489</v>
      </c>
      <c r="C376" s="1595" t="s">
        <v>5403</v>
      </c>
      <c r="D376" s="1595" t="s">
        <v>14368</v>
      </c>
      <c r="E376" s="1595"/>
      <c r="F376" s="1595"/>
      <c r="G376" s="1595"/>
      <c r="H376" s="1596">
        <v>1</v>
      </c>
      <c r="I376" s="1595"/>
      <c r="J376" s="1595"/>
      <c r="K376" s="1599">
        <v>96</v>
      </c>
      <c r="L376" s="1599">
        <v>96.46</v>
      </c>
      <c r="M376" s="1599">
        <v>-96.46</v>
      </c>
      <c r="N376" s="1598"/>
      <c r="O376" s="1598"/>
      <c r="P376" s="1599">
        <v>96.46</v>
      </c>
      <c r="Q376" s="1599">
        <v>-96.46</v>
      </c>
      <c r="R376" s="1598"/>
      <c r="S376" s="1592"/>
    </row>
    <row r="377" spans="2:19" s="1593" customFormat="1" ht="11.25" customHeight="1" outlineLevel="1">
      <c r="B377" s="1594">
        <v>33490</v>
      </c>
      <c r="C377" s="1595" t="s">
        <v>5403</v>
      </c>
      <c r="D377" s="1595" t="s">
        <v>14367</v>
      </c>
      <c r="E377" s="1595"/>
      <c r="F377" s="1595"/>
      <c r="G377" s="1595"/>
      <c r="H377" s="1596">
        <v>1</v>
      </c>
      <c r="I377" s="1595"/>
      <c r="J377" s="1595"/>
      <c r="K377" s="1599">
        <v>96</v>
      </c>
      <c r="L377" s="1599">
        <v>96.46</v>
      </c>
      <c r="M377" s="1599">
        <v>-96.46</v>
      </c>
      <c r="N377" s="1598"/>
      <c r="O377" s="1598"/>
      <c r="P377" s="1599">
        <v>96.46</v>
      </c>
      <c r="Q377" s="1599">
        <v>-96.46</v>
      </c>
      <c r="R377" s="1598"/>
      <c r="S377" s="1592"/>
    </row>
    <row r="378" spans="2:19" s="1593" customFormat="1" ht="11.25" customHeight="1" outlineLevel="1">
      <c r="B378" s="1594">
        <v>33491</v>
      </c>
      <c r="C378" s="1595" t="s">
        <v>5403</v>
      </c>
      <c r="D378" s="1595" t="s">
        <v>14366</v>
      </c>
      <c r="E378" s="1595"/>
      <c r="F378" s="1595"/>
      <c r="G378" s="1595"/>
      <c r="H378" s="1596">
        <v>1</v>
      </c>
      <c r="I378" s="1595"/>
      <c r="J378" s="1595"/>
      <c r="K378" s="1599">
        <v>96</v>
      </c>
      <c r="L378" s="1599">
        <v>96.46</v>
      </c>
      <c r="M378" s="1599">
        <v>-96.46</v>
      </c>
      <c r="N378" s="1598"/>
      <c r="O378" s="1598"/>
      <c r="P378" s="1599">
        <v>96.46</v>
      </c>
      <c r="Q378" s="1599">
        <v>-96.46</v>
      </c>
      <c r="R378" s="1598"/>
      <c r="S378" s="1592"/>
    </row>
    <row r="379" spans="2:19" s="1593" customFormat="1" ht="11.25" customHeight="1" outlineLevel="1">
      <c r="B379" s="1594">
        <v>33492</v>
      </c>
      <c r="C379" s="1595" t="s">
        <v>5403</v>
      </c>
      <c r="D379" s="1595" t="s">
        <v>14365</v>
      </c>
      <c r="E379" s="1595"/>
      <c r="F379" s="1595"/>
      <c r="G379" s="1595"/>
      <c r="H379" s="1596">
        <v>1</v>
      </c>
      <c r="I379" s="1595"/>
      <c r="J379" s="1595"/>
      <c r="K379" s="1599">
        <v>96</v>
      </c>
      <c r="L379" s="1599">
        <v>96.46</v>
      </c>
      <c r="M379" s="1599">
        <v>-96.46</v>
      </c>
      <c r="N379" s="1598"/>
      <c r="O379" s="1598"/>
      <c r="P379" s="1599">
        <v>96.46</v>
      </c>
      <c r="Q379" s="1599">
        <v>-96.46</v>
      </c>
      <c r="R379" s="1598"/>
      <c r="S379" s="1592"/>
    </row>
    <row r="380" spans="2:19" s="1593" customFormat="1" ht="11.25" customHeight="1" outlineLevel="1">
      <c r="B380" s="1594">
        <v>33493</v>
      </c>
      <c r="C380" s="1595" t="s">
        <v>5403</v>
      </c>
      <c r="D380" s="1595" t="s">
        <v>14364</v>
      </c>
      <c r="E380" s="1595"/>
      <c r="F380" s="1595"/>
      <c r="G380" s="1595"/>
      <c r="H380" s="1596">
        <v>1</v>
      </c>
      <c r="I380" s="1595"/>
      <c r="J380" s="1595"/>
      <c r="K380" s="1599">
        <v>96</v>
      </c>
      <c r="L380" s="1599">
        <v>96.46</v>
      </c>
      <c r="M380" s="1599">
        <v>-96.46</v>
      </c>
      <c r="N380" s="1598"/>
      <c r="O380" s="1598"/>
      <c r="P380" s="1599">
        <v>96.46</v>
      </c>
      <c r="Q380" s="1599">
        <v>-96.46</v>
      </c>
      <c r="R380" s="1598"/>
      <c r="S380" s="1592"/>
    </row>
    <row r="381" spans="2:19" s="1593" customFormat="1" ht="11.25" customHeight="1" outlineLevel="1">
      <c r="B381" s="1594">
        <v>33494</v>
      </c>
      <c r="C381" s="1595" t="s">
        <v>5403</v>
      </c>
      <c r="D381" s="1595" t="s">
        <v>14363</v>
      </c>
      <c r="E381" s="1595"/>
      <c r="F381" s="1595"/>
      <c r="G381" s="1595"/>
      <c r="H381" s="1596">
        <v>1</v>
      </c>
      <c r="I381" s="1595"/>
      <c r="J381" s="1595"/>
      <c r="K381" s="1599">
        <v>96</v>
      </c>
      <c r="L381" s="1599">
        <v>96.46</v>
      </c>
      <c r="M381" s="1599">
        <v>-96.46</v>
      </c>
      <c r="N381" s="1598"/>
      <c r="O381" s="1598"/>
      <c r="P381" s="1599">
        <v>96.46</v>
      </c>
      <c r="Q381" s="1599">
        <v>-96.46</v>
      </c>
      <c r="R381" s="1598"/>
      <c r="S381" s="1592"/>
    </row>
    <row r="382" spans="2:19" s="1593" customFormat="1" ht="11.25" customHeight="1" outlineLevel="1">
      <c r="B382" s="1594">
        <v>33495</v>
      </c>
      <c r="C382" s="1595" t="s">
        <v>5403</v>
      </c>
      <c r="D382" s="1595" t="s">
        <v>14362</v>
      </c>
      <c r="E382" s="1595"/>
      <c r="F382" s="1595"/>
      <c r="G382" s="1595"/>
      <c r="H382" s="1596">
        <v>1</v>
      </c>
      <c r="I382" s="1595"/>
      <c r="J382" s="1595"/>
      <c r="K382" s="1599">
        <v>96</v>
      </c>
      <c r="L382" s="1599">
        <v>96.46</v>
      </c>
      <c r="M382" s="1599">
        <v>-96.46</v>
      </c>
      <c r="N382" s="1598"/>
      <c r="O382" s="1598"/>
      <c r="P382" s="1599">
        <v>96.46</v>
      </c>
      <c r="Q382" s="1599">
        <v>-96.46</v>
      </c>
      <c r="R382" s="1598"/>
      <c r="S382" s="1592"/>
    </row>
    <row r="383" spans="2:19" s="1593" customFormat="1" ht="11.25" customHeight="1" outlineLevel="1">
      <c r="B383" s="1594">
        <v>33496</v>
      </c>
      <c r="C383" s="1595" t="s">
        <v>5403</v>
      </c>
      <c r="D383" s="1595" t="s">
        <v>14361</v>
      </c>
      <c r="E383" s="1595"/>
      <c r="F383" s="1595"/>
      <c r="G383" s="1595"/>
      <c r="H383" s="1596">
        <v>1</v>
      </c>
      <c r="I383" s="1595"/>
      <c r="J383" s="1595"/>
      <c r="K383" s="1599">
        <v>96</v>
      </c>
      <c r="L383" s="1599">
        <v>96.46</v>
      </c>
      <c r="M383" s="1599">
        <v>-96.46</v>
      </c>
      <c r="N383" s="1598"/>
      <c r="O383" s="1598"/>
      <c r="P383" s="1599">
        <v>96.46</v>
      </c>
      <c r="Q383" s="1599">
        <v>-96.46</v>
      </c>
      <c r="R383" s="1598"/>
      <c r="S383" s="1592"/>
    </row>
    <row r="384" spans="2:19" s="1593" customFormat="1" ht="11.25" customHeight="1" outlineLevel="1">
      <c r="B384" s="1594">
        <v>33497</v>
      </c>
      <c r="C384" s="1595" t="s">
        <v>5403</v>
      </c>
      <c r="D384" s="1595" t="s">
        <v>14360</v>
      </c>
      <c r="E384" s="1595"/>
      <c r="F384" s="1595"/>
      <c r="G384" s="1595"/>
      <c r="H384" s="1596">
        <v>1</v>
      </c>
      <c r="I384" s="1595"/>
      <c r="J384" s="1595"/>
      <c r="K384" s="1597">
        <v>9018</v>
      </c>
      <c r="L384" s="1597">
        <v>9017.6</v>
      </c>
      <c r="M384" s="1597">
        <v>-9017.6</v>
      </c>
      <c r="N384" s="1598"/>
      <c r="O384" s="1598"/>
      <c r="P384" s="1597">
        <v>9017.6</v>
      </c>
      <c r="Q384" s="1597">
        <v>-9017.6</v>
      </c>
      <c r="R384" s="1598"/>
      <c r="S384" s="1592"/>
    </row>
    <row r="385" spans="2:19" s="1593" customFormat="1" ht="11.25" customHeight="1" outlineLevel="1">
      <c r="B385" s="1594">
        <v>33498</v>
      </c>
      <c r="C385" s="1595" t="s">
        <v>5403</v>
      </c>
      <c r="D385" s="1595" t="s">
        <v>14359</v>
      </c>
      <c r="E385" s="1595"/>
      <c r="F385" s="1595"/>
      <c r="G385" s="1595"/>
      <c r="H385" s="1596">
        <v>1</v>
      </c>
      <c r="I385" s="1595"/>
      <c r="J385" s="1595"/>
      <c r="K385" s="1597">
        <v>9018</v>
      </c>
      <c r="L385" s="1597">
        <v>9017.6</v>
      </c>
      <c r="M385" s="1597">
        <v>-9017.6</v>
      </c>
      <c r="N385" s="1598"/>
      <c r="O385" s="1598"/>
      <c r="P385" s="1597">
        <v>9017.6</v>
      </c>
      <c r="Q385" s="1597">
        <v>-9017.6</v>
      </c>
      <c r="R385" s="1598"/>
      <c r="S385" s="1592"/>
    </row>
    <row r="386" spans="2:19" s="1593" customFormat="1" ht="11.25" customHeight="1" outlineLevel="1">
      <c r="B386" s="1594">
        <v>33499</v>
      </c>
      <c r="C386" s="1595" t="s">
        <v>5403</v>
      </c>
      <c r="D386" s="1595" t="s">
        <v>14358</v>
      </c>
      <c r="E386" s="1595"/>
      <c r="F386" s="1595"/>
      <c r="G386" s="1595"/>
      <c r="H386" s="1596">
        <v>1</v>
      </c>
      <c r="I386" s="1595"/>
      <c r="J386" s="1595"/>
      <c r="K386" s="1597">
        <v>9018</v>
      </c>
      <c r="L386" s="1597">
        <v>9017.6</v>
      </c>
      <c r="M386" s="1597">
        <v>-9017.6</v>
      </c>
      <c r="N386" s="1598"/>
      <c r="O386" s="1598"/>
      <c r="P386" s="1597">
        <v>9017.6</v>
      </c>
      <c r="Q386" s="1597">
        <v>-9017.6</v>
      </c>
      <c r="R386" s="1598"/>
      <c r="S386" s="1592"/>
    </row>
    <row r="387" spans="2:19" s="1593" customFormat="1" ht="11.25" customHeight="1" outlineLevel="1">
      <c r="B387" s="1594">
        <v>33500</v>
      </c>
      <c r="C387" s="1595" t="s">
        <v>5403</v>
      </c>
      <c r="D387" s="1595" t="s">
        <v>14357</v>
      </c>
      <c r="E387" s="1595"/>
      <c r="F387" s="1595"/>
      <c r="G387" s="1595"/>
      <c r="H387" s="1596">
        <v>1</v>
      </c>
      <c r="I387" s="1595"/>
      <c r="J387" s="1595"/>
      <c r="K387" s="1597">
        <v>9018</v>
      </c>
      <c r="L387" s="1597">
        <v>9017.6</v>
      </c>
      <c r="M387" s="1597">
        <v>-9017.6</v>
      </c>
      <c r="N387" s="1598"/>
      <c r="O387" s="1598"/>
      <c r="P387" s="1597">
        <v>9017.6</v>
      </c>
      <c r="Q387" s="1597">
        <v>-9017.6</v>
      </c>
      <c r="R387" s="1598"/>
      <c r="S387" s="1592"/>
    </row>
    <row r="388" spans="2:19" s="1593" customFormat="1" ht="11.25" customHeight="1" outlineLevel="1">
      <c r="B388" s="1594">
        <v>33501</v>
      </c>
      <c r="C388" s="1595" t="s">
        <v>5403</v>
      </c>
      <c r="D388" s="1595" t="s">
        <v>14356</v>
      </c>
      <c r="E388" s="1595"/>
      <c r="F388" s="1595"/>
      <c r="G388" s="1595"/>
      <c r="H388" s="1596">
        <v>1</v>
      </c>
      <c r="I388" s="1595"/>
      <c r="J388" s="1595"/>
      <c r="K388" s="1597">
        <v>9018</v>
      </c>
      <c r="L388" s="1597">
        <v>9017.67</v>
      </c>
      <c r="M388" s="1597">
        <v>-9017.67</v>
      </c>
      <c r="N388" s="1598"/>
      <c r="O388" s="1598"/>
      <c r="P388" s="1597">
        <v>9017.67</v>
      </c>
      <c r="Q388" s="1597">
        <v>-9017.67</v>
      </c>
      <c r="R388" s="1598"/>
      <c r="S388" s="1592"/>
    </row>
    <row r="389" spans="2:19" s="1593" customFormat="1" ht="11.25" customHeight="1" outlineLevel="1">
      <c r="B389" s="1594">
        <v>33502</v>
      </c>
      <c r="C389" s="1595" t="s">
        <v>5403</v>
      </c>
      <c r="D389" s="1595" t="s">
        <v>14355</v>
      </c>
      <c r="E389" s="1595"/>
      <c r="F389" s="1595"/>
      <c r="G389" s="1595"/>
      <c r="H389" s="1596">
        <v>1</v>
      </c>
      <c r="I389" s="1595"/>
      <c r="J389" s="1595"/>
      <c r="K389" s="1597">
        <v>9018</v>
      </c>
      <c r="L389" s="1597">
        <v>9017.67</v>
      </c>
      <c r="M389" s="1597">
        <v>-9017.67</v>
      </c>
      <c r="N389" s="1598"/>
      <c r="O389" s="1598"/>
      <c r="P389" s="1597">
        <v>9017.67</v>
      </c>
      <c r="Q389" s="1597">
        <v>-9017.67</v>
      </c>
      <c r="R389" s="1598"/>
      <c r="S389" s="1592"/>
    </row>
    <row r="390" spans="2:19" s="1593" customFormat="1" ht="11.25" customHeight="1" outlineLevel="1">
      <c r="B390" s="1594">
        <v>33503</v>
      </c>
      <c r="C390" s="1595" t="s">
        <v>5403</v>
      </c>
      <c r="D390" s="1595" t="s">
        <v>14354</v>
      </c>
      <c r="E390" s="1595"/>
      <c r="F390" s="1595"/>
      <c r="G390" s="1595"/>
      <c r="H390" s="1596">
        <v>1</v>
      </c>
      <c r="I390" s="1595"/>
      <c r="J390" s="1595"/>
      <c r="K390" s="1597">
        <v>13161</v>
      </c>
      <c r="L390" s="1597">
        <v>13161</v>
      </c>
      <c r="M390" s="1597">
        <v>-13161</v>
      </c>
      <c r="N390" s="1598"/>
      <c r="O390" s="1598"/>
      <c r="P390" s="1597">
        <v>13161</v>
      </c>
      <c r="Q390" s="1597">
        <v>-13161</v>
      </c>
      <c r="R390" s="1598"/>
      <c r="S390" s="1592"/>
    </row>
    <row r="391" spans="2:19" s="1593" customFormat="1" ht="11.25" customHeight="1" outlineLevel="1">
      <c r="B391" s="1594">
        <v>33509</v>
      </c>
      <c r="C391" s="1595" t="s">
        <v>5403</v>
      </c>
      <c r="D391" s="1595" t="s">
        <v>14353</v>
      </c>
      <c r="E391" s="1595"/>
      <c r="F391" s="1595"/>
      <c r="G391" s="1595"/>
      <c r="H391" s="1596">
        <v>1</v>
      </c>
      <c r="I391" s="1595"/>
      <c r="J391" s="1595"/>
      <c r="K391" s="1599">
        <v>159</v>
      </c>
      <c r="L391" s="1599">
        <v>159.19999999999999</v>
      </c>
      <c r="M391" s="1599">
        <v>-159.19999999999999</v>
      </c>
      <c r="N391" s="1598"/>
      <c r="O391" s="1598"/>
      <c r="P391" s="1599">
        <v>159.19999999999999</v>
      </c>
      <c r="Q391" s="1599">
        <v>-159.19999999999999</v>
      </c>
      <c r="R391" s="1598"/>
      <c r="S391" s="1592"/>
    </row>
    <row r="392" spans="2:19" s="1593" customFormat="1" ht="11.25" customHeight="1" outlineLevel="1">
      <c r="B392" s="1594">
        <v>33510</v>
      </c>
      <c r="C392" s="1595" t="s">
        <v>5403</v>
      </c>
      <c r="D392" s="1595" t="s">
        <v>14352</v>
      </c>
      <c r="E392" s="1595"/>
      <c r="F392" s="1595"/>
      <c r="G392" s="1595"/>
      <c r="H392" s="1596">
        <v>1</v>
      </c>
      <c r="I392" s="1595"/>
      <c r="J392" s="1595"/>
      <c r="K392" s="1599">
        <v>159</v>
      </c>
      <c r="L392" s="1599">
        <v>159.19999999999999</v>
      </c>
      <c r="M392" s="1599">
        <v>-159.19999999999999</v>
      </c>
      <c r="N392" s="1598"/>
      <c r="O392" s="1598"/>
      <c r="P392" s="1599">
        <v>159.19999999999999</v>
      </c>
      <c r="Q392" s="1599">
        <v>-159.19999999999999</v>
      </c>
      <c r="R392" s="1598"/>
      <c r="S392" s="1592"/>
    </row>
    <row r="393" spans="2:19" s="1593" customFormat="1" ht="11.25" customHeight="1" outlineLevel="1">
      <c r="B393" s="1594">
        <v>33511</v>
      </c>
      <c r="C393" s="1595" t="s">
        <v>5403</v>
      </c>
      <c r="D393" s="1595" t="s">
        <v>14351</v>
      </c>
      <c r="E393" s="1595"/>
      <c r="F393" s="1595"/>
      <c r="G393" s="1595"/>
      <c r="H393" s="1596">
        <v>1</v>
      </c>
      <c r="I393" s="1595"/>
      <c r="J393" s="1595"/>
      <c r="K393" s="1599">
        <v>159</v>
      </c>
      <c r="L393" s="1599">
        <v>159.19999999999999</v>
      </c>
      <c r="M393" s="1599">
        <v>-159.19999999999999</v>
      </c>
      <c r="N393" s="1598"/>
      <c r="O393" s="1598"/>
      <c r="P393" s="1599">
        <v>159.19999999999999</v>
      </c>
      <c r="Q393" s="1599">
        <v>-159.19999999999999</v>
      </c>
      <c r="R393" s="1598"/>
      <c r="S393" s="1592"/>
    </row>
    <row r="394" spans="2:19" s="1593" customFormat="1" ht="11.25" customHeight="1" outlineLevel="1">
      <c r="B394" s="1594">
        <v>33512</v>
      </c>
      <c r="C394" s="1595" t="s">
        <v>5403</v>
      </c>
      <c r="D394" s="1595" t="s">
        <v>14350</v>
      </c>
      <c r="E394" s="1595"/>
      <c r="F394" s="1595"/>
      <c r="G394" s="1595"/>
      <c r="H394" s="1596">
        <v>1</v>
      </c>
      <c r="I394" s="1595"/>
      <c r="J394" s="1595"/>
      <c r="K394" s="1599">
        <v>159</v>
      </c>
      <c r="L394" s="1599">
        <v>159.19999999999999</v>
      </c>
      <c r="M394" s="1599">
        <v>-159.19999999999999</v>
      </c>
      <c r="N394" s="1598"/>
      <c r="O394" s="1598"/>
      <c r="P394" s="1599">
        <v>159.19999999999999</v>
      </c>
      <c r="Q394" s="1599">
        <v>-159.19999999999999</v>
      </c>
      <c r="R394" s="1598"/>
      <c r="S394" s="1592"/>
    </row>
    <row r="395" spans="2:19" s="1593" customFormat="1" ht="11.25" customHeight="1" outlineLevel="1">
      <c r="B395" s="1594">
        <v>33513</v>
      </c>
      <c r="C395" s="1595" t="s">
        <v>5403</v>
      </c>
      <c r="D395" s="1595" t="s">
        <v>14349</v>
      </c>
      <c r="E395" s="1595"/>
      <c r="F395" s="1595"/>
      <c r="G395" s="1595"/>
      <c r="H395" s="1596">
        <v>1</v>
      </c>
      <c r="I395" s="1595"/>
      <c r="J395" s="1595"/>
      <c r="K395" s="1599">
        <v>159</v>
      </c>
      <c r="L395" s="1599">
        <v>159.13999999999999</v>
      </c>
      <c r="M395" s="1599">
        <v>-159.13999999999999</v>
      </c>
      <c r="N395" s="1598"/>
      <c r="O395" s="1598"/>
      <c r="P395" s="1599">
        <v>159.13999999999999</v>
      </c>
      <c r="Q395" s="1599">
        <v>-159.13999999999999</v>
      </c>
      <c r="R395" s="1598"/>
      <c r="S395" s="1592"/>
    </row>
    <row r="396" spans="2:19" s="1593" customFormat="1" ht="11.25" customHeight="1" outlineLevel="1">
      <c r="B396" s="1594">
        <v>33514</v>
      </c>
      <c r="C396" s="1595" t="s">
        <v>5403</v>
      </c>
      <c r="D396" s="1595" t="s">
        <v>14348</v>
      </c>
      <c r="E396" s="1595"/>
      <c r="F396" s="1595"/>
      <c r="G396" s="1595"/>
      <c r="H396" s="1596">
        <v>1</v>
      </c>
      <c r="I396" s="1595"/>
      <c r="J396" s="1595"/>
      <c r="K396" s="1599">
        <v>159</v>
      </c>
      <c r="L396" s="1599">
        <v>159.13999999999999</v>
      </c>
      <c r="M396" s="1599">
        <v>-159.13999999999999</v>
      </c>
      <c r="N396" s="1598"/>
      <c r="O396" s="1598"/>
      <c r="P396" s="1599">
        <v>159.13999999999999</v>
      </c>
      <c r="Q396" s="1599">
        <v>-159.13999999999999</v>
      </c>
      <c r="R396" s="1598"/>
      <c r="S396" s="1592"/>
    </row>
    <row r="397" spans="2:19" s="1593" customFormat="1" ht="11.25" customHeight="1" outlineLevel="1">
      <c r="B397" s="1594">
        <v>33515</v>
      </c>
      <c r="C397" s="1595" t="s">
        <v>5403</v>
      </c>
      <c r="D397" s="1595" t="s">
        <v>14347</v>
      </c>
      <c r="E397" s="1595"/>
      <c r="F397" s="1595"/>
      <c r="G397" s="1595"/>
      <c r="H397" s="1596">
        <v>1</v>
      </c>
      <c r="I397" s="1595"/>
      <c r="J397" s="1595"/>
      <c r="K397" s="1599">
        <v>159</v>
      </c>
      <c r="L397" s="1599">
        <v>159.13999999999999</v>
      </c>
      <c r="M397" s="1599">
        <v>-159.13999999999999</v>
      </c>
      <c r="N397" s="1598"/>
      <c r="O397" s="1598"/>
      <c r="P397" s="1599">
        <v>159.13999999999999</v>
      </c>
      <c r="Q397" s="1599">
        <v>-159.13999999999999</v>
      </c>
      <c r="R397" s="1598"/>
      <c r="S397" s="1592"/>
    </row>
    <row r="398" spans="2:19" s="1593" customFormat="1" ht="11.25" customHeight="1" outlineLevel="1">
      <c r="B398" s="1594">
        <v>33516</v>
      </c>
      <c r="C398" s="1595" t="s">
        <v>5403</v>
      </c>
      <c r="D398" s="1595" t="s">
        <v>14346</v>
      </c>
      <c r="E398" s="1595"/>
      <c r="F398" s="1595"/>
      <c r="G398" s="1595"/>
      <c r="H398" s="1596">
        <v>1</v>
      </c>
      <c r="I398" s="1595"/>
      <c r="J398" s="1595"/>
      <c r="K398" s="1599">
        <v>159</v>
      </c>
      <c r="L398" s="1599">
        <v>159.13999999999999</v>
      </c>
      <c r="M398" s="1599">
        <v>-159.13999999999999</v>
      </c>
      <c r="N398" s="1598"/>
      <c r="O398" s="1598"/>
      <c r="P398" s="1599">
        <v>159.13999999999999</v>
      </c>
      <c r="Q398" s="1599">
        <v>-159.13999999999999</v>
      </c>
      <c r="R398" s="1598"/>
      <c r="S398" s="1592"/>
    </row>
    <row r="399" spans="2:19" s="1593" customFormat="1" ht="11.25" customHeight="1" outlineLevel="1">
      <c r="B399" s="1594">
        <v>33517</v>
      </c>
      <c r="C399" s="1595" t="s">
        <v>5403</v>
      </c>
      <c r="D399" s="1595" t="s">
        <v>14345</v>
      </c>
      <c r="E399" s="1595"/>
      <c r="F399" s="1595"/>
      <c r="G399" s="1595"/>
      <c r="H399" s="1596">
        <v>1</v>
      </c>
      <c r="I399" s="1595"/>
      <c r="J399" s="1595"/>
      <c r="K399" s="1599">
        <v>159</v>
      </c>
      <c r="L399" s="1599">
        <v>159.13999999999999</v>
      </c>
      <c r="M399" s="1599">
        <v>-159.13999999999999</v>
      </c>
      <c r="N399" s="1598"/>
      <c r="O399" s="1598"/>
      <c r="P399" s="1599">
        <v>159.13999999999999</v>
      </c>
      <c r="Q399" s="1599">
        <v>-159.13999999999999</v>
      </c>
      <c r="R399" s="1598"/>
      <c r="S399" s="1592"/>
    </row>
    <row r="400" spans="2:19" s="1593" customFormat="1" ht="11.25" customHeight="1" outlineLevel="1">
      <c r="B400" s="1594">
        <v>33518</v>
      </c>
      <c r="C400" s="1595" t="s">
        <v>5403</v>
      </c>
      <c r="D400" s="1595" t="s">
        <v>14344</v>
      </c>
      <c r="E400" s="1595"/>
      <c r="F400" s="1595"/>
      <c r="G400" s="1595"/>
      <c r="H400" s="1596">
        <v>1</v>
      </c>
      <c r="I400" s="1595"/>
      <c r="J400" s="1595"/>
      <c r="K400" s="1599">
        <v>159</v>
      </c>
      <c r="L400" s="1599">
        <v>159.13999999999999</v>
      </c>
      <c r="M400" s="1599">
        <v>-159.13999999999999</v>
      </c>
      <c r="N400" s="1598"/>
      <c r="O400" s="1598"/>
      <c r="P400" s="1599">
        <v>159.13999999999999</v>
      </c>
      <c r="Q400" s="1599">
        <v>-159.13999999999999</v>
      </c>
      <c r="R400" s="1598"/>
      <c r="S400" s="1592"/>
    </row>
    <row r="401" spans="2:19" s="1593" customFormat="1" ht="11.25" customHeight="1" outlineLevel="1">
      <c r="B401" s="1594">
        <v>33519</v>
      </c>
      <c r="C401" s="1595" t="s">
        <v>5403</v>
      </c>
      <c r="D401" s="1595" t="s">
        <v>14343</v>
      </c>
      <c r="E401" s="1595"/>
      <c r="F401" s="1595"/>
      <c r="G401" s="1595"/>
      <c r="H401" s="1596">
        <v>1</v>
      </c>
      <c r="I401" s="1595"/>
      <c r="J401" s="1595"/>
      <c r="K401" s="1599">
        <v>159</v>
      </c>
      <c r="L401" s="1599">
        <v>159.13999999999999</v>
      </c>
      <c r="M401" s="1599">
        <v>-159.13999999999999</v>
      </c>
      <c r="N401" s="1598"/>
      <c r="O401" s="1598"/>
      <c r="P401" s="1599">
        <v>159.13999999999999</v>
      </c>
      <c r="Q401" s="1599">
        <v>-159.13999999999999</v>
      </c>
      <c r="R401" s="1598"/>
      <c r="S401" s="1592"/>
    </row>
    <row r="402" spans="2:19" s="1593" customFormat="1" ht="11.25" customHeight="1" outlineLevel="1">
      <c r="B402" s="1594">
        <v>33524</v>
      </c>
      <c r="C402" s="1595" t="s">
        <v>5403</v>
      </c>
      <c r="D402" s="1595" t="s">
        <v>14342</v>
      </c>
      <c r="E402" s="1595"/>
      <c r="F402" s="1595"/>
      <c r="G402" s="1595"/>
      <c r="H402" s="1596">
        <v>1</v>
      </c>
      <c r="I402" s="1595"/>
      <c r="J402" s="1595"/>
      <c r="K402" s="1599">
        <v>159</v>
      </c>
      <c r="L402" s="1599">
        <v>159.13999999999999</v>
      </c>
      <c r="M402" s="1599">
        <v>-159.13999999999999</v>
      </c>
      <c r="N402" s="1598"/>
      <c r="O402" s="1598"/>
      <c r="P402" s="1599">
        <v>159.13999999999999</v>
      </c>
      <c r="Q402" s="1599">
        <v>-159.13999999999999</v>
      </c>
      <c r="R402" s="1598"/>
      <c r="S402" s="1592"/>
    </row>
    <row r="403" spans="2:19" s="1593" customFormat="1" ht="11.25" customHeight="1" outlineLevel="1">
      <c r="B403" s="1594">
        <v>33525</v>
      </c>
      <c r="C403" s="1595" t="s">
        <v>5403</v>
      </c>
      <c r="D403" s="1595" t="s">
        <v>14341</v>
      </c>
      <c r="E403" s="1595"/>
      <c r="F403" s="1595"/>
      <c r="G403" s="1595"/>
      <c r="H403" s="1596">
        <v>1</v>
      </c>
      <c r="I403" s="1595"/>
      <c r="J403" s="1595"/>
      <c r="K403" s="1599">
        <v>159</v>
      </c>
      <c r="L403" s="1599">
        <v>159.13999999999999</v>
      </c>
      <c r="M403" s="1599">
        <v>-159.13999999999999</v>
      </c>
      <c r="N403" s="1598"/>
      <c r="O403" s="1598"/>
      <c r="P403" s="1599">
        <v>159.13999999999999</v>
      </c>
      <c r="Q403" s="1599">
        <v>-159.13999999999999</v>
      </c>
      <c r="R403" s="1598"/>
      <c r="S403" s="1592"/>
    </row>
    <row r="404" spans="2:19" s="1593" customFormat="1" ht="11.25" customHeight="1" outlineLevel="1">
      <c r="B404" s="1594">
        <v>33526</v>
      </c>
      <c r="C404" s="1595" t="s">
        <v>5403</v>
      </c>
      <c r="D404" s="1595" t="s">
        <v>14340</v>
      </c>
      <c r="E404" s="1595"/>
      <c r="F404" s="1595"/>
      <c r="G404" s="1595"/>
      <c r="H404" s="1596">
        <v>1</v>
      </c>
      <c r="I404" s="1595"/>
      <c r="J404" s="1595"/>
      <c r="K404" s="1599">
        <v>313</v>
      </c>
      <c r="L404" s="1599">
        <v>313.5</v>
      </c>
      <c r="M404" s="1599">
        <v>-313.5</v>
      </c>
      <c r="N404" s="1598"/>
      <c r="O404" s="1598"/>
      <c r="P404" s="1599">
        <v>313.5</v>
      </c>
      <c r="Q404" s="1599">
        <v>-313.5</v>
      </c>
      <c r="R404" s="1598"/>
      <c r="S404" s="1592"/>
    </row>
    <row r="405" spans="2:19" s="1593" customFormat="1" ht="11.25" customHeight="1" outlineLevel="1">
      <c r="B405" s="1594">
        <v>33527</v>
      </c>
      <c r="C405" s="1595" t="s">
        <v>5403</v>
      </c>
      <c r="D405" s="1595" t="s">
        <v>14339</v>
      </c>
      <c r="E405" s="1595"/>
      <c r="F405" s="1595"/>
      <c r="G405" s="1595"/>
      <c r="H405" s="1596">
        <v>1</v>
      </c>
      <c r="I405" s="1595"/>
      <c r="J405" s="1595"/>
      <c r="K405" s="1599">
        <v>313</v>
      </c>
      <c r="L405" s="1599">
        <v>313.5</v>
      </c>
      <c r="M405" s="1599">
        <v>-313.5</v>
      </c>
      <c r="N405" s="1598"/>
      <c r="O405" s="1598"/>
      <c r="P405" s="1599">
        <v>313.5</v>
      </c>
      <c r="Q405" s="1599">
        <v>-313.5</v>
      </c>
      <c r="R405" s="1598"/>
      <c r="S405" s="1592"/>
    </row>
    <row r="406" spans="2:19" s="1593" customFormat="1" ht="11.25" customHeight="1" outlineLevel="1">
      <c r="B406" s="1594">
        <v>33528</v>
      </c>
      <c r="C406" s="1595" t="s">
        <v>5403</v>
      </c>
      <c r="D406" s="1595" t="s">
        <v>14338</v>
      </c>
      <c r="E406" s="1595"/>
      <c r="F406" s="1595"/>
      <c r="G406" s="1595"/>
      <c r="H406" s="1596">
        <v>1</v>
      </c>
      <c r="I406" s="1595"/>
      <c r="J406" s="1595"/>
      <c r="K406" s="1599">
        <v>313</v>
      </c>
      <c r="L406" s="1599">
        <v>313.5</v>
      </c>
      <c r="M406" s="1599">
        <v>-313.5</v>
      </c>
      <c r="N406" s="1598"/>
      <c r="O406" s="1598"/>
      <c r="P406" s="1599">
        <v>313.5</v>
      </c>
      <c r="Q406" s="1599">
        <v>-313.5</v>
      </c>
      <c r="R406" s="1598"/>
      <c r="S406" s="1592"/>
    </row>
    <row r="407" spans="2:19" s="1593" customFormat="1" ht="11.25" customHeight="1" outlineLevel="1">
      <c r="B407" s="1594">
        <v>33529</v>
      </c>
      <c r="C407" s="1595" t="s">
        <v>5403</v>
      </c>
      <c r="D407" s="1595" t="s">
        <v>14337</v>
      </c>
      <c r="E407" s="1595"/>
      <c r="F407" s="1595"/>
      <c r="G407" s="1595"/>
      <c r="H407" s="1596">
        <v>1</v>
      </c>
      <c r="I407" s="1595"/>
      <c r="J407" s="1595"/>
      <c r="K407" s="1599">
        <v>251</v>
      </c>
      <c r="L407" s="1599">
        <v>250.71</v>
      </c>
      <c r="M407" s="1599">
        <v>-250.71</v>
      </c>
      <c r="N407" s="1598"/>
      <c r="O407" s="1598"/>
      <c r="P407" s="1599">
        <v>250.71</v>
      </c>
      <c r="Q407" s="1599">
        <v>-250.71</v>
      </c>
      <c r="R407" s="1598"/>
      <c r="S407" s="1592"/>
    </row>
    <row r="408" spans="2:19" s="1593" customFormat="1" ht="11.25" customHeight="1" outlineLevel="1">
      <c r="B408" s="1594">
        <v>33530</v>
      </c>
      <c r="C408" s="1595" t="s">
        <v>5403</v>
      </c>
      <c r="D408" s="1595" t="s">
        <v>14336</v>
      </c>
      <c r="E408" s="1595"/>
      <c r="F408" s="1595"/>
      <c r="G408" s="1595"/>
      <c r="H408" s="1596">
        <v>1</v>
      </c>
      <c r="I408" s="1595"/>
      <c r="J408" s="1595"/>
      <c r="K408" s="1599">
        <v>251</v>
      </c>
      <c r="L408" s="1599">
        <v>250.71</v>
      </c>
      <c r="M408" s="1599">
        <v>-250.71</v>
      </c>
      <c r="N408" s="1598"/>
      <c r="O408" s="1598"/>
      <c r="P408" s="1599">
        <v>250.71</v>
      </c>
      <c r="Q408" s="1599">
        <v>-250.71</v>
      </c>
      <c r="R408" s="1598"/>
      <c r="S408" s="1592"/>
    </row>
    <row r="409" spans="2:19" s="1593" customFormat="1" ht="11.25" customHeight="1" outlineLevel="1">
      <c r="B409" s="1594">
        <v>33531</v>
      </c>
      <c r="C409" s="1595" t="s">
        <v>5403</v>
      </c>
      <c r="D409" s="1595" t="s">
        <v>14335</v>
      </c>
      <c r="E409" s="1595"/>
      <c r="F409" s="1595"/>
      <c r="G409" s="1595"/>
      <c r="H409" s="1596">
        <v>1</v>
      </c>
      <c r="I409" s="1595"/>
      <c r="J409" s="1595"/>
      <c r="K409" s="1599">
        <v>251</v>
      </c>
      <c r="L409" s="1599">
        <v>250.71</v>
      </c>
      <c r="M409" s="1599">
        <v>-250.71</v>
      </c>
      <c r="N409" s="1598"/>
      <c r="O409" s="1598"/>
      <c r="P409" s="1599">
        <v>250.71</v>
      </c>
      <c r="Q409" s="1599">
        <v>-250.71</v>
      </c>
      <c r="R409" s="1598"/>
      <c r="S409" s="1592"/>
    </row>
    <row r="410" spans="2:19" s="1593" customFormat="1" ht="11.25" customHeight="1" outlineLevel="1">
      <c r="B410" s="1594">
        <v>33532</v>
      </c>
      <c r="C410" s="1595" t="s">
        <v>5403</v>
      </c>
      <c r="D410" s="1595" t="s">
        <v>14334</v>
      </c>
      <c r="E410" s="1595"/>
      <c r="F410" s="1595"/>
      <c r="G410" s="1595"/>
      <c r="H410" s="1596">
        <v>1</v>
      </c>
      <c r="I410" s="1595"/>
      <c r="J410" s="1595"/>
      <c r="K410" s="1599">
        <v>251</v>
      </c>
      <c r="L410" s="1599">
        <v>250.71</v>
      </c>
      <c r="M410" s="1599">
        <v>-250.71</v>
      </c>
      <c r="N410" s="1598"/>
      <c r="O410" s="1598"/>
      <c r="P410" s="1599">
        <v>250.71</v>
      </c>
      <c r="Q410" s="1599">
        <v>-250.71</v>
      </c>
      <c r="R410" s="1598"/>
      <c r="S410" s="1592"/>
    </row>
    <row r="411" spans="2:19" s="1593" customFormat="1" ht="11.25" customHeight="1" outlineLevel="1">
      <c r="B411" s="1594">
        <v>33533</v>
      </c>
      <c r="C411" s="1595" t="s">
        <v>5403</v>
      </c>
      <c r="D411" s="1595" t="s">
        <v>14333</v>
      </c>
      <c r="E411" s="1595"/>
      <c r="F411" s="1595"/>
      <c r="G411" s="1595"/>
      <c r="H411" s="1596">
        <v>1</v>
      </c>
      <c r="I411" s="1595"/>
      <c r="J411" s="1595"/>
      <c r="K411" s="1599">
        <v>251</v>
      </c>
      <c r="L411" s="1599">
        <v>250.71</v>
      </c>
      <c r="M411" s="1599">
        <v>-250.71</v>
      </c>
      <c r="N411" s="1598"/>
      <c r="O411" s="1598"/>
      <c r="P411" s="1599">
        <v>250.71</v>
      </c>
      <c r="Q411" s="1599">
        <v>-250.71</v>
      </c>
      <c r="R411" s="1598"/>
      <c r="S411" s="1592"/>
    </row>
    <row r="412" spans="2:19" s="1593" customFormat="1" ht="11.25" customHeight="1" outlineLevel="1">
      <c r="B412" s="1594">
        <v>33534</v>
      </c>
      <c r="C412" s="1595" t="s">
        <v>5403</v>
      </c>
      <c r="D412" s="1595" t="s">
        <v>14332</v>
      </c>
      <c r="E412" s="1595"/>
      <c r="F412" s="1595"/>
      <c r="G412" s="1595"/>
      <c r="H412" s="1596">
        <v>1</v>
      </c>
      <c r="I412" s="1595"/>
      <c r="J412" s="1595"/>
      <c r="K412" s="1599">
        <v>251</v>
      </c>
      <c r="L412" s="1599">
        <v>250.71</v>
      </c>
      <c r="M412" s="1599">
        <v>-250.71</v>
      </c>
      <c r="N412" s="1598"/>
      <c r="O412" s="1598"/>
      <c r="P412" s="1599">
        <v>250.71</v>
      </c>
      <c r="Q412" s="1599">
        <v>-250.71</v>
      </c>
      <c r="R412" s="1598"/>
      <c r="S412" s="1592"/>
    </row>
    <row r="413" spans="2:19" s="1593" customFormat="1" ht="11.25" customHeight="1" outlineLevel="1">
      <c r="B413" s="1594">
        <v>33535</v>
      </c>
      <c r="C413" s="1595" t="s">
        <v>5403</v>
      </c>
      <c r="D413" s="1595" t="s">
        <v>14331</v>
      </c>
      <c r="E413" s="1595"/>
      <c r="F413" s="1595"/>
      <c r="G413" s="1595"/>
      <c r="H413" s="1596">
        <v>1</v>
      </c>
      <c r="I413" s="1595"/>
      <c r="J413" s="1595"/>
      <c r="K413" s="1599">
        <v>251</v>
      </c>
      <c r="L413" s="1599">
        <v>251</v>
      </c>
      <c r="M413" s="1599">
        <v>-251</v>
      </c>
      <c r="N413" s="1598"/>
      <c r="O413" s="1598"/>
      <c r="P413" s="1599">
        <v>251</v>
      </c>
      <c r="Q413" s="1599">
        <v>-251</v>
      </c>
      <c r="R413" s="1598"/>
      <c r="S413" s="1592"/>
    </row>
    <row r="414" spans="2:19" s="1593" customFormat="1" ht="11.25" customHeight="1" outlineLevel="1">
      <c r="B414" s="1594">
        <v>33539</v>
      </c>
      <c r="C414" s="1595" t="s">
        <v>5403</v>
      </c>
      <c r="D414" s="1595" t="s">
        <v>14330</v>
      </c>
      <c r="E414" s="1595"/>
      <c r="F414" s="1595"/>
      <c r="G414" s="1595"/>
      <c r="H414" s="1596">
        <v>1</v>
      </c>
      <c r="I414" s="1595"/>
      <c r="J414" s="1595"/>
      <c r="K414" s="1599">
        <v>219</v>
      </c>
      <c r="L414" s="1599">
        <v>218.56</v>
      </c>
      <c r="M414" s="1599">
        <v>-218.56</v>
      </c>
      <c r="N414" s="1598"/>
      <c r="O414" s="1598"/>
      <c r="P414" s="1599">
        <v>218.56</v>
      </c>
      <c r="Q414" s="1599">
        <v>-218.56</v>
      </c>
      <c r="R414" s="1598"/>
      <c r="S414" s="1592"/>
    </row>
    <row r="415" spans="2:19" s="1593" customFormat="1" ht="11.25" customHeight="1" outlineLevel="1">
      <c r="B415" s="1594">
        <v>33540</v>
      </c>
      <c r="C415" s="1595" t="s">
        <v>5403</v>
      </c>
      <c r="D415" s="1595" t="s">
        <v>14329</v>
      </c>
      <c r="E415" s="1595"/>
      <c r="F415" s="1595"/>
      <c r="G415" s="1595"/>
      <c r="H415" s="1596">
        <v>1</v>
      </c>
      <c r="I415" s="1595"/>
      <c r="J415" s="1595"/>
      <c r="K415" s="1599">
        <v>219</v>
      </c>
      <c r="L415" s="1599">
        <v>218.56</v>
      </c>
      <c r="M415" s="1599">
        <v>-218.56</v>
      </c>
      <c r="N415" s="1598"/>
      <c r="O415" s="1598"/>
      <c r="P415" s="1599">
        <v>218.56</v>
      </c>
      <c r="Q415" s="1599">
        <v>-218.56</v>
      </c>
      <c r="R415" s="1598"/>
      <c r="S415" s="1592"/>
    </row>
    <row r="416" spans="2:19" s="1593" customFormat="1" ht="11.25" customHeight="1" outlineLevel="1">
      <c r="B416" s="1594">
        <v>33541</v>
      </c>
      <c r="C416" s="1595" t="s">
        <v>5403</v>
      </c>
      <c r="D416" s="1595" t="s">
        <v>14328</v>
      </c>
      <c r="E416" s="1595"/>
      <c r="F416" s="1595"/>
      <c r="G416" s="1595"/>
      <c r="H416" s="1596">
        <v>1</v>
      </c>
      <c r="I416" s="1595"/>
      <c r="J416" s="1595"/>
      <c r="K416" s="1599">
        <v>219</v>
      </c>
      <c r="L416" s="1599">
        <v>218.56</v>
      </c>
      <c r="M416" s="1599">
        <v>-218.56</v>
      </c>
      <c r="N416" s="1598"/>
      <c r="O416" s="1598"/>
      <c r="P416" s="1599">
        <v>218.56</v>
      </c>
      <c r="Q416" s="1599">
        <v>-218.56</v>
      </c>
      <c r="R416" s="1598"/>
      <c r="S416" s="1592"/>
    </row>
    <row r="417" spans="2:19" s="1593" customFormat="1" ht="11.25" customHeight="1" outlineLevel="1">
      <c r="B417" s="1594">
        <v>33542</v>
      </c>
      <c r="C417" s="1595" t="s">
        <v>5403</v>
      </c>
      <c r="D417" s="1595" t="s">
        <v>14327</v>
      </c>
      <c r="E417" s="1595"/>
      <c r="F417" s="1595"/>
      <c r="G417" s="1595"/>
      <c r="H417" s="1596">
        <v>1</v>
      </c>
      <c r="I417" s="1595"/>
      <c r="J417" s="1595"/>
      <c r="K417" s="1599">
        <v>219</v>
      </c>
      <c r="L417" s="1599">
        <v>218.56</v>
      </c>
      <c r="M417" s="1599">
        <v>-218.56</v>
      </c>
      <c r="N417" s="1598"/>
      <c r="O417" s="1598"/>
      <c r="P417" s="1599">
        <v>218.56</v>
      </c>
      <c r="Q417" s="1599">
        <v>-218.56</v>
      </c>
      <c r="R417" s="1598"/>
      <c r="S417" s="1592"/>
    </row>
    <row r="418" spans="2:19" s="1593" customFormat="1" ht="11.25" customHeight="1" outlineLevel="1">
      <c r="B418" s="1594">
        <v>33543</v>
      </c>
      <c r="C418" s="1595" t="s">
        <v>5403</v>
      </c>
      <c r="D418" s="1595" t="s">
        <v>14326</v>
      </c>
      <c r="E418" s="1595"/>
      <c r="F418" s="1595"/>
      <c r="G418" s="1595"/>
      <c r="H418" s="1596">
        <v>1</v>
      </c>
      <c r="I418" s="1595"/>
      <c r="J418" s="1595"/>
      <c r="K418" s="1599">
        <v>219</v>
      </c>
      <c r="L418" s="1599">
        <v>218.56</v>
      </c>
      <c r="M418" s="1599">
        <v>-218.56</v>
      </c>
      <c r="N418" s="1598"/>
      <c r="O418" s="1598"/>
      <c r="P418" s="1599">
        <v>218.56</v>
      </c>
      <c r="Q418" s="1599">
        <v>-218.56</v>
      </c>
      <c r="R418" s="1598"/>
      <c r="S418" s="1592"/>
    </row>
    <row r="419" spans="2:19" s="1593" customFormat="1" ht="11.25" customHeight="1" outlineLevel="1">
      <c r="B419" s="1594">
        <v>33563</v>
      </c>
      <c r="C419" s="1595" t="s">
        <v>5403</v>
      </c>
      <c r="D419" s="1595" t="s">
        <v>14325</v>
      </c>
      <c r="E419" s="1595"/>
      <c r="F419" s="1595"/>
      <c r="G419" s="1595"/>
      <c r="H419" s="1596">
        <v>1</v>
      </c>
      <c r="I419" s="1595"/>
      <c r="J419" s="1595"/>
      <c r="K419" s="1599">
        <v>287</v>
      </c>
      <c r="L419" s="1599">
        <v>287.39999999999998</v>
      </c>
      <c r="M419" s="1599">
        <v>-287.39999999999998</v>
      </c>
      <c r="N419" s="1598"/>
      <c r="O419" s="1598"/>
      <c r="P419" s="1599">
        <v>287.39999999999998</v>
      </c>
      <c r="Q419" s="1599">
        <v>-287.39999999999998</v>
      </c>
      <c r="R419" s="1598"/>
      <c r="S419" s="1592"/>
    </row>
    <row r="420" spans="2:19" s="1593" customFormat="1" ht="11.25" customHeight="1" outlineLevel="1">
      <c r="B420" s="1594">
        <v>33564</v>
      </c>
      <c r="C420" s="1595" t="s">
        <v>5403</v>
      </c>
      <c r="D420" s="1595" t="s">
        <v>14324</v>
      </c>
      <c r="E420" s="1595"/>
      <c r="F420" s="1595"/>
      <c r="G420" s="1595"/>
      <c r="H420" s="1596">
        <v>1</v>
      </c>
      <c r="I420" s="1595"/>
      <c r="J420" s="1595"/>
      <c r="K420" s="1599">
        <v>287</v>
      </c>
      <c r="L420" s="1599">
        <v>287.39999999999998</v>
      </c>
      <c r="M420" s="1599">
        <v>-287.39999999999998</v>
      </c>
      <c r="N420" s="1598"/>
      <c r="O420" s="1598"/>
      <c r="P420" s="1599">
        <v>287.39999999999998</v>
      </c>
      <c r="Q420" s="1599">
        <v>-287.39999999999998</v>
      </c>
      <c r="R420" s="1598"/>
      <c r="S420" s="1592"/>
    </row>
    <row r="421" spans="2:19" s="1593" customFormat="1" ht="11.25" customHeight="1" outlineLevel="1">
      <c r="B421" s="1594">
        <v>33565</v>
      </c>
      <c r="C421" s="1595" t="s">
        <v>5403</v>
      </c>
      <c r="D421" s="1595" t="s">
        <v>14323</v>
      </c>
      <c r="E421" s="1595"/>
      <c r="F421" s="1595"/>
      <c r="G421" s="1595"/>
      <c r="H421" s="1596">
        <v>1</v>
      </c>
      <c r="I421" s="1595"/>
      <c r="J421" s="1595"/>
      <c r="K421" s="1599">
        <v>287</v>
      </c>
      <c r="L421" s="1599">
        <v>287.39999999999998</v>
      </c>
      <c r="M421" s="1599">
        <v>-287.39999999999998</v>
      </c>
      <c r="N421" s="1598"/>
      <c r="O421" s="1598"/>
      <c r="P421" s="1599">
        <v>287.39999999999998</v>
      </c>
      <c r="Q421" s="1599">
        <v>-287.39999999999998</v>
      </c>
      <c r="R421" s="1598"/>
      <c r="S421" s="1592"/>
    </row>
    <row r="422" spans="2:19" s="1593" customFormat="1" ht="11.25" customHeight="1" outlineLevel="1">
      <c r="B422" s="1594">
        <v>33566</v>
      </c>
      <c r="C422" s="1595" t="s">
        <v>5403</v>
      </c>
      <c r="D422" s="1595" t="s">
        <v>14322</v>
      </c>
      <c r="E422" s="1595"/>
      <c r="F422" s="1595"/>
      <c r="G422" s="1595"/>
      <c r="H422" s="1596">
        <v>1</v>
      </c>
      <c r="I422" s="1595"/>
      <c r="J422" s="1595"/>
      <c r="K422" s="1599">
        <v>287</v>
      </c>
      <c r="L422" s="1599">
        <v>287.39999999999998</v>
      </c>
      <c r="M422" s="1599">
        <v>-287.39999999999998</v>
      </c>
      <c r="N422" s="1598"/>
      <c r="O422" s="1598"/>
      <c r="P422" s="1599">
        <v>287.39999999999998</v>
      </c>
      <c r="Q422" s="1599">
        <v>-287.39999999999998</v>
      </c>
      <c r="R422" s="1598"/>
      <c r="S422" s="1592"/>
    </row>
    <row r="423" spans="2:19" s="1593" customFormat="1" ht="11.25" customHeight="1" outlineLevel="1">
      <c r="B423" s="1594">
        <v>33571</v>
      </c>
      <c r="C423" s="1595" t="s">
        <v>5403</v>
      </c>
      <c r="D423" s="1595" t="s">
        <v>14321</v>
      </c>
      <c r="E423" s="1595"/>
      <c r="F423" s="1595"/>
      <c r="G423" s="1595"/>
      <c r="H423" s="1596">
        <v>1</v>
      </c>
      <c r="I423" s="1595"/>
      <c r="J423" s="1595"/>
      <c r="K423" s="1599">
        <v>868</v>
      </c>
      <c r="L423" s="1599">
        <v>868</v>
      </c>
      <c r="M423" s="1599">
        <v>-868</v>
      </c>
      <c r="N423" s="1598"/>
      <c r="O423" s="1598"/>
      <c r="P423" s="1599">
        <v>868</v>
      </c>
      <c r="Q423" s="1599">
        <v>-868</v>
      </c>
      <c r="R423" s="1598"/>
      <c r="S423" s="1592"/>
    </row>
    <row r="424" spans="2:19" s="1593" customFormat="1" ht="11.25" customHeight="1" outlineLevel="1">
      <c r="B424" s="1594">
        <v>33572</v>
      </c>
      <c r="C424" s="1595" t="s">
        <v>5403</v>
      </c>
      <c r="D424" s="1595" t="s">
        <v>14320</v>
      </c>
      <c r="E424" s="1595"/>
      <c r="F424" s="1595"/>
      <c r="G424" s="1595"/>
      <c r="H424" s="1596">
        <v>1</v>
      </c>
      <c r="I424" s="1595"/>
      <c r="J424" s="1595"/>
      <c r="K424" s="1599">
        <v>868</v>
      </c>
      <c r="L424" s="1599">
        <v>868</v>
      </c>
      <c r="M424" s="1599">
        <v>-868</v>
      </c>
      <c r="N424" s="1598"/>
      <c r="O424" s="1598"/>
      <c r="P424" s="1599">
        <v>868</v>
      </c>
      <c r="Q424" s="1599">
        <v>-868</v>
      </c>
      <c r="R424" s="1598"/>
      <c r="S424" s="1592"/>
    </row>
    <row r="425" spans="2:19" s="1593" customFormat="1" ht="11.25" customHeight="1" outlineLevel="1">
      <c r="B425" s="1594">
        <v>33573</v>
      </c>
      <c r="C425" s="1595" t="s">
        <v>5403</v>
      </c>
      <c r="D425" s="1595" t="s">
        <v>14319</v>
      </c>
      <c r="E425" s="1595"/>
      <c r="F425" s="1595"/>
      <c r="G425" s="1595"/>
      <c r="H425" s="1596">
        <v>1</v>
      </c>
      <c r="I425" s="1595"/>
      <c r="J425" s="1595"/>
      <c r="K425" s="1599">
        <v>868</v>
      </c>
      <c r="L425" s="1599">
        <v>868</v>
      </c>
      <c r="M425" s="1599">
        <v>-868</v>
      </c>
      <c r="N425" s="1598"/>
      <c r="O425" s="1598"/>
      <c r="P425" s="1599">
        <v>868</v>
      </c>
      <c r="Q425" s="1599">
        <v>-868</v>
      </c>
      <c r="R425" s="1598"/>
      <c r="S425" s="1592"/>
    </row>
    <row r="426" spans="2:19" s="1593" customFormat="1" ht="11.25" customHeight="1" outlineLevel="1">
      <c r="B426" s="1594">
        <v>33574</v>
      </c>
      <c r="C426" s="1595" t="s">
        <v>5403</v>
      </c>
      <c r="D426" s="1595" t="s">
        <v>14318</v>
      </c>
      <c r="E426" s="1595"/>
      <c r="F426" s="1595"/>
      <c r="G426" s="1595"/>
      <c r="H426" s="1596">
        <v>1</v>
      </c>
      <c r="I426" s="1595"/>
      <c r="J426" s="1595"/>
      <c r="K426" s="1599">
        <v>868</v>
      </c>
      <c r="L426" s="1599">
        <v>868</v>
      </c>
      <c r="M426" s="1599">
        <v>-868</v>
      </c>
      <c r="N426" s="1598"/>
      <c r="O426" s="1598"/>
      <c r="P426" s="1599">
        <v>868</v>
      </c>
      <c r="Q426" s="1599">
        <v>-868</v>
      </c>
      <c r="R426" s="1598"/>
      <c r="S426" s="1592"/>
    </row>
    <row r="427" spans="2:19" s="1593" customFormat="1" ht="11.25" customHeight="1" outlineLevel="1">
      <c r="B427" s="1594">
        <v>33575</v>
      </c>
      <c r="C427" s="1595" t="s">
        <v>5403</v>
      </c>
      <c r="D427" s="1595" t="s">
        <v>14317</v>
      </c>
      <c r="E427" s="1595"/>
      <c r="F427" s="1595"/>
      <c r="G427" s="1595"/>
      <c r="H427" s="1596">
        <v>1</v>
      </c>
      <c r="I427" s="1595"/>
      <c r="J427" s="1595"/>
      <c r="K427" s="1599">
        <v>868</v>
      </c>
      <c r="L427" s="1599">
        <v>868</v>
      </c>
      <c r="M427" s="1599">
        <v>-868</v>
      </c>
      <c r="N427" s="1598"/>
      <c r="O427" s="1598"/>
      <c r="P427" s="1599">
        <v>868</v>
      </c>
      <c r="Q427" s="1599">
        <v>-868</v>
      </c>
      <c r="R427" s="1598"/>
      <c r="S427" s="1592"/>
    </row>
    <row r="428" spans="2:19" s="1593" customFormat="1" ht="11.25" customHeight="1" outlineLevel="1">
      <c r="B428" s="1594">
        <v>33576</v>
      </c>
      <c r="C428" s="1595" t="s">
        <v>5403</v>
      </c>
      <c r="D428" s="1595" t="s">
        <v>14316</v>
      </c>
      <c r="E428" s="1595"/>
      <c r="F428" s="1595"/>
      <c r="G428" s="1595"/>
      <c r="H428" s="1596">
        <v>1</v>
      </c>
      <c r="I428" s="1595"/>
      <c r="J428" s="1595"/>
      <c r="K428" s="1599">
        <v>868</v>
      </c>
      <c r="L428" s="1599">
        <v>868</v>
      </c>
      <c r="M428" s="1599">
        <v>-868</v>
      </c>
      <c r="N428" s="1598"/>
      <c r="O428" s="1598"/>
      <c r="P428" s="1599">
        <v>868</v>
      </c>
      <c r="Q428" s="1599">
        <v>-868</v>
      </c>
      <c r="R428" s="1598"/>
      <c r="S428" s="1592"/>
    </row>
    <row r="429" spans="2:19" s="1593" customFormat="1" ht="11.25" customHeight="1" outlineLevel="1">
      <c r="B429" s="1594">
        <v>33577</v>
      </c>
      <c r="C429" s="1595" t="s">
        <v>5403</v>
      </c>
      <c r="D429" s="1595" t="s">
        <v>14315</v>
      </c>
      <c r="E429" s="1595"/>
      <c r="F429" s="1595"/>
      <c r="G429" s="1595"/>
      <c r="H429" s="1596">
        <v>1</v>
      </c>
      <c r="I429" s="1595"/>
      <c r="J429" s="1595"/>
      <c r="K429" s="1599">
        <v>868</v>
      </c>
      <c r="L429" s="1599">
        <v>868</v>
      </c>
      <c r="M429" s="1599">
        <v>-868</v>
      </c>
      <c r="N429" s="1598"/>
      <c r="O429" s="1598"/>
      <c r="P429" s="1599">
        <v>868</v>
      </c>
      <c r="Q429" s="1599">
        <v>-868</v>
      </c>
      <c r="R429" s="1598"/>
      <c r="S429" s="1592"/>
    </row>
    <row r="430" spans="2:19" s="1593" customFormat="1" ht="11.25" customHeight="1" outlineLevel="1">
      <c r="B430" s="1594">
        <v>33578</v>
      </c>
      <c r="C430" s="1595" t="s">
        <v>5403</v>
      </c>
      <c r="D430" s="1595" t="s">
        <v>14314</v>
      </c>
      <c r="E430" s="1595"/>
      <c r="F430" s="1595"/>
      <c r="G430" s="1595"/>
      <c r="H430" s="1596">
        <v>1</v>
      </c>
      <c r="I430" s="1595"/>
      <c r="J430" s="1595"/>
      <c r="K430" s="1599">
        <v>868</v>
      </c>
      <c r="L430" s="1599">
        <v>868</v>
      </c>
      <c r="M430" s="1599">
        <v>-868</v>
      </c>
      <c r="N430" s="1598"/>
      <c r="O430" s="1598"/>
      <c r="P430" s="1599">
        <v>868</v>
      </c>
      <c r="Q430" s="1599">
        <v>-868</v>
      </c>
      <c r="R430" s="1598"/>
      <c r="S430" s="1592"/>
    </row>
    <row r="431" spans="2:19" s="1593" customFormat="1" ht="11.25" customHeight="1" outlineLevel="1">
      <c r="B431" s="1594">
        <v>33579</v>
      </c>
      <c r="C431" s="1595" t="s">
        <v>5403</v>
      </c>
      <c r="D431" s="1595" t="s">
        <v>14313</v>
      </c>
      <c r="E431" s="1595"/>
      <c r="F431" s="1595"/>
      <c r="G431" s="1595"/>
      <c r="H431" s="1596">
        <v>1</v>
      </c>
      <c r="I431" s="1595"/>
      <c r="J431" s="1595"/>
      <c r="K431" s="1599">
        <v>868</v>
      </c>
      <c r="L431" s="1599">
        <v>868</v>
      </c>
      <c r="M431" s="1599">
        <v>-868</v>
      </c>
      <c r="N431" s="1598"/>
      <c r="O431" s="1598"/>
      <c r="P431" s="1599">
        <v>868</v>
      </c>
      <c r="Q431" s="1599">
        <v>-868</v>
      </c>
      <c r="R431" s="1598"/>
      <c r="S431" s="1592"/>
    </row>
    <row r="432" spans="2:19" s="1593" customFormat="1" ht="11.25" customHeight="1" outlineLevel="1">
      <c r="B432" s="1594">
        <v>33580</v>
      </c>
      <c r="C432" s="1595" t="s">
        <v>5403</v>
      </c>
      <c r="D432" s="1595" t="s">
        <v>14312</v>
      </c>
      <c r="E432" s="1595"/>
      <c r="F432" s="1595"/>
      <c r="G432" s="1595"/>
      <c r="H432" s="1596">
        <v>1</v>
      </c>
      <c r="I432" s="1595"/>
      <c r="J432" s="1595"/>
      <c r="K432" s="1599">
        <v>868</v>
      </c>
      <c r="L432" s="1599">
        <v>868</v>
      </c>
      <c r="M432" s="1599">
        <v>-868</v>
      </c>
      <c r="N432" s="1598"/>
      <c r="O432" s="1598"/>
      <c r="P432" s="1599">
        <v>868</v>
      </c>
      <c r="Q432" s="1599">
        <v>-868</v>
      </c>
      <c r="R432" s="1598"/>
      <c r="S432" s="1592"/>
    </row>
    <row r="433" spans="2:19" s="1593" customFormat="1" ht="11.25" customHeight="1" outlineLevel="1">
      <c r="B433" s="1594">
        <v>33581</v>
      </c>
      <c r="C433" s="1595" t="s">
        <v>5403</v>
      </c>
      <c r="D433" s="1595" t="s">
        <v>14311</v>
      </c>
      <c r="E433" s="1595"/>
      <c r="F433" s="1595"/>
      <c r="G433" s="1595"/>
      <c r="H433" s="1596">
        <v>1</v>
      </c>
      <c r="I433" s="1595"/>
      <c r="J433" s="1595"/>
      <c r="K433" s="1599">
        <v>868</v>
      </c>
      <c r="L433" s="1599">
        <v>868</v>
      </c>
      <c r="M433" s="1599">
        <v>-868</v>
      </c>
      <c r="N433" s="1598"/>
      <c r="O433" s="1598"/>
      <c r="P433" s="1599">
        <v>868</v>
      </c>
      <c r="Q433" s="1599">
        <v>-868</v>
      </c>
      <c r="R433" s="1598"/>
      <c r="S433" s="1592"/>
    </row>
    <row r="434" spans="2:19" s="1593" customFormat="1" ht="11.25" customHeight="1" outlineLevel="1">
      <c r="B434" s="1594">
        <v>33582</v>
      </c>
      <c r="C434" s="1595" t="s">
        <v>5403</v>
      </c>
      <c r="D434" s="1595" t="s">
        <v>14310</v>
      </c>
      <c r="E434" s="1595"/>
      <c r="F434" s="1595"/>
      <c r="G434" s="1595"/>
      <c r="H434" s="1596">
        <v>1</v>
      </c>
      <c r="I434" s="1595"/>
      <c r="J434" s="1595"/>
      <c r="K434" s="1599">
        <v>868</v>
      </c>
      <c r="L434" s="1599">
        <v>868</v>
      </c>
      <c r="M434" s="1599">
        <v>-868</v>
      </c>
      <c r="N434" s="1598"/>
      <c r="O434" s="1598"/>
      <c r="P434" s="1599">
        <v>868</v>
      </c>
      <c r="Q434" s="1599">
        <v>-868</v>
      </c>
      <c r="R434" s="1598"/>
      <c r="S434" s="1592"/>
    </row>
    <row r="435" spans="2:19" s="1593" customFormat="1" ht="11.25" customHeight="1" outlineLevel="1">
      <c r="B435" s="1594">
        <v>33583</v>
      </c>
      <c r="C435" s="1595" t="s">
        <v>5403</v>
      </c>
      <c r="D435" s="1595" t="s">
        <v>14309</v>
      </c>
      <c r="E435" s="1595"/>
      <c r="F435" s="1595"/>
      <c r="G435" s="1595"/>
      <c r="H435" s="1596">
        <v>1</v>
      </c>
      <c r="I435" s="1595"/>
      <c r="J435" s="1595"/>
      <c r="K435" s="1599">
        <v>868</v>
      </c>
      <c r="L435" s="1599">
        <v>868</v>
      </c>
      <c r="M435" s="1599">
        <v>-868</v>
      </c>
      <c r="N435" s="1598"/>
      <c r="O435" s="1598"/>
      <c r="P435" s="1599">
        <v>868</v>
      </c>
      <c r="Q435" s="1599">
        <v>-868</v>
      </c>
      <c r="R435" s="1598"/>
      <c r="S435" s="1592"/>
    </row>
    <row r="436" spans="2:19" s="1593" customFormat="1" ht="11.25" customHeight="1" outlineLevel="1">
      <c r="B436" s="1594">
        <v>33585</v>
      </c>
      <c r="C436" s="1595" t="s">
        <v>5403</v>
      </c>
      <c r="D436" s="1595" t="s">
        <v>14308</v>
      </c>
      <c r="E436" s="1595"/>
      <c r="F436" s="1595"/>
      <c r="G436" s="1595"/>
      <c r="H436" s="1596">
        <v>1</v>
      </c>
      <c r="I436" s="1595"/>
      <c r="J436" s="1595"/>
      <c r="K436" s="1599">
        <v>868</v>
      </c>
      <c r="L436" s="1599">
        <v>868</v>
      </c>
      <c r="M436" s="1599">
        <v>-868</v>
      </c>
      <c r="N436" s="1598"/>
      <c r="O436" s="1598"/>
      <c r="P436" s="1599">
        <v>868</v>
      </c>
      <c r="Q436" s="1599">
        <v>-868</v>
      </c>
      <c r="R436" s="1598"/>
      <c r="S436" s="1592"/>
    </row>
    <row r="437" spans="2:19" s="1593" customFormat="1" ht="11.25" customHeight="1" outlineLevel="1">
      <c r="B437" s="1594">
        <v>33586</v>
      </c>
      <c r="C437" s="1595" t="s">
        <v>5403</v>
      </c>
      <c r="D437" s="1595" t="s">
        <v>14307</v>
      </c>
      <c r="E437" s="1595"/>
      <c r="F437" s="1595"/>
      <c r="G437" s="1595"/>
      <c r="H437" s="1596">
        <v>1</v>
      </c>
      <c r="I437" s="1595"/>
      <c r="J437" s="1595"/>
      <c r="K437" s="1599">
        <v>868</v>
      </c>
      <c r="L437" s="1599">
        <v>868</v>
      </c>
      <c r="M437" s="1599">
        <v>-868</v>
      </c>
      <c r="N437" s="1598"/>
      <c r="O437" s="1598"/>
      <c r="P437" s="1599">
        <v>868</v>
      </c>
      <c r="Q437" s="1599">
        <v>-868</v>
      </c>
      <c r="R437" s="1598"/>
      <c r="S437" s="1592"/>
    </row>
    <row r="438" spans="2:19" s="1593" customFormat="1" ht="11.25" customHeight="1" outlineLevel="1">
      <c r="B438" s="1594">
        <v>33587</v>
      </c>
      <c r="C438" s="1595" t="s">
        <v>5403</v>
      </c>
      <c r="D438" s="1595" t="s">
        <v>14306</v>
      </c>
      <c r="E438" s="1595"/>
      <c r="F438" s="1595"/>
      <c r="G438" s="1595"/>
      <c r="H438" s="1596">
        <v>1</v>
      </c>
      <c r="I438" s="1595"/>
      <c r="J438" s="1595"/>
      <c r="K438" s="1599">
        <v>868</v>
      </c>
      <c r="L438" s="1599">
        <v>868</v>
      </c>
      <c r="M438" s="1599">
        <v>-868</v>
      </c>
      <c r="N438" s="1598"/>
      <c r="O438" s="1598"/>
      <c r="P438" s="1599">
        <v>868</v>
      </c>
      <c r="Q438" s="1599">
        <v>-868</v>
      </c>
      <c r="R438" s="1598"/>
      <c r="S438" s="1592"/>
    </row>
    <row r="439" spans="2:19" s="1593" customFormat="1" ht="11.25" customHeight="1" outlineLevel="1">
      <c r="B439" s="1594">
        <v>33588</v>
      </c>
      <c r="C439" s="1595" t="s">
        <v>5403</v>
      </c>
      <c r="D439" s="1595" t="s">
        <v>14305</v>
      </c>
      <c r="E439" s="1595"/>
      <c r="F439" s="1595"/>
      <c r="G439" s="1595"/>
      <c r="H439" s="1596">
        <v>1</v>
      </c>
      <c r="I439" s="1595"/>
      <c r="J439" s="1595"/>
      <c r="K439" s="1599">
        <v>868</v>
      </c>
      <c r="L439" s="1599">
        <v>868</v>
      </c>
      <c r="M439" s="1599">
        <v>-868</v>
      </c>
      <c r="N439" s="1598"/>
      <c r="O439" s="1598"/>
      <c r="P439" s="1599">
        <v>868</v>
      </c>
      <c r="Q439" s="1599">
        <v>-868</v>
      </c>
      <c r="R439" s="1598"/>
      <c r="S439" s="1592"/>
    </row>
    <row r="440" spans="2:19" s="1593" customFormat="1" ht="11.25" customHeight="1" outlineLevel="1">
      <c r="B440" s="1594">
        <v>33589</v>
      </c>
      <c r="C440" s="1595" t="s">
        <v>5403</v>
      </c>
      <c r="D440" s="1595" t="s">
        <v>14304</v>
      </c>
      <c r="E440" s="1595"/>
      <c r="F440" s="1595"/>
      <c r="G440" s="1595"/>
      <c r="H440" s="1596">
        <v>1</v>
      </c>
      <c r="I440" s="1595"/>
      <c r="J440" s="1595"/>
      <c r="K440" s="1599">
        <v>868</v>
      </c>
      <c r="L440" s="1599">
        <v>868</v>
      </c>
      <c r="M440" s="1599">
        <v>-868</v>
      </c>
      <c r="N440" s="1598"/>
      <c r="O440" s="1598"/>
      <c r="P440" s="1599">
        <v>868</v>
      </c>
      <c r="Q440" s="1599">
        <v>-868</v>
      </c>
      <c r="R440" s="1598"/>
      <c r="S440" s="1592"/>
    </row>
    <row r="441" spans="2:19" s="1593" customFormat="1" ht="11.25" customHeight="1" outlineLevel="1">
      <c r="B441" s="1594">
        <v>33590</v>
      </c>
      <c r="C441" s="1595" t="s">
        <v>5403</v>
      </c>
      <c r="D441" s="1595" t="s">
        <v>14303</v>
      </c>
      <c r="E441" s="1595"/>
      <c r="F441" s="1595"/>
      <c r="G441" s="1595"/>
      <c r="H441" s="1596">
        <v>1</v>
      </c>
      <c r="I441" s="1595"/>
      <c r="J441" s="1595"/>
      <c r="K441" s="1599">
        <v>868</v>
      </c>
      <c r="L441" s="1599">
        <v>868</v>
      </c>
      <c r="M441" s="1599">
        <v>-868</v>
      </c>
      <c r="N441" s="1598"/>
      <c r="O441" s="1598"/>
      <c r="P441" s="1599">
        <v>868</v>
      </c>
      <c r="Q441" s="1599">
        <v>-868</v>
      </c>
      <c r="R441" s="1598"/>
      <c r="S441" s="1592"/>
    </row>
    <row r="442" spans="2:19" s="1593" customFormat="1" ht="11.25" customHeight="1" outlineLevel="1">
      <c r="B442" s="1594">
        <v>33602</v>
      </c>
      <c r="C442" s="1595" t="s">
        <v>5403</v>
      </c>
      <c r="D442" s="1595" t="s">
        <v>14302</v>
      </c>
      <c r="E442" s="1595"/>
      <c r="F442" s="1595"/>
      <c r="G442" s="1595"/>
      <c r="H442" s="1596">
        <v>1</v>
      </c>
      <c r="I442" s="1595"/>
      <c r="J442" s="1595"/>
      <c r="K442" s="1599">
        <v>58</v>
      </c>
      <c r="L442" s="1599">
        <v>57.9</v>
      </c>
      <c r="M442" s="1599">
        <v>-57.9</v>
      </c>
      <c r="N442" s="1598"/>
      <c r="O442" s="1598"/>
      <c r="P442" s="1599">
        <v>57.9</v>
      </c>
      <c r="Q442" s="1599">
        <v>-57.9</v>
      </c>
      <c r="R442" s="1598"/>
      <c r="S442" s="1592"/>
    </row>
    <row r="443" spans="2:19" s="1593" customFormat="1" ht="11.25" customHeight="1" outlineLevel="1">
      <c r="B443" s="1594">
        <v>33603</v>
      </c>
      <c r="C443" s="1595" t="s">
        <v>5403</v>
      </c>
      <c r="D443" s="1595" t="s">
        <v>14301</v>
      </c>
      <c r="E443" s="1595"/>
      <c r="F443" s="1595"/>
      <c r="G443" s="1595"/>
      <c r="H443" s="1596">
        <v>1</v>
      </c>
      <c r="I443" s="1595"/>
      <c r="J443" s="1595"/>
      <c r="K443" s="1599">
        <v>58</v>
      </c>
      <c r="L443" s="1599">
        <v>57.9</v>
      </c>
      <c r="M443" s="1599">
        <v>-57.9</v>
      </c>
      <c r="N443" s="1598"/>
      <c r="O443" s="1598"/>
      <c r="P443" s="1599">
        <v>57.9</v>
      </c>
      <c r="Q443" s="1599">
        <v>-57.9</v>
      </c>
      <c r="R443" s="1598"/>
      <c r="S443" s="1592"/>
    </row>
    <row r="444" spans="2:19" s="1593" customFormat="1" ht="11.25" customHeight="1" outlineLevel="1">
      <c r="B444" s="1594">
        <v>33604</v>
      </c>
      <c r="C444" s="1595" t="s">
        <v>5403</v>
      </c>
      <c r="D444" s="1595" t="s">
        <v>14300</v>
      </c>
      <c r="E444" s="1595"/>
      <c r="F444" s="1595"/>
      <c r="G444" s="1595"/>
      <c r="H444" s="1596">
        <v>1</v>
      </c>
      <c r="I444" s="1595"/>
      <c r="J444" s="1595"/>
      <c r="K444" s="1599">
        <v>58</v>
      </c>
      <c r="L444" s="1599">
        <v>57.9</v>
      </c>
      <c r="M444" s="1599">
        <v>-57.9</v>
      </c>
      <c r="N444" s="1598"/>
      <c r="O444" s="1598"/>
      <c r="P444" s="1599">
        <v>57.9</v>
      </c>
      <c r="Q444" s="1599">
        <v>-57.9</v>
      </c>
      <c r="R444" s="1598"/>
      <c r="S444" s="1592"/>
    </row>
    <row r="445" spans="2:19" s="1593" customFormat="1" ht="11.25" customHeight="1" outlineLevel="1">
      <c r="B445" s="1594">
        <v>33605</v>
      </c>
      <c r="C445" s="1595" t="s">
        <v>5403</v>
      </c>
      <c r="D445" s="1595" t="s">
        <v>14299</v>
      </c>
      <c r="E445" s="1595"/>
      <c r="F445" s="1595"/>
      <c r="G445" s="1595"/>
      <c r="H445" s="1596">
        <v>1</v>
      </c>
      <c r="I445" s="1595"/>
      <c r="J445" s="1595"/>
      <c r="K445" s="1599">
        <v>58</v>
      </c>
      <c r="L445" s="1599">
        <v>57.9</v>
      </c>
      <c r="M445" s="1599">
        <v>-57.9</v>
      </c>
      <c r="N445" s="1598"/>
      <c r="O445" s="1598"/>
      <c r="P445" s="1599">
        <v>57.9</v>
      </c>
      <c r="Q445" s="1599">
        <v>-57.9</v>
      </c>
      <c r="R445" s="1598"/>
      <c r="S445" s="1592"/>
    </row>
    <row r="446" spans="2:19" s="1593" customFormat="1" ht="11.25" customHeight="1" outlineLevel="1">
      <c r="B446" s="1594">
        <v>33606</v>
      </c>
      <c r="C446" s="1595" t="s">
        <v>5403</v>
      </c>
      <c r="D446" s="1595" t="s">
        <v>14298</v>
      </c>
      <c r="E446" s="1595"/>
      <c r="F446" s="1595"/>
      <c r="G446" s="1595"/>
      <c r="H446" s="1596">
        <v>1</v>
      </c>
      <c r="I446" s="1595"/>
      <c r="J446" s="1595"/>
      <c r="K446" s="1599">
        <v>58</v>
      </c>
      <c r="L446" s="1599">
        <v>57.9</v>
      </c>
      <c r="M446" s="1599">
        <v>-57.9</v>
      </c>
      <c r="N446" s="1598"/>
      <c r="O446" s="1598"/>
      <c r="P446" s="1599">
        <v>57.9</v>
      </c>
      <c r="Q446" s="1599">
        <v>-57.9</v>
      </c>
      <c r="R446" s="1598"/>
      <c r="S446" s="1592"/>
    </row>
    <row r="447" spans="2:19" s="1593" customFormat="1" ht="11.25" customHeight="1" outlineLevel="1">
      <c r="B447" s="1594">
        <v>33607</v>
      </c>
      <c r="C447" s="1595" t="s">
        <v>5403</v>
      </c>
      <c r="D447" s="1595" t="s">
        <v>14297</v>
      </c>
      <c r="E447" s="1595"/>
      <c r="F447" s="1595"/>
      <c r="G447" s="1595"/>
      <c r="H447" s="1596">
        <v>1</v>
      </c>
      <c r="I447" s="1595"/>
      <c r="J447" s="1595"/>
      <c r="K447" s="1599">
        <v>58</v>
      </c>
      <c r="L447" s="1599">
        <v>57.9</v>
      </c>
      <c r="M447" s="1599">
        <v>-57.9</v>
      </c>
      <c r="N447" s="1598"/>
      <c r="O447" s="1598"/>
      <c r="P447" s="1599">
        <v>57.9</v>
      </c>
      <c r="Q447" s="1599">
        <v>-57.9</v>
      </c>
      <c r="R447" s="1598"/>
      <c r="S447" s="1592"/>
    </row>
    <row r="448" spans="2:19" s="1593" customFormat="1" ht="11.25" customHeight="1" outlineLevel="1">
      <c r="B448" s="1594">
        <v>33608</v>
      </c>
      <c r="C448" s="1595" t="s">
        <v>5403</v>
      </c>
      <c r="D448" s="1595" t="s">
        <v>14296</v>
      </c>
      <c r="E448" s="1595"/>
      <c r="F448" s="1595"/>
      <c r="G448" s="1595"/>
      <c r="H448" s="1596">
        <v>1</v>
      </c>
      <c r="I448" s="1595"/>
      <c r="J448" s="1595"/>
      <c r="K448" s="1599">
        <v>58</v>
      </c>
      <c r="L448" s="1599">
        <v>57.9</v>
      </c>
      <c r="M448" s="1599">
        <v>-57.9</v>
      </c>
      <c r="N448" s="1598"/>
      <c r="O448" s="1598"/>
      <c r="P448" s="1599">
        <v>57.9</v>
      </c>
      <c r="Q448" s="1599">
        <v>-57.9</v>
      </c>
      <c r="R448" s="1598"/>
      <c r="S448" s="1592"/>
    </row>
    <row r="449" spans="2:19" s="1593" customFormat="1" ht="11.25" customHeight="1" outlineLevel="1">
      <c r="B449" s="1594">
        <v>33609</v>
      </c>
      <c r="C449" s="1595" t="s">
        <v>5403</v>
      </c>
      <c r="D449" s="1595" t="s">
        <v>14295</v>
      </c>
      <c r="E449" s="1595"/>
      <c r="F449" s="1595"/>
      <c r="G449" s="1595"/>
      <c r="H449" s="1596">
        <v>1</v>
      </c>
      <c r="I449" s="1595"/>
      <c r="J449" s="1595"/>
      <c r="K449" s="1599">
        <v>58</v>
      </c>
      <c r="L449" s="1599">
        <v>57.9</v>
      </c>
      <c r="M449" s="1599">
        <v>-57.9</v>
      </c>
      <c r="N449" s="1598"/>
      <c r="O449" s="1598"/>
      <c r="P449" s="1599">
        <v>57.9</v>
      </c>
      <c r="Q449" s="1599">
        <v>-57.9</v>
      </c>
      <c r="R449" s="1598"/>
      <c r="S449" s="1592"/>
    </row>
    <row r="450" spans="2:19" s="1593" customFormat="1" ht="11.25" customHeight="1" outlineLevel="1">
      <c r="B450" s="1594">
        <v>33610</v>
      </c>
      <c r="C450" s="1595" t="s">
        <v>5403</v>
      </c>
      <c r="D450" s="1595" t="s">
        <v>14294</v>
      </c>
      <c r="E450" s="1595"/>
      <c r="F450" s="1595"/>
      <c r="G450" s="1595"/>
      <c r="H450" s="1596">
        <v>1</v>
      </c>
      <c r="I450" s="1595"/>
      <c r="J450" s="1595"/>
      <c r="K450" s="1599">
        <v>58</v>
      </c>
      <c r="L450" s="1599">
        <v>57.9</v>
      </c>
      <c r="M450" s="1599">
        <v>-57.9</v>
      </c>
      <c r="N450" s="1598"/>
      <c r="O450" s="1598"/>
      <c r="P450" s="1599">
        <v>57.9</v>
      </c>
      <c r="Q450" s="1599">
        <v>-57.9</v>
      </c>
      <c r="R450" s="1598"/>
      <c r="S450" s="1592"/>
    </row>
    <row r="451" spans="2:19" s="1593" customFormat="1" ht="11.25" customHeight="1" outlineLevel="1">
      <c r="B451" s="1594">
        <v>33611</v>
      </c>
      <c r="C451" s="1595" t="s">
        <v>5403</v>
      </c>
      <c r="D451" s="1595" t="s">
        <v>14293</v>
      </c>
      <c r="E451" s="1595"/>
      <c r="F451" s="1595"/>
      <c r="G451" s="1595"/>
      <c r="H451" s="1596">
        <v>1</v>
      </c>
      <c r="I451" s="1595"/>
      <c r="J451" s="1595"/>
      <c r="K451" s="1599">
        <v>60</v>
      </c>
      <c r="L451" s="1599">
        <v>59.79</v>
      </c>
      <c r="M451" s="1599">
        <v>-59.79</v>
      </c>
      <c r="N451" s="1598"/>
      <c r="O451" s="1598"/>
      <c r="P451" s="1599">
        <v>59.79</v>
      </c>
      <c r="Q451" s="1599">
        <v>-59.79</v>
      </c>
      <c r="R451" s="1598"/>
      <c r="S451" s="1592"/>
    </row>
    <row r="452" spans="2:19" s="1593" customFormat="1" ht="11.25" customHeight="1" outlineLevel="1">
      <c r="B452" s="1594">
        <v>33612</v>
      </c>
      <c r="C452" s="1595" t="s">
        <v>5403</v>
      </c>
      <c r="D452" s="1595" t="s">
        <v>14292</v>
      </c>
      <c r="E452" s="1595"/>
      <c r="F452" s="1595"/>
      <c r="G452" s="1595"/>
      <c r="H452" s="1596">
        <v>1</v>
      </c>
      <c r="I452" s="1595"/>
      <c r="J452" s="1595"/>
      <c r="K452" s="1599">
        <v>60</v>
      </c>
      <c r="L452" s="1599">
        <v>59.79</v>
      </c>
      <c r="M452" s="1599">
        <v>-59.79</v>
      </c>
      <c r="N452" s="1598"/>
      <c r="O452" s="1598"/>
      <c r="P452" s="1599">
        <v>59.79</v>
      </c>
      <c r="Q452" s="1599">
        <v>-59.79</v>
      </c>
      <c r="R452" s="1598"/>
      <c r="S452" s="1592"/>
    </row>
    <row r="453" spans="2:19" s="1593" customFormat="1" ht="11.25" customHeight="1" outlineLevel="1">
      <c r="B453" s="1594">
        <v>33613</v>
      </c>
      <c r="C453" s="1595" t="s">
        <v>5403</v>
      </c>
      <c r="D453" s="1595" t="s">
        <v>14291</v>
      </c>
      <c r="E453" s="1595"/>
      <c r="F453" s="1595"/>
      <c r="G453" s="1595"/>
      <c r="H453" s="1596">
        <v>1</v>
      </c>
      <c r="I453" s="1595"/>
      <c r="J453" s="1595"/>
      <c r="K453" s="1599">
        <v>60</v>
      </c>
      <c r="L453" s="1599">
        <v>59.79</v>
      </c>
      <c r="M453" s="1599">
        <v>-59.79</v>
      </c>
      <c r="N453" s="1598"/>
      <c r="O453" s="1598"/>
      <c r="P453" s="1599">
        <v>59.79</v>
      </c>
      <c r="Q453" s="1599">
        <v>-59.79</v>
      </c>
      <c r="R453" s="1598"/>
      <c r="S453" s="1592"/>
    </row>
    <row r="454" spans="2:19" s="1593" customFormat="1" ht="11.25" customHeight="1" outlineLevel="1">
      <c r="B454" s="1594">
        <v>33614</v>
      </c>
      <c r="C454" s="1595" t="s">
        <v>5403</v>
      </c>
      <c r="D454" s="1595" t="s">
        <v>14290</v>
      </c>
      <c r="E454" s="1595"/>
      <c r="F454" s="1595"/>
      <c r="G454" s="1595"/>
      <c r="H454" s="1596">
        <v>1</v>
      </c>
      <c r="I454" s="1595"/>
      <c r="J454" s="1595"/>
      <c r="K454" s="1599">
        <v>60</v>
      </c>
      <c r="L454" s="1599">
        <v>59.79</v>
      </c>
      <c r="M454" s="1599">
        <v>-59.79</v>
      </c>
      <c r="N454" s="1598"/>
      <c r="O454" s="1598"/>
      <c r="P454" s="1599">
        <v>59.79</v>
      </c>
      <c r="Q454" s="1599">
        <v>-59.79</v>
      </c>
      <c r="R454" s="1598"/>
      <c r="S454" s="1592"/>
    </row>
    <row r="455" spans="2:19" s="1593" customFormat="1" ht="11.25" customHeight="1" outlineLevel="1">
      <c r="B455" s="1594">
        <v>33615</v>
      </c>
      <c r="C455" s="1595" t="s">
        <v>5403</v>
      </c>
      <c r="D455" s="1595" t="s">
        <v>14289</v>
      </c>
      <c r="E455" s="1595"/>
      <c r="F455" s="1595"/>
      <c r="G455" s="1595"/>
      <c r="H455" s="1596">
        <v>1</v>
      </c>
      <c r="I455" s="1595"/>
      <c r="J455" s="1595"/>
      <c r="K455" s="1599">
        <v>60</v>
      </c>
      <c r="L455" s="1599">
        <v>59.79</v>
      </c>
      <c r="M455" s="1599">
        <v>-59.79</v>
      </c>
      <c r="N455" s="1598"/>
      <c r="O455" s="1598"/>
      <c r="P455" s="1599">
        <v>59.79</v>
      </c>
      <c r="Q455" s="1599">
        <v>-59.79</v>
      </c>
      <c r="R455" s="1598"/>
      <c r="S455" s="1592"/>
    </row>
    <row r="456" spans="2:19" s="1593" customFormat="1" ht="11.25" customHeight="1" outlineLevel="1">
      <c r="B456" s="1594">
        <v>33616</v>
      </c>
      <c r="C456" s="1595" t="s">
        <v>5403</v>
      </c>
      <c r="D456" s="1595" t="s">
        <v>14288</v>
      </c>
      <c r="E456" s="1595"/>
      <c r="F456" s="1595"/>
      <c r="G456" s="1595"/>
      <c r="H456" s="1596">
        <v>1</v>
      </c>
      <c r="I456" s="1595"/>
      <c r="J456" s="1595"/>
      <c r="K456" s="1599">
        <v>60</v>
      </c>
      <c r="L456" s="1599">
        <v>59.79</v>
      </c>
      <c r="M456" s="1599">
        <v>-59.79</v>
      </c>
      <c r="N456" s="1598"/>
      <c r="O456" s="1598"/>
      <c r="P456" s="1599">
        <v>59.79</v>
      </c>
      <c r="Q456" s="1599">
        <v>-59.79</v>
      </c>
      <c r="R456" s="1598"/>
      <c r="S456" s="1592"/>
    </row>
    <row r="457" spans="2:19" s="1593" customFormat="1" ht="11.25" customHeight="1" outlineLevel="1">
      <c r="B457" s="1594">
        <v>33617</v>
      </c>
      <c r="C457" s="1595" t="s">
        <v>5403</v>
      </c>
      <c r="D457" s="1595" t="s">
        <v>14287</v>
      </c>
      <c r="E457" s="1595"/>
      <c r="F457" s="1595"/>
      <c r="G457" s="1595"/>
      <c r="H457" s="1596">
        <v>1</v>
      </c>
      <c r="I457" s="1595"/>
      <c r="J457" s="1595"/>
      <c r="K457" s="1599">
        <v>60</v>
      </c>
      <c r="L457" s="1599">
        <v>59.79</v>
      </c>
      <c r="M457" s="1599">
        <v>-59.79</v>
      </c>
      <c r="N457" s="1598"/>
      <c r="O457" s="1598"/>
      <c r="P457" s="1599">
        <v>59.79</v>
      </c>
      <c r="Q457" s="1599">
        <v>-59.79</v>
      </c>
      <c r="R457" s="1598"/>
      <c r="S457" s="1592"/>
    </row>
    <row r="458" spans="2:19" s="1593" customFormat="1" ht="11.25" customHeight="1" outlineLevel="1">
      <c r="B458" s="1594">
        <v>33618</v>
      </c>
      <c r="C458" s="1595" t="s">
        <v>5403</v>
      </c>
      <c r="D458" s="1595" t="s">
        <v>14286</v>
      </c>
      <c r="E458" s="1595"/>
      <c r="F458" s="1595"/>
      <c r="G458" s="1595"/>
      <c r="H458" s="1596">
        <v>1</v>
      </c>
      <c r="I458" s="1595"/>
      <c r="J458" s="1595"/>
      <c r="K458" s="1599">
        <v>60</v>
      </c>
      <c r="L458" s="1599">
        <v>59.79</v>
      </c>
      <c r="M458" s="1599">
        <v>-59.79</v>
      </c>
      <c r="N458" s="1598"/>
      <c r="O458" s="1598"/>
      <c r="P458" s="1599">
        <v>59.79</v>
      </c>
      <c r="Q458" s="1599">
        <v>-59.79</v>
      </c>
      <c r="R458" s="1598"/>
      <c r="S458" s="1592"/>
    </row>
    <row r="459" spans="2:19" s="1593" customFormat="1" ht="11.25" customHeight="1" outlineLevel="1">
      <c r="B459" s="1594">
        <v>33619</v>
      </c>
      <c r="C459" s="1595" t="s">
        <v>5403</v>
      </c>
      <c r="D459" s="1595" t="s">
        <v>14285</v>
      </c>
      <c r="E459" s="1595"/>
      <c r="F459" s="1595"/>
      <c r="G459" s="1595"/>
      <c r="H459" s="1596">
        <v>1</v>
      </c>
      <c r="I459" s="1595"/>
      <c r="J459" s="1595"/>
      <c r="K459" s="1599">
        <v>60</v>
      </c>
      <c r="L459" s="1599">
        <v>59.79</v>
      </c>
      <c r="M459" s="1599">
        <v>-59.79</v>
      </c>
      <c r="N459" s="1598"/>
      <c r="O459" s="1598"/>
      <c r="P459" s="1599">
        <v>59.79</v>
      </c>
      <c r="Q459" s="1599">
        <v>-59.79</v>
      </c>
      <c r="R459" s="1598"/>
      <c r="S459" s="1592"/>
    </row>
    <row r="460" spans="2:19" s="1593" customFormat="1" ht="11.25" customHeight="1" outlineLevel="1">
      <c r="B460" s="1594">
        <v>33620</v>
      </c>
      <c r="C460" s="1595" t="s">
        <v>5403</v>
      </c>
      <c r="D460" s="1595" t="s">
        <v>14284</v>
      </c>
      <c r="E460" s="1595"/>
      <c r="F460" s="1595"/>
      <c r="G460" s="1595"/>
      <c r="H460" s="1596">
        <v>1</v>
      </c>
      <c r="I460" s="1595"/>
      <c r="J460" s="1595"/>
      <c r="K460" s="1599">
        <v>60</v>
      </c>
      <c r="L460" s="1599">
        <v>59.79</v>
      </c>
      <c r="M460" s="1599">
        <v>-59.79</v>
      </c>
      <c r="N460" s="1598"/>
      <c r="O460" s="1598"/>
      <c r="P460" s="1599">
        <v>59.79</v>
      </c>
      <c r="Q460" s="1599">
        <v>-59.79</v>
      </c>
      <c r="R460" s="1598"/>
      <c r="S460" s="1592"/>
    </row>
    <row r="461" spans="2:19" s="1593" customFormat="1" ht="11.25" customHeight="1" outlineLevel="1">
      <c r="B461" s="1594">
        <v>33621</v>
      </c>
      <c r="C461" s="1595" t="s">
        <v>5403</v>
      </c>
      <c r="D461" s="1595" t="s">
        <v>14283</v>
      </c>
      <c r="E461" s="1595"/>
      <c r="F461" s="1595"/>
      <c r="G461" s="1595"/>
      <c r="H461" s="1596">
        <v>1</v>
      </c>
      <c r="I461" s="1595"/>
      <c r="J461" s="1595"/>
      <c r="K461" s="1599">
        <v>60</v>
      </c>
      <c r="L461" s="1599">
        <v>59.79</v>
      </c>
      <c r="M461" s="1599">
        <v>-59.79</v>
      </c>
      <c r="N461" s="1598"/>
      <c r="O461" s="1598"/>
      <c r="P461" s="1599">
        <v>59.79</v>
      </c>
      <c r="Q461" s="1599">
        <v>-59.79</v>
      </c>
      <c r="R461" s="1598"/>
      <c r="S461" s="1592"/>
    </row>
    <row r="462" spans="2:19" s="1593" customFormat="1" ht="11.25" customHeight="1" outlineLevel="1">
      <c r="B462" s="1594">
        <v>33622</v>
      </c>
      <c r="C462" s="1595" t="s">
        <v>5403</v>
      </c>
      <c r="D462" s="1595" t="s">
        <v>14282</v>
      </c>
      <c r="E462" s="1595"/>
      <c r="F462" s="1595"/>
      <c r="G462" s="1595"/>
      <c r="H462" s="1596">
        <v>1</v>
      </c>
      <c r="I462" s="1595"/>
      <c r="J462" s="1595"/>
      <c r="K462" s="1599">
        <v>60</v>
      </c>
      <c r="L462" s="1599">
        <v>59.79</v>
      </c>
      <c r="M462" s="1599">
        <v>-59.79</v>
      </c>
      <c r="N462" s="1598"/>
      <c r="O462" s="1598"/>
      <c r="P462" s="1599">
        <v>59.79</v>
      </c>
      <c r="Q462" s="1599">
        <v>-59.79</v>
      </c>
      <c r="R462" s="1598"/>
      <c r="S462" s="1592"/>
    </row>
    <row r="463" spans="2:19" s="1593" customFormat="1" ht="11.25" customHeight="1" outlineLevel="1">
      <c r="B463" s="1594">
        <v>33623</v>
      </c>
      <c r="C463" s="1595" t="s">
        <v>5403</v>
      </c>
      <c r="D463" s="1595" t="s">
        <v>14281</v>
      </c>
      <c r="E463" s="1595"/>
      <c r="F463" s="1595"/>
      <c r="G463" s="1595"/>
      <c r="H463" s="1596">
        <v>1</v>
      </c>
      <c r="I463" s="1595"/>
      <c r="J463" s="1595"/>
      <c r="K463" s="1599">
        <v>60</v>
      </c>
      <c r="L463" s="1599">
        <v>59.79</v>
      </c>
      <c r="M463" s="1599">
        <v>-59.79</v>
      </c>
      <c r="N463" s="1598"/>
      <c r="O463" s="1598"/>
      <c r="P463" s="1599">
        <v>59.79</v>
      </c>
      <c r="Q463" s="1599">
        <v>-59.79</v>
      </c>
      <c r="R463" s="1598"/>
      <c r="S463" s="1592"/>
    </row>
    <row r="464" spans="2:19" s="1593" customFormat="1" ht="11.25" customHeight="1" outlineLevel="1">
      <c r="B464" s="1594">
        <v>33624</v>
      </c>
      <c r="C464" s="1595" t="s">
        <v>5403</v>
      </c>
      <c r="D464" s="1595" t="s">
        <v>14280</v>
      </c>
      <c r="E464" s="1595"/>
      <c r="F464" s="1595"/>
      <c r="G464" s="1595"/>
      <c r="H464" s="1596">
        <v>1</v>
      </c>
      <c r="I464" s="1595"/>
      <c r="J464" s="1595"/>
      <c r="K464" s="1599">
        <v>60</v>
      </c>
      <c r="L464" s="1599">
        <v>59.79</v>
      </c>
      <c r="M464" s="1599">
        <v>-59.79</v>
      </c>
      <c r="N464" s="1598"/>
      <c r="O464" s="1598"/>
      <c r="P464" s="1599">
        <v>59.79</v>
      </c>
      <c r="Q464" s="1599">
        <v>-59.79</v>
      </c>
      <c r="R464" s="1598"/>
      <c r="S464" s="1592"/>
    </row>
    <row r="465" spans="2:19" s="1593" customFormat="1" ht="11.25" customHeight="1" outlineLevel="1">
      <c r="B465" s="1594">
        <v>33625</v>
      </c>
      <c r="C465" s="1595" t="s">
        <v>5403</v>
      </c>
      <c r="D465" s="1595" t="s">
        <v>14279</v>
      </c>
      <c r="E465" s="1595"/>
      <c r="F465" s="1595"/>
      <c r="G465" s="1595"/>
      <c r="H465" s="1596">
        <v>1</v>
      </c>
      <c r="I465" s="1595"/>
      <c r="J465" s="1595"/>
      <c r="K465" s="1599">
        <v>60</v>
      </c>
      <c r="L465" s="1599">
        <v>59.79</v>
      </c>
      <c r="M465" s="1599">
        <v>-59.79</v>
      </c>
      <c r="N465" s="1598"/>
      <c r="O465" s="1598"/>
      <c r="P465" s="1599">
        <v>59.79</v>
      </c>
      <c r="Q465" s="1599">
        <v>-59.79</v>
      </c>
      <c r="R465" s="1598"/>
      <c r="S465" s="1592"/>
    </row>
    <row r="466" spans="2:19" s="1593" customFormat="1" ht="11.25" customHeight="1" outlineLevel="1">
      <c r="B466" s="1594">
        <v>33626</v>
      </c>
      <c r="C466" s="1595" t="s">
        <v>5403</v>
      </c>
      <c r="D466" s="1595" t="s">
        <v>14278</v>
      </c>
      <c r="E466" s="1595"/>
      <c r="F466" s="1595"/>
      <c r="G466" s="1595"/>
      <c r="H466" s="1596">
        <v>1</v>
      </c>
      <c r="I466" s="1595"/>
      <c r="J466" s="1595"/>
      <c r="K466" s="1599">
        <v>60</v>
      </c>
      <c r="L466" s="1599">
        <v>59.79</v>
      </c>
      <c r="M466" s="1599">
        <v>-59.79</v>
      </c>
      <c r="N466" s="1598"/>
      <c r="O466" s="1598"/>
      <c r="P466" s="1599">
        <v>59.79</v>
      </c>
      <c r="Q466" s="1599">
        <v>-59.79</v>
      </c>
      <c r="R466" s="1598"/>
      <c r="S466" s="1592"/>
    </row>
    <row r="467" spans="2:19" s="1593" customFormat="1" ht="11.25" customHeight="1" outlineLevel="1">
      <c r="B467" s="1594">
        <v>33627</v>
      </c>
      <c r="C467" s="1595" t="s">
        <v>5403</v>
      </c>
      <c r="D467" s="1595" t="s">
        <v>14277</v>
      </c>
      <c r="E467" s="1595"/>
      <c r="F467" s="1595"/>
      <c r="G467" s="1595"/>
      <c r="H467" s="1596">
        <v>1</v>
      </c>
      <c r="I467" s="1595"/>
      <c r="J467" s="1595"/>
      <c r="K467" s="1599">
        <v>60</v>
      </c>
      <c r="L467" s="1599">
        <v>59.79</v>
      </c>
      <c r="M467" s="1599">
        <v>-59.79</v>
      </c>
      <c r="N467" s="1598"/>
      <c r="O467" s="1598"/>
      <c r="P467" s="1599">
        <v>59.79</v>
      </c>
      <c r="Q467" s="1599">
        <v>-59.79</v>
      </c>
      <c r="R467" s="1598"/>
      <c r="S467" s="1592"/>
    </row>
    <row r="468" spans="2:19" s="1593" customFormat="1" ht="11.25" customHeight="1" outlineLevel="1">
      <c r="B468" s="1594">
        <v>33628</v>
      </c>
      <c r="C468" s="1595" t="s">
        <v>5403</v>
      </c>
      <c r="D468" s="1595" t="s">
        <v>14276</v>
      </c>
      <c r="E468" s="1595"/>
      <c r="F468" s="1595"/>
      <c r="G468" s="1595"/>
      <c r="H468" s="1596">
        <v>1</v>
      </c>
      <c r="I468" s="1595"/>
      <c r="J468" s="1595"/>
      <c r="K468" s="1599">
        <v>60</v>
      </c>
      <c r="L468" s="1599">
        <v>59.79</v>
      </c>
      <c r="M468" s="1599">
        <v>-59.79</v>
      </c>
      <c r="N468" s="1598"/>
      <c r="O468" s="1598"/>
      <c r="P468" s="1599">
        <v>59.79</v>
      </c>
      <c r="Q468" s="1599">
        <v>-59.79</v>
      </c>
      <c r="R468" s="1598"/>
      <c r="S468" s="1592"/>
    </row>
    <row r="469" spans="2:19" s="1593" customFormat="1" ht="11.25" customHeight="1" outlineLevel="1">
      <c r="B469" s="1594">
        <v>33629</v>
      </c>
      <c r="C469" s="1595" t="s">
        <v>5403</v>
      </c>
      <c r="D469" s="1595" t="s">
        <v>14275</v>
      </c>
      <c r="E469" s="1595"/>
      <c r="F469" s="1595"/>
      <c r="G469" s="1595"/>
      <c r="H469" s="1596">
        <v>1</v>
      </c>
      <c r="I469" s="1595"/>
      <c r="J469" s="1595"/>
      <c r="K469" s="1599">
        <v>60</v>
      </c>
      <c r="L469" s="1599">
        <v>59.79</v>
      </c>
      <c r="M469" s="1599">
        <v>-59.79</v>
      </c>
      <c r="N469" s="1598"/>
      <c r="O469" s="1598"/>
      <c r="P469" s="1599">
        <v>59.79</v>
      </c>
      <c r="Q469" s="1599">
        <v>-59.79</v>
      </c>
      <c r="R469" s="1598"/>
      <c r="S469" s="1592"/>
    </row>
    <row r="470" spans="2:19" s="1593" customFormat="1" ht="11.25" customHeight="1" outlineLevel="1">
      <c r="B470" s="1594">
        <v>33630</v>
      </c>
      <c r="C470" s="1595" t="s">
        <v>5403</v>
      </c>
      <c r="D470" s="1595" t="s">
        <v>14274</v>
      </c>
      <c r="E470" s="1595"/>
      <c r="F470" s="1595"/>
      <c r="G470" s="1595"/>
      <c r="H470" s="1596">
        <v>1</v>
      </c>
      <c r="I470" s="1595"/>
      <c r="J470" s="1595"/>
      <c r="K470" s="1599">
        <v>60</v>
      </c>
      <c r="L470" s="1599">
        <v>59.79</v>
      </c>
      <c r="M470" s="1599">
        <v>-59.79</v>
      </c>
      <c r="N470" s="1598"/>
      <c r="O470" s="1598"/>
      <c r="P470" s="1599">
        <v>59.79</v>
      </c>
      <c r="Q470" s="1599">
        <v>-59.79</v>
      </c>
      <c r="R470" s="1598"/>
      <c r="S470" s="1592"/>
    </row>
    <row r="471" spans="2:19" s="1593" customFormat="1" ht="11.25" customHeight="1" outlineLevel="1">
      <c r="B471" s="1594">
        <v>33631</v>
      </c>
      <c r="C471" s="1595" t="s">
        <v>5403</v>
      </c>
      <c r="D471" s="1595" t="s">
        <v>14273</v>
      </c>
      <c r="E471" s="1595"/>
      <c r="F471" s="1595"/>
      <c r="G471" s="1595"/>
      <c r="H471" s="1596">
        <v>1</v>
      </c>
      <c r="I471" s="1595"/>
      <c r="J471" s="1595"/>
      <c r="K471" s="1599">
        <v>60</v>
      </c>
      <c r="L471" s="1599">
        <v>59.79</v>
      </c>
      <c r="M471" s="1599">
        <v>-59.79</v>
      </c>
      <c r="N471" s="1598"/>
      <c r="O471" s="1598"/>
      <c r="P471" s="1599">
        <v>59.79</v>
      </c>
      <c r="Q471" s="1599">
        <v>-59.79</v>
      </c>
      <c r="R471" s="1598"/>
      <c r="S471" s="1592"/>
    </row>
    <row r="472" spans="2:19" s="1593" customFormat="1" ht="11.25" customHeight="1" outlineLevel="1">
      <c r="B472" s="1594">
        <v>33632</v>
      </c>
      <c r="C472" s="1595" t="s">
        <v>5403</v>
      </c>
      <c r="D472" s="1595" t="s">
        <v>14272</v>
      </c>
      <c r="E472" s="1595"/>
      <c r="F472" s="1595"/>
      <c r="G472" s="1595"/>
      <c r="H472" s="1596">
        <v>1</v>
      </c>
      <c r="I472" s="1595"/>
      <c r="J472" s="1595"/>
      <c r="K472" s="1599">
        <v>60</v>
      </c>
      <c r="L472" s="1599">
        <v>59.79</v>
      </c>
      <c r="M472" s="1599">
        <v>-59.79</v>
      </c>
      <c r="N472" s="1598"/>
      <c r="O472" s="1598"/>
      <c r="P472" s="1599">
        <v>59.79</v>
      </c>
      <c r="Q472" s="1599">
        <v>-59.79</v>
      </c>
      <c r="R472" s="1598"/>
      <c r="S472" s="1592"/>
    </row>
    <row r="473" spans="2:19" s="1593" customFormat="1" ht="11.25" customHeight="1" outlineLevel="1">
      <c r="B473" s="1594">
        <v>33633</v>
      </c>
      <c r="C473" s="1595" t="s">
        <v>5403</v>
      </c>
      <c r="D473" s="1595" t="s">
        <v>14271</v>
      </c>
      <c r="E473" s="1595"/>
      <c r="F473" s="1595"/>
      <c r="G473" s="1595"/>
      <c r="H473" s="1596">
        <v>1</v>
      </c>
      <c r="I473" s="1595"/>
      <c r="J473" s="1595"/>
      <c r="K473" s="1599">
        <v>60</v>
      </c>
      <c r="L473" s="1599">
        <v>59.79</v>
      </c>
      <c r="M473" s="1599">
        <v>-59.79</v>
      </c>
      <c r="N473" s="1598"/>
      <c r="O473" s="1598"/>
      <c r="P473" s="1599">
        <v>59.79</v>
      </c>
      <c r="Q473" s="1599">
        <v>-59.79</v>
      </c>
      <c r="R473" s="1598"/>
      <c r="S473" s="1592"/>
    </row>
    <row r="474" spans="2:19" s="1593" customFormat="1" ht="11.25" customHeight="1" outlineLevel="1">
      <c r="B474" s="1594">
        <v>33634</v>
      </c>
      <c r="C474" s="1595" t="s">
        <v>5403</v>
      </c>
      <c r="D474" s="1595" t="s">
        <v>14270</v>
      </c>
      <c r="E474" s="1595"/>
      <c r="F474" s="1595"/>
      <c r="G474" s="1595"/>
      <c r="H474" s="1596">
        <v>1</v>
      </c>
      <c r="I474" s="1595"/>
      <c r="J474" s="1595"/>
      <c r="K474" s="1599">
        <v>60</v>
      </c>
      <c r="L474" s="1599">
        <v>59.79</v>
      </c>
      <c r="M474" s="1599">
        <v>-59.79</v>
      </c>
      <c r="N474" s="1598"/>
      <c r="O474" s="1598"/>
      <c r="P474" s="1599">
        <v>59.79</v>
      </c>
      <c r="Q474" s="1599">
        <v>-59.79</v>
      </c>
      <c r="R474" s="1598"/>
      <c r="S474" s="1592"/>
    </row>
    <row r="475" spans="2:19" s="1593" customFormat="1" ht="11.25" customHeight="1" outlineLevel="1">
      <c r="B475" s="1594">
        <v>33635</v>
      </c>
      <c r="C475" s="1595" t="s">
        <v>5403</v>
      </c>
      <c r="D475" s="1595" t="s">
        <v>14269</v>
      </c>
      <c r="E475" s="1595"/>
      <c r="F475" s="1595"/>
      <c r="G475" s="1595"/>
      <c r="H475" s="1596">
        <v>1</v>
      </c>
      <c r="I475" s="1595"/>
      <c r="J475" s="1595"/>
      <c r="K475" s="1599">
        <v>60</v>
      </c>
      <c r="L475" s="1599">
        <v>59.79</v>
      </c>
      <c r="M475" s="1599">
        <v>-59.79</v>
      </c>
      <c r="N475" s="1598"/>
      <c r="O475" s="1598"/>
      <c r="P475" s="1599">
        <v>59.79</v>
      </c>
      <c r="Q475" s="1599">
        <v>-59.79</v>
      </c>
      <c r="R475" s="1598"/>
      <c r="S475" s="1592"/>
    </row>
    <row r="476" spans="2:19" s="1593" customFormat="1" ht="11.25" customHeight="1" outlineLevel="1">
      <c r="B476" s="1594">
        <v>33636</v>
      </c>
      <c r="C476" s="1595" t="s">
        <v>5403</v>
      </c>
      <c r="D476" s="1595" t="s">
        <v>14268</v>
      </c>
      <c r="E476" s="1595"/>
      <c r="F476" s="1595"/>
      <c r="G476" s="1595"/>
      <c r="H476" s="1596">
        <v>1</v>
      </c>
      <c r="I476" s="1595"/>
      <c r="J476" s="1595"/>
      <c r="K476" s="1599">
        <v>60</v>
      </c>
      <c r="L476" s="1599">
        <v>59.79</v>
      </c>
      <c r="M476" s="1599">
        <v>-59.79</v>
      </c>
      <c r="N476" s="1598"/>
      <c r="O476" s="1598"/>
      <c r="P476" s="1599">
        <v>59.79</v>
      </c>
      <c r="Q476" s="1599">
        <v>-59.79</v>
      </c>
      <c r="R476" s="1598"/>
      <c r="S476" s="1592"/>
    </row>
    <row r="477" spans="2:19" s="1593" customFormat="1" ht="11.25" customHeight="1" outlineLevel="1">
      <c r="B477" s="1594">
        <v>33637</v>
      </c>
      <c r="C477" s="1595" t="s">
        <v>5403</v>
      </c>
      <c r="D477" s="1595" t="s">
        <v>14267</v>
      </c>
      <c r="E477" s="1595"/>
      <c r="F477" s="1595"/>
      <c r="G477" s="1595"/>
      <c r="H477" s="1596">
        <v>1</v>
      </c>
      <c r="I477" s="1595"/>
      <c r="J477" s="1595"/>
      <c r="K477" s="1599">
        <v>60</v>
      </c>
      <c r="L477" s="1599">
        <v>59.79</v>
      </c>
      <c r="M477" s="1599">
        <v>-59.79</v>
      </c>
      <c r="N477" s="1598"/>
      <c r="O477" s="1598"/>
      <c r="P477" s="1599">
        <v>59.79</v>
      </c>
      <c r="Q477" s="1599">
        <v>-59.79</v>
      </c>
      <c r="R477" s="1598"/>
      <c r="S477" s="1592"/>
    </row>
    <row r="478" spans="2:19" s="1593" customFormat="1" ht="11.25" customHeight="1" outlineLevel="1">
      <c r="B478" s="1594">
        <v>33638</v>
      </c>
      <c r="C478" s="1595" t="s">
        <v>5403</v>
      </c>
      <c r="D478" s="1595" t="s">
        <v>14266</v>
      </c>
      <c r="E478" s="1595"/>
      <c r="F478" s="1595"/>
      <c r="G478" s="1595"/>
      <c r="H478" s="1596">
        <v>1</v>
      </c>
      <c r="I478" s="1595"/>
      <c r="J478" s="1595"/>
      <c r="K478" s="1599">
        <v>60</v>
      </c>
      <c r="L478" s="1599">
        <v>59.79</v>
      </c>
      <c r="M478" s="1599">
        <v>-59.79</v>
      </c>
      <c r="N478" s="1598"/>
      <c r="O478" s="1598"/>
      <c r="P478" s="1599">
        <v>59.79</v>
      </c>
      <c r="Q478" s="1599">
        <v>-59.79</v>
      </c>
      <c r="R478" s="1598"/>
      <c r="S478" s="1592"/>
    </row>
    <row r="479" spans="2:19" s="1593" customFormat="1" ht="11.25" customHeight="1" outlineLevel="1">
      <c r="B479" s="1594">
        <v>33665</v>
      </c>
      <c r="C479" s="1595" t="s">
        <v>5403</v>
      </c>
      <c r="D479" s="1595" t="s">
        <v>14265</v>
      </c>
      <c r="E479" s="1595"/>
      <c r="F479" s="1595"/>
      <c r="G479" s="1595"/>
      <c r="H479" s="1596">
        <v>1</v>
      </c>
      <c r="I479" s="1595"/>
      <c r="J479" s="1595"/>
      <c r="K479" s="1597">
        <v>5787</v>
      </c>
      <c r="L479" s="1597">
        <v>5786.5</v>
      </c>
      <c r="M479" s="1597">
        <v>-5786.5</v>
      </c>
      <c r="N479" s="1598"/>
      <c r="O479" s="1598"/>
      <c r="P479" s="1597">
        <v>5786.5</v>
      </c>
      <c r="Q479" s="1597">
        <v>-5786.5</v>
      </c>
      <c r="R479" s="1598"/>
      <c r="S479" s="1592"/>
    </row>
    <row r="480" spans="2:19" s="1593" customFormat="1" ht="11.25" customHeight="1" outlineLevel="1">
      <c r="B480" s="1594">
        <v>33667</v>
      </c>
      <c r="C480" s="1595" t="s">
        <v>5403</v>
      </c>
      <c r="D480" s="1595" t="s">
        <v>14264</v>
      </c>
      <c r="E480" s="1595"/>
      <c r="F480" s="1595"/>
      <c r="G480" s="1595"/>
      <c r="H480" s="1596">
        <v>1</v>
      </c>
      <c r="I480" s="1595"/>
      <c r="J480" s="1595"/>
      <c r="K480" s="1599">
        <v>82</v>
      </c>
      <c r="L480" s="1599">
        <v>81.88</v>
      </c>
      <c r="M480" s="1599">
        <v>-81.88</v>
      </c>
      <c r="N480" s="1598"/>
      <c r="O480" s="1598"/>
      <c r="P480" s="1599">
        <v>81.88</v>
      </c>
      <c r="Q480" s="1599">
        <v>-81.88</v>
      </c>
      <c r="R480" s="1598"/>
      <c r="S480" s="1592"/>
    </row>
    <row r="481" spans="2:19" s="1593" customFormat="1" ht="11.25" customHeight="1" outlineLevel="1">
      <c r="B481" s="1594">
        <v>33668</v>
      </c>
      <c r="C481" s="1595" t="s">
        <v>5403</v>
      </c>
      <c r="D481" s="1595" t="s">
        <v>14263</v>
      </c>
      <c r="E481" s="1595"/>
      <c r="F481" s="1595"/>
      <c r="G481" s="1595"/>
      <c r="H481" s="1596">
        <v>1</v>
      </c>
      <c r="I481" s="1595"/>
      <c r="J481" s="1595"/>
      <c r="K481" s="1599">
        <v>82</v>
      </c>
      <c r="L481" s="1599">
        <v>81.88</v>
      </c>
      <c r="M481" s="1599">
        <v>-81.88</v>
      </c>
      <c r="N481" s="1598"/>
      <c r="O481" s="1598"/>
      <c r="P481" s="1599">
        <v>81.88</v>
      </c>
      <c r="Q481" s="1599">
        <v>-81.88</v>
      </c>
      <c r="R481" s="1598"/>
      <c r="S481" s="1592"/>
    </row>
    <row r="482" spans="2:19" s="1593" customFormat="1" ht="11.25" customHeight="1" outlineLevel="1">
      <c r="B482" s="1594">
        <v>33669</v>
      </c>
      <c r="C482" s="1595" t="s">
        <v>5403</v>
      </c>
      <c r="D482" s="1595" t="s">
        <v>14262</v>
      </c>
      <c r="E482" s="1595"/>
      <c r="F482" s="1595"/>
      <c r="G482" s="1595"/>
      <c r="H482" s="1596">
        <v>1</v>
      </c>
      <c r="I482" s="1595"/>
      <c r="J482" s="1595"/>
      <c r="K482" s="1599">
        <v>82</v>
      </c>
      <c r="L482" s="1599">
        <v>81.88</v>
      </c>
      <c r="M482" s="1599">
        <v>-81.88</v>
      </c>
      <c r="N482" s="1598"/>
      <c r="O482" s="1598"/>
      <c r="P482" s="1599">
        <v>81.88</v>
      </c>
      <c r="Q482" s="1599">
        <v>-81.88</v>
      </c>
      <c r="R482" s="1598"/>
      <c r="S482" s="1592"/>
    </row>
    <row r="483" spans="2:19" s="1593" customFormat="1" ht="11.25" customHeight="1" outlineLevel="1">
      <c r="B483" s="1594">
        <v>33670</v>
      </c>
      <c r="C483" s="1595" t="s">
        <v>5403</v>
      </c>
      <c r="D483" s="1595" t="s">
        <v>14261</v>
      </c>
      <c r="E483" s="1595"/>
      <c r="F483" s="1595"/>
      <c r="G483" s="1595"/>
      <c r="H483" s="1596">
        <v>1</v>
      </c>
      <c r="I483" s="1595"/>
      <c r="J483" s="1595"/>
      <c r="K483" s="1599">
        <v>82</v>
      </c>
      <c r="L483" s="1599">
        <v>81.88</v>
      </c>
      <c r="M483" s="1599">
        <v>-81.88</v>
      </c>
      <c r="N483" s="1598"/>
      <c r="O483" s="1598"/>
      <c r="P483" s="1599">
        <v>81.88</v>
      </c>
      <c r="Q483" s="1599">
        <v>-81.88</v>
      </c>
      <c r="R483" s="1598"/>
      <c r="S483" s="1592"/>
    </row>
    <row r="484" spans="2:19" s="1593" customFormat="1" ht="11.25" customHeight="1" outlineLevel="1">
      <c r="B484" s="1594">
        <v>33671</v>
      </c>
      <c r="C484" s="1595" t="s">
        <v>5403</v>
      </c>
      <c r="D484" s="1595" t="s">
        <v>14260</v>
      </c>
      <c r="E484" s="1595"/>
      <c r="F484" s="1595"/>
      <c r="G484" s="1595"/>
      <c r="H484" s="1596">
        <v>1</v>
      </c>
      <c r="I484" s="1595"/>
      <c r="J484" s="1595"/>
      <c r="K484" s="1599">
        <v>82</v>
      </c>
      <c r="L484" s="1599">
        <v>81.88</v>
      </c>
      <c r="M484" s="1599">
        <v>-81.88</v>
      </c>
      <c r="N484" s="1598"/>
      <c r="O484" s="1598"/>
      <c r="P484" s="1599">
        <v>81.88</v>
      </c>
      <c r="Q484" s="1599">
        <v>-81.88</v>
      </c>
      <c r="R484" s="1598"/>
      <c r="S484" s="1592"/>
    </row>
    <row r="485" spans="2:19" s="1593" customFormat="1" ht="11.25" customHeight="1" outlineLevel="1">
      <c r="B485" s="1594">
        <v>33672</v>
      </c>
      <c r="C485" s="1595" t="s">
        <v>5403</v>
      </c>
      <c r="D485" s="1595" t="s">
        <v>14259</v>
      </c>
      <c r="E485" s="1595"/>
      <c r="F485" s="1595"/>
      <c r="G485" s="1595"/>
      <c r="H485" s="1596">
        <v>1</v>
      </c>
      <c r="I485" s="1595"/>
      <c r="J485" s="1595"/>
      <c r="K485" s="1599">
        <v>82</v>
      </c>
      <c r="L485" s="1599">
        <v>81.88</v>
      </c>
      <c r="M485" s="1599">
        <v>-81.88</v>
      </c>
      <c r="N485" s="1598"/>
      <c r="O485" s="1598"/>
      <c r="P485" s="1599">
        <v>81.88</v>
      </c>
      <c r="Q485" s="1599">
        <v>-81.88</v>
      </c>
      <c r="R485" s="1598"/>
      <c r="S485" s="1592"/>
    </row>
    <row r="486" spans="2:19" s="1593" customFormat="1" ht="11.25" customHeight="1" outlineLevel="1">
      <c r="B486" s="1594">
        <v>33673</v>
      </c>
      <c r="C486" s="1595" t="s">
        <v>5403</v>
      </c>
      <c r="D486" s="1595" t="s">
        <v>14258</v>
      </c>
      <c r="E486" s="1595"/>
      <c r="F486" s="1595"/>
      <c r="G486" s="1595"/>
      <c r="H486" s="1596">
        <v>1</v>
      </c>
      <c r="I486" s="1595"/>
      <c r="J486" s="1595"/>
      <c r="K486" s="1599">
        <v>82</v>
      </c>
      <c r="L486" s="1599">
        <v>81.88</v>
      </c>
      <c r="M486" s="1599">
        <v>-81.88</v>
      </c>
      <c r="N486" s="1598"/>
      <c r="O486" s="1598"/>
      <c r="P486" s="1599">
        <v>81.88</v>
      </c>
      <c r="Q486" s="1599">
        <v>-81.88</v>
      </c>
      <c r="R486" s="1598"/>
      <c r="S486" s="1592"/>
    </row>
    <row r="487" spans="2:19" s="1593" customFormat="1" ht="11.25" customHeight="1" outlineLevel="1">
      <c r="B487" s="1594">
        <v>33674</v>
      </c>
      <c r="C487" s="1595" t="s">
        <v>5403</v>
      </c>
      <c r="D487" s="1595" t="s">
        <v>14257</v>
      </c>
      <c r="E487" s="1595"/>
      <c r="F487" s="1595"/>
      <c r="G487" s="1595"/>
      <c r="H487" s="1596">
        <v>1</v>
      </c>
      <c r="I487" s="1595"/>
      <c r="J487" s="1595"/>
      <c r="K487" s="1599">
        <v>82</v>
      </c>
      <c r="L487" s="1599">
        <v>81.98</v>
      </c>
      <c r="M487" s="1599">
        <v>-81.98</v>
      </c>
      <c r="N487" s="1598"/>
      <c r="O487" s="1598"/>
      <c r="P487" s="1599">
        <v>81.98</v>
      </c>
      <c r="Q487" s="1599">
        <v>-81.98</v>
      </c>
      <c r="R487" s="1598"/>
      <c r="S487" s="1592"/>
    </row>
    <row r="488" spans="2:19" s="1593" customFormat="1" ht="11.25" customHeight="1" outlineLevel="1">
      <c r="B488" s="1594">
        <v>33675</v>
      </c>
      <c r="C488" s="1595" t="s">
        <v>5403</v>
      </c>
      <c r="D488" s="1595" t="s">
        <v>14256</v>
      </c>
      <c r="E488" s="1595"/>
      <c r="F488" s="1595"/>
      <c r="G488" s="1595"/>
      <c r="H488" s="1596">
        <v>1</v>
      </c>
      <c r="I488" s="1595"/>
      <c r="J488" s="1595"/>
      <c r="K488" s="1599">
        <v>82</v>
      </c>
      <c r="L488" s="1599">
        <v>81.98</v>
      </c>
      <c r="M488" s="1599">
        <v>-81.98</v>
      </c>
      <c r="N488" s="1598"/>
      <c r="O488" s="1598"/>
      <c r="P488" s="1599">
        <v>81.98</v>
      </c>
      <c r="Q488" s="1599">
        <v>-81.98</v>
      </c>
      <c r="R488" s="1598"/>
      <c r="S488" s="1592"/>
    </row>
    <row r="489" spans="2:19" s="1593" customFormat="1" ht="11.25" customHeight="1" outlineLevel="1">
      <c r="B489" s="1594">
        <v>33676</v>
      </c>
      <c r="C489" s="1595" t="s">
        <v>5403</v>
      </c>
      <c r="D489" s="1595" t="s">
        <v>14255</v>
      </c>
      <c r="E489" s="1595"/>
      <c r="F489" s="1595"/>
      <c r="G489" s="1595"/>
      <c r="H489" s="1596">
        <v>1</v>
      </c>
      <c r="I489" s="1595"/>
      <c r="J489" s="1595"/>
      <c r="K489" s="1599">
        <v>82</v>
      </c>
      <c r="L489" s="1599">
        <v>81.98</v>
      </c>
      <c r="M489" s="1599">
        <v>-81.98</v>
      </c>
      <c r="N489" s="1598"/>
      <c r="O489" s="1598"/>
      <c r="P489" s="1599">
        <v>81.98</v>
      </c>
      <c r="Q489" s="1599">
        <v>-81.98</v>
      </c>
      <c r="R489" s="1598"/>
      <c r="S489" s="1592"/>
    </row>
    <row r="490" spans="2:19" s="1593" customFormat="1" ht="11.25" customHeight="1" outlineLevel="1">
      <c r="B490" s="1594">
        <v>33677</v>
      </c>
      <c r="C490" s="1595" t="s">
        <v>5403</v>
      </c>
      <c r="D490" s="1595" t="s">
        <v>14254</v>
      </c>
      <c r="E490" s="1595"/>
      <c r="F490" s="1595"/>
      <c r="G490" s="1595"/>
      <c r="H490" s="1596">
        <v>1</v>
      </c>
      <c r="I490" s="1595"/>
      <c r="J490" s="1595"/>
      <c r="K490" s="1599">
        <v>82</v>
      </c>
      <c r="L490" s="1599">
        <v>81.98</v>
      </c>
      <c r="M490" s="1599">
        <v>-81.98</v>
      </c>
      <c r="N490" s="1598"/>
      <c r="O490" s="1598"/>
      <c r="P490" s="1599">
        <v>81.98</v>
      </c>
      <c r="Q490" s="1599">
        <v>-81.98</v>
      </c>
      <c r="R490" s="1598"/>
      <c r="S490" s="1592"/>
    </row>
    <row r="491" spans="2:19" s="1593" customFormat="1" ht="11.25" customHeight="1" outlineLevel="1">
      <c r="B491" s="1594">
        <v>33678</v>
      </c>
      <c r="C491" s="1595" t="s">
        <v>5403</v>
      </c>
      <c r="D491" s="1595" t="s">
        <v>14253</v>
      </c>
      <c r="E491" s="1595"/>
      <c r="F491" s="1595"/>
      <c r="G491" s="1595"/>
      <c r="H491" s="1596">
        <v>1</v>
      </c>
      <c r="I491" s="1595"/>
      <c r="J491" s="1595"/>
      <c r="K491" s="1599">
        <v>82</v>
      </c>
      <c r="L491" s="1599">
        <v>81.98</v>
      </c>
      <c r="M491" s="1599">
        <v>-81.98</v>
      </c>
      <c r="N491" s="1598"/>
      <c r="O491" s="1598"/>
      <c r="P491" s="1599">
        <v>81.98</v>
      </c>
      <c r="Q491" s="1599">
        <v>-81.98</v>
      </c>
      <c r="R491" s="1598"/>
      <c r="S491" s="1592"/>
    </row>
    <row r="492" spans="2:19" s="1593" customFormat="1" ht="11.25" customHeight="1" outlineLevel="1">
      <c r="B492" s="1594">
        <v>33679</v>
      </c>
      <c r="C492" s="1595" t="s">
        <v>5403</v>
      </c>
      <c r="D492" s="1595" t="s">
        <v>14252</v>
      </c>
      <c r="E492" s="1595"/>
      <c r="F492" s="1595"/>
      <c r="G492" s="1595"/>
      <c r="H492" s="1596">
        <v>1</v>
      </c>
      <c r="I492" s="1595"/>
      <c r="J492" s="1595"/>
      <c r="K492" s="1599">
        <v>82</v>
      </c>
      <c r="L492" s="1599">
        <v>81.98</v>
      </c>
      <c r="M492" s="1599">
        <v>-81.98</v>
      </c>
      <c r="N492" s="1598"/>
      <c r="O492" s="1598"/>
      <c r="P492" s="1599">
        <v>81.98</v>
      </c>
      <c r="Q492" s="1599">
        <v>-81.98</v>
      </c>
      <c r="R492" s="1598"/>
      <c r="S492" s="1592"/>
    </row>
    <row r="493" spans="2:19" s="1593" customFormat="1" ht="11.25" customHeight="1" outlineLevel="1">
      <c r="B493" s="1594">
        <v>33680</v>
      </c>
      <c r="C493" s="1595" t="s">
        <v>5403</v>
      </c>
      <c r="D493" s="1595" t="s">
        <v>14251</v>
      </c>
      <c r="E493" s="1595"/>
      <c r="F493" s="1595"/>
      <c r="G493" s="1595"/>
      <c r="H493" s="1596">
        <v>1</v>
      </c>
      <c r="I493" s="1595"/>
      <c r="J493" s="1595"/>
      <c r="K493" s="1599">
        <v>82</v>
      </c>
      <c r="L493" s="1599">
        <v>81.98</v>
      </c>
      <c r="M493" s="1599">
        <v>-81.98</v>
      </c>
      <c r="N493" s="1598"/>
      <c r="O493" s="1598"/>
      <c r="P493" s="1599">
        <v>81.98</v>
      </c>
      <c r="Q493" s="1599">
        <v>-81.98</v>
      </c>
      <c r="R493" s="1598"/>
      <c r="S493" s="1592"/>
    </row>
    <row r="494" spans="2:19" s="1593" customFormat="1" ht="11.25" customHeight="1" outlineLevel="1">
      <c r="B494" s="1594">
        <v>33681</v>
      </c>
      <c r="C494" s="1595" t="s">
        <v>5403</v>
      </c>
      <c r="D494" s="1595" t="s">
        <v>14250</v>
      </c>
      <c r="E494" s="1595"/>
      <c r="F494" s="1595"/>
      <c r="G494" s="1595"/>
      <c r="H494" s="1596">
        <v>1</v>
      </c>
      <c r="I494" s="1595"/>
      <c r="J494" s="1595"/>
      <c r="K494" s="1599">
        <v>82</v>
      </c>
      <c r="L494" s="1599">
        <v>81.98</v>
      </c>
      <c r="M494" s="1599">
        <v>-81.98</v>
      </c>
      <c r="N494" s="1598"/>
      <c r="O494" s="1598"/>
      <c r="P494" s="1599">
        <v>81.98</v>
      </c>
      <c r="Q494" s="1599">
        <v>-81.98</v>
      </c>
      <c r="R494" s="1598"/>
      <c r="S494" s="1592"/>
    </row>
    <row r="495" spans="2:19" s="1593" customFormat="1" ht="11.25" customHeight="1" outlineLevel="1">
      <c r="B495" s="1594">
        <v>33682</v>
      </c>
      <c r="C495" s="1595" t="s">
        <v>5403</v>
      </c>
      <c r="D495" s="1595" t="s">
        <v>14249</v>
      </c>
      <c r="E495" s="1595"/>
      <c r="F495" s="1595"/>
      <c r="G495" s="1595"/>
      <c r="H495" s="1596">
        <v>1</v>
      </c>
      <c r="I495" s="1595"/>
      <c r="J495" s="1595"/>
      <c r="K495" s="1599">
        <v>82</v>
      </c>
      <c r="L495" s="1599">
        <v>81.98</v>
      </c>
      <c r="M495" s="1599">
        <v>-81.98</v>
      </c>
      <c r="N495" s="1598"/>
      <c r="O495" s="1598"/>
      <c r="P495" s="1599">
        <v>81.98</v>
      </c>
      <c r="Q495" s="1599">
        <v>-81.98</v>
      </c>
      <c r="R495" s="1598"/>
      <c r="S495" s="1592"/>
    </row>
    <row r="496" spans="2:19" s="1593" customFormat="1" ht="11.25" customHeight="1" outlineLevel="1">
      <c r="B496" s="1594">
        <v>33683</v>
      </c>
      <c r="C496" s="1595" t="s">
        <v>5403</v>
      </c>
      <c r="D496" s="1595" t="s">
        <v>14248</v>
      </c>
      <c r="E496" s="1595"/>
      <c r="F496" s="1595"/>
      <c r="G496" s="1595"/>
      <c r="H496" s="1596">
        <v>1</v>
      </c>
      <c r="I496" s="1595"/>
      <c r="J496" s="1595"/>
      <c r="K496" s="1599">
        <v>82</v>
      </c>
      <c r="L496" s="1599">
        <v>81.98</v>
      </c>
      <c r="M496" s="1599">
        <v>-81.98</v>
      </c>
      <c r="N496" s="1598"/>
      <c r="O496" s="1598"/>
      <c r="P496" s="1599">
        <v>81.98</v>
      </c>
      <c r="Q496" s="1599">
        <v>-81.98</v>
      </c>
      <c r="R496" s="1598"/>
      <c r="S496" s="1592"/>
    </row>
    <row r="497" spans="2:19" s="1593" customFormat="1" ht="11.25" customHeight="1" outlineLevel="1">
      <c r="B497" s="1594">
        <v>33684</v>
      </c>
      <c r="C497" s="1595" t="s">
        <v>5403</v>
      </c>
      <c r="D497" s="1595" t="s">
        <v>14247</v>
      </c>
      <c r="E497" s="1595"/>
      <c r="F497" s="1595"/>
      <c r="G497" s="1595"/>
      <c r="H497" s="1596">
        <v>1</v>
      </c>
      <c r="I497" s="1595"/>
      <c r="J497" s="1595"/>
      <c r="K497" s="1599">
        <v>82</v>
      </c>
      <c r="L497" s="1599">
        <v>81.98</v>
      </c>
      <c r="M497" s="1599">
        <v>-81.98</v>
      </c>
      <c r="N497" s="1598"/>
      <c r="O497" s="1598"/>
      <c r="P497" s="1599">
        <v>81.98</v>
      </c>
      <c r="Q497" s="1599">
        <v>-81.98</v>
      </c>
      <c r="R497" s="1598"/>
      <c r="S497" s="1592"/>
    </row>
    <row r="498" spans="2:19" s="1593" customFormat="1" ht="11.25" customHeight="1" outlineLevel="1">
      <c r="B498" s="1594">
        <v>33685</v>
      </c>
      <c r="C498" s="1595" t="s">
        <v>5403</v>
      </c>
      <c r="D498" s="1595" t="s">
        <v>14246</v>
      </c>
      <c r="E498" s="1595"/>
      <c r="F498" s="1595"/>
      <c r="G498" s="1595"/>
      <c r="H498" s="1596">
        <v>1</v>
      </c>
      <c r="I498" s="1595"/>
      <c r="J498" s="1595"/>
      <c r="K498" s="1599">
        <v>82</v>
      </c>
      <c r="L498" s="1599">
        <v>81.98</v>
      </c>
      <c r="M498" s="1599">
        <v>-81.98</v>
      </c>
      <c r="N498" s="1598"/>
      <c r="O498" s="1598"/>
      <c r="P498" s="1599">
        <v>81.98</v>
      </c>
      <c r="Q498" s="1599">
        <v>-81.98</v>
      </c>
      <c r="R498" s="1598"/>
      <c r="S498" s="1592"/>
    </row>
    <row r="499" spans="2:19" s="1593" customFormat="1" ht="11.25" customHeight="1" outlineLevel="1">
      <c r="B499" s="1594">
        <v>33686</v>
      </c>
      <c r="C499" s="1595" t="s">
        <v>5403</v>
      </c>
      <c r="D499" s="1595" t="s">
        <v>14245</v>
      </c>
      <c r="E499" s="1595"/>
      <c r="F499" s="1595"/>
      <c r="G499" s="1595"/>
      <c r="H499" s="1596">
        <v>1</v>
      </c>
      <c r="I499" s="1595"/>
      <c r="J499" s="1595"/>
      <c r="K499" s="1599">
        <v>82</v>
      </c>
      <c r="L499" s="1599">
        <v>81.98</v>
      </c>
      <c r="M499" s="1599">
        <v>-81.98</v>
      </c>
      <c r="N499" s="1598"/>
      <c r="O499" s="1598"/>
      <c r="P499" s="1599">
        <v>81.98</v>
      </c>
      <c r="Q499" s="1599">
        <v>-81.98</v>
      </c>
      <c r="R499" s="1598"/>
      <c r="S499" s="1592"/>
    </row>
    <row r="500" spans="2:19" s="1593" customFormat="1" ht="11.25" customHeight="1" outlineLevel="1">
      <c r="B500" s="1594">
        <v>33687</v>
      </c>
      <c r="C500" s="1595" t="s">
        <v>5403</v>
      </c>
      <c r="D500" s="1595" t="s">
        <v>14244</v>
      </c>
      <c r="E500" s="1595"/>
      <c r="F500" s="1595"/>
      <c r="G500" s="1595"/>
      <c r="H500" s="1596">
        <v>1</v>
      </c>
      <c r="I500" s="1595"/>
      <c r="J500" s="1595"/>
      <c r="K500" s="1599">
        <v>82</v>
      </c>
      <c r="L500" s="1599">
        <v>81.98</v>
      </c>
      <c r="M500" s="1599">
        <v>-81.98</v>
      </c>
      <c r="N500" s="1598"/>
      <c r="O500" s="1598"/>
      <c r="P500" s="1599">
        <v>81.98</v>
      </c>
      <c r="Q500" s="1599">
        <v>-81.98</v>
      </c>
      <c r="R500" s="1598"/>
      <c r="S500" s="1592"/>
    </row>
    <row r="501" spans="2:19" s="1593" customFormat="1" ht="11.25" customHeight="1" outlineLevel="1">
      <c r="B501" s="1594">
        <v>33688</v>
      </c>
      <c r="C501" s="1595" t="s">
        <v>5403</v>
      </c>
      <c r="D501" s="1595" t="s">
        <v>14243</v>
      </c>
      <c r="E501" s="1595"/>
      <c r="F501" s="1595"/>
      <c r="G501" s="1595"/>
      <c r="H501" s="1596">
        <v>1</v>
      </c>
      <c r="I501" s="1595"/>
      <c r="J501" s="1595"/>
      <c r="K501" s="1599">
        <v>82</v>
      </c>
      <c r="L501" s="1599">
        <v>81.98</v>
      </c>
      <c r="M501" s="1599">
        <v>-81.98</v>
      </c>
      <c r="N501" s="1598"/>
      <c r="O501" s="1598"/>
      <c r="P501" s="1599">
        <v>81.98</v>
      </c>
      <c r="Q501" s="1599">
        <v>-81.98</v>
      </c>
      <c r="R501" s="1598"/>
      <c r="S501" s="1592"/>
    </row>
    <row r="502" spans="2:19" s="1593" customFormat="1" ht="11.25" customHeight="1" outlineLevel="1">
      <c r="B502" s="1594">
        <v>33689</v>
      </c>
      <c r="C502" s="1595" t="s">
        <v>5403</v>
      </c>
      <c r="D502" s="1595" t="s">
        <v>14242</v>
      </c>
      <c r="E502" s="1595"/>
      <c r="F502" s="1595"/>
      <c r="G502" s="1595"/>
      <c r="H502" s="1596">
        <v>1</v>
      </c>
      <c r="I502" s="1595"/>
      <c r="J502" s="1595"/>
      <c r="K502" s="1599">
        <v>82</v>
      </c>
      <c r="L502" s="1599">
        <v>81.98</v>
      </c>
      <c r="M502" s="1599">
        <v>-81.98</v>
      </c>
      <c r="N502" s="1598"/>
      <c r="O502" s="1598"/>
      <c r="P502" s="1599">
        <v>81.98</v>
      </c>
      <c r="Q502" s="1599">
        <v>-81.98</v>
      </c>
      <c r="R502" s="1598"/>
      <c r="S502" s="1592"/>
    </row>
    <row r="503" spans="2:19" s="1593" customFormat="1" ht="11.25" customHeight="1" outlineLevel="1">
      <c r="B503" s="1594">
        <v>33690</v>
      </c>
      <c r="C503" s="1595" t="s">
        <v>5403</v>
      </c>
      <c r="D503" s="1595" t="s">
        <v>14241</v>
      </c>
      <c r="E503" s="1595"/>
      <c r="F503" s="1595"/>
      <c r="G503" s="1595"/>
      <c r="H503" s="1596">
        <v>1</v>
      </c>
      <c r="I503" s="1595"/>
      <c r="J503" s="1595"/>
      <c r="K503" s="1599">
        <v>82</v>
      </c>
      <c r="L503" s="1599">
        <v>81.98</v>
      </c>
      <c r="M503" s="1599">
        <v>-81.98</v>
      </c>
      <c r="N503" s="1598"/>
      <c r="O503" s="1598"/>
      <c r="P503" s="1599">
        <v>81.98</v>
      </c>
      <c r="Q503" s="1599">
        <v>-81.98</v>
      </c>
      <c r="R503" s="1598"/>
      <c r="S503" s="1592"/>
    </row>
    <row r="504" spans="2:19" s="1593" customFormat="1" ht="11.25" customHeight="1" outlineLevel="1">
      <c r="B504" s="1594">
        <v>33691</v>
      </c>
      <c r="C504" s="1595" t="s">
        <v>5403</v>
      </c>
      <c r="D504" s="1595" t="s">
        <v>14240</v>
      </c>
      <c r="E504" s="1595"/>
      <c r="F504" s="1595"/>
      <c r="G504" s="1595"/>
      <c r="H504" s="1596">
        <v>1</v>
      </c>
      <c r="I504" s="1595"/>
      <c r="J504" s="1595"/>
      <c r="K504" s="1599">
        <v>82</v>
      </c>
      <c r="L504" s="1599">
        <v>81.98</v>
      </c>
      <c r="M504" s="1599">
        <v>-81.98</v>
      </c>
      <c r="N504" s="1598"/>
      <c r="O504" s="1598"/>
      <c r="P504" s="1599">
        <v>81.98</v>
      </c>
      <c r="Q504" s="1599">
        <v>-81.98</v>
      </c>
      <c r="R504" s="1598"/>
      <c r="S504" s="1592"/>
    </row>
    <row r="505" spans="2:19" s="1593" customFormat="1" ht="11.25" customHeight="1" outlineLevel="1">
      <c r="B505" s="1594">
        <v>33692</v>
      </c>
      <c r="C505" s="1595" t="s">
        <v>5403</v>
      </c>
      <c r="D505" s="1595" t="s">
        <v>14239</v>
      </c>
      <c r="E505" s="1595"/>
      <c r="F505" s="1595"/>
      <c r="G505" s="1595"/>
      <c r="H505" s="1596">
        <v>1</v>
      </c>
      <c r="I505" s="1595"/>
      <c r="J505" s="1595"/>
      <c r="K505" s="1599">
        <v>82</v>
      </c>
      <c r="L505" s="1599">
        <v>81.98</v>
      </c>
      <c r="M505" s="1599">
        <v>-81.98</v>
      </c>
      <c r="N505" s="1598"/>
      <c r="O505" s="1598"/>
      <c r="P505" s="1599">
        <v>81.98</v>
      </c>
      <c r="Q505" s="1599">
        <v>-81.98</v>
      </c>
      <c r="R505" s="1598"/>
      <c r="S505" s="1592"/>
    </row>
    <row r="506" spans="2:19" s="1593" customFormat="1" ht="11.25" customHeight="1" outlineLevel="1">
      <c r="B506" s="1594">
        <v>33693</v>
      </c>
      <c r="C506" s="1595" t="s">
        <v>5403</v>
      </c>
      <c r="D506" s="1595" t="s">
        <v>14238</v>
      </c>
      <c r="E506" s="1595"/>
      <c r="F506" s="1595"/>
      <c r="G506" s="1595"/>
      <c r="H506" s="1596">
        <v>1</v>
      </c>
      <c r="I506" s="1595"/>
      <c r="J506" s="1595"/>
      <c r="K506" s="1599">
        <v>82</v>
      </c>
      <c r="L506" s="1599">
        <v>81.98</v>
      </c>
      <c r="M506" s="1599">
        <v>-81.98</v>
      </c>
      <c r="N506" s="1598"/>
      <c r="O506" s="1598"/>
      <c r="P506" s="1599">
        <v>81.98</v>
      </c>
      <c r="Q506" s="1599">
        <v>-81.98</v>
      </c>
      <c r="R506" s="1598"/>
      <c r="S506" s="1592"/>
    </row>
    <row r="507" spans="2:19" s="1593" customFormat="1" ht="11.25" customHeight="1" outlineLevel="1">
      <c r="B507" s="1594">
        <v>33694</v>
      </c>
      <c r="C507" s="1595" t="s">
        <v>5403</v>
      </c>
      <c r="D507" s="1595" t="s">
        <v>14237</v>
      </c>
      <c r="E507" s="1595"/>
      <c r="F507" s="1595"/>
      <c r="G507" s="1595"/>
      <c r="H507" s="1596">
        <v>1</v>
      </c>
      <c r="I507" s="1595"/>
      <c r="J507" s="1595"/>
      <c r="K507" s="1599">
        <v>82</v>
      </c>
      <c r="L507" s="1599">
        <v>81.98</v>
      </c>
      <c r="M507" s="1599">
        <v>-81.98</v>
      </c>
      <c r="N507" s="1598"/>
      <c r="O507" s="1598"/>
      <c r="P507" s="1599">
        <v>81.98</v>
      </c>
      <c r="Q507" s="1599">
        <v>-81.98</v>
      </c>
      <c r="R507" s="1598"/>
      <c r="S507" s="1592"/>
    </row>
    <row r="508" spans="2:19" s="1593" customFormat="1" ht="11.25" customHeight="1" outlineLevel="1">
      <c r="B508" s="1594">
        <v>33695</v>
      </c>
      <c r="C508" s="1595" t="s">
        <v>5403</v>
      </c>
      <c r="D508" s="1595" t="s">
        <v>14236</v>
      </c>
      <c r="E508" s="1595"/>
      <c r="F508" s="1595"/>
      <c r="G508" s="1595"/>
      <c r="H508" s="1596">
        <v>1</v>
      </c>
      <c r="I508" s="1595"/>
      <c r="J508" s="1595"/>
      <c r="K508" s="1599">
        <v>82</v>
      </c>
      <c r="L508" s="1599">
        <v>81.98</v>
      </c>
      <c r="M508" s="1599">
        <v>-81.98</v>
      </c>
      <c r="N508" s="1598"/>
      <c r="O508" s="1598"/>
      <c r="P508" s="1599">
        <v>81.98</v>
      </c>
      <c r="Q508" s="1599">
        <v>-81.98</v>
      </c>
      <c r="R508" s="1598"/>
      <c r="S508" s="1592"/>
    </row>
    <row r="509" spans="2:19" s="1593" customFormat="1" ht="11.25" customHeight="1" outlineLevel="1">
      <c r="B509" s="1594">
        <v>33696</v>
      </c>
      <c r="C509" s="1595" t="s">
        <v>5403</v>
      </c>
      <c r="D509" s="1595" t="s">
        <v>14235</v>
      </c>
      <c r="E509" s="1595"/>
      <c r="F509" s="1595"/>
      <c r="G509" s="1595"/>
      <c r="H509" s="1596">
        <v>1</v>
      </c>
      <c r="I509" s="1595"/>
      <c r="J509" s="1595"/>
      <c r="K509" s="1599">
        <v>82</v>
      </c>
      <c r="L509" s="1599">
        <v>81.98</v>
      </c>
      <c r="M509" s="1599">
        <v>-81.98</v>
      </c>
      <c r="N509" s="1598"/>
      <c r="O509" s="1598"/>
      <c r="P509" s="1599">
        <v>81.98</v>
      </c>
      <c r="Q509" s="1599">
        <v>-81.98</v>
      </c>
      <c r="R509" s="1598"/>
      <c r="S509" s="1592"/>
    </row>
    <row r="510" spans="2:19" s="1593" customFormat="1" ht="11.25" customHeight="1" outlineLevel="1">
      <c r="B510" s="1594">
        <v>33697</v>
      </c>
      <c r="C510" s="1595" t="s">
        <v>5403</v>
      </c>
      <c r="D510" s="1595" t="s">
        <v>14234</v>
      </c>
      <c r="E510" s="1595"/>
      <c r="F510" s="1595"/>
      <c r="G510" s="1595"/>
      <c r="H510" s="1596">
        <v>1</v>
      </c>
      <c r="I510" s="1595"/>
      <c r="J510" s="1595"/>
      <c r="K510" s="1599">
        <v>82</v>
      </c>
      <c r="L510" s="1599">
        <v>81.98</v>
      </c>
      <c r="M510" s="1599">
        <v>-81.98</v>
      </c>
      <c r="N510" s="1598"/>
      <c r="O510" s="1598"/>
      <c r="P510" s="1599">
        <v>81.98</v>
      </c>
      <c r="Q510" s="1599">
        <v>-81.98</v>
      </c>
      <c r="R510" s="1598"/>
      <c r="S510" s="1592"/>
    </row>
    <row r="511" spans="2:19" s="1593" customFormat="1" ht="11.25" customHeight="1" outlineLevel="1">
      <c r="B511" s="1594">
        <v>33698</v>
      </c>
      <c r="C511" s="1595" t="s">
        <v>5403</v>
      </c>
      <c r="D511" s="1595" t="s">
        <v>14233</v>
      </c>
      <c r="E511" s="1595"/>
      <c r="F511" s="1595"/>
      <c r="G511" s="1595"/>
      <c r="H511" s="1596">
        <v>1</v>
      </c>
      <c r="I511" s="1595"/>
      <c r="J511" s="1595"/>
      <c r="K511" s="1599">
        <v>82</v>
      </c>
      <c r="L511" s="1599">
        <v>81.98</v>
      </c>
      <c r="M511" s="1599">
        <v>-81.98</v>
      </c>
      <c r="N511" s="1598"/>
      <c r="O511" s="1598"/>
      <c r="P511" s="1599">
        <v>81.98</v>
      </c>
      <c r="Q511" s="1599">
        <v>-81.98</v>
      </c>
      <c r="R511" s="1598"/>
      <c r="S511" s="1592"/>
    </row>
    <row r="512" spans="2:19" s="1593" customFormat="1" ht="11.25" customHeight="1" outlineLevel="1">
      <c r="B512" s="1594">
        <v>33699</v>
      </c>
      <c r="C512" s="1595" t="s">
        <v>5403</v>
      </c>
      <c r="D512" s="1595" t="s">
        <v>14232</v>
      </c>
      <c r="E512" s="1595"/>
      <c r="F512" s="1595"/>
      <c r="G512" s="1595"/>
      <c r="H512" s="1596">
        <v>1</v>
      </c>
      <c r="I512" s="1595"/>
      <c r="J512" s="1595"/>
      <c r="K512" s="1599">
        <v>82</v>
      </c>
      <c r="L512" s="1599">
        <v>81.98</v>
      </c>
      <c r="M512" s="1599">
        <v>-81.98</v>
      </c>
      <c r="N512" s="1598"/>
      <c r="O512" s="1598"/>
      <c r="P512" s="1599">
        <v>81.98</v>
      </c>
      <c r="Q512" s="1599">
        <v>-81.98</v>
      </c>
      <c r="R512" s="1598"/>
      <c r="S512" s="1592"/>
    </row>
    <row r="513" spans="2:19" s="1593" customFormat="1" ht="11.25" customHeight="1" outlineLevel="1">
      <c r="B513" s="1594">
        <v>33700</v>
      </c>
      <c r="C513" s="1595" t="s">
        <v>5403</v>
      </c>
      <c r="D513" s="1595" t="s">
        <v>14231</v>
      </c>
      <c r="E513" s="1595"/>
      <c r="F513" s="1595"/>
      <c r="G513" s="1595"/>
      <c r="H513" s="1596">
        <v>1</v>
      </c>
      <c r="I513" s="1595"/>
      <c r="J513" s="1595"/>
      <c r="K513" s="1599">
        <v>82</v>
      </c>
      <c r="L513" s="1599">
        <v>81.98</v>
      </c>
      <c r="M513" s="1599">
        <v>-81.98</v>
      </c>
      <c r="N513" s="1598"/>
      <c r="O513" s="1598"/>
      <c r="P513" s="1599">
        <v>81.98</v>
      </c>
      <c r="Q513" s="1599">
        <v>-81.98</v>
      </c>
      <c r="R513" s="1598"/>
      <c r="S513" s="1592"/>
    </row>
    <row r="514" spans="2:19" s="1593" customFormat="1" ht="11.25" customHeight="1" outlineLevel="1">
      <c r="B514" s="1594">
        <v>33701</v>
      </c>
      <c r="C514" s="1595" t="s">
        <v>5403</v>
      </c>
      <c r="D514" s="1595" t="s">
        <v>14230</v>
      </c>
      <c r="E514" s="1595"/>
      <c r="F514" s="1595"/>
      <c r="G514" s="1595"/>
      <c r="H514" s="1596">
        <v>1</v>
      </c>
      <c r="I514" s="1595"/>
      <c r="J514" s="1595"/>
      <c r="K514" s="1599">
        <v>82</v>
      </c>
      <c r="L514" s="1599">
        <v>81.98</v>
      </c>
      <c r="M514" s="1599">
        <v>-81.98</v>
      </c>
      <c r="N514" s="1598"/>
      <c r="O514" s="1598"/>
      <c r="P514" s="1599">
        <v>81.98</v>
      </c>
      <c r="Q514" s="1599">
        <v>-81.98</v>
      </c>
      <c r="R514" s="1598"/>
      <c r="S514" s="1592"/>
    </row>
    <row r="515" spans="2:19" s="1593" customFormat="1" ht="11.25" customHeight="1" outlineLevel="1">
      <c r="B515" s="1594">
        <v>33702</v>
      </c>
      <c r="C515" s="1595" t="s">
        <v>5403</v>
      </c>
      <c r="D515" s="1595" t="s">
        <v>14229</v>
      </c>
      <c r="E515" s="1595"/>
      <c r="F515" s="1595"/>
      <c r="G515" s="1595"/>
      <c r="H515" s="1596">
        <v>1</v>
      </c>
      <c r="I515" s="1595"/>
      <c r="J515" s="1595"/>
      <c r="K515" s="1599">
        <v>82</v>
      </c>
      <c r="L515" s="1599">
        <v>81.98</v>
      </c>
      <c r="M515" s="1599">
        <v>-81.98</v>
      </c>
      <c r="N515" s="1598"/>
      <c r="O515" s="1598"/>
      <c r="P515" s="1599">
        <v>81.98</v>
      </c>
      <c r="Q515" s="1599">
        <v>-81.98</v>
      </c>
      <c r="R515" s="1598"/>
      <c r="S515" s="1592"/>
    </row>
    <row r="516" spans="2:19" s="1593" customFormat="1" ht="11.25" customHeight="1" outlineLevel="1">
      <c r="B516" s="1594">
        <v>33703</v>
      </c>
      <c r="C516" s="1595" t="s">
        <v>5403</v>
      </c>
      <c r="D516" s="1595" t="s">
        <v>14228</v>
      </c>
      <c r="E516" s="1595"/>
      <c r="F516" s="1595"/>
      <c r="G516" s="1595"/>
      <c r="H516" s="1596">
        <v>1</v>
      </c>
      <c r="I516" s="1595"/>
      <c r="J516" s="1595"/>
      <c r="K516" s="1599">
        <v>82</v>
      </c>
      <c r="L516" s="1599">
        <v>81.98</v>
      </c>
      <c r="M516" s="1599">
        <v>-81.98</v>
      </c>
      <c r="N516" s="1598"/>
      <c r="O516" s="1598"/>
      <c r="P516" s="1599">
        <v>81.98</v>
      </c>
      <c r="Q516" s="1599">
        <v>-81.98</v>
      </c>
      <c r="R516" s="1598"/>
      <c r="S516" s="1592"/>
    </row>
    <row r="517" spans="2:19" s="1593" customFormat="1" ht="11.25" customHeight="1" outlineLevel="1">
      <c r="B517" s="1594">
        <v>33704</v>
      </c>
      <c r="C517" s="1595" t="s">
        <v>5403</v>
      </c>
      <c r="D517" s="1595" t="s">
        <v>14227</v>
      </c>
      <c r="E517" s="1595"/>
      <c r="F517" s="1595"/>
      <c r="G517" s="1595"/>
      <c r="H517" s="1596">
        <v>1</v>
      </c>
      <c r="I517" s="1595"/>
      <c r="J517" s="1595"/>
      <c r="K517" s="1599">
        <v>82</v>
      </c>
      <c r="L517" s="1599">
        <v>81.98</v>
      </c>
      <c r="M517" s="1599">
        <v>-81.98</v>
      </c>
      <c r="N517" s="1598"/>
      <c r="O517" s="1598"/>
      <c r="P517" s="1599">
        <v>81.98</v>
      </c>
      <c r="Q517" s="1599">
        <v>-81.98</v>
      </c>
      <c r="R517" s="1598"/>
      <c r="S517" s="1592"/>
    </row>
    <row r="518" spans="2:19" s="1593" customFormat="1" ht="11.25" customHeight="1" outlineLevel="1">
      <c r="B518" s="1594">
        <v>33705</v>
      </c>
      <c r="C518" s="1595" t="s">
        <v>5403</v>
      </c>
      <c r="D518" s="1595" t="s">
        <v>14226</v>
      </c>
      <c r="E518" s="1595"/>
      <c r="F518" s="1595"/>
      <c r="G518" s="1595"/>
      <c r="H518" s="1596">
        <v>1</v>
      </c>
      <c r="I518" s="1595"/>
      <c r="J518" s="1595"/>
      <c r="K518" s="1599">
        <v>82</v>
      </c>
      <c r="L518" s="1599">
        <v>81.98</v>
      </c>
      <c r="M518" s="1599">
        <v>-81.98</v>
      </c>
      <c r="N518" s="1598"/>
      <c r="O518" s="1598"/>
      <c r="P518" s="1599">
        <v>81.98</v>
      </c>
      <c r="Q518" s="1599">
        <v>-81.98</v>
      </c>
      <c r="R518" s="1598"/>
      <c r="S518" s="1592"/>
    </row>
    <row r="519" spans="2:19" s="1593" customFormat="1" ht="11.25" customHeight="1" outlineLevel="1">
      <c r="B519" s="1594">
        <v>33706</v>
      </c>
      <c r="C519" s="1595" t="s">
        <v>5403</v>
      </c>
      <c r="D519" s="1595" t="s">
        <v>14225</v>
      </c>
      <c r="E519" s="1595"/>
      <c r="F519" s="1595"/>
      <c r="G519" s="1595"/>
      <c r="H519" s="1596">
        <v>1</v>
      </c>
      <c r="I519" s="1595"/>
      <c r="J519" s="1595"/>
      <c r="K519" s="1599">
        <v>82</v>
      </c>
      <c r="L519" s="1599">
        <v>81.98</v>
      </c>
      <c r="M519" s="1599">
        <v>-81.98</v>
      </c>
      <c r="N519" s="1598"/>
      <c r="O519" s="1598"/>
      <c r="P519" s="1599">
        <v>81.98</v>
      </c>
      <c r="Q519" s="1599">
        <v>-81.98</v>
      </c>
      <c r="R519" s="1598"/>
      <c r="S519" s="1592"/>
    </row>
    <row r="520" spans="2:19" s="1593" customFormat="1" ht="11.25" customHeight="1" outlineLevel="1">
      <c r="B520" s="1594">
        <v>33707</v>
      </c>
      <c r="C520" s="1595" t="s">
        <v>5403</v>
      </c>
      <c r="D520" s="1595" t="s">
        <v>14224</v>
      </c>
      <c r="E520" s="1595"/>
      <c r="F520" s="1595"/>
      <c r="G520" s="1595"/>
      <c r="H520" s="1596">
        <v>1</v>
      </c>
      <c r="I520" s="1595"/>
      <c r="J520" s="1595"/>
      <c r="K520" s="1599">
        <v>82</v>
      </c>
      <c r="L520" s="1599">
        <v>81.98</v>
      </c>
      <c r="M520" s="1599">
        <v>-81.98</v>
      </c>
      <c r="N520" s="1598"/>
      <c r="O520" s="1598"/>
      <c r="P520" s="1599">
        <v>81.98</v>
      </c>
      <c r="Q520" s="1599">
        <v>-81.98</v>
      </c>
      <c r="R520" s="1598"/>
      <c r="S520" s="1592"/>
    </row>
    <row r="521" spans="2:19" s="1593" customFormat="1" ht="11.25" customHeight="1" outlineLevel="1">
      <c r="B521" s="1594">
        <v>33708</v>
      </c>
      <c r="C521" s="1595" t="s">
        <v>5403</v>
      </c>
      <c r="D521" s="1595" t="s">
        <v>14223</v>
      </c>
      <c r="E521" s="1595"/>
      <c r="F521" s="1595"/>
      <c r="G521" s="1595"/>
      <c r="H521" s="1596">
        <v>1</v>
      </c>
      <c r="I521" s="1595"/>
      <c r="J521" s="1595"/>
      <c r="K521" s="1599">
        <v>82</v>
      </c>
      <c r="L521" s="1599">
        <v>81.98</v>
      </c>
      <c r="M521" s="1599">
        <v>-81.98</v>
      </c>
      <c r="N521" s="1598"/>
      <c r="O521" s="1598"/>
      <c r="P521" s="1599">
        <v>81.98</v>
      </c>
      <c r="Q521" s="1599">
        <v>-81.98</v>
      </c>
      <c r="R521" s="1598"/>
      <c r="S521" s="1592"/>
    </row>
    <row r="522" spans="2:19" s="1593" customFormat="1" ht="11.25" customHeight="1" outlineLevel="1">
      <c r="B522" s="1594">
        <v>33709</v>
      </c>
      <c r="C522" s="1595" t="s">
        <v>5403</v>
      </c>
      <c r="D522" s="1595" t="s">
        <v>14222</v>
      </c>
      <c r="E522" s="1595"/>
      <c r="F522" s="1595"/>
      <c r="G522" s="1595"/>
      <c r="H522" s="1596">
        <v>1</v>
      </c>
      <c r="I522" s="1595"/>
      <c r="J522" s="1595"/>
      <c r="K522" s="1599">
        <v>82</v>
      </c>
      <c r="L522" s="1599">
        <v>81.98</v>
      </c>
      <c r="M522" s="1599">
        <v>-81.98</v>
      </c>
      <c r="N522" s="1598"/>
      <c r="O522" s="1598"/>
      <c r="P522" s="1599">
        <v>81.98</v>
      </c>
      <c r="Q522" s="1599">
        <v>-81.98</v>
      </c>
      <c r="R522" s="1598"/>
      <c r="S522" s="1592"/>
    </row>
    <row r="523" spans="2:19" s="1593" customFormat="1" ht="11.25" customHeight="1" outlineLevel="1">
      <c r="B523" s="1594">
        <v>33710</v>
      </c>
      <c r="C523" s="1595" t="s">
        <v>5403</v>
      </c>
      <c r="D523" s="1595" t="s">
        <v>14221</v>
      </c>
      <c r="E523" s="1595"/>
      <c r="F523" s="1595"/>
      <c r="G523" s="1595"/>
      <c r="H523" s="1596">
        <v>1</v>
      </c>
      <c r="I523" s="1595"/>
      <c r="J523" s="1595"/>
      <c r="K523" s="1599">
        <v>82</v>
      </c>
      <c r="L523" s="1599">
        <v>81.98</v>
      </c>
      <c r="M523" s="1599">
        <v>-81.98</v>
      </c>
      <c r="N523" s="1598"/>
      <c r="O523" s="1598"/>
      <c r="P523" s="1599">
        <v>81.98</v>
      </c>
      <c r="Q523" s="1599">
        <v>-81.98</v>
      </c>
      <c r="R523" s="1598"/>
      <c r="S523" s="1592"/>
    </row>
    <row r="524" spans="2:19" s="1593" customFormat="1" ht="11.25" customHeight="1" outlineLevel="1">
      <c r="B524" s="1594">
        <v>33711</v>
      </c>
      <c r="C524" s="1595" t="s">
        <v>5403</v>
      </c>
      <c r="D524" s="1595" t="s">
        <v>14220</v>
      </c>
      <c r="E524" s="1595"/>
      <c r="F524" s="1595"/>
      <c r="G524" s="1595"/>
      <c r="H524" s="1596">
        <v>1</v>
      </c>
      <c r="I524" s="1595"/>
      <c r="J524" s="1595"/>
      <c r="K524" s="1599">
        <v>82</v>
      </c>
      <c r="L524" s="1599">
        <v>81.98</v>
      </c>
      <c r="M524" s="1599">
        <v>-81.98</v>
      </c>
      <c r="N524" s="1598"/>
      <c r="O524" s="1598"/>
      <c r="P524" s="1599">
        <v>81.98</v>
      </c>
      <c r="Q524" s="1599">
        <v>-81.98</v>
      </c>
      <c r="R524" s="1598"/>
      <c r="S524" s="1592"/>
    </row>
    <row r="525" spans="2:19" s="1593" customFormat="1" ht="11.25" customHeight="1" outlineLevel="1">
      <c r="B525" s="1594">
        <v>33712</v>
      </c>
      <c r="C525" s="1595" t="s">
        <v>5403</v>
      </c>
      <c r="D525" s="1595" t="s">
        <v>14219</v>
      </c>
      <c r="E525" s="1595"/>
      <c r="F525" s="1595"/>
      <c r="G525" s="1595"/>
      <c r="H525" s="1596">
        <v>1</v>
      </c>
      <c r="I525" s="1595"/>
      <c r="J525" s="1595"/>
      <c r="K525" s="1599">
        <v>82</v>
      </c>
      <c r="L525" s="1599">
        <v>81.98</v>
      </c>
      <c r="M525" s="1599">
        <v>-81.98</v>
      </c>
      <c r="N525" s="1598"/>
      <c r="O525" s="1598"/>
      <c r="P525" s="1599">
        <v>81.98</v>
      </c>
      <c r="Q525" s="1599">
        <v>-81.98</v>
      </c>
      <c r="R525" s="1598"/>
      <c r="S525" s="1592"/>
    </row>
    <row r="526" spans="2:19" s="1593" customFormat="1" ht="11.25" customHeight="1" outlineLevel="1">
      <c r="B526" s="1594">
        <v>33713</v>
      </c>
      <c r="C526" s="1595" t="s">
        <v>5403</v>
      </c>
      <c r="D526" s="1595" t="s">
        <v>14218</v>
      </c>
      <c r="E526" s="1595"/>
      <c r="F526" s="1595"/>
      <c r="G526" s="1595"/>
      <c r="H526" s="1596">
        <v>1</v>
      </c>
      <c r="I526" s="1595"/>
      <c r="J526" s="1595"/>
      <c r="K526" s="1599">
        <v>82</v>
      </c>
      <c r="L526" s="1599">
        <v>81.98</v>
      </c>
      <c r="M526" s="1599">
        <v>-81.98</v>
      </c>
      <c r="N526" s="1598"/>
      <c r="O526" s="1598"/>
      <c r="P526" s="1599">
        <v>81.98</v>
      </c>
      <c r="Q526" s="1599">
        <v>-81.98</v>
      </c>
      <c r="R526" s="1598"/>
      <c r="S526" s="1592"/>
    </row>
    <row r="527" spans="2:19" s="1593" customFormat="1" ht="11.25" customHeight="1" outlineLevel="1">
      <c r="B527" s="1594">
        <v>33719</v>
      </c>
      <c r="C527" s="1595" t="s">
        <v>5403</v>
      </c>
      <c r="D527" s="1595" t="s">
        <v>14217</v>
      </c>
      <c r="E527" s="1595"/>
      <c r="F527" s="1595"/>
      <c r="G527" s="1595"/>
      <c r="H527" s="1596">
        <v>1</v>
      </c>
      <c r="I527" s="1595"/>
      <c r="J527" s="1595"/>
      <c r="K527" s="1597">
        <v>6269</v>
      </c>
      <c r="L527" s="1597">
        <v>6269</v>
      </c>
      <c r="M527" s="1597">
        <v>-6269</v>
      </c>
      <c r="N527" s="1598"/>
      <c r="O527" s="1598"/>
      <c r="P527" s="1597">
        <v>6269</v>
      </c>
      <c r="Q527" s="1597">
        <v>-6269</v>
      </c>
      <c r="R527" s="1598"/>
      <c r="S527" s="1592"/>
    </row>
    <row r="528" spans="2:19" s="1593" customFormat="1" ht="11.25" customHeight="1" outlineLevel="1">
      <c r="B528" s="1594">
        <v>33720</v>
      </c>
      <c r="C528" s="1595" t="s">
        <v>5403</v>
      </c>
      <c r="D528" s="1595" t="s">
        <v>14216</v>
      </c>
      <c r="E528" s="1595"/>
      <c r="F528" s="1595"/>
      <c r="G528" s="1595"/>
      <c r="H528" s="1596">
        <v>1</v>
      </c>
      <c r="I528" s="1595"/>
      <c r="J528" s="1595"/>
      <c r="K528" s="1597">
        <v>6269</v>
      </c>
      <c r="L528" s="1597">
        <v>6269</v>
      </c>
      <c r="M528" s="1597">
        <v>-6269</v>
      </c>
      <c r="N528" s="1598"/>
      <c r="O528" s="1598"/>
      <c r="P528" s="1597">
        <v>6269</v>
      </c>
      <c r="Q528" s="1597">
        <v>-6269</v>
      </c>
      <c r="R528" s="1598"/>
      <c r="S528" s="1592"/>
    </row>
    <row r="529" spans="2:19" s="1593" customFormat="1" ht="11.25" customHeight="1" outlineLevel="1">
      <c r="B529" s="1594">
        <v>33721</v>
      </c>
      <c r="C529" s="1595" t="s">
        <v>5403</v>
      </c>
      <c r="D529" s="1595" t="s">
        <v>14215</v>
      </c>
      <c r="E529" s="1595"/>
      <c r="F529" s="1595"/>
      <c r="G529" s="1595"/>
      <c r="H529" s="1596">
        <v>1</v>
      </c>
      <c r="I529" s="1595"/>
      <c r="J529" s="1595"/>
      <c r="K529" s="1597">
        <v>6269</v>
      </c>
      <c r="L529" s="1597">
        <v>6269</v>
      </c>
      <c r="M529" s="1597">
        <v>-6269</v>
      </c>
      <c r="N529" s="1598"/>
      <c r="O529" s="1598"/>
      <c r="P529" s="1597">
        <v>6269</v>
      </c>
      <c r="Q529" s="1597">
        <v>-6269</v>
      </c>
      <c r="R529" s="1598"/>
      <c r="S529" s="1592"/>
    </row>
    <row r="530" spans="2:19" s="1593" customFormat="1" ht="11.25" customHeight="1" outlineLevel="1">
      <c r="B530" s="1594">
        <v>33723</v>
      </c>
      <c r="C530" s="1595" t="s">
        <v>5403</v>
      </c>
      <c r="D530" s="1595" t="s">
        <v>14214</v>
      </c>
      <c r="E530" s="1595"/>
      <c r="F530" s="1595"/>
      <c r="G530" s="1595"/>
      <c r="H530" s="1596">
        <v>1</v>
      </c>
      <c r="I530" s="1595"/>
      <c r="J530" s="1595"/>
      <c r="K530" s="1597">
        <v>6269</v>
      </c>
      <c r="L530" s="1597">
        <v>6269</v>
      </c>
      <c r="M530" s="1597">
        <v>-6269</v>
      </c>
      <c r="N530" s="1598"/>
      <c r="O530" s="1598"/>
      <c r="P530" s="1597">
        <v>6269</v>
      </c>
      <c r="Q530" s="1597">
        <v>-6269</v>
      </c>
      <c r="R530" s="1598"/>
      <c r="S530" s="1592"/>
    </row>
    <row r="531" spans="2:19" s="1593" customFormat="1" ht="11.25" customHeight="1" outlineLevel="1">
      <c r="B531" s="1594">
        <v>33724</v>
      </c>
      <c r="C531" s="1595" t="s">
        <v>5403</v>
      </c>
      <c r="D531" s="1595" t="s">
        <v>14213</v>
      </c>
      <c r="E531" s="1595"/>
      <c r="F531" s="1595"/>
      <c r="G531" s="1595"/>
      <c r="H531" s="1596">
        <v>1</v>
      </c>
      <c r="I531" s="1595"/>
      <c r="J531" s="1595"/>
      <c r="K531" s="1597">
        <v>6269</v>
      </c>
      <c r="L531" s="1597">
        <v>6269</v>
      </c>
      <c r="M531" s="1597">
        <v>-6269</v>
      </c>
      <c r="N531" s="1598"/>
      <c r="O531" s="1598"/>
      <c r="P531" s="1597">
        <v>6269</v>
      </c>
      <c r="Q531" s="1597">
        <v>-6269</v>
      </c>
      <c r="R531" s="1598"/>
      <c r="S531" s="1592"/>
    </row>
    <row r="532" spans="2:19" s="1593" customFormat="1" ht="11.25" customHeight="1" outlineLevel="1">
      <c r="B532" s="1594">
        <v>34149</v>
      </c>
      <c r="C532" s="1595" t="s">
        <v>5403</v>
      </c>
      <c r="D532" s="1595" t="s">
        <v>14212</v>
      </c>
      <c r="E532" s="1595"/>
      <c r="F532" s="1595"/>
      <c r="G532" s="1595"/>
      <c r="H532" s="1596">
        <v>1</v>
      </c>
      <c r="I532" s="1595"/>
      <c r="J532" s="1595"/>
      <c r="K532" s="1599">
        <v>159</v>
      </c>
      <c r="L532" s="1599">
        <v>159.13999999999999</v>
      </c>
      <c r="M532" s="1599">
        <v>-159.13999999999999</v>
      </c>
      <c r="N532" s="1598"/>
      <c r="O532" s="1598"/>
      <c r="P532" s="1599">
        <v>159.13999999999999</v>
      </c>
      <c r="Q532" s="1599">
        <v>-159.13999999999999</v>
      </c>
      <c r="R532" s="1598"/>
      <c r="S532" s="1592"/>
    </row>
    <row r="533" spans="2:19" s="1593" customFormat="1" ht="11.25" customHeight="1" outlineLevel="1">
      <c r="B533" s="1594">
        <v>34150</v>
      </c>
      <c r="C533" s="1595" t="s">
        <v>5403</v>
      </c>
      <c r="D533" s="1595" t="s">
        <v>14211</v>
      </c>
      <c r="E533" s="1595"/>
      <c r="F533" s="1595"/>
      <c r="G533" s="1595"/>
      <c r="H533" s="1596">
        <v>1</v>
      </c>
      <c r="I533" s="1595"/>
      <c r="J533" s="1595"/>
      <c r="K533" s="1599">
        <v>159</v>
      </c>
      <c r="L533" s="1599">
        <v>159.13999999999999</v>
      </c>
      <c r="M533" s="1599">
        <v>-159.13999999999999</v>
      </c>
      <c r="N533" s="1598"/>
      <c r="O533" s="1598"/>
      <c r="P533" s="1599">
        <v>159.13999999999999</v>
      </c>
      <c r="Q533" s="1599">
        <v>-159.13999999999999</v>
      </c>
      <c r="R533" s="1598"/>
      <c r="S533" s="1592"/>
    </row>
    <row r="534" spans="2:19" s="1593" customFormat="1" ht="11.25" customHeight="1" outlineLevel="1">
      <c r="B534" s="1594">
        <v>34151</v>
      </c>
      <c r="C534" s="1595" t="s">
        <v>5403</v>
      </c>
      <c r="D534" s="1595" t="s">
        <v>14210</v>
      </c>
      <c r="E534" s="1595"/>
      <c r="F534" s="1595"/>
      <c r="G534" s="1595"/>
      <c r="H534" s="1596">
        <v>1</v>
      </c>
      <c r="I534" s="1595"/>
      <c r="J534" s="1595"/>
      <c r="K534" s="1599">
        <v>159</v>
      </c>
      <c r="L534" s="1599">
        <v>159.13999999999999</v>
      </c>
      <c r="M534" s="1599">
        <v>-159.13999999999999</v>
      </c>
      <c r="N534" s="1598"/>
      <c r="O534" s="1598"/>
      <c r="P534" s="1599">
        <v>159.13999999999999</v>
      </c>
      <c r="Q534" s="1599">
        <v>-159.13999999999999</v>
      </c>
      <c r="R534" s="1598"/>
      <c r="S534" s="1592"/>
    </row>
    <row r="535" spans="2:19" s="1593" customFormat="1" ht="11.25" customHeight="1" outlineLevel="1">
      <c r="B535" s="1594">
        <v>34152</v>
      </c>
      <c r="C535" s="1595" t="s">
        <v>5403</v>
      </c>
      <c r="D535" s="1595" t="s">
        <v>14209</v>
      </c>
      <c r="E535" s="1595"/>
      <c r="F535" s="1595"/>
      <c r="G535" s="1595"/>
      <c r="H535" s="1596">
        <v>1</v>
      </c>
      <c r="I535" s="1595"/>
      <c r="J535" s="1595"/>
      <c r="K535" s="1599">
        <v>159</v>
      </c>
      <c r="L535" s="1599">
        <v>159.13999999999999</v>
      </c>
      <c r="M535" s="1599">
        <v>-159.13999999999999</v>
      </c>
      <c r="N535" s="1598"/>
      <c r="O535" s="1598"/>
      <c r="P535" s="1599">
        <v>159.13999999999999</v>
      </c>
      <c r="Q535" s="1599">
        <v>-159.13999999999999</v>
      </c>
      <c r="R535" s="1598"/>
      <c r="S535" s="1592"/>
    </row>
    <row r="536" spans="2:19" s="1593" customFormat="1" ht="11.25" customHeight="1" outlineLevel="1">
      <c r="B536" s="1594">
        <v>34153</v>
      </c>
      <c r="C536" s="1595" t="s">
        <v>5403</v>
      </c>
      <c r="D536" s="1595" t="s">
        <v>14208</v>
      </c>
      <c r="E536" s="1595"/>
      <c r="F536" s="1595"/>
      <c r="G536" s="1595"/>
      <c r="H536" s="1596">
        <v>1</v>
      </c>
      <c r="I536" s="1595"/>
      <c r="J536" s="1595"/>
      <c r="K536" s="1599">
        <v>159</v>
      </c>
      <c r="L536" s="1599">
        <v>159.13999999999999</v>
      </c>
      <c r="M536" s="1599">
        <v>-159.13999999999999</v>
      </c>
      <c r="N536" s="1598"/>
      <c r="O536" s="1598"/>
      <c r="P536" s="1599">
        <v>159.13999999999999</v>
      </c>
      <c r="Q536" s="1599">
        <v>-159.13999999999999</v>
      </c>
      <c r="R536" s="1598"/>
      <c r="S536" s="1592"/>
    </row>
    <row r="537" spans="2:19" s="1593" customFormat="1" ht="11.25" customHeight="1" outlineLevel="1">
      <c r="B537" s="1594">
        <v>34154</v>
      </c>
      <c r="C537" s="1595" t="s">
        <v>5403</v>
      </c>
      <c r="D537" s="1595" t="s">
        <v>14207</v>
      </c>
      <c r="E537" s="1595"/>
      <c r="F537" s="1595"/>
      <c r="G537" s="1595"/>
      <c r="H537" s="1596">
        <v>1</v>
      </c>
      <c r="I537" s="1595"/>
      <c r="J537" s="1595"/>
      <c r="K537" s="1599">
        <v>159</v>
      </c>
      <c r="L537" s="1599">
        <v>159.13999999999999</v>
      </c>
      <c r="M537" s="1599">
        <v>-159.13999999999999</v>
      </c>
      <c r="N537" s="1598"/>
      <c r="O537" s="1598"/>
      <c r="P537" s="1599">
        <v>159.13999999999999</v>
      </c>
      <c r="Q537" s="1599">
        <v>-159.13999999999999</v>
      </c>
      <c r="R537" s="1598"/>
      <c r="S537" s="1592"/>
    </row>
    <row r="538" spans="2:19" s="1593" customFormat="1" ht="11.25" customHeight="1" outlineLevel="1">
      <c r="B538" s="1594">
        <v>34155</v>
      </c>
      <c r="C538" s="1595" t="s">
        <v>5403</v>
      </c>
      <c r="D538" s="1595" t="s">
        <v>14206</v>
      </c>
      <c r="E538" s="1595"/>
      <c r="F538" s="1595"/>
      <c r="G538" s="1595"/>
      <c r="H538" s="1596">
        <v>1</v>
      </c>
      <c r="I538" s="1595"/>
      <c r="J538" s="1595"/>
      <c r="K538" s="1599">
        <v>159</v>
      </c>
      <c r="L538" s="1599">
        <v>159.13999999999999</v>
      </c>
      <c r="M538" s="1599">
        <v>-159.13999999999999</v>
      </c>
      <c r="N538" s="1598"/>
      <c r="O538" s="1598"/>
      <c r="P538" s="1599">
        <v>159.13999999999999</v>
      </c>
      <c r="Q538" s="1599">
        <v>-159.13999999999999</v>
      </c>
      <c r="R538" s="1598"/>
      <c r="S538" s="1592"/>
    </row>
    <row r="539" spans="2:19" s="1593" customFormat="1" ht="11.25" customHeight="1" outlineLevel="1">
      <c r="B539" s="1594">
        <v>34156</v>
      </c>
      <c r="C539" s="1595" t="s">
        <v>5403</v>
      </c>
      <c r="D539" s="1595" t="s">
        <v>14205</v>
      </c>
      <c r="E539" s="1595"/>
      <c r="F539" s="1595"/>
      <c r="G539" s="1595"/>
      <c r="H539" s="1596">
        <v>1</v>
      </c>
      <c r="I539" s="1595"/>
      <c r="J539" s="1595"/>
      <c r="K539" s="1599">
        <v>159</v>
      </c>
      <c r="L539" s="1599">
        <v>159.13999999999999</v>
      </c>
      <c r="M539" s="1599">
        <v>-159.13999999999999</v>
      </c>
      <c r="N539" s="1598"/>
      <c r="O539" s="1598"/>
      <c r="P539" s="1599">
        <v>159.13999999999999</v>
      </c>
      <c r="Q539" s="1599">
        <v>-159.13999999999999</v>
      </c>
      <c r="R539" s="1598"/>
      <c r="S539" s="1592"/>
    </row>
    <row r="540" spans="2:19" s="1593" customFormat="1" ht="11.25" customHeight="1" outlineLevel="1">
      <c r="B540" s="1594">
        <v>34157</v>
      </c>
      <c r="C540" s="1595" t="s">
        <v>5403</v>
      </c>
      <c r="D540" s="1595" t="s">
        <v>14204</v>
      </c>
      <c r="E540" s="1595"/>
      <c r="F540" s="1595"/>
      <c r="G540" s="1595"/>
      <c r="H540" s="1596">
        <v>1</v>
      </c>
      <c r="I540" s="1595"/>
      <c r="J540" s="1595"/>
      <c r="K540" s="1599">
        <v>159</v>
      </c>
      <c r="L540" s="1599">
        <v>159.13999999999999</v>
      </c>
      <c r="M540" s="1599">
        <v>-159.13999999999999</v>
      </c>
      <c r="N540" s="1598"/>
      <c r="O540" s="1598"/>
      <c r="P540" s="1599">
        <v>159.13999999999999</v>
      </c>
      <c r="Q540" s="1599">
        <v>-159.13999999999999</v>
      </c>
      <c r="R540" s="1598"/>
      <c r="S540" s="1592"/>
    </row>
    <row r="541" spans="2:19" s="1593" customFormat="1" ht="11.25" customHeight="1" outlineLevel="1">
      <c r="B541" s="1594">
        <v>34158</v>
      </c>
      <c r="C541" s="1595" t="s">
        <v>5403</v>
      </c>
      <c r="D541" s="1595" t="s">
        <v>14203</v>
      </c>
      <c r="E541" s="1595"/>
      <c r="F541" s="1595"/>
      <c r="G541" s="1595"/>
      <c r="H541" s="1596">
        <v>1</v>
      </c>
      <c r="I541" s="1595"/>
      <c r="J541" s="1595"/>
      <c r="K541" s="1599">
        <v>159</v>
      </c>
      <c r="L541" s="1599">
        <v>159.13999999999999</v>
      </c>
      <c r="M541" s="1599">
        <v>-159.13999999999999</v>
      </c>
      <c r="N541" s="1598"/>
      <c r="O541" s="1598"/>
      <c r="P541" s="1599">
        <v>159.13999999999999</v>
      </c>
      <c r="Q541" s="1599">
        <v>-159.13999999999999</v>
      </c>
      <c r="R541" s="1598"/>
      <c r="S541" s="1592"/>
    </row>
    <row r="542" spans="2:19" s="1593" customFormat="1" ht="11.25" customHeight="1" outlineLevel="1">
      <c r="B542" s="1594">
        <v>34159</v>
      </c>
      <c r="C542" s="1595" t="s">
        <v>5403</v>
      </c>
      <c r="D542" s="1595" t="s">
        <v>14202</v>
      </c>
      <c r="E542" s="1595"/>
      <c r="F542" s="1595"/>
      <c r="G542" s="1595"/>
      <c r="H542" s="1596">
        <v>1</v>
      </c>
      <c r="I542" s="1595"/>
      <c r="J542" s="1595"/>
      <c r="K542" s="1599">
        <v>159</v>
      </c>
      <c r="L542" s="1599">
        <v>159.13999999999999</v>
      </c>
      <c r="M542" s="1599">
        <v>-159.13999999999999</v>
      </c>
      <c r="N542" s="1598"/>
      <c r="O542" s="1598"/>
      <c r="P542" s="1599">
        <v>159.13999999999999</v>
      </c>
      <c r="Q542" s="1599">
        <v>-159.13999999999999</v>
      </c>
      <c r="R542" s="1598"/>
      <c r="S542" s="1592"/>
    </row>
    <row r="543" spans="2:19" s="1593" customFormat="1" ht="11.25" customHeight="1" outlineLevel="1">
      <c r="B543" s="1594">
        <v>34160</v>
      </c>
      <c r="C543" s="1595" t="s">
        <v>5403</v>
      </c>
      <c r="D543" s="1595" t="s">
        <v>14201</v>
      </c>
      <c r="E543" s="1595"/>
      <c r="F543" s="1595"/>
      <c r="G543" s="1595"/>
      <c r="H543" s="1596">
        <v>1</v>
      </c>
      <c r="I543" s="1595"/>
      <c r="J543" s="1595"/>
      <c r="K543" s="1599">
        <v>159</v>
      </c>
      <c r="L543" s="1599">
        <v>159.13999999999999</v>
      </c>
      <c r="M543" s="1599">
        <v>-159.13999999999999</v>
      </c>
      <c r="N543" s="1598"/>
      <c r="O543" s="1598"/>
      <c r="P543" s="1599">
        <v>159.13999999999999</v>
      </c>
      <c r="Q543" s="1599">
        <v>-159.13999999999999</v>
      </c>
      <c r="R543" s="1598"/>
      <c r="S543" s="1592"/>
    </row>
    <row r="544" spans="2:19" s="1593" customFormat="1" ht="11.25" customHeight="1" outlineLevel="1">
      <c r="B544" s="1594">
        <v>34161</v>
      </c>
      <c r="C544" s="1595" t="s">
        <v>5403</v>
      </c>
      <c r="D544" s="1595" t="s">
        <v>14200</v>
      </c>
      <c r="E544" s="1595"/>
      <c r="F544" s="1595"/>
      <c r="G544" s="1595"/>
      <c r="H544" s="1596">
        <v>1</v>
      </c>
      <c r="I544" s="1595"/>
      <c r="J544" s="1595"/>
      <c r="K544" s="1599">
        <v>159</v>
      </c>
      <c r="L544" s="1599">
        <v>159.13999999999999</v>
      </c>
      <c r="M544" s="1599">
        <v>-159.13999999999999</v>
      </c>
      <c r="N544" s="1598"/>
      <c r="O544" s="1598"/>
      <c r="P544" s="1599">
        <v>159.13999999999999</v>
      </c>
      <c r="Q544" s="1599">
        <v>-159.13999999999999</v>
      </c>
      <c r="R544" s="1598"/>
      <c r="S544" s="1592"/>
    </row>
    <row r="545" spans="2:19" s="1593" customFormat="1" ht="11.25" customHeight="1" outlineLevel="1">
      <c r="B545" s="1594">
        <v>34162</v>
      </c>
      <c r="C545" s="1595" t="s">
        <v>5403</v>
      </c>
      <c r="D545" s="1595" t="s">
        <v>14199</v>
      </c>
      <c r="E545" s="1595"/>
      <c r="F545" s="1595"/>
      <c r="G545" s="1595"/>
      <c r="H545" s="1596">
        <v>1</v>
      </c>
      <c r="I545" s="1595"/>
      <c r="J545" s="1595"/>
      <c r="K545" s="1599">
        <v>159</v>
      </c>
      <c r="L545" s="1599">
        <v>159.13999999999999</v>
      </c>
      <c r="M545" s="1599">
        <v>-159.13999999999999</v>
      </c>
      <c r="N545" s="1598"/>
      <c r="O545" s="1598"/>
      <c r="P545" s="1599">
        <v>159.13999999999999</v>
      </c>
      <c r="Q545" s="1599">
        <v>-159.13999999999999</v>
      </c>
      <c r="R545" s="1598"/>
      <c r="S545" s="1592"/>
    </row>
    <row r="546" spans="2:19" s="1593" customFormat="1" ht="11.25" customHeight="1" outlineLevel="1">
      <c r="B546" s="1594">
        <v>34163</v>
      </c>
      <c r="C546" s="1595" t="s">
        <v>5403</v>
      </c>
      <c r="D546" s="1595" t="s">
        <v>14198</v>
      </c>
      <c r="E546" s="1595"/>
      <c r="F546" s="1595"/>
      <c r="G546" s="1595"/>
      <c r="H546" s="1596">
        <v>1</v>
      </c>
      <c r="I546" s="1595"/>
      <c r="J546" s="1595"/>
      <c r="K546" s="1599">
        <v>159</v>
      </c>
      <c r="L546" s="1599">
        <v>159.13999999999999</v>
      </c>
      <c r="M546" s="1599">
        <v>-159.13999999999999</v>
      </c>
      <c r="N546" s="1598"/>
      <c r="O546" s="1598"/>
      <c r="P546" s="1599">
        <v>159.13999999999999</v>
      </c>
      <c r="Q546" s="1599">
        <v>-159.13999999999999</v>
      </c>
      <c r="R546" s="1598"/>
      <c r="S546" s="1592"/>
    </row>
    <row r="547" spans="2:19" s="1593" customFormat="1" ht="11.25" customHeight="1" outlineLevel="1">
      <c r="B547" s="1594">
        <v>34164</v>
      </c>
      <c r="C547" s="1595" t="s">
        <v>5403</v>
      </c>
      <c r="D547" s="1595" t="s">
        <v>14197</v>
      </c>
      <c r="E547" s="1595"/>
      <c r="F547" s="1595"/>
      <c r="G547" s="1595"/>
      <c r="H547" s="1596">
        <v>1</v>
      </c>
      <c r="I547" s="1595"/>
      <c r="J547" s="1595"/>
      <c r="K547" s="1599">
        <v>159</v>
      </c>
      <c r="L547" s="1599">
        <v>159.13999999999999</v>
      </c>
      <c r="M547" s="1599">
        <v>-159.13999999999999</v>
      </c>
      <c r="N547" s="1598"/>
      <c r="O547" s="1598"/>
      <c r="P547" s="1599">
        <v>159.13999999999999</v>
      </c>
      <c r="Q547" s="1599">
        <v>-159.13999999999999</v>
      </c>
      <c r="R547" s="1598"/>
      <c r="S547" s="1592"/>
    </row>
    <row r="548" spans="2:19" s="1593" customFormat="1" ht="11.25" customHeight="1" outlineLevel="1">
      <c r="B548" s="1594">
        <v>34165</v>
      </c>
      <c r="C548" s="1595" t="s">
        <v>5403</v>
      </c>
      <c r="D548" s="1595" t="s">
        <v>14196</v>
      </c>
      <c r="E548" s="1595"/>
      <c r="F548" s="1595"/>
      <c r="G548" s="1595"/>
      <c r="H548" s="1596">
        <v>1</v>
      </c>
      <c r="I548" s="1595"/>
      <c r="J548" s="1595"/>
      <c r="K548" s="1599">
        <v>159</v>
      </c>
      <c r="L548" s="1599">
        <v>159.13999999999999</v>
      </c>
      <c r="M548" s="1599">
        <v>-159.13999999999999</v>
      </c>
      <c r="N548" s="1598"/>
      <c r="O548" s="1598"/>
      <c r="P548" s="1599">
        <v>159.13999999999999</v>
      </c>
      <c r="Q548" s="1599">
        <v>-159.13999999999999</v>
      </c>
      <c r="R548" s="1598"/>
      <c r="S548" s="1592"/>
    </row>
    <row r="549" spans="2:19" s="1593" customFormat="1" ht="11.25" customHeight="1" outlineLevel="1">
      <c r="B549" s="1594">
        <v>34166</v>
      </c>
      <c r="C549" s="1595" t="s">
        <v>5403</v>
      </c>
      <c r="D549" s="1595" t="s">
        <v>14195</v>
      </c>
      <c r="E549" s="1595"/>
      <c r="F549" s="1595"/>
      <c r="G549" s="1595"/>
      <c r="H549" s="1596">
        <v>1</v>
      </c>
      <c r="I549" s="1595"/>
      <c r="J549" s="1595"/>
      <c r="K549" s="1599">
        <v>159</v>
      </c>
      <c r="L549" s="1599">
        <v>159.13999999999999</v>
      </c>
      <c r="M549" s="1599">
        <v>-159.13999999999999</v>
      </c>
      <c r="N549" s="1598"/>
      <c r="O549" s="1598"/>
      <c r="P549" s="1599">
        <v>159.13999999999999</v>
      </c>
      <c r="Q549" s="1599">
        <v>-159.13999999999999</v>
      </c>
      <c r="R549" s="1598"/>
      <c r="S549" s="1592"/>
    </row>
    <row r="550" spans="2:19" s="1593" customFormat="1" ht="11.25" customHeight="1" outlineLevel="1">
      <c r="B550" s="1594">
        <v>34167</v>
      </c>
      <c r="C550" s="1595" t="s">
        <v>5403</v>
      </c>
      <c r="D550" s="1595" t="s">
        <v>14194</v>
      </c>
      <c r="E550" s="1595"/>
      <c r="F550" s="1595"/>
      <c r="G550" s="1595"/>
      <c r="H550" s="1596">
        <v>1</v>
      </c>
      <c r="I550" s="1595"/>
      <c r="J550" s="1595"/>
      <c r="K550" s="1599">
        <v>159</v>
      </c>
      <c r="L550" s="1599">
        <v>159.13999999999999</v>
      </c>
      <c r="M550" s="1599">
        <v>-159.13999999999999</v>
      </c>
      <c r="N550" s="1598"/>
      <c r="O550" s="1598"/>
      <c r="P550" s="1599">
        <v>159.13999999999999</v>
      </c>
      <c r="Q550" s="1599">
        <v>-159.13999999999999</v>
      </c>
      <c r="R550" s="1598"/>
      <c r="S550" s="1592"/>
    </row>
    <row r="551" spans="2:19" s="1593" customFormat="1" ht="11.25" customHeight="1" outlineLevel="1">
      <c r="B551" s="1594">
        <v>34168</v>
      </c>
      <c r="C551" s="1595" t="s">
        <v>5403</v>
      </c>
      <c r="D551" s="1595" t="s">
        <v>14193</v>
      </c>
      <c r="E551" s="1595"/>
      <c r="F551" s="1595"/>
      <c r="G551" s="1595"/>
      <c r="H551" s="1596">
        <v>1</v>
      </c>
      <c r="I551" s="1595"/>
      <c r="J551" s="1595"/>
      <c r="K551" s="1599">
        <v>159</v>
      </c>
      <c r="L551" s="1599">
        <v>159.13999999999999</v>
      </c>
      <c r="M551" s="1599">
        <v>-159.13999999999999</v>
      </c>
      <c r="N551" s="1598"/>
      <c r="O551" s="1598"/>
      <c r="P551" s="1599">
        <v>159.13999999999999</v>
      </c>
      <c r="Q551" s="1599">
        <v>-159.13999999999999</v>
      </c>
      <c r="R551" s="1598"/>
      <c r="S551" s="1592"/>
    </row>
    <row r="552" spans="2:19" s="1593" customFormat="1" ht="11.25" customHeight="1" outlineLevel="1">
      <c r="B552" s="1594">
        <v>34169</v>
      </c>
      <c r="C552" s="1595" t="s">
        <v>5403</v>
      </c>
      <c r="D552" s="1595" t="s">
        <v>14192</v>
      </c>
      <c r="E552" s="1595"/>
      <c r="F552" s="1595"/>
      <c r="G552" s="1595"/>
      <c r="H552" s="1596">
        <v>1</v>
      </c>
      <c r="I552" s="1595"/>
      <c r="J552" s="1595"/>
      <c r="K552" s="1599">
        <v>159</v>
      </c>
      <c r="L552" s="1599">
        <v>159.13999999999999</v>
      </c>
      <c r="M552" s="1599">
        <v>-159.13999999999999</v>
      </c>
      <c r="N552" s="1598"/>
      <c r="O552" s="1598"/>
      <c r="P552" s="1599">
        <v>159.13999999999999</v>
      </c>
      <c r="Q552" s="1599">
        <v>-159.13999999999999</v>
      </c>
      <c r="R552" s="1598"/>
      <c r="S552" s="1592"/>
    </row>
    <row r="553" spans="2:19" s="1593" customFormat="1" ht="11.25" customHeight="1" outlineLevel="1">
      <c r="B553" s="1594">
        <v>34170</v>
      </c>
      <c r="C553" s="1595" t="s">
        <v>5403</v>
      </c>
      <c r="D553" s="1595" t="s">
        <v>14191</v>
      </c>
      <c r="E553" s="1595"/>
      <c r="F553" s="1595"/>
      <c r="G553" s="1595"/>
      <c r="H553" s="1596">
        <v>1</v>
      </c>
      <c r="I553" s="1595"/>
      <c r="J553" s="1595"/>
      <c r="K553" s="1599">
        <v>159</v>
      </c>
      <c r="L553" s="1599">
        <v>159.13999999999999</v>
      </c>
      <c r="M553" s="1599">
        <v>-159.13999999999999</v>
      </c>
      <c r="N553" s="1598"/>
      <c r="O553" s="1598"/>
      <c r="P553" s="1599">
        <v>159.13999999999999</v>
      </c>
      <c r="Q553" s="1599">
        <v>-159.13999999999999</v>
      </c>
      <c r="R553" s="1598"/>
      <c r="S553" s="1592"/>
    </row>
    <row r="554" spans="2:19" s="1593" customFormat="1" ht="11.25" customHeight="1" outlineLevel="1">
      <c r="B554" s="1594">
        <v>34171</v>
      </c>
      <c r="C554" s="1595" t="s">
        <v>5403</v>
      </c>
      <c r="D554" s="1595" t="s">
        <v>14190</v>
      </c>
      <c r="E554" s="1595"/>
      <c r="F554" s="1595"/>
      <c r="G554" s="1595"/>
      <c r="H554" s="1596">
        <v>1</v>
      </c>
      <c r="I554" s="1595"/>
      <c r="J554" s="1595"/>
      <c r="K554" s="1599">
        <v>159</v>
      </c>
      <c r="L554" s="1599">
        <v>159.13999999999999</v>
      </c>
      <c r="M554" s="1599">
        <v>-159.13999999999999</v>
      </c>
      <c r="N554" s="1598"/>
      <c r="O554" s="1598"/>
      <c r="P554" s="1599">
        <v>159.13999999999999</v>
      </c>
      <c r="Q554" s="1599">
        <v>-159.13999999999999</v>
      </c>
      <c r="R554" s="1598"/>
      <c r="S554" s="1592"/>
    </row>
    <row r="555" spans="2:19" s="1593" customFormat="1" ht="11.25" customHeight="1" outlineLevel="1">
      <c r="B555" s="1594">
        <v>34172</v>
      </c>
      <c r="C555" s="1595" t="s">
        <v>5403</v>
      </c>
      <c r="D555" s="1595" t="s">
        <v>14189</v>
      </c>
      <c r="E555" s="1595"/>
      <c r="F555" s="1595"/>
      <c r="G555" s="1595"/>
      <c r="H555" s="1596">
        <v>1</v>
      </c>
      <c r="I555" s="1595"/>
      <c r="J555" s="1595"/>
      <c r="K555" s="1599">
        <v>159</v>
      </c>
      <c r="L555" s="1599">
        <v>159.13999999999999</v>
      </c>
      <c r="M555" s="1599">
        <v>-159.13999999999999</v>
      </c>
      <c r="N555" s="1598"/>
      <c r="O555" s="1598"/>
      <c r="P555" s="1599">
        <v>159.13999999999999</v>
      </c>
      <c r="Q555" s="1599">
        <v>-159.13999999999999</v>
      </c>
      <c r="R555" s="1598"/>
      <c r="S555" s="1592"/>
    </row>
    <row r="556" spans="2:19" s="1593" customFormat="1" ht="11.25" customHeight="1" outlineLevel="1">
      <c r="B556" s="1594">
        <v>34173</v>
      </c>
      <c r="C556" s="1595" t="s">
        <v>5403</v>
      </c>
      <c r="D556" s="1595" t="s">
        <v>14188</v>
      </c>
      <c r="E556" s="1595"/>
      <c r="F556" s="1595"/>
      <c r="G556" s="1595"/>
      <c r="H556" s="1596">
        <v>1</v>
      </c>
      <c r="I556" s="1595"/>
      <c r="J556" s="1595"/>
      <c r="K556" s="1599">
        <v>159</v>
      </c>
      <c r="L556" s="1599">
        <v>159.13999999999999</v>
      </c>
      <c r="M556" s="1599">
        <v>-159.13999999999999</v>
      </c>
      <c r="N556" s="1598"/>
      <c r="O556" s="1598"/>
      <c r="P556" s="1599">
        <v>159.13999999999999</v>
      </c>
      <c r="Q556" s="1599">
        <v>-159.13999999999999</v>
      </c>
      <c r="R556" s="1598"/>
      <c r="S556" s="1592"/>
    </row>
    <row r="557" spans="2:19" s="1593" customFormat="1" ht="11.25" customHeight="1" outlineLevel="1">
      <c r="B557" s="1594">
        <v>34174</v>
      </c>
      <c r="C557" s="1595" t="s">
        <v>5403</v>
      </c>
      <c r="D557" s="1595" t="s">
        <v>14187</v>
      </c>
      <c r="E557" s="1595"/>
      <c r="F557" s="1595"/>
      <c r="G557" s="1595"/>
      <c r="H557" s="1596">
        <v>1</v>
      </c>
      <c r="I557" s="1595"/>
      <c r="J557" s="1595"/>
      <c r="K557" s="1599">
        <v>159</v>
      </c>
      <c r="L557" s="1599">
        <v>159.13999999999999</v>
      </c>
      <c r="M557" s="1599">
        <v>-159.13999999999999</v>
      </c>
      <c r="N557" s="1598"/>
      <c r="O557" s="1598"/>
      <c r="P557" s="1599">
        <v>159.13999999999999</v>
      </c>
      <c r="Q557" s="1599">
        <v>-159.13999999999999</v>
      </c>
      <c r="R557" s="1598"/>
      <c r="S557" s="1592"/>
    </row>
    <row r="558" spans="2:19" s="1593" customFormat="1" ht="11.25" customHeight="1" outlineLevel="1">
      <c r="B558" s="1594">
        <v>34175</v>
      </c>
      <c r="C558" s="1595" t="s">
        <v>5403</v>
      </c>
      <c r="D558" s="1595" t="s">
        <v>14186</v>
      </c>
      <c r="E558" s="1595"/>
      <c r="F558" s="1595"/>
      <c r="G558" s="1595"/>
      <c r="H558" s="1596">
        <v>1</v>
      </c>
      <c r="I558" s="1595"/>
      <c r="J558" s="1595"/>
      <c r="K558" s="1599">
        <v>159</v>
      </c>
      <c r="L558" s="1599">
        <v>159.13999999999999</v>
      </c>
      <c r="M558" s="1599">
        <v>-159.13999999999999</v>
      </c>
      <c r="N558" s="1598"/>
      <c r="O558" s="1598"/>
      <c r="P558" s="1599">
        <v>159.13999999999999</v>
      </c>
      <c r="Q558" s="1599">
        <v>-159.13999999999999</v>
      </c>
      <c r="R558" s="1598"/>
      <c r="S558" s="1592"/>
    </row>
    <row r="559" spans="2:19" s="1593" customFormat="1" ht="11.25" customHeight="1" outlineLevel="1">
      <c r="B559" s="1594">
        <v>34176</v>
      </c>
      <c r="C559" s="1595" t="s">
        <v>5403</v>
      </c>
      <c r="D559" s="1595" t="s">
        <v>14185</v>
      </c>
      <c r="E559" s="1595"/>
      <c r="F559" s="1595"/>
      <c r="G559" s="1595"/>
      <c r="H559" s="1596">
        <v>1</v>
      </c>
      <c r="I559" s="1595"/>
      <c r="J559" s="1595"/>
      <c r="K559" s="1599">
        <v>159</v>
      </c>
      <c r="L559" s="1599">
        <v>159.13999999999999</v>
      </c>
      <c r="M559" s="1599">
        <v>-159.13999999999999</v>
      </c>
      <c r="N559" s="1598"/>
      <c r="O559" s="1598"/>
      <c r="P559" s="1599">
        <v>159.13999999999999</v>
      </c>
      <c r="Q559" s="1599">
        <v>-159.13999999999999</v>
      </c>
      <c r="R559" s="1598"/>
      <c r="S559" s="1592"/>
    </row>
    <row r="560" spans="2:19" s="1593" customFormat="1" ht="11.25" customHeight="1" outlineLevel="1">
      <c r="B560" s="1594">
        <v>34257</v>
      </c>
      <c r="C560" s="1595" t="s">
        <v>5403</v>
      </c>
      <c r="D560" s="1595" t="s">
        <v>14184</v>
      </c>
      <c r="E560" s="1595"/>
      <c r="F560" s="1595"/>
      <c r="G560" s="1595"/>
      <c r="H560" s="1596">
        <v>1</v>
      </c>
      <c r="I560" s="1595"/>
      <c r="J560" s="1595"/>
      <c r="K560" s="1597">
        <v>2638</v>
      </c>
      <c r="L560" s="1597">
        <v>2637.8</v>
      </c>
      <c r="M560" s="1597">
        <v>-2637.8</v>
      </c>
      <c r="N560" s="1598"/>
      <c r="O560" s="1598"/>
      <c r="P560" s="1597">
        <v>2637.8</v>
      </c>
      <c r="Q560" s="1597">
        <v>-2637.8</v>
      </c>
      <c r="R560" s="1598"/>
      <c r="S560" s="1592"/>
    </row>
    <row r="561" spans="2:19" s="1593" customFormat="1" ht="11.25" customHeight="1" outlineLevel="1">
      <c r="B561" s="1594">
        <v>34258</v>
      </c>
      <c r="C561" s="1595" t="s">
        <v>5403</v>
      </c>
      <c r="D561" s="1595" t="s">
        <v>14183</v>
      </c>
      <c r="E561" s="1595"/>
      <c r="F561" s="1595"/>
      <c r="G561" s="1595"/>
      <c r="H561" s="1596">
        <v>1</v>
      </c>
      <c r="I561" s="1595"/>
      <c r="J561" s="1595"/>
      <c r="K561" s="1597">
        <v>2638</v>
      </c>
      <c r="L561" s="1597">
        <v>2637.8</v>
      </c>
      <c r="M561" s="1597">
        <v>-2637.8</v>
      </c>
      <c r="N561" s="1598"/>
      <c r="O561" s="1598"/>
      <c r="P561" s="1597">
        <v>2637.8</v>
      </c>
      <c r="Q561" s="1597">
        <v>-2637.8</v>
      </c>
      <c r="R561" s="1598"/>
      <c r="S561" s="1592"/>
    </row>
    <row r="562" spans="2:19" s="1593" customFormat="1" ht="11.25" customHeight="1" outlineLevel="1">
      <c r="B562" s="1594">
        <v>34259</v>
      </c>
      <c r="C562" s="1595" t="s">
        <v>5403</v>
      </c>
      <c r="D562" s="1595" t="s">
        <v>14182</v>
      </c>
      <c r="E562" s="1595"/>
      <c r="F562" s="1595"/>
      <c r="G562" s="1595"/>
      <c r="H562" s="1596">
        <v>1</v>
      </c>
      <c r="I562" s="1595"/>
      <c r="J562" s="1595"/>
      <c r="K562" s="1597">
        <v>2638</v>
      </c>
      <c r="L562" s="1597">
        <v>2637.8</v>
      </c>
      <c r="M562" s="1597">
        <v>-2637.8</v>
      </c>
      <c r="N562" s="1598"/>
      <c r="O562" s="1598"/>
      <c r="P562" s="1597">
        <v>2637.8</v>
      </c>
      <c r="Q562" s="1597">
        <v>-2637.8</v>
      </c>
      <c r="R562" s="1598"/>
      <c r="S562" s="1592"/>
    </row>
    <row r="563" spans="2:19" s="1593" customFormat="1" ht="11.25" customHeight="1" outlineLevel="1">
      <c r="B563" s="1594">
        <v>34260</v>
      </c>
      <c r="C563" s="1595" t="s">
        <v>5403</v>
      </c>
      <c r="D563" s="1595" t="s">
        <v>14181</v>
      </c>
      <c r="E563" s="1595"/>
      <c r="F563" s="1595"/>
      <c r="G563" s="1595"/>
      <c r="H563" s="1596">
        <v>1</v>
      </c>
      <c r="I563" s="1595"/>
      <c r="J563" s="1595"/>
      <c r="K563" s="1597">
        <v>2638</v>
      </c>
      <c r="L563" s="1597">
        <v>2637.8</v>
      </c>
      <c r="M563" s="1597">
        <v>-2637.8</v>
      </c>
      <c r="N563" s="1598"/>
      <c r="O563" s="1598"/>
      <c r="P563" s="1597">
        <v>2637.8</v>
      </c>
      <c r="Q563" s="1597">
        <v>-2637.8</v>
      </c>
      <c r="R563" s="1598"/>
      <c r="S563" s="1592"/>
    </row>
    <row r="564" spans="2:19" s="1593" customFormat="1" ht="11.25" customHeight="1" outlineLevel="1">
      <c r="B564" s="1594">
        <v>34261</v>
      </c>
      <c r="C564" s="1595" t="s">
        <v>5403</v>
      </c>
      <c r="D564" s="1595" t="s">
        <v>14180</v>
      </c>
      <c r="E564" s="1595"/>
      <c r="F564" s="1595"/>
      <c r="G564" s="1595"/>
      <c r="H564" s="1596">
        <v>1</v>
      </c>
      <c r="I564" s="1595"/>
      <c r="J564" s="1595"/>
      <c r="K564" s="1597">
        <v>2638</v>
      </c>
      <c r="L564" s="1597">
        <v>2637.8</v>
      </c>
      <c r="M564" s="1597">
        <v>-2637.8</v>
      </c>
      <c r="N564" s="1598"/>
      <c r="O564" s="1598"/>
      <c r="P564" s="1597">
        <v>2637.8</v>
      </c>
      <c r="Q564" s="1597">
        <v>-2637.8</v>
      </c>
      <c r="R564" s="1598"/>
      <c r="S564" s="1592"/>
    </row>
    <row r="565" spans="2:19" s="1593" customFormat="1" ht="11.25" customHeight="1" outlineLevel="1">
      <c r="B565" s="1594">
        <v>34262</v>
      </c>
      <c r="C565" s="1595" t="s">
        <v>5403</v>
      </c>
      <c r="D565" s="1595" t="s">
        <v>14179</v>
      </c>
      <c r="E565" s="1595"/>
      <c r="F565" s="1595"/>
      <c r="G565" s="1595"/>
      <c r="H565" s="1596">
        <v>1</v>
      </c>
      <c r="I565" s="1595"/>
      <c r="J565" s="1595"/>
      <c r="K565" s="1597">
        <v>2638</v>
      </c>
      <c r="L565" s="1597">
        <v>2637.8</v>
      </c>
      <c r="M565" s="1597">
        <v>-2637.8</v>
      </c>
      <c r="N565" s="1598"/>
      <c r="O565" s="1598"/>
      <c r="P565" s="1597">
        <v>2637.8</v>
      </c>
      <c r="Q565" s="1597">
        <v>-2637.8</v>
      </c>
      <c r="R565" s="1598"/>
      <c r="S565" s="1592"/>
    </row>
    <row r="566" spans="2:19" s="1593" customFormat="1" ht="11.25" customHeight="1" outlineLevel="1">
      <c r="B566" s="1594">
        <v>34263</v>
      </c>
      <c r="C566" s="1595" t="s">
        <v>5403</v>
      </c>
      <c r="D566" s="1595" t="s">
        <v>14178</v>
      </c>
      <c r="E566" s="1595"/>
      <c r="F566" s="1595"/>
      <c r="G566" s="1595"/>
      <c r="H566" s="1596">
        <v>1</v>
      </c>
      <c r="I566" s="1595"/>
      <c r="J566" s="1595"/>
      <c r="K566" s="1597">
        <v>2638</v>
      </c>
      <c r="L566" s="1597">
        <v>2637.8</v>
      </c>
      <c r="M566" s="1597">
        <v>-2637.8</v>
      </c>
      <c r="N566" s="1598"/>
      <c r="O566" s="1598"/>
      <c r="P566" s="1597">
        <v>2637.8</v>
      </c>
      <c r="Q566" s="1597">
        <v>-2637.8</v>
      </c>
      <c r="R566" s="1598"/>
      <c r="S566" s="1592"/>
    </row>
    <row r="567" spans="2:19" s="1593" customFormat="1" ht="11.25" customHeight="1" outlineLevel="1">
      <c r="B567" s="1594">
        <v>34264</v>
      </c>
      <c r="C567" s="1595" t="s">
        <v>5403</v>
      </c>
      <c r="D567" s="1595" t="s">
        <v>14177</v>
      </c>
      <c r="E567" s="1595"/>
      <c r="F567" s="1595"/>
      <c r="G567" s="1595"/>
      <c r="H567" s="1596">
        <v>1</v>
      </c>
      <c r="I567" s="1595"/>
      <c r="J567" s="1595"/>
      <c r="K567" s="1597">
        <v>2638</v>
      </c>
      <c r="L567" s="1597">
        <v>2637.8</v>
      </c>
      <c r="M567" s="1597">
        <v>-2637.8</v>
      </c>
      <c r="N567" s="1598"/>
      <c r="O567" s="1598"/>
      <c r="P567" s="1597">
        <v>2637.8</v>
      </c>
      <c r="Q567" s="1597">
        <v>-2637.8</v>
      </c>
      <c r="R567" s="1598"/>
      <c r="S567" s="1592"/>
    </row>
    <row r="568" spans="2:19" s="1593" customFormat="1" ht="11.25" customHeight="1" outlineLevel="1">
      <c r="B568" s="1594">
        <v>34265</v>
      </c>
      <c r="C568" s="1595" t="s">
        <v>5403</v>
      </c>
      <c r="D568" s="1595" t="s">
        <v>14176</v>
      </c>
      <c r="E568" s="1595"/>
      <c r="F568" s="1595"/>
      <c r="G568" s="1595"/>
      <c r="H568" s="1596">
        <v>1</v>
      </c>
      <c r="I568" s="1595"/>
      <c r="J568" s="1595"/>
      <c r="K568" s="1597">
        <v>2638</v>
      </c>
      <c r="L568" s="1597">
        <v>2637.8</v>
      </c>
      <c r="M568" s="1597">
        <v>-2637.8</v>
      </c>
      <c r="N568" s="1598"/>
      <c r="O568" s="1598"/>
      <c r="P568" s="1597">
        <v>2637.8</v>
      </c>
      <c r="Q568" s="1597">
        <v>-2637.8</v>
      </c>
      <c r="R568" s="1598"/>
      <c r="S568" s="1592"/>
    </row>
    <row r="569" spans="2:19" s="1593" customFormat="1" ht="11.25" customHeight="1" outlineLevel="1">
      <c r="B569" s="1594">
        <v>34266</v>
      </c>
      <c r="C569" s="1595" t="s">
        <v>5403</v>
      </c>
      <c r="D569" s="1595" t="s">
        <v>14175</v>
      </c>
      <c r="E569" s="1595"/>
      <c r="F569" s="1595"/>
      <c r="G569" s="1595"/>
      <c r="H569" s="1596">
        <v>1</v>
      </c>
      <c r="I569" s="1595"/>
      <c r="J569" s="1595"/>
      <c r="K569" s="1597">
        <v>2638</v>
      </c>
      <c r="L569" s="1597">
        <v>2637.8</v>
      </c>
      <c r="M569" s="1597">
        <v>-2637.8</v>
      </c>
      <c r="N569" s="1598"/>
      <c r="O569" s="1598"/>
      <c r="P569" s="1597">
        <v>2637.8</v>
      </c>
      <c r="Q569" s="1597">
        <v>-2637.8</v>
      </c>
      <c r="R569" s="1598"/>
      <c r="S569" s="1592"/>
    </row>
    <row r="570" spans="2:19" s="1593" customFormat="1" ht="11.25" customHeight="1" outlineLevel="1">
      <c r="B570" s="1594">
        <v>34267</v>
      </c>
      <c r="C570" s="1595" t="s">
        <v>5403</v>
      </c>
      <c r="D570" s="1595" t="s">
        <v>14174</v>
      </c>
      <c r="E570" s="1595"/>
      <c r="F570" s="1595"/>
      <c r="G570" s="1595"/>
      <c r="H570" s="1596">
        <v>1</v>
      </c>
      <c r="I570" s="1595"/>
      <c r="J570" s="1595"/>
      <c r="K570" s="1597">
        <v>2638</v>
      </c>
      <c r="L570" s="1597">
        <v>2637.8</v>
      </c>
      <c r="M570" s="1597">
        <v>-2637.8</v>
      </c>
      <c r="N570" s="1598"/>
      <c r="O570" s="1598"/>
      <c r="P570" s="1597">
        <v>2637.8</v>
      </c>
      <c r="Q570" s="1597">
        <v>-2637.8</v>
      </c>
      <c r="R570" s="1598"/>
      <c r="S570" s="1592"/>
    </row>
    <row r="571" spans="2:19" s="1593" customFormat="1" ht="11.25" customHeight="1" outlineLevel="1">
      <c r="B571" s="1594">
        <v>34268</v>
      </c>
      <c r="C571" s="1595" t="s">
        <v>5403</v>
      </c>
      <c r="D571" s="1595" t="s">
        <v>14173</v>
      </c>
      <c r="E571" s="1595"/>
      <c r="F571" s="1595"/>
      <c r="G571" s="1595"/>
      <c r="H571" s="1596">
        <v>1</v>
      </c>
      <c r="I571" s="1595"/>
      <c r="J571" s="1595"/>
      <c r="K571" s="1597">
        <v>2638</v>
      </c>
      <c r="L571" s="1597">
        <v>2637.8</v>
      </c>
      <c r="M571" s="1597">
        <v>-2637.8</v>
      </c>
      <c r="N571" s="1598"/>
      <c r="O571" s="1598"/>
      <c r="P571" s="1597">
        <v>2637.8</v>
      </c>
      <c r="Q571" s="1597">
        <v>-2637.8</v>
      </c>
      <c r="R571" s="1598"/>
      <c r="S571" s="1592"/>
    </row>
    <row r="572" spans="2:19" s="1593" customFormat="1" ht="11.25" customHeight="1" outlineLevel="1">
      <c r="B572" s="1594">
        <v>34269</v>
      </c>
      <c r="C572" s="1595" t="s">
        <v>5403</v>
      </c>
      <c r="D572" s="1595" t="s">
        <v>14172</v>
      </c>
      <c r="E572" s="1595"/>
      <c r="F572" s="1595"/>
      <c r="G572" s="1595"/>
      <c r="H572" s="1596">
        <v>1</v>
      </c>
      <c r="I572" s="1595"/>
      <c r="J572" s="1595"/>
      <c r="K572" s="1597">
        <v>2638</v>
      </c>
      <c r="L572" s="1597">
        <v>2637.8</v>
      </c>
      <c r="M572" s="1597">
        <v>-2637.8</v>
      </c>
      <c r="N572" s="1598"/>
      <c r="O572" s="1598"/>
      <c r="P572" s="1597">
        <v>2637.8</v>
      </c>
      <c r="Q572" s="1597">
        <v>-2637.8</v>
      </c>
      <c r="R572" s="1598"/>
      <c r="S572" s="1592"/>
    </row>
    <row r="573" spans="2:19" s="1593" customFormat="1" ht="11.25" customHeight="1" outlineLevel="1">
      <c r="B573" s="1594">
        <v>34270</v>
      </c>
      <c r="C573" s="1595" t="s">
        <v>5403</v>
      </c>
      <c r="D573" s="1595" t="s">
        <v>14171</v>
      </c>
      <c r="E573" s="1595"/>
      <c r="F573" s="1595"/>
      <c r="G573" s="1595"/>
      <c r="H573" s="1596">
        <v>1</v>
      </c>
      <c r="I573" s="1595"/>
      <c r="J573" s="1595"/>
      <c r="K573" s="1597">
        <v>2638</v>
      </c>
      <c r="L573" s="1597">
        <v>2637.8</v>
      </c>
      <c r="M573" s="1597">
        <v>-2637.8</v>
      </c>
      <c r="N573" s="1598"/>
      <c r="O573" s="1598"/>
      <c r="P573" s="1597">
        <v>2637.8</v>
      </c>
      <c r="Q573" s="1597">
        <v>-2637.8</v>
      </c>
      <c r="R573" s="1598"/>
      <c r="S573" s="1592"/>
    </row>
    <row r="574" spans="2:19" s="1593" customFormat="1" ht="11.25" customHeight="1" outlineLevel="1">
      <c r="B574" s="1594">
        <v>34357</v>
      </c>
      <c r="C574" s="1595" t="s">
        <v>5403</v>
      </c>
      <c r="D574" s="1595" t="s">
        <v>14170</v>
      </c>
      <c r="E574" s="1595"/>
      <c r="F574" s="1595"/>
      <c r="G574" s="1595"/>
      <c r="H574" s="1596">
        <v>1</v>
      </c>
      <c r="I574" s="1595"/>
      <c r="J574" s="1595"/>
      <c r="K574" s="1597">
        <v>2510</v>
      </c>
      <c r="L574" s="1597">
        <v>2510</v>
      </c>
      <c r="M574" s="1597">
        <v>-2510</v>
      </c>
      <c r="N574" s="1598"/>
      <c r="O574" s="1598"/>
      <c r="P574" s="1597">
        <v>2510</v>
      </c>
      <c r="Q574" s="1597">
        <v>-2510</v>
      </c>
      <c r="R574" s="1598"/>
      <c r="S574" s="1592"/>
    </row>
    <row r="575" spans="2:19" s="1593" customFormat="1" ht="21.75" customHeight="1" outlineLevel="1">
      <c r="B575" s="1594">
        <v>34358</v>
      </c>
      <c r="C575" s="1595" t="s">
        <v>5403</v>
      </c>
      <c r="D575" s="1595" t="s">
        <v>14169</v>
      </c>
      <c r="E575" s="1595"/>
      <c r="F575" s="1595"/>
      <c r="G575" s="1595"/>
      <c r="H575" s="1596">
        <v>1</v>
      </c>
      <c r="I575" s="1595"/>
      <c r="J575" s="1595"/>
      <c r="K575" s="1597">
        <v>2510</v>
      </c>
      <c r="L575" s="1597">
        <v>2510</v>
      </c>
      <c r="M575" s="1597">
        <v>-2510</v>
      </c>
      <c r="N575" s="1598"/>
      <c r="O575" s="1598"/>
      <c r="P575" s="1597">
        <v>2510</v>
      </c>
      <c r="Q575" s="1597">
        <v>-2510</v>
      </c>
      <c r="R575" s="1598"/>
      <c r="S575" s="1592"/>
    </row>
    <row r="576" spans="2:19" s="1593" customFormat="1" ht="11.25" customHeight="1" outlineLevel="1">
      <c r="B576" s="1594">
        <v>34568</v>
      </c>
      <c r="C576" s="1595" t="s">
        <v>5403</v>
      </c>
      <c r="D576" s="1595" t="s">
        <v>14168</v>
      </c>
      <c r="E576" s="1595"/>
      <c r="F576" s="1595"/>
      <c r="G576" s="1595"/>
      <c r="H576" s="1596">
        <v>1</v>
      </c>
      <c r="I576" s="1595"/>
      <c r="J576" s="1595"/>
      <c r="K576" s="1599">
        <v>493</v>
      </c>
      <c r="L576" s="1599">
        <v>493.5</v>
      </c>
      <c r="M576" s="1599">
        <v>-493.5</v>
      </c>
      <c r="N576" s="1598"/>
      <c r="O576" s="1598"/>
      <c r="P576" s="1599">
        <v>493.5</v>
      </c>
      <c r="Q576" s="1599">
        <v>-493.5</v>
      </c>
      <c r="R576" s="1598"/>
      <c r="S576" s="1592"/>
    </row>
    <row r="577" spans="2:19" s="1593" customFormat="1" ht="11.25" customHeight="1" outlineLevel="1">
      <c r="B577" s="1594">
        <v>34582</v>
      </c>
      <c r="C577" s="1595" t="s">
        <v>5403</v>
      </c>
      <c r="D577" s="1595" t="s">
        <v>14167</v>
      </c>
      <c r="E577" s="1595"/>
      <c r="F577" s="1595"/>
      <c r="G577" s="1595"/>
      <c r="H577" s="1596">
        <v>1</v>
      </c>
      <c r="I577" s="1595"/>
      <c r="J577" s="1595"/>
      <c r="K577" s="1597">
        <v>71370</v>
      </c>
      <c r="L577" s="1597">
        <v>71369.67</v>
      </c>
      <c r="M577" s="1597">
        <v>-71369.67</v>
      </c>
      <c r="N577" s="1598"/>
      <c r="O577" s="1598"/>
      <c r="P577" s="1597">
        <v>71369.67</v>
      </c>
      <c r="Q577" s="1597">
        <v>-71369.67</v>
      </c>
      <c r="R577" s="1598"/>
      <c r="S577" s="1592"/>
    </row>
    <row r="578" spans="2:19" s="1593" customFormat="1" ht="11.25" customHeight="1" outlineLevel="1">
      <c r="B578" s="1594">
        <v>34583</v>
      </c>
      <c r="C578" s="1595" t="s">
        <v>5403</v>
      </c>
      <c r="D578" s="1595" t="s">
        <v>14166</v>
      </c>
      <c r="E578" s="1595"/>
      <c r="F578" s="1595"/>
      <c r="G578" s="1595"/>
      <c r="H578" s="1596">
        <v>1</v>
      </c>
      <c r="I578" s="1595"/>
      <c r="J578" s="1595"/>
      <c r="K578" s="1597">
        <v>71370</v>
      </c>
      <c r="L578" s="1597">
        <v>71369.67</v>
      </c>
      <c r="M578" s="1597">
        <v>-71369.67</v>
      </c>
      <c r="N578" s="1598"/>
      <c r="O578" s="1598"/>
      <c r="P578" s="1597">
        <v>71369.67</v>
      </c>
      <c r="Q578" s="1597">
        <v>-71369.67</v>
      </c>
      <c r="R578" s="1598"/>
      <c r="S578" s="1592"/>
    </row>
    <row r="579" spans="2:19" s="1593" customFormat="1" ht="11.25" customHeight="1" outlineLevel="1">
      <c r="B579" s="1594">
        <v>34584</v>
      </c>
      <c r="C579" s="1595" t="s">
        <v>5403</v>
      </c>
      <c r="D579" s="1595" t="s">
        <v>14165</v>
      </c>
      <c r="E579" s="1595"/>
      <c r="F579" s="1595"/>
      <c r="G579" s="1595"/>
      <c r="H579" s="1596">
        <v>1</v>
      </c>
      <c r="I579" s="1595"/>
      <c r="J579" s="1595"/>
      <c r="K579" s="1597">
        <v>71370</v>
      </c>
      <c r="L579" s="1597">
        <v>71369.67</v>
      </c>
      <c r="M579" s="1597">
        <v>-71369.67</v>
      </c>
      <c r="N579" s="1598"/>
      <c r="O579" s="1598"/>
      <c r="P579" s="1597">
        <v>71369.67</v>
      </c>
      <c r="Q579" s="1597">
        <v>-71369.67</v>
      </c>
      <c r="R579" s="1598"/>
      <c r="S579" s="1592"/>
    </row>
    <row r="580" spans="2:19" s="1593" customFormat="1" ht="11.25" customHeight="1" outlineLevel="1">
      <c r="B580" s="1594">
        <v>34586</v>
      </c>
      <c r="C580" s="1595" t="s">
        <v>5403</v>
      </c>
      <c r="D580" s="1595" t="s">
        <v>14164</v>
      </c>
      <c r="E580" s="1595"/>
      <c r="F580" s="1595"/>
      <c r="G580" s="1595"/>
      <c r="H580" s="1596">
        <v>1</v>
      </c>
      <c r="I580" s="1595"/>
      <c r="J580" s="1595"/>
      <c r="K580" s="1597">
        <v>71370</v>
      </c>
      <c r="L580" s="1597">
        <v>71369.67</v>
      </c>
      <c r="M580" s="1597">
        <v>-71369.67</v>
      </c>
      <c r="N580" s="1598"/>
      <c r="O580" s="1598"/>
      <c r="P580" s="1597">
        <v>71369.67</v>
      </c>
      <c r="Q580" s="1597">
        <v>-71369.67</v>
      </c>
      <c r="R580" s="1598"/>
      <c r="S580" s="1592"/>
    </row>
    <row r="581" spans="2:19" s="1593" customFormat="1" ht="11.25" customHeight="1" outlineLevel="1">
      <c r="B581" s="1594">
        <v>34587</v>
      </c>
      <c r="C581" s="1595" t="s">
        <v>5403</v>
      </c>
      <c r="D581" s="1595" t="s">
        <v>14163</v>
      </c>
      <c r="E581" s="1595"/>
      <c r="F581" s="1595"/>
      <c r="G581" s="1595"/>
      <c r="H581" s="1596">
        <v>1</v>
      </c>
      <c r="I581" s="1595"/>
      <c r="J581" s="1595"/>
      <c r="K581" s="1597">
        <v>71370</v>
      </c>
      <c r="L581" s="1597">
        <v>71369.67</v>
      </c>
      <c r="M581" s="1597">
        <v>-71369.67</v>
      </c>
      <c r="N581" s="1598"/>
      <c r="O581" s="1598"/>
      <c r="P581" s="1597">
        <v>71369.67</v>
      </c>
      <c r="Q581" s="1597">
        <v>-71369.67</v>
      </c>
      <c r="R581" s="1598"/>
      <c r="S581" s="1592"/>
    </row>
    <row r="582" spans="2:19" s="1593" customFormat="1" ht="11.25" customHeight="1" outlineLevel="1">
      <c r="B582" s="1594">
        <v>34588</v>
      </c>
      <c r="C582" s="1595" t="s">
        <v>5403</v>
      </c>
      <c r="D582" s="1595" t="s">
        <v>14162</v>
      </c>
      <c r="E582" s="1595"/>
      <c r="F582" s="1595"/>
      <c r="G582" s="1595"/>
      <c r="H582" s="1596">
        <v>1</v>
      </c>
      <c r="I582" s="1595"/>
      <c r="J582" s="1595"/>
      <c r="K582" s="1597">
        <v>71370</v>
      </c>
      <c r="L582" s="1597">
        <v>71369.67</v>
      </c>
      <c r="M582" s="1597">
        <v>-71369.67</v>
      </c>
      <c r="N582" s="1598"/>
      <c r="O582" s="1598"/>
      <c r="P582" s="1597">
        <v>71369.67</v>
      </c>
      <c r="Q582" s="1597">
        <v>-71369.67</v>
      </c>
      <c r="R582" s="1598"/>
      <c r="S582" s="1592"/>
    </row>
    <row r="583" spans="2:19" s="1593" customFormat="1" ht="11.25" customHeight="1" outlineLevel="1">
      <c r="B583" s="1594">
        <v>34589</v>
      </c>
      <c r="C583" s="1595" t="s">
        <v>5403</v>
      </c>
      <c r="D583" s="1595" t="s">
        <v>14161</v>
      </c>
      <c r="E583" s="1595"/>
      <c r="F583" s="1595"/>
      <c r="G583" s="1595"/>
      <c r="H583" s="1596">
        <v>1</v>
      </c>
      <c r="I583" s="1595"/>
      <c r="J583" s="1595"/>
      <c r="K583" s="1597">
        <v>71370</v>
      </c>
      <c r="L583" s="1597">
        <v>71369.67</v>
      </c>
      <c r="M583" s="1597">
        <v>-71369.67</v>
      </c>
      <c r="N583" s="1598"/>
      <c r="O583" s="1598"/>
      <c r="P583" s="1597">
        <v>71369.67</v>
      </c>
      <c r="Q583" s="1597">
        <v>-71369.67</v>
      </c>
      <c r="R583" s="1598"/>
      <c r="S583" s="1592"/>
    </row>
    <row r="584" spans="2:19" s="1593" customFormat="1" ht="11.25" customHeight="1" outlineLevel="1">
      <c r="B584" s="1594">
        <v>34600</v>
      </c>
      <c r="C584" s="1595" t="s">
        <v>5403</v>
      </c>
      <c r="D584" s="1595" t="s">
        <v>14160</v>
      </c>
      <c r="E584" s="1595"/>
      <c r="F584" s="1595"/>
      <c r="G584" s="1595"/>
      <c r="H584" s="1596">
        <v>1</v>
      </c>
      <c r="I584" s="1595"/>
      <c r="J584" s="1595"/>
      <c r="K584" s="1599">
        <v>608</v>
      </c>
      <c r="L584" s="1599">
        <v>607.55999999999995</v>
      </c>
      <c r="M584" s="1599">
        <v>-607.55999999999995</v>
      </c>
      <c r="N584" s="1598"/>
      <c r="O584" s="1598"/>
      <c r="P584" s="1599">
        <v>607.55999999999995</v>
      </c>
      <c r="Q584" s="1599">
        <v>-607.55999999999995</v>
      </c>
      <c r="R584" s="1598"/>
      <c r="S584" s="1592"/>
    </row>
    <row r="585" spans="2:19" s="1593" customFormat="1" ht="11.25" customHeight="1" outlineLevel="1">
      <c r="B585" s="1594">
        <v>34601</v>
      </c>
      <c r="C585" s="1595" t="s">
        <v>5403</v>
      </c>
      <c r="D585" s="1595" t="s">
        <v>14159</v>
      </c>
      <c r="E585" s="1595"/>
      <c r="F585" s="1595"/>
      <c r="G585" s="1595"/>
      <c r="H585" s="1596">
        <v>1</v>
      </c>
      <c r="I585" s="1595"/>
      <c r="J585" s="1595"/>
      <c r="K585" s="1599">
        <v>608</v>
      </c>
      <c r="L585" s="1599">
        <v>607.55999999999995</v>
      </c>
      <c r="M585" s="1599">
        <v>-607.55999999999995</v>
      </c>
      <c r="N585" s="1598"/>
      <c r="O585" s="1598"/>
      <c r="P585" s="1599">
        <v>607.55999999999995</v>
      </c>
      <c r="Q585" s="1599">
        <v>-607.55999999999995</v>
      </c>
      <c r="R585" s="1598"/>
      <c r="S585" s="1592"/>
    </row>
    <row r="586" spans="2:19" s="1593" customFormat="1" ht="11.25" customHeight="1" outlineLevel="1">
      <c r="B586" s="1594">
        <v>34602</v>
      </c>
      <c r="C586" s="1595" t="s">
        <v>5403</v>
      </c>
      <c r="D586" s="1595" t="s">
        <v>14158</v>
      </c>
      <c r="E586" s="1595"/>
      <c r="F586" s="1595"/>
      <c r="G586" s="1595"/>
      <c r="H586" s="1596">
        <v>1</v>
      </c>
      <c r="I586" s="1595"/>
      <c r="J586" s="1595"/>
      <c r="K586" s="1599">
        <v>608</v>
      </c>
      <c r="L586" s="1599">
        <v>607.55999999999995</v>
      </c>
      <c r="M586" s="1599">
        <v>-607.55999999999995</v>
      </c>
      <c r="N586" s="1598"/>
      <c r="O586" s="1598"/>
      <c r="P586" s="1599">
        <v>607.55999999999995</v>
      </c>
      <c r="Q586" s="1599">
        <v>-607.55999999999995</v>
      </c>
      <c r="R586" s="1598"/>
      <c r="S586" s="1592"/>
    </row>
    <row r="587" spans="2:19" s="1593" customFormat="1" ht="11.25" customHeight="1" outlineLevel="1">
      <c r="B587" s="1594">
        <v>34603</v>
      </c>
      <c r="C587" s="1595" t="s">
        <v>5403</v>
      </c>
      <c r="D587" s="1595" t="s">
        <v>14157</v>
      </c>
      <c r="E587" s="1595"/>
      <c r="F587" s="1595"/>
      <c r="G587" s="1595"/>
      <c r="H587" s="1596">
        <v>1</v>
      </c>
      <c r="I587" s="1595"/>
      <c r="J587" s="1595"/>
      <c r="K587" s="1599">
        <v>608</v>
      </c>
      <c r="L587" s="1599">
        <v>607.55999999999995</v>
      </c>
      <c r="M587" s="1599">
        <v>-607.55999999999995</v>
      </c>
      <c r="N587" s="1598"/>
      <c r="O587" s="1598"/>
      <c r="P587" s="1599">
        <v>607.55999999999995</v>
      </c>
      <c r="Q587" s="1599">
        <v>-607.55999999999995</v>
      </c>
      <c r="R587" s="1598"/>
      <c r="S587" s="1592"/>
    </row>
    <row r="588" spans="2:19" s="1593" customFormat="1" ht="11.25" customHeight="1" outlineLevel="1">
      <c r="B588" s="1594">
        <v>34604</v>
      </c>
      <c r="C588" s="1595" t="s">
        <v>5403</v>
      </c>
      <c r="D588" s="1595" t="s">
        <v>14156</v>
      </c>
      <c r="E588" s="1595"/>
      <c r="F588" s="1595"/>
      <c r="G588" s="1595"/>
      <c r="H588" s="1596">
        <v>1</v>
      </c>
      <c r="I588" s="1595"/>
      <c r="J588" s="1595"/>
      <c r="K588" s="1599">
        <v>608</v>
      </c>
      <c r="L588" s="1599">
        <v>607.55999999999995</v>
      </c>
      <c r="M588" s="1599">
        <v>-607.55999999999995</v>
      </c>
      <c r="N588" s="1598"/>
      <c r="O588" s="1598"/>
      <c r="P588" s="1599">
        <v>607.55999999999995</v>
      </c>
      <c r="Q588" s="1599">
        <v>-607.55999999999995</v>
      </c>
      <c r="R588" s="1598"/>
      <c r="S588" s="1592"/>
    </row>
    <row r="589" spans="2:19" s="1593" customFormat="1" ht="11.25" customHeight="1" outlineLevel="1">
      <c r="B589" s="1594">
        <v>34605</v>
      </c>
      <c r="C589" s="1595" t="s">
        <v>5403</v>
      </c>
      <c r="D589" s="1595" t="s">
        <v>14155</v>
      </c>
      <c r="E589" s="1595"/>
      <c r="F589" s="1595"/>
      <c r="G589" s="1595"/>
      <c r="H589" s="1596">
        <v>1</v>
      </c>
      <c r="I589" s="1595"/>
      <c r="J589" s="1595"/>
      <c r="K589" s="1599">
        <v>608</v>
      </c>
      <c r="L589" s="1599">
        <v>607.55999999999995</v>
      </c>
      <c r="M589" s="1599">
        <v>-607.55999999999995</v>
      </c>
      <c r="N589" s="1598"/>
      <c r="O589" s="1598"/>
      <c r="P589" s="1599">
        <v>607.55999999999995</v>
      </c>
      <c r="Q589" s="1599">
        <v>-607.55999999999995</v>
      </c>
      <c r="R589" s="1598"/>
      <c r="S589" s="1592"/>
    </row>
    <row r="590" spans="2:19" s="1593" customFormat="1" ht="11.25" customHeight="1" outlineLevel="1">
      <c r="B590" s="1594">
        <v>34606</v>
      </c>
      <c r="C590" s="1595" t="s">
        <v>5403</v>
      </c>
      <c r="D590" s="1595" t="s">
        <v>14154</v>
      </c>
      <c r="E590" s="1595"/>
      <c r="F590" s="1595"/>
      <c r="G590" s="1595"/>
      <c r="H590" s="1596">
        <v>1</v>
      </c>
      <c r="I590" s="1595"/>
      <c r="J590" s="1595"/>
      <c r="K590" s="1599">
        <v>608</v>
      </c>
      <c r="L590" s="1599">
        <v>607.55999999999995</v>
      </c>
      <c r="M590" s="1599">
        <v>-607.55999999999995</v>
      </c>
      <c r="N590" s="1598"/>
      <c r="O590" s="1598"/>
      <c r="P590" s="1599">
        <v>607.55999999999995</v>
      </c>
      <c r="Q590" s="1599">
        <v>-607.55999999999995</v>
      </c>
      <c r="R590" s="1598"/>
      <c r="S590" s="1592"/>
    </row>
    <row r="591" spans="2:19" s="1593" customFormat="1" ht="11.25" customHeight="1" outlineLevel="1">
      <c r="B591" s="1594">
        <v>34607</v>
      </c>
      <c r="C591" s="1595" t="s">
        <v>5403</v>
      </c>
      <c r="D591" s="1595" t="s">
        <v>14153</v>
      </c>
      <c r="E591" s="1595"/>
      <c r="F591" s="1595"/>
      <c r="G591" s="1595"/>
      <c r="H591" s="1596">
        <v>1</v>
      </c>
      <c r="I591" s="1595"/>
      <c r="J591" s="1595"/>
      <c r="K591" s="1599">
        <v>608</v>
      </c>
      <c r="L591" s="1599">
        <v>607.55999999999995</v>
      </c>
      <c r="M591" s="1599">
        <v>-607.55999999999995</v>
      </c>
      <c r="N591" s="1598"/>
      <c r="O591" s="1598"/>
      <c r="P591" s="1599">
        <v>607.55999999999995</v>
      </c>
      <c r="Q591" s="1599">
        <v>-607.55999999999995</v>
      </c>
      <c r="R591" s="1598"/>
      <c r="S591" s="1592"/>
    </row>
    <row r="592" spans="2:19" s="1593" customFormat="1" ht="11.25" customHeight="1" outlineLevel="1">
      <c r="B592" s="1594">
        <v>34653</v>
      </c>
      <c r="C592" s="1595" t="s">
        <v>5403</v>
      </c>
      <c r="D592" s="1595" t="s">
        <v>14152</v>
      </c>
      <c r="E592" s="1595"/>
      <c r="F592" s="1595"/>
      <c r="G592" s="1595"/>
      <c r="H592" s="1596">
        <v>1</v>
      </c>
      <c r="I592" s="1595"/>
      <c r="J592" s="1595"/>
      <c r="K592" s="1599">
        <v>543</v>
      </c>
      <c r="L592" s="1599">
        <v>543</v>
      </c>
      <c r="M592" s="1599">
        <v>-543</v>
      </c>
      <c r="N592" s="1598"/>
      <c r="O592" s="1598"/>
      <c r="P592" s="1599">
        <v>543</v>
      </c>
      <c r="Q592" s="1599">
        <v>-543</v>
      </c>
      <c r="R592" s="1598"/>
      <c r="S592" s="1592"/>
    </row>
    <row r="593" spans="2:19" s="1593" customFormat="1" ht="11.25" customHeight="1" outlineLevel="1">
      <c r="B593" s="1594">
        <v>34822</v>
      </c>
      <c r="C593" s="1595" t="s">
        <v>5403</v>
      </c>
      <c r="D593" s="1595" t="s">
        <v>14151</v>
      </c>
      <c r="E593" s="1595"/>
      <c r="F593" s="1595"/>
      <c r="G593" s="1595"/>
      <c r="H593" s="1596">
        <v>1</v>
      </c>
      <c r="I593" s="1595"/>
      <c r="J593" s="1595"/>
      <c r="K593" s="1597">
        <v>1929</v>
      </c>
      <c r="L593" s="1597">
        <v>1929</v>
      </c>
      <c r="M593" s="1597">
        <v>-1929</v>
      </c>
      <c r="N593" s="1598"/>
      <c r="O593" s="1598"/>
      <c r="P593" s="1597">
        <v>1929</v>
      </c>
      <c r="Q593" s="1597">
        <v>-1929</v>
      </c>
      <c r="R593" s="1598"/>
      <c r="S593" s="1592"/>
    </row>
    <row r="594" spans="2:19" s="1593" customFormat="1" ht="11.25" customHeight="1" outlineLevel="1">
      <c r="B594" s="1594">
        <v>34823</v>
      </c>
      <c r="C594" s="1595" t="s">
        <v>5403</v>
      </c>
      <c r="D594" s="1595" t="s">
        <v>14150</v>
      </c>
      <c r="E594" s="1595"/>
      <c r="F594" s="1595"/>
      <c r="G594" s="1595"/>
      <c r="H594" s="1596">
        <v>1</v>
      </c>
      <c r="I594" s="1595"/>
      <c r="J594" s="1595"/>
      <c r="K594" s="1597">
        <v>1929</v>
      </c>
      <c r="L594" s="1597">
        <v>1929</v>
      </c>
      <c r="M594" s="1597">
        <v>-1929</v>
      </c>
      <c r="N594" s="1598"/>
      <c r="O594" s="1598"/>
      <c r="P594" s="1597">
        <v>1929</v>
      </c>
      <c r="Q594" s="1597">
        <v>-1929</v>
      </c>
      <c r="R594" s="1598"/>
      <c r="S594" s="1592"/>
    </row>
    <row r="595" spans="2:19" s="1593" customFormat="1" ht="11.25" customHeight="1" outlineLevel="1">
      <c r="B595" s="1594">
        <v>34824</v>
      </c>
      <c r="C595" s="1595" t="s">
        <v>5403</v>
      </c>
      <c r="D595" s="1595" t="s">
        <v>14149</v>
      </c>
      <c r="E595" s="1595"/>
      <c r="F595" s="1595"/>
      <c r="G595" s="1595"/>
      <c r="H595" s="1596">
        <v>1</v>
      </c>
      <c r="I595" s="1595"/>
      <c r="J595" s="1595"/>
      <c r="K595" s="1597">
        <v>1929</v>
      </c>
      <c r="L595" s="1597">
        <v>1929</v>
      </c>
      <c r="M595" s="1597">
        <v>-1929</v>
      </c>
      <c r="N595" s="1598"/>
      <c r="O595" s="1598"/>
      <c r="P595" s="1597">
        <v>1929</v>
      </c>
      <c r="Q595" s="1597">
        <v>-1929</v>
      </c>
      <c r="R595" s="1598"/>
      <c r="S595" s="1592"/>
    </row>
    <row r="596" spans="2:19" s="1593" customFormat="1" ht="11.25" customHeight="1" outlineLevel="1">
      <c r="B596" s="1594">
        <v>35085</v>
      </c>
      <c r="C596" s="1595" t="s">
        <v>5403</v>
      </c>
      <c r="D596" s="1595" t="s">
        <v>14148</v>
      </c>
      <c r="E596" s="1595"/>
      <c r="F596" s="1595"/>
      <c r="G596" s="1595"/>
      <c r="H596" s="1596">
        <v>1</v>
      </c>
      <c r="I596" s="1595"/>
      <c r="J596" s="1595"/>
      <c r="K596" s="1597">
        <v>24024</v>
      </c>
      <c r="L596" s="1597">
        <v>24024</v>
      </c>
      <c r="M596" s="1597">
        <v>-24024</v>
      </c>
      <c r="N596" s="1598"/>
      <c r="O596" s="1598"/>
      <c r="P596" s="1597">
        <v>24024</v>
      </c>
      <c r="Q596" s="1597">
        <v>-24024</v>
      </c>
      <c r="R596" s="1598"/>
      <c r="S596" s="1592"/>
    </row>
    <row r="597" spans="2:19" s="1593" customFormat="1" ht="11.25" customHeight="1" outlineLevel="1">
      <c r="B597" s="1594">
        <v>35147</v>
      </c>
      <c r="C597" s="1595" t="s">
        <v>5403</v>
      </c>
      <c r="D597" s="1595" t="s">
        <v>14147</v>
      </c>
      <c r="E597" s="1595"/>
      <c r="F597" s="1595"/>
      <c r="G597" s="1595"/>
      <c r="H597" s="1596">
        <v>1</v>
      </c>
      <c r="I597" s="1595"/>
      <c r="J597" s="1595"/>
      <c r="K597" s="1597">
        <v>39716</v>
      </c>
      <c r="L597" s="1597">
        <v>39716.25</v>
      </c>
      <c r="M597" s="1597">
        <v>-39716.25</v>
      </c>
      <c r="N597" s="1598"/>
      <c r="O597" s="1598"/>
      <c r="P597" s="1597">
        <v>39716.25</v>
      </c>
      <c r="Q597" s="1597">
        <v>-39716.25</v>
      </c>
      <c r="R597" s="1598"/>
      <c r="S597" s="1592"/>
    </row>
    <row r="598" spans="2:19" s="1593" customFormat="1" ht="11.25" customHeight="1" outlineLevel="1">
      <c r="B598" s="1594">
        <v>35148</v>
      </c>
      <c r="C598" s="1595" t="s">
        <v>5403</v>
      </c>
      <c r="D598" s="1595" t="s">
        <v>14146</v>
      </c>
      <c r="E598" s="1595"/>
      <c r="F598" s="1595"/>
      <c r="G598" s="1595"/>
      <c r="H598" s="1596">
        <v>1</v>
      </c>
      <c r="I598" s="1595"/>
      <c r="J598" s="1595"/>
      <c r="K598" s="1597">
        <v>39716</v>
      </c>
      <c r="L598" s="1597">
        <v>39716.25</v>
      </c>
      <c r="M598" s="1597">
        <v>-39716.25</v>
      </c>
      <c r="N598" s="1598"/>
      <c r="O598" s="1598"/>
      <c r="P598" s="1597">
        <v>39716.25</v>
      </c>
      <c r="Q598" s="1597">
        <v>-39716.25</v>
      </c>
      <c r="R598" s="1598"/>
      <c r="S598" s="1592"/>
    </row>
    <row r="599" spans="2:19" s="1593" customFormat="1" ht="11.25" customHeight="1" outlineLevel="1">
      <c r="B599" s="1594">
        <v>35149</v>
      </c>
      <c r="C599" s="1595" t="s">
        <v>5403</v>
      </c>
      <c r="D599" s="1595" t="s">
        <v>14145</v>
      </c>
      <c r="E599" s="1595"/>
      <c r="F599" s="1595"/>
      <c r="G599" s="1595"/>
      <c r="H599" s="1596">
        <v>1</v>
      </c>
      <c r="I599" s="1595"/>
      <c r="J599" s="1595"/>
      <c r="K599" s="1597">
        <v>39716</v>
      </c>
      <c r="L599" s="1597">
        <v>39716.25</v>
      </c>
      <c r="M599" s="1597">
        <v>-39716.25</v>
      </c>
      <c r="N599" s="1598"/>
      <c r="O599" s="1598"/>
      <c r="P599" s="1597">
        <v>39716.25</v>
      </c>
      <c r="Q599" s="1597">
        <v>-39716.25</v>
      </c>
      <c r="R599" s="1598"/>
      <c r="S599" s="1592"/>
    </row>
    <row r="600" spans="2:19" s="1593" customFormat="1" ht="11.25" customHeight="1" outlineLevel="1">
      <c r="B600" s="1594">
        <v>35150</v>
      </c>
      <c r="C600" s="1595" t="s">
        <v>5403</v>
      </c>
      <c r="D600" s="1595" t="s">
        <v>14144</v>
      </c>
      <c r="E600" s="1595"/>
      <c r="F600" s="1595"/>
      <c r="G600" s="1595"/>
      <c r="H600" s="1596">
        <v>1</v>
      </c>
      <c r="I600" s="1595"/>
      <c r="J600" s="1595"/>
      <c r="K600" s="1597">
        <v>43922</v>
      </c>
      <c r="L600" s="1597">
        <v>43921.5</v>
      </c>
      <c r="M600" s="1597">
        <v>-43921.5</v>
      </c>
      <c r="N600" s="1598"/>
      <c r="O600" s="1598"/>
      <c r="P600" s="1597">
        <v>43921.5</v>
      </c>
      <c r="Q600" s="1597">
        <v>-43921.5</v>
      </c>
      <c r="R600" s="1598"/>
      <c r="S600" s="1592"/>
    </row>
    <row r="601" spans="2:19" s="1593" customFormat="1" ht="11.25" customHeight="1" outlineLevel="1">
      <c r="B601" s="1594">
        <v>35151</v>
      </c>
      <c r="C601" s="1595" t="s">
        <v>5403</v>
      </c>
      <c r="D601" s="1595" t="s">
        <v>14143</v>
      </c>
      <c r="E601" s="1595"/>
      <c r="F601" s="1595"/>
      <c r="G601" s="1595"/>
      <c r="H601" s="1596">
        <v>1</v>
      </c>
      <c r="I601" s="1595"/>
      <c r="J601" s="1595"/>
      <c r="K601" s="1597">
        <v>11570</v>
      </c>
      <c r="L601" s="1597">
        <v>11570</v>
      </c>
      <c r="M601" s="1597">
        <v>-11570</v>
      </c>
      <c r="N601" s="1598"/>
      <c r="O601" s="1598"/>
      <c r="P601" s="1597">
        <v>11570</v>
      </c>
      <c r="Q601" s="1597">
        <v>-11570</v>
      </c>
      <c r="R601" s="1598"/>
      <c r="S601" s="1592"/>
    </row>
    <row r="602" spans="2:19" s="1593" customFormat="1" ht="11.25" customHeight="1" outlineLevel="1">
      <c r="B602" s="1594">
        <v>35152</v>
      </c>
      <c r="C602" s="1595" t="s">
        <v>5403</v>
      </c>
      <c r="D602" s="1595" t="s">
        <v>14142</v>
      </c>
      <c r="E602" s="1595"/>
      <c r="F602" s="1595"/>
      <c r="G602" s="1595"/>
      <c r="H602" s="1596">
        <v>1</v>
      </c>
      <c r="I602" s="1595"/>
      <c r="J602" s="1595"/>
      <c r="K602" s="1597">
        <v>11570</v>
      </c>
      <c r="L602" s="1597">
        <v>11570</v>
      </c>
      <c r="M602" s="1597">
        <v>-11570</v>
      </c>
      <c r="N602" s="1598"/>
      <c r="O602" s="1598"/>
      <c r="P602" s="1597">
        <v>11570</v>
      </c>
      <c r="Q602" s="1597">
        <v>-11570</v>
      </c>
      <c r="R602" s="1598"/>
      <c r="S602" s="1592"/>
    </row>
    <row r="603" spans="2:19" s="1593" customFormat="1" ht="11.25" customHeight="1" outlineLevel="1">
      <c r="B603" s="1594">
        <v>35153</v>
      </c>
      <c r="C603" s="1595" t="s">
        <v>5403</v>
      </c>
      <c r="D603" s="1595" t="s">
        <v>14141</v>
      </c>
      <c r="E603" s="1595"/>
      <c r="F603" s="1595"/>
      <c r="G603" s="1595"/>
      <c r="H603" s="1596">
        <v>1</v>
      </c>
      <c r="I603" s="1595"/>
      <c r="J603" s="1595"/>
      <c r="K603" s="1597">
        <v>11570</v>
      </c>
      <c r="L603" s="1597">
        <v>11570</v>
      </c>
      <c r="M603" s="1597">
        <v>-11570</v>
      </c>
      <c r="N603" s="1598"/>
      <c r="O603" s="1598"/>
      <c r="P603" s="1597">
        <v>11570</v>
      </c>
      <c r="Q603" s="1597">
        <v>-11570</v>
      </c>
      <c r="R603" s="1598"/>
      <c r="S603" s="1592"/>
    </row>
    <row r="604" spans="2:19" s="1593" customFormat="1" ht="11.25" customHeight="1" outlineLevel="1">
      <c r="B604" s="1594">
        <v>35154</v>
      </c>
      <c r="C604" s="1595" t="s">
        <v>5403</v>
      </c>
      <c r="D604" s="1595" t="s">
        <v>14140</v>
      </c>
      <c r="E604" s="1595"/>
      <c r="F604" s="1595"/>
      <c r="G604" s="1595"/>
      <c r="H604" s="1596">
        <v>1</v>
      </c>
      <c r="I604" s="1595"/>
      <c r="J604" s="1595"/>
      <c r="K604" s="1597">
        <v>11570</v>
      </c>
      <c r="L604" s="1597">
        <v>11570</v>
      </c>
      <c r="M604" s="1597">
        <v>-11570</v>
      </c>
      <c r="N604" s="1598"/>
      <c r="O604" s="1598"/>
      <c r="P604" s="1597">
        <v>11570</v>
      </c>
      <c r="Q604" s="1597">
        <v>-11570</v>
      </c>
      <c r="R604" s="1598"/>
      <c r="S604" s="1592"/>
    </row>
    <row r="605" spans="2:19" s="1593" customFormat="1" ht="11.25" customHeight="1" outlineLevel="1">
      <c r="B605" s="1594">
        <v>35155</v>
      </c>
      <c r="C605" s="1595" t="s">
        <v>5403</v>
      </c>
      <c r="D605" s="1595" t="s">
        <v>14139</v>
      </c>
      <c r="E605" s="1595"/>
      <c r="F605" s="1595"/>
      <c r="G605" s="1595"/>
      <c r="H605" s="1596">
        <v>1</v>
      </c>
      <c r="I605" s="1595"/>
      <c r="J605" s="1595"/>
      <c r="K605" s="1597">
        <v>11570</v>
      </c>
      <c r="L605" s="1597">
        <v>11570</v>
      </c>
      <c r="M605" s="1597">
        <v>-11570</v>
      </c>
      <c r="N605" s="1598"/>
      <c r="O605" s="1598"/>
      <c r="P605" s="1597">
        <v>11570</v>
      </c>
      <c r="Q605" s="1597">
        <v>-11570</v>
      </c>
      <c r="R605" s="1598"/>
      <c r="S605" s="1592"/>
    </row>
    <row r="606" spans="2:19" s="1593" customFormat="1" ht="11.25" customHeight="1" outlineLevel="1">
      <c r="B606" s="1594">
        <v>35156</v>
      </c>
      <c r="C606" s="1595" t="s">
        <v>5403</v>
      </c>
      <c r="D606" s="1595" t="s">
        <v>14138</v>
      </c>
      <c r="E606" s="1595"/>
      <c r="F606" s="1595"/>
      <c r="G606" s="1595"/>
      <c r="H606" s="1596">
        <v>1</v>
      </c>
      <c r="I606" s="1595"/>
      <c r="J606" s="1595"/>
      <c r="K606" s="1597">
        <v>44760</v>
      </c>
      <c r="L606" s="1597">
        <v>44760.33</v>
      </c>
      <c r="M606" s="1597">
        <v>-44760.33</v>
      </c>
      <c r="N606" s="1598"/>
      <c r="O606" s="1598"/>
      <c r="P606" s="1597">
        <v>44760.33</v>
      </c>
      <c r="Q606" s="1597">
        <v>-44760.33</v>
      </c>
      <c r="R606" s="1598"/>
      <c r="S606" s="1592"/>
    </row>
    <row r="607" spans="2:19" s="1593" customFormat="1" ht="11.25" customHeight="1" outlineLevel="1">
      <c r="B607" s="1594">
        <v>35157</v>
      </c>
      <c r="C607" s="1595" t="s">
        <v>5403</v>
      </c>
      <c r="D607" s="1595" t="s">
        <v>14137</v>
      </c>
      <c r="E607" s="1595"/>
      <c r="F607" s="1595"/>
      <c r="G607" s="1595"/>
      <c r="H607" s="1596">
        <v>1</v>
      </c>
      <c r="I607" s="1595"/>
      <c r="J607" s="1595"/>
      <c r="K607" s="1597">
        <v>44760</v>
      </c>
      <c r="L607" s="1597">
        <v>44760.33</v>
      </c>
      <c r="M607" s="1597">
        <v>-44760.33</v>
      </c>
      <c r="N607" s="1598"/>
      <c r="O607" s="1598"/>
      <c r="P607" s="1597">
        <v>44760.33</v>
      </c>
      <c r="Q607" s="1597">
        <v>-44760.33</v>
      </c>
      <c r="R607" s="1598"/>
      <c r="S607" s="1592"/>
    </row>
    <row r="608" spans="2:19" s="1593" customFormat="1" ht="11.25" customHeight="1" outlineLevel="1">
      <c r="B608" s="1594">
        <v>35158</v>
      </c>
      <c r="C608" s="1595" t="s">
        <v>5403</v>
      </c>
      <c r="D608" s="1595" t="s">
        <v>14136</v>
      </c>
      <c r="E608" s="1595"/>
      <c r="F608" s="1595"/>
      <c r="G608" s="1595"/>
      <c r="H608" s="1596">
        <v>1</v>
      </c>
      <c r="I608" s="1595"/>
      <c r="J608" s="1595"/>
      <c r="K608" s="1599">
        <v>461</v>
      </c>
      <c r="L608" s="1599">
        <v>461</v>
      </c>
      <c r="M608" s="1599">
        <v>-461</v>
      </c>
      <c r="N608" s="1598"/>
      <c r="O608" s="1598"/>
      <c r="P608" s="1599">
        <v>461</v>
      </c>
      <c r="Q608" s="1599">
        <v>-461</v>
      </c>
      <c r="R608" s="1598"/>
      <c r="S608" s="1592"/>
    </row>
    <row r="609" spans="2:19" s="1593" customFormat="1" ht="11.25" customHeight="1" outlineLevel="1">
      <c r="B609" s="1594">
        <v>35163</v>
      </c>
      <c r="C609" s="1595" t="s">
        <v>5403</v>
      </c>
      <c r="D609" s="1595" t="s">
        <v>14135</v>
      </c>
      <c r="E609" s="1595"/>
      <c r="F609" s="1595"/>
      <c r="G609" s="1595"/>
      <c r="H609" s="1596">
        <v>1</v>
      </c>
      <c r="I609" s="1595"/>
      <c r="J609" s="1595"/>
      <c r="K609" s="1597">
        <v>1006</v>
      </c>
      <c r="L609" s="1597">
        <v>1006</v>
      </c>
      <c r="M609" s="1597">
        <v>-1006</v>
      </c>
      <c r="N609" s="1598"/>
      <c r="O609" s="1598"/>
      <c r="P609" s="1597">
        <v>1006</v>
      </c>
      <c r="Q609" s="1597">
        <v>-1006</v>
      </c>
      <c r="R609" s="1598"/>
      <c r="S609" s="1592"/>
    </row>
    <row r="610" spans="2:19" s="1593" customFormat="1" ht="11.25" customHeight="1" outlineLevel="1">
      <c r="B610" s="1594">
        <v>35173</v>
      </c>
      <c r="C610" s="1595" t="s">
        <v>5403</v>
      </c>
      <c r="D610" s="1595" t="s">
        <v>14134</v>
      </c>
      <c r="E610" s="1595"/>
      <c r="F610" s="1595"/>
      <c r="G610" s="1595"/>
      <c r="H610" s="1596">
        <v>1</v>
      </c>
      <c r="I610" s="1595"/>
      <c r="J610" s="1595"/>
      <c r="K610" s="1597">
        <v>22820</v>
      </c>
      <c r="L610" s="1597">
        <v>22820</v>
      </c>
      <c r="M610" s="1597">
        <v>-22820</v>
      </c>
      <c r="N610" s="1598"/>
      <c r="O610" s="1598"/>
      <c r="P610" s="1597">
        <v>22820</v>
      </c>
      <c r="Q610" s="1597">
        <v>-22820</v>
      </c>
      <c r="R610" s="1598"/>
      <c r="S610" s="1592"/>
    </row>
    <row r="611" spans="2:19" s="1593" customFormat="1" ht="11.25" customHeight="1" outlineLevel="1">
      <c r="B611" s="1594">
        <v>35174</v>
      </c>
      <c r="C611" s="1595" t="s">
        <v>5403</v>
      </c>
      <c r="D611" s="1595" t="s">
        <v>14133</v>
      </c>
      <c r="E611" s="1595"/>
      <c r="F611" s="1595"/>
      <c r="G611" s="1595"/>
      <c r="H611" s="1596">
        <v>1</v>
      </c>
      <c r="I611" s="1595"/>
      <c r="J611" s="1595"/>
      <c r="K611" s="1597">
        <v>22820</v>
      </c>
      <c r="L611" s="1597">
        <v>22820</v>
      </c>
      <c r="M611" s="1597">
        <v>-22820</v>
      </c>
      <c r="N611" s="1598"/>
      <c r="O611" s="1598"/>
      <c r="P611" s="1597">
        <v>22820</v>
      </c>
      <c r="Q611" s="1597">
        <v>-22820</v>
      </c>
      <c r="R611" s="1598"/>
      <c r="S611" s="1592"/>
    </row>
    <row r="612" spans="2:19" s="1593" customFormat="1" ht="11.25" customHeight="1" outlineLevel="1">
      <c r="B612" s="1594">
        <v>35243</v>
      </c>
      <c r="C612" s="1595" t="s">
        <v>5403</v>
      </c>
      <c r="D612" s="1595" t="s">
        <v>14132</v>
      </c>
      <c r="E612" s="1595"/>
      <c r="F612" s="1595"/>
      <c r="G612" s="1595"/>
      <c r="H612" s="1596">
        <v>1</v>
      </c>
      <c r="I612" s="1595"/>
      <c r="J612" s="1595"/>
      <c r="K612" s="1597">
        <v>4050</v>
      </c>
      <c r="L612" s="1597">
        <v>4049.5</v>
      </c>
      <c r="M612" s="1597">
        <v>-4049.5</v>
      </c>
      <c r="N612" s="1598"/>
      <c r="O612" s="1598"/>
      <c r="P612" s="1597">
        <v>4049.5</v>
      </c>
      <c r="Q612" s="1597">
        <v>-4049.5</v>
      </c>
      <c r="R612" s="1598"/>
      <c r="S612" s="1592"/>
    </row>
    <row r="613" spans="2:19" s="1593" customFormat="1" ht="11.25" customHeight="1" outlineLevel="1">
      <c r="B613" s="1594">
        <v>35244</v>
      </c>
      <c r="C613" s="1595" t="s">
        <v>5403</v>
      </c>
      <c r="D613" s="1595" t="s">
        <v>14131</v>
      </c>
      <c r="E613" s="1595"/>
      <c r="F613" s="1595"/>
      <c r="G613" s="1595"/>
      <c r="H613" s="1596">
        <v>1</v>
      </c>
      <c r="I613" s="1595"/>
      <c r="J613" s="1595"/>
      <c r="K613" s="1597">
        <v>4050</v>
      </c>
      <c r="L613" s="1597">
        <v>4049.5</v>
      </c>
      <c r="M613" s="1597">
        <v>-4049.5</v>
      </c>
      <c r="N613" s="1598"/>
      <c r="O613" s="1598"/>
      <c r="P613" s="1597">
        <v>4049.5</v>
      </c>
      <c r="Q613" s="1597">
        <v>-4049.5</v>
      </c>
      <c r="R613" s="1598"/>
      <c r="S613" s="1592"/>
    </row>
    <row r="614" spans="2:19" s="1593" customFormat="1" ht="11.25" customHeight="1" outlineLevel="1">
      <c r="B614" s="1594">
        <v>35245</v>
      </c>
      <c r="C614" s="1595" t="s">
        <v>5403</v>
      </c>
      <c r="D614" s="1595" t="s">
        <v>14130</v>
      </c>
      <c r="E614" s="1595"/>
      <c r="F614" s="1595"/>
      <c r="G614" s="1595"/>
      <c r="H614" s="1596">
        <v>1</v>
      </c>
      <c r="I614" s="1595"/>
      <c r="J614" s="1595"/>
      <c r="K614" s="1597">
        <v>4205</v>
      </c>
      <c r="L614" s="1597">
        <v>4205.33</v>
      </c>
      <c r="M614" s="1597">
        <v>-4205.33</v>
      </c>
      <c r="N614" s="1598"/>
      <c r="O614" s="1598"/>
      <c r="P614" s="1597">
        <v>4205.33</v>
      </c>
      <c r="Q614" s="1597">
        <v>-4205.33</v>
      </c>
      <c r="R614" s="1598"/>
      <c r="S614" s="1592"/>
    </row>
    <row r="615" spans="2:19" s="1593" customFormat="1" ht="11.25" customHeight="1" outlineLevel="1">
      <c r="B615" s="1594">
        <v>35251</v>
      </c>
      <c r="C615" s="1595" t="s">
        <v>5403</v>
      </c>
      <c r="D615" s="1595" t="s">
        <v>14129</v>
      </c>
      <c r="E615" s="1595"/>
      <c r="F615" s="1595"/>
      <c r="G615" s="1595"/>
      <c r="H615" s="1596">
        <v>1</v>
      </c>
      <c r="I615" s="1595"/>
      <c r="J615" s="1595"/>
      <c r="K615" s="1597">
        <v>1000</v>
      </c>
      <c r="L615" s="1597">
        <v>1000.25</v>
      </c>
      <c r="M615" s="1597">
        <v>-1000.25</v>
      </c>
      <c r="N615" s="1598"/>
      <c r="O615" s="1598"/>
      <c r="P615" s="1597">
        <v>1000.25</v>
      </c>
      <c r="Q615" s="1597">
        <v>-1000.25</v>
      </c>
      <c r="R615" s="1598"/>
      <c r="S615" s="1592"/>
    </row>
    <row r="616" spans="2:19" s="1593" customFormat="1" ht="11.25" customHeight="1" outlineLevel="1">
      <c r="B616" s="1594">
        <v>35252</v>
      </c>
      <c r="C616" s="1595" t="s">
        <v>5403</v>
      </c>
      <c r="D616" s="1595" t="s">
        <v>14128</v>
      </c>
      <c r="E616" s="1595"/>
      <c r="F616" s="1595"/>
      <c r="G616" s="1595"/>
      <c r="H616" s="1596">
        <v>1</v>
      </c>
      <c r="I616" s="1595"/>
      <c r="J616" s="1595"/>
      <c r="K616" s="1597">
        <v>1000</v>
      </c>
      <c r="L616" s="1597">
        <v>1000.25</v>
      </c>
      <c r="M616" s="1597">
        <v>-1000.25</v>
      </c>
      <c r="N616" s="1598"/>
      <c r="O616" s="1598"/>
      <c r="P616" s="1597">
        <v>1000.25</v>
      </c>
      <c r="Q616" s="1597">
        <v>-1000.25</v>
      </c>
      <c r="R616" s="1598"/>
      <c r="S616" s="1592"/>
    </row>
    <row r="617" spans="2:19" s="1593" customFormat="1" ht="11.25" customHeight="1" outlineLevel="1">
      <c r="B617" s="1594">
        <v>35253</v>
      </c>
      <c r="C617" s="1595" t="s">
        <v>5403</v>
      </c>
      <c r="D617" s="1595" t="s">
        <v>14127</v>
      </c>
      <c r="E617" s="1595"/>
      <c r="F617" s="1595"/>
      <c r="G617" s="1595"/>
      <c r="H617" s="1596">
        <v>1</v>
      </c>
      <c r="I617" s="1595"/>
      <c r="J617" s="1595"/>
      <c r="K617" s="1597">
        <v>1000</v>
      </c>
      <c r="L617" s="1597">
        <v>1000.25</v>
      </c>
      <c r="M617" s="1597">
        <v>-1000.25</v>
      </c>
      <c r="N617" s="1598"/>
      <c r="O617" s="1598"/>
      <c r="P617" s="1597">
        <v>1000.25</v>
      </c>
      <c r="Q617" s="1597">
        <v>-1000.25</v>
      </c>
      <c r="R617" s="1598"/>
      <c r="S617" s="1592"/>
    </row>
    <row r="618" spans="2:19" s="1593" customFormat="1" ht="11.25" customHeight="1" outlineLevel="1">
      <c r="B618" s="1594">
        <v>35267</v>
      </c>
      <c r="C618" s="1595" t="s">
        <v>5403</v>
      </c>
      <c r="D618" s="1595" t="s">
        <v>14126</v>
      </c>
      <c r="E618" s="1595"/>
      <c r="F618" s="1595"/>
      <c r="G618" s="1595"/>
      <c r="H618" s="1596">
        <v>1</v>
      </c>
      <c r="I618" s="1595"/>
      <c r="J618" s="1595"/>
      <c r="K618" s="1599">
        <v>855</v>
      </c>
      <c r="L618" s="1599">
        <v>854.67</v>
      </c>
      <c r="M618" s="1599">
        <v>-854.67</v>
      </c>
      <c r="N618" s="1598"/>
      <c r="O618" s="1598"/>
      <c r="P618" s="1599">
        <v>854.67</v>
      </c>
      <c r="Q618" s="1599">
        <v>-854.67</v>
      </c>
      <c r="R618" s="1598"/>
      <c r="S618" s="1592"/>
    </row>
    <row r="619" spans="2:19" s="1593" customFormat="1" ht="11.25" customHeight="1" outlineLevel="1">
      <c r="B619" s="1594">
        <v>35269</v>
      </c>
      <c r="C619" s="1595" t="s">
        <v>5403</v>
      </c>
      <c r="D619" s="1595" t="s">
        <v>14125</v>
      </c>
      <c r="E619" s="1595"/>
      <c r="F619" s="1595"/>
      <c r="G619" s="1595"/>
      <c r="H619" s="1596">
        <v>1</v>
      </c>
      <c r="I619" s="1595"/>
      <c r="J619" s="1595"/>
      <c r="K619" s="1599">
        <v>855</v>
      </c>
      <c r="L619" s="1599">
        <v>854.67</v>
      </c>
      <c r="M619" s="1599">
        <v>-854.67</v>
      </c>
      <c r="N619" s="1598"/>
      <c r="O619" s="1598"/>
      <c r="P619" s="1599">
        <v>854.67</v>
      </c>
      <c r="Q619" s="1599">
        <v>-854.67</v>
      </c>
      <c r="R619" s="1598"/>
      <c r="S619" s="1592"/>
    </row>
    <row r="620" spans="2:19" s="1593" customFormat="1" ht="11.25" customHeight="1" outlineLevel="1">
      <c r="B620" s="1594">
        <v>35270</v>
      </c>
      <c r="C620" s="1595" t="s">
        <v>5403</v>
      </c>
      <c r="D620" s="1595" t="s">
        <v>14124</v>
      </c>
      <c r="E620" s="1595"/>
      <c r="F620" s="1595"/>
      <c r="G620" s="1595"/>
      <c r="H620" s="1596">
        <v>1</v>
      </c>
      <c r="I620" s="1595"/>
      <c r="J620" s="1595"/>
      <c r="K620" s="1599">
        <v>855</v>
      </c>
      <c r="L620" s="1599">
        <v>854.67</v>
      </c>
      <c r="M620" s="1599">
        <v>-854.67</v>
      </c>
      <c r="N620" s="1598"/>
      <c r="O620" s="1598"/>
      <c r="P620" s="1599">
        <v>854.67</v>
      </c>
      <c r="Q620" s="1599">
        <v>-854.67</v>
      </c>
      <c r="R620" s="1598"/>
      <c r="S620" s="1592"/>
    </row>
    <row r="621" spans="2:19" s="1593" customFormat="1" ht="11.25" customHeight="1" outlineLevel="1">
      <c r="B621" s="1594">
        <v>35271</v>
      </c>
      <c r="C621" s="1595" t="s">
        <v>5403</v>
      </c>
      <c r="D621" s="1595" t="s">
        <v>14123</v>
      </c>
      <c r="E621" s="1595"/>
      <c r="F621" s="1595"/>
      <c r="G621" s="1595"/>
      <c r="H621" s="1596">
        <v>1</v>
      </c>
      <c r="I621" s="1595"/>
      <c r="J621" s="1595"/>
      <c r="K621" s="1599">
        <v>855</v>
      </c>
      <c r="L621" s="1599">
        <v>854.67</v>
      </c>
      <c r="M621" s="1599">
        <v>-854.67</v>
      </c>
      <c r="N621" s="1598"/>
      <c r="O621" s="1598"/>
      <c r="P621" s="1599">
        <v>854.67</v>
      </c>
      <c r="Q621" s="1599">
        <v>-854.67</v>
      </c>
      <c r="R621" s="1598"/>
      <c r="S621" s="1592"/>
    </row>
    <row r="622" spans="2:19" s="1593" customFormat="1" ht="11.25" customHeight="1" outlineLevel="1">
      <c r="B622" s="1594">
        <v>35272</v>
      </c>
      <c r="C622" s="1595" t="s">
        <v>5403</v>
      </c>
      <c r="D622" s="1595" t="s">
        <v>14122</v>
      </c>
      <c r="E622" s="1595"/>
      <c r="F622" s="1595"/>
      <c r="G622" s="1595"/>
      <c r="H622" s="1596">
        <v>1</v>
      </c>
      <c r="I622" s="1595"/>
      <c r="J622" s="1595"/>
      <c r="K622" s="1599">
        <v>796</v>
      </c>
      <c r="L622" s="1599">
        <v>795.67</v>
      </c>
      <c r="M622" s="1599">
        <v>-795.67</v>
      </c>
      <c r="N622" s="1598"/>
      <c r="O622" s="1598"/>
      <c r="P622" s="1599">
        <v>795.67</v>
      </c>
      <c r="Q622" s="1599">
        <v>-795.67</v>
      </c>
      <c r="R622" s="1598"/>
      <c r="S622" s="1592"/>
    </row>
    <row r="623" spans="2:19" s="1593" customFormat="1" ht="11.25" customHeight="1" outlineLevel="1">
      <c r="B623" s="1594">
        <v>35273</v>
      </c>
      <c r="C623" s="1595" t="s">
        <v>5403</v>
      </c>
      <c r="D623" s="1595" t="s">
        <v>14121</v>
      </c>
      <c r="E623" s="1595"/>
      <c r="F623" s="1595"/>
      <c r="G623" s="1595"/>
      <c r="H623" s="1596">
        <v>1</v>
      </c>
      <c r="I623" s="1595"/>
      <c r="J623" s="1595"/>
      <c r="K623" s="1599">
        <v>796</v>
      </c>
      <c r="L623" s="1599">
        <v>795.67</v>
      </c>
      <c r="M623" s="1599">
        <v>-795.67</v>
      </c>
      <c r="N623" s="1598"/>
      <c r="O623" s="1598"/>
      <c r="P623" s="1599">
        <v>795.67</v>
      </c>
      <c r="Q623" s="1599">
        <v>-795.67</v>
      </c>
      <c r="R623" s="1598"/>
      <c r="S623" s="1592"/>
    </row>
    <row r="624" spans="2:19" s="1593" customFormat="1" ht="11.25" customHeight="1" outlineLevel="1">
      <c r="B624" s="1594">
        <v>35274</v>
      </c>
      <c r="C624" s="1595" t="s">
        <v>5403</v>
      </c>
      <c r="D624" s="1595" t="s">
        <v>14120</v>
      </c>
      <c r="E624" s="1595"/>
      <c r="F624" s="1595"/>
      <c r="G624" s="1595"/>
      <c r="H624" s="1596">
        <v>1</v>
      </c>
      <c r="I624" s="1595"/>
      <c r="J624" s="1595"/>
      <c r="K624" s="1597">
        <v>1929</v>
      </c>
      <c r="L624" s="1597">
        <v>1929</v>
      </c>
      <c r="M624" s="1597">
        <v>-1929</v>
      </c>
      <c r="N624" s="1598"/>
      <c r="O624" s="1598"/>
      <c r="P624" s="1597">
        <v>1929</v>
      </c>
      <c r="Q624" s="1597">
        <v>-1929</v>
      </c>
      <c r="R624" s="1598"/>
      <c r="S624" s="1592"/>
    </row>
    <row r="625" spans="2:19" s="1593" customFormat="1" ht="11.25" customHeight="1" outlineLevel="1">
      <c r="B625" s="1594">
        <v>35275</v>
      </c>
      <c r="C625" s="1595" t="s">
        <v>5403</v>
      </c>
      <c r="D625" s="1595" t="s">
        <v>14119</v>
      </c>
      <c r="E625" s="1595"/>
      <c r="F625" s="1595"/>
      <c r="G625" s="1595"/>
      <c r="H625" s="1596">
        <v>1</v>
      </c>
      <c r="I625" s="1595"/>
      <c r="J625" s="1595"/>
      <c r="K625" s="1597">
        <v>1929</v>
      </c>
      <c r="L625" s="1597">
        <v>1929</v>
      </c>
      <c r="M625" s="1597">
        <v>-1929</v>
      </c>
      <c r="N625" s="1598"/>
      <c r="O625" s="1598"/>
      <c r="P625" s="1597">
        <v>1929</v>
      </c>
      <c r="Q625" s="1597">
        <v>-1929</v>
      </c>
      <c r="R625" s="1598"/>
      <c r="S625" s="1592"/>
    </row>
    <row r="626" spans="2:19" s="1593" customFormat="1" ht="11.25" customHeight="1" outlineLevel="1">
      <c r="B626" s="1594">
        <v>35279</v>
      </c>
      <c r="C626" s="1595" t="s">
        <v>5403</v>
      </c>
      <c r="D626" s="1595" t="s">
        <v>14118</v>
      </c>
      <c r="E626" s="1595"/>
      <c r="F626" s="1595"/>
      <c r="G626" s="1595"/>
      <c r="H626" s="1596">
        <v>1</v>
      </c>
      <c r="I626" s="1595"/>
      <c r="J626" s="1595"/>
      <c r="K626" s="1599">
        <v>186</v>
      </c>
      <c r="L626" s="1599">
        <v>186</v>
      </c>
      <c r="M626" s="1599">
        <v>-186</v>
      </c>
      <c r="N626" s="1598"/>
      <c r="O626" s="1598"/>
      <c r="P626" s="1599">
        <v>186</v>
      </c>
      <c r="Q626" s="1599">
        <v>-186</v>
      </c>
      <c r="R626" s="1598"/>
      <c r="S626" s="1592"/>
    </row>
    <row r="627" spans="2:19" s="1593" customFormat="1" ht="11.25" customHeight="1" outlineLevel="1">
      <c r="B627" s="1594">
        <v>35289</v>
      </c>
      <c r="C627" s="1595" t="s">
        <v>5403</v>
      </c>
      <c r="D627" s="1595" t="s">
        <v>14117</v>
      </c>
      <c r="E627" s="1595"/>
      <c r="F627" s="1595"/>
      <c r="G627" s="1595"/>
      <c r="H627" s="1596">
        <v>1</v>
      </c>
      <c r="I627" s="1595"/>
      <c r="J627" s="1595"/>
      <c r="K627" s="1599">
        <v>244</v>
      </c>
      <c r="L627" s="1599">
        <v>244.5</v>
      </c>
      <c r="M627" s="1599">
        <v>-244.5</v>
      </c>
      <c r="N627" s="1598"/>
      <c r="O627" s="1598"/>
      <c r="P627" s="1599">
        <v>244.5</v>
      </c>
      <c r="Q627" s="1599">
        <v>-244.5</v>
      </c>
      <c r="R627" s="1598"/>
      <c r="S627" s="1592"/>
    </row>
    <row r="628" spans="2:19" s="1593" customFormat="1" ht="11.25" customHeight="1" outlineLevel="1">
      <c r="B628" s="1594">
        <v>35445</v>
      </c>
      <c r="C628" s="1595" t="s">
        <v>5403</v>
      </c>
      <c r="D628" s="1595" t="s">
        <v>14116</v>
      </c>
      <c r="E628" s="1595"/>
      <c r="F628" s="1595"/>
      <c r="G628" s="1595"/>
      <c r="H628" s="1596">
        <v>1</v>
      </c>
      <c r="I628" s="1595"/>
      <c r="J628" s="1595"/>
      <c r="K628" s="1597">
        <v>1326</v>
      </c>
      <c r="L628" s="1597">
        <v>1326.5</v>
      </c>
      <c r="M628" s="1597">
        <v>-1326.5</v>
      </c>
      <c r="N628" s="1598"/>
      <c r="O628" s="1598"/>
      <c r="P628" s="1597">
        <v>1326.5</v>
      </c>
      <c r="Q628" s="1597">
        <v>-1326.5</v>
      </c>
      <c r="R628" s="1598"/>
      <c r="S628" s="1592"/>
    </row>
    <row r="629" spans="2:19" s="1593" customFormat="1" ht="11.25" customHeight="1" outlineLevel="1">
      <c r="B629" s="1594">
        <v>35446</v>
      </c>
      <c r="C629" s="1595" t="s">
        <v>5403</v>
      </c>
      <c r="D629" s="1595" t="s">
        <v>14115</v>
      </c>
      <c r="E629" s="1595"/>
      <c r="F629" s="1595"/>
      <c r="G629" s="1595"/>
      <c r="H629" s="1596">
        <v>1</v>
      </c>
      <c r="I629" s="1595"/>
      <c r="J629" s="1595"/>
      <c r="K629" s="1597">
        <v>1326</v>
      </c>
      <c r="L629" s="1597">
        <v>1326.5</v>
      </c>
      <c r="M629" s="1597">
        <v>-1326.5</v>
      </c>
      <c r="N629" s="1598"/>
      <c r="O629" s="1598"/>
      <c r="P629" s="1597">
        <v>1326.5</v>
      </c>
      <c r="Q629" s="1597">
        <v>-1326.5</v>
      </c>
      <c r="R629" s="1598"/>
      <c r="S629" s="1592"/>
    </row>
    <row r="630" spans="2:19" s="1593" customFormat="1" ht="11.25" customHeight="1" outlineLevel="1">
      <c r="B630" s="1594">
        <v>35447</v>
      </c>
      <c r="C630" s="1595" t="s">
        <v>5403</v>
      </c>
      <c r="D630" s="1595" t="s">
        <v>14114</v>
      </c>
      <c r="E630" s="1595"/>
      <c r="F630" s="1595"/>
      <c r="G630" s="1595"/>
      <c r="H630" s="1596">
        <v>1</v>
      </c>
      <c r="I630" s="1595"/>
      <c r="J630" s="1595"/>
      <c r="K630" s="1597">
        <v>1326</v>
      </c>
      <c r="L630" s="1597">
        <v>1326.5</v>
      </c>
      <c r="M630" s="1597">
        <v>-1326.5</v>
      </c>
      <c r="N630" s="1598"/>
      <c r="O630" s="1598"/>
      <c r="P630" s="1597">
        <v>1326.5</v>
      </c>
      <c r="Q630" s="1597">
        <v>-1326.5</v>
      </c>
      <c r="R630" s="1598"/>
      <c r="S630" s="1592"/>
    </row>
    <row r="631" spans="2:19" s="1593" customFormat="1" ht="11.25" customHeight="1" outlineLevel="1">
      <c r="B631" s="1594">
        <v>35468</v>
      </c>
      <c r="C631" s="1595" t="s">
        <v>5403</v>
      </c>
      <c r="D631" s="1595" t="s">
        <v>14113</v>
      </c>
      <c r="E631" s="1595"/>
      <c r="F631" s="1595"/>
      <c r="G631" s="1595" t="s">
        <v>14112</v>
      </c>
      <c r="H631" s="1596">
        <v>1</v>
      </c>
      <c r="I631" s="1595"/>
      <c r="J631" s="1595"/>
      <c r="K631" s="1597">
        <v>937853</v>
      </c>
      <c r="L631" s="1597">
        <v>10666717.83</v>
      </c>
      <c r="M631" s="1598"/>
      <c r="N631" s="1597">
        <v>10666717.83</v>
      </c>
      <c r="O631" s="1597">
        <v>6983604.21</v>
      </c>
      <c r="P631" s="1597">
        <v>3023245.5</v>
      </c>
      <c r="Q631" s="1597">
        <v>659868.12</v>
      </c>
      <c r="R631" s="1597">
        <v>3683113.62</v>
      </c>
      <c r="S631" s="1592"/>
    </row>
    <row r="632" spans="2:19" s="1593" customFormat="1" ht="11.25" customHeight="1" outlineLevel="1">
      <c r="B632" s="1594">
        <v>36791</v>
      </c>
      <c r="C632" s="1595" t="s">
        <v>5403</v>
      </c>
      <c r="D632" s="1595" t="s">
        <v>14111</v>
      </c>
      <c r="E632" s="1595"/>
      <c r="F632" s="1595"/>
      <c r="G632" s="1595"/>
      <c r="H632" s="1596">
        <v>1</v>
      </c>
      <c r="I632" s="1595"/>
      <c r="J632" s="1595"/>
      <c r="K632" s="1597">
        <v>25516</v>
      </c>
      <c r="L632" s="1597">
        <v>25516</v>
      </c>
      <c r="M632" s="1597">
        <v>-25516</v>
      </c>
      <c r="N632" s="1598"/>
      <c r="O632" s="1598"/>
      <c r="P632" s="1597">
        <v>25516</v>
      </c>
      <c r="Q632" s="1597">
        <v>-25516</v>
      </c>
      <c r="R632" s="1598"/>
      <c r="S632" s="1592"/>
    </row>
    <row r="633" spans="2:19" s="1593" customFormat="1" ht="11.25" customHeight="1" outlineLevel="1">
      <c r="B633" s="1594">
        <v>36872</v>
      </c>
      <c r="C633" s="1595" t="s">
        <v>5403</v>
      </c>
      <c r="D633" s="1595" t="s">
        <v>14110</v>
      </c>
      <c r="E633" s="1595"/>
      <c r="F633" s="1595"/>
      <c r="G633" s="1595" t="s">
        <v>14103</v>
      </c>
      <c r="H633" s="1596">
        <v>1</v>
      </c>
      <c r="I633" s="1595"/>
      <c r="J633" s="1595"/>
      <c r="K633" s="1599">
        <v>928</v>
      </c>
      <c r="L633" s="1599">
        <v>927.75</v>
      </c>
      <c r="M633" s="1598"/>
      <c r="N633" s="1599">
        <v>927.75</v>
      </c>
      <c r="O633" s="1599">
        <v>380.72</v>
      </c>
      <c r="P633" s="1599">
        <v>528.54999999999995</v>
      </c>
      <c r="Q633" s="1599">
        <v>18.48</v>
      </c>
      <c r="R633" s="1599">
        <v>547.03</v>
      </c>
      <c r="S633" s="1592"/>
    </row>
    <row r="634" spans="2:19" s="1593" customFormat="1" ht="11.25" customHeight="1" outlineLevel="1">
      <c r="B634" s="1594">
        <v>36873</v>
      </c>
      <c r="C634" s="1595" t="s">
        <v>5403</v>
      </c>
      <c r="D634" s="1595" t="s">
        <v>14109</v>
      </c>
      <c r="E634" s="1595"/>
      <c r="F634" s="1595"/>
      <c r="G634" s="1595" t="s">
        <v>14103</v>
      </c>
      <c r="H634" s="1596">
        <v>1</v>
      </c>
      <c r="I634" s="1595"/>
      <c r="J634" s="1595"/>
      <c r="K634" s="1599">
        <v>928</v>
      </c>
      <c r="L634" s="1599">
        <v>927.75</v>
      </c>
      <c r="M634" s="1598"/>
      <c r="N634" s="1599">
        <v>927.75</v>
      </c>
      <c r="O634" s="1599">
        <v>380.72</v>
      </c>
      <c r="P634" s="1599">
        <v>528.54999999999995</v>
      </c>
      <c r="Q634" s="1599">
        <v>18.48</v>
      </c>
      <c r="R634" s="1599">
        <v>547.03</v>
      </c>
      <c r="S634" s="1592"/>
    </row>
    <row r="635" spans="2:19" s="1593" customFormat="1" ht="11.25" customHeight="1" outlineLevel="1">
      <c r="B635" s="1594">
        <v>36874</v>
      </c>
      <c r="C635" s="1595" t="s">
        <v>5403</v>
      </c>
      <c r="D635" s="1595" t="s">
        <v>14108</v>
      </c>
      <c r="E635" s="1595"/>
      <c r="F635" s="1595"/>
      <c r="G635" s="1595" t="s">
        <v>14103</v>
      </c>
      <c r="H635" s="1596">
        <v>1</v>
      </c>
      <c r="I635" s="1595"/>
      <c r="J635" s="1595"/>
      <c r="K635" s="1599">
        <v>928</v>
      </c>
      <c r="L635" s="1599">
        <v>927.75</v>
      </c>
      <c r="M635" s="1598"/>
      <c r="N635" s="1599">
        <v>927.75</v>
      </c>
      <c r="O635" s="1599">
        <v>380.72</v>
      </c>
      <c r="P635" s="1599">
        <v>528.54999999999995</v>
      </c>
      <c r="Q635" s="1599">
        <v>18.48</v>
      </c>
      <c r="R635" s="1599">
        <v>547.03</v>
      </c>
      <c r="S635" s="1592"/>
    </row>
    <row r="636" spans="2:19" s="1593" customFormat="1" ht="11.25" customHeight="1" outlineLevel="1">
      <c r="B636" s="1594">
        <v>36875</v>
      </c>
      <c r="C636" s="1595" t="s">
        <v>5403</v>
      </c>
      <c r="D636" s="1595" t="s">
        <v>14107</v>
      </c>
      <c r="E636" s="1595"/>
      <c r="F636" s="1595"/>
      <c r="G636" s="1595" t="s">
        <v>14103</v>
      </c>
      <c r="H636" s="1596">
        <v>1</v>
      </c>
      <c r="I636" s="1595"/>
      <c r="J636" s="1595"/>
      <c r="K636" s="1599">
        <v>928</v>
      </c>
      <c r="L636" s="1599">
        <v>927.75</v>
      </c>
      <c r="M636" s="1598"/>
      <c r="N636" s="1599">
        <v>927.75</v>
      </c>
      <c r="O636" s="1599">
        <v>380.72</v>
      </c>
      <c r="P636" s="1599">
        <v>528.54999999999995</v>
      </c>
      <c r="Q636" s="1599">
        <v>18.48</v>
      </c>
      <c r="R636" s="1599">
        <v>547.03</v>
      </c>
      <c r="S636" s="1592"/>
    </row>
    <row r="637" spans="2:19" s="1593" customFormat="1" ht="11.25" customHeight="1" outlineLevel="1">
      <c r="B637" s="1594">
        <v>36876</v>
      </c>
      <c r="C637" s="1595" t="s">
        <v>5403</v>
      </c>
      <c r="D637" s="1595" t="s">
        <v>14106</v>
      </c>
      <c r="E637" s="1595"/>
      <c r="F637" s="1595"/>
      <c r="G637" s="1595" t="s">
        <v>14103</v>
      </c>
      <c r="H637" s="1596">
        <v>1</v>
      </c>
      <c r="I637" s="1595"/>
      <c r="J637" s="1595"/>
      <c r="K637" s="1599">
        <v>928</v>
      </c>
      <c r="L637" s="1599">
        <v>927.75</v>
      </c>
      <c r="M637" s="1598"/>
      <c r="N637" s="1599">
        <v>927.75</v>
      </c>
      <c r="O637" s="1599">
        <v>380.72</v>
      </c>
      <c r="P637" s="1599">
        <v>528.54999999999995</v>
      </c>
      <c r="Q637" s="1599">
        <v>18.48</v>
      </c>
      <c r="R637" s="1599">
        <v>547.03</v>
      </c>
      <c r="S637" s="1592"/>
    </row>
    <row r="638" spans="2:19" s="1593" customFormat="1" ht="11.25" customHeight="1" outlineLevel="1">
      <c r="B638" s="1594">
        <v>36877</v>
      </c>
      <c r="C638" s="1595" t="s">
        <v>5403</v>
      </c>
      <c r="D638" s="1595" t="s">
        <v>14105</v>
      </c>
      <c r="E638" s="1595"/>
      <c r="F638" s="1595"/>
      <c r="G638" s="1595" t="s">
        <v>14103</v>
      </c>
      <c r="H638" s="1596">
        <v>1</v>
      </c>
      <c r="I638" s="1595"/>
      <c r="J638" s="1595"/>
      <c r="K638" s="1599">
        <v>928</v>
      </c>
      <c r="L638" s="1599">
        <v>927.75</v>
      </c>
      <c r="M638" s="1598"/>
      <c r="N638" s="1599">
        <v>927.75</v>
      </c>
      <c r="O638" s="1599">
        <v>380.72</v>
      </c>
      <c r="P638" s="1599">
        <v>528.54999999999995</v>
      </c>
      <c r="Q638" s="1599">
        <v>18.48</v>
      </c>
      <c r="R638" s="1599">
        <v>547.03</v>
      </c>
      <c r="S638" s="1592"/>
    </row>
    <row r="639" spans="2:19" s="1593" customFormat="1" ht="11.25" customHeight="1" outlineLevel="1">
      <c r="B639" s="1594">
        <v>36878</v>
      </c>
      <c r="C639" s="1595" t="s">
        <v>5403</v>
      </c>
      <c r="D639" s="1595" t="s">
        <v>14104</v>
      </c>
      <c r="E639" s="1595"/>
      <c r="F639" s="1595"/>
      <c r="G639" s="1595" t="s">
        <v>14103</v>
      </c>
      <c r="H639" s="1596">
        <v>1</v>
      </c>
      <c r="I639" s="1595"/>
      <c r="J639" s="1595"/>
      <c r="K639" s="1599">
        <v>928</v>
      </c>
      <c r="L639" s="1599">
        <v>927.75</v>
      </c>
      <c r="M639" s="1598"/>
      <c r="N639" s="1599">
        <v>927.75</v>
      </c>
      <c r="O639" s="1599">
        <v>380.72</v>
      </c>
      <c r="P639" s="1599">
        <v>528.54999999999995</v>
      </c>
      <c r="Q639" s="1599">
        <v>18.48</v>
      </c>
      <c r="R639" s="1599">
        <v>547.03</v>
      </c>
      <c r="S639" s="1592"/>
    </row>
    <row r="640" spans="2:19" s="1593" customFormat="1" ht="11.25" customHeight="1" outlineLevel="1">
      <c r="B640" s="1594">
        <v>36907</v>
      </c>
      <c r="C640" s="1595" t="s">
        <v>5403</v>
      </c>
      <c r="D640" s="1595" t="s">
        <v>14102</v>
      </c>
      <c r="E640" s="1595"/>
      <c r="F640" s="1595"/>
      <c r="G640" s="1595" t="s">
        <v>3664</v>
      </c>
      <c r="H640" s="1596">
        <v>1</v>
      </c>
      <c r="I640" s="1595"/>
      <c r="J640" s="1595"/>
      <c r="K640" s="1597">
        <v>191499</v>
      </c>
      <c r="L640" s="1597">
        <v>1115027.96</v>
      </c>
      <c r="M640" s="1598"/>
      <c r="N640" s="1597">
        <v>1115027.96</v>
      </c>
      <c r="O640" s="1597">
        <v>6116.85</v>
      </c>
      <c r="P640" s="1597">
        <v>1077123.52</v>
      </c>
      <c r="Q640" s="1597">
        <v>31787.59</v>
      </c>
      <c r="R640" s="1597">
        <v>1108911.1100000001</v>
      </c>
      <c r="S640" s="1592"/>
    </row>
    <row r="641" spans="2:19" s="1593" customFormat="1" ht="11.25" customHeight="1" outlineLevel="1">
      <c r="B641" s="1594">
        <v>36908</v>
      </c>
      <c r="C641" s="1595" t="s">
        <v>5403</v>
      </c>
      <c r="D641" s="1595" t="s">
        <v>14101</v>
      </c>
      <c r="E641" s="1595"/>
      <c r="F641" s="1595"/>
      <c r="G641" s="1595" t="s">
        <v>3664</v>
      </c>
      <c r="H641" s="1596">
        <v>2</v>
      </c>
      <c r="I641" s="1595"/>
      <c r="J641" s="1595"/>
      <c r="K641" s="1597">
        <v>311931</v>
      </c>
      <c r="L641" s="1597">
        <v>265109.90000000002</v>
      </c>
      <c r="M641" s="1598"/>
      <c r="N641" s="1597">
        <v>265109.90000000002</v>
      </c>
      <c r="O641" s="1597">
        <v>44912.15</v>
      </c>
      <c r="P641" s="1597">
        <v>212712.39</v>
      </c>
      <c r="Q641" s="1597">
        <v>7485.36</v>
      </c>
      <c r="R641" s="1597">
        <v>220197.75</v>
      </c>
      <c r="S641" s="1592"/>
    </row>
    <row r="642" spans="2:19" s="1593" customFormat="1" ht="11.25" customHeight="1" outlineLevel="1">
      <c r="B642" s="1594">
        <v>37099</v>
      </c>
      <c r="C642" s="1595" t="s">
        <v>5403</v>
      </c>
      <c r="D642" s="1595" t="s">
        <v>14100</v>
      </c>
      <c r="E642" s="1595"/>
      <c r="F642" s="1595"/>
      <c r="G642" s="1595"/>
      <c r="H642" s="1596">
        <v>1</v>
      </c>
      <c r="I642" s="1595"/>
      <c r="J642" s="1595"/>
      <c r="K642" s="1597">
        <v>9583</v>
      </c>
      <c r="L642" s="1597">
        <v>9582.7999999999993</v>
      </c>
      <c r="M642" s="1597">
        <v>-9582.7999999999993</v>
      </c>
      <c r="N642" s="1598"/>
      <c r="O642" s="1598"/>
      <c r="P642" s="1597">
        <v>9582.7999999999993</v>
      </c>
      <c r="Q642" s="1597">
        <v>-9582.7999999999993</v>
      </c>
      <c r="R642" s="1598"/>
      <c r="S642" s="1592"/>
    </row>
    <row r="643" spans="2:19" s="1593" customFormat="1" ht="11.25" customHeight="1" outlineLevel="1">
      <c r="B643" s="1594">
        <v>37100</v>
      </c>
      <c r="C643" s="1595" t="s">
        <v>5403</v>
      </c>
      <c r="D643" s="1595" t="s">
        <v>14099</v>
      </c>
      <c r="E643" s="1595"/>
      <c r="F643" s="1595"/>
      <c r="G643" s="1595"/>
      <c r="H643" s="1596">
        <v>1</v>
      </c>
      <c r="I643" s="1595"/>
      <c r="J643" s="1595"/>
      <c r="K643" s="1597">
        <v>9583</v>
      </c>
      <c r="L643" s="1597">
        <v>9582.7999999999993</v>
      </c>
      <c r="M643" s="1597">
        <v>-9582.7999999999993</v>
      </c>
      <c r="N643" s="1598"/>
      <c r="O643" s="1598"/>
      <c r="P643" s="1597">
        <v>9582.7999999999993</v>
      </c>
      <c r="Q643" s="1597">
        <v>-9582.7999999999993</v>
      </c>
      <c r="R643" s="1598"/>
      <c r="S643" s="1592"/>
    </row>
    <row r="644" spans="2:19" s="1593" customFormat="1" ht="11.25" customHeight="1" outlineLevel="1">
      <c r="B644" s="1594">
        <v>37101</v>
      </c>
      <c r="C644" s="1595" t="s">
        <v>5403</v>
      </c>
      <c r="D644" s="1595" t="s">
        <v>14098</v>
      </c>
      <c r="E644" s="1595"/>
      <c r="F644" s="1595"/>
      <c r="G644" s="1595"/>
      <c r="H644" s="1596">
        <v>1</v>
      </c>
      <c r="I644" s="1595"/>
      <c r="J644" s="1595"/>
      <c r="K644" s="1597">
        <v>9583</v>
      </c>
      <c r="L644" s="1597">
        <v>9582.7999999999993</v>
      </c>
      <c r="M644" s="1597">
        <v>-9582.7999999999993</v>
      </c>
      <c r="N644" s="1598"/>
      <c r="O644" s="1598"/>
      <c r="P644" s="1597">
        <v>9582.7999999999993</v>
      </c>
      <c r="Q644" s="1597">
        <v>-9582.7999999999993</v>
      </c>
      <c r="R644" s="1598"/>
      <c r="S644" s="1592"/>
    </row>
    <row r="645" spans="2:19" s="1593" customFormat="1" ht="11.25" customHeight="1" outlineLevel="1">
      <c r="B645" s="1594">
        <v>37102</v>
      </c>
      <c r="C645" s="1595" t="s">
        <v>5403</v>
      </c>
      <c r="D645" s="1595" t="s">
        <v>14097</v>
      </c>
      <c r="E645" s="1595"/>
      <c r="F645" s="1595"/>
      <c r="G645" s="1595"/>
      <c r="H645" s="1596">
        <v>1</v>
      </c>
      <c r="I645" s="1595"/>
      <c r="J645" s="1595"/>
      <c r="K645" s="1597">
        <v>9583</v>
      </c>
      <c r="L645" s="1597">
        <v>9582.7999999999993</v>
      </c>
      <c r="M645" s="1597">
        <v>-9582.7999999999993</v>
      </c>
      <c r="N645" s="1598"/>
      <c r="O645" s="1598"/>
      <c r="P645" s="1597">
        <v>9582.7999999999993</v>
      </c>
      <c r="Q645" s="1597">
        <v>-9582.7999999999993</v>
      </c>
      <c r="R645" s="1598"/>
      <c r="S645" s="1592"/>
    </row>
    <row r="646" spans="2:19" s="1593" customFormat="1" ht="11.25" customHeight="1" outlineLevel="1">
      <c r="B646" s="1594">
        <v>37273</v>
      </c>
      <c r="C646" s="1595" t="s">
        <v>5403</v>
      </c>
      <c r="D646" s="1595" t="s">
        <v>14096</v>
      </c>
      <c r="E646" s="1595"/>
      <c r="F646" s="1595"/>
      <c r="G646" s="1595"/>
      <c r="H646" s="1596">
        <v>1</v>
      </c>
      <c r="I646" s="1595"/>
      <c r="J646" s="1595"/>
      <c r="K646" s="1597">
        <v>1735</v>
      </c>
      <c r="L646" s="1597">
        <v>1735.5</v>
      </c>
      <c r="M646" s="1597">
        <v>-1735.5</v>
      </c>
      <c r="N646" s="1598"/>
      <c r="O646" s="1598"/>
      <c r="P646" s="1597">
        <v>1735.5</v>
      </c>
      <c r="Q646" s="1597">
        <v>-1735.5</v>
      </c>
      <c r="R646" s="1598"/>
      <c r="S646" s="1592"/>
    </row>
    <row r="647" spans="2:19" s="1593" customFormat="1" ht="11.25" customHeight="1" outlineLevel="1">
      <c r="B647" s="1594">
        <v>37274</v>
      </c>
      <c r="C647" s="1595" t="s">
        <v>5403</v>
      </c>
      <c r="D647" s="1595" t="s">
        <v>14095</v>
      </c>
      <c r="E647" s="1595"/>
      <c r="F647" s="1595"/>
      <c r="G647" s="1595"/>
      <c r="H647" s="1596">
        <v>1</v>
      </c>
      <c r="I647" s="1595"/>
      <c r="J647" s="1595"/>
      <c r="K647" s="1597">
        <v>15220</v>
      </c>
      <c r="L647" s="1597">
        <v>15220.4</v>
      </c>
      <c r="M647" s="1597">
        <v>-15220.4</v>
      </c>
      <c r="N647" s="1598"/>
      <c r="O647" s="1598"/>
      <c r="P647" s="1597">
        <v>15220.4</v>
      </c>
      <c r="Q647" s="1597">
        <v>-15220.4</v>
      </c>
      <c r="R647" s="1598"/>
      <c r="S647" s="1592"/>
    </row>
    <row r="648" spans="2:19" s="1593" customFormat="1" ht="11.25" customHeight="1" outlineLevel="1">
      <c r="B648" s="1594">
        <v>37275</v>
      </c>
      <c r="C648" s="1595" t="s">
        <v>5403</v>
      </c>
      <c r="D648" s="1595" t="s">
        <v>14094</v>
      </c>
      <c r="E648" s="1595"/>
      <c r="F648" s="1595"/>
      <c r="G648" s="1595"/>
      <c r="H648" s="1596">
        <v>1</v>
      </c>
      <c r="I648" s="1595"/>
      <c r="J648" s="1595"/>
      <c r="K648" s="1597">
        <v>15220</v>
      </c>
      <c r="L648" s="1597">
        <v>15220.4</v>
      </c>
      <c r="M648" s="1597">
        <v>-15220.4</v>
      </c>
      <c r="N648" s="1598"/>
      <c r="O648" s="1598"/>
      <c r="P648" s="1597">
        <v>15220.4</v>
      </c>
      <c r="Q648" s="1597">
        <v>-15220.4</v>
      </c>
      <c r="R648" s="1598"/>
      <c r="S648" s="1592"/>
    </row>
    <row r="649" spans="2:19" s="1593" customFormat="1" ht="11.25" customHeight="1" outlineLevel="1">
      <c r="B649" s="1594">
        <v>37276</v>
      </c>
      <c r="C649" s="1595" t="s">
        <v>5403</v>
      </c>
      <c r="D649" s="1595" t="s">
        <v>14093</v>
      </c>
      <c r="E649" s="1595"/>
      <c r="F649" s="1595"/>
      <c r="G649" s="1595"/>
      <c r="H649" s="1596">
        <v>1</v>
      </c>
      <c r="I649" s="1595"/>
      <c r="J649" s="1595"/>
      <c r="K649" s="1597">
        <v>15220</v>
      </c>
      <c r="L649" s="1597">
        <v>15220.4</v>
      </c>
      <c r="M649" s="1597">
        <v>-15220.4</v>
      </c>
      <c r="N649" s="1598"/>
      <c r="O649" s="1598"/>
      <c r="P649" s="1597">
        <v>15220.4</v>
      </c>
      <c r="Q649" s="1597">
        <v>-15220.4</v>
      </c>
      <c r="R649" s="1598"/>
      <c r="S649" s="1592"/>
    </row>
    <row r="650" spans="2:19" s="1593" customFormat="1" ht="11.25" customHeight="1" outlineLevel="1">
      <c r="B650" s="1594">
        <v>37277</v>
      </c>
      <c r="C650" s="1595" t="s">
        <v>5403</v>
      </c>
      <c r="D650" s="1595" t="s">
        <v>14092</v>
      </c>
      <c r="E650" s="1595"/>
      <c r="F650" s="1595"/>
      <c r="G650" s="1595"/>
      <c r="H650" s="1596">
        <v>1</v>
      </c>
      <c r="I650" s="1595"/>
      <c r="J650" s="1595"/>
      <c r="K650" s="1597">
        <v>15220</v>
      </c>
      <c r="L650" s="1597">
        <v>15220.4</v>
      </c>
      <c r="M650" s="1597">
        <v>-15220.4</v>
      </c>
      <c r="N650" s="1598"/>
      <c r="O650" s="1598"/>
      <c r="P650" s="1597">
        <v>15220.4</v>
      </c>
      <c r="Q650" s="1597">
        <v>-15220.4</v>
      </c>
      <c r="R650" s="1598"/>
      <c r="S650" s="1592"/>
    </row>
    <row r="651" spans="2:19" s="1593" customFormat="1" ht="11.25" customHeight="1" outlineLevel="1">
      <c r="B651" s="1594">
        <v>37278</v>
      </c>
      <c r="C651" s="1595" t="s">
        <v>5403</v>
      </c>
      <c r="D651" s="1595" t="s">
        <v>14091</v>
      </c>
      <c r="E651" s="1595"/>
      <c r="F651" s="1595"/>
      <c r="G651" s="1595"/>
      <c r="H651" s="1596">
        <v>1</v>
      </c>
      <c r="I651" s="1595"/>
      <c r="J651" s="1595"/>
      <c r="K651" s="1597">
        <v>15220</v>
      </c>
      <c r="L651" s="1597">
        <v>15220.4</v>
      </c>
      <c r="M651" s="1597">
        <v>-15220.4</v>
      </c>
      <c r="N651" s="1598"/>
      <c r="O651" s="1598"/>
      <c r="P651" s="1597">
        <v>15220.4</v>
      </c>
      <c r="Q651" s="1597">
        <v>-15220.4</v>
      </c>
      <c r="R651" s="1598"/>
      <c r="S651" s="1592"/>
    </row>
    <row r="652" spans="2:19" s="1593" customFormat="1" ht="11.25" customHeight="1" outlineLevel="1">
      <c r="B652" s="1594">
        <v>37279</v>
      </c>
      <c r="C652" s="1595" t="s">
        <v>5403</v>
      </c>
      <c r="D652" s="1595" t="s">
        <v>14090</v>
      </c>
      <c r="E652" s="1595"/>
      <c r="F652" s="1595"/>
      <c r="G652" s="1595"/>
      <c r="H652" s="1596">
        <v>1</v>
      </c>
      <c r="I652" s="1595"/>
      <c r="J652" s="1595"/>
      <c r="K652" s="1597">
        <v>15220</v>
      </c>
      <c r="L652" s="1597">
        <v>15220.4</v>
      </c>
      <c r="M652" s="1597">
        <v>-15220.4</v>
      </c>
      <c r="N652" s="1598"/>
      <c r="O652" s="1598"/>
      <c r="P652" s="1597">
        <v>15220.4</v>
      </c>
      <c r="Q652" s="1597">
        <v>-15220.4</v>
      </c>
      <c r="R652" s="1598"/>
      <c r="S652" s="1592"/>
    </row>
    <row r="653" spans="2:19" s="1593" customFormat="1" ht="11.25" customHeight="1" outlineLevel="1">
      <c r="B653" s="1594">
        <v>37281</v>
      </c>
      <c r="C653" s="1595" t="s">
        <v>5403</v>
      </c>
      <c r="D653" s="1595" t="s">
        <v>14089</v>
      </c>
      <c r="E653" s="1595"/>
      <c r="F653" s="1595"/>
      <c r="G653" s="1595"/>
      <c r="H653" s="1596">
        <v>1</v>
      </c>
      <c r="I653" s="1595"/>
      <c r="J653" s="1595"/>
      <c r="K653" s="1597">
        <v>15220</v>
      </c>
      <c r="L653" s="1597">
        <v>15220.4</v>
      </c>
      <c r="M653" s="1597">
        <v>-15220.4</v>
      </c>
      <c r="N653" s="1598"/>
      <c r="O653" s="1598"/>
      <c r="P653" s="1597">
        <v>15220.4</v>
      </c>
      <c r="Q653" s="1597">
        <v>-15220.4</v>
      </c>
      <c r="R653" s="1598"/>
      <c r="S653" s="1592"/>
    </row>
    <row r="654" spans="2:19" s="1593" customFormat="1" ht="11.25" customHeight="1" outlineLevel="1">
      <c r="B654" s="1594">
        <v>37282</v>
      </c>
      <c r="C654" s="1595" t="s">
        <v>5403</v>
      </c>
      <c r="D654" s="1595" t="s">
        <v>14088</v>
      </c>
      <c r="E654" s="1595"/>
      <c r="F654" s="1595"/>
      <c r="G654" s="1595"/>
      <c r="H654" s="1596">
        <v>1</v>
      </c>
      <c r="I654" s="1595"/>
      <c r="J654" s="1595"/>
      <c r="K654" s="1597">
        <v>15220</v>
      </c>
      <c r="L654" s="1597">
        <v>15220.4</v>
      </c>
      <c r="M654" s="1597">
        <v>-15220.4</v>
      </c>
      <c r="N654" s="1598"/>
      <c r="O654" s="1598"/>
      <c r="P654" s="1597">
        <v>15220.4</v>
      </c>
      <c r="Q654" s="1597">
        <v>-15220.4</v>
      </c>
      <c r="R654" s="1598"/>
      <c r="S654" s="1592"/>
    </row>
    <row r="655" spans="2:19" s="1593" customFormat="1" ht="11.25" customHeight="1" outlineLevel="1">
      <c r="B655" s="1594">
        <v>37283</v>
      </c>
      <c r="C655" s="1595" t="s">
        <v>5403</v>
      </c>
      <c r="D655" s="1595" t="s">
        <v>14087</v>
      </c>
      <c r="E655" s="1595"/>
      <c r="F655" s="1595"/>
      <c r="G655" s="1595"/>
      <c r="H655" s="1596">
        <v>1</v>
      </c>
      <c r="I655" s="1595"/>
      <c r="J655" s="1595"/>
      <c r="K655" s="1597">
        <v>4075</v>
      </c>
      <c r="L655" s="1597">
        <v>4075.25</v>
      </c>
      <c r="M655" s="1597">
        <v>-4075.25</v>
      </c>
      <c r="N655" s="1598"/>
      <c r="O655" s="1598"/>
      <c r="P655" s="1597">
        <v>4075.25</v>
      </c>
      <c r="Q655" s="1597">
        <v>-4075.25</v>
      </c>
      <c r="R655" s="1598"/>
      <c r="S655" s="1592"/>
    </row>
    <row r="656" spans="2:19" s="1593" customFormat="1" ht="11.25" customHeight="1" outlineLevel="1">
      <c r="B656" s="1594">
        <v>37284</v>
      </c>
      <c r="C656" s="1595" t="s">
        <v>5403</v>
      </c>
      <c r="D656" s="1595" t="s">
        <v>14086</v>
      </c>
      <c r="E656" s="1595"/>
      <c r="F656" s="1595"/>
      <c r="G656" s="1595"/>
      <c r="H656" s="1596">
        <v>1</v>
      </c>
      <c r="I656" s="1595"/>
      <c r="J656" s="1595"/>
      <c r="K656" s="1597">
        <v>4075</v>
      </c>
      <c r="L656" s="1597">
        <v>4075.25</v>
      </c>
      <c r="M656" s="1597">
        <v>-4075.25</v>
      </c>
      <c r="N656" s="1598"/>
      <c r="O656" s="1598"/>
      <c r="P656" s="1597">
        <v>4075.25</v>
      </c>
      <c r="Q656" s="1597">
        <v>-4075.25</v>
      </c>
      <c r="R656" s="1598"/>
      <c r="S656" s="1592"/>
    </row>
    <row r="657" spans="2:19" s="1593" customFormat="1" ht="11.25" customHeight="1" outlineLevel="1">
      <c r="B657" s="1594">
        <v>37285</v>
      </c>
      <c r="C657" s="1595" t="s">
        <v>5403</v>
      </c>
      <c r="D657" s="1595" t="s">
        <v>14085</v>
      </c>
      <c r="E657" s="1595"/>
      <c r="F657" s="1595"/>
      <c r="G657" s="1595"/>
      <c r="H657" s="1596">
        <v>1</v>
      </c>
      <c r="I657" s="1595"/>
      <c r="J657" s="1595"/>
      <c r="K657" s="1597">
        <v>4075</v>
      </c>
      <c r="L657" s="1597">
        <v>4075.25</v>
      </c>
      <c r="M657" s="1597">
        <v>-4075.25</v>
      </c>
      <c r="N657" s="1598"/>
      <c r="O657" s="1598"/>
      <c r="P657" s="1597">
        <v>4075.25</v>
      </c>
      <c r="Q657" s="1597">
        <v>-4075.25</v>
      </c>
      <c r="R657" s="1598"/>
      <c r="S657" s="1592"/>
    </row>
    <row r="658" spans="2:19" s="1593" customFormat="1" ht="11.25" customHeight="1" outlineLevel="1">
      <c r="B658" s="1594">
        <v>37326</v>
      </c>
      <c r="C658" s="1595" t="s">
        <v>5403</v>
      </c>
      <c r="D658" s="1595" t="s">
        <v>14084</v>
      </c>
      <c r="E658" s="1595"/>
      <c r="F658" s="1595"/>
      <c r="G658" s="1595"/>
      <c r="H658" s="1596">
        <v>1</v>
      </c>
      <c r="I658" s="1595"/>
      <c r="J658" s="1595"/>
      <c r="K658" s="1599">
        <v>114</v>
      </c>
      <c r="L658" s="1599">
        <v>113.6</v>
      </c>
      <c r="M658" s="1599">
        <v>-113.6</v>
      </c>
      <c r="N658" s="1598"/>
      <c r="O658" s="1598"/>
      <c r="P658" s="1599">
        <v>113.6</v>
      </c>
      <c r="Q658" s="1599">
        <v>-113.6</v>
      </c>
      <c r="R658" s="1598"/>
      <c r="S658" s="1592"/>
    </row>
    <row r="659" spans="2:19" s="1593" customFormat="1" ht="11.25" customHeight="1" outlineLevel="1">
      <c r="B659" s="1594">
        <v>37327</v>
      </c>
      <c r="C659" s="1595" t="s">
        <v>5403</v>
      </c>
      <c r="D659" s="1595" t="s">
        <v>14083</v>
      </c>
      <c r="E659" s="1595"/>
      <c r="F659" s="1595"/>
      <c r="G659" s="1595"/>
      <c r="H659" s="1596">
        <v>1</v>
      </c>
      <c r="I659" s="1595"/>
      <c r="J659" s="1595"/>
      <c r="K659" s="1599">
        <v>114</v>
      </c>
      <c r="L659" s="1599">
        <v>113.6</v>
      </c>
      <c r="M659" s="1599">
        <v>-113.6</v>
      </c>
      <c r="N659" s="1598"/>
      <c r="O659" s="1598"/>
      <c r="P659" s="1599">
        <v>113.6</v>
      </c>
      <c r="Q659" s="1599">
        <v>-113.6</v>
      </c>
      <c r="R659" s="1598"/>
      <c r="S659" s="1592"/>
    </row>
    <row r="660" spans="2:19" s="1593" customFormat="1" ht="11.25" customHeight="1" outlineLevel="1">
      <c r="B660" s="1594">
        <v>37328</v>
      </c>
      <c r="C660" s="1595" t="s">
        <v>5403</v>
      </c>
      <c r="D660" s="1595" t="s">
        <v>14082</v>
      </c>
      <c r="E660" s="1595"/>
      <c r="F660" s="1595"/>
      <c r="G660" s="1595"/>
      <c r="H660" s="1596">
        <v>1</v>
      </c>
      <c r="I660" s="1595"/>
      <c r="J660" s="1595"/>
      <c r="K660" s="1599">
        <v>114</v>
      </c>
      <c r="L660" s="1599">
        <v>113.6</v>
      </c>
      <c r="M660" s="1599">
        <v>-113.6</v>
      </c>
      <c r="N660" s="1598"/>
      <c r="O660" s="1598"/>
      <c r="P660" s="1599">
        <v>113.6</v>
      </c>
      <c r="Q660" s="1599">
        <v>-113.6</v>
      </c>
      <c r="R660" s="1598"/>
      <c r="S660" s="1592"/>
    </row>
    <row r="661" spans="2:19" s="1593" customFormat="1" ht="11.25" customHeight="1" outlineLevel="1">
      <c r="B661" s="1594">
        <v>37329</v>
      </c>
      <c r="C661" s="1595" t="s">
        <v>5403</v>
      </c>
      <c r="D661" s="1595" t="s">
        <v>14081</v>
      </c>
      <c r="E661" s="1595"/>
      <c r="F661" s="1595"/>
      <c r="G661" s="1595"/>
      <c r="H661" s="1596">
        <v>1</v>
      </c>
      <c r="I661" s="1595"/>
      <c r="J661" s="1595"/>
      <c r="K661" s="1599">
        <v>114</v>
      </c>
      <c r="L661" s="1599">
        <v>113.6</v>
      </c>
      <c r="M661" s="1599">
        <v>-113.6</v>
      </c>
      <c r="N661" s="1598"/>
      <c r="O661" s="1598"/>
      <c r="P661" s="1599">
        <v>113.6</v>
      </c>
      <c r="Q661" s="1599">
        <v>-113.6</v>
      </c>
      <c r="R661" s="1598"/>
      <c r="S661" s="1592"/>
    </row>
    <row r="662" spans="2:19" s="1593" customFormat="1" ht="11.25" customHeight="1" outlineLevel="1">
      <c r="B662" s="1594">
        <v>24526</v>
      </c>
      <c r="C662" s="1595" t="s">
        <v>5053</v>
      </c>
      <c r="D662" s="1595" t="s">
        <v>14080</v>
      </c>
      <c r="E662" s="1595"/>
      <c r="F662" s="1595"/>
      <c r="G662" s="1595"/>
      <c r="H662" s="1596">
        <v>1</v>
      </c>
      <c r="I662" s="1595"/>
      <c r="J662" s="1595"/>
      <c r="K662" s="1597">
        <v>32691</v>
      </c>
      <c r="L662" s="1597">
        <v>32691</v>
      </c>
      <c r="M662" s="1597">
        <v>-32691</v>
      </c>
      <c r="N662" s="1598"/>
      <c r="O662" s="1598"/>
      <c r="P662" s="1597">
        <v>32691</v>
      </c>
      <c r="Q662" s="1597">
        <v>-32691</v>
      </c>
      <c r="R662" s="1598"/>
      <c r="S662" s="1592"/>
    </row>
    <row r="663" spans="2:19" s="1593" customFormat="1" ht="11.25" customHeight="1" outlineLevel="1">
      <c r="B663" s="1594">
        <v>23114</v>
      </c>
      <c r="C663" s="1595" t="s">
        <v>4952</v>
      </c>
      <c r="D663" s="1595" t="s">
        <v>14079</v>
      </c>
      <c r="E663" s="1595"/>
      <c r="F663" s="1595"/>
      <c r="G663" s="1595"/>
      <c r="H663" s="1596">
        <v>1</v>
      </c>
      <c r="I663" s="1595"/>
      <c r="J663" s="1595"/>
      <c r="K663" s="1599">
        <v>126</v>
      </c>
      <c r="L663" s="1599">
        <v>126</v>
      </c>
      <c r="M663" s="1599">
        <v>-126</v>
      </c>
      <c r="N663" s="1598"/>
      <c r="O663" s="1598"/>
      <c r="P663" s="1599">
        <v>126</v>
      </c>
      <c r="Q663" s="1599">
        <v>-126</v>
      </c>
      <c r="R663" s="1598"/>
      <c r="S663" s="1592"/>
    </row>
    <row r="664" spans="2:19" s="1593" customFormat="1" ht="11.25" customHeight="1" outlineLevel="1">
      <c r="B664" s="1594">
        <v>25987</v>
      </c>
      <c r="C664" s="1595" t="s">
        <v>4703</v>
      </c>
      <c r="D664" s="1595" t="s">
        <v>14078</v>
      </c>
      <c r="E664" s="1595"/>
      <c r="F664" s="1595"/>
      <c r="G664" s="1595" t="s">
        <v>14051</v>
      </c>
      <c r="H664" s="1596">
        <v>1</v>
      </c>
      <c r="I664" s="1595"/>
      <c r="J664" s="1595"/>
      <c r="K664" s="1597">
        <v>629699</v>
      </c>
      <c r="L664" s="1597">
        <v>629699</v>
      </c>
      <c r="M664" s="1598"/>
      <c r="N664" s="1597">
        <v>629699</v>
      </c>
      <c r="O664" s="1597">
        <v>441418.7</v>
      </c>
      <c r="P664" s="1597">
        <v>180723.9</v>
      </c>
      <c r="Q664" s="1597">
        <v>7556.4</v>
      </c>
      <c r="R664" s="1597">
        <v>188280.3</v>
      </c>
      <c r="S664" s="1592"/>
    </row>
    <row r="665" spans="2:19" s="1593" customFormat="1" ht="11.25" customHeight="1" outlineLevel="1">
      <c r="B665" s="1594">
        <v>22990</v>
      </c>
      <c r="C665" s="1595" t="s">
        <v>14077</v>
      </c>
      <c r="D665" s="1595" t="s">
        <v>14076</v>
      </c>
      <c r="E665" s="1595"/>
      <c r="F665" s="1595"/>
      <c r="G665" s="1595"/>
      <c r="H665" s="1596">
        <v>1</v>
      </c>
      <c r="I665" s="1595"/>
      <c r="J665" s="1595"/>
      <c r="K665" s="1597">
        <v>9646</v>
      </c>
      <c r="L665" s="1597">
        <v>9646</v>
      </c>
      <c r="M665" s="1597">
        <v>-9646</v>
      </c>
      <c r="N665" s="1598"/>
      <c r="O665" s="1598"/>
      <c r="P665" s="1597">
        <v>9646</v>
      </c>
      <c r="Q665" s="1597">
        <v>-9646</v>
      </c>
      <c r="R665" s="1598"/>
      <c r="S665" s="1592"/>
    </row>
    <row r="666" spans="2:19" s="1593" customFormat="1" ht="11.25" customHeight="1" outlineLevel="1">
      <c r="B666" s="1594">
        <v>26857</v>
      </c>
      <c r="C666" s="1595" t="s">
        <v>4314</v>
      </c>
      <c r="D666" s="1595" t="s">
        <v>14075</v>
      </c>
      <c r="E666" s="1595"/>
      <c r="F666" s="1595"/>
      <c r="G666" s="1595"/>
      <c r="H666" s="1596">
        <v>1</v>
      </c>
      <c r="I666" s="1595"/>
      <c r="J666" s="1595"/>
      <c r="K666" s="1597">
        <v>25000</v>
      </c>
      <c r="L666" s="1597">
        <v>25000</v>
      </c>
      <c r="M666" s="1597">
        <v>-25000</v>
      </c>
      <c r="N666" s="1598"/>
      <c r="O666" s="1598"/>
      <c r="P666" s="1597">
        <v>25000</v>
      </c>
      <c r="Q666" s="1597">
        <v>-25000</v>
      </c>
      <c r="R666" s="1598"/>
      <c r="S666" s="1592"/>
    </row>
    <row r="667" spans="2:19" s="1593" customFormat="1" ht="11.25" customHeight="1" outlineLevel="1">
      <c r="B667" s="1594">
        <v>27281</v>
      </c>
      <c r="C667" s="1595" t="s">
        <v>4142</v>
      </c>
      <c r="D667" s="1595" t="s">
        <v>14074</v>
      </c>
      <c r="E667" s="1595"/>
      <c r="F667" s="1595"/>
      <c r="G667" s="1595"/>
      <c r="H667" s="1596">
        <v>1</v>
      </c>
      <c r="I667" s="1595"/>
      <c r="J667" s="1595"/>
      <c r="K667" s="1597">
        <v>10020</v>
      </c>
      <c r="L667" s="1597">
        <v>10020</v>
      </c>
      <c r="M667" s="1597">
        <v>-10020</v>
      </c>
      <c r="N667" s="1598"/>
      <c r="O667" s="1598"/>
      <c r="P667" s="1597">
        <v>10020</v>
      </c>
      <c r="Q667" s="1597">
        <v>-10020</v>
      </c>
      <c r="R667" s="1598"/>
      <c r="S667" s="1592"/>
    </row>
    <row r="668" spans="2:19" s="1593" customFormat="1" ht="11.25" customHeight="1" outlineLevel="1">
      <c r="B668" s="1594">
        <v>10646</v>
      </c>
      <c r="C668" s="1595" t="s">
        <v>8489</v>
      </c>
      <c r="D668" s="1595" t="s">
        <v>14073</v>
      </c>
      <c r="E668" s="1595"/>
      <c r="F668" s="1595"/>
      <c r="G668" s="1595"/>
      <c r="H668" s="1596">
        <v>1</v>
      </c>
      <c r="I668" s="1595"/>
      <c r="J668" s="1595"/>
      <c r="K668" s="1597">
        <v>32691</v>
      </c>
      <c r="L668" s="1597">
        <v>32691</v>
      </c>
      <c r="M668" s="1597">
        <v>-32691</v>
      </c>
      <c r="N668" s="1598"/>
      <c r="O668" s="1598"/>
      <c r="P668" s="1597">
        <v>30930</v>
      </c>
      <c r="Q668" s="1597">
        <v>-30930</v>
      </c>
      <c r="R668" s="1598"/>
      <c r="S668" s="1592"/>
    </row>
    <row r="669" spans="2:19" s="1593" customFormat="1" ht="11.25" customHeight="1" outlineLevel="1">
      <c r="B669" s="1594">
        <v>27939</v>
      </c>
      <c r="C669" s="1595" t="s">
        <v>4097</v>
      </c>
      <c r="D669" s="1595" t="s">
        <v>14072</v>
      </c>
      <c r="E669" s="1595"/>
      <c r="F669" s="1595"/>
      <c r="G669" s="1595"/>
      <c r="H669" s="1596">
        <v>1</v>
      </c>
      <c r="I669" s="1595"/>
      <c r="J669" s="1595"/>
      <c r="K669" s="1597">
        <v>13300</v>
      </c>
      <c r="L669" s="1597">
        <v>13300</v>
      </c>
      <c r="M669" s="1597">
        <v>-13300</v>
      </c>
      <c r="N669" s="1598"/>
      <c r="O669" s="1598"/>
      <c r="P669" s="1597">
        <v>13300</v>
      </c>
      <c r="Q669" s="1597">
        <v>-13300</v>
      </c>
      <c r="R669" s="1598"/>
      <c r="S669" s="1592"/>
    </row>
    <row r="670" spans="2:19" s="1593" customFormat="1" ht="11.25" customHeight="1" outlineLevel="1">
      <c r="B670" s="1594">
        <v>28268</v>
      </c>
      <c r="C670" s="1595" t="s">
        <v>4043</v>
      </c>
      <c r="D670" s="1595" t="s">
        <v>14071</v>
      </c>
      <c r="E670" s="1595"/>
      <c r="F670" s="1595"/>
      <c r="G670" s="1595"/>
      <c r="H670" s="1596">
        <v>1</v>
      </c>
      <c r="I670" s="1595"/>
      <c r="J670" s="1595"/>
      <c r="K670" s="1597">
        <v>11550</v>
      </c>
      <c r="L670" s="1597">
        <v>11550</v>
      </c>
      <c r="M670" s="1597">
        <v>-11550</v>
      </c>
      <c r="N670" s="1598"/>
      <c r="O670" s="1598"/>
      <c r="P670" s="1597">
        <v>11550</v>
      </c>
      <c r="Q670" s="1597">
        <v>-11550</v>
      </c>
      <c r="R670" s="1598"/>
      <c r="S670" s="1592"/>
    </row>
    <row r="671" spans="2:19" s="1593" customFormat="1" ht="11.25" customHeight="1" outlineLevel="1">
      <c r="B671" s="1594">
        <v>27989</v>
      </c>
      <c r="C671" s="1595" t="s">
        <v>4040</v>
      </c>
      <c r="D671" s="1595" t="s">
        <v>14070</v>
      </c>
      <c r="E671" s="1595"/>
      <c r="F671" s="1595"/>
      <c r="G671" s="1595"/>
      <c r="H671" s="1596">
        <v>1</v>
      </c>
      <c r="I671" s="1595"/>
      <c r="J671" s="1595"/>
      <c r="K671" s="1597">
        <v>58333</v>
      </c>
      <c r="L671" s="1597">
        <v>58333</v>
      </c>
      <c r="M671" s="1597">
        <v>-58333</v>
      </c>
      <c r="N671" s="1598"/>
      <c r="O671" s="1598"/>
      <c r="P671" s="1597">
        <v>34824.300000000003</v>
      </c>
      <c r="Q671" s="1597">
        <v>-34824.300000000003</v>
      </c>
      <c r="R671" s="1598"/>
      <c r="S671" s="1592"/>
    </row>
    <row r="672" spans="2:19" s="1593" customFormat="1" ht="11.25" customHeight="1" outlineLevel="1">
      <c r="B672" s="1594">
        <v>33334</v>
      </c>
      <c r="C672" s="1595" t="s">
        <v>4040</v>
      </c>
      <c r="D672" s="1595" t="s">
        <v>14069</v>
      </c>
      <c r="E672" s="1595"/>
      <c r="F672" s="1595"/>
      <c r="G672" s="1595"/>
      <c r="H672" s="1596">
        <v>1</v>
      </c>
      <c r="I672" s="1595"/>
      <c r="J672" s="1595"/>
      <c r="K672" s="1597">
        <v>58333</v>
      </c>
      <c r="L672" s="1597">
        <v>58333</v>
      </c>
      <c r="M672" s="1597">
        <v>-58333</v>
      </c>
      <c r="N672" s="1598"/>
      <c r="O672" s="1598"/>
      <c r="P672" s="1597">
        <v>34824.300000000003</v>
      </c>
      <c r="Q672" s="1597">
        <v>-34824.300000000003</v>
      </c>
      <c r="R672" s="1598"/>
      <c r="S672" s="1592"/>
    </row>
    <row r="673" spans="2:19" s="1593" customFormat="1" ht="11.25" customHeight="1" outlineLevel="1">
      <c r="B673" s="1594">
        <v>28963</v>
      </c>
      <c r="C673" s="1595" t="s">
        <v>3768</v>
      </c>
      <c r="D673" s="1595" t="s">
        <v>14068</v>
      </c>
      <c r="E673" s="1595"/>
      <c r="F673" s="1595"/>
      <c r="G673" s="1595"/>
      <c r="H673" s="1596">
        <v>1</v>
      </c>
      <c r="I673" s="1595"/>
      <c r="J673" s="1595"/>
      <c r="K673" s="1597">
        <v>16419</v>
      </c>
      <c r="L673" s="1597">
        <v>16419</v>
      </c>
      <c r="M673" s="1597">
        <v>-16419</v>
      </c>
      <c r="N673" s="1598"/>
      <c r="O673" s="1598"/>
      <c r="P673" s="1597">
        <v>16419</v>
      </c>
      <c r="Q673" s="1597">
        <v>-16419</v>
      </c>
      <c r="R673" s="1598"/>
      <c r="S673" s="1592"/>
    </row>
    <row r="674" spans="2:19" s="1593" customFormat="1" ht="11.25" customHeight="1" outlineLevel="1">
      <c r="B674" s="1594">
        <v>29023</v>
      </c>
      <c r="C674" s="1595" t="s">
        <v>3768</v>
      </c>
      <c r="D674" s="1595" t="s">
        <v>14067</v>
      </c>
      <c r="E674" s="1595"/>
      <c r="F674" s="1595"/>
      <c r="G674" s="1595"/>
      <c r="H674" s="1596">
        <v>1</v>
      </c>
      <c r="I674" s="1595"/>
      <c r="J674" s="1595"/>
      <c r="K674" s="1597">
        <v>9711</v>
      </c>
      <c r="L674" s="1597">
        <v>9711</v>
      </c>
      <c r="M674" s="1597">
        <v>-9711</v>
      </c>
      <c r="N674" s="1598"/>
      <c r="O674" s="1598"/>
      <c r="P674" s="1597">
        <v>9711</v>
      </c>
      <c r="Q674" s="1597">
        <v>-9711</v>
      </c>
      <c r="R674" s="1598"/>
      <c r="S674" s="1592"/>
    </row>
    <row r="675" spans="2:19" s="1593" customFormat="1" ht="11.25" customHeight="1" outlineLevel="1">
      <c r="B675" s="1594">
        <v>29024</v>
      </c>
      <c r="C675" s="1595" t="s">
        <v>3768</v>
      </c>
      <c r="D675" s="1595" t="s">
        <v>14066</v>
      </c>
      <c r="E675" s="1595"/>
      <c r="F675" s="1595"/>
      <c r="G675" s="1595"/>
      <c r="H675" s="1596">
        <v>1</v>
      </c>
      <c r="I675" s="1595"/>
      <c r="J675" s="1595"/>
      <c r="K675" s="1597">
        <v>9711</v>
      </c>
      <c r="L675" s="1597">
        <v>9711</v>
      </c>
      <c r="M675" s="1597">
        <v>-9711</v>
      </c>
      <c r="N675" s="1598"/>
      <c r="O675" s="1598"/>
      <c r="P675" s="1597">
        <v>9711</v>
      </c>
      <c r="Q675" s="1597">
        <v>-9711</v>
      </c>
      <c r="R675" s="1598"/>
      <c r="S675" s="1592"/>
    </row>
    <row r="676" spans="2:19" s="1593" customFormat="1" ht="11.25" customHeight="1" outlineLevel="1">
      <c r="B676" s="1594">
        <v>29611</v>
      </c>
      <c r="C676" s="1595" t="s">
        <v>12804</v>
      </c>
      <c r="D676" s="1595" t="s">
        <v>14065</v>
      </c>
      <c r="E676" s="1595"/>
      <c r="F676" s="1595"/>
      <c r="G676" s="1595"/>
      <c r="H676" s="1596">
        <v>1</v>
      </c>
      <c r="I676" s="1595"/>
      <c r="J676" s="1595"/>
      <c r="K676" s="1597">
        <v>54273</v>
      </c>
      <c r="L676" s="1597">
        <v>54273</v>
      </c>
      <c r="M676" s="1597">
        <v>-54273</v>
      </c>
      <c r="N676" s="1598"/>
      <c r="O676" s="1598"/>
      <c r="P676" s="1597">
        <v>54273</v>
      </c>
      <c r="Q676" s="1597">
        <v>-54273</v>
      </c>
      <c r="R676" s="1598"/>
      <c r="S676" s="1592"/>
    </row>
    <row r="677" spans="2:19" s="1593" customFormat="1" ht="11.25" customHeight="1" outlineLevel="1">
      <c r="B677" s="1594">
        <v>29106</v>
      </c>
      <c r="C677" s="1595" t="s">
        <v>11922</v>
      </c>
      <c r="D677" s="1595" t="s">
        <v>14064</v>
      </c>
      <c r="E677" s="1595"/>
      <c r="F677" s="1595"/>
      <c r="G677" s="1595"/>
      <c r="H677" s="1596">
        <v>1</v>
      </c>
      <c r="I677" s="1595"/>
      <c r="J677" s="1595"/>
      <c r="K677" s="1597">
        <v>180000</v>
      </c>
      <c r="L677" s="1597">
        <v>180000</v>
      </c>
      <c r="M677" s="1598"/>
      <c r="N677" s="1597">
        <v>180000</v>
      </c>
      <c r="O677" s="1597">
        <v>8674.86</v>
      </c>
      <c r="P677" s="1597">
        <v>162650.25</v>
      </c>
      <c r="Q677" s="1597">
        <v>8674.89</v>
      </c>
      <c r="R677" s="1597">
        <v>171325.14</v>
      </c>
      <c r="S677" s="1592"/>
    </row>
    <row r="678" spans="2:19" s="1593" customFormat="1" ht="11.25" customHeight="1" outlineLevel="1">
      <c r="B678" s="1594">
        <v>29662</v>
      </c>
      <c r="C678" s="1595" t="s">
        <v>11922</v>
      </c>
      <c r="D678" s="1595" t="s">
        <v>14063</v>
      </c>
      <c r="E678" s="1595"/>
      <c r="F678" s="1595"/>
      <c r="G678" s="1595"/>
      <c r="H678" s="1596">
        <v>1</v>
      </c>
      <c r="I678" s="1595"/>
      <c r="J678" s="1595"/>
      <c r="K678" s="1597">
        <v>33333</v>
      </c>
      <c r="L678" s="1597">
        <v>33333</v>
      </c>
      <c r="M678" s="1597">
        <v>-33333</v>
      </c>
      <c r="N678" s="1598"/>
      <c r="O678" s="1598"/>
      <c r="P678" s="1597">
        <v>33333</v>
      </c>
      <c r="Q678" s="1597">
        <v>-33333</v>
      </c>
      <c r="R678" s="1598"/>
      <c r="S678" s="1592"/>
    </row>
    <row r="679" spans="2:19" s="1593" customFormat="1" ht="11.25" customHeight="1" outlineLevel="1">
      <c r="B679" s="1594">
        <v>29665</v>
      </c>
      <c r="C679" s="1595" t="s">
        <v>11922</v>
      </c>
      <c r="D679" s="1595" t="s">
        <v>14062</v>
      </c>
      <c r="E679" s="1595"/>
      <c r="F679" s="1595"/>
      <c r="G679" s="1595"/>
      <c r="H679" s="1596">
        <v>1</v>
      </c>
      <c r="I679" s="1595"/>
      <c r="J679" s="1595"/>
      <c r="K679" s="1597">
        <v>12500</v>
      </c>
      <c r="L679" s="1597">
        <v>12500</v>
      </c>
      <c r="M679" s="1597">
        <v>-12500</v>
      </c>
      <c r="N679" s="1598"/>
      <c r="O679" s="1598"/>
      <c r="P679" s="1597">
        <v>12500</v>
      </c>
      <c r="Q679" s="1597">
        <v>-12500</v>
      </c>
      <c r="R679" s="1598"/>
      <c r="S679" s="1592"/>
    </row>
    <row r="680" spans="2:19" s="1593" customFormat="1" ht="11.25" customHeight="1" outlineLevel="1">
      <c r="B680" s="1594">
        <v>29667</v>
      </c>
      <c r="C680" s="1595" t="s">
        <v>11922</v>
      </c>
      <c r="D680" s="1595" t="s">
        <v>14061</v>
      </c>
      <c r="E680" s="1595"/>
      <c r="F680" s="1595"/>
      <c r="G680" s="1595" t="s">
        <v>3596</v>
      </c>
      <c r="H680" s="1596">
        <v>1</v>
      </c>
      <c r="I680" s="1595"/>
      <c r="J680" s="1595"/>
      <c r="K680" s="1597">
        <v>467500</v>
      </c>
      <c r="L680" s="1597">
        <v>467500</v>
      </c>
      <c r="M680" s="1598"/>
      <c r="N680" s="1597">
        <v>467500</v>
      </c>
      <c r="O680" s="1597">
        <v>33000.43</v>
      </c>
      <c r="P680" s="1597">
        <v>412499.25</v>
      </c>
      <c r="Q680" s="1597">
        <v>22000.32</v>
      </c>
      <c r="R680" s="1597">
        <v>434499.57</v>
      </c>
      <c r="S680" s="1592"/>
    </row>
    <row r="681" spans="2:19" s="1593" customFormat="1" ht="11.25" customHeight="1" outlineLevel="1">
      <c r="B681" s="1594">
        <v>29817</v>
      </c>
      <c r="C681" s="1595" t="s">
        <v>8215</v>
      </c>
      <c r="D681" s="1595" t="s">
        <v>14060</v>
      </c>
      <c r="E681" s="1595"/>
      <c r="F681" s="1595"/>
      <c r="G681" s="1595" t="s">
        <v>3596</v>
      </c>
      <c r="H681" s="1596">
        <v>1</v>
      </c>
      <c r="I681" s="1595"/>
      <c r="J681" s="1595"/>
      <c r="K681" s="1597">
        <v>237750</v>
      </c>
      <c r="L681" s="1597">
        <v>237750</v>
      </c>
      <c r="M681" s="1598"/>
      <c r="N681" s="1597">
        <v>237750</v>
      </c>
      <c r="O681" s="1597">
        <v>17049.95</v>
      </c>
      <c r="P681" s="1597">
        <v>209333.41</v>
      </c>
      <c r="Q681" s="1597">
        <v>11366.64</v>
      </c>
      <c r="R681" s="1597">
        <v>220700.05</v>
      </c>
      <c r="S681" s="1592"/>
    </row>
    <row r="682" spans="2:19" s="1593" customFormat="1" ht="11.25" customHeight="1" outlineLevel="1">
      <c r="B682" s="1594">
        <v>29819</v>
      </c>
      <c r="C682" s="1595" t="s">
        <v>8215</v>
      </c>
      <c r="D682" s="1595" t="s">
        <v>14059</v>
      </c>
      <c r="E682" s="1595"/>
      <c r="F682" s="1595"/>
      <c r="G682" s="1595"/>
      <c r="H682" s="1596">
        <v>1</v>
      </c>
      <c r="I682" s="1595"/>
      <c r="J682" s="1595"/>
      <c r="K682" s="1597">
        <v>12500</v>
      </c>
      <c r="L682" s="1597">
        <v>12500</v>
      </c>
      <c r="M682" s="1597">
        <v>-12500</v>
      </c>
      <c r="N682" s="1598"/>
      <c r="O682" s="1598"/>
      <c r="P682" s="1597">
        <v>12500</v>
      </c>
      <c r="Q682" s="1597">
        <v>-12500</v>
      </c>
      <c r="R682" s="1598"/>
      <c r="S682" s="1592"/>
    </row>
    <row r="683" spans="2:19" s="1593" customFormat="1" ht="11.25" customHeight="1" outlineLevel="1">
      <c r="B683" s="1594">
        <v>29036</v>
      </c>
      <c r="C683" s="1595" t="s">
        <v>8212</v>
      </c>
      <c r="D683" s="1595" t="s">
        <v>14058</v>
      </c>
      <c r="E683" s="1595"/>
      <c r="F683" s="1595"/>
      <c r="G683" s="1595"/>
      <c r="H683" s="1596">
        <v>1</v>
      </c>
      <c r="I683" s="1595"/>
      <c r="J683" s="1595"/>
      <c r="K683" s="1597">
        <v>137500</v>
      </c>
      <c r="L683" s="1597">
        <v>137500</v>
      </c>
      <c r="M683" s="1598"/>
      <c r="N683" s="1597">
        <v>137500</v>
      </c>
      <c r="O683" s="1597">
        <v>6762.78</v>
      </c>
      <c r="P683" s="1597">
        <v>123974.39999999999</v>
      </c>
      <c r="Q683" s="1597">
        <v>6762.82</v>
      </c>
      <c r="R683" s="1597">
        <v>130737.22</v>
      </c>
      <c r="S683" s="1592"/>
    </row>
    <row r="684" spans="2:19" s="1593" customFormat="1" ht="11.25" customHeight="1" outlineLevel="1">
      <c r="B684" s="1594">
        <v>29037</v>
      </c>
      <c r="C684" s="1595" t="s">
        <v>8212</v>
      </c>
      <c r="D684" s="1595" t="s">
        <v>14057</v>
      </c>
      <c r="E684" s="1595"/>
      <c r="F684" s="1595"/>
      <c r="G684" s="1595"/>
      <c r="H684" s="1596">
        <v>1</v>
      </c>
      <c r="I684" s="1595"/>
      <c r="J684" s="1595"/>
      <c r="K684" s="1597">
        <v>164728</v>
      </c>
      <c r="L684" s="1597">
        <v>164728</v>
      </c>
      <c r="M684" s="1598"/>
      <c r="N684" s="1597">
        <v>164728</v>
      </c>
      <c r="O684" s="1597">
        <v>8101.88</v>
      </c>
      <c r="P684" s="1597">
        <v>148524.20000000001</v>
      </c>
      <c r="Q684" s="1597">
        <v>8101.92</v>
      </c>
      <c r="R684" s="1597">
        <v>156626.12</v>
      </c>
      <c r="S684" s="1592"/>
    </row>
    <row r="685" spans="2:19" s="1593" customFormat="1" ht="11.25" customHeight="1" outlineLevel="1">
      <c r="B685" s="1594">
        <v>31013</v>
      </c>
      <c r="C685" s="1595" t="s">
        <v>3737</v>
      </c>
      <c r="D685" s="1595" t="s">
        <v>14056</v>
      </c>
      <c r="E685" s="1595"/>
      <c r="F685" s="1595"/>
      <c r="G685" s="1595"/>
      <c r="H685" s="1596">
        <v>1</v>
      </c>
      <c r="I685" s="1595"/>
      <c r="J685" s="1595"/>
      <c r="K685" s="1597">
        <v>112572</v>
      </c>
      <c r="L685" s="1597">
        <v>112572</v>
      </c>
      <c r="M685" s="1598"/>
      <c r="N685" s="1597">
        <v>112572</v>
      </c>
      <c r="O685" s="1599">
        <v>951.97</v>
      </c>
      <c r="P685" s="1597">
        <v>106672.86</v>
      </c>
      <c r="Q685" s="1597">
        <v>4947.17</v>
      </c>
      <c r="R685" s="1597">
        <v>111620.03</v>
      </c>
      <c r="S685" s="1592"/>
    </row>
    <row r="686" spans="2:19" s="1593" customFormat="1" ht="11.25" customHeight="1" outlineLevel="1">
      <c r="B686" s="1594">
        <v>27985</v>
      </c>
      <c r="C686" s="1595" t="s">
        <v>12798</v>
      </c>
      <c r="D686" s="1595" t="s">
        <v>14055</v>
      </c>
      <c r="E686" s="1595"/>
      <c r="F686" s="1595"/>
      <c r="G686" s="1595"/>
      <c r="H686" s="1596">
        <v>1</v>
      </c>
      <c r="I686" s="1595"/>
      <c r="J686" s="1595"/>
      <c r="K686" s="1597">
        <v>175000</v>
      </c>
      <c r="L686" s="1597">
        <v>175000</v>
      </c>
      <c r="M686" s="1598"/>
      <c r="N686" s="1597">
        <v>175000</v>
      </c>
      <c r="O686" s="1597">
        <v>8713.82</v>
      </c>
      <c r="P686" s="1597">
        <v>157572.38</v>
      </c>
      <c r="Q686" s="1597">
        <v>8713.7999999999993</v>
      </c>
      <c r="R686" s="1597">
        <v>166286.18</v>
      </c>
      <c r="S686" s="1592"/>
    </row>
    <row r="687" spans="2:19" s="1593" customFormat="1" ht="11.25" customHeight="1" outlineLevel="1">
      <c r="B687" s="1594">
        <v>31039</v>
      </c>
      <c r="C687" s="1595" t="s">
        <v>12798</v>
      </c>
      <c r="D687" s="1595" t="s">
        <v>14054</v>
      </c>
      <c r="E687" s="1595"/>
      <c r="F687" s="1595"/>
      <c r="G687" s="1595"/>
      <c r="H687" s="1596">
        <v>1</v>
      </c>
      <c r="I687" s="1595"/>
      <c r="J687" s="1595"/>
      <c r="K687" s="1597">
        <v>191667</v>
      </c>
      <c r="L687" s="1597">
        <v>191667</v>
      </c>
      <c r="M687" s="1598"/>
      <c r="N687" s="1597">
        <v>191667</v>
      </c>
      <c r="O687" s="1597">
        <v>9543.42</v>
      </c>
      <c r="P687" s="1597">
        <v>172580.1</v>
      </c>
      <c r="Q687" s="1597">
        <v>9543.48</v>
      </c>
      <c r="R687" s="1597">
        <v>182123.58</v>
      </c>
      <c r="S687" s="1592"/>
    </row>
    <row r="688" spans="2:19" s="1593" customFormat="1" ht="11.25" customHeight="1" outlineLevel="1">
      <c r="B688" s="1594">
        <v>31153</v>
      </c>
      <c r="C688" s="1595" t="s">
        <v>3721</v>
      </c>
      <c r="D688" s="1595" t="s">
        <v>14053</v>
      </c>
      <c r="E688" s="1595"/>
      <c r="F688" s="1595"/>
      <c r="G688" s="1595" t="s">
        <v>3734</v>
      </c>
      <c r="H688" s="1596">
        <v>1</v>
      </c>
      <c r="I688" s="1595"/>
      <c r="J688" s="1595"/>
      <c r="K688" s="1597">
        <v>2513066</v>
      </c>
      <c r="L688" s="1597">
        <v>2513066</v>
      </c>
      <c r="M688" s="1598"/>
      <c r="N688" s="1597">
        <v>2513066</v>
      </c>
      <c r="O688" s="1597">
        <v>1509599.36</v>
      </c>
      <c r="P688" s="1597">
        <v>950652.72</v>
      </c>
      <c r="Q688" s="1597">
        <v>52813.919999999998</v>
      </c>
      <c r="R688" s="1597">
        <v>1003466.64</v>
      </c>
      <c r="S688" s="1592"/>
    </row>
    <row r="689" spans="2:19" s="1593" customFormat="1" ht="11.25" customHeight="1" outlineLevel="1">
      <c r="B689" s="1594">
        <v>31192</v>
      </c>
      <c r="C689" s="1595" t="s">
        <v>3721</v>
      </c>
      <c r="D689" s="1595" t="s">
        <v>14052</v>
      </c>
      <c r="E689" s="1595"/>
      <c r="F689" s="1595"/>
      <c r="G689" s="1595" t="s">
        <v>14051</v>
      </c>
      <c r="H689" s="1596">
        <v>1</v>
      </c>
      <c r="I689" s="1595"/>
      <c r="J689" s="1595"/>
      <c r="K689" s="1597">
        <v>7518178.3300000001</v>
      </c>
      <c r="L689" s="1597">
        <v>7518178.3300000001</v>
      </c>
      <c r="M689" s="1598"/>
      <c r="N689" s="1597">
        <v>7518178.3300000001</v>
      </c>
      <c r="O689" s="1597">
        <v>5804033.29</v>
      </c>
      <c r="P689" s="1597">
        <v>1623926.88</v>
      </c>
      <c r="Q689" s="1597">
        <v>90218.16</v>
      </c>
      <c r="R689" s="1597">
        <v>1714145.04</v>
      </c>
      <c r="S689" s="1592"/>
    </row>
    <row r="690" spans="2:19" s="1593" customFormat="1" ht="11.25" customHeight="1" outlineLevel="1">
      <c r="B690" s="1594">
        <v>31194</v>
      </c>
      <c r="C690" s="1595" t="s">
        <v>3721</v>
      </c>
      <c r="D690" s="1595" t="s">
        <v>14050</v>
      </c>
      <c r="E690" s="1595"/>
      <c r="F690" s="1595"/>
      <c r="G690" s="1595" t="s">
        <v>3596</v>
      </c>
      <c r="H690" s="1596">
        <v>1</v>
      </c>
      <c r="I690" s="1595"/>
      <c r="J690" s="1595"/>
      <c r="K690" s="1597">
        <v>296001</v>
      </c>
      <c r="L690" s="1597">
        <v>296001</v>
      </c>
      <c r="M690" s="1598"/>
      <c r="N690" s="1597">
        <v>296001</v>
      </c>
      <c r="O690" s="1597">
        <v>28190.16</v>
      </c>
      <c r="P690" s="1597">
        <v>253715.76</v>
      </c>
      <c r="Q690" s="1597">
        <v>14095.08</v>
      </c>
      <c r="R690" s="1597">
        <v>267810.84000000003</v>
      </c>
      <c r="S690" s="1592"/>
    </row>
    <row r="691" spans="2:19" s="1593" customFormat="1" ht="11.25" customHeight="1" outlineLevel="1">
      <c r="B691" s="1594">
        <v>31064</v>
      </c>
      <c r="C691" s="1595" t="s">
        <v>3713</v>
      </c>
      <c r="D691" s="1595" t="s">
        <v>14049</v>
      </c>
      <c r="E691" s="1595"/>
      <c r="F691" s="1595"/>
      <c r="G691" s="1595"/>
      <c r="H691" s="1596">
        <v>1</v>
      </c>
      <c r="I691" s="1595"/>
      <c r="J691" s="1595"/>
      <c r="K691" s="1597">
        <v>2500</v>
      </c>
      <c r="L691" s="1597">
        <v>2500</v>
      </c>
      <c r="M691" s="1597">
        <v>-2500</v>
      </c>
      <c r="N691" s="1598"/>
      <c r="O691" s="1598"/>
      <c r="P691" s="1597">
        <v>2500</v>
      </c>
      <c r="Q691" s="1597">
        <v>-2500</v>
      </c>
      <c r="R691" s="1598"/>
      <c r="S691" s="1592"/>
    </row>
    <row r="692" spans="2:19" s="1593" customFormat="1" ht="11.25" customHeight="1" outlineLevel="1">
      <c r="B692" s="1594">
        <v>31308</v>
      </c>
      <c r="C692" s="1595" t="s">
        <v>14047</v>
      </c>
      <c r="D692" s="1595" t="s">
        <v>14048</v>
      </c>
      <c r="E692" s="1595"/>
      <c r="F692" s="1595"/>
      <c r="G692" s="1595" t="s">
        <v>11871</v>
      </c>
      <c r="H692" s="1596">
        <v>3</v>
      </c>
      <c r="I692" s="1595"/>
      <c r="J692" s="1595"/>
      <c r="K692" s="1597">
        <v>121290</v>
      </c>
      <c r="L692" s="1597">
        <v>121290</v>
      </c>
      <c r="M692" s="1598"/>
      <c r="N692" s="1597">
        <v>121290</v>
      </c>
      <c r="O692" s="1597">
        <v>7074.69</v>
      </c>
      <c r="P692" s="1597">
        <v>108151.32</v>
      </c>
      <c r="Q692" s="1597">
        <v>6063.99</v>
      </c>
      <c r="R692" s="1597">
        <v>114215.31</v>
      </c>
      <c r="S692" s="1592"/>
    </row>
    <row r="693" spans="2:19" s="1593" customFormat="1" ht="11.25" customHeight="1" outlineLevel="1">
      <c r="B693" s="1594">
        <v>31309</v>
      </c>
      <c r="C693" s="1595" t="s">
        <v>14047</v>
      </c>
      <c r="D693" s="1595" t="s">
        <v>14046</v>
      </c>
      <c r="E693" s="1595"/>
      <c r="F693" s="1595"/>
      <c r="G693" s="1595" t="s">
        <v>11871</v>
      </c>
      <c r="H693" s="1596">
        <v>3</v>
      </c>
      <c r="I693" s="1595"/>
      <c r="J693" s="1595"/>
      <c r="K693" s="1597">
        <v>242336</v>
      </c>
      <c r="L693" s="1597">
        <v>242336</v>
      </c>
      <c r="M693" s="1598"/>
      <c r="N693" s="1597">
        <v>242336</v>
      </c>
      <c r="O693" s="1597">
        <v>14136.66</v>
      </c>
      <c r="P693" s="1597">
        <v>216082.22</v>
      </c>
      <c r="Q693" s="1597">
        <v>12117.12</v>
      </c>
      <c r="R693" s="1597">
        <v>228199.34</v>
      </c>
      <c r="S693" s="1592"/>
    </row>
    <row r="694" spans="2:19" s="1593" customFormat="1" ht="11.25" customHeight="1" outlineLevel="1">
      <c r="B694" s="1594">
        <v>31648</v>
      </c>
      <c r="C694" s="1595" t="s">
        <v>3705</v>
      </c>
      <c r="D694" s="1595" t="s">
        <v>14045</v>
      </c>
      <c r="E694" s="1595"/>
      <c r="F694" s="1595"/>
      <c r="G694" s="1595" t="s">
        <v>3664</v>
      </c>
      <c r="H694" s="1596">
        <v>1</v>
      </c>
      <c r="I694" s="1595"/>
      <c r="J694" s="1595"/>
      <c r="K694" s="1597">
        <v>1184968</v>
      </c>
      <c r="L694" s="1597">
        <v>1184967.75</v>
      </c>
      <c r="M694" s="1598"/>
      <c r="N694" s="1597">
        <v>1184967.75</v>
      </c>
      <c r="O694" s="1597">
        <v>88872.03</v>
      </c>
      <c r="P694" s="1597">
        <v>1036847.7</v>
      </c>
      <c r="Q694" s="1597">
        <v>59248.02</v>
      </c>
      <c r="R694" s="1597">
        <v>1096095.72</v>
      </c>
      <c r="S694" s="1592"/>
    </row>
    <row r="695" spans="2:19" s="1593" customFormat="1" ht="11.25" customHeight="1" outlineLevel="1">
      <c r="B695" s="1594">
        <v>32085</v>
      </c>
      <c r="C695" s="1595" t="s">
        <v>3660</v>
      </c>
      <c r="D695" s="1595" t="s">
        <v>14044</v>
      </c>
      <c r="E695" s="1595"/>
      <c r="F695" s="1595"/>
      <c r="G695" s="1595"/>
      <c r="H695" s="1596">
        <v>1</v>
      </c>
      <c r="I695" s="1595"/>
      <c r="J695" s="1595"/>
      <c r="K695" s="1599">
        <v>225</v>
      </c>
      <c r="L695" s="1599">
        <v>225</v>
      </c>
      <c r="M695" s="1599">
        <v>-225</v>
      </c>
      <c r="N695" s="1598"/>
      <c r="O695" s="1598"/>
      <c r="P695" s="1599">
        <v>225</v>
      </c>
      <c r="Q695" s="1599">
        <v>-225</v>
      </c>
      <c r="R695" s="1598"/>
      <c r="S695" s="1592"/>
    </row>
    <row r="696" spans="2:19" s="1593" customFormat="1" ht="11.25" customHeight="1" outlineLevel="1">
      <c r="B696" s="1594">
        <v>32086</v>
      </c>
      <c r="C696" s="1595" t="s">
        <v>3660</v>
      </c>
      <c r="D696" s="1595" t="s">
        <v>14043</v>
      </c>
      <c r="E696" s="1595"/>
      <c r="F696" s="1595"/>
      <c r="G696" s="1595"/>
      <c r="H696" s="1596">
        <v>1</v>
      </c>
      <c r="I696" s="1595"/>
      <c r="J696" s="1595"/>
      <c r="K696" s="1599">
        <v>128.47999999999999</v>
      </c>
      <c r="L696" s="1599">
        <v>128.47999999999999</v>
      </c>
      <c r="M696" s="1599">
        <v>-128.47999999999999</v>
      </c>
      <c r="N696" s="1598"/>
      <c r="O696" s="1598"/>
      <c r="P696" s="1599">
        <v>128.47999999999999</v>
      </c>
      <c r="Q696" s="1599">
        <v>-128.47999999999999</v>
      </c>
      <c r="R696" s="1598"/>
      <c r="S696" s="1592"/>
    </row>
    <row r="697" spans="2:19" s="1593" customFormat="1" ht="11.25" customHeight="1" outlineLevel="1">
      <c r="B697" s="1594">
        <v>32088</v>
      </c>
      <c r="C697" s="1595" t="s">
        <v>3660</v>
      </c>
      <c r="D697" s="1595" t="s">
        <v>14042</v>
      </c>
      <c r="E697" s="1595"/>
      <c r="F697" s="1595"/>
      <c r="G697" s="1595"/>
      <c r="H697" s="1596">
        <v>1</v>
      </c>
      <c r="I697" s="1595"/>
      <c r="J697" s="1595"/>
      <c r="K697" s="1597">
        <v>1500</v>
      </c>
      <c r="L697" s="1597">
        <v>1500</v>
      </c>
      <c r="M697" s="1597">
        <v>-1500</v>
      </c>
      <c r="N697" s="1598"/>
      <c r="O697" s="1598"/>
      <c r="P697" s="1597">
        <v>1500</v>
      </c>
      <c r="Q697" s="1597">
        <v>-1500</v>
      </c>
      <c r="R697" s="1598"/>
      <c r="S697" s="1592"/>
    </row>
    <row r="698" spans="2:19" s="1593" customFormat="1" ht="11.25" customHeight="1" outlineLevel="1">
      <c r="B698" s="1594">
        <v>36963</v>
      </c>
      <c r="C698" s="1595" t="s">
        <v>3660</v>
      </c>
      <c r="D698" s="1595" t="s">
        <v>14041</v>
      </c>
      <c r="E698" s="1595"/>
      <c r="F698" s="1595"/>
      <c r="G698" s="1595"/>
      <c r="H698" s="1596">
        <v>1</v>
      </c>
      <c r="I698" s="1595"/>
      <c r="J698" s="1595"/>
      <c r="K698" s="1599">
        <v>225</v>
      </c>
      <c r="L698" s="1599">
        <v>225</v>
      </c>
      <c r="M698" s="1599">
        <v>-225</v>
      </c>
      <c r="N698" s="1598"/>
      <c r="O698" s="1598"/>
      <c r="P698" s="1599">
        <v>225</v>
      </c>
      <c r="Q698" s="1599">
        <v>-225</v>
      </c>
      <c r="R698" s="1598"/>
      <c r="S698" s="1592"/>
    </row>
    <row r="699" spans="2:19" s="1593" customFormat="1" ht="11.25" customHeight="1" outlineLevel="1">
      <c r="B699" s="1594">
        <v>37124</v>
      </c>
      <c r="C699" s="1595" t="s">
        <v>3660</v>
      </c>
      <c r="D699" s="1595" t="s">
        <v>14040</v>
      </c>
      <c r="E699" s="1595"/>
      <c r="F699" s="1595"/>
      <c r="G699" s="1595"/>
      <c r="H699" s="1596">
        <v>1</v>
      </c>
      <c r="I699" s="1595"/>
      <c r="J699" s="1595"/>
      <c r="K699" s="1599">
        <v>35.42</v>
      </c>
      <c r="L699" s="1599">
        <v>35.42</v>
      </c>
      <c r="M699" s="1599">
        <v>-35.42</v>
      </c>
      <c r="N699" s="1598"/>
      <c r="O699" s="1598"/>
      <c r="P699" s="1599">
        <v>35.42</v>
      </c>
      <c r="Q699" s="1599">
        <v>-35.42</v>
      </c>
      <c r="R699" s="1598"/>
      <c r="S699" s="1592"/>
    </row>
    <row r="700" spans="2:19" s="1593" customFormat="1" ht="11.25" customHeight="1" outlineLevel="1">
      <c r="B700" s="1594">
        <v>32921</v>
      </c>
      <c r="C700" s="1595" t="s">
        <v>8069</v>
      </c>
      <c r="D700" s="1595" t="s">
        <v>14039</v>
      </c>
      <c r="E700" s="1595"/>
      <c r="F700" s="1595"/>
      <c r="G700" s="1595"/>
      <c r="H700" s="1596">
        <v>1</v>
      </c>
      <c r="I700" s="1595"/>
      <c r="J700" s="1595"/>
      <c r="K700" s="1597">
        <v>1609.13</v>
      </c>
      <c r="L700" s="1597">
        <v>1609.13</v>
      </c>
      <c r="M700" s="1597">
        <v>-1609.13</v>
      </c>
      <c r="N700" s="1598"/>
      <c r="O700" s="1598"/>
      <c r="P700" s="1597">
        <v>1609.13</v>
      </c>
      <c r="Q700" s="1597">
        <v>-1609.13</v>
      </c>
      <c r="R700" s="1598"/>
      <c r="S700" s="1592"/>
    </row>
    <row r="701" spans="2:19" s="1593" customFormat="1" ht="11.25" customHeight="1" outlineLevel="1">
      <c r="B701" s="1594">
        <v>36990</v>
      </c>
      <c r="C701" s="1595" t="s">
        <v>8069</v>
      </c>
      <c r="D701" s="1595" t="s">
        <v>14038</v>
      </c>
      <c r="E701" s="1595"/>
      <c r="F701" s="1595"/>
      <c r="G701" s="1595"/>
      <c r="H701" s="1596">
        <v>1</v>
      </c>
      <c r="I701" s="1595"/>
      <c r="J701" s="1595"/>
      <c r="K701" s="1597">
        <v>1609.13</v>
      </c>
      <c r="L701" s="1597">
        <v>1609.13</v>
      </c>
      <c r="M701" s="1597">
        <v>-1609.13</v>
      </c>
      <c r="N701" s="1598"/>
      <c r="O701" s="1598"/>
      <c r="P701" s="1597">
        <v>1609.13</v>
      </c>
      <c r="Q701" s="1597">
        <v>-1609.13</v>
      </c>
      <c r="R701" s="1598"/>
      <c r="S701" s="1592"/>
    </row>
    <row r="702" spans="2:19" s="1593" customFormat="1" ht="11.25" customHeight="1" outlineLevel="1">
      <c r="B702" s="1594">
        <v>36991</v>
      </c>
      <c r="C702" s="1595" t="s">
        <v>8069</v>
      </c>
      <c r="D702" s="1595" t="s">
        <v>14037</v>
      </c>
      <c r="E702" s="1595"/>
      <c r="F702" s="1595"/>
      <c r="G702" s="1595"/>
      <c r="H702" s="1596">
        <v>1</v>
      </c>
      <c r="I702" s="1595"/>
      <c r="J702" s="1595"/>
      <c r="K702" s="1597">
        <v>1609.13</v>
      </c>
      <c r="L702" s="1597">
        <v>1609.13</v>
      </c>
      <c r="M702" s="1597">
        <v>-1609.13</v>
      </c>
      <c r="N702" s="1598"/>
      <c r="O702" s="1598"/>
      <c r="P702" s="1597">
        <v>1609.13</v>
      </c>
      <c r="Q702" s="1597">
        <v>-1609.13</v>
      </c>
      <c r="R702" s="1598"/>
      <c r="S702" s="1592"/>
    </row>
    <row r="703" spans="2:19" s="1593" customFormat="1" ht="11.25" customHeight="1" outlineLevel="1">
      <c r="B703" s="1594">
        <v>36992</v>
      </c>
      <c r="C703" s="1595" t="s">
        <v>8069</v>
      </c>
      <c r="D703" s="1595" t="s">
        <v>14036</v>
      </c>
      <c r="E703" s="1595"/>
      <c r="F703" s="1595"/>
      <c r="G703" s="1595"/>
      <c r="H703" s="1596">
        <v>1</v>
      </c>
      <c r="I703" s="1595"/>
      <c r="J703" s="1595"/>
      <c r="K703" s="1597">
        <v>1609.13</v>
      </c>
      <c r="L703" s="1597">
        <v>1609.13</v>
      </c>
      <c r="M703" s="1597">
        <v>-1609.13</v>
      </c>
      <c r="N703" s="1598"/>
      <c r="O703" s="1598"/>
      <c r="P703" s="1597">
        <v>1609.13</v>
      </c>
      <c r="Q703" s="1597">
        <v>-1609.13</v>
      </c>
      <c r="R703" s="1598"/>
      <c r="S703" s="1592"/>
    </row>
    <row r="704" spans="2:19" s="1593" customFormat="1" ht="11.25" customHeight="1" outlineLevel="1">
      <c r="B704" s="1594">
        <v>32950</v>
      </c>
      <c r="C704" s="1595" t="s">
        <v>8066</v>
      </c>
      <c r="D704" s="1595" t="s">
        <v>14035</v>
      </c>
      <c r="E704" s="1595"/>
      <c r="F704" s="1595"/>
      <c r="G704" s="1595"/>
      <c r="H704" s="1596">
        <v>1</v>
      </c>
      <c r="I704" s="1595"/>
      <c r="J704" s="1595"/>
      <c r="K704" s="1597">
        <v>2640</v>
      </c>
      <c r="L704" s="1597">
        <v>2640</v>
      </c>
      <c r="M704" s="1597">
        <v>-2640</v>
      </c>
      <c r="N704" s="1598"/>
      <c r="O704" s="1598"/>
      <c r="P704" s="1597">
        <v>2640</v>
      </c>
      <c r="Q704" s="1597">
        <v>-2640</v>
      </c>
      <c r="R704" s="1598"/>
      <c r="S704" s="1592"/>
    </row>
    <row r="705" spans="2:19" s="1593" customFormat="1" ht="11.25" customHeight="1" outlineLevel="1">
      <c r="B705" s="1594">
        <v>37484</v>
      </c>
      <c r="C705" s="1595" t="s">
        <v>8052</v>
      </c>
      <c r="D705" s="1595" t="s">
        <v>14034</v>
      </c>
      <c r="E705" s="1595"/>
      <c r="F705" s="1595"/>
      <c r="G705" s="1595"/>
      <c r="H705" s="1596">
        <v>1</v>
      </c>
      <c r="I705" s="1595"/>
      <c r="J705" s="1595"/>
      <c r="K705" s="1597">
        <v>21350</v>
      </c>
      <c r="L705" s="1597">
        <v>21350</v>
      </c>
      <c r="M705" s="1597">
        <v>-21350</v>
      </c>
      <c r="N705" s="1598"/>
      <c r="O705" s="1598"/>
      <c r="P705" s="1597">
        <v>21350</v>
      </c>
      <c r="Q705" s="1597">
        <v>-21350</v>
      </c>
      <c r="R705" s="1598"/>
      <c r="S705" s="1592"/>
    </row>
    <row r="706" spans="2:19" s="1593" customFormat="1" ht="11.25" customHeight="1" outlineLevel="1">
      <c r="B706" s="1594">
        <v>37485</v>
      </c>
      <c r="C706" s="1595" t="s">
        <v>8052</v>
      </c>
      <c r="D706" s="1595" t="s">
        <v>14033</v>
      </c>
      <c r="E706" s="1595"/>
      <c r="F706" s="1595"/>
      <c r="G706" s="1595"/>
      <c r="H706" s="1596">
        <v>1</v>
      </c>
      <c r="I706" s="1595"/>
      <c r="J706" s="1595"/>
      <c r="K706" s="1597">
        <v>67458</v>
      </c>
      <c r="L706" s="1597">
        <v>67458</v>
      </c>
      <c r="M706" s="1597">
        <v>-67458</v>
      </c>
      <c r="N706" s="1598"/>
      <c r="O706" s="1598"/>
      <c r="P706" s="1597">
        <v>67458</v>
      </c>
      <c r="Q706" s="1597">
        <v>-67458</v>
      </c>
      <c r="R706" s="1598"/>
      <c r="S706" s="1592"/>
    </row>
    <row r="707" spans="2:19" s="1593" customFormat="1" ht="11.25" customHeight="1" outlineLevel="1">
      <c r="B707" s="1594">
        <v>37489</v>
      </c>
      <c r="C707" s="1595" t="s">
        <v>8052</v>
      </c>
      <c r="D707" s="1595" t="s">
        <v>14032</v>
      </c>
      <c r="E707" s="1595"/>
      <c r="F707" s="1595"/>
      <c r="G707" s="1595"/>
      <c r="H707" s="1596">
        <v>1</v>
      </c>
      <c r="I707" s="1595"/>
      <c r="J707" s="1595"/>
      <c r="K707" s="1597">
        <v>35356</v>
      </c>
      <c r="L707" s="1597">
        <v>35356</v>
      </c>
      <c r="M707" s="1597">
        <v>-35356</v>
      </c>
      <c r="N707" s="1598"/>
      <c r="O707" s="1598"/>
      <c r="P707" s="1597">
        <v>35356</v>
      </c>
      <c r="Q707" s="1597">
        <v>-35356</v>
      </c>
      <c r="R707" s="1598"/>
      <c r="S707" s="1592"/>
    </row>
    <row r="708" spans="2:19" s="1593" customFormat="1" ht="11.25" customHeight="1" outlineLevel="1">
      <c r="B708" s="1594">
        <v>37493</v>
      </c>
      <c r="C708" s="1595" t="s">
        <v>8052</v>
      </c>
      <c r="D708" s="1595" t="s">
        <v>14031</v>
      </c>
      <c r="E708" s="1595"/>
      <c r="F708" s="1595"/>
      <c r="G708" s="1595"/>
      <c r="H708" s="1596">
        <v>1</v>
      </c>
      <c r="I708" s="1595"/>
      <c r="J708" s="1595"/>
      <c r="K708" s="1597">
        <v>49153</v>
      </c>
      <c r="L708" s="1597">
        <v>49153</v>
      </c>
      <c r="M708" s="1597">
        <v>-49153</v>
      </c>
      <c r="N708" s="1598"/>
      <c r="O708" s="1598"/>
      <c r="P708" s="1597">
        <v>49153</v>
      </c>
      <c r="Q708" s="1597">
        <v>-49153</v>
      </c>
      <c r="R708" s="1598"/>
      <c r="S708" s="1592"/>
    </row>
    <row r="709" spans="2:19" s="1593" customFormat="1" ht="11.25" customHeight="1" outlineLevel="1">
      <c r="B709" s="1594">
        <v>37497</v>
      </c>
      <c r="C709" s="1595" t="s">
        <v>8052</v>
      </c>
      <c r="D709" s="1595" t="s">
        <v>14030</v>
      </c>
      <c r="E709" s="1595"/>
      <c r="F709" s="1595"/>
      <c r="G709" s="1595"/>
      <c r="H709" s="1596">
        <v>1</v>
      </c>
      <c r="I709" s="1595"/>
      <c r="J709" s="1595"/>
      <c r="K709" s="1597">
        <v>73220</v>
      </c>
      <c r="L709" s="1597">
        <v>73220</v>
      </c>
      <c r="M709" s="1597">
        <v>-73220</v>
      </c>
      <c r="N709" s="1598"/>
      <c r="O709" s="1598"/>
      <c r="P709" s="1597">
        <v>73220</v>
      </c>
      <c r="Q709" s="1597">
        <v>-73220</v>
      </c>
      <c r="R709" s="1598"/>
      <c r="S709" s="1592"/>
    </row>
    <row r="710" spans="2:19" s="1593" customFormat="1" ht="11.25" customHeight="1" outlineLevel="1">
      <c r="B710" s="1594">
        <v>33174</v>
      </c>
      <c r="C710" s="1595" t="s">
        <v>3658</v>
      </c>
      <c r="D710" s="1595" t="s">
        <v>14029</v>
      </c>
      <c r="E710" s="1595"/>
      <c r="F710" s="1595"/>
      <c r="G710" s="1595"/>
      <c r="H710" s="1596">
        <v>1</v>
      </c>
      <c r="I710" s="1595"/>
      <c r="J710" s="1595"/>
      <c r="K710" s="1597">
        <v>1609.13</v>
      </c>
      <c r="L710" s="1597">
        <v>1609.13</v>
      </c>
      <c r="M710" s="1597">
        <v>-1609.13</v>
      </c>
      <c r="N710" s="1598"/>
      <c r="O710" s="1598"/>
      <c r="P710" s="1597">
        <v>1609.13</v>
      </c>
      <c r="Q710" s="1597">
        <v>-1609.13</v>
      </c>
      <c r="R710" s="1598"/>
      <c r="S710" s="1592"/>
    </row>
    <row r="711" spans="2:19" s="1593" customFormat="1" ht="11.25" customHeight="1" outlineLevel="1">
      <c r="B711" s="1594">
        <v>33175</v>
      </c>
      <c r="C711" s="1595" t="s">
        <v>3658</v>
      </c>
      <c r="D711" s="1595" t="s">
        <v>14028</v>
      </c>
      <c r="E711" s="1595"/>
      <c r="F711" s="1595"/>
      <c r="G711" s="1595"/>
      <c r="H711" s="1596">
        <v>1</v>
      </c>
      <c r="I711" s="1595"/>
      <c r="J711" s="1595"/>
      <c r="K711" s="1597">
        <v>1609.13</v>
      </c>
      <c r="L711" s="1597">
        <v>1609.13</v>
      </c>
      <c r="M711" s="1597">
        <v>-1609.13</v>
      </c>
      <c r="N711" s="1598"/>
      <c r="O711" s="1598"/>
      <c r="P711" s="1597">
        <v>1609.13</v>
      </c>
      <c r="Q711" s="1597">
        <v>-1609.13</v>
      </c>
      <c r="R711" s="1598"/>
      <c r="S711" s="1592"/>
    </row>
    <row r="712" spans="2:19" s="1593" customFormat="1" ht="11.25" customHeight="1" outlineLevel="1">
      <c r="B712" s="1594">
        <v>33176</v>
      </c>
      <c r="C712" s="1595" t="s">
        <v>3658</v>
      </c>
      <c r="D712" s="1595" t="s">
        <v>14027</v>
      </c>
      <c r="E712" s="1595"/>
      <c r="F712" s="1595"/>
      <c r="G712" s="1595"/>
      <c r="H712" s="1596">
        <v>1</v>
      </c>
      <c r="I712" s="1595"/>
      <c r="J712" s="1595"/>
      <c r="K712" s="1597">
        <v>1609.13</v>
      </c>
      <c r="L712" s="1597">
        <v>1609.13</v>
      </c>
      <c r="M712" s="1597">
        <v>-1609.13</v>
      </c>
      <c r="N712" s="1598"/>
      <c r="O712" s="1598"/>
      <c r="P712" s="1597">
        <v>1609.13</v>
      </c>
      <c r="Q712" s="1597">
        <v>-1609.13</v>
      </c>
      <c r="R712" s="1598"/>
      <c r="S712" s="1592"/>
    </row>
    <row r="713" spans="2:19" s="1593" customFormat="1" ht="11.25" customHeight="1" outlineLevel="1">
      <c r="B713" s="1594">
        <v>33177</v>
      </c>
      <c r="C713" s="1595" t="s">
        <v>3658</v>
      </c>
      <c r="D713" s="1595" t="s">
        <v>14026</v>
      </c>
      <c r="E713" s="1595"/>
      <c r="F713" s="1595"/>
      <c r="G713" s="1595"/>
      <c r="H713" s="1596">
        <v>1</v>
      </c>
      <c r="I713" s="1595"/>
      <c r="J713" s="1595"/>
      <c r="K713" s="1597">
        <v>1609.13</v>
      </c>
      <c r="L713" s="1597">
        <v>1609.13</v>
      </c>
      <c r="M713" s="1597">
        <v>-1609.13</v>
      </c>
      <c r="N713" s="1598"/>
      <c r="O713" s="1598"/>
      <c r="P713" s="1597">
        <v>1609.13</v>
      </c>
      <c r="Q713" s="1597">
        <v>-1609.13</v>
      </c>
      <c r="R713" s="1598"/>
      <c r="S713" s="1592"/>
    </row>
    <row r="714" spans="2:19" s="1593" customFormat="1" ht="11.25" customHeight="1" outlineLevel="1">
      <c r="B714" s="1594">
        <v>33178</v>
      </c>
      <c r="C714" s="1595" t="s">
        <v>3658</v>
      </c>
      <c r="D714" s="1595" t="s">
        <v>14025</v>
      </c>
      <c r="E714" s="1595"/>
      <c r="F714" s="1595"/>
      <c r="G714" s="1595"/>
      <c r="H714" s="1596">
        <v>1</v>
      </c>
      <c r="I714" s="1595"/>
      <c r="J714" s="1595"/>
      <c r="K714" s="1597">
        <v>1609.13</v>
      </c>
      <c r="L714" s="1597">
        <v>1609.13</v>
      </c>
      <c r="M714" s="1597">
        <v>-1609.13</v>
      </c>
      <c r="N714" s="1598"/>
      <c r="O714" s="1598"/>
      <c r="P714" s="1597">
        <v>1609.13</v>
      </c>
      <c r="Q714" s="1597">
        <v>-1609.13</v>
      </c>
      <c r="R714" s="1598"/>
      <c r="S714" s="1592"/>
    </row>
    <row r="715" spans="2:19" s="1593" customFormat="1" ht="11.25" customHeight="1" outlineLevel="1">
      <c r="B715" s="1594">
        <v>33181</v>
      </c>
      <c r="C715" s="1595" t="s">
        <v>3658</v>
      </c>
      <c r="D715" s="1595" t="s">
        <v>14024</v>
      </c>
      <c r="E715" s="1595"/>
      <c r="F715" s="1595"/>
      <c r="G715" s="1595"/>
      <c r="H715" s="1596">
        <v>1</v>
      </c>
      <c r="I715" s="1595"/>
      <c r="J715" s="1595"/>
      <c r="K715" s="1597">
        <v>1609.13</v>
      </c>
      <c r="L715" s="1597">
        <v>1609.13</v>
      </c>
      <c r="M715" s="1597">
        <v>-1609.13</v>
      </c>
      <c r="N715" s="1598"/>
      <c r="O715" s="1598"/>
      <c r="P715" s="1597">
        <v>1609.13</v>
      </c>
      <c r="Q715" s="1597">
        <v>-1609.13</v>
      </c>
      <c r="R715" s="1598"/>
      <c r="S715" s="1592"/>
    </row>
    <row r="716" spans="2:19" s="1593" customFormat="1" ht="11.25" customHeight="1" outlineLevel="1">
      <c r="B716" s="1594">
        <v>33182</v>
      </c>
      <c r="C716" s="1595" t="s">
        <v>3658</v>
      </c>
      <c r="D716" s="1595" t="s">
        <v>14023</v>
      </c>
      <c r="E716" s="1595"/>
      <c r="F716" s="1595"/>
      <c r="G716" s="1595"/>
      <c r="H716" s="1596">
        <v>1</v>
      </c>
      <c r="I716" s="1595"/>
      <c r="J716" s="1595"/>
      <c r="K716" s="1597">
        <v>1609.13</v>
      </c>
      <c r="L716" s="1597">
        <v>1609.13</v>
      </c>
      <c r="M716" s="1597">
        <v>-1609.13</v>
      </c>
      <c r="N716" s="1598"/>
      <c r="O716" s="1598"/>
      <c r="P716" s="1597">
        <v>1609.13</v>
      </c>
      <c r="Q716" s="1597">
        <v>-1609.13</v>
      </c>
      <c r="R716" s="1598"/>
      <c r="S716" s="1592"/>
    </row>
    <row r="717" spans="2:19" s="1593" customFormat="1" ht="11.25" customHeight="1" outlineLevel="1">
      <c r="B717" s="1594">
        <v>33183</v>
      </c>
      <c r="C717" s="1595" t="s">
        <v>3658</v>
      </c>
      <c r="D717" s="1595" t="s">
        <v>14022</v>
      </c>
      <c r="E717" s="1595"/>
      <c r="F717" s="1595"/>
      <c r="G717" s="1595"/>
      <c r="H717" s="1596">
        <v>1</v>
      </c>
      <c r="I717" s="1595"/>
      <c r="J717" s="1595"/>
      <c r="K717" s="1597">
        <v>1609.13</v>
      </c>
      <c r="L717" s="1597">
        <v>1609.13</v>
      </c>
      <c r="M717" s="1597">
        <v>-1609.13</v>
      </c>
      <c r="N717" s="1598"/>
      <c r="O717" s="1598"/>
      <c r="P717" s="1597">
        <v>1609.13</v>
      </c>
      <c r="Q717" s="1597">
        <v>-1609.13</v>
      </c>
      <c r="R717" s="1598"/>
      <c r="S717" s="1592"/>
    </row>
    <row r="718" spans="2:19" s="1593" customFormat="1" ht="11.25" customHeight="1" outlineLevel="1">
      <c r="B718" s="1594">
        <v>33184</v>
      </c>
      <c r="C718" s="1595" t="s">
        <v>3658</v>
      </c>
      <c r="D718" s="1595" t="s">
        <v>14021</v>
      </c>
      <c r="E718" s="1595"/>
      <c r="F718" s="1595"/>
      <c r="G718" s="1595"/>
      <c r="H718" s="1596">
        <v>1</v>
      </c>
      <c r="I718" s="1595"/>
      <c r="J718" s="1595"/>
      <c r="K718" s="1597">
        <v>1609.13</v>
      </c>
      <c r="L718" s="1597">
        <v>1609.13</v>
      </c>
      <c r="M718" s="1597">
        <v>-1609.13</v>
      </c>
      <c r="N718" s="1598"/>
      <c r="O718" s="1598"/>
      <c r="P718" s="1597">
        <v>1609.13</v>
      </c>
      <c r="Q718" s="1597">
        <v>-1609.13</v>
      </c>
      <c r="R718" s="1598"/>
      <c r="S718" s="1592"/>
    </row>
    <row r="719" spans="2:19" s="1593" customFormat="1" ht="11.25" customHeight="1" outlineLevel="1">
      <c r="B719" s="1594">
        <v>33185</v>
      </c>
      <c r="C719" s="1595" t="s">
        <v>3658</v>
      </c>
      <c r="D719" s="1595" t="s">
        <v>14020</v>
      </c>
      <c r="E719" s="1595"/>
      <c r="F719" s="1595"/>
      <c r="G719" s="1595"/>
      <c r="H719" s="1596">
        <v>1</v>
      </c>
      <c r="I719" s="1595"/>
      <c r="J719" s="1595"/>
      <c r="K719" s="1597">
        <v>1609.13</v>
      </c>
      <c r="L719" s="1597">
        <v>1609.13</v>
      </c>
      <c r="M719" s="1597">
        <v>-1609.13</v>
      </c>
      <c r="N719" s="1598"/>
      <c r="O719" s="1598"/>
      <c r="P719" s="1597">
        <v>1609.13</v>
      </c>
      <c r="Q719" s="1597">
        <v>-1609.13</v>
      </c>
      <c r="R719" s="1598"/>
      <c r="S719" s="1592"/>
    </row>
    <row r="720" spans="2:19" s="1593" customFormat="1" ht="11.25" customHeight="1" outlineLevel="1">
      <c r="B720" s="1594">
        <v>37470</v>
      </c>
      <c r="C720" s="1595" t="s">
        <v>3658</v>
      </c>
      <c r="D720" s="1595" t="s">
        <v>14019</v>
      </c>
      <c r="E720" s="1595"/>
      <c r="F720" s="1595"/>
      <c r="G720" s="1595"/>
      <c r="H720" s="1596">
        <v>1</v>
      </c>
      <c r="I720" s="1595"/>
      <c r="J720" s="1595"/>
      <c r="K720" s="1597">
        <v>1609.13</v>
      </c>
      <c r="L720" s="1597">
        <v>1609.13</v>
      </c>
      <c r="M720" s="1597">
        <v>-1609.13</v>
      </c>
      <c r="N720" s="1598"/>
      <c r="O720" s="1598"/>
      <c r="P720" s="1597">
        <v>1609.13</v>
      </c>
      <c r="Q720" s="1597">
        <v>-1609.13</v>
      </c>
      <c r="R720" s="1598"/>
      <c r="S720" s="1592"/>
    </row>
    <row r="721" spans="2:19" s="1593" customFormat="1" ht="11.25" customHeight="1" outlineLevel="1">
      <c r="B721" s="1594">
        <v>37471</v>
      </c>
      <c r="C721" s="1595" t="s">
        <v>3658</v>
      </c>
      <c r="D721" s="1595" t="s">
        <v>14018</v>
      </c>
      <c r="E721" s="1595"/>
      <c r="F721" s="1595"/>
      <c r="G721" s="1595"/>
      <c r="H721" s="1596">
        <v>1</v>
      </c>
      <c r="I721" s="1595"/>
      <c r="J721" s="1595"/>
      <c r="K721" s="1597">
        <v>1609.13</v>
      </c>
      <c r="L721" s="1597">
        <v>1609.13</v>
      </c>
      <c r="M721" s="1597">
        <v>-1609.13</v>
      </c>
      <c r="N721" s="1598"/>
      <c r="O721" s="1598"/>
      <c r="P721" s="1597">
        <v>1609.13</v>
      </c>
      <c r="Q721" s="1597">
        <v>-1609.13</v>
      </c>
      <c r="R721" s="1598"/>
      <c r="S721" s="1592"/>
    </row>
    <row r="722" spans="2:19" s="1593" customFormat="1" ht="11.25" customHeight="1" outlineLevel="1">
      <c r="B722" s="1594">
        <v>37472</v>
      </c>
      <c r="C722" s="1595" t="s">
        <v>3658</v>
      </c>
      <c r="D722" s="1595" t="s">
        <v>14017</v>
      </c>
      <c r="E722" s="1595"/>
      <c r="F722" s="1595"/>
      <c r="G722" s="1595"/>
      <c r="H722" s="1596">
        <v>1</v>
      </c>
      <c r="I722" s="1595"/>
      <c r="J722" s="1595"/>
      <c r="K722" s="1597">
        <v>1609.13</v>
      </c>
      <c r="L722" s="1597">
        <v>1609.13</v>
      </c>
      <c r="M722" s="1597">
        <v>-1609.13</v>
      </c>
      <c r="N722" s="1598"/>
      <c r="O722" s="1598"/>
      <c r="P722" s="1597">
        <v>1609.13</v>
      </c>
      <c r="Q722" s="1597">
        <v>-1609.13</v>
      </c>
      <c r="R722" s="1598"/>
      <c r="S722" s="1592"/>
    </row>
    <row r="723" spans="2:19" s="1593" customFormat="1" ht="11.25" customHeight="1" outlineLevel="1">
      <c r="B723" s="1594">
        <v>37494</v>
      </c>
      <c r="C723" s="1595" t="s">
        <v>3658</v>
      </c>
      <c r="D723" s="1595" t="s">
        <v>14016</v>
      </c>
      <c r="E723" s="1595"/>
      <c r="F723" s="1595"/>
      <c r="G723" s="1595"/>
      <c r="H723" s="1596">
        <v>1</v>
      </c>
      <c r="I723" s="1595"/>
      <c r="J723" s="1595"/>
      <c r="K723" s="1597">
        <v>49153</v>
      </c>
      <c r="L723" s="1597">
        <v>49153</v>
      </c>
      <c r="M723" s="1597">
        <v>-49153</v>
      </c>
      <c r="N723" s="1598"/>
      <c r="O723" s="1598"/>
      <c r="P723" s="1597">
        <v>49153</v>
      </c>
      <c r="Q723" s="1597">
        <v>-49153</v>
      </c>
      <c r="R723" s="1598"/>
      <c r="S723" s="1592"/>
    </row>
    <row r="724" spans="2:19" s="1593" customFormat="1" ht="11.25" customHeight="1" outlineLevel="1">
      <c r="B724" s="1594">
        <v>37679</v>
      </c>
      <c r="C724" s="1595" t="s">
        <v>3658</v>
      </c>
      <c r="D724" s="1595" t="s">
        <v>14015</v>
      </c>
      <c r="E724" s="1595"/>
      <c r="F724" s="1595"/>
      <c r="G724" s="1595"/>
      <c r="H724" s="1596">
        <v>1</v>
      </c>
      <c r="I724" s="1595"/>
      <c r="J724" s="1595"/>
      <c r="K724" s="1597">
        <v>60418</v>
      </c>
      <c r="L724" s="1597">
        <v>60418</v>
      </c>
      <c r="M724" s="1597">
        <v>-60418</v>
      </c>
      <c r="N724" s="1598"/>
      <c r="O724" s="1598"/>
      <c r="P724" s="1597">
        <v>30250.400000000001</v>
      </c>
      <c r="Q724" s="1597">
        <v>-30250.400000000001</v>
      </c>
      <c r="R724" s="1598"/>
      <c r="S724" s="1592"/>
    </row>
    <row r="725" spans="2:19" s="1593" customFormat="1" ht="11.25" customHeight="1" outlineLevel="1">
      <c r="B725" s="1594">
        <v>37609</v>
      </c>
      <c r="C725" s="1595" t="s">
        <v>14014</v>
      </c>
      <c r="D725" s="1595" t="s">
        <v>14013</v>
      </c>
      <c r="E725" s="1595"/>
      <c r="F725" s="1595"/>
      <c r="G725" s="1595"/>
      <c r="H725" s="1596">
        <v>1</v>
      </c>
      <c r="I725" s="1595"/>
      <c r="J725" s="1595"/>
      <c r="K725" s="1597">
        <v>57820</v>
      </c>
      <c r="L725" s="1597">
        <v>57820</v>
      </c>
      <c r="M725" s="1597">
        <v>-57820</v>
      </c>
      <c r="N725" s="1598"/>
      <c r="O725" s="1598"/>
      <c r="P725" s="1597">
        <v>57820</v>
      </c>
      <c r="Q725" s="1597">
        <v>-57820</v>
      </c>
      <c r="R725" s="1598"/>
      <c r="S725" s="1592"/>
    </row>
    <row r="726" spans="2:19" s="1593" customFormat="1" ht="11.25" customHeight="1" outlineLevel="1">
      <c r="B726" s="1594">
        <v>37743</v>
      </c>
      <c r="C726" s="1595" t="s">
        <v>8047</v>
      </c>
      <c r="D726" s="1595" t="s">
        <v>14012</v>
      </c>
      <c r="E726" s="1595"/>
      <c r="F726" s="1595"/>
      <c r="G726" s="1595" t="s">
        <v>3664</v>
      </c>
      <c r="H726" s="1596">
        <v>1</v>
      </c>
      <c r="I726" s="1595"/>
      <c r="J726" s="1595"/>
      <c r="K726" s="1597">
        <v>1429503</v>
      </c>
      <c r="L726" s="1597">
        <v>1429503</v>
      </c>
      <c r="M726" s="1598"/>
      <c r="N726" s="1597">
        <v>1429503</v>
      </c>
      <c r="O726" s="1597">
        <v>625168.89</v>
      </c>
      <c r="P726" s="1597">
        <v>758589.99</v>
      </c>
      <c r="Q726" s="1597">
        <v>45744.12</v>
      </c>
      <c r="R726" s="1597">
        <v>804334.11</v>
      </c>
      <c r="S726" s="1592"/>
    </row>
    <row r="727" spans="2:19" s="1593" customFormat="1" ht="11.25" customHeight="1" outlineLevel="1">
      <c r="B727" s="1594">
        <v>38127</v>
      </c>
      <c r="C727" s="1595" t="s">
        <v>3655</v>
      </c>
      <c r="D727" s="1595" t="s">
        <v>14011</v>
      </c>
      <c r="E727" s="1595"/>
      <c r="F727" s="1595"/>
      <c r="G727" s="1595" t="s">
        <v>3664</v>
      </c>
      <c r="H727" s="1596">
        <v>1</v>
      </c>
      <c r="I727" s="1595"/>
      <c r="J727" s="1595"/>
      <c r="K727" s="1597">
        <v>74522</v>
      </c>
      <c r="L727" s="1597">
        <v>74522</v>
      </c>
      <c r="M727" s="1598"/>
      <c r="N727" s="1597">
        <v>74522</v>
      </c>
      <c r="O727" s="1597">
        <v>32232.14</v>
      </c>
      <c r="P727" s="1597">
        <v>39826.26</v>
      </c>
      <c r="Q727" s="1597">
        <v>2463.6</v>
      </c>
      <c r="R727" s="1597">
        <v>42289.86</v>
      </c>
      <c r="S727" s="1592"/>
    </row>
    <row r="728" spans="2:19" s="1593" customFormat="1" ht="11.25" customHeight="1" outlineLevel="1">
      <c r="B728" s="1594">
        <v>37495</v>
      </c>
      <c r="C728" s="1595" t="s">
        <v>14004</v>
      </c>
      <c r="D728" s="1595" t="s">
        <v>14010</v>
      </c>
      <c r="E728" s="1595"/>
      <c r="F728" s="1595"/>
      <c r="G728" s="1595"/>
      <c r="H728" s="1596">
        <v>1</v>
      </c>
      <c r="I728" s="1595"/>
      <c r="J728" s="1595"/>
      <c r="K728" s="1597">
        <v>49153</v>
      </c>
      <c r="L728" s="1597">
        <v>49153</v>
      </c>
      <c r="M728" s="1597">
        <v>-49153</v>
      </c>
      <c r="N728" s="1598"/>
      <c r="O728" s="1598"/>
      <c r="P728" s="1597">
        <v>49153</v>
      </c>
      <c r="Q728" s="1597">
        <v>-49153</v>
      </c>
      <c r="R728" s="1598"/>
      <c r="S728" s="1592"/>
    </row>
    <row r="729" spans="2:19" s="1593" customFormat="1" ht="11.25" customHeight="1" outlineLevel="1">
      <c r="B729" s="1594">
        <v>37496</v>
      </c>
      <c r="C729" s="1595" t="s">
        <v>14004</v>
      </c>
      <c r="D729" s="1595" t="s">
        <v>14009</v>
      </c>
      <c r="E729" s="1595"/>
      <c r="F729" s="1595"/>
      <c r="G729" s="1595"/>
      <c r="H729" s="1596">
        <v>1</v>
      </c>
      <c r="I729" s="1595"/>
      <c r="J729" s="1595"/>
      <c r="K729" s="1597">
        <v>49153</v>
      </c>
      <c r="L729" s="1597">
        <v>49153</v>
      </c>
      <c r="M729" s="1597">
        <v>-49153</v>
      </c>
      <c r="N729" s="1598"/>
      <c r="O729" s="1598"/>
      <c r="P729" s="1597">
        <v>49153</v>
      </c>
      <c r="Q729" s="1597">
        <v>-49153</v>
      </c>
      <c r="R729" s="1598"/>
      <c r="S729" s="1592"/>
    </row>
    <row r="730" spans="2:19" s="1593" customFormat="1" ht="11.25" customHeight="1" outlineLevel="1">
      <c r="B730" s="1594">
        <v>37869</v>
      </c>
      <c r="C730" s="1595" t="s">
        <v>14004</v>
      </c>
      <c r="D730" s="1595" t="s">
        <v>14008</v>
      </c>
      <c r="E730" s="1595"/>
      <c r="F730" s="1595"/>
      <c r="G730" s="1595"/>
      <c r="H730" s="1596">
        <v>1</v>
      </c>
      <c r="I730" s="1595"/>
      <c r="J730" s="1595"/>
      <c r="K730" s="1597">
        <v>35356</v>
      </c>
      <c r="L730" s="1597">
        <v>35356</v>
      </c>
      <c r="M730" s="1597">
        <v>-35356</v>
      </c>
      <c r="N730" s="1598"/>
      <c r="O730" s="1598"/>
      <c r="P730" s="1597">
        <v>35356</v>
      </c>
      <c r="Q730" s="1597">
        <v>-35356</v>
      </c>
      <c r="R730" s="1598"/>
      <c r="S730" s="1592"/>
    </row>
    <row r="731" spans="2:19" s="1593" customFormat="1" ht="11.25" customHeight="1" outlineLevel="1">
      <c r="B731" s="1594">
        <v>37870</v>
      </c>
      <c r="C731" s="1595" t="s">
        <v>14004</v>
      </c>
      <c r="D731" s="1595" t="s">
        <v>14007</v>
      </c>
      <c r="E731" s="1595"/>
      <c r="F731" s="1595"/>
      <c r="G731" s="1595"/>
      <c r="H731" s="1596">
        <v>1</v>
      </c>
      <c r="I731" s="1595"/>
      <c r="J731" s="1595"/>
      <c r="K731" s="1597">
        <v>35356</v>
      </c>
      <c r="L731" s="1597">
        <v>35356</v>
      </c>
      <c r="M731" s="1597">
        <v>-35356</v>
      </c>
      <c r="N731" s="1598"/>
      <c r="O731" s="1598"/>
      <c r="P731" s="1597">
        <v>35356</v>
      </c>
      <c r="Q731" s="1597">
        <v>-35356</v>
      </c>
      <c r="R731" s="1598"/>
      <c r="S731" s="1592"/>
    </row>
    <row r="732" spans="2:19" s="1593" customFormat="1" ht="11.25" customHeight="1" outlineLevel="1">
      <c r="B732" s="1594">
        <v>37871</v>
      </c>
      <c r="C732" s="1595" t="s">
        <v>14004</v>
      </c>
      <c r="D732" s="1595" t="s">
        <v>14006</v>
      </c>
      <c r="E732" s="1595"/>
      <c r="F732" s="1595"/>
      <c r="G732" s="1595"/>
      <c r="H732" s="1596">
        <v>1</v>
      </c>
      <c r="I732" s="1595"/>
      <c r="J732" s="1595"/>
      <c r="K732" s="1597">
        <v>35356</v>
      </c>
      <c r="L732" s="1597">
        <v>35356</v>
      </c>
      <c r="M732" s="1597">
        <v>-35356</v>
      </c>
      <c r="N732" s="1598"/>
      <c r="O732" s="1598"/>
      <c r="P732" s="1597">
        <v>35356</v>
      </c>
      <c r="Q732" s="1597">
        <v>-35356</v>
      </c>
      <c r="R732" s="1598"/>
      <c r="S732" s="1592"/>
    </row>
    <row r="733" spans="2:19" s="1593" customFormat="1" ht="11.25" customHeight="1" outlineLevel="1">
      <c r="B733" s="1594">
        <v>37872</v>
      </c>
      <c r="C733" s="1595" t="s">
        <v>14004</v>
      </c>
      <c r="D733" s="1595" t="s">
        <v>14005</v>
      </c>
      <c r="E733" s="1595"/>
      <c r="F733" s="1595"/>
      <c r="G733" s="1595"/>
      <c r="H733" s="1596">
        <v>1</v>
      </c>
      <c r="I733" s="1595"/>
      <c r="J733" s="1595"/>
      <c r="K733" s="1597">
        <v>35356</v>
      </c>
      <c r="L733" s="1597">
        <v>35356</v>
      </c>
      <c r="M733" s="1597">
        <v>-35356</v>
      </c>
      <c r="N733" s="1598"/>
      <c r="O733" s="1598"/>
      <c r="P733" s="1597">
        <v>35356</v>
      </c>
      <c r="Q733" s="1597">
        <v>-35356</v>
      </c>
      <c r="R733" s="1598"/>
      <c r="S733" s="1592"/>
    </row>
    <row r="734" spans="2:19" s="1593" customFormat="1" ht="11.25" customHeight="1" outlineLevel="1">
      <c r="B734" s="1594">
        <v>37873</v>
      </c>
      <c r="C734" s="1595" t="s">
        <v>14004</v>
      </c>
      <c r="D734" s="1595" t="s">
        <v>14003</v>
      </c>
      <c r="E734" s="1595"/>
      <c r="F734" s="1595"/>
      <c r="G734" s="1595"/>
      <c r="H734" s="1596">
        <v>1</v>
      </c>
      <c r="I734" s="1595"/>
      <c r="J734" s="1595"/>
      <c r="K734" s="1597">
        <v>35356</v>
      </c>
      <c r="L734" s="1597">
        <v>35356</v>
      </c>
      <c r="M734" s="1597">
        <v>-35356</v>
      </c>
      <c r="N734" s="1598"/>
      <c r="O734" s="1598"/>
      <c r="P734" s="1597">
        <v>35356</v>
      </c>
      <c r="Q734" s="1597">
        <v>-35356</v>
      </c>
      <c r="R734" s="1598"/>
      <c r="S734" s="1592"/>
    </row>
    <row r="735" spans="2:19" s="1593" customFormat="1" ht="11.25" customHeight="1" outlineLevel="1">
      <c r="B735" s="1594">
        <v>39425</v>
      </c>
      <c r="C735" s="1595" t="s">
        <v>7966</v>
      </c>
      <c r="D735" s="1595" t="s">
        <v>14002</v>
      </c>
      <c r="E735" s="1595"/>
      <c r="F735" s="1595"/>
      <c r="G735" s="1595" t="s">
        <v>3596</v>
      </c>
      <c r="H735" s="1596">
        <v>1</v>
      </c>
      <c r="I735" s="1595"/>
      <c r="J735" s="1595"/>
      <c r="K735" s="1597">
        <v>233400</v>
      </c>
      <c r="L735" s="1597">
        <v>233400</v>
      </c>
      <c r="M735" s="1598"/>
      <c r="N735" s="1597">
        <v>233400</v>
      </c>
      <c r="O735" s="1597">
        <v>18426.060000000001</v>
      </c>
      <c r="P735" s="1597">
        <v>196547.84</v>
      </c>
      <c r="Q735" s="1597">
        <v>18426.099999999999</v>
      </c>
      <c r="R735" s="1597">
        <v>214973.94</v>
      </c>
      <c r="S735" s="1592"/>
    </row>
    <row r="736" spans="2:19" s="1593" customFormat="1" ht="11.25" customHeight="1" outlineLevel="1">
      <c r="B736" s="1594">
        <v>39506</v>
      </c>
      <c r="C736" s="1595" t="s">
        <v>7958</v>
      </c>
      <c r="D736" s="1595" t="s">
        <v>14001</v>
      </c>
      <c r="E736" s="1595"/>
      <c r="F736" s="1595"/>
      <c r="G736" s="1595"/>
      <c r="H736" s="1595"/>
      <c r="I736" s="1595"/>
      <c r="J736" s="1595"/>
      <c r="K736" s="1597">
        <v>7372.88</v>
      </c>
      <c r="L736" s="1597">
        <v>7372.88</v>
      </c>
      <c r="M736" s="1597">
        <v>-7372.88</v>
      </c>
      <c r="N736" s="1598"/>
      <c r="O736" s="1598"/>
      <c r="P736" s="1597">
        <v>7372.88</v>
      </c>
      <c r="Q736" s="1597">
        <v>-7372.88</v>
      </c>
      <c r="R736" s="1598"/>
      <c r="S736" s="1592"/>
    </row>
    <row r="737" spans="2:19" s="1593" customFormat="1" ht="11.25" customHeight="1" outlineLevel="1">
      <c r="B737" s="1600" t="s">
        <v>14000</v>
      </c>
      <c r="C737" s="1595" t="s">
        <v>13999</v>
      </c>
      <c r="D737" s="1595" t="s">
        <v>13998</v>
      </c>
      <c r="E737" s="1595"/>
      <c r="F737" s="1595"/>
      <c r="G737" s="1595" t="s">
        <v>3596</v>
      </c>
      <c r="H737" s="1596">
        <v>1</v>
      </c>
      <c r="I737" s="1595"/>
      <c r="J737" s="1595"/>
      <c r="K737" s="1597">
        <v>642372.88</v>
      </c>
      <c r="L737" s="1597">
        <v>642372.88</v>
      </c>
      <c r="M737" s="1598"/>
      <c r="N737" s="1597">
        <v>642372.88</v>
      </c>
      <c r="O737" s="1597">
        <v>53905.279999999999</v>
      </c>
      <c r="P737" s="1597">
        <v>534562.28</v>
      </c>
      <c r="Q737" s="1597">
        <v>53905.32</v>
      </c>
      <c r="R737" s="1597">
        <v>588467.6</v>
      </c>
      <c r="S737" s="1592"/>
    </row>
    <row r="738" spans="2:19" s="1593" customFormat="1" ht="11.25" customHeight="1" outlineLevel="1">
      <c r="B738" s="1600" t="s">
        <v>13997</v>
      </c>
      <c r="C738" s="1595" t="s">
        <v>13990</v>
      </c>
      <c r="D738" s="1595" t="s">
        <v>13996</v>
      </c>
      <c r="E738" s="1595"/>
      <c r="F738" s="1595"/>
      <c r="G738" s="1595" t="s">
        <v>3596</v>
      </c>
      <c r="H738" s="1596">
        <v>1</v>
      </c>
      <c r="I738" s="1595"/>
      <c r="J738" s="1595"/>
      <c r="K738" s="1597">
        <v>1983785.55</v>
      </c>
      <c r="L738" s="1597">
        <v>2002330.55</v>
      </c>
      <c r="M738" s="1598"/>
      <c r="N738" s="1597">
        <v>2002330.55</v>
      </c>
      <c r="O738" s="1597">
        <v>182030.1</v>
      </c>
      <c r="P738" s="1597">
        <v>1638270.36</v>
      </c>
      <c r="Q738" s="1597">
        <v>182030.09</v>
      </c>
      <c r="R738" s="1597">
        <v>1820300.45</v>
      </c>
      <c r="S738" s="1592"/>
    </row>
    <row r="739" spans="2:19" s="1593" customFormat="1" ht="11.25" customHeight="1" outlineLevel="1">
      <c r="B739" s="1600" t="s">
        <v>13995</v>
      </c>
      <c r="C739" s="1595" t="s">
        <v>13990</v>
      </c>
      <c r="D739" s="1595" t="s">
        <v>13994</v>
      </c>
      <c r="E739" s="1595"/>
      <c r="F739" s="1595"/>
      <c r="G739" s="1595" t="s">
        <v>3596</v>
      </c>
      <c r="H739" s="1596">
        <v>1</v>
      </c>
      <c r="I739" s="1595"/>
      <c r="J739" s="1595"/>
      <c r="K739" s="1597">
        <v>1983785.55</v>
      </c>
      <c r="L739" s="1597">
        <v>1983785.55</v>
      </c>
      <c r="M739" s="1598"/>
      <c r="N739" s="1597">
        <v>1983785.55</v>
      </c>
      <c r="O739" s="1597">
        <v>180344.07</v>
      </c>
      <c r="P739" s="1597">
        <v>1623097.44</v>
      </c>
      <c r="Q739" s="1597">
        <v>180344.04</v>
      </c>
      <c r="R739" s="1597">
        <v>1803441.48</v>
      </c>
      <c r="S739" s="1592"/>
    </row>
    <row r="740" spans="2:19" s="1593" customFormat="1" ht="11.25" customHeight="1" outlineLevel="1">
      <c r="B740" s="1600" t="s">
        <v>13993</v>
      </c>
      <c r="C740" s="1595" t="s">
        <v>13990</v>
      </c>
      <c r="D740" s="1595" t="s">
        <v>13992</v>
      </c>
      <c r="E740" s="1595"/>
      <c r="F740" s="1595"/>
      <c r="G740" s="1595" t="s">
        <v>3596</v>
      </c>
      <c r="H740" s="1596">
        <v>1</v>
      </c>
      <c r="I740" s="1595"/>
      <c r="J740" s="1595"/>
      <c r="K740" s="1597">
        <v>1983785.55</v>
      </c>
      <c r="L740" s="1597">
        <v>1983785.55</v>
      </c>
      <c r="M740" s="1598"/>
      <c r="N740" s="1597">
        <v>1983785.55</v>
      </c>
      <c r="O740" s="1597">
        <v>180344.07</v>
      </c>
      <c r="P740" s="1597">
        <v>1623097.44</v>
      </c>
      <c r="Q740" s="1597">
        <v>180344.04</v>
      </c>
      <c r="R740" s="1597">
        <v>1803441.48</v>
      </c>
      <c r="S740" s="1592"/>
    </row>
    <row r="741" spans="2:19" s="1593" customFormat="1" ht="11.25" customHeight="1" outlineLevel="1">
      <c r="B741" s="1600" t="s">
        <v>13991</v>
      </c>
      <c r="C741" s="1595" t="s">
        <v>13990</v>
      </c>
      <c r="D741" s="1595" t="s">
        <v>13989</v>
      </c>
      <c r="E741" s="1595"/>
      <c r="F741" s="1595"/>
      <c r="G741" s="1595" t="s">
        <v>3596</v>
      </c>
      <c r="H741" s="1596">
        <v>1</v>
      </c>
      <c r="I741" s="1595"/>
      <c r="J741" s="1595"/>
      <c r="K741" s="1597">
        <v>1983785.55</v>
      </c>
      <c r="L741" s="1597">
        <v>1983785.55</v>
      </c>
      <c r="M741" s="1598"/>
      <c r="N741" s="1597">
        <v>1983785.55</v>
      </c>
      <c r="O741" s="1597">
        <v>180344.07</v>
      </c>
      <c r="P741" s="1597">
        <v>1623097.44</v>
      </c>
      <c r="Q741" s="1597">
        <v>180344.04</v>
      </c>
      <c r="R741" s="1597">
        <v>1803441.48</v>
      </c>
      <c r="S741" s="1592"/>
    </row>
    <row r="742" spans="2:19" s="1593" customFormat="1" ht="11.25" customHeight="1" outlineLevel="1">
      <c r="B742" s="1600" t="s">
        <v>13988</v>
      </c>
      <c r="C742" s="1595" t="s">
        <v>13987</v>
      </c>
      <c r="D742" s="1595" t="s">
        <v>13986</v>
      </c>
      <c r="E742" s="1595"/>
      <c r="F742" s="1595"/>
      <c r="G742" s="1595" t="s">
        <v>3596</v>
      </c>
      <c r="H742" s="1596">
        <v>1</v>
      </c>
      <c r="I742" s="1595"/>
      <c r="J742" s="1595"/>
      <c r="K742" s="1597">
        <v>466101.7</v>
      </c>
      <c r="L742" s="1597">
        <v>466101.7</v>
      </c>
      <c r="M742" s="1598"/>
      <c r="N742" s="1597">
        <v>466101.7</v>
      </c>
      <c r="O742" s="1597">
        <v>66061.77</v>
      </c>
      <c r="P742" s="1597">
        <v>355998.73</v>
      </c>
      <c r="Q742" s="1597">
        <v>44041.2</v>
      </c>
      <c r="R742" s="1597">
        <v>400039.93</v>
      </c>
      <c r="S742" s="1592"/>
    </row>
    <row r="743" spans="2:19" s="1593" customFormat="1" ht="11.25" customHeight="1" outlineLevel="1">
      <c r="B743" s="1600" t="s">
        <v>13985</v>
      </c>
      <c r="C743" s="1595" t="s">
        <v>13984</v>
      </c>
      <c r="D743" s="1595" t="s">
        <v>13983</v>
      </c>
      <c r="E743" s="1595"/>
      <c r="F743" s="1595"/>
      <c r="G743" s="1595"/>
      <c r="H743" s="1596">
        <v>1</v>
      </c>
      <c r="I743" s="1595"/>
      <c r="J743" s="1595"/>
      <c r="K743" s="1597">
        <v>676271.19</v>
      </c>
      <c r="L743" s="1597">
        <v>676271.19</v>
      </c>
      <c r="M743" s="1598"/>
      <c r="N743" s="1597">
        <v>676271.19</v>
      </c>
      <c r="O743" s="1597">
        <v>123896.76</v>
      </c>
      <c r="P743" s="1597">
        <v>490426.1</v>
      </c>
      <c r="Q743" s="1597">
        <v>61948.33</v>
      </c>
      <c r="R743" s="1597">
        <v>552374.43000000005</v>
      </c>
      <c r="S743" s="1592"/>
    </row>
    <row r="744" spans="2:19" s="1593" customFormat="1" ht="21.75" customHeight="1" outlineLevel="1">
      <c r="B744" s="1600" t="s">
        <v>13982</v>
      </c>
      <c r="C744" s="1595" t="s">
        <v>13981</v>
      </c>
      <c r="D744" s="1595" t="s">
        <v>13980</v>
      </c>
      <c r="E744" s="1595"/>
      <c r="F744" s="1595"/>
      <c r="G744" s="1595"/>
      <c r="H744" s="1596">
        <v>1</v>
      </c>
      <c r="I744" s="1595"/>
      <c r="J744" s="1595"/>
      <c r="K744" s="1597">
        <v>144067.79999999999</v>
      </c>
      <c r="L744" s="1597">
        <v>144067.79999999999</v>
      </c>
      <c r="M744" s="1598"/>
      <c r="N744" s="1597">
        <v>144067.79999999999</v>
      </c>
      <c r="O744" s="1597">
        <v>2657.09</v>
      </c>
      <c r="P744" s="1597">
        <v>127602.51</v>
      </c>
      <c r="Q744" s="1597">
        <v>13808.2</v>
      </c>
      <c r="R744" s="1597">
        <v>141410.71</v>
      </c>
      <c r="S744" s="1592"/>
    </row>
    <row r="745" spans="2:19" s="1593" customFormat="1" ht="21.75" customHeight="1" outlineLevel="1">
      <c r="B745" s="1600" t="s">
        <v>13979</v>
      </c>
      <c r="C745" s="1595" t="s">
        <v>13978</v>
      </c>
      <c r="D745" s="1595" t="s">
        <v>13977</v>
      </c>
      <c r="E745" s="1595"/>
      <c r="F745" s="1595"/>
      <c r="G745" s="1595"/>
      <c r="H745" s="1596">
        <v>1</v>
      </c>
      <c r="I745" s="1595"/>
      <c r="J745" s="1595"/>
      <c r="K745" s="1597">
        <v>307442.8</v>
      </c>
      <c r="L745" s="1597">
        <v>307442.8</v>
      </c>
      <c r="M745" s="1598"/>
      <c r="N745" s="1597">
        <v>307442.8</v>
      </c>
      <c r="O745" s="1597">
        <v>45735.25</v>
      </c>
      <c r="P745" s="1597">
        <v>231217.35</v>
      </c>
      <c r="Q745" s="1597">
        <v>30490.2</v>
      </c>
      <c r="R745" s="1597">
        <v>261707.55</v>
      </c>
      <c r="S745" s="1592"/>
    </row>
    <row r="746" spans="2:19" s="1593" customFormat="1" ht="21.75" customHeight="1" outlineLevel="1">
      <c r="B746" s="1600" t="s">
        <v>13976</v>
      </c>
      <c r="C746" s="1595" t="s">
        <v>10699</v>
      </c>
      <c r="D746" s="1595" t="s">
        <v>13975</v>
      </c>
      <c r="E746" s="1595"/>
      <c r="F746" s="1595"/>
      <c r="G746" s="1595"/>
      <c r="H746" s="1596">
        <v>1</v>
      </c>
      <c r="I746" s="1595"/>
      <c r="J746" s="1595"/>
      <c r="K746" s="1597">
        <v>322017.21000000002</v>
      </c>
      <c r="L746" s="1597">
        <v>322017.21000000002</v>
      </c>
      <c r="M746" s="1598"/>
      <c r="N746" s="1597">
        <v>322017.21000000002</v>
      </c>
      <c r="O746" s="1597">
        <v>49541.31</v>
      </c>
      <c r="P746" s="1597">
        <v>239448.36</v>
      </c>
      <c r="Q746" s="1597">
        <v>33027.54</v>
      </c>
      <c r="R746" s="1597">
        <v>272475.90000000002</v>
      </c>
      <c r="S746" s="1592"/>
    </row>
    <row r="747" spans="2:19" s="1593" customFormat="1" ht="11.25" customHeight="1" outlineLevel="1">
      <c r="B747" s="1600" t="s">
        <v>13974</v>
      </c>
      <c r="C747" s="1595" t="s">
        <v>13973</v>
      </c>
      <c r="D747" s="1595" t="s">
        <v>13972</v>
      </c>
      <c r="E747" s="1595"/>
      <c r="F747" s="1595"/>
      <c r="G747" s="1595"/>
      <c r="H747" s="1596">
        <v>1</v>
      </c>
      <c r="I747" s="1595"/>
      <c r="J747" s="1595"/>
      <c r="K747" s="1597">
        <v>181953.65</v>
      </c>
      <c r="L747" s="1597">
        <v>181953.65</v>
      </c>
      <c r="M747" s="1598"/>
      <c r="N747" s="1597">
        <v>181953.65</v>
      </c>
      <c r="O747" s="1597">
        <v>22744.25</v>
      </c>
      <c r="P747" s="1597">
        <v>136465.20000000001</v>
      </c>
      <c r="Q747" s="1597">
        <v>22744.2</v>
      </c>
      <c r="R747" s="1597">
        <v>159209.4</v>
      </c>
      <c r="S747" s="1592"/>
    </row>
    <row r="748" spans="2:19" s="1593" customFormat="1" ht="21.75" customHeight="1" outlineLevel="1">
      <c r="B748" s="1600" t="s">
        <v>13971</v>
      </c>
      <c r="C748" s="1595" t="s">
        <v>13970</v>
      </c>
      <c r="D748" s="1595" t="s">
        <v>13969</v>
      </c>
      <c r="E748" s="1595"/>
      <c r="F748" s="1595" t="s">
        <v>13963</v>
      </c>
      <c r="G748" s="1595"/>
      <c r="H748" s="1596">
        <v>1</v>
      </c>
      <c r="I748" s="1595"/>
      <c r="J748" s="1595"/>
      <c r="K748" s="1597">
        <v>2048400</v>
      </c>
      <c r="L748" s="1597">
        <v>2048400</v>
      </c>
      <c r="M748" s="1598"/>
      <c r="N748" s="1597">
        <v>2048400</v>
      </c>
      <c r="O748" s="1597">
        <v>58334.45</v>
      </c>
      <c r="P748" s="1597">
        <v>1686917.68</v>
      </c>
      <c r="Q748" s="1597">
        <v>303147.87</v>
      </c>
      <c r="R748" s="1597">
        <v>1990065.55</v>
      </c>
      <c r="S748" s="1592"/>
    </row>
    <row r="749" spans="2:19" s="1593" customFormat="1" ht="11.25" customHeight="1" outlineLevel="1">
      <c r="B749" s="1600" t="s">
        <v>13968</v>
      </c>
      <c r="C749" s="1595" t="s">
        <v>7482</v>
      </c>
      <c r="D749" s="1595" t="s">
        <v>13967</v>
      </c>
      <c r="E749" s="1595" t="s">
        <v>2288</v>
      </c>
      <c r="F749" s="1595" t="s">
        <v>13966</v>
      </c>
      <c r="G749" s="1595"/>
      <c r="H749" s="1596">
        <v>1</v>
      </c>
      <c r="I749" s="1595"/>
      <c r="J749" s="1595"/>
      <c r="K749" s="1597">
        <v>1084745.76</v>
      </c>
      <c r="L749" s="1597">
        <v>1084745.76</v>
      </c>
      <c r="M749" s="1598"/>
      <c r="N749" s="1597">
        <v>1084745.76</v>
      </c>
      <c r="O749" s="1597">
        <v>229711.05</v>
      </c>
      <c r="P749" s="1597">
        <v>701894.05</v>
      </c>
      <c r="Q749" s="1597">
        <v>153140.66</v>
      </c>
      <c r="R749" s="1597">
        <v>855034.71</v>
      </c>
      <c r="S749" s="1592"/>
    </row>
    <row r="750" spans="2:19" s="1593" customFormat="1" ht="21.75" customHeight="1" outlineLevel="1">
      <c r="B750" s="1600" t="s">
        <v>13965</v>
      </c>
      <c r="C750" s="1595" t="s">
        <v>7474</v>
      </c>
      <c r="D750" s="1595" t="s">
        <v>13964</v>
      </c>
      <c r="E750" s="1595"/>
      <c r="F750" s="1595" t="s">
        <v>13963</v>
      </c>
      <c r="G750" s="1595"/>
      <c r="H750" s="1596">
        <v>1</v>
      </c>
      <c r="I750" s="1595"/>
      <c r="J750" s="1595"/>
      <c r="K750" s="1597">
        <v>1240000</v>
      </c>
      <c r="L750" s="1597">
        <v>1240000</v>
      </c>
      <c r="M750" s="1598"/>
      <c r="N750" s="1597">
        <v>1240000</v>
      </c>
      <c r="O750" s="1597">
        <v>35839.870000000003</v>
      </c>
      <c r="P750" s="1597">
        <v>1017910.3</v>
      </c>
      <c r="Q750" s="1597">
        <v>186249.83</v>
      </c>
      <c r="R750" s="1597">
        <v>1204160.1299999999</v>
      </c>
      <c r="S750" s="1592"/>
    </row>
    <row r="751" spans="2:19" s="1593" customFormat="1" ht="21.75" customHeight="1" outlineLevel="1">
      <c r="B751" s="1600" t="s">
        <v>13962</v>
      </c>
      <c r="C751" s="1595" t="s">
        <v>2414</v>
      </c>
      <c r="D751" s="1595" t="s">
        <v>13961</v>
      </c>
      <c r="E751" s="1595"/>
      <c r="F751" s="1595"/>
      <c r="G751" s="1595"/>
      <c r="H751" s="1595"/>
      <c r="I751" s="1595"/>
      <c r="J751" s="1595"/>
      <c r="K751" s="1597">
        <v>50868.6</v>
      </c>
      <c r="L751" s="1597">
        <v>50868.6</v>
      </c>
      <c r="M751" s="1598"/>
      <c r="N751" s="1597">
        <v>50868.6</v>
      </c>
      <c r="O751" s="1597">
        <v>35608.019999999997</v>
      </c>
      <c r="P751" s="1598"/>
      <c r="Q751" s="1597">
        <v>15260.58</v>
      </c>
      <c r="R751" s="1597">
        <v>15260.58</v>
      </c>
      <c r="S751" s="1592"/>
    </row>
    <row r="752" spans="2:19" s="1593" customFormat="1" ht="21.75" customHeight="1" outlineLevel="1">
      <c r="B752" s="1600" t="s">
        <v>13960</v>
      </c>
      <c r="C752" s="1595" t="s">
        <v>2414</v>
      </c>
      <c r="D752" s="1595" t="s">
        <v>13959</v>
      </c>
      <c r="E752" s="1595"/>
      <c r="F752" s="1595"/>
      <c r="G752" s="1595"/>
      <c r="H752" s="1595"/>
      <c r="I752" s="1595"/>
      <c r="J752" s="1595"/>
      <c r="K752" s="1597">
        <v>7959582.75</v>
      </c>
      <c r="L752" s="1597">
        <v>7959582.75</v>
      </c>
      <c r="M752" s="1598"/>
      <c r="N752" s="1597">
        <v>7959582.75</v>
      </c>
      <c r="O752" s="1597">
        <v>7693524.2699999996</v>
      </c>
      <c r="P752" s="1598"/>
      <c r="Q752" s="1597">
        <v>266058.48</v>
      </c>
      <c r="R752" s="1597">
        <v>266058.48</v>
      </c>
      <c r="S752" s="1592"/>
    </row>
    <row r="753" spans="2:19" s="1593" customFormat="1" ht="5.0999999999999996" customHeight="1">
      <c r="S753" s="1592"/>
    </row>
    <row r="754" spans="2:19" s="1593" customFormat="1" ht="11.25" customHeight="1">
      <c r="B754" s="1590" t="s">
        <v>11039</v>
      </c>
      <c r="C754" s="1590"/>
      <c r="D754" s="1590" t="s">
        <v>13958</v>
      </c>
      <c r="E754" s="1590"/>
      <c r="F754" s="1590"/>
      <c r="G754" s="1590"/>
      <c r="H754" s="1590">
        <v>1</v>
      </c>
      <c r="I754" s="1590"/>
      <c r="J754" s="1590"/>
      <c r="K754" s="1591">
        <v>7965075.2699999996</v>
      </c>
      <c r="L754" s="1591">
        <v>11621467.01</v>
      </c>
      <c r="M754" s="1591">
        <v>-2208242.85</v>
      </c>
      <c r="N754" s="1591">
        <v>9413224.1600000001</v>
      </c>
      <c r="O754" s="1591">
        <v>4485380.05</v>
      </c>
      <c r="P754" s="1591">
        <v>5818458.5499999998</v>
      </c>
      <c r="Q754" s="1591">
        <v>-890614.44</v>
      </c>
      <c r="R754" s="1591">
        <v>4927844.1100000003</v>
      </c>
      <c r="S754" s="1592">
        <f>R754/N754</f>
        <v>0.52350225876274048</v>
      </c>
    </row>
    <row r="755" spans="2:19" s="1593" customFormat="1" ht="11.25" customHeight="1" outlineLevel="1">
      <c r="B755" s="1594">
        <v>10356</v>
      </c>
      <c r="C755" s="1595" t="s">
        <v>5403</v>
      </c>
      <c r="D755" s="1595" t="s">
        <v>13957</v>
      </c>
      <c r="E755" s="1595"/>
      <c r="F755" s="1595"/>
      <c r="G755" s="1595" t="s">
        <v>13956</v>
      </c>
      <c r="H755" s="1596">
        <v>1</v>
      </c>
      <c r="I755" s="1595"/>
      <c r="J755" s="1595"/>
      <c r="K755" s="1597">
        <v>1115298</v>
      </c>
      <c r="L755" s="1597">
        <v>716402</v>
      </c>
      <c r="M755" s="1598"/>
      <c r="N755" s="1597">
        <v>716402</v>
      </c>
      <c r="O755" s="1597">
        <v>3992.79</v>
      </c>
      <c r="P755" s="1597">
        <v>692049.27</v>
      </c>
      <c r="Q755" s="1597">
        <v>20359.939999999999</v>
      </c>
      <c r="R755" s="1597">
        <v>712409.21</v>
      </c>
      <c r="S755" s="1592"/>
    </row>
    <row r="756" spans="2:19" s="1593" customFormat="1" ht="11.25" customHeight="1" outlineLevel="1">
      <c r="B756" s="1594">
        <v>10357</v>
      </c>
      <c r="C756" s="1595" t="s">
        <v>5403</v>
      </c>
      <c r="D756" s="1595" t="s">
        <v>13955</v>
      </c>
      <c r="E756" s="1595"/>
      <c r="F756" s="1595"/>
      <c r="G756" s="1595"/>
      <c r="H756" s="1596">
        <v>1</v>
      </c>
      <c r="I756" s="1595"/>
      <c r="J756" s="1595"/>
      <c r="K756" s="1597">
        <v>8031</v>
      </c>
      <c r="L756" s="1597">
        <v>8031</v>
      </c>
      <c r="M756" s="1597">
        <v>-8031</v>
      </c>
      <c r="N756" s="1598"/>
      <c r="O756" s="1598"/>
      <c r="P756" s="1597">
        <v>8031</v>
      </c>
      <c r="Q756" s="1597">
        <v>-8031</v>
      </c>
      <c r="R756" s="1598"/>
      <c r="S756" s="1592"/>
    </row>
    <row r="757" spans="2:19" s="1593" customFormat="1" ht="11.25" customHeight="1" outlineLevel="1">
      <c r="B757" s="1594">
        <v>10361</v>
      </c>
      <c r="C757" s="1595" t="s">
        <v>5403</v>
      </c>
      <c r="D757" s="1595" t="s">
        <v>13954</v>
      </c>
      <c r="E757" s="1595"/>
      <c r="F757" s="1595"/>
      <c r="G757" s="1595"/>
      <c r="H757" s="1596">
        <v>1</v>
      </c>
      <c r="I757" s="1595"/>
      <c r="J757" s="1595"/>
      <c r="K757" s="1597">
        <v>1420</v>
      </c>
      <c r="L757" s="1597">
        <v>1419.5</v>
      </c>
      <c r="M757" s="1597">
        <v>-1419.5</v>
      </c>
      <c r="N757" s="1598"/>
      <c r="O757" s="1598"/>
      <c r="P757" s="1597">
        <v>1419.5</v>
      </c>
      <c r="Q757" s="1597">
        <v>-1419.5</v>
      </c>
      <c r="R757" s="1598"/>
      <c r="S757" s="1592"/>
    </row>
    <row r="758" spans="2:19" s="1593" customFormat="1" ht="11.25" customHeight="1" outlineLevel="1">
      <c r="B758" s="1594">
        <v>10366</v>
      </c>
      <c r="C758" s="1595" t="s">
        <v>5403</v>
      </c>
      <c r="D758" s="1595" t="s">
        <v>13953</v>
      </c>
      <c r="E758" s="1595"/>
      <c r="F758" s="1595"/>
      <c r="G758" s="1595"/>
      <c r="H758" s="1596">
        <v>1</v>
      </c>
      <c r="I758" s="1595"/>
      <c r="J758" s="1595"/>
      <c r="K758" s="1597">
        <v>2349</v>
      </c>
      <c r="L758" s="1597">
        <v>2349</v>
      </c>
      <c r="M758" s="1597">
        <v>-2349</v>
      </c>
      <c r="N758" s="1598"/>
      <c r="O758" s="1598"/>
      <c r="P758" s="1597">
        <v>2349</v>
      </c>
      <c r="Q758" s="1597">
        <v>-2349</v>
      </c>
      <c r="R758" s="1598"/>
      <c r="S758" s="1592"/>
    </row>
    <row r="759" spans="2:19" s="1593" customFormat="1" ht="11.25" customHeight="1" outlineLevel="1">
      <c r="B759" s="1594">
        <v>10368</v>
      </c>
      <c r="C759" s="1595" t="s">
        <v>5403</v>
      </c>
      <c r="D759" s="1595" t="s">
        <v>13952</v>
      </c>
      <c r="E759" s="1595"/>
      <c r="F759" s="1595"/>
      <c r="G759" s="1595"/>
      <c r="H759" s="1596">
        <v>1</v>
      </c>
      <c r="I759" s="1595"/>
      <c r="J759" s="1595"/>
      <c r="K759" s="1597">
        <v>5610</v>
      </c>
      <c r="L759" s="1597">
        <v>5609.56</v>
      </c>
      <c r="M759" s="1597">
        <v>-5609.56</v>
      </c>
      <c r="N759" s="1598"/>
      <c r="O759" s="1598"/>
      <c r="P759" s="1597">
        <v>5609.56</v>
      </c>
      <c r="Q759" s="1597">
        <v>-5609.56</v>
      </c>
      <c r="R759" s="1598"/>
      <c r="S759" s="1592"/>
    </row>
    <row r="760" spans="2:19" s="1593" customFormat="1" ht="11.25" customHeight="1" outlineLevel="1">
      <c r="B760" s="1594">
        <v>10371</v>
      </c>
      <c r="C760" s="1595" t="s">
        <v>5403</v>
      </c>
      <c r="D760" s="1595" t="s">
        <v>13951</v>
      </c>
      <c r="E760" s="1595"/>
      <c r="F760" s="1595"/>
      <c r="G760" s="1595"/>
      <c r="H760" s="1596">
        <v>1</v>
      </c>
      <c r="I760" s="1595"/>
      <c r="J760" s="1595"/>
      <c r="K760" s="1597">
        <v>2226</v>
      </c>
      <c r="L760" s="1597">
        <v>2226</v>
      </c>
      <c r="M760" s="1597">
        <v>-2226</v>
      </c>
      <c r="N760" s="1598"/>
      <c r="O760" s="1598"/>
      <c r="P760" s="1597">
        <v>2226</v>
      </c>
      <c r="Q760" s="1597">
        <v>-2226</v>
      </c>
      <c r="R760" s="1598"/>
      <c r="S760" s="1592"/>
    </row>
    <row r="761" spans="2:19" s="1593" customFormat="1" ht="11.25" customHeight="1" outlineLevel="1">
      <c r="B761" s="1594">
        <v>10374</v>
      </c>
      <c r="C761" s="1595" t="s">
        <v>5403</v>
      </c>
      <c r="D761" s="1595" t="s">
        <v>13950</v>
      </c>
      <c r="E761" s="1595"/>
      <c r="F761" s="1595"/>
      <c r="G761" s="1595"/>
      <c r="H761" s="1596">
        <v>1</v>
      </c>
      <c r="I761" s="1595"/>
      <c r="J761" s="1595"/>
      <c r="K761" s="1599">
        <v>104</v>
      </c>
      <c r="L761" s="1599">
        <v>104</v>
      </c>
      <c r="M761" s="1599">
        <v>-104</v>
      </c>
      <c r="N761" s="1598"/>
      <c r="O761" s="1598"/>
      <c r="P761" s="1599">
        <v>104</v>
      </c>
      <c r="Q761" s="1599">
        <v>-104</v>
      </c>
      <c r="R761" s="1598"/>
      <c r="S761" s="1592"/>
    </row>
    <row r="762" spans="2:19" s="1593" customFormat="1" ht="11.25" customHeight="1" outlineLevel="1">
      <c r="B762" s="1594">
        <v>10375</v>
      </c>
      <c r="C762" s="1595" t="s">
        <v>5403</v>
      </c>
      <c r="D762" s="1595" t="s">
        <v>13949</v>
      </c>
      <c r="E762" s="1595"/>
      <c r="F762" s="1595"/>
      <c r="G762" s="1595"/>
      <c r="H762" s="1596">
        <v>1</v>
      </c>
      <c r="I762" s="1595"/>
      <c r="J762" s="1595"/>
      <c r="K762" s="1599">
        <v>238</v>
      </c>
      <c r="L762" s="1599">
        <v>238</v>
      </c>
      <c r="M762" s="1599">
        <v>-238</v>
      </c>
      <c r="N762" s="1598"/>
      <c r="O762" s="1598"/>
      <c r="P762" s="1599">
        <v>238</v>
      </c>
      <c r="Q762" s="1599">
        <v>-238</v>
      </c>
      <c r="R762" s="1598"/>
      <c r="S762" s="1592"/>
    </row>
    <row r="763" spans="2:19" s="1593" customFormat="1" ht="11.25" customHeight="1" outlineLevel="1">
      <c r="B763" s="1594">
        <v>10377</v>
      </c>
      <c r="C763" s="1595" t="s">
        <v>5403</v>
      </c>
      <c r="D763" s="1595" t="s">
        <v>13948</v>
      </c>
      <c r="E763" s="1595"/>
      <c r="F763" s="1595"/>
      <c r="G763" s="1595"/>
      <c r="H763" s="1596">
        <v>1</v>
      </c>
      <c r="I763" s="1595"/>
      <c r="J763" s="1595"/>
      <c r="K763" s="1599">
        <v>239</v>
      </c>
      <c r="L763" s="1599">
        <v>239</v>
      </c>
      <c r="M763" s="1599">
        <v>-239</v>
      </c>
      <c r="N763" s="1598"/>
      <c r="O763" s="1598"/>
      <c r="P763" s="1599">
        <v>239</v>
      </c>
      <c r="Q763" s="1599">
        <v>-239</v>
      </c>
      <c r="R763" s="1598"/>
      <c r="S763" s="1592"/>
    </row>
    <row r="764" spans="2:19" s="1593" customFormat="1" ht="11.25" customHeight="1" outlineLevel="1">
      <c r="B764" s="1594">
        <v>10378</v>
      </c>
      <c r="C764" s="1595" t="s">
        <v>5403</v>
      </c>
      <c r="D764" s="1595" t="s">
        <v>13947</v>
      </c>
      <c r="E764" s="1595"/>
      <c r="F764" s="1595"/>
      <c r="G764" s="1595" t="s">
        <v>9581</v>
      </c>
      <c r="H764" s="1596">
        <v>1</v>
      </c>
      <c r="I764" s="1595"/>
      <c r="J764" s="1595"/>
      <c r="K764" s="1597">
        <v>447930</v>
      </c>
      <c r="L764" s="1597">
        <v>182196</v>
      </c>
      <c r="M764" s="1598"/>
      <c r="N764" s="1597">
        <v>182196</v>
      </c>
      <c r="O764" s="1597">
        <v>75004.02</v>
      </c>
      <c r="P764" s="1597">
        <v>103548.06</v>
      </c>
      <c r="Q764" s="1597">
        <v>3643.92</v>
      </c>
      <c r="R764" s="1597">
        <v>107191.98</v>
      </c>
      <c r="S764" s="1592"/>
    </row>
    <row r="765" spans="2:19" s="1593" customFormat="1" ht="11.25" customHeight="1" outlineLevel="1">
      <c r="B765" s="1594">
        <v>10380</v>
      </c>
      <c r="C765" s="1595" t="s">
        <v>5403</v>
      </c>
      <c r="D765" s="1595" t="s">
        <v>13946</v>
      </c>
      <c r="E765" s="1595"/>
      <c r="F765" s="1595"/>
      <c r="G765" s="1595"/>
      <c r="H765" s="1596">
        <v>1</v>
      </c>
      <c r="I765" s="1595"/>
      <c r="J765" s="1595"/>
      <c r="K765" s="1597">
        <v>2275</v>
      </c>
      <c r="L765" s="1597">
        <v>2275</v>
      </c>
      <c r="M765" s="1597">
        <v>-2275</v>
      </c>
      <c r="N765" s="1598"/>
      <c r="O765" s="1598"/>
      <c r="P765" s="1597">
        <v>2275</v>
      </c>
      <c r="Q765" s="1597">
        <v>-2275</v>
      </c>
      <c r="R765" s="1598"/>
      <c r="S765" s="1592"/>
    </row>
    <row r="766" spans="2:19" s="1593" customFormat="1" ht="21.75" customHeight="1" outlineLevel="1">
      <c r="B766" s="1594">
        <v>10386</v>
      </c>
      <c r="C766" s="1595" t="s">
        <v>5403</v>
      </c>
      <c r="D766" s="1595" t="s">
        <v>13945</v>
      </c>
      <c r="E766" s="1595"/>
      <c r="F766" s="1595"/>
      <c r="G766" s="1595" t="s">
        <v>13944</v>
      </c>
      <c r="H766" s="1596">
        <v>3</v>
      </c>
      <c r="I766" s="1595"/>
      <c r="J766" s="1595"/>
      <c r="K766" s="1597">
        <v>174620</v>
      </c>
      <c r="L766" s="1597">
        <v>174620</v>
      </c>
      <c r="M766" s="1598"/>
      <c r="N766" s="1597">
        <v>174620</v>
      </c>
      <c r="O766" s="1597">
        <v>11117.1</v>
      </c>
      <c r="P766" s="1597">
        <v>157944.38</v>
      </c>
      <c r="Q766" s="1597">
        <v>5558.52</v>
      </c>
      <c r="R766" s="1597">
        <v>163502.9</v>
      </c>
      <c r="S766" s="1592"/>
    </row>
    <row r="767" spans="2:19" s="1593" customFormat="1" ht="11.25" customHeight="1" outlineLevel="1">
      <c r="B767" s="1594">
        <v>10388</v>
      </c>
      <c r="C767" s="1595" t="s">
        <v>5403</v>
      </c>
      <c r="D767" s="1595" t="s">
        <v>13943</v>
      </c>
      <c r="E767" s="1595"/>
      <c r="F767" s="1595"/>
      <c r="G767" s="1595"/>
      <c r="H767" s="1596">
        <v>1</v>
      </c>
      <c r="I767" s="1595"/>
      <c r="J767" s="1595"/>
      <c r="K767" s="1597">
        <v>2349</v>
      </c>
      <c r="L767" s="1597">
        <v>2349</v>
      </c>
      <c r="M767" s="1597">
        <v>-2349</v>
      </c>
      <c r="N767" s="1598"/>
      <c r="O767" s="1598"/>
      <c r="P767" s="1597">
        <v>2349</v>
      </c>
      <c r="Q767" s="1597">
        <v>-2349</v>
      </c>
      <c r="R767" s="1598"/>
      <c r="S767" s="1592"/>
    </row>
    <row r="768" spans="2:19" s="1593" customFormat="1" ht="11.25" customHeight="1" outlineLevel="1">
      <c r="B768" s="1594">
        <v>10389</v>
      </c>
      <c r="C768" s="1595" t="s">
        <v>5403</v>
      </c>
      <c r="D768" s="1595" t="s">
        <v>13942</v>
      </c>
      <c r="E768" s="1595"/>
      <c r="F768" s="1595"/>
      <c r="G768" s="1595"/>
      <c r="H768" s="1596">
        <v>1</v>
      </c>
      <c r="I768" s="1595"/>
      <c r="J768" s="1595"/>
      <c r="K768" s="1599">
        <v>669</v>
      </c>
      <c r="L768" s="1599">
        <v>669</v>
      </c>
      <c r="M768" s="1599">
        <v>-669</v>
      </c>
      <c r="N768" s="1598"/>
      <c r="O768" s="1598"/>
      <c r="P768" s="1599">
        <v>669</v>
      </c>
      <c r="Q768" s="1599">
        <v>-669</v>
      </c>
      <c r="R768" s="1598"/>
      <c r="S768" s="1592"/>
    </row>
    <row r="769" spans="2:19" s="1593" customFormat="1" ht="11.25" customHeight="1" outlineLevel="1">
      <c r="B769" s="1594">
        <v>10391</v>
      </c>
      <c r="C769" s="1595" t="s">
        <v>5403</v>
      </c>
      <c r="D769" s="1595" t="s">
        <v>13941</v>
      </c>
      <c r="E769" s="1595"/>
      <c r="F769" s="1595"/>
      <c r="G769" s="1595"/>
      <c r="H769" s="1596">
        <v>1</v>
      </c>
      <c r="I769" s="1595"/>
      <c r="J769" s="1595"/>
      <c r="K769" s="1599">
        <v>646</v>
      </c>
      <c r="L769" s="1599">
        <v>646</v>
      </c>
      <c r="M769" s="1599">
        <v>-646</v>
      </c>
      <c r="N769" s="1598"/>
      <c r="O769" s="1598"/>
      <c r="P769" s="1599">
        <v>646</v>
      </c>
      <c r="Q769" s="1599">
        <v>-646</v>
      </c>
      <c r="R769" s="1598"/>
      <c r="S769" s="1592"/>
    </row>
    <row r="770" spans="2:19" s="1593" customFormat="1" ht="11.25" customHeight="1" outlineLevel="1">
      <c r="B770" s="1594">
        <v>10392</v>
      </c>
      <c r="C770" s="1595" t="s">
        <v>5403</v>
      </c>
      <c r="D770" s="1595" t="s">
        <v>13940</v>
      </c>
      <c r="E770" s="1595"/>
      <c r="F770" s="1595"/>
      <c r="G770" s="1595"/>
      <c r="H770" s="1596">
        <v>1</v>
      </c>
      <c r="I770" s="1595"/>
      <c r="J770" s="1595"/>
      <c r="K770" s="1597">
        <v>1320</v>
      </c>
      <c r="L770" s="1597">
        <v>1320</v>
      </c>
      <c r="M770" s="1597">
        <v>-1320</v>
      </c>
      <c r="N770" s="1598"/>
      <c r="O770" s="1598"/>
      <c r="P770" s="1597">
        <v>1320</v>
      </c>
      <c r="Q770" s="1597">
        <v>-1320</v>
      </c>
      <c r="R770" s="1598"/>
      <c r="S770" s="1592"/>
    </row>
    <row r="771" spans="2:19" s="1593" customFormat="1" ht="11.25" customHeight="1" outlineLevel="1">
      <c r="B771" s="1594">
        <v>10393</v>
      </c>
      <c r="C771" s="1595" t="s">
        <v>5403</v>
      </c>
      <c r="D771" s="1595" t="s">
        <v>13939</v>
      </c>
      <c r="E771" s="1595"/>
      <c r="F771" s="1595"/>
      <c r="G771" s="1595"/>
      <c r="H771" s="1596">
        <v>1</v>
      </c>
      <c r="I771" s="1595"/>
      <c r="J771" s="1595"/>
      <c r="K771" s="1599">
        <v>743</v>
      </c>
      <c r="L771" s="1599">
        <v>743</v>
      </c>
      <c r="M771" s="1599">
        <v>-743</v>
      </c>
      <c r="N771" s="1598"/>
      <c r="O771" s="1598"/>
      <c r="P771" s="1599">
        <v>743</v>
      </c>
      <c r="Q771" s="1599">
        <v>-743</v>
      </c>
      <c r="R771" s="1598"/>
      <c r="S771" s="1592"/>
    </row>
    <row r="772" spans="2:19" s="1593" customFormat="1" ht="11.25" customHeight="1" outlineLevel="1">
      <c r="B772" s="1594">
        <v>11374</v>
      </c>
      <c r="C772" s="1595" t="s">
        <v>5403</v>
      </c>
      <c r="D772" s="1595" t="s">
        <v>13938</v>
      </c>
      <c r="E772" s="1595"/>
      <c r="F772" s="1595"/>
      <c r="G772" s="1595"/>
      <c r="H772" s="1596">
        <v>1</v>
      </c>
      <c r="I772" s="1595"/>
      <c r="J772" s="1595"/>
      <c r="K772" s="1597">
        <v>14560</v>
      </c>
      <c r="L772" s="1597">
        <v>14560</v>
      </c>
      <c r="M772" s="1597">
        <v>-14560</v>
      </c>
      <c r="N772" s="1598"/>
      <c r="O772" s="1598"/>
      <c r="P772" s="1597">
        <v>14560</v>
      </c>
      <c r="Q772" s="1597">
        <v>-14560</v>
      </c>
      <c r="R772" s="1598"/>
      <c r="S772" s="1592"/>
    </row>
    <row r="773" spans="2:19" s="1593" customFormat="1" ht="11.25" customHeight="1" outlineLevel="1">
      <c r="B773" s="1594">
        <v>23036</v>
      </c>
      <c r="C773" s="1595" t="s">
        <v>5403</v>
      </c>
      <c r="D773" s="1595" t="s">
        <v>13937</v>
      </c>
      <c r="E773" s="1595"/>
      <c r="F773" s="1595"/>
      <c r="G773" s="1595"/>
      <c r="H773" s="1596">
        <v>1</v>
      </c>
      <c r="I773" s="1595"/>
      <c r="J773" s="1595"/>
      <c r="K773" s="1597">
        <v>17746</v>
      </c>
      <c r="L773" s="1597">
        <v>17746</v>
      </c>
      <c r="M773" s="1597">
        <v>-17746</v>
      </c>
      <c r="N773" s="1598"/>
      <c r="O773" s="1598"/>
      <c r="P773" s="1597">
        <v>17746</v>
      </c>
      <c r="Q773" s="1597">
        <v>-17746</v>
      </c>
      <c r="R773" s="1598"/>
      <c r="S773" s="1592"/>
    </row>
    <row r="774" spans="2:19" s="1593" customFormat="1" ht="11.25" customHeight="1" outlineLevel="1">
      <c r="B774" s="1594">
        <v>33647</v>
      </c>
      <c r="C774" s="1595" t="s">
        <v>5403</v>
      </c>
      <c r="D774" s="1595" t="s">
        <v>13936</v>
      </c>
      <c r="E774" s="1595"/>
      <c r="F774" s="1595"/>
      <c r="G774" s="1595"/>
      <c r="H774" s="1596">
        <v>1</v>
      </c>
      <c r="I774" s="1595"/>
      <c r="J774" s="1595"/>
      <c r="K774" s="1599">
        <v>104</v>
      </c>
      <c r="L774" s="1599">
        <v>104</v>
      </c>
      <c r="M774" s="1599">
        <v>-104</v>
      </c>
      <c r="N774" s="1598"/>
      <c r="O774" s="1598"/>
      <c r="P774" s="1599">
        <v>104</v>
      </c>
      <c r="Q774" s="1599">
        <v>-104</v>
      </c>
      <c r="R774" s="1598"/>
      <c r="S774" s="1592"/>
    </row>
    <row r="775" spans="2:19" s="1593" customFormat="1" ht="11.25" customHeight="1" outlineLevel="1">
      <c r="B775" s="1594">
        <v>33648</v>
      </c>
      <c r="C775" s="1595" t="s">
        <v>5403</v>
      </c>
      <c r="D775" s="1595" t="s">
        <v>13935</v>
      </c>
      <c r="E775" s="1595"/>
      <c r="F775" s="1595"/>
      <c r="G775" s="1595"/>
      <c r="H775" s="1596">
        <v>1</v>
      </c>
      <c r="I775" s="1595"/>
      <c r="J775" s="1595"/>
      <c r="K775" s="1599">
        <v>669</v>
      </c>
      <c r="L775" s="1599">
        <v>669</v>
      </c>
      <c r="M775" s="1599">
        <v>-669</v>
      </c>
      <c r="N775" s="1598"/>
      <c r="O775" s="1598"/>
      <c r="P775" s="1599">
        <v>669</v>
      </c>
      <c r="Q775" s="1599">
        <v>-669</v>
      </c>
      <c r="R775" s="1598"/>
      <c r="S775" s="1592"/>
    </row>
    <row r="776" spans="2:19" s="1593" customFormat="1" ht="11.25" customHeight="1" outlineLevel="1">
      <c r="B776" s="1594">
        <v>33725</v>
      </c>
      <c r="C776" s="1595" t="s">
        <v>5403</v>
      </c>
      <c r="D776" s="1595" t="s">
        <v>13934</v>
      </c>
      <c r="E776" s="1595"/>
      <c r="F776" s="1595"/>
      <c r="G776" s="1595"/>
      <c r="H776" s="1596">
        <v>1</v>
      </c>
      <c r="I776" s="1595"/>
      <c r="J776" s="1595"/>
      <c r="K776" s="1597">
        <v>2226</v>
      </c>
      <c r="L776" s="1597">
        <v>2226</v>
      </c>
      <c r="M776" s="1597">
        <v>-2226</v>
      </c>
      <c r="N776" s="1598"/>
      <c r="O776" s="1598"/>
      <c r="P776" s="1597">
        <v>2226</v>
      </c>
      <c r="Q776" s="1597">
        <v>-2226</v>
      </c>
      <c r="R776" s="1598"/>
      <c r="S776" s="1592"/>
    </row>
    <row r="777" spans="2:19" s="1593" customFormat="1" ht="11.25" customHeight="1" outlineLevel="1">
      <c r="B777" s="1594">
        <v>34746</v>
      </c>
      <c r="C777" s="1595" t="s">
        <v>5403</v>
      </c>
      <c r="D777" s="1595" t="s">
        <v>13933</v>
      </c>
      <c r="E777" s="1595"/>
      <c r="F777" s="1595"/>
      <c r="G777" s="1595"/>
      <c r="H777" s="1596">
        <v>1</v>
      </c>
      <c r="I777" s="1595"/>
      <c r="J777" s="1595"/>
      <c r="K777" s="1597">
        <v>5610</v>
      </c>
      <c r="L777" s="1597">
        <v>5609.52</v>
      </c>
      <c r="M777" s="1597">
        <v>-5609.52</v>
      </c>
      <c r="N777" s="1598"/>
      <c r="O777" s="1598"/>
      <c r="P777" s="1597">
        <v>5609.52</v>
      </c>
      <c r="Q777" s="1597">
        <v>-5609.52</v>
      </c>
      <c r="R777" s="1598"/>
      <c r="S777" s="1592"/>
    </row>
    <row r="778" spans="2:19" s="1593" customFormat="1" ht="11.25" customHeight="1" outlineLevel="1">
      <c r="B778" s="1594">
        <v>34747</v>
      </c>
      <c r="C778" s="1595" t="s">
        <v>5403</v>
      </c>
      <c r="D778" s="1595" t="s">
        <v>13932</v>
      </c>
      <c r="E778" s="1595"/>
      <c r="F778" s="1595"/>
      <c r="G778" s="1595"/>
      <c r="H778" s="1596">
        <v>1</v>
      </c>
      <c r="I778" s="1595"/>
      <c r="J778" s="1595"/>
      <c r="K778" s="1597">
        <v>5610</v>
      </c>
      <c r="L778" s="1597">
        <v>5609.52</v>
      </c>
      <c r="M778" s="1597">
        <v>-5609.52</v>
      </c>
      <c r="N778" s="1598"/>
      <c r="O778" s="1598"/>
      <c r="P778" s="1597">
        <v>5609.52</v>
      </c>
      <c r="Q778" s="1597">
        <v>-5609.52</v>
      </c>
      <c r="R778" s="1598"/>
      <c r="S778" s="1592"/>
    </row>
    <row r="779" spans="2:19" s="1593" customFormat="1" ht="11.25" customHeight="1" outlineLevel="1">
      <c r="B779" s="1594">
        <v>34748</v>
      </c>
      <c r="C779" s="1595" t="s">
        <v>5403</v>
      </c>
      <c r="D779" s="1595" t="s">
        <v>13931</v>
      </c>
      <c r="E779" s="1595"/>
      <c r="F779" s="1595"/>
      <c r="G779" s="1595"/>
      <c r="H779" s="1596">
        <v>1</v>
      </c>
      <c r="I779" s="1595"/>
      <c r="J779" s="1595"/>
      <c r="K779" s="1597">
        <v>5610</v>
      </c>
      <c r="L779" s="1597">
        <v>5609.52</v>
      </c>
      <c r="M779" s="1597">
        <v>-5609.52</v>
      </c>
      <c r="N779" s="1598"/>
      <c r="O779" s="1598"/>
      <c r="P779" s="1597">
        <v>5609.52</v>
      </c>
      <c r="Q779" s="1597">
        <v>-5609.52</v>
      </c>
      <c r="R779" s="1598"/>
      <c r="S779" s="1592"/>
    </row>
    <row r="780" spans="2:19" s="1593" customFormat="1" ht="11.25" customHeight="1" outlineLevel="1">
      <c r="B780" s="1594">
        <v>34749</v>
      </c>
      <c r="C780" s="1595" t="s">
        <v>5403</v>
      </c>
      <c r="D780" s="1595" t="s">
        <v>13930</v>
      </c>
      <c r="E780" s="1595"/>
      <c r="F780" s="1595"/>
      <c r="G780" s="1595"/>
      <c r="H780" s="1596">
        <v>1</v>
      </c>
      <c r="I780" s="1595"/>
      <c r="J780" s="1595"/>
      <c r="K780" s="1597">
        <v>5610</v>
      </c>
      <c r="L780" s="1597">
        <v>5609.52</v>
      </c>
      <c r="M780" s="1597">
        <v>-5609.52</v>
      </c>
      <c r="N780" s="1598"/>
      <c r="O780" s="1598"/>
      <c r="P780" s="1597">
        <v>5609.52</v>
      </c>
      <c r="Q780" s="1597">
        <v>-5609.52</v>
      </c>
      <c r="R780" s="1598"/>
      <c r="S780" s="1592"/>
    </row>
    <row r="781" spans="2:19" s="1593" customFormat="1" ht="11.25" customHeight="1" outlineLevel="1">
      <c r="B781" s="1594">
        <v>34750</v>
      </c>
      <c r="C781" s="1595" t="s">
        <v>5403</v>
      </c>
      <c r="D781" s="1595" t="s">
        <v>13929</v>
      </c>
      <c r="E781" s="1595"/>
      <c r="F781" s="1595"/>
      <c r="G781" s="1595"/>
      <c r="H781" s="1596">
        <v>1</v>
      </c>
      <c r="I781" s="1595"/>
      <c r="J781" s="1595"/>
      <c r="K781" s="1597">
        <v>5610</v>
      </c>
      <c r="L781" s="1597">
        <v>5609.52</v>
      </c>
      <c r="M781" s="1597">
        <v>-5609.52</v>
      </c>
      <c r="N781" s="1598"/>
      <c r="O781" s="1598"/>
      <c r="P781" s="1597">
        <v>5609.52</v>
      </c>
      <c r="Q781" s="1597">
        <v>-5609.52</v>
      </c>
      <c r="R781" s="1598"/>
      <c r="S781" s="1592"/>
    </row>
    <row r="782" spans="2:19" s="1593" customFormat="1" ht="11.25" customHeight="1" outlineLevel="1">
      <c r="B782" s="1594">
        <v>34751</v>
      </c>
      <c r="C782" s="1595" t="s">
        <v>5403</v>
      </c>
      <c r="D782" s="1595" t="s">
        <v>13928</v>
      </c>
      <c r="E782" s="1595"/>
      <c r="F782" s="1595"/>
      <c r="G782" s="1595"/>
      <c r="H782" s="1596">
        <v>1</v>
      </c>
      <c r="I782" s="1595"/>
      <c r="J782" s="1595"/>
      <c r="K782" s="1597">
        <v>5610</v>
      </c>
      <c r="L782" s="1597">
        <v>5609.52</v>
      </c>
      <c r="M782" s="1597">
        <v>-5609.52</v>
      </c>
      <c r="N782" s="1598"/>
      <c r="O782" s="1598"/>
      <c r="P782" s="1597">
        <v>5609.52</v>
      </c>
      <c r="Q782" s="1597">
        <v>-5609.52</v>
      </c>
      <c r="R782" s="1598"/>
      <c r="S782" s="1592"/>
    </row>
    <row r="783" spans="2:19" s="1593" customFormat="1" ht="11.25" customHeight="1" outlineLevel="1">
      <c r="B783" s="1594">
        <v>34752</v>
      </c>
      <c r="C783" s="1595" t="s">
        <v>5403</v>
      </c>
      <c r="D783" s="1595" t="s">
        <v>13927</v>
      </c>
      <c r="E783" s="1595"/>
      <c r="F783" s="1595"/>
      <c r="G783" s="1595"/>
      <c r="H783" s="1596">
        <v>1</v>
      </c>
      <c r="I783" s="1595"/>
      <c r="J783" s="1595"/>
      <c r="K783" s="1597">
        <v>5610</v>
      </c>
      <c r="L783" s="1597">
        <v>5609.52</v>
      </c>
      <c r="M783" s="1597">
        <v>-5609.52</v>
      </c>
      <c r="N783" s="1598"/>
      <c r="O783" s="1598"/>
      <c r="P783" s="1597">
        <v>5609.52</v>
      </c>
      <c r="Q783" s="1597">
        <v>-5609.52</v>
      </c>
      <c r="R783" s="1598"/>
      <c r="S783" s="1592"/>
    </row>
    <row r="784" spans="2:19" s="1593" customFormat="1" ht="11.25" customHeight="1" outlineLevel="1">
      <c r="B784" s="1594">
        <v>34753</v>
      </c>
      <c r="C784" s="1595" t="s">
        <v>5403</v>
      </c>
      <c r="D784" s="1595" t="s">
        <v>13926</v>
      </c>
      <c r="E784" s="1595"/>
      <c r="F784" s="1595"/>
      <c r="G784" s="1595"/>
      <c r="H784" s="1596">
        <v>1</v>
      </c>
      <c r="I784" s="1595"/>
      <c r="J784" s="1595"/>
      <c r="K784" s="1597">
        <v>5610</v>
      </c>
      <c r="L784" s="1597">
        <v>5609.52</v>
      </c>
      <c r="M784" s="1597">
        <v>-5609.52</v>
      </c>
      <c r="N784" s="1598"/>
      <c r="O784" s="1598"/>
      <c r="P784" s="1597">
        <v>5609.52</v>
      </c>
      <c r="Q784" s="1597">
        <v>-5609.52</v>
      </c>
      <c r="R784" s="1598"/>
      <c r="S784" s="1592"/>
    </row>
    <row r="785" spans="2:19" s="1593" customFormat="1" ht="11.25" customHeight="1" outlineLevel="1">
      <c r="B785" s="1594">
        <v>34754</v>
      </c>
      <c r="C785" s="1595" t="s">
        <v>5403</v>
      </c>
      <c r="D785" s="1595" t="s">
        <v>13925</v>
      </c>
      <c r="E785" s="1595"/>
      <c r="F785" s="1595"/>
      <c r="G785" s="1595"/>
      <c r="H785" s="1596">
        <v>1</v>
      </c>
      <c r="I785" s="1595"/>
      <c r="J785" s="1595"/>
      <c r="K785" s="1597">
        <v>5610</v>
      </c>
      <c r="L785" s="1597">
        <v>5609.52</v>
      </c>
      <c r="M785" s="1597">
        <v>-5609.52</v>
      </c>
      <c r="N785" s="1598"/>
      <c r="O785" s="1598"/>
      <c r="P785" s="1597">
        <v>5609.52</v>
      </c>
      <c r="Q785" s="1597">
        <v>-5609.52</v>
      </c>
      <c r="R785" s="1598"/>
      <c r="S785" s="1592"/>
    </row>
    <row r="786" spans="2:19" s="1593" customFormat="1" ht="11.25" customHeight="1" outlineLevel="1">
      <c r="B786" s="1594">
        <v>34755</v>
      </c>
      <c r="C786" s="1595" t="s">
        <v>5403</v>
      </c>
      <c r="D786" s="1595" t="s">
        <v>13924</v>
      </c>
      <c r="E786" s="1595"/>
      <c r="F786" s="1595"/>
      <c r="G786" s="1595"/>
      <c r="H786" s="1596">
        <v>1</v>
      </c>
      <c r="I786" s="1595"/>
      <c r="J786" s="1595"/>
      <c r="K786" s="1597">
        <v>5610</v>
      </c>
      <c r="L786" s="1597">
        <v>5609.52</v>
      </c>
      <c r="M786" s="1597">
        <v>-5609.52</v>
      </c>
      <c r="N786" s="1598"/>
      <c r="O786" s="1598"/>
      <c r="P786" s="1597">
        <v>5609.52</v>
      </c>
      <c r="Q786" s="1597">
        <v>-5609.52</v>
      </c>
      <c r="R786" s="1598"/>
      <c r="S786" s="1592"/>
    </row>
    <row r="787" spans="2:19" s="1593" customFormat="1" ht="11.25" customHeight="1" outlineLevel="1">
      <c r="B787" s="1594">
        <v>34756</v>
      </c>
      <c r="C787" s="1595" t="s">
        <v>5403</v>
      </c>
      <c r="D787" s="1595" t="s">
        <v>13923</v>
      </c>
      <c r="E787" s="1595"/>
      <c r="F787" s="1595"/>
      <c r="G787" s="1595"/>
      <c r="H787" s="1596">
        <v>1</v>
      </c>
      <c r="I787" s="1595"/>
      <c r="J787" s="1595"/>
      <c r="K787" s="1597">
        <v>5610</v>
      </c>
      <c r="L787" s="1597">
        <v>5609.52</v>
      </c>
      <c r="M787" s="1597">
        <v>-5609.52</v>
      </c>
      <c r="N787" s="1598"/>
      <c r="O787" s="1598"/>
      <c r="P787" s="1597">
        <v>5609.52</v>
      </c>
      <c r="Q787" s="1597">
        <v>-5609.52</v>
      </c>
      <c r="R787" s="1598"/>
      <c r="S787" s="1592"/>
    </row>
    <row r="788" spans="2:19" s="1593" customFormat="1" ht="11.25" customHeight="1" outlineLevel="1">
      <c r="B788" s="1594">
        <v>34757</v>
      </c>
      <c r="C788" s="1595" t="s">
        <v>5403</v>
      </c>
      <c r="D788" s="1595" t="s">
        <v>13922</v>
      </c>
      <c r="E788" s="1595"/>
      <c r="F788" s="1595"/>
      <c r="G788" s="1595"/>
      <c r="H788" s="1596">
        <v>1</v>
      </c>
      <c r="I788" s="1595"/>
      <c r="J788" s="1595"/>
      <c r="K788" s="1597">
        <v>5610</v>
      </c>
      <c r="L788" s="1597">
        <v>5609.52</v>
      </c>
      <c r="M788" s="1597">
        <v>-5609.52</v>
      </c>
      <c r="N788" s="1598"/>
      <c r="O788" s="1598"/>
      <c r="P788" s="1597">
        <v>5609.52</v>
      </c>
      <c r="Q788" s="1597">
        <v>-5609.52</v>
      </c>
      <c r="R788" s="1598"/>
      <c r="S788" s="1592"/>
    </row>
    <row r="789" spans="2:19" s="1593" customFormat="1" ht="11.25" customHeight="1" outlineLevel="1">
      <c r="B789" s="1594">
        <v>34758</v>
      </c>
      <c r="C789" s="1595" t="s">
        <v>5403</v>
      </c>
      <c r="D789" s="1595" t="s">
        <v>13921</v>
      </c>
      <c r="E789" s="1595"/>
      <c r="F789" s="1595"/>
      <c r="G789" s="1595"/>
      <c r="H789" s="1596">
        <v>1</v>
      </c>
      <c r="I789" s="1595"/>
      <c r="J789" s="1595"/>
      <c r="K789" s="1597">
        <v>5610</v>
      </c>
      <c r="L789" s="1597">
        <v>5609.52</v>
      </c>
      <c r="M789" s="1597">
        <v>-5609.52</v>
      </c>
      <c r="N789" s="1598"/>
      <c r="O789" s="1598"/>
      <c r="P789" s="1597">
        <v>5609.52</v>
      </c>
      <c r="Q789" s="1597">
        <v>-5609.52</v>
      </c>
      <c r="R789" s="1598"/>
      <c r="S789" s="1592"/>
    </row>
    <row r="790" spans="2:19" s="1593" customFormat="1" ht="11.25" customHeight="1" outlineLevel="1">
      <c r="B790" s="1594">
        <v>34759</v>
      </c>
      <c r="C790" s="1595" t="s">
        <v>5403</v>
      </c>
      <c r="D790" s="1595" t="s">
        <v>13920</v>
      </c>
      <c r="E790" s="1595"/>
      <c r="F790" s="1595"/>
      <c r="G790" s="1595"/>
      <c r="H790" s="1596">
        <v>1</v>
      </c>
      <c r="I790" s="1595"/>
      <c r="J790" s="1595"/>
      <c r="K790" s="1597">
        <v>5610</v>
      </c>
      <c r="L790" s="1597">
        <v>5609.52</v>
      </c>
      <c r="M790" s="1597">
        <v>-5609.52</v>
      </c>
      <c r="N790" s="1598"/>
      <c r="O790" s="1598"/>
      <c r="P790" s="1597">
        <v>5609.52</v>
      </c>
      <c r="Q790" s="1597">
        <v>-5609.52</v>
      </c>
      <c r="R790" s="1598"/>
      <c r="S790" s="1592"/>
    </row>
    <row r="791" spans="2:19" s="1593" customFormat="1" ht="11.25" customHeight="1" outlineLevel="1">
      <c r="B791" s="1594">
        <v>34760</v>
      </c>
      <c r="C791" s="1595" t="s">
        <v>5403</v>
      </c>
      <c r="D791" s="1595" t="s">
        <v>13919</v>
      </c>
      <c r="E791" s="1595"/>
      <c r="F791" s="1595"/>
      <c r="G791" s="1595"/>
      <c r="H791" s="1596">
        <v>1</v>
      </c>
      <c r="I791" s="1595"/>
      <c r="J791" s="1595"/>
      <c r="K791" s="1597">
        <v>5610</v>
      </c>
      <c r="L791" s="1597">
        <v>5609.52</v>
      </c>
      <c r="M791" s="1597">
        <v>-5609.52</v>
      </c>
      <c r="N791" s="1598"/>
      <c r="O791" s="1598"/>
      <c r="P791" s="1597">
        <v>5609.52</v>
      </c>
      <c r="Q791" s="1597">
        <v>-5609.52</v>
      </c>
      <c r="R791" s="1598"/>
      <c r="S791" s="1592"/>
    </row>
    <row r="792" spans="2:19" s="1593" customFormat="1" ht="11.25" customHeight="1" outlineLevel="1">
      <c r="B792" s="1594">
        <v>34761</v>
      </c>
      <c r="C792" s="1595" t="s">
        <v>5403</v>
      </c>
      <c r="D792" s="1595" t="s">
        <v>13918</v>
      </c>
      <c r="E792" s="1595"/>
      <c r="F792" s="1595"/>
      <c r="G792" s="1595"/>
      <c r="H792" s="1596">
        <v>1</v>
      </c>
      <c r="I792" s="1595"/>
      <c r="J792" s="1595"/>
      <c r="K792" s="1597">
        <v>5610</v>
      </c>
      <c r="L792" s="1597">
        <v>5609.52</v>
      </c>
      <c r="M792" s="1597">
        <v>-5609.52</v>
      </c>
      <c r="N792" s="1598"/>
      <c r="O792" s="1598"/>
      <c r="P792" s="1597">
        <v>5609.52</v>
      </c>
      <c r="Q792" s="1597">
        <v>-5609.52</v>
      </c>
      <c r="R792" s="1598"/>
      <c r="S792" s="1592"/>
    </row>
    <row r="793" spans="2:19" s="1593" customFormat="1" ht="11.25" customHeight="1" outlineLevel="1">
      <c r="B793" s="1594">
        <v>34762</v>
      </c>
      <c r="C793" s="1595" t="s">
        <v>5403</v>
      </c>
      <c r="D793" s="1595" t="s">
        <v>13917</v>
      </c>
      <c r="E793" s="1595"/>
      <c r="F793" s="1595"/>
      <c r="G793" s="1595"/>
      <c r="H793" s="1596">
        <v>1</v>
      </c>
      <c r="I793" s="1595"/>
      <c r="J793" s="1595"/>
      <c r="K793" s="1597">
        <v>5610</v>
      </c>
      <c r="L793" s="1597">
        <v>5609.52</v>
      </c>
      <c r="M793" s="1597">
        <v>-5609.52</v>
      </c>
      <c r="N793" s="1598"/>
      <c r="O793" s="1598"/>
      <c r="P793" s="1597">
        <v>5609.52</v>
      </c>
      <c r="Q793" s="1597">
        <v>-5609.52</v>
      </c>
      <c r="R793" s="1598"/>
      <c r="S793" s="1592"/>
    </row>
    <row r="794" spans="2:19" s="1593" customFormat="1" ht="11.25" customHeight="1" outlineLevel="1">
      <c r="B794" s="1594">
        <v>34763</v>
      </c>
      <c r="C794" s="1595" t="s">
        <v>5403</v>
      </c>
      <c r="D794" s="1595" t="s">
        <v>13916</v>
      </c>
      <c r="E794" s="1595"/>
      <c r="F794" s="1595"/>
      <c r="G794" s="1595"/>
      <c r="H794" s="1596">
        <v>1</v>
      </c>
      <c r="I794" s="1595"/>
      <c r="J794" s="1595"/>
      <c r="K794" s="1597">
        <v>5610</v>
      </c>
      <c r="L794" s="1597">
        <v>5609.52</v>
      </c>
      <c r="M794" s="1597">
        <v>-5609.52</v>
      </c>
      <c r="N794" s="1598"/>
      <c r="O794" s="1598"/>
      <c r="P794" s="1597">
        <v>5609.52</v>
      </c>
      <c r="Q794" s="1597">
        <v>-5609.52</v>
      </c>
      <c r="R794" s="1598"/>
      <c r="S794" s="1592"/>
    </row>
    <row r="795" spans="2:19" s="1593" customFormat="1" ht="11.25" customHeight="1" outlineLevel="1">
      <c r="B795" s="1594">
        <v>34764</v>
      </c>
      <c r="C795" s="1595" t="s">
        <v>5403</v>
      </c>
      <c r="D795" s="1595" t="s">
        <v>13915</v>
      </c>
      <c r="E795" s="1595"/>
      <c r="F795" s="1595"/>
      <c r="G795" s="1595"/>
      <c r="H795" s="1596">
        <v>1</v>
      </c>
      <c r="I795" s="1595"/>
      <c r="J795" s="1595"/>
      <c r="K795" s="1597">
        <v>5610</v>
      </c>
      <c r="L795" s="1597">
        <v>5609.52</v>
      </c>
      <c r="M795" s="1597">
        <v>-5609.52</v>
      </c>
      <c r="N795" s="1598"/>
      <c r="O795" s="1598"/>
      <c r="P795" s="1597">
        <v>5609.52</v>
      </c>
      <c r="Q795" s="1597">
        <v>-5609.52</v>
      </c>
      <c r="R795" s="1598"/>
      <c r="S795" s="1592"/>
    </row>
    <row r="796" spans="2:19" s="1593" customFormat="1" ht="11.25" customHeight="1" outlineLevel="1">
      <c r="B796" s="1594">
        <v>34765</v>
      </c>
      <c r="C796" s="1595" t="s">
        <v>5403</v>
      </c>
      <c r="D796" s="1595" t="s">
        <v>13914</v>
      </c>
      <c r="E796" s="1595"/>
      <c r="F796" s="1595"/>
      <c r="G796" s="1595"/>
      <c r="H796" s="1596">
        <v>1</v>
      </c>
      <c r="I796" s="1595"/>
      <c r="J796" s="1595"/>
      <c r="K796" s="1597">
        <v>5610</v>
      </c>
      <c r="L796" s="1597">
        <v>5609.52</v>
      </c>
      <c r="M796" s="1597">
        <v>-5609.52</v>
      </c>
      <c r="N796" s="1598"/>
      <c r="O796" s="1598"/>
      <c r="P796" s="1597">
        <v>5609.52</v>
      </c>
      <c r="Q796" s="1597">
        <v>-5609.52</v>
      </c>
      <c r="R796" s="1598"/>
      <c r="S796" s="1592"/>
    </row>
    <row r="797" spans="2:19" s="1593" customFormat="1" ht="11.25" customHeight="1" outlineLevel="1">
      <c r="B797" s="1594">
        <v>34766</v>
      </c>
      <c r="C797" s="1595" t="s">
        <v>5403</v>
      </c>
      <c r="D797" s="1595" t="s">
        <v>13913</v>
      </c>
      <c r="E797" s="1595"/>
      <c r="F797" s="1595"/>
      <c r="G797" s="1595"/>
      <c r="H797" s="1596">
        <v>1</v>
      </c>
      <c r="I797" s="1595"/>
      <c r="J797" s="1595"/>
      <c r="K797" s="1597">
        <v>5610</v>
      </c>
      <c r="L797" s="1597">
        <v>5609.52</v>
      </c>
      <c r="M797" s="1597">
        <v>-5609.52</v>
      </c>
      <c r="N797" s="1598"/>
      <c r="O797" s="1598"/>
      <c r="P797" s="1597">
        <v>5609.52</v>
      </c>
      <c r="Q797" s="1597">
        <v>-5609.52</v>
      </c>
      <c r="R797" s="1598"/>
      <c r="S797" s="1592"/>
    </row>
    <row r="798" spans="2:19" s="1593" customFormat="1" ht="11.25" customHeight="1" outlineLevel="1">
      <c r="B798" s="1594">
        <v>34767</v>
      </c>
      <c r="C798" s="1595" t="s">
        <v>5403</v>
      </c>
      <c r="D798" s="1595" t="s">
        <v>13912</v>
      </c>
      <c r="E798" s="1595"/>
      <c r="F798" s="1595"/>
      <c r="G798" s="1595"/>
      <c r="H798" s="1596">
        <v>1</v>
      </c>
      <c r="I798" s="1595"/>
      <c r="J798" s="1595"/>
      <c r="K798" s="1597">
        <v>5610</v>
      </c>
      <c r="L798" s="1597">
        <v>5609.52</v>
      </c>
      <c r="M798" s="1597">
        <v>-5609.52</v>
      </c>
      <c r="N798" s="1598"/>
      <c r="O798" s="1598"/>
      <c r="P798" s="1597">
        <v>5609.52</v>
      </c>
      <c r="Q798" s="1597">
        <v>-5609.52</v>
      </c>
      <c r="R798" s="1598"/>
      <c r="S798" s="1592"/>
    </row>
    <row r="799" spans="2:19" s="1593" customFormat="1" ht="11.25" customHeight="1" outlineLevel="1">
      <c r="B799" s="1594">
        <v>35219</v>
      </c>
      <c r="C799" s="1595" t="s">
        <v>5403</v>
      </c>
      <c r="D799" s="1595" t="s">
        <v>13911</v>
      </c>
      <c r="E799" s="1595"/>
      <c r="F799" s="1595"/>
      <c r="G799" s="1595"/>
      <c r="H799" s="1596">
        <v>1</v>
      </c>
      <c r="I799" s="1595"/>
      <c r="J799" s="1595"/>
      <c r="K799" s="1597">
        <v>1420</v>
      </c>
      <c r="L799" s="1597">
        <v>1419.5</v>
      </c>
      <c r="M799" s="1597">
        <v>-1419.5</v>
      </c>
      <c r="N799" s="1598"/>
      <c r="O799" s="1598"/>
      <c r="P799" s="1597">
        <v>1419.5</v>
      </c>
      <c r="Q799" s="1597">
        <v>-1419.5</v>
      </c>
      <c r="R799" s="1598"/>
      <c r="S799" s="1592"/>
    </row>
    <row r="800" spans="2:19" s="1593" customFormat="1" ht="11.25" customHeight="1" outlineLevel="1">
      <c r="B800" s="1594">
        <v>37335</v>
      </c>
      <c r="C800" s="1595" t="s">
        <v>5403</v>
      </c>
      <c r="D800" s="1595" t="s">
        <v>13910</v>
      </c>
      <c r="E800" s="1595"/>
      <c r="F800" s="1595"/>
      <c r="G800" s="1595"/>
      <c r="H800" s="1596">
        <v>1</v>
      </c>
      <c r="I800" s="1595"/>
      <c r="J800" s="1595"/>
      <c r="K800" s="1597">
        <v>2349</v>
      </c>
      <c r="L800" s="1597">
        <v>2349</v>
      </c>
      <c r="M800" s="1597">
        <v>-2349</v>
      </c>
      <c r="N800" s="1598"/>
      <c r="O800" s="1598"/>
      <c r="P800" s="1597">
        <v>2349</v>
      </c>
      <c r="Q800" s="1597">
        <v>-2349</v>
      </c>
      <c r="R800" s="1598"/>
      <c r="S800" s="1592"/>
    </row>
    <row r="801" spans="2:19" s="1593" customFormat="1" ht="11.25" customHeight="1" outlineLevel="1">
      <c r="B801" s="1594">
        <v>37336</v>
      </c>
      <c r="C801" s="1595" t="s">
        <v>5403</v>
      </c>
      <c r="D801" s="1595" t="s">
        <v>13909</v>
      </c>
      <c r="E801" s="1595"/>
      <c r="F801" s="1595"/>
      <c r="G801" s="1595"/>
      <c r="H801" s="1596">
        <v>1</v>
      </c>
      <c r="I801" s="1595"/>
      <c r="J801" s="1595"/>
      <c r="K801" s="1597">
        <v>2349</v>
      </c>
      <c r="L801" s="1597">
        <v>2349</v>
      </c>
      <c r="M801" s="1597">
        <v>-2349</v>
      </c>
      <c r="N801" s="1598"/>
      <c r="O801" s="1598"/>
      <c r="P801" s="1597">
        <v>2349</v>
      </c>
      <c r="Q801" s="1597">
        <v>-2349</v>
      </c>
      <c r="R801" s="1598"/>
      <c r="S801" s="1592"/>
    </row>
    <row r="802" spans="2:19" s="1593" customFormat="1" ht="11.25" customHeight="1" outlineLevel="1">
      <c r="B802" s="1594">
        <v>37890</v>
      </c>
      <c r="C802" s="1595" t="s">
        <v>5403</v>
      </c>
      <c r="D802" s="1595" t="s">
        <v>13908</v>
      </c>
      <c r="E802" s="1595"/>
      <c r="F802" s="1595"/>
      <c r="G802" s="1595" t="s">
        <v>13906</v>
      </c>
      <c r="H802" s="1596">
        <v>3</v>
      </c>
      <c r="I802" s="1595"/>
      <c r="J802" s="1595"/>
      <c r="K802" s="1597">
        <v>132867</v>
      </c>
      <c r="L802" s="1597">
        <v>132867</v>
      </c>
      <c r="M802" s="1598"/>
      <c r="N802" s="1597">
        <v>132867</v>
      </c>
      <c r="O802" s="1597">
        <v>8458.92</v>
      </c>
      <c r="P802" s="1597">
        <v>120178.63</v>
      </c>
      <c r="Q802" s="1597">
        <v>4229.45</v>
      </c>
      <c r="R802" s="1597">
        <v>124408.08</v>
      </c>
      <c r="S802" s="1592"/>
    </row>
    <row r="803" spans="2:19" s="1593" customFormat="1" ht="11.25" customHeight="1" outlineLevel="1">
      <c r="B803" s="1594">
        <v>37891</v>
      </c>
      <c r="C803" s="1595" t="s">
        <v>5403</v>
      </c>
      <c r="D803" s="1595" t="s">
        <v>13907</v>
      </c>
      <c r="E803" s="1595"/>
      <c r="F803" s="1595"/>
      <c r="G803" s="1595" t="s">
        <v>13906</v>
      </c>
      <c r="H803" s="1596">
        <v>3</v>
      </c>
      <c r="I803" s="1595"/>
      <c r="J803" s="1595"/>
      <c r="K803" s="1597">
        <v>132867</v>
      </c>
      <c r="L803" s="1597">
        <v>132867</v>
      </c>
      <c r="M803" s="1598"/>
      <c r="N803" s="1597">
        <v>132867</v>
      </c>
      <c r="O803" s="1597">
        <v>8458.92</v>
      </c>
      <c r="P803" s="1597">
        <v>120178.63</v>
      </c>
      <c r="Q803" s="1597">
        <v>4229.45</v>
      </c>
      <c r="R803" s="1597">
        <v>124408.08</v>
      </c>
      <c r="S803" s="1592"/>
    </row>
    <row r="804" spans="2:19" s="1593" customFormat="1" ht="11.25" customHeight="1" outlineLevel="1">
      <c r="B804" s="1594">
        <v>37892</v>
      </c>
      <c r="C804" s="1595" t="s">
        <v>5403</v>
      </c>
      <c r="D804" s="1595" t="s">
        <v>13905</v>
      </c>
      <c r="E804" s="1595"/>
      <c r="F804" s="1595"/>
      <c r="G804" s="1595" t="s">
        <v>13904</v>
      </c>
      <c r="H804" s="1596">
        <v>3</v>
      </c>
      <c r="I804" s="1595"/>
      <c r="J804" s="1595"/>
      <c r="K804" s="1597">
        <v>163757</v>
      </c>
      <c r="L804" s="1597">
        <v>4426790.74</v>
      </c>
      <c r="M804" s="1598"/>
      <c r="N804" s="1597">
        <v>4426790.74</v>
      </c>
      <c r="O804" s="1597">
        <v>3898814.3</v>
      </c>
      <c r="P804" s="1597">
        <v>447172.04</v>
      </c>
      <c r="Q804" s="1597">
        <v>80804.399999999994</v>
      </c>
      <c r="R804" s="1597">
        <v>527976.43999999994</v>
      </c>
      <c r="S804" s="1592"/>
    </row>
    <row r="805" spans="2:19" s="1593" customFormat="1" ht="11.25" customHeight="1" outlineLevel="1">
      <c r="B805" s="1594">
        <v>37893</v>
      </c>
      <c r="C805" s="1595" t="s">
        <v>5403</v>
      </c>
      <c r="D805" s="1595" t="s">
        <v>13903</v>
      </c>
      <c r="E805" s="1595"/>
      <c r="F805" s="1595"/>
      <c r="G805" s="1595" t="s">
        <v>13339</v>
      </c>
      <c r="H805" s="1596">
        <v>3</v>
      </c>
      <c r="I805" s="1595"/>
      <c r="J805" s="1595"/>
      <c r="K805" s="1597">
        <v>235139</v>
      </c>
      <c r="L805" s="1597">
        <v>235139</v>
      </c>
      <c r="M805" s="1598"/>
      <c r="N805" s="1597">
        <v>235139</v>
      </c>
      <c r="O805" s="1597">
        <v>14969.25</v>
      </c>
      <c r="P805" s="1597">
        <v>212685.11</v>
      </c>
      <c r="Q805" s="1597">
        <v>7484.64</v>
      </c>
      <c r="R805" s="1597">
        <v>220169.75</v>
      </c>
      <c r="S805" s="1592"/>
    </row>
    <row r="806" spans="2:19" s="1593" customFormat="1" ht="11.25" customHeight="1" outlineLevel="1">
      <c r="B806" s="1594">
        <v>26313</v>
      </c>
      <c r="C806" s="1595" t="s">
        <v>4584</v>
      </c>
      <c r="D806" s="1595" t="s">
        <v>13902</v>
      </c>
      <c r="E806" s="1595"/>
      <c r="F806" s="1595"/>
      <c r="G806" s="1595"/>
      <c r="H806" s="1596">
        <v>1</v>
      </c>
      <c r="I806" s="1595"/>
      <c r="J806" s="1595"/>
      <c r="K806" s="1597">
        <v>15000</v>
      </c>
      <c r="L806" s="1597">
        <v>15000</v>
      </c>
      <c r="M806" s="1597">
        <v>-15000</v>
      </c>
      <c r="N806" s="1598"/>
      <c r="O806" s="1598"/>
      <c r="P806" s="1597">
        <v>15000</v>
      </c>
      <c r="Q806" s="1597">
        <v>-15000</v>
      </c>
      <c r="R806" s="1598"/>
      <c r="S806" s="1592"/>
    </row>
    <row r="807" spans="2:19" s="1593" customFormat="1" ht="11.25" customHeight="1" outlineLevel="1">
      <c r="B807" s="1594">
        <v>27342</v>
      </c>
      <c r="C807" s="1595" t="s">
        <v>4115</v>
      </c>
      <c r="D807" s="1595" t="s">
        <v>13901</v>
      </c>
      <c r="E807" s="1595"/>
      <c r="F807" s="1595"/>
      <c r="G807" s="1595"/>
      <c r="H807" s="1596">
        <v>1</v>
      </c>
      <c r="I807" s="1595"/>
      <c r="J807" s="1595"/>
      <c r="K807" s="1597">
        <v>41667</v>
      </c>
      <c r="L807" s="1597">
        <v>41667</v>
      </c>
      <c r="M807" s="1597">
        <v>-41667</v>
      </c>
      <c r="N807" s="1598"/>
      <c r="O807" s="1598"/>
      <c r="P807" s="1597">
        <v>41667</v>
      </c>
      <c r="Q807" s="1597">
        <v>-41667</v>
      </c>
      <c r="R807" s="1598"/>
      <c r="S807" s="1592"/>
    </row>
    <row r="808" spans="2:19" s="1593" customFormat="1" ht="11.25" customHeight="1" outlineLevel="1">
      <c r="B808" s="1594">
        <v>23100</v>
      </c>
      <c r="C808" s="1595" t="s">
        <v>13626</v>
      </c>
      <c r="D808" s="1595" t="s">
        <v>13900</v>
      </c>
      <c r="E808" s="1595"/>
      <c r="F808" s="1595"/>
      <c r="G808" s="1595"/>
      <c r="H808" s="1596">
        <v>1</v>
      </c>
      <c r="I808" s="1595"/>
      <c r="J808" s="1595"/>
      <c r="K808" s="1597">
        <v>24382</v>
      </c>
      <c r="L808" s="1597">
        <v>24382</v>
      </c>
      <c r="M808" s="1597">
        <v>-24382</v>
      </c>
      <c r="N808" s="1598"/>
      <c r="O808" s="1598"/>
      <c r="P808" s="1597">
        <v>24382</v>
      </c>
      <c r="Q808" s="1597">
        <v>-24382</v>
      </c>
      <c r="R808" s="1598"/>
      <c r="S808" s="1592"/>
    </row>
    <row r="809" spans="2:19" s="1593" customFormat="1" ht="11.25" customHeight="1" outlineLevel="1">
      <c r="B809" s="1594">
        <v>29377</v>
      </c>
      <c r="C809" s="1595" t="s">
        <v>3745</v>
      </c>
      <c r="D809" s="1595" t="s">
        <v>13899</v>
      </c>
      <c r="E809" s="1595"/>
      <c r="F809" s="1595"/>
      <c r="G809" s="1595" t="s">
        <v>3596</v>
      </c>
      <c r="H809" s="1596">
        <v>1</v>
      </c>
      <c r="I809" s="1595"/>
      <c r="J809" s="1595"/>
      <c r="K809" s="1597">
        <v>516667</v>
      </c>
      <c r="L809" s="1597">
        <v>516667</v>
      </c>
      <c r="M809" s="1597">
        <v>-516667</v>
      </c>
      <c r="N809" s="1598"/>
      <c r="O809" s="1598"/>
      <c r="P809" s="1597">
        <v>491047.7</v>
      </c>
      <c r="Q809" s="1597">
        <v>-491047.7</v>
      </c>
      <c r="R809" s="1598"/>
      <c r="S809" s="1592"/>
    </row>
    <row r="810" spans="2:19" s="1593" customFormat="1" ht="11.25" customHeight="1" outlineLevel="1">
      <c r="B810" s="1594">
        <v>22899</v>
      </c>
      <c r="C810" s="1595" t="s">
        <v>8226</v>
      </c>
      <c r="D810" s="1595" t="s">
        <v>13898</v>
      </c>
      <c r="E810" s="1595"/>
      <c r="F810" s="1595"/>
      <c r="G810" s="1595"/>
      <c r="H810" s="1596">
        <v>1</v>
      </c>
      <c r="I810" s="1595"/>
      <c r="J810" s="1595"/>
      <c r="K810" s="1597">
        <v>13445</v>
      </c>
      <c r="L810" s="1597">
        <v>13445</v>
      </c>
      <c r="M810" s="1597">
        <v>-13445</v>
      </c>
      <c r="N810" s="1598"/>
      <c r="O810" s="1598"/>
      <c r="P810" s="1597">
        <v>13445</v>
      </c>
      <c r="Q810" s="1597">
        <v>-13445</v>
      </c>
      <c r="R810" s="1598"/>
      <c r="S810" s="1592"/>
    </row>
    <row r="811" spans="2:19" s="1593" customFormat="1" ht="11.25" customHeight="1" outlineLevel="1">
      <c r="B811" s="1594">
        <v>29612</v>
      </c>
      <c r="C811" s="1595" t="s">
        <v>12804</v>
      </c>
      <c r="D811" s="1595" t="s">
        <v>13897</v>
      </c>
      <c r="E811" s="1595"/>
      <c r="F811" s="1595"/>
      <c r="G811" s="1595"/>
      <c r="H811" s="1596">
        <v>1</v>
      </c>
      <c r="I811" s="1595"/>
      <c r="J811" s="1595"/>
      <c r="K811" s="1597">
        <v>11111</v>
      </c>
      <c r="L811" s="1597">
        <v>11111</v>
      </c>
      <c r="M811" s="1597">
        <v>-11111</v>
      </c>
      <c r="N811" s="1598"/>
      <c r="O811" s="1598"/>
      <c r="P811" s="1597">
        <v>11111</v>
      </c>
      <c r="Q811" s="1597">
        <v>-11111</v>
      </c>
      <c r="R811" s="1598"/>
      <c r="S811" s="1592"/>
    </row>
    <row r="812" spans="2:19" s="1593" customFormat="1" ht="11.25" customHeight="1" outlineLevel="1">
      <c r="B812" s="1594">
        <v>29614</v>
      </c>
      <c r="C812" s="1595" t="s">
        <v>12804</v>
      </c>
      <c r="D812" s="1595" t="s">
        <v>13896</v>
      </c>
      <c r="E812" s="1595"/>
      <c r="F812" s="1595"/>
      <c r="G812" s="1595"/>
      <c r="H812" s="1596">
        <v>1</v>
      </c>
      <c r="I812" s="1595"/>
      <c r="J812" s="1595"/>
      <c r="K812" s="1597">
        <v>2117</v>
      </c>
      <c r="L812" s="1597">
        <v>2117</v>
      </c>
      <c r="M812" s="1597">
        <v>-2117</v>
      </c>
      <c r="N812" s="1598"/>
      <c r="O812" s="1598"/>
      <c r="P812" s="1597">
        <v>2117</v>
      </c>
      <c r="Q812" s="1597">
        <v>-2117</v>
      </c>
      <c r="R812" s="1598"/>
      <c r="S812" s="1592"/>
    </row>
    <row r="813" spans="2:19" s="1593" customFormat="1" ht="11.25" customHeight="1" outlineLevel="1">
      <c r="B813" s="1594">
        <v>29054</v>
      </c>
      <c r="C813" s="1595" t="s">
        <v>8224</v>
      </c>
      <c r="D813" s="1595" t="s">
        <v>13895</v>
      </c>
      <c r="E813" s="1595"/>
      <c r="F813" s="1595"/>
      <c r="G813" s="1595" t="s">
        <v>3596</v>
      </c>
      <c r="H813" s="1596">
        <v>1</v>
      </c>
      <c r="I813" s="1595"/>
      <c r="J813" s="1595"/>
      <c r="K813" s="1597">
        <v>285000</v>
      </c>
      <c r="L813" s="1597">
        <v>285000</v>
      </c>
      <c r="M813" s="1598"/>
      <c r="N813" s="1597">
        <v>285000</v>
      </c>
      <c r="O813" s="1597">
        <v>13845.73</v>
      </c>
      <c r="P813" s="1597">
        <v>257308.55</v>
      </c>
      <c r="Q813" s="1597">
        <v>13845.72</v>
      </c>
      <c r="R813" s="1597">
        <v>271154.27</v>
      </c>
      <c r="S813" s="1592"/>
    </row>
    <row r="814" spans="2:19" s="1593" customFormat="1" ht="11.25" customHeight="1" outlineLevel="1">
      <c r="B814" s="1594">
        <v>23017</v>
      </c>
      <c r="C814" s="1595" t="s">
        <v>8222</v>
      </c>
      <c r="D814" s="1595" t="s">
        <v>13894</v>
      </c>
      <c r="E814" s="1595"/>
      <c r="F814" s="1595"/>
      <c r="G814" s="1595"/>
      <c r="H814" s="1596">
        <v>1</v>
      </c>
      <c r="I814" s="1595"/>
      <c r="J814" s="1595"/>
      <c r="K814" s="1597">
        <v>6985</v>
      </c>
      <c r="L814" s="1597">
        <v>6985</v>
      </c>
      <c r="M814" s="1597">
        <v>-6985</v>
      </c>
      <c r="N814" s="1598"/>
      <c r="O814" s="1598"/>
      <c r="P814" s="1597">
        <v>6985</v>
      </c>
      <c r="Q814" s="1597">
        <v>-6985</v>
      </c>
      <c r="R814" s="1598"/>
      <c r="S814" s="1592"/>
    </row>
    <row r="815" spans="2:19" s="1593" customFormat="1" ht="11.25" customHeight="1" outlineLevel="1">
      <c r="B815" s="1594">
        <v>27318</v>
      </c>
      <c r="C815" s="1595" t="s">
        <v>8222</v>
      </c>
      <c r="D815" s="1595" t="s">
        <v>13893</v>
      </c>
      <c r="E815" s="1595"/>
      <c r="F815" s="1595"/>
      <c r="G815" s="1595"/>
      <c r="H815" s="1596">
        <v>1</v>
      </c>
      <c r="I815" s="1595"/>
      <c r="J815" s="1595"/>
      <c r="K815" s="1597">
        <v>27778</v>
      </c>
      <c r="L815" s="1597">
        <v>27778</v>
      </c>
      <c r="M815" s="1597">
        <v>-27778</v>
      </c>
      <c r="N815" s="1598"/>
      <c r="O815" s="1598"/>
      <c r="P815" s="1597">
        <v>22614</v>
      </c>
      <c r="Q815" s="1597">
        <v>-22614</v>
      </c>
      <c r="R815" s="1598"/>
      <c r="S815" s="1592"/>
    </row>
    <row r="816" spans="2:19" s="1593" customFormat="1" ht="11.25" customHeight="1" outlineLevel="1">
      <c r="B816" s="1594">
        <v>29790</v>
      </c>
      <c r="C816" s="1595" t="s">
        <v>8222</v>
      </c>
      <c r="D816" s="1595" t="s">
        <v>13892</v>
      </c>
      <c r="E816" s="1595"/>
      <c r="F816" s="1595"/>
      <c r="G816" s="1595"/>
      <c r="H816" s="1596">
        <v>1</v>
      </c>
      <c r="I816" s="1595"/>
      <c r="J816" s="1595"/>
      <c r="K816" s="1597">
        <v>27778</v>
      </c>
      <c r="L816" s="1597">
        <v>27778</v>
      </c>
      <c r="M816" s="1597">
        <v>-27778</v>
      </c>
      <c r="N816" s="1598"/>
      <c r="O816" s="1598"/>
      <c r="P816" s="1597">
        <v>22614</v>
      </c>
      <c r="Q816" s="1597">
        <v>-22614</v>
      </c>
      <c r="R816" s="1598"/>
      <c r="S816" s="1592"/>
    </row>
    <row r="817" spans="2:19" s="1593" customFormat="1" ht="11.25" customHeight="1" outlineLevel="1">
      <c r="B817" s="1594">
        <v>29907</v>
      </c>
      <c r="C817" s="1595" t="s">
        <v>10774</v>
      </c>
      <c r="D817" s="1595" t="s">
        <v>13891</v>
      </c>
      <c r="E817" s="1595"/>
      <c r="F817" s="1595"/>
      <c r="G817" s="1595"/>
      <c r="H817" s="1596">
        <v>1</v>
      </c>
      <c r="I817" s="1595"/>
      <c r="J817" s="1595"/>
      <c r="K817" s="1597">
        <v>49800</v>
      </c>
      <c r="L817" s="1597">
        <v>49800</v>
      </c>
      <c r="M817" s="1597">
        <v>-49800</v>
      </c>
      <c r="N817" s="1598"/>
      <c r="O817" s="1598"/>
      <c r="P817" s="1597">
        <v>29540.9</v>
      </c>
      <c r="Q817" s="1597">
        <v>-29540.9</v>
      </c>
      <c r="R817" s="1598"/>
      <c r="S817" s="1592"/>
    </row>
    <row r="818" spans="2:19" s="1593" customFormat="1" ht="11.25" customHeight="1" outlineLevel="1">
      <c r="B818" s="1594">
        <v>36792</v>
      </c>
      <c r="C818" s="1595" t="s">
        <v>10774</v>
      </c>
      <c r="D818" s="1595" t="s">
        <v>13890</v>
      </c>
      <c r="E818" s="1595"/>
      <c r="F818" s="1595"/>
      <c r="G818" s="1595"/>
      <c r="H818" s="1596">
        <v>1</v>
      </c>
      <c r="I818" s="1595"/>
      <c r="J818" s="1595"/>
      <c r="K818" s="1597">
        <v>49800</v>
      </c>
      <c r="L818" s="1597">
        <v>49800</v>
      </c>
      <c r="M818" s="1597">
        <v>-49800</v>
      </c>
      <c r="N818" s="1598"/>
      <c r="O818" s="1598"/>
      <c r="P818" s="1597">
        <v>29540.9</v>
      </c>
      <c r="Q818" s="1597">
        <v>-29540.9</v>
      </c>
      <c r="R818" s="1598"/>
      <c r="S818" s="1592"/>
    </row>
    <row r="819" spans="2:19" s="1593" customFormat="1" ht="11.25" customHeight="1" outlineLevel="1">
      <c r="B819" s="1594">
        <v>22810</v>
      </c>
      <c r="C819" s="1595" t="s">
        <v>3713</v>
      </c>
      <c r="D819" s="1595" t="s">
        <v>13889</v>
      </c>
      <c r="E819" s="1595"/>
      <c r="F819" s="1595"/>
      <c r="G819" s="1595"/>
      <c r="H819" s="1596">
        <v>1</v>
      </c>
      <c r="I819" s="1595"/>
      <c r="J819" s="1595"/>
      <c r="K819" s="1597">
        <v>3399</v>
      </c>
      <c r="L819" s="1597">
        <v>3399</v>
      </c>
      <c r="M819" s="1597">
        <v>-3399</v>
      </c>
      <c r="N819" s="1598"/>
      <c r="O819" s="1598"/>
      <c r="P819" s="1597">
        <v>3399</v>
      </c>
      <c r="Q819" s="1597">
        <v>-3399</v>
      </c>
      <c r="R819" s="1598"/>
      <c r="S819" s="1592"/>
    </row>
    <row r="820" spans="2:19" s="1593" customFormat="1" ht="11.25" customHeight="1" outlineLevel="1">
      <c r="B820" s="1594">
        <v>31427</v>
      </c>
      <c r="C820" s="1595" t="s">
        <v>8141</v>
      </c>
      <c r="D820" s="1595" t="s">
        <v>13888</v>
      </c>
      <c r="E820" s="1595"/>
      <c r="F820" s="1595"/>
      <c r="G820" s="1595"/>
      <c r="H820" s="1596">
        <v>1</v>
      </c>
      <c r="I820" s="1595"/>
      <c r="J820" s="1595"/>
      <c r="K820" s="1597">
        <v>124381</v>
      </c>
      <c r="L820" s="1597">
        <v>124381</v>
      </c>
      <c r="M820" s="1598"/>
      <c r="N820" s="1597">
        <v>124381</v>
      </c>
      <c r="O820" s="1597">
        <v>1070.67</v>
      </c>
      <c r="P820" s="1597">
        <v>117746.4</v>
      </c>
      <c r="Q820" s="1597">
        <v>5563.93</v>
      </c>
      <c r="R820" s="1597">
        <v>123310.33</v>
      </c>
      <c r="S820" s="1592"/>
    </row>
    <row r="821" spans="2:19" s="1593" customFormat="1" ht="11.25" customHeight="1" outlineLevel="1">
      <c r="B821" s="1594">
        <v>38068</v>
      </c>
      <c r="C821" s="1595" t="s">
        <v>8045</v>
      </c>
      <c r="D821" s="1595" t="s">
        <v>13887</v>
      </c>
      <c r="E821" s="1595"/>
      <c r="F821" s="1595"/>
      <c r="G821" s="1595" t="s">
        <v>3664</v>
      </c>
      <c r="H821" s="1596">
        <v>2</v>
      </c>
      <c r="I821" s="1595"/>
      <c r="J821" s="1595"/>
      <c r="K821" s="1597">
        <v>382608</v>
      </c>
      <c r="L821" s="1597">
        <v>382608</v>
      </c>
      <c r="M821" s="1598"/>
      <c r="N821" s="1597">
        <v>382608</v>
      </c>
      <c r="O821" s="1597">
        <v>217608.3</v>
      </c>
      <c r="P821" s="1597">
        <v>155434.5</v>
      </c>
      <c r="Q821" s="1597">
        <v>9565.2000000000007</v>
      </c>
      <c r="R821" s="1597">
        <v>164999.70000000001</v>
      </c>
      <c r="S821" s="1592"/>
    </row>
    <row r="822" spans="2:19" s="1593" customFormat="1" ht="11.25" customHeight="1" outlineLevel="1">
      <c r="B822" s="1594">
        <v>37491</v>
      </c>
      <c r="C822" s="1595" t="s">
        <v>3655</v>
      </c>
      <c r="D822" s="1595" t="s">
        <v>13886</v>
      </c>
      <c r="E822" s="1595"/>
      <c r="F822" s="1595"/>
      <c r="G822" s="1595"/>
      <c r="H822" s="1596">
        <v>1</v>
      </c>
      <c r="I822" s="1595"/>
      <c r="J822" s="1595"/>
      <c r="K822" s="1597">
        <v>35356</v>
      </c>
      <c r="L822" s="1597">
        <v>35356</v>
      </c>
      <c r="M822" s="1597">
        <v>-35356</v>
      </c>
      <c r="N822" s="1598"/>
      <c r="O822" s="1598"/>
      <c r="P822" s="1597">
        <v>25161.200000000001</v>
      </c>
      <c r="Q822" s="1597">
        <v>-25161.200000000001</v>
      </c>
      <c r="R822" s="1598"/>
      <c r="S822" s="1592"/>
    </row>
    <row r="823" spans="2:19" s="1593" customFormat="1" ht="11.25" customHeight="1" outlineLevel="1">
      <c r="B823" s="1594">
        <v>39481</v>
      </c>
      <c r="C823" s="1595" t="s">
        <v>7958</v>
      </c>
      <c r="D823" s="1595" t="s">
        <v>13885</v>
      </c>
      <c r="E823" s="1595"/>
      <c r="F823" s="1595"/>
      <c r="G823" s="1595"/>
      <c r="H823" s="1596">
        <v>1</v>
      </c>
      <c r="I823" s="1595"/>
      <c r="J823" s="1595"/>
      <c r="K823" s="1597">
        <v>153008.48000000001</v>
      </c>
      <c r="L823" s="1597">
        <v>153008.48000000001</v>
      </c>
      <c r="M823" s="1598"/>
      <c r="N823" s="1597">
        <v>153008.48000000001</v>
      </c>
      <c r="O823" s="1597">
        <v>12576.24</v>
      </c>
      <c r="P823" s="1597">
        <v>127856</v>
      </c>
      <c r="Q823" s="1597">
        <v>12576.24</v>
      </c>
      <c r="R823" s="1597">
        <v>140432.24</v>
      </c>
      <c r="S823" s="1592"/>
    </row>
    <row r="824" spans="2:19" s="1593" customFormat="1" ht="11.25" customHeight="1" outlineLevel="1">
      <c r="B824" s="1594">
        <v>39496</v>
      </c>
      <c r="C824" s="1595" t="s">
        <v>7958</v>
      </c>
      <c r="D824" s="1595" t="s">
        <v>13884</v>
      </c>
      <c r="E824" s="1595"/>
      <c r="F824" s="1595"/>
      <c r="G824" s="1595" t="s">
        <v>3596</v>
      </c>
      <c r="H824" s="1596">
        <v>1</v>
      </c>
      <c r="I824" s="1595"/>
      <c r="J824" s="1595"/>
      <c r="K824" s="1597">
        <v>263813.56</v>
      </c>
      <c r="L824" s="1597">
        <v>263813.56</v>
      </c>
      <c r="M824" s="1598"/>
      <c r="N824" s="1597">
        <v>263813.56</v>
      </c>
      <c r="O824" s="1597">
        <v>21683.46</v>
      </c>
      <c r="P824" s="1597">
        <v>220446.68</v>
      </c>
      <c r="Q824" s="1597">
        <v>21683.42</v>
      </c>
      <c r="R824" s="1597">
        <v>242130.1</v>
      </c>
      <c r="S824" s="1592"/>
    </row>
    <row r="825" spans="2:19" s="1593" customFormat="1" ht="21.75" customHeight="1" outlineLevel="1">
      <c r="B825" s="1600" t="s">
        <v>13883</v>
      </c>
      <c r="C825" s="1595" t="s">
        <v>7927</v>
      </c>
      <c r="D825" s="1595" t="s">
        <v>13882</v>
      </c>
      <c r="E825" s="1595"/>
      <c r="F825" s="1595"/>
      <c r="G825" s="1595"/>
      <c r="H825" s="1596">
        <v>1</v>
      </c>
      <c r="I825" s="1595"/>
      <c r="J825" s="1595"/>
      <c r="K825" s="1597">
        <v>43082.93</v>
      </c>
      <c r="L825" s="1597">
        <v>43082.93</v>
      </c>
      <c r="M825" s="1597">
        <v>-43082.93</v>
      </c>
      <c r="N825" s="1598"/>
      <c r="O825" s="1598"/>
      <c r="P825" s="1597">
        <v>43082.93</v>
      </c>
      <c r="Q825" s="1597">
        <v>-43082.93</v>
      </c>
      <c r="R825" s="1598"/>
      <c r="S825" s="1592"/>
    </row>
    <row r="826" spans="2:19" s="1593" customFormat="1" ht="11.25" customHeight="1" outlineLevel="1">
      <c r="B826" s="1600" t="s">
        <v>13881</v>
      </c>
      <c r="C826" s="1595" t="s">
        <v>7927</v>
      </c>
      <c r="D826" s="1595" t="s">
        <v>13880</v>
      </c>
      <c r="E826" s="1595"/>
      <c r="F826" s="1595"/>
      <c r="G826" s="1595"/>
      <c r="H826" s="1596">
        <v>2</v>
      </c>
      <c r="I826" s="1595"/>
      <c r="J826" s="1595"/>
      <c r="K826" s="1597">
        <v>104792.67</v>
      </c>
      <c r="L826" s="1597">
        <v>104792.67</v>
      </c>
      <c r="M826" s="1598"/>
      <c r="N826" s="1597">
        <v>104792.67</v>
      </c>
      <c r="O826" s="1597">
        <v>1623.49</v>
      </c>
      <c r="P826" s="1597">
        <v>94732.42</v>
      </c>
      <c r="Q826" s="1597">
        <v>8436.76</v>
      </c>
      <c r="R826" s="1597">
        <v>103169.18</v>
      </c>
      <c r="S826" s="1592"/>
    </row>
    <row r="827" spans="2:19" s="1593" customFormat="1" ht="11.25" customHeight="1" outlineLevel="1">
      <c r="B827" s="1600" t="s">
        <v>13879</v>
      </c>
      <c r="C827" s="1595" t="s">
        <v>7927</v>
      </c>
      <c r="D827" s="1595" t="s">
        <v>13878</v>
      </c>
      <c r="E827" s="1595"/>
      <c r="F827" s="1595"/>
      <c r="G827" s="1595"/>
      <c r="H827" s="1596">
        <v>2</v>
      </c>
      <c r="I827" s="1595"/>
      <c r="J827" s="1595"/>
      <c r="K827" s="1597">
        <v>104792.67</v>
      </c>
      <c r="L827" s="1597">
        <v>104792.67</v>
      </c>
      <c r="M827" s="1598"/>
      <c r="N827" s="1597">
        <v>104792.67</v>
      </c>
      <c r="O827" s="1597">
        <v>1623.49</v>
      </c>
      <c r="P827" s="1597">
        <v>94732.42</v>
      </c>
      <c r="Q827" s="1597">
        <v>8436.76</v>
      </c>
      <c r="R827" s="1597">
        <v>103169.18</v>
      </c>
      <c r="S827" s="1592"/>
    </row>
    <row r="828" spans="2:19" s="1593" customFormat="1" ht="11.25" customHeight="1" outlineLevel="1">
      <c r="B828" s="1600" t="s">
        <v>13877</v>
      </c>
      <c r="C828" s="1595" t="s">
        <v>7927</v>
      </c>
      <c r="D828" s="1595" t="s">
        <v>13876</v>
      </c>
      <c r="E828" s="1595"/>
      <c r="F828" s="1595"/>
      <c r="G828" s="1595"/>
      <c r="H828" s="1596">
        <v>1</v>
      </c>
      <c r="I828" s="1595"/>
      <c r="J828" s="1595"/>
      <c r="K828" s="1597">
        <v>73040.570000000007</v>
      </c>
      <c r="L828" s="1597">
        <v>73040.570000000007</v>
      </c>
      <c r="M828" s="1597">
        <v>-73040.570000000007</v>
      </c>
      <c r="N828" s="1598"/>
      <c r="O828" s="1598"/>
      <c r="P828" s="1597">
        <v>59808.639999999999</v>
      </c>
      <c r="Q828" s="1597">
        <v>-59808.639999999999</v>
      </c>
      <c r="R828" s="1598"/>
      <c r="S828" s="1592"/>
    </row>
    <row r="829" spans="2:19" s="1593" customFormat="1" ht="11.25" customHeight="1" outlineLevel="1">
      <c r="B829" s="1600" t="s">
        <v>13875</v>
      </c>
      <c r="C829" s="1595" t="s">
        <v>12716</v>
      </c>
      <c r="D829" s="1595" t="s">
        <v>13874</v>
      </c>
      <c r="E829" s="1595"/>
      <c r="F829" s="1595"/>
      <c r="G829" s="1595"/>
      <c r="H829" s="1596">
        <v>1</v>
      </c>
      <c r="I829" s="1595"/>
      <c r="J829" s="1595"/>
      <c r="K829" s="1597">
        <v>50847.46</v>
      </c>
      <c r="L829" s="1597">
        <v>50847.46</v>
      </c>
      <c r="M829" s="1597">
        <v>-50847.46</v>
      </c>
      <c r="N829" s="1598"/>
      <c r="O829" s="1598"/>
      <c r="P829" s="1597">
        <v>50847.46</v>
      </c>
      <c r="Q829" s="1597">
        <v>-50847.46</v>
      </c>
      <c r="R829" s="1598"/>
      <c r="S829" s="1592"/>
    </row>
    <row r="830" spans="2:19" s="1593" customFormat="1" ht="11.25" customHeight="1" outlineLevel="1">
      <c r="B830" s="1600" t="s">
        <v>13873</v>
      </c>
      <c r="C830" s="1595" t="s">
        <v>13872</v>
      </c>
      <c r="D830" s="1595" t="s">
        <v>13871</v>
      </c>
      <c r="E830" s="1595"/>
      <c r="F830" s="1595"/>
      <c r="G830" s="1595"/>
      <c r="H830" s="1596">
        <v>1</v>
      </c>
      <c r="I830" s="1595"/>
      <c r="J830" s="1595"/>
      <c r="K830" s="1597">
        <v>117400</v>
      </c>
      <c r="L830" s="1597">
        <v>117400</v>
      </c>
      <c r="M830" s="1598"/>
      <c r="N830" s="1597">
        <v>117400</v>
      </c>
      <c r="O830" s="1597">
        <v>11270.4</v>
      </c>
      <c r="P830" s="1597">
        <v>94859.199999999997</v>
      </c>
      <c r="Q830" s="1597">
        <v>11270.4</v>
      </c>
      <c r="R830" s="1597">
        <v>106129.60000000001</v>
      </c>
      <c r="S830" s="1592"/>
    </row>
    <row r="831" spans="2:19" s="1593" customFormat="1" ht="21.75" customHeight="1" outlineLevel="1">
      <c r="B831" s="1600" t="s">
        <v>13870</v>
      </c>
      <c r="C831" s="1595" t="s">
        <v>13869</v>
      </c>
      <c r="D831" s="1595" t="s">
        <v>13868</v>
      </c>
      <c r="E831" s="1595"/>
      <c r="F831" s="1595"/>
      <c r="G831" s="1595" t="s">
        <v>3596</v>
      </c>
      <c r="H831" s="1596">
        <v>1</v>
      </c>
      <c r="I831" s="1595"/>
      <c r="J831" s="1595"/>
      <c r="K831" s="1597">
        <v>451696.61</v>
      </c>
      <c r="L831" s="1597">
        <v>509696.61</v>
      </c>
      <c r="M831" s="1598"/>
      <c r="N831" s="1597">
        <v>509696.61</v>
      </c>
      <c r="O831" s="1597">
        <v>71676.37</v>
      </c>
      <c r="P831" s="1597">
        <v>390236</v>
      </c>
      <c r="Q831" s="1597">
        <v>47784.24</v>
      </c>
      <c r="R831" s="1597">
        <v>438020.24</v>
      </c>
      <c r="S831" s="1592"/>
    </row>
    <row r="832" spans="2:19" s="1593" customFormat="1" ht="11.25" customHeight="1" outlineLevel="1">
      <c r="B832" s="1600" t="s">
        <v>13867</v>
      </c>
      <c r="C832" s="1595" t="s">
        <v>12691</v>
      </c>
      <c r="D832" s="1595" t="s">
        <v>13866</v>
      </c>
      <c r="E832" s="1595"/>
      <c r="F832" s="1595"/>
      <c r="G832" s="1595"/>
      <c r="H832" s="1596">
        <v>1</v>
      </c>
      <c r="I832" s="1595"/>
      <c r="J832" s="1595"/>
      <c r="K832" s="1597">
        <v>51972.28</v>
      </c>
      <c r="L832" s="1597">
        <v>51972.28</v>
      </c>
      <c r="M832" s="1597">
        <v>-51972.28</v>
      </c>
      <c r="N832" s="1598"/>
      <c r="O832" s="1598"/>
      <c r="P832" s="1597">
        <v>51972.28</v>
      </c>
      <c r="Q832" s="1597">
        <v>-51972.28</v>
      </c>
      <c r="R832" s="1598"/>
      <c r="S832" s="1592"/>
    </row>
    <row r="833" spans="2:19" s="1593" customFormat="1" ht="11.25" customHeight="1" outlineLevel="1">
      <c r="B833" s="1600" t="s">
        <v>13865</v>
      </c>
      <c r="C833" s="1595" t="s">
        <v>12691</v>
      </c>
      <c r="D833" s="1595" t="s">
        <v>13864</v>
      </c>
      <c r="E833" s="1595"/>
      <c r="F833" s="1595"/>
      <c r="G833" s="1595"/>
      <c r="H833" s="1596">
        <v>1</v>
      </c>
      <c r="I833" s="1595"/>
      <c r="J833" s="1595"/>
      <c r="K833" s="1597">
        <v>51972.27</v>
      </c>
      <c r="L833" s="1597">
        <v>51972.27</v>
      </c>
      <c r="M833" s="1597">
        <v>-51972.27</v>
      </c>
      <c r="N833" s="1598"/>
      <c r="O833" s="1598"/>
      <c r="P833" s="1597">
        <v>51972.27</v>
      </c>
      <c r="Q833" s="1597">
        <v>-51972.27</v>
      </c>
      <c r="R833" s="1598"/>
      <c r="S833" s="1592"/>
    </row>
    <row r="834" spans="2:19" s="1593" customFormat="1" ht="11.25" customHeight="1" outlineLevel="1">
      <c r="B834" s="1600" t="s">
        <v>13863</v>
      </c>
      <c r="C834" s="1595" t="s">
        <v>11802</v>
      </c>
      <c r="D834" s="1595" t="s">
        <v>13862</v>
      </c>
      <c r="E834" s="1595"/>
      <c r="F834" s="1595"/>
      <c r="G834" s="1595"/>
      <c r="H834" s="1596">
        <v>1</v>
      </c>
      <c r="I834" s="1595"/>
      <c r="J834" s="1595"/>
      <c r="K834" s="1597">
        <v>501454.37</v>
      </c>
      <c r="L834" s="1597">
        <v>501454.37</v>
      </c>
      <c r="M834" s="1597">
        <v>-501454.37</v>
      </c>
      <c r="N834" s="1598"/>
      <c r="O834" s="1598"/>
      <c r="P834" s="1597">
        <v>372875.91</v>
      </c>
      <c r="Q834" s="1597">
        <v>-372875.91</v>
      </c>
      <c r="R834" s="1598"/>
      <c r="S834" s="1592"/>
    </row>
    <row r="835" spans="2:19" s="1593" customFormat="1" ht="11.25" customHeight="1" outlineLevel="1">
      <c r="B835" s="1600" t="s">
        <v>13861</v>
      </c>
      <c r="C835" s="1595" t="s">
        <v>13860</v>
      </c>
      <c r="D835" s="1595" t="s">
        <v>13859</v>
      </c>
      <c r="E835" s="1595"/>
      <c r="F835" s="1595"/>
      <c r="G835" s="1595"/>
      <c r="H835" s="1596">
        <v>1</v>
      </c>
      <c r="I835" s="1595"/>
      <c r="J835" s="1595"/>
      <c r="K835" s="1597">
        <v>169491.53</v>
      </c>
      <c r="L835" s="1597">
        <v>169491.53</v>
      </c>
      <c r="M835" s="1598"/>
      <c r="N835" s="1597">
        <v>169491.53</v>
      </c>
      <c r="O835" s="1597">
        <v>18832.25</v>
      </c>
      <c r="P835" s="1597">
        <v>131827.07999999999</v>
      </c>
      <c r="Q835" s="1597">
        <v>18832.2</v>
      </c>
      <c r="R835" s="1597">
        <v>150659.28</v>
      </c>
      <c r="S835" s="1592"/>
    </row>
    <row r="836" spans="2:19" s="1593" customFormat="1" ht="11.25" customHeight="1" outlineLevel="1">
      <c r="B836" s="1600" t="s">
        <v>13858</v>
      </c>
      <c r="C836" s="1595" t="s">
        <v>13857</v>
      </c>
      <c r="D836" s="1595" t="s">
        <v>13856</v>
      </c>
      <c r="E836" s="1595"/>
      <c r="F836" s="1595"/>
      <c r="G836" s="1595"/>
      <c r="H836" s="1596">
        <v>1</v>
      </c>
      <c r="I836" s="1595"/>
      <c r="J836" s="1595"/>
      <c r="K836" s="1597">
        <v>115772</v>
      </c>
      <c r="L836" s="1597">
        <v>115772</v>
      </c>
      <c r="M836" s="1598"/>
      <c r="N836" s="1597">
        <v>115772</v>
      </c>
      <c r="O836" s="1597">
        <v>8905.64</v>
      </c>
      <c r="P836" s="1597">
        <v>93507.96</v>
      </c>
      <c r="Q836" s="1597">
        <v>13358.4</v>
      </c>
      <c r="R836" s="1597">
        <v>106866.36</v>
      </c>
      <c r="S836" s="1592"/>
    </row>
    <row r="837" spans="2:19" s="1593" customFormat="1" ht="11.25" customHeight="1" outlineLevel="1">
      <c r="B837" s="1600" t="s">
        <v>13855</v>
      </c>
      <c r="C837" s="1595" t="s">
        <v>11785</v>
      </c>
      <c r="D837" s="1595" t="s">
        <v>13854</v>
      </c>
      <c r="E837" s="1595"/>
      <c r="F837" s="1595"/>
      <c r="G837" s="1595"/>
      <c r="H837" s="1596">
        <v>1</v>
      </c>
      <c r="I837" s="1595"/>
      <c r="J837" s="1595"/>
      <c r="K837" s="1597">
        <v>117771.9</v>
      </c>
      <c r="L837" s="1597">
        <v>117771.9</v>
      </c>
      <c r="M837" s="1598"/>
      <c r="N837" s="1597">
        <v>117771.9</v>
      </c>
      <c r="O837" s="1597">
        <v>14721.54</v>
      </c>
      <c r="P837" s="1597">
        <v>88328.88</v>
      </c>
      <c r="Q837" s="1597">
        <v>14721.48</v>
      </c>
      <c r="R837" s="1597">
        <v>103050.36</v>
      </c>
      <c r="S837" s="1592"/>
    </row>
    <row r="838" spans="2:19" s="1593" customFormat="1" ht="11.25" customHeight="1" outlineLevel="1">
      <c r="B838" s="1600" t="s">
        <v>13853</v>
      </c>
      <c r="C838" s="1595" t="s">
        <v>3196</v>
      </c>
      <c r="D838" s="1595" t="s">
        <v>13852</v>
      </c>
      <c r="E838" s="1595" t="s">
        <v>2288</v>
      </c>
      <c r="F838" s="1595" t="s">
        <v>11702</v>
      </c>
      <c r="G838" s="1595"/>
      <c r="H838" s="1596">
        <v>1</v>
      </c>
      <c r="I838" s="1595"/>
      <c r="J838" s="1595"/>
      <c r="K838" s="1597">
        <v>710257</v>
      </c>
      <c r="L838" s="1597">
        <v>710257</v>
      </c>
      <c r="M838" s="1598"/>
      <c r="N838" s="1597">
        <v>710257</v>
      </c>
      <c r="O838" s="1597">
        <v>50941.43</v>
      </c>
      <c r="P838" s="1597">
        <v>394587.15</v>
      </c>
      <c r="Q838" s="1597">
        <v>264728.42</v>
      </c>
      <c r="R838" s="1597">
        <v>659315.56999999995</v>
      </c>
      <c r="S838" s="1592"/>
    </row>
    <row r="839" spans="2:19" s="1593" customFormat="1" ht="11.25" customHeight="1" outlineLevel="1">
      <c r="B839" s="1600" t="s">
        <v>13851</v>
      </c>
      <c r="C839" s="1595" t="s">
        <v>3196</v>
      </c>
      <c r="D839" s="1595" t="s">
        <v>13850</v>
      </c>
      <c r="E839" s="1595" t="s">
        <v>2288</v>
      </c>
      <c r="F839" s="1595" t="s">
        <v>11702</v>
      </c>
      <c r="G839" s="1595"/>
      <c r="H839" s="1596">
        <v>1</v>
      </c>
      <c r="I839" s="1595"/>
      <c r="J839" s="1595"/>
      <c r="K839" s="1597">
        <v>253557</v>
      </c>
      <c r="L839" s="1597">
        <v>253557</v>
      </c>
      <c r="M839" s="1598"/>
      <c r="N839" s="1597">
        <v>253557</v>
      </c>
      <c r="O839" s="1597">
        <v>18185.740000000002</v>
      </c>
      <c r="P839" s="1597">
        <v>140865</v>
      </c>
      <c r="Q839" s="1597">
        <v>94506.26</v>
      </c>
      <c r="R839" s="1597">
        <v>235371.26</v>
      </c>
      <c r="S839" s="1592"/>
    </row>
    <row r="840" spans="2:19" s="1593" customFormat="1" ht="21.75" customHeight="1" outlineLevel="1">
      <c r="B840" s="1600" t="s">
        <v>13849</v>
      </c>
      <c r="C840" s="1595" t="s">
        <v>2414</v>
      </c>
      <c r="D840" s="1595" t="s">
        <v>13848</v>
      </c>
      <c r="E840" s="1595"/>
      <c r="F840" s="1595"/>
      <c r="G840" s="1595"/>
      <c r="H840" s="1595"/>
      <c r="I840" s="1595"/>
      <c r="J840" s="1595"/>
      <c r="K840" s="1597">
        <v>417537.97</v>
      </c>
      <c r="L840" s="1597">
        <v>417537.97</v>
      </c>
      <c r="M840" s="1597">
        <v>-417537.97</v>
      </c>
      <c r="N840" s="1598"/>
      <c r="O840" s="1598"/>
      <c r="P840" s="1598"/>
      <c r="Q840" s="1598"/>
      <c r="R840" s="1598"/>
      <c r="S840" s="1592"/>
    </row>
    <row r="841" spans="2:19" s="1593" customFormat="1" ht="5.0999999999999996" customHeight="1">
      <c r="S841" s="1592"/>
    </row>
    <row r="842" spans="2:19" s="1593" customFormat="1" ht="11.25" customHeight="1">
      <c r="B842" s="1590" t="s">
        <v>11039</v>
      </c>
      <c r="C842" s="1590"/>
      <c r="D842" s="1590" t="s">
        <v>13847</v>
      </c>
      <c r="E842" s="1590"/>
      <c r="F842" s="1590"/>
      <c r="G842" s="1590"/>
      <c r="H842" s="1590">
        <v>1</v>
      </c>
      <c r="I842" s="1590"/>
      <c r="J842" s="1590"/>
      <c r="K842" s="1591">
        <v>23225511.670000002</v>
      </c>
      <c r="L842" s="1591">
        <v>23211353.170000002</v>
      </c>
      <c r="M842" s="1591">
        <v>-1439241.1</v>
      </c>
      <c r="N842" s="1591">
        <v>21772112.07</v>
      </c>
      <c r="O842" s="1591">
        <v>9497155.3800000008</v>
      </c>
      <c r="P842" s="1591">
        <v>11282339.73</v>
      </c>
      <c r="Q842" s="1591">
        <v>992616.95999999996</v>
      </c>
      <c r="R842" s="1591">
        <v>12274956.689999999</v>
      </c>
      <c r="S842" s="1592">
        <f>R842/N842</f>
        <v>0.56379264678293561</v>
      </c>
    </row>
    <row r="843" spans="2:19" s="1593" customFormat="1" ht="11.25" customHeight="1" outlineLevel="1">
      <c r="B843" s="1594">
        <v>10879</v>
      </c>
      <c r="C843" s="1595" t="s">
        <v>5403</v>
      </c>
      <c r="D843" s="1595" t="s">
        <v>13846</v>
      </c>
      <c r="E843" s="1595"/>
      <c r="F843" s="1595"/>
      <c r="G843" s="1595" t="s">
        <v>13845</v>
      </c>
      <c r="H843" s="1596">
        <v>1</v>
      </c>
      <c r="I843" s="1595"/>
      <c r="J843" s="1595"/>
      <c r="K843" s="1597">
        <v>227982</v>
      </c>
      <c r="L843" s="1597">
        <v>227982</v>
      </c>
      <c r="M843" s="1598"/>
      <c r="N843" s="1597">
        <v>227982</v>
      </c>
      <c r="O843" s="1597">
        <v>147505.06</v>
      </c>
      <c r="P843" s="1597">
        <v>77741.179999999993</v>
      </c>
      <c r="Q843" s="1597">
        <v>2735.76</v>
      </c>
      <c r="R843" s="1597">
        <v>80476.94</v>
      </c>
      <c r="S843" s="1592"/>
    </row>
    <row r="844" spans="2:19" s="1593" customFormat="1" ht="11.25" customHeight="1" outlineLevel="1">
      <c r="B844" s="1594">
        <v>10880</v>
      </c>
      <c r="C844" s="1595" t="s">
        <v>5403</v>
      </c>
      <c r="D844" s="1595" t="s">
        <v>13844</v>
      </c>
      <c r="E844" s="1595"/>
      <c r="F844" s="1595"/>
      <c r="G844" s="1595" t="s">
        <v>13843</v>
      </c>
      <c r="H844" s="1596">
        <v>1</v>
      </c>
      <c r="I844" s="1595"/>
      <c r="J844" s="1595"/>
      <c r="K844" s="1597">
        <v>147307</v>
      </c>
      <c r="L844" s="1597">
        <v>147307</v>
      </c>
      <c r="M844" s="1598"/>
      <c r="N844" s="1597">
        <v>147307</v>
      </c>
      <c r="O844" s="1597">
        <v>95306.57</v>
      </c>
      <c r="P844" s="1597">
        <v>50232.71</v>
      </c>
      <c r="Q844" s="1597">
        <v>1767.72</v>
      </c>
      <c r="R844" s="1597">
        <v>52000.43</v>
      </c>
      <c r="S844" s="1592"/>
    </row>
    <row r="845" spans="2:19" s="1593" customFormat="1" ht="11.25" customHeight="1" outlineLevel="1">
      <c r="B845" s="1594">
        <v>10881</v>
      </c>
      <c r="C845" s="1595" t="s">
        <v>5403</v>
      </c>
      <c r="D845" s="1595" t="s">
        <v>13842</v>
      </c>
      <c r="E845" s="1595"/>
      <c r="F845" s="1595"/>
      <c r="G845" s="1595" t="s">
        <v>13841</v>
      </c>
      <c r="H845" s="1596">
        <v>1</v>
      </c>
      <c r="I845" s="1595"/>
      <c r="J845" s="1595"/>
      <c r="K845" s="1597">
        <v>86734</v>
      </c>
      <c r="L845" s="1597">
        <v>86734</v>
      </c>
      <c r="M845" s="1598"/>
      <c r="N845" s="1597">
        <v>86734</v>
      </c>
      <c r="O845" s="1597">
        <v>56118.19</v>
      </c>
      <c r="P845" s="1597">
        <v>29574.93</v>
      </c>
      <c r="Q845" s="1597">
        <v>1040.8800000000001</v>
      </c>
      <c r="R845" s="1597">
        <v>30615.81</v>
      </c>
      <c r="S845" s="1592"/>
    </row>
    <row r="846" spans="2:19" s="1593" customFormat="1" ht="11.25" customHeight="1" outlineLevel="1">
      <c r="B846" s="1594">
        <v>10882</v>
      </c>
      <c r="C846" s="1595" t="s">
        <v>5403</v>
      </c>
      <c r="D846" s="1595" t="s">
        <v>13840</v>
      </c>
      <c r="E846" s="1595"/>
      <c r="F846" s="1595"/>
      <c r="G846" s="1595" t="s">
        <v>13784</v>
      </c>
      <c r="H846" s="1596">
        <v>1</v>
      </c>
      <c r="I846" s="1595"/>
      <c r="J846" s="1595"/>
      <c r="K846" s="1597">
        <v>633261</v>
      </c>
      <c r="L846" s="1597">
        <v>633260.5</v>
      </c>
      <c r="M846" s="1598"/>
      <c r="N846" s="1597">
        <v>633260.5</v>
      </c>
      <c r="O846" s="1597">
        <v>107283.2</v>
      </c>
      <c r="P846" s="1597">
        <v>508096.82</v>
      </c>
      <c r="Q846" s="1597">
        <v>17880.48</v>
      </c>
      <c r="R846" s="1597">
        <v>525977.30000000005</v>
      </c>
      <c r="S846" s="1592"/>
    </row>
    <row r="847" spans="2:19" s="1593" customFormat="1" ht="11.25" customHeight="1" outlineLevel="1">
      <c r="B847" s="1594">
        <v>10883</v>
      </c>
      <c r="C847" s="1595" t="s">
        <v>5403</v>
      </c>
      <c r="D847" s="1595" t="s">
        <v>13839</v>
      </c>
      <c r="E847" s="1595"/>
      <c r="F847" s="1595"/>
      <c r="G847" s="1595" t="s">
        <v>13838</v>
      </c>
      <c r="H847" s="1596">
        <v>1</v>
      </c>
      <c r="I847" s="1595"/>
      <c r="J847" s="1595"/>
      <c r="K847" s="1597">
        <v>2825</v>
      </c>
      <c r="L847" s="1597">
        <v>2825</v>
      </c>
      <c r="M847" s="1598"/>
      <c r="N847" s="1597">
        <v>2825</v>
      </c>
      <c r="O847" s="1599">
        <v>339.52</v>
      </c>
      <c r="P847" s="1597">
        <v>2400.64</v>
      </c>
      <c r="Q847" s="1599">
        <v>84.84</v>
      </c>
      <c r="R847" s="1597">
        <v>2485.48</v>
      </c>
      <c r="S847" s="1592"/>
    </row>
    <row r="848" spans="2:19" s="1593" customFormat="1" ht="11.25" customHeight="1" outlineLevel="1">
      <c r="B848" s="1594">
        <v>10884</v>
      </c>
      <c r="C848" s="1595" t="s">
        <v>5403</v>
      </c>
      <c r="D848" s="1595" t="s">
        <v>13837</v>
      </c>
      <c r="E848" s="1595"/>
      <c r="F848" s="1595"/>
      <c r="G848" s="1595" t="s">
        <v>3734</v>
      </c>
      <c r="H848" s="1596">
        <v>1</v>
      </c>
      <c r="I848" s="1595"/>
      <c r="J848" s="1595"/>
      <c r="K848" s="1599">
        <v>264</v>
      </c>
      <c r="L848" s="1599">
        <v>264</v>
      </c>
      <c r="M848" s="1598"/>
      <c r="N848" s="1599">
        <v>264</v>
      </c>
      <c r="O848" s="1599">
        <v>45.02</v>
      </c>
      <c r="P848" s="1599">
        <v>211.42</v>
      </c>
      <c r="Q848" s="1599">
        <v>7.56</v>
      </c>
      <c r="R848" s="1599">
        <v>218.98</v>
      </c>
      <c r="S848" s="1592"/>
    </row>
    <row r="849" spans="2:19" s="1593" customFormat="1" ht="11.25" customHeight="1" outlineLevel="1">
      <c r="B849" s="1594">
        <v>10887</v>
      </c>
      <c r="C849" s="1595" t="s">
        <v>5403</v>
      </c>
      <c r="D849" s="1595" t="s">
        <v>13836</v>
      </c>
      <c r="E849" s="1595"/>
      <c r="F849" s="1595"/>
      <c r="G849" s="1595" t="s">
        <v>3734</v>
      </c>
      <c r="H849" s="1596">
        <v>3</v>
      </c>
      <c r="I849" s="1595"/>
      <c r="J849" s="1595"/>
      <c r="K849" s="1597">
        <v>10359</v>
      </c>
      <c r="L849" s="1597">
        <v>10359</v>
      </c>
      <c r="M849" s="1598"/>
      <c r="N849" s="1597">
        <v>10359</v>
      </c>
      <c r="O849" s="1599">
        <v>658.92</v>
      </c>
      <c r="P849" s="1597">
        <v>9370.68</v>
      </c>
      <c r="Q849" s="1599">
        <v>329.4</v>
      </c>
      <c r="R849" s="1597">
        <v>9700.08</v>
      </c>
      <c r="S849" s="1592"/>
    </row>
    <row r="850" spans="2:19" s="1593" customFormat="1" ht="11.25" customHeight="1" outlineLevel="1">
      <c r="B850" s="1594">
        <v>10889</v>
      </c>
      <c r="C850" s="1595" t="s">
        <v>5403</v>
      </c>
      <c r="D850" s="1595" t="s">
        <v>13835</v>
      </c>
      <c r="E850" s="1595"/>
      <c r="F850" s="1595"/>
      <c r="G850" s="1595" t="s">
        <v>13834</v>
      </c>
      <c r="H850" s="1596">
        <v>1</v>
      </c>
      <c r="I850" s="1595"/>
      <c r="J850" s="1595"/>
      <c r="K850" s="1597">
        <v>6847</v>
      </c>
      <c r="L850" s="1597">
        <v>6847</v>
      </c>
      <c r="M850" s="1598"/>
      <c r="N850" s="1597">
        <v>6847</v>
      </c>
      <c r="O850" s="1599">
        <v>994.38</v>
      </c>
      <c r="P850" s="1597">
        <v>5653.78</v>
      </c>
      <c r="Q850" s="1599">
        <v>198.84</v>
      </c>
      <c r="R850" s="1597">
        <v>5852.62</v>
      </c>
      <c r="S850" s="1592"/>
    </row>
    <row r="851" spans="2:19" s="1593" customFormat="1" ht="11.25" customHeight="1" outlineLevel="1">
      <c r="B851" s="1594">
        <v>10890</v>
      </c>
      <c r="C851" s="1595" t="s">
        <v>5403</v>
      </c>
      <c r="D851" s="1595" t="s">
        <v>13833</v>
      </c>
      <c r="E851" s="1595"/>
      <c r="F851" s="1595"/>
      <c r="G851" s="1595" t="s">
        <v>13832</v>
      </c>
      <c r="H851" s="1596">
        <v>1</v>
      </c>
      <c r="I851" s="1595"/>
      <c r="J851" s="1595"/>
      <c r="K851" s="1597">
        <v>3833</v>
      </c>
      <c r="L851" s="1597">
        <v>3833</v>
      </c>
      <c r="M851" s="1598"/>
      <c r="N851" s="1597">
        <v>3833</v>
      </c>
      <c r="O851" s="1599">
        <v>557.1</v>
      </c>
      <c r="P851" s="1597">
        <v>3164.48</v>
      </c>
      <c r="Q851" s="1599">
        <v>111.42</v>
      </c>
      <c r="R851" s="1597">
        <v>3275.9</v>
      </c>
      <c r="S851" s="1592"/>
    </row>
    <row r="852" spans="2:19" s="1593" customFormat="1" ht="11.25" customHeight="1" outlineLevel="1">
      <c r="B852" s="1594">
        <v>10893</v>
      </c>
      <c r="C852" s="1595" t="s">
        <v>5403</v>
      </c>
      <c r="D852" s="1595" t="s">
        <v>13831</v>
      </c>
      <c r="E852" s="1595"/>
      <c r="F852" s="1595"/>
      <c r="G852" s="1595"/>
      <c r="H852" s="1596">
        <v>1</v>
      </c>
      <c r="I852" s="1595"/>
      <c r="J852" s="1595"/>
      <c r="K852" s="1597">
        <v>1054</v>
      </c>
      <c r="L852" s="1597">
        <v>1053.5</v>
      </c>
      <c r="M852" s="1597">
        <v>-1053.5</v>
      </c>
      <c r="N852" s="1598"/>
      <c r="O852" s="1598"/>
      <c r="P852" s="1597">
        <v>1053.5</v>
      </c>
      <c r="Q852" s="1597">
        <v>-1053.5</v>
      </c>
      <c r="R852" s="1598"/>
      <c r="S852" s="1592"/>
    </row>
    <row r="853" spans="2:19" s="1593" customFormat="1" ht="11.25" customHeight="1" outlineLevel="1">
      <c r="B853" s="1594">
        <v>10908</v>
      </c>
      <c r="C853" s="1595" t="s">
        <v>5403</v>
      </c>
      <c r="D853" s="1595" t="s">
        <v>13830</v>
      </c>
      <c r="E853" s="1595"/>
      <c r="F853" s="1595"/>
      <c r="G853" s="1595" t="s">
        <v>13829</v>
      </c>
      <c r="H853" s="1596">
        <v>1</v>
      </c>
      <c r="I853" s="1595"/>
      <c r="J853" s="1595"/>
      <c r="K853" s="1597">
        <v>1278</v>
      </c>
      <c r="L853" s="1597">
        <v>1278</v>
      </c>
      <c r="M853" s="1598"/>
      <c r="N853" s="1597">
        <v>1278</v>
      </c>
      <c r="O853" s="1599">
        <v>826.16</v>
      </c>
      <c r="P853" s="1599">
        <v>436.48</v>
      </c>
      <c r="Q853" s="1599">
        <v>15.36</v>
      </c>
      <c r="R853" s="1599">
        <v>451.84</v>
      </c>
      <c r="S853" s="1592"/>
    </row>
    <row r="854" spans="2:19" s="1593" customFormat="1" ht="11.25" customHeight="1" outlineLevel="1">
      <c r="B854" s="1594">
        <v>10911</v>
      </c>
      <c r="C854" s="1595" t="s">
        <v>5403</v>
      </c>
      <c r="D854" s="1595" t="s">
        <v>13828</v>
      </c>
      <c r="E854" s="1595"/>
      <c r="F854" s="1595"/>
      <c r="G854" s="1595"/>
      <c r="H854" s="1596">
        <v>1</v>
      </c>
      <c r="I854" s="1595"/>
      <c r="J854" s="1595"/>
      <c r="K854" s="1599">
        <v>75</v>
      </c>
      <c r="L854" s="1599">
        <v>75</v>
      </c>
      <c r="M854" s="1599">
        <v>-75</v>
      </c>
      <c r="N854" s="1598"/>
      <c r="O854" s="1598"/>
      <c r="P854" s="1599">
        <v>75</v>
      </c>
      <c r="Q854" s="1599">
        <v>-75</v>
      </c>
      <c r="R854" s="1598"/>
      <c r="S854" s="1592"/>
    </row>
    <row r="855" spans="2:19" s="1593" customFormat="1" ht="11.25" customHeight="1" outlineLevel="1">
      <c r="B855" s="1594">
        <v>10913</v>
      </c>
      <c r="C855" s="1595" t="s">
        <v>5403</v>
      </c>
      <c r="D855" s="1595" t="s">
        <v>13827</v>
      </c>
      <c r="E855" s="1595"/>
      <c r="F855" s="1595"/>
      <c r="G855" s="1595" t="s">
        <v>13720</v>
      </c>
      <c r="H855" s="1596">
        <v>1</v>
      </c>
      <c r="I855" s="1595"/>
      <c r="J855" s="1595"/>
      <c r="K855" s="1599">
        <v>476</v>
      </c>
      <c r="L855" s="1599">
        <v>476</v>
      </c>
      <c r="M855" s="1598"/>
      <c r="N855" s="1599">
        <v>476</v>
      </c>
      <c r="O855" s="1599">
        <v>69.900000000000006</v>
      </c>
      <c r="P855" s="1599">
        <v>392.15</v>
      </c>
      <c r="Q855" s="1599">
        <v>13.95</v>
      </c>
      <c r="R855" s="1599">
        <v>406.1</v>
      </c>
      <c r="S855" s="1592"/>
    </row>
    <row r="856" spans="2:19" s="1593" customFormat="1" ht="11.25" customHeight="1" outlineLevel="1">
      <c r="B856" s="1594">
        <v>10914</v>
      </c>
      <c r="C856" s="1595" t="s">
        <v>5403</v>
      </c>
      <c r="D856" s="1595" t="s">
        <v>13826</v>
      </c>
      <c r="E856" s="1595"/>
      <c r="F856" s="1595"/>
      <c r="G856" s="1595" t="s">
        <v>13825</v>
      </c>
      <c r="H856" s="1596">
        <v>1</v>
      </c>
      <c r="I856" s="1595"/>
      <c r="J856" s="1595"/>
      <c r="K856" s="1597">
        <v>158198</v>
      </c>
      <c r="L856" s="1597">
        <v>158198</v>
      </c>
      <c r="M856" s="1598"/>
      <c r="N856" s="1597">
        <v>158198</v>
      </c>
      <c r="O856" s="1597">
        <v>22981.59</v>
      </c>
      <c r="P856" s="1597">
        <v>130620.05</v>
      </c>
      <c r="Q856" s="1597">
        <v>4596.3599999999997</v>
      </c>
      <c r="R856" s="1597">
        <v>135216.41</v>
      </c>
      <c r="S856" s="1592"/>
    </row>
    <row r="857" spans="2:19" s="1593" customFormat="1" ht="11.25" customHeight="1" outlineLevel="1">
      <c r="B857" s="1594">
        <v>10915</v>
      </c>
      <c r="C857" s="1595" t="s">
        <v>5403</v>
      </c>
      <c r="D857" s="1595" t="s">
        <v>13824</v>
      </c>
      <c r="E857" s="1595"/>
      <c r="F857" s="1595"/>
      <c r="G857" s="1595" t="s">
        <v>13823</v>
      </c>
      <c r="H857" s="1596">
        <v>1</v>
      </c>
      <c r="I857" s="1595"/>
      <c r="J857" s="1595"/>
      <c r="K857" s="1597">
        <v>3192</v>
      </c>
      <c r="L857" s="1597">
        <v>3192</v>
      </c>
      <c r="M857" s="1598"/>
      <c r="N857" s="1597">
        <v>3192</v>
      </c>
      <c r="O857" s="1599">
        <v>463.43</v>
      </c>
      <c r="P857" s="1597">
        <v>2635.93</v>
      </c>
      <c r="Q857" s="1599">
        <v>92.64</v>
      </c>
      <c r="R857" s="1597">
        <v>2728.57</v>
      </c>
      <c r="S857" s="1592"/>
    </row>
    <row r="858" spans="2:19" s="1593" customFormat="1" ht="21.75" customHeight="1" outlineLevel="1">
      <c r="B858" s="1594">
        <v>10916</v>
      </c>
      <c r="C858" s="1595" t="s">
        <v>5403</v>
      </c>
      <c r="D858" s="1595" t="s">
        <v>13822</v>
      </c>
      <c r="E858" s="1595"/>
      <c r="F858" s="1595"/>
      <c r="G858" s="1595" t="s">
        <v>10919</v>
      </c>
      <c r="H858" s="1596">
        <v>1</v>
      </c>
      <c r="I858" s="1595"/>
      <c r="J858" s="1595"/>
      <c r="K858" s="1599">
        <v>249</v>
      </c>
      <c r="L858" s="1599">
        <v>249</v>
      </c>
      <c r="M858" s="1598"/>
      <c r="N858" s="1599">
        <v>249</v>
      </c>
      <c r="O858" s="1599">
        <v>36.96</v>
      </c>
      <c r="P858" s="1599">
        <v>204.6</v>
      </c>
      <c r="Q858" s="1599">
        <v>7.44</v>
      </c>
      <c r="R858" s="1599">
        <v>212.04</v>
      </c>
      <c r="S858" s="1592"/>
    </row>
    <row r="859" spans="2:19" s="1593" customFormat="1" ht="11.25" customHeight="1" outlineLevel="1">
      <c r="B859" s="1594">
        <v>10918</v>
      </c>
      <c r="C859" s="1595" t="s">
        <v>5403</v>
      </c>
      <c r="D859" s="1595" t="s">
        <v>13821</v>
      </c>
      <c r="E859" s="1595"/>
      <c r="F859" s="1595"/>
      <c r="G859" s="1595" t="s">
        <v>13816</v>
      </c>
      <c r="H859" s="1596">
        <v>1</v>
      </c>
      <c r="I859" s="1595"/>
      <c r="J859" s="1595"/>
      <c r="K859" s="1597">
        <v>2327</v>
      </c>
      <c r="L859" s="1597">
        <v>2327</v>
      </c>
      <c r="M859" s="1598"/>
      <c r="N859" s="1597">
        <v>2327</v>
      </c>
      <c r="O859" s="1599">
        <v>339.3</v>
      </c>
      <c r="P859" s="1597">
        <v>1919.83</v>
      </c>
      <c r="Q859" s="1599">
        <v>67.87</v>
      </c>
      <c r="R859" s="1597">
        <v>1987.7</v>
      </c>
      <c r="S859" s="1592"/>
    </row>
    <row r="860" spans="2:19" s="1593" customFormat="1" ht="11.25" customHeight="1" outlineLevel="1">
      <c r="B860" s="1594">
        <v>10919</v>
      </c>
      <c r="C860" s="1595" t="s">
        <v>5403</v>
      </c>
      <c r="D860" s="1595" t="s">
        <v>13820</v>
      </c>
      <c r="E860" s="1595"/>
      <c r="F860" s="1595"/>
      <c r="G860" s="1595" t="s">
        <v>3734</v>
      </c>
      <c r="H860" s="1596">
        <v>1</v>
      </c>
      <c r="I860" s="1595"/>
      <c r="J860" s="1595"/>
      <c r="K860" s="1597">
        <v>6215</v>
      </c>
      <c r="L860" s="1597">
        <v>6215</v>
      </c>
      <c r="M860" s="1598"/>
      <c r="N860" s="1597">
        <v>6215</v>
      </c>
      <c r="O860" s="1599">
        <v>743.62</v>
      </c>
      <c r="P860" s="1597">
        <v>5285.5</v>
      </c>
      <c r="Q860" s="1599">
        <v>185.88</v>
      </c>
      <c r="R860" s="1597">
        <v>5471.38</v>
      </c>
      <c r="S860" s="1592"/>
    </row>
    <row r="861" spans="2:19" s="1593" customFormat="1" ht="11.25" customHeight="1" outlineLevel="1">
      <c r="B861" s="1594">
        <v>10920</v>
      </c>
      <c r="C861" s="1595" t="s">
        <v>5403</v>
      </c>
      <c r="D861" s="1595" t="s">
        <v>13819</v>
      </c>
      <c r="E861" s="1595"/>
      <c r="F861" s="1595"/>
      <c r="G861" s="1595" t="s">
        <v>13818</v>
      </c>
      <c r="H861" s="1596">
        <v>1</v>
      </c>
      <c r="I861" s="1595"/>
      <c r="J861" s="1595"/>
      <c r="K861" s="1597">
        <v>2900</v>
      </c>
      <c r="L861" s="1597">
        <v>2900</v>
      </c>
      <c r="M861" s="1598"/>
      <c r="N861" s="1597">
        <v>2900</v>
      </c>
      <c r="O861" s="1599">
        <v>347.69</v>
      </c>
      <c r="P861" s="1597">
        <v>2465.4299999999998</v>
      </c>
      <c r="Q861" s="1599">
        <v>86.88</v>
      </c>
      <c r="R861" s="1597">
        <v>2552.31</v>
      </c>
      <c r="S861" s="1592"/>
    </row>
    <row r="862" spans="2:19" s="1593" customFormat="1" ht="11.25" customHeight="1" outlineLevel="1">
      <c r="B862" s="1594">
        <v>10921</v>
      </c>
      <c r="C862" s="1595" t="s">
        <v>5403</v>
      </c>
      <c r="D862" s="1595" t="s">
        <v>13817</v>
      </c>
      <c r="E862" s="1595"/>
      <c r="F862" s="1595"/>
      <c r="G862" s="1595" t="s">
        <v>13816</v>
      </c>
      <c r="H862" s="1596">
        <v>1</v>
      </c>
      <c r="I862" s="1595"/>
      <c r="J862" s="1595"/>
      <c r="K862" s="1597">
        <v>1834</v>
      </c>
      <c r="L862" s="1597">
        <v>1834</v>
      </c>
      <c r="M862" s="1598"/>
      <c r="N862" s="1597">
        <v>1834</v>
      </c>
      <c r="O862" s="1599">
        <v>266.68</v>
      </c>
      <c r="P862" s="1597">
        <v>1514.04</v>
      </c>
      <c r="Q862" s="1599">
        <v>53.28</v>
      </c>
      <c r="R862" s="1597">
        <v>1567.32</v>
      </c>
      <c r="S862" s="1592"/>
    </row>
    <row r="863" spans="2:19" s="1593" customFormat="1" ht="11.25" customHeight="1" outlineLevel="1">
      <c r="B863" s="1594">
        <v>10922</v>
      </c>
      <c r="C863" s="1595" t="s">
        <v>5403</v>
      </c>
      <c r="D863" s="1595" t="s">
        <v>13815</v>
      </c>
      <c r="E863" s="1595"/>
      <c r="F863" s="1595"/>
      <c r="G863" s="1595" t="s">
        <v>3734</v>
      </c>
      <c r="H863" s="1596">
        <v>2</v>
      </c>
      <c r="I863" s="1595"/>
      <c r="J863" s="1595"/>
      <c r="K863" s="1599">
        <v>671</v>
      </c>
      <c r="L863" s="1599">
        <v>671</v>
      </c>
      <c r="M863" s="1598"/>
      <c r="N863" s="1599">
        <v>671</v>
      </c>
      <c r="O863" s="1599">
        <v>81.25</v>
      </c>
      <c r="P863" s="1599">
        <v>569.47</v>
      </c>
      <c r="Q863" s="1599">
        <v>20.28</v>
      </c>
      <c r="R863" s="1599">
        <v>589.75</v>
      </c>
      <c r="S863" s="1592"/>
    </row>
    <row r="864" spans="2:19" s="1593" customFormat="1" ht="11.25" customHeight="1" outlineLevel="1">
      <c r="B864" s="1594">
        <v>10923</v>
      </c>
      <c r="C864" s="1595" t="s">
        <v>5403</v>
      </c>
      <c r="D864" s="1595" t="s">
        <v>13814</v>
      </c>
      <c r="E864" s="1595"/>
      <c r="F864" s="1595"/>
      <c r="G864" s="1595" t="s">
        <v>3734</v>
      </c>
      <c r="H864" s="1596">
        <v>1</v>
      </c>
      <c r="I864" s="1595"/>
      <c r="J864" s="1595"/>
      <c r="K864" s="1599">
        <v>361</v>
      </c>
      <c r="L864" s="1599">
        <v>361</v>
      </c>
      <c r="M864" s="1598"/>
      <c r="N864" s="1599">
        <v>361</v>
      </c>
      <c r="O864" s="1599">
        <v>53.65</v>
      </c>
      <c r="P864" s="1599">
        <v>296.67</v>
      </c>
      <c r="Q864" s="1599">
        <v>10.68</v>
      </c>
      <c r="R864" s="1599">
        <v>307.35000000000002</v>
      </c>
      <c r="S864" s="1592"/>
    </row>
    <row r="865" spans="2:19" s="1593" customFormat="1" ht="11.25" customHeight="1" outlineLevel="1">
      <c r="B865" s="1594">
        <v>10925</v>
      </c>
      <c r="C865" s="1595" t="s">
        <v>5403</v>
      </c>
      <c r="D865" s="1595" t="s">
        <v>13813</v>
      </c>
      <c r="E865" s="1595"/>
      <c r="F865" s="1595"/>
      <c r="G865" s="1595" t="s">
        <v>13812</v>
      </c>
      <c r="H865" s="1596">
        <v>1</v>
      </c>
      <c r="I865" s="1595"/>
      <c r="J865" s="1595"/>
      <c r="K865" s="1597">
        <v>5805</v>
      </c>
      <c r="L865" s="1597">
        <v>5805</v>
      </c>
      <c r="M865" s="1598"/>
      <c r="N865" s="1597">
        <v>5805</v>
      </c>
      <c r="O865" s="1599">
        <v>842.1</v>
      </c>
      <c r="P865" s="1597">
        <v>4794.46</v>
      </c>
      <c r="Q865" s="1599">
        <v>168.44</v>
      </c>
      <c r="R865" s="1597">
        <v>4962.8999999999996</v>
      </c>
      <c r="S865" s="1592"/>
    </row>
    <row r="866" spans="2:19" s="1593" customFormat="1" ht="11.25" customHeight="1" outlineLevel="1">
      <c r="B866" s="1594">
        <v>10926</v>
      </c>
      <c r="C866" s="1595" t="s">
        <v>5403</v>
      </c>
      <c r="D866" s="1595" t="s">
        <v>13811</v>
      </c>
      <c r="E866" s="1595"/>
      <c r="F866" s="1595"/>
      <c r="G866" s="1595" t="s">
        <v>3734</v>
      </c>
      <c r="H866" s="1596">
        <v>1</v>
      </c>
      <c r="I866" s="1595"/>
      <c r="J866" s="1595"/>
      <c r="K866" s="1597">
        <v>2130</v>
      </c>
      <c r="L866" s="1597">
        <v>2130</v>
      </c>
      <c r="M866" s="1598"/>
      <c r="N866" s="1597">
        <v>2130</v>
      </c>
      <c r="O866" s="1599">
        <v>308.7</v>
      </c>
      <c r="P866" s="1597">
        <v>1759.56</v>
      </c>
      <c r="Q866" s="1599">
        <v>61.74</v>
      </c>
      <c r="R866" s="1597">
        <v>1821.3</v>
      </c>
      <c r="S866" s="1592"/>
    </row>
    <row r="867" spans="2:19" s="1593" customFormat="1" ht="11.25" customHeight="1" outlineLevel="1">
      <c r="B867" s="1594">
        <v>10928</v>
      </c>
      <c r="C867" s="1595" t="s">
        <v>5403</v>
      </c>
      <c r="D867" s="1595" t="s">
        <v>13810</v>
      </c>
      <c r="E867" s="1595"/>
      <c r="F867" s="1595"/>
      <c r="G867" s="1595" t="s">
        <v>3664</v>
      </c>
      <c r="H867" s="1596">
        <v>1</v>
      </c>
      <c r="I867" s="1595"/>
      <c r="J867" s="1595"/>
      <c r="K867" s="1597">
        <v>51092</v>
      </c>
      <c r="L867" s="1597">
        <v>51092</v>
      </c>
      <c r="M867" s="1598"/>
      <c r="N867" s="1597">
        <v>51092</v>
      </c>
      <c r="O867" s="1597">
        <v>6116.15</v>
      </c>
      <c r="P867" s="1597">
        <v>43446.81</v>
      </c>
      <c r="Q867" s="1597">
        <v>1529.04</v>
      </c>
      <c r="R867" s="1597">
        <v>44975.85</v>
      </c>
      <c r="S867" s="1592"/>
    </row>
    <row r="868" spans="2:19" s="1593" customFormat="1" ht="11.25" customHeight="1" outlineLevel="1">
      <c r="B868" s="1594">
        <v>10932</v>
      </c>
      <c r="C868" s="1595" t="s">
        <v>5403</v>
      </c>
      <c r="D868" s="1595" t="s">
        <v>13809</v>
      </c>
      <c r="E868" s="1595"/>
      <c r="F868" s="1595"/>
      <c r="G868" s="1595"/>
      <c r="H868" s="1596">
        <v>1</v>
      </c>
      <c r="I868" s="1595"/>
      <c r="J868" s="1595"/>
      <c r="K868" s="1597">
        <v>17672</v>
      </c>
      <c r="L868" s="1597">
        <v>17672</v>
      </c>
      <c r="M868" s="1597">
        <v>-17672</v>
      </c>
      <c r="N868" s="1598"/>
      <c r="O868" s="1598"/>
      <c r="P868" s="1597">
        <v>17672</v>
      </c>
      <c r="Q868" s="1597">
        <v>-17672</v>
      </c>
      <c r="R868" s="1598"/>
      <c r="S868" s="1592"/>
    </row>
    <row r="869" spans="2:19" s="1593" customFormat="1" ht="11.25" customHeight="1" outlineLevel="1">
      <c r="B869" s="1594">
        <v>10935</v>
      </c>
      <c r="C869" s="1595" t="s">
        <v>5403</v>
      </c>
      <c r="D869" s="1595" t="s">
        <v>13808</v>
      </c>
      <c r="E869" s="1595"/>
      <c r="F869" s="1595"/>
      <c r="G869" s="1595" t="s">
        <v>13807</v>
      </c>
      <c r="H869" s="1596">
        <v>1</v>
      </c>
      <c r="I869" s="1595"/>
      <c r="J869" s="1595"/>
      <c r="K869" s="1597">
        <v>21968</v>
      </c>
      <c r="L869" s="1597">
        <v>21968</v>
      </c>
      <c r="M869" s="1598"/>
      <c r="N869" s="1597">
        <v>21968</v>
      </c>
      <c r="O869" s="1597">
        <v>2630.42</v>
      </c>
      <c r="P869" s="1597">
        <v>18679.98</v>
      </c>
      <c r="Q869" s="1599">
        <v>657.6</v>
      </c>
      <c r="R869" s="1597">
        <v>19337.580000000002</v>
      </c>
      <c r="S869" s="1592"/>
    </row>
    <row r="870" spans="2:19" s="1593" customFormat="1" ht="11.25" customHeight="1" outlineLevel="1">
      <c r="B870" s="1594">
        <v>10939</v>
      </c>
      <c r="C870" s="1595" t="s">
        <v>5403</v>
      </c>
      <c r="D870" s="1595" t="s">
        <v>13806</v>
      </c>
      <c r="E870" s="1595"/>
      <c r="F870" s="1595"/>
      <c r="G870" s="1595" t="s">
        <v>3734</v>
      </c>
      <c r="H870" s="1596">
        <v>3</v>
      </c>
      <c r="I870" s="1595"/>
      <c r="J870" s="1595"/>
      <c r="K870" s="1597">
        <v>13650</v>
      </c>
      <c r="L870" s="1597">
        <v>13650</v>
      </c>
      <c r="M870" s="1598"/>
      <c r="N870" s="1597">
        <v>13650</v>
      </c>
      <c r="O870" s="1599">
        <v>868.23</v>
      </c>
      <c r="P870" s="1597">
        <v>12347.61</v>
      </c>
      <c r="Q870" s="1599">
        <v>434.16</v>
      </c>
      <c r="R870" s="1597">
        <v>12781.77</v>
      </c>
      <c r="S870" s="1592"/>
    </row>
    <row r="871" spans="2:19" s="1593" customFormat="1" ht="21.75" customHeight="1" outlineLevel="1">
      <c r="B871" s="1594">
        <v>10940</v>
      </c>
      <c r="C871" s="1595" t="s">
        <v>5403</v>
      </c>
      <c r="D871" s="1595" t="s">
        <v>13805</v>
      </c>
      <c r="E871" s="1595"/>
      <c r="F871" s="1595"/>
      <c r="G871" s="1595" t="s">
        <v>13804</v>
      </c>
      <c r="H871" s="1596">
        <v>3</v>
      </c>
      <c r="I871" s="1595"/>
      <c r="J871" s="1595"/>
      <c r="K871" s="1597">
        <v>31120</v>
      </c>
      <c r="L871" s="1597">
        <v>31120</v>
      </c>
      <c r="M871" s="1598"/>
      <c r="N871" s="1597">
        <v>31120</v>
      </c>
      <c r="O871" s="1597">
        <v>1980.33</v>
      </c>
      <c r="P871" s="1597">
        <v>28149.55</v>
      </c>
      <c r="Q871" s="1599">
        <v>990.12</v>
      </c>
      <c r="R871" s="1597">
        <v>29139.67</v>
      </c>
      <c r="S871" s="1592"/>
    </row>
    <row r="872" spans="2:19" s="1593" customFormat="1" ht="11.25" customHeight="1" outlineLevel="1">
      <c r="B872" s="1594">
        <v>35466</v>
      </c>
      <c r="C872" s="1595" t="s">
        <v>5403</v>
      </c>
      <c r="D872" s="1595" t="s">
        <v>13803</v>
      </c>
      <c r="E872" s="1595"/>
      <c r="F872" s="1595"/>
      <c r="G872" s="1595" t="s">
        <v>13802</v>
      </c>
      <c r="H872" s="1596">
        <v>1</v>
      </c>
      <c r="I872" s="1595"/>
      <c r="J872" s="1595"/>
      <c r="K872" s="1597">
        <v>633261</v>
      </c>
      <c r="L872" s="1597">
        <v>633260.5</v>
      </c>
      <c r="M872" s="1598"/>
      <c r="N872" s="1597">
        <v>633260.5</v>
      </c>
      <c r="O872" s="1597">
        <v>91998.66</v>
      </c>
      <c r="P872" s="1597">
        <v>522862.12</v>
      </c>
      <c r="Q872" s="1597">
        <v>18399.72</v>
      </c>
      <c r="R872" s="1597">
        <v>541261.84</v>
      </c>
      <c r="S872" s="1592"/>
    </row>
    <row r="873" spans="2:19" s="1593" customFormat="1" ht="11.25" customHeight="1" outlineLevel="1">
      <c r="B873" s="1594">
        <v>37897</v>
      </c>
      <c r="C873" s="1595" t="s">
        <v>5403</v>
      </c>
      <c r="D873" s="1595" t="s">
        <v>13801</v>
      </c>
      <c r="E873" s="1595"/>
      <c r="F873" s="1595"/>
      <c r="G873" s="1595" t="s">
        <v>3734</v>
      </c>
      <c r="H873" s="1596">
        <v>3</v>
      </c>
      <c r="I873" s="1595"/>
      <c r="J873" s="1595"/>
      <c r="K873" s="1597">
        <v>120862</v>
      </c>
      <c r="L873" s="1597">
        <v>120862</v>
      </c>
      <c r="M873" s="1598"/>
      <c r="N873" s="1597">
        <v>120862</v>
      </c>
      <c r="O873" s="1597">
        <v>7693.85</v>
      </c>
      <c r="P873" s="1597">
        <v>109321.19</v>
      </c>
      <c r="Q873" s="1597">
        <v>3846.96</v>
      </c>
      <c r="R873" s="1597">
        <v>113168.15</v>
      </c>
      <c r="S873" s="1592"/>
    </row>
    <row r="874" spans="2:19" s="1593" customFormat="1" ht="11.25" customHeight="1" outlineLevel="1">
      <c r="B874" s="1594">
        <v>27901</v>
      </c>
      <c r="C874" s="1595" t="s">
        <v>4101</v>
      </c>
      <c r="D874" s="1595" t="s">
        <v>13800</v>
      </c>
      <c r="E874" s="1595"/>
      <c r="F874" s="1595"/>
      <c r="G874" s="1595"/>
      <c r="H874" s="1596">
        <v>1</v>
      </c>
      <c r="I874" s="1595"/>
      <c r="J874" s="1595"/>
      <c r="K874" s="1597">
        <v>58333</v>
      </c>
      <c r="L874" s="1597">
        <v>58333</v>
      </c>
      <c r="M874" s="1597">
        <v>-58333</v>
      </c>
      <c r="N874" s="1598"/>
      <c r="O874" s="1598"/>
      <c r="P874" s="1597">
        <v>46102.8</v>
      </c>
      <c r="Q874" s="1597">
        <v>-46102.8</v>
      </c>
      <c r="R874" s="1598"/>
      <c r="S874" s="1592"/>
    </row>
    <row r="875" spans="2:19" s="1593" customFormat="1" ht="11.25" customHeight="1" outlineLevel="1">
      <c r="B875" s="1594">
        <v>27880</v>
      </c>
      <c r="C875" s="1595" t="s">
        <v>4097</v>
      </c>
      <c r="D875" s="1595" t="s">
        <v>13799</v>
      </c>
      <c r="E875" s="1595"/>
      <c r="F875" s="1595"/>
      <c r="G875" s="1595"/>
      <c r="H875" s="1596">
        <v>1</v>
      </c>
      <c r="I875" s="1595"/>
      <c r="J875" s="1595"/>
      <c r="K875" s="1597">
        <v>58333</v>
      </c>
      <c r="L875" s="1597">
        <v>58333</v>
      </c>
      <c r="M875" s="1597">
        <v>-58333</v>
      </c>
      <c r="N875" s="1598"/>
      <c r="O875" s="1598"/>
      <c r="P875" s="1597">
        <v>45922.8</v>
      </c>
      <c r="Q875" s="1597">
        <v>-45922.8</v>
      </c>
      <c r="R875" s="1598"/>
      <c r="S875" s="1592"/>
    </row>
    <row r="876" spans="2:19" s="1593" customFormat="1" ht="11.25" customHeight="1" outlineLevel="1">
      <c r="B876" s="1594">
        <v>37734</v>
      </c>
      <c r="C876" s="1595" t="s">
        <v>11954</v>
      </c>
      <c r="D876" s="1595" t="s">
        <v>13798</v>
      </c>
      <c r="E876" s="1595"/>
      <c r="F876" s="1595"/>
      <c r="G876" s="1595"/>
      <c r="H876" s="1596">
        <v>1</v>
      </c>
      <c r="I876" s="1595"/>
      <c r="J876" s="1595"/>
      <c r="K876" s="1597">
        <v>160400</v>
      </c>
      <c r="L876" s="1597">
        <v>160400</v>
      </c>
      <c r="M876" s="1598"/>
      <c r="N876" s="1597">
        <v>160400</v>
      </c>
      <c r="O876" s="1597">
        <v>1218.0899999999999</v>
      </c>
      <c r="P876" s="1597">
        <v>152851.85999999999</v>
      </c>
      <c r="Q876" s="1597">
        <v>6330.05</v>
      </c>
      <c r="R876" s="1597">
        <v>159181.91</v>
      </c>
      <c r="S876" s="1592"/>
    </row>
    <row r="877" spans="2:19" s="1593" customFormat="1" ht="11.25" customHeight="1" outlineLevel="1">
      <c r="B877" s="1594">
        <v>37735</v>
      </c>
      <c r="C877" s="1595" t="s">
        <v>11954</v>
      </c>
      <c r="D877" s="1595" t="s">
        <v>13797</v>
      </c>
      <c r="E877" s="1595"/>
      <c r="F877" s="1595"/>
      <c r="G877" s="1595"/>
      <c r="H877" s="1596">
        <v>1</v>
      </c>
      <c r="I877" s="1595"/>
      <c r="J877" s="1595"/>
      <c r="K877" s="1597">
        <v>160400</v>
      </c>
      <c r="L877" s="1597">
        <v>160400</v>
      </c>
      <c r="M877" s="1598"/>
      <c r="N877" s="1597">
        <v>160400</v>
      </c>
      <c r="O877" s="1597">
        <v>1218.0899999999999</v>
      </c>
      <c r="P877" s="1597">
        <v>152851.85999999999</v>
      </c>
      <c r="Q877" s="1597">
        <v>6330.05</v>
      </c>
      <c r="R877" s="1597">
        <v>159181.91</v>
      </c>
      <c r="S877" s="1592"/>
    </row>
    <row r="878" spans="2:19" s="1593" customFormat="1" ht="11.25" customHeight="1" outlineLevel="1">
      <c r="B878" s="1594">
        <v>29144</v>
      </c>
      <c r="C878" s="1595" t="s">
        <v>3760</v>
      </c>
      <c r="D878" s="1595" t="s">
        <v>13796</v>
      </c>
      <c r="E878" s="1595"/>
      <c r="F878" s="1595"/>
      <c r="G878" s="1595" t="s">
        <v>13795</v>
      </c>
      <c r="H878" s="1596">
        <v>1</v>
      </c>
      <c r="I878" s="1595"/>
      <c r="J878" s="1595"/>
      <c r="K878" s="1597">
        <v>492838</v>
      </c>
      <c r="L878" s="1597">
        <v>542989</v>
      </c>
      <c r="M878" s="1598"/>
      <c r="N878" s="1597">
        <v>542989</v>
      </c>
      <c r="O878" s="1597">
        <v>137797.85</v>
      </c>
      <c r="P878" s="1597">
        <v>385505.75</v>
      </c>
      <c r="Q878" s="1597">
        <v>19685.400000000001</v>
      </c>
      <c r="R878" s="1597">
        <v>405191.15</v>
      </c>
      <c r="S878" s="1592"/>
    </row>
    <row r="879" spans="2:19" s="1593" customFormat="1" ht="11.25" customHeight="1" outlineLevel="1">
      <c r="B879" s="1594">
        <v>29156</v>
      </c>
      <c r="C879" s="1595" t="s">
        <v>3760</v>
      </c>
      <c r="D879" s="1595" t="s">
        <v>13794</v>
      </c>
      <c r="E879" s="1595"/>
      <c r="F879" s="1595"/>
      <c r="G879" s="1595"/>
      <c r="H879" s="1596">
        <v>1</v>
      </c>
      <c r="I879" s="1595"/>
      <c r="J879" s="1595"/>
      <c r="K879" s="1597">
        <v>10600</v>
      </c>
      <c r="L879" s="1597">
        <v>10600</v>
      </c>
      <c r="M879" s="1597">
        <v>-10600</v>
      </c>
      <c r="N879" s="1598"/>
      <c r="O879" s="1598"/>
      <c r="P879" s="1597">
        <v>10600</v>
      </c>
      <c r="Q879" s="1597">
        <v>-10600</v>
      </c>
      <c r="R879" s="1598"/>
      <c r="S879" s="1592"/>
    </row>
    <row r="880" spans="2:19" s="1593" customFormat="1" ht="11.25" customHeight="1" outlineLevel="1">
      <c r="B880" s="1594">
        <v>29042</v>
      </c>
      <c r="C880" s="1595" t="s">
        <v>13793</v>
      </c>
      <c r="D880" s="1595" t="s">
        <v>13792</v>
      </c>
      <c r="E880" s="1595"/>
      <c r="F880" s="1595"/>
      <c r="G880" s="1595"/>
      <c r="H880" s="1596">
        <v>1</v>
      </c>
      <c r="I880" s="1595"/>
      <c r="J880" s="1595"/>
      <c r="K880" s="1597">
        <v>23333</v>
      </c>
      <c r="L880" s="1597">
        <v>23333</v>
      </c>
      <c r="M880" s="1597">
        <v>-23333</v>
      </c>
      <c r="N880" s="1598"/>
      <c r="O880" s="1598"/>
      <c r="P880" s="1597">
        <v>23333</v>
      </c>
      <c r="Q880" s="1597">
        <v>-23333</v>
      </c>
      <c r="R880" s="1598"/>
      <c r="S880" s="1592"/>
    </row>
    <row r="881" spans="2:19" s="1593" customFormat="1" ht="11.25" customHeight="1" outlineLevel="1">
      <c r="B881" s="1594">
        <v>29412</v>
      </c>
      <c r="C881" s="1595" t="s">
        <v>10790</v>
      </c>
      <c r="D881" s="1595" t="s">
        <v>13791</v>
      </c>
      <c r="E881" s="1595"/>
      <c r="F881" s="1595"/>
      <c r="G881" s="1595"/>
      <c r="H881" s="1596">
        <v>1</v>
      </c>
      <c r="I881" s="1595"/>
      <c r="J881" s="1595"/>
      <c r="K881" s="1597">
        <v>65000</v>
      </c>
      <c r="L881" s="1597">
        <v>65000</v>
      </c>
      <c r="M881" s="1597">
        <v>-65000</v>
      </c>
      <c r="N881" s="1598"/>
      <c r="O881" s="1598"/>
      <c r="P881" s="1597">
        <v>65000</v>
      </c>
      <c r="Q881" s="1597">
        <v>-65000</v>
      </c>
      <c r="R881" s="1598"/>
      <c r="S881" s="1592"/>
    </row>
    <row r="882" spans="2:19" s="1593" customFormat="1" ht="11.25" customHeight="1" outlineLevel="1">
      <c r="B882" s="1594">
        <v>29788</v>
      </c>
      <c r="C882" s="1595" t="s">
        <v>8222</v>
      </c>
      <c r="D882" s="1595" t="s">
        <v>13790</v>
      </c>
      <c r="E882" s="1595"/>
      <c r="F882" s="1595"/>
      <c r="G882" s="1595"/>
      <c r="H882" s="1596">
        <v>1</v>
      </c>
      <c r="I882" s="1595"/>
      <c r="J882" s="1595"/>
      <c r="K882" s="1597">
        <v>10600</v>
      </c>
      <c r="L882" s="1597">
        <v>10600</v>
      </c>
      <c r="M882" s="1597">
        <v>-10600</v>
      </c>
      <c r="N882" s="1598"/>
      <c r="O882" s="1598"/>
      <c r="P882" s="1597">
        <v>10600</v>
      </c>
      <c r="Q882" s="1597">
        <v>-10600</v>
      </c>
      <c r="R882" s="1598"/>
      <c r="S882" s="1592"/>
    </row>
    <row r="883" spans="2:19" s="1593" customFormat="1" ht="11.25" customHeight="1" outlineLevel="1">
      <c r="B883" s="1594">
        <v>28925</v>
      </c>
      <c r="C883" s="1595" t="s">
        <v>10774</v>
      </c>
      <c r="D883" s="1595" t="s">
        <v>13789</v>
      </c>
      <c r="E883" s="1595"/>
      <c r="F883" s="1595"/>
      <c r="G883" s="1595" t="s">
        <v>3596</v>
      </c>
      <c r="H883" s="1596">
        <v>1</v>
      </c>
      <c r="I883" s="1595"/>
      <c r="J883" s="1595"/>
      <c r="K883" s="1597">
        <v>340000</v>
      </c>
      <c r="L883" s="1597">
        <v>340000</v>
      </c>
      <c r="M883" s="1598"/>
      <c r="N883" s="1597">
        <v>340000</v>
      </c>
      <c r="O883" s="1597">
        <v>16859.34</v>
      </c>
      <c r="P883" s="1597">
        <v>306281.28000000003</v>
      </c>
      <c r="Q883" s="1597">
        <v>16859.38</v>
      </c>
      <c r="R883" s="1597">
        <v>323140.65999999997</v>
      </c>
      <c r="S883" s="1592"/>
    </row>
    <row r="884" spans="2:19" s="1593" customFormat="1" ht="11.25" customHeight="1" outlineLevel="1">
      <c r="B884" s="1594">
        <v>31022</v>
      </c>
      <c r="C884" s="1595" t="s">
        <v>3737</v>
      </c>
      <c r="D884" s="1595" t="s">
        <v>13788</v>
      </c>
      <c r="E884" s="1595"/>
      <c r="F884" s="1595"/>
      <c r="G884" s="1595" t="s">
        <v>13787</v>
      </c>
      <c r="H884" s="1596">
        <v>1</v>
      </c>
      <c r="I884" s="1595"/>
      <c r="J884" s="1595"/>
      <c r="K884" s="1597">
        <v>407365</v>
      </c>
      <c r="L884" s="1597">
        <v>407365</v>
      </c>
      <c r="M884" s="1598"/>
      <c r="N884" s="1597">
        <v>407365</v>
      </c>
      <c r="O884" s="1597">
        <v>109323.91</v>
      </c>
      <c r="P884" s="1597">
        <v>282423.33</v>
      </c>
      <c r="Q884" s="1597">
        <v>15617.76</v>
      </c>
      <c r="R884" s="1597">
        <v>298041.09000000003</v>
      </c>
      <c r="S884" s="1592"/>
    </row>
    <row r="885" spans="2:19" s="1593" customFormat="1" ht="11.25" customHeight="1" outlineLevel="1">
      <c r="B885" s="1594">
        <v>31410</v>
      </c>
      <c r="C885" s="1595" t="s">
        <v>8141</v>
      </c>
      <c r="D885" s="1595" t="s">
        <v>13786</v>
      </c>
      <c r="E885" s="1595"/>
      <c r="F885" s="1595"/>
      <c r="G885" s="1595"/>
      <c r="H885" s="1596">
        <v>1</v>
      </c>
      <c r="I885" s="1595"/>
      <c r="J885" s="1595"/>
      <c r="K885" s="1597">
        <v>12800</v>
      </c>
      <c r="L885" s="1597">
        <v>12800</v>
      </c>
      <c r="M885" s="1597">
        <v>-12800</v>
      </c>
      <c r="N885" s="1598"/>
      <c r="O885" s="1598"/>
      <c r="P885" s="1597">
        <v>12800</v>
      </c>
      <c r="Q885" s="1597">
        <v>-12800</v>
      </c>
      <c r="R885" s="1598"/>
      <c r="S885" s="1592"/>
    </row>
    <row r="886" spans="2:19" s="1593" customFormat="1" ht="11.25" customHeight="1" outlineLevel="1">
      <c r="B886" s="1594">
        <v>31509</v>
      </c>
      <c r="C886" s="1595" t="s">
        <v>10762</v>
      </c>
      <c r="D886" s="1595" t="s">
        <v>13785</v>
      </c>
      <c r="E886" s="1595"/>
      <c r="F886" s="1595"/>
      <c r="G886" s="1595" t="s">
        <v>13784</v>
      </c>
      <c r="H886" s="1596">
        <v>1</v>
      </c>
      <c r="I886" s="1595"/>
      <c r="J886" s="1595"/>
      <c r="K886" s="1597">
        <v>499713.33</v>
      </c>
      <c r="L886" s="1597">
        <v>499713.33</v>
      </c>
      <c r="M886" s="1598"/>
      <c r="N886" s="1597">
        <v>499713.33</v>
      </c>
      <c r="O886" s="1597">
        <v>136284.65</v>
      </c>
      <c r="P886" s="1597">
        <v>343959.4</v>
      </c>
      <c r="Q886" s="1597">
        <v>19469.28</v>
      </c>
      <c r="R886" s="1597">
        <v>363428.68</v>
      </c>
      <c r="S886" s="1592"/>
    </row>
    <row r="887" spans="2:19" s="1593" customFormat="1" ht="11.25" customHeight="1" outlineLevel="1">
      <c r="B887" s="1594">
        <v>31360</v>
      </c>
      <c r="C887" s="1595" t="s">
        <v>13783</v>
      </c>
      <c r="D887" s="1595" t="s">
        <v>13782</v>
      </c>
      <c r="E887" s="1595"/>
      <c r="F887" s="1595"/>
      <c r="G887" s="1595"/>
      <c r="H887" s="1596">
        <v>1</v>
      </c>
      <c r="I887" s="1595"/>
      <c r="J887" s="1595"/>
      <c r="K887" s="1597">
        <v>23898</v>
      </c>
      <c r="L887" s="1597">
        <v>23898.31</v>
      </c>
      <c r="M887" s="1597">
        <v>-23898.31</v>
      </c>
      <c r="N887" s="1598"/>
      <c r="O887" s="1598"/>
      <c r="P887" s="1597">
        <v>23704.400000000001</v>
      </c>
      <c r="Q887" s="1597">
        <v>-23704.400000000001</v>
      </c>
      <c r="R887" s="1598"/>
      <c r="S887" s="1592"/>
    </row>
    <row r="888" spans="2:19" s="1593" customFormat="1" ht="21.75" customHeight="1" outlineLevel="1">
      <c r="B888" s="1594">
        <v>31679</v>
      </c>
      <c r="C888" s="1595" t="s">
        <v>8097</v>
      </c>
      <c r="D888" s="1595" t="s">
        <v>13781</v>
      </c>
      <c r="E888" s="1595"/>
      <c r="F888" s="1595"/>
      <c r="G888" s="1595" t="s">
        <v>3664</v>
      </c>
      <c r="H888" s="1596">
        <v>3</v>
      </c>
      <c r="I888" s="1595"/>
      <c r="J888" s="1595"/>
      <c r="K888" s="1597">
        <v>57174</v>
      </c>
      <c r="L888" s="1597">
        <v>57174</v>
      </c>
      <c r="M888" s="1598"/>
      <c r="N888" s="1597">
        <v>57174</v>
      </c>
      <c r="O888" s="1597">
        <v>4525.6499999999996</v>
      </c>
      <c r="P888" s="1597">
        <v>49790.07</v>
      </c>
      <c r="Q888" s="1597">
        <v>2858.28</v>
      </c>
      <c r="R888" s="1597">
        <v>52648.35</v>
      </c>
      <c r="S888" s="1592"/>
    </row>
    <row r="889" spans="2:19" s="1593" customFormat="1" ht="11.25" customHeight="1" outlineLevel="1">
      <c r="B889" s="1594">
        <v>33193</v>
      </c>
      <c r="C889" s="1595" t="s">
        <v>8055</v>
      </c>
      <c r="D889" s="1595" t="s">
        <v>13780</v>
      </c>
      <c r="E889" s="1595"/>
      <c r="F889" s="1595"/>
      <c r="G889" s="1595" t="s">
        <v>3664</v>
      </c>
      <c r="H889" s="1596">
        <v>1</v>
      </c>
      <c r="I889" s="1595"/>
      <c r="J889" s="1595"/>
      <c r="K889" s="1597">
        <v>1875469</v>
      </c>
      <c r="L889" s="1597">
        <v>1875469</v>
      </c>
      <c r="M889" s="1598"/>
      <c r="N889" s="1597">
        <v>1875469</v>
      </c>
      <c r="O889" s="1597">
        <v>268991.27</v>
      </c>
      <c r="P889" s="1597">
        <v>1516813.97</v>
      </c>
      <c r="Q889" s="1597">
        <v>89663.76</v>
      </c>
      <c r="R889" s="1597">
        <v>1606477.73</v>
      </c>
      <c r="S889" s="1592"/>
    </row>
    <row r="890" spans="2:19" s="1593" customFormat="1" ht="11.25" customHeight="1" outlineLevel="1">
      <c r="B890" s="1594">
        <v>33194</v>
      </c>
      <c r="C890" s="1595" t="s">
        <v>8055</v>
      </c>
      <c r="D890" s="1595" t="s">
        <v>13779</v>
      </c>
      <c r="E890" s="1595"/>
      <c r="F890" s="1595"/>
      <c r="G890" s="1595" t="s">
        <v>3664</v>
      </c>
      <c r="H890" s="1596">
        <v>1</v>
      </c>
      <c r="I890" s="1595"/>
      <c r="J890" s="1595"/>
      <c r="K890" s="1597">
        <v>322019</v>
      </c>
      <c r="L890" s="1597">
        <v>322019</v>
      </c>
      <c r="M890" s="1598"/>
      <c r="N890" s="1597">
        <v>322019</v>
      </c>
      <c r="O890" s="1597">
        <v>46186.66</v>
      </c>
      <c r="P890" s="1597">
        <v>260436.82</v>
      </c>
      <c r="Q890" s="1597">
        <v>15395.52</v>
      </c>
      <c r="R890" s="1597">
        <v>275832.34000000003</v>
      </c>
      <c r="S890" s="1592"/>
    </row>
    <row r="891" spans="2:19" s="1593" customFormat="1" ht="11.25" customHeight="1" outlineLevel="1">
      <c r="B891" s="1594">
        <v>33196</v>
      </c>
      <c r="C891" s="1595" t="s">
        <v>8055</v>
      </c>
      <c r="D891" s="1595" t="s">
        <v>13778</v>
      </c>
      <c r="E891" s="1595"/>
      <c r="F891" s="1595"/>
      <c r="G891" s="1595"/>
      <c r="H891" s="1596">
        <v>1</v>
      </c>
      <c r="I891" s="1595"/>
      <c r="J891" s="1595"/>
      <c r="K891" s="1597">
        <v>40810</v>
      </c>
      <c r="L891" s="1597">
        <v>105868</v>
      </c>
      <c r="M891" s="1598"/>
      <c r="N891" s="1597">
        <v>105868</v>
      </c>
      <c r="O891" s="1597">
        <v>11027.44</v>
      </c>
      <c r="P891" s="1597">
        <v>89547.36</v>
      </c>
      <c r="Q891" s="1597">
        <v>5293.2</v>
      </c>
      <c r="R891" s="1597">
        <v>94840.56</v>
      </c>
      <c r="S891" s="1592"/>
    </row>
    <row r="892" spans="2:19" s="1593" customFormat="1" ht="11.25" customHeight="1" outlineLevel="1">
      <c r="B892" s="1594">
        <v>37385</v>
      </c>
      <c r="C892" s="1595" t="s">
        <v>8055</v>
      </c>
      <c r="D892" s="1595" t="s">
        <v>13777</v>
      </c>
      <c r="E892" s="1595"/>
      <c r="F892" s="1595"/>
      <c r="G892" s="1595"/>
      <c r="H892" s="1596">
        <v>1</v>
      </c>
      <c r="I892" s="1595"/>
      <c r="J892" s="1595"/>
      <c r="K892" s="1597">
        <v>143602</v>
      </c>
      <c r="L892" s="1597">
        <v>143602</v>
      </c>
      <c r="M892" s="1598"/>
      <c r="N892" s="1597">
        <v>143602</v>
      </c>
      <c r="O892" s="1597">
        <v>14958.78</v>
      </c>
      <c r="P892" s="1597">
        <v>121463.02</v>
      </c>
      <c r="Q892" s="1597">
        <v>7180.2</v>
      </c>
      <c r="R892" s="1597">
        <v>128643.22</v>
      </c>
      <c r="S892" s="1592"/>
    </row>
    <row r="893" spans="2:19" s="1593" customFormat="1" ht="11.25" customHeight="1" outlineLevel="1">
      <c r="B893" s="1594">
        <v>32899</v>
      </c>
      <c r="C893" s="1595" t="s">
        <v>8045</v>
      </c>
      <c r="D893" s="1595" t="s">
        <v>13776</v>
      </c>
      <c r="E893" s="1595"/>
      <c r="F893" s="1595"/>
      <c r="G893" s="1595" t="s">
        <v>3596</v>
      </c>
      <c r="H893" s="1596">
        <v>1</v>
      </c>
      <c r="I893" s="1595"/>
      <c r="J893" s="1595"/>
      <c r="K893" s="1597">
        <v>295763</v>
      </c>
      <c r="L893" s="1597">
        <v>295763</v>
      </c>
      <c r="M893" s="1598"/>
      <c r="N893" s="1597">
        <v>295763</v>
      </c>
      <c r="O893" s="1597">
        <v>9674.51</v>
      </c>
      <c r="P893" s="1597">
        <v>269503.65000000002</v>
      </c>
      <c r="Q893" s="1597">
        <v>16584.84</v>
      </c>
      <c r="R893" s="1597">
        <v>286088.49</v>
      </c>
      <c r="S893" s="1592"/>
    </row>
    <row r="894" spans="2:19" s="1593" customFormat="1" ht="11.25" customHeight="1" outlineLevel="1">
      <c r="B894" s="1594">
        <v>38222</v>
      </c>
      <c r="C894" s="1595" t="s">
        <v>13775</v>
      </c>
      <c r="D894" s="1595" t="s">
        <v>13774</v>
      </c>
      <c r="E894" s="1595"/>
      <c r="F894" s="1595"/>
      <c r="G894" s="1595"/>
      <c r="H894" s="1596">
        <v>1</v>
      </c>
      <c r="I894" s="1595"/>
      <c r="J894" s="1595"/>
      <c r="K894" s="1597">
        <v>13824</v>
      </c>
      <c r="L894" s="1597">
        <v>13824</v>
      </c>
      <c r="M894" s="1597">
        <v>-13824</v>
      </c>
      <c r="N894" s="1598"/>
      <c r="O894" s="1598"/>
      <c r="P894" s="1597">
        <v>13824</v>
      </c>
      <c r="Q894" s="1597">
        <v>-13824</v>
      </c>
      <c r="R894" s="1598"/>
      <c r="S894" s="1592"/>
    </row>
    <row r="895" spans="2:19" s="1593" customFormat="1" ht="11.25" customHeight="1" outlineLevel="1">
      <c r="B895" s="1594">
        <v>10888</v>
      </c>
      <c r="C895" s="1595" t="s">
        <v>13773</v>
      </c>
      <c r="D895" s="1595" t="s">
        <v>13772</v>
      </c>
      <c r="E895" s="1595"/>
      <c r="F895" s="1595"/>
      <c r="G895" s="1595" t="s">
        <v>13771</v>
      </c>
      <c r="H895" s="1596">
        <v>1</v>
      </c>
      <c r="I895" s="1595"/>
      <c r="J895" s="1595"/>
      <c r="K895" s="1597">
        <v>1741445</v>
      </c>
      <c r="L895" s="1597">
        <v>1741445</v>
      </c>
      <c r="M895" s="1598"/>
      <c r="N895" s="1597">
        <v>1741445</v>
      </c>
      <c r="O895" s="1597">
        <v>761882.3</v>
      </c>
      <c r="P895" s="1597">
        <v>892490.46</v>
      </c>
      <c r="Q895" s="1597">
        <v>87072.24</v>
      </c>
      <c r="R895" s="1597">
        <v>979562.7</v>
      </c>
      <c r="S895" s="1592"/>
    </row>
    <row r="896" spans="2:19" s="1593" customFormat="1" ht="11.25" customHeight="1" outlineLevel="1">
      <c r="B896" s="1600" t="s">
        <v>13770</v>
      </c>
      <c r="C896" s="1595" t="s">
        <v>7927</v>
      </c>
      <c r="D896" s="1595" t="s">
        <v>13769</v>
      </c>
      <c r="E896" s="1595"/>
      <c r="F896" s="1595"/>
      <c r="G896" s="1595"/>
      <c r="H896" s="1596">
        <v>1</v>
      </c>
      <c r="I896" s="1595"/>
      <c r="J896" s="1595"/>
      <c r="K896" s="1597">
        <v>186440.68</v>
      </c>
      <c r="L896" s="1597">
        <v>186440.68</v>
      </c>
      <c r="M896" s="1598"/>
      <c r="N896" s="1597">
        <v>186440.68</v>
      </c>
      <c r="O896" s="1597">
        <v>16330.62</v>
      </c>
      <c r="P896" s="1597">
        <v>153779.44</v>
      </c>
      <c r="Q896" s="1597">
        <v>16330.62</v>
      </c>
      <c r="R896" s="1597">
        <v>170110.06</v>
      </c>
      <c r="S896" s="1592"/>
    </row>
    <row r="897" spans="2:19" s="1593" customFormat="1" ht="11.25" customHeight="1" outlineLevel="1">
      <c r="B897" s="1600" t="s">
        <v>13768</v>
      </c>
      <c r="C897" s="1595" t="s">
        <v>7927</v>
      </c>
      <c r="D897" s="1595" t="s">
        <v>13767</v>
      </c>
      <c r="E897" s="1595"/>
      <c r="F897" s="1595"/>
      <c r="G897" s="1595"/>
      <c r="H897" s="1596">
        <v>1</v>
      </c>
      <c r="I897" s="1595"/>
      <c r="J897" s="1595"/>
      <c r="K897" s="1597">
        <v>44920.7</v>
      </c>
      <c r="L897" s="1597">
        <v>44920.7</v>
      </c>
      <c r="M897" s="1597">
        <v>-44920.7</v>
      </c>
      <c r="N897" s="1598"/>
      <c r="O897" s="1598"/>
      <c r="P897" s="1597">
        <v>44920.7</v>
      </c>
      <c r="Q897" s="1597">
        <v>-44920.7</v>
      </c>
      <c r="R897" s="1598"/>
      <c r="S897" s="1592"/>
    </row>
    <row r="898" spans="2:19" s="1593" customFormat="1" ht="11.25" customHeight="1" outlineLevel="1">
      <c r="B898" s="1600" t="s">
        <v>13766</v>
      </c>
      <c r="C898" s="1595" t="s">
        <v>7927</v>
      </c>
      <c r="D898" s="1595" t="s">
        <v>13765</v>
      </c>
      <c r="E898" s="1595"/>
      <c r="F898" s="1595"/>
      <c r="G898" s="1595"/>
      <c r="H898" s="1596">
        <v>1</v>
      </c>
      <c r="I898" s="1595"/>
      <c r="J898" s="1595"/>
      <c r="K898" s="1597">
        <v>85904.33</v>
      </c>
      <c r="L898" s="1597">
        <v>85904.33</v>
      </c>
      <c r="M898" s="1597">
        <v>-85904.33</v>
      </c>
      <c r="N898" s="1598"/>
      <c r="O898" s="1598"/>
      <c r="P898" s="1597">
        <v>85904.33</v>
      </c>
      <c r="Q898" s="1597">
        <v>-85904.33</v>
      </c>
      <c r="R898" s="1598"/>
      <c r="S898" s="1592"/>
    </row>
    <row r="899" spans="2:19" s="1593" customFormat="1" ht="11.25" customHeight="1" outlineLevel="1">
      <c r="B899" s="1600" t="s">
        <v>13764</v>
      </c>
      <c r="C899" s="1595" t="s">
        <v>7927</v>
      </c>
      <c r="D899" s="1595" t="s">
        <v>13763</v>
      </c>
      <c r="E899" s="1595"/>
      <c r="F899" s="1595"/>
      <c r="G899" s="1595" t="s">
        <v>3596</v>
      </c>
      <c r="H899" s="1596">
        <v>1</v>
      </c>
      <c r="I899" s="1595"/>
      <c r="J899" s="1595"/>
      <c r="K899" s="1597">
        <v>208989.06</v>
      </c>
      <c r="L899" s="1597">
        <v>208989.06</v>
      </c>
      <c r="M899" s="1598"/>
      <c r="N899" s="1597">
        <v>208989.06</v>
      </c>
      <c r="O899" s="1597">
        <v>19687.57</v>
      </c>
      <c r="P899" s="1597">
        <v>171128.33</v>
      </c>
      <c r="Q899" s="1597">
        <v>18173.16</v>
      </c>
      <c r="R899" s="1597">
        <v>189301.49</v>
      </c>
      <c r="S899" s="1592"/>
    </row>
    <row r="900" spans="2:19" s="1593" customFormat="1" ht="21.75" customHeight="1" outlineLevel="1">
      <c r="B900" s="1600" t="s">
        <v>13762</v>
      </c>
      <c r="C900" s="1595" t="s">
        <v>13761</v>
      </c>
      <c r="D900" s="1595" t="s">
        <v>13760</v>
      </c>
      <c r="E900" s="1595"/>
      <c r="F900" s="1595"/>
      <c r="G900" s="1595"/>
      <c r="H900" s="1596">
        <v>2</v>
      </c>
      <c r="I900" s="1595"/>
      <c r="J900" s="1595"/>
      <c r="K900" s="1597">
        <v>44128.07</v>
      </c>
      <c r="L900" s="1597">
        <v>44128.07</v>
      </c>
      <c r="M900" s="1597">
        <v>-44128.07</v>
      </c>
      <c r="N900" s="1598"/>
      <c r="O900" s="1598"/>
      <c r="P900" s="1597">
        <v>44128.07</v>
      </c>
      <c r="Q900" s="1597">
        <v>-44128.07</v>
      </c>
      <c r="R900" s="1598"/>
      <c r="S900" s="1592"/>
    </row>
    <row r="901" spans="2:19" s="1593" customFormat="1" ht="21.75" customHeight="1" outlineLevel="1">
      <c r="B901" s="1600" t="s">
        <v>13759</v>
      </c>
      <c r="C901" s="1595" t="s">
        <v>11843</v>
      </c>
      <c r="D901" s="1595" t="s">
        <v>13758</v>
      </c>
      <c r="E901" s="1595"/>
      <c r="F901" s="1595"/>
      <c r="G901" s="1595"/>
      <c r="H901" s="1596">
        <v>1</v>
      </c>
      <c r="I901" s="1595"/>
      <c r="J901" s="1595"/>
      <c r="K901" s="1597">
        <v>99661.02</v>
      </c>
      <c r="L901" s="1597">
        <v>99661.02</v>
      </c>
      <c r="M901" s="1597">
        <v>-99661.02</v>
      </c>
      <c r="N901" s="1598"/>
      <c r="O901" s="1598"/>
      <c r="P901" s="1597">
        <v>99661.02</v>
      </c>
      <c r="Q901" s="1597">
        <v>-99661.02</v>
      </c>
      <c r="R901" s="1598"/>
      <c r="S901" s="1592"/>
    </row>
    <row r="902" spans="2:19" s="1593" customFormat="1" ht="11.25" customHeight="1" outlineLevel="1">
      <c r="B902" s="1600" t="s">
        <v>13757</v>
      </c>
      <c r="C902" s="1595" t="s">
        <v>13756</v>
      </c>
      <c r="D902" s="1595" t="s">
        <v>13755</v>
      </c>
      <c r="E902" s="1595"/>
      <c r="F902" s="1595"/>
      <c r="G902" s="1595"/>
      <c r="H902" s="1595"/>
      <c r="I902" s="1595"/>
      <c r="J902" s="1595"/>
      <c r="K902" s="1597">
        <v>61750</v>
      </c>
      <c r="L902" s="1597">
        <v>61750</v>
      </c>
      <c r="M902" s="1597">
        <v>-61750</v>
      </c>
      <c r="N902" s="1598"/>
      <c r="O902" s="1598"/>
      <c r="P902" s="1597">
        <v>61750</v>
      </c>
      <c r="Q902" s="1597">
        <v>-61750</v>
      </c>
      <c r="R902" s="1598"/>
      <c r="S902" s="1592"/>
    </row>
    <row r="903" spans="2:19" s="1593" customFormat="1" ht="21.75" customHeight="1" outlineLevel="1">
      <c r="B903" s="1600" t="s">
        <v>13754</v>
      </c>
      <c r="C903" s="1595" t="s">
        <v>13753</v>
      </c>
      <c r="D903" s="1595" t="s">
        <v>13752</v>
      </c>
      <c r="E903" s="1595"/>
      <c r="F903" s="1595"/>
      <c r="G903" s="1595"/>
      <c r="H903" s="1596">
        <v>1</v>
      </c>
      <c r="I903" s="1595"/>
      <c r="J903" s="1595"/>
      <c r="K903" s="1597">
        <v>678816.05</v>
      </c>
      <c r="L903" s="1597">
        <v>678816.05</v>
      </c>
      <c r="M903" s="1598"/>
      <c r="N903" s="1597">
        <v>678816.05</v>
      </c>
      <c r="O903" s="1597">
        <v>99338.9</v>
      </c>
      <c r="P903" s="1597">
        <v>513251.19</v>
      </c>
      <c r="Q903" s="1597">
        <v>66225.960000000006</v>
      </c>
      <c r="R903" s="1597">
        <v>579477.15</v>
      </c>
      <c r="S903" s="1592"/>
    </row>
    <row r="904" spans="2:19" s="1593" customFormat="1" ht="11.25" customHeight="1" outlineLevel="1">
      <c r="B904" s="1600" t="s">
        <v>13751</v>
      </c>
      <c r="C904" s="1595" t="s">
        <v>10714</v>
      </c>
      <c r="D904" s="1595" t="s">
        <v>13750</v>
      </c>
      <c r="E904" s="1595"/>
      <c r="F904" s="1595"/>
      <c r="G904" s="1595"/>
      <c r="H904" s="1596">
        <v>1</v>
      </c>
      <c r="I904" s="1595"/>
      <c r="J904" s="1595"/>
      <c r="K904" s="1597">
        <v>223534.74</v>
      </c>
      <c r="L904" s="1597">
        <v>223534.74</v>
      </c>
      <c r="M904" s="1598"/>
      <c r="N904" s="1597">
        <v>223534.74</v>
      </c>
      <c r="O904" s="1597">
        <v>4202.6899999999996</v>
      </c>
      <c r="P904" s="1597">
        <v>197491.84</v>
      </c>
      <c r="Q904" s="1597">
        <v>21840.21</v>
      </c>
      <c r="R904" s="1597">
        <v>219332.05</v>
      </c>
      <c r="S904" s="1592"/>
    </row>
    <row r="905" spans="2:19" s="1593" customFormat="1" ht="11.25" customHeight="1" outlineLevel="1">
      <c r="B905" s="1600" t="s">
        <v>13749</v>
      </c>
      <c r="C905" s="1595" t="s">
        <v>10691</v>
      </c>
      <c r="D905" s="1595" t="s">
        <v>13748</v>
      </c>
      <c r="E905" s="1595"/>
      <c r="F905" s="1595"/>
      <c r="G905" s="1595"/>
      <c r="H905" s="1596">
        <v>1</v>
      </c>
      <c r="I905" s="1595"/>
      <c r="J905" s="1595"/>
      <c r="K905" s="1597">
        <v>163163.56</v>
      </c>
      <c r="L905" s="1597">
        <v>163163.56</v>
      </c>
      <c r="M905" s="1598"/>
      <c r="N905" s="1597">
        <v>163163.56</v>
      </c>
      <c r="O905" s="1597">
        <v>3291.33</v>
      </c>
      <c r="P905" s="1597">
        <v>142768.07999999999</v>
      </c>
      <c r="Q905" s="1597">
        <v>17104.150000000001</v>
      </c>
      <c r="R905" s="1597">
        <v>159872.23000000001</v>
      </c>
      <c r="S905" s="1592"/>
    </row>
    <row r="906" spans="2:19" s="1593" customFormat="1" ht="11.25" customHeight="1" outlineLevel="1">
      <c r="B906" s="1600" t="s">
        <v>13747</v>
      </c>
      <c r="C906" s="1595" t="s">
        <v>10691</v>
      </c>
      <c r="D906" s="1595" t="s">
        <v>13746</v>
      </c>
      <c r="E906" s="1595"/>
      <c r="F906" s="1595"/>
      <c r="G906" s="1595"/>
      <c r="H906" s="1596">
        <v>1</v>
      </c>
      <c r="I906" s="1595"/>
      <c r="J906" s="1595"/>
      <c r="K906" s="1597">
        <v>163163.56</v>
      </c>
      <c r="L906" s="1597">
        <v>163163.56</v>
      </c>
      <c r="M906" s="1598"/>
      <c r="N906" s="1597">
        <v>163163.56</v>
      </c>
      <c r="O906" s="1597">
        <v>3291.33</v>
      </c>
      <c r="P906" s="1597">
        <v>142768.07999999999</v>
      </c>
      <c r="Q906" s="1597">
        <v>17104.150000000001</v>
      </c>
      <c r="R906" s="1597">
        <v>159872.23000000001</v>
      </c>
      <c r="S906" s="1592"/>
    </row>
    <row r="907" spans="2:19" s="1593" customFormat="1" ht="11.25" customHeight="1" outlineLevel="1">
      <c r="B907" s="1600" t="s">
        <v>13745</v>
      </c>
      <c r="C907" s="1595" t="s">
        <v>10691</v>
      </c>
      <c r="D907" s="1595" t="s">
        <v>13744</v>
      </c>
      <c r="E907" s="1595"/>
      <c r="F907" s="1595"/>
      <c r="G907" s="1595"/>
      <c r="H907" s="1596">
        <v>1</v>
      </c>
      <c r="I907" s="1595"/>
      <c r="J907" s="1595"/>
      <c r="K907" s="1597">
        <v>163163.56</v>
      </c>
      <c r="L907" s="1597">
        <v>163163.56</v>
      </c>
      <c r="M907" s="1598"/>
      <c r="N907" s="1597">
        <v>163163.56</v>
      </c>
      <c r="O907" s="1597">
        <v>3291.33</v>
      </c>
      <c r="P907" s="1597">
        <v>142768.07999999999</v>
      </c>
      <c r="Q907" s="1597">
        <v>17104.150000000001</v>
      </c>
      <c r="R907" s="1597">
        <v>159872.23000000001</v>
      </c>
      <c r="S907" s="1592"/>
    </row>
    <row r="908" spans="2:19" s="1593" customFormat="1" ht="11.25" customHeight="1" outlineLevel="1">
      <c r="B908" s="1600" t="s">
        <v>13743</v>
      </c>
      <c r="C908" s="1595" t="s">
        <v>10691</v>
      </c>
      <c r="D908" s="1595" t="s">
        <v>13742</v>
      </c>
      <c r="E908" s="1595"/>
      <c r="F908" s="1595"/>
      <c r="G908" s="1595"/>
      <c r="H908" s="1596">
        <v>1</v>
      </c>
      <c r="I908" s="1595"/>
      <c r="J908" s="1595"/>
      <c r="K908" s="1597">
        <v>163163.56</v>
      </c>
      <c r="L908" s="1597">
        <v>163163.56</v>
      </c>
      <c r="M908" s="1598"/>
      <c r="N908" s="1597">
        <v>163163.56</v>
      </c>
      <c r="O908" s="1597">
        <v>3291.33</v>
      </c>
      <c r="P908" s="1597">
        <v>142768.07999999999</v>
      </c>
      <c r="Q908" s="1597">
        <v>17104.150000000001</v>
      </c>
      <c r="R908" s="1597">
        <v>159872.23000000001</v>
      </c>
      <c r="S908" s="1592"/>
    </row>
    <row r="909" spans="2:19" s="1593" customFormat="1" ht="11.25" customHeight="1" outlineLevel="1">
      <c r="B909" s="1600" t="s">
        <v>13741</v>
      </c>
      <c r="C909" s="1595" t="s">
        <v>10691</v>
      </c>
      <c r="D909" s="1595" t="s">
        <v>13740</v>
      </c>
      <c r="E909" s="1595"/>
      <c r="F909" s="1595"/>
      <c r="G909" s="1595"/>
      <c r="H909" s="1596">
        <v>1</v>
      </c>
      <c r="I909" s="1595"/>
      <c r="J909" s="1595"/>
      <c r="K909" s="1597">
        <v>163163.56</v>
      </c>
      <c r="L909" s="1597">
        <v>163163.56</v>
      </c>
      <c r="M909" s="1598"/>
      <c r="N909" s="1597">
        <v>163163.56</v>
      </c>
      <c r="O909" s="1597">
        <v>3291.33</v>
      </c>
      <c r="P909" s="1597">
        <v>142768.07999999999</v>
      </c>
      <c r="Q909" s="1597">
        <v>17104.150000000001</v>
      </c>
      <c r="R909" s="1597">
        <v>159872.23000000001</v>
      </c>
      <c r="S909" s="1592"/>
    </row>
    <row r="910" spans="2:19" s="1593" customFormat="1" ht="11.25" customHeight="1" outlineLevel="1">
      <c r="B910" s="1600" t="s">
        <v>13739</v>
      </c>
      <c r="C910" s="1595" t="s">
        <v>10691</v>
      </c>
      <c r="D910" s="1595" t="s">
        <v>13738</v>
      </c>
      <c r="E910" s="1595"/>
      <c r="F910" s="1595"/>
      <c r="G910" s="1595"/>
      <c r="H910" s="1596">
        <v>1</v>
      </c>
      <c r="I910" s="1595"/>
      <c r="J910" s="1595"/>
      <c r="K910" s="1597">
        <v>163163.56</v>
      </c>
      <c r="L910" s="1597">
        <v>163163.56</v>
      </c>
      <c r="M910" s="1598"/>
      <c r="N910" s="1597">
        <v>163163.56</v>
      </c>
      <c r="O910" s="1597">
        <v>3291.33</v>
      </c>
      <c r="P910" s="1597">
        <v>142768.07999999999</v>
      </c>
      <c r="Q910" s="1597">
        <v>17104.150000000001</v>
      </c>
      <c r="R910" s="1597">
        <v>159872.23000000001</v>
      </c>
      <c r="S910" s="1592"/>
    </row>
    <row r="911" spans="2:19" s="1593" customFormat="1" ht="21.75" customHeight="1" outlineLevel="1">
      <c r="B911" s="1600" t="s">
        <v>13737</v>
      </c>
      <c r="C911" s="1595" t="s">
        <v>13736</v>
      </c>
      <c r="D911" s="1595" t="s">
        <v>13735</v>
      </c>
      <c r="E911" s="1595"/>
      <c r="F911" s="1595"/>
      <c r="G911" s="1595" t="s">
        <v>13734</v>
      </c>
      <c r="H911" s="1596">
        <v>1</v>
      </c>
      <c r="I911" s="1595"/>
      <c r="J911" s="1595"/>
      <c r="K911" s="1597">
        <v>1665005.71</v>
      </c>
      <c r="L911" s="1597">
        <v>1672109.41</v>
      </c>
      <c r="M911" s="1598"/>
      <c r="N911" s="1597">
        <v>1672109.41</v>
      </c>
      <c r="O911" s="1597">
        <v>1227581.8</v>
      </c>
      <c r="P911" s="1597">
        <v>388939.05</v>
      </c>
      <c r="Q911" s="1597">
        <v>55588.56</v>
      </c>
      <c r="R911" s="1597">
        <v>444527.61</v>
      </c>
      <c r="S911" s="1592"/>
    </row>
    <row r="912" spans="2:19" s="1593" customFormat="1" ht="11.25" customHeight="1" outlineLevel="1">
      <c r="B912" s="1600" t="s">
        <v>13733</v>
      </c>
      <c r="C912" s="1595" t="s">
        <v>13732</v>
      </c>
      <c r="D912" s="1595" t="s">
        <v>13731</v>
      </c>
      <c r="E912" s="1595"/>
      <c r="F912" s="1595"/>
      <c r="G912" s="1595"/>
      <c r="H912" s="1596">
        <v>1</v>
      </c>
      <c r="I912" s="1595"/>
      <c r="J912" s="1595"/>
      <c r="K912" s="1597">
        <v>119300</v>
      </c>
      <c r="L912" s="1597">
        <v>119300</v>
      </c>
      <c r="M912" s="1598"/>
      <c r="N912" s="1597">
        <v>119300</v>
      </c>
      <c r="O912" s="1597">
        <v>2595.79</v>
      </c>
      <c r="P912" s="1597">
        <v>103214.65</v>
      </c>
      <c r="Q912" s="1597">
        <v>13489.56</v>
      </c>
      <c r="R912" s="1597">
        <v>116704.21</v>
      </c>
      <c r="S912" s="1592"/>
    </row>
    <row r="913" spans="2:19" s="1593" customFormat="1" ht="11.25" customHeight="1" outlineLevel="1">
      <c r="B913" s="1600" t="s">
        <v>13730</v>
      </c>
      <c r="C913" s="1595" t="s">
        <v>13729</v>
      </c>
      <c r="D913" s="1595" t="s">
        <v>13728</v>
      </c>
      <c r="E913" s="1595"/>
      <c r="F913" s="1595"/>
      <c r="G913" s="1595"/>
      <c r="H913" s="1596">
        <v>1</v>
      </c>
      <c r="I913" s="1595"/>
      <c r="J913" s="1595"/>
      <c r="K913" s="1597">
        <v>55657.14</v>
      </c>
      <c r="L913" s="1597">
        <v>55657.14</v>
      </c>
      <c r="M913" s="1597">
        <v>-55657.14</v>
      </c>
      <c r="N913" s="1598"/>
      <c r="O913" s="1598"/>
      <c r="P913" s="1597">
        <v>55657.14</v>
      </c>
      <c r="Q913" s="1597">
        <v>-55657.14</v>
      </c>
      <c r="R913" s="1598"/>
      <c r="S913" s="1592"/>
    </row>
    <row r="914" spans="2:19" s="1593" customFormat="1" ht="11.25" customHeight="1" outlineLevel="1">
      <c r="B914" s="1600" t="s">
        <v>13727</v>
      </c>
      <c r="C914" s="1595" t="s">
        <v>3443</v>
      </c>
      <c r="D914" s="1595" t="s">
        <v>13726</v>
      </c>
      <c r="E914" s="1595"/>
      <c r="F914" s="1595"/>
      <c r="G914" s="1595"/>
      <c r="H914" s="1596">
        <v>1</v>
      </c>
      <c r="I914" s="1595"/>
      <c r="J914" s="1595"/>
      <c r="K914" s="1597">
        <v>149205.16</v>
      </c>
      <c r="L914" s="1597">
        <v>149205.16</v>
      </c>
      <c r="M914" s="1598"/>
      <c r="N914" s="1597">
        <v>149205.16</v>
      </c>
      <c r="O914" s="1597">
        <v>18847.02</v>
      </c>
      <c r="P914" s="1597">
        <v>111511.18</v>
      </c>
      <c r="Q914" s="1597">
        <v>18846.96</v>
      </c>
      <c r="R914" s="1597">
        <v>130358.14</v>
      </c>
      <c r="S914" s="1592"/>
    </row>
    <row r="915" spans="2:19" s="1593" customFormat="1" ht="11.25" customHeight="1" outlineLevel="1">
      <c r="B915" s="1600" t="s">
        <v>13725</v>
      </c>
      <c r="C915" s="1595" t="s">
        <v>3443</v>
      </c>
      <c r="D915" s="1595" t="s">
        <v>13724</v>
      </c>
      <c r="E915" s="1595"/>
      <c r="F915" s="1595"/>
      <c r="G915" s="1595"/>
      <c r="H915" s="1596">
        <v>1</v>
      </c>
      <c r="I915" s="1595"/>
      <c r="J915" s="1595"/>
      <c r="K915" s="1597">
        <v>149205.15</v>
      </c>
      <c r="L915" s="1597">
        <v>149205.15</v>
      </c>
      <c r="M915" s="1598"/>
      <c r="N915" s="1597">
        <v>149205.15</v>
      </c>
      <c r="O915" s="1597">
        <v>18847.009999999998</v>
      </c>
      <c r="P915" s="1597">
        <v>111511.18</v>
      </c>
      <c r="Q915" s="1597">
        <v>18846.96</v>
      </c>
      <c r="R915" s="1597">
        <v>130358.14</v>
      </c>
      <c r="S915" s="1592"/>
    </row>
    <row r="916" spans="2:19" s="1593" customFormat="1" ht="11.25" customHeight="1" outlineLevel="1">
      <c r="B916" s="1594">
        <v>42010</v>
      </c>
      <c r="C916" s="1595" t="s">
        <v>13722</v>
      </c>
      <c r="D916" s="1595" t="s">
        <v>13723</v>
      </c>
      <c r="E916" s="1595" t="s">
        <v>10383</v>
      </c>
      <c r="F916" s="1595"/>
      <c r="G916" s="1595"/>
      <c r="H916" s="1596">
        <v>1</v>
      </c>
      <c r="I916" s="1595"/>
      <c r="J916" s="1595"/>
      <c r="K916" s="1597">
        <v>3704.5</v>
      </c>
      <c r="L916" s="1597">
        <v>3704.5</v>
      </c>
      <c r="M916" s="1598"/>
      <c r="N916" s="1597">
        <v>3704.5</v>
      </c>
      <c r="O916" s="1597">
        <v>2005.57</v>
      </c>
      <c r="P916" s="1597">
        <v>1453.37</v>
      </c>
      <c r="Q916" s="1599">
        <v>245.56</v>
      </c>
      <c r="R916" s="1597">
        <v>1698.93</v>
      </c>
      <c r="S916" s="1592"/>
    </row>
    <row r="917" spans="2:19" s="1593" customFormat="1" ht="11.25" customHeight="1" outlineLevel="1">
      <c r="B917" s="1594">
        <v>42011</v>
      </c>
      <c r="C917" s="1595" t="s">
        <v>13722</v>
      </c>
      <c r="D917" s="1595" t="s">
        <v>13721</v>
      </c>
      <c r="E917" s="1595" t="s">
        <v>10383</v>
      </c>
      <c r="F917" s="1595"/>
      <c r="G917" s="1595" t="s">
        <v>13720</v>
      </c>
      <c r="H917" s="1596">
        <v>1</v>
      </c>
      <c r="I917" s="1595"/>
      <c r="J917" s="1595"/>
      <c r="K917" s="1597">
        <v>3704.5</v>
      </c>
      <c r="L917" s="1597">
        <v>3704.5</v>
      </c>
      <c r="M917" s="1598"/>
      <c r="N917" s="1597">
        <v>3704.5</v>
      </c>
      <c r="O917" s="1597">
        <v>2005.57</v>
      </c>
      <c r="P917" s="1597">
        <v>1453.37</v>
      </c>
      <c r="Q917" s="1599">
        <v>245.56</v>
      </c>
      <c r="R917" s="1597">
        <v>1698.93</v>
      </c>
      <c r="S917" s="1592"/>
    </row>
    <row r="918" spans="2:19" s="1593" customFormat="1" ht="21.75" customHeight="1" outlineLevel="1">
      <c r="B918" s="1600" t="s">
        <v>13719</v>
      </c>
      <c r="C918" s="1595" t="s">
        <v>13718</v>
      </c>
      <c r="D918" s="1595" t="s">
        <v>13717</v>
      </c>
      <c r="E918" s="1595"/>
      <c r="F918" s="1595"/>
      <c r="G918" s="1595"/>
      <c r="H918" s="1596">
        <v>3</v>
      </c>
      <c r="I918" s="1595"/>
      <c r="J918" s="1595"/>
      <c r="K918" s="1597">
        <v>67794</v>
      </c>
      <c r="L918" s="1597">
        <v>67794</v>
      </c>
      <c r="M918" s="1597">
        <v>-67794</v>
      </c>
      <c r="N918" s="1598"/>
      <c r="O918" s="1598"/>
      <c r="P918" s="1597">
        <v>67794</v>
      </c>
      <c r="Q918" s="1597">
        <v>-67794</v>
      </c>
      <c r="R918" s="1598"/>
      <c r="S918" s="1592"/>
    </row>
    <row r="919" spans="2:19" s="1593" customFormat="1" ht="11.25" customHeight="1" outlineLevel="1">
      <c r="B919" s="1600" t="s">
        <v>13716</v>
      </c>
      <c r="C919" s="1595" t="s">
        <v>3437</v>
      </c>
      <c r="D919" s="1595" t="s">
        <v>13715</v>
      </c>
      <c r="E919" s="1595" t="s">
        <v>2219</v>
      </c>
      <c r="F919" s="1595" t="s">
        <v>7623</v>
      </c>
      <c r="G919" s="1595" t="s">
        <v>13714</v>
      </c>
      <c r="H919" s="1596">
        <v>1</v>
      </c>
      <c r="I919" s="1601">
        <v>90</v>
      </c>
      <c r="J919" s="1595" t="s">
        <v>13713</v>
      </c>
      <c r="K919" s="1597">
        <v>50368.42</v>
      </c>
      <c r="L919" s="1597">
        <v>50368.42</v>
      </c>
      <c r="M919" s="1598"/>
      <c r="N919" s="1597">
        <v>50368.42</v>
      </c>
      <c r="O919" s="1597">
        <v>18315.66</v>
      </c>
      <c r="P919" s="1597">
        <v>27057.55</v>
      </c>
      <c r="Q919" s="1597">
        <v>4995.21</v>
      </c>
      <c r="R919" s="1597">
        <v>32052.76</v>
      </c>
      <c r="S919" s="1592"/>
    </row>
    <row r="920" spans="2:19" s="1593" customFormat="1" ht="11.25" customHeight="1" outlineLevel="1">
      <c r="B920" s="1600" t="s">
        <v>13712</v>
      </c>
      <c r="C920" s="1595" t="s">
        <v>13711</v>
      </c>
      <c r="D920" s="1595" t="s">
        <v>13710</v>
      </c>
      <c r="E920" s="1595"/>
      <c r="F920" s="1595"/>
      <c r="G920" s="1595"/>
      <c r="H920" s="1596">
        <v>1</v>
      </c>
      <c r="I920" s="1595"/>
      <c r="J920" s="1595"/>
      <c r="K920" s="1597">
        <v>47796.61</v>
      </c>
      <c r="L920" s="1597">
        <v>47796.61</v>
      </c>
      <c r="M920" s="1597">
        <v>-47796.61</v>
      </c>
      <c r="N920" s="1598"/>
      <c r="O920" s="1598"/>
      <c r="P920" s="1597">
        <v>36550.15</v>
      </c>
      <c r="Q920" s="1597">
        <v>-36550.15</v>
      </c>
      <c r="R920" s="1598"/>
      <c r="S920" s="1592"/>
    </row>
    <row r="921" spans="2:19" s="1593" customFormat="1" ht="11.25" customHeight="1" outlineLevel="1">
      <c r="B921" s="1600" t="s">
        <v>13709</v>
      </c>
      <c r="C921" s="1595" t="s">
        <v>7581</v>
      </c>
      <c r="D921" s="1595" t="s">
        <v>13708</v>
      </c>
      <c r="E921" s="1595"/>
      <c r="F921" s="1595"/>
      <c r="G921" s="1595"/>
      <c r="H921" s="1596">
        <v>1</v>
      </c>
      <c r="I921" s="1595"/>
      <c r="J921" s="1595"/>
      <c r="K921" s="1597">
        <v>40184.58</v>
      </c>
      <c r="L921" s="1597">
        <v>40184.58</v>
      </c>
      <c r="M921" s="1597">
        <v>-40184.58</v>
      </c>
      <c r="N921" s="1598"/>
      <c r="O921" s="1598"/>
      <c r="P921" s="1597">
        <v>40184.58</v>
      </c>
      <c r="Q921" s="1597">
        <v>-40184.58</v>
      </c>
      <c r="R921" s="1598"/>
      <c r="S921" s="1592"/>
    </row>
    <row r="922" spans="2:19" s="1593" customFormat="1" ht="11.25" customHeight="1" outlineLevel="1">
      <c r="B922" s="1600" t="s">
        <v>13707</v>
      </c>
      <c r="C922" s="1595" t="s">
        <v>10661</v>
      </c>
      <c r="D922" s="1595" t="s">
        <v>13706</v>
      </c>
      <c r="E922" s="1595" t="s">
        <v>2288</v>
      </c>
      <c r="F922" s="1595" t="s">
        <v>10659</v>
      </c>
      <c r="G922" s="1595"/>
      <c r="H922" s="1596">
        <v>1</v>
      </c>
      <c r="I922" s="1595"/>
      <c r="J922" s="1595"/>
      <c r="K922" s="1597">
        <v>211864.41</v>
      </c>
      <c r="L922" s="1597">
        <v>211864.41</v>
      </c>
      <c r="M922" s="1598"/>
      <c r="N922" s="1597">
        <v>211864.41</v>
      </c>
      <c r="O922" s="1597">
        <v>31387.32</v>
      </c>
      <c r="P922" s="1597">
        <v>149089.76999999999</v>
      </c>
      <c r="Q922" s="1597">
        <v>31387.32</v>
      </c>
      <c r="R922" s="1597">
        <v>180477.09</v>
      </c>
      <c r="S922" s="1592"/>
    </row>
    <row r="923" spans="2:19" s="1593" customFormat="1" ht="11.25" customHeight="1" outlineLevel="1">
      <c r="B923" s="1600" t="s">
        <v>13705</v>
      </c>
      <c r="C923" s="1595" t="s">
        <v>13704</v>
      </c>
      <c r="D923" s="1595" t="s">
        <v>13703</v>
      </c>
      <c r="E923" s="1595"/>
      <c r="F923" s="1595" t="s">
        <v>13702</v>
      </c>
      <c r="G923" s="1595"/>
      <c r="H923" s="1596">
        <v>1</v>
      </c>
      <c r="I923" s="1595"/>
      <c r="J923" s="1595"/>
      <c r="K923" s="1597">
        <v>65693.5</v>
      </c>
      <c r="L923" s="1597">
        <v>65693.5</v>
      </c>
      <c r="M923" s="1597">
        <v>-65693.5</v>
      </c>
      <c r="N923" s="1598"/>
      <c r="O923" s="1598"/>
      <c r="P923" s="1597">
        <v>65693.5</v>
      </c>
      <c r="Q923" s="1597">
        <v>-65693.5</v>
      </c>
      <c r="R923" s="1598"/>
      <c r="S923" s="1592"/>
    </row>
    <row r="924" spans="2:19" s="1593" customFormat="1" ht="11.25" customHeight="1" outlineLevel="1">
      <c r="B924" s="1600" t="s">
        <v>13701</v>
      </c>
      <c r="C924" s="1595" t="s">
        <v>3360</v>
      </c>
      <c r="D924" s="1595" t="s">
        <v>13700</v>
      </c>
      <c r="E924" s="1595" t="s">
        <v>2288</v>
      </c>
      <c r="F924" s="1595" t="s">
        <v>11744</v>
      </c>
      <c r="G924" s="1595"/>
      <c r="H924" s="1595"/>
      <c r="I924" s="1595"/>
      <c r="J924" s="1595"/>
      <c r="K924" s="1597">
        <v>178107.35</v>
      </c>
      <c r="L924" s="1597">
        <v>178107.35</v>
      </c>
      <c r="M924" s="1598"/>
      <c r="N924" s="1597">
        <v>178107.35</v>
      </c>
      <c r="O924" s="1597">
        <v>64956.83</v>
      </c>
      <c r="P924" s="1597">
        <v>88005.96</v>
      </c>
      <c r="Q924" s="1597">
        <v>25144.560000000001</v>
      </c>
      <c r="R924" s="1597">
        <v>113150.52</v>
      </c>
      <c r="S924" s="1592"/>
    </row>
    <row r="925" spans="2:19" s="1593" customFormat="1" ht="11.25" customHeight="1" outlineLevel="1">
      <c r="B925" s="1600" t="s">
        <v>13699</v>
      </c>
      <c r="C925" s="1595" t="s">
        <v>13698</v>
      </c>
      <c r="D925" s="1595" t="s">
        <v>13697</v>
      </c>
      <c r="E925" s="1595" t="s">
        <v>2288</v>
      </c>
      <c r="F925" s="1595" t="s">
        <v>13696</v>
      </c>
      <c r="G925" s="1595"/>
      <c r="H925" s="1596">
        <v>1</v>
      </c>
      <c r="I925" s="1595"/>
      <c r="J925" s="1595"/>
      <c r="K925" s="1597">
        <v>161950</v>
      </c>
      <c r="L925" s="1597">
        <v>161950</v>
      </c>
      <c r="M925" s="1598"/>
      <c r="N925" s="1597">
        <v>161950</v>
      </c>
      <c r="O925" s="1597">
        <v>6817.77</v>
      </c>
      <c r="P925" s="1597">
        <v>119702.1</v>
      </c>
      <c r="Q925" s="1597">
        <v>35430.129999999997</v>
      </c>
      <c r="R925" s="1597">
        <v>155132.23000000001</v>
      </c>
      <c r="S925" s="1592"/>
    </row>
    <row r="926" spans="2:19" s="1593" customFormat="1" ht="11.25" customHeight="1" outlineLevel="1">
      <c r="B926" s="1600" t="s">
        <v>13695</v>
      </c>
      <c r="C926" s="1595" t="s">
        <v>10635</v>
      </c>
      <c r="D926" s="1595" t="s">
        <v>13694</v>
      </c>
      <c r="E926" s="1595" t="s">
        <v>2288</v>
      </c>
      <c r="F926" s="1595" t="s">
        <v>11731</v>
      </c>
      <c r="G926" s="1595"/>
      <c r="H926" s="1595"/>
      <c r="I926" s="1595"/>
      <c r="J926" s="1595"/>
      <c r="K926" s="1597">
        <v>131356.25</v>
      </c>
      <c r="L926" s="1597">
        <v>131356.25</v>
      </c>
      <c r="M926" s="1598"/>
      <c r="N926" s="1597">
        <v>131356.25</v>
      </c>
      <c r="O926" s="1597">
        <v>5652.71</v>
      </c>
      <c r="P926" s="1597">
        <v>96327.99</v>
      </c>
      <c r="Q926" s="1597">
        <v>29375.55</v>
      </c>
      <c r="R926" s="1597">
        <v>125703.54</v>
      </c>
      <c r="S926" s="1592"/>
    </row>
    <row r="927" spans="2:19" s="1593" customFormat="1" ht="11.25" customHeight="1" outlineLevel="1">
      <c r="B927" s="1600" t="s">
        <v>13693</v>
      </c>
      <c r="C927" s="1595" t="s">
        <v>10624</v>
      </c>
      <c r="D927" s="1595" t="s">
        <v>13692</v>
      </c>
      <c r="E927" s="1595" t="s">
        <v>2288</v>
      </c>
      <c r="F927" s="1595" t="s">
        <v>10626</v>
      </c>
      <c r="G927" s="1595"/>
      <c r="H927" s="1596">
        <v>1</v>
      </c>
      <c r="I927" s="1595"/>
      <c r="J927" s="1595"/>
      <c r="K927" s="1597">
        <v>74520</v>
      </c>
      <c r="L927" s="1597">
        <v>74520</v>
      </c>
      <c r="M927" s="1597">
        <v>-74520</v>
      </c>
      <c r="N927" s="1598"/>
      <c r="O927" s="1598"/>
      <c r="P927" s="1597">
        <v>74520</v>
      </c>
      <c r="Q927" s="1597">
        <v>-74520</v>
      </c>
      <c r="R927" s="1598"/>
      <c r="S927" s="1592"/>
    </row>
    <row r="928" spans="2:19" s="1593" customFormat="1" ht="11.25" customHeight="1" outlineLevel="1">
      <c r="B928" s="1600" t="s">
        <v>13691</v>
      </c>
      <c r="C928" s="1595" t="s">
        <v>13573</v>
      </c>
      <c r="D928" s="1595" t="s">
        <v>13690</v>
      </c>
      <c r="E928" s="1595" t="s">
        <v>2288</v>
      </c>
      <c r="F928" s="1595" t="s">
        <v>13689</v>
      </c>
      <c r="G928" s="1595"/>
      <c r="H928" s="1596">
        <v>3</v>
      </c>
      <c r="I928" s="1595"/>
      <c r="J928" s="1595"/>
      <c r="K928" s="1597">
        <v>45574.17</v>
      </c>
      <c r="L928" s="1597">
        <v>45574.17</v>
      </c>
      <c r="M928" s="1597">
        <v>-45574.17</v>
      </c>
      <c r="N928" s="1598"/>
      <c r="O928" s="1598"/>
      <c r="P928" s="1597">
        <v>6042.96</v>
      </c>
      <c r="Q928" s="1597">
        <v>-6042.96</v>
      </c>
      <c r="R928" s="1598"/>
      <c r="S928" s="1592"/>
    </row>
    <row r="929" spans="2:19" s="1593" customFormat="1" ht="21.75" customHeight="1" outlineLevel="1">
      <c r="B929" s="1600" t="s">
        <v>13688</v>
      </c>
      <c r="C929" s="1595" t="s">
        <v>11721</v>
      </c>
      <c r="D929" s="1595" t="s">
        <v>13687</v>
      </c>
      <c r="E929" s="1595" t="s">
        <v>2288</v>
      </c>
      <c r="F929" s="1595" t="s">
        <v>13686</v>
      </c>
      <c r="G929" s="1595"/>
      <c r="H929" s="1596">
        <v>3</v>
      </c>
      <c r="I929" s="1595"/>
      <c r="J929" s="1595"/>
      <c r="K929" s="1597">
        <v>271431.12</v>
      </c>
      <c r="L929" s="1597">
        <v>271431.12</v>
      </c>
      <c r="M929" s="1598"/>
      <c r="N929" s="1597">
        <v>271431.12</v>
      </c>
      <c r="O929" s="1597">
        <v>159665.26999999999</v>
      </c>
      <c r="P929" s="1597">
        <v>73446.13</v>
      </c>
      <c r="Q929" s="1597">
        <v>38319.72</v>
      </c>
      <c r="R929" s="1597">
        <v>111765.85</v>
      </c>
      <c r="S929" s="1592"/>
    </row>
    <row r="930" spans="2:19" s="1593" customFormat="1" ht="11.25" customHeight="1" outlineLevel="1">
      <c r="B930" s="1600" t="s">
        <v>13685</v>
      </c>
      <c r="C930" s="1595" t="s">
        <v>3196</v>
      </c>
      <c r="D930" s="1595" t="s">
        <v>13684</v>
      </c>
      <c r="E930" s="1595" t="s">
        <v>2288</v>
      </c>
      <c r="F930" s="1595" t="s">
        <v>11702</v>
      </c>
      <c r="G930" s="1595"/>
      <c r="H930" s="1595"/>
      <c r="I930" s="1595"/>
      <c r="J930" s="1595"/>
      <c r="K930" s="1597">
        <v>559290</v>
      </c>
      <c r="L930" s="1597">
        <v>559290</v>
      </c>
      <c r="M930" s="1598"/>
      <c r="N930" s="1597">
        <v>559290</v>
      </c>
      <c r="O930" s="1597">
        <v>40113.699999999997</v>
      </c>
      <c r="P930" s="1597">
        <v>310716.59999999998</v>
      </c>
      <c r="Q930" s="1597">
        <v>208459.7</v>
      </c>
      <c r="R930" s="1597">
        <v>519176.3</v>
      </c>
      <c r="S930" s="1592"/>
    </row>
    <row r="931" spans="2:19" s="1593" customFormat="1" ht="11.25" customHeight="1" outlineLevel="1">
      <c r="B931" s="1600" t="s">
        <v>13683</v>
      </c>
      <c r="C931" s="1595" t="s">
        <v>3196</v>
      </c>
      <c r="D931" s="1595" t="s">
        <v>13682</v>
      </c>
      <c r="E931" s="1595" t="s">
        <v>2288</v>
      </c>
      <c r="F931" s="1595" t="s">
        <v>11702</v>
      </c>
      <c r="G931" s="1595"/>
      <c r="H931" s="1596">
        <v>1</v>
      </c>
      <c r="I931" s="1595"/>
      <c r="J931" s="1595"/>
      <c r="K931" s="1597">
        <v>710257</v>
      </c>
      <c r="L931" s="1597">
        <v>710257</v>
      </c>
      <c r="M931" s="1598"/>
      <c r="N931" s="1597">
        <v>710257</v>
      </c>
      <c r="O931" s="1597">
        <v>50941.43</v>
      </c>
      <c r="P931" s="1597">
        <v>394587.15</v>
      </c>
      <c r="Q931" s="1597">
        <v>264728.42</v>
      </c>
      <c r="R931" s="1597">
        <v>659315.56999999995</v>
      </c>
      <c r="S931" s="1592"/>
    </row>
    <row r="932" spans="2:19" s="1593" customFormat="1" ht="11.25" customHeight="1" outlineLevel="1">
      <c r="B932" s="1600" t="s">
        <v>13681</v>
      </c>
      <c r="C932" s="1595" t="s">
        <v>10592</v>
      </c>
      <c r="D932" s="1595" t="s">
        <v>13680</v>
      </c>
      <c r="E932" s="1595" t="s">
        <v>2288</v>
      </c>
      <c r="F932" s="1595" t="s">
        <v>10590</v>
      </c>
      <c r="G932" s="1595"/>
      <c r="H932" s="1595"/>
      <c r="I932" s="1595"/>
      <c r="J932" s="1595"/>
      <c r="K932" s="1597">
        <v>53000</v>
      </c>
      <c r="L932" s="1597">
        <v>53000</v>
      </c>
      <c r="M932" s="1597">
        <v>-53000</v>
      </c>
      <c r="N932" s="1598"/>
      <c r="O932" s="1598"/>
      <c r="P932" s="1597">
        <v>20054.02</v>
      </c>
      <c r="Q932" s="1597">
        <v>-20054.02</v>
      </c>
      <c r="R932" s="1598"/>
      <c r="S932" s="1592"/>
    </row>
    <row r="933" spans="2:19" s="1593" customFormat="1" ht="11.25" customHeight="1" outlineLevel="1">
      <c r="B933" s="1600" t="s">
        <v>13679</v>
      </c>
      <c r="C933" s="1595" t="s">
        <v>10592</v>
      </c>
      <c r="D933" s="1595" t="s">
        <v>13678</v>
      </c>
      <c r="E933" s="1595" t="s">
        <v>2288</v>
      </c>
      <c r="F933" s="1595" t="s">
        <v>10590</v>
      </c>
      <c r="G933" s="1595"/>
      <c r="H933" s="1595"/>
      <c r="I933" s="1595"/>
      <c r="J933" s="1595"/>
      <c r="K933" s="1597">
        <v>53000</v>
      </c>
      <c r="L933" s="1597">
        <v>53000</v>
      </c>
      <c r="M933" s="1597">
        <v>-53000</v>
      </c>
      <c r="N933" s="1598"/>
      <c r="O933" s="1598"/>
      <c r="P933" s="1597">
        <v>20054.02</v>
      </c>
      <c r="Q933" s="1597">
        <v>-20054.02</v>
      </c>
      <c r="R933" s="1598"/>
      <c r="S933" s="1592"/>
    </row>
    <row r="934" spans="2:19" s="1593" customFormat="1" ht="11.25" customHeight="1" outlineLevel="1">
      <c r="B934" s="1600" t="s">
        <v>13677</v>
      </c>
      <c r="C934" s="1595" t="s">
        <v>3141</v>
      </c>
      <c r="D934" s="1595" t="s">
        <v>13676</v>
      </c>
      <c r="E934" s="1595" t="s">
        <v>2208</v>
      </c>
      <c r="F934" s="1595"/>
      <c r="G934" s="1595"/>
      <c r="H934" s="1596">
        <v>3</v>
      </c>
      <c r="I934" s="1595"/>
      <c r="J934" s="1595"/>
      <c r="K934" s="1597">
        <v>472368.84</v>
      </c>
      <c r="L934" s="1597">
        <v>472368.84</v>
      </c>
      <c r="M934" s="1598"/>
      <c r="N934" s="1597">
        <v>472368.84</v>
      </c>
      <c r="O934" s="1597">
        <v>428002.75</v>
      </c>
      <c r="P934" s="1597">
        <v>13048.85</v>
      </c>
      <c r="Q934" s="1597">
        <v>31317.24</v>
      </c>
      <c r="R934" s="1597">
        <v>44366.09</v>
      </c>
      <c r="S934" s="1592"/>
    </row>
    <row r="935" spans="2:19" s="1593" customFormat="1" ht="21.75" customHeight="1" outlineLevel="1">
      <c r="B935" s="1600" t="s">
        <v>13675</v>
      </c>
      <c r="C935" s="1595" t="s">
        <v>13674</v>
      </c>
      <c r="D935" s="1595" t="s">
        <v>13673</v>
      </c>
      <c r="E935" s="1595" t="s">
        <v>2288</v>
      </c>
      <c r="F935" s="1595" t="s">
        <v>13672</v>
      </c>
      <c r="G935" s="1595"/>
      <c r="H935" s="1596">
        <v>1</v>
      </c>
      <c r="I935" s="1595"/>
      <c r="J935" s="1595"/>
      <c r="K935" s="1597">
        <v>104333.33</v>
      </c>
      <c r="L935" s="1597">
        <v>104333.33</v>
      </c>
      <c r="M935" s="1598"/>
      <c r="N935" s="1597">
        <v>104333.33</v>
      </c>
      <c r="O935" s="1597">
        <v>45906.68</v>
      </c>
      <c r="P935" s="1597">
        <v>8346.66</v>
      </c>
      <c r="Q935" s="1597">
        <v>50079.99</v>
      </c>
      <c r="R935" s="1597">
        <v>58426.65</v>
      </c>
      <c r="S935" s="1592"/>
    </row>
    <row r="936" spans="2:19" s="1593" customFormat="1" ht="21.75" customHeight="1" outlineLevel="1">
      <c r="B936" s="1600" t="s">
        <v>13671</v>
      </c>
      <c r="C936" s="1595" t="s">
        <v>2414</v>
      </c>
      <c r="D936" s="1595" t="s">
        <v>13670</v>
      </c>
      <c r="E936" s="1595"/>
      <c r="F936" s="1595"/>
      <c r="G936" s="1595"/>
      <c r="H936" s="1595"/>
      <c r="I936" s="1595"/>
      <c r="J936" s="1595"/>
      <c r="K936" s="1597">
        <v>440605.18</v>
      </c>
      <c r="L936" s="1597">
        <v>440605.18</v>
      </c>
      <c r="M936" s="1597">
        <v>-440605.18</v>
      </c>
      <c r="N936" s="1598"/>
      <c r="O936" s="1598"/>
      <c r="P936" s="1598"/>
      <c r="Q936" s="1598"/>
      <c r="R936" s="1598"/>
      <c r="S936" s="1592"/>
    </row>
    <row r="937" spans="2:19" s="1593" customFormat="1" ht="21.75" customHeight="1" outlineLevel="1">
      <c r="B937" s="1600" t="s">
        <v>13669</v>
      </c>
      <c r="C937" s="1595" t="s">
        <v>2414</v>
      </c>
      <c r="D937" s="1595" t="s">
        <v>13668</v>
      </c>
      <c r="E937" s="1595"/>
      <c r="F937" s="1595"/>
      <c r="G937" s="1595"/>
      <c r="H937" s="1595"/>
      <c r="I937" s="1595"/>
      <c r="J937" s="1595"/>
      <c r="K937" s="1597">
        <v>53819.16</v>
      </c>
      <c r="L937" s="1597">
        <v>53819.16</v>
      </c>
      <c r="M937" s="1598"/>
      <c r="N937" s="1597">
        <v>53819.16</v>
      </c>
      <c r="O937" s="1597">
        <v>39467.4</v>
      </c>
      <c r="P937" s="1598"/>
      <c r="Q937" s="1597">
        <v>14351.76</v>
      </c>
      <c r="R937" s="1597">
        <v>14351.76</v>
      </c>
      <c r="S937" s="1592"/>
    </row>
    <row r="938" spans="2:19" s="1593" customFormat="1" ht="21.75" customHeight="1" outlineLevel="1">
      <c r="B938" s="1600" t="s">
        <v>13667</v>
      </c>
      <c r="C938" s="1595" t="s">
        <v>2414</v>
      </c>
      <c r="D938" s="1595" t="s">
        <v>13666</v>
      </c>
      <c r="E938" s="1595"/>
      <c r="F938" s="1595"/>
      <c r="G938" s="1595"/>
      <c r="H938" s="1595"/>
      <c r="I938" s="1595"/>
      <c r="J938" s="1595"/>
      <c r="K938" s="1597">
        <v>76437.919999999998</v>
      </c>
      <c r="L938" s="1597">
        <v>76437.919999999998</v>
      </c>
      <c r="M938" s="1598"/>
      <c r="N938" s="1597">
        <v>76437.919999999998</v>
      </c>
      <c r="O938" s="1597">
        <v>73875.8</v>
      </c>
      <c r="P938" s="1598"/>
      <c r="Q938" s="1597">
        <v>2562.12</v>
      </c>
      <c r="R938" s="1597">
        <v>2562.12</v>
      </c>
      <c r="S938" s="1592"/>
    </row>
    <row r="939" spans="2:19" s="1593" customFormat="1" ht="21.75" customHeight="1" outlineLevel="1">
      <c r="B939" s="1600" t="s">
        <v>13665</v>
      </c>
      <c r="C939" s="1595" t="s">
        <v>2414</v>
      </c>
      <c r="D939" s="1595" t="s">
        <v>13664</v>
      </c>
      <c r="E939" s="1595"/>
      <c r="F939" s="1595"/>
      <c r="G939" s="1595"/>
      <c r="H939" s="1595"/>
      <c r="I939" s="1595"/>
      <c r="J939" s="1595"/>
      <c r="K939" s="1597">
        <v>32313.99</v>
      </c>
      <c r="L939" s="1597">
        <v>32313.99</v>
      </c>
      <c r="M939" s="1598"/>
      <c r="N939" s="1597">
        <v>32313.99</v>
      </c>
      <c r="O939" s="1597">
        <v>31230.87</v>
      </c>
      <c r="P939" s="1598"/>
      <c r="Q939" s="1597">
        <v>1083.1199999999999</v>
      </c>
      <c r="R939" s="1597">
        <v>1083.1199999999999</v>
      </c>
      <c r="S939" s="1592"/>
    </row>
    <row r="940" spans="2:19" s="1593" customFormat="1" ht="21.75" customHeight="1" outlineLevel="1">
      <c r="B940" s="1600" t="s">
        <v>13663</v>
      </c>
      <c r="C940" s="1595" t="s">
        <v>2414</v>
      </c>
      <c r="D940" s="1595" t="s">
        <v>13662</v>
      </c>
      <c r="E940" s="1595"/>
      <c r="F940" s="1595"/>
      <c r="G940" s="1595"/>
      <c r="H940" s="1595"/>
      <c r="I940" s="1595"/>
      <c r="J940" s="1595"/>
      <c r="K940" s="1597">
        <v>103262.89</v>
      </c>
      <c r="L940" s="1597">
        <v>103262.89</v>
      </c>
      <c r="M940" s="1598"/>
      <c r="N940" s="1597">
        <v>103262.89</v>
      </c>
      <c r="O940" s="1597">
        <v>99801.61</v>
      </c>
      <c r="P940" s="1598"/>
      <c r="Q940" s="1597">
        <v>3461.28</v>
      </c>
      <c r="R940" s="1597">
        <v>3461.28</v>
      </c>
      <c r="S940" s="1592"/>
    </row>
    <row r="941" spans="2:19" s="1593" customFormat="1" ht="21.75" customHeight="1" outlineLevel="1">
      <c r="B941" s="1600" t="s">
        <v>13661</v>
      </c>
      <c r="C941" s="1595" t="s">
        <v>2414</v>
      </c>
      <c r="D941" s="1595" t="s">
        <v>13660</v>
      </c>
      <c r="E941" s="1595"/>
      <c r="F941" s="1595"/>
      <c r="G941" s="1595"/>
      <c r="H941" s="1595"/>
      <c r="I941" s="1595"/>
      <c r="J941" s="1595"/>
      <c r="K941" s="1597">
        <v>42598.879999999997</v>
      </c>
      <c r="L941" s="1597">
        <v>42598.879999999997</v>
      </c>
      <c r="M941" s="1598"/>
      <c r="N941" s="1597">
        <v>42598.879999999997</v>
      </c>
      <c r="O941" s="1597">
        <v>38408.839999999997</v>
      </c>
      <c r="P941" s="1598"/>
      <c r="Q941" s="1597">
        <v>4190.04</v>
      </c>
      <c r="R941" s="1597">
        <v>4190.04</v>
      </c>
      <c r="S941" s="1592"/>
    </row>
    <row r="942" spans="2:19" s="1593" customFormat="1" ht="11.25" customHeight="1" outlineLevel="1">
      <c r="B942" s="1600" t="s">
        <v>13659</v>
      </c>
      <c r="C942" s="1595" t="s">
        <v>2414</v>
      </c>
      <c r="D942" s="1595" t="s">
        <v>13658</v>
      </c>
      <c r="E942" s="1595"/>
      <c r="F942" s="1595"/>
      <c r="G942" s="1595" t="s">
        <v>13657</v>
      </c>
      <c r="H942" s="1596">
        <v>1</v>
      </c>
      <c r="I942" s="1595"/>
      <c r="J942" s="1595"/>
      <c r="K942" s="1597">
        <v>4793349.5999999996</v>
      </c>
      <c r="L942" s="1597">
        <v>4793349.5999999996</v>
      </c>
      <c r="M942" s="1598"/>
      <c r="N942" s="1597">
        <v>4793349.5999999996</v>
      </c>
      <c r="O942" s="1597">
        <v>4314014.6399999997</v>
      </c>
      <c r="P942" s="1598"/>
      <c r="Q942" s="1597">
        <v>479334.96</v>
      </c>
      <c r="R942" s="1597">
        <v>479334.96</v>
      </c>
      <c r="S942" s="1592"/>
    </row>
    <row r="943" spans="2:19" s="1593" customFormat="1" ht="11.25" customHeight="1" outlineLevel="1">
      <c r="B943" s="1600" t="s">
        <v>13656</v>
      </c>
      <c r="C943" s="1595" t="s">
        <v>2414</v>
      </c>
      <c r="D943" s="1595" t="s">
        <v>13655</v>
      </c>
      <c r="E943" s="1595" t="s">
        <v>2219</v>
      </c>
      <c r="F943" s="1595" t="s">
        <v>2716</v>
      </c>
      <c r="G943" s="1595" t="s">
        <v>13654</v>
      </c>
      <c r="H943" s="1596">
        <v>1</v>
      </c>
      <c r="I943" s="1595"/>
      <c r="J943" s="1595"/>
      <c r="K943" s="1597">
        <v>479334.96</v>
      </c>
      <c r="L943" s="1597">
        <v>479334.96</v>
      </c>
      <c r="M943" s="1598"/>
      <c r="N943" s="1597">
        <v>479334.96</v>
      </c>
      <c r="O943" s="1597">
        <v>431401.44</v>
      </c>
      <c r="P943" s="1598"/>
      <c r="Q943" s="1597">
        <v>47933.52</v>
      </c>
      <c r="R943" s="1597">
        <v>47933.52</v>
      </c>
      <c r="S943" s="1592"/>
    </row>
    <row r="944" spans="2:19" s="1593" customFormat="1" ht="21.75" customHeight="1" outlineLevel="1">
      <c r="B944" s="1600" t="s">
        <v>13653</v>
      </c>
      <c r="C944" s="1595" t="s">
        <v>2406</v>
      </c>
      <c r="D944" s="1595" t="s">
        <v>13652</v>
      </c>
      <c r="E944" s="1595" t="s">
        <v>2288</v>
      </c>
      <c r="F944" s="1595" t="s">
        <v>10472</v>
      </c>
      <c r="G944" s="1595"/>
      <c r="H944" s="1596">
        <v>1</v>
      </c>
      <c r="I944" s="1595"/>
      <c r="J944" s="1595"/>
      <c r="K944" s="1597">
        <v>136470.01</v>
      </c>
      <c r="L944" s="1598"/>
      <c r="M944" s="1597">
        <v>136470.01</v>
      </c>
      <c r="N944" s="1597">
        <v>136470.01</v>
      </c>
      <c r="O944" s="1597">
        <v>118598.97</v>
      </c>
      <c r="P944" s="1598"/>
      <c r="Q944" s="1597">
        <v>17871.04</v>
      </c>
      <c r="R944" s="1597">
        <v>17871.04</v>
      </c>
      <c r="S944" s="1592"/>
    </row>
    <row r="945" spans="2:19" s="1593" customFormat="1" ht="5.0999999999999996" customHeight="1">
      <c r="S945" s="1592"/>
    </row>
    <row r="946" spans="2:19" s="1593" customFormat="1" ht="11.25" customHeight="1">
      <c r="B946" s="1590" t="s">
        <v>13651</v>
      </c>
      <c r="C946" s="1590"/>
      <c r="D946" s="1590" t="s">
        <v>13650</v>
      </c>
      <c r="E946" s="1590"/>
      <c r="F946" s="1590"/>
      <c r="G946" s="1590"/>
      <c r="H946" s="1590">
        <v>1</v>
      </c>
      <c r="I946" s="1590"/>
      <c r="J946" s="1590"/>
      <c r="K946" s="1591">
        <v>4322559.03</v>
      </c>
      <c r="L946" s="1591">
        <v>4027098.03</v>
      </c>
      <c r="M946" s="1591">
        <v>-798736.66</v>
      </c>
      <c r="N946" s="1591">
        <v>3228361.37</v>
      </c>
      <c r="O946" s="1591">
        <v>971943.41</v>
      </c>
      <c r="P946" s="1591">
        <v>2561510.2799999998</v>
      </c>
      <c r="Q946" s="1591">
        <v>-305092.32</v>
      </c>
      <c r="R946" s="1591">
        <v>2256417.96</v>
      </c>
      <c r="S946" s="1592">
        <f>R946/N946</f>
        <v>0.69893599302980136</v>
      </c>
    </row>
    <row r="947" spans="2:19" s="1593" customFormat="1" ht="11.25" customHeight="1" outlineLevel="1">
      <c r="B947" s="1594">
        <v>10526</v>
      </c>
      <c r="C947" s="1595" t="s">
        <v>5403</v>
      </c>
      <c r="D947" s="1595" t="s">
        <v>13649</v>
      </c>
      <c r="E947" s="1595"/>
      <c r="F947" s="1595"/>
      <c r="G947" s="1595"/>
      <c r="H947" s="1596">
        <v>1</v>
      </c>
      <c r="I947" s="1595"/>
      <c r="J947" s="1595"/>
      <c r="K947" s="1599">
        <v>75</v>
      </c>
      <c r="L947" s="1599">
        <v>75</v>
      </c>
      <c r="M947" s="1599">
        <v>-75</v>
      </c>
      <c r="N947" s="1598"/>
      <c r="O947" s="1598"/>
      <c r="P947" s="1599">
        <v>75</v>
      </c>
      <c r="Q947" s="1599">
        <v>-75</v>
      </c>
      <c r="R947" s="1598"/>
      <c r="S947" s="1592"/>
    </row>
    <row r="948" spans="2:19" s="1593" customFormat="1" ht="11.25" customHeight="1" outlineLevel="1">
      <c r="B948" s="1594">
        <v>10527</v>
      </c>
      <c r="C948" s="1595" t="s">
        <v>5403</v>
      </c>
      <c r="D948" s="1595" t="s">
        <v>13648</v>
      </c>
      <c r="E948" s="1595"/>
      <c r="F948" s="1595"/>
      <c r="G948" s="1595"/>
      <c r="H948" s="1596">
        <v>1</v>
      </c>
      <c r="I948" s="1595"/>
      <c r="J948" s="1595"/>
      <c r="K948" s="1599">
        <v>344</v>
      </c>
      <c r="L948" s="1599">
        <v>344</v>
      </c>
      <c r="M948" s="1599">
        <v>-344</v>
      </c>
      <c r="N948" s="1598"/>
      <c r="O948" s="1598"/>
      <c r="P948" s="1599">
        <v>344</v>
      </c>
      <c r="Q948" s="1599">
        <v>-344</v>
      </c>
      <c r="R948" s="1598"/>
      <c r="S948" s="1592"/>
    </row>
    <row r="949" spans="2:19" s="1593" customFormat="1" ht="11.25" customHeight="1" outlineLevel="1">
      <c r="B949" s="1594">
        <v>10529</v>
      </c>
      <c r="C949" s="1595" t="s">
        <v>5403</v>
      </c>
      <c r="D949" s="1595" t="s">
        <v>13647</v>
      </c>
      <c r="E949" s="1595"/>
      <c r="F949" s="1595"/>
      <c r="G949" s="1595"/>
      <c r="H949" s="1596">
        <v>1</v>
      </c>
      <c r="I949" s="1595"/>
      <c r="J949" s="1595"/>
      <c r="K949" s="1599">
        <v>118</v>
      </c>
      <c r="L949" s="1599">
        <v>118</v>
      </c>
      <c r="M949" s="1599">
        <v>-118</v>
      </c>
      <c r="N949" s="1598"/>
      <c r="O949" s="1598"/>
      <c r="P949" s="1599">
        <v>118</v>
      </c>
      <c r="Q949" s="1599">
        <v>-118</v>
      </c>
      <c r="R949" s="1598"/>
      <c r="S949" s="1592"/>
    </row>
    <row r="950" spans="2:19" s="1593" customFormat="1" ht="11.25" customHeight="1" outlineLevel="1">
      <c r="B950" s="1594">
        <v>10531</v>
      </c>
      <c r="C950" s="1595" t="s">
        <v>5403</v>
      </c>
      <c r="D950" s="1595" t="s">
        <v>13646</v>
      </c>
      <c r="E950" s="1595"/>
      <c r="F950" s="1595"/>
      <c r="G950" s="1595"/>
      <c r="H950" s="1596">
        <v>1</v>
      </c>
      <c r="I950" s="1595"/>
      <c r="J950" s="1595"/>
      <c r="K950" s="1599">
        <v>131</v>
      </c>
      <c r="L950" s="1599">
        <v>131</v>
      </c>
      <c r="M950" s="1599">
        <v>-131</v>
      </c>
      <c r="N950" s="1598"/>
      <c r="O950" s="1598"/>
      <c r="P950" s="1599">
        <v>131</v>
      </c>
      <c r="Q950" s="1599">
        <v>-131</v>
      </c>
      <c r="R950" s="1598"/>
      <c r="S950" s="1592"/>
    </row>
    <row r="951" spans="2:19" s="1593" customFormat="1" ht="11.25" customHeight="1" outlineLevel="1">
      <c r="B951" s="1594">
        <v>11243</v>
      </c>
      <c r="C951" s="1595" t="s">
        <v>5403</v>
      </c>
      <c r="D951" s="1595" t="s">
        <v>13645</v>
      </c>
      <c r="E951" s="1595"/>
      <c r="F951" s="1595"/>
      <c r="G951" s="1595" t="s">
        <v>13644</v>
      </c>
      <c r="H951" s="1596">
        <v>1</v>
      </c>
      <c r="I951" s="1595"/>
      <c r="J951" s="1595"/>
      <c r="K951" s="1597">
        <v>1869</v>
      </c>
      <c r="L951" s="1597">
        <v>1869</v>
      </c>
      <c r="M951" s="1598"/>
      <c r="N951" s="1597">
        <v>1869</v>
      </c>
      <c r="O951" s="1599">
        <v>495.71</v>
      </c>
      <c r="P951" s="1597">
        <v>1326.49</v>
      </c>
      <c r="Q951" s="1599">
        <v>46.8</v>
      </c>
      <c r="R951" s="1597">
        <v>1373.29</v>
      </c>
      <c r="S951" s="1592"/>
    </row>
    <row r="952" spans="2:19" s="1593" customFormat="1" ht="11.25" customHeight="1" outlineLevel="1">
      <c r="B952" s="1594">
        <v>36989</v>
      </c>
      <c r="C952" s="1595" t="s">
        <v>5403</v>
      </c>
      <c r="D952" s="1595" t="s">
        <v>13643</v>
      </c>
      <c r="E952" s="1595"/>
      <c r="F952" s="1595"/>
      <c r="G952" s="1595"/>
      <c r="H952" s="1596">
        <v>1</v>
      </c>
      <c r="I952" s="1595"/>
      <c r="J952" s="1595"/>
      <c r="K952" s="1599">
        <v>118</v>
      </c>
      <c r="L952" s="1599">
        <v>118</v>
      </c>
      <c r="M952" s="1599">
        <v>-118</v>
      </c>
      <c r="N952" s="1598"/>
      <c r="O952" s="1598"/>
      <c r="P952" s="1599">
        <v>118</v>
      </c>
      <c r="Q952" s="1599">
        <v>-118</v>
      </c>
      <c r="R952" s="1598"/>
      <c r="S952" s="1592"/>
    </row>
    <row r="953" spans="2:19" s="1593" customFormat="1" ht="21.75" customHeight="1" outlineLevel="1">
      <c r="B953" s="1594">
        <v>23601</v>
      </c>
      <c r="C953" s="1595" t="s">
        <v>5196</v>
      </c>
      <c r="D953" s="1595" t="s">
        <v>13642</v>
      </c>
      <c r="E953" s="1595"/>
      <c r="F953" s="1595"/>
      <c r="G953" s="1595"/>
      <c r="H953" s="1596">
        <v>1</v>
      </c>
      <c r="I953" s="1595"/>
      <c r="J953" s="1595"/>
      <c r="K953" s="1597">
        <v>101475</v>
      </c>
      <c r="L953" s="1597">
        <v>101475</v>
      </c>
      <c r="M953" s="1598"/>
      <c r="N953" s="1597">
        <v>101475</v>
      </c>
      <c r="O953" s="1597">
        <v>6957.96</v>
      </c>
      <c r="P953" s="1597">
        <v>91038.02</v>
      </c>
      <c r="Q953" s="1597">
        <v>3479.02</v>
      </c>
      <c r="R953" s="1597">
        <v>94517.04</v>
      </c>
      <c r="S953" s="1592"/>
    </row>
    <row r="954" spans="2:19" s="1593" customFormat="1" ht="11.25" customHeight="1" outlineLevel="1">
      <c r="B954" s="1594">
        <v>24151</v>
      </c>
      <c r="C954" s="1595" t="s">
        <v>5138</v>
      </c>
      <c r="D954" s="1595" t="s">
        <v>13641</v>
      </c>
      <c r="E954" s="1595"/>
      <c r="F954" s="1595"/>
      <c r="G954" s="1595"/>
      <c r="H954" s="1596">
        <v>1</v>
      </c>
      <c r="I954" s="1595"/>
      <c r="J954" s="1595"/>
      <c r="K954" s="1597">
        <v>4101</v>
      </c>
      <c r="L954" s="1597">
        <v>4101</v>
      </c>
      <c r="M954" s="1597">
        <v>-4101</v>
      </c>
      <c r="N954" s="1598"/>
      <c r="O954" s="1598"/>
      <c r="P954" s="1597">
        <v>4101</v>
      </c>
      <c r="Q954" s="1597">
        <v>-4101</v>
      </c>
      <c r="R954" s="1598"/>
      <c r="S954" s="1592"/>
    </row>
    <row r="955" spans="2:19" s="1593" customFormat="1" ht="11.25" customHeight="1" outlineLevel="1">
      <c r="B955" s="1594">
        <v>24168</v>
      </c>
      <c r="C955" s="1595" t="s">
        <v>5135</v>
      </c>
      <c r="D955" s="1595" t="s">
        <v>13640</v>
      </c>
      <c r="E955" s="1595"/>
      <c r="F955" s="1595"/>
      <c r="G955" s="1595"/>
      <c r="H955" s="1596">
        <v>1</v>
      </c>
      <c r="I955" s="1595"/>
      <c r="J955" s="1595"/>
      <c r="K955" s="1597">
        <v>1875</v>
      </c>
      <c r="L955" s="1597">
        <v>1875</v>
      </c>
      <c r="M955" s="1597">
        <v>-1875</v>
      </c>
      <c r="N955" s="1598"/>
      <c r="O955" s="1598"/>
      <c r="P955" s="1597">
        <v>1875</v>
      </c>
      <c r="Q955" s="1597">
        <v>-1875</v>
      </c>
      <c r="R955" s="1598"/>
      <c r="S955" s="1592"/>
    </row>
    <row r="956" spans="2:19" s="1593" customFormat="1" ht="11.25" customHeight="1" outlineLevel="1">
      <c r="B956" s="1594">
        <v>24186</v>
      </c>
      <c r="C956" s="1595" t="s">
        <v>5135</v>
      </c>
      <c r="D956" s="1595" t="s">
        <v>13639</v>
      </c>
      <c r="E956" s="1595"/>
      <c r="F956" s="1595"/>
      <c r="G956" s="1595"/>
      <c r="H956" s="1596">
        <v>1</v>
      </c>
      <c r="I956" s="1595"/>
      <c r="J956" s="1595"/>
      <c r="K956" s="1597">
        <v>2750</v>
      </c>
      <c r="L956" s="1597">
        <v>2750</v>
      </c>
      <c r="M956" s="1597">
        <v>-2750</v>
      </c>
      <c r="N956" s="1598"/>
      <c r="O956" s="1598"/>
      <c r="P956" s="1597">
        <v>2750</v>
      </c>
      <c r="Q956" s="1597">
        <v>-2750</v>
      </c>
      <c r="R956" s="1598"/>
      <c r="S956" s="1592"/>
    </row>
    <row r="957" spans="2:19" s="1593" customFormat="1" ht="11.25" customHeight="1" outlineLevel="1">
      <c r="B957" s="1594">
        <v>25306</v>
      </c>
      <c r="C957" s="1595" t="s">
        <v>4878</v>
      </c>
      <c r="D957" s="1595" t="s">
        <v>13638</v>
      </c>
      <c r="E957" s="1595"/>
      <c r="F957" s="1595"/>
      <c r="G957" s="1595"/>
      <c r="H957" s="1596">
        <v>1</v>
      </c>
      <c r="I957" s="1595"/>
      <c r="J957" s="1595"/>
      <c r="K957" s="1597">
        <v>28407</v>
      </c>
      <c r="L957" s="1597">
        <v>28407</v>
      </c>
      <c r="M957" s="1597">
        <v>-28407</v>
      </c>
      <c r="N957" s="1598"/>
      <c r="O957" s="1598"/>
      <c r="P957" s="1597">
        <v>28407</v>
      </c>
      <c r="Q957" s="1597">
        <v>-28407</v>
      </c>
      <c r="R957" s="1598"/>
      <c r="S957" s="1592"/>
    </row>
    <row r="958" spans="2:19" s="1593" customFormat="1" ht="11.25" customHeight="1" outlineLevel="1">
      <c r="B958" s="1594">
        <v>27587</v>
      </c>
      <c r="C958" s="1595" t="s">
        <v>4115</v>
      </c>
      <c r="D958" s="1595" t="s">
        <v>13637</v>
      </c>
      <c r="E958" s="1595"/>
      <c r="F958" s="1595"/>
      <c r="G958" s="1595"/>
      <c r="H958" s="1596">
        <v>1</v>
      </c>
      <c r="I958" s="1595"/>
      <c r="J958" s="1595"/>
      <c r="K958" s="1597">
        <v>17112</v>
      </c>
      <c r="L958" s="1597">
        <v>17112</v>
      </c>
      <c r="M958" s="1597">
        <v>-17112</v>
      </c>
      <c r="N958" s="1598"/>
      <c r="O958" s="1598"/>
      <c r="P958" s="1597">
        <v>17112</v>
      </c>
      <c r="Q958" s="1597">
        <v>-17112</v>
      </c>
      <c r="R958" s="1598"/>
      <c r="S958" s="1592"/>
    </row>
    <row r="959" spans="2:19" s="1593" customFormat="1" ht="11.25" customHeight="1" outlineLevel="1">
      <c r="B959" s="1594">
        <v>27655</v>
      </c>
      <c r="C959" s="1595" t="s">
        <v>8496</v>
      </c>
      <c r="D959" s="1595" t="s">
        <v>13636</v>
      </c>
      <c r="E959" s="1595"/>
      <c r="F959" s="1595"/>
      <c r="G959" s="1595"/>
      <c r="H959" s="1596">
        <v>1</v>
      </c>
      <c r="I959" s="1595"/>
      <c r="J959" s="1595"/>
      <c r="K959" s="1597">
        <v>10608</v>
      </c>
      <c r="L959" s="1597">
        <v>10608</v>
      </c>
      <c r="M959" s="1597">
        <v>-10608</v>
      </c>
      <c r="N959" s="1598"/>
      <c r="O959" s="1598"/>
      <c r="P959" s="1597">
        <v>10608</v>
      </c>
      <c r="Q959" s="1597">
        <v>-10608</v>
      </c>
      <c r="R959" s="1598"/>
      <c r="S959" s="1592"/>
    </row>
    <row r="960" spans="2:19" s="1593" customFormat="1" ht="11.25" customHeight="1" outlineLevel="1">
      <c r="B960" s="1594">
        <v>27657</v>
      </c>
      <c r="C960" s="1595" t="s">
        <v>8496</v>
      </c>
      <c r="D960" s="1595" t="s">
        <v>13635</v>
      </c>
      <c r="E960" s="1595"/>
      <c r="F960" s="1595"/>
      <c r="G960" s="1595"/>
      <c r="H960" s="1596">
        <v>1</v>
      </c>
      <c r="I960" s="1595"/>
      <c r="J960" s="1595"/>
      <c r="K960" s="1597">
        <v>10850</v>
      </c>
      <c r="L960" s="1597">
        <v>10850</v>
      </c>
      <c r="M960" s="1597">
        <v>-10850</v>
      </c>
      <c r="N960" s="1598"/>
      <c r="O960" s="1598"/>
      <c r="P960" s="1597">
        <v>10850</v>
      </c>
      <c r="Q960" s="1597">
        <v>-10850</v>
      </c>
      <c r="R960" s="1598"/>
      <c r="S960" s="1592"/>
    </row>
    <row r="961" spans="2:19" s="1593" customFormat="1" ht="11.25" customHeight="1" outlineLevel="1">
      <c r="B961" s="1594">
        <v>28627</v>
      </c>
      <c r="C961" s="1595" t="s">
        <v>11954</v>
      </c>
      <c r="D961" s="1595" t="s">
        <v>13634</v>
      </c>
      <c r="E961" s="1595"/>
      <c r="F961" s="1595"/>
      <c r="G961" s="1595"/>
      <c r="H961" s="1596">
        <v>1</v>
      </c>
      <c r="I961" s="1595"/>
      <c r="J961" s="1595"/>
      <c r="K961" s="1597">
        <v>12600</v>
      </c>
      <c r="L961" s="1597">
        <v>12600</v>
      </c>
      <c r="M961" s="1597">
        <v>-12600</v>
      </c>
      <c r="N961" s="1598"/>
      <c r="O961" s="1598"/>
      <c r="P961" s="1597">
        <v>12600</v>
      </c>
      <c r="Q961" s="1597">
        <v>-12600</v>
      </c>
      <c r="R961" s="1598"/>
      <c r="S961" s="1592"/>
    </row>
    <row r="962" spans="2:19" s="1593" customFormat="1" ht="11.25" customHeight="1" outlineLevel="1">
      <c r="B962" s="1594">
        <v>37095</v>
      </c>
      <c r="C962" s="1595" t="s">
        <v>11954</v>
      </c>
      <c r="D962" s="1595" t="s">
        <v>13633</v>
      </c>
      <c r="E962" s="1595"/>
      <c r="F962" s="1595"/>
      <c r="G962" s="1595"/>
      <c r="H962" s="1596">
        <v>1</v>
      </c>
      <c r="I962" s="1595"/>
      <c r="J962" s="1595"/>
      <c r="K962" s="1597">
        <v>12600</v>
      </c>
      <c r="L962" s="1597">
        <v>12600</v>
      </c>
      <c r="M962" s="1597">
        <v>-12600</v>
      </c>
      <c r="N962" s="1598"/>
      <c r="O962" s="1598"/>
      <c r="P962" s="1597">
        <v>12600</v>
      </c>
      <c r="Q962" s="1597">
        <v>-12600</v>
      </c>
      <c r="R962" s="1598"/>
      <c r="S962" s="1592"/>
    </row>
    <row r="963" spans="2:19" s="1593" customFormat="1" ht="11.25" customHeight="1" outlineLevel="1">
      <c r="B963" s="1594">
        <v>28675</v>
      </c>
      <c r="C963" s="1595" t="s">
        <v>8445</v>
      </c>
      <c r="D963" s="1595" t="s">
        <v>13632</v>
      </c>
      <c r="E963" s="1595"/>
      <c r="F963" s="1595"/>
      <c r="G963" s="1595"/>
      <c r="H963" s="1596">
        <v>1</v>
      </c>
      <c r="I963" s="1595"/>
      <c r="J963" s="1595"/>
      <c r="K963" s="1597">
        <v>9300</v>
      </c>
      <c r="L963" s="1597">
        <v>9300</v>
      </c>
      <c r="M963" s="1597">
        <v>-9300</v>
      </c>
      <c r="N963" s="1598"/>
      <c r="O963" s="1598"/>
      <c r="P963" s="1597">
        <v>9300</v>
      </c>
      <c r="Q963" s="1597">
        <v>-9300</v>
      </c>
      <c r="R963" s="1598"/>
      <c r="S963" s="1592"/>
    </row>
    <row r="964" spans="2:19" s="1593" customFormat="1" ht="11.25" customHeight="1" outlineLevel="1">
      <c r="B964" s="1594">
        <v>28693</v>
      </c>
      <c r="C964" s="1595" t="s">
        <v>8445</v>
      </c>
      <c r="D964" s="1595" t="s">
        <v>13631</v>
      </c>
      <c r="E964" s="1595"/>
      <c r="F964" s="1595"/>
      <c r="G964" s="1595"/>
      <c r="H964" s="1596">
        <v>1</v>
      </c>
      <c r="I964" s="1595"/>
      <c r="J964" s="1595"/>
      <c r="K964" s="1597">
        <v>22520</v>
      </c>
      <c r="L964" s="1597">
        <v>22520</v>
      </c>
      <c r="M964" s="1597">
        <v>-22520</v>
      </c>
      <c r="N964" s="1598"/>
      <c r="O964" s="1598"/>
      <c r="P964" s="1597">
        <v>22520</v>
      </c>
      <c r="Q964" s="1597">
        <v>-22520</v>
      </c>
      <c r="R964" s="1598"/>
      <c r="S964" s="1592"/>
    </row>
    <row r="965" spans="2:19" s="1593" customFormat="1" ht="11.25" customHeight="1" outlineLevel="1">
      <c r="B965" s="1594">
        <v>28924</v>
      </c>
      <c r="C965" s="1595" t="s">
        <v>4016</v>
      </c>
      <c r="D965" s="1595" t="s">
        <v>13630</v>
      </c>
      <c r="E965" s="1595"/>
      <c r="F965" s="1595"/>
      <c r="G965" s="1595"/>
      <c r="H965" s="1596">
        <v>1</v>
      </c>
      <c r="I965" s="1595"/>
      <c r="J965" s="1595"/>
      <c r="K965" s="1597">
        <v>40710</v>
      </c>
      <c r="L965" s="1597">
        <v>40710</v>
      </c>
      <c r="M965" s="1597">
        <v>-40710</v>
      </c>
      <c r="N965" s="1598"/>
      <c r="O965" s="1598"/>
      <c r="P965" s="1597">
        <v>40710</v>
      </c>
      <c r="Q965" s="1597">
        <v>-40710</v>
      </c>
      <c r="R965" s="1598"/>
      <c r="S965" s="1592"/>
    </row>
    <row r="966" spans="2:19" s="1593" customFormat="1" ht="11.25" customHeight="1" outlineLevel="1">
      <c r="B966" s="1594">
        <v>28926</v>
      </c>
      <c r="C966" s="1595" t="s">
        <v>4016</v>
      </c>
      <c r="D966" s="1595" t="s">
        <v>13629</v>
      </c>
      <c r="E966" s="1595"/>
      <c r="F966" s="1595"/>
      <c r="G966" s="1595"/>
      <c r="H966" s="1596">
        <v>1</v>
      </c>
      <c r="I966" s="1595"/>
      <c r="J966" s="1595"/>
      <c r="K966" s="1597">
        <v>18628</v>
      </c>
      <c r="L966" s="1597">
        <v>18628</v>
      </c>
      <c r="M966" s="1597">
        <v>-18628</v>
      </c>
      <c r="N966" s="1598"/>
      <c r="O966" s="1598"/>
      <c r="P966" s="1597">
        <v>18628</v>
      </c>
      <c r="Q966" s="1597">
        <v>-18628</v>
      </c>
      <c r="R966" s="1598"/>
      <c r="S966" s="1592"/>
    </row>
    <row r="967" spans="2:19" s="1593" customFormat="1" ht="11.25" customHeight="1" outlineLevel="1">
      <c r="B967" s="1594">
        <v>28962</v>
      </c>
      <c r="C967" s="1595" t="s">
        <v>12810</v>
      </c>
      <c r="D967" s="1595" t="s">
        <v>13628</v>
      </c>
      <c r="E967" s="1595"/>
      <c r="F967" s="1595"/>
      <c r="G967" s="1595"/>
      <c r="H967" s="1596">
        <v>1</v>
      </c>
      <c r="I967" s="1595"/>
      <c r="J967" s="1595"/>
      <c r="K967" s="1597">
        <v>26117</v>
      </c>
      <c r="L967" s="1597">
        <v>26117</v>
      </c>
      <c r="M967" s="1597">
        <v>-26117</v>
      </c>
      <c r="N967" s="1598"/>
      <c r="O967" s="1598"/>
      <c r="P967" s="1597">
        <v>26117</v>
      </c>
      <c r="Q967" s="1597">
        <v>-26117</v>
      </c>
      <c r="R967" s="1598"/>
      <c r="S967" s="1592"/>
    </row>
    <row r="968" spans="2:19" s="1593" customFormat="1" ht="11.25" customHeight="1" outlineLevel="1">
      <c r="B968" s="1594">
        <v>29008</v>
      </c>
      <c r="C968" s="1595" t="s">
        <v>3768</v>
      </c>
      <c r="D968" s="1595" t="s">
        <v>13627</v>
      </c>
      <c r="E968" s="1595"/>
      <c r="F968" s="1595"/>
      <c r="G968" s="1595"/>
      <c r="H968" s="1596">
        <v>1</v>
      </c>
      <c r="I968" s="1595"/>
      <c r="J968" s="1595"/>
      <c r="K968" s="1597">
        <v>46500</v>
      </c>
      <c r="L968" s="1597">
        <v>46500</v>
      </c>
      <c r="M968" s="1597">
        <v>-46500</v>
      </c>
      <c r="N968" s="1598"/>
      <c r="O968" s="1598"/>
      <c r="P968" s="1597">
        <v>46500</v>
      </c>
      <c r="Q968" s="1597">
        <v>-46500</v>
      </c>
      <c r="R968" s="1598"/>
      <c r="S968" s="1592"/>
    </row>
    <row r="969" spans="2:19" s="1593" customFormat="1" ht="11.25" customHeight="1" outlineLevel="1">
      <c r="B969" s="1594">
        <v>29073</v>
      </c>
      <c r="C969" s="1595" t="s">
        <v>13626</v>
      </c>
      <c r="D969" s="1595" t="s">
        <v>13625</v>
      </c>
      <c r="E969" s="1595"/>
      <c r="F969" s="1595"/>
      <c r="G969" s="1595"/>
      <c r="H969" s="1596">
        <v>1</v>
      </c>
      <c r="I969" s="1595"/>
      <c r="J969" s="1595"/>
      <c r="K969" s="1597">
        <v>43416</v>
      </c>
      <c r="L969" s="1597">
        <v>43416</v>
      </c>
      <c r="M969" s="1597">
        <v>-43416</v>
      </c>
      <c r="N969" s="1598"/>
      <c r="O969" s="1598"/>
      <c r="P969" s="1597">
        <v>43416</v>
      </c>
      <c r="Q969" s="1597">
        <v>-43416</v>
      </c>
      <c r="R969" s="1598"/>
      <c r="S969" s="1592"/>
    </row>
    <row r="970" spans="2:19" s="1593" customFormat="1" ht="11.25" customHeight="1" outlineLevel="1">
      <c r="B970" s="1594">
        <v>29113</v>
      </c>
      <c r="C970" s="1595" t="s">
        <v>3765</v>
      </c>
      <c r="D970" s="1595" t="s">
        <v>13624</v>
      </c>
      <c r="E970" s="1595"/>
      <c r="F970" s="1595"/>
      <c r="G970" s="1595"/>
      <c r="H970" s="1596">
        <v>1</v>
      </c>
      <c r="I970" s="1595"/>
      <c r="J970" s="1595"/>
      <c r="K970" s="1597">
        <v>31000</v>
      </c>
      <c r="L970" s="1597">
        <v>31000</v>
      </c>
      <c r="M970" s="1597">
        <v>-31000</v>
      </c>
      <c r="N970" s="1598"/>
      <c r="O970" s="1598"/>
      <c r="P970" s="1597">
        <v>31000</v>
      </c>
      <c r="Q970" s="1597">
        <v>-31000</v>
      </c>
      <c r="R970" s="1598"/>
      <c r="S970" s="1592"/>
    </row>
    <row r="971" spans="2:19" s="1593" customFormat="1" ht="11.25" customHeight="1" outlineLevel="1">
      <c r="B971" s="1594">
        <v>29243</v>
      </c>
      <c r="C971" s="1595" t="s">
        <v>3751</v>
      </c>
      <c r="D971" s="1595" t="s">
        <v>13623</v>
      </c>
      <c r="E971" s="1595"/>
      <c r="F971" s="1595"/>
      <c r="G971" s="1595"/>
      <c r="H971" s="1596">
        <v>1</v>
      </c>
      <c r="I971" s="1595"/>
      <c r="J971" s="1595"/>
      <c r="K971" s="1597">
        <v>12875</v>
      </c>
      <c r="L971" s="1597">
        <v>12875</v>
      </c>
      <c r="M971" s="1597">
        <v>-12875</v>
      </c>
      <c r="N971" s="1598"/>
      <c r="O971" s="1598"/>
      <c r="P971" s="1597">
        <v>12875</v>
      </c>
      <c r="Q971" s="1597">
        <v>-12875</v>
      </c>
      <c r="R971" s="1598"/>
      <c r="S971" s="1592"/>
    </row>
    <row r="972" spans="2:19" s="1593" customFormat="1" ht="11.25" customHeight="1" outlineLevel="1">
      <c r="B972" s="1594">
        <v>30094</v>
      </c>
      <c r="C972" s="1595" t="s">
        <v>8215</v>
      </c>
      <c r="D972" s="1595" t="s">
        <v>13622</v>
      </c>
      <c r="E972" s="1595"/>
      <c r="F972" s="1595"/>
      <c r="G972" s="1595"/>
      <c r="H972" s="1596">
        <v>1</v>
      </c>
      <c r="I972" s="1595"/>
      <c r="J972" s="1595"/>
      <c r="K972" s="1597">
        <v>4805</v>
      </c>
      <c r="L972" s="1597">
        <v>4805</v>
      </c>
      <c r="M972" s="1597">
        <v>-4805</v>
      </c>
      <c r="N972" s="1598"/>
      <c r="O972" s="1598"/>
      <c r="P972" s="1597">
        <v>4805</v>
      </c>
      <c r="Q972" s="1597">
        <v>-4805</v>
      </c>
      <c r="R972" s="1598"/>
      <c r="S972" s="1592"/>
    </row>
    <row r="973" spans="2:19" s="1593" customFormat="1" ht="11.25" customHeight="1" outlineLevel="1">
      <c r="B973" s="1594">
        <v>30095</v>
      </c>
      <c r="C973" s="1595" t="s">
        <v>8215</v>
      </c>
      <c r="D973" s="1595" t="s">
        <v>13621</v>
      </c>
      <c r="E973" s="1595"/>
      <c r="F973" s="1595"/>
      <c r="G973" s="1595"/>
      <c r="H973" s="1596">
        <v>1</v>
      </c>
      <c r="I973" s="1595"/>
      <c r="J973" s="1595"/>
      <c r="K973" s="1597">
        <v>3650</v>
      </c>
      <c r="L973" s="1597">
        <v>3650</v>
      </c>
      <c r="M973" s="1597">
        <v>-3650</v>
      </c>
      <c r="N973" s="1598"/>
      <c r="O973" s="1598"/>
      <c r="P973" s="1597">
        <v>3650</v>
      </c>
      <c r="Q973" s="1597">
        <v>-3650</v>
      </c>
      <c r="R973" s="1598"/>
      <c r="S973" s="1592"/>
    </row>
    <row r="974" spans="2:19" s="1593" customFormat="1" ht="11.25" customHeight="1" outlineLevel="1">
      <c r="B974" s="1594">
        <v>30097</v>
      </c>
      <c r="C974" s="1595" t="s">
        <v>8215</v>
      </c>
      <c r="D974" s="1595" t="s">
        <v>13620</v>
      </c>
      <c r="E974" s="1595"/>
      <c r="F974" s="1595"/>
      <c r="G974" s="1595"/>
      <c r="H974" s="1596">
        <v>1</v>
      </c>
      <c r="I974" s="1595"/>
      <c r="J974" s="1595"/>
      <c r="K974" s="1597">
        <v>7700</v>
      </c>
      <c r="L974" s="1597">
        <v>7700</v>
      </c>
      <c r="M974" s="1597">
        <v>-7700</v>
      </c>
      <c r="N974" s="1598"/>
      <c r="O974" s="1598"/>
      <c r="P974" s="1597">
        <v>7700</v>
      </c>
      <c r="Q974" s="1597">
        <v>-7700</v>
      </c>
      <c r="R974" s="1598"/>
      <c r="S974" s="1592"/>
    </row>
    <row r="975" spans="2:19" s="1593" customFormat="1" ht="11.25" customHeight="1" outlineLevel="1">
      <c r="B975" s="1594">
        <v>30101</v>
      </c>
      <c r="C975" s="1595" t="s">
        <v>8215</v>
      </c>
      <c r="D975" s="1595" t="s">
        <v>13619</v>
      </c>
      <c r="E975" s="1595"/>
      <c r="F975" s="1595"/>
      <c r="G975" s="1595"/>
      <c r="H975" s="1596">
        <v>1</v>
      </c>
      <c r="I975" s="1595"/>
      <c r="J975" s="1595"/>
      <c r="K975" s="1597">
        <v>5800</v>
      </c>
      <c r="L975" s="1597">
        <v>5800</v>
      </c>
      <c r="M975" s="1597">
        <v>-5800</v>
      </c>
      <c r="N975" s="1598"/>
      <c r="O975" s="1598"/>
      <c r="P975" s="1597">
        <v>5800</v>
      </c>
      <c r="Q975" s="1597">
        <v>-5800</v>
      </c>
      <c r="R975" s="1598"/>
      <c r="S975" s="1592"/>
    </row>
    <row r="976" spans="2:19" s="1593" customFormat="1" ht="11.25" customHeight="1" outlineLevel="1">
      <c r="B976" s="1594">
        <v>30106</v>
      </c>
      <c r="C976" s="1595" t="s">
        <v>8215</v>
      </c>
      <c r="D976" s="1595" t="s">
        <v>13618</v>
      </c>
      <c r="E976" s="1595"/>
      <c r="F976" s="1595"/>
      <c r="G976" s="1595"/>
      <c r="H976" s="1596">
        <v>1</v>
      </c>
      <c r="I976" s="1595"/>
      <c r="J976" s="1595"/>
      <c r="K976" s="1597">
        <v>9765</v>
      </c>
      <c r="L976" s="1597">
        <v>9765</v>
      </c>
      <c r="M976" s="1597">
        <v>-9765</v>
      </c>
      <c r="N976" s="1598"/>
      <c r="O976" s="1598"/>
      <c r="P976" s="1597">
        <v>9765</v>
      </c>
      <c r="Q976" s="1597">
        <v>-9765</v>
      </c>
      <c r="R976" s="1598"/>
      <c r="S976" s="1592"/>
    </row>
    <row r="977" spans="2:19" s="1593" customFormat="1" ht="11.25" customHeight="1" outlineLevel="1">
      <c r="B977" s="1594">
        <v>33260</v>
      </c>
      <c r="C977" s="1595" t="s">
        <v>8215</v>
      </c>
      <c r="D977" s="1595" t="s">
        <v>13617</v>
      </c>
      <c r="E977" s="1595"/>
      <c r="F977" s="1595"/>
      <c r="G977" s="1595"/>
      <c r="H977" s="1596">
        <v>1</v>
      </c>
      <c r="I977" s="1595"/>
      <c r="J977" s="1595"/>
      <c r="K977" s="1597">
        <v>5800</v>
      </c>
      <c r="L977" s="1597">
        <v>5800</v>
      </c>
      <c r="M977" s="1597">
        <v>-5800</v>
      </c>
      <c r="N977" s="1598"/>
      <c r="O977" s="1598"/>
      <c r="P977" s="1597">
        <v>5800</v>
      </c>
      <c r="Q977" s="1597">
        <v>-5800</v>
      </c>
      <c r="R977" s="1598"/>
      <c r="S977" s="1592"/>
    </row>
    <row r="978" spans="2:19" s="1593" customFormat="1" ht="11.25" customHeight="1" outlineLevel="1">
      <c r="B978" s="1594">
        <v>35857</v>
      </c>
      <c r="C978" s="1595" t="s">
        <v>8215</v>
      </c>
      <c r="D978" s="1595" t="s">
        <v>13616</v>
      </c>
      <c r="E978" s="1595"/>
      <c r="F978" s="1595"/>
      <c r="G978" s="1595"/>
      <c r="H978" s="1596">
        <v>1</v>
      </c>
      <c r="I978" s="1595"/>
      <c r="J978" s="1595"/>
      <c r="K978" s="1597">
        <v>9765</v>
      </c>
      <c r="L978" s="1597">
        <v>9765</v>
      </c>
      <c r="M978" s="1597">
        <v>-9765</v>
      </c>
      <c r="N978" s="1598"/>
      <c r="O978" s="1598"/>
      <c r="P978" s="1597">
        <v>9765</v>
      </c>
      <c r="Q978" s="1597">
        <v>-9765</v>
      </c>
      <c r="R978" s="1598"/>
      <c r="S978" s="1592"/>
    </row>
    <row r="979" spans="2:19" s="1593" customFormat="1" ht="11.25" customHeight="1" outlineLevel="1">
      <c r="B979" s="1594">
        <v>29849</v>
      </c>
      <c r="C979" s="1595" t="s">
        <v>8212</v>
      </c>
      <c r="D979" s="1595" t="s">
        <v>13615</v>
      </c>
      <c r="E979" s="1595"/>
      <c r="F979" s="1595"/>
      <c r="G979" s="1595"/>
      <c r="H979" s="1596">
        <v>1</v>
      </c>
      <c r="I979" s="1595"/>
      <c r="J979" s="1595"/>
      <c r="K979" s="1597">
        <v>101000</v>
      </c>
      <c r="L979" s="1597">
        <v>101000</v>
      </c>
      <c r="M979" s="1598"/>
      <c r="N979" s="1597">
        <v>101000</v>
      </c>
      <c r="O979" s="1597">
        <v>9468.92</v>
      </c>
      <c r="P979" s="1597">
        <v>86796.6</v>
      </c>
      <c r="Q979" s="1597">
        <v>4734.4799999999996</v>
      </c>
      <c r="R979" s="1597">
        <v>91531.08</v>
      </c>
      <c r="S979" s="1592"/>
    </row>
    <row r="980" spans="2:19" s="1593" customFormat="1" ht="11.25" customHeight="1" outlineLevel="1">
      <c r="B980" s="1594">
        <v>29850</v>
      </c>
      <c r="C980" s="1595" t="s">
        <v>8212</v>
      </c>
      <c r="D980" s="1595" t="s">
        <v>13614</v>
      </c>
      <c r="E980" s="1595"/>
      <c r="F980" s="1595"/>
      <c r="G980" s="1595"/>
      <c r="H980" s="1596">
        <v>1</v>
      </c>
      <c r="I980" s="1595"/>
      <c r="J980" s="1595"/>
      <c r="K980" s="1597">
        <v>20000</v>
      </c>
      <c r="L980" s="1597">
        <v>20000</v>
      </c>
      <c r="M980" s="1597">
        <v>-20000</v>
      </c>
      <c r="N980" s="1598"/>
      <c r="O980" s="1598"/>
      <c r="P980" s="1597">
        <v>20000</v>
      </c>
      <c r="Q980" s="1597">
        <v>-20000</v>
      </c>
      <c r="R980" s="1598"/>
      <c r="S980" s="1592"/>
    </row>
    <row r="981" spans="2:19" s="1593" customFormat="1" ht="11.25" customHeight="1" outlineLevel="1">
      <c r="B981" s="1594">
        <v>29886</v>
      </c>
      <c r="C981" s="1595" t="s">
        <v>12800</v>
      </c>
      <c r="D981" s="1595" t="s">
        <v>13613</v>
      </c>
      <c r="E981" s="1595"/>
      <c r="F981" s="1595"/>
      <c r="G981" s="1595"/>
      <c r="H981" s="1596">
        <v>1</v>
      </c>
      <c r="I981" s="1595"/>
      <c r="J981" s="1595"/>
      <c r="K981" s="1597">
        <v>16695</v>
      </c>
      <c r="L981" s="1597">
        <v>16695</v>
      </c>
      <c r="M981" s="1597">
        <v>-16695</v>
      </c>
      <c r="N981" s="1598"/>
      <c r="O981" s="1598"/>
      <c r="P981" s="1597">
        <v>16695</v>
      </c>
      <c r="Q981" s="1597">
        <v>-16695</v>
      </c>
      <c r="R981" s="1598"/>
      <c r="S981" s="1592"/>
    </row>
    <row r="982" spans="2:19" s="1593" customFormat="1" ht="11.25" customHeight="1" outlineLevel="1">
      <c r="B982" s="1594">
        <v>31325</v>
      </c>
      <c r="C982" s="1595" t="s">
        <v>8141</v>
      </c>
      <c r="D982" s="1595" t="s">
        <v>13612</v>
      </c>
      <c r="E982" s="1595"/>
      <c r="F982" s="1595"/>
      <c r="G982" s="1595"/>
      <c r="H982" s="1596">
        <v>1</v>
      </c>
      <c r="I982" s="1595"/>
      <c r="J982" s="1595"/>
      <c r="K982" s="1597">
        <v>50761</v>
      </c>
      <c r="L982" s="1597">
        <v>50761</v>
      </c>
      <c r="M982" s="1597">
        <v>-50761</v>
      </c>
      <c r="N982" s="1598"/>
      <c r="O982" s="1598"/>
      <c r="P982" s="1597">
        <v>50761</v>
      </c>
      <c r="Q982" s="1597">
        <v>-50761</v>
      </c>
      <c r="R982" s="1598"/>
      <c r="S982" s="1592"/>
    </row>
    <row r="983" spans="2:19" s="1593" customFormat="1" ht="11.25" customHeight="1" outlineLevel="1">
      <c r="B983" s="1594">
        <v>31862</v>
      </c>
      <c r="C983" s="1595" t="s">
        <v>3660</v>
      </c>
      <c r="D983" s="1595" t="s">
        <v>13611</v>
      </c>
      <c r="E983" s="1595"/>
      <c r="F983" s="1595"/>
      <c r="G983" s="1595"/>
      <c r="H983" s="1596">
        <v>1</v>
      </c>
      <c r="I983" s="1595"/>
      <c r="J983" s="1595"/>
      <c r="K983" s="1597">
        <v>1320</v>
      </c>
      <c r="L983" s="1597">
        <v>1320</v>
      </c>
      <c r="M983" s="1597">
        <v>-1320</v>
      </c>
      <c r="N983" s="1598"/>
      <c r="O983" s="1598"/>
      <c r="P983" s="1597">
        <v>1320</v>
      </c>
      <c r="Q983" s="1597">
        <v>-1320</v>
      </c>
      <c r="R983" s="1598"/>
      <c r="S983" s="1592"/>
    </row>
    <row r="984" spans="2:19" s="1593" customFormat="1" ht="11.25" customHeight="1" outlineLevel="1">
      <c r="B984" s="1594">
        <v>31868</v>
      </c>
      <c r="C984" s="1595" t="s">
        <v>3660</v>
      </c>
      <c r="D984" s="1595" t="s">
        <v>13610</v>
      </c>
      <c r="E984" s="1595"/>
      <c r="F984" s="1595"/>
      <c r="G984" s="1595"/>
      <c r="H984" s="1596">
        <v>1</v>
      </c>
      <c r="I984" s="1595"/>
      <c r="J984" s="1595"/>
      <c r="K984" s="1599">
        <v>687.5</v>
      </c>
      <c r="L984" s="1599">
        <v>687.5</v>
      </c>
      <c r="M984" s="1599">
        <v>-687.5</v>
      </c>
      <c r="N984" s="1598"/>
      <c r="O984" s="1598"/>
      <c r="P984" s="1599">
        <v>687.5</v>
      </c>
      <c r="Q984" s="1599">
        <v>-687.5</v>
      </c>
      <c r="R984" s="1598"/>
      <c r="S984" s="1592"/>
    </row>
    <row r="985" spans="2:19" s="1593" customFormat="1" ht="11.25" customHeight="1" outlineLevel="1">
      <c r="B985" s="1594">
        <v>31869</v>
      </c>
      <c r="C985" s="1595" t="s">
        <v>3660</v>
      </c>
      <c r="D985" s="1595" t="s">
        <v>13609</v>
      </c>
      <c r="E985" s="1595"/>
      <c r="F985" s="1595"/>
      <c r="G985" s="1595"/>
      <c r="H985" s="1596">
        <v>1</v>
      </c>
      <c r="I985" s="1595"/>
      <c r="J985" s="1595"/>
      <c r="K985" s="1597">
        <v>1471.25</v>
      </c>
      <c r="L985" s="1597">
        <v>1471.25</v>
      </c>
      <c r="M985" s="1597">
        <v>-1471.25</v>
      </c>
      <c r="N985" s="1598"/>
      <c r="O985" s="1598"/>
      <c r="P985" s="1597">
        <v>1471.25</v>
      </c>
      <c r="Q985" s="1597">
        <v>-1471.25</v>
      </c>
      <c r="R985" s="1598"/>
      <c r="S985" s="1592"/>
    </row>
    <row r="986" spans="2:19" s="1593" customFormat="1" ht="11.25" customHeight="1" outlineLevel="1">
      <c r="B986" s="1594">
        <v>31870</v>
      </c>
      <c r="C986" s="1595" t="s">
        <v>3660</v>
      </c>
      <c r="D986" s="1595" t="s">
        <v>13608</v>
      </c>
      <c r="E986" s="1595"/>
      <c r="F986" s="1595"/>
      <c r="G986" s="1595"/>
      <c r="H986" s="1596">
        <v>1</v>
      </c>
      <c r="I986" s="1595"/>
      <c r="J986" s="1595"/>
      <c r="K986" s="1597">
        <v>3731.84</v>
      </c>
      <c r="L986" s="1597">
        <v>3731.84</v>
      </c>
      <c r="M986" s="1597">
        <v>-3731.84</v>
      </c>
      <c r="N986" s="1598"/>
      <c r="O986" s="1598"/>
      <c r="P986" s="1597">
        <v>3731.84</v>
      </c>
      <c r="Q986" s="1597">
        <v>-3731.84</v>
      </c>
      <c r="R986" s="1598"/>
      <c r="S986" s="1592"/>
    </row>
    <row r="987" spans="2:19" s="1593" customFormat="1" ht="11.25" customHeight="1" outlineLevel="1">
      <c r="B987" s="1594">
        <v>31877</v>
      </c>
      <c r="C987" s="1595" t="s">
        <v>3660</v>
      </c>
      <c r="D987" s="1595" t="s">
        <v>13607</v>
      </c>
      <c r="E987" s="1595"/>
      <c r="F987" s="1595"/>
      <c r="G987" s="1595"/>
      <c r="H987" s="1596">
        <v>1</v>
      </c>
      <c r="I987" s="1595"/>
      <c r="J987" s="1595"/>
      <c r="K987" s="1599">
        <v>916.75</v>
      </c>
      <c r="L987" s="1599">
        <v>916.75</v>
      </c>
      <c r="M987" s="1599">
        <v>-916.75</v>
      </c>
      <c r="N987" s="1598"/>
      <c r="O987" s="1598"/>
      <c r="P987" s="1599">
        <v>916.75</v>
      </c>
      <c r="Q987" s="1599">
        <v>-916.75</v>
      </c>
      <c r="R987" s="1598"/>
      <c r="S987" s="1592"/>
    </row>
    <row r="988" spans="2:19" s="1593" customFormat="1" ht="11.25" customHeight="1" outlineLevel="1">
      <c r="B988" s="1594">
        <v>31887</v>
      </c>
      <c r="C988" s="1595" t="s">
        <v>3660</v>
      </c>
      <c r="D988" s="1595" t="s">
        <v>13606</v>
      </c>
      <c r="E988" s="1595"/>
      <c r="F988" s="1595"/>
      <c r="G988" s="1595"/>
      <c r="H988" s="1596">
        <v>1</v>
      </c>
      <c r="I988" s="1595"/>
      <c r="J988" s="1595"/>
      <c r="K988" s="1597">
        <v>1875</v>
      </c>
      <c r="L988" s="1597">
        <v>1875</v>
      </c>
      <c r="M988" s="1597">
        <v>-1875</v>
      </c>
      <c r="N988" s="1598"/>
      <c r="O988" s="1598"/>
      <c r="P988" s="1597">
        <v>1875</v>
      </c>
      <c r="Q988" s="1597">
        <v>-1875</v>
      </c>
      <c r="R988" s="1598"/>
      <c r="S988" s="1592"/>
    </row>
    <row r="989" spans="2:19" s="1593" customFormat="1" ht="11.25" customHeight="1" outlineLevel="1">
      <c r="B989" s="1594">
        <v>31890</v>
      </c>
      <c r="C989" s="1595" t="s">
        <v>3660</v>
      </c>
      <c r="D989" s="1595" t="s">
        <v>13605</v>
      </c>
      <c r="E989" s="1595"/>
      <c r="F989" s="1595"/>
      <c r="G989" s="1595"/>
      <c r="H989" s="1596">
        <v>1</v>
      </c>
      <c r="I989" s="1595"/>
      <c r="J989" s="1595"/>
      <c r="K989" s="1599">
        <v>468.75</v>
      </c>
      <c r="L989" s="1599">
        <v>468.75</v>
      </c>
      <c r="M989" s="1599">
        <v>-468.75</v>
      </c>
      <c r="N989" s="1598"/>
      <c r="O989" s="1598"/>
      <c r="P989" s="1599">
        <v>468.75</v>
      </c>
      <c r="Q989" s="1599">
        <v>-468.75</v>
      </c>
      <c r="R989" s="1598"/>
      <c r="S989" s="1592"/>
    </row>
    <row r="990" spans="2:19" s="1593" customFormat="1" ht="11.25" customHeight="1" outlineLevel="1">
      <c r="B990" s="1594">
        <v>31891</v>
      </c>
      <c r="C990" s="1595" t="s">
        <v>3660</v>
      </c>
      <c r="D990" s="1595" t="s">
        <v>13604</v>
      </c>
      <c r="E990" s="1595"/>
      <c r="F990" s="1595"/>
      <c r="G990" s="1595"/>
      <c r="H990" s="1596">
        <v>1</v>
      </c>
      <c r="I990" s="1595"/>
      <c r="J990" s="1595"/>
      <c r="K990" s="1599">
        <v>406.25</v>
      </c>
      <c r="L990" s="1599">
        <v>406.25</v>
      </c>
      <c r="M990" s="1599">
        <v>-406.25</v>
      </c>
      <c r="N990" s="1598"/>
      <c r="O990" s="1598"/>
      <c r="P990" s="1599">
        <v>406.25</v>
      </c>
      <c r="Q990" s="1599">
        <v>-406.25</v>
      </c>
      <c r="R990" s="1598"/>
      <c r="S990" s="1592"/>
    </row>
    <row r="991" spans="2:19" s="1593" customFormat="1" ht="11.25" customHeight="1" outlineLevel="1">
      <c r="B991" s="1594">
        <v>31892</v>
      </c>
      <c r="C991" s="1595" t="s">
        <v>3660</v>
      </c>
      <c r="D991" s="1595" t="s">
        <v>13603</v>
      </c>
      <c r="E991" s="1595"/>
      <c r="F991" s="1595"/>
      <c r="G991" s="1595"/>
      <c r="H991" s="1596">
        <v>1</v>
      </c>
      <c r="I991" s="1595"/>
      <c r="J991" s="1595"/>
      <c r="K991" s="1599">
        <v>175</v>
      </c>
      <c r="L991" s="1599">
        <v>175</v>
      </c>
      <c r="M991" s="1599">
        <v>-175</v>
      </c>
      <c r="N991" s="1598"/>
      <c r="O991" s="1598"/>
      <c r="P991" s="1599">
        <v>175</v>
      </c>
      <c r="Q991" s="1599">
        <v>-175</v>
      </c>
      <c r="R991" s="1598"/>
      <c r="S991" s="1592"/>
    </row>
    <row r="992" spans="2:19" s="1593" customFormat="1" ht="11.25" customHeight="1" outlineLevel="1">
      <c r="B992" s="1594">
        <v>35262</v>
      </c>
      <c r="C992" s="1595" t="s">
        <v>3660</v>
      </c>
      <c r="D992" s="1595" t="s">
        <v>13602</v>
      </c>
      <c r="E992" s="1595"/>
      <c r="F992" s="1595"/>
      <c r="G992" s="1595"/>
      <c r="H992" s="1596">
        <v>1</v>
      </c>
      <c r="I992" s="1595"/>
      <c r="J992" s="1595"/>
      <c r="K992" s="1599">
        <v>687.5</v>
      </c>
      <c r="L992" s="1599">
        <v>687.5</v>
      </c>
      <c r="M992" s="1599">
        <v>-687.5</v>
      </c>
      <c r="N992" s="1598"/>
      <c r="O992" s="1598"/>
      <c r="P992" s="1599">
        <v>687.5</v>
      </c>
      <c r="Q992" s="1599">
        <v>-687.5</v>
      </c>
      <c r="R992" s="1598"/>
      <c r="S992" s="1592"/>
    </row>
    <row r="993" spans="2:19" s="1593" customFormat="1" ht="11.25" customHeight="1" outlineLevel="1">
      <c r="B993" s="1594">
        <v>35788</v>
      </c>
      <c r="C993" s="1595" t="s">
        <v>3660</v>
      </c>
      <c r="D993" s="1595" t="s">
        <v>13601</v>
      </c>
      <c r="E993" s="1595"/>
      <c r="F993" s="1595"/>
      <c r="G993" s="1595"/>
      <c r="H993" s="1596">
        <v>1</v>
      </c>
      <c r="I993" s="1595"/>
      <c r="J993" s="1595"/>
      <c r="K993" s="1599">
        <v>98.75</v>
      </c>
      <c r="L993" s="1599">
        <v>98.75</v>
      </c>
      <c r="M993" s="1599">
        <v>-98.75</v>
      </c>
      <c r="N993" s="1598"/>
      <c r="O993" s="1598"/>
      <c r="P993" s="1599">
        <v>98.75</v>
      </c>
      <c r="Q993" s="1599">
        <v>-98.75</v>
      </c>
      <c r="R993" s="1598"/>
      <c r="S993" s="1592"/>
    </row>
    <row r="994" spans="2:19" s="1593" customFormat="1" ht="11.25" customHeight="1" outlineLevel="1">
      <c r="B994" s="1594">
        <v>37072</v>
      </c>
      <c r="C994" s="1595" t="s">
        <v>3660</v>
      </c>
      <c r="D994" s="1595" t="s">
        <v>13600</v>
      </c>
      <c r="E994" s="1595"/>
      <c r="F994" s="1595"/>
      <c r="G994" s="1595"/>
      <c r="H994" s="1596">
        <v>1</v>
      </c>
      <c r="I994" s="1595"/>
      <c r="J994" s="1595"/>
      <c r="K994" s="1599">
        <v>72.88</v>
      </c>
      <c r="L994" s="1599">
        <v>72.88</v>
      </c>
      <c r="M994" s="1599">
        <v>-72.88</v>
      </c>
      <c r="N994" s="1598"/>
      <c r="O994" s="1598"/>
      <c r="P994" s="1599">
        <v>72.88</v>
      </c>
      <c r="Q994" s="1599">
        <v>-72.88</v>
      </c>
      <c r="R994" s="1598"/>
      <c r="S994" s="1592"/>
    </row>
    <row r="995" spans="2:19" s="1593" customFormat="1" ht="11.25" customHeight="1" outlineLevel="1">
      <c r="B995" s="1594">
        <v>37784</v>
      </c>
      <c r="C995" s="1595" t="s">
        <v>10749</v>
      </c>
      <c r="D995" s="1595" t="s">
        <v>13599</v>
      </c>
      <c r="E995" s="1595"/>
      <c r="F995" s="1595"/>
      <c r="G995" s="1595"/>
      <c r="H995" s="1596">
        <v>1</v>
      </c>
      <c r="I995" s="1595"/>
      <c r="J995" s="1595"/>
      <c r="K995" s="1597">
        <v>2443</v>
      </c>
      <c r="L995" s="1597">
        <v>2867</v>
      </c>
      <c r="M995" s="1597">
        <v>-2867</v>
      </c>
      <c r="N995" s="1598"/>
      <c r="O995" s="1598"/>
      <c r="P995" s="1597">
        <v>2867</v>
      </c>
      <c r="Q995" s="1597">
        <v>-2867</v>
      </c>
      <c r="R995" s="1598"/>
      <c r="S995" s="1592"/>
    </row>
    <row r="996" spans="2:19" s="1593" customFormat="1" ht="11.25" customHeight="1" outlineLevel="1">
      <c r="B996" s="1594">
        <v>38151</v>
      </c>
      <c r="C996" s="1595" t="s">
        <v>12774</v>
      </c>
      <c r="D996" s="1595" t="s">
        <v>13598</v>
      </c>
      <c r="E996" s="1595"/>
      <c r="F996" s="1595"/>
      <c r="G996" s="1595"/>
      <c r="H996" s="1596">
        <v>1</v>
      </c>
      <c r="I996" s="1595"/>
      <c r="J996" s="1595"/>
      <c r="K996" s="1597">
        <v>14800</v>
      </c>
      <c r="L996" s="1597">
        <v>14800</v>
      </c>
      <c r="M996" s="1597">
        <v>-14800</v>
      </c>
      <c r="N996" s="1598"/>
      <c r="O996" s="1598"/>
      <c r="P996" s="1597">
        <v>14800</v>
      </c>
      <c r="Q996" s="1597">
        <v>-14800</v>
      </c>
      <c r="R996" s="1598"/>
      <c r="S996" s="1592"/>
    </row>
    <row r="997" spans="2:19" s="1593" customFormat="1" ht="11.25" customHeight="1" outlineLevel="1">
      <c r="B997" s="1600" t="s">
        <v>13597</v>
      </c>
      <c r="C997" s="1595" t="s">
        <v>13592</v>
      </c>
      <c r="D997" s="1595" t="s">
        <v>13596</v>
      </c>
      <c r="E997" s="1595"/>
      <c r="F997" s="1595"/>
      <c r="G997" s="1595"/>
      <c r="H997" s="1596">
        <v>3</v>
      </c>
      <c r="I997" s="1595"/>
      <c r="J997" s="1595"/>
      <c r="K997" s="1597">
        <v>1457398.08</v>
      </c>
      <c r="L997" s="1597">
        <v>1457398.08</v>
      </c>
      <c r="M997" s="1598"/>
      <c r="N997" s="1597">
        <v>1457398.08</v>
      </c>
      <c r="O997" s="1597">
        <v>298953.69</v>
      </c>
      <c r="P997" s="1597">
        <v>1008967.59</v>
      </c>
      <c r="Q997" s="1597">
        <v>149476.79999999999</v>
      </c>
      <c r="R997" s="1597">
        <v>1158444.3899999999</v>
      </c>
      <c r="S997" s="1592"/>
    </row>
    <row r="998" spans="2:19" s="1593" customFormat="1" ht="11.25" customHeight="1" outlineLevel="1">
      <c r="B998" s="1600" t="s">
        <v>13595</v>
      </c>
      <c r="C998" s="1595" t="s">
        <v>13592</v>
      </c>
      <c r="D998" s="1595" t="s">
        <v>13594</v>
      </c>
      <c r="E998" s="1595"/>
      <c r="F998" s="1595"/>
      <c r="G998" s="1595"/>
      <c r="H998" s="1596">
        <v>1</v>
      </c>
      <c r="I998" s="1595"/>
      <c r="J998" s="1595"/>
      <c r="K998" s="1597">
        <v>76186.44</v>
      </c>
      <c r="L998" s="1597">
        <v>76186.44</v>
      </c>
      <c r="M998" s="1597">
        <v>-76186.44</v>
      </c>
      <c r="N998" s="1598"/>
      <c r="O998" s="1598"/>
      <c r="P998" s="1597">
        <v>76186.44</v>
      </c>
      <c r="Q998" s="1597">
        <v>-76186.44</v>
      </c>
      <c r="R998" s="1598"/>
      <c r="S998" s="1592"/>
    </row>
    <row r="999" spans="2:19" s="1593" customFormat="1" ht="11.25" customHeight="1" outlineLevel="1">
      <c r="B999" s="1600" t="s">
        <v>13593</v>
      </c>
      <c r="C999" s="1595" t="s">
        <v>13592</v>
      </c>
      <c r="D999" s="1595" t="s">
        <v>13591</v>
      </c>
      <c r="E999" s="1595"/>
      <c r="F999" s="1595"/>
      <c r="G999" s="1595"/>
      <c r="H999" s="1596">
        <v>1</v>
      </c>
      <c r="I999" s="1595"/>
      <c r="J999" s="1595"/>
      <c r="K999" s="1597">
        <v>66275</v>
      </c>
      <c r="L999" s="1597">
        <v>66275</v>
      </c>
      <c r="M999" s="1597">
        <v>-66275</v>
      </c>
      <c r="N999" s="1598"/>
      <c r="O999" s="1598"/>
      <c r="P999" s="1597">
        <v>66275</v>
      </c>
      <c r="Q999" s="1597">
        <v>-66275</v>
      </c>
      <c r="R999" s="1598"/>
      <c r="S999" s="1592"/>
    </row>
    <row r="1000" spans="2:19" s="1593" customFormat="1" ht="11.25" customHeight="1" outlineLevel="1">
      <c r="B1000" s="1600" t="s">
        <v>13590</v>
      </c>
      <c r="C1000" s="1595" t="s">
        <v>12650</v>
      </c>
      <c r="D1000" s="1595" t="s">
        <v>13589</v>
      </c>
      <c r="E1000" s="1595"/>
      <c r="F1000" s="1595"/>
      <c r="G1000" s="1595"/>
      <c r="H1000" s="1596">
        <v>1</v>
      </c>
      <c r="I1000" s="1595"/>
      <c r="J1000" s="1595"/>
      <c r="K1000" s="1597">
        <v>142310</v>
      </c>
      <c r="L1000" s="1597">
        <v>142310</v>
      </c>
      <c r="M1000" s="1598"/>
      <c r="N1000" s="1597">
        <v>142310</v>
      </c>
      <c r="O1000" s="1597">
        <v>29960.18</v>
      </c>
      <c r="P1000" s="1597">
        <v>97369.74</v>
      </c>
      <c r="Q1000" s="1597">
        <v>14980.08</v>
      </c>
      <c r="R1000" s="1597">
        <v>112349.82</v>
      </c>
      <c r="S1000" s="1592"/>
    </row>
    <row r="1001" spans="2:19" s="1593" customFormat="1" ht="11.25" customHeight="1" outlineLevel="1">
      <c r="B1001" s="1600" t="s">
        <v>13588</v>
      </c>
      <c r="C1001" s="1595" t="s">
        <v>13587</v>
      </c>
      <c r="D1001" s="1595" t="s">
        <v>13586</v>
      </c>
      <c r="E1001" s="1595"/>
      <c r="F1001" s="1595"/>
      <c r="G1001" s="1595"/>
      <c r="H1001" s="1596">
        <v>1</v>
      </c>
      <c r="I1001" s="1595"/>
      <c r="J1001" s="1595"/>
      <c r="K1001" s="1597">
        <v>54660</v>
      </c>
      <c r="L1001" s="1597">
        <v>54660</v>
      </c>
      <c r="M1001" s="1597">
        <v>-54660</v>
      </c>
      <c r="N1001" s="1598"/>
      <c r="O1001" s="1598"/>
      <c r="P1001" s="1597">
        <v>54660</v>
      </c>
      <c r="Q1001" s="1597">
        <v>-54660</v>
      </c>
      <c r="R1001" s="1598"/>
      <c r="S1001" s="1592"/>
    </row>
    <row r="1002" spans="2:19" s="1593" customFormat="1" ht="21.75" customHeight="1" outlineLevel="1">
      <c r="B1002" s="1600" t="s">
        <v>13585</v>
      </c>
      <c r="C1002" s="1595" t="s">
        <v>13584</v>
      </c>
      <c r="D1002" s="1595" t="s">
        <v>13583</v>
      </c>
      <c r="E1002" s="1595"/>
      <c r="F1002" s="1595"/>
      <c r="G1002" s="1595"/>
      <c r="H1002" s="1596">
        <v>3</v>
      </c>
      <c r="I1002" s="1595"/>
      <c r="J1002" s="1595"/>
      <c r="K1002" s="1597">
        <v>137599.29</v>
      </c>
      <c r="L1002" s="1597">
        <v>137599.29</v>
      </c>
      <c r="M1002" s="1598"/>
      <c r="N1002" s="1597">
        <v>137599.29</v>
      </c>
      <c r="O1002" s="1597">
        <v>3700.87</v>
      </c>
      <c r="P1002" s="1597">
        <v>114666</v>
      </c>
      <c r="Q1002" s="1597">
        <v>19232.419999999998</v>
      </c>
      <c r="R1002" s="1597">
        <v>133898.42000000001</v>
      </c>
      <c r="S1002" s="1592"/>
    </row>
    <row r="1003" spans="2:19" s="1593" customFormat="1" ht="11.25" customHeight="1" outlineLevel="1">
      <c r="B1003" s="1600" t="s">
        <v>13582</v>
      </c>
      <c r="C1003" s="1595" t="s">
        <v>13581</v>
      </c>
      <c r="D1003" s="1595" t="s">
        <v>13580</v>
      </c>
      <c r="E1003" s="1595" t="s">
        <v>2288</v>
      </c>
      <c r="F1003" s="1595" t="s">
        <v>13579</v>
      </c>
      <c r="G1003" s="1595"/>
      <c r="H1003" s="1596">
        <v>3</v>
      </c>
      <c r="I1003" s="1595"/>
      <c r="J1003" s="1595"/>
      <c r="K1003" s="1597">
        <v>62711.86</v>
      </c>
      <c r="L1003" s="1597">
        <v>62711.86</v>
      </c>
      <c r="M1003" s="1597">
        <v>-62711.86</v>
      </c>
      <c r="N1003" s="1598"/>
      <c r="O1003" s="1598"/>
      <c r="P1003" s="1597">
        <v>62711.86</v>
      </c>
      <c r="Q1003" s="1597">
        <v>-62711.86</v>
      </c>
      <c r="R1003" s="1598"/>
      <c r="S1003" s="1592"/>
    </row>
    <row r="1004" spans="2:19" s="1593" customFormat="1" ht="11.25" customHeight="1" outlineLevel="1">
      <c r="B1004" s="1600" t="s">
        <v>13578</v>
      </c>
      <c r="C1004" s="1595" t="s">
        <v>13577</v>
      </c>
      <c r="D1004" s="1595" t="s">
        <v>13576</v>
      </c>
      <c r="E1004" s="1595" t="s">
        <v>13575</v>
      </c>
      <c r="F1004" s="1595"/>
      <c r="G1004" s="1595"/>
      <c r="H1004" s="1596">
        <v>1</v>
      </c>
      <c r="I1004" s="1595"/>
      <c r="J1004" s="1595"/>
      <c r="K1004" s="1597">
        <v>78074.460000000006</v>
      </c>
      <c r="L1004" s="1597">
        <v>78074.460000000006</v>
      </c>
      <c r="M1004" s="1597">
        <v>-78074.460000000006</v>
      </c>
      <c r="N1004" s="1598"/>
      <c r="O1004" s="1598"/>
      <c r="P1004" s="1597">
        <v>31229.68</v>
      </c>
      <c r="Q1004" s="1597">
        <v>-31229.68</v>
      </c>
      <c r="R1004" s="1598"/>
      <c r="S1004" s="1592"/>
    </row>
    <row r="1005" spans="2:19" s="1593" customFormat="1" ht="21.75" customHeight="1" outlineLevel="1">
      <c r="B1005" s="1600" t="s">
        <v>13574</v>
      </c>
      <c r="C1005" s="1595" t="s">
        <v>13573</v>
      </c>
      <c r="D1005" s="1595" t="s">
        <v>13572</v>
      </c>
      <c r="E1005" s="1595" t="s">
        <v>2288</v>
      </c>
      <c r="F1005" s="1595" t="s">
        <v>13571</v>
      </c>
      <c r="G1005" s="1595"/>
      <c r="H1005" s="1596">
        <v>1</v>
      </c>
      <c r="I1005" s="1595"/>
      <c r="J1005" s="1595"/>
      <c r="K1005" s="1597">
        <v>255825</v>
      </c>
      <c r="L1005" s="1597">
        <v>255825</v>
      </c>
      <c r="M1005" s="1598"/>
      <c r="N1005" s="1597">
        <v>255825</v>
      </c>
      <c r="O1005" s="1597">
        <v>6914.18</v>
      </c>
      <c r="P1005" s="1597">
        <v>165940.56</v>
      </c>
      <c r="Q1005" s="1597">
        <v>82970.259999999995</v>
      </c>
      <c r="R1005" s="1597">
        <v>248910.82</v>
      </c>
      <c r="S1005" s="1592"/>
    </row>
    <row r="1006" spans="2:19" s="1593" customFormat="1" ht="11.25" customHeight="1" outlineLevel="1">
      <c r="B1006" s="1600" t="s">
        <v>13570</v>
      </c>
      <c r="C1006" s="1595" t="s">
        <v>10620</v>
      </c>
      <c r="D1006" s="1595" t="s">
        <v>13569</v>
      </c>
      <c r="E1006" s="1595" t="s">
        <v>2288</v>
      </c>
      <c r="F1006" s="1595" t="s">
        <v>13568</v>
      </c>
      <c r="G1006" s="1595"/>
      <c r="H1006" s="1595"/>
      <c r="I1006" s="1595"/>
      <c r="J1006" s="1595"/>
      <c r="K1006" s="1597">
        <v>64371.33</v>
      </c>
      <c r="L1006" s="1597">
        <v>64371.33</v>
      </c>
      <c r="M1006" s="1597">
        <v>-64371.33</v>
      </c>
      <c r="N1006" s="1598"/>
      <c r="O1006" s="1598"/>
      <c r="P1006" s="1597">
        <v>41754.480000000003</v>
      </c>
      <c r="Q1006" s="1597">
        <v>-41754.480000000003</v>
      </c>
      <c r="R1006" s="1598"/>
      <c r="S1006" s="1592"/>
    </row>
    <row r="1007" spans="2:19" s="1593" customFormat="1" ht="11.25" customHeight="1" outlineLevel="1">
      <c r="B1007" s="1600" t="s">
        <v>13567</v>
      </c>
      <c r="C1007" s="1595" t="s">
        <v>13566</v>
      </c>
      <c r="D1007" s="1595" t="s">
        <v>13565</v>
      </c>
      <c r="E1007" s="1595"/>
      <c r="F1007" s="1595" t="s">
        <v>13564</v>
      </c>
      <c r="G1007" s="1595"/>
      <c r="H1007" s="1596">
        <v>1</v>
      </c>
      <c r="I1007" s="1595"/>
      <c r="J1007" s="1595"/>
      <c r="K1007" s="1597">
        <v>68275</v>
      </c>
      <c r="L1007" s="1597">
        <v>68275</v>
      </c>
      <c r="M1007" s="1597">
        <v>-68275</v>
      </c>
      <c r="N1007" s="1598"/>
      <c r="O1007" s="1598"/>
      <c r="P1007" s="1597">
        <v>11245.36</v>
      </c>
      <c r="Q1007" s="1597">
        <v>-11245.36</v>
      </c>
      <c r="R1007" s="1598"/>
      <c r="S1007" s="1592"/>
    </row>
    <row r="1008" spans="2:19" s="1593" customFormat="1" ht="11.25" customHeight="1" outlineLevel="1">
      <c r="B1008" s="1600" t="s">
        <v>13563</v>
      </c>
      <c r="C1008" s="1595" t="s">
        <v>13562</v>
      </c>
      <c r="D1008" s="1595" t="s">
        <v>13561</v>
      </c>
      <c r="E1008" s="1595"/>
      <c r="F1008" s="1595"/>
      <c r="G1008" s="1595"/>
      <c r="H1008" s="1595"/>
      <c r="I1008" s="1595"/>
      <c r="J1008" s="1595"/>
      <c r="K1008" s="1597">
        <v>57203.1</v>
      </c>
      <c r="L1008" s="1597">
        <v>57203.1</v>
      </c>
      <c r="M1008" s="1597">
        <v>-57203.1</v>
      </c>
      <c r="N1008" s="1598"/>
      <c r="O1008" s="1598"/>
      <c r="P1008" s="1597">
        <v>10822.21</v>
      </c>
      <c r="Q1008" s="1597">
        <v>-10822.21</v>
      </c>
      <c r="R1008" s="1598"/>
      <c r="S1008" s="1592"/>
    </row>
    <row r="1009" spans="2:19" s="1593" customFormat="1" ht="11.25" customHeight="1" outlineLevel="1">
      <c r="B1009" s="1600" t="s">
        <v>13560</v>
      </c>
      <c r="C1009" s="1595" t="s">
        <v>13559</v>
      </c>
      <c r="D1009" s="1595" t="s">
        <v>13558</v>
      </c>
      <c r="E1009" s="1595"/>
      <c r="F1009" s="1595"/>
      <c r="G1009" s="1595"/>
      <c r="H1009" s="1595"/>
      <c r="I1009" s="1595"/>
      <c r="J1009" s="1595"/>
      <c r="K1009" s="1597">
        <v>49790</v>
      </c>
      <c r="L1009" s="1597">
        <v>49790</v>
      </c>
      <c r="M1009" s="1597">
        <v>-49790</v>
      </c>
      <c r="N1009" s="1598"/>
      <c r="O1009" s="1598"/>
      <c r="P1009" s="1597">
        <v>4897.38</v>
      </c>
      <c r="Q1009" s="1597">
        <v>-4897.38</v>
      </c>
      <c r="R1009" s="1598"/>
      <c r="S1009" s="1592"/>
    </row>
    <row r="1010" spans="2:19" s="1593" customFormat="1" ht="11.25" customHeight="1" outlineLevel="1">
      <c r="B1010" s="1600" t="s">
        <v>13557</v>
      </c>
      <c r="C1010" s="1595" t="s">
        <v>13556</v>
      </c>
      <c r="D1010" s="1595" t="s">
        <v>13555</v>
      </c>
      <c r="E1010" s="1595" t="s">
        <v>2288</v>
      </c>
      <c r="F1010" s="1595" t="s">
        <v>13554</v>
      </c>
      <c r="G1010" s="1595"/>
      <c r="H1010" s="1596">
        <v>1</v>
      </c>
      <c r="I1010" s="1595"/>
      <c r="J1010" s="1595"/>
      <c r="K1010" s="1597">
        <v>735000</v>
      </c>
      <c r="L1010" s="1597">
        <v>735000</v>
      </c>
      <c r="M1010" s="1598"/>
      <c r="N1010" s="1597">
        <v>735000</v>
      </c>
      <c r="O1010" s="1597">
        <v>331935.45</v>
      </c>
      <c r="P1010" s="1597">
        <v>118548.4</v>
      </c>
      <c r="Q1010" s="1597">
        <v>284516.15000000002</v>
      </c>
      <c r="R1010" s="1597">
        <v>403064.55</v>
      </c>
      <c r="S1010" s="1592"/>
    </row>
    <row r="1011" spans="2:19" s="1593" customFormat="1" ht="11.25" customHeight="1" outlineLevel="1">
      <c r="B1011" s="1600" t="s">
        <v>13553</v>
      </c>
      <c r="C1011" s="1595" t="s">
        <v>13552</v>
      </c>
      <c r="D1011" s="1595" t="s">
        <v>13551</v>
      </c>
      <c r="E1011" s="1595" t="s">
        <v>2288</v>
      </c>
      <c r="F1011" s="1595" t="s">
        <v>13550</v>
      </c>
      <c r="G1011" s="1595"/>
      <c r="H1011" s="1596">
        <v>3</v>
      </c>
      <c r="I1011" s="1595"/>
      <c r="J1011" s="1595"/>
      <c r="K1011" s="1597">
        <v>295885</v>
      </c>
      <c r="L1011" s="1598"/>
      <c r="M1011" s="1597">
        <v>295885</v>
      </c>
      <c r="N1011" s="1597">
        <v>295885</v>
      </c>
      <c r="O1011" s="1597">
        <v>283556.45</v>
      </c>
      <c r="P1011" s="1598"/>
      <c r="Q1011" s="1597">
        <v>12328.55</v>
      </c>
      <c r="R1011" s="1597">
        <v>12328.55</v>
      </c>
      <c r="S1011" s="1592"/>
    </row>
    <row r="1012" spans="2:19" s="1593" customFormat="1" ht="5.0999999999999996" customHeight="1">
      <c r="S1012" s="1592"/>
    </row>
    <row r="1013" spans="2:19" s="1593" customFormat="1" ht="11.25" customHeight="1">
      <c r="B1013" s="1590" t="s">
        <v>12924</v>
      </c>
      <c r="C1013" s="1590"/>
      <c r="D1013" s="1590" t="s">
        <v>13549</v>
      </c>
      <c r="E1013" s="1590"/>
      <c r="F1013" s="1590"/>
      <c r="G1013" s="1590"/>
      <c r="H1013" s="1590">
        <v>2</v>
      </c>
      <c r="I1013" s="1590"/>
      <c r="J1013" s="1590"/>
      <c r="K1013" s="1591">
        <v>160113189.12</v>
      </c>
      <c r="L1013" s="1591">
        <v>192925185.40000001</v>
      </c>
      <c r="M1013" s="1591">
        <v>5932640.0599999996</v>
      </c>
      <c r="N1013" s="1591">
        <v>198857825.46000001</v>
      </c>
      <c r="O1013" s="1591">
        <v>72277177.409999996</v>
      </c>
      <c r="P1013" s="1591">
        <v>113105546.73999999</v>
      </c>
      <c r="Q1013" s="1591">
        <v>13475101.310000001</v>
      </c>
      <c r="R1013" s="1591">
        <v>126580648.05</v>
      </c>
      <c r="S1013" s="1592">
        <f>R1013/N1013</f>
        <v>0.63653843019349288</v>
      </c>
    </row>
    <row r="1014" spans="2:19" s="1593" customFormat="1" ht="21.75" customHeight="1" outlineLevel="1">
      <c r="B1014" s="1594">
        <v>10001</v>
      </c>
      <c r="C1014" s="1595" t="s">
        <v>5403</v>
      </c>
      <c r="D1014" s="1595" t="s">
        <v>13548</v>
      </c>
      <c r="E1014" s="1595"/>
      <c r="F1014" s="1595"/>
      <c r="G1014" s="1595" t="s">
        <v>13547</v>
      </c>
      <c r="H1014" s="1596">
        <v>2</v>
      </c>
      <c r="I1014" s="1595"/>
      <c r="J1014" s="1595"/>
      <c r="K1014" s="1597">
        <v>1438185</v>
      </c>
      <c r="L1014" s="1597">
        <v>1438185</v>
      </c>
      <c r="M1014" s="1598"/>
      <c r="N1014" s="1597">
        <v>1438185</v>
      </c>
      <c r="O1014" s="1597">
        <v>1015118.03</v>
      </c>
      <c r="P1014" s="1597">
        <v>408685.09</v>
      </c>
      <c r="Q1014" s="1597">
        <v>14381.88</v>
      </c>
      <c r="R1014" s="1597">
        <v>423066.97</v>
      </c>
      <c r="S1014" s="1592"/>
    </row>
    <row r="1015" spans="2:19" s="1593" customFormat="1" ht="21.75" customHeight="1" outlineLevel="1">
      <c r="B1015" s="1594">
        <v>10023</v>
      </c>
      <c r="C1015" s="1595" t="s">
        <v>5403</v>
      </c>
      <c r="D1015" s="1595" t="s">
        <v>13546</v>
      </c>
      <c r="E1015" s="1595"/>
      <c r="F1015" s="1595"/>
      <c r="G1015" s="1595" t="s">
        <v>13122</v>
      </c>
      <c r="H1015" s="1596">
        <v>2</v>
      </c>
      <c r="I1015" s="1595"/>
      <c r="J1015" s="1595"/>
      <c r="K1015" s="1597">
        <v>1235397</v>
      </c>
      <c r="L1015" s="1597">
        <v>1235397</v>
      </c>
      <c r="M1015" s="1598"/>
      <c r="N1015" s="1597">
        <v>1235397</v>
      </c>
      <c r="O1015" s="1597">
        <v>799300.8</v>
      </c>
      <c r="P1015" s="1597">
        <v>421271.4</v>
      </c>
      <c r="Q1015" s="1597">
        <v>14824.8</v>
      </c>
      <c r="R1015" s="1597">
        <v>436096.2</v>
      </c>
      <c r="S1015" s="1592"/>
    </row>
    <row r="1016" spans="2:19" s="1593" customFormat="1" ht="11.25" customHeight="1" outlineLevel="1">
      <c r="B1016" s="1594">
        <v>10024</v>
      </c>
      <c r="C1016" s="1595" t="s">
        <v>5403</v>
      </c>
      <c r="D1016" s="1595" t="s">
        <v>13545</v>
      </c>
      <c r="E1016" s="1595"/>
      <c r="F1016" s="1595"/>
      <c r="G1016" s="1595"/>
      <c r="H1016" s="1596">
        <v>2</v>
      </c>
      <c r="I1016" s="1595"/>
      <c r="J1016" s="1595"/>
      <c r="K1016" s="1599">
        <v>236</v>
      </c>
      <c r="L1016" s="1599">
        <v>236</v>
      </c>
      <c r="M1016" s="1599">
        <v>-236</v>
      </c>
      <c r="N1016" s="1598"/>
      <c r="O1016" s="1598"/>
      <c r="P1016" s="1599">
        <v>236</v>
      </c>
      <c r="Q1016" s="1599">
        <v>-236</v>
      </c>
      <c r="R1016" s="1598"/>
      <c r="S1016" s="1592"/>
    </row>
    <row r="1017" spans="2:19" s="1593" customFormat="1" ht="11.25" customHeight="1" outlineLevel="1">
      <c r="B1017" s="1594">
        <v>10025</v>
      </c>
      <c r="C1017" s="1595" t="s">
        <v>5403</v>
      </c>
      <c r="D1017" s="1595" t="s">
        <v>13544</v>
      </c>
      <c r="E1017" s="1595"/>
      <c r="F1017" s="1595"/>
      <c r="G1017" s="1595"/>
      <c r="H1017" s="1596">
        <v>2</v>
      </c>
      <c r="I1017" s="1595"/>
      <c r="J1017" s="1595"/>
      <c r="K1017" s="1599">
        <v>828</v>
      </c>
      <c r="L1017" s="1599">
        <v>828</v>
      </c>
      <c r="M1017" s="1599">
        <v>-828</v>
      </c>
      <c r="N1017" s="1598"/>
      <c r="O1017" s="1598"/>
      <c r="P1017" s="1599">
        <v>828</v>
      </c>
      <c r="Q1017" s="1599">
        <v>-828</v>
      </c>
      <c r="R1017" s="1598"/>
      <c r="S1017" s="1592"/>
    </row>
    <row r="1018" spans="2:19" s="1593" customFormat="1" ht="11.25" customHeight="1" outlineLevel="1">
      <c r="B1018" s="1594">
        <v>10033</v>
      </c>
      <c r="C1018" s="1595" t="s">
        <v>5403</v>
      </c>
      <c r="D1018" s="1595" t="s">
        <v>13543</v>
      </c>
      <c r="E1018" s="1595"/>
      <c r="F1018" s="1595"/>
      <c r="G1018" s="1595"/>
      <c r="H1018" s="1596">
        <v>2</v>
      </c>
      <c r="I1018" s="1595"/>
      <c r="J1018" s="1595"/>
      <c r="K1018" s="1597">
        <v>3735</v>
      </c>
      <c r="L1018" s="1597">
        <v>3735</v>
      </c>
      <c r="M1018" s="1597">
        <v>-3735</v>
      </c>
      <c r="N1018" s="1598"/>
      <c r="O1018" s="1598"/>
      <c r="P1018" s="1597">
        <v>3735</v>
      </c>
      <c r="Q1018" s="1597">
        <v>-3735</v>
      </c>
      <c r="R1018" s="1598"/>
      <c r="S1018" s="1592"/>
    </row>
    <row r="1019" spans="2:19" s="1593" customFormat="1" ht="11.25" customHeight="1" outlineLevel="1">
      <c r="B1019" s="1594">
        <v>10034</v>
      </c>
      <c r="C1019" s="1595" t="s">
        <v>5403</v>
      </c>
      <c r="D1019" s="1595" t="s">
        <v>13542</v>
      </c>
      <c r="E1019" s="1595"/>
      <c r="F1019" s="1595"/>
      <c r="G1019" s="1595"/>
      <c r="H1019" s="1596">
        <v>2</v>
      </c>
      <c r="I1019" s="1595"/>
      <c r="J1019" s="1595"/>
      <c r="K1019" s="1599">
        <v>589</v>
      </c>
      <c r="L1019" s="1599">
        <v>589</v>
      </c>
      <c r="M1019" s="1599">
        <v>-589</v>
      </c>
      <c r="N1019" s="1598"/>
      <c r="O1019" s="1598"/>
      <c r="P1019" s="1599">
        <v>589</v>
      </c>
      <c r="Q1019" s="1599">
        <v>-589</v>
      </c>
      <c r="R1019" s="1598"/>
      <c r="S1019" s="1592"/>
    </row>
    <row r="1020" spans="2:19" s="1593" customFormat="1" ht="11.25" customHeight="1" outlineLevel="1">
      <c r="B1020" s="1594">
        <v>10035</v>
      </c>
      <c r="C1020" s="1595" t="s">
        <v>5403</v>
      </c>
      <c r="D1020" s="1595" t="s">
        <v>13541</v>
      </c>
      <c r="E1020" s="1595"/>
      <c r="F1020" s="1595"/>
      <c r="G1020" s="1595"/>
      <c r="H1020" s="1596">
        <v>2</v>
      </c>
      <c r="I1020" s="1595"/>
      <c r="J1020" s="1595"/>
      <c r="K1020" s="1597">
        <v>1318</v>
      </c>
      <c r="L1020" s="1597">
        <v>1318</v>
      </c>
      <c r="M1020" s="1597">
        <v>-1318</v>
      </c>
      <c r="N1020" s="1598"/>
      <c r="O1020" s="1598"/>
      <c r="P1020" s="1597">
        <v>1318</v>
      </c>
      <c r="Q1020" s="1597">
        <v>-1318</v>
      </c>
      <c r="R1020" s="1598"/>
      <c r="S1020" s="1592"/>
    </row>
    <row r="1021" spans="2:19" s="1593" customFormat="1" ht="11.25" customHeight="1" outlineLevel="1">
      <c r="B1021" s="1594">
        <v>10039</v>
      </c>
      <c r="C1021" s="1595" t="s">
        <v>5403</v>
      </c>
      <c r="D1021" s="1595" t="s">
        <v>13540</v>
      </c>
      <c r="E1021" s="1595"/>
      <c r="F1021" s="1595"/>
      <c r="G1021" s="1595"/>
      <c r="H1021" s="1596">
        <v>2</v>
      </c>
      <c r="I1021" s="1595"/>
      <c r="J1021" s="1595"/>
      <c r="K1021" s="1597">
        <v>1431</v>
      </c>
      <c r="L1021" s="1597">
        <v>1431</v>
      </c>
      <c r="M1021" s="1597">
        <v>-1431</v>
      </c>
      <c r="N1021" s="1598"/>
      <c r="O1021" s="1598"/>
      <c r="P1021" s="1597">
        <v>1431</v>
      </c>
      <c r="Q1021" s="1597">
        <v>-1431</v>
      </c>
      <c r="R1021" s="1598"/>
      <c r="S1021" s="1592"/>
    </row>
    <row r="1022" spans="2:19" s="1593" customFormat="1" ht="11.25" customHeight="1" outlineLevel="1">
      <c r="B1022" s="1594">
        <v>10040</v>
      </c>
      <c r="C1022" s="1595" t="s">
        <v>5403</v>
      </c>
      <c r="D1022" s="1595" t="s">
        <v>13539</v>
      </c>
      <c r="E1022" s="1595"/>
      <c r="F1022" s="1595"/>
      <c r="G1022" s="1595"/>
      <c r="H1022" s="1596">
        <v>2</v>
      </c>
      <c r="I1022" s="1595"/>
      <c r="J1022" s="1595"/>
      <c r="K1022" s="1599">
        <v>246</v>
      </c>
      <c r="L1022" s="1599">
        <v>246.26</v>
      </c>
      <c r="M1022" s="1599">
        <v>-246.26</v>
      </c>
      <c r="N1022" s="1598"/>
      <c r="O1022" s="1598"/>
      <c r="P1022" s="1599">
        <v>246.26</v>
      </c>
      <c r="Q1022" s="1599">
        <v>-246.26</v>
      </c>
      <c r="R1022" s="1598"/>
      <c r="S1022" s="1592"/>
    </row>
    <row r="1023" spans="2:19" s="1593" customFormat="1" ht="11.25" customHeight="1" outlineLevel="1">
      <c r="B1023" s="1594">
        <v>10045</v>
      </c>
      <c r="C1023" s="1595" t="s">
        <v>5403</v>
      </c>
      <c r="D1023" s="1595" t="s">
        <v>13538</v>
      </c>
      <c r="E1023" s="1595"/>
      <c r="F1023" s="1595"/>
      <c r="G1023" s="1595"/>
      <c r="H1023" s="1596">
        <v>2</v>
      </c>
      <c r="I1023" s="1595"/>
      <c r="J1023" s="1595"/>
      <c r="K1023" s="1597">
        <v>64494</v>
      </c>
      <c r="L1023" s="1597">
        <v>64494</v>
      </c>
      <c r="M1023" s="1597">
        <v>-64494</v>
      </c>
      <c r="N1023" s="1598"/>
      <c r="O1023" s="1598"/>
      <c r="P1023" s="1597">
        <v>64494</v>
      </c>
      <c r="Q1023" s="1597">
        <v>-64494</v>
      </c>
      <c r="R1023" s="1598"/>
      <c r="S1023" s="1592"/>
    </row>
    <row r="1024" spans="2:19" s="1593" customFormat="1" ht="11.25" customHeight="1" outlineLevel="1">
      <c r="B1024" s="1594">
        <v>10046</v>
      </c>
      <c r="C1024" s="1595" t="s">
        <v>5403</v>
      </c>
      <c r="D1024" s="1595" t="s">
        <v>13537</v>
      </c>
      <c r="E1024" s="1595"/>
      <c r="F1024" s="1595"/>
      <c r="G1024" s="1595"/>
      <c r="H1024" s="1596">
        <v>2</v>
      </c>
      <c r="I1024" s="1595"/>
      <c r="J1024" s="1595"/>
      <c r="K1024" s="1597">
        <v>48570</v>
      </c>
      <c r="L1024" s="1597">
        <v>48570</v>
      </c>
      <c r="M1024" s="1597">
        <v>-48570</v>
      </c>
      <c r="N1024" s="1598"/>
      <c r="O1024" s="1598"/>
      <c r="P1024" s="1597">
        <v>48570</v>
      </c>
      <c r="Q1024" s="1597">
        <v>-48570</v>
      </c>
      <c r="R1024" s="1598"/>
      <c r="S1024" s="1592"/>
    </row>
    <row r="1025" spans="2:19" s="1593" customFormat="1" ht="11.25" customHeight="1" outlineLevel="1">
      <c r="B1025" s="1594">
        <v>10047</v>
      </c>
      <c r="C1025" s="1595" t="s">
        <v>5403</v>
      </c>
      <c r="D1025" s="1595" t="s">
        <v>13536</v>
      </c>
      <c r="E1025" s="1595"/>
      <c r="F1025" s="1595"/>
      <c r="G1025" s="1595"/>
      <c r="H1025" s="1596">
        <v>2</v>
      </c>
      <c r="I1025" s="1595"/>
      <c r="J1025" s="1595"/>
      <c r="K1025" s="1599">
        <v>101</v>
      </c>
      <c r="L1025" s="1599">
        <v>101</v>
      </c>
      <c r="M1025" s="1599">
        <v>-101</v>
      </c>
      <c r="N1025" s="1598"/>
      <c r="O1025" s="1598"/>
      <c r="P1025" s="1599">
        <v>101</v>
      </c>
      <c r="Q1025" s="1599">
        <v>-101</v>
      </c>
      <c r="R1025" s="1598"/>
      <c r="S1025" s="1592"/>
    </row>
    <row r="1026" spans="2:19" s="1593" customFormat="1" ht="11.25" customHeight="1" outlineLevel="1">
      <c r="B1026" s="1594">
        <v>10048</v>
      </c>
      <c r="C1026" s="1595" t="s">
        <v>5403</v>
      </c>
      <c r="D1026" s="1595" t="s">
        <v>13535</v>
      </c>
      <c r="E1026" s="1595"/>
      <c r="F1026" s="1595"/>
      <c r="G1026" s="1595"/>
      <c r="H1026" s="1596">
        <v>2</v>
      </c>
      <c r="I1026" s="1595"/>
      <c r="J1026" s="1595"/>
      <c r="K1026" s="1599">
        <v>76</v>
      </c>
      <c r="L1026" s="1599">
        <v>75.5</v>
      </c>
      <c r="M1026" s="1599">
        <v>-75.5</v>
      </c>
      <c r="N1026" s="1598"/>
      <c r="O1026" s="1598"/>
      <c r="P1026" s="1599">
        <v>75.5</v>
      </c>
      <c r="Q1026" s="1599">
        <v>-75.5</v>
      </c>
      <c r="R1026" s="1598"/>
      <c r="S1026" s="1592"/>
    </row>
    <row r="1027" spans="2:19" s="1593" customFormat="1" ht="21.75" customHeight="1" outlineLevel="1">
      <c r="B1027" s="1594">
        <v>10054</v>
      </c>
      <c r="C1027" s="1595" t="s">
        <v>5403</v>
      </c>
      <c r="D1027" s="1595" t="s">
        <v>13534</v>
      </c>
      <c r="E1027" s="1595"/>
      <c r="F1027" s="1595"/>
      <c r="G1027" s="1595" t="s">
        <v>13499</v>
      </c>
      <c r="H1027" s="1596">
        <v>2</v>
      </c>
      <c r="I1027" s="1595"/>
      <c r="J1027" s="1595"/>
      <c r="K1027" s="1597">
        <v>18709132</v>
      </c>
      <c r="L1027" s="1597">
        <v>26488425</v>
      </c>
      <c r="M1027" s="1598"/>
      <c r="N1027" s="1597">
        <v>26488425</v>
      </c>
      <c r="O1027" s="1597">
        <v>708015.29</v>
      </c>
      <c r="P1027" s="1597">
        <v>22101051.579999998</v>
      </c>
      <c r="Q1027" s="1597">
        <v>3679358.13</v>
      </c>
      <c r="R1027" s="1597">
        <v>25780409.710000001</v>
      </c>
      <c r="S1027" s="1592"/>
    </row>
    <row r="1028" spans="2:19" s="1593" customFormat="1" ht="11.25" customHeight="1" outlineLevel="1">
      <c r="B1028" s="1594">
        <v>10055</v>
      </c>
      <c r="C1028" s="1595" t="s">
        <v>5403</v>
      </c>
      <c r="D1028" s="1595" t="s">
        <v>13533</v>
      </c>
      <c r="E1028" s="1595"/>
      <c r="F1028" s="1595"/>
      <c r="G1028" s="1595"/>
      <c r="H1028" s="1596">
        <v>2</v>
      </c>
      <c r="I1028" s="1595"/>
      <c r="J1028" s="1595"/>
      <c r="K1028" s="1599">
        <v>312</v>
      </c>
      <c r="L1028" s="1599">
        <v>312</v>
      </c>
      <c r="M1028" s="1599">
        <v>-312</v>
      </c>
      <c r="N1028" s="1598"/>
      <c r="O1028" s="1598"/>
      <c r="P1028" s="1599">
        <v>312</v>
      </c>
      <c r="Q1028" s="1599">
        <v>-312</v>
      </c>
      <c r="R1028" s="1598"/>
      <c r="S1028" s="1592"/>
    </row>
    <row r="1029" spans="2:19" s="1593" customFormat="1" ht="11.25" customHeight="1" outlineLevel="1">
      <c r="B1029" s="1594">
        <v>10057</v>
      </c>
      <c r="C1029" s="1595" t="s">
        <v>5403</v>
      </c>
      <c r="D1029" s="1595" t="s">
        <v>13532</v>
      </c>
      <c r="E1029" s="1595"/>
      <c r="F1029" s="1595"/>
      <c r="G1029" s="1595"/>
      <c r="H1029" s="1596">
        <v>2</v>
      </c>
      <c r="I1029" s="1595"/>
      <c r="J1029" s="1595"/>
      <c r="K1029" s="1599">
        <v>603</v>
      </c>
      <c r="L1029" s="1599">
        <v>603</v>
      </c>
      <c r="M1029" s="1599">
        <v>-603</v>
      </c>
      <c r="N1029" s="1598"/>
      <c r="O1029" s="1598"/>
      <c r="P1029" s="1599">
        <v>603</v>
      </c>
      <c r="Q1029" s="1599">
        <v>-603</v>
      </c>
      <c r="R1029" s="1598"/>
      <c r="S1029" s="1592"/>
    </row>
    <row r="1030" spans="2:19" s="1593" customFormat="1" ht="11.25" customHeight="1" outlineLevel="1">
      <c r="B1030" s="1594">
        <v>10060</v>
      </c>
      <c r="C1030" s="1595" t="s">
        <v>5403</v>
      </c>
      <c r="D1030" s="1595" t="s">
        <v>13531</v>
      </c>
      <c r="E1030" s="1595"/>
      <c r="F1030" s="1595"/>
      <c r="G1030" s="1595"/>
      <c r="H1030" s="1596">
        <v>2</v>
      </c>
      <c r="I1030" s="1595"/>
      <c r="J1030" s="1595"/>
      <c r="K1030" s="1599">
        <v>113</v>
      </c>
      <c r="L1030" s="1599">
        <v>113.5</v>
      </c>
      <c r="M1030" s="1599">
        <v>-113.5</v>
      </c>
      <c r="N1030" s="1598"/>
      <c r="O1030" s="1598"/>
      <c r="P1030" s="1599">
        <v>113.5</v>
      </c>
      <c r="Q1030" s="1599">
        <v>-113.5</v>
      </c>
      <c r="R1030" s="1598"/>
      <c r="S1030" s="1592"/>
    </row>
    <row r="1031" spans="2:19" s="1593" customFormat="1" ht="11.25" customHeight="1" outlineLevel="1">
      <c r="B1031" s="1594">
        <v>10061</v>
      </c>
      <c r="C1031" s="1595" t="s">
        <v>5403</v>
      </c>
      <c r="D1031" s="1595" t="s">
        <v>13530</v>
      </c>
      <c r="E1031" s="1595"/>
      <c r="F1031" s="1595"/>
      <c r="G1031" s="1595"/>
      <c r="H1031" s="1596">
        <v>2</v>
      </c>
      <c r="I1031" s="1595"/>
      <c r="J1031" s="1595"/>
      <c r="K1031" s="1597">
        <v>1507</v>
      </c>
      <c r="L1031" s="1597">
        <v>1507.25</v>
      </c>
      <c r="M1031" s="1597">
        <v>-1507.25</v>
      </c>
      <c r="N1031" s="1598"/>
      <c r="O1031" s="1598"/>
      <c r="P1031" s="1597">
        <v>1507.25</v>
      </c>
      <c r="Q1031" s="1597">
        <v>-1507.25</v>
      </c>
      <c r="R1031" s="1598"/>
      <c r="S1031" s="1592"/>
    </row>
    <row r="1032" spans="2:19" s="1593" customFormat="1" ht="11.25" customHeight="1" outlineLevel="1">
      <c r="B1032" s="1594">
        <v>10063</v>
      </c>
      <c r="C1032" s="1595" t="s">
        <v>5403</v>
      </c>
      <c r="D1032" s="1595" t="s">
        <v>13529</v>
      </c>
      <c r="E1032" s="1595"/>
      <c r="F1032" s="1595"/>
      <c r="G1032" s="1595"/>
      <c r="H1032" s="1596">
        <v>2</v>
      </c>
      <c r="I1032" s="1595"/>
      <c r="J1032" s="1595"/>
      <c r="K1032" s="1599">
        <v>741</v>
      </c>
      <c r="L1032" s="1599">
        <v>741</v>
      </c>
      <c r="M1032" s="1599">
        <v>-741</v>
      </c>
      <c r="N1032" s="1598"/>
      <c r="O1032" s="1598"/>
      <c r="P1032" s="1599">
        <v>741</v>
      </c>
      <c r="Q1032" s="1599">
        <v>-741</v>
      </c>
      <c r="R1032" s="1598"/>
      <c r="S1032" s="1592"/>
    </row>
    <row r="1033" spans="2:19" s="1593" customFormat="1" ht="11.25" customHeight="1" outlineLevel="1">
      <c r="B1033" s="1594">
        <v>10064</v>
      </c>
      <c r="C1033" s="1595" t="s">
        <v>5403</v>
      </c>
      <c r="D1033" s="1595" t="s">
        <v>13528</v>
      </c>
      <c r="E1033" s="1595"/>
      <c r="F1033" s="1595"/>
      <c r="G1033" s="1595"/>
      <c r="H1033" s="1596">
        <v>2</v>
      </c>
      <c r="I1033" s="1595"/>
      <c r="J1033" s="1595"/>
      <c r="K1033" s="1599">
        <v>36</v>
      </c>
      <c r="L1033" s="1599">
        <v>35.5</v>
      </c>
      <c r="M1033" s="1599">
        <v>-35.5</v>
      </c>
      <c r="N1033" s="1598"/>
      <c r="O1033" s="1598"/>
      <c r="P1033" s="1599">
        <v>35.5</v>
      </c>
      <c r="Q1033" s="1599">
        <v>-35.5</v>
      </c>
      <c r="R1033" s="1598"/>
      <c r="S1033" s="1592"/>
    </row>
    <row r="1034" spans="2:19" s="1593" customFormat="1" ht="11.25" customHeight="1" outlineLevel="1">
      <c r="B1034" s="1594">
        <v>10065</v>
      </c>
      <c r="C1034" s="1595" t="s">
        <v>5403</v>
      </c>
      <c r="D1034" s="1595" t="s">
        <v>13527</v>
      </c>
      <c r="E1034" s="1595"/>
      <c r="F1034" s="1595"/>
      <c r="G1034" s="1595"/>
      <c r="H1034" s="1596">
        <v>2</v>
      </c>
      <c r="I1034" s="1595"/>
      <c r="J1034" s="1595"/>
      <c r="K1034" s="1599">
        <v>18</v>
      </c>
      <c r="L1034" s="1599">
        <v>17.55</v>
      </c>
      <c r="M1034" s="1599">
        <v>-17.55</v>
      </c>
      <c r="N1034" s="1598"/>
      <c r="O1034" s="1598"/>
      <c r="P1034" s="1599">
        <v>17.55</v>
      </c>
      <c r="Q1034" s="1599">
        <v>-17.55</v>
      </c>
      <c r="R1034" s="1598"/>
      <c r="S1034" s="1592"/>
    </row>
    <row r="1035" spans="2:19" s="1593" customFormat="1" ht="11.25" customHeight="1" outlineLevel="1">
      <c r="B1035" s="1594">
        <v>10066</v>
      </c>
      <c r="C1035" s="1595" t="s">
        <v>5403</v>
      </c>
      <c r="D1035" s="1595" t="s">
        <v>13526</v>
      </c>
      <c r="E1035" s="1595"/>
      <c r="F1035" s="1595"/>
      <c r="G1035" s="1595"/>
      <c r="H1035" s="1596">
        <v>2</v>
      </c>
      <c r="I1035" s="1595"/>
      <c r="J1035" s="1595"/>
      <c r="K1035" s="1599">
        <v>10</v>
      </c>
      <c r="L1035" s="1599">
        <v>9.5</v>
      </c>
      <c r="M1035" s="1599">
        <v>-9.5</v>
      </c>
      <c r="N1035" s="1598"/>
      <c r="O1035" s="1598"/>
      <c r="P1035" s="1599">
        <v>9.5</v>
      </c>
      <c r="Q1035" s="1599">
        <v>-9.5</v>
      </c>
      <c r="R1035" s="1598"/>
      <c r="S1035" s="1592"/>
    </row>
    <row r="1036" spans="2:19" s="1593" customFormat="1" ht="11.25" customHeight="1" outlineLevel="1">
      <c r="B1036" s="1594">
        <v>10068</v>
      </c>
      <c r="C1036" s="1595" t="s">
        <v>5403</v>
      </c>
      <c r="D1036" s="1595" t="s">
        <v>13525</v>
      </c>
      <c r="E1036" s="1595"/>
      <c r="F1036" s="1595"/>
      <c r="G1036" s="1595" t="s">
        <v>3734</v>
      </c>
      <c r="H1036" s="1596">
        <v>2</v>
      </c>
      <c r="I1036" s="1595"/>
      <c r="J1036" s="1595"/>
      <c r="K1036" s="1597">
        <v>5836</v>
      </c>
      <c r="L1036" s="1597">
        <v>5836</v>
      </c>
      <c r="M1036" s="1598"/>
      <c r="N1036" s="1597">
        <v>5836</v>
      </c>
      <c r="O1036" s="1597">
        <v>2401.4299999999998</v>
      </c>
      <c r="P1036" s="1597">
        <v>3317.93</v>
      </c>
      <c r="Q1036" s="1599">
        <v>116.64</v>
      </c>
      <c r="R1036" s="1597">
        <v>3434.57</v>
      </c>
      <c r="S1036" s="1592"/>
    </row>
    <row r="1037" spans="2:19" s="1593" customFormat="1" ht="11.25" customHeight="1" outlineLevel="1">
      <c r="B1037" s="1594">
        <v>10071</v>
      </c>
      <c r="C1037" s="1595" t="s">
        <v>5403</v>
      </c>
      <c r="D1037" s="1595" t="s">
        <v>13524</v>
      </c>
      <c r="E1037" s="1595"/>
      <c r="F1037" s="1595"/>
      <c r="G1037" s="1595"/>
      <c r="H1037" s="1596">
        <v>2</v>
      </c>
      <c r="I1037" s="1595"/>
      <c r="J1037" s="1595"/>
      <c r="K1037" s="1597">
        <v>2175</v>
      </c>
      <c r="L1037" s="1597">
        <v>2175.5</v>
      </c>
      <c r="M1037" s="1597">
        <v>-2175.5</v>
      </c>
      <c r="N1037" s="1598"/>
      <c r="O1037" s="1598"/>
      <c r="P1037" s="1597">
        <v>2175.5</v>
      </c>
      <c r="Q1037" s="1597">
        <v>-2175.5</v>
      </c>
      <c r="R1037" s="1598"/>
      <c r="S1037" s="1592"/>
    </row>
    <row r="1038" spans="2:19" s="1593" customFormat="1" ht="11.25" customHeight="1" outlineLevel="1">
      <c r="B1038" s="1594">
        <v>10072</v>
      </c>
      <c r="C1038" s="1595" t="s">
        <v>5403</v>
      </c>
      <c r="D1038" s="1595" t="s">
        <v>13523</v>
      </c>
      <c r="E1038" s="1595"/>
      <c r="F1038" s="1595"/>
      <c r="G1038" s="1595"/>
      <c r="H1038" s="1596">
        <v>2</v>
      </c>
      <c r="I1038" s="1595"/>
      <c r="J1038" s="1595"/>
      <c r="K1038" s="1597">
        <v>3097</v>
      </c>
      <c r="L1038" s="1597">
        <v>3097</v>
      </c>
      <c r="M1038" s="1597">
        <v>-3097</v>
      </c>
      <c r="N1038" s="1598"/>
      <c r="O1038" s="1598"/>
      <c r="P1038" s="1597">
        <v>3097</v>
      </c>
      <c r="Q1038" s="1597">
        <v>-3097</v>
      </c>
      <c r="R1038" s="1598"/>
      <c r="S1038" s="1592"/>
    </row>
    <row r="1039" spans="2:19" s="1593" customFormat="1" ht="11.25" customHeight="1" outlineLevel="1">
      <c r="B1039" s="1594">
        <v>10078</v>
      </c>
      <c r="C1039" s="1595" t="s">
        <v>5403</v>
      </c>
      <c r="D1039" s="1595" t="s">
        <v>13522</v>
      </c>
      <c r="E1039" s="1595"/>
      <c r="F1039" s="1595"/>
      <c r="G1039" s="1595" t="s">
        <v>13122</v>
      </c>
      <c r="H1039" s="1596">
        <v>2</v>
      </c>
      <c r="I1039" s="1595"/>
      <c r="J1039" s="1595"/>
      <c r="K1039" s="1597">
        <v>263188</v>
      </c>
      <c r="L1039" s="1597">
        <v>263188</v>
      </c>
      <c r="M1039" s="1598"/>
      <c r="N1039" s="1597">
        <v>263188</v>
      </c>
      <c r="O1039" s="1597">
        <v>170281.93</v>
      </c>
      <c r="P1039" s="1597">
        <v>89747.79</v>
      </c>
      <c r="Q1039" s="1597">
        <v>3158.28</v>
      </c>
      <c r="R1039" s="1597">
        <v>92906.07</v>
      </c>
      <c r="S1039" s="1592"/>
    </row>
    <row r="1040" spans="2:19" s="1593" customFormat="1" ht="11.25" customHeight="1" outlineLevel="1">
      <c r="B1040" s="1594">
        <v>10081</v>
      </c>
      <c r="C1040" s="1595" t="s">
        <v>5403</v>
      </c>
      <c r="D1040" s="1595" t="s">
        <v>13521</v>
      </c>
      <c r="E1040" s="1595"/>
      <c r="F1040" s="1595"/>
      <c r="G1040" s="1595"/>
      <c r="H1040" s="1596">
        <v>2</v>
      </c>
      <c r="I1040" s="1595"/>
      <c r="J1040" s="1595"/>
      <c r="K1040" s="1597">
        <v>3857</v>
      </c>
      <c r="L1040" s="1597">
        <v>3857</v>
      </c>
      <c r="M1040" s="1597">
        <v>-3857</v>
      </c>
      <c r="N1040" s="1598"/>
      <c r="O1040" s="1598"/>
      <c r="P1040" s="1597">
        <v>3857</v>
      </c>
      <c r="Q1040" s="1597">
        <v>-3857</v>
      </c>
      <c r="R1040" s="1598"/>
      <c r="S1040" s="1592"/>
    </row>
    <row r="1041" spans="2:19" s="1593" customFormat="1" ht="11.25" customHeight="1" outlineLevel="1">
      <c r="B1041" s="1594">
        <v>10082</v>
      </c>
      <c r="C1041" s="1595" t="s">
        <v>5403</v>
      </c>
      <c r="D1041" s="1595" t="s">
        <v>13520</v>
      </c>
      <c r="E1041" s="1595"/>
      <c r="F1041" s="1595"/>
      <c r="G1041" s="1595"/>
      <c r="H1041" s="1596">
        <v>2</v>
      </c>
      <c r="I1041" s="1595"/>
      <c r="J1041" s="1595"/>
      <c r="K1041" s="1597">
        <v>1126</v>
      </c>
      <c r="L1041" s="1597">
        <v>1126</v>
      </c>
      <c r="M1041" s="1597">
        <v>-1126</v>
      </c>
      <c r="N1041" s="1598"/>
      <c r="O1041" s="1598"/>
      <c r="P1041" s="1597">
        <v>1126</v>
      </c>
      <c r="Q1041" s="1597">
        <v>-1126</v>
      </c>
      <c r="R1041" s="1598"/>
      <c r="S1041" s="1592"/>
    </row>
    <row r="1042" spans="2:19" s="1593" customFormat="1" ht="21.75" customHeight="1" outlineLevel="1">
      <c r="B1042" s="1594">
        <v>10083</v>
      </c>
      <c r="C1042" s="1595" t="s">
        <v>5403</v>
      </c>
      <c r="D1042" s="1595" t="s">
        <v>13519</v>
      </c>
      <c r="E1042" s="1595"/>
      <c r="F1042" s="1595"/>
      <c r="G1042" s="1595" t="s">
        <v>13518</v>
      </c>
      <c r="H1042" s="1596">
        <v>2</v>
      </c>
      <c r="I1042" s="1595"/>
      <c r="J1042" s="1595"/>
      <c r="K1042" s="1597">
        <v>35448</v>
      </c>
      <c r="L1042" s="1597">
        <v>35448</v>
      </c>
      <c r="M1042" s="1598"/>
      <c r="N1042" s="1597">
        <v>35448</v>
      </c>
      <c r="O1042" s="1597">
        <v>5150.01</v>
      </c>
      <c r="P1042" s="1597">
        <v>29268.03</v>
      </c>
      <c r="Q1042" s="1597">
        <v>1029.96</v>
      </c>
      <c r="R1042" s="1597">
        <v>30297.99</v>
      </c>
      <c r="S1042" s="1592"/>
    </row>
    <row r="1043" spans="2:19" s="1593" customFormat="1" ht="11.25" customHeight="1" outlineLevel="1">
      <c r="B1043" s="1594">
        <v>10086</v>
      </c>
      <c r="C1043" s="1595" t="s">
        <v>5403</v>
      </c>
      <c r="D1043" s="1595" t="s">
        <v>13517</v>
      </c>
      <c r="E1043" s="1595"/>
      <c r="F1043" s="1595"/>
      <c r="G1043" s="1595"/>
      <c r="H1043" s="1596">
        <v>2</v>
      </c>
      <c r="I1043" s="1595"/>
      <c r="J1043" s="1595"/>
      <c r="K1043" s="1597">
        <v>2597</v>
      </c>
      <c r="L1043" s="1597">
        <v>2597</v>
      </c>
      <c r="M1043" s="1597">
        <v>-2597</v>
      </c>
      <c r="N1043" s="1598"/>
      <c r="O1043" s="1598"/>
      <c r="P1043" s="1597">
        <v>2597</v>
      </c>
      <c r="Q1043" s="1597">
        <v>-2597</v>
      </c>
      <c r="R1043" s="1598"/>
      <c r="S1043" s="1592"/>
    </row>
    <row r="1044" spans="2:19" s="1593" customFormat="1" ht="11.25" customHeight="1" outlineLevel="1">
      <c r="B1044" s="1594">
        <v>10088</v>
      </c>
      <c r="C1044" s="1595" t="s">
        <v>5403</v>
      </c>
      <c r="D1044" s="1595" t="s">
        <v>13516</v>
      </c>
      <c r="E1044" s="1595"/>
      <c r="F1044" s="1595"/>
      <c r="G1044" s="1595" t="s">
        <v>13122</v>
      </c>
      <c r="H1044" s="1596">
        <v>2</v>
      </c>
      <c r="I1044" s="1595"/>
      <c r="J1044" s="1595"/>
      <c r="K1044" s="1597">
        <v>95749</v>
      </c>
      <c r="L1044" s="1597">
        <v>95749</v>
      </c>
      <c r="M1044" s="1598"/>
      <c r="N1044" s="1597">
        <v>95749</v>
      </c>
      <c r="O1044" s="1597">
        <v>61949.25</v>
      </c>
      <c r="P1044" s="1597">
        <v>32650.75</v>
      </c>
      <c r="Q1044" s="1597">
        <v>1149</v>
      </c>
      <c r="R1044" s="1597">
        <v>33799.75</v>
      </c>
      <c r="S1044" s="1592"/>
    </row>
    <row r="1045" spans="2:19" s="1593" customFormat="1" ht="21.75" customHeight="1" outlineLevel="1">
      <c r="B1045" s="1594">
        <v>10089</v>
      </c>
      <c r="C1045" s="1595" t="s">
        <v>5403</v>
      </c>
      <c r="D1045" s="1595" t="s">
        <v>13515</v>
      </c>
      <c r="E1045" s="1595"/>
      <c r="F1045" s="1595"/>
      <c r="G1045" s="1595" t="s">
        <v>13122</v>
      </c>
      <c r="H1045" s="1596">
        <v>2</v>
      </c>
      <c r="I1045" s="1595"/>
      <c r="J1045" s="1595"/>
      <c r="K1045" s="1597">
        <v>17900</v>
      </c>
      <c r="L1045" s="1597">
        <v>17900</v>
      </c>
      <c r="M1045" s="1598"/>
      <c r="N1045" s="1597">
        <v>17900</v>
      </c>
      <c r="O1045" s="1597">
        <v>2600.86</v>
      </c>
      <c r="P1045" s="1597">
        <v>14778.94</v>
      </c>
      <c r="Q1045" s="1599">
        <v>520.20000000000005</v>
      </c>
      <c r="R1045" s="1597">
        <v>15299.14</v>
      </c>
      <c r="S1045" s="1592"/>
    </row>
    <row r="1046" spans="2:19" s="1593" customFormat="1" ht="11.25" customHeight="1" outlineLevel="1">
      <c r="B1046" s="1594">
        <v>10090</v>
      </c>
      <c r="C1046" s="1595" t="s">
        <v>5403</v>
      </c>
      <c r="D1046" s="1595" t="s">
        <v>13514</v>
      </c>
      <c r="E1046" s="1595"/>
      <c r="F1046" s="1595"/>
      <c r="G1046" s="1595" t="s">
        <v>13122</v>
      </c>
      <c r="H1046" s="1596">
        <v>2</v>
      </c>
      <c r="I1046" s="1595"/>
      <c r="J1046" s="1595"/>
      <c r="K1046" s="1597">
        <v>285257</v>
      </c>
      <c r="L1046" s="1597">
        <v>1111663</v>
      </c>
      <c r="M1046" s="1598"/>
      <c r="N1046" s="1597">
        <v>1111663</v>
      </c>
      <c r="O1046" s="1597">
        <v>101191.81</v>
      </c>
      <c r="P1046" s="1597">
        <v>494476.5</v>
      </c>
      <c r="Q1046" s="1597">
        <v>515994.69</v>
      </c>
      <c r="R1046" s="1597">
        <v>1010471.19</v>
      </c>
      <c r="S1046" s="1592"/>
    </row>
    <row r="1047" spans="2:19" s="1593" customFormat="1" ht="11.25" customHeight="1" outlineLevel="1">
      <c r="B1047" s="1594">
        <v>10091</v>
      </c>
      <c r="C1047" s="1595" t="s">
        <v>5403</v>
      </c>
      <c r="D1047" s="1595" t="s">
        <v>13513</v>
      </c>
      <c r="E1047" s="1595"/>
      <c r="F1047" s="1595"/>
      <c r="G1047" s="1595"/>
      <c r="H1047" s="1596">
        <v>2</v>
      </c>
      <c r="I1047" s="1595"/>
      <c r="J1047" s="1595"/>
      <c r="K1047" s="1597">
        <v>2127</v>
      </c>
      <c r="L1047" s="1597">
        <v>2127</v>
      </c>
      <c r="M1047" s="1597">
        <v>-2127</v>
      </c>
      <c r="N1047" s="1598"/>
      <c r="O1047" s="1598"/>
      <c r="P1047" s="1597">
        <v>2127</v>
      </c>
      <c r="Q1047" s="1597">
        <v>-2127</v>
      </c>
      <c r="R1047" s="1598"/>
      <c r="S1047" s="1592"/>
    </row>
    <row r="1048" spans="2:19" s="1593" customFormat="1" ht="11.25" customHeight="1" outlineLevel="1">
      <c r="B1048" s="1594">
        <v>10092</v>
      </c>
      <c r="C1048" s="1595" t="s">
        <v>5403</v>
      </c>
      <c r="D1048" s="1595" t="s">
        <v>13512</v>
      </c>
      <c r="E1048" s="1595"/>
      <c r="F1048" s="1595"/>
      <c r="G1048" s="1595" t="s">
        <v>13122</v>
      </c>
      <c r="H1048" s="1596">
        <v>2</v>
      </c>
      <c r="I1048" s="1595"/>
      <c r="J1048" s="1595"/>
      <c r="K1048" s="1597">
        <v>2094933</v>
      </c>
      <c r="L1048" s="1597">
        <v>2094933</v>
      </c>
      <c r="M1048" s="1598"/>
      <c r="N1048" s="1597">
        <v>2094933</v>
      </c>
      <c r="O1048" s="1597">
        <v>1355422.71</v>
      </c>
      <c r="P1048" s="1597">
        <v>714371.13</v>
      </c>
      <c r="Q1048" s="1597">
        <v>25139.16</v>
      </c>
      <c r="R1048" s="1597">
        <v>739510.29</v>
      </c>
      <c r="S1048" s="1592"/>
    </row>
    <row r="1049" spans="2:19" s="1593" customFormat="1" ht="11.25" customHeight="1" outlineLevel="1">
      <c r="B1049" s="1594">
        <v>10093</v>
      </c>
      <c r="C1049" s="1595" t="s">
        <v>5403</v>
      </c>
      <c r="D1049" s="1595" t="s">
        <v>13511</v>
      </c>
      <c r="E1049" s="1595"/>
      <c r="F1049" s="1595"/>
      <c r="G1049" s="1595"/>
      <c r="H1049" s="1596">
        <v>2</v>
      </c>
      <c r="I1049" s="1595"/>
      <c r="J1049" s="1595"/>
      <c r="K1049" s="1597">
        <v>2996</v>
      </c>
      <c r="L1049" s="1597">
        <v>2996</v>
      </c>
      <c r="M1049" s="1597">
        <v>-2996</v>
      </c>
      <c r="N1049" s="1598"/>
      <c r="O1049" s="1598"/>
      <c r="P1049" s="1597">
        <v>2996</v>
      </c>
      <c r="Q1049" s="1597">
        <v>-2996</v>
      </c>
      <c r="R1049" s="1598"/>
      <c r="S1049" s="1592"/>
    </row>
    <row r="1050" spans="2:19" s="1593" customFormat="1" ht="21.75" customHeight="1" outlineLevel="1">
      <c r="B1050" s="1594">
        <v>10094</v>
      </c>
      <c r="C1050" s="1595" t="s">
        <v>5403</v>
      </c>
      <c r="D1050" s="1595" t="s">
        <v>13510</v>
      </c>
      <c r="E1050" s="1595"/>
      <c r="F1050" s="1595"/>
      <c r="G1050" s="1595" t="s">
        <v>13509</v>
      </c>
      <c r="H1050" s="1596">
        <v>2</v>
      </c>
      <c r="I1050" s="1595"/>
      <c r="J1050" s="1595"/>
      <c r="K1050" s="1597">
        <v>46146</v>
      </c>
      <c r="L1050" s="1597">
        <v>46146</v>
      </c>
      <c r="M1050" s="1598"/>
      <c r="N1050" s="1597">
        <v>46146</v>
      </c>
      <c r="O1050" s="1597">
        <v>18996.77</v>
      </c>
      <c r="P1050" s="1597">
        <v>26226.31</v>
      </c>
      <c r="Q1050" s="1599">
        <v>922.92</v>
      </c>
      <c r="R1050" s="1597">
        <v>27149.23</v>
      </c>
      <c r="S1050" s="1592"/>
    </row>
    <row r="1051" spans="2:19" s="1593" customFormat="1" ht="11.25" customHeight="1" outlineLevel="1">
      <c r="B1051" s="1594">
        <v>10100</v>
      </c>
      <c r="C1051" s="1595" t="s">
        <v>5403</v>
      </c>
      <c r="D1051" s="1595" t="s">
        <v>13508</v>
      </c>
      <c r="E1051" s="1595"/>
      <c r="F1051" s="1595"/>
      <c r="G1051" s="1595" t="s">
        <v>13339</v>
      </c>
      <c r="H1051" s="1596">
        <v>3</v>
      </c>
      <c r="I1051" s="1595"/>
      <c r="J1051" s="1595"/>
      <c r="K1051" s="1597">
        <v>142370</v>
      </c>
      <c r="L1051" s="1597">
        <v>1702154.46</v>
      </c>
      <c r="M1051" s="1598"/>
      <c r="N1051" s="1597">
        <v>1702154.46</v>
      </c>
      <c r="O1051" s="1597">
        <v>194217.71</v>
      </c>
      <c r="P1051" s="1597">
        <v>517586.85</v>
      </c>
      <c r="Q1051" s="1597">
        <v>990349.9</v>
      </c>
      <c r="R1051" s="1597">
        <v>1507936.75</v>
      </c>
      <c r="S1051" s="1592"/>
    </row>
    <row r="1052" spans="2:19" s="1593" customFormat="1" ht="11.25" customHeight="1" outlineLevel="1">
      <c r="B1052" s="1594">
        <v>10101</v>
      </c>
      <c r="C1052" s="1595" t="s">
        <v>5403</v>
      </c>
      <c r="D1052" s="1595" t="s">
        <v>13507</v>
      </c>
      <c r="E1052" s="1595"/>
      <c r="F1052" s="1595"/>
      <c r="G1052" s="1595" t="s">
        <v>3734</v>
      </c>
      <c r="H1052" s="1596">
        <v>3</v>
      </c>
      <c r="I1052" s="1595"/>
      <c r="J1052" s="1595"/>
      <c r="K1052" s="1597">
        <v>127164</v>
      </c>
      <c r="L1052" s="1597">
        <v>127164</v>
      </c>
      <c r="M1052" s="1598"/>
      <c r="N1052" s="1597">
        <v>127164</v>
      </c>
      <c r="O1052" s="1597">
        <v>8094.17</v>
      </c>
      <c r="P1052" s="1597">
        <v>115022.71</v>
      </c>
      <c r="Q1052" s="1597">
        <v>4047.12</v>
      </c>
      <c r="R1052" s="1597">
        <v>119069.83</v>
      </c>
      <c r="S1052" s="1592"/>
    </row>
    <row r="1053" spans="2:19" s="1593" customFormat="1" ht="21.75" customHeight="1" outlineLevel="1">
      <c r="B1053" s="1594">
        <v>10102</v>
      </c>
      <c r="C1053" s="1595" t="s">
        <v>5403</v>
      </c>
      <c r="D1053" s="1595" t="s">
        <v>13506</v>
      </c>
      <c r="E1053" s="1595"/>
      <c r="F1053" s="1595"/>
      <c r="G1053" s="1595" t="s">
        <v>3734</v>
      </c>
      <c r="H1053" s="1596">
        <v>3</v>
      </c>
      <c r="I1053" s="1595"/>
      <c r="J1053" s="1595"/>
      <c r="K1053" s="1599">
        <v>57</v>
      </c>
      <c r="L1053" s="1597">
        <v>136453</v>
      </c>
      <c r="M1053" s="1598"/>
      <c r="N1053" s="1597">
        <v>136453</v>
      </c>
      <c r="O1053" s="1597">
        <v>8687.64</v>
      </c>
      <c r="P1053" s="1597">
        <v>123421.54</v>
      </c>
      <c r="Q1053" s="1597">
        <v>4343.82</v>
      </c>
      <c r="R1053" s="1597">
        <v>127765.36</v>
      </c>
      <c r="S1053" s="1592"/>
    </row>
    <row r="1054" spans="2:19" s="1593" customFormat="1" ht="11.25" customHeight="1" outlineLevel="1">
      <c r="B1054" s="1594">
        <v>10103</v>
      </c>
      <c r="C1054" s="1595" t="s">
        <v>5403</v>
      </c>
      <c r="D1054" s="1595" t="s">
        <v>13505</v>
      </c>
      <c r="E1054" s="1595"/>
      <c r="F1054" s="1595"/>
      <c r="G1054" s="1595" t="s">
        <v>3734</v>
      </c>
      <c r="H1054" s="1596">
        <v>1</v>
      </c>
      <c r="I1054" s="1595"/>
      <c r="J1054" s="1595"/>
      <c r="K1054" s="1599">
        <v>116</v>
      </c>
      <c r="L1054" s="1597">
        <v>22178</v>
      </c>
      <c r="M1054" s="1598"/>
      <c r="N1054" s="1597">
        <v>22178</v>
      </c>
      <c r="O1054" s="1597">
        <v>11090.15</v>
      </c>
      <c r="P1054" s="1597">
        <v>10710.81</v>
      </c>
      <c r="Q1054" s="1599">
        <v>377.04</v>
      </c>
      <c r="R1054" s="1597">
        <v>11087.85</v>
      </c>
      <c r="S1054" s="1592"/>
    </row>
    <row r="1055" spans="2:19" s="1593" customFormat="1" ht="11.25" customHeight="1" outlineLevel="1">
      <c r="B1055" s="1594">
        <v>10104</v>
      </c>
      <c r="C1055" s="1595" t="s">
        <v>5403</v>
      </c>
      <c r="D1055" s="1595" t="s">
        <v>13504</v>
      </c>
      <c r="E1055" s="1595"/>
      <c r="F1055" s="1595"/>
      <c r="G1055" s="1595" t="s">
        <v>3734</v>
      </c>
      <c r="H1055" s="1596">
        <v>2</v>
      </c>
      <c r="I1055" s="1595"/>
      <c r="J1055" s="1595"/>
      <c r="K1055" s="1599">
        <v>80</v>
      </c>
      <c r="L1055" s="1597">
        <v>40486</v>
      </c>
      <c r="M1055" s="1598"/>
      <c r="N1055" s="1597">
        <v>40486</v>
      </c>
      <c r="O1055" s="1597">
        <v>16665.68</v>
      </c>
      <c r="P1055" s="1597">
        <v>23010.68</v>
      </c>
      <c r="Q1055" s="1599">
        <v>809.64</v>
      </c>
      <c r="R1055" s="1597">
        <v>23820.32</v>
      </c>
      <c r="S1055" s="1592"/>
    </row>
    <row r="1056" spans="2:19" s="1593" customFormat="1" ht="11.25" customHeight="1" outlineLevel="1">
      <c r="B1056" s="1594">
        <v>10105</v>
      </c>
      <c r="C1056" s="1595" t="s">
        <v>5403</v>
      </c>
      <c r="D1056" s="1595" t="s">
        <v>13503</v>
      </c>
      <c r="E1056" s="1595"/>
      <c r="F1056" s="1595"/>
      <c r="G1056" s="1595" t="s">
        <v>3734</v>
      </c>
      <c r="H1056" s="1596">
        <v>2</v>
      </c>
      <c r="I1056" s="1595"/>
      <c r="J1056" s="1595"/>
      <c r="K1056" s="1597">
        <v>251804</v>
      </c>
      <c r="L1056" s="1597">
        <v>2138262</v>
      </c>
      <c r="M1056" s="1598"/>
      <c r="N1056" s="1597">
        <v>2138262</v>
      </c>
      <c r="O1056" s="1597">
        <v>849695.11</v>
      </c>
      <c r="P1056" s="1597">
        <v>1247286.17</v>
      </c>
      <c r="Q1056" s="1597">
        <v>41280.720000000001</v>
      </c>
      <c r="R1056" s="1597">
        <v>1288566.8899999999</v>
      </c>
      <c r="S1056" s="1592"/>
    </row>
    <row r="1057" spans="2:19" s="1593" customFormat="1" ht="11.25" customHeight="1" outlineLevel="1">
      <c r="B1057" s="1594">
        <v>10106</v>
      </c>
      <c r="C1057" s="1595" t="s">
        <v>5403</v>
      </c>
      <c r="D1057" s="1595" t="s">
        <v>13502</v>
      </c>
      <c r="E1057" s="1595"/>
      <c r="F1057" s="1595"/>
      <c r="G1057" s="1595" t="s">
        <v>3734</v>
      </c>
      <c r="H1057" s="1596">
        <v>3</v>
      </c>
      <c r="I1057" s="1595"/>
      <c r="J1057" s="1595"/>
      <c r="K1057" s="1599">
        <v>173</v>
      </c>
      <c r="L1057" s="1597">
        <v>363396</v>
      </c>
      <c r="M1057" s="1598"/>
      <c r="N1057" s="1597">
        <v>363396</v>
      </c>
      <c r="O1057" s="1597">
        <v>42699.03</v>
      </c>
      <c r="P1057" s="1597">
        <v>309795.09000000003</v>
      </c>
      <c r="Q1057" s="1597">
        <v>10901.88</v>
      </c>
      <c r="R1057" s="1597">
        <v>320696.96999999997</v>
      </c>
      <c r="S1057" s="1592"/>
    </row>
    <row r="1058" spans="2:19" s="1593" customFormat="1" ht="11.25" customHeight="1" outlineLevel="1">
      <c r="B1058" s="1594">
        <v>10108</v>
      </c>
      <c r="C1058" s="1595" t="s">
        <v>5403</v>
      </c>
      <c r="D1058" s="1595" t="s">
        <v>13501</v>
      </c>
      <c r="E1058" s="1595"/>
      <c r="F1058" s="1595"/>
      <c r="G1058" s="1595" t="s">
        <v>3734</v>
      </c>
      <c r="H1058" s="1596">
        <v>2</v>
      </c>
      <c r="I1058" s="1595"/>
      <c r="J1058" s="1595"/>
      <c r="K1058" s="1599">
        <v>680</v>
      </c>
      <c r="L1058" s="1599">
        <v>679.66</v>
      </c>
      <c r="M1058" s="1599">
        <v>-679.66</v>
      </c>
      <c r="N1058" s="1598"/>
      <c r="O1058" s="1598"/>
      <c r="P1058" s="1599">
        <v>679.66</v>
      </c>
      <c r="Q1058" s="1599">
        <v>-679.66</v>
      </c>
      <c r="R1058" s="1598"/>
      <c r="S1058" s="1592"/>
    </row>
    <row r="1059" spans="2:19" s="1593" customFormat="1" ht="11.25" customHeight="1" outlineLevel="1">
      <c r="B1059" s="1594">
        <v>10109</v>
      </c>
      <c r="C1059" s="1595" t="s">
        <v>5403</v>
      </c>
      <c r="D1059" s="1595" t="s">
        <v>13500</v>
      </c>
      <c r="E1059" s="1595"/>
      <c r="F1059" s="1595"/>
      <c r="G1059" s="1595" t="s">
        <v>13499</v>
      </c>
      <c r="H1059" s="1596">
        <v>2</v>
      </c>
      <c r="I1059" s="1595"/>
      <c r="J1059" s="1595"/>
      <c r="K1059" s="1599">
        <v>861</v>
      </c>
      <c r="L1059" s="1597">
        <v>3060705</v>
      </c>
      <c r="M1059" s="1598"/>
      <c r="N1059" s="1597">
        <v>3060705</v>
      </c>
      <c r="O1059" s="1597">
        <v>194846.14</v>
      </c>
      <c r="P1059" s="1597">
        <v>2768435.78</v>
      </c>
      <c r="Q1059" s="1597">
        <v>97423.08</v>
      </c>
      <c r="R1059" s="1597">
        <v>2865858.86</v>
      </c>
      <c r="S1059" s="1592"/>
    </row>
    <row r="1060" spans="2:19" s="1593" customFormat="1" ht="21.75" customHeight="1" outlineLevel="1">
      <c r="B1060" s="1594">
        <v>10110</v>
      </c>
      <c r="C1060" s="1595" t="s">
        <v>5403</v>
      </c>
      <c r="D1060" s="1595" t="s">
        <v>13498</v>
      </c>
      <c r="E1060" s="1595"/>
      <c r="F1060" s="1595"/>
      <c r="G1060" s="1595" t="s">
        <v>3734</v>
      </c>
      <c r="H1060" s="1596">
        <v>2</v>
      </c>
      <c r="I1060" s="1595"/>
      <c r="J1060" s="1595"/>
      <c r="K1060" s="1597">
        <v>4832266</v>
      </c>
      <c r="L1060" s="1597">
        <v>4832266</v>
      </c>
      <c r="M1060" s="1598"/>
      <c r="N1060" s="1597">
        <v>4832266</v>
      </c>
      <c r="O1060" s="1597">
        <v>1132070.58</v>
      </c>
      <c r="P1060" s="1597">
        <v>3574409.74</v>
      </c>
      <c r="Q1060" s="1597">
        <v>125785.68</v>
      </c>
      <c r="R1060" s="1597">
        <v>3700195.42</v>
      </c>
      <c r="S1060" s="1592"/>
    </row>
    <row r="1061" spans="2:19" s="1593" customFormat="1" ht="11.25" customHeight="1" outlineLevel="1">
      <c r="B1061" s="1594">
        <v>10111</v>
      </c>
      <c r="C1061" s="1595" t="s">
        <v>5403</v>
      </c>
      <c r="D1061" s="1595" t="s">
        <v>13497</v>
      </c>
      <c r="E1061" s="1595"/>
      <c r="F1061" s="1595"/>
      <c r="G1061" s="1595" t="s">
        <v>3734</v>
      </c>
      <c r="H1061" s="1596">
        <v>2</v>
      </c>
      <c r="I1061" s="1595"/>
      <c r="J1061" s="1595"/>
      <c r="K1061" s="1597">
        <v>2609</v>
      </c>
      <c r="L1061" s="1597">
        <v>3506504</v>
      </c>
      <c r="M1061" s="1598"/>
      <c r="N1061" s="1597">
        <v>3506504</v>
      </c>
      <c r="O1061" s="1597">
        <v>352466.13</v>
      </c>
      <c r="P1061" s="1597">
        <v>1356751.89</v>
      </c>
      <c r="Q1061" s="1597">
        <v>1797285.98</v>
      </c>
      <c r="R1061" s="1597">
        <v>3154037.87</v>
      </c>
      <c r="S1061" s="1592"/>
    </row>
    <row r="1062" spans="2:19" s="1593" customFormat="1" ht="11.25" customHeight="1" outlineLevel="1">
      <c r="B1062" s="1594">
        <v>10112</v>
      </c>
      <c r="C1062" s="1595" t="s">
        <v>5403</v>
      </c>
      <c r="D1062" s="1595" t="s">
        <v>13496</v>
      </c>
      <c r="E1062" s="1595"/>
      <c r="F1062" s="1595"/>
      <c r="G1062" s="1595" t="s">
        <v>3734</v>
      </c>
      <c r="H1062" s="1596">
        <v>2</v>
      </c>
      <c r="I1062" s="1595"/>
      <c r="J1062" s="1595"/>
      <c r="K1062" s="1597">
        <v>179773</v>
      </c>
      <c r="L1062" s="1597">
        <v>179773</v>
      </c>
      <c r="M1062" s="1598"/>
      <c r="N1062" s="1597">
        <v>179773</v>
      </c>
      <c r="O1062" s="1597">
        <v>42117</v>
      </c>
      <c r="P1062" s="1597">
        <v>132976.35999999999</v>
      </c>
      <c r="Q1062" s="1597">
        <v>4679.6400000000003</v>
      </c>
      <c r="R1062" s="1597">
        <v>137656</v>
      </c>
      <c r="S1062" s="1592"/>
    </row>
    <row r="1063" spans="2:19" s="1593" customFormat="1" ht="11.25" customHeight="1" outlineLevel="1">
      <c r="B1063" s="1594">
        <v>10115</v>
      </c>
      <c r="C1063" s="1595" t="s">
        <v>5403</v>
      </c>
      <c r="D1063" s="1595" t="s">
        <v>13495</v>
      </c>
      <c r="E1063" s="1595"/>
      <c r="F1063" s="1595"/>
      <c r="G1063" s="1595" t="s">
        <v>3734</v>
      </c>
      <c r="H1063" s="1596">
        <v>2</v>
      </c>
      <c r="I1063" s="1595"/>
      <c r="J1063" s="1595"/>
      <c r="K1063" s="1597">
        <v>15679</v>
      </c>
      <c r="L1063" s="1597">
        <v>15679</v>
      </c>
      <c r="M1063" s="1598"/>
      <c r="N1063" s="1597">
        <v>15679</v>
      </c>
      <c r="O1063" s="1597">
        <v>2656.71</v>
      </c>
      <c r="P1063" s="1597">
        <v>12579.49</v>
      </c>
      <c r="Q1063" s="1599">
        <v>442.8</v>
      </c>
      <c r="R1063" s="1597">
        <v>13022.29</v>
      </c>
      <c r="S1063" s="1592"/>
    </row>
    <row r="1064" spans="2:19" s="1593" customFormat="1" ht="11.25" customHeight="1" outlineLevel="1">
      <c r="B1064" s="1594">
        <v>10116</v>
      </c>
      <c r="C1064" s="1595" t="s">
        <v>5403</v>
      </c>
      <c r="D1064" s="1595" t="s">
        <v>13494</v>
      </c>
      <c r="E1064" s="1595"/>
      <c r="F1064" s="1595"/>
      <c r="G1064" s="1595" t="s">
        <v>3734</v>
      </c>
      <c r="H1064" s="1596">
        <v>2</v>
      </c>
      <c r="I1064" s="1595"/>
      <c r="J1064" s="1595"/>
      <c r="K1064" s="1599">
        <v>216</v>
      </c>
      <c r="L1064" s="1599">
        <v>216</v>
      </c>
      <c r="M1064" s="1598"/>
      <c r="N1064" s="1599">
        <v>216</v>
      </c>
      <c r="O1064" s="1599">
        <v>50.21</v>
      </c>
      <c r="P1064" s="1599">
        <v>160.27000000000001</v>
      </c>
      <c r="Q1064" s="1599">
        <v>5.52</v>
      </c>
      <c r="R1064" s="1599">
        <v>165.79</v>
      </c>
      <c r="S1064" s="1592"/>
    </row>
    <row r="1065" spans="2:19" s="1593" customFormat="1" ht="11.25" customHeight="1" outlineLevel="1">
      <c r="B1065" s="1594">
        <v>10117</v>
      </c>
      <c r="C1065" s="1595" t="s">
        <v>5403</v>
      </c>
      <c r="D1065" s="1595" t="s">
        <v>13493</v>
      </c>
      <c r="E1065" s="1595"/>
      <c r="F1065" s="1595"/>
      <c r="G1065" s="1595" t="s">
        <v>3664</v>
      </c>
      <c r="H1065" s="1596">
        <v>2</v>
      </c>
      <c r="I1065" s="1595"/>
      <c r="J1065" s="1595"/>
      <c r="K1065" s="1599">
        <v>134</v>
      </c>
      <c r="L1065" s="1597">
        <v>6951</v>
      </c>
      <c r="M1065" s="1598"/>
      <c r="N1065" s="1597">
        <v>6951</v>
      </c>
      <c r="O1065" s="1597">
        <v>1335.01</v>
      </c>
      <c r="P1065" s="1597">
        <v>5425.31</v>
      </c>
      <c r="Q1065" s="1599">
        <v>190.68</v>
      </c>
      <c r="R1065" s="1597">
        <v>5615.99</v>
      </c>
      <c r="S1065" s="1592"/>
    </row>
    <row r="1066" spans="2:19" s="1593" customFormat="1" ht="11.25" customHeight="1" outlineLevel="1">
      <c r="B1066" s="1594">
        <v>10118</v>
      </c>
      <c r="C1066" s="1595" t="s">
        <v>5403</v>
      </c>
      <c r="D1066" s="1595" t="s">
        <v>13492</v>
      </c>
      <c r="E1066" s="1595"/>
      <c r="F1066" s="1595"/>
      <c r="G1066" s="1595" t="s">
        <v>3664</v>
      </c>
      <c r="H1066" s="1596">
        <v>2</v>
      </c>
      <c r="I1066" s="1595"/>
      <c r="J1066" s="1595"/>
      <c r="K1066" s="1597">
        <v>2609</v>
      </c>
      <c r="L1066" s="1597">
        <v>138285</v>
      </c>
      <c r="M1066" s="1598"/>
      <c r="N1066" s="1597">
        <v>138285</v>
      </c>
      <c r="O1066" s="1597">
        <v>26581.56</v>
      </c>
      <c r="P1066" s="1597">
        <v>107906.04</v>
      </c>
      <c r="Q1066" s="1597">
        <v>3797.4</v>
      </c>
      <c r="R1066" s="1597">
        <v>111703.44</v>
      </c>
      <c r="S1066" s="1592"/>
    </row>
    <row r="1067" spans="2:19" s="1593" customFormat="1" ht="21.75" customHeight="1" outlineLevel="1">
      <c r="B1067" s="1594">
        <v>10124</v>
      </c>
      <c r="C1067" s="1595" t="s">
        <v>5403</v>
      </c>
      <c r="D1067" s="1595" t="s">
        <v>13491</v>
      </c>
      <c r="E1067" s="1595"/>
      <c r="F1067" s="1595"/>
      <c r="G1067" s="1595" t="s">
        <v>13490</v>
      </c>
      <c r="H1067" s="1596">
        <v>2</v>
      </c>
      <c r="I1067" s="1595"/>
      <c r="J1067" s="1595"/>
      <c r="K1067" s="1597">
        <v>13412</v>
      </c>
      <c r="L1067" s="1597">
        <v>13411.82</v>
      </c>
      <c r="M1067" s="1598"/>
      <c r="N1067" s="1597">
        <v>13411.82</v>
      </c>
      <c r="O1067" s="1597">
        <v>2578.25</v>
      </c>
      <c r="P1067" s="1597">
        <v>10465.290000000001</v>
      </c>
      <c r="Q1067" s="1599">
        <v>368.28</v>
      </c>
      <c r="R1067" s="1597">
        <v>10833.57</v>
      </c>
      <c r="S1067" s="1592"/>
    </row>
    <row r="1068" spans="2:19" s="1593" customFormat="1" ht="21.75" customHeight="1" outlineLevel="1">
      <c r="B1068" s="1594">
        <v>10125</v>
      </c>
      <c r="C1068" s="1595" t="s">
        <v>5403</v>
      </c>
      <c r="D1068" s="1595" t="s">
        <v>13489</v>
      </c>
      <c r="E1068" s="1595"/>
      <c r="F1068" s="1595"/>
      <c r="G1068" s="1595" t="s">
        <v>13486</v>
      </c>
      <c r="H1068" s="1596">
        <v>2</v>
      </c>
      <c r="I1068" s="1595"/>
      <c r="J1068" s="1595"/>
      <c r="K1068" s="1597">
        <v>668631</v>
      </c>
      <c r="L1068" s="1597">
        <v>668631</v>
      </c>
      <c r="M1068" s="1598"/>
      <c r="N1068" s="1597">
        <v>668631</v>
      </c>
      <c r="O1068" s="1597">
        <v>128523.47</v>
      </c>
      <c r="P1068" s="1597">
        <v>521747.05</v>
      </c>
      <c r="Q1068" s="1597">
        <v>18360.48</v>
      </c>
      <c r="R1068" s="1597">
        <v>540107.53</v>
      </c>
      <c r="S1068" s="1592"/>
    </row>
    <row r="1069" spans="2:19" s="1593" customFormat="1" ht="11.25" customHeight="1" outlineLevel="1">
      <c r="B1069" s="1594">
        <v>10126</v>
      </c>
      <c r="C1069" s="1595" t="s">
        <v>5403</v>
      </c>
      <c r="D1069" s="1595" t="s">
        <v>13488</v>
      </c>
      <c r="E1069" s="1595"/>
      <c r="F1069" s="1595"/>
      <c r="G1069" s="1595" t="s">
        <v>3734</v>
      </c>
      <c r="H1069" s="1596">
        <v>2</v>
      </c>
      <c r="I1069" s="1595"/>
      <c r="J1069" s="1595"/>
      <c r="K1069" s="1597">
        <v>1024131</v>
      </c>
      <c r="L1069" s="1597">
        <v>1024131</v>
      </c>
      <c r="M1069" s="1598"/>
      <c r="N1069" s="1597">
        <v>1024131</v>
      </c>
      <c r="O1069" s="1597">
        <v>196857.85</v>
      </c>
      <c r="P1069" s="1597">
        <v>799150.55</v>
      </c>
      <c r="Q1069" s="1597">
        <v>28122.6</v>
      </c>
      <c r="R1069" s="1597">
        <v>827273.15</v>
      </c>
      <c r="S1069" s="1592"/>
    </row>
    <row r="1070" spans="2:19" s="1593" customFormat="1" ht="11.25" customHeight="1" outlineLevel="1">
      <c r="B1070" s="1594">
        <v>10127</v>
      </c>
      <c r="C1070" s="1595" t="s">
        <v>5403</v>
      </c>
      <c r="D1070" s="1595" t="s">
        <v>13487</v>
      </c>
      <c r="E1070" s="1595"/>
      <c r="F1070" s="1595"/>
      <c r="G1070" s="1595" t="s">
        <v>13486</v>
      </c>
      <c r="H1070" s="1596">
        <v>2</v>
      </c>
      <c r="I1070" s="1595"/>
      <c r="J1070" s="1595"/>
      <c r="K1070" s="1599">
        <v>115</v>
      </c>
      <c r="L1070" s="1597">
        <v>2092732.35</v>
      </c>
      <c r="M1070" s="1598"/>
      <c r="N1070" s="1597">
        <v>2092732.35</v>
      </c>
      <c r="O1070" s="1597">
        <v>671424.55</v>
      </c>
      <c r="P1070" s="1597">
        <v>1392325.4</v>
      </c>
      <c r="Q1070" s="1597">
        <v>28982.400000000001</v>
      </c>
      <c r="R1070" s="1597">
        <v>1421307.8</v>
      </c>
      <c r="S1070" s="1592"/>
    </row>
    <row r="1071" spans="2:19" s="1593" customFormat="1" ht="21.75" customHeight="1" outlineLevel="1">
      <c r="B1071" s="1594">
        <v>10128</v>
      </c>
      <c r="C1071" s="1595" t="s">
        <v>5403</v>
      </c>
      <c r="D1071" s="1595" t="s">
        <v>13485</v>
      </c>
      <c r="E1071" s="1595"/>
      <c r="F1071" s="1595"/>
      <c r="G1071" s="1595" t="s">
        <v>13484</v>
      </c>
      <c r="H1071" s="1596">
        <v>2</v>
      </c>
      <c r="I1071" s="1595"/>
      <c r="J1071" s="1595"/>
      <c r="K1071" s="1597">
        <v>79767</v>
      </c>
      <c r="L1071" s="1597">
        <v>79767</v>
      </c>
      <c r="M1071" s="1598"/>
      <c r="N1071" s="1597">
        <v>79767</v>
      </c>
      <c r="O1071" s="1597">
        <v>32835.769999999997</v>
      </c>
      <c r="P1071" s="1597">
        <v>45335.95</v>
      </c>
      <c r="Q1071" s="1597">
        <v>1595.28</v>
      </c>
      <c r="R1071" s="1597">
        <v>46931.23</v>
      </c>
      <c r="S1071" s="1592"/>
    </row>
    <row r="1072" spans="2:19" s="1593" customFormat="1" ht="11.25" customHeight="1" outlineLevel="1">
      <c r="B1072" s="1594">
        <v>10129</v>
      </c>
      <c r="C1072" s="1595" t="s">
        <v>5403</v>
      </c>
      <c r="D1072" s="1595" t="s">
        <v>13483</v>
      </c>
      <c r="E1072" s="1595"/>
      <c r="F1072" s="1595"/>
      <c r="G1072" s="1595"/>
      <c r="H1072" s="1596">
        <v>2</v>
      </c>
      <c r="I1072" s="1595"/>
      <c r="J1072" s="1595"/>
      <c r="K1072" s="1597">
        <v>4092</v>
      </c>
      <c r="L1072" s="1597">
        <v>4092</v>
      </c>
      <c r="M1072" s="1597">
        <v>-4092</v>
      </c>
      <c r="N1072" s="1598"/>
      <c r="O1072" s="1598"/>
      <c r="P1072" s="1597">
        <v>4092</v>
      </c>
      <c r="Q1072" s="1597">
        <v>-4092</v>
      </c>
      <c r="R1072" s="1598"/>
      <c r="S1072" s="1592"/>
    </row>
    <row r="1073" spans="2:19" s="1593" customFormat="1" ht="11.25" customHeight="1" outlineLevel="1">
      <c r="B1073" s="1594">
        <v>10130</v>
      </c>
      <c r="C1073" s="1595" t="s">
        <v>5403</v>
      </c>
      <c r="D1073" s="1595" t="s">
        <v>13482</v>
      </c>
      <c r="E1073" s="1595"/>
      <c r="F1073" s="1595"/>
      <c r="G1073" s="1595"/>
      <c r="H1073" s="1596">
        <v>2</v>
      </c>
      <c r="I1073" s="1595"/>
      <c r="J1073" s="1595"/>
      <c r="K1073" s="1599">
        <v>319</v>
      </c>
      <c r="L1073" s="1599">
        <v>319</v>
      </c>
      <c r="M1073" s="1599">
        <v>-319</v>
      </c>
      <c r="N1073" s="1598"/>
      <c r="O1073" s="1598"/>
      <c r="P1073" s="1599">
        <v>319</v>
      </c>
      <c r="Q1073" s="1599">
        <v>-319</v>
      </c>
      <c r="R1073" s="1598"/>
      <c r="S1073" s="1592"/>
    </row>
    <row r="1074" spans="2:19" s="1593" customFormat="1" ht="11.25" customHeight="1" outlineLevel="1">
      <c r="B1074" s="1594">
        <v>10131</v>
      </c>
      <c r="C1074" s="1595" t="s">
        <v>5403</v>
      </c>
      <c r="D1074" s="1595" t="s">
        <v>13481</v>
      </c>
      <c r="E1074" s="1595"/>
      <c r="F1074" s="1595"/>
      <c r="G1074" s="1595"/>
      <c r="H1074" s="1596">
        <v>2</v>
      </c>
      <c r="I1074" s="1595"/>
      <c r="J1074" s="1595"/>
      <c r="K1074" s="1597">
        <v>4823</v>
      </c>
      <c r="L1074" s="1597">
        <v>4823</v>
      </c>
      <c r="M1074" s="1597">
        <v>-4823</v>
      </c>
      <c r="N1074" s="1598"/>
      <c r="O1074" s="1598"/>
      <c r="P1074" s="1597">
        <v>4823</v>
      </c>
      <c r="Q1074" s="1597">
        <v>-4823</v>
      </c>
      <c r="R1074" s="1598"/>
      <c r="S1074" s="1592"/>
    </row>
    <row r="1075" spans="2:19" s="1593" customFormat="1" ht="11.25" customHeight="1" outlineLevel="1">
      <c r="B1075" s="1594">
        <v>10132</v>
      </c>
      <c r="C1075" s="1595" t="s">
        <v>5403</v>
      </c>
      <c r="D1075" s="1595" t="s">
        <v>13480</v>
      </c>
      <c r="E1075" s="1595"/>
      <c r="F1075" s="1595"/>
      <c r="G1075" s="1595"/>
      <c r="H1075" s="1596">
        <v>2</v>
      </c>
      <c r="I1075" s="1595"/>
      <c r="J1075" s="1595"/>
      <c r="K1075" s="1597">
        <v>4823</v>
      </c>
      <c r="L1075" s="1597">
        <v>4823</v>
      </c>
      <c r="M1075" s="1597">
        <v>-4823</v>
      </c>
      <c r="N1075" s="1598"/>
      <c r="O1075" s="1598"/>
      <c r="P1075" s="1597">
        <v>4823</v>
      </c>
      <c r="Q1075" s="1597">
        <v>-4823</v>
      </c>
      <c r="R1075" s="1598"/>
      <c r="S1075" s="1592"/>
    </row>
    <row r="1076" spans="2:19" s="1593" customFormat="1" ht="11.25" customHeight="1" outlineLevel="1">
      <c r="B1076" s="1594">
        <v>10133</v>
      </c>
      <c r="C1076" s="1595" t="s">
        <v>5403</v>
      </c>
      <c r="D1076" s="1595" t="s">
        <v>13479</v>
      </c>
      <c r="E1076" s="1595"/>
      <c r="F1076" s="1595"/>
      <c r="G1076" s="1595"/>
      <c r="H1076" s="1596">
        <v>2</v>
      </c>
      <c r="I1076" s="1595"/>
      <c r="J1076" s="1595"/>
      <c r="K1076" s="1599">
        <v>671</v>
      </c>
      <c r="L1076" s="1599">
        <v>670.51</v>
      </c>
      <c r="M1076" s="1599">
        <v>-670.51</v>
      </c>
      <c r="N1076" s="1598"/>
      <c r="O1076" s="1598"/>
      <c r="P1076" s="1599">
        <v>670.51</v>
      </c>
      <c r="Q1076" s="1599">
        <v>-670.51</v>
      </c>
      <c r="R1076" s="1598"/>
      <c r="S1076" s="1592"/>
    </row>
    <row r="1077" spans="2:19" s="1593" customFormat="1" ht="11.25" customHeight="1" outlineLevel="1">
      <c r="B1077" s="1594">
        <v>10136</v>
      </c>
      <c r="C1077" s="1595" t="s">
        <v>5403</v>
      </c>
      <c r="D1077" s="1595" t="s">
        <v>13478</v>
      </c>
      <c r="E1077" s="1595"/>
      <c r="F1077" s="1595"/>
      <c r="G1077" s="1595" t="s">
        <v>3734</v>
      </c>
      <c r="H1077" s="1596">
        <v>2</v>
      </c>
      <c r="I1077" s="1595"/>
      <c r="J1077" s="1595"/>
      <c r="K1077" s="1599">
        <v>194</v>
      </c>
      <c r="L1077" s="1597">
        <v>140582</v>
      </c>
      <c r="M1077" s="1598"/>
      <c r="N1077" s="1597">
        <v>140582</v>
      </c>
      <c r="O1077" s="1597">
        <v>32934.65</v>
      </c>
      <c r="P1077" s="1597">
        <v>103987.95</v>
      </c>
      <c r="Q1077" s="1597">
        <v>3659.4</v>
      </c>
      <c r="R1077" s="1597">
        <v>107647.35</v>
      </c>
      <c r="S1077" s="1592"/>
    </row>
    <row r="1078" spans="2:19" s="1593" customFormat="1" ht="11.25" customHeight="1" outlineLevel="1">
      <c r="B1078" s="1594">
        <v>10137</v>
      </c>
      <c r="C1078" s="1595" t="s">
        <v>5403</v>
      </c>
      <c r="D1078" s="1595" t="s">
        <v>13477</v>
      </c>
      <c r="E1078" s="1595"/>
      <c r="F1078" s="1595"/>
      <c r="G1078" s="1595" t="s">
        <v>13476</v>
      </c>
      <c r="H1078" s="1596">
        <v>2</v>
      </c>
      <c r="I1078" s="1595"/>
      <c r="J1078" s="1595"/>
      <c r="K1078" s="1597">
        <v>15973</v>
      </c>
      <c r="L1078" s="1597">
        <v>15973</v>
      </c>
      <c r="M1078" s="1598"/>
      <c r="N1078" s="1597">
        <v>15973</v>
      </c>
      <c r="O1078" s="1597">
        <v>2319.3000000000002</v>
      </c>
      <c r="P1078" s="1597">
        <v>13189.88</v>
      </c>
      <c r="Q1078" s="1599">
        <v>463.82</v>
      </c>
      <c r="R1078" s="1597">
        <v>13653.7</v>
      </c>
      <c r="S1078" s="1592"/>
    </row>
    <row r="1079" spans="2:19" s="1593" customFormat="1" ht="11.25" customHeight="1" outlineLevel="1">
      <c r="B1079" s="1594">
        <v>11152</v>
      </c>
      <c r="C1079" s="1595" t="s">
        <v>5403</v>
      </c>
      <c r="D1079" s="1595" t="s">
        <v>13475</v>
      </c>
      <c r="E1079" s="1595"/>
      <c r="F1079" s="1595"/>
      <c r="G1079" s="1595" t="s">
        <v>13474</v>
      </c>
      <c r="H1079" s="1596">
        <v>1</v>
      </c>
      <c r="I1079" s="1595"/>
      <c r="J1079" s="1595"/>
      <c r="K1079" s="1597">
        <v>39653</v>
      </c>
      <c r="L1079" s="1597">
        <v>39653</v>
      </c>
      <c r="M1079" s="1598"/>
      <c r="N1079" s="1597">
        <v>39653</v>
      </c>
      <c r="O1079" s="1597">
        <v>27989.759999999998</v>
      </c>
      <c r="P1079" s="1597">
        <v>11266.64</v>
      </c>
      <c r="Q1079" s="1599">
        <v>396.6</v>
      </c>
      <c r="R1079" s="1597">
        <v>11663.24</v>
      </c>
      <c r="S1079" s="1592"/>
    </row>
    <row r="1080" spans="2:19" s="1593" customFormat="1" ht="11.25" customHeight="1" outlineLevel="1">
      <c r="B1080" s="1594">
        <v>11193</v>
      </c>
      <c r="C1080" s="1595" t="s">
        <v>5403</v>
      </c>
      <c r="D1080" s="1595" t="s">
        <v>13473</v>
      </c>
      <c r="E1080" s="1595"/>
      <c r="F1080" s="1595"/>
      <c r="G1080" s="1595"/>
      <c r="H1080" s="1596">
        <v>2</v>
      </c>
      <c r="I1080" s="1595"/>
      <c r="J1080" s="1595"/>
      <c r="K1080" s="1599">
        <v>637</v>
      </c>
      <c r="L1080" s="1599">
        <v>637</v>
      </c>
      <c r="M1080" s="1599">
        <v>-637</v>
      </c>
      <c r="N1080" s="1598"/>
      <c r="O1080" s="1598"/>
      <c r="P1080" s="1599">
        <v>637</v>
      </c>
      <c r="Q1080" s="1599">
        <v>-637</v>
      </c>
      <c r="R1080" s="1598"/>
      <c r="S1080" s="1592"/>
    </row>
    <row r="1081" spans="2:19" s="1593" customFormat="1" ht="11.25" customHeight="1" outlineLevel="1">
      <c r="B1081" s="1594">
        <v>11194</v>
      </c>
      <c r="C1081" s="1595" t="s">
        <v>5403</v>
      </c>
      <c r="D1081" s="1595" t="s">
        <v>13472</v>
      </c>
      <c r="E1081" s="1595"/>
      <c r="F1081" s="1595"/>
      <c r="G1081" s="1595"/>
      <c r="H1081" s="1596">
        <v>2</v>
      </c>
      <c r="I1081" s="1595"/>
      <c r="J1081" s="1595"/>
      <c r="K1081" s="1599">
        <v>893</v>
      </c>
      <c r="L1081" s="1599">
        <v>893</v>
      </c>
      <c r="M1081" s="1599">
        <v>-893</v>
      </c>
      <c r="N1081" s="1598"/>
      <c r="O1081" s="1598"/>
      <c r="P1081" s="1599">
        <v>893</v>
      </c>
      <c r="Q1081" s="1599">
        <v>-893</v>
      </c>
      <c r="R1081" s="1598"/>
      <c r="S1081" s="1592"/>
    </row>
    <row r="1082" spans="2:19" s="1593" customFormat="1" ht="11.25" customHeight="1" outlineLevel="1">
      <c r="B1082" s="1594">
        <v>22579</v>
      </c>
      <c r="C1082" s="1595" t="s">
        <v>5403</v>
      </c>
      <c r="D1082" s="1595" t="s">
        <v>13471</v>
      </c>
      <c r="E1082" s="1595"/>
      <c r="F1082" s="1595"/>
      <c r="G1082" s="1595" t="s">
        <v>13470</v>
      </c>
      <c r="H1082" s="1596">
        <v>1</v>
      </c>
      <c r="I1082" s="1595"/>
      <c r="J1082" s="1595"/>
      <c r="K1082" s="1597">
        <v>3419</v>
      </c>
      <c r="L1082" s="1597">
        <v>3419</v>
      </c>
      <c r="M1082" s="1598"/>
      <c r="N1082" s="1597">
        <v>3419</v>
      </c>
      <c r="O1082" s="1599">
        <v>905.52</v>
      </c>
      <c r="P1082" s="1597">
        <v>2427.92</v>
      </c>
      <c r="Q1082" s="1599">
        <v>85.56</v>
      </c>
      <c r="R1082" s="1597">
        <v>2513.48</v>
      </c>
      <c r="S1082" s="1592"/>
    </row>
    <row r="1083" spans="2:19" s="1593" customFormat="1" ht="11.25" customHeight="1" outlineLevel="1">
      <c r="B1083" s="1594">
        <v>33295</v>
      </c>
      <c r="C1083" s="1595" t="s">
        <v>5403</v>
      </c>
      <c r="D1083" s="1595" t="s">
        <v>13469</v>
      </c>
      <c r="E1083" s="1595"/>
      <c r="F1083" s="1595"/>
      <c r="G1083" s="1595"/>
      <c r="H1083" s="1596">
        <v>2</v>
      </c>
      <c r="I1083" s="1595"/>
      <c r="J1083" s="1595"/>
      <c r="K1083" s="1597">
        <v>48570</v>
      </c>
      <c r="L1083" s="1597">
        <v>48570</v>
      </c>
      <c r="M1083" s="1597">
        <v>-48570</v>
      </c>
      <c r="N1083" s="1598"/>
      <c r="O1083" s="1598"/>
      <c r="P1083" s="1597">
        <v>48570</v>
      </c>
      <c r="Q1083" s="1597">
        <v>-48570</v>
      </c>
      <c r="R1083" s="1598"/>
      <c r="S1083" s="1592"/>
    </row>
    <row r="1084" spans="2:19" s="1593" customFormat="1" ht="11.25" customHeight="1" outlineLevel="1">
      <c r="B1084" s="1594">
        <v>33296</v>
      </c>
      <c r="C1084" s="1595" t="s">
        <v>5403</v>
      </c>
      <c r="D1084" s="1595" t="s">
        <v>13468</v>
      </c>
      <c r="E1084" s="1595"/>
      <c r="F1084" s="1595"/>
      <c r="G1084" s="1595"/>
      <c r="H1084" s="1596">
        <v>2</v>
      </c>
      <c r="I1084" s="1595"/>
      <c r="J1084" s="1595"/>
      <c r="K1084" s="1597">
        <v>48570</v>
      </c>
      <c r="L1084" s="1597">
        <v>48570</v>
      </c>
      <c r="M1084" s="1597">
        <v>-48570</v>
      </c>
      <c r="N1084" s="1598"/>
      <c r="O1084" s="1598"/>
      <c r="P1084" s="1597">
        <v>48570</v>
      </c>
      <c r="Q1084" s="1597">
        <v>-48570</v>
      </c>
      <c r="R1084" s="1598"/>
      <c r="S1084" s="1592"/>
    </row>
    <row r="1085" spans="2:19" s="1593" customFormat="1" ht="11.25" customHeight="1" outlineLevel="1">
      <c r="B1085" s="1594">
        <v>33297</v>
      </c>
      <c r="C1085" s="1595" t="s">
        <v>5403</v>
      </c>
      <c r="D1085" s="1595" t="s">
        <v>13467</v>
      </c>
      <c r="E1085" s="1595"/>
      <c r="F1085" s="1595"/>
      <c r="G1085" s="1595"/>
      <c r="H1085" s="1596">
        <v>2</v>
      </c>
      <c r="I1085" s="1595"/>
      <c r="J1085" s="1595"/>
      <c r="K1085" s="1597">
        <v>48570</v>
      </c>
      <c r="L1085" s="1597">
        <v>48570</v>
      </c>
      <c r="M1085" s="1597">
        <v>-48570</v>
      </c>
      <c r="N1085" s="1598"/>
      <c r="O1085" s="1598"/>
      <c r="P1085" s="1597">
        <v>48570</v>
      </c>
      <c r="Q1085" s="1597">
        <v>-48570</v>
      </c>
      <c r="R1085" s="1598"/>
      <c r="S1085" s="1592"/>
    </row>
    <row r="1086" spans="2:19" s="1593" customFormat="1" ht="11.25" customHeight="1" outlineLevel="1">
      <c r="B1086" s="1594">
        <v>33298</v>
      </c>
      <c r="C1086" s="1595" t="s">
        <v>5403</v>
      </c>
      <c r="D1086" s="1595" t="s">
        <v>13466</v>
      </c>
      <c r="E1086" s="1595"/>
      <c r="F1086" s="1595"/>
      <c r="G1086" s="1595"/>
      <c r="H1086" s="1596">
        <v>2</v>
      </c>
      <c r="I1086" s="1595"/>
      <c r="J1086" s="1595"/>
      <c r="K1086" s="1597">
        <v>48570</v>
      </c>
      <c r="L1086" s="1597">
        <v>48570</v>
      </c>
      <c r="M1086" s="1597">
        <v>-48570</v>
      </c>
      <c r="N1086" s="1598"/>
      <c r="O1086" s="1598"/>
      <c r="P1086" s="1597">
        <v>48570</v>
      </c>
      <c r="Q1086" s="1597">
        <v>-48570</v>
      </c>
      <c r="R1086" s="1598"/>
      <c r="S1086" s="1592"/>
    </row>
    <row r="1087" spans="2:19" s="1593" customFormat="1" ht="11.25" customHeight="1" outlineLevel="1">
      <c r="B1087" s="1594">
        <v>34352</v>
      </c>
      <c r="C1087" s="1595" t="s">
        <v>5403</v>
      </c>
      <c r="D1087" s="1595" t="s">
        <v>13465</v>
      </c>
      <c r="E1087" s="1595"/>
      <c r="F1087" s="1595"/>
      <c r="G1087" s="1595"/>
      <c r="H1087" s="1596">
        <v>2</v>
      </c>
      <c r="I1087" s="1595"/>
      <c r="J1087" s="1595"/>
      <c r="K1087" s="1599">
        <v>76</v>
      </c>
      <c r="L1087" s="1599">
        <v>75.5</v>
      </c>
      <c r="M1087" s="1599">
        <v>-75.5</v>
      </c>
      <c r="N1087" s="1598"/>
      <c r="O1087" s="1598"/>
      <c r="P1087" s="1599">
        <v>75.5</v>
      </c>
      <c r="Q1087" s="1599">
        <v>-75.5</v>
      </c>
      <c r="R1087" s="1598"/>
      <c r="S1087" s="1592"/>
    </row>
    <row r="1088" spans="2:19" s="1593" customFormat="1" ht="11.25" customHeight="1" outlineLevel="1">
      <c r="B1088" s="1594">
        <v>34459</v>
      </c>
      <c r="C1088" s="1595" t="s">
        <v>5403</v>
      </c>
      <c r="D1088" s="1595" t="s">
        <v>13464</v>
      </c>
      <c r="E1088" s="1595"/>
      <c r="F1088" s="1595"/>
      <c r="G1088" s="1595"/>
      <c r="H1088" s="1596">
        <v>2</v>
      </c>
      <c r="I1088" s="1595"/>
      <c r="J1088" s="1595"/>
      <c r="K1088" s="1599">
        <v>671</v>
      </c>
      <c r="L1088" s="1599">
        <v>670.63</v>
      </c>
      <c r="M1088" s="1599">
        <v>-670.63</v>
      </c>
      <c r="N1088" s="1598"/>
      <c r="O1088" s="1598"/>
      <c r="P1088" s="1599">
        <v>670.63</v>
      </c>
      <c r="Q1088" s="1599">
        <v>-670.63</v>
      </c>
      <c r="R1088" s="1598"/>
      <c r="S1088" s="1592"/>
    </row>
    <row r="1089" spans="2:19" s="1593" customFormat="1" ht="11.25" customHeight="1" outlineLevel="1">
      <c r="B1089" s="1594">
        <v>34460</v>
      </c>
      <c r="C1089" s="1595" t="s">
        <v>5403</v>
      </c>
      <c r="D1089" s="1595" t="s">
        <v>13463</v>
      </c>
      <c r="E1089" s="1595"/>
      <c r="F1089" s="1595"/>
      <c r="G1089" s="1595"/>
      <c r="H1089" s="1596">
        <v>2</v>
      </c>
      <c r="I1089" s="1595"/>
      <c r="J1089" s="1595"/>
      <c r="K1089" s="1599">
        <v>671</v>
      </c>
      <c r="L1089" s="1599">
        <v>670.63</v>
      </c>
      <c r="M1089" s="1599">
        <v>-670.63</v>
      </c>
      <c r="N1089" s="1598"/>
      <c r="O1089" s="1598"/>
      <c r="P1089" s="1599">
        <v>670.63</v>
      </c>
      <c r="Q1089" s="1599">
        <v>-670.63</v>
      </c>
      <c r="R1089" s="1598"/>
      <c r="S1089" s="1592"/>
    </row>
    <row r="1090" spans="2:19" s="1593" customFormat="1" ht="11.25" customHeight="1" outlineLevel="1">
      <c r="B1090" s="1594">
        <v>34461</v>
      </c>
      <c r="C1090" s="1595" t="s">
        <v>5403</v>
      </c>
      <c r="D1090" s="1595" t="s">
        <v>13462</v>
      </c>
      <c r="E1090" s="1595"/>
      <c r="F1090" s="1595"/>
      <c r="G1090" s="1595"/>
      <c r="H1090" s="1596">
        <v>2</v>
      </c>
      <c r="I1090" s="1595"/>
      <c r="J1090" s="1595"/>
      <c r="K1090" s="1599">
        <v>671</v>
      </c>
      <c r="L1090" s="1599">
        <v>670.63</v>
      </c>
      <c r="M1090" s="1599">
        <v>-670.63</v>
      </c>
      <c r="N1090" s="1598"/>
      <c r="O1090" s="1598"/>
      <c r="P1090" s="1599">
        <v>670.63</v>
      </c>
      <c r="Q1090" s="1599">
        <v>-670.63</v>
      </c>
      <c r="R1090" s="1598"/>
      <c r="S1090" s="1592"/>
    </row>
    <row r="1091" spans="2:19" s="1593" customFormat="1" ht="11.25" customHeight="1" outlineLevel="1">
      <c r="B1091" s="1594">
        <v>34462</v>
      </c>
      <c r="C1091" s="1595" t="s">
        <v>5403</v>
      </c>
      <c r="D1091" s="1595" t="s">
        <v>13461</v>
      </c>
      <c r="E1091" s="1595"/>
      <c r="F1091" s="1595"/>
      <c r="G1091" s="1595"/>
      <c r="H1091" s="1596">
        <v>2</v>
      </c>
      <c r="I1091" s="1595"/>
      <c r="J1091" s="1595"/>
      <c r="K1091" s="1599">
        <v>671</v>
      </c>
      <c r="L1091" s="1599">
        <v>670.63</v>
      </c>
      <c r="M1091" s="1599">
        <v>-670.63</v>
      </c>
      <c r="N1091" s="1598"/>
      <c r="O1091" s="1598"/>
      <c r="P1091" s="1599">
        <v>670.63</v>
      </c>
      <c r="Q1091" s="1599">
        <v>-670.63</v>
      </c>
      <c r="R1091" s="1598"/>
      <c r="S1091" s="1592"/>
    </row>
    <row r="1092" spans="2:19" s="1593" customFormat="1" ht="11.25" customHeight="1" outlineLevel="1">
      <c r="B1092" s="1594">
        <v>34463</v>
      </c>
      <c r="C1092" s="1595" t="s">
        <v>5403</v>
      </c>
      <c r="D1092" s="1595" t="s">
        <v>13460</v>
      </c>
      <c r="E1092" s="1595"/>
      <c r="F1092" s="1595"/>
      <c r="G1092" s="1595"/>
      <c r="H1092" s="1596">
        <v>2</v>
      </c>
      <c r="I1092" s="1595"/>
      <c r="J1092" s="1595"/>
      <c r="K1092" s="1599">
        <v>671</v>
      </c>
      <c r="L1092" s="1599">
        <v>670.63</v>
      </c>
      <c r="M1092" s="1599">
        <v>-670.63</v>
      </c>
      <c r="N1092" s="1598"/>
      <c r="O1092" s="1598"/>
      <c r="P1092" s="1599">
        <v>670.63</v>
      </c>
      <c r="Q1092" s="1599">
        <v>-670.63</v>
      </c>
      <c r="R1092" s="1598"/>
      <c r="S1092" s="1592"/>
    </row>
    <row r="1093" spans="2:19" s="1593" customFormat="1" ht="11.25" customHeight="1" outlineLevel="1">
      <c r="B1093" s="1594">
        <v>34464</v>
      </c>
      <c r="C1093" s="1595" t="s">
        <v>5403</v>
      </c>
      <c r="D1093" s="1595" t="s">
        <v>13459</v>
      </c>
      <c r="E1093" s="1595"/>
      <c r="F1093" s="1595"/>
      <c r="G1093" s="1595"/>
      <c r="H1093" s="1596">
        <v>2</v>
      </c>
      <c r="I1093" s="1595"/>
      <c r="J1093" s="1595"/>
      <c r="K1093" s="1599">
        <v>671</v>
      </c>
      <c r="L1093" s="1599">
        <v>670.63</v>
      </c>
      <c r="M1093" s="1599">
        <v>-670.63</v>
      </c>
      <c r="N1093" s="1598"/>
      <c r="O1093" s="1598"/>
      <c r="P1093" s="1599">
        <v>670.63</v>
      </c>
      <c r="Q1093" s="1599">
        <v>-670.63</v>
      </c>
      <c r="R1093" s="1598"/>
      <c r="S1093" s="1592"/>
    </row>
    <row r="1094" spans="2:19" s="1593" customFormat="1" ht="11.25" customHeight="1" outlineLevel="1">
      <c r="B1094" s="1594">
        <v>34465</v>
      </c>
      <c r="C1094" s="1595" t="s">
        <v>5403</v>
      </c>
      <c r="D1094" s="1595" t="s">
        <v>13458</v>
      </c>
      <c r="E1094" s="1595"/>
      <c r="F1094" s="1595"/>
      <c r="G1094" s="1595"/>
      <c r="H1094" s="1596">
        <v>2</v>
      </c>
      <c r="I1094" s="1595"/>
      <c r="J1094" s="1595"/>
      <c r="K1094" s="1599">
        <v>671</v>
      </c>
      <c r="L1094" s="1599">
        <v>670.63</v>
      </c>
      <c r="M1094" s="1599">
        <v>-670.63</v>
      </c>
      <c r="N1094" s="1598"/>
      <c r="O1094" s="1598"/>
      <c r="P1094" s="1599">
        <v>670.63</v>
      </c>
      <c r="Q1094" s="1599">
        <v>-670.63</v>
      </c>
      <c r="R1094" s="1598"/>
      <c r="S1094" s="1592"/>
    </row>
    <row r="1095" spans="2:19" s="1593" customFormat="1" ht="11.25" customHeight="1" outlineLevel="1">
      <c r="B1095" s="1594">
        <v>34466</v>
      </c>
      <c r="C1095" s="1595" t="s">
        <v>5403</v>
      </c>
      <c r="D1095" s="1595" t="s">
        <v>13457</v>
      </c>
      <c r="E1095" s="1595"/>
      <c r="F1095" s="1595"/>
      <c r="G1095" s="1595"/>
      <c r="H1095" s="1596">
        <v>2</v>
      </c>
      <c r="I1095" s="1595"/>
      <c r="J1095" s="1595"/>
      <c r="K1095" s="1599">
        <v>671</v>
      </c>
      <c r="L1095" s="1599">
        <v>670.63</v>
      </c>
      <c r="M1095" s="1599">
        <v>-670.63</v>
      </c>
      <c r="N1095" s="1598"/>
      <c r="O1095" s="1598"/>
      <c r="P1095" s="1599">
        <v>670.63</v>
      </c>
      <c r="Q1095" s="1599">
        <v>-670.63</v>
      </c>
      <c r="R1095" s="1598"/>
      <c r="S1095" s="1592"/>
    </row>
    <row r="1096" spans="2:19" s="1593" customFormat="1" ht="11.25" customHeight="1" outlineLevel="1">
      <c r="B1096" s="1594">
        <v>34467</v>
      </c>
      <c r="C1096" s="1595" t="s">
        <v>5403</v>
      </c>
      <c r="D1096" s="1595" t="s">
        <v>13456</v>
      </c>
      <c r="E1096" s="1595"/>
      <c r="F1096" s="1595"/>
      <c r="G1096" s="1595"/>
      <c r="H1096" s="1596">
        <v>2</v>
      </c>
      <c r="I1096" s="1595"/>
      <c r="J1096" s="1595"/>
      <c r="K1096" s="1599">
        <v>671</v>
      </c>
      <c r="L1096" s="1599">
        <v>670.63</v>
      </c>
      <c r="M1096" s="1599">
        <v>-670.63</v>
      </c>
      <c r="N1096" s="1598"/>
      <c r="O1096" s="1598"/>
      <c r="P1096" s="1599">
        <v>670.63</v>
      </c>
      <c r="Q1096" s="1599">
        <v>-670.63</v>
      </c>
      <c r="R1096" s="1598"/>
      <c r="S1096" s="1592"/>
    </row>
    <row r="1097" spans="2:19" s="1593" customFormat="1" ht="11.25" customHeight="1" outlineLevel="1">
      <c r="B1097" s="1594">
        <v>34468</v>
      </c>
      <c r="C1097" s="1595" t="s">
        <v>5403</v>
      </c>
      <c r="D1097" s="1595" t="s">
        <v>13455</v>
      </c>
      <c r="E1097" s="1595"/>
      <c r="F1097" s="1595"/>
      <c r="G1097" s="1595"/>
      <c r="H1097" s="1596">
        <v>2</v>
      </c>
      <c r="I1097" s="1595"/>
      <c r="J1097" s="1595"/>
      <c r="K1097" s="1599">
        <v>671</v>
      </c>
      <c r="L1097" s="1599">
        <v>670.63</v>
      </c>
      <c r="M1097" s="1599">
        <v>-670.63</v>
      </c>
      <c r="N1097" s="1598"/>
      <c r="O1097" s="1598"/>
      <c r="P1097" s="1599">
        <v>670.63</v>
      </c>
      <c r="Q1097" s="1599">
        <v>-670.63</v>
      </c>
      <c r="R1097" s="1598"/>
      <c r="S1097" s="1592"/>
    </row>
    <row r="1098" spans="2:19" s="1593" customFormat="1" ht="11.25" customHeight="1" outlineLevel="1">
      <c r="B1098" s="1594">
        <v>34469</v>
      </c>
      <c r="C1098" s="1595" t="s">
        <v>5403</v>
      </c>
      <c r="D1098" s="1595" t="s">
        <v>13454</v>
      </c>
      <c r="E1098" s="1595"/>
      <c r="F1098" s="1595"/>
      <c r="G1098" s="1595"/>
      <c r="H1098" s="1596">
        <v>2</v>
      </c>
      <c r="I1098" s="1595"/>
      <c r="J1098" s="1595"/>
      <c r="K1098" s="1599">
        <v>671</v>
      </c>
      <c r="L1098" s="1599">
        <v>670.63</v>
      </c>
      <c r="M1098" s="1599">
        <v>-670.63</v>
      </c>
      <c r="N1098" s="1598"/>
      <c r="O1098" s="1598"/>
      <c r="P1098" s="1599">
        <v>670.63</v>
      </c>
      <c r="Q1098" s="1599">
        <v>-670.63</v>
      </c>
      <c r="R1098" s="1598"/>
      <c r="S1098" s="1592"/>
    </row>
    <row r="1099" spans="2:19" s="1593" customFormat="1" ht="11.25" customHeight="1" outlineLevel="1">
      <c r="B1099" s="1594">
        <v>34470</v>
      </c>
      <c r="C1099" s="1595" t="s">
        <v>5403</v>
      </c>
      <c r="D1099" s="1595" t="s">
        <v>13453</v>
      </c>
      <c r="E1099" s="1595"/>
      <c r="F1099" s="1595"/>
      <c r="G1099" s="1595"/>
      <c r="H1099" s="1596">
        <v>2</v>
      </c>
      <c r="I1099" s="1595"/>
      <c r="J1099" s="1595"/>
      <c r="K1099" s="1599">
        <v>671</v>
      </c>
      <c r="L1099" s="1599">
        <v>670.63</v>
      </c>
      <c r="M1099" s="1599">
        <v>-670.63</v>
      </c>
      <c r="N1099" s="1598"/>
      <c r="O1099" s="1598"/>
      <c r="P1099" s="1599">
        <v>670.63</v>
      </c>
      <c r="Q1099" s="1599">
        <v>-670.63</v>
      </c>
      <c r="R1099" s="1598"/>
      <c r="S1099" s="1592"/>
    </row>
    <row r="1100" spans="2:19" s="1593" customFormat="1" ht="11.25" customHeight="1" outlineLevel="1">
      <c r="B1100" s="1594">
        <v>34471</v>
      </c>
      <c r="C1100" s="1595" t="s">
        <v>5403</v>
      </c>
      <c r="D1100" s="1595" t="s">
        <v>13452</v>
      </c>
      <c r="E1100" s="1595"/>
      <c r="F1100" s="1595"/>
      <c r="G1100" s="1595"/>
      <c r="H1100" s="1596">
        <v>2</v>
      </c>
      <c r="I1100" s="1595"/>
      <c r="J1100" s="1595"/>
      <c r="K1100" s="1599">
        <v>671</v>
      </c>
      <c r="L1100" s="1599">
        <v>670.63</v>
      </c>
      <c r="M1100" s="1599">
        <v>-670.63</v>
      </c>
      <c r="N1100" s="1598"/>
      <c r="O1100" s="1598"/>
      <c r="P1100" s="1599">
        <v>670.63</v>
      </c>
      <c r="Q1100" s="1599">
        <v>-670.63</v>
      </c>
      <c r="R1100" s="1598"/>
      <c r="S1100" s="1592"/>
    </row>
    <row r="1101" spans="2:19" s="1593" customFormat="1" ht="11.25" customHeight="1" outlineLevel="1">
      <c r="B1101" s="1594">
        <v>34472</v>
      </c>
      <c r="C1101" s="1595" t="s">
        <v>5403</v>
      </c>
      <c r="D1101" s="1595" t="s">
        <v>13451</v>
      </c>
      <c r="E1101" s="1595"/>
      <c r="F1101" s="1595"/>
      <c r="G1101" s="1595"/>
      <c r="H1101" s="1596">
        <v>2</v>
      </c>
      <c r="I1101" s="1595"/>
      <c r="J1101" s="1595"/>
      <c r="K1101" s="1599">
        <v>671</v>
      </c>
      <c r="L1101" s="1599">
        <v>670.63</v>
      </c>
      <c r="M1101" s="1599">
        <v>-670.63</v>
      </c>
      <c r="N1101" s="1598"/>
      <c r="O1101" s="1598"/>
      <c r="P1101" s="1599">
        <v>670.63</v>
      </c>
      <c r="Q1101" s="1599">
        <v>-670.63</v>
      </c>
      <c r="R1101" s="1598"/>
      <c r="S1101" s="1592"/>
    </row>
    <row r="1102" spans="2:19" s="1593" customFormat="1" ht="11.25" customHeight="1" outlineLevel="1">
      <c r="B1102" s="1594">
        <v>34473</v>
      </c>
      <c r="C1102" s="1595" t="s">
        <v>5403</v>
      </c>
      <c r="D1102" s="1595" t="s">
        <v>13450</v>
      </c>
      <c r="E1102" s="1595"/>
      <c r="F1102" s="1595"/>
      <c r="G1102" s="1595"/>
      <c r="H1102" s="1596">
        <v>2</v>
      </c>
      <c r="I1102" s="1595"/>
      <c r="J1102" s="1595"/>
      <c r="K1102" s="1599">
        <v>671</v>
      </c>
      <c r="L1102" s="1599">
        <v>670.63</v>
      </c>
      <c r="M1102" s="1599">
        <v>-670.63</v>
      </c>
      <c r="N1102" s="1598"/>
      <c r="O1102" s="1598"/>
      <c r="P1102" s="1599">
        <v>670.63</v>
      </c>
      <c r="Q1102" s="1599">
        <v>-670.63</v>
      </c>
      <c r="R1102" s="1598"/>
      <c r="S1102" s="1592"/>
    </row>
    <row r="1103" spans="2:19" s="1593" customFormat="1" ht="11.25" customHeight="1" outlineLevel="1">
      <c r="B1103" s="1594">
        <v>34474</v>
      </c>
      <c r="C1103" s="1595" t="s">
        <v>5403</v>
      </c>
      <c r="D1103" s="1595" t="s">
        <v>13449</v>
      </c>
      <c r="E1103" s="1595"/>
      <c r="F1103" s="1595"/>
      <c r="G1103" s="1595"/>
      <c r="H1103" s="1596">
        <v>2</v>
      </c>
      <c r="I1103" s="1595"/>
      <c r="J1103" s="1595"/>
      <c r="K1103" s="1599">
        <v>671</v>
      </c>
      <c r="L1103" s="1599">
        <v>670.63</v>
      </c>
      <c r="M1103" s="1599">
        <v>-670.63</v>
      </c>
      <c r="N1103" s="1598"/>
      <c r="O1103" s="1598"/>
      <c r="P1103" s="1599">
        <v>670.63</v>
      </c>
      <c r="Q1103" s="1599">
        <v>-670.63</v>
      </c>
      <c r="R1103" s="1598"/>
      <c r="S1103" s="1592"/>
    </row>
    <row r="1104" spans="2:19" s="1593" customFormat="1" ht="11.25" customHeight="1" outlineLevel="1">
      <c r="B1104" s="1594">
        <v>34475</v>
      </c>
      <c r="C1104" s="1595" t="s">
        <v>5403</v>
      </c>
      <c r="D1104" s="1595" t="s">
        <v>13448</v>
      </c>
      <c r="E1104" s="1595"/>
      <c r="F1104" s="1595"/>
      <c r="G1104" s="1595"/>
      <c r="H1104" s="1596">
        <v>2</v>
      </c>
      <c r="I1104" s="1595"/>
      <c r="J1104" s="1595"/>
      <c r="K1104" s="1599">
        <v>671</v>
      </c>
      <c r="L1104" s="1599">
        <v>670.63</v>
      </c>
      <c r="M1104" s="1599">
        <v>-670.63</v>
      </c>
      <c r="N1104" s="1598"/>
      <c r="O1104" s="1598"/>
      <c r="P1104" s="1599">
        <v>670.63</v>
      </c>
      <c r="Q1104" s="1599">
        <v>-670.63</v>
      </c>
      <c r="R1104" s="1598"/>
      <c r="S1104" s="1592"/>
    </row>
    <row r="1105" spans="2:19" s="1593" customFormat="1" ht="11.25" customHeight="1" outlineLevel="1">
      <c r="B1105" s="1594">
        <v>34476</v>
      </c>
      <c r="C1105" s="1595" t="s">
        <v>5403</v>
      </c>
      <c r="D1105" s="1595" t="s">
        <v>13447</v>
      </c>
      <c r="E1105" s="1595"/>
      <c r="F1105" s="1595"/>
      <c r="G1105" s="1595"/>
      <c r="H1105" s="1596">
        <v>2</v>
      </c>
      <c r="I1105" s="1595"/>
      <c r="J1105" s="1595"/>
      <c r="K1105" s="1599">
        <v>671</v>
      </c>
      <c r="L1105" s="1599">
        <v>670.63</v>
      </c>
      <c r="M1105" s="1599">
        <v>-670.63</v>
      </c>
      <c r="N1105" s="1598"/>
      <c r="O1105" s="1598"/>
      <c r="P1105" s="1599">
        <v>670.63</v>
      </c>
      <c r="Q1105" s="1599">
        <v>-670.63</v>
      </c>
      <c r="R1105" s="1598"/>
      <c r="S1105" s="1592"/>
    </row>
    <row r="1106" spans="2:19" s="1593" customFormat="1" ht="11.25" customHeight="1" outlineLevel="1">
      <c r="B1106" s="1594">
        <v>34477</v>
      </c>
      <c r="C1106" s="1595" t="s">
        <v>5403</v>
      </c>
      <c r="D1106" s="1595" t="s">
        <v>13446</v>
      </c>
      <c r="E1106" s="1595"/>
      <c r="F1106" s="1595"/>
      <c r="G1106" s="1595"/>
      <c r="H1106" s="1596">
        <v>2</v>
      </c>
      <c r="I1106" s="1595"/>
      <c r="J1106" s="1595"/>
      <c r="K1106" s="1599">
        <v>671</v>
      </c>
      <c r="L1106" s="1599">
        <v>670.63</v>
      </c>
      <c r="M1106" s="1599">
        <v>-670.63</v>
      </c>
      <c r="N1106" s="1598"/>
      <c r="O1106" s="1598"/>
      <c r="P1106" s="1599">
        <v>670.63</v>
      </c>
      <c r="Q1106" s="1599">
        <v>-670.63</v>
      </c>
      <c r="R1106" s="1598"/>
      <c r="S1106" s="1592"/>
    </row>
    <row r="1107" spans="2:19" s="1593" customFormat="1" ht="11.25" customHeight="1" outlineLevel="1">
      <c r="B1107" s="1594">
        <v>34478</v>
      </c>
      <c r="C1107" s="1595" t="s">
        <v>5403</v>
      </c>
      <c r="D1107" s="1595" t="s">
        <v>13445</v>
      </c>
      <c r="E1107" s="1595"/>
      <c r="F1107" s="1595"/>
      <c r="G1107" s="1595"/>
      <c r="H1107" s="1596">
        <v>2</v>
      </c>
      <c r="I1107" s="1595"/>
      <c r="J1107" s="1595"/>
      <c r="K1107" s="1599">
        <v>671</v>
      </c>
      <c r="L1107" s="1599">
        <v>670.63</v>
      </c>
      <c r="M1107" s="1599">
        <v>-670.63</v>
      </c>
      <c r="N1107" s="1598"/>
      <c r="O1107" s="1598"/>
      <c r="P1107" s="1599">
        <v>670.63</v>
      </c>
      <c r="Q1107" s="1599">
        <v>-670.63</v>
      </c>
      <c r="R1107" s="1598"/>
      <c r="S1107" s="1592"/>
    </row>
    <row r="1108" spans="2:19" s="1593" customFormat="1" ht="11.25" customHeight="1" outlineLevel="1">
      <c r="B1108" s="1594">
        <v>34479</v>
      </c>
      <c r="C1108" s="1595" t="s">
        <v>5403</v>
      </c>
      <c r="D1108" s="1595" t="s">
        <v>13444</v>
      </c>
      <c r="E1108" s="1595"/>
      <c r="F1108" s="1595"/>
      <c r="G1108" s="1595"/>
      <c r="H1108" s="1596">
        <v>2</v>
      </c>
      <c r="I1108" s="1595"/>
      <c r="J1108" s="1595"/>
      <c r="K1108" s="1599">
        <v>671</v>
      </c>
      <c r="L1108" s="1599">
        <v>670.63</v>
      </c>
      <c r="M1108" s="1599">
        <v>-670.63</v>
      </c>
      <c r="N1108" s="1598"/>
      <c r="O1108" s="1598"/>
      <c r="P1108" s="1599">
        <v>670.63</v>
      </c>
      <c r="Q1108" s="1599">
        <v>-670.63</v>
      </c>
      <c r="R1108" s="1598"/>
      <c r="S1108" s="1592"/>
    </row>
    <row r="1109" spans="2:19" s="1593" customFormat="1" ht="11.25" customHeight="1" outlineLevel="1">
      <c r="B1109" s="1594">
        <v>34480</v>
      </c>
      <c r="C1109" s="1595" t="s">
        <v>5403</v>
      </c>
      <c r="D1109" s="1595" t="s">
        <v>13443</v>
      </c>
      <c r="E1109" s="1595"/>
      <c r="F1109" s="1595"/>
      <c r="G1109" s="1595"/>
      <c r="H1109" s="1596">
        <v>2</v>
      </c>
      <c r="I1109" s="1595"/>
      <c r="J1109" s="1595"/>
      <c r="K1109" s="1599">
        <v>671</v>
      </c>
      <c r="L1109" s="1599">
        <v>670.63</v>
      </c>
      <c r="M1109" s="1599">
        <v>-670.63</v>
      </c>
      <c r="N1109" s="1598"/>
      <c r="O1109" s="1598"/>
      <c r="P1109" s="1599">
        <v>670.63</v>
      </c>
      <c r="Q1109" s="1599">
        <v>-670.63</v>
      </c>
      <c r="R1109" s="1598"/>
      <c r="S1109" s="1592"/>
    </row>
    <row r="1110" spans="2:19" s="1593" customFormat="1" ht="11.25" customHeight="1" outlineLevel="1">
      <c r="B1110" s="1594">
        <v>34481</v>
      </c>
      <c r="C1110" s="1595" t="s">
        <v>5403</v>
      </c>
      <c r="D1110" s="1595" t="s">
        <v>13442</v>
      </c>
      <c r="E1110" s="1595"/>
      <c r="F1110" s="1595"/>
      <c r="G1110" s="1595"/>
      <c r="H1110" s="1596">
        <v>2</v>
      </c>
      <c r="I1110" s="1595"/>
      <c r="J1110" s="1595"/>
      <c r="K1110" s="1599">
        <v>671</v>
      </c>
      <c r="L1110" s="1599">
        <v>670.63</v>
      </c>
      <c r="M1110" s="1599">
        <v>-670.63</v>
      </c>
      <c r="N1110" s="1598"/>
      <c r="O1110" s="1598"/>
      <c r="P1110" s="1599">
        <v>670.63</v>
      </c>
      <c r="Q1110" s="1599">
        <v>-670.63</v>
      </c>
      <c r="R1110" s="1598"/>
      <c r="S1110" s="1592"/>
    </row>
    <row r="1111" spans="2:19" s="1593" customFormat="1" ht="11.25" customHeight="1" outlineLevel="1">
      <c r="B1111" s="1594">
        <v>34482</v>
      </c>
      <c r="C1111" s="1595" t="s">
        <v>5403</v>
      </c>
      <c r="D1111" s="1595" t="s">
        <v>13441</v>
      </c>
      <c r="E1111" s="1595"/>
      <c r="F1111" s="1595"/>
      <c r="G1111" s="1595" t="s">
        <v>807</v>
      </c>
      <c r="H1111" s="1596">
        <v>2</v>
      </c>
      <c r="I1111" s="1595"/>
      <c r="J1111" s="1595"/>
      <c r="K1111" s="1599">
        <v>680</v>
      </c>
      <c r="L1111" s="1599">
        <v>679.67</v>
      </c>
      <c r="M1111" s="1599">
        <v>-679.67</v>
      </c>
      <c r="N1111" s="1598"/>
      <c r="O1111" s="1598"/>
      <c r="P1111" s="1599">
        <v>679.67</v>
      </c>
      <c r="Q1111" s="1599">
        <v>-679.67</v>
      </c>
      <c r="R1111" s="1598"/>
      <c r="S1111" s="1592"/>
    </row>
    <row r="1112" spans="2:19" s="1593" customFormat="1" ht="11.25" customHeight="1" outlineLevel="1">
      <c r="B1112" s="1594">
        <v>34483</v>
      </c>
      <c r="C1112" s="1595" t="s">
        <v>5403</v>
      </c>
      <c r="D1112" s="1595" t="s">
        <v>13440</v>
      </c>
      <c r="E1112" s="1595"/>
      <c r="F1112" s="1595"/>
      <c r="G1112" s="1595" t="s">
        <v>807</v>
      </c>
      <c r="H1112" s="1596">
        <v>2</v>
      </c>
      <c r="I1112" s="1595"/>
      <c r="J1112" s="1595"/>
      <c r="K1112" s="1599">
        <v>680</v>
      </c>
      <c r="L1112" s="1599">
        <v>679.67</v>
      </c>
      <c r="M1112" s="1599">
        <v>-679.67</v>
      </c>
      <c r="N1112" s="1598"/>
      <c r="O1112" s="1598"/>
      <c r="P1112" s="1599">
        <v>679.67</v>
      </c>
      <c r="Q1112" s="1599">
        <v>-679.67</v>
      </c>
      <c r="R1112" s="1598"/>
      <c r="S1112" s="1592"/>
    </row>
    <row r="1113" spans="2:19" s="1593" customFormat="1" ht="11.25" customHeight="1" outlineLevel="1">
      <c r="B1113" s="1594">
        <v>34484</v>
      </c>
      <c r="C1113" s="1595" t="s">
        <v>5403</v>
      </c>
      <c r="D1113" s="1595" t="s">
        <v>13439</v>
      </c>
      <c r="E1113" s="1595"/>
      <c r="F1113" s="1595"/>
      <c r="G1113" s="1595"/>
      <c r="H1113" s="1596">
        <v>2</v>
      </c>
      <c r="I1113" s="1595"/>
      <c r="J1113" s="1595"/>
      <c r="K1113" s="1599">
        <v>10</v>
      </c>
      <c r="L1113" s="1599">
        <v>9.5</v>
      </c>
      <c r="M1113" s="1599">
        <v>-9.5</v>
      </c>
      <c r="N1113" s="1598"/>
      <c r="O1113" s="1598"/>
      <c r="P1113" s="1599">
        <v>9.5</v>
      </c>
      <c r="Q1113" s="1599">
        <v>-9.5</v>
      </c>
      <c r="R1113" s="1598"/>
      <c r="S1113" s="1592"/>
    </row>
    <row r="1114" spans="2:19" s="1593" customFormat="1" ht="11.25" customHeight="1" outlineLevel="1">
      <c r="B1114" s="1594">
        <v>34485</v>
      </c>
      <c r="C1114" s="1595" t="s">
        <v>5403</v>
      </c>
      <c r="D1114" s="1595" t="s">
        <v>13438</v>
      </c>
      <c r="E1114" s="1595"/>
      <c r="F1114" s="1595"/>
      <c r="G1114" s="1595"/>
      <c r="H1114" s="1596">
        <v>2</v>
      </c>
      <c r="I1114" s="1595"/>
      <c r="J1114" s="1595"/>
      <c r="K1114" s="1599">
        <v>10</v>
      </c>
      <c r="L1114" s="1599">
        <v>9.5</v>
      </c>
      <c r="M1114" s="1599">
        <v>-9.5</v>
      </c>
      <c r="N1114" s="1598"/>
      <c r="O1114" s="1598"/>
      <c r="P1114" s="1599">
        <v>9.5</v>
      </c>
      <c r="Q1114" s="1599">
        <v>-9.5</v>
      </c>
      <c r="R1114" s="1598"/>
      <c r="S1114" s="1592"/>
    </row>
    <row r="1115" spans="2:19" s="1593" customFormat="1" ht="11.25" customHeight="1" outlineLevel="1">
      <c r="B1115" s="1594">
        <v>34486</v>
      </c>
      <c r="C1115" s="1595" t="s">
        <v>5403</v>
      </c>
      <c r="D1115" s="1595" t="s">
        <v>13437</v>
      </c>
      <c r="E1115" s="1595"/>
      <c r="F1115" s="1595"/>
      <c r="G1115" s="1595"/>
      <c r="H1115" s="1596">
        <v>2</v>
      </c>
      <c r="I1115" s="1595"/>
      <c r="J1115" s="1595"/>
      <c r="K1115" s="1599">
        <v>10</v>
      </c>
      <c r="L1115" s="1599">
        <v>9.5</v>
      </c>
      <c r="M1115" s="1599">
        <v>-9.5</v>
      </c>
      <c r="N1115" s="1598"/>
      <c r="O1115" s="1598"/>
      <c r="P1115" s="1599">
        <v>9.5</v>
      </c>
      <c r="Q1115" s="1599">
        <v>-9.5</v>
      </c>
      <c r="R1115" s="1598"/>
      <c r="S1115" s="1592"/>
    </row>
    <row r="1116" spans="2:19" s="1593" customFormat="1" ht="11.25" customHeight="1" outlineLevel="1">
      <c r="B1116" s="1594">
        <v>34487</v>
      </c>
      <c r="C1116" s="1595" t="s">
        <v>5403</v>
      </c>
      <c r="D1116" s="1595" t="s">
        <v>13436</v>
      </c>
      <c r="E1116" s="1595"/>
      <c r="F1116" s="1595"/>
      <c r="G1116" s="1595"/>
      <c r="H1116" s="1596">
        <v>2</v>
      </c>
      <c r="I1116" s="1595"/>
      <c r="J1116" s="1595"/>
      <c r="K1116" s="1599">
        <v>10</v>
      </c>
      <c r="L1116" s="1599">
        <v>9.5</v>
      </c>
      <c r="M1116" s="1599">
        <v>-9.5</v>
      </c>
      <c r="N1116" s="1598"/>
      <c r="O1116" s="1598"/>
      <c r="P1116" s="1599">
        <v>9.5</v>
      </c>
      <c r="Q1116" s="1599">
        <v>-9.5</v>
      </c>
      <c r="R1116" s="1598"/>
      <c r="S1116" s="1592"/>
    </row>
    <row r="1117" spans="2:19" s="1593" customFormat="1" ht="11.25" customHeight="1" outlineLevel="1">
      <c r="B1117" s="1594">
        <v>34488</v>
      </c>
      <c r="C1117" s="1595" t="s">
        <v>5403</v>
      </c>
      <c r="D1117" s="1595" t="s">
        <v>13435</v>
      </c>
      <c r="E1117" s="1595"/>
      <c r="F1117" s="1595"/>
      <c r="G1117" s="1595"/>
      <c r="H1117" s="1596">
        <v>2</v>
      </c>
      <c r="I1117" s="1595"/>
      <c r="J1117" s="1595"/>
      <c r="K1117" s="1599">
        <v>10</v>
      </c>
      <c r="L1117" s="1599">
        <v>9.5</v>
      </c>
      <c r="M1117" s="1599">
        <v>-9.5</v>
      </c>
      <c r="N1117" s="1598"/>
      <c r="O1117" s="1598"/>
      <c r="P1117" s="1599">
        <v>9.5</v>
      </c>
      <c r="Q1117" s="1599">
        <v>-9.5</v>
      </c>
      <c r="R1117" s="1598"/>
      <c r="S1117" s="1592"/>
    </row>
    <row r="1118" spans="2:19" s="1593" customFormat="1" ht="11.25" customHeight="1" outlineLevel="1">
      <c r="B1118" s="1594">
        <v>34489</v>
      </c>
      <c r="C1118" s="1595" t="s">
        <v>5403</v>
      </c>
      <c r="D1118" s="1595" t="s">
        <v>13434</v>
      </c>
      <c r="E1118" s="1595"/>
      <c r="F1118" s="1595"/>
      <c r="G1118" s="1595"/>
      <c r="H1118" s="1596">
        <v>2</v>
      </c>
      <c r="I1118" s="1595"/>
      <c r="J1118" s="1595"/>
      <c r="K1118" s="1599">
        <v>10</v>
      </c>
      <c r="L1118" s="1599">
        <v>9.5</v>
      </c>
      <c r="M1118" s="1599">
        <v>-9.5</v>
      </c>
      <c r="N1118" s="1598"/>
      <c r="O1118" s="1598"/>
      <c r="P1118" s="1599">
        <v>9.5</v>
      </c>
      <c r="Q1118" s="1599">
        <v>-9.5</v>
      </c>
      <c r="R1118" s="1598"/>
      <c r="S1118" s="1592"/>
    </row>
    <row r="1119" spans="2:19" s="1593" customFormat="1" ht="11.25" customHeight="1" outlineLevel="1">
      <c r="B1119" s="1594">
        <v>34490</v>
      </c>
      <c r="C1119" s="1595" t="s">
        <v>5403</v>
      </c>
      <c r="D1119" s="1595" t="s">
        <v>13433</v>
      </c>
      <c r="E1119" s="1595"/>
      <c r="F1119" s="1595"/>
      <c r="G1119" s="1595"/>
      <c r="H1119" s="1596">
        <v>2</v>
      </c>
      <c r="I1119" s="1595"/>
      <c r="J1119" s="1595"/>
      <c r="K1119" s="1599">
        <v>10</v>
      </c>
      <c r="L1119" s="1599">
        <v>9.5</v>
      </c>
      <c r="M1119" s="1599">
        <v>-9.5</v>
      </c>
      <c r="N1119" s="1598"/>
      <c r="O1119" s="1598"/>
      <c r="P1119" s="1599">
        <v>9.5</v>
      </c>
      <c r="Q1119" s="1599">
        <v>-9.5</v>
      </c>
      <c r="R1119" s="1598"/>
      <c r="S1119" s="1592"/>
    </row>
    <row r="1120" spans="2:19" s="1593" customFormat="1" ht="11.25" customHeight="1" outlineLevel="1">
      <c r="B1120" s="1594">
        <v>34491</v>
      </c>
      <c r="C1120" s="1595" t="s">
        <v>5403</v>
      </c>
      <c r="D1120" s="1595" t="s">
        <v>13432</v>
      </c>
      <c r="E1120" s="1595"/>
      <c r="F1120" s="1595"/>
      <c r="G1120" s="1595"/>
      <c r="H1120" s="1596">
        <v>2</v>
      </c>
      <c r="I1120" s="1595"/>
      <c r="J1120" s="1595"/>
      <c r="K1120" s="1599">
        <v>10</v>
      </c>
      <c r="L1120" s="1599">
        <v>9.5</v>
      </c>
      <c r="M1120" s="1599">
        <v>-9.5</v>
      </c>
      <c r="N1120" s="1598"/>
      <c r="O1120" s="1598"/>
      <c r="P1120" s="1599">
        <v>9.5</v>
      </c>
      <c r="Q1120" s="1599">
        <v>-9.5</v>
      </c>
      <c r="R1120" s="1598"/>
      <c r="S1120" s="1592"/>
    </row>
    <row r="1121" spans="2:19" s="1593" customFormat="1" ht="11.25" customHeight="1" outlineLevel="1">
      <c r="B1121" s="1594">
        <v>34492</v>
      </c>
      <c r="C1121" s="1595" t="s">
        <v>5403</v>
      </c>
      <c r="D1121" s="1595" t="s">
        <v>13431</v>
      </c>
      <c r="E1121" s="1595"/>
      <c r="F1121" s="1595"/>
      <c r="G1121" s="1595"/>
      <c r="H1121" s="1596">
        <v>2</v>
      </c>
      <c r="I1121" s="1595"/>
      <c r="J1121" s="1595"/>
      <c r="K1121" s="1599">
        <v>10</v>
      </c>
      <c r="L1121" s="1599">
        <v>9.5</v>
      </c>
      <c r="M1121" s="1599">
        <v>-9.5</v>
      </c>
      <c r="N1121" s="1598"/>
      <c r="O1121" s="1598"/>
      <c r="P1121" s="1599">
        <v>9.5</v>
      </c>
      <c r="Q1121" s="1599">
        <v>-9.5</v>
      </c>
      <c r="R1121" s="1598"/>
      <c r="S1121" s="1592"/>
    </row>
    <row r="1122" spans="2:19" s="1593" customFormat="1" ht="11.25" customHeight="1" outlineLevel="1">
      <c r="B1122" s="1594">
        <v>34493</v>
      </c>
      <c r="C1122" s="1595" t="s">
        <v>5403</v>
      </c>
      <c r="D1122" s="1595" t="s">
        <v>13430</v>
      </c>
      <c r="E1122" s="1595"/>
      <c r="F1122" s="1595"/>
      <c r="G1122" s="1595"/>
      <c r="H1122" s="1596">
        <v>2</v>
      </c>
      <c r="I1122" s="1595"/>
      <c r="J1122" s="1595"/>
      <c r="K1122" s="1599">
        <v>10</v>
      </c>
      <c r="L1122" s="1599">
        <v>9.5</v>
      </c>
      <c r="M1122" s="1599">
        <v>-9.5</v>
      </c>
      <c r="N1122" s="1598"/>
      <c r="O1122" s="1598"/>
      <c r="P1122" s="1599">
        <v>9.5</v>
      </c>
      <c r="Q1122" s="1599">
        <v>-9.5</v>
      </c>
      <c r="R1122" s="1598"/>
      <c r="S1122" s="1592"/>
    </row>
    <row r="1123" spans="2:19" s="1593" customFormat="1" ht="11.25" customHeight="1" outlineLevel="1">
      <c r="B1123" s="1594">
        <v>34494</v>
      </c>
      <c r="C1123" s="1595" t="s">
        <v>5403</v>
      </c>
      <c r="D1123" s="1595" t="s">
        <v>13429</v>
      </c>
      <c r="E1123" s="1595"/>
      <c r="F1123" s="1595"/>
      <c r="G1123" s="1595"/>
      <c r="H1123" s="1596">
        <v>2</v>
      </c>
      <c r="I1123" s="1595"/>
      <c r="J1123" s="1595"/>
      <c r="K1123" s="1599">
        <v>10</v>
      </c>
      <c r="L1123" s="1599">
        <v>9.5</v>
      </c>
      <c r="M1123" s="1599">
        <v>-9.5</v>
      </c>
      <c r="N1123" s="1598"/>
      <c r="O1123" s="1598"/>
      <c r="P1123" s="1599">
        <v>9.5</v>
      </c>
      <c r="Q1123" s="1599">
        <v>-9.5</v>
      </c>
      <c r="R1123" s="1598"/>
      <c r="S1123" s="1592"/>
    </row>
    <row r="1124" spans="2:19" s="1593" customFormat="1" ht="11.25" customHeight="1" outlineLevel="1">
      <c r="B1124" s="1594">
        <v>34495</v>
      </c>
      <c r="C1124" s="1595" t="s">
        <v>5403</v>
      </c>
      <c r="D1124" s="1595" t="s">
        <v>13428</v>
      </c>
      <c r="E1124" s="1595"/>
      <c r="F1124" s="1595"/>
      <c r="G1124" s="1595"/>
      <c r="H1124" s="1596">
        <v>2</v>
      </c>
      <c r="I1124" s="1595"/>
      <c r="J1124" s="1595"/>
      <c r="K1124" s="1599">
        <v>10</v>
      </c>
      <c r="L1124" s="1599">
        <v>9.5</v>
      </c>
      <c r="M1124" s="1599">
        <v>-9.5</v>
      </c>
      <c r="N1124" s="1598"/>
      <c r="O1124" s="1598"/>
      <c r="P1124" s="1599">
        <v>9.5</v>
      </c>
      <c r="Q1124" s="1599">
        <v>-9.5</v>
      </c>
      <c r="R1124" s="1598"/>
      <c r="S1124" s="1592"/>
    </row>
    <row r="1125" spans="2:19" s="1593" customFormat="1" ht="11.25" customHeight="1" outlineLevel="1">
      <c r="B1125" s="1594">
        <v>34497</v>
      </c>
      <c r="C1125" s="1595" t="s">
        <v>5403</v>
      </c>
      <c r="D1125" s="1595" t="s">
        <v>13427</v>
      </c>
      <c r="E1125" s="1595"/>
      <c r="F1125" s="1595"/>
      <c r="G1125" s="1595"/>
      <c r="H1125" s="1596">
        <v>2</v>
      </c>
      <c r="I1125" s="1595"/>
      <c r="J1125" s="1595"/>
      <c r="K1125" s="1599">
        <v>10</v>
      </c>
      <c r="L1125" s="1599">
        <v>9.5</v>
      </c>
      <c r="M1125" s="1599">
        <v>-9.5</v>
      </c>
      <c r="N1125" s="1598"/>
      <c r="O1125" s="1598"/>
      <c r="P1125" s="1599">
        <v>9.5</v>
      </c>
      <c r="Q1125" s="1599">
        <v>-9.5</v>
      </c>
      <c r="R1125" s="1598"/>
      <c r="S1125" s="1592"/>
    </row>
    <row r="1126" spans="2:19" s="1593" customFormat="1" ht="11.25" customHeight="1" outlineLevel="1">
      <c r="B1126" s="1594">
        <v>34498</v>
      </c>
      <c r="C1126" s="1595" t="s">
        <v>5403</v>
      </c>
      <c r="D1126" s="1595" t="s">
        <v>13426</v>
      </c>
      <c r="E1126" s="1595"/>
      <c r="F1126" s="1595"/>
      <c r="G1126" s="1595"/>
      <c r="H1126" s="1596">
        <v>2</v>
      </c>
      <c r="I1126" s="1595"/>
      <c r="J1126" s="1595"/>
      <c r="K1126" s="1599">
        <v>10</v>
      </c>
      <c r="L1126" s="1599">
        <v>9.5</v>
      </c>
      <c r="M1126" s="1599">
        <v>-9.5</v>
      </c>
      <c r="N1126" s="1598"/>
      <c r="O1126" s="1598"/>
      <c r="P1126" s="1599">
        <v>9.5</v>
      </c>
      <c r="Q1126" s="1599">
        <v>-9.5</v>
      </c>
      <c r="R1126" s="1598"/>
      <c r="S1126" s="1592"/>
    </row>
    <row r="1127" spans="2:19" s="1593" customFormat="1" ht="11.25" customHeight="1" outlineLevel="1">
      <c r="B1127" s="1594">
        <v>34499</v>
      </c>
      <c r="C1127" s="1595" t="s">
        <v>5403</v>
      </c>
      <c r="D1127" s="1595" t="s">
        <v>13425</v>
      </c>
      <c r="E1127" s="1595"/>
      <c r="F1127" s="1595"/>
      <c r="G1127" s="1595"/>
      <c r="H1127" s="1596">
        <v>2</v>
      </c>
      <c r="I1127" s="1595"/>
      <c r="J1127" s="1595"/>
      <c r="K1127" s="1599">
        <v>10</v>
      </c>
      <c r="L1127" s="1599">
        <v>9.5</v>
      </c>
      <c r="M1127" s="1599">
        <v>-9.5</v>
      </c>
      <c r="N1127" s="1598"/>
      <c r="O1127" s="1598"/>
      <c r="P1127" s="1599">
        <v>9.5</v>
      </c>
      <c r="Q1127" s="1599">
        <v>-9.5</v>
      </c>
      <c r="R1127" s="1598"/>
      <c r="S1127" s="1592"/>
    </row>
    <row r="1128" spans="2:19" s="1593" customFormat="1" ht="11.25" customHeight="1" outlineLevel="1">
      <c r="B1128" s="1594">
        <v>34500</v>
      </c>
      <c r="C1128" s="1595" t="s">
        <v>5403</v>
      </c>
      <c r="D1128" s="1595" t="s">
        <v>13424</v>
      </c>
      <c r="E1128" s="1595"/>
      <c r="F1128" s="1595"/>
      <c r="G1128" s="1595"/>
      <c r="H1128" s="1596">
        <v>2</v>
      </c>
      <c r="I1128" s="1595"/>
      <c r="J1128" s="1595"/>
      <c r="K1128" s="1599">
        <v>10</v>
      </c>
      <c r="L1128" s="1599">
        <v>9.5</v>
      </c>
      <c r="M1128" s="1599">
        <v>-9.5</v>
      </c>
      <c r="N1128" s="1598"/>
      <c r="O1128" s="1598"/>
      <c r="P1128" s="1599">
        <v>9.5</v>
      </c>
      <c r="Q1128" s="1599">
        <v>-9.5</v>
      </c>
      <c r="R1128" s="1598"/>
      <c r="S1128" s="1592"/>
    </row>
    <row r="1129" spans="2:19" s="1593" customFormat="1" ht="11.25" customHeight="1" outlineLevel="1">
      <c r="B1129" s="1594">
        <v>34501</v>
      </c>
      <c r="C1129" s="1595" t="s">
        <v>5403</v>
      </c>
      <c r="D1129" s="1595" t="s">
        <v>13423</v>
      </c>
      <c r="E1129" s="1595"/>
      <c r="F1129" s="1595"/>
      <c r="G1129" s="1595"/>
      <c r="H1129" s="1596">
        <v>2</v>
      </c>
      <c r="I1129" s="1595"/>
      <c r="J1129" s="1595"/>
      <c r="K1129" s="1599">
        <v>10</v>
      </c>
      <c r="L1129" s="1599">
        <v>9.5</v>
      </c>
      <c r="M1129" s="1599">
        <v>-9.5</v>
      </c>
      <c r="N1129" s="1598"/>
      <c r="O1129" s="1598"/>
      <c r="P1129" s="1599">
        <v>9.5</v>
      </c>
      <c r="Q1129" s="1599">
        <v>-9.5</v>
      </c>
      <c r="R1129" s="1598"/>
      <c r="S1129" s="1592"/>
    </row>
    <row r="1130" spans="2:19" s="1593" customFormat="1" ht="11.25" customHeight="1" outlineLevel="1">
      <c r="B1130" s="1594">
        <v>34502</v>
      </c>
      <c r="C1130" s="1595" t="s">
        <v>5403</v>
      </c>
      <c r="D1130" s="1595" t="s">
        <v>13422</v>
      </c>
      <c r="E1130" s="1595"/>
      <c r="F1130" s="1595"/>
      <c r="G1130" s="1595"/>
      <c r="H1130" s="1596">
        <v>2</v>
      </c>
      <c r="I1130" s="1595"/>
      <c r="J1130" s="1595"/>
      <c r="K1130" s="1599">
        <v>10</v>
      </c>
      <c r="L1130" s="1599">
        <v>9.5</v>
      </c>
      <c r="M1130" s="1599">
        <v>-9.5</v>
      </c>
      <c r="N1130" s="1598"/>
      <c r="O1130" s="1598"/>
      <c r="P1130" s="1599">
        <v>9.5</v>
      </c>
      <c r="Q1130" s="1599">
        <v>-9.5</v>
      </c>
      <c r="R1130" s="1598"/>
      <c r="S1130" s="1592"/>
    </row>
    <row r="1131" spans="2:19" s="1593" customFormat="1" ht="11.25" customHeight="1" outlineLevel="1">
      <c r="B1131" s="1594">
        <v>34503</v>
      </c>
      <c r="C1131" s="1595" t="s">
        <v>5403</v>
      </c>
      <c r="D1131" s="1595" t="s">
        <v>13421</v>
      </c>
      <c r="E1131" s="1595"/>
      <c r="F1131" s="1595"/>
      <c r="G1131" s="1595"/>
      <c r="H1131" s="1596">
        <v>2</v>
      </c>
      <c r="I1131" s="1595"/>
      <c r="J1131" s="1595"/>
      <c r="K1131" s="1599">
        <v>10</v>
      </c>
      <c r="L1131" s="1599">
        <v>9.5</v>
      </c>
      <c r="M1131" s="1599">
        <v>-9.5</v>
      </c>
      <c r="N1131" s="1598"/>
      <c r="O1131" s="1598"/>
      <c r="P1131" s="1599">
        <v>9.5</v>
      </c>
      <c r="Q1131" s="1599">
        <v>-9.5</v>
      </c>
      <c r="R1131" s="1598"/>
      <c r="S1131" s="1592"/>
    </row>
    <row r="1132" spans="2:19" s="1593" customFormat="1" ht="11.25" customHeight="1" outlineLevel="1">
      <c r="B1132" s="1594">
        <v>34504</v>
      </c>
      <c r="C1132" s="1595" t="s">
        <v>5403</v>
      </c>
      <c r="D1132" s="1595" t="s">
        <v>13420</v>
      </c>
      <c r="E1132" s="1595"/>
      <c r="F1132" s="1595"/>
      <c r="G1132" s="1595"/>
      <c r="H1132" s="1596">
        <v>2</v>
      </c>
      <c r="I1132" s="1595"/>
      <c r="J1132" s="1595"/>
      <c r="K1132" s="1599">
        <v>10</v>
      </c>
      <c r="L1132" s="1599">
        <v>9.5</v>
      </c>
      <c r="M1132" s="1599">
        <v>-9.5</v>
      </c>
      <c r="N1132" s="1598"/>
      <c r="O1132" s="1598"/>
      <c r="P1132" s="1599">
        <v>9.5</v>
      </c>
      <c r="Q1132" s="1599">
        <v>-9.5</v>
      </c>
      <c r="R1132" s="1598"/>
      <c r="S1132" s="1592"/>
    </row>
    <row r="1133" spans="2:19" s="1593" customFormat="1" ht="11.25" customHeight="1" outlineLevel="1">
      <c r="B1133" s="1594">
        <v>34505</v>
      </c>
      <c r="C1133" s="1595" t="s">
        <v>5403</v>
      </c>
      <c r="D1133" s="1595" t="s">
        <v>13419</v>
      </c>
      <c r="E1133" s="1595"/>
      <c r="F1133" s="1595"/>
      <c r="G1133" s="1595"/>
      <c r="H1133" s="1596">
        <v>2</v>
      </c>
      <c r="I1133" s="1595"/>
      <c r="J1133" s="1595"/>
      <c r="K1133" s="1599">
        <v>10</v>
      </c>
      <c r="L1133" s="1599">
        <v>9.5</v>
      </c>
      <c r="M1133" s="1599">
        <v>-9.5</v>
      </c>
      <c r="N1133" s="1598"/>
      <c r="O1133" s="1598"/>
      <c r="P1133" s="1599">
        <v>9.5</v>
      </c>
      <c r="Q1133" s="1599">
        <v>-9.5</v>
      </c>
      <c r="R1133" s="1598"/>
      <c r="S1133" s="1592"/>
    </row>
    <row r="1134" spans="2:19" s="1593" customFormat="1" ht="11.25" customHeight="1" outlineLevel="1">
      <c r="B1134" s="1594">
        <v>34506</v>
      </c>
      <c r="C1134" s="1595" t="s">
        <v>5403</v>
      </c>
      <c r="D1134" s="1595" t="s">
        <v>13418</v>
      </c>
      <c r="E1134" s="1595"/>
      <c r="F1134" s="1595"/>
      <c r="G1134" s="1595"/>
      <c r="H1134" s="1596">
        <v>2</v>
      </c>
      <c r="I1134" s="1595"/>
      <c r="J1134" s="1595"/>
      <c r="K1134" s="1599">
        <v>10</v>
      </c>
      <c r="L1134" s="1599">
        <v>9.5</v>
      </c>
      <c r="M1134" s="1599">
        <v>-9.5</v>
      </c>
      <c r="N1134" s="1598"/>
      <c r="O1134" s="1598"/>
      <c r="P1134" s="1599">
        <v>9.5</v>
      </c>
      <c r="Q1134" s="1599">
        <v>-9.5</v>
      </c>
      <c r="R1134" s="1598"/>
      <c r="S1134" s="1592"/>
    </row>
    <row r="1135" spans="2:19" s="1593" customFormat="1" ht="11.25" customHeight="1" outlineLevel="1">
      <c r="B1135" s="1594">
        <v>34507</v>
      </c>
      <c r="C1135" s="1595" t="s">
        <v>5403</v>
      </c>
      <c r="D1135" s="1595" t="s">
        <v>13417</v>
      </c>
      <c r="E1135" s="1595"/>
      <c r="F1135" s="1595"/>
      <c r="G1135" s="1595"/>
      <c r="H1135" s="1596">
        <v>2</v>
      </c>
      <c r="I1135" s="1595"/>
      <c r="J1135" s="1595"/>
      <c r="K1135" s="1599">
        <v>10</v>
      </c>
      <c r="L1135" s="1599">
        <v>9.5</v>
      </c>
      <c r="M1135" s="1599">
        <v>-9.5</v>
      </c>
      <c r="N1135" s="1598"/>
      <c r="O1135" s="1598"/>
      <c r="P1135" s="1599">
        <v>9.5</v>
      </c>
      <c r="Q1135" s="1599">
        <v>-9.5</v>
      </c>
      <c r="R1135" s="1598"/>
      <c r="S1135" s="1592"/>
    </row>
    <row r="1136" spans="2:19" s="1593" customFormat="1" ht="11.25" customHeight="1" outlineLevel="1">
      <c r="B1136" s="1594">
        <v>34509</v>
      </c>
      <c r="C1136" s="1595" t="s">
        <v>5403</v>
      </c>
      <c r="D1136" s="1595" t="s">
        <v>13416</v>
      </c>
      <c r="E1136" s="1595"/>
      <c r="F1136" s="1595"/>
      <c r="G1136" s="1595"/>
      <c r="H1136" s="1596">
        <v>2</v>
      </c>
      <c r="I1136" s="1595"/>
      <c r="J1136" s="1595"/>
      <c r="K1136" s="1599">
        <v>10</v>
      </c>
      <c r="L1136" s="1599">
        <v>9.5</v>
      </c>
      <c r="M1136" s="1599">
        <v>-9.5</v>
      </c>
      <c r="N1136" s="1598"/>
      <c r="O1136" s="1598"/>
      <c r="P1136" s="1599">
        <v>9.5</v>
      </c>
      <c r="Q1136" s="1599">
        <v>-9.5</v>
      </c>
      <c r="R1136" s="1598"/>
      <c r="S1136" s="1592"/>
    </row>
    <row r="1137" spans="2:19" s="1593" customFormat="1" ht="11.25" customHeight="1" outlineLevel="1">
      <c r="B1137" s="1594">
        <v>34510</v>
      </c>
      <c r="C1137" s="1595" t="s">
        <v>5403</v>
      </c>
      <c r="D1137" s="1595" t="s">
        <v>13415</v>
      </c>
      <c r="E1137" s="1595"/>
      <c r="F1137" s="1595"/>
      <c r="G1137" s="1595"/>
      <c r="H1137" s="1596">
        <v>2</v>
      </c>
      <c r="I1137" s="1595"/>
      <c r="J1137" s="1595"/>
      <c r="K1137" s="1599">
        <v>10</v>
      </c>
      <c r="L1137" s="1599">
        <v>9.5</v>
      </c>
      <c r="M1137" s="1599">
        <v>-9.5</v>
      </c>
      <c r="N1137" s="1598"/>
      <c r="O1137" s="1598"/>
      <c r="P1137" s="1599">
        <v>9.5</v>
      </c>
      <c r="Q1137" s="1599">
        <v>-9.5</v>
      </c>
      <c r="R1137" s="1598"/>
      <c r="S1137" s="1592"/>
    </row>
    <row r="1138" spans="2:19" s="1593" customFormat="1" ht="11.25" customHeight="1" outlineLevel="1">
      <c r="B1138" s="1594">
        <v>34511</v>
      </c>
      <c r="C1138" s="1595" t="s">
        <v>5403</v>
      </c>
      <c r="D1138" s="1595" t="s">
        <v>13414</v>
      </c>
      <c r="E1138" s="1595"/>
      <c r="F1138" s="1595"/>
      <c r="G1138" s="1595"/>
      <c r="H1138" s="1596">
        <v>2</v>
      </c>
      <c r="I1138" s="1595"/>
      <c r="J1138" s="1595"/>
      <c r="K1138" s="1599">
        <v>10</v>
      </c>
      <c r="L1138" s="1599">
        <v>9.5</v>
      </c>
      <c r="M1138" s="1599">
        <v>-9.5</v>
      </c>
      <c r="N1138" s="1598"/>
      <c r="O1138" s="1598"/>
      <c r="P1138" s="1599">
        <v>9.5</v>
      </c>
      <c r="Q1138" s="1599">
        <v>-9.5</v>
      </c>
      <c r="R1138" s="1598"/>
      <c r="S1138" s="1592"/>
    </row>
    <row r="1139" spans="2:19" s="1593" customFormat="1" ht="11.25" customHeight="1" outlineLevel="1">
      <c r="B1139" s="1594">
        <v>34512</v>
      </c>
      <c r="C1139" s="1595" t="s">
        <v>5403</v>
      </c>
      <c r="D1139" s="1595" t="s">
        <v>13413</v>
      </c>
      <c r="E1139" s="1595"/>
      <c r="F1139" s="1595"/>
      <c r="G1139" s="1595"/>
      <c r="H1139" s="1596">
        <v>2</v>
      </c>
      <c r="I1139" s="1595"/>
      <c r="J1139" s="1595"/>
      <c r="K1139" s="1599">
        <v>10</v>
      </c>
      <c r="L1139" s="1599">
        <v>9.5</v>
      </c>
      <c r="M1139" s="1599">
        <v>-9.5</v>
      </c>
      <c r="N1139" s="1598"/>
      <c r="O1139" s="1598"/>
      <c r="P1139" s="1599">
        <v>9.5</v>
      </c>
      <c r="Q1139" s="1599">
        <v>-9.5</v>
      </c>
      <c r="R1139" s="1598"/>
      <c r="S1139" s="1592"/>
    </row>
    <row r="1140" spans="2:19" s="1593" customFormat="1" ht="11.25" customHeight="1" outlineLevel="1">
      <c r="B1140" s="1594">
        <v>34513</v>
      </c>
      <c r="C1140" s="1595" t="s">
        <v>5403</v>
      </c>
      <c r="D1140" s="1595" t="s">
        <v>13412</v>
      </c>
      <c r="E1140" s="1595"/>
      <c r="F1140" s="1595"/>
      <c r="G1140" s="1595"/>
      <c r="H1140" s="1596">
        <v>2</v>
      </c>
      <c r="I1140" s="1595"/>
      <c r="J1140" s="1595"/>
      <c r="K1140" s="1599">
        <v>10</v>
      </c>
      <c r="L1140" s="1599">
        <v>9.5</v>
      </c>
      <c r="M1140" s="1599">
        <v>-9.5</v>
      </c>
      <c r="N1140" s="1598"/>
      <c r="O1140" s="1598"/>
      <c r="P1140" s="1599">
        <v>9.5</v>
      </c>
      <c r="Q1140" s="1599">
        <v>-9.5</v>
      </c>
      <c r="R1140" s="1598"/>
      <c r="S1140" s="1592"/>
    </row>
    <row r="1141" spans="2:19" s="1593" customFormat="1" ht="11.25" customHeight="1" outlineLevel="1">
      <c r="B1141" s="1594">
        <v>34514</v>
      </c>
      <c r="C1141" s="1595" t="s">
        <v>5403</v>
      </c>
      <c r="D1141" s="1595" t="s">
        <v>13411</v>
      </c>
      <c r="E1141" s="1595"/>
      <c r="F1141" s="1595"/>
      <c r="G1141" s="1595"/>
      <c r="H1141" s="1596">
        <v>2</v>
      </c>
      <c r="I1141" s="1595"/>
      <c r="J1141" s="1595"/>
      <c r="K1141" s="1599">
        <v>10</v>
      </c>
      <c r="L1141" s="1599">
        <v>9.5</v>
      </c>
      <c r="M1141" s="1599">
        <v>-9.5</v>
      </c>
      <c r="N1141" s="1598"/>
      <c r="O1141" s="1598"/>
      <c r="P1141" s="1599">
        <v>9.5</v>
      </c>
      <c r="Q1141" s="1599">
        <v>-9.5</v>
      </c>
      <c r="R1141" s="1598"/>
      <c r="S1141" s="1592"/>
    </row>
    <row r="1142" spans="2:19" s="1593" customFormat="1" ht="11.25" customHeight="1" outlineLevel="1">
      <c r="B1142" s="1594">
        <v>34515</v>
      </c>
      <c r="C1142" s="1595" t="s">
        <v>5403</v>
      </c>
      <c r="D1142" s="1595" t="s">
        <v>13410</v>
      </c>
      <c r="E1142" s="1595"/>
      <c r="F1142" s="1595"/>
      <c r="G1142" s="1595"/>
      <c r="H1142" s="1596">
        <v>2</v>
      </c>
      <c r="I1142" s="1595"/>
      <c r="J1142" s="1595"/>
      <c r="K1142" s="1599">
        <v>10</v>
      </c>
      <c r="L1142" s="1599">
        <v>9.5</v>
      </c>
      <c r="M1142" s="1599">
        <v>-9.5</v>
      </c>
      <c r="N1142" s="1598"/>
      <c r="O1142" s="1598"/>
      <c r="P1142" s="1599">
        <v>9.5</v>
      </c>
      <c r="Q1142" s="1599">
        <v>-9.5</v>
      </c>
      <c r="R1142" s="1598"/>
      <c r="S1142" s="1592"/>
    </row>
    <row r="1143" spans="2:19" s="1593" customFormat="1" ht="11.25" customHeight="1" outlineLevel="1">
      <c r="B1143" s="1594">
        <v>34516</v>
      </c>
      <c r="C1143" s="1595" t="s">
        <v>5403</v>
      </c>
      <c r="D1143" s="1595" t="s">
        <v>13409</v>
      </c>
      <c r="E1143" s="1595"/>
      <c r="F1143" s="1595"/>
      <c r="G1143" s="1595"/>
      <c r="H1143" s="1596">
        <v>2</v>
      </c>
      <c r="I1143" s="1595"/>
      <c r="J1143" s="1595"/>
      <c r="K1143" s="1599">
        <v>10</v>
      </c>
      <c r="L1143" s="1599">
        <v>9.5</v>
      </c>
      <c r="M1143" s="1599">
        <v>-9.5</v>
      </c>
      <c r="N1143" s="1598"/>
      <c r="O1143" s="1598"/>
      <c r="P1143" s="1599">
        <v>9.5</v>
      </c>
      <c r="Q1143" s="1599">
        <v>-9.5</v>
      </c>
      <c r="R1143" s="1598"/>
      <c r="S1143" s="1592"/>
    </row>
    <row r="1144" spans="2:19" s="1593" customFormat="1" ht="11.25" customHeight="1" outlineLevel="1">
      <c r="B1144" s="1594">
        <v>34517</v>
      </c>
      <c r="C1144" s="1595" t="s">
        <v>5403</v>
      </c>
      <c r="D1144" s="1595" t="s">
        <v>13408</v>
      </c>
      <c r="E1144" s="1595"/>
      <c r="F1144" s="1595"/>
      <c r="G1144" s="1595"/>
      <c r="H1144" s="1596">
        <v>2</v>
      </c>
      <c r="I1144" s="1595"/>
      <c r="J1144" s="1595"/>
      <c r="K1144" s="1599">
        <v>10</v>
      </c>
      <c r="L1144" s="1599">
        <v>9.5</v>
      </c>
      <c r="M1144" s="1599">
        <v>-9.5</v>
      </c>
      <c r="N1144" s="1598"/>
      <c r="O1144" s="1598"/>
      <c r="P1144" s="1599">
        <v>9.5</v>
      </c>
      <c r="Q1144" s="1599">
        <v>-9.5</v>
      </c>
      <c r="R1144" s="1598"/>
      <c r="S1144" s="1592"/>
    </row>
    <row r="1145" spans="2:19" s="1593" customFormat="1" ht="11.25" customHeight="1" outlineLevel="1">
      <c r="B1145" s="1594">
        <v>34518</v>
      </c>
      <c r="C1145" s="1595" t="s">
        <v>5403</v>
      </c>
      <c r="D1145" s="1595" t="s">
        <v>13407</v>
      </c>
      <c r="E1145" s="1595"/>
      <c r="F1145" s="1595"/>
      <c r="G1145" s="1595"/>
      <c r="H1145" s="1596">
        <v>2</v>
      </c>
      <c r="I1145" s="1595"/>
      <c r="J1145" s="1595"/>
      <c r="K1145" s="1599">
        <v>10</v>
      </c>
      <c r="L1145" s="1599">
        <v>9.5</v>
      </c>
      <c r="M1145" s="1599">
        <v>-9.5</v>
      </c>
      <c r="N1145" s="1598"/>
      <c r="O1145" s="1598"/>
      <c r="P1145" s="1599">
        <v>9.5</v>
      </c>
      <c r="Q1145" s="1599">
        <v>-9.5</v>
      </c>
      <c r="R1145" s="1598"/>
      <c r="S1145" s="1592"/>
    </row>
    <row r="1146" spans="2:19" s="1593" customFormat="1" ht="11.25" customHeight="1" outlineLevel="1">
      <c r="B1146" s="1594">
        <v>34519</v>
      </c>
      <c r="C1146" s="1595" t="s">
        <v>5403</v>
      </c>
      <c r="D1146" s="1595" t="s">
        <v>13406</v>
      </c>
      <c r="E1146" s="1595"/>
      <c r="F1146" s="1595"/>
      <c r="G1146" s="1595"/>
      <c r="H1146" s="1596">
        <v>2</v>
      </c>
      <c r="I1146" s="1595"/>
      <c r="J1146" s="1595"/>
      <c r="K1146" s="1599">
        <v>10</v>
      </c>
      <c r="L1146" s="1599">
        <v>9.5</v>
      </c>
      <c r="M1146" s="1599">
        <v>-9.5</v>
      </c>
      <c r="N1146" s="1598"/>
      <c r="O1146" s="1598"/>
      <c r="P1146" s="1599">
        <v>9.5</v>
      </c>
      <c r="Q1146" s="1599">
        <v>-9.5</v>
      </c>
      <c r="R1146" s="1598"/>
      <c r="S1146" s="1592"/>
    </row>
    <row r="1147" spans="2:19" s="1593" customFormat="1" ht="11.25" customHeight="1" outlineLevel="1">
      <c r="B1147" s="1594">
        <v>34520</v>
      </c>
      <c r="C1147" s="1595" t="s">
        <v>5403</v>
      </c>
      <c r="D1147" s="1595" t="s">
        <v>13405</v>
      </c>
      <c r="E1147" s="1595"/>
      <c r="F1147" s="1595"/>
      <c r="G1147" s="1595"/>
      <c r="H1147" s="1596">
        <v>2</v>
      </c>
      <c r="I1147" s="1595"/>
      <c r="J1147" s="1595"/>
      <c r="K1147" s="1599">
        <v>10</v>
      </c>
      <c r="L1147" s="1599">
        <v>9.5</v>
      </c>
      <c r="M1147" s="1599">
        <v>-9.5</v>
      </c>
      <c r="N1147" s="1598"/>
      <c r="O1147" s="1598"/>
      <c r="P1147" s="1599">
        <v>9.5</v>
      </c>
      <c r="Q1147" s="1599">
        <v>-9.5</v>
      </c>
      <c r="R1147" s="1598"/>
      <c r="S1147" s="1592"/>
    </row>
    <row r="1148" spans="2:19" s="1593" customFormat="1" ht="11.25" customHeight="1" outlineLevel="1">
      <c r="B1148" s="1594">
        <v>34521</v>
      </c>
      <c r="C1148" s="1595" t="s">
        <v>5403</v>
      </c>
      <c r="D1148" s="1595" t="s">
        <v>13404</v>
      </c>
      <c r="E1148" s="1595"/>
      <c r="F1148" s="1595"/>
      <c r="G1148" s="1595"/>
      <c r="H1148" s="1596">
        <v>2</v>
      </c>
      <c r="I1148" s="1595"/>
      <c r="J1148" s="1595"/>
      <c r="K1148" s="1599">
        <v>10</v>
      </c>
      <c r="L1148" s="1599">
        <v>9.5</v>
      </c>
      <c r="M1148" s="1599">
        <v>-9.5</v>
      </c>
      <c r="N1148" s="1598"/>
      <c r="O1148" s="1598"/>
      <c r="P1148" s="1599">
        <v>9.5</v>
      </c>
      <c r="Q1148" s="1599">
        <v>-9.5</v>
      </c>
      <c r="R1148" s="1598"/>
      <c r="S1148" s="1592"/>
    </row>
    <row r="1149" spans="2:19" s="1593" customFormat="1" ht="11.25" customHeight="1" outlineLevel="1">
      <c r="B1149" s="1594">
        <v>34522</v>
      </c>
      <c r="C1149" s="1595" t="s">
        <v>5403</v>
      </c>
      <c r="D1149" s="1595" t="s">
        <v>13403</v>
      </c>
      <c r="E1149" s="1595"/>
      <c r="F1149" s="1595"/>
      <c r="G1149" s="1595"/>
      <c r="H1149" s="1596">
        <v>2</v>
      </c>
      <c r="I1149" s="1595"/>
      <c r="J1149" s="1595"/>
      <c r="K1149" s="1599">
        <v>10</v>
      </c>
      <c r="L1149" s="1599">
        <v>9.5</v>
      </c>
      <c r="M1149" s="1599">
        <v>-9.5</v>
      </c>
      <c r="N1149" s="1598"/>
      <c r="O1149" s="1598"/>
      <c r="P1149" s="1599">
        <v>9.5</v>
      </c>
      <c r="Q1149" s="1599">
        <v>-9.5</v>
      </c>
      <c r="R1149" s="1598"/>
      <c r="S1149" s="1592"/>
    </row>
    <row r="1150" spans="2:19" s="1593" customFormat="1" ht="11.25" customHeight="1" outlineLevel="1">
      <c r="B1150" s="1594">
        <v>34523</v>
      </c>
      <c r="C1150" s="1595" t="s">
        <v>5403</v>
      </c>
      <c r="D1150" s="1595" t="s">
        <v>13402</v>
      </c>
      <c r="E1150" s="1595"/>
      <c r="F1150" s="1595"/>
      <c r="G1150" s="1595"/>
      <c r="H1150" s="1596">
        <v>2</v>
      </c>
      <c r="I1150" s="1595"/>
      <c r="J1150" s="1595"/>
      <c r="K1150" s="1599">
        <v>10</v>
      </c>
      <c r="L1150" s="1599">
        <v>9.5</v>
      </c>
      <c r="M1150" s="1599">
        <v>-9.5</v>
      </c>
      <c r="N1150" s="1598"/>
      <c r="O1150" s="1598"/>
      <c r="P1150" s="1599">
        <v>9.5</v>
      </c>
      <c r="Q1150" s="1599">
        <v>-9.5</v>
      </c>
      <c r="R1150" s="1598"/>
      <c r="S1150" s="1592"/>
    </row>
    <row r="1151" spans="2:19" s="1593" customFormat="1" ht="11.25" customHeight="1" outlineLevel="1">
      <c r="B1151" s="1594">
        <v>34524</v>
      </c>
      <c r="C1151" s="1595" t="s">
        <v>5403</v>
      </c>
      <c r="D1151" s="1595" t="s">
        <v>13401</v>
      </c>
      <c r="E1151" s="1595"/>
      <c r="F1151" s="1595"/>
      <c r="G1151" s="1595"/>
      <c r="H1151" s="1596">
        <v>2</v>
      </c>
      <c r="I1151" s="1595"/>
      <c r="J1151" s="1595"/>
      <c r="K1151" s="1599">
        <v>10</v>
      </c>
      <c r="L1151" s="1599">
        <v>9.5</v>
      </c>
      <c r="M1151" s="1599">
        <v>-9.5</v>
      </c>
      <c r="N1151" s="1598"/>
      <c r="O1151" s="1598"/>
      <c r="P1151" s="1599">
        <v>9.5</v>
      </c>
      <c r="Q1151" s="1599">
        <v>-9.5</v>
      </c>
      <c r="R1151" s="1598"/>
      <c r="S1151" s="1592"/>
    </row>
    <row r="1152" spans="2:19" s="1593" customFormat="1" ht="11.25" customHeight="1" outlineLevel="1">
      <c r="B1152" s="1594">
        <v>34525</v>
      </c>
      <c r="C1152" s="1595" t="s">
        <v>5403</v>
      </c>
      <c r="D1152" s="1595" t="s">
        <v>13400</v>
      </c>
      <c r="E1152" s="1595"/>
      <c r="F1152" s="1595"/>
      <c r="G1152" s="1595"/>
      <c r="H1152" s="1596">
        <v>2</v>
      </c>
      <c r="I1152" s="1595"/>
      <c r="J1152" s="1595"/>
      <c r="K1152" s="1599">
        <v>10</v>
      </c>
      <c r="L1152" s="1599">
        <v>9.5</v>
      </c>
      <c r="M1152" s="1599">
        <v>-9.5</v>
      </c>
      <c r="N1152" s="1598"/>
      <c r="O1152" s="1598"/>
      <c r="P1152" s="1599">
        <v>9.5</v>
      </c>
      <c r="Q1152" s="1599">
        <v>-9.5</v>
      </c>
      <c r="R1152" s="1598"/>
      <c r="S1152" s="1592"/>
    </row>
    <row r="1153" spans="2:19" s="1593" customFormat="1" ht="11.25" customHeight="1" outlineLevel="1">
      <c r="B1153" s="1594">
        <v>34526</v>
      </c>
      <c r="C1153" s="1595" t="s">
        <v>5403</v>
      </c>
      <c r="D1153" s="1595" t="s">
        <v>13399</v>
      </c>
      <c r="E1153" s="1595"/>
      <c r="F1153" s="1595"/>
      <c r="G1153" s="1595"/>
      <c r="H1153" s="1596">
        <v>2</v>
      </c>
      <c r="I1153" s="1595"/>
      <c r="J1153" s="1595"/>
      <c r="K1153" s="1599">
        <v>10</v>
      </c>
      <c r="L1153" s="1599">
        <v>9.5</v>
      </c>
      <c r="M1153" s="1599">
        <v>-9.5</v>
      </c>
      <c r="N1153" s="1598"/>
      <c r="O1153" s="1598"/>
      <c r="P1153" s="1599">
        <v>9.5</v>
      </c>
      <c r="Q1153" s="1599">
        <v>-9.5</v>
      </c>
      <c r="R1153" s="1598"/>
      <c r="S1153" s="1592"/>
    </row>
    <row r="1154" spans="2:19" s="1593" customFormat="1" ht="11.25" customHeight="1" outlineLevel="1">
      <c r="B1154" s="1594">
        <v>34527</v>
      </c>
      <c r="C1154" s="1595" t="s">
        <v>5403</v>
      </c>
      <c r="D1154" s="1595" t="s">
        <v>13398</v>
      </c>
      <c r="E1154" s="1595"/>
      <c r="F1154" s="1595"/>
      <c r="G1154" s="1595"/>
      <c r="H1154" s="1596">
        <v>2</v>
      </c>
      <c r="I1154" s="1595"/>
      <c r="J1154" s="1595"/>
      <c r="K1154" s="1599">
        <v>18</v>
      </c>
      <c r="L1154" s="1599">
        <v>17.63</v>
      </c>
      <c r="M1154" s="1599">
        <v>-17.63</v>
      </c>
      <c r="N1154" s="1598"/>
      <c r="O1154" s="1598"/>
      <c r="P1154" s="1599">
        <v>17.63</v>
      </c>
      <c r="Q1154" s="1599">
        <v>-17.63</v>
      </c>
      <c r="R1154" s="1598"/>
      <c r="S1154" s="1592"/>
    </row>
    <row r="1155" spans="2:19" s="1593" customFormat="1" ht="11.25" customHeight="1" outlineLevel="1">
      <c r="B1155" s="1594">
        <v>34528</v>
      </c>
      <c r="C1155" s="1595" t="s">
        <v>5403</v>
      </c>
      <c r="D1155" s="1595" t="s">
        <v>13397</v>
      </c>
      <c r="E1155" s="1595"/>
      <c r="F1155" s="1595"/>
      <c r="G1155" s="1595"/>
      <c r="H1155" s="1596">
        <v>2</v>
      </c>
      <c r="I1155" s="1595"/>
      <c r="J1155" s="1595"/>
      <c r="K1155" s="1599">
        <v>18</v>
      </c>
      <c r="L1155" s="1599">
        <v>17.63</v>
      </c>
      <c r="M1155" s="1599">
        <v>-17.63</v>
      </c>
      <c r="N1155" s="1598"/>
      <c r="O1155" s="1598"/>
      <c r="P1155" s="1599">
        <v>17.63</v>
      </c>
      <c r="Q1155" s="1599">
        <v>-17.63</v>
      </c>
      <c r="R1155" s="1598"/>
      <c r="S1155" s="1592"/>
    </row>
    <row r="1156" spans="2:19" s="1593" customFormat="1" ht="11.25" customHeight="1" outlineLevel="1">
      <c r="B1156" s="1594">
        <v>34529</v>
      </c>
      <c r="C1156" s="1595" t="s">
        <v>5403</v>
      </c>
      <c r="D1156" s="1595" t="s">
        <v>13396</v>
      </c>
      <c r="E1156" s="1595"/>
      <c r="F1156" s="1595"/>
      <c r="G1156" s="1595"/>
      <c r="H1156" s="1596">
        <v>2</v>
      </c>
      <c r="I1156" s="1595"/>
      <c r="J1156" s="1595"/>
      <c r="K1156" s="1599">
        <v>18</v>
      </c>
      <c r="L1156" s="1599">
        <v>17.63</v>
      </c>
      <c r="M1156" s="1599">
        <v>-17.63</v>
      </c>
      <c r="N1156" s="1598"/>
      <c r="O1156" s="1598"/>
      <c r="P1156" s="1599">
        <v>17.63</v>
      </c>
      <c r="Q1156" s="1599">
        <v>-17.63</v>
      </c>
      <c r="R1156" s="1598"/>
      <c r="S1156" s="1592"/>
    </row>
    <row r="1157" spans="2:19" s="1593" customFormat="1" ht="11.25" customHeight="1" outlineLevel="1">
      <c r="B1157" s="1594">
        <v>34530</v>
      </c>
      <c r="C1157" s="1595" t="s">
        <v>5403</v>
      </c>
      <c r="D1157" s="1595" t="s">
        <v>13395</v>
      </c>
      <c r="E1157" s="1595"/>
      <c r="F1157" s="1595"/>
      <c r="G1157" s="1595"/>
      <c r="H1157" s="1596">
        <v>2</v>
      </c>
      <c r="I1157" s="1595"/>
      <c r="J1157" s="1595"/>
      <c r="K1157" s="1599">
        <v>18</v>
      </c>
      <c r="L1157" s="1599">
        <v>17.63</v>
      </c>
      <c r="M1157" s="1599">
        <v>-17.63</v>
      </c>
      <c r="N1157" s="1598"/>
      <c r="O1157" s="1598"/>
      <c r="P1157" s="1599">
        <v>17.63</v>
      </c>
      <c r="Q1157" s="1599">
        <v>-17.63</v>
      </c>
      <c r="R1157" s="1598"/>
      <c r="S1157" s="1592"/>
    </row>
    <row r="1158" spans="2:19" s="1593" customFormat="1" ht="11.25" customHeight="1" outlineLevel="1">
      <c r="B1158" s="1594">
        <v>34531</v>
      </c>
      <c r="C1158" s="1595" t="s">
        <v>5403</v>
      </c>
      <c r="D1158" s="1595" t="s">
        <v>13394</v>
      </c>
      <c r="E1158" s="1595"/>
      <c r="F1158" s="1595"/>
      <c r="G1158" s="1595"/>
      <c r="H1158" s="1596">
        <v>2</v>
      </c>
      <c r="I1158" s="1595"/>
      <c r="J1158" s="1595"/>
      <c r="K1158" s="1599">
        <v>18</v>
      </c>
      <c r="L1158" s="1599">
        <v>17.63</v>
      </c>
      <c r="M1158" s="1599">
        <v>-17.63</v>
      </c>
      <c r="N1158" s="1598"/>
      <c r="O1158" s="1598"/>
      <c r="P1158" s="1599">
        <v>17.63</v>
      </c>
      <c r="Q1158" s="1599">
        <v>-17.63</v>
      </c>
      <c r="R1158" s="1598"/>
      <c r="S1158" s="1592"/>
    </row>
    <row r="1159" spans="2:19" s="1593" customFormat="1" ht="11.25" customHeight="1" outlineLevel="1">
      <c r="B1159" s="1594">
        <v>34532</v>
      </c>
      <c r="C1159" s="1595" t="s">
        <v>5403</v>
      </c>
      <c r="D1159" s="1595" t="s">
        <v>13393</v>
      </c>
      <c r="E1159" s="1595"/>
      <c r="F1159" s="1595"/>
      <c r="G1159" s="1595"/>
      <c r="H1159" s="1596">
        <v>2</v>
      </c>
      <c r="I1159" s="1595"/>
      <c r="J1159" s="1595"/>
      <c r="K1159" s="1599">
        <v>18</v>
      </c>
      <c r="L1159" s="1599">
        <v>17.63</v>
      </c>
      <c r="M1159" s="1599">
        <v>-17.63</v>
      </c>
      <c r="N1159" s="1598"/>
      <c r="O1159" s="1598"/>
      <c r="P1159" s="1599">
        <v>17.63</v>
      </c>
      <c r="Q1159" s="1599">
        <v>-17.63</v>
      </c>
      <c r="R1159" s="1598"/>
      <c r="S1159" s="1592"/>
    </row>
    <row r="1160" spans="2:19" s="1593" customFormat="1" ht="11.25" customHeight="1" outlineLevel="1">
      <c r="B1160" s="1594">
        <v>34533</v>
      </c>
      <c r="C1160" s="1595" t="s">
        <v>5403</v>
      </c>
      <c r="D1160" s="1595" t="s">
        <v>13392</v>
      </c>
      <c r="E1160" s="1595"/>
      <c r="F1160" s="1595"/>
      <c r="G1160" s="1595"/>
      <c r="H1160" s="1596">
        <v>2</v>
      </c>
      <c r="I1160" s="1595"/>
      <c r="J1160" s="1595"/>
      <c r="K1160" s="1599">
        <v>18</v>
      </c>
      <c r="L1160" s="1599">
        <v>17.63</v>
      </c>
      <c r="M1160" s="1599">
        <v>-17.63</v>
      </c>
      <c r="N1160" s="1598"/>
      <c r="O1160" s="1598"/>
      <c r="P1160" s="1599">
        <v>17.63</v>
      </c>
      <c r="Q1160" s="1599">
        <v>-17.63</v>
      </c>
      <c r="R1160" s="1598"/>
      <c r="S1160" s="1592"/>
    </row>
    <row r="1161" spans="2:19" s="1593" customFormat="1" ht="11.25" customHeight="1" outlineLevel="1">
      <c r="B1161" s="1594">
        <v>34534</v>
      </c>
      <c r="C1161" s="1595" t="s">
        <v>5403</v>
      </c>
      <c r="D1161" s="1595" t="s">
        <v>13391</v>
      </c>
      <c r="E1161" s="1595"/>
      <c r="F1161" s="1595"/>
      <c r="G1161" s="1595"/>
      <c r="H1161" s="1596">
        <v>2</v>
      </c>
      <c r="I1161" s="1595"/>
      <c r="J1161" s="1595"/>
      <c r="K1161" s="1599">
        <v>18</v>
      </c>
      <c r="L1161" s="1599">
        <v>17.63</v>
      </c>
      <c r="M1161" s="1599">
        <v>-17.63</v>
      </c>
      <c r="N1161" s="1598"/>
      <c r="O1161" s="1598"/>
      <c r="P1161" s="1599">
        <v>17.63</v>
      </c>
      <c r="Q1161" s="1599">
        <v>-17.63</v>
      </c>
      <c r="R1161" s="1598"/>
      <c r="S1161" s="1592"/>
    </row>
    <row r="1162" spans="2:19" s="1593" customFormat="1" ht="11.25" customHeight="1" outlineLevel="1">
      <c r="B1162" s="1594">
        <v>34535</v>
      </c>
      <c r="C1162" s="1595" t="s">
        <v>5403</v>
      </c>
      <c r="D1162" s="1595" t="s">
        <v>13390</v>
      </c>
      <c r="E1162" s="1595"/>
      <c r="F1162" s="1595"/>
      <c r="G1162" s="1595"/>
      <c r="H1162" s="1596">
        <v>2</v>
      </c>
      <c r="I1162" s="1595"/>
      <c r="J1162" s="1595"/>
      <c r="K1162" s="1599">
        <v>18</v>
      </c>
      <c r="L1162" s="1599">
        <v>17.63</v>
      </c>
      <c r="M1162" s="1599">
        <v>-17.63</v>
      </c>
      <c r="N1162" s="1598"/>
      <c r="O1162" s="1598"/>
      <c r="P1162" s="1599">
        <v>17.63</v>
      </c>
      <c r="Q1162" s="1599">
        <v>-17.63</v>
      </c>
      <c r="R1162" s="1598"/>
      <c r="S1162" s="1592"/>
    </row>
    <row r="1163" spans="2:19" s="1593" customFormat="1" ht="11.25" customHeight="1" outlineLevel="1">
      <c r="B1163" s="1594">
        <v>34536</v>
      </c>
      <c r="C1163" s="1595" t="s">
        <v>5403</v>
      </c>
      <c r="D1163" s="1595" t="s">
        <v>13389</v>
      </c>
      <c r="E1163" s="1595"/>
      <c r="F1163" s="1595"/>
      <c r="G1163" s="1595"/>
      <c r="H1163" s="1596">
        <v>2</v>
      </c>
      <c r="I1163" s="1595"/>
      <c r="J1163" s="1595"/>
      <c r="K1163" s="1599">
        <v>18</v>
      </c>
      <c r="L1163" s="1599">
        <v>17.63</v>
      </c>
      <c r="M1163" s="1599">
        <v>-17.63</v>
      </c>
      <c r="N1163" s="1598"/>
      <c r="O1163" s="1598"/>
      <c r="P1163" s="1599">
        <v>17.63</v>
      </c>
      <c r="Q1163" s="1599">
        <v>-17.63</v>
      </c>
      <c r="R1163" s="1598"/>
      <c r="S1163" s="1592"/>
    </row>
    <row r="1164" spans="2:19" s="1593" customFormat="1" ht="11.25" customHeight="1" outlineLevel="1">
      <c r="B1164" s="1594">
        <v>34537</v>
      </c>
      <c r="C1164" s="1595" t="s">
        <v>5403</v>
      </c>
      <c r="D1164" s="1595" t="s">
        <v>13388</v>
      </c>
      <c r="E1164" s="1595"/>
      <c r="F1164" s="1595"/>
      <c r="G1164" s="1595"/>
      <c r="H1164" s="1596">
        <v>2</v>
      </c>
      <c r="I1164" s="1595"/>
      <c r="J1164" s="1595"/>
      <c r="K1164" s="1599">
        <v>18</v>
      </c>
      <c r="L1164" s="1599">
        <v>17.63</v>
      </c>
      <c r="M1164" s="1599">
        <v>-17.63</v>
      </c>
      <c r="N1164" s="1598"/>
      <c r="O1164" s="1598"/>
      <c r="P1164" s="1599">
        <v>17.63</v>
      </c>
      <c r="Q1164" s="1599">
        <v>-17.63</v>
      </c>
      <c r="R1164" s="1598"/>
      <c r="S1164" s="1592"/>
    </row>
    <row r="1165" spans="2:19" s="1593" customFormat="1" ht="11.25" customHeight="1" outlineLevel="1">
      <c r="B1165" s="1594">
        <v>34538</v>
      </c>
      <c r="C1165" s="1595" t="s">
        <v>5403</v>
      </c>
      <c r="D1165" s="1595" t="s">
        <v>13387</v>
      </c>
      <c r="E1165" s="1595"/>
      <c r="F1165" s="1595"/>
      <c r="G1165" s="1595"/>
      <c r="H1165" s="1596">
        <v>2</v>
      </c>
      <c r="I1165" s="1595"/>
      <c r="J1165" s="1595"/>
      <c r="K1165" s="1599">
        <v>18</v>
      </c>
      <c r="L1165" s="1599">
        <v>17.63</v>
      </c>
      <c r="M1165" s="1599">
        <v>-17.63</v>
      </c>
      <c r="N1165" s="1598"/>
      <c r="O1165" s="1598"/>
      <c r="P1165" s="1599">
        <v>17.63</v>
      </c>
      <c r="Q1165" s="1599">
        <v>-17.63</v>
      </c>
      <c r="R1165" s="1598"/>
      <c r="S1165" s="1592"/>
    </row>
    <row r="1166" spans="2:19" s="1593" customFormat="1" ht="11.25" customHeight="1" outlineLevel="1">
      <c r="B1166" s="1594">
        <v>34539</v>
      </c>
      <c r="C1166" s="1595" t="s">
        <v>5403</v>
      </c>
      <c r="D1166" s="1595" t="s">
        <v>13386</v>
      </c>
      <c r="E1166" s="1595"/>
      <c r="F1166" s="1595"/>
      <c r="G1166" s="1595"/>
      <c r="H1166" s="1596">
        <v>2</v>
      </c>
      <c r="I1166" s="1595"/>
      <c r="J1166" s="1595"/>
      <c r="K1166" s="1599">
        <v>18</v>
      </c>
      <c r="L1166" s="1599">
        <v>17.63</v>
      </c>
      <c r="M1166" s="1599">
        <v>-17.63</v>
      </c>
      <c r="N1166" s="1598"/>
      <c r="O1166" s="1598"/>
      <c r="P1166" s="1599">
        <v>17.63</v>
      </c>
      <c r="Q1166" s="1599">
        <v>-17.63</v>
      </c>
      <c r="R1166" s="1598"/>
      <c r="S1166" s="1592"/>
    </row>
    <row r="1167" spans="2:19" s="1593" customFormat="1" ht="11.25" customHeight="1" outlineLevel="1">
      <c r="B1167" s="1594">
        <v>34540</v>
      </c>
      <c r="C1167" s="1595" t="s">
        <v>5403</v>
      </c>
      <c r="D1167" s="1595" t="s">
        <v>13385</v>
      </c>
      <c r="E1167" s="1595"/>
      <c r="F1167" s="1595"/>
      <c r="G1167" s="1595"/>
      <c r="H1167" s="1596">
        <v>2</v>
      </c>
      <c r="I1167" s="1595"/>
      <c r="J1167" s="1595"/>
      <c r="K1167" s="1599">
        <v>18</v>
      </c>
      <c r="L1167" s="1599">
        <v>17.63</v>
      </c>
      <c r="M1167" s="1599">
        <v>-17.63</v>
      </c>
      <c r="N1167" s="1598"/>
      <c r="O1167" s="1598"/>
      <c r="P1167" s="1599">
        <v>17.63</v>
      </c>
      <c r="Q1167" s="1599">
        <v>-17.63</v>
      </c>
      <c r="R1167" s="1598"/>
      <c r="S1167" s="1592"/>
    </row>
    <row r="1168" spans="2:19" s="1593" customFormat="1" ht="11.25" customHeight="1" outlineLevel="1">
      <c r="B1168" s="1594">
        <v>34542</v>
      </c>
      <c r="C1168" s="1595" t="s">
        <v>5403</v>
      </c>
      <c r="D1168" s="1595" t="s">
        <v>13384</v>
      </c>
      <c r="E1168" s="1595"/>
      <c r="F1168" s="1595"/>
      <c r="G1168" s="1595"/>
      <c r="H1168" s="1596">
        <v>2</v>
      </c>
      <c r="I1168" s="1595"/>
      <c r="J1168" s="1595"/>
      <c r="K1168" s="1599">
        <v>36</v>
      </c>
      <c r="L1168" s="1599">
        <v>35.5</v>
      </c>
      <c r="M1168" s="1599">
        <v>-35.5</v>
      </c>
      <c r="N1168" s="1598"/>
      <c r="O1168" s="1598"/>
      <c r="P1168" s="1599">
        <v>35.5</v>
      </c>
      <c r="Q1168" s="1599">
        <v>-35.5</v>
      </c>
      <c r="R1168" s="1598"/>
      <c r="S1168" s="1592"/>
    </row>
    <row r="1169" spans="2:19" s="1593" customFormat="1" ht="11.25" customHeight="1" outlineLevel="1">
      <c r="B1169" s="1594">
        <v>34543</v>
      </c>
      <c r="C1169" s="1595" t="s">
        <v>5403</v>
      </c>
      <c r="D1169" s="1595" t="s">
        <v>13383</v>
      </c>
      <c r="E1169" s="1595"/>
      <c r="F1169" s="1595"/>
      <c r="G1169" s="1595"/>
      <c r="H1169" s="1596">
        <v>2</v>
      </c>
      <c r="I1169" s="1595"/>
      <c r="J1169" s="1595"/>
      <c r="K1169" s="1599">
        <v>36</v>
      </c>
      <c r="L1169" s="1599">
        <v>35.5</v>
      </c>
      <c r="M1169" s="1599">
        <v>-35.5</v>
      </c>
      <c r="N1169" s="1598"/>
      <c r="O1169" s="1598"/>
      <c r="P1169" s="1599">
        <v>35.5</v>
      </c>
      <c r="Q1169" s="1599">
        <v>-35.5</v>
      </c>
      <c r="R1169" s="1598"/>
      <c r="S1169" s="1592"/>
    </row>
    <row r="1170" spans="2:19" s="1593" customFormat="1" ht="11.25" customHeight="1" outlineLevel="1">
      <c r="B1170" s="1594">
        <v>34544</v>
      </c>
      <c r="C1170" s="1595" t="s">
        <v>5403</v>
      </c>
      <c r="D1170" s="1595" t="s">
        <v>13382</v>
      </c>
      <c r="E1170" s="1595"/>
      <c r="F1170" s="1595"/>
      <c r="G1170" s="1595"/>
      <c r="H1170" s="1596">
        <v>2</v>
      </c>
      <c r="I1170" s="1595"/>
      <c r="J1170" s="1595"/>
      <c r="K1170" s="1599">
        <v>36</v>
      </c>
      <c r="L1170" s="1599">
        <v>35.5</v>
      </c>
      <c r="M1170" s="1599">
        <v>-35.5</v>
      </c>
      <c r="N1170" s="1598"/>
      <c r="O1170" s="1598"/>
      <c r="P1170" s="1599">
        <v>35.5</v>
      </c>
      <c r="Q1170" s="1599">
        <v>-35.5</v>
      </c>
      <c r="R1170" s="1598"/>
      <c r="S1170" s="1592"/>
    </row>
    <row r="1171" spans="2:19" s="1593" customFormat="1" ht="11.25" customHeight="1" outlineLevel="1">
      <c r="B1171" s="1594">
        <v>34545</v>
      </c>
      <c r="C1171" s="1595" t="s">
        <v>5403</v>
      </c>
      <c r="D1171" s="1595" t="s">
        <v>13381</v>
      </c>
      <c r="E1171" s="1595"/>
      <c r="F1171" s="1595"/>
      <c r="G1171" s="1595"/>
      <c r="H1171" s="1596">
        <v>2</v>
      </c>
      <c r="I1171" s="1595"/>
      <c r="J1171" s="1595"/>
      <c r="K1171" s="1599">
        <v>36</v>
      </c>
      <c r="L1171" s="1599">
        <v>35.5</v>
      </c>
      <c r="M1171" s="1599">
        <v>-35.5</v>
      </c>
      <c r="N1171" s="1598"/>
      <c r="O1171" s="1598"/>
      <c r="P1171" s="1599">
        <v>35.5</v>
      </c>
      <c r="Q1171" s="1599">
        <v>-35.5</v>
      </c>
      <c r="R1171" s="1598"/>
      <c r="S1171" s="1592"/>
    </row>
    <row r="1172" spans="2:19" s="1593" customFormat="1" ht="11.25" customHeight="1" outlineLevel="1">
      <c r="B1172" s="1594">
        <v>34546</v>
      </c>
      <c r="C1172" s="1595" t="s">
        <v>5403</v>
      </c>
      <c r="D1172" s="1595" t="s">
        <v>13380</v>
      </c>
      <c r="E1172" s="1595"/>
      <c r="F1172" s="1595"/>
      <c r="G1172" s="1595"/>
      <c r="H1172" s="1596">
        <v>2</v>
      </c>
      <c r="I1172" s="1595"/>
      <c r="J1172" s="1595"/>
      <c r="K1172" s="1599">
        <v>36</v>
      </c>
      <c r="L1172" s="1599">
        <v>35.5</v>
      </c>
      <c r="M1172" s="1599">
        <v>-35.5</v>
      </c>
      <c r="N1172" s="1598"/>
      <c r="O1172" s="1598"/>
      <c r="P1172" s="1599">
        <v>35.5</v>
      </c>
      <c r="Q1172" s="1599">
        <v>-35.5</v>
      </c>
      <c r="R1172" s="1598"/>
      <c r="S1172" s="1592"/>
    </row>
    <row r="1173" spans="2:19" s="1593" customFormat="1" ht="21.75" customHeight="1" outlineLevel="1">
      <c r="B1173" s="1594">
        <v>34654</v>
      </c>
      <c r="C1173" s="1595" t="s">
        <v>5403</v>
      </c>
      <c r="D1173" s="1595" t="s">
        <v>13379</v>
      </c>
      <c r="E1173" s="1595"/>
      <c r="F1173" s="1595"/>
      <c r="G1173" s="1595" t="s">
        <v>12985</v>
      </c>
      <c r="H1173" s="1596">
        <v>2</v>
      </c>
      <c r="I1173" s="1595"/>
      <c r="J1173" s="1595"/>
      <c r="K1173" s="1597">
        <v>13412</v>
      </c>
      <c r="L1173" s="1597">
        <v>13411.87</v>
      </c>
      <c r="M1173" s="1598"/>
      <c r="N1173" s="1597">
        <v>13411.87</v>
      </c>
      <c r="O1173" s="1597">
        <v>3142.98</v>
      </c>
      <c r="P1173" s="1597">
        <v>9919.69</v>
      </c>
      <c r="Q1173" s="1599">
        <v>349.2</v>
      </c>
      <c r="R1173" s="1597">
        <v>10268.89</v>
      </c>
      <c r="S1173" s="1592"/>
    </row>
    <row r="1174" spans="2:19" s="1593" customFormat="1" ht="21.75" customHeight="1" outlineLevel="1">
      <c r="B1174" s="1594">
        <v>34655</v>
      </c>
      <c r="C1174" s="1595" t="s">
        <v>5403</v>
      </c>
      <c r="D1174" s="1595" t="s">
        <v>13378</v>
      </c>
      <c r="E1174" s="1595"/>
      <c r="F1174" s="1595"/>
      <c r="G1174" s="1595" t="s">
        <v>12985</v>
      </c>
      <c r="H1174" s="1596">
        <v>2</v>
      </c>
      <c r="I1174" s="1595"/>
      <c r="J1174" s="1595"/>
      <c r="K1174" s="1597">
        <v>13412</v>
      </c>
      <c r="L1174" s="1597">
        <v>13411.87</v>
      </c>
      <c r="M1174" s="1598"/>
      <c r="N1174" s="1597">
        <v>13411.87</v>
      </c>
      <c r="O1174" s="1597">
        <v>3142.98</v>
      </c>
      <c r="P1174" s="1597">
        <v>9919.69</v>
      </c>
      <c r="Q1174" s="1599">
        <v>349.2</v>
      </c>
      <c r="R1174" s="1597">
        <v>10268.89</v>
      </c>
      <c r="S1174" s="1592"/>
    </row>
    <row r="1175" spans="2:19" s="1593" customFormat="1" ht="21.75" customHeight="1" outlineLevel="1">
      <c r="B1175" s="1594">
        <v>34656</v>
      </c>
      <c r="C1175" s="1595" t="s">
        <v>5403</v>
      </c>
      <c r="D1175" s="1595" t="s">
        <v>13377</v>
      </c>
      <c r="E1175" s="1595"/>
      <c r="F1175" s="1595"/>
      <c r="G1175" s="1595" t="s">
        <v>12985</v>
      </c>
      <c r="H1175" s="1596">
        <v>2</v>
      </c>
      <c r="I1175" s="1595"/>
      <c r="J1175" s="1595"/>
      <c r="K1175" s="1597">
        <v>13412</v>
      </c>
      <c r="L1175" s="1597">
        <v>13411.87</v>
      </c>
      <c r="M1175" s="1598"/>
      <c r="N1175" s="1597">
        <v>13411.87</v>
      </c>
      <c r="O1175" s="1597">
        <v>3142.98</v>
      </c>
      <c r="P1175" s="1597">
        <v>9919.69</v>
      </c>
      <c r="Q1175" s="1599">
        <v>349.2</v>
      </c>
      <c r="R1175" s="1597">
        <v>10268.89</v>
      </c>
      <c r="S1175" s="1592"/>
    </row>
    <row r="1176" spans="2:19" s="1593" customFormat="1" ht="21.75" customHeight="1" outlineLevel="1">
      <c r="B1176" s="1594">
        <v>34657</v>
      </c>
      <c r="C1176" s="1595" t="s">
        <v>5403</v>
      </c>
      <c r="D1176" s="1595" t="s">
        <v>13376</v>
      </c>
      <c r="E1176" s="1595"/>
      <c r="F1176" s="1595"/>
      <c r="G1176" s="1595" t="s">
        <v>12985</v>
      </c>
      <c r="H1176" s="1596">
        <v>2</v>
      </c>
      <c r="I1176" s="1595"/>
      <c r="J1176" s="1595"/>
      <c r="K1176" s="1597">
        <v>13412</v>
      </c>
      <c r="L1176" s="1597">
        <v>13411.87</v>
      </c>
      <c r="M1176" s="1598"/>
      <c r="N1176" s="1597">
        <v>13411.87</v>
      </c>
      <c r="O1176" s="1597">
        <v>3142.98</v>
      </c>
      <c r="P1176" s="1597">
        <v>9919.69</v>
      </c>
      <c r="Q1176" s="1599">
        <v>349.2</v>
      </c>
      <c r="R1176" s="1597">
        <v>10268.89</v>
      </c>
      <c r="S1176" s="1592"/>
    </row>
    <row r="1177" spans="2:19" s="1593" customFormat="1" ht="21.75" customHeight="1" outlineLevel="1">
      <c r="B1177" s="1594">
        <v>34658</v>
      </c>
      <c r="C1177" s="1595" t="s">
        <v>5403</v>
      </c>
      <c r="D1177" s="1595" t="s">
        <v>13375</v>
      </c>
      <c r="E1177" s="1595"/>
      <c r="F1177" s="1595"/>
      <c r="G1177" s="1595" t="s">
        <v>12985</v>
      </c>
      <c r="H1177" s="1596">
        <v>2</v>
      </c>
      <c r="I1177" s="1595"/>
      <c r="J1177" s="1595"/>
      <c r="K1177" s="1597">
        <v>13412</v>
      </c>
      <c r="L1177" s="1597">
        <v>13411.87</v>
      </c>
      <c r="M1177" s="1598"/>
      <c r="N1177" s="1597">
        <v>13411.87</v>
      </c>
      <c r="O1177" s="1597">
        <v>3142.98</v>
      </c>
      <c r="P1177" s="1597">
        <v>9919.69</v>
      </c>
      <c r="Q1177" s="1599">
        <v>349.2</v>
      </c>
      <c r="R1177" s="1597">
        <v>10268.89</v>
      </c>
      <c r="S1177" s="1592"/>
    </row>
    <row r="1178" spans="2:19" s="1593" customFormat="1" ht="21.75" customHeight="1" outlineLevel="1">
      <c r="B1178" s="1594">
        <v>34659</v>
      </c>
      <c r="C1178" s="1595" t="s">
        <v>5403</v>
      </c>
      <c r="D1178" s="1595" t="s">
        <v>13374</v>
      </c>
      <c r="E1178" s="1595"/>
      <c r="F1178" s="1595"/>
      <c r="G1178" s="1595" t="s">
        <v>12985</v>
      </c>
      <c r="H1178" s="1596">
        <v>2</v>
      </c>
      <c r="I1178" s="1595"/>
      <c r="J1178" s="1595"/>
      <c r="K1178" s="1597">
        <v>13412</v>
      </c>
      <c r="L1178" s="1597">
        <v>13411.87</v>
      </c>
      <c r="M1178" s="1598"/>
      <c r="N1178" s="1597">
        <v>13411.87</v>
      </c>
      <c r="O1178" s="1597">
        <v>3142.98</v>
      </c>
      <c r="P1178" s="1597">
        <v>9919.69</v>
      </c>
      <c r="Q1178" s="1599">
        <v>349.2</v>
      </c>
      <c r="R1178" s="1597">
        <v>10268.89</v>
      </c>
      <c r="S1178" s="1592"/>
    </row>
    <row r="1179" spans="2:19" s="1593" customFormat="1" ht="21.75" customHeight="1" outlineLevel="1">
      <c r="B1179" s="1594">
        <v>34660</v>
      </c>
      <c r="C1179" s="1595" t="s">
        <v>5403</v>
      </c>
      <c r="D1179" s="1595" t="s">
        <v>13373</v>
      </c>
      <c r="E1179" s="1595"/>
      <c r="F1179" s="1595"/>
      <c r="G1179" s="1595" t="s">
        <v>12985</v>
      </c>
      <c r="H1179" s="1596">
        <v>2</v>
      </c>
      <c r="I1179" s="1595"/>
      <c r="J1179" s="1595"/>
      <c r="K1179" s="1597">
        <v>13412</v>
      </c>
      <c r="L1179" s="1597">
        <v>13411.87</v>
      </c>
      <c r="M1179" s="1598"/>
      <c r="N1179" s="1597">
        <v>13411.87</v>
      </c>
      <c r="O1179" s="1597">
        <v>3142.98</v>
      </c>
      <c r="P1179" s="1597">
        <v>9919.69</v>
      </c>
      <c r="Q1179" s="1599">
        <v>349.2</v>
      </c>
      <c r="R1179" s="1597">
        <v>10268.89</v>
      </c>
      <c r="S1179" s="1592"/>
    </row>
    <row r="1180" spans="2:19" s="1593" customFormat="1" ht="21.75" customHeight="1" outlineLevel="1">
      <c r="B1180" s="1594">
        <v>34661</v>
      </c>
      <c r="C1180" s="1595" t="s">
        <v>5403</v>
      </c>
      <c r="D1180" s="1595" t="s">
        <v>13372</v>
      </c>
      <c r="E1180" s="1595"/>
      <c r="F1180" s="1595"/>
      <c r="G1180" s="1595" t="s">
        <v>12985</v>
      </c>
      <c r="H1180" s="1596">
        <v>2</v>
      </c>
      <c r="I1180" s="1595"/>
      <c r="J1180" s="1595"/>
      <c r="K1180" s="1597">
        <v>13412</v>
      </c>
      <c r="L1180" s="1597">
        <v>13411.87</v>
      </c>
      <c r="M1180" s="1598"/>
      <c r="N1180" s="1597">
        <v>13411.87</v>
      </c>
      <c r="O1180" s="1597">
        <v>3142.98</v>
      </c>
      <c r="P1180" s="1597">
        <v>9919.69</v>
      </c>
      <c r="Q1180" s="1599">
        <v>349.2</v>
      </c>
      <c r="R1180" s="1597">
        <v>10268.89</v>
      </c>
      <c r="S1180" s="1592"/>
    </row>
    <row r="1181" spans="2:19" s="1593" customFormat="1" ht="21.75" customHeight="1" outlineLevel="1">
      <c r="B1181" s="1594">
        <v>34662</v>
      </c>
      <c r="C1181" s="1595" t="s">
        <v>5403</v>
      </c>
      <c r="D1181" s="1595" t="s">
        <v>13371</v>
      </c>
      <c r="E1181" s="1595"/>
      <c r="F1181" s="1595"/>
      <c r="G1181" s="1595" t="s">
        <v>12985</v>
      </c>
      <c r="H1181" s="1596">
        <v>2</v>
      </c>
      <c r="I1181" s="1595"/>
      <c r="J1181" s="1595"/>
      <c r="K1181" s="1597">
        <v>13412</v>
      </c>
      <c r="L1181" s="1597">
        <v>13411.87</v>
      </c>
      <c r="M1181" s="1598"/>
      <c r="N1181" s="1597">
        <v>13411.87</v>
      </c>
      <c r="O1181" s="1597">
        <v>3142.98</v>
      </c>
      <c r="P1181" s="1597">
        <v>9919.69</v>
      </c>
      <c r="Q1181" s="1599">
        <v>349.2</v>
      </c>
      <c r="R1181" s="1597">
        <v>10268.89</v>
      </c>
      <c r="S1181" s="1592"/>
    </row>
    <row r="1182" spans="2:19" s="1593" customFormat="1" ht="21.75" customHeight="1" outlineLevel="1">
      <c r="B1182" s="1594">
        <v>34663</v>
      </c>
      <c r="C1182" s="1595" t="s">
        <v>5403</v>
      </c>
      <c r="D1182" s="1595" t="s">
        <v>13370</v>
      </c>
      <c r="E1182" s="1595"/>
      <c r="F1182" s="1595"/>
      <c r="G1182" s="1595" t="s">
        <v>12985</v>
      </c>
      <c r="H1182" s="1596">
        <v>2</v>
      </c>
      <c r="I1182" s="1595"/>
      <c r="J1182" s="1595"/>
      <c r="K1182" s="1597">
        <v>13412</v>
      </c>
      <c r="L1182" s="1597">
        <v>13411.87</v>
      </c>
      <c r="M1182" s="1598"/>
      <c r="N1182" s="1597">
        <v>13411.87</v>
      </c>
      <c r="O1182" s="1597">
        <v>3142.98</v>
      </c>
      <c r="P1182" s="1597">
        <v>9919.69</v>
      </c>
      <c r="Q1182" s="1599">
        <v>349.2</v>
      </c>
      <c r="R1182" s="1597">
        <v>10268.89</v>
      </c>
      <c r="S1182" s="1592"/>
    </row>
    <row r="1183" spans="2:19" s="1593" customFormat="1" ht="21.75" customHeight="1" outlineLevel="1">
      <c r="B1183" s="1594">
        <v>34664</v>
      </c>
      <c r="C1183" s="1595" t="s">
        <v>5403</v>
      </c>
      <c r="D1183" s="1595" t="s">
        <v>13369</v>
      </c>
      <c r="E1183" s="1595"/>
      <c r="F1183" s="1595"/>
      <c r="G1183" s="1595" t="s">
        <v>12985</v>
      </c>
      <c r="H1183" s="1596">
        <v>2</v>
      </c>
      <c r="I1183" s="1595"/>
      <c r="J1183" s="1595"/>
      <c r="K1183" s="1597">
        <v>13412</v>
      </c>
      <c r="L1183" s="1597">
        <v>13411.87</v>
      </c>
      <c r="M1183" s="1598"/>
      <c r="N1183" s="1597">
        <v>13411.87</v>
      </c>
      <c r="O1183" s="1597">
        <v>3142.98</v>
      </c>
      <c r="P1183" s="1597">
        <v>9919.69</v>
      </c>
      <c r="Q1183" s="1599">
        <v>349.2</v>
      </c>
      <c r="R1183" s="1597">
        <v>10268.89</v>
      </c>
      <c r="S1183" s="1592"/>
    </row>
    <row r="1184" spans="2:19" s="1593" customFormat="1" ht="21.75" customHeight="1" outlineLevel="1">
      <c r="B1184" s="1594">
        <v>34665</v>
      </c>
      <c r="C1184" s="1595" t="s">
        <v>5403</v>
      </c>
      <c r="D1184" s="1595" t="s">
        <v>13368</v>
      </c>
      <c r="E1184" s="1595"/>
      <c r="F1184" s="1595"/>
      <c r="G1184" s="1595" t="s">
        <v>12985</v>
      </c>
      <c r="H1184" s="1596">
        <v>2</v>
      </c>
      <c r="I1184" s="1595"/>
      <c r="J1184" s="1595"/>
      <c r="K1184" s="1597">
        <v>13412</v>
      </c>
      <c r="L1184" s="1597">
        <v>13411.87</v>
      </c>
      <c r="M1184" s="1598"/>
      <c r="N1184" s="1597">
        <v>13411.87</v>
      </c>
      <c r="O1184" s="1597">
        <v>3142.98</v>
      </c>
      <c r="P1184" s="1597">
        <v>9919.69</v>
      </c>
      <c r="Q1184" s="1599">
        <v>349.2</v>
      </c>
      <c r="R1184" s="1597">
        <v>10268.89</v>
      </c>
      <c r="S1184" s="1592"/>
    </row>
    <row r="1185" spans="2:19" s="1593" customFormat="1" ht="21.75" customHeight="1" outlineLevel="1">
      <c r="B1185" s="1594">
        <v>34666</v>
      </c>
      <c r="C1185" s="1595" t="s">
        <v>5403</v>
      </c>
      <c r="D1185" s="1595" t="s">
        <v>13367</v>
      </c>
      <c r="E1185" s="1595"/>
      <c r="F1185" s="1595"/>
      <c r="G1185" s="1595" t="s">
        <v>12985</v>
      </c>
      <c r="H1185" s="1596">
        <v>2</v>
      </c>
      <c r="I1185" s="1595"/>
      <c r="J1185" s="1595"/>
      <c r="K1185" s="1597">
        <v>13412</v>
      </c>
      <c r="L1185" s="1597">
        <v>13411.87</v>
      </c>
      <c r="M1185" s="1598"/>
      <c r="N1185" s="1597">
        <v>13411.87</v>
      </c>
      <c r="O1185" s="1597">
        <v>3142.98</v>
      </c>
      <c r="P1185" s="1597">
        <v>9919.69</v>
      </c>
      <c r="Q1185" s="1599">
        <v>349.2</v>
      </c>
      <c r="R1185" s="1597">
        <v>10268.89</v>
      </c>
      <c r="S1185" s="1592"/>
    </row>
    <row r="1186" spans="2:19" s="1593" customFormat="1" ht="21.75" customHeight="1" outlineLevel="1">
      <c r="B1186" s="1594">
        <v>34667</v>
      </c>
      <c r="C1186" s="1595" t="s">
        <v>5403</v>
      </c>
      <c r="D1186" s="1595" t="s">
        <v>13366</v>
      </c>
      <c r="E1186" s="1595"/>
      <c r="F1186" s="1595"/>
      <c r="G1186" s="1595" t="s">
        <v>12985</v>
      </c>
      <c r="H1186" s="1596">
        <v>2</v>
      </c>
      <c r="I1186" s="1595"/>
      <c r="J1186" s="1595"/>
      <c r="K1186" s="1597">
        <v>13412</v>
      </c>
      <c r="L1186" s="1597">
        <v>13411.87</v>
      </c>
      <c r="M1186" s="1598"/>
      <c r="N1186" s="1597">
        <v>13411.87</v>
      </c>
      <c r="O1186" s="1597">
        <v>3142.98</v>
      </c>
      <c r="P1186" s="1597">
        <v>9919.69</v>
      </c>
      <c r="Q1186" s="1599">
        <v>349.2</v>
      </c>
      <c r="R1186" s="1597">
        <v>10268.89</v>
      </c>
      <c r="S1186" s="1592"/>
    </row>
    <row r="1187" spans="2:19" s="1593" customFormat="1" ht="11.25" customHeight="1" outlineLevel="1">
      <c r="B1187" s="1594">
        <v>34680</v>
      </c>
      <c r="C1187" s="1595" t="s">
        <v>5403</v>
      </c>
      <c r="D1187" s="1595" t="s">
        <v>13365</v>
      </c>
      <c r="E1187" s="1595"/>
      <c r="F1187" s="1595"/>
      <c r="G1187" s="1595" t="s">
        <v>12985</v>
      </c>
      <c r="H1187" s="1596">
        <v>2</v>
      </c>
      <c r="I1187" s="1595"/>
      <c r="J1187" s="1595"/>
      <c r="K1187" s="1597">
        <v>1024131</v>
      </c>
      <c r="L1187" s="1597">
        <v>1024131</v>
      </c>
      <c r="M1187" s="1598"/>
      <c r="N1187" s="1597">
        <v>1024131</v>
      </c>
      <c r="O1187" s="1597">
        <v>239927.26</v>
      </c>
      <c r="P1187" s="1597">
        <v>757545.14</v>
      </c>
      <c r="Q1187" s="1597">
        <v>26658.6</v>
      </c>
      <c r="R1187" s="1597">
        <v>784203.74</v>
      </c>
      <c r="S1187" s="1592"/>
    </row>
    <row r="1188" spans="2:19" s="1593" customFormat="1" ht="11.25" customHeight="1" outlineLevel="1">
      <c r="B1188" s="1594">
        <v>34686</v>
      </c>
      <c r="C1188" s="1595" t="s">
        <v>5403</v>
      </c>
      <c r="D1188" s="1595" t="s">
        <v>13364</v>
      </c>
      <c r="E1188" s="1595"/>
      <c r="F1188" s="1595"/>
      <c r="G1188" s="1595"/>
      <c r="H1188" s="1596">
        <v>2</v>
      </c>
      <c r="I1188" s="1595"/>
      <c r="J1188" s="1595"/>
      <c r="K1188" s="1597">
        <v>1507</v>
      </c>
      <c r="L1188" s="1597">
        <v>1507.25</v>
      </c>
      <c r="M1188" s="1597">
        <v>-1507.25</v>
      </c>
      <c r="N1188" s="1598"/>
      <c r="O1188" s="1598"/>
      <c r="P1188" s="1597">
        <v>1507.25</v>
      </c>
      <c r="Q1188" s="1597">
        <v>-1507.25</v>
      </c>
      <c r="R1188" s="1598"/>
      <c r="S1188" s="1592"/>
    </row>
    <row r="1189" spans="2:19" s="1593" customFormat="1" ht="11.25" customHeight="1" outlineLevel="1">
      <c r="B1189" s="1594">
        <v>34688</v>
      </c>
      <c r="C1189" s="1595" t="s">
        <v>5403</v>
      </c>
      <c r="D1189" s="1595" t="s">
        <v>13363</v>
      </c>
      <c r="E1189" s="1595"/>
      <c r="F1189" s="1595"/>
      <c r="G1189" s="1595"/>
      <c r="H1189" s="1596">
        <v>2</v>
      </c>
      <c r="I1189" s="1595"/>
      <c r="J1189" s="1595"/>
      <c r="K1189" s="1597">
        <v>1507</v>
      </c>
      <c r="L1189" s="1597">
        <v>1507.25</v>
      </c>
      <c r="M1189" s="1597">
        <v>-1507.25</v>
      </c>
      <c r="N1189" s="1598"/>
      <c r="O1189" s="1598"/>
      <c r="P1189" s="1597">
        <v>1507.25</v>
      </c>
      <c r="Q1189" s="1597">
        <v>-1507.25</v>
      </c>
      <c r="R1189" s="1598"/>
      <c r="S1189" s="1592"/>
    </row>
    <row r="1190" spans="2:19" s="1593" customFormat="1" ht="11.25" customHeight="1" outlineLevel="1">
      <c r="B1190" s="1594">
        <v>34689</v>
      </c>
      <c r="C1190" s="1595" t="s">
        <v>5403</v>
      </c>
      <c r="D1190" s="1595" t="s">
        <v>13362</v>
      </c>
      <c r="E1190" s="1595"/>
      <c r="F1190" s="1595"/>
      <c r="G1190" s="1595"/>
      <c r="H1190" s="1596">
        <v>2</v>
      </c>
      <c r="I1190" s="1595"/>
      <c r="J1190" s="1595"/>
      <c r="K1190" s="1597">
        <v>1507</v>
      </c>
      <c r="L1190" s="1597">
        <v>1507.25</v>
      </c>
      <c r="M1190" s="1597">
        <v>-1507.25</v>
      </c>
      <c r="N1190" s="1598"/>
      <c r="O1190" s="1598"/>
      <c r="P1190" s="1597">
        <v>1507.25</v>
      </c>
      <c r="Q1190" s="1597">
        <v>-1507.25</v>
      </c>
      <c r="R1190" s="1598"/>
      <c r="S1190" s="1592"/>
    </row>
    <row r="1191" spans="2:19" s="1593" customFormat="1" ht="11.25" customHeight="1" outlineLevel="1">
      <c r="B1191" s="1594">
        <v>34690</v>
      </c>
      <c r="C1191" s="1595" t="s">
        <v>5403</v>
      </c>
      <c r="D1191" s="1595" t="s">
        <v>13361</v>
      </c>
      <c r="E1191" s="1595"/>
      <c r="F1191" s="1595"/>
      <c r="G1191" s="1595"/>
      <c r="H1191" s="1596">
        <v>2</v>
      </c>
      <c r="I1191" s="1595"/>
      <c r="J1191" s="1595"/>
      <c r="K1191" s="1597">
        <v>1507</v>
      </c>
      <c r="L1191" s="1597">
        <v>1507.25</v>
      </c>
      <c r="M1191" s="1597">
        <v>-1507.25</v>
      </c>
      <c r="N1191" s="1598"/>
      <c r="O1191" s="1598"/>
      <c r="P1191" s="1597">
        <v>1507.25</v>
      </c>
      <c r="Q1191" s="1597">
        <v>-1507.25</v>
      </c>
      <c r="R1191" s="1598"/>
      <c r="S1191" s="1592"/>
    </row>
    <row r="1192" spans="2:19" s="1593" customFormat="1" ht="11.25" customHeight="1" outlineLevel="1">
      <c r="B1192" s="1594">
        <v>34692</v>
      </c>
      <c r="C1192" s="1595" t="s">
        <v>5403</v>
      </c>
      <c r="D1192" s="1595" t="s">
        <v>13360</v>
      </c>
      <c r="E1192" s="1595"/>
      <c r="F1192" s="1595"/>
      <c r="G1192" s="1595"/>
      <c r="H1192" s="1596">
        <v>2</v>
      </c>
      <c r="I1192" s="1595"/>
      <c r="J1192" s="1595"/>
      <c r="K1192" s="1597">
        <v>1507</v>
      </c>
      <c r="L1192" s="1597">
        <v>1507.25</v>
      </c>
      <c r="M1192" s="1597">
        <v>-1507.25</v>
      </c>
      <c r="N1192" s="1598"/>
      <c r="O1192" s="1598"/>
      <c r="P1192" s="1597">
        <v>1507.25</v>
      </c>
      <c r="Q1192" s="1597">
        <v>-1507.25</v>
      </c>
      <c r="R1192" s="1598"/>
      <c r="S1192" s="1592"/>
    </row>
    <row r="1193" spans="2:19" s="1593" customFormat="1" ht="11.25" customHeight="1" outlineLevel="1">
      <c r="B1193" s="1594">
        <v>35214</v>
      </c>
      <c r="C1193" s="1595" t="s">
        <v>5403</v>
      </c>
      <c r="D1193" s="1595" t="s">
        <v>13359</v>
      </c>
      <c r="E1193" s="1595"/>
      <c r="F1193" s="1595"/>
      <c r="G1193" s="1595"/>
      <c r="H1193" s="1596">
        <v>2</v>
      </c>
      <c r="I1193" s="1595"/>
      <c r="J1193" s="1595"/>
      <c r="K1193" s="1599">
        <v>113</v>
      </c>
      <c r="L1193" s="1599">
        <v>113.5</v>
      </c>
      <c r="M1193" s="1599">
        <v>-113.5</v>
      </c>
      <c r="N1193" s="1598"/>
      <c r="O1193" s="1598"/>
      <c r="P1193" s="1599">
        <v>113.5</v>
      </c>
      <c r="Q1193" s="1599">
        <v>-113.5</v>
      </c>
      <c r="R1193" s="1598"/>
      <c r="S1193" s="1592"/>
    </row>
    <row r="1194" spans="2:19" s="1593" customFormat="1" ht="11.25" customHeight="1" outlineLevel="1">
      <c r="B1194" s="1594">
        <v>35562</v>
      </c>
      <c r="C1194" s="1595" t="s">
        <v>5403</v>
      </c>
      <c r="D1194" s="1595" t="s">
        <v>13358</v>
      </c>
      <c r="E1194" s="1595"/>
      <c r="F1194" s="1595"/>
      <c r="G1194" s="1595"/>
      <c r="H1194" s="1596">
        <v>2</v>
      </c>
      <c r="I1194" s="1595"/>
      <c r="J1194" s="1595"/>
      <c r="K1194" s="1599">
        <v>741</v>
      </c>
      <c r="L1194" s="1599">
        <v>741</v>
      </c>
      <c r="M1194" s="1599">
        <v>-741</v>
      </c>
      <c r="N1194" s="1598"/>
      <c r="O1194" s="1598"/>
      <c r="P1194" s="1599">
        <v>741</v>
      </c>
      <c r="Q1194" s="1599">
        <v>-741</v>
      </c>
      <c r="R1194" s="1598"/>
      <c r="S1194" s="1592"/>
    </row>
    <row r="1195" spans="2:19" s="1593" customFormat="1" ht="11.25" customHeight="1" outlineLevel="1">
      <c r="B1195" s="1594">
        <v>35633</v>
      </c>
      <c r="C1195" s="1595" t="s">
        <v>5403</v>
      </c>
      <c r="D1195" s="1595" t="s">
        <v>13357</v>
      </c>
      <c r="E1195" s="1595"/>
      <c r="F1195" s="1595"/>
      <c r="G1195" s="1595"/>
      <c r="H1195" s="1596">
        <v>2</v>
      </c>
      <c r="I1195" s="1595"/>
      <c r="J1195" s="1595"/>
      <c r="K1195" s="1599">
        <v>246</v>
      </c>
      <c r="L1195" s="1599">
        <v>246.29</v>
      </c>
      <c r="M1195" s="1599">
        <v>-246.29</v>
      </c>
      <c r="N1195" s="1598"/>
      <c r="O1195" s="1598"/>
      <c r="P1195" s="1599">
        <v>246.29</v>
      </c>
      <c r="Q1195" s="1599">
        <v>-246.29</v>
      </c>
      <c r="R1195" s="1598"/>
      <c r="S1195" s="1592"/>
    </row>
    <row r="1196" spans="2:19" s="1593" customFormat="1" ht="11.25" customHeight="1" outlineLevel="1">
      <c r="B1196" s="1594">
        <v>35634</v>
      </c>
      <c r="C1196" s="1595" t="s">
        <v>5403</v>
      </c>
      <c r="D1196" s="1595" t="s">
        <v>13356</v>
      </c>
      <c r="E1196" s="1595"/>
      <c r="F1196" s="1595"/>
      <c r="G1196" s="1595"/>
      <c r="H1196" s="1596">
        <v>2</v>
      </c>
      <c r="I1196" s="1595"/>
      <c r="J1196" s="1595"/>
      <c r="K1196" s="1599">
        <v>246</v>
      </c>
      <c r="L1196" s="1599">
        <v>246.29</v>
      </c>
      <c r="M1196" s="1599">
        <v>-246.29</v>
      </c>
      <c r="N1196" s="1598"/>
      <c r="O1196" s="1598"/>
      <c r="P1196" s="1599">
        <v>246.29</v>
      </c>
      <c r="Q1196" s="1599">
        <v>-246.29</v>
      </c>
      <c r="R1196" s="1598"/>
      <c r="S1196" s="1592"/>
    </row>
    <row r="1197" spans="2:19" s="1593" customFormat="1" ht="11.25" customHeight="1" outlineLevel="1">
      <c r="B1197" s="1594">
        <v>35635</v>
      </c>
      <c r="C1197" s="1595" t="s">
        <v>5403</v>
      </c>
      <c r="D1197" s="1595" t="s">
        <v>13355</v>
      </c>
      <c r="E1197" s="1595"/>
      <c r="F1197" s="1595"/>
      <c r="G1197" s="1595"/>
      <c r="H1197" s="1596">
        <v>2</v>
      </c>
      <c r="I1197" s="1595"/>
      <c r="J1197" s="1595"/>
      <c r="K1197" s="1599">
        <v>246</v>
      </c>
      <c r="L1197" s="1599">
        <v>246.29</v>
      </c>
      <c r="M1197" s="1599">
        <v>-246.29</v>
      </c>
      <c r="N1197" s="1598"/>
      <c r="O1197" s="1598"/>
      <c r="P1197" s="1599">
        <v>246.29</v>
      </c>
      <c r="Q1197" s="1599">
        <v>-246.29</v>
      </c>
      <c r="R1197" s="1598"/>
      <c r="S1197" s="1592"/>
    </row>
    <row r="1198" spans="2:19" s="1593" customFormat="1" ht="11.25" customHeight="1" outlineLevel="1">
      <c r="B1198" s="1594">
        <v>35636</v>
      </c>
      <c r="C1198" s="1595" t="s">
        <v>5403</v>
      </c>
      <c r="D1198" s="1595" t="s">
        <v>13354</v>
      </c>
      <c r="E1198" s="1595"/>
      <c r="F1198" s="1595"/>
      <c r="G1198" s="1595"/>
      <c r="H1198" s="1596">
        <v>2</v>
      </c>
      <c r="I1198" s="1595"/>
      <c r="J1198" s="1595"/>
      <c r="K1198" s="1599">
        <v>246</v>
      </c>
      <c r="L1198" s="1599">
        <v>246.29</v>
      </c>
      <c r="M1198" s="1599">
        <v>-246.29</v>
      </c>
      <c r="N1198" s="1598"/>
      <c r="O1198" s="1598"/>
      <c r="P1198" s="1599">
        <v>246.29</v>
      </c>
      <c r="Q1198" s="1599">
        <v>-246.29</v>
      </c>
      <c r="R1198" s="1598"/>
      <c r="S1198" s="1592"/>
    </row>
    <row r="1199" spans="2:19" s="1593" customFormat="1" ht="11.25" customHeight="1" outlineLevel="1">
      <c r="B1199" s="1594">
        <v>35637</v>
      </c>
      <c r="C1199" s="1595" t="s">
        <v>5403</v>
      </c>
      <c r="D1199" s="1595" t="s">
        <v>13353</v>
      </c>
      <c r="E1199" s="1595"/>
      <c r="F1199" s="1595"/>
      <c r="G1199" s="1595"/>
      <c r="H1199" s="1596">
        <v>2</v>
      </c>
      <c r="I1199" s="1595"/>
      <c r="J1199" s="1595"/>
      <c r="K1199" s="1599">
        <v>246</v>
      </c>
      <c r="L1199" s="1599">
        <v>246.29</v>
      </c>
      <c r="M1199" s="1599">
        <v>-246.29</v>
      </c>
      <c r="N1199" s="1598"/>
      <c r="O1199" s="1598"/>
      <c r="P1199" s="1599">
        <v>246.29</v>
      </c>
      <c r="Q1199" s="1599">
        <v>-246.29</v>
      </c>
      <c r="R1199" s="1598"/>
      <c r="S1199" s="1592"/>
    </row>
    <row r="1200" spans="2:19" s="1593" customFormat="1" ht="11.25" customHeight="1" outlineLevel="1">
      <c r="B1200" s="1594">
        <v>35638</v>
      </c>
      <c r="C1200" s="1595" t="s">
        <v>5403</v>
      </c>
      <c r="D1200" s="1595" t="s">
        <v>13352</v>
      </c>
      <c r="E1200" s="1595"/>
      <c r="F1200" s="1595"/>
      <c r="G1200" s="1595"/>
      <c r="H1200" s="1596">
        <v>2</v>
      </c>
      <c r="I1200" s="1595"/>
      <c r="J1200" s="1595"/>
      <c r="K1200" s="1599">
        <v>246</v>
      </c>
      <c r="L1200" s="1599">
        <v>246.29</v>
      </c>
      <c r="M1200" s="1599">
        <v>-246.29</v>
      </c>
      <c r="N1200" s="1598"/>
      <c r="O1200" s="1598"/>
      <c r="P1200" s="1599">
        <v>246.29</v>
      </c>
      <c r="Q1200" s="1599">
        <v>-246.29</v>
      </c>
      <c r="R1200" s="1598"/>
      <c r="S1200" s="1592"/>
    </row>
    <row r="1201" spans="2:19" s="1593" customFormat="1" ht="11.25" customHeight="1" outlineLevel="1">
      <c r="B1201" s="1594">
        <v>35644</v>
      </c>
      <c r="C1201" s="1595" t="s">
        <v>5403</v>
      </c>
      <c r="D1201" s="1595" t="s">
        <v>13351</v>
      </c>
      <c r="E1201" s="1595"/>
      <c r="F1201" s="1595"/>
      <c r="G1201" s="1595"/>
      <c r="H1201" s="1596">
        <v>2</v>
      </c>
      <c r="I1201" s="1595"/>
      <c r="J1201" s="1595"/>
      <c r="K1201" s="1597">
        <v>2175</v>
      </c>
      <c r="L1201" s="1597">
        <v>2175.5</v>
      </c>
      <c r="M1201" s="1597">
        <v>-2175.5</v>
      </c>
      <c r="N1201" s="1598"/>
      <c r="O1201" s="1598"/>
      <c r="P1201" s="1597">
        <v>2175.5</v>
      </c>
      <c r="Q1201" s="1597">
        <v>-2175.5</v>
      </c>
      <c r="R1201" s="1598"/>
      <c r="S1201" s="1592"/>
    </row>
    <row r="1202" spans="2:19" s="1593" customFormat="1" ht="11.25" customHeight="1" outlineLevel="1">
      <c r="B1202" s="1594">
        <v>35645</v>
      </c>
      <c r="C1202" s="1595" t="s">
        <v>5403</v>
      </c>
      <c r="D1202" s="1595" t="s">
        <v>13350</v>
      </c>
      <c r="E1202" s="1595"/>
      <c r="F1202" s="1595"/>
      <c r="G1202" s="1595"/>
      <c r="H1202" s="1596">
        <v>2</v>
      </c>
      <c r="I1202" s="1595"/>
      <c r="J1202" s="1595"/>
      <c r="K1202" s="1597">
        <v>4051</v>
      </c>
      <c r="L1202" s="1597">
        <v>4050.67</v>
      </c>
      <c r="M1202" s="1597">
        <v>-4050.67</v>
      </c>
      <c r="N1202" s="1598"/>
      <c r="O1202" s="1598"/>
      <c r="P1202" s="1597">
        <v>4050.67</v>
      </c>
      <c r="Q1202" s="1597">
        <v>-4050.67</v>
      </c>
      <c r="R1202" s="1598"/>
      <c r="S1202" s="1592"/>
    </row>
    <row r="1203" spans="2:19" s="1593" customFormat="1" ht="11.25" customHeight="1" outlineLevel="1">
      <c r="B1203" s="1594">
        <v>35646</v>
      </c>
      <c r="C1203" s="1595" t="s">
        <v>5403</v>
      </c>
      <c r="D1203" s="1595" t="s">
        <v>13349</v>
      </c>
      <c r="E1203" s="1595"/>
      <c r="F1203" s="1595"/>
      <c r="G1203" s="1595"/>
      <c r="H1203" s="1596">
        <v>2</v>
      </c>
      <c r="I1203" s="1595"/>
      <c r="J1203" s="1595"/>
      <c r="K1203" s="1597">
        <v>4051</v>
      </c>
      <c r="L1203" s="1597">
        <v>4050.67</v>
      </c>
      <c r="M1203" s="1597">
        <v>-4050.67</v>
      </c>
      <c r="N1203" s="1598"/>
      <c r="O1203" s="1598"/>
      <c r="P1203" s="1597">
        <v>4050.67</v>
      </c>
      <c r="Q1203" s="1597">
        <v>-4050.67</v>
      </c>
      <c r="R1203" s="1598"/>
      <c r="S1203" s="1592"/>
    </row>
    <row r="1204" spans="2:19" s="1593" customFormat="1" ht="11.25" customHeight="1" outlineLevel="1">
      <c r="B1204" s="1594">
        <v>37119</v>
      </c>
      <c r="C1204" s="1595" t="s">
        <v>5403</v>
      </c>
      <c r="D1204" s="1595" t="s">
        <v>13348</v>
      </c>
      <c r="E1204" s="1595"/>
      <c r="F1204" s="1595"/>
      <c r="G1204" s="1595"/>
      <c r="H1204" s="1596">
        <v>2</v>
      </c>
      <c r="I1204" s="1595"/>
      <c r="J1204" s="1595"/>
      <c r="K1204" s="1597">
        <v>3097</v>
      </c>
      <c r="L1204" s="1597">
        <v>3097</v>
      </c>
      <c r="M1204" s="1597">
        <v>-3097</v>
      </c>
      <c r="N1204" s="1598"/>
      <c r="O1204" s="1598"/>
      <c r="P1204" s="1597">
        <v>3097</v>
      </c>
      <c r="Q1204" s="1597">
        <v>-3097</v>
      </c>
      <c r="R1204" s="1598"/>
      <c r="S1204" s="1592"/>
    </row>
    <row r="1205" spans="2:19" s="1593" customFormat="1" ht="11.25" customHeight="1" outlineLevel="1">
      <c r="B1205" s="1594">
        <v>37120</v>
      </c>
      <c r="C1205" s="1595" t="s">
        <v>5403</v>
      </c>
      <c r="D1205" s="1595" t="s">
        <v>13347</v>
      </c>
      <c r="E1205" s="1595"/>
      <c r="F1205" s="1595"/>
      <c r="G1205" s="1595"/>
      <c r="H1205" s="1596">
        <v>2</v>
      </c>
      <c r="I1205" s="1595"/>
      <c r="J1205" s="1595"/>
      <c r="K1205" s="1597">
        <v>3097</v>
      </c>
      <c r="L1205" s="1597">
        <v>3097</v>
      </c>
      <c r="M1205" s="1597">
        <v>-3097</v>
      </c>
      <c r="N1205" s="1598"/>
      <c r="O1205" s="1598"/>
      <c r="P1205" s="1597">
        <v>3097</v>
      </c>
      <c r="Q1205" s="1597">
        <v>-3097</v>
      </c>
      <c r="R1205" s="1598"/>
      <c r="S1205" s="1592"/>
    </row>
    <row r="1206" spans="2:19" s="1593" customFormat="1" ht="11.25" customHeight="1" outlineLevel="1">
      <c r="B1206" s="1594">
        <v>37288</v>
      </c>
      <c r="C1206" s="1595" t="s">
        <v>5403</v>
      </c>
      <c r="D1206" s="1595" t="s">
        <v>13346</v>
      </c>
      <c r="E1206" s="1595"/>
      <c r="F1206" s="1595"/>
      <c r="G1206" s="1595"/>
      <c r="H1206" s="1596">
        <v>2</v>
      </c>
      <c r="I1206" s="1595"/>
      <c r="J1206" s="1595"/>
      <c r="K1206" s="1597">
        <v>2597</v>
      </c>
      <c r="L1206" s="1597">
        <v>2597</v>
      </c>
      <c r="M1206" s="1597">
        <v>-2597</v>
      </c>
      <c r="N1206" s="1598"/>
      <c r="O1206" s="1598"/>
      <c r="P1206" s="1597">
        <v>2597</v>
      </c>
      <c r="Q1206" s="1597">
        <v>-2597</v>
      </c>
      <c r="R1206" s="1598"/>
      <c r="S1206" s="1592"/>
    </row>
    <row r="1207" spans="2:19" s="1593" customFormat="1" ht="11.25" customHeight="1" outlineLevel="1">
      <c r="B1207" s="1594">
        <v>37289</v>
      </c>
      <c r="C1207" s="1595" t="s">
        <v>5403</v>
      </c>
      <c r="D1207" s="1595" t="s">
        <v>13345</v>
      </c>
      <c r="E1207" s="1595"/>
      <c r="F1207" s="1595"/>
      <c r="G1207" s="1595"/>
      <c r="H1207" s="1596">
        <v>2</v>
      </c>
      <c r="I1207" s="1595"/>
      <c r="J1207" s="1595"/>
      <c r="K1207" s="1597">
        <v>2597</v>
      </c>
      <c r="L1207" s="1597">
        <v>2597</v>
      </c>
      <c r="M1207" s="1597">
        <v>-2597</v>
      </c>
      <c r="N1207" s="1598"/>
      <c r="O1207" s="1598"/>
      <c r="P1207" s="1597">
        <v>2597</v>
      </c>
      <c r="Q1207" s="1597">
        <v>-2597</v>
      </c>
      <c r="R1207" s="1598"/>
      <c r="S1207" s="1592"/>
    </row>
    <row r="1208" spans="2:19" s="1593" customFormat="1" ht="11.25" customHeight="1" outlineLevel="1">
      <c r="B1208" s="1594">
        <v>37290</v>
      </c>
      <c r="C1208" s="1595" t="s">
        <v>5403</v>
      </c>
      <c r="D1208" s="1595" t="s">
        <v>13344</v>
      </c>
      <c r="E1208" s="1595"/>
      <c r="F1208" s="1595"/>
      <c r="G1208" s="1595"/>
      <c r="H1208" s="1596">
        <v>2</v>
      </c>
      <c r="I1208" s="1595"/>
      <c r="J1208" s="1595"/>
      <c r="K1208" s="1597">
        <v>2597</v>
      </c>
      <c r="L1208" s="1597">
        <v>2597</v>
      </c>
      <c r="M1208" s="1597">
        <v>-2597</v>
      </c>
      <c r="N1208" s="1598"/>
      <c r="O1208" s="1598"/>
      <c r="P1208" s="1597">
        <v>2597</v>
      </c>
      <c r="Q1208" s="1597">
        <v>-2597</v>
      </c>
      <c r="R1208" s="1598"/>
      <c r="S1208" s="1592"/>
    </row>
    <row r="1209" spans="2:19" s="1593" customFormat="1" ht="11.25" customHeight="1" outlineLevel="1">
      <c r="B1209" s="1594">
        <v>37291</v>
      </c>
      <c r="C1209" s="1595" t="s">
        <v>5403</v>
      </c>
      <c r="D1209" s="1595" t="s">
        <v>13343</v>
      </c>
      <c r="E1209" s="1595"/>
      <c r="F1209" s="1595"/>
      <c r="G1209" s="1595"/>
      <c r="H1209" s="1596">
        <v>2</v>
      </c>
      <c r="I1209" s="1595"/>
      <c r="J1209" s="1595"/>
      <c r="K1209" s="1597">
        <v>2597</v>
      </c>
      <c r="L1209" s="1597">
        <v>2597</v>
      </c>
      <c r="M1209" s="1597">
        <v>-2597</v>
      </c>
      <c r="N1209" s="1598"/>
      <c r="O1209" s="1598"/>
      <c r="P1209" s="1597">
        <v>2597</v>
      </c>
      <c r="Q1209" s="1597">
        <v>-2597</v>
      </c>
      <c r="R1209" s="1598"/>
      <c r="S1209" s="1592"/>
    </row>
    <row r="1210" spans="2:19" s="1593" customFormat="1" ht="11.25" customHeight="1" outlineLevel="1">
      <c r="B1210" s="1594">
        <v>37292</v>
      </c>
      <c r="C1210" s="1595" t="s">
        <v>5403</v>
      </c>
      <c r="D1210" s="1595" t="s">
        <v>13342</v>
      </c>
      <c r="E1210" s="1595"/>
      <c r="F1210" s="1595"/>
      <c r="G1210" s="1595"/>
      <c r="H1210" s="1596">
        <v>2</v>
      </c>
      <c r="I1210" s="1595"/>
      <c r="J1210" s="1595"/>
      <c r="K1210" s="1597">
        <v>2597</v>
      </c>
      <c r="L1210" s="1597">
        <v>2597</v>
      </c>
      <c r="M1210" s="1597">
        <v>-2597</v>
      </c>
      <c r="N1210" s="1598"/>
      <c r="O1210" s="1598"/>
      <c r="P1210" s="1597">
        <v>2597</v>
      </c>
      <c r="Q1210" s="1597">
        <v>-2597</v>
      </c>
      <c r="R1210" s="1598"/>
      <c r="S1210" s="1592"/>
    </row>
    <row r="1211" spans="2:19" s="1593" customFormat="1" ht="11.25" customHeight="1" outlineLevel="1">
      <c r="B1211" s="1594">
        <v>37293</v>
      </c>
      <c r="C1211" s="1595" t="s">
        <v>5403</v>
      </c>
      <c r="D1211" s="1595" t="s">
        <v>13341</v>
      </c>
      <c r="E1211" s="1595"/>
      <c r="F1211" s="1595"/>
      <c r="G1211" s="1595"/>
      <c r="H1211" s="1596">
        <v>2</v>
      </c>
      <c r="I1211" s="1595"/>
      <c r="J1211" s="1595"/>
      <c r="K1211" s="1597">
        <v>2597</v>
      </c>
      <c r="L1211" s="1597">
        <v>2597</v>
      </c>
      <c r="M1211" s="1597">
        <v>-2597</v>
      </c>
      <c r="N1211" s="1598"/>
      <c r="O1211" s="1598"/>
      <c r="P1211" s="1597">
        <v>2597</v>
      </c>
      <c r="Q1211" s="1597">
        <v>-2597</v>
      </c>
      <c r="R1211" s="1598"/>
      <c r="S1211" s="1592"/>
    </row>
    <row r="1212" spans="2:19" s="1593" customFormat="1" ht="21.75" customHeight="1" outlineLevel="1">
      <c r="B1212" s="1594">
        <v>37894</v>
      </c>
      <c r="C1212" s="1595" t="s">
        <v>5403</v>
      </c>
      <c r="D1212" s="1595" t="s">
        <v>13340</v>
      </c>
      <c r="E1212" s="1595"/>
      <c r="F1212" s="1595"/>
      <c r="G1212" s="1595" t="s">
        <v>13339</v>
      </c>
      <c r="H1212" s="1596">
        <v>3</v>
      </c>
      <c r="I1212" s="1595"/>
      <c r="J1212" s="1595"/>
      <c r="K1212" s="1597">
        <v>66179</v>
      </c>
      <c r="L1212" s="1597">
        <v>66179</v>
      </c>
      <c r="M1212" s="1598"/>
      <c r="N1212" s="1597">
        <v>66179</v>
      </c>
      <c r="O1212" s="1597">
        <v>4213.26</v>
      </c>
      <c r="P1212" s="1597">
        <v>59859.14</v>
      </c>
      <c r="Q1212" s="1597">
        <v>2106.6</v>
      </c>
      <c r="R1212" s="1597">
        <v>61965.74</v>
      </c>
      <c r="S1212" s="1592"/>
    </row>
    <row r="1213" spans="2:19" s="1593" customFormat="1" ht="11.25" customHeight="1" outlineLevel="1">
      <c r="B1213" s="1594">
        <v>11284</v>
      </c>
      <c r="C1213" s="1595" t="s">
        <v>5395</v>
      </c>
      <c r="D1213" s="1595" t="s">
        <v>13338</v>
      </c>
      <c r="E1213" s="1595"/>
      <c r="F1213" s="1595"/>
      <c r="G1213" s="1595"/>
      <c r="H1213" s="1596">
        <v>2</v>
      </c>
      <c r="I1213" s="1595"/>
      <c r="J1213" s="1595"/>
      <c r="K1213" s="1599">
        <v>125</v>
      </c>
      <c r="L1213" s="1599">
        <v>125</v>
      </c>
      <c r="M1213" s="1599">
        <v>-125</v>
      </c>
      <c r="N1213" s="1598"/>
      <c r="O1213" s="1598"/>
      <c r="P1213" s="1599">
        <v>120.7</v>
      </c>
      <c r="Q1213" s="1599">
        <v>-120.7</v>
      </c>
      <c r="R1213" s="1598"/>
      <c r="S1213" s="1592"/>
    </row>
    <row r="1214" spans="2:19" s="1593" customFormat="1" ht="11.25" customHeight="1" outlineLevel="1">
      <c r="B1214" s="1594">
        <v>35575</v>
      </c>
      <c r="C1214" s="1595" t="s">
        <v>5395</v>
      </c>
      <c r="D1214" s="1595" t="s">
        <v>13337</v>
      </c>
      <c r="E1214" s="1595"/>
      <c r="F1214" s="1595"/>
      <c r="G1214" s="1595"/>
      <c r="H1214" s="1596">
        <v>2</v>
      </c>
      <c r="I1214" s="1595"/>
      <c r="J1214" s="1595"/>
      <c r="K1214" s="1599">
        <v>125</v>
      </c>
      <c r="L1214" s="1599">
        <v>125</v>
      </c>
      <c r="M1214" s="1599">
        <v>-125</v>
      </c>
      <c r="N1214" s="1598"/>
      <c r="O1214" s="1598"/>
      <c r="P1214" s="1599">
        <v>120.7</v>
      </c>
      <c r="Q1214" s="1599">
        <v>-120.7</v>
      </c>
      <c r="R1214" s="1598"/>
      <c r="S1214" s="1592"/>
    </row>
    <row r="1215" spans="2:19" s="1593" customFormat="1" ht="11.25" customHeight="1" outlineLevel="1">
      <c r="B1215" s="1594">
        <v>11294</v>
      </c>
      <c r="C1215" s="1595" t="s">
        <v>5390</v>
      </c>
      <c r="D1215" s="1595" t="s">
        <v>13336</v>
      </c>
      <c r="E1215" s="1595"/>
      <c r="F1215" s="1595"/>
      <c r="G1215" s="1595"/>
      <c r="H1215" s="1596">
        <v>2</v>
      </c>
      <c r="I1215" s="1595"/>
      <c r="J1215" s="1595"/>
      <c r="K1215" s="1599">
        <v>194</v>
      </c>
      <c r="L1215" s="1599">
        <v>194</v>
      </c>
      <c r="M1215" s="1599">
        <v>-194</v>
      </c>
      <c r="N1215" s="1598"/>
      <c r="O1215" s="1598"/>
      <c r="P1215" s="1599">
        <v>194</v>
      </c>
      <c r="Q1215" s="1599">
        <v>-194</v>
      </c>
      <c r="R1215" s="1598"/>
      <c r="S1215" s="1592"/>
    </row>
    <row r="1216" spans="2:19" s="1593" customFormat="1" ht="11.25" customHeight="1" outlineLevel="1">
      <c r="B1216" s="1594">
        <v>11343</v>
      </c>
      <c r="C1216" s="1595" t="s">
        <v>9577</v>
      </c>
      <c r="D1216" s="1595" t="s">
        <v>13335</v>
      </c>
      <c r="E1216" s="1595"/>
      <c r="F1216" s="1595"/>
      <c r="G1216" s="1595"/>
      <c r="H1216" s="1596">
        <v>2</v>
      </c>
      <c r="I1216" s="1595"/>
      <c r="J1216" s="1595"/>
      <c r="K1216" s="1599">
        <v>295</v>
      </c>
      <c r="L1216" s="1599">
        <v>295</v>
      </c>
      <c r="M1216" s="1599">
        <v>-295</v>
      </c>
      <c r="N1216" s="1598"/>
      <c r="O1216" s="1598"/>
      <c r="P1216" s="1599">
        <v>295</v>
      </c>
      <c r="Q1216" s="1599">
        <v>-295</v>
      </c>
      <c r="R1216" s="1598"/>
      <c r="S1216" s="1592"/>
    </row>
    <row r="1217" spans="2:19" s="1593" customFormat="1" ht="11.25" customHeight="1" outlineLevel="1">
      <c r="B1217" s="1594">
        <v>11396</v>
      </c>
      <c r="C1217" s="1595" t="s">
        <v>5358</v>
      </c>
      <c r="D1217" s="1595" t="s">
        <v>13334</v>
      </c>
      <c r="E1217" s="1595"/>
      <c r="F1217" s="1595"/>
      <c r="G1217" s="1595"/>
      <c r="H1217" s="1596">
        <v>2</v>
      </c>
      <c r="I1217" s="1595"/>
      <c r="J1217" s="1595"/>
      <c r="K1217" s="1599">
        <v>70</v>
      </c>
      <c r="L1217" s="1599">
        <v>70</v>
      </c>
      <c r="M1217" s="1599">
        <v>-70</v>
      </c>
      <c r="N1217" s="1598"/>
      <c r="O1217" s="1598"/>
      <c r="P1217" s="1599">
        <v>70</v>
      </c>
      <c r="Q1217" s="1599">
        <v>-70</v>
      </c>
      <c r="R1217" s="1598"/>
      <c r="S1217" s="1592"/>
    </row>
    <row r="1218" spans="2:19" s="1593" customFormat="1" ht="11.25" customHeight="1" outlineLevel="1">
      <c r="B1218" s="1594">
        <v>23322</v>
      </c>
      <c r="C1218" s="1595" t="s">
        <v>5335</v>
      </c>
      <c r="D1218" s="1595" t="s">
        <v>13333</v>
      </c>
      <c r="E1218" s="1595"/>
      <c r="F1218" s="1595"/>
      <c r="G1218" s="1595"/>
      <c r="H1218" s="1596">
        <v>2</v>
      </c>
      <c r="I1218" s="1595"/>
      <c r="J1218" s="1595"/>
      <c r="K1218" s="1597">
        <v>17337</v>
      </c>
      <c r="L1218" s="1597">
        <v>17337</v>
      </c>
      <c r="M1218" s="1597">
        <v>-17337</v>
      </c>
      <c r="N1218" s="1598"/>
      <c r="O1218" s="1598"/>
      <c r="P1218" s="1597">
        <v>17337</v>
      </c>
      <c r="Q1218" s="1597">
        <v>-17337</v>
      </c>
      <c r="R1218" s="1598"/>
      <c r="S1218" s="1592"/>
    </row>
    <row r="1219" spans="2:19" s="1593" customFormat="1" ht="11.25" customHeight="1" outlineLevel="1">
      <c r="B1219" s="1594">
        <v>23379</v>
      </c>
      <c r="C1219" s="1595" t="s">
        <v>5308</v>
      </c>
      <c r="D1219" s="1595" t="s">
        <v>13332</v>
      </c>
      <c r="E1219" s="1595"/>
      <c r="F1219" s="1595"/>
      <c r="G1219" s="1595"/>
      <c r="H1219" s="1596">
        <v>2</v>
      </c>
      <c r="I1219" s="1595"/>
      <c r="J1219" s="1595"/>
      <c r="K1219" s="1597">
        <v>8390</v>
      </c>
      <c r="L1219" s="1597">
        <v>8390</v>
      </c>
      <c r="M1219" s="1597">
        <v>-8390</v>
      </c>
      <c r="N1219" s="1598"/>
      <c r="O1219" s="1598"/>
      <c r="P1219" s="1597">
        <v>8390</v>
      </c>
      <c r="Q1219" s="1597">
        <v>-8390</v>
      </c>
      <c r="R1219" s="1598"/>
      <c r="S1219" s="1592"/>
    </row>
    <row r="1220" spans="2:19" s="1593" customFormat="1" ht="11.25" customHeight="1" outlineLevel="1">
      <c r="B1220" s="1594">
        <v>24038</v>
      </c>
      <c r="C1220" s="1595" t="s">
        <v>5172</v>
      </c>
      <c r="D1220" s="1595" t="s">
        <v>13331</v>
      </c>
      <c r="E1220" s="1595"/>
      <c r="F1220" s="1595"/>
      <c r="G1220" s="1595" t="s">
        <v>3734</v>
      </c>
      <c r="H1220" s="1596">
        <v>2</v>
      </c>
      <c r="I1220" s="1595"/>
      <c r="J1220" s="1595"/>
      <c r="K1220" s="1597">
        <v>309054</v>
      </c>
      <c r="L1220" s="1597">
        <v>309054</v>
      </c>
      <c r="M1220" s="1598"/>
      <c r="N1220" s="1597">
        <v>309054</v>
      </c>
      <c r="O1220" s="1597">
        <v>225607.92</v>
      </c>
      <c r="P1220" s="1597">
        <v>80355.600000000006</v>
      </c>
      <c r="Q1220" s="1597">
        <v>3090.48</v>
      </c>
      <c r="R1220" s="1597">
        <v>83446.080000000002</v>
      </c>
      <c r="S1220" s="1592"/>
    </row>
    <row r="1221" spans="2:19" s="1593" customFormat="1" ht="11.25" customHeight="1" outlineLevel="1">
      <c r="B1221" s="1594">
        <v>24040</v>
      </c>
      <c r="C1221" s="1595" t="s">
        <v>5172</v>
      </c>
      <c r="D1221" s="1595" t="s">
        <v>13330</v>
      </c>
      <c r="E1221" s="1595"/>
      <c r="F1221" s="1595"/>
      <c r="G1221" s="1595" t="s">
        <v>3734</v>
      </c>
      <c r="H1221" s="1596">
        <v>2</v>
      </c>
      <c r="I1221" s="1595"/>
      <c r="J1221" s="1595"/>
      <c r="K1221" s="1597">
        <v>24802</v>
      </c>
      <c r="L1221" s="1597">
        <v>24802</v>
      </c>
      <c r="M1221" s="1598"/>
      <c r="N1221" s="1597">
        <v>24802</v>
      </c>
      <c r="O1221" s="1597">
        <v>11407.96</v>
      </c>
      <c r="P1221" s="1597">
        <v>12898.08</v>
      </c>
      <c r="Q1221" s="1599">
        <v>495.96</v>
      </c>
      <c r="R1221" s="1597">
        <v>13394.04</v>
      </c>
      <c r="S1221" s="1592"/>
    </row>
    <row r="1222" spans="2:19" s="1593" customFormat="1" ht="11.25" customHeight="1" outlineLevel="1">
      <c r="B1222" s="1594">
        <v>24174</v>
      </c>
      <c r="C1222" s="1595" t="s">
        <v>5135</v>
      </c>
      <c r="D1222" s="1595" t="s">
        <v>13329</v>
      </c>
      <c r="E1222" s="1595"/>
      <c r="F1222" s="1595"/>
      <c r="G1222" s="1595"/>
      <c r="H1222" s="1596">
        <v>2</v>
      </c>
      <c r="I1222" s="1595"/>
      <c r="J1222" s="1595"/>
      <c r="K1222" s="1597">
        <v>1569</v>
      </c>
      <c r="L1222" s="1597">
        <v>1569</v>
      </c>
      <c r="M1222" s="1597">
        <v>-1569</v>
      </c>
      <c r="N1222" s="1598"/>
      <c r="O1222" s="1598"/>
      <c r="P1222" s="1597">
        <v>1569</v>
      </c>
      <c r="Q1222" s="1597">
        <v>-1569</v>
      </c>
      <c r="R1222" s="1598"/>
      <c r="S1222" s="1592"/>
    </row>
    <row r="1223" spans="2:19" s="1593" customFormat="1" ht="11.25" customHeight="1" outlineLevel="1">
      <c r="B1223" s="1594">
        <v>24208</v>
      </c>
      <c r="C1223" s="1595" t="s">
        <v>9372</v>
      </c>
      <c r="D1223" s="1595" t="s">
        <v>13328</v>
      </c>
      <c r="E1223" s="1595"/>
      <c r="F1223" s="1595"/>
      <c r="G1223" s="1595"/>
      <c r="H1223" s="1596">
        <v>1</v>
      </c>
      <c r="I1223" s="1595"/>
      <c r="J1223" s="1595"/>
      <c r="K1223" s="1597">
        <v>2250</v>
      </c>
      <c r="L1223" s="1597">
        <v>2250</v>
      </c>
      <c r="M1223" s="1597">
        <v>-2250</v>
      </c>
      <c r="N1223" s="1598"/>
      <c r="O1223" s="1598"/>
      <c r="P1223" s="1597">
        <v>2250</v>
      </c>
      <c r="Q1223" s="1597">
        <v>-2250</v>
      </c>
      <c r="R1223" s="1598"/>
      <c r="S1223" s="1592"/>
    </row>
    <row r="1224" spans="2:19" s="1593" customFormat="1" ht="11.25" customHeight="1" outlineLevel="1">
      <c r="B1224" s="1594">
        <v>23640</v>
      </c>
      <c r="C1224" s="1595" t="s">
        <v>5105</v>
      </c>
      <c r="D1224" s="1595" t="s">
        <v>13327</v>
      </c>
      <c r="E1224" s="1595"/>
      <c r="F1224" s="1595"/>
      <c r="G1224" s="1595"/>
      <c r="H1224" s="1596">
        <v>2</v>
      </c>
      <c r="I1224" s="1595"/>
      <c r="J1224" s="1595"/>
      <c r="K1224" s="1599">
        <v>967</v>
      </c>
      <c r="L1224" s="1599">
        <v>967</v>
      </c>
      <c r="M1224" s="1599">
        <v>-967</v>
      </c>
      <c r="N1224" s="1598"/>
      <c r="O1224" s="1598"/>
      <c r="P1224" s="1599">
        <v>967</v>
      </c>
      <c r="Q1224" s="1599">
        <v>-967</v>
      </c>
      <c r="R1224" s="1598"/>
      <c r="S1224" s="1592"/>
    </row>
    <row r="1225" spans="2:19" s="1593" customFormat="1" ht="11.25" customHeight="1" outlineLevel="1">
      <c r="B1225" s="1594">
        <v>24353</v>
      </c>
      <c r="C1225" s="1595" t="s">
        <v>5087</v>
      </c>
      <c r="D1225" s="1595" t="s">
        <v>13326</v>
      </c>
      <c r="E1225" s="1595"/>
      <c r="F1225" s="1595"/>
      <c r="G1225" s="1595"/>
      <c r="H1225" s="1596">
        <v>2</v>
      </c>
      <c r="I1225" s="1595"/>
      <c r="J1225" s="1595"/>
      <c r="K1225" s="1597">
        <v>6000</v>
      </c>
      <c r="L1225" s="1597">
        <v>6000</v>
      </c>
      <c r="M1225" s="1597">
        <v>-6000</v>
      </c>
      <c r="N1225" s="1598"/>
      <c r="O1225" s="1598"/>
      <c r="P1225" s="1597">
        <v>6000</v>
      </c>
      <c r="Q1225" s="1597">
        <v>-6000</v>
      </c>
      <c r="R1225" s="1598"/>
      <c r="S1225" s="1592"/>
    </row>
    <row r="1226" spans="2:19" s="1593" customFormat="1" ht="11.25" customHeight="1" outlineLevel="1">
      <c r="B1226" s="1594">
        <v>24695</v>
      </c>
      <c r="C1226" s="1595" t="s">
        <v>11990</v>
      </c>
      <c r="D1226" s="1595" t="s">
        <v>13325</v>
      </c>
      <c r="E1226" s="1595"/>
      <c r="F1226" s="1595"/>
      <c r="G1226" s="1595"/>
      <c r="H1226" s="1596">
        <v>2</v>
      </c>
      <c r="I1226" s="1595"/>
      <c r="J1226" s="1595"/>
      <c r="K1226" s="1597">
        <v>50000</v>
      </c>
      <c r="L1226" s="1597">
        <v>50000</v>
      </c>
      <c r="M1226" s="1597">
        <v>-50000</v>
      </c>
      <c r="N1226" s="1598"/>
      <c r="O1226" s="1598"/>
      <c r="P1226" s="1597">
        <v>50000</v>
      </c>
      <c r="Q1226" s="1597">
        <v>-50000</v>
      </c>
      <c r="R1226" s="1598"/>
      <c r="S1226" s="1592"/>
    </row>
    <row r="1227" spans="2:19" s="1593" customFormat="1" ht="11.25" customHeight="1" outlineLevel="1">
      <c r="B1227" s="1594">
        <v>25716</v>
      </c>
      <c r="C1227" s="1595" t="s">
        <v>4714</v>
      </c>
      <c r="D1227" s="1595" t="s">
        <v>13324</v>
      </c>
      <c r="E1227" s="1595"/>
      <c r="F1227" s="1595"/>
      <c r="G1227" s="1595" t="s">
        <v>3719</v>
      </c>
      <c r="H1227" s="1596">
        <v>2</v>
      </c>
      <c r="I1227" s="1595"/>
      <c r="J1227" s="1595"/>
      <c r="K1227" s="1597">
        <v>454391</v>
      </c>
      <c r="L1227" s="1597">
        <v>454391</v>
      </c>
      <c r="M1227" s="1598"/>
      <c r="N1227" s="1597">
        <v>454391</v>
      </c>
      <c r="O1227" s="1597">
        <v>227195</v>
      </c>
      <c r="P1227" s="1597">
        <v>218108.16</v>
      </c>
      <c r="Q1227" s="1597">
        <v>9087.84</v>
      </c>
      <c r="R1227" s="1597">
        <v>227196</v>
      </c>
      <c r="S1227" s="1592"/>
    </row>
    <row r="1228" spans="2:19" s="1593" customFormat="1" ht="11.25" customHeight="1" outlineLevel="1">
      <c r="B1228" s="1594">
        <v>25717</v>
      </c>
      <c r="C1228" s="1595" t="s">
        <v>4714</v>
      </c>
      <c r="D1228" s="1595" t="s">
        <v>13323</v>
      </c>
      <c r="E1228" s="1595"/>
      <c r="F1228" s="1595"/>
      <c r="G1228" s="1595" t="s">
        <v>3719</v>
      </c>
      <c r="H1228" s="1596">
        <v>2</v>
      </c>
      <c r="I1228" s="1595"/>
      <c r="J1228" s="1595"/>
      <c r="K1228" s="1597">
        <v>180000</v>
      </c>
      <c r="L1228" s="1597">
        <v>180000</v>
      </c>
      <c r="M1228" s="1598"/>
      <c r="N1228" s="1597">
        <v>180000</v>
      </c>
      <c r="O1228" s="1597">
        <v>67500</v>
      </c>
      <c r="P1228" s="1597">
        <v>108000</v>
      </c>
      <c r="Q1228" s="1597">
        <v>4500</v>
      </c>
      <c r="R1228" s="1597">
        <v>112500</v>
      </c>
      <c r="S1228" s="1592"/>
    </row>
    <row r="1229" spans="2:19" s="1593" customFormat="1" ht="11.25" customHeight="1" outlineLevel="1">
      <c r="B1229" s="1594">
        <v>26220</v>
      </c>
      <c r="C1229" s="1595" t="s">
        <v>13321</v>
      </c>
      <c r="D1229" s="1595" t="s">
        <v>13322</v>
      </c>
      <c r="E1229" s="1595"/>
      <c r="F1229" s="1595"/>
      <c r="G1229" s="1595"/>
      <c r="H1229" s="1596">
        <v>2</v>
      </c>
      <c r="I1229" s="1595"/>
      <c r="J1229" s="1595"/>
      <c r="K1229" s="1597">
        <v>45424</v>
      </c>
      <c r="L1229" s="1597">
        <v>45424</v>
      </c>
      <c r="M1229" s="1597">
        <v>-45424</v>
      </c>
      <c r="N1229" s="1598"/>
      <c r="O1229" s="1598"/>
      <c r="P1229" s="1597">
        <v>45424</v>
      </c>
      <c r="Q1229" s="1597">
        <v>-45424</v>
      </c>
      <c r="R1229" s="1598"/>
      <c r="S1229" s="1592"/>
    </row>
    <row r="1230" spans="2:19" s="1593" customFormat="1" ht="11.25" customHeight="1" outlineLevel="1">
      <c r="B1230" s="1594">
        <v>26221</v>
      </c>
      <c r="C1230" s="1595" t="s">
        <v>13321</v>
      </c>
      <c r="D1230" s="1595" t="s">
        <v>13320</v>
      </c>
      <c r="E1230" s="1595"/>
      <c r="F1230" s="1595"/>
      <c r="G1230" s="1595"/>
      <c r="H1230" s="1596">
        <v>2</v>
      </c>
      <c r="I1230" s="1595"/>
      <c r="J1230" s="1595"/>
      <c r="K1230" s="1597">
        <v>31766</v>
      </c>
      <c r="L1230" s="1597">
        <v>31766</v>
      </c>
      <c r="M1230" s="1597">
        <v>-31766</v>
      </c>
      <c r="N1230" s="1598"/>
      <c r="O1230" s="1598"/>
      <c r="P1230" s="1597">
        <v>31766</v>
      </c>
      <c r="Q1230" s="1597">
        <v>-31766</v>
      </c>
      <c r="R1230" s="1598"/>
      <c r="S1230" s="1592"/>
    </row>
    <row r="1231" spans="2:19" s="1593" customFormat="1" ht="11.25" customHeight="1" outlineLevel="1">
      <c r="B1231" s="1594">
        <v>24006</v>
      </c>
      <c r="C1231" s="1595" t="s">
        <v>4584</v>
      </c>
      <c r="D1231" s="1595" t="s">
        <v>13319</v>
      </c>
      <c r="E1231" s="1595"/>
      <c r="F1231" s="1595"/>
      <c r="G1231" s="1595"/>
      <c r="H1231" s="1596">
        <v>2</v>
      </c>
      <c r="I1231" s="1595"/>
      <c r="J1231" s="1595"/>
      <c r="K1231" s="1597">
        <v>21600</v>
      </c>
      <c r="L1231" s="1597">
        <v>21600</v>
      </c>
      <c r="M1231" s="1597">
        <v>-21600</v>
      </c>
      <c r="N1231" s="1598"/>
      <c r="O1231" s="1598"/>
      <c r="P1231" s="1597">
        <v>21600</v>
      </c>
      <c r="Q1231" s="1597">
        <v>-21600</v>
      </c>
      <c r="R1231" s="1598"/>
      <c r="S1231" s="1592"/>
    </row>
    <row r="1232" spans="2:19" s="1593" customFormat="1" ht="11.25" customHeight="1" outlineLevel="1">
      <c r="B1232" s="1594">
        <v>34854</v>
      </c>
      <c r="C1232" s="1595" t="s">
        <v>4458</v>
      </c>
      <c r="D1232" s="1595" t="s">
        <v>13318</v>
      </c>
      <c r="E1232" s="1595"/>
      <c r="F1232" s="1595"/>
      <c r="G1232" s="1595"/>
      <c r="H1232" s="1596">
        <v>2</v>
      </c>
      <c r="I1232" s="1595"/>
      <c r="J1232" s="1595"/>
      <c r="K1232" s="1597">
        <v>10500</v>
      </c>
      <c r="L1232" s="1597">
        <v>10500</v>
      </c>
      <c r="M1232" s="1597">
        <v>-10500</v>
      </c>
      <c r="N1232" s="1598"/>
      <c r="O1232" s="1598"/>
      <c r="P1232" s="1597">
        <v>10500</v>
      </c>
      <c r="Q1232" s="1597">
        <v>-10500</v>
      </c>
      <c r="R1232" s="1598"/>
      <c r="S1232" s="1592"/>
    </row>
    <row r="1233" spans="2:19" s="1593" customFormat="1" ht="11.25" customHeight="1" outlineLevel="1">
      <c r="B1233" s="1594">
        <v>34855</v>
      </c>
      <c r="C1233" s="1595" t="s">
        <v>4458</v>
      </c>
      <c r="D1233" s="1595" t="s">
        <v>13317</v>
      </c>
      <c r="E1233" s="1595"/>
      <c r="F1233" s="1595"/>
      <c r="G1233" s="1595"/>
      <c r="H1233" s="1596">
        <v>2</v>
      </c>
      <c r="I1233" s="1595"/>
      <c r="J1233" s="1595"/>
      <c r="K1233" s="1597">
        <v>10500</v>
      </c>
      <c r="L1233" s="1597">
        <v>10500</v>
      </c>
      <c r="M1233" s="1597">
        <v>-10500</v>
      </c>
      <c r="N1233" s="1598"/>
      <c r="O1233" s="1598"/>
      <c r="P1233" s="1597">
        <v>10500</v>
      </c>
      <c r="Q1233" s="1597">
        <v>-10500</v>
      </c>
      <c r="R1233" s="1598"/>
      <c r="S1233" s="1592"/>
    </row>
    <row r="1234" spans="2:19" s="1593" customFormat="1" ht="11.25" customHeight="1" outlineLevel="1">
      <c r="B1234" s="1594">
        <v>34856</v>
      </c>
      <c r="C1234" s="1595" t="s">
        <v>4458</v>
      </c>
      <c r="D1234" s="1595" t="s">
        <v>13316</v>
      </c>
      <c r="E1234" s="1595"/>
      <c r="F1234" s="1595"/>
      <c r="G1234" s="1595"/>
      <c r="H1234" s="1596">
        <v>2</v>
      </c>
      <c r="I1234" s="1595"/>
      <c r="J1234" s="1595"/>
      <c r="K1234" s="1597">
        <v>10500</v>
      </c>
      <c r="L1234" s="1597">
        <v>10500</v>
      </c>
      <c r="M1234" s="1597">
        <v>-10500</v>
      </c>
      <c r="N1234" s="1598"/>
      <c r="O1234" s="1598"/>
      <c r="P1234" s="1597">
        <v>10500</v>
      </c>
      <c r="Q1234" s="1597">
        <v>-10500</v>
      </c>
      <c r="R1234" s="1598"/>
      <c r="S1234" s="1592"/>
    </row>
    <row r="1235" spans="2:19" s="1593" customFormat="1" ht="11.25" customHeight="1" outlineLevel="1">
      <c r="B1235" s="1594">
        <v>34857</v>
      </c>
      <c r="C1235" s="1595" t="s">
        <v>4458</v>
      </c>
      <c r="D1235" s="1595" t="s">
        <v>13315</v>
      </c>
      <c r="E1235" s="1595"/>
      <c r="F1235" s="1595"/>
      <c r="G1235" s="1595"/>
      <c r="H1235" s="1596">
        <v>2</v>
      </c>
      <c r="I1235" s="1595"/>
      <c r="J1235" s="1595"/>
      <c r="K1235" s="1597">
        <v>10500</v>
      </c>
      <c r="L1235" s="1597">
        <v>10500</v>
      </c>
      <c r="M1235" s="1597">
        <v>-10500</v>
      </c>
      <c r="N1235" s="1598"/>
      <c r="O1235" s="1598"/>
      <c r="P1235" s="1597">
        <v>10500</v>
      </c>
      <c r="Q1235" s="1597">
        <v>-10500</v>
      </c>
      <c r="R1235" s="1598"/>
      <c r="S1235" s="1592"/>
    </row>
    <row r="1236" spans="2:19" s="1593" customFormat="1" ht="11.25" customHeight="1" outlineLevel="1">
      <c r="B1236" s="1594">
        <v>34858</v>
      </c>
      <c r="C1236" s="1595" t="s">
        <v>4458</v>
      </c>
      <c r="D1236" s="1595" t="s">
        <v>13314</v>
      </c>
      <c r="E1236" s="1595"/>
      <c r="F1236" s="1595"/>
      <c r="G1236" s="1595"/>
      <c r="H1236" s="1596">
        <v>2</v>
      </c>
      <c r="I1236" s="1595"/>
      <c r="J1236" s="1595"/>
      <c r="K1236" s="1597">
        <v>10500</v>
      </c>
      <c r="L1236" s="1597">
        <v>10500</v>
      </c>
      <c r="M1236" s="1597">
        <v>-10500</v>
      </c>
      <c r="N1236" s="1598"/>
      <c r="O1236" s="1598"/>
      <c r="P1236" s="1597">
        <v>10500</v>
      </c>
      <c r="Q1236" s="1597">
        <v>-10500</v>
      </c>
      <c r="R1236" s="1598"/>
      <c r="S1236" s="1592"/>
    </row>
    <row r="1237" spans="2:19" s="1593" customFormat="1" ht="11.25" customHeight="1" outlineLevel="1">
      <c r="B1237" s="1594">
        <v>26428</v>
      </c>
      <c r="C1237" s="1595" t="s">
        <v>4456</v>
      </c>
      <c r="D1237" s="1595" t="s">
        <v>13313</v>
      </c>
      <c r="E1237" s="1595"/>
      <c r="F1237" s="1595"/>
      <c r="G1237" s="1595"/>
      <c r="H1237" s="1596">
        <v>1</v>
      </c>
      <c r="I1237" s="1595"/>
      <c r="J1237" s="1595"/>
      <c r="K1237" s="1597">
        <v>51606</v>
      </c>
      <c r="L1237" s="1597">
        <v>51606</v>
      </c>
      <c r="M1237" s="1597">
        <v>-51606</v>
      </c>
      <c r="N1237" s="1598"/>
      <c r="O1237" s="1598"/>
      <c r="P1237" s="1597">
        <v>51606</v>
      </c>
      <c r="Q1237" s="1597">
        <v>-51606</v>
      </c>
      <c r="R1237" s="1598"/>
      <c r="S1237" s="1592"/>
    </row>
    <row r="1238" spans="2:19" s="1593" customFormat="1" ht="11.25" customHeight="1" outlineLevel="1">
      <c r="B1238" s="1594">
        <v>26858</v>
      </c>
      <c r="C1238" s="1595" t="s">
        <v>4314</v>
      </c>
      <c r="D1238" s="1595" t="s">
        <v>13312</v>
      </c>
      <c r="E1238" s="1595"/>
      <c r="F1238" s="1595"/>
      <c r="G1238" s="1595"/>
      <c r="H1238" s="1596">
        <v>1</v>
      </c>
      <c r="I1238" s="1595"/>
      <c r="J1238" s="1595"/>
      <c r="K1238" s="1597">
        <v>58333</v>
      </c>
      <c r="L1238" s="1597">
        <v>58333</v>
      </c>
      <c r="M1238" s="1597">
        <v>-58333</v>
      </c>
      <c r="N1238" s="1598"/>
      <c r="O1238" s="1598"/>
      <c r="P1238" s="1597">
        <v>58333</v>
      </c>
      <c r="Q1238" s="1597">
        <v>-58333</v>
      </c>
      <c r="R1238" s="1598"/>
      <c r="S1238" s="1592"/>
    </row>
    <row r="1239" spans="2:19" s="1593" customFormat="1" ht="11.25" customHeight="1" outlineLevel="1">
      <c r="B1239" s="1594">
        <v>26879</v>
      </c>
      <c r="C1239" s="1595" t="s">
        <v>4314</v>
      </c>
      <c r="D1239" s="1595" t="s">
        <v>13311</v>
      </c>
      <c r="E1239" s="1595"/>
      <c r="F1239" s="1595"/>
      <c r="G1239" s="1595"/>
      <c r="H1239" s="1596">
        <v>2</v>
      </c>
      <c r="I1239" s="1595"/>
      <c r="J1239" s="1595"/>
      <c r="K1239" s="1597">
        <v>62000</v>
      </c>
      <c r="L1239" s="1597">
        <v>62000</v>
      </c>
      <c r="M1239" s="1597">
        <v>-62000</v>
      </c>
      <c r="N1239" s="1598"/>
      <c r="O1239" s="1598"/>
      <c r="P1239" s="1597">
        <v>62000</v>
      </c>
      <c r="Q1239" s="1597">
        <v>-62000</v>
      </c>
      <c r="R1239" s="1598"/>
      <c r="S1239" s="1592"/>
    </row>
    <row r="1240" spans="2:19" s="1593" customFormat="1" ht="11.25" customHeight="1" outlineLevel="1">
      <c r="B1240" s="1594">
        <v>27060</v>
      </c>
      <c r="C1240" s="1595" t="s">
        <v>4234</v>
      </c>
      <c r="D1240" s="1595" t="s">
        <v>13310</v>
      </c>
      <c r="E1240" s="1595"/>
      <c r="F1240" s="1595"/>
      <c r="G1240" s="1595"/>
      <c r="H1240" s="1596">
        <v>2</v>
      </c>
      <c r="I1240" s="1595"/>
      <c r="J1240" s="1595"/>
      <c r="K1240" s="1597">
        <v>5802</v>
      </c>
      <c r="L1240" s="1597">
        <v>5802</v>
      </c>
      <c r="M1240" s="1597">
        <v>-5802</v>
      </c>
      <c r="N1240" s="1598"/>
      <c r="O1240" s="1598"/>
      <c r="P1240" s="1597">
        <v>5802</v>
      </c>
      <c r="Q1240" s="1597">
        <v>-5802</v>
      </c>
      <c r="R1240" s="1598"/>
      <c r="S1240" s="1592"/>
    </row>
    <row r="1241" spans="2:19" s="1593" customFormat="1" ht="11.25" customHeight="1" outlineLevel="1">
      <c r="B1241" s="1594">
        <v>27237</v>
      </c>
      <c r="C1241" s="1595" t="s">
        <v>4164</v>
      </c>
      <c r="D1241" s="1595" t="s">
        <v>13309</v>
      </c>
      <c r="E1241" s="1595"/>
      <c r="F1241" s="1595"/>
      <c r="G1241" s="1595"/>
      <c r="H1241" s="1596">
        <v>2</v>
      </c>
      <c r="I1241" s="1595"/>
      <c r="J1241" s="1595"/>
      <c r="K1241" s="1597">
        <v>10958</v>
      </c>
      <c r="L1241" s="1597">
        <v>10958</v>
      </c>
      <c r="M1241" s="1597">
        <v>-10958</v>
      </c>
      <c r="N1241" s="1598"/>
      <c r="O1241" s="1598"/>
      <c r="P1241" s="1597">
        <v>10958</v>
      </c>
      <c r="Q1241" s="1597">
        <v>-10958</v>
      </c>
      <c r="R1241" s="1598"/>
      <c r="S1241" s="1592"/>
    </row>
    <row r="1242" spans="2:19" s="1593" customFormat="1" ht="11.25" customHeight="1" outlineLevel="1">
      <c r="B1242" s="1594">
        <v>27238</v>
      </c>
      <c r="C1242" s="1595" t="s">
        <v>4164</v>
      </c>
      <c r="D1242" s="1595" t="s">
        <v>13308</v>
      </c>
      <c r="E1242" s="1595"/>
      <c r="F1242" s="1595"/>
      <c r="G1242" s="1595"/>
      <c r="H1242" s="1596">
        <v>2</v>
      </c>
      <c r="I1242" s="1595"/>
      <c r="J1242" s="1595"/>
      <c r="K1242" s="1597">
        <v>10516</v>
      </c>
      <c r="L1242" s="1597">
        <v>10516</v>
      </c>
      <c r="M1242" s="1597">
        <v>-10516</v>
      </c>
      <c r="N1242" s="1598"/>
      <c r="O1242" s="1598"/>
      <c r="P1242" s="1597">
        <v>10516</v>
      </c>
      <c r="Q1242" s="1597">
        <v>-10516</v>
      </c>
      <c r="R1242" s="1598"/>
      <c r="S1242" s="1592"/>
    </row>
    <row r="1243" spans="2:19" s="1593" customFormat="1" ht="11.25" customHeight="1" outlineLevel="1">
      <c r="B1243" s="1594">
        <v>33247</v>
      </c>
      <c r="C1243" s="1595" t="s">
        <v>4164</v>
      </c>
      <c r="D1243" s="1595" t="s">
        <v>13307</v>
      </c>
      <c r="E1243" s="1595"/>
      <c r="F1243" s="1595"/>
      <c r="G1243" s="1595"/>
      <c r="H1243" s="1596">
        <v>2</v>
      </c>
      <c r="I1243" s="1595"/>
      <c r="J1243" s="1595"/>
      <c r="K1243" s="1597">
        <v>42810</v>
      </c>
      <c r="L1243" s="1597">
        <v>42810</v>
      </c>
      <c r="M1243" s="1597">
        <v>-42810</v>
      </c>
      <c r="N1243" s="1598"/>
      <c r="O1243" s="1598"/>
      <c r="P1243" s="1597">
        <v>42810</v>
      </c>
      <c r="Q1243" s="1597">
        <v>-42810</v>
      </c>
      <c r="R1243" s="1598"/>
      <c r="S1243" s="1592"/>
    </row>
    <row r="1244" spans="2:19" s="1593" customFormat="1" ht="11.25" customHeight="1" outlineLevel="1">
      <c r="B1244" s="1594">
        <v>35485</v>
      </c>
      <c r="C1244" s="1595" t="s">
        <v>4164</v>
      </c>
      <c r="D1244" s="1595" t="s">
        <v>13306</v>
      </c>
      <c r="E1244" s="1595"/>
      <c r="F1244" s="1595"/>
      <c r="G1244" s="1595"/>
      <c r="H1244" s="1596">
        <v>2</v>
      </c>
      <c r="I1244" s="1595"/>
      <c r="J1244" s="1595"/>
      <c r="K1244" s="1597">
        <v>10958</v>
      </c>
      <c r="L1244" s="1597">
        <v>10958</v>
      </c>
      <c r="M1244" s="1597">
        <v>-10958</v>
      </c>
      <c r="N1244" s="1598"/>
      <c r="O1244" s="1598"/>
      <c r="P1244" s="1597">
        <v>10958</v>
      </c>
      <c r="Q1244" s="1597">
        <v>-10958</v>
      </c>
      <c r="R1244" s="1598"/>
      <c r="S1244" s="1592"/>
    </row>
    <row r="1245" spans="2:19" s="1593" customFormat="1" ht="11.25" customHeight="1" outlineLevel="1">
      <c r="B1245" s="1594">
        <v>36930</v>
      </c>
      <c r="C1245" s="1595" t="s">
        <v>4164</v>
      </c>
      <c r="D1245" s="1595" t="s">
        <v>13305</v>
      </c>
      <c r="E1245" s="1595"/>
      <c r="F1245" s="1595"/>
      <c r="G1245" s="1595"/>
      <c r="H1245" s="1596">
        <v>2</v>
      </c>
      <c r="I1245" s="1595"/>
      <c r="J1245" s="1595"/>
      <c r="K1245" s="1597">
        <v>10516</v>
      </c>
      <c r="L1245" s="1597">
        <v>10516</v>
      </c>
      <c r="M1245" s="1597">
        <v>-10516</v>
      </c>
      <c r="N1245" s="1598"/>
      <c r="O1245" s="1598"/>
      <c r="P1245" s="1597">
        <v>10516</v>
      </c>
      <c r="Q1245" s="1597">
        <v>-10516</v>
      </c>
      <c r="R1245" s="1598"/>
      <c r="S1245" s="1592"/>
    </row>
    <row r="1246" spans="2:19" s="1593" customFormat="1" ht="11.25" customHeight="1" outlineLevel="1">
      <c r="B1246" s="1594">
        <v>24454</v>
      </c>
      <c r="C1246" s="1595" t="s">
        <v>4142</v>
      </c>
      <c r="D1246" s="1595" t="s">
        <v>13304</v>
      </c>
      <c r="E1246" s="1595"/>
      <c r="F1246" s="1595"/>
      <c r="G1246" s="1595"/>
      <c r="H1246" s="1596">
        <v>2</v>
      </c>
      <c r="I1246" s="1595"/>
      <c r="J1246" s="1595"/>
      <c r="K1246" s="1597">
        <v>5806</v>
      </c>
      <c r="L1246" s="1597">
        <v>5806</v>
      </c>
      <c r="M1246" s="1597">
        <v>-5806</v>
      </c>
      <c r="N1246" s="1598"/>
      <c r="O1246" s="1598"/>
      <c r="P1246" s="1597">
        <v>5806</v>
      </c>
      <c r="Q1246" s="1597">
        <v>-5806</v>
      </c>
      <c r="R1246" s="1598"/>
      <c r="S1246" s="1592"/>
    </row>
    <row r="1247" spans="2:19" s="1593" customFormat="1" ht="11.25" customHeight="1" outlineLevel="1">
      <c r="B1247" s="1594">
        <v>27590</v>
      </c>
      <c r="C1247" s="1595" t="s">
        <v>8499</v>
      </c>
      <c r="D1247" s="1595" t="s">
        <v>13303</v>
      </c>
      <c r="E1247" s="1595"/>
      <c r="F1247" s="1595"/>
      <c r="G1247" s="1595"/>
      <c r="H1247" s="1596">
        <v>2</v>
      </c>
      <c r="I1247" s="1595"/>
      <c r="J1247" s="1595"/>
      <c r="K1247" s="1597">
        <v>11000</v>
      </c>
      <c r="L1247" s="1597">
        <v>11000</v>
      </c>
      <c r="M1247" s="1597">
        <v>-11000</v>
      </c>
      <c r="N1247" s="1598"/>
      <c r="O1247" s="1598"/>
      <c r="P1247" s="1597">
        <v>11000</v>
      </c>
      <c r="Q1247" s="1597">
        <v>-11000</v>
      </c>
      <c r="R1247" s="1598"/>
      <c r="S1247" s="1592"/>
    </row>
    <row r="1248" spans="2:19" s="1593" customFormat="1" ht="11.25" customHeight="1" outlineLevel="1">
      <c r="B1248" s="1594">
        <v>27627</v>
      </c>
      <c r="C1248" s="1595" t="s">
        <v>8496</v>
      </c>
      <c r="D1248" s="1595" t="s">
        <v>13302</v>
      </c>
      <c r="E1248" s="1595"/>
      <c r="F1248" s="1595"/>
      <c r="G1248" s="1595"/>
      <c r="H1248" s="1596">
        <v>2</v>
      </c>
      <c r="I1248" s="1595"/>
      <c r="J1248" s="1595"/>
      <c r="K1248" s="1597">
        <v>176333</v>
      </c>
      <c r="L1248" s="1597">
        <v>176333</v>
      </c>
      <c r="M1248" s="1598"/>
      <c r="N1248" s="1597">
        <v>176333</v>
      </c>
      <c r="O1248" s="1597">
        <v>7424.82</v>
      </c>
      <c r="P1248" s="1597">
        <v>161483.31</v>
      </c>
      <c r="Q1248" s="1597">
        <v>7424.87</v>
      </c>
      <c r="R1248" s="1597">
        <v>168908.18</v>
      </c>
      <c r="S1248" s="1592"/>
    </row>
    <row r="1249" spans="2:19" s="1593" customFormat="1" ht="11.25" customHeight="1" outlineLevel="1">
      <c r="B1249" s="1594">
        <v>27628</v>
      </c>
      <c r="C1249" s="1595" t="s">
        <v>8496</v>
      </c>
      <c r="D1249" s="1595" t="s">
        <v>13301</v>
      </c>
      <c r="E1249" s="1595"/>
      <c r="F1249" s="1595"/>
      <c r="G1249" s="1595"/>
      <c r="H1249" s="1596">
        <v>2</v>
      </c>
      <c r="I1249" s="1595"/>
      <c r="J1249" s="1595"/>
      <c r="K1249" s="1597">
        <v>184767</v>
      </c>
      <c r="L1249" s="1597">
        <v>184767</v>
      </c>
      <c r="M1249" s="1598"/>
      <c r="N1249" s="1597">
        <v>184767</v>
      </c>
      <c r="O1249" s="1597">
        <v>7779.06</v>
      </c>
      <c r="P1249" s="1597">
        <v>169208.91</v>
      </c>
      <c r="Q1249" s="1597">
        <v>7779.03</v>
      </c>
      <c r="R1249" s="1597">
        <v>176987.94</v>
      </c>
      <c r="S1249" s="1592"/>
    </row>
    <row r="1250" spans="2:19" s="1593" customFormat="1" ht="11.25" customHeight="1" outlineLevel="1">
      <c r="B1250" s="1594">
        <v>27686</v>
      </c>
      <c r="C1250" s="1595" t="s">
        <v>4101</v>
      </c>
      <c r="D1250" s="1595" t="s">
        <v>13300</v>
      </c>
      <c r="E1250" s="1595"/>
      <c r="F1250" s="1595"/>
      <c r="G1250" s="1595"/>
      <c r="H1250" s="1596">
        <v>2</v>
      </c>
      <c r="I1250" s="1595"/>
      <c r="J1250" s="1595"/>
      <c r="K1250" s="1597">
        <v>73330</v>
      </c>
      <c r="L1250" s="1597">
        <v>73330</v>
      </c>
      <c r="M1250" s="1597">
        <v>-73330</v>
      </c>
      <c r="N1250" s="1598"/>
      <c r="O1250" s="1598"/>
      <c r="P1250" s="1597">
        <v>73330</v>
      </c>
      <c r="Q1250" s="1597">
        <v>-73330</v>
      </c>
      <c r="R1250" s="1598"/>
      <c r="S1250" s="1592"/>
    </row>
    <row r="1251" spans="2:19" s="1593" customFormat="1" ht="11.25" customHeight="1" outlineLevel="1">
      <c r="B1251" s="1594">
        <v>23001</v>
      </c>
      <c r="C1251" s="1595" t="s">
        <v>4097</v>
      </c>
      <c r="D1251" s="1595" t="s">
        <v>13299</v>
      </c>
      <c r="E1251" s="1595"/>
      <c r="F1251" s="1595"/>
      <c r="G1251" s="1595"/>
      <c r="H1251" s="1596">
        <v>1</v>
      </c>
      <c r="I1251" s="1595"/>
      <c r="J1251" s="1595"/>
      <c r="K1251" s="1597">
        <v>3995</v>
      </c>
      <c r="L1251" s="1597">
        <v>3995</v>
      </c>
      <c r="M1251" s="1597">
        <v>-3995</v>
      </c>
      <c r="N1251" s="1598"/>
      <c r="O1251" s="1598"/>
      <c r="P1251" s="1597">
        <v>3995</v>
      </c>
      <c r="Q1251" s="1597">
        <v>-3995</v>
      </c>
      <c r="R1251" s="1598"/>
      <c r="S1251" s="1592"/>
    </row>
    <row r="1252" spans="2:19" s="1593" customFormat="1" ht="11.25" customHeight="1" outlineLevel="1">
      <c r="B1252" s="1594">
        <v>26513</v>
      </c>
      <c r="C1252" s="1595" t="s">
        <v>4097</v>
      </c>
      <c r="D1252" s="1595" t="s">
        <v>13298</v>
      </c>
      <c r="E1252" s="1595"/>
      <c r="F1252" s="1595"/>
      <c r="G1252" s="1595"/>
      <c r="H1252" s="1596">
        <v>2</v>
      </c>
      <c r="I1252" s="1595"/>
      <c r="J1252" s="1595"/>
      <c r="K1252" s="1597">
        <v>45000</v>
      </c>
      <c r="L1252" s="1597">
        <v>45000</v>
      </c>
      <c r="M1252" s="1597">
        <v>-45000</v>
      </c>
      <c r="N1252" s="1598"/>
      <c r="O1252" s="1598"/>
      <c r="P1252" s="1597">
        <v>45000</v>
      </c>
      <c r="Q1252" s="1597">
        <v>-45000</v>
      </c>
      <c r="R1252" s="1598"/>
      <c r="S1252" s="1592"/>
    </row>
    <row r="1253" spans="2:19" s="1593" customFormat="1" ht="11.25" customHeight="1" outlineLevel="1">
      <c r="B1253" s="1594">
        <v>28329</v>
      </c>
      <c r="C1253" s="1595" t="s">
        <v>4032</v>
      </c>
      <c r="D1253" s="1595" t="s">
        <v>13297</v>
      </c>
      <c r="E1253" s="1595"/>
      <c r="F1253" s="1595"/>
      <c r="G1253" s="1595" t="s">
        <v>13296</v>
      </c>
      <c r="H1253" s="1596">
        <v>2</v>
      </c>
      <c r="I1253" s="1595"/>
      <c r="J1253" s="1595"/>
      <c r="K1253" s="1597">
        <v>6051536</v>
      </c>
      <c r="L1253" s="1597">
        <v>4842888</v>
      </c>
      <c r="M1253" s="1598"/>
      <c r="N1253" s="1597">
        <v>4842888</v>
      </c>
      <c r="O1253" s="1597">
        <v>3578893.71</v>
      </c>
      <c r="P1253" s="1597">
        <v>1205879.6100000001</v>
      </c>
      <c r="Q1253" s="1597">
        <v>58114.68</v>
      </c>
      <c r="R1253" s="1597">
        <v>1263994.29</v>
      </c>
      <c r="S1253" s="1592"/>
    </row>
    <row r="1254" spans="2:19" s="1593" customFormat="1" ht="11.25" customHeight="1" outlineLevel="1">
      <c r="B1254" s="1594">
        <v>28330</v>
      </c>
      <c r="C1254" s="1595" t="s">
        <v>4032</v>
      </c>
      <c r="D1254" s="1595" t="s">
        <v>13295</v>
      </c>
      <c r="E1254" s="1595"/>
      <c r="F1254" s="1595"/>
      <c r="G1254" s="1595"/>
      <c r="H1254" s="1596">
        <v>2</v>
      </c>
      <c r="I1254" s="1595"/>
      <c r="J1254" s="1595"/>
      <c r="K1254" s="1597">
        <v>3149</v>
      </c>
      <c r="L1254" s="1597">
        <v>3149</v>
      </c>
      <c r="M1254" s="1597">
        <v>-3149</v>
      </c>
      <c r="N1254" s="1598"/>
      <c r="O1254" s="1598"/>
      <c r="P1254" s="1597">
        <v>1762.8</v>
      </c>
      <c r="Q1254" s="1597">
        <v>-1762.8</v>
      </c>
      <c r="R1254" s="1598"/>
      <c r="S1254" s="1592"/>
    </row>
    <row r="1255" spans="2:19" s="1593" customFormat="1" ht="11.25" customHeight="1" outlineLevel="1">
      <c r="B1255" s="1594">
        <v>28331</v>
      </c>
      <c r="C1255" s="1595" t="s">
        <v>4032</v>
      </c>
      <c r="D1255" s="1595" t="s">
        <v>13294</v>
      </c>
      <c r="E1255" s="1595"/>
      <c r="F1255" s="1595"/>
      <c r="G1255" s="1595" t="s">
        <v>3596</v>
      </c>
      <c r="H1255" s="1596">
        <v>2</v>
      </c>
      <c r="I1255" s="1595"/>
      <c r="J1255" s="1595"/>
      <c r="K1255" s="1597">
        <v>272774</v>
      </c>
      <c r="L1255" s="1597">
        <v>272774</v>
      </c>
      <c r="M1255" s="1598"/>
      <c r="N1255" s="1597">
        <v>272774</v>
      </c>
      <c r="O1255" s="1597">
        <v>22970.76</v>
      </c>
      <c r="P1255" s="1597">
        <v>238317.9</v>
      </c>
      <c r="Q1255" s="1597">
        <v>11485.34</v>
      </c>
      <c r="R1255" s="1597">
        <v>249803.24</v>
      </c>
      <c r="S1255" s="1592"/>
    </row>
    <row r="1256" spans="2:19" s="1593" customFormat="1" ht="11.25" customHeight="1" outlineLevel="1">
      <c r="B1256" s="1594">
        <v>28333</v>
      </c>
      <c r="C1256" s="1595" t="s">
        <v>4032</v>
      </c>
      <c r="D1256" s="1595" t="s">
        <v>13293</v>
      </c>
      <c r="E1256" s="1595"/>
      <c r="F1256" s="1595"/>
      <c r="G1256" s="1595"/>
      <c r="H1256" s="1596">
        <v>2</v>
      </c>
      <c r="I1256" s="1595"/>
      <c r="J1256" s="1595"/>
      <c r="K1256" s="1597">
        <v>2075</v>
      </c>
      <c r="L1256" s="1597">
        <v>2075</v>
      </c>
      <c r="M1256" s="1597">
        <v>-2075</v>
      </c>
      <c r="N1256" s="1598"/>
      <c r="O1256" s="1598"/>
      <c r="P1256" s="1597">
        <v>2075</v>
      </c>
      <c r="Q1256" s="1597">
        <v>-2075</v>
      </c>
      <c r="R1256" s="1598"/>
      <c r="S1256" s="1592"/>
    </row>
    <row r="1257" spans="2:19" s="1593" customFormat="1" ht="11.25" customHeight="1" outlineLevel="1">
      <c r="B1257" s="1594">
        <v>28334</v>
      </c>
      <c r="C1257" s="1595" t="s">
        <v>4032</v>
      </c>
      <c r="D1257" s="1595" t="s">
        <v>13292</v>
      </c>
      <c r="E1257" s="1595"/>
      <c r="F1257" s="1595"/>
      <c r="G1257" s="1595"/>
      <c r="H1257" s="1596">
        <v>2</v>
      </c>
      <c r="I1257" s="1595"/>
      <c r="J1257" s="1595"/>
      <c r="K1257" s="1597">
        <v>119829</v>
      </c>
      <c r="L1257" s="1597">
        <v>119829</v>
      </c>
      <c r="M1257" s="1598"/>
      <c r="N1257" s="1597">
        <v>119829</v>
      </c>
      <c r="O1257" s="1597">
        <v>10091.31</v>
      </c>
      <c r="P1257" s="1597">
        <v>104692.05</v>
      </c>
      <c r="Q1257" s="1597">
        <v>5045.6400000000003</v>
      </c>
      <c r="R1257" s="1597">
        <v>109737.69</v>
      </c>
      <c r="S1257" s="1592"/>
    </row>
    <row r="1258" spans="2:19" s="1593" customFormat="1" ht="11.25" customHeight="1" outlineLevel="1">
      <c r="B1258" s="1594">
        <v>28335</v>
      </c>
      <c r="C1258" s="1595" t="s">
        <v>4032</v>
      </c>
      <c r="D1258" s="1595" t="s">
        <v>13291</v>
      </c>
      <c r="E1258" s="1595"/>
      <c r="F1258" s="1595"/>
      <c r="G1258" s="1595"/>
      <c r="H1258" s="1596">
        <v>2</v>
      </c>
      <c r="I1258" s="1595"/>
      <c r="J1258" s="1595"/>
      <c r="K1258" s="1597">
        <v>6348</v>
      </c>
      <c r="L1258" s="1597">
        <v>6348</v>
      </c>
      <c r="M1258" s="1597">
        <v>-6348</v>
      </c>
      <c r="N1258" s="1598"/>
      <c r="O1258" s="1598"/>
      <c r="P1258" s="1597">
        <v>6348</v>
      </c>
      <c r="Q1258" s="1597">
        <v>-6348</v>
      </c>
      <c r="R1258" s="1598"/>
      <c r="S1258" s="1592"/>
    </row>
    <row r="1259" spans="2:19" s="1593" customFormat="1" ht="11.25" customHeight="1" outlineLevel="1">
      <c r="B1259" s="1594">
        <v>28336</v>
      </c>
      <c r="C1259" s="1595" t="s">
        <v>4032</v>
      </c>
      <c r="D1259" s="1595" t="s">
        <v>13290</v>
      </c>
      <c r="E1259" s="1595"/>
      <c r="F1259" s="1595"/>
      <c r="G1259" s="1595"/>
      <c r="H1259" s="1596">
        <v>2</v>
      </c>
      <c r="I1259" s="1595"/>
      <c r="J1259" s="1595"/>
      <c r="K1259" s="1597">
        <v>3240</v>
      </c>
      <c r="L1259" s="1597">
        <v>3240</v>
      </c>
      <c r="M1259" s="1597">
        <v>-3240</v>
      </c>
      <c r="N1259" s="1598"/>
      <c r="O1259" s="1598"/>
      <c r="P1259" s="1597">
        <v>3240</v>
      </c>
      <c r="Q1259" s="1597">
        <v>-3240</v>
      </c>
      <c r="R1259" s="1598"/>
      <c r="S1259" s="1592"/>
    </row>
    <row r="1260" spans="2:19" s="1593" customFormat="1" ht="11.25" customHeight="1" outlineLevel="1">
      <c r="B1260" s="1594">
        <v>28338</v>
      </c>
      <c r="C1260" s="1595" t="s">
        <v>4032</v>
      </c>
      <c r="D1260" s="1595" t="s">
        <v>13289</v>
      </c>
      <c r="E1260" s="1595"/>
      <c r="F1260" s="1595"/>
      <c r="G1260" s="1595"/>
      <c r="H1260" s="1596">
        <v>2</v>
      </c>
      <c r="I1260" s="1595"/>
      <c r="J1260" s="1595"/>
      <c r="K1260" s="1597">
        <v>2133</v>
      </c>
      <c r="L1260" s="1597">
        <v>2133</v>
      </c>
      <c r="M1260" s="1597">
        <v>-2133</v>
      </c>
      <c r="N1260" s="1598"/>
      <c r="O1260" s="1598"/>
      <c r="P1260" s="1597">
        <v>1969.2</v>
      </c>
      <c r="Q1260" s="1597">
        <v>-1969.2</v>
      </c>
      <c r="R1260" s="1598"/>
      <c r="S1260" s="1592"/>
    </row>
    <row r="1261" spans="2:19" s="1593" customFormat="1" ht="11.25" customHeight="1" outlineLevel="1">
      <c r="B1261" s="1594">
        <v>28339</v>
      </c>
      <c r="C1261" s="1595" t="s">
        <v>4032</v>
      </c>
      <c r="D1261" s="1595" t="s">
        <v>13288</v>
      </c>
      <c r="E1261" s="1595"/>
      <c r="F1261" s="1595"/>
      <c r="G1261" s="1595"/>
      <c r="H1261" s="1596">
        <v>2</v>
      </c>
      <c r="I1261" s="1595"/>
      <c r="J1261" s="1595"/>
      <c r="K1261" s="1597">
        <v>1755</v>
      </c>
      <c r="L1261" s="1597">
        <v>1755</v>
      </c>
      <c r="M1261" s="1597">
        <v>-1755</v>
      </c>
      <c r="N1261" s="1598"/>
      <c r="O1261" s="1598"/>
      <c r="P1261" s="1597">
        <v>1755</v>
      </c>
      <c r="Q1261" s="1597">
        <v>-1755</v>
      </c>
      <c r="R1261" s="1598"/>
      <c r="S1261" s="1592"/>
    </row>
    <row r="1262" spans="2:19" s="1593" customFormat="1" ht="11.25" customHeight="1" outlineLevel="1">
      <c r="B1262" s="1594">
        <v>28340</v>
      </c>
      <c r="C1262" s="1595" t="s">
        <v>4032</v>
      </c>
      <c r="D1262" s="1595" t="s">
        <v>13287</v>
      </c>
      <c r="E1262" s="1595"/>
      <c r="F1262" s="1595"/>
      <c r="G1262" s="1595"/>
      <c r="H1262" s="1596">
        <v>2</v>
      </c>
      <c r="I1262" s="1595"/>
      <c r="J1262" s="1595"/>
      <c r="K1262" s="1597">
        <v>2160</v>
      </c>
      <c r="L1262" s="1597">
        <v>2160</v>
      </c>
      <c r="M1262" s="1597">
        <v>-2160</v>
      </c>
      <c r="N1262" s="1598"/>
      <c r="O1262" s="1598"/>
      <c r="P1262" s="1597">
        <v>2160</v>
      </c>
      <c r="Q1262" s="1597">
        <v>-2160</v>
      </c>
      <c r="R1262" s="1598"/>
      <c r="S1262" s="1592"/>
    </row>
    <row r="1263" spans="2:19" s="1593" customFormat="1" ht="11.25" customHeight="1" outlineLevel="1">
      <c r="B1263" s="1594">
        <v>28341</v>
      </c>
      <c r="C1263" s="1595" t="s">
        <v>4032</v>
      </c>
      <c r="D1263" s="1595" t="s">
        <v>13286</v>
      </c>
      <c r="E1263" s="1595"/>
      <c r="F1263" s="1595"/>
      <c r="G1263" s="1595"/>
      <c r="H1263" s="1596">
        <v>2</v>
      </c>
      <c r="I1263" s="1595"/>
      <c r="J1263" s="1595"/>
      <c r="K1263" s="1599">
        <v>404</v>
      </c>
      <c r="L1263" s="1599">
        <v>403.76</v>
      </c>
      <c r="M1263" s="1599">
        <v>-403.76</v>
      </c>
      <c r="N1263" s="1598"/>
      <c r="O1263" s="1598"/>
      <c r="P1263" s="1599">
        <v>258.08</v>
      </c>
      <c r="Q1263" s="1599">
        <v>-258.08</v>
      </c>
      <c r="R1263" s="1598"/>
      <c r="S1263" s="1592"/>
    </row>
    <row r="1264" spans="2:19" s="1593" customFormat="1" ht="11.25" customHeight="1" outlineLevel="1">
      <c r="B1264" s="1594">
        <v>28342</v>
      </c>
      <c r="C1264" s="1595" t="s">
        <v>4032</v>
      </c>
      <c r="D1264" s="1595" t="s">
        <v>13285</v>
      </c>
      <c r="E1264" s="1595"/>
      <c r="F1264" s="1595"/>
      <c r="G1264" s="1595"/>
      <c r="H1264" s="1596">
        <v>2</v>
      </c>
      <c r="I1264" s="1595"/>
      <c r="J1264" s="1595"/>
      <c r="K1264" s="1597">
        <v>22140</v>
      </c>
      <c r="L1264" s="1597">
        <v>22140</v>
      </c>
      <c r="M1264" s="1597">
        <v>-22140</v>
      </c>
      <c r="N1264" s="1598"/>
      <c r="O1264" s="1598"/>
      <c r="P1264" s="1597">
        <v>20181</v>
      </c>
      <c r="Q1264" s="1597">
        <v>-20181</v>
      </c>
      <c r="R1264" s="1598"/>
      <c r="S1264" s="1592"/>
    </row>
    <row r="1265" spans="2:19" s="1593" customFormat="1" ht="11.25" customHeight="1" outlineLevel="1">
      <c r="B1265" s="1594">
        <v>28343</v>
      </c>
      <c r="C1265" s="1595" t="s">
        <v>4032</v>
      </c>
      <c r="D1265" s="1595" t="s">
        <v>13284</v>
      </c>
      <c r="E1265" s="1595"/>
      <c r="F1265" s="1595"/>
      <c r="G1265" s="1595"/>
      <c r="H1265" s="1596">
        <v>2</v>
      </c>
      <c r="I1265" s="1595"/>
      <c r="J1265" s="1595"/>
      <c r="K1265" s="1597">
        <v>16740</v>
      </c>
      <c r="L1265" s="1597">
        <v>16740</v>
      </c>
      <c r="M1265" s="1597">
        <v>-16740</v>
      </c>
      <c r="N1265" s="1598"/>
      <c r="O1265" s="1598"/>
      <c r="P1265" s="1597">
        <v>15227.4</v>
      </c>
      <c r="Q1265" s="1597">
        <v>-15227.4</v>
      </c>
      <c r="R1265" s="1598"/>
      <c r="S1265" s="1592"/>
    </row>
    <row r="1266" spans="2:19" s="1593" customFormat="1" ht="11.25" customHeight="1" outlineLevel="1">
      <c r="B1266" s="1594">
        <v>28344</v>
      </c>
      <c r="C1266" s="1595" t="s">
        <v>4032</v>
      </c>
      <c r="D1266" s="1595" t="s">
        <v>13283</v>
      </c>
      <c r="E1266" s="1595"/>
      <c r="F1266" s="1595"/>
      <c r="G1266" s="1595"/>
      <c r="H1266" s="1596">
        <v>2</v>
      </c>
      <c r="I1266" s="1595"/>
      <c r="J1266" s="1595"/>
      <c r="K1266" s="1599">
        <v>239</v>
      </c>
      <c r="L1266" s="1599">
        <v>239</v>
      </c>
      <c r="M1266" s="1599">
        <v>-239</v>
      </c>
      <c r="N1266" s="1598"/>
      <c r="O1266" s="1598"/>
      <c r="P1266" s="1599">
        <v>114</v>
      </c>
      <c r="Q1266" s="1599">
        <v>-114</v>
      </c>
      <c r="R1266" s="1598"/>
      <c r="S1266" s="1592"/>
    </row>
    <row r="1267" spans="2:19" s="1593" customFormat="1" ht="11.25" customHeight="1" outlineLevel="1">
      <c r="B1267" s="1594">
        <v>28345</v>
      </c>
      <c r="C1267" s="1595" t="s">
        <v>4032</v>
      </c>
      <c r="D1267" s="1595" t="s">
        <v>13282</v>
      </c>
      <c r="E1267" s="1595"/>
      <c r="F1267" s="1595"/>
      <c r="G1267" s="1595"/>
      <c r="H1267" s="1596">
        <v>2</v>
      </c>
      <c r="I1267" s="1595"/>
      <c r="J1267" s="1595"/>
      <c r="K1267" s="1599">
        <v>8</v>
      </c>
      <c r="L1267" s="1599">
        <v>7.65</v>
      </c>
      <c r="M1267" s="1599">
        <v>-7.65</v>
      </c>
      <c r="N1267" s="1598"/>
      <c r="O1267" s="1598"/>
      <c r="P1267" s="1599">
        <v>7.65</v>
      </c>
      <c r="Q1267" s="1599">
        <v>-7.65</v>
      </c>
      <c r="R1267" s="1598"/>
      <c r="S1267" s="1592"/>
    </row>
    <row r="1268" spans="2:19" s="1593" customFormat="1" ht="11.25" customHeight="1" outlineLevel="1">
      <c r="B1268" s="1594">
        <v>28346</v>
      </c>
      <c r="C1268" s="1595" t="s">
        <v>4032</v>
      </c>
      <c r="D1268" s="1595" t="s">
        <v>13281</v>
      </c>
      <c r="E1268" s="1595"/>
      <c r="F1268" s="1595"/>
      <c r="G1268" s="1595"/>
      <c r="H1268" s="1596">
        <v>2</v>
      </c>
      <c r="I1268" s="1595"/>
      <c r="J1268" s="1595"/>
      <c r="K1268" s="1599">
        <v>5</v>
      </c>
      <c r="L1268" s="1599">
        <v>5</v>
      </c>
      <c r="M1268" s="1599">
        <v>-5</v>
      </c>
      <c r="N1268" s="1598"/>
      <c r="O1268" s="1598"/>
      <c r="P1268" s="1599">
        <v>5</v>
      </c>
      <c r="Q1268" s="1599">
        <v>-5</v>
      </c>
      <c r="R1268" s="1598"/>
      <c r="S1268" s="1592"/>
    </row>
    <row r="1269" spans="2:19" s="1593" customFormat="1" ht="11.25" customHeight="1" outlineLevel="1">
      <c r="B1269" s="1594">
        <v>28347</v>
      </c>
      <c r="C1269" s="1595" t="s">
        <v>4032</v>
      </c>
      <c r="D1269" s="1595" t="s">
        <v>13280</v>
      </c>
      <c r="E1269" s="1595"/>
      <c r="F1269" s="1595"/>
      <c r="G1269" s="1595"/>
      <c r="H1269" s="1596">
        <v>2</v>
      </c>
      <c r="I1269" s="1595"/>
      <c r="J1269" s="1595"/>
      <c r="K1269" s="1599">
        <v>49</v>
      </c>
      <c r="L1269" s="1599">
        <v>49</v>
      </c>
      <c r="M1269" s="1599">
        <v>-49</v>
      </c>
      <c r="N1269" s="1598"/>
      <c r="O1269" s="1598"/>
      <c r="P1269" s="1599">
        <v>49</v>
      </c>
      <c r="Q1269" s="1599">
        <v>-49</v>
      </c>
      <c r="R1269" s="1598"/>
      <c r="S1269" s="1592"/>
    </row>
    <row r="1270" spans="2:19" s="1593" customFormat="1" ht="11.25" customHeight="1" outlineLevel="1">
      <c r="B1270" s="1594">
        <v>28348</v>
      </c>
      <c r="C1270" s="1595" t="s">
        <v>4032</v>
      </c>
      <c r="D1270" s="1595" t="s">
        <v>13279</v>
      </c>
      <c r="E1270" s="1595"/>
      <c r="F1270" s="1595"/>
      <c r="G1270" s="1595"/>
      <c r="H1270" s="1596">
        <v>2</v>
      </c>
      <c r="I1270" s="1595"/>
      <c r="J1270" s="1595"/>
      <c r="K1270" s="1597">
        <v>3508</v>
      </c>
      <c r="L1270" s="1597">
        <v>3508</v>
      </c>
      <c r="M1270" s="1597">
        <v>-3508</v>
      </c>
      <c r="N1270" s="1598"/>
      <c r="O1270" s="1598"/>
      <c r="P1270" s="1597">
        <v>3508</v>
      </c>
      <c r="Q1270" s="1597">
        <v>-3508</v>
      </c>
      <c r="R1270" s="1598"/>
      <c r="S1270" s="1592"/>
    </row>
    <row r="1271" spans="2:19" s="1593" customFormat="1" ht="11.25" customHeight="1" outlineLevel="1">
      <c r="B1271" s="1594">
        <v>28349</v>
      </c>
      <c r="C1271" s="1595" t="s">
        <v>4032</v>
      </c>
      <c r="D1271" s="1595" t="s">
        <v>13278</v>
      </c>
      <c r="E1271" s="1595"/>
      <c r="F1271" s="1595"/>
      <c r="G1271" s="1595" t="s">
        <v>3734</v>
      </c>
      <c r="H1271" s="1596">
        <v>2</v>
      </c>
      <c r="I1271" s="1595"/>
      <c r="J1271" s="1595"/>
      <c r="K1271" s="1597">
        <v>24748</v>
      </c>
      <c r="L1271" s="1597">
        <v>24748</v>
      </c>
      <c r="M1271" s="1598"/>
      <c r="N1271" s="1597">
        <v>24748</v>
      </c>
      <c r="O1271" s="1597">
        <v>8599.93</v>
      </c>
      <c r="P1271" s="1597">
        <v>15405.63</v>
      </c>
      <c r="Q1271" s="1599">
        <v>742.44</v>
      </c>
      <c r="R1271" s="1597">
        <v>16148.07</v>
      </c>
      <c r="S1271" s="1592"/>
    </row>
    <row r="1272" spans="2:19" s="1593" customFormat="1" ht="11.25" customHeight="1" outlineLevel="1">
      <c r="B1272" s="1594">
        <v>28350</v>
      </c>
      <c r="C1272" s="1595" t="s">
        <v>4032</v>
      </c>
      <c r="D1272" s="1595" t="s">
        <v>13277</v>
      </c>
      <c r="E1272" s="1595"/>
      <c r="F1272" s="1595"/>
      <c r="G1272" s="1595" t="s">
        <v>13276</v>
      </c>
      <c r="H1272" s="1596">
        <v>2</v>
      </c>
      <c r="I1272" s="1595"/>
      <c r="J1272" s="1595"/>
      <c r="K1272" s="1597">
        <v>819037</v>
      </c>
      <c r="L1272" s="1597">
        <v>1374430.76</v>
      </c>
      <c r="M1272" s="1598"/>
      <c r="N1272" s="1597">
        <v>1374430.76</v>
      </c>
      <c r="O1272" s="1597">
        <v>778415.62</v>
      </c>
      <c r="P1272" s="1597">
        <v>558947.74</v>
      </c>
      <c r="Q1272" s="1597">
        <v>37067.4</v>
      </c>
      <c r="R1272" s="1597">
        <v>596015.14</v>
      </c>
      <c r="S1272" s="1592"/>
    </row>
    <row r="1273" spans="2:19" s="1593" customFormat="1" ht="11.25" customHeight="1" outlineLevel="1">
      <c r="B1273" s="1594">
        <v>28351</v>
      </c>
      <c r="C1273" s="1595" t="s">
        <v>4032</v>
      </c>
      <c r="D1273" s="1595" t="s">
        <v>13275</v>
      </c>
      <c r="E1273" s="1595"/>
      <c r="F1273" s="1595"/>
      <c r="G1273" s="1595"/>
      <c r="H1273" s="1596">
        <v>2</v>
      </c>
      <c r="I1273" s="1595"/>
      <c r="J1273" s="1595"/>
      <c r="K1273" s="1597">
        <v>4047</v>
      </c>
      <c r="L1273" s="1597">
        <v>4046.5</v>
      </c>
      <c r="M1273" s="1597">
        <v>-4046.5</v>
      </c>
      <c r="N1273" s="1598"/>
      <c r="O1273" s="1598"/>
      <c r="P1273" s="1597">
        <v>4046.5</v>
      </c>
      <c r="Q1273" s="1597">
        <v>-4046.5</v>
      </c>
      <c r="R1273" s="1598"/>
      <c r="S1273" s="1592"/>
    </row>
    <row r="1274" spans="2:19" s="1593" customFormat="1" ht="11.25" customHeight="1" outlineLevel="1">
      <c r="B1274" s="1594">
        <v>28353</v>
      </c>
      <c r="C1274" s="1595" t="s">
        <v>4032</v>
      </c>
      <c r="D1274" s="1595" t="s">
        <v>13274</v>
      </c>
      <c r="E1274" s="1595"/>
      <c r="F1274" s="1595"/>
      <c r="G1274" s="1595"/>
      <c r="H1274" s="1596">
        <v>2</v>
      </c>
      <c r="I1274" s="1595"/>
      <c r="J1274" s="1595"/>
      <c r="K1274" s="1597">
        <v>6671</v>
      </c>
      <c r="L1274" s="1597">
        <v>6671</v>
      </c>
      <c r="M1274" s="1597">
        <v>-6671</v>
      </c>
      <c r="N1274" s="1598"/>
      <c r="O1274" s="1598"/>
      <c r="P1274" s="1597">
        <v>6671</v>
      </c>
      <c r="Q1274" s="1597">
        <v>-6671</v>
      </c>
      <c r="R1274" s="1598"/>
      <c r="S1274" s="1592"/>
    </row>
    <row r="1275" spans="2:19" s="1593" customFormat="1" ht="11.25" customHeight="1" outlineLevel="1">
      <c r="B1275" s="1594">
        <v>28354</v>
      </c>
      <c r="C1275" s="1595" t="s">
        <v>4032</v>
      </c>
      <c r="D1275" s="1595" t="s">
        <v>13273</v>
      </c>
      <c r="E1275" s="1595"/>
      <c r="F1275" s="1595"/>
      <c r="G1275" s="1595"/>
      <c r="H1275" s="1596">
        <v>2</v>
      </c>
      <c r="I1275" s="1595"/>
      <c r="J1275" s="1595"/>
      <c r="K1275" s="1597">
        <v>1832</v>
      </c>
      <c r="L1275" s="1597">
        <v>1832</v>
      </c>
      <c r="M1275" s="1597">
        <v>-1832</v>
      </c>
      <c r="N1275" s="1598"/>
      <c r="O1275" s="1598"/>
      <c r="P1275" s="1597">
        <v>1832</v>
      </c>
      <c r="Q1275" s="1597">
        <v>-1832</v>
      </c>
      <c r="R1275" s="1598"/>
      <c r="S1275" s="1592"/>
    </row>
    <row r="1276" spans="2:19" s="1593" customFormat="1" ht="11.25" customHeight="1" outlineLevel="1">
      <c r="B1276" s="1594">
        <v>28356</v>
      </c>
      <c r="C1276" s="1595" t="s">
        <v>4032</v>
      </c>
      <c r="D1276" s="1595" t="s">
        <v>13272</v>
      </c>
      <c r="E1276" s="1595"/>
      <c r="F1276" s="1595"/>
      <c r="G1276" s="1595"/>
      <c r="H1276" s="1596">
        <v>2</v>
      </c>
      <c r="I1276" s="1595"/>
      <c r="J1276" s="1595"/>
      <c r="K1276" s="1597">
        <v>13914</v>
      </c>
      <c r="L1276" s="1597">
        <v>13914</v>
      </c>
      <c r="M1276" s="1597">
        <v>-13914</v>
      </c>
      <c r="N1276" s="1598"/>
      <c r="O1276" s="1598"/>
      <c r="P1276" s="1597">
        <v>13914</v>
      </c>
      <c r="Q1276" s="1597">
        <v>-13914</v>
      </c>
      <c r="R1276" s="1598"/>
      <c r="S1276" s="1592"/>
    </row>
    <row r="1277" spans="2:19" s="1593" customFormat="1" ht="11.25" customHeight="1" outlineLevel="1">
      <c r="B1277" s="1594">
        <v>28357</v>
      </c>
      <c r="C1277" s="1595" t="s">
        <v>4032</v>
      </c>
      <c r="D1277" s="1595" t="s">
        <v>13271</v>
      </c>
      <c r="E1277" s="1595"/>
      <c r="F1277" s="1595"/>
      <c r="G1277" s="1595"/>
      <c r="H1277" s="1596">
        <v>2</v>
      </c>
      <c r="I1277" s="1595"/>
      <c r="J1277" s="1595"/>
      <c r="K1277" s="1597">
        <v>27818</v>
      </c>
      <c r="L1277" s="1597">
        <v>27818</v>
      </c>
      <c r="M1277" s="1597">
        <v>-27818</v>
      </c>
      <c r="N1277" s="1598"/>
      <c r="O1277" s="1598"/>
      <c r="P1277" s="1597">
        <v>27818</v>
      </c>
      <c r="Q1277" s="1597">
        <v>-27818</v>
      </c>
      <c r="R1277" s="1598"/>
      <c r="S1277" s="1592"/>
    </row>
    <row r="1278" spans="2:19" s="1593" customFormat="1" ht="11.25" customHeight="1" outlineLevel="1">
      <c r="B1278" s="1594">
        <v>34780</v>
      </c>
      <c r="C1278" s="1595" t="s">
        <v>4032</v>
      </c>
      <c r="D1278" s="1595" t="s">
        <v>13270</v>
      </c>
      <c r="E1278" s="1595"/>
      <c r="F1278" s="1595"/>
      <c r="G1278" s="1595"/>
      <c r="H1278" s="1596">
        <v>2</v>
      </c>
      <c r="I1278" s="1595"/>
      <c r="J1278" s="1595"/>
      <c r="K1278" s="1597">
        <v>1755</v>
      </c>
      <c r="L1278" s="1597">
        <v>1755</v>
      </c>
      <c r="M1278" s="1597">
        <v>-1755</v>
      </c>
      <c r="N1278" s="1598"/>
      <c r="O1278" s="1598"/>
      <c r="P1278" s="1597">
        <v>1755</v>
      </c>
      <c r="Q1278" s="1597">
        <v>-1755</v>
      </c>
      <c r="R1278" s="1598"/>
      <c r="S1278" s="1592"/>
    </row>
    <row r="1279" spans="2:19" s="1593" customFormat="1" ht="11.25" customHeight="1" outlineLevel="1">
      <c r="B1279" s="1594">
        <v>34852</v>
      </c>
      <c r="C1279" s="1595" t="s">
        <v>4032</v>
      </c>
      <c r="D1279" s="1595" t="s">
        <v>13269</v>
      </c>
      <c r="E1279" s="1595"/>
      <c r="F1279" s="1595"/>
      <c r="G1279" s="1595"/>
      <c r="H1279" s="1596">
        <v>2</v>
      </c>
      <c r="I1279" s="1595"/>
      <c r="J1279" s="1595"/>
      <c r="K1279" s="1597">
        <v>119829</v>
      </c>
      <c r="L1279" s="1597">
        <v>119829</v>
      </c>
      <c r="M1279" s="1598"/>
      <c r="N1279" s="1597">
        <v>119829</v>
      </c>
      <c r="O1279" s="1597">
        <v>10091.31</v>
      </c>
      <c r="P1279" s="1597">
        <v>104692.05</v>
      </c>
      <c r="Q1279" s="1597">
        <v>5045.6400000000003</v>
      </c>
      <c r="R1279" s="1597">
        <v>109737.69</v>
      </c>
      <c r="S1279" s="1592"/>
    </row>
    <row r="1280" spans="2:19" s="1593" customFormat="1" ht="11.25" customHeight="1" outlineLevel="1">
      <c r="B1280" s="1594">
        <v>35221</v>
      </c>
      <c r="C1280" s="1595" t="s">
        <v>4032</v>
      </c>
      <c r="D1280" s="1595" t="s">
        <v>13268</v>
      </c>
      <c r="E1280" s="1595"/>
      <c r="F1280" s="1595"/>
      <c r="G1280" s="1595"/>
      <c r="H1280" s="1596">
        <v>2</v>
      </c>
      <c r="I1280" s="1595"/>
      <c r="J1280" s="1595"/>
      <c r="K1280" s="1597">
        <v>4047</v>
      </c>
      <c r="L1280" s="1597">
        <v>4046.5</v>
      </c>
      <c r="M1280" s="1597">
        <v>-4046.5</v>
      </c>
      <c r="N1280" s="1598"/>
      <c r="O1280" s="1598"/>
      <c r="P1280" s="1597">
        <v>4046.5</v>
      </c>
      <c r="Q1280" s="1597">
        <v>-4046.5</v>
      </c>
      <c r="R1280" s="1598"/>
      <c r="S1280" s="1592"/>
    </row>
    <row r="1281" spans="2:19" s="1593" customFormat="1" ht="11.25" customHeight="1" outlineLevel="1">
      <c r="B1281" s="1594">
        <v>35457</v>
      </c>
      <c r="C1281" s="1595" t="s">
        <v>4032</v>
      </c>
      <c r="D1281" s="1595" t="s">
        <v>13267</v>
      </c>
      <c r="E1281" s="1595"/>
      <c r="F1281" s="1595"/>
      <c r="G1281" s="1595"/>
      <c r="H1281" s="1596">
        <v>2</v>
      </c>
      <c r="I1281" s="1595"/>
      <c r="J1281" s="1595"/>
      <c r="K1281" s="1599">
        <v>8</v>
      </c>
      <c r="L1281" s="1599">
        <v>7.67</v>
      </c>
      <c r="M1281" s="1599">
        <v>-7.67</v>
      </c>
      <c r="N1281" s="1598"/>
      <c r="O1281" s="1598"/>
      <c r="P1281" s="1599">
        <v>7.67</v>
      </c>
      <c r="Q1281" s="1599">
        <v>-7.67</v>
      </c>
      <c r="R1281" s="1598"/>
      <c r="S1281" s="1592"/>
    </row>
    <row r="1282" spans="2:19" s="1593" customFormat="1" ht="11.25" customHeight="1" outlineLevel="1">
      <c r="B1282" s="1594">
        <v>35458</v>
      </c>
      <c r="C1282" s="1595" t="s">
        <v>4032</v>
      </c>
      <c r="D1282" s="1595" t="s">
        <v>13266</v>
      </c>
      <c r="E1282" s="1595"/>
      <c r="F1282" s="1595"/>
      <c r="G1282" s="1595"/>
      <c r="H1282" s="1596">
        <v>2</v>
      </c>
      <c r="I1282" s="1595"/>
      <c r="J1282" s="1595"/>
      <c r="K1282" s="1599">
        <v>8</v>
      </c>
      <c r="L1282" s="1599">
        <v>7.67</v>
      </c>
      <c r="M1282" s="1599">
        <v>-7.67</v>
      </c>
      <c r="N1282" s="1598"/>
      <c r="O1282" s="1598"/>
      <c r="P1282" s="1599">
        <v>7.67</v>
      </c>
      <c r="Q1282" s="1599">
        <v>-7.67</v>
      </c>
      <c r="R1282" s="1598"/>
      <c r="S1282" s="1592"/>
    </row>
    <row r="1283" spans="2:19" s="1593" customFormat="1" ht="11.25" customHeight="1" outlineLevel="1">
      <c r="B1283" s="1594">
        <v>35459</v>
      </c>
      <c r="C1283" s="1595" t="s">
        <v>4032</v>
      </c>
      <c r="D1283" s="1595" t="s">
        <v>13265</v>
      </c>
      <c r="E1283" s="1595"/>
      <c r="F1283" s="1595"/>
      <c r="G1283" s="1595"/>
      <c r="H1283" s="1596">
        <v>2</v>
      </c>
      <c r="I1283" s="1595"/>
      <c r="J1283" s="1595"/>
      <c r="K1283" s="1599">
        <v>8</v>
      </c>
      <c r="L1283" s="1599">
        <v>7.67</v>
      </c>
      <c r="M1283" s="1599">
        <v>-7.67</v>
      </c>
      <c r="N1283" s="1598"/>
      <c r="O1283" s="1598"/>
      <c r="P1283" s="1599">
        <v>7.67</v>
      </c>
      <c r="Q1283" s="1599">
        <v>-7.67</v>
      </c>
      <c r="R1283" s="1598"/>
      <c r="S1283" s="1592"/>
    </row>
    <row r="1284" spans="2:19" s="1593" customFormat="1" ht="11.25" customHeight="1" outlineLevel="1">
      <c r="B1284" s="1594">
        <v>35460</v>
      </c>
      <c r="C1284" s="1595" t="s">
        <v>4032</v>
      </c>
      <c r="D1284" s="1595" t="s">
        <v>13264</v>
      </c>
      <c r="E1284" s="1595"/>
      <c r="F1284" s="1595"/>
      <c r="G1284" s="1595"/>
      <c r="H1284" s="1596">
        <v>2</v>
      </c>
      <c r="I1284" s="1595"/>
      <c r="J1284" s="1595"/>
      <c r="K1284" s="1599">
        <v>8</v>
      </c>
      <c r="L1284" s="1599">
        <v>7.67</v>
      </c>
      <c r="M1284" s="1599">
        <v>-7.67</v>
      </c>
      <c r="N1284" s="1598"/>
      <c r="O1284" s="1598"/>
      <c r="P1284" s="1599">
        <v>7.67</v>
      </c>
      <c r="Q1284" s="1599">
        <v>-7.67</v>
      </c>
      <c r="R1284" s="1598"/>
      <c r="S1284" s="1592"/>
    </row>
    <row r="1285" spans="2:19" s="1593" customFormat="1" ht="11.25" customHeight="1" outlineLevel="1">
      <c r="B1285" s="1594">
        <v>35461</v>
      </c>
      <c r="C1285" s="1595" t="s">
        <v>4032</v>
      </c>
      <c r="D1285" s="1595" t="s">
        <v>13263</v>
      </c>
      <c r="E1285" s="1595"/>
      <c r="F1285" s="1595"/>
      <c r="G1285" s="1595"/>
      <c r="H1285" s="1596">
        <v>2</v>
      </c>
      <c r="I1285" s="1595"/>
      <c r="J1285" s="1595"/>
      <c r="K1285" s="1599">
        <v>8</v>
      </c>
      <c r="L1285" s="1599">
        <v>7.67</v>
      </c>
      <c r="M1285" s="1599">
        <v>-7.67</v>
      </c>
      <c r="N1285" s="1598"/>
      <c r="O1285" s="1598"/>
      <c r="P1285" s="1599">
        <v>7.67</v>
      </c>
      <c r="Q1285" s="1599">
        <v>-7.67</v>
      </c>
      <c r="R1285" s="1598"/>
      <c r="S1285" s="1592"/>
    </row>
    <row r="1286" spans="2:19" s="1593" customFormat="1" ht="11.25" customHeight="1" outlineLevel="1">
      <c r="B1286" s="1594">
        <v>35498</v>
      </c>
      <c r="C1286" s="1595" t="s">
        <v>4032</v>
      </c>
      <c r="D1286" s="1595" t="s">
        <v>13262</v>
      </c>
      <c r="E1286" s="1595"/>
      <c r="F1286" s="1595"/>
      <c r="G1286" s="1595"/>
      <c r="H1286" s="1596">
        <v>2</v>
      </c>
      <c r="I1286" s="1595"/>
      <c r="J1286" s="1595"/>
      <c r="K1286" s="1597">
        <v>6348</v>
      </c>
      <c r="L1286" s="1597">
        <v>6348</v>
      </c>
      <c r="M1286" s="1597">
        <v>-6348</v>
      </c>
      <c r="N1286" s="1598"/>
      <c r="O1286" s="1598"/>
      <c r="P1286" s="1597">
        <v>6348</v>
      </c>
      <c r="Q1286" s="1597">
        <v>-6348</v>
      </c>
      <c r="R1286" s="1598"/>
      <c r="S1286" s="1592"/>
    </row>
    <row r="1287" spans="2:19" s="1593" customFormat="1" ht="11.25" customHeight="1" outlineLevel="1">
      <c r="B1287" s="1594">
        <v>35499</v>
      </c>
      <c r="C1287" s="1595" t="s">
        <v>4032</v>
      </c>
      <c r="D1287" s="1595" t="s">
        <v>13261</v>
      </c>
      <c r="E1287" s="1595"/>
      <c r="F1287" s="1595"/>
      <c r="G1287" s="1595"/>
      <c r="H1287" s="1596">
        <v>2</v>
      </c>
      <c r="I1287" s="1595"/>
      <c r="J1287" s="1595"/>
      <c r="K1287" s="1597">
        <v>6348</v>
      </c>
      <c r="L1287" s="1597">
        <v>6348</v>
      </c>
      <c r="M1287" s="1597">
        <v>-6348</v>
      </c>
      <c r="N1287" s="1598"/>
      <c r="O1287" s="1598"/>
      <c r="P1287" s="1597">
        <v>6348</v>
      </c>
      <c r="Q1287" s="1597">
        <v>-6348</v>
      </c>
      <c r="R1287" s="1598"/>
      <c r="S1287" s="1592"/>
    </row>
    <row r="1288" spans="2:19" s="1593" customFormat="1" ht="11.25" customHeight="1" outlineLevel="1">
      <c r="B1288" s="1594">
        <v>35500</v>
      </c>
      <c r="C1288" s="1595" t="s">
        <v>4032</v>
      </c>
      <c r="D1288" s="1595" t="s">
        <v>13260</v>
      </c>
      <c r="E1288" s="1595"/>
      <c r="F1288" s="1595"/>
      <c r="G1288" s="1595"/>
      <c r="H1288" s="1596">
        <v>2</v>
      </c>
      <c r="I1288" s="1595"/>
      <c r="J1288" s="1595"/>
      <c r="K1288" s="1597">
        <v>6348</v>
      </c>
      <c r="L1288" s="1597">
        <v>6348</v>
      </c>
      <c r="M1288" s="1597">
        <v>-6348</v>
      </c>
      <c r="N1288" s="1598"/>
      <c r="O1288" s="1598"/>
      <c r="P1288" s="1597">
        <v>6348</v>
      </c>
      <c r="Q1288" s="1597">
        <v>-6348</v>
      </c>
      <c r="R1288" s="1598"/>
      <c r="S1288" s="1592"/>
    </row>
    <row r="1289" spans="2:19" s="1593" customFormat="1" ht="11.25" customHeight="1" outlineLevel="1">
      <c r="B1289" s="1594">
        <v>35501</v>
      </c>
      <c r="C1289" s="1595" t="s">
        <v>4032</v>
      </c>
      <c r="D1289" s="1595" t="s">
        <v>13259</v>
      </c>
      <c r="E1289" s="1595"/>
      <c r="F1289" s="1595"/>
      <c r="G1289" s="1595"/>
      <c r="H1289" s="1596">
        <v>2</v>
      </c>
      <c r="I1289" s="1595"/>
      <c r="J1289" s="1595"/>
      <c r="K1289" s="1597">
        <v>6348</v>
      </c>
      <c r="L1289" s="1597">
        <v>6348</v>
      </c>
      <c r="M1289" s="1597">
        <v>-6348</v>
      </c>
      <c r="N1289" s="1598"/>
      <c r="O1289" s="1598"/>
      <c r="P1289" s="1597">
        <v>6348</v>
      </c>
      <c r="Q1289" s="1597">
        <v>-6348</v>
      </c>
      <c r="R1289" s="1598"/>
      <c r="S1289" s="1592"/>
    </row>
    <row r="1290" spans="2:19" s="1593" customFormat="1" ht="11.25" customHeight="1" outlineLevel="1">
      <c r="B1290" s="1594">
        <v>36631</v>
      </c>
      <c r="C1290" s="1595" t="s">
        <v>4032</v>
      </c>
      <c r="D1290" s="1595" t="s">
        <v>13258</v>
      </c>
      <c r="E1290" s="1595"/>
      <c r="F1290" s="1595"/>
      <c r="G1290" s="1595"/>
      <c r="H1290" s="1596">
        <v>2</v>
      </c>
      <c r="I1290" s="1595"/>
      <c r="J1290" s="1595"/>
      <c r="K1290" s="1597">
        <v>13914</v>
      </c>
      <c r="L1290" s="1597">
        <v>13914</v>
      </c>
      <c r="M1290" s="1597">
        <v>-13914</v>
      </c>
      <c r="N1290" s="1598"/>
      <c r="O1290" s="1598"/>
      <c r="P1290" s="1597">
        <v>13914</v>
      </c>
      <c r="Q1290" s="1597">
        <v>-13914</v>
      </c>
      <c r="R1290" s="1598"/>
      <c r="S1290" s="1592"/>
    </row>
    <row r="1291" spans="2:19" s="1593" customFormat="1" ht="11.25" customHeight="1" outlineLevel="1">
      <c r="B1291" s="1594">
        <v>37106</v>
      </c>
      <c r="C1291" s="1595" t="s">
        <v>4032</v>
      </c>
      <c r="D1291" s="1595" t="s">
        <v>13257</v>
      </c>
      <c r="E1291" s="1595"/>
      <c r="F1291" s="1595"/>
      <c r="G1291" s="1595"/>
      <c r="H1291" s="1596">
        <v>2</v>
      </c>
      <c r="I1291" s="1595"/>
      <c r="J1291" s="1595"/>
      <c r="K1291" s="1599">
        <v>404</v>
      </c>
      <c r="L1291" s="1599">
        <v>403.77</v>
      </c>
      <c r="M1291" s="1599">
        <v>-403.77</v>
      </c>
      <c r="N1291" s="1598"/>
      <c r="O1291" s="1598"/>
      <c r="P1291" s="1599">
        <v>308.06</v>
      </c>
      <c r="Q1291" s="1599">
        <v>-308.06</v>
      </c>
      <c r="R1291" s="1598"/>
      <c r="S1291" s="1592"/>
    </row>
    <row r="1292" spans="2:19" s="1593" customFormat="1" ht="11.25" customHeight="1" outlineLevel="1">
      <c r="B1292" s="1594">
        <v>37107</v>
      </c>
      <c r="C1292" s="1595" t="s">
        <v>4032</v>
      </c>
      <c r="D1292" s="1595" t="s">
        <v>13256</v>
      </c>
      <c r="E1292" s="1595"/>
      <c r="F1292" s="1595"/>
      <c r="G1292" s="1595"/>
      <c r="H1292" s="1596">
        <v>2</v>
      </c>
      <c r="I1292" s="1595"/>
      <c r="J1292" s="1595"/>
      <c r="K1292" s="1599">
        <v>404</v>
      </c>
      <c r="L1292" s="1599">
        <v>403.77</v>
      </c>
      <c r="M1292" s="1599">
        <v>-403.77</v>
      </c>
      <c r="N1292" s="1598"/>
      <c r="O1292" s="1598"/>
      <c r="P1292" s="1599">
        <v>308.06</v>
      </c>
      <c r="Q1292" s="1599">
        <v>-308.06</v>
      </c>
      <c r="R1292" s="1598"/>
      <c r="S1292" s="1592"/>
    </row>
    <row r="1293" spans="2:19" s="1593" customFormat="1" ht="11.25" customHeight="1" outlineLevel="1">
      <c r="B1293" s="1594">
        <v>37108</v>
      </c>
      <c r="C1293" s="1595" t="s">
        <v>4032</v>
      </c>
      <c r="D1293" s="1595" t="s">
        <v>13255</v>
      </c>
      <c r="E1293" s="1595"/>
      <c r="F1293" s="1595"/>
      <c r="G1293" s="1595"/>
      <c r="H1293" s="1596">
        <v>2</v>
      </c>
      <c r="I1293" s="1595"/>
      <c r="J1293" s="1595"/>
      <c r="K1293" s="1599">
        <v>404</v>
      </c>
      <c r="L1293" s="1599">
        <v>403.77</v>
      </c>
      <c r="M1293" s="1599">
        <v>-403.77</v>
      </c>
      <c r="N1293" s="1598"/>
      <c r="O1293" s="1598"/>
      <c r="P1293" s="1599">
        <v>308.06</v>
      </c>
      <c r="Q1293" s="1599">
        <v>-308.06</v>
      </c>
      <c r="R1293" s="1598"/>
      <c r="S1293" s="1592"/>
    </row>
    <row r="1294" spans="2:19" s="1593" customFormat="1" ht="11.25" customHeight="1" outlineLevel="1">
      <c r="B1294" s="1594">
        <v>37109</v>
      </c>
      <c r="C1294" s="1595" t="s">
        <v>4032</v>
      </c>
      <c r="D1294" s="1595" t="s">
        <v>13254</v>
      </c>
      <c r="E1294" s="1595"/>
      <c r="F1294" s="1595"/>
      <c r="G1294" s="1595"/>
      <c r="H1294" s="1596">
        <v>2</v>
      </c>
      <c r="I1294" s="1595"/>
      <c r="J1294" s="1595"/>
      <c r="K1294" s="1599">
        <v>404</v>
      </c>
      <c r="L1294" s="1599">
        <v>403.77</v>
      </c>
      <c r="M1294" s="1599">
        <v>-403.77</v>
      </c>
      <c r="N1294" s="1598"/>
      <c r="O1294" s="1598"/>
      <c r="P1294" s="1599">
        <v>308.06</v>
      </c>
      <c r="Q1294" s="1599">
        <v>-308.06</v>
      </c>
      <c r="R1294" s="1598"/>
      <c r="S1294" s="1592"/>
    </row>
    <row r="1295" spans="2:19" s="1593" customFormat="1" ht="11.25" customHeight="1" outlineLevel="1">
      <c r="B1295" s="1594">
        <v>37110</v>
      </c>
      <c r="C1295" s="1595" t="s">
        <v>4032</v>
      </c>
      <c r="D1295" s="1595" t="s">
        <v>13253</v>
      </c>
      <c r="E1295" s="1595"/>
      <c r="F1295" s="1595"/>
      <c r="G1295" s="1595"/>
      <c r="H1295" s="1596">
        <v>2</v>
      </c>
      <c r="I1295" s="1595"/>
      <c r="J1295" s="1595"/>
      <c r="K1295" s="1599">
        <v>404</v>
      </c>
      <c r="L1295" s="1599">
        <v>403.77</v>
      </c>
      <c r="M1295" s="1599">
        <v>-403.77</v>
      </c>
      <c r="N1295" s="1598"/>
      <c r="O1295" s="1598"/>
      <c r="P1295" s="1599">
        <v>308.06</v>
      </c>
      <c r="Q1295" s="1599">
        <v>-308.06</v>
      </c>
      <c r="R1295" s="1598"/>
      <c r="S1295" s="1592"/>
    </row>
    <row r="1296" spans="2:19" s="1593" customFormat="1" ht="11.25" customHeight="1" outlineLevel="1">
      <c r="B1296" s="1594">
        <v>37111</v>
      </c>
      <c r="C1296" s="1595" t="s">
        <v>4032</v>
      </c>
      <c r="D1296" s="1595" t="s">
        <v>13252</v>
      </c>
      <c r="E1296" s="1595"/>
      <c r="F1296" s="1595"/>
      <c r="G1296" s="1595"/>
      <c r="H1296" s="1596">
        <v>2</v>
      </c>
      <c r="I1296" s="1595"/>
      <c r="J1296" s="1595"/>
      <c r="K1296" s="1599">
        <v>404</v>
      </c>
      <c r="L1296" s="1599">
        <v>403.77</v>
      </c>
      <c r="M1296" s="1599">
        <v>-403.77</v>
      </c>
      <c r="N1296" s="1598"/>
      <c r="O1296" s="1598"/>
      <c r="P1296" s="1599">
        <v>308.06</v>
      </c>
      <c r="Q1296" s="1599">
        <v>-308.06</v>
      </c>
      <c r="R1296" s="1598"/>
      <c r="S1296" s="1592"/>
    </row>
    <row r="1297" spans="2:19" s="1593" customFormat="1" ht="11.25" customHeight="1" outlineLevel="1">
      <c r="B1297" s="1594">
        <v>37112</v>
      </c>
      <c r="C1297" s="1595" t="s">
        <v>4032</v>
      </c>
      <c r="D1297" s="1595" t="s">
        <v>13251</v>
      </c>
      <c r="E1297" s="1595"/>
      <c r="F1297" s="1595"/>
      <c r="G1297" s="1595"/>
      <c r="H1297" s="1596">
        <v>2</v>
      </c>
      <c r="I1297" s="1595"/>
      <c r="J1297" s="1595"/>
      <c r="K1297" s="1599">
        <v>404</v>
      </c>
      <c r="L1297" s="1599">
        <v>403.77</v>
      </c>
      <c r="M1297" s="1599">
        <v>-403.77</v>
      </c>
      <c r="N1297" s="1598"/>
      <c r="O1297" s="1598"/>
      <c r="P1297" s="1599">
        <v>308.06</v>
      </c>
      <c r="Q1297" s="1599">
        <v>-308.06</v>
      </c>
      <c r="R1297" s="1598"/>
      <c r="S1297" s="1592"/>
    </row>
    <row r="1298" spans="2:19" s="1593" customFormat="1" ht="11.25" customHeight="1" outlineLevel="1">
      <c r="B1298" s="1594">
        <v>37113</v>
      </c>
      <c r="C1298" s="1595" t="s">
        <v>4032</v>
      </c>
      <c r="D1298" s="1595" t="s">
        <v>13250</v>
      </c>
      <c r="E1298" s="1595"/>
      <c r="F1298" s="1595"/>
      <c r="G1298" s="1595"/>
      <c r="H1298" s="1596">
        <v>2</v>
      </c>
      <c r="I1298" s="1595"/>
      <c r="J1298" s="1595"/>
      <c r="K1298" s="1599">
        <v>404</v>
      </c>
      <c r="L1298" s="1599">
        <v>403.77</v>
      </c>
      <c r="M1298" s="1599">
        <v>-403.77</v>
      </c>
      <c r="N1298" s="1598"/>
      <c r="O1298" s="1598"/>
      <c r="P1298" s="1599">
        <v>308.06</v>
      </c>
      <c r="Q1298" s="1599">
        <v>-308.06</v>
      </c>
      <c r="R1298" s="1598"/>
      <c r="S1298" s="1592"/>
    </row>
    <row r="1299" spans="2:19" s="1593" customFormat="1" ht="11.25" customHeight="1" outlineLevel="1">
      <c r="B1299" s="1594">
        <v>37114</v>
      </c>
      <c r="C1299" s="1595" t="s">
        <v>4032</v>
      </c>
      <c r="D1299" s="1595" t="s">
        <v>13249</v>
      </c>
      <c r="E1299" s="1595"/>
      <c r="F1299" s="1595"/>
      <c r="G1299" s="1595"/>
      <c r="H1299" s="1596">
        <v>2</v>
      </c>
      <c r="I1299" s="1595"/>
      <c r="J1299" s="1595"/>
      <c r="K1299" s="1599">
        <v>404</v>
      </c>
      <c r="L1299" s="1599">
        <v>403.77</v>
      </c>
      <c r="M1299" s="1599">
        <v>-403.77</v>
      </c>
      <c r="N1299" s="1598"/>
      <c r="O1299" s="1598"/>
      <c r="P1299" s="1599">
        <v>308.06</v>
      </c>
      <c r="Q1299" s="1599">
        <v>-308.06</v>
      </c>
      <c r="R1299" s="1598"/>
      <c r="S1299" s="1592"/>
    </row>
    <row r="1300" spans="2:19" s="1593" customFormat="1" ht="11.25" customHeight="1" outlineLevel="1">
      <c r="B1300" s="1594">
        <v>37115</v>
      </c>
      <c r="C1300" s="1595" t="s">
        <v>4032</v>
      </c>
      <c r="D1300" s="1595" t="s">
        <v>13248</v>
      </c>
      <c r="E1300" s="1595"/>
      <c r="F1300" s="1595"/>
      <c r="G1300" s="1595"/>
      <c r="H1300" s="1596">
        <v>2</v>
      </c>
      <c r="I1300" s="1595"/>
      <c r="J1300" s="1595"/>
      <c r="K1300" s="1599">
        <v>404</v>
      </c>
      <c r="L1300" s="1599">
        <v>403.77</v>
      </c>
      <c r="M1300" s="1599">
        <v>-403.77</v>
      </c>
      <c r="N1300" s="1598"/>
      <c r="O1300" s="1598"/>
      <c r="P1300" s="1599">
        <v>308.06</v>
      </c>
      <c r="Q1300" s="1599">
        <v>-308.06</v>
      </c>
      <c r="R1300" s="1598"/>
      <c r="S1300" s="1592"/>
    </row>
    <row r="1301" spans="2:19" s="1593" customFormat="1" ht="11.25" customHeight="1" outlineLevel="1">
      <c r="B1301" s="1594">
        <v>37116</v>
      </c>
      <c r="C1301" s="1595" t="s">
        <v>4032</v>
      </c>
      <c r="D1301" s="1595" t="s">
        <v>13247</v>
      </c>
      <c r="E1301" s="1595"/>
      <c r="F1301" s="1595"/>
      <c r="G1301" s="1595"/>
      <c r="H1301" s="1596">
        <v>2</v>
      </c>
      <c r="I1301" s="1595"/>
      <c r="J1301" s="1595"/>
      <c r="K1301" s="1599">
        <v>404</v>
      </c>
      <c r="L1301" s="1599">
        <v>403.77</v>
      </c>
      <c r="M1301" s="1599">
        <v>-403.77</v>
      </c>
      <c r="N1301" s="1598"/>
      <c r="O1301" s="1598"/>
      <c r="P1301" s="1599">
        <v>308.06</v>
      </c>
      <c r="Q1301" s="1599">
        <v>-308.06</v>
      </c>
      <c r="R1301" s="1598"/>
      <c r="S1301" s="1592"/>
    </row>
    <row r="1302" spans="2:19" s="1593" customFormat="1" ht="11.25" customHeight="1" outlineLevel="1">
      <c r="B1302" s="1594">
        <v>37117</v>
      </c>
      <c r="C1302" s="1595" t="s">
        <v>4032</v>
      </c>
      <c r="D1302" s="1595" t="s">
        <v>13246</v>
      </c>
      <c r="E1302" s="1595"/>
      <c r="F1302" s="1595"/>
      <c r="G1302" s="1595"/>
      <c r="H1302" s="1596">
        <v>2</v>
      </c>
      <c r="I1302" s="1595"/>
      <c r="J1302" s="1595"/>
      <c r="K1302" s="1599">
        <v>404</v>
      </c>
      <c r="L1302" s="1599">
        <v>403.77</v>
      </c>
      <c r="M1302" s="1599">
        <v>-403.77</v>
      </c>
      <c r="N1302" s="1598"/>
      <c r="O1302" s="1598"/>
      <c r="P1302" s="1599">
        <v>308.06</v>
      </c>
      <c r="Q1302" s="1599">
        <v>-308.06</v>
      </c>
      <c r="R1302" s="1598"/>
      <c r="S1302" s="1592"/>
    </row>
    <row r="1303" spans="2:19" s="1593" customFormat="1" ht="11.25" customHeight="1" outlineLevel="1">
      <c r="B1303" s="1594">
        <v>37296</v>
      </c>
      <c r="C1303" s="1595" t="s">
        <v>4032</v>
      </c>
      <c r="D1303" s="1595" t="s">
        <v>13245</v>
      </c>
      <c r="E1303" s="1595"/>
      <c r="F1303" s="1595"/>
      <c r="G1303" s="1595"/>
      <c r="H1303" s="1596">
        <v>2</v>
      </c>
      <c r="I1303" s="1595"/>
      <c r="J1303" s="1595"/>
      <c r="K1303" s="1597">
        <v>2160</v>
      </c>
      <c r="L1303" s="1597">
        <v>2160</v>
      </c>
      <c r="M1303" s="1597">
        <v>-2160</v>
      </c>
      <c r="N1303" s="1598"/>
      <c r="O1303" s="1598"/>
      <c r="P1303" s="1597">
        <v>2160</v>
      </c>
      <c r="Q1303" s="1597">
        <v>-2160</v>
      </c>
      <c r="R1303" s="1598"/>
      <c r="S1303" s="1592"/>
    </row>
    <row r="1304" spans="2:19" s="1593" customFormat="1" ht="11.25" customHeight="1" outlineLevel="1">
      <c r="B1304" s="1594">
        <v>37896</v>
      </c>
      <c r="C1304" s="1595" t="s">
        <v>4032</v>
      </c>
      <c r="D1304" s="1595" t="s">
        <v>13244</v>
      </c>
      <c r="E1304" s="1595"/>
      <c r="F1304" s="1595"/>
      <c r="G1304" s="1595" t="s">
        <v>10824</v>
      </c>
      <c r="H1304" s="1596">
        <v>3</v>
      </c>
      <c r="I1304" s="1595"/>
      <c r="J1304" s="1595"/>
      <c r="K1304" s="1597">
        <v>1440059</v>
      </c>
      <c r="L1304" s="1597">
        <v>1440059</v>
      </c>
      <c r="M1304" s="1598"/>
      <c r="N1304" s="1597">
        <v>1440059</v>
      </c>
      <c r="O1304" s="1597">
        <v>187207.04000000001</v>
      </c>
      <c r="P1304" s="1597">
        <v>1195249.8</v>
      </c>
      <c r="Q1304" s="1597">
        <v>57602.16</v>
      </c>
      <c r="R1304" s="1597">
        <v>1252851.96</v>
      </c>
      <c r="S1304" s="1592"/>
    </row>
    <row r="1305" spans="2:19" s="1593" customFormat="1" ht="11.25" customHeight="1" outlineLevel="1">
      <c r="B1305" s="1594">
        <v>28447</v>
      </c>
      <c r="C1305" s="1595" t="s">
        <v>10798</v>
      </c>
      <c r="D1305" s="1595" t="s">
        <v>13243</v>
      </c>
      <c r="E1305" s="1595"/>
      <c r="F1305" s="1595"/>
      <c r="G1305" s="1595"/>
      <c r="H1305" s="1596">
        <v>1</v>
      </c>
      <c r="I1305" s="1595"/>
      <c r="J1305" s="1595"/>
      <c r="K1305" s="1597">
        <v>10321</v>
      </c>
      <c r="L1305" s="1597">
        <v>10321</v>
      </c>
      <c r="M1305" s="1597">
        <v>-10321</v>
      </c>
      <c r="N1305" s="1598"/>
      <c r="O1305" s="1598"/>
      <c r="P1305" s="1597">
        <v>9325.2000000000007</v>
      </c>
      <c r="Q1305" s="1597">
        <v>-9325.2000000000007</v>
      </c>
      <c r="R1305" s="1598"/>
      <c r="S1305" s="1592"/>
    </row>
    <row r="1306" spans="2:19" s="1593" customFormat="1" ht="11.25" customHeight="1" outlineLevel="1">
      <c r="B1306" s="1594">
        <v>28523</v>
      </c>
      <c r="C1306" s="1595" t="s">
        <v>13242</v>
      </c>
      <c r="D1306" s="1595" t="s">
        <v>13241</v>
      </c>
      <c r="E1306" s="1595"/>
      <c r="F1306" s="1595"/>
      <c r="G1306" s="1595"/>
      <c r="H1306" s="1596">
        <v>1</v>
      </c>
      <c r="I1306" s="1595"/>
      <c r="J1306" s="1595"/>
      <c r="K1306" s="1597">
        <v>7160</v>
      </c>
      <c r="L1306" s="1597">
        <v>7160</v>
      </c>
      <c r="M1306" s="1597">
        <v>-7160</v>
      </c>
      <c r="N1306" s="1598"/>
      <c r="O1306" s="1598"/>
      <c r="P1306" s="1597">
        <v>3901.6</v>
      </c>
      <c r="Q1306" s="1597">
        <v>-3901.6</v>
      </c>
      <c r="R1306" s="1598"/>
      <c r="S1306" s="1592"/>
    </row>
    <row r="1307" spans="2:19" s="1593" customFormat="1" ht="11.25" customHeight="1" outlineLevel="1">
      <c r="B1307" s="1594">
        <v>28905</v>
      </c>
      <c r="C1307" s="1595" t="s">
        <v>4023</v>
      </c>
      <c r="D1307" s="1595" t="s">
        <v>13240</v>
      </c>
      <c r="E1307" s="1595"/>
      <c r="F1307" s="1595"/>
      <c r="G1307" s="1595" t="s">
        <v>3734</v>
      </c>
      <c r="H1307" s="1596">
        <v>2</v>
      </c>
      <c r="I1307" s="1595"/>
      <c r="J1307" s="1595"/>
      <c r="K1307" s="1597">
        <v>93510</v>
      </c>
      <c r="L1307" s="1597">
        <v>93510</v>
      </c>
      <c r="M1307" s="1598"/>
      <c r="N1307" s="1597">
        <v>93510</v>
      </c>
      <c r="O1307" s="1597">
        <v>54079.95</v>
      </c>
      <c r="P1307" s="1597">
        <v>37559.85</v>
      </c>
      <c r="Q1307" s="1597">
        <v>1870.2</v>
      </c>
      <c r="R1307" s="1597">
        <v>39430.050000000003</v>
      </c>
      <c r="S1307" s="1592"/>
    </row>
    <row r="1308" spans="2:19" s="1593" customFormat="1" ht="11.25" customHeight="1" outlineLevel="1">
      <c r="B1308" s="1594">
        <v>28953</v>
      </c>
      <c r="C1308" s="1595" t="s">
        <v>12810</v>
      </c>
      <c r="D1308" s="1595" t="s">
        <v>13239</v>
      </c>
      <c r="E1308" s="1595"/>
      <c r="F1308" s="1595"/>
      <c r="G1308" s="1595"/>
      <c r="H1308" s="1596">
        <v>1</v>
      </c>
      <c r="I1308" s="1595"/>
      <c r="J1308" s="1595"/>
      <c r="K1308" s="1597">
        <v>14800</v>
      </c>
      <c r="L1308" s="1597">
        <v>14800</v>
      </c>
      <c r="M1308" s="1597">
        <v>-14800</v>
      </c>
      <c r="N1308" s="1598"/>
      <c r="O1308" s="1598"/>
      <c r="P1308" s="1597">
        <v>14800</v>
      </c>
      <c r="Q1308" s="1597">
        <v>-14800</v>
      </c>
      <c r="R1308" s="1598"/>
      <c r="S1308" s="1592"/>
    </row>
    <row r="1309" spans="2:19" s="1593" customFormat="1" ht="11.25" customHeight="1" outlineLevel="1">
      <c r="B1309" s="1594">
        <v>28954</v>
      </c>
      <c r="C1309" s="1595" t="s">
        <v>12810</v>
      </c>
      <c r="D1309" s="1595" t="s">
        <v>13238</v>
      </c>
      <c r="E1309" s="1595"/>
      <c r="F1309" s="1595"/>
      <c r="G1309" s="1595"/>
      <c r="H1309" s="1596">
        <v>1</v>
      </c>
      <c r="I1309" s="1595"/>
      <c r="J1309" s="1595"/>
      <c r="K1309" s="1597">
        <v>4900</v>
      </c>
      <c r="L1309" s="1597">
        <v>4900</v>
      </c>
      <c r="M1309" s="1597">
        <v>-4900</v>
      </c>
      <c r="N1309" s="1598"/>
      <c r="O1309" s="1598"/>
      <c r="P1309" s="1597">
        <v>4900</v>
      </c>
      <c r="Q1309" s="1597">
        <v>-4900</v>
      </c>
      <c r="R1309" s="1598"/>
      <c r="S1309" s="1592"/>
    </row>
    <row r="1310" spans="2:19" s="1593" customFormat="1" ht="11.25" customHeight="1" outlineLevel="1">
      <c r="B1310" s="1594">
        <v>28956</v>
      </c>
      <c r="C1310" s="1595" t="s">
        <v>12810</v>
      </c>
      <c r="D1310" s="1595" t="s">
        <v>13237</v>
      </c>
      <c r="E1310" s="1595"/>
      <c r="F1310" s="1595"/>
      <c r="G1310" s="1595" t="s">
        <v>13044</v>
      </c>
      <c r="H1310" s="1596">
        <v>1</v>
      </c>
      <c r="I1310" s="1595"/>
      <c r="J1310" s="1595"/>
      <c r="K1310" s="1597">
        <v>1901828</v>
      </c>
      <c r="L1310" s="1597">
        <v>1901828</v>
      </c>
      <c r="M1310" s="1598"/>
      <c r="N1310" s="1597">
        <v>1901828</v>
      </c>
      <c r="O1310" s="1597">
        <v>907330.86</v>
      </c>
      <c r="P1310" s="1597">
        <v>946951.46</v>
      </c>
      <c r="Q1310" s="1597">
        <v>47545.68</v>
      </c>
      <c r="R1310" s="1597">
        <v>994497.14</v>
      </c>
      <c r="S1310" s="1592"/>
    </row>
    <row r="1311" spans="2:19" s="1593" customFormat="1" ht="11.25" customHeight="1" outlineLevel="1">
      <c r="B1311" s="1594">
        <v>28957</v>
      </c>
      <c r="C1311" s="1595" t="s">
        <v>12810</v>
      </c>
      <c r="D1311" s="1595" t="s">
        <v>13236</v>
      </c>
      <c r="E1311" s="1595"/>
      <c r="F1311" s="1595"/>
      <c r="G1311" s="1595"/>
      <c r="H1311" s="1596">
        <v>1</v>
      </c>
      <c r="I1311" s="1595"/>
      <c r="J1311" s="1595"/>
      <c r="K1311" s="1597">
        <v>31600</v>
      </c>
      <c r="L1311" s="1597">
        <v>31600</v>
      </c>
      <c r="M1311" s="1597">
        <v>-31600</v>
      </c>
      <c r="N1311" s="1598"/>
      <c r="O1311" s="1598"/>
      <c r="P1311" s="1597">
        <v>31600</v>
      </c>
      <c r="Q1311" s="1597">
        <v>-31600</v>
      </c>
      <c r="R1311" s="1598"/>
      <c r="S1311" s="1592"/>
    </row>
    <row r="1312" spans="2:19" s="1593" customFormat="1" ht="11.25" customHeight="1" outlineLevel="1">
      <c r="B1312" s="1594">
        <v>28958</v>
      </c>
      <c r="C1312" s="1595" t="s">
        <v>12810</v>
      </c>
      <c r="D1312" s="1595" t="s">
        <v>13235</v>
      </c>
      <c r="E1312" s="1595"/>
      <c r="F1312" s="1595"/>
      <c r="G1312" s="1595"/>
      <c r="H1312" s="1596">
        <v>1</v>
      </c>
      <c r="I1312" s="1595"/>
      <c r="J1312" s="1595"/>
      <c r="K1312" s="1597">
        <v>46826</v>
      </c>
      <c r="L1312" s="1597">
        <v>46826</v>
      </c>
      <c r="M1312" s="1597">
        <v>-46826</v>
      </c>
      <c r="N1312" s="1598"/>
      <c r="O1312" s="1598"/>
      <c r="P1312" s="1597">
        <v>46826</v>
      </c>
      <c r="Q1312" s="1597">
        <v>-46826</v>
      </c>
      <c r="R1312" s="1598"/>
      <c r="S1312" s="1592"/>
    </row>
    <row r="1313" spans="2:19" s="1593" customFormat="1" ht="11.25" customHeight="1" outlineLevel="1">
      <c r="B1313" s="1594">
        <v>28959</v>
      </c>
      <c r="C1313" s="1595" t="s">
        <v>12810</v>
      </c>
      <c r="D1313" s="1595" t="s">
        <v>13234</v>
      </c>
      <c r="E1313" s="1595"/>
      <c r="F1313" s="1595"/>
      <c r="G1313" s="1595" t="s">
        <v>13233</v>
      </c>
      <c r="H1313" s="1596">
        <v>1</v>
      </c>
      <c r="I1313" s="1595"/>
      <c r="J1313" s="1595"/>
      <c r="K1313" s="1597">
        <v>702341</v>
      </c>
      <c r="L1313" s="1597">
        <v>351170.5</v>
      </c>
      <c r="M1313" s="1598"/>
      <c r="N1313" s="1597">
        <v>351170.5</v>
      </c>
      <c r="O1313" s="1597">
        <v>167536.51</v>
      </c>
      <c r="P1313" s="1597">
        <v>174854.79</v>
      </c>
      <c r="Q1313" s="1597">
        <v>8779.2000000000007</v>
      </c>
      <c r="R1313" s="1597">
        <v>183633.99</v>
      </c>
      <c r="S1313" s="1592"/>
    </row>
    <row r="1314" spans="2:19" s="1593" customFormat="1" ht="11.25" customHeight="1" outlineLevel="1">
      <c r="B1314" s="1594">
        <v>28991</v>
      </c>
      <c r="C1314" s="1595" t="s">
        <v>12810</v>
      </c>
      <c r="D1314" s="1595" t="s">
        <v>13232</v>
      </c>
      <c r="E1314" s="1595"/>
      <c r="F1314" s="1595"/>
      <c r="G1314" s="1595"/>
      <c r="H1314" s="1596">
        <v>1</v>
      </c>
      <c r="I1314" s="1595"/>
      <c r="J1314" s="1595"/>
      <c r="K1314" s="1597">
        <v>64500</v>
      </c>
      <c r="L1314" s="1597">
        <v>64500</v>
      </c>
      <c r="M1314" s="1597">
        <v>-64500</v>
      </c>
      <c r="N1314" s="1598"/>
      <c r="O1314" s="1598"/>
      <c r="P1314" s="1597">
        <v>64500</v>
      </c>
      <c r="Q1314" s="1597">
        <v>-64500</v>
      </c>
      <c r="R1314" s="1598"/>
      <c r="S1314" s="1592"/>
    </row>
    <row r="1315" spans="2:19" s="1593" customFormat="1" ht="11.25" customHeight="1" outlineLevel="1">
      <c r="B1315" s="1594">
        <v>34637</v>
      </c>
      <c r="C1315" s="1595" t="s">
        <v>12810</v>
      </c>
      <c r="D1315" s="1595" t="s">
        <v>13231</v>
      </c>
      <c r="E1315" s="1595"/>
      <c r="F1315" s="1595"/>
      <c r="G1315" s="1595" t="s">
        <v>3734</v>
      </c>
      <c r="H1315" s="1596">
        <v>1</v>
      </c>
      <c r="I1315" s="1595"/>
      <c r="J1315" s="1595"/>
      <c r="K1315" s="1597">
        <v>702341</v>
      </c>
      <c r="L1315" s="1597">
        <v>351170.5</v>
      </c>
      <c r="M1315" s="1598"/>
      <c r="N1315" s="1597">
        <v>351170.5</v>
      </c>
      <c r="O1315" s="1597">
        <v>167536.51</v>
      </c>
      <c r="P1315" s="1597">
        <v>174854.79</v>
      </c>
      <c r="Q1315" s="1597">
        <v>8779.2000000000007</v>
      </c>
      <c r="R1315" s="1597">
        <v>183633.99</v>
      </c>
      <c r="S1315" s="1592"/>
    </row>
    <row r="1316" spans="2:19" s="1593" customFormat="1" ht="11.25" customHeight="1" outlineLevel="1">
      <c r="B1316" s="1594">
        <v>35632</v>
      </c>
      <c r="C1316" s="1595" t="s">
        <v>12810</v>
      </c>
      <c r="D1316" s="1595" t="s">
        <v>13230</v>
      </c>
      <c r="E1316" s="1595"/>
      <c r="F1316" s="1595"/>
      <c r="G1316" s="1595"/>
      <c r="H1316" s="1596">
        <v>1</v>
      </c>
      <c r="I1316" s="1595"/>
      <c r="J1316" s="1595"/>
      <c r="K1316" s="1597">
        <v>14800</v>
      </c>
      <c r="L1316" s="1597">
        <v>14800</v>
      </c>
      <c r="M1316" s="1597">
        <v>-14800</v>
      </c>
      <c r="N1316" s="1598"/>
      <c r="O1316" s="1598"/>
      <c r="P1316" s="1597">
        <v>14800</v>
      </c>
      <c r="Q1316" s="1597">
        <v>-14800</v>
      </c>
      <c r="R1316" s="1598"/>
      <c r="S1316" s="1592"/>
    </row>
    <row r="1317" spans="2:19" s="1593" customFormat="1" ht="11.25" customHeight="1" outlineLevel="1">
      <c r="B1317" s="1594">
        <v>37312</v>
      </c>
      <c r="C1317" s="1595" t="s">
        <v>12810</v>
      </c>
      <c r="D1317" s="1595" t="s">
        <v>13229</v>
      </c>
      <c r="E1317" s="1595"/>
      <c r="F1317" s="1595"/>
      <c r="G1317" s="1595"/>
      <c r="H1317" s="1596">
        <v>1</v>
      </c>
      <c r="I1317" s="1595"/>
      <c r="J1317" s="1595"/>
      <c r="K1317" s="1597">
        <v>46826</v>
      </c>
      <c r="L1317" s="1597">
        <v>46826</v>
      </c>
      <c r="M1317" s="1597">
        <v>-46826</v>
      </c>
      <c r="N1317" s="1598"/>
      <c r="O1317" s="1598"/>
      <c r="P1317" s="1597">
        <v>46826</v>
      </c>
      <c r="Q1317" s="1597">
        <v>-46826</v>
      </c>
      <c r="R1317" s="1598"/>
      <c r="S1317" s="1592"/>
    </row>
    <row r="1318" spans="2:19" s="1593" customFormat="1" ht="11.25" customHeight="1" outlineLevel="1">
      <c r="B1318" s="1594">
        <v>28042</v>
      </c>
      <c r="C1318" s="1595" t="s">
        <v>3748</v>
      </c>
      <c r="D1318" s="1595" t="s">
        <v>13228</v>
      </c>
      <c r="E1318" s="1595"/>
      <c r="F1318" s="1595"/>
      <c r="G1318" s="1595"/>
      <c r="H1318" s="1596">
        <v>1</v>
      </c>
      <c r="I1318" s="1595"/>
      <c r="J1318" s="1595"/>
      <c r="K1318" s="1597">
        <v>50000</v>
      </c>
      <c r="L1318" s="1597">
        <v>50000</v>
      </c>
      <c r="M1318" s="1597">
        <v>-50000</v>
      </c>
      <c r="N1318" s="1598"/>
      <c r="O1318" s="1598"/>
      <c r="P1318" s="1597">
        <v>50000</v>
      </c>
      <c r="Q1318" s="1597">
        <v>-50000</v>
      </c>
      <c r="R1318" s="1598"/>
      <c r="S1318" s="1592"/>
    </row>
    <row r="1319" spans="2:19" s="1593" customFormat="1" ht="11.25" customHeight="1" outlineLevel="1">
      <c r="B1319" s="1594">
        <v>29378</v>
      </c>
      <c r="C1319" s="1595" t="s">
        <v>3745</v>
      </c>
      <c r="D1319" s="1595" t="s">
        <v>13227</v>
      </c>
      <c r="E1319" s="1595"/>
      <c r="F1319" s="1595"/>
      <c r="G1319" s="1595" t="s">
        <v>3734</v>
      </c>
      <c r="H1319" s="1596">
        <v>1</v>
      </c>
      <c r="I1319" s="1595"/>
      <c r="J1319" s="1595"/>
      <c r="K1319" s="1597">
        <v>238000</v>
      </c>
      <c r="L1319" s="1597">
        <v>238000</v>
      </c>
      <c r="M1319" s="1598"/>
      <c r="N1319" s="1597">
        <v>238000</v>
      </c>
      <c r="O1319" s="1597">
        <v>27026.46</v>
      </c>
      <c r="P1319" s="1597">
        <v>200511.7</v>
      </c>
      <c r="Q1319" s="1597">
        <v>10461.84</v>
      </c>
      <c r="R1319" s="1597">
        <v>210973.54</v>
      </c>
      <c r="S1319" s="1592"/>
    </row>
    <row r="1320" spans="2:19" s="1593" customFormat="1" ht="11.25" customHeight="1" outlineLevel="1">
      <c r="B1320" s="1594">
        <v>29472</v>
      </c>
      <c r="C1320" s="1595" t="s">
        <v>8226</v>
      </c>
      <c r="D1320" s="1595" t="s">
        <v>13226</v>
      </c>
      <c r="E1320" s="1595"/>
      <c r="F1320" s="1595"/>
      <c r="G1320" s="1595"/>
      <c r="H1320" s="1596">
        <v>1</v>
      </c>
      <c r="I1320" s="1595"/>
      <c r="J1320" s="1595"/>
      <c r="K1320" s="1597">
        <v>22717</v>
      </c>
      <c r="L1320" s="1597">
        <v>22717</v>
      </c>
      <c r="M1320" s="1597">
        <v>-22717</v>
      </c>
      <c r="N1320" s="1598"/>
      <c r="O1320" s="1598"/>
      <c r="P1320" s="1597">
        <v>22717</v>
      </c>
      <c r="Q1320" s="1597">
        <v>-22717</v>
      </c>
      <c r="R1320" s="1598"/>
      <c r="S1320" s="1592"/>
    </row>
    <row r="1321" spans="2:19" s="1593" customFormat="1" ht="11.25" customHeight="1" outlineLevel="1">
      <c r="B1321" s="1594">
        <v>29515</v>
      </c>
      <c r="C1321" s="1595" t="s">
        <v>8226</v>
      </c>
      <c r="D1321" s="1595" t="s">
        <v>13225</v>
      </c>
      <c r="E1321" s="1595"/>
      <c r="F1321" s="1595"/>
      <c r="G1321" s="1595" t="s">
        <v>3596</v>
      </c>
      <c r="H1321" s="1596">
        <v>2</v>
      </c>
      <c r="I1321" s="1595"/>
      <c r="J1321" s="1595"/>
      <c r="K1321" s="1597">
        <v>263917</v>
      </c>
      <c r="L1321" s="1597">
        <v>263917</v>
      </c>
      <c r="M1321" s="1598"/>
      <c r="N1321" s="1597">
        <v>263917</v>
      </c>
      <c r="O1321" s="1597">
        <v>12617.82</v>
      </c>
      <c r="P1321" s="1597">
        <v>238681.42</v>
      </c>
      <c r="Q1321" s="1597">
        <v>12617.76</v>
      </c>
      <c r="R1321" s="1597">
        <v>251299.18</v>
      </c>
      <c r="S1321" s="1592"/>
    </row>
    <row r="1322" spans="2:19" s="1593" customFormat="1" ht="11.25" customHeight="1" outlineLevel="1">
      <c r="B1322" s="1594">
        <v>29561</v>
      </c>
      <c r="C1322" s="1595" t="s">
        <v>12804</v>
      </c>
      <c r="D1322" s="1595" t="s">
        <v>13224</v>
      </c>
      <c r="E1322" s="1595"/>
      <c r="F1322" s="1595"/>
      <c r="G1322" s="1595" t="s">
        <v>13044</v>
      </c>
      <c r="H1322" s="1596">
        <v>2</v>
      </c>
      <c r="I1322" s="1595"/>
      <c r="J1322" s="1595"/>
      <c r="K1322" s="1597">
        <v>330000</v>
      </c>
      <c r="L1322" s="1597">
        <v>330000</v>
      </c>
      <c r="M1322" s="1598"/>
      <c r="N1322" s="1597">
        <v>330000</v>
      </c>
      <c r="O1322" s="1597">
        <v>218754.04</v>
      </c>
      <c r="P1322" s="1597">
        <v>105636.92</v>
      </c>
      <c r="Q1322" s="1597">
        <v>5609.04</v>
      </c>
      <c r="R1322" s="1597">
        <v>111245.96</v>
      </c>
      <c r="S1322" s="1592"/>
    </row>
    <row r="1323" spans="2:19" s="1593" customFormat="1" ht="11.25" customHeight="1" outlineLevel="1">
      <c r="B1323" s="1594">
        <v>29562</v>
      </c>
      <c r="C1323" s="1595" t="s">
        <v>12804</v>
      </c>
      <c r="D1323" s="1595" t="s">
        <v>13223</v>
      </c>
      <c r="E1323" s="1595"/>
      <c r="F1323" s="1595"/>
      <c r="G1323" s="1595"/>
      <c r="H1323" s="1596">
        <v>2</v>
      </c>
      <c r="I1323" s="1595"/>
      <c r="J1323" s="1595"/>
      <c r="K1323" s="1597">
        <v>38218</v>
      </c>
      <c r="L1323" s="1597">
        <v>38218</v>
      </c>
      <c r="M1323" s="1597">
        <v>-38218</v>
      </c>
      <c r="N1323" s="1598"/>
      <c r="O1323" s="1598"/>
      <c r="P1323" s="1597">
        <v>31638.799999999999</v>
      </c>
      <c r="Q1323" s="1597">
        <v>-31638.799999999999</v>
      </c>
      <c r="R1323" s="1598"/>
      <c r="S1323" s="1592"/>
    </row>
    <row r="1324" spans="2:19" s="1593" customFormat="1" ht="11.25" customHeight="1" outlineLevel="1">
      <c r="B1324" s="1594">
        <v>29563</v>
      </c>
      <c r="C1324" s="1595" t="s">
        <v>12804</v>
      </c>
      <c r="D1324" s="1595" t="s">
        <v>13222</v>
      </c>
      <c r="E1324" s="1595"/>
      <c r="F1324" s="1595"/>
      <c r="G1324" s="1595"/>
      <c r="H1324" s="1596">
        <v>2</v>
      </c>
      <c r="I1324" s="1595"/>
      <c r="J1324" s="1595"/>
      <c r="K1324" s="1597">
        <v>52000</v>
      </c>
      <c r="L1324" s="1597">
        <v>52000</v>
      </c>
      <c r="M1324" s="1597">
        <v>-52000</v>
      </c>
      <c r="N1324" s="1598"/>
      <c r="O1324" s="1598"/>
      <c r="P1324" s="1597">
        <v>43007.6</v>
      </c>
      <c r="Q1324" s="1597">
        <v>-43007.6</v>
      </c>
      <c r="R1324" s="1598"/>
      <c r="S1324" s="1592"/>
    </row>
    <row r="1325" spans="2:19" s="1593" customFormat="1" ht="11.25" customHeight="1" outlineLevel="1">
      <c r="B1325" s="1594">
        <v>29564</v>
      </c>
      <c r="C1325" s="1595" t="s">
        <v>12804</v>
      </c>
      <c r="D1325" s="1595" t="s">
        <v>13221</v>
      </c>
      <c r="E1325" s="1595"/>
      <c r="F1325" s="1595"/>
      <c r="G1325" s="1595"/>
      <c r="H1325" s="1596">
        <v>2</v>
      </c>
      <c r="I1325" s="1595"/>
      <c r="J1325" s="1595"/>
      <c r="K1325" s="1597">
        <v>46826</v>
      </c>
      <c r="L1325" s="1597">
        <v>46826</v>
      </c>
      <c r="M1325" s="1597">
        <v>-46826</v>
      </c>
      <c r="N1325" s="1598"/>
      <c r="O1325" s="1598"/>
      <c r="P1325" s="1597">
        <v>46826</v>
      </c>
      <c r="Q1325" s="1597">
        <v>-46826</v>
      </c>
      <c r="R1325" s="1598"/>
      <c r="S1325" s="1592"/>
    </row>
    <row r="1326" spans="2:19" s="1593" customFormat="1" ht="11.25" customHeight="1" outlineLevel="1">
      <c r="B1326" s="1594">
        <v>29565</v>
      </c>
      <c r="C1326" s="1595" t="s">
        <v>12804</v>
      </c>
      <c r="D1326" s="1595" t="s">
        <v>13220</v>
      </c>
      <c r="E1326" s="1595"/>
      <c r="F1326" s="1595"/>
      <c r="G1326" s="1595"/>
      <c r="H1326" s="1596">
        <v>2</v>
      </c>
      <c r="I1326" s="1595"/>
      <c r="J1326" s="1595"/>
      <c r="K1326" s="1597">
        <v>46826</v>
      </c>
      <c r="L1326" s="1597">
        <v>46826</v>
      </c>
      <c r="M1326" s="1597">
        <v>-46826</v>
      </c>
      <c r="N1326" s="1598"/>
      <c r="O1326" s="1598"/>
      <c r="P1326" s="1597">
        <v>46826</v>
      </c>
      <c r="Q1326" s="1597">
        <v>-46826</v>
      </c>
      <c r="R1326" s="1598"/>
      <c r="S1326" s="1592"/>
    </row>
    <row r="1327" spans="2:19" s="1593" customFormat="1" ht="11.25" customHeight="1" outlineLevel="1">
      <c r="B1327" s="1594">
        <v>29566</v>
      </c>
      <c r="C1327" s="1595" t="s">
        <v>12804</v>
      </c>
      <c r="D1327" s="1595" t="s">
        <v>13219</v>
      </c>
      <c r="E1327" s="1595"/>
      <c r="F1327" s="1595"/>
      <c r="G1327" s="1595"/>
      <c r="H1327" s="1596">
        <v>2</v>
      </c>
      <c r="I1327" s="1595"/>
      <c r="J1327" s="1595"/>
      <c r="K1327" s="1597">
        <v>42680</v>
      </c>
      <c r="L1327" s="1597">
        <v>42680</v>
      </c>
      <c r="M1327" s="1597">
        <v>-42680</v>
      </c>
      <c r="N1327" s="1598"/>
      <c r="O1327" s="1598"/>
      <c r="P1327" s="1597">
        <v>42680</v>
      </c>
      <c r="Q1327" s="1597">
        <v>-42680</v>
      </c>
      <c r="R1327" s="1598"/>
      <c r="S1327" s="1592"/>
    </row>
    <row r="1328" spans="2:19" s="1593" customFormat="1" ht="11.25" customHeight="1" outlineLevel="1">
      <c r="B1328" s="1594">
        <v>29567</v>
      </c>
      <c r="C1328" s="1595" t="s">
        <v>12804</v>
      </c>
      <c r="D1328" s="1595" t="s">
        <v>13218</v>
      </c>
      <c r="E1328" s="1595"/>
      <c r="F1328" s="1595"/>
      <c r="G1328" s="1595"/>
      <c r="H1328" s="1596">
        <v>2</v>
      </c>
      <c r="I1328" s="1595"/>
      <c r="J1328" s="1595"/>
      <c r="K1328" s="1597">
        <v>42680</v>
      </c>
      <c r="L1328" s="1597">
        <v>42680</v>
      </c>
      <c r="M1328" s="1597">
        <v>-42680</v>
      </c>
      <c r="N1328" s="1598"/>
      <c r="O1328" s="1598"/>
      <c r="P1328" s="1597">
        <v>42680</v>
      </c>
      <c r="Q1328" s="1597">
        <v>-42680</v>
      </c>
      <c r="R1328" s="1598"/>
      <c r="S1328" s="1592"/>
    </row>
    <row r="1329" spans="2:19" s="1593" customFormat="1" ht="11.25" customHeight="1" outlineLevel="1">
      <c r="B1329" s="1594">
        <v>29568</v>
      </c>
      <c r="C1329" s="1595" t="s">
        <v>12804</v>
      </c>
      <c r="D1329" s="1595" t="s">
        <v>13217</v>
      </c>
      <c r="E1329" s="1595"/>
      <c r="F1329" s="1595"/>
      <c r="G1329" s="1595"/>
      <c r="H1329" s="1596">
        <v>2</v>
      </c>
      <c r="I1329" s="1595"/>
      <c r="J1329" s="1595"/>
      <c r="K1329" s="1597">
        <v>42680</v>
      </c>
      <c r="L1329" s="1597">
        <v>42680</v>
      </c>
      <c r="M1329" s="1597">
        <v>-42680</v>
      </c>
      <c r="N1329" s="1598"/>
      <c r="O1329" s="1598"/>
      <c r="P1329" s="1597">
        <v>42680</v>
      </c>
      <c r="Q1329" s="1597">
        <v>-42680</v>
      </c>
      <c r="R1329" s="1598"/>
      <c r="S1329" s="1592"/>
    </row>
    <row r="1330" spans="2:19" s="1593" customFormat="1" ht="11.25" customHeight="1" outlineLevel="1">
      <c r="B1330" s="1594">
        <v>29569</v>
      </c>
      <c r="C1330" s="1595" t="s">
        <v>12804</v>
      </c>
      <c r="D1330" s="1595" t="s">
        <v>13216</v>
      </c>
      <c r="E1330" s="1595"/>
      <c r="F1330" s="1595"/>
      <c r="G1330" s="1595"/>
      <c r="H1330" s="1596">
        <v>2</v>
      </c>
      <c r="I1330" s="1595"/>
      <c r="J1330" s="1595"/>
      <c r="K1330" s="1597">
        <v>42680</v>
      </c>
      <c r="L1330" s="1597">
        <v>42680</v>
      </c>
      <c r="M1330" s="1597">
        <v>-42680</v>
      </c>
      <c r="N1330" s="1598"/>
      <c r="O1330" s="1598"/>
      <c r="P1330" s="1597">
        <v>42680</v>
      </c>
      <c r="Q1330" s="1597">
        <v>-42680</v>
      </c>
      <c r="R1330" s="1598"/>
      <c r="S1330" s="1592"/>
    </row>
    <row r="1331" spans="2:19" s="1593" customFormat="1" ht="11.25" customHeight="1" outlineLevel="1">
      <c r="B1331" s="1594">
        <v>29570</v>
      </c>
      <c r="C1331" s="1595" t="s">
        <v>12804</v>
      </c>
      <c r="D1331" s="1595" t="s">
        <v>13215</v>
      </c>
      <c r="E1331" s="1595"/>
      <c r="F1331" s="1595"/>
      <c r="G1331" s="1595"/>
      <c r="H1331" s="1596">
        <v>2</v>
      </c>
      <c r="I1331" s="1595"/>
      <c r="J1331" s="1595"/>
      <c r="K1331" s="1597">
        <v>57657</v>
      </c>
      <c r="L1331" s="1597">
        <v>57657</v>
      </c>
      <c r="M1331" s="1597">
        <v>-57657</v>
      </c>
      <c r="N1331" s="1598"/>
      <c r="O1331" s="1598"/>
      <c r="P1331" s="1597">
        <v>57657</v>
      </c>
      <c r="Q1331" s="1597">
        <v>-57657</v>
      </c>
      <c r="R1331" s="1598"/>
      <c r="S1331" s="1592"/>
    </row>
    <row r="1332" spans="2:19" s="1593" customFormat="1" ht="11.25" customHeight="1" outlineLevel="1">
      <c r="B1332" s="1594">
        <v>29571</v>
      </c>
      <c r="C1332" s="1595" t="s">
        <v>12804</v>
      </c>
      <c r="D1332" s="1595" t="s">
        <v>13214</v>
      </c>
      <c r="E1332" s="1595"/>
      <c r="F1332" s="1595"/>
      <c r="G1332" s="1595"/>
      <c r="H1332" s="1596">
        <v>2</v>
      </c>
      <c r="I1332" s="1595"/>
      <c r="J1332" s="1595"/>
      <c r="K1332" s="1597">
        <v>24966</v>
      </c>
      <c r="L1332" s="1597">
        <v>24966</v>
      </c>
      <c r="M1332" s="1597">
        <v>-24966</v>
      </c>
      <c r="N1332" s="1598"/>
      <c r="O1332" s="1598"/>
      <c r="P1332" s="1597">
        <v>24966</v>
      </c>
      <c r="Q1332" s="1597">
        <v>-24966</v>
      </c>
      <c r="R1332" s="1598"/>
      <c r="S1332" s="1592"/>
    </row>
    <row r="1333" spans="2:19" s="1593" customFormat="1" ht="11.25" customHeight="1" outlineLevel="1">
      <c r="B1333" s="1594">
        <v>29572</v>
      </c>
      <c r="C1333" s="1595" t="s">
        <v>12804</v>
      </c>
      <c r="D1333" s="1595" t="s">
        <v>13213</v>
      </c>
      <c r="E1333" s="1595"/>
      <c r="F1333" s="1595"/>
      <c r="G1333" s="1595"/>
      <c r="H1333" s="1596">
        <v>2</v>
      </c>
      <c r="I1333" s="1595"/>
      <c r="J1333" s="1595"/>
      <c r="K1333" s="1597">
        <v>24966</v>
      </c>
      <c r="L1333" s="1597">
        <v>24966</v>
      </c>
      <c r="M1333" s="1597">
        <v>-24966</v>
      </c>
      <c r="N1333" s="1598"/>
      <c r="O1333" s="1598"/>
      <c r="P1333" s="1597">
        <v>24966</v>
      </c>
      <c r="Q1333" s="1597">
        <v>-24966</v>
      </c>
      <c r="R1333" s="1598"/>
      <c r="S1333" s="1592"/>
    </row>
    <row r="1334" spans="2:19" s="1593" customFormat="1" ht="11.25" customHeight="1" outlineLevel="1">
      <c r="B1334" s="1594">
        <v>29573</v>
      </c>
      <c r="C1334" s="1595" t="s">
        <v>12804</v>
      </c>
      <c r="D1334" s="1595" t="s">
        <v>13212</v>
      </c>
      <c r="E1334" s="1595"/>
      <c r="F1334" s="1595"/>
      <c r="G1334" s="1595"/>
      <c r="H1334" s="1596">
        <v>2</v>
      </c>
      <c r="I1334" s="1595"/>
      <c r="J1334" s="1595"/>
      <c r="K1334" s="1597">
        <v>17587</v>
      </c>
      <c r="L1334" s="1597">
        <v>17587</v>
      </c>
      <c r="M1334" s="1597">
        <v>-17587</v>
      </c>
      <c r="N1334" s="1598"/>
      <c r="O1334" s="1598"/>
      <c r="P1334" s="1597">
        <v>17587</v>
      </c>
      <c r="Q1334" s="1597">
        <v>-17587</v>
      </c>
      <c r="R1334" s="1598"/>
      <c r="S1334" s="1592"/>
    </row>
    <row r="1335" spans="2:19" s="1593" customFormat="1" ht="11.25" customHeight="1" outlineLevel="1">
      <c r="B1335" s="1594">
        <v>29574</v>
      </c>
      <c r="C1335" s="1595" t="s">
        <v>12804</v>
      </c>
      <c r="D1335" s="1595" t="s">
        <v>13211</v>
      </c>
      <c r="E1335" s="1595"/>
      <c r="F1335" s="1595"/>
      <c r="G1335" s="1595"/>
      <c r="H1335" s="1596">
        <v>2</v>
      </c>
      <c r="I1335" s="1595"/>
      <c r="J1335" s="1595"/>
      <c r="K1335" s="1597">
        <v>17587</v>
      </c>
      <c r="L1335" s="1597">
        <v>17587</v>
      </c>
      <c r="M1335" s="1597">
        <v>-17587</v>
      </c>
      <c r="N1335" s="1598"/>
      <c r="O1335" s="1598"/>
      <c r="P1335" s="1597">
        <v>17587</v>
      </c>
      <c r="Q1335" s="1597">
        <v>-17587</v>
      </c>
      <c r="R1335" s="1598"/>
      <c r="S1335" s="1592"/>
    </row>
    <row r="1336" spans="2:19" s="1593" customFormat="1" ht="11.25" customHeight="1" outlineLevel="1">
      <c r="B1336" s="1594">
        <v>29575</v>
      </c>
      <c r="C1336" s="1595" t="s">
        <v>12804</v>
      </c>
      <c r="D1336" s="1595" t="s">
        <v>13210</v>
      </c>
      <c r="E1336" s="1595"/>
      <c r="F1336" s="1595"/>
      <c r="G1336" s="1595" t="s">
        <v>3734</v>
      </c>
      <c r="H1336" s="1596">
        <v>2</v>
      </c>
      <c r="I1336" s="1595"/>
      <c r="J1336" s="1595"/>
      <c r="K1336" s="1597">
        <v>5216320</v>
      </c>
      <c r="L1336" s="1597">
        <v>9708606.9900000002</v>
      </c>
      <c r="M1336" s="1598"/>
      <c r="N1336" s="1597">
        <v>9708606.9900000002</v>
      </c>
      <c r="O1336" s="1597">
        <v>2969726.37</v>
      </c>
      <c r="P1336" s="1597">
        <v>6243926.2199999997</v>
      </c>
      <c r="Q1336" s="1597">
        <v>494954.4</v>
      </c>
      <c r="R1336" s="1597">
        <v>6738880.6200000001</v>
      </c>
      <c r="S1336" s="1592"/>
    </row>
    <row r="1337" spans="2:19" s="1593" customFormat="1" ht="11.25" customHeight="1" outlineLevel="1">
      <c r="B1337" s="1594">
        <v>29576</v>
      </c>
      <c r="C1337" s="1595" t="s">
        <v>12804</v>
      </c>
      <c r="D1337" s="1595" t="s">
        <v>13209</v>
      </c>
      <c r="E1337" s="1595"/>
      <c r="F1337" s="1595"/>
      <c r="G1337" s="1595"/>
      <c r="H1337" s="1596">
        <v>2</v>
      </c>
      <c r="I1337" s="1595"/>
      <c r="J1337" s="1595"/>
      <c r="K1337" s="1597">
        <v>9562</v>
      </c>
      <c r="L1337" s="1597">
        <v>9562</v>
      </c>
      <c r="M1337" s="1597">
        <v>-9562</v>
      </c>
      <c r="N1337" s="1598"/>
      <c r="O1337" s="1598"/>
      <c r="P1337" s="1597">
        <v>9562</v>
      </c>
      <c r="Q1337" s="1597">
        <v>-9562</v>
      </c>
      <c r="R1337" s="1598"/>
      <c r="S1337" s="1592"/>
    </row>
    <row r="1338" spans="2:19" s="1593" customFormat="1" ht="11.25" customHeight="1" outlineLevel="1">
      <c r="B1338" s="1594">
        <v>29577</v>
      </c>
      <c r="C1338" s="1595" t="s">
        <v>12804</v>
      </c>
      <c r="D1338" s="1595" t="s">
        <v>13208</v>
      </c>
      <c r="E1338" s="1595"/>
      <c r="F1338" s="1595"/>
      <c r="G1338" s="1595"/>
      <c r="H1338" s="1596">
        <v>2</v>
      </c>
      <c r="I1338" s="1595"/>
      <c r="J1338" s="1595"/>
      <c r="K1338" s="1597">
        <v>9562</v>
      </c>
      <c r="L1338" s="1597">
        <v>9562</v>
      </c>
      <c r="M1338" s="1597">
        <v>-9562</v>
      </c>
      <c r="N1338" s="1598"/>
      <c r="O1338" s="1598"/>
      <c r="P1338" s="1597">
        <v>9562</v>
      </c>
      <c r="Q1338" s="1597">
        <v>-9562</v>
      </c>
      <c r="R1338" s="1598"/>
      <c r="S1338" s="1592"/>
    </row>
    <row r="1339" spans="2:19" s="1593" customFormat="1" ht="11.25" customHeight="1" outlineLevel="1">
      <c r="B1339" s="1594">
        <v>29613</v>
      </c>
      <c r="C1339" s="1595" t="s">
        <v>12804</v>
      </c>
      <c r="D1339" s="1595" t="s">
        <v>13207</v>
      </c>
      <c r="E1339" s="1595"/>
      <c r="F1339" s="1595"/>
      <c r="G1339" s="1595"/>
      <c r="H1339" s="1596">
        <v>1</v>
      </c>
      <c r="I1339" s="1595"/>
      <c r="J1339" s="1595"/>
      <c r="K1339" s="1597">
        <v>2117</v>
      </c>
      <c r="L1339" s="1597">
        <v>2117</v>
      </c>
      <c r="M1339" s="1597">
        <v>-2117</v>
      </c>
      <c r="N1339" s="1598"/>
      <c r="O1339" s="1598"/>
      <c r="P1339" s="1597">
        <v>2117</v>
      </c>
      <c r="Q1339" s="1597">
        <v>-2117</v>
      </c>
      <c r="R1339" s="1598"/>
      <c r="S1339" s="1592"/>
    </row>
    <row r="1340" spans="2:19" s="1593" customFormat="1" ht="11.25" customHeight="1" outlineLevel="1">
      <c r="B1340" s="1594">
        <v>29740</v>
      </c>
      <c r="C1340" s="1595" t="s">
        <v>8224</v>
      </c>
      <c r="D1340" s="1595" t="s">
        <v>13206</v>
      </c>
      <c r="E1340" s="1595"/>
      <c r="F1340" s="1595"/>
      <c r="G1340" s="1595"/>
      <c r="H1340" s="1596">
        <v>2</v>
      </c>
      <c r="I1340" s="1595"/>
      <c r="J1340" s="1595"/>
      <c r="K1340" s="1597">
        <v>145813</v>
      </c>
      <c r="L1340" s="1597">
        <v>145813</v>
      </c>
      <c r="M1340" s="1598"/>
      <c r="N1340" s="1597">
        <v>145813</v>
      </c>
      <c r="O1340" s="1597">
        <v>1201.5899999999999</v>
      </c>
      <c r="P1340" s="1597">
        <v>138367.04000000001</v>
      </c>
      <c r="Q1340" s="1597">
        <v>6244.37</v>
      </c>
      <c r="R1340" s="1597">
        <v>144611.41</v>
      </c>
      <c r="S1340" s="1592"/>
    </row>
    <row r="1341" spans="2:19" s="1593" customFormat="1" ht="11.25" customHeight="1" outlineLevel="1">
      <c r="B1341" s="1594">
        <v>35220</v>
      </c>
      <c r="C1341" s="1595" t="s">
        <v>8224</v>
      </c>
      <c r="D1341" s="1595" t="s">
        <v>13205</v>
      </c>
      <c r="E1341" s="1595"/>
      <c r="F1341" s="1595"/>
      <c r="G1341" s="1595"/>
      <c r="H1341" s="1596">
        <v>2</v>
      </c>
      <c r="I1341" s="1595"/>
      <c r="J1341" s="1595"/>
      <c r="K1341" s="1597">
        <v>145813</v>
      </c>
      <c r="L1341" s="1597">
        <v>145813</v>
      </c>
      <c r="M1341" s="1598"/>
      <c r="N1341" s="1597">
        <v>145813</v>
      </c>
      <c r="O1341" s="1597">
        <v>1201.5899999999999</v>
      </c>
      <c r="P1341" s="1597">
        <v>138367.04000000001</v>
      </c>
      <c r="Q1341" s="1597">
        <v>6244.37</v>
      </c>
      <c r="R1341" s="1597">
        <v>144611.41</v>
      </c>
      <c r="S1341" s="1592"/>
    </row>
    <row r="1342" spans="2:19" s="1593" customFormat="1" ht="11.25" customHeight="1" outlineLevel="1">
      <c r="B1342" s="1594">
        <v>29640</v>
      </c>
      <c r="C1342" s="1595" t="s">
        <v>8222</v>
      </c>
      <c r="D1342" s="1595" t="s">
        <v>13204</v>
      </c>
      <c r="E1342" s="1595"/>
      <c r="F1342" s="1595"/>
      <c r="G1342" s="1595"/>
      <c r="H1342" s="1596">
        <v>2</v>
      </c>
      <c r="I1342" s="1595"/>
      <c r="J1342" s="1595"/>
      <c r="K1342" s="1597">
        <v>15417</v>
      </c>
      <c r="L1342" s="1597">
        <v>15417</v>
      </c>
      <c r="M1342" s="1597">
        <v>-15417</v>
      </c>
      <c r="N1342" s="1598"/>
      <c r="O1342" s="1598"/>
      <c r="P1342" s="1597">
        <v>15417</v>
      </c>
      <c r="Q1342" s="1597">
        <v>-15417</v>
      </c>
      <c r="R1342" s="1598"/>
      <c r="S1342" s="1592"/>
    </row>
    <row r="1343" spans="2:19" s="1593" customFormat="1" ht="11.25" customHeight="1" outlineLevel="1">
      <c r="B1343" s="1594">
        <v>29787</v>
      </c>
      <c r="C1343" s="1595" t="s">
        <v>8222</v>
      </c>
      <c r="D1343" s="1595" t="s">
        <v>13203</v>
      </c>
      <c r="E1343" s="1595"/>
      <c r="F1343" s="1595"/>
      <c r="G1343" s="1595"/>
      <c r="H1343" s="1596">
        <v>2</v>
      </c>
      <c r="I1343" s="1595"/>
      <c r="J1343" s="1595"/>
      <c r="K1343" s="1597">
        <v>15417</v>
      </c>
      <c r="L1343" s="1597">
        <v>15417</v>
      </c>
      <c r="M1343" s="1597">
        <v>-15417</v>
      </c>
      <c r="N1343" s="1598"/>
      <c r="O1343" s="1598"/>
      <c r="P1343" s="1597">
        <v>15417</v>
      </c>
      <c r="Q1343" s="1597">
        <v>-15417</v>
      </c>
      <c r="R1343" s="1598"/>
      <c r="S1343" s="1592"/>
    </row>
    <row r="1344" spans="2:19" s="1593" customFormat="1" ht="11.25" customHeight="1" outlineLevel="1">
      <c r="B1344" s="1594">
        <v>30276</v>
      </c>
      <c r="C1344" s="1595" t="s">
        <v>8215</v>
      </c>
      <c r="D1344" s="1595" t="s">
        <v>13202</v>
      </c>
      <c r="E1344" s="1595"/>
      <c r="F1344" s="1595"/>
      <c r="G1344" s="1595"/>
      <c r="H1344" s="1596">
        <v>2</v>
      </c>
      <c r="I1344" s="1595"/>
      <c r="J1344" s="1595"/>
      <c r="K1344" s="1597">
        <v>3456.5</v>
      </c>
      <c r="L1344" s="1597">
        <v>3456.5</v>
      </c>
      <c r="M1344" s="1597">
        <v>-3456.5</v>
      </c>
      <c r="N1344" s="1598"/>
      <c r="O1344" s="1598"/>
      <c r="P1344" s="1597">
        <v>3456.5</v>
      </c>
      <c r="Q1344" s="1597">
        <v>-3456.5</v>
      </c>
      <c r="R1344" s="1598"/>
      <c r="S1344" s="1592"/>
    </row>
    <row r="1345" spans="2:19" s="1593" customFormat="1" ht="11.25" customHeight="1" outlineLevel="1">
      <c r="B1345" s="1594">
        <v>30466</v>
      </c>
      <c r="C1345" s="1595" t="s">
        <v>8215</v>
      </c>
      <c r="D1345" s="1595" t="s">
        <v>13201</v>
      </c>
      <c r="E1345" s="1595"/>
      <c r="F1345" s="1595"/>
      <c r="G1345" s="1595"/>
      <c r="H1345" s="1596">
        <v>2</v>
      </c>
      <c r="I1345" s="1595"/>
      <c r="J1345" s="1595"/>
      <c r="K1345" s="1597">
        <v>3033.33</v>
      </c>
      <c r="L1345" s="1597">
        <v>3033.33</v>
      </c>
      <c r="M1345" s="1597">
        <v>-3033.33</v>
      </c>
      <c r="N1345" s="1598"/>
      <c r="O1345" s="1598"/>
      <c r="P1345" s="1597">
        <v>3033.33</v>
      </c>
      <c r="Q1345" s="1597">
        <v>-3033.33</v>
      </c>
      <c r="R1345" s="1598"/>
      <c r="S1345" s="1592"/>
    </row>
    <row r="1346" spans="2:19" s="1593" customFormat="1" ht="11.25" customHeight="1" outlineLevel="1">
      <c r="B1346" s="1594">
        <v>30487</v>
      </c>
      <c r="C1346" s="1595" t="s">
        <v>8215</v>
      </c>
      <c r="D1346" s="1595" t="s">
        <v>13200</v>
      </c>
      <c r="E1346" s="1595"/>
      <c r="F1346" s="1595"/>
      <c r="G1346" s="1595"/>
      <c r="H1346" s="1596">
        <v>2</v>
      </c>
      <c r="I1346" s="1595"/>
      <c r="J1346" s="1595"/>
      <c r="K1346" s="1597">
        <v>4125</v>
      </c>
      <c r="L1346" s="1597">
        <v>4125</v>
      </c>
      <c r="M1346" s="1597">
        <v>-4125</v>
      </c>
      <c r="N1346" s="1598"/>
      <c r="O1346" s="1598"/>
      <c r="P1346" s="1597">
        <v>4125</v>
      </c>
      <c r="Q1346" s="1597">
        <v>-4125</v>
      </c>
      <c r="R1346" s="1598"/>
      <c r="S1346" s="1592"/>
    </row>
    <row r="1347" spans="2:19" s="1593" customFormat="1" ht="11.25" customHeight="1" outlineLevel="1">
      <c r="B1347" s="1594">
        <v>30491</v>
      </c>
      <c r="C1347" s="1595" t="s">
        <v>8215</v>
      </c>
      <c r="D1347" s="1595" t="s">
        <v>13199</v>
      </c>
      <c r="E1347" s="1595"/>
      <c r="F1347" s="1595"/>
      <c r="G1347" s="1595"/>
      <c r="H1347" s="1596">
        <v>2</v>
      </c>
      <c r="I1347" s="1595"/>
      <c r="J1347" s="1595"/>
      <c r="K1347" s="1597">
        <v>6095</v>
      </c>
      <c r="L1347" s="1597">
        <v>6095</v>
      </c>
      <c r="M1347" s="1597">
        <v>-6095</v>
      </c>
      <c r="N1347" s="1598"/>
      <c r="O1347" s="1598"/>
      <c r="P1347" s="1597">
        <v>6095</v>
      </c>
      <c r="Q1347" s="1597">
        <v>-6095</v>
      </c>
      <c r="R1347" s="1598"/>
      <c r="S1347" s="1592"/>
    </row>
    <row r="1348" spans="2:19" s="1593" customFormat="1" ht="11.25" customHeight="1" outlineLevel="1">
      <c r="B1348" s="1594">
        <v>30500</v>
      </c>
      <c r="C1348" s="1595" t="s">
        <v>8215</v>
      </c>
      <c r="D1348" s="1595" t="s">
        <v>13198</v>
      </c>
      <c r="E1348" s="1595"/>
      <c r="F1348" s="1595"/>
      <c r="G1348" s="1595"/>
      <c r="H1348" s="1596">
        <v>2</v>
      </c>
      <c r="I1348" s="1595"/>
      <c r="J1348" s="1595"/>
      <c r="K1348" s="1599">
        <v>800.12</v>
      </c>
      <c r="L1348" s="1599">
        <v>800.12</v>
      </c>
      <c r="M1348" s="1599">
        <v>-800.12</v>
      </c>
      <c r="N1348" s="1598"/>
      <c r="O1348" s="1598"/>
      <c r="P1348" s="1599">
        <v>800.12</v>
      </c>
      <c r="Q1348" s="1599">
        <v>-800.12</v>
      </c>
      <c r="R1348" s="1598"/>
      <c r="S1348" s="1592"/>
    </row>
    <row r="1349" spans="2:19" s="1593" customFormat="1" ht="11.25" customHeight="1" outlineLevel="1">
      <c r="B1349" s="1594">
        <v>30503</v>
      </c>
      <c r="C1349" s="1595" t="s">
        <v>8215</v>
      </c>
      <c r="D1349" s="1595" t="s">
        <v>13197</v>
      </c>
      <c r="E1349" s="1595"/>
      <c r="F1349" s="1595"/>
      <c r="G1349" s="1595"/>
      <c r="H1349" s="1596">
        <v>2</v>
      </c>
      <c r="I1349" s="1595"/>
      <c r="J1349" s="1595"/>
      <c r="K1349" s="1597">
        <v>6750</v>
      </c>
      <c r="L1349" s="1597">
        <v>6750</v>
      </c>
      <c r="M1349" s="1597">
        <v>-6750</v>
      </c>
      <c r="N1349" s="1598"/>
      <c r="O1349" s="1598"/>
      <c r="P1349" s="1597">
        <v>6750</v>
      </c>
      <c r="Q1349" s="1597">
        <v>-6750</v>
      </c>
      <c r="R1349" s="1598"/>
      <c r="S1349" s="1592"/>
    </row>
    <row r="1350" spans="2:19" s="1593" customFormat="1" ht="11.25" customHeight="1" outlineLevel="1">
      <c r="B1350" s="1594">
        <v>30508</v>
      </c>
      <c r="C1350" s="1595" t="s">
        <v>8215</v>
      </c>
      <c r="D1350" s="1595" t="s">
        <v>13196</v>
      </c>
      <c r="E1350" s="1595"/>
      <c r="F1350" s="1595"/>
      <c r="G1350" s="1595"/>
      <c r="H1350" s="1596">
        <v>2</v>
      </c>
      <c r="I1350" s="1595"/>
      <c r="J1350" s="1595"/>
      <c r="K1350" s="1597">
        <v>1542</v>
      </c>
      <c r="L1350" s="1597">
        <v>1542</v>
      </c>
      <c r="M1350" s="1597">
        <v>-1542</v>
      </c>
      <c r="N1350" s="1598"/>
      <c r="O1350" s="1598"/>
      <c r="P1350" s="1597">
        <v>1542</v>
      </c>
      <c r="Q1350" s="1597">
        <v>-1542</v>
      </c>
      <c r="R1350" s="1598"/>
      <c r="S1350" s="1592"/>
    </row>
    <row r="1351" spans="2:19" s="1593" customFormat="1" ht="11.25" customHeight="1" outlineLevel="1">
      <c r="B1351" s="1594">
        <v>30512</v>
      </c>
      <c r="C1351" s="1595" t="s">
        <v>8215</v>
      </c>
      <c r="D1351" s="1595" t="s">
        <v>13195</v>
      </c>
      <c r="E1351" s="1595"/>
      <c r="F1351" s="1595"/>
      <c r="G1351" s="1595"/>
      <c r="H1351" s="1596">
        <v>2</v>
      </c>
      <c r="I1351" s="1595"/>
      <c r="J1351" s="1595"/>
      <c r="K1351" s="1597">
        <v>5363</v>
      </c>
      <c r="L1351" s="1597">
        <v>5363</v>
      </c>
      <c r="M1351" s="1597">
        <v>-5363</v>
      </c>
      <c r="N1351" s="1598"/>
      <c r="O1351" s="1598"/>
      <c r="P1351" s="1597">
        <v>5363</v>
      </c>
      <c r="Q1351" s="1597">
        <v>-5363</v>
      </c>
      <c r="R1351" s="1598"/>
      <c r="S1351" s="1592"/>
    </row>
    <row r="1352" spans="2:19" s="1593" customFormat="1" ht="11.25" customHeight="1" outlineLevel="1">
      <c r="B1352" s="1594">
        <v>30513</v>
      </c>
      <c r="C1352" s="1595" t="s">
        <v>8215</v>
      </c>
      <c r="D1352" s="1595" t="s">
        <v>13194</v>
      </c>
      <c r="E1352" s="1595"/>
      <c r="F1352" s="1595"/>
      <c r="G1352" s="1595"/>
      <c r="H1352" s="1596">
        <v>2</v>
      </c>
      <c r="I1352" s="1595"/>
      <c r="J1352" s="1595"/>
      <c r="K1352" s="1597">
        <v>9042</v>
      </c>
      <c r="L1352" s="1597">
        <v>9042</v>
      </c>
      <c r="M1352" s="1597">
        <v>-9042</v>
      </c>
      <c r="N1352" s="1598"/>
      <c r="O1352" s="1598"/>
      <c r="P1352" s="1597">
        <v>9042</v>
      </c>
      <c r="Q1352" s="1597">
        <v>-9042</v>
      </c>
      <c r="R1352" s="1598"/>
      <c r="S1352" s="1592"/>
    </row>
    <row r="1353" spans="2:19" s="1593" customFormat="1" ht="11.25" customHeight="1" outlineLevel="1">
      <c r="B1353" s="1594">
        <v>30574</v>
      </c>
      <c r="C1353" s="1595" t="s">
        <v>8215</v>
      </c>
      <c r="D1353" s="1595" t="s">
        <v>13193</v>
      </c>
      <c r="E1353" s="1595"/>
      <c r="F1353" s="1595"/>
      <c r="G1353" s="1595"/>
      <c r="H1353" s="1596">
        <v>2</v>
      </c>
      <c r="I1353" s="1595"/>
      <c r="J1353" s="1595"/>
      <c r="K1353" s="1597">
        <v>3333.34</v>
      </c>
      <c r="L1353" s="1597">
        <v>3333.34</v>
      </c>
      <c r="M1353" s="1597">
        <v>-3333.34</v>
      </c>
      <c r="N1353" s="1598"/>
      <c r="O1353" s="1598"/>
      <c r="P1353" s="1597">
        <v>3333.34</v>
      </c>
      <c r="Q1353" s="1597">
        <v>-3333.34</v>
      </c>
      <c r="R1353" s="1598"/>
      <c r="S1353" s="1592"/>
    </row>
    <row r="1354" spans="2:19" s="1593" customFormat="1" ht="11.25" customHeight="1" outlineLevel="1">
      <c r="B1354" s="1594">
        <v>33267</v>
      </c>
      <c r="C1354" s="1595" t="s">
        <v>8215</v>
      </c>
      <c r="D1354" s="1595" t="s">
        <v>13192</v>
      </c>
      <c r="E1354" s="1595"/>
      <c r="F1354" s="1595"/>
      <c r="G1354" s="1595"/>
      <c r="H1354" s="1596">
        <v>2</v>
      </c>
      <c r="I1354" s="1595"/>
      <c r="J1354" s="1595"/>
      <c r="K1354" s="1597">
        <v>6750</v>
      </c>
      <c r="L1354" s="1597">
        <v>6750</v>
      </c>
      <c r="M1354" s="1597">
        <v>-6750</v>
      </c>
      <c r="N1354" s="1598"/>
      <c r="O1354" s="1598"/>
      <c r="P1354" s="1597">
        <v>6750</v>
      </c>
      <c r="Q1354" s="1597">
        <v>-6750</v>
      </c>
      <c r="R1354" s="1598"/>
      <c r="S1354" s="1592"/>
    </row>
    <row r="1355" spans="2:19" s="1593" customFormat="1" ht="11.25" customHeight="1" outlineLevel="1">
      <c r="B1355" s="1594">
        <v>35465</v>
      </c>
      <c r="C1355" s="1595" t="s">
        <v>8215</v>
      </c>
      <c r="D1355" s="1595" t="s">
        <v>13191</v>
      </c>
      <c r="E1355" s="1595"/>
      <c r="F1355" s="1595"/>
      <c r="G1355" s="1595"/>
      <c r="H1355" s="1596">
        <v>2</v>
      </c>
      <c r="I1355" s="1595"/>
      <c r="J1355" s="1595"/>
      <c r="K1355" s="1597">
        <v>9042</v>
      </c>
      <c r="L1355" s="1597">
        <v>9042</v>
      </c>
      <c r="M1355" s="1597">
        <v>-9042</v>
      </c>
      <c r="N1355" s="1598"/>
      <c r="O1355" s="1598"/>
      <c r="P1355" s="1597">
        <v>9042</v>
      </c>
      <c r="Q1355" s="1597">
        <v>-9042</v>
      </c>
      <c r="R1355" s="1598"/>
      <c r="S1355" s="1592"/>
    </row>
    <row r="1356" spans="2:19" s="1593" customFormat="1" ht="11.25" customHeight="1" outlineLevel="1">
      <c r="B1356" s="1594">
        <v>26519</v>
      </c>
      <c r="C1356" s="1595" t="s">
        <v>13167</v>
      </c>
      <c r="D1356" s="1595" t="s">
        <v>13190</v>
      </c>
      <c r="E1356" s="1595"/>
      <c r="F1356" s="1595"/>
      <c r="G1356" s="1595"/>
      <c r="H1356" s="1596">
        <v>2</v>
      </c>
      <c r="I1356" s="1595"/>
      <c r="J1356" s="1595"/>
      <c r="K1356" s="1597">
        <v>15000</v>
      </c>
      <c r="L1356" s="1597">
        <v>15000</v>
      </c>
      <c r="M1356" s="1597">
        <v>-15000</v>
      </c>
      <c r="N1356" s="1598"/>
      <c r="O1356" s="1598"/>
      <c r="P1356" s="1597">
        <v>15000</v>
      </c>
      <c r="Q1356" s="1597">
        <v>-15000</v>
      </c>
      <c r="R1356" s="1598"/>
      <c r="S1356" s="1592"/>
    </row>
    <row r="1357" spans="2:19" s="1593" customFormat="1" ht="11.25" customHeight="1" outlineLevel="1">
      <c r="B1357" s="1594">
        <v>28504</v>
      </c>
      <c r="C1357" s="1595" t="s">
        <v>13167</v>
      </c>
      <c r="D1357" s="1595" t="s">
        <v>13189</v>
      </c>
      <c r="E1357" s="1595"/>
      <c r="F1357" s="1595"/>
      <c r="G1357" s="1595"/>
      <c r="H1357" s="1596">
        <v>2</v>
      </c>
      <c r="I1357" s="1595"/>
      <c r="J1357" s="1595"/>
      <c r="K1357" s="1597">
        <v>16875</v>
      </c>
      <c r="L1357" s="1597">
        <v>16875</v>
      </c>
      <c r="M1357" s="1597">
        <v>-16875</v>
      </c>
      <c r="N1357" s="1598"/>
      <c r="O1357" s="1598"/>
      <c r="P1357" s="1597">
        <v>16875</v>
      </c>
      <c r="Q1357" s="1597">
        <v>-16875</v>
      </c>
      <c r="R1357" s="1598"/>
      <c r="S1357" s="1592"/>
    </row>
    <row r="1358" spans="2:19" s="1593" customFormat="1" ht="11.25" customHeight="1" outlineLevel="1">
      <c r="B1358" s="1594">
        <v>28510</v>
      </c>
      <c r="C1358" s="1595" t="s">
        <v>13167</v>
      </c>
      <c r="D1358" s="1595" t="s">
        <v>13188</v>
      </c>
      <c r="E1358" s="1595"/>
      <c r="F1358" s="1595"/>
      <c r="G1358" s="1595"/>
      <c r="H1358" s="1596">
        <v>2</v>
      </c>
      <c r="I1358" s="1595"/>
      <c r="J1358" s="1595"/>
      <c r="K1358" s="1597">
        <v>12083</v>
      </c>
      <c r="L1358" s="1597">
        <v>12083</v>
      </c>
      <c r="M1358" s="1597">
        <v>-12083</v>
      </c>
      <c r="N1358" s="1598"/>
      <c r="O1358" s="1598"/>
      <c r="P1358" s="1597">
        <v>12083</v>
      </c>
      <c r="Q1358" s="1597">
        <v>-12083</v>
      </c>
      <c r="R1358" s="1598"/>
      <c r="S1358" s="1592"/>
    </row>
    <row r="1359" spans="2:19" s="1593" customFormat="1" ht="11.25" customHeight="1" outlineLevel="1">
      <c r="B1359" s="1594">
        <v>28621</v>
      </c>
      <c r="C1359" s="1595" t="s">
        <v>13167</v>
      </c>
      <c r="D1359" s="1595" t="s">
        <v>13187</v>
      </c>
      <c r="E1359" s="1595"/>
      <c r="F1359" s="1595"/>
      <c r="G1359" s="1595"/>
      <c r="H1359" s="1596">
        <v>2</v>
      </c>
      <c r="I1359" s="1595"/>
      <c r="J1359" s="1595"/>
      <c r="K1359" s="1597">
        <v>11750</v>
      </c>
      <c r="L1359" s="1597">
        <v>11750</v>
      </c>
      <c r="M1359" s="1597">
        <v>-11750</v>
      </c>
      <c r="N1359" s="1598"/>
      <c r="O1359" s="1598"/>
      <c r="P1359" s="1597">
        <v>11750</v>
      </c>
      <c r="Q1359" s="1597">
        <v>-11750</v>
      </c>
      <c r="R1359" s="1598"/>
      <c r="S1359" s="1592"/>
    </row>
    <row r="1360" spans="2:19" s="1593" customFormat="1" ht="11.25" customHeight="1" outlineLevel="1">
      <c r="B1360" s="1594">
        <v>28622</v>
      </c>
      <c r="C1360" s="1595" t="s">
        <v>13167</v>
      </c>
      <c r="D1360" s="1595" t="s">
        <v>13186</v>
      </c>
      <c r="E1360" s="1595"/>
      <c r="F1360" s="1595"/>
      <c r="G1360" s="1595"/>
      <c r="H1360" s="1596">
        <v>2</v>
      </c>
      <c r="I1360" s="1595"/>
      <c r="J1360" s="1595"/>
      <c r="K1360" s="1597">
        <v>9925</v>
      </c>
      <c r="L1360" s="1597">
        <v>9925</v>
      </c>
      <c r="M1360" s="1597">
        <v>-9925</v>
      </c>
      <c r="N1360" s="1598"/>
      <c r="O1360" s="1598"/>
      <c r="P1360" s="1597">
        <v>9925</v>
      </c>
      <c r="Q1360" s="1597">
        <v>-9925</v>
      </c>
      <c r="R1360" s="1598"/>
      <c r="S1360" s="1592"/>
    </row>
    <row r="1361" spans="2:19" s="1593" customFormat="1" ht="11.25" customHeight="1" outlineLevel="1">
      <c r="B1361" s="1594">
        <v>28623</v>
      </c>
      <c r="C1361" s="1595" t="s">
        <v>13167</v>
      </c>
      <c r="D1361" s="1595" t="s">
        <v>13185</v>
      </c>
      <c r="E1361" s="1595"/>
      <c r="F1361" s="1595"/>
      <c r="G1361" s="1595"/>
      <c r="H1361" s="1596">
        <v>2</v>
      </c>
      <c r="I1361" s="1595"/>
      <c r="J1361" s="1595"/>
      <c r="K1361" s="1597">
        <v>16098</v>
      </c>
      <c r="L1361" s="1597">
        <v>16098</v>
      </c>
      <c r="M1361" s="1597">
        <v>-16098</v>
      </c>
      <c r="N1361" s="1598"/>
      <c r="O1361" s="1598"/>
      <c r="P1361" s="1597">
        <v>16098</v>
      </c>
      <c r="Q1361" s="1597">
        <v>-16098</v>
      </c>
      <c r="R1361" s="1598"/>
      <c r="S1361" s="1592"/>
    </row>
    <row r="1362" spans="2:19" s="1593" customFormat="1" ht="11.25" customHeight="1" outlineLevel="1">
      <c r="B1362" s="1594">
        <v>28626</v>
      </c>
      <c r="C1362" s="1595" t="s">
        <v>13167</v>
      </c>
      <c r="D1362" s="1595" t="s">
        <v>13184</v>
      </c>
      <c r="E1362" s="1595"/>
      <c r="F1362" s="1595"/>
      <c r="G1362" s="1595"/>
      <c r="H1362" s="1596">
        <v>2</v>
      </c>
      <c r="I1362" s="1595"/>
      <c r="J1362" s="1595"/>
      <c r="K1362" s="1597">
        <v>12500</v>
      </c>
      <c r="L1362" s="1597">
        <v>12500</v>
      </c>
      <c r="M1362" s="1597">
        <v>-12500</v>
      </c>
      <c r="N1362" s="1598"/>
      <c r="O1362" s="1598"/>
      <c r="P1362" s="1597">
        <v>11238.3</v>
      </c>
      <c r="Q1362" s="1597">
        <v>-11238.3</v>
      </c>
      <c r="R1362" s="1598"/>
      <c r="S1362" s="1592"/>
    </row>
    <row r="1363" spans="2:19" s="1593" customFormat="1" ht="11.25" customHeight="1" outlineLevel="1">
      <c r="B1363" s="1594">
        <v>28628</v>
      </c>
      <c r="C1363" s="1595" t="s">
        <v>13167</v>
      </c>
      <c r="D1363" s="1595" t="s">
        <v>13183</v>
      </c>
      <c r="E1363" s="1595"/>
      <c r="F1363" s="1595"/>
      <c r="G1363" s="1595"/>
      <c r="H1363" s="1596">
        <v>2</v>
      </c>
      <c r="I1363" s="1595"/>
      <c r="J1363" s="1595"/>
      <c r="K1363" s="1597">
        <v>9094</v>
      </c>
      <c r="L1363" s="1597">
        <v>9094</v>
      </c>
      <c r="M1363" s="1597">
        <v>-9094</v>
      </c>
      <c r="N1363" s="1598"/>
      <c r="O1363" s="1598"/>
      <c r="P1363" s="1597">
        <v>9094</v>
      </c>
      <c r="Q1363" s="1597">
        <v>-9094</v>
      </c>
      <c r="R1363" s="1598"/>
      <c r="S1363" s="1592"/>
    </row>
    <row r="1364" spans="2:19" s="1593" customFormat="1" ht="11.25" customHeight="1" outlineLevel="1">
      <c r="B1364" s="1594">
        <v>28681</v>
      </c>
      <c r="C1364" s="1595" t="s">
        <v>13167</v>
      </c>
      <c r="D1364" s="1595" t="s">
        <v>13182</v>
      </c>
      <c r="E1364" s="1595"/>
      <c r="F1364" s="1595"/>
      <c r="G1364" s="1595" t="s">
        <v>3596</v>
      </c>
      <c r="H1364" s="1596">
        <v>2</v>
      </c>
      <c r="I1364" s="1595"/>
      <c r="J1364" s="1595"/>
      <c r="K1364" s="1597">
        <v>210417</v>
      </c>
      <c r="L1364" s="1597">
        <v>210417</v>
      </c>
      <c r="M1364" s="1598"/>
      <c r="N1364" s="1597">
        <v>210417</v>
      </c>
      <c r="O1364" s="1597">
        <v>19882.439999999999</v>
      </c>
      <c r="P1364" s="1597">
        <v>180593.38</v>
      </c>
      <c r="Q1364" s="1597">
        <v>9941.18</v>
      </c>
      <c r="R1364" s="1597">
        <v>190534.56</v>
      </c>
      <c r="S1364" s="1592"/>
    </row>
    <row r="1365" spans="2:19" s="1593" customFormat="1" ht="11.25" customHeight="1" outlineLevel="1">
      <c r="B1365" s="1594">
        <v>29241</v>
      </c>
      <c r="C1365" s="1595" t="s">
        <v>13167</v>
      </c>
      <c r="D1365" s="1595" t="s">
        <v>13181</v>
      </c>
      <c r="E1365" s="1595"/>
      <c r="F1365" s="1595"/>
      <c r="G1365" s="1595"/>
      <c r="H1365" s="1596">
        <v>2</v>
      </c>
      <c r="I1365" s="1595"/>
      <c r="J1365" s="1595"/>
      <c r="K1365" s="1597">
        <v>49765</v>
      </c>
      <c r="L1365" s="1597">
        <v>49765</v>
      </c>
      <c r="M1365" s="1597">
        <v>-49765</v>
      </c>
      <c r="N1365" s="1598"/>
      <c r="O1365" s="1598"/>
      <c r="P1365" s="1597">
        <v>49765</v>
      </c>
      <c r="Q1365" s="1597">
        <v>-49765</v>
      </c>
      <c r="R1365" s="1598"/>
      <c r="S1365" s="1592"/>
    </row>
    <row r="1366" spans="2:19" s="1593" customFormat="1" ht="11.25" customHeight="1" outlineLevel="1">
      <c r="B1366" s="1594">
        <v>29783</v>
      </c>
      <c r="C1366" s="1595" t="s">
        <v>13167</v>
      </c>
      <c r="D1366" s="1595" t="s">
        <v>13180</v>
      </c>
      <c r="E1366" s="1595"/>
      <c r="F1366" s="1595"/>
      <c r="G1366" s="1595"/>
      <c r="H1366" s="1596">
        <v>2</v>
      </c>
      <c r="I1366" s="1595"/>
      <c r="J1366" s="1595"/>
      <c r="K1366" s="1597">
        <v>13642</v>
      </c>
      <c r="L1366" s="1597">
        <v>13642</v>
      </c>
      <c r="M1366" s="1597">
        <v>-13642</v>
      </c>
      <c r="N1366" s="1598"/>
      <c r="O1366" s="1598"/>
      <c r="P1366" s="1597">
        <v>13642</v>
      </c>
      <c r="Q1366" s="1597">
        <v>-13642</v>
      </c>
      <c r="R1366" s="1598"/>
      <c r="S1366" s="1592"/>
    </row>
    <row r="1367" spans="2:19" s="1593" customFormat="1" ht="11.25" customHeight="1" outlineLevel="1">
      <c r="B1367" s="1594">
        <v>29784</v>
      </c>
      <c r="C1367" s="1595" t="s">
        <v>13167</v>
      </c>
      <c r="D1367" s="1595" t="s">
        <v>13179</v>
      </c>
      <c r="E1367" s="1595"/>
      <c r="F1367" s="1595"/>
      <c r="G1367" s="1595"/>
      <c r="H1367" s="1596">
        <v>2</v>
      </c>
      <c r="I1367" s="1595"/>
      <c r="J1367" s="1595"/>
      <c r="K1367" s="1597">
        <v>13700</v>
      </c>
      <c r="L1367" s="1597">
        <v>13700</v>
      </c>
      <c r="M1367" s="1597">
        <v>-13700</v>
      </c>
      <c r="N1367" s="1598"/>
      <c r="O1367" s="1598"/>
      <c r="P1367" s="1597">
        <v>8121.6</v>
      </c>
      <c r="Q1367" s="1597">
        <v>-8121.6</v>
      </c>
      <c r="R1367" s="1598"/>
      <c r="S1367" s="1592"/>
    </row>
    <row r="1368" spans="2:19" s="1593" customFormat="1" ht="11.25" customHeight="1" outlineLevel="1">
      <c r="B1368" s="1594">
        <v>29930</v>
      </c>
      <c r="C1368" s="1595" t="s">
        <v>13167</v>
      </c>
      <c r="D1368" s="1595" t="s">
        <v>13178</v>
      </c>
      <c r="E1368" s="1595"/>
      <c r="F1368" s="1595"/>
      <c r="G1368" s="1595"/>
      <c r="H1368" s="1596">
        <v>2</v>
      </c>
      <c r="I1368" s="1595"/>
      <c r="J1368" s="1595"/>
      <c r="K1368" s="1597">
        <v>4016</v>
      </c>
      <c r="L1368" s="1597">
        <v>4016</v>
      </c>
      <c r="M1368" s="1597">
        <v>-4016</v>
      </c>
      <c r="N1368" s="1598"/>
      <c r="O1368" s="1598"/>
      <c r="P1368" s="1597">
        <v>4016</v>
      </c>
      <c r="Q1368" s="1597">
        <v>-4016</v>
      </c>
      <c r="R1368" s="1598"/>
      <c r="S1368" s="1592"/>
    </row>
    <row r="1369" spans="2:19" s="1593" customFormat="1" ht="11.25" customHeight="1" outlineLevel="1">
      <c r="B1369" s="1594">
        <v>29931</v>
      </c>
      <c r="C1369" s="1595" t="s">
        <v>13167</v>
      </c>
      <c r="D1369" s="1595" t="s">
        <v>13177</v>
      </c>
      <c r="E1369" s="1595"/>
      <c r="F1369" s="1595"/>
      <c r="G1369" s="1595"/>
      <c r="H1369" s="1596">
        <v>2</v>
      </c>
      <c r="I1369" s="1595"/>
      <c r="J1369" s="1595"/>
      <c r="K1369" s="1597">
        <v>13300</v>
      </c>
      <c r="L1369" s="1597">
        <v>13300</v>
      </c>
      <c r="M1369" s="1597">
        <v>-13300</v>
      </c>
      <c r="N1369" s="1598"/>
      <c r="O1369" s="1598"/>
      <c r="P1369" s="1597">
        <v>13300</v>
      </c>
      <c r="Q1369" s="1597">
        <v>-13300</v>
      </c>
      <c r="R1369" s="1598"/>
      <c r="S1369" s="1592"/>
    </row>
    <row r="1370" spans="2:19" s="1593" customFormat="1" ht="11.25" customHeight="1" outlineLevel="1">
      <c r="B1370" s="1594">
        <v>29946</v>
      </c>
      <c r="C1370" s="1595" t="s">
        <v>13167</v>
      </c>
      <c r="D1370" s="1595" t="s">
        <v>13176</v>
      </c>
      <c r="E1370" s="1595"/>
      <c r="F1370" s="1595"/>
      <c r="G1370" s="1595"/>
      <c r="H1370" s="1596">
        <v>2</v>
      </c>
      <c r="I1370" s="1595"/>
      <c r="J1370" s="1595"/>
      <c r="K1370" s="1597">
        <v>5250</v>
      </c>
      <c r="L1370" s="1597">
        <v>5250</v>
      </c>
      <c r="M1370" s="1597">
        <v>-5250</v>
      </c>
      <c r="N1370" s="1598"/>
      <c r="O1370" s="1598"/>
      <c r="P1370" s="1597">
        <v>5250</v>
      </c>
      <c r="Q1370" s="1597">
        <v>-5250</v>
      </c>
      <c r="R1370" s="1598"/>
      <c r="S1370" s="1592"/>
    </row>
    <row r="1371" spans="2:19" s="1593" customFormat="1" ht="11.25" customHeight="1" outlineLevel="1">
      <c r="B1371" s="1594">
        <v>33280</v>
      </c>
      <c r="C1371" s="1595" t="s">
        <v>13167</v>
      </c>
      <c r="D1371" s="1595" t="s">
        <v>13175</v>
      </c>
      <c r="E1371" s="1595"/>
      <c r="F1371" s="1595"/>
      <c r="G1371" s="1595"/>
      <c r="H1371" s="1596">
        <v>2</v>
      </c>
      <c r="I1371" s="1595"/>
      <c r="J1371" s="1595"/>
      <c r="K1371" s="1597">
        <v>17000</v>
      </c>
      <c r="L1371" s="1597">
        <v>17000</v>
      </c>
      <c r="M1371" s="1597">
        <v>-17000</v>
      </c>
      <c r="N1371" s="1598"/>
      <c r="O1371" s="1598"/>
      <c r="P1371" s="1597">
        <v>17000</v>
      </c>
      <c r="Q1371" s="1597">
        <v>-17000</v>
      </c>
      <c r="R1371" s="1598"/>
      <c r="S1371" s="1592"/>
    </row>
    <row r="1372" spans="2:19" s="1593" customFormat="1" ht="11.25" customHeight="1" outlineLevel="1">
      <c r="B1372" s="1594">
        <v>34898</v>
      </c>
      <c r="C1372" s="1595" t="s">
        <v>13167</v>
      </c>
      <c r="D1372" s="1595" t="s">
        <v>13174</v>
      </c>
      <c r="E1372" s="1595"/>
      <c r="F1372" s="1595"/>
      <c r="G1372" s="1595" t="s">
        <v>3596</v>
      </c>
      <c r="H1372" s="1596">
        <v>2</v>
      </c>
      <c r="I1372" s="1595"/>
      <c r="J1372" s="1595"/>
      <c r="K1372" s="1597">
        <v>210417</v>
      </c>
      <c r="L1372" s="1597">
        <v>210417</v>
      </c>
      <c r="M1372" s="1598"/>
      <c r="N1372" s="1597">
        <v>210417</v>
      </c>
      <c r="O1372" s="1597">
        <v>19882.439999999999</v>
      </c>
      <c r="P1372" s="1597">
        <v>180593.38</v>
      </c>
      <c r="Q1372" s="1597">
        <v>9941.18</v>
      </c>
      <c r="R1372" s="1597">
        <v>190534.56</v>
      </c>
      <c r="S1372" s="1592"/>
    </row>
    <row r="1373" spans="2:19" s="1593" customFormat="1" ht="11.25" customHeight="1" outlineLevel="1">
      <c r="B1373" s="1594">
        <v>34899</v>
      </c>
      <c r="C1373" s="1595" t="s">
        <v>13167</v>
      </c>
      <c r="D1373" s="1595" t="s">
        <v>13173</v>
      </c>
      <c r="E1373" s="1595"/>
      <c r="F1373" s="1595"/>
      <c r="G1373" s="1595" t="s">
        <v>3596</v>
      </c>
      <c r="H1373" s="1596">
        <v>2</v>
      </c>
      <c r="I1373" s="1595"/>
      <c r="J1373" s="1595"/>
      <c r="K1373" s="1597">
        <v>210417</v>
      </c>
      <c r="L1373" s="1597">
        <v>210417</v>
      </c>
      <c r="M1373" s="1598"/>
      <c r="N1373" s="1597">
        <v>210417</v>
      </c>
      <c r="O1373" s="1597">
        <v>19882.439999999999</v>
      </c>
      <c r="P1373" s="1597">
        <v>180593.38</v>
      </c>
      <c r="Q1373" s="1597">
        <v>9941.18</v>
      </c>
      <c r="R1373" s="1597">
        <v>190534.56</v>
      </c>
      <c r="S1373" s="1592"/>
    </row>
    <row r="1374" spans="2:19" s="1593" customFormat="1" ht="11.25" customHeight="1" outlineLevel="1">
      <c r="B1374" s="1594">
        <v>34900</v>
      </c>
      <c r="C1374" s="1595" t="s">
        <v>13167</v>
      </c>
      <c r="D1374" s="1595" t="s">
        <v>13172</v>
      </c>
      <c r="E1374" s="1595"/>
      <c r="F1374" s="1595"/>
      <c r="G1374" s="1595" t="s">
        <v>3596</v>
      </c>
      <c r="H1374" s="1596">
        <v>2</v>
      </c>
      <c r="I1374" s="1595"/>
      <c r="J1374" s="1595"/>
      <c r="K1374" s="1597">
        <v>210417</v>
      </c>
      <c r="L1374" s="1597">
        <v>210417</v>
      </c>
      <c r="M1374" s="1598"/>
      <c r="N1374" s="1597">
        <v>210417</v>
      </c>
      <c r="O1374" s="1597">
        <v>19882.439999999999</v>
      </c>
      <c r="P1374" s="1597">
        <v>180593.38</v>
      </c>
      <c r="Q1374" s="1597">
        <v>9941.18</v>
      </c>
      <c r="R1374" s="1597">
        <v>190534.56</v>
      </c>
      <c r="S1374" s="1592"/>
    </row>
    <row r="1375" spans="2:19" s="1593" customFormat="1" ht="11.25" customHeight="1" outlineLevel="1">
      <c r="B1375" s="1594">
        <v>35160</v>
      </c>
      <c r="C1375" s="1595" t="s">
        <v>13167</v>
      </c>
      <c r="D1375" s="1595" t="s">
        <v>13171</v>
      </c>
      <c r="E1375" s="1595"/>
      <c r="F1375" s="1595"/>
      <c r="G1375" s="1595"/>
      <c r="H1375" s="1596">
        <v>2</v>
      </c>
      <c r="I1375" s="1595"/>
      <c r="J1375" s="1595"/>
      <c r="K1375" s="1597">
        <v>15000</v>
      </c>
      <c r="L1375" s="1597">
        <v>15000</v>
      </c>
      <c r="M1375" s="1597">
        <v>-15000</v>
      </c>
      <c r="N1375" s="1598"/>
      <c r="O1375" s="1598"/>
      <c r="P1375" s="1597">
        <v>15000</v>
      </c>
      <c r="Q1375" s="1597">
        <v>-15000</v>
      </c>
      <c r="R1375" s="1598"/>
      <c r="S1375" s="1592"/>
    </row>
    <row r="1376" spans="2:19" s="1593" customFormat="1" ht="11.25" customHeight="1" outlineLevel="1">
      <c r="B1376" s="1594">
        <v>35182</v>
      </c>
      <c r="C1376" s="1595" t="s">
        <v>13167</v>
      </c>
      <c r="D1376" s="1595" t="s">
        <v>13170</v>
      </c>
      <c r="E1376" s="1595"/>
      <c r="F1376" s="1595"/>
      <c r="G1376" s="1595"/>
      <c r="H1376" s="1596">
        <v>2</v>
      </c>
      <c r="I1376" s="1595"/>
      <c r="J1376" s="1595"/>
      <c r="K1376" s="1597">
        <v>11750</v>
      </c>
      <c r="L1376" s="1597">
        <v>11750</v>
      </c>
      <c r="M1376" s="1597">
        <v>-11750</v>
      </c>
      <c r="N1376" s="1598"/>
      <c r="O1376" s="1598"/>
      <c r="P1376" s="1597">
        <v>11750</v>
      </c>
      <c r="Q1376" s="1597">
        <v>-11750</v>
      </c>
      <c r="R1376" s="1598"/>
      <c r="S1376" s="1592"/>
    </row>
    <row r="1377" spans="2:19" s="1593" customFormat="1" ht="11.25" customHeight="1" outlineLevel="1">
      <c r="B1377" s="1594">
        <v>35189</v>
      </c>
      <c r="C1377" s="1595" t="s">
        <v>13167</v>
      </c>
      <c r="D1377" s="1595" t="s">
        <v>13169</v>
      </c>
      <c r="E1377" s="1595"/>
      <c r="F1377" s="1595"/>
      <c r="G1377" s="1595"/>
      <c r="H1377" s="1596">
        <v>2</v>
      </c>
      <c r="I1377" s="1595"/>
      <c r="J1377" s="1595"/>
      <c r="K1377" s="1597">
        <v>9925</v>
      </c>
      <c r="L1377" s="1597">
        <v>9925</v>
      </c>
      <c r="M1377" s="1597">
        <v>-9925</v>
      </c>
      <c r="N1377" s="1598"/>
      <c r="O1377" s="1598"/>
      <c r="P1377" s="1597">
        <v>9925</v>
      </c>
      <c r="Q1377" s="1597">
        <v>-9925</v>
      </c>
      <c r="R1377" s="1598"/>
      <c r="S1377" s="1592"/>
    </row>
    <row r="1378" spans="2:19" s="1593" customFormat="1" ht="11.25" customHeight="1" outlineLevel="1">
      <c r="B1378" s="1594">
        <v>36871</v>
      </c>
      <c r="C1378" s="1595" t="s">
        <v>13167</v>
      </c>
      <c r="D1378" s="1595" t="s">
        <v>13168</v>
      </c>
      <c r="E1378" s="1595"/>
      <c r="F1378" s="1595"/>
      <c r="G1378" s="1595"/>
      <c r="H1378" s="1596">
        <v>2</v>
      </c>
      <c r="I1378" s="1595"/>
      <c r="J1378" s="1595"/>
      <c r="K1378" s="1597">
        <v>12500</v>
      </c>
      <c r="L1378" s="1597">
        <v>12500</v>
      </c>
      <c r="M1378" s="1597">
        <v>-12500</v>
      </c>
      <c r="N1378" s="1598"/>
      <c r="O1378" s="1598"/>
      <c r="P1378" s="1597">
        <v>12500</v>
      </c>
      <c r="Q1378" s="1597">
        <v>-12500</v>
      </c>
      <c r="R1378" s="1598"/>
      <c r="S1378" s="1592"/>
    </row>
    <row r="1379" spans="2:19" s="1593" customFormat="1" ht="11.25" customHeight="1" outlineLevel="1">
      <c r="B1379" s="1594">
        <v>37118</v>
      </c>
      <c r="C1379" s="1595" t="s">
        <v>13167</v>
      </c>
      <c r="D1379" s="1595" t="s">
        <v>13166</v>
      </c>
      <c r="E1379" s="1595"/>
      <c r="F1379" s="1595"/>
      <c r="G1379" s="1595"/>
      <c r="H1379" s="1596">
        <v>2</v>
      </c>
      <c r="I1379" s="1595"/>
      <c r="J1379" s="1595"/>
      <c r="K1379" s="1597">
        <v>13700</v>
      </c>
      <c r="L1379" s="1597">
        <v>13700</v>
      </c>
      <c r="M1379" s="1597">
        <v>-13700</v>
      </c>
      <c r="N1379" s="1598"/>
      <c r="O1379" s="1598"/>
      <c r="P1379" s="1597">
        <v>10621.6</v>
      </c>
      <c r="Q1379" s="1597">
        <v>-10621.6</v>
      </c>
      <c r="R1379" s="1598"/>
      <c r="S1379" s="1592"/>
    </row>
    <row r="1380" spans="2:19" s="1593" customFormat="1" ht="11.25" customHeight="1" outlineLevel="1">
      <c r="B1380" s="1594">
        <v>23996</v>
      </c>
      <c r="C1380" s="1595" t="s">
        <v>10774</v>
      </c>
      <c r="D1380" s="1595" t="s">
        <v>13165</v>
      </c>
      <c r="E1380" s="1595"/>
      <c r="F1380" s="1595"/>
      <c r="G1380" s="1595"/>
      <c r="H1380" s="1596">
        <v>2</v>
      </c>
      <c r="I1380" s="1595"/>
      <c r="J1380" s="1595"/>
      <c r="K1380" s="1597">
        <v>6000</v>
      </c>
      <c r="L1380" s="1597">
        <v>6000</v>
      </c>
      <c r="M1380" s="1597">
        <v>-6000</v>
      </c>
      <c r="N1380" s="1598"/>
      <c r="O1380" s="1598"/>
      <c r="P1380" s="1597">
        <v>6000</v>
      </c>
      <c r="Q1380" s="1597">
        <v>-6000</v>
      </c>
      <c r="R1380" s="1598"/>
      <c r="S1380" s="1592"/>
    </row>
    <row r="1381" spans="2:19" s="1593" customFormat="1" ht="11.25" customHeight="1" outlineLevel="1">
      <c r="B1381" s="1594">
        <v>29929</v>
      </c>
      <c r="C1381" s="1595" t="s">
        <v>10774</v>
      </c>
      <c r="D1381" s="1595" t="s">
        <v>13164</v>
      </c>
      <c r="E1381" s="1595"/>
      <c r="F1381" s="1595"/>
      <c r="G1381" s="1595" t="s">
        <v>13163</v>
      </c>
      <c r="H1381" s="1596">
        <v>3</v>
      </c>
      <c r="I1381" s="1595"/>
      <c r="J1381" s="1595"/>
      <c r="K1381" s="1597">
        <v>13350811</v>
      </c>
      <c r="L1381" s="1597">
        <v>13380868</v>
      </c>
      <c r="M1381" s="1598"/>
      <c r="N1381" s="1597">
        <v>13380868</v>
      </c>
      <c r="O1381" s="1597">
        <v>4595575.46</v>
      </c>
      <c r="P1381" s="1597">
        <v>8008575.5199999996</v>
      </c>
      <c r="Q1381" s="1597">
        <v>776717.02</v>
      </c>
      <c r="R1381" s="1597">
        <v>8785292.5399999991</v>
      </c>
      <c r="S1381" s="1592"/>
    </row>
    <row r="1382" spans="2:19" s="1593" customFormat="1" ht="11.25" customHeight="1" outlineLevel="1">
      <c r="B1382" s="1594">
        <v>31158</v>
      </c>
      <c r="C1382" s="1595" t="s">
        <v>3721</v>
      </c>
      <c r="D1382" s="1595" t="s">
        <v>13162</v>
      </c>
      <c r="E1382" s="1595"/>
      <c r="F1382" s="1595"/>
      <c r="G1382" s="1595"/>
      <c r="H1382" s="1596">
        <v>2</v>
      </c>
      <c r="I1382" s="1595"/>
      <c r="J1382" s="1595"/>
      <c r="K1382" s="1597">
        <v>28104</v>
      </c>
      <c r="L1382" s="1597">
        <v>28104</v>
      </c>
      <c r="M1382" s="1597">
        <v>-28104</v>
      </c>
      <c r="N1382" s="1598"/>
      <c r="O1382" s="1598"/>
      <c r="P1382" s="1597">
        <v>15151.2</v>
      </c>
      <c r="Q1382" s="1597">
        <v>-15151.2</v>
      </c>
      <c r="R1382" s="1598"/>
      <c r="S1382" s="1592"/>
    </row>
    <row r="1383" spans="2:19" s="1593" customFormat="1" ht="11.25" customHeight="1" outlineLevel="1">
      <c r="B1383" s="1594">
        <v>31237</v>
      </c>
      <c r="C1383" s="1595" t="s">
        <v>3721</v>
      </c>
      <c r="D1383" s="1595" t="s">
        <v>13161</v>
      </c>
      <c r="E1383" s="1595"/>
      <c r="F1383" s="1595"/>
      <c r="G1383" s="1595"/>
      <c r="H1383" s="1596">
        <v>2</v>
      </c>
      <c r="I1383" s="1595"/>
      <c r="J1383" s="1595"/>
      <c r="K1383" s="1597">
        <v>8333.33</v>
      </c>
      <c r="L1383" s="1597">
        <v>8333.33</v>
      </c>
      <c r="M1383" s="1597">
        <v>-8333.33</v>
      </c>
      <c r="N1383" s="1598"/>
      <c r="O1383" s="1598"/>
      <c r="P1383" s="1597">
        <v>8333.33</v>
      </c>
      <c r="Q1383" s="1597">
        <v>-8333.33</v>
      </c>
      <c r="R1383" s="1598"/>
      <c r="S1383" s="1592"/>
    </row>
    <row r="1384" spans="2:19" s="1593" customFormat="1" ht="11.25" customHeight="1" outlineLevel="1">
      <c r="B1384" s="1594">
        <v>31314</v>
      </c>
      <c r="C1384" s="1595" t="s">
        <v>3721</v>
      </c>
      <c r="D1384" s="1595" t="s">
        <v>13160</v>
      </c>
      <c r="E1384" s="1595"/>
      <c r="F1384" s="1595"/>
      <c r="G1384" s="1595"/>
      <c r="H1384" s="1596">
        <v>2</v>
      </c>
      <c r="I1384" s="1595"/>
      <c r="J1384" s="1595"/>
      <c r="K1384" s="1597">
        <v>54500</v>
      </c>
      <c r="L1384" s="1597">
        <v>54500</v>
      </c>
      <c r="M1384" s="1597">
        <v>-54500</v>
      </c>
      <c r="N1384" s="1598"/>
      <c r="O1384" s="1598"/>
      <c r="P1384" s="1597">
        <v>54500</v>
      </c>
      <c r="Q1384" s="1597">
        <v>-54500</v>
      </c>
      <c r="R1384" s="1598"/>
      <c r="S1384" s="1592"/>
    </row>
    <row r="1385" spans="2:19" s="1593" customFormat="1" ht="11.25" customHeight="1" outlineLevel="1">
      <c r="B1385" s="1594">
        <v>31316</v>
      </c>
      <c r="C1385" s="1595" t="s">
        <v>3721</v>
      </c>
      <c r="D1385" s="1595" t="s">
        <v>13159</v>
      </c>
      <c r="E1385" s="1595"/>
      <c r="F1385" s="1595"/>
      <c r="G1385" s="1595"/>
      <c r="H1385" s="1596">
        <v>2</v>
      </c>
      <c r="I1385" s="1595"/>
      <c r="J1385" s="1595"/>
      <c r="K1385" s="1599">
        <v>146.66999999999999</v>
      </c>
      <c r="L1385" s="1599">
        <v>146.61000000000001</v>
      </c>
      <c r="M1385" s="1599">
        <v>-146.61000000000001</v>
      </c>
      <c r="N1385" s="1598"/>
      <c r="O1385" s="1598"/>
      <c r="P1385" s="1599">
        <v>146.61000000000001</v>
      </c>
      <c r="Q1385" s="1599">
        <v>-146.61000000000001</v>
      </c>
      <c r="R1385" s="1598"/>
      <c r="S1385" s="1592"/>
    </row>
    <row r="1386" spans="2:19" s="1593" customFormat="1" ht="11.25" customHeight="1" outlineLevel="1">
      <c r="B1386" s="1594">
        <v>34608</v>
      </c>
      <c r="C1386" s="1595" t="s">
        <v>3721</v>
      </c>
      <c r="D1386" s="1595" t="s">
        <v>13158</v>
      </c>
      <c r="E1386" s="1595"/>
      <c r="F1386" s="1595"/>
      <c r="G1386" s="1595"/>
      <c r="H1386" s="1596">
        <v>2</v>
      </c>
      <c r="I1386" s="1595"/>
      <c r="J1386" s="1595"/>
      <c r="K1386" s="1599">
        <v>534.21</v>
      </c>
      <c r="L1386" s="1599">
        <v>534.21</v>
      </c>
      <c r="M1386" s="1599">
        <v>-534.21</v>
      </c>
      <c r="N1386" s="1598"/>
      <c r="O1386" s="1598"/>
      <c r="P1386" s="1599">
        <v>534.21</v>
      </c>
      <c r="Q1386" s="1599">
        <v>-534.21</v>
      </c>
      <c r="R1386" s="1598"/>
      <c r="S1386" s="1592"/>
    </row>
    <row r="1387" spans="2:19" s="1593" customFormat="1" ht="11.25" customHeight="1" outlineLevel="1">
      <c r="B1387" s="1594">
        <v>34609</v>
      </c>
      <c r="C1387" s="1595" t="s">
        <v>3721</v>
      </c>
      <c r="D1387" s="1595" t="s">
        <v>13157</v>
      </c>
      <c r="E1387" s="1595"/>
      <c r="F1387" s="1595"/>
      <c r="G1387" s="1595"/>
      <c r="H1387" s="1596">
        <v>2</v>
      </c>
      <c r="I1387" s="1595"/>
      <c r="J1387" s="1595"/>
      <c r="K1387" s="1599">
        <v>534.21</v>
      </c>
      <c r="L1387" s="1599">
        <v>534.21</v>
      </c>
      <c r="M1387" s="1599">
        <v>-534.21</v>
      </c>
      <c r="N1387" s="1598"/>
      <c r="O1387" s="1598"/>
      <c r="P1387" s="1599">
        <v>534.21</v>
      </c>
      <c r="Q1387" s="1599">
        <v>-534.21</v>
      </c>
      <c r="R1387" s="1598"/>
      <c r="S1387" s="1592"/>
    </row>
    <row r="1388" spans="2:19" s="1593" customFormat="1" ht="11.25" customHeight="1" outlineLevel="1">
      <c r="B1388" s="1594">
        <v>34610</v>
      </c>
      <c r="C1388" s="1595" t="s">
        <v>3721</v>
      </c>
      <c r="D1388" s="1595" t="s">
        <v>13156</v>
      </c>
      <c r="E1388" s="1595"/>
      <c r="F1388" s="1595"/>
      <c r="G1388" s="1595"/>
      <c r="H1388" s="1596">
        <v>2</v>
      </c>
      <c r="I1388" s="1595"/>
      <c r="J1388" s="1595"/>
      <c r="K1388" s="1599">
        <v>534.21</v>
      </c>
      <c r="L1388" s="1599">
        <v>534.21</v>
      </c>
      <c r="M1388" s="1599">
        <v>-534.21</v>
      </c>
      <c r="N1388" s="1598"/>
      <c r="O1388" s="1598"/>
      <c r="P1388" s="1599">
        <v>534.21</v>
      </c>
      <c r="Q1388" s="1599">
        <v>-534.21</v>
      </c>
      <c r="R1388" s="1598"/>
      <c r="S1388" s="1592"/>
    </row>
    <row r="1389" spans="2:19" s="1593" customFormat="1" ht="11.25" customHeight="1" outlineLevel="1">
      <c r="B1389" s="1594">
        <v>34611</v>
      </c>
      <c r="C1389" s="1595" t="s">
        <v>3721</v>
      </c>
      <c r="D1389" s="1595" t="s">
        <v>13155</v>
      </c>
      <c r="E1389" s="1595"/>
      <c r="F1389" s="1595"/>
      <c r="G1389" s="1595"/>
      <c r="H1389" s="1596">
        <v>2</v>
      </c>
      <c r="I1389" s="1595"/>
      <c r="J1389" s="1595"/>
      <c r="K1389" s="1599">
        <v>146.66999999999999</v>
      </c>
      <c r="L1389" s="1599">
        <v>146.66999999999999</v>
      </c>
      <c r="M1389" s="1599">
        <v>-146.66999999999999</v>
      </c>
      <c r="N1389" s="1598"/>
      <c r="O1389" s="1598"/>
      <c r="P1389" s="1599">
        <v>146.66999999999999</v>
      </c>
      <c r="Q1389" s="1599">
        <v>-146.66999999999999</v>
      </c>
      <c r="R1389" s="1598"/>
      <c r="S1389" s="1592"/>
    </row>
    <row r="1390" spans="2:19" s="1593" customFormat="1" ht="11.25" customHeight="1" outlineLevel="1">
      <c r="B1390" s="1594">
        <v>34612</v>
      </c>
      <c r="C1390" s="1595" t="s">
        <v>3721</v>
      </c>
      <c r="D1390" s="1595" t="s">
        <v>13154</v>
      </c>
      <c r="E1390" s="1595"/>
      <c r="F1390" s="1595"/>
      <c r="G1390" s="1595"/>
      <c r="H1390" s="1596">
        <v>2</v>
      </c>
      <c r="I1390" s="1595"/>
      <c r="J1390" s="1595"/>
      <c r="K1390" s="1599">
        <v>146.66999999999999</v>
      </c>
      <c r="L1390" s="1599">
        <v>146.66999999999999</v>
      </c>
      <c r="M1390" s="1599">
        <v>-146.66999999999999</v>
      </c>
      <c r="N1390" s="1598"/>
      <c r="O1390" s="1598"/>
      <c r="P1390" s="1599">
        <v>146.66999999999999</v>
      </c>
      <c r="Q1390" s="1599">
        <v>-146.66999999999999</v>
      </c>
      <c r="R1390" s="1598"/>
      <c r="S1390" s="1592"/>
    </row>
    <row r="1391" spans="2:19" s="1593" customFormat="1" ht="11.25" customHeight="1" outlineLevel="1">
      <c r="B1391" s="1594">
        <v>34613</v>
      </c>
      <c r="C1391" s="1595" t="s">
        <v>3721</v>
      </c>
      <c r="D1391" s="1595" t="s">
        <v>13153</v>
      </c>
      <c r="E1391" s="1595"/>
      <c r="F1391" s="1595"/>
      <c r="G1391" s="1595"/>
      <c r="H1391" s="1596">
        <v>2</v>
      </c>
      <c r="I1391" s="1595"/>
      <c r="J1391" s="1595"/>
      <c r="K1391" s="1599">
        <v>146.66999999999999</v>
      </c>
      <c r="L1391" s="1599">
        <v>146.66999999999999</v>
      </c>
      <c r="M1391" s="1599">
        <v>-146.66999999999999</v>
      </c>
      <c r="N1391" s="1598"/>
      <c r="O1391" s="1598"/>
      <c r="P1391" s="1599">
        <v>146.66999999999999</v>
      </c>
      <c r="Q1391" s="1599">
        <v>-146.66999999999999</v>
      </c>
      <c r="R1391" s="1598"/>
      <c r="S1391" s="1592"/>
    </row>
    <row r="1392" spans="2:19" s="1593" customFormat="1" ht="11.25" customHeight="1" outlineLevel="1">
      <c r="B1392" s="1594">
        <v>34614</v>
      </c>
      <c r="C1392" s="1595" t="s">
        <v>3721</v>
      </c>
      <c r="D1392" s="1595" t="s">
        <v>13152</v>
      </c>
      <c r="E1392" s="1595"/>
      <c r="F1392" s="1595"/>
      <c r="G1392" s="1595"/>
      <c r="H1392" s="1596">
        <v>2</v>
      </c>
      <c r="I1392" s="1595"/>
      <c r="J1392" s="1595"/>
      <c r="K1392" s="1599">
        <v>146.66999999999999</v>
      </c>
      <c r="L1392" s="1599">
        <v>146.66999999999999</v>
      </c>
      <c r="M1392" s="1599">
        <v>-146.66999999999999</v>
      </c>
      <c r="N1392" s="1598"/>
      <c r="O1392" s="1598"/>
      <c r="P1392" s="1599">
        <v>146.66999999999999</v>
      </c>
      <c r="Q1392" s="1599">
        <v>-146.66999999999999</v>
      </c>
      <c r="R1392" s="1598"/>
      <c r="S1392" s="1592"/>
    </row>
    <row r="1393" spans="2:19" s="1593" customFormat="1" ht="11.25" customHeight="1" outlineLevel="1">
      <c r="B1393" s="1594">
        <v>34615</v>
      </c>
      <c r="C1393" s="1595" t="s">
        <v>3721</v>
      </c>
      <c r="D1393" s="1595" t="s">
        <v>13151</v>
      </c>
      <c r="E1393" s="1595"/>
      <c r="F1393" s="1595"/>
      <c r="G1393" s="1595"/>
      <c r="H1393" s="1596">
        <v>2</v>
      </c>
      <c r="I1393" s="1595"/>
      <c r="J1393" s="1595"/>
      <c r="K1393" s="1599">
        <v>146.66999999999999</v>
      </c>
      <c r="L1393" s="1599">
        <v>146.66999999999999</v>
      </c>
      <c r="M1393" s="1599">
        <v>-146.66999999999999</v>
      </c>
      <c r="N1393" s="1598"/>
      <c r="O1393" s="1598"/>
      <c r="P1393" s="1599">
        <v>146.66999999999999</v>
      </c>
      <c r="Q1393" s="1599">
        <v>-146.66999999999999</v>
      </c>
      <c r="R1393" s="1598"/>
      <c r="S1393" s="1592"/>
    </row>
    <row r="1394" spans="2:19" s="1593" customFormat="1" ht="11.25" customHeight="1" outlineLevel="1">
      <c r="B1394" s="1594">
        <v>34616</v>
      </c>
      <c r="C1394" s="1595" t="s">
        <v>3721</v>
      </c>
      <c r="D1394" s="1595" t="s">
        <v>13150</v>
      </c>
      <c r="E1394" s="1595"/>
      <c r="F1394" s="1595"/>
      <c r="G1394" s="1595"/>
      <c r="H1394" s="1596">
        <v>2</v>
      </c>
      <c r="I1394" s="1595"/>
      <c r="J1394" s="1595"/>
      <c r="K1394" s="1599">
        <v>146.66999999999999</v>
      </c>
      <c r="L1394" s="1599">
        <v>146.66999999999999</v>
      </c>
      <c r="M1394" s="1599">
        <v>-146.66999999999999</v>
      </c>
      <c r="N1394" s="1598"/>
      <c r="O1394" s="1598"/>
      <c r="P1394" s="1599">
        <v>146.66999999999999</v>
      </c>
      <c r="Q1394" s="1599">
        <v>-146.66999999999999</v>
      </c>
      <c r="R1394" s="1598"/>
      <c r="S1394" s="1592"/>
    </row>
    <row r="1395" spans="2:19" s="1593" customFormat="1" ht="11.25" customHeight="1" outlineLevel="1">
      <c r="B1395" s="1594">
        <v>34617</v>
      </c>
      <c r="C1395" s="1595" t="s">
        <v>3721</v>
      </c>
      <c r="D1395" s="1595" t="s">
        <v>13149</v>
      </c>
      <c r="E1395" s="1595"/>
      <c r="F1395" s="1595"/>
      <c r="G1395" s="1595"/>
      <c r="H1395" s="1596">
        <v>2</v>
      </c>
      <c r="I1395" s="1595"/>
      <c r="J1395" s="1595"/>
      <c r="K1395" s="1599">
        <v>146.66999999999999</v>
      </c>
      <c r="L1395" s="1599">
        <v>146.66999999999999</v>
      </c>
      <c r="M1395" s="1599">
        <v>-146.66999999999999</v>
      </c>
      <c r="N1395" s="1598"/>
      <c r="O1395" s="1598"/>
      <c r="P1395" s="1599">
        <v>146.66999999999999</v>
      </c>
      <c r="Q1395" s="1599">
        <v>-146.66999999999999</v>
      </c>
      <c r="R1395" s="1598"/>
      <c r="S1395" s="1592"/>
    </row>
    <row r="1396" spans="2:19" s="1593" customFormat="1" ht="11.25" customHeight="1" outlineLevel="1">
      <c r="B1396" s="1594">
        <v>34618</v>
      </c>
      <c r="C1396" s="1595" t="s">
        <v>3721</v>
      </c>
      <c r="D1396" s="1595" t="s">
        <v>13148</v>
      </c>
      <c r="E1396" s="1595"/>
      <c r="F1396" s="1595"/>
      <c r="G1396" s="1595"/>
      <c r="H1396" s="1596">
        <v>2</v>
      </c>
      <c r="I1396" s="1595"/>
      <c r="J1396" s="1595"/>
      <c r="K1396" s="1599">
        <v>146.66999999999999</v>
      </c>
      <c r="L1396" s="1599">
        <v>146.66999999999999</v>
      </c>
      <c r="M1396" s="1599">
        <v>-146.66999999999999</v>
      </c>
      <c r="N1396" s="1598"/>
      <c r="O1396" s="1598"/>
      <c r="P1396" s="1599">
        <v>146.66999999999999</v>
      </c>
      <c r="Q1396" s="1599">
        <v>-146.66999999999999</v>
      </c>
      <c r="R1396" s="1598"/>
      <c r="S1396" s="1592"/>
    </row>
    <row r="1397" spans="2:19" s="1593" customFormat="1" ht="11.25" customHeight="1" outlineLevel="1">
      <c r="B1397" s="1594">
        <v>34619</v>
      </c>
      <c r="C1397" s="1595" t="s">
        <v>3721</v>
      </c>
      <c r="D1397" s="1595" t="s">
        <v>13147</v>
      </c>
      <c r="E1397" s="1595"/>
      <c r="F1397" s="1595"/>
      <c r="G1397" s="1595"/>
      <c r="H1397" s="1596">
        <v>2</v>
      </c>
      <c r="I1397" s="1595"/>
      <c r="J1397" s="1595"/>
      <c r="K1397" s="1599">
        <v>146.66999999999999</v>
      </c>
      <c r="L1397" s="1599">
        <v>146.66999999999999</v>
      </c>
      <c r="M1397" s="1599">
        <v>-146.66999999999999</v>
      </c>
      <c r="N1397" s="1598"/>
      <c r="O1397" s="1598"/>
      <c r="P1397" s="1599">
        <v>146.66999999999999</v>
      </c>
      <c r="Q1397" s="1599">
        <v>-146.66999999999999</v>
      </c>
      <c r="R1397" s="1598"/>
      <c r="S1397" s="1592"/>
    </row>
    <row r="1398" spans="2:19" s="1593" customFormat="1" ht="11.25" customHeight="1" outlineLevel="1">
      <c r="B1398" s="1594">
        <v>34620</v>
      </c>
      <c r="C1398" s="1595" t="s">
        <v>3721</v>
      </c>
      <c r="D1398" s="1595" t="s">
        <v>13146</v>
      </c>
      <c r="E1398" s="1595"/>
      <c r="F1398" s="1595"/>
      <c r="G1398" s="1595"/>
      <c r="H1398" s="1596">
        <v>2</v>
      </c>
      <c r="I1398" s="1595"/>
      <c r="J1398" s="1595"/>
      <c r="K1398" s="1599">
        <v>146.66999999999999</v>
      </c>
      <c r="L1398" s="1599">
        <v>146.66999999999999</v>
      </c>
      <c r="M1398" s="1599">
        <v>-146.66999999999999</v>
      </c>
      <c r="N1398" s="1598"/>
      <c r="O1398" s="1598"/>
      <c r="P1398" s="1599">
        <v>146.66999999999999</v>
      </c>
      <c r="Q1398" s="1599">
        <v>-146.66999999999999</v>
      </c>
      <c r="R1398" s="1598"/>
      <c r="S1398" s="1592"/>
    </row>
    <row r="1399" spans="2:19" s="1593" customFormat="1" ht="11.25" customHeight="1" outlineLevel="1">
      <c r="B1399" s="1594">
        <v>34621</v>
      </c>
      <c r="C1399" s="1595" t="s">
        <v>3721</v>
      </c>
      <c r="D1399" s="1595" t="s">
        <v>13145</v>
      </c>
      <c r="E1399" s="1595"/>
      <c r="F1399" s="1595"/>
      <c r="G1399" s="1595"/>
      <c r="H1399" s="1596">
        <v>2</v>
      </c>
      <c r="I1399" s="1595"/>
      <c r="J1399" s="1595"/>
      <c r="K1399" s="1599">
        <v>146.66999999999999</v>
      </c>
      <c r="L1399" s="1599">
        <v>146.66999999999999</v>
      </c>
      <c r="M1399" s="1599">
        <v>-146.66999999999999</v>
      </c>
      <c r="N1399" s="1598"/>
      <c r="O1399" s="1598"/>
      <c r="P1399" s="1599">
        <v>146.66999999999999</v>
      </c>
      <c r="Q1399" s="1599">
        <v>-146.66999999999999</v>
      </c>
      <c r="R1399" s="1598"/>
      <c r="S1399" s="1592"/>
    </row>
    <row r="1400" spans="2:19" s="1593" customFormat="1" ht="11.25" customHeight="1" outlineLevel="1">
      <c r="B1400" s="1594">
        <v>34622</v>
      </c>
      <c r="C1400" s="1595" t="s">
        <v>3721</v>
      </c>
      <c r="D1400" s="1595" t="s">
        <v>13144</v>
      </c>
      <c r="E1400" s="1595"/>
      <c r="F1400" s="1595"/>
      <c r="G1400" s="1595"/>
      <c r="H1400" s="1596">
        <v>2</v>
      </c>
      <c r="I1400" s="1595"/>
      <c r="J1400" s="1595"/>
      <c r="K1400" s="1599">
        <v>146.66999999999999</v>
      </c>
      <c r="L1400" s="1599">
        <v>146.66999999999999</v>
      </c>
      <c r="M1400" s="1599">
        <v>-146.66999999999999</v>
      </c>
      <c r="N1400" s="1598"/>
      <c r="O1400" s="1598"/>
      <c r="P1400" s="1599">
        <v>146.66999999999999</v>
      </c>
      <c r="Q1400" s="1599">
        <v>-146.66999999999999</v>
      </c>
      <c r="R1400" s="1598"/>
      <c r="S1400" s="1592"/>
    </row>
    <row r="1401" spans="2:19" s="1593" customFormat="1" ht="11.25" customHeight="1" outlineLevel="1">
      <c r="B1401" s="1594">
        <v>34623</v>
      </c>
      <c r="C1401" s="1595" t="s">
        <v>3721</v>
      </c>
      <c r="D1401" s="1595" t="s">
        <v>13143</v>
      </c>
      <c r="E1401" s="1595"/>
      <c r="F1401" s="1595"/>
      <c r="G1401" s="1595"/>
      <c r="H1401" s="1596">
        <v>2</v>
      </c>
      <c r="I1401" s="1595"/>
      <c r="J1401" s="1595"/>
      <c r="K1401" s="1599">
        <v>146.66999999999999</v>
      </c>
      <c r="L1401" s="1599">
        <v>146.66999999999999</v>
      </c>
      <c r="M1401" s="1599">
        <v>-146.66999999999999</v>
      </c>
      <c r="N1401" s="1598"/>
      <c r="O1401" s="1598"/>
      <c r="P1401" s="1599">
        <v>146.66999999999999</v>
      </c>
      <c r="Q1401" s="1599">
        <v>-146.66999999999999</v>
      </c>
      <c r="R1401" s="1598"/>
      <c r="S1401" s="1592"/>
    </row>
    <row r="1402" spans="2:19" s="1593" customFormat="1" ht="11.25" customHeight="1" outlineLevel="1">
      <c r="B1402" s="1594">
        <v>34624</v>
      </c>
      <c r="C1402" s="1595" t="s">
        <v>3721</v>
      </c>
      <c r="D1402" s="1595" t="s">
        <v>13142</v>
      </c>
      <c r="E1402" s="1595"/>
      <c r="F1402" s="1595"/>
      <c r="G1402" s="1595"/>
      <c r="H1402" s="1596">
        <v>2</v>
      </c>
      <c r="I1402" s="1595"/>
      <c r="J1402" s="1595"/>
      <c r="K1402" s="1599">
        <v>146.66999999999999</v>
      </c>
      <c r="L1402" s="1599">
        <v>146.66999999999999</v>
      </c>
      <c r="M1402" s="1599">
        <v>-146.66999999999999</v>
      </c>
      <c r="N1402" s="1598"/>
      <c r="O1402" s="1598"/>
      <c r="P1402" s="1599">
        <v>146.66999999999999</v>
      </c>
      <c r="Q1402" s="1599">
        <v>-146.66999999999999</v>
      </c>
      <c r="R1402" s="1598"/>
      <c r="S1402" s="1592"/>
    </row>
    <row r="1403" spans="2:19" s="1593" customFormat="1" ht="11.25" customHeight="1" outlineLevel="1">
      <c r="B1403" s="1594">
        <v>34625</v>
      </c>
      <c r="C1403" s="1595" t="s">
        <v>3721</v>
      </c>
      <c r="D1403" s="1595" t="s">
        <v>13141</v>
      </c>
      <c r="E1403" s="1595"/>
      <c r="F1403" s="1595"/>
      <c r="G1403" s="1595"/>
      <c r="H1403" s="1596">
        <v>2</v>
      </c>
      <c r="I1403" s="1595"/>
      <c r="J1403" s="1595"/>
      <c r="K1403" s="1599">
        <v>146.66999999999999</v>
      </c>
      <c r="L1403" s="1599">
        <v>146.66999999999999</v>
      </c>
      <c r="M1403" s="1599">
        <v>-146.66999999999999</v>
      </c>
      <c r="N1403" s="1598"/>
      <c r="O1403" s="1598"/>
      <c r="P1403" s="1599">
        <v>146.66999999999999</v>
      </c>
      <c r="Q1403" s="1599">
        <v>-146.66999999999999</v>
      </c>
      <c r="R1403" s="1598"/>
      <c r="S1403" s="1592"/>
    </row>
    <row r="1404" spans="2:19" s="1593" customFormat="1" ht="11.25" customHeight="1" outlineLevel="1">
      <c r="B1404" s="1594">
        <v>34626</v>
      </c>
      <c r="C1404" s="1595" t="s">
        <v>3721</v>
      </c>
      <c r="D1404" s="1595" t="s">
        <v>13140</v>
      </c>
      <c r="E1404" s="1595"/>
      <c r="F1404" s="1595"/>
      <c r="G1404" s="1595"/>
      <c r="H1404" s="1596">
        <v>2</v>
      </c>
      <c r="I1404" s="1595"/>
      <c r="J1404" s="1595"/>
      <c r="K1404" s="1599">
        <v>146.66999999999999</v>
      </c>
      <c r="L1404" s="1599">
        <v>146.66999999999999</v>
      </c>
      <c r="M1404" s="1599">
        <v>-146.66999999999999</v>
      </c>
      <c r="N1404" s="1598"/>
      <c r="O1404" s="1598"/>
      <c r="P1404" s="1599">
        <v>146.66999999999999</v>
      </c>
      <c r="Q1404" s="1599">
        <v>-146.66999999999999</v>
      </c>
      <c r="R1404" s="1598"/>
      <c r="S1404" s="1592"/>
    </row>
    <row r="1405" spans="2:19" s="1593" customFormat="1" ht="11.25" customHeight="1" outlineLevel="1">
      <c r="B1405" s="1594">
        <v>34627</v>
      </c>
      <c r="C1405" s="1595" t="s">
        <v>3721</v>
      </c>
      <c r="D1405" s="1595" t="s">
        <v>13139</v>
      </c>
      <c r="E1405" s="1595"/>
      <c r="F1405" s="1595"/>
      <c r="G1405" s="1595"/>
      <c r="H1405" s="1596">
        <v>2</v>
      </c>
      <c r="I1405" s="1595"/>
      <c r="J1405" s="1595"/>
      <c r="K1405" s="1599">
        <v>146.66999999999999</v>
      </c>
      <c r="L1405" s="1599">
        <v>146.66999999999999</v>
      </c>
      <c r="M1405" s="1599">
        <v>-146.66999999999999</v>
      </c>
      <c r="N1405" s="1598"/>
      <c r="O1405" s="1598"/>
      <c r="P1405" s="1599">
        <v>146.66999999999999</v>
      </c>
      <c r="Q1405" s="1599">
        <v>-146.66999999999999</v>
      </c>
      <c r="R1405" s="1598"/>
      <c r="S1405" s="1592"/>
    </row>
    <row r="1406" spans="2:19" s="1593" customFormat="1" ht="11.25" customHeight="1" outlineLevel="1">
      <c r="B1406" s="1594">
        <v>34628</v>
      </c>
      <c r="C1406" s="1595" t="s">
        <v>3721</v>
      </c>
      <c r="D1406" s="1595" t="s">
        <v>13138</v>
      </c>
      <c r="E1406" s="1595"/>
      <c r="F1406" s="1595"/>
      <c r="G1406" s="1595"/>
      <c r="H1406" s="1596">
        <v>2</v>
      </c>
      <c r="I1406" s="1595"/>
      <c r="J1406" s="1595"/>
      <c r="K1406" s="1599">
        <v>146.66999999999999</v>
      </c>
      <c r="L1406" s="1599">
        <v>146.66999999999999</v>
      </c>
      <c r="M1406" s="1599">
        <v>-146.66999999999999</v>
      </c>
      <c r="N1406" s="1598"/>
      <c r="O1406" s="1598"/>
      <c r="P1406" s="1599">
        <v>146.66999999999999</v>
      </c>
      <c r="Q1406" s="1599">
        <v>-146.66999999999999</v>
      </c>
      <c r="R1406" s="1598"/>
      <c r="S1406" s="1592"/>
    </row>
    <row r="1407" spans="2:19" s="1593" customFormat="1" ht="11.25" customHeight="1" outlineLevel="1">
      <c r="B1407" s="1594">
        <v>34629</v>
      </c>
      <c r="C1407" s="1595" t="s">
        <v>3721</v>
      </c>
      <c r="D1407" s="1595" t="s">
        <v>13137</v>
      </c>
      <c r="E1407" s="1595"/>
      <c r="F1407" s="1595"/>
      <c r="G1407" s="1595"/>
      <c r="H1407" s="1596">
        <v>2</v>
      </c>
      <c r="I1407" s="1595"/>
      <c r="J1407" s="1595"/>
      <c r="K1407" s="1599">
        <v>146.66999999999999</v>
      </c>
      <c r="L1407" s="1599">
        <v>146.66999999999999</v>
      </c>
      <c r="M1407" s="1599">
        <v>-146.66999999999999</v>
      </c>
      <c r="N1407" s="1598"/>
      <c r="O1407" s="1598"/>
      <c r="P1407" s="1599">
        <v>146.66999999999999</v>
      </c>
      <c r="Q1407" s="1599">
        <v>-146.66999999999999</v>
      </c>
      <c r="R1407" s="1598"/>
      <c r="S1407" s="1592"/>
    </row>
    <row r="1408" spans="2:19" s="1593" customFormat="1" ht="11.25" customHeight="1" outlineLevel="1">
      <c r="B1408" s="1594">
        <v>34630</v>
      </c>
      <c r="C1408" s="1595" t="s">
        <v>3721</v>
      </c>
      <c r="D1408" s="1595" t="s">
        <v>13136</v>
      </c>
      <c r="E1408" s="1595"/>
      <c r="F1408" s="1595"/>
      <c r="G1408" s="1595"/>
      <c r="H1408" s="1596">
        <v>2</v>
      </c>
      <c r="I1408" s="1595"/>
      <c r="J1408" s="1595"/>
      <c r="K1408" s="1599">
        <v>146.66999999999999</v>
      </c>
      <c r="L1408" s="1599">
        <v>146.66999999999999</v>
      </c>
      <c r="M1408" s="1599">
        <v>-146.66999999999999</v>
      </c>
      <c r="N1408" s="1598"/>
      <c r="O1408" s="1598"/>
      <c r="P1408" s="1599">
        <v>146.66999999999999</v>
      </c>
      <c r="Q1408" s="1599">
        <v>-146.66999999999999</v>
      </c>
      <c r="R1408" s="1598"/>
      <c r="S1408" s="1592"/>
    </row>
    <row r="1409" spans="2:19" s="1593" customFormat="1" ht="11.25" customHeight="1" outlineLevel="1">
      <c r="B1409" s="1594">
        <v>34631</v>
      </c>
      <c r="C1409" s="1595" t="s">
        <v>3721</v>
      </c>
      <c r="D1409" s="1595" t="s">
        <v>13135</v>
      </c>
      <c r="E1409" s="1595"/>
      <c r="F1409" s="1595"/>
      <c r="G1409" s="1595"/>
      <c r="H1409" s="1596">
        <v>2</v>
      </c>
      <c r="I1409" s="1595"/>
      <c r="J1409" s="1595"/>
      <c r="K1409" s="1599">
        <v>146.66999999999999</v>
      </c>
      <c r="L1409" s="1599">
        <v>146.66999999999999</v>
      </c>
      <c r="M1409" s="1599">
        <v>-146.66999999999999</v>
      </c>
      <c r="N1409" s="1598"/>
      <c r="O1409" s="1598"/>
      <c r="P1409" s="1599">
        <v>146.66999999999999</v>
      </c>
      <c r="Q1409" s="1599">
        <v>-146.66999999999999</v>
      </c>
      <c r="R1409" s="1598"/>
      <c r="S1409" s="1592"/>
    </row>
    <row r="1410" spans="2:19" s="1593" customFormat="1" ht="11.25" customHeight="1" outlineLevel="1">
      <c r="B1410" s="1594">
        <v>34632</v>
      </c>
      <c r="C1410" s="1595" t="s">
        <v>3721</v>
      </c>
      <c r="D1410" s="1595" t="s">
        <v>13134</v>
      </c>
      <c r="E1410" s="1595"/>
      <c r="F1410" s="1595"/>
      <c r="G1410" s="1595"/>
      <c r="H1410" s="1596">
        <v>2</v>
      </c>
      <c r="I1410" s="1595"/>
      <c r="J1410" s="1595"/>
      <c r="K1410" s="1599">
        <v>146.66999999999999</v>
      </c>
      <c r="L1410" s="1599">
        <v>146.66999999999999</v>
      </c>
      <c r="M1410" s="1599">
        <v>-146.66999999999999</v>
      </c>
      <c r="N1410" s="1598"/>
      <c r="O1410" s="1598"/>
      <c r="P1410" s="1599">
        <v>146.66999999999999</v>
      </c>
      <c r="Q1410" s="1599">
        <v>-146.66999999999999</v>
      </c>
      <c r="R1410" s="1598"/>
      <c r="S1410" s="1592"/>
    </row>
    <row r="1411" spans="2:19" s="1593" customFormat="1" ht="11.25" customHeight="1" outlineLevel="1">
      <c r="B1411" s="1594">
        <v>34633</v>
      </c>
      <c r="C1411" s="1595" t="s">
        <v>3721</v>
      </c>
      <c r="D1411" s="1595" t="s">
        <v>13133</v>
      </c>
      <c r="E1411" s="1595"/>
      <c r="F1411" s="1595"/>
      <c r="G1411" s="1595"/>
      <c r="H1411" s="1596">
        <v>2</v>
      </c>
      <c r="I1411" s="1595"/>
      <c r="J1411" s="1595"/>
      <c r="K1411" s="1599">
        <v>146.66999999999999</v>
      </c>
      <c r="L1411" s="1599">
        <v>146.66999999999999</v>
      </c>
      <c r="M1411" s="1599">
        <v>-146.66999999999999</v>
      </c>
      <c r="N1411" s="1598"/>
      <c r="O1411" s="1598"/>
      <c r="P1411" s="1599">
        <v>146.66999999999999</v>
      </c>
      <c r="Q1411" s="1599">
        <v>-146.66999999999999</v>
      </c>
      <c r="R1411" s="1598"/>
      <c r="S1411" s="1592"/>
    </row>
    <row r="1412" spans="2:19" s="1593" customFormat="1" ht="11.25" customHeight="1" outlineLevel="1">
      <c r="B1412" s="1594">
        <v>34634</v>
      </c>
      <c r="C1412" s="1595" t="s">
        <v>3721</v>
      </c>
      <c r="D1412" s="1595" t="s">
        <v>13132</v>
      </c>
      <c r="E1412" s="1595"/>
      <c r="F1412" s="1595"/>
      <c r="G1412" s="1595"/>
      <c r="H1412" s="1596">
        <v>2</v>
      </c>
      <c r="I1412" s="1595"/>
      <c r="J1412" s="1595"/>
      <c r="K1412" s="1599">
        <v>146.66999999999999</v>
      </c>
      <c r="L1412" s="1599">
        <v>146.66999999999999</v>
      </c>
      <c r="M1412" s="1599">
        <v>-146.66999999999999</v>
      </c>
      <c r="N1412" s="1598"/>
      <c r="O1412" s="1598"/>
      <c r="P1412" s="1599">
        <v>146.66999999999999</v>
      </c>
      <c r="Q1412" s="1599">
        <v>-146.66999999999999</v>
      </c>
      <c r="R1412" s="1598"/>
      <c r="S1412" s="1592"/>
    </row>
    <row r="1413" spans="2:19" s="1593" customFormat="1" ht="11.25" customHeight="1" outlineLevel="1">
      <c r="B1413" s="1594">
        <v>34635</v>
      </c>
      <c r="C1413" s="1595" t="s">
        <v>3721</v>
      </c>
      <c r="D1413" s="1595" t="s">
        <v>13131</v>
      </c>
      <c r="E1413" s="1595"/>
      <c r="F1413" s="1595"/>
      <c r="G1413" s="1595"/>
      <c r="H1413" s="1596">
        <v>2</v>
      </c>
      <c r="I1413" s="1595"/>
      <c r="J1413" s="1595"/>
      <c r="K1413" s="1599">
        <v>146.66999999999999</v>
      </c>
      <c r="L1413" s="1599">
        <v>146.66999999999999</v>
      </c>
      <c r="M1413" s="1599">
        <v>-146.66999999999999</v>
      </c>
      <c r="N1413" s="1598"/>
      <c r="O1413" s="1598"/>
      <c r="P1413" s="1599">
        <v>146.66999999999999</v>
      </c>
      <c r="Q1413" s="1599">
        <v>-146.66999999999999</v>
      </c>
      <c r="R1413" s="1598"/>
      <c r="S1413" s="1592"/>
    </row>
    <row r="1414" spans="2:19" s="1593" customFormat="1" ht="11.25" customHeight="1" outlineLevel="1">
      <c r="B1414" s="1594">
        <v>35563</v>
      </c>
      <c r="C1414" s="1595" t="s">
        <v>3721</v>
      </c>
      <c r="D1414" s="1595" t="s">
        <v>13130</v>
      </c>
      <c r="E1414" s="1595"/>
      <c r="F1414" s="1595"/>
      <c r="G1414" s="1595"/>
      <c r="H1414" s="1596">
        <v>2</v>
      </c>
      <c r="I1414" s="1595"/>
      <c r="J1414" s="1595"/>
      <c r="K1414" s="1597">
        <v>54500</v>
      </c>
      <c r="L1414" s="1597">
        <v>54500</v>
      </c>
      <c r="M1414" s="1597">
        <v>-54500</v>
      </c>
      <c r="N1414" s="1598"/>
      <c r="O1414" s="1598"/>
      <c r="P1414" s="1597">
        <v>54500</v>
      </c>
      <c r="Q1414" s="1597">
        <v>-54500</v>
      </c>
      <c r="R1414" s="1598"/>
      <c r="S1414" s="1592"/>
    </row>
    <row r="1415" spans="2:19" s="1593" customFormat="1" ht="11.25" customHeight="1" outlineLevel="1">
      <c r="B1415" s="1594">
        <v>28665</v>
      </c>
      <c r="C1415" s="1595" t="s">
        <v>3713</v>
      </c>
      <c r="D1415" s="1595" t="s">
        <v>13129</v>
      </c>
      <c r="E1415" s="1595"/>
      <c r="F1415" s="1595"/>
      <c r="G1415" s="1595" t="s">
        <v>3596</v>
      </c>
      <c r="H1415" s="1596">
        <v>1</v>
      </c>
      <c r="I1415" s="1595"/>
      <c r="J1415" s="1595"/>
      <c r="K1415" s="1597">
        <v>243378</v>
      </c>
      <c r="L1415" s="1597">
        <v>243378</v>
      </c>
      <c r="M1415" s="1598"/>
      <c r="N1415" s="1597">
        <v>243378</v>
      </c>
      <c r="O1415" s="1597">
        <v>23271.72</v>
      </c>
      <c r="P1415" s="1597">
        <v>208470.45</v>
      </c>
      <c r="Q1415" s="1597">
        <v>11635.83</v>
      </c>
      <c r="R1415" s="1597">
        <v>220106.28</v>
      </c>
      <c r="S1415" s="1592"/>
    </row>
    <row r="1416" spans="2:19" s="1593" customFormat="1" ht="11.25" customHeight="1" outlineLevel="1">
      <c r="B1416" s="1594">
        <v>33211</v>
      </c>
      <c r="C1416" s="1595" t="s">
        <v>3713</v>
      </c>
      <c r="D1416" s="1595" t="s">
        <v>13128</v>
      </c>
      <c r="E1416" s="1595"/>
      <c r="F1416" s="1595"/>
      <c r="G1416" s="1595" t="s">
        <v>3596</v>
      </c>
      <c r="H1416" s="1596">
        <v>1</v>
      </c>
      <c r="I1416" s="1595"/>
      <c r="J1416" s="1595"/>
      <c r="K1416" s="1597">
        <v>243378</v>
      </c>
      <c r="L1416" s="1597">
        <v>243378</v>
      </c>
      <c r="M1416" s="1598"/>
      <c r="N1416" s="1597">
        <v>243378</v>
      </c>
      <c r="O1416" s="1597">
        <v>23271.72</v>
      </c>
      <c r="P1416" s="1597">
        <v>208470.45</v>
      </c>
      <c r="Q1416" s="1597">
        <v>11635.83</v>
      </c>
      <c r="R1416" s="1597">
        <v>220106.28</v>
      </c>
      <c r="S1416" s="1592"/>
    </row>
    <row r="1417" spans="2:19" s="1593" customFormat="1" ht="11.25" customHeight="1" outlineLevel="1">
      <c r="B1417" s="1594">
        <v>31304</v>
      </c>
      <c r="C1417" s="1595" t="s">
        <v>12791</v>
      </c>
      <c r="D1417" s="1595" t="s">
        <v>13127</v>
      </c>
      <c r="E1417" s="1595"/>
      <c r="F1417" s="1595"/>
      <c r="G1417" s="1595"/>
      <c r="H1417" s="1596">
        <v>2</v>
      </c>
      <c r="I1417" s="1595"/>
      <c r="J1417" s="1595"/>
      <c r="K1417" s="1597">
        <v>10169</v>
      </c>
      <c r="L1417" s="1597">
        <v>10169</v>
      </c>
      <c r="M1417" s="1597">
        <v>-10169</v>
      </c>
      <c r="N1417" s="1598"/>
      <c r="O1417" s="1598"/>
      <c r="P1417" s="1597">
        <v>10169</v>
      </c>
      <c r="Q1417" s="1597">
        <v>-10169</v>
      </c>
      <c r="R1417" s="1598"/>
      <c r="S1417" s="1592"/>
    </row>
    <row r="1418" spans="2:19" s="1593" customFormat="1" ht="11.25" customHeight="1" outlineLevel="1">
      <c r="B1418" s="1594">
        <v>31362</v>
      </c>
      <c r="C1418" s="1595" t="s">
        <v>3711</v>
      </c>
      <c r="D1418" s="1595" t="s">
        <v>13126</v>
      </c>
      <c r="E1418" s="1595"/>
      <c r="F1418" s="1595"/>
      <c r="G1418" s="1595"/>
      <c r="H1418" s="1596">
        <v>2</v>
      </c>
      <c r="I1418" s="1595"/>
      <c r="J1418" s="1595"/>
      <c r="K1418" s="1599">
        <v>54</v>
      </c>
      <c r="L1418" s="1599">
        <v>54</v>
      </c>
      <c r="M1418" s="1599">
        <v>-54</v>
      </c>
      <c r="N1418" s="1598"/>
      <c r="O1418" s="1598"/>
      <c r="P1418" s="1599">
        <v>54</v>
      </c>
      <c r="Q1418" s="1599">
        <v>-54</v>
      </c>
      <c r="R1418" s="1598"/>
      <c r="S1418" s="1592"/>
    </row>
    <row r="1419" spans="2:19" s="1593" customFormat="1" ht="11.25" customHeight="1" outlineLevel="1">
      <c r="B1419" s="1594">
        <v>31363</v>
      </c>
      <c r="C1419" s="1595" t="s">
        <v>3711</v>
      </c>
      <c r="D1419" s="1595" t="s">
        <v>13125</v>
      </c>
      <c r="E1419" s="1595"/>
      <c r="F1419" s="1595"/>
      <c r="G1419" s="1595"/>
      <c r="H1419" s="1596">
        <v>2</v>
      </c>
      <c r="I1419" s="1595"/>
      <c r="J1419" s="1595"/>
      <c r="K1419" s="1599">
        <v>54</v>
      </c>
      <c r="L1419" s="1599">
        <v>54</v>
      </c>
      <c r="M1419" s="1599">
        <v>-54</v>
      </c>
      <c r="N1419" s="1598"/>
      <c r="O1419" s="1598"/>
      <c r="P1419" s="1599">
        <v>54</v>
      </c>
      <c r="Q1419" s="1599">
        <v>-54</v>
      </c>
      <c r="R1419" s="1598"/>
      <c r="S1419" s="1592"/>
    </row>
    <row r="1420" spans="2:19" s="1593" customFormat="1" ht="21.75" customHeight="1" outlineLevel="1">
      <c r="B1420" s="1594">
        <v>31371</v>
      </c>
      <c r="C1420" s="1595" t="s">
        <v>3711</v>
      </c>
      <c r="D1420" s="1595" t="s">
        <v>13124</v>
      </c>
      <c r="E1420" s="1595"/>
      <c r="F1420" s="1595"/>
      <c r="G1420" s="1595" t="s">
        <v>13122</v>
      </c>
      <c r="H1420" s="1596">
        <v>1</v>
      </c>
      <c r="I1420" s="1595"/>
      <c r="J1420" s="1595"/>
      <c r="K1420" s="1597">
        <v>35180</v>
      </c>
      <c r="L1420" s="1597">
        <v>35180</v>
      </c>
      <c r="M1420" s="1598"/>
      <c r="N1420" s="1597">
        <v>35180</v>
      </c>
      <c r="O1420" s="1597">
        <v>7406.1</v>
      </c>
      <c r="P1420" s="1597">
        <v>26292.720000000001</v>
      </c>
      <c r="Q1420" s="1597">
        <v>1481.18</v>
      </c>
      <c r="R1420" s="1597">
        <v>27773.9</v>
      </c>
      <c r="S1420" s="1592"/>
    </row>
    <row r="1421" spans="2:19" s="1593" customFormat="1" ht="11.25" customHeight="1" outlineLevel="1">
      <c r="B1421" s="1594">
        <v>31372</v>
      </c>
      <c r="C1421" s="1595" t="s">
        <v>3711</v>
      </c>
      <c r="D1421" s="1595" t="s">
        <v>13123</v>
      </c>
      <c r="E1421" s="1595"/>
      <c r="F1421" s="1595"/>
      <c r="G1421" s="1595" t="s">
        <v>13122</v>
      </c>
      <c r="H1421" s="1596">
        <v>1</v>
      </c>
      <c r="I1421" s="1595"/>
      <c r="J1421" s="1595"/>
      <c r="K1421" s="1597">
        <v>440161</v>
      </c>
      <c r="L1421" s="1597">
        <v>440161</v>
      </c>
      <c r="M1421" s="1598"/>
      <c r="N1421" s="1597">
        <v>440161</v>
      </c>
      <c r="O1421" s="1597">
        <v>92666.26</v>
      </c>
      <c r="P1421" s="1597">
        <v>328961.46000000002</v>
      </c>
      <c r="Q1421" s="1597">
        <v>18533.28</v>
      </c>
      <c r="R1421" s="1597">
        <v>347494.74</v>
      </c>
      <c r="S1421" s="1592"/>
    </row>
    <row r="1422" spans="2:19" s="1593" customFormat="1" ht="11.25" customHeight="1" outlineLevel="1">
      <c r="B1422" s="1594">
        <v>31373</v>
      </c>
      <c r="C1422" s="1595" t="s">
        <v>3711</v>
      </c>
      <c r="D1422" s="1595" t="s">
        <v>13121</v>
      </c>
      <c r="E1422" s="1595"/>
      <c r="F1422" s="1595"/>
      <c r="G1422" s="1595" t="s">
        <v>12985</v>
      </c>
      <c r="H1422" s="1596">
        <v>2</v>
      </c>
      <c r="I1422" s="1595"/>
      <c r="J1422" s="1595"/>
      <c r="K1422" s="1597">
        <v>366972</v>
      </c>
      <c r="L1422" s="1597">
        <v>366972</v>
      </c>
      <c r="M1422" s="1598"/>
      <c r="N1422" s="1597">
        <v>366972</v>
      </c>
      <c r="O1422" s="1597">
        <v>88962.12</v>
      </c>
      <c r="P1422" s="1597">
        <v>263182.8</v>
      </c>
      <c r="Q1422" s="1597">
        <v>14827.08</v>
      </c>
      <c r="R1422" s="1597">
        <v>278009.88</v>
      </c>
      <c r="S1422" s="1592"/>
    </row>
    <row r="1423" spans="2:19" s="1593" customFormat="1" ht="11.25" customHeight="1" outlineLevel="1">
      <c r="B1423" s="1594">
        <v>31430</v>
      </c>
      <c r="C1423" s="1595" t="s">
        <v>3711</v>
      </c>
      <c r="D1423" s="1595" t="s">
        <v>13120</v>
      </c>
      <c r="E1423" s="1595"/>
      <c r="F1423" s="1595"/>
      <c r="G1423" s="1595" t="s">
        <v>3664</v>
      </c>
      <c r="H1423" s="1596">
        <v>2</v>
      </c>
      <c r="I1423" s="1595"/>
      <c r="J1423" s="1595"/>
      <c r="K1423" s="1597">
        <v>922090</v>
      </c>
      <c r="L1423" s="1597">
        <v>922090</v>
      </c>
      <c r="M1423" s="1598"/>
      <c r="N1423" s="1597">
        <v>922090</v>
      </c>
      <c r="O1423" s="1597">
        <v>57630.82</v>
      </c>
      <c r="P1423" s="1597">
        <v>818354.52</v>
      </c>
      <c r="Q1423" s="1597">
        <v>46104.66</v>
      </c>
      <c r="R1423" s="1597">
        <v>864459.18</v>
      </c>
      <c r="S1423" s="1592"/>
    </row>
    <row r="1424" spans="2:19" s="1593" customFormat="1" ht="11.25" customHeight="1" outlineLevel="1">
      <c r="B1424" s="1594">
        <v>31431</v>
      </c>
      <c r="C1424" s="1595" t="s">
        <v>3711</v>
      </c>
      <c r="D1424" s="1595" t="s">
        <v>13119</v>
      </c>
      <c r="E1424" s="1595"/>
      <c r="F1424" s="1595"/>
      <c r="G1424" s="1595" t="s">
        <v>3664</v>
      </c>
      <c r="H1424" s="1596">
        <v>2</v>
      </c>
      <c r="I1424" s="1595"/>
      <c r="J1424" s="1595"/>
      <c r="K1424" s="1597">
        <v>649080</v>
      </c>
      <c r="L1424" s="1597">
        <v>649080</v>
      </c>
      <c r="M1424" s="1598"/>
      <c r="N1424" s="1597">
        <v>649080</v>
      </c>
      <c r="O1424" s="1597">
        <v>40567.5</v>
      </c>
      <c r="P1424" s="1597">
        <v>576058.5</v>
      </c>
      <c r="Q1424" s="1597">
        <v>32454</v>
      </c>
      <c r="R1424" s="1597">
        <v>608512.5</v>
      </c>
      <c r="S1424" s="1592"/>
    </row>
    <row r="1425" spans="2:19" s="1593" customFormat="1" ht="11.25" customHeight="1" outlineLevel="1">
      <c r="B1425" s="1594">
        <v>31433</v>
      </c>
      <c r="C1425" s="1595" t="s">
        <v>3711</v>
      </c>
      <c r="D1425" s="1595" t="s">
        <v>13118</v>
      </c>
      <c r="E1425" s="1595"/>
      <c r="F1425" s="1595"/>
      <c r="G1425" s="1595" t="s">
        <v>12985</v>
      </c>
      <c r="H1425" s="1596">
        <v>2</v>
      </c>
      <c r="I1425" s="1595"/>
      <c r="J1425" s="1595"/>
      <c r="K1425" s="1597">
        <v>197000</v>
      </c>
      <c r="L1425" s="1597">
        <v>197000</v>
      </c>
      <c r="M1425" s="1598"/>
      <c r="N1425" s="1597">
        <v>197000</v>
      </c>
      <c r="O1425" s="1597">
        <v>12312.89</v>
      </c>
      <c r="P1425" s="1597">
        <v>174836.79</v>
      </c>
      <c r="Q1425" s="1597">
        <v>9850.32</v>
      </c>
      <c r="R1425" s="1597">
        <v>184687.11</v>
      </c>
      <c r="S1425" s="1592"/>
    </row>
    <row r="1426" spans="2:19" s="1593" customFormat="1" ht="11.25" customHeight="1" outlineLevel="1">
      <c r="B1426" s="1594">
        <v>31434</v>
      </c>
      <c r="C1426" s="1595" t="s">
        <v>3711</v>
      </c>
      <c r="D1426" s="1595" t="s">
        <v>13117</v>
      </c>
      <c r="E1426" s="1595"/>
      <c r="F1426" s="1595"/>
      <c r="G1426" s="1595" t="s">
        <v>3664</v>
      </c>
      <c r="H1426" s="1596">
        <v>2</v>
      </c>
      <c r="I1426" s="1595"/>
      <c r="J1426" s="1595"/>
      <c r="K1426" s="1597">
        <v>176040</v>
      </c>
      <c r="L1426" s="1597">
        <v>176040</v>
      </c>
      <c r="M1426" s="1598"/>
      <c r="N1426" s="1597">
        <v>176040</v>
      </c>
      <c r="O1426" s="1597">
        <v>11002.5</v>
      </c>
      <c r="P1426" s="1597">
        <v>156235.5</v>
      </c>
      <c r="Q1426" s="1597">
        <v>8802</v>
      </c>
      <c r="R1426" s="1597">
        <v>165037.5</v>
      </c>
      <c r="S1426" s="1592"/>
    </row>
    <row r="1427" spans="2:19" s="1593" customFormat="1" ht="11.25" customHeight="1" outlineLevel="1">
      <c r="B1427" s="1594">
        <v>31435</v>
      </c>
      <c r="C1427" s="1595" t="s">
        <v>3711</v>
      </c>
      <c r="D1427" s="1595" t="s">
        <v>13116</v>
      </c>
      <c r="E1427" s="1595"/>
      <c r="F1427" s="1595"/>
      <c r="G1427" s="1595" t="s">
        <v>3664</v>
      </c>
      <c r="H1427" s="1596">
        <v>2</v>
      </c>
      <c r="I1427" s="1595"/>
      <c r="J1427" s="1595"/>
      <c r="K1427" s="1597">
        <v>231000</v>
      </c>
      <c r="L1427" s="1597">
        <v>1119736</v>
      </c>
      <c r="M1427" s="1598"/>
      <c r="N1427" s="1597">
        <v>1119736</v>
      </c>
      <c r="O1427" s="1597">
        <v>549169.04</v>
      </c>
      <c r="P1427" s="1597">
        <v>520642.52</v>
      </c>
      <c r="Q1427" s="1597">
        <v>49924.44</v>
      </c>
      <c r="R1427" s="1597">
        <v>570566.96</v>
      </c>
      <c r="S1427" s="1592"/>
    </row>
    <row r="1428" spans="2:19" s="1593" customFormat="1" ht="11.25" customHeight="1" outlineLevel="1">
      <c r="B1428" s="1594">
        <v>31437</v>
      </c>
      <c r="C1428" s="1595" t="s">
        <v>3711</v>
      </c>
      <c r="D1428" s="1595" t="s">
        <v>13115</v>
      </c>
      <c r="E1428" s="1595"/>
      <c r="F1428" s="1595"/>
      <c r="G1428" s="1595" t="s">
        <v>12985</v>
      </c>
      <c r="H1428" s="1596">
        <v>1</v>
      </c>
      <c r="I1428" s="1595"/>
      <c r="J1428" s="1595"/>
      <c r="K1428" s="1597">
        <v>235500</v>
      </c>
      <c r="L1428" s="1597">
        <v>235500</v>
      </c>
      <c r="M1428" s="1598"/>
      <c r="N1428" s="1597">
        <v>235500</v>
      </c>
      <c r="O1428" s="1597">
        <v>14718.75</v>
      </c>
      <c r="P1428" s="1597">
        <v>209006.25</v>
      </c>
      <c r="Q1428" s="1597">
        <v>11775</v>
      </c>
      <c r="R1428" s="1597">
        <v>220781.25</v>
      </c>
      <c r="S1428" s="1592"/>
    </row>
    <row r="1429" spans="2:19" s="1593" customFormat="1" ht="11.25" customHeight="1" outlineLevel="1">
      <c r="B1429" s="1594">
        <v>31438</v>
      </c>
      <c r="C1429" s="1595" t="s">
        <v>3711</v>
      </c>
      <c r="D1429" s="1595" t="s">
        <v>13114</v>
      </c>
      <c r="E1429" s="1595"/>
      <c r="F1429" s="1595"/>
      <c r="G1429" s="1595" t="s">
        <v>3664</v>
      </c>
      <c r="H1429" s="1596">
        <v>2</v>
      </c>
      <c r="I1429" s="1595"/>
      <c r="J1429" s="1595"/>
      <c r="K1429" s="1597">
        <v>130680</v>
      </c>
      <c r="L1429" s="1597">
        <v>130680</v>
      </c>
      <c r="M1429" s="1598"/>
      <c r="N1429" s="1597">
        <v>130680</v>
      </c>
      <c r="O1429" s="1597">
        <v>32670</v>
      </c>
      <c r="P1429" s="1597">
        <v>92782.8</v>
      </c>
      <c r="Q1429" s="1597">
        <v>5227.2</v>
      </c>
      <c r="R1429" s="1597">
        <v>98010</v>
      </c>
      <c r="S1429" s="1592"/>
    </row>
    <row r="1430" spans="2:19" s="1593" customFormat="1" ht="11.25" customHeight="1" outlineLevel="1">
      <c r="B1430" s="1594">
        <v>31439</v>
      </c>
      <c r="C1430" s="1595" t="s">
        <v>3711</v>
      </c>
      <c r="D1430" s="1595" t="s">
        <v>13113</v>
      </c>
      <c r="E1430" s="1595"/>
      <c r="F1430" s="1595"/>
      <c r="G1430" s="1595" t="s">
        <v>3664</v>
      </c>
      <c r="H1430" s="1596">
        <v>2</v>
      </c>
      <c r="I1430" s="1595"/>
      <c r="J1430" s="1595"/>
      <c r="K1430" s="1597">
        <v>138240</v>
      </c>
      <c r="L1430" s="1597">
        <v>138240</v>
      </c>
      <c r="M1430" s="1598"/>
      <c r="N1430" s="1597">
        <v>138240</v>
      </c>
      <c r="O1430" s="1597">
        <v>34560</v>
      </c>
      <c r="P1430" s="1597">
        <v>98150.399999999994</v>
      </c>
      <c r="Q1430" s="1597">
        <v>5529.6</v>
      </c>
      <c r="R1430" s="1597">
        <v>103680</v>
      </c>
      <c r="S1430" s="1592"/>
    </row>
    <row r="1431" spans="2:19" s="1593" customFormat="1" ht="11.25" customHeight="1" outlineLevel="1">
      <c r="B1431" s="1594">
        <v>31440</v>
      </c>
      <c r="C1431" s="1595" t="s">
        <v>3711</v>
      </c>
      <c r="D1431" s="1595" t="s">
        <v>13112</v>
      </c>
      <c r="E1431" s="1595"/>
      <c r="F1431" s="1595"/>
      <c r="G1431" s="1595" t="s">
        <v>3664</v>
      </c>
      <c r="H1431" s="1596">
        <v>2</v>
      </c>
      <c r="I1431" s="1595"/>
      <c r="J1431" s="1595"/>
      <c r="K1431" s="1597">
        <v>258120</v>
      </c>
      <c r="L1431" s="1597">
        <v>258120</v>
      </c>
      <c r="M1431" s="1598"/>
      <c r="N1431" s="1597">
        <v>258120</v>
      </c>
      <c r="O1431" s="1597">
        <v>64530</v>
      </c>
      <c r="P1431" s="1597">
        <v>183265.2</v>
      </c>
      <c r="Q1431" s="1597">
        <v>10324.799999999999</v>
      </c>
      <c r="R1431" s="1597">
        <v>193590</v>
      </c>
      <c r="S1431" s="1592"/>
    </row>
    <row r="1432" spans="2:19" s="1593" customFormat="1" ht="11.25" customHeight="1" outlineLevel="1">
      <c r="B1432" s="1594">
        <v>31441</v>
      </c>
      <c r="C1432" s="1595" t="s">
        <v>3711</v>
      </c>
      <c r="D1432" s="1595" t="s">
        <v>13111</v>
      </c>
      <c r="E1432" s="1595"/>
      <c r="F1432" s="1595"/>
      <c r="G1432" s="1595" t="s">
        <v>3664</v>
      </c>
      <c r="H1432" s="1596">
        <v>1</v>
      </c>
      <c r="I1432" s="1595"/>
      <c r="J1432" s="1595"/>
      <c r="K1432" s="1597">
        <v>432000</v>
      </c>
      <c r="L1432" s="1597">
        <v>432000</v>
      </c>
      <c r="M1432" s="1598"/>
      <c r="N1432" s="1597">
        <v>432000</v>
      </c>
      <c r="O1432" s="1597">
        <v>108000</v>
      </c>
      <c r="P1432" s="1597">
        <v>306720</v>
      </c>
      <c r="Q1432" s="1597">
        <v>17280</v>
      </c>
      <c r="R1432" s="1597">
        <v>324000</v>
      </c>
      <c r="S1432" s="1592"/>
    </row>
    <row r="1433" spans="2:19" s="1593" customFormat="1" ht="11.25" customHeight="1" outlineLevel="1">
      <c r="B1433" s="1594">
        <v>31442</v>
      </c>
      <c r="C1433" s="1595" t="s">
        <v>3711</v>
      </c>
      <c r="D1433" s="1595" t="s">
        <v>13110</v>
      </c>
      <c r="E1433" s="1595"/>
      <c r="F1433" s="1595"/>
      <c r="G1433" s="1595" t="s">
        <v>3664</v>
      </c>
      <c r="H1433" s="1596">
        <v>2</v>
      </c>
      <c r="I1433" s="1595"/>
      <c r="J1433" s="1595"/>
      <c r="K1433" s="1597">
        <v>93000</v>
      </c>
      <c r="L1433" s="1597">
        <v>93000</v>
      </c>
      <c r="M1433" s="1598"/>
      <c r="N1433" s="1597">
        <v>93000</v>
      </c>
      <c r="O1433" s="1597">
        <v>23250</v>
      </c>
      <c r="P1433" s="1597">
        <v>66030</v>
      </c>
      <c r="Q1433" s="1597">
        <v>3720</v>
      </c>
      <c r="R1433" s="1597">
        <v>69750</v>
      </c>
      <c r="S1433" s="1592"/>
    </row>
    <row r="1434" spans="2:19" s="1593" customFormat="1" ht="11.25" customHeight="1" outlineLevel="1">
      <c r="B1434" s="1594">
        <v>31443</v>
      </c>
      <c r="C1434" s="1595" t="s">
        <v>3711</v>
      </c>
      <c r="D1434" s="1595" t="s">
        <v>13109</v>
      </c>
      <c r="E1434" s="1595"/>
      <c r="F1434" s="1595"/>
      <c r="G1434" s="1595" t="s">
        <v>3664</v>
      </c>
      <c r="H1434" s="1596">
        <v>1</v>
      </c>
      <c r="I1434" s="1595"/>
      <c r="J1434" s="1595"/>
      <c r="K1434" s="1597">
        <v>270805</v>
      </c>
      <c r="L1434" s="1597">
        <v>270805</v>
      </c>
      <c r="M1434" s="1598"/>
      <c r="N1434" s="1597">
        <v>270805</v>
      </c>
      <c r="O1434" s="1597">
        <v>16925.77</v>
      </c>
      <c r="P1434" s="1597">
        <v>240338.55</v>
      </c>
      <c r="Q1434" s="1597">
        <v>13540.68</v>
      </c>
      <c r="R1434" s="1597">
        <v>253879.23</v>
      </c>
      <c r="S1434" s="1592"/>
    </row>
    <row r="1435" spans="2:19" s="1593" customFormat="1" ht="11.25" customHeight="1" outlineLevel="1">
      <c r="B1435" s="1594">
        <v>31445</v>
      </c>
      <c r="C1435" s="1595" t="s">
        <v>3711</v>
      </c>
      <c r="D1435" s="1595" t="s">
        <v>13108</v>
      </c>
      <c r="E1435" s="1595"/>
      <c r="F1435" s="1595"/>
      <c r="G1435" s="1595" t="s">
        <v>3664</v>
      </c>
      <c r="H1435" s="1596">
        <v>2</v>
      </c>
      <c r="I1435" s="1595"/>
      <c r="J1435" s="1595"/>
      <c r="K1435" s="1597">
        <v>93500</v>
      </c>
      <c r="L1435" s="1597">
        <v>93500</v>
      </c>
      <c r="M1435" s="1598"/>
      <c r="N1435" s="1597">
        <v>93500</v>
      </c>
      <c r="O1435" s="1597">
        <v>23374.37</v>
      </c>
      <c r="P1435" s="1597">
        <v>66385.710000000006</v>
      </c>
      <c r="Q1435" s="1597">
        <v>3739.92</v>
      </c>
      <c r="R1435" s="1597">
        <v>70125.63</v>
      </c>
      <c r="S1435" s="1592"/>
    </row>
    <row r="1436" spans="2:19" s="1593" customFormat="1" ht="11.25" customHeight="1" outlineLevel="1">
      <c r="B1436" s="1594">
        <v>31524</v>
      </c>
      <c r="C1436" s="1595" t="s">
        <v>10762</v>
      </c>
      <c r="D1436" s="1595" t="s">
        <v>13107</v>
      </c>
      <c r="E1436" s="1595"/>
      <c r="F1436" s="1595"/>
      <c r="G1436" s="1595"/>
      <c r="H1436" s="1596">
        <v>2</v>
      </c>
      <c r="I1436" s="1595"/>
      <c r="J1436" s="1595"/>
      <c r="K1436" s="1597">
        <v>16290</v>
      </c>
      <c r="L1436" s="1597">
        <v>16290</v>
      </c>
      <c r="M1436" s="1597">
        <v>-16290</v>
      </c>
      <c r="N1436" s="1598"/>
      <c r="O1436" s="1598"/>
      <c r="P1436" s="1597">
        <v>16290</v>
      </c>
      <c r="Q1436" s="1597">
        <v>-16290</v>
      </c>
      <c r="R1436" s="1598"/>
      <c r="S1436" s="1592"/>
    </row>
    <row r="1437" spans="2:19" s="1593" customFormat="1" ht="11.25" customHeight="1" outlineLevel="1">
      <c r="B1437" s="1594">
        <v>35559</v>
      </c>
      <c r="C1437" s="1595" t="s">
        <v>10762</v>
      </c>
      <c r="D1437" s="1595" t="s">
        <v>13106</v>
      </c>
      <c r="E1437" s="1595"/>
      <c r="F1437" s="1595"/>
      <c r="G1437" s="1595"/>
      <c r="H1437" s="1596">
        <v>2</v>
      </c>
      <c r="I1437" s="1595"/>
      <c r="J1437" s="1595"/>
      <c r="K1437" s="1597">
        <v>16290</v>
      </c>
      <c r="L1437" s="1597">
        <v>16290</v>
      </c>
      <c r="M1437" s="1597">
        <v>-16290</v>
      </c>
      <c r="N1437" s="1598"/>
      <c r="O1437" s="1598"/>
      <c r="P1437" s="1597">
        <v>16290</v>
      </c>
      <c r="Q1437" s="1597">
        <v>-16290</v>
      </c>
      <c r="R1437" s="1598"/>
      <c r="S1437" s="1592"/>
    </row>
    <row r="1438" spans="2:19" s="1593" customFormat="1" ht="11.25" customHeight="1" outlineLevel="1">
      <c r="B1438" s="1594">
        <v>35560</v>
      </c>
      <c r="C1438" s="1595" t="s">
        <v>10762</v>
      </c>
      <c r="D1438" s="1595" t="s">
        <v>13105</v>
      </c>
      <c r="E1438" s="1595"/>
      <c r="F1438" s="1595"/>
      <c r="G1438" s="1595"/>
      <c r="H1438" s="1596">
        <v>2</v>
      </c>
      <c r="I1438" s="1595"/>
      <c r="J1438" s="1595"/>
      <c r="K1438" s="1597">
        <v>16290</v>
      </c>
      <c r="L1438" s="1597">
        <v>16290</v>
      </c>
      <c r="M1438" s="1597">
        <v>-16290</v>
      </c>
      <c r="N1438" s="1598"/>
      <c r="O1438" s="1598"/>
      <c r="P1438" s="1597">
        <v>16290</v>
      </c>
      <c r="Q1438" s="1597">
        <v>-16290</v>
      </c>
      <c r="R1438" s="1598"/>
      <c r="S1438" s="1592"/>
    </row>
    <row r="1439" spans="2:19" s="1593" customFormat="1" ht="11.25" customHeight="1" outlineLevel="1">
      <c r="B1439" s="1594">
        <v>35561</v>
      </c>
      <c r="C1439" s="1595" t="s">
        <v>10762</v>
      </c>
      <c r="D1439" s="1595" t="s">
        <v>13104</v>
      </c>
      <c r="E1439" s="1595"/>
      <c r="F1439" s="1595"/>
      <c r="G1439" s="1595"/>
      <c r="H1439" s="1596">
        <v>2</v>
      </c>
      <c r="I1439" s="1595"/>
      <c r="J1439" s="1595"/>
      <c r="K1439" s="1597">
        <v>16290</v>
      </c>
      <c r="L1439" s="1597">
        <v>16290</v>
      </c>
      <c r="M1439" s="1597">
        <v>-16290</v>
      </c>
      <c r="N1439" s="1598"/>
      <c r="O1439" s="1598"/>
      <c r="P1439" s="1597">
        <v>16290</v>
      </c>
      <c r="Q1439" s="1597">
        <v>-16290</v>
      </c>
      <c r="R1439" s="1598"/>
      <c r="S1439" s="1592"/>
    </row>
    <row r="1440" spans="2:19" s="1593" customFormat="1" ht="11.25" customHeight="1" outlineLevel="1">
      <c r="B1440" s="1600" t="s">
        <v>13103</v>
      </c>
      <c r="C1440" s="1595" t="s">
        <v>8138</v>
      </c>
      <c r="D1440" s="1595" t="s">
        <v>13102</v>
      </c>
      <c r="E1440" s="1595"/>
      <c r="F1440" s="1595"/>
      <c r="G1440" s="1595"/>
      <c r="H1440" s="1596">
        <v>2</v>
      </c>
      <c r="I1440" s="1595"/>
      <c r="J1440" s="1595"/>
      <c r="K1440" s="1597">
        <v>134265</v>
      </c>
      <c r="L1440" s="1597">
        <v>134265</v>
      </c>
      <c r="M1440" s="1598"/>
      <c r="N1440" s="1597">
        <v>134265</v>
      </c>
      <c r="O1440" s="1597">
        <v>6856.14</v>
      </c>
      <c r="P1440" s="1597">
        <v>120552.74</v>
      </c>
      <c r="Q1440" s="1597">
        <v>6856.12</v>
      </c>
      <c r="R1440" s="1597">
        <v>127408.86</v>
      </c>
      <c r="S1440" s="1592"/>
    </row>
    <row r="1441" spans="2:19" s="1593" customFormat="1" ht="11.25" customHeight="1" outlineLevel="1">
      <c r="B1441" s="1594">
        <v>36933</v>
      </c>
      <c r="C1441" s="1595" t="s">
        <v>8138</v>
      </c>
      <c r="D1441" s="1595" t="s">
        <v>13101</v>
      </c>
      <c r="E1441" s="1595"/>
      <c r="F1441" s="1595"/>
      <c r="G1441" s="1595"/>
      <c r="H1441" s="1596">
        <v>1</v>
      </c>
      <c r="I1441" s="1595"/>
      <c r="J1441" s="1595"/>
      <c r="K1441" s="1597">
        <v>105602</v>
      </c>
      <c r="L1441" s="1597">
        <v>105602</v>
      </c>
      <c r="M1441" s="1598"/>
      <c r="N1441" s="1597">
        <v>105602</v>
      </c>
      <c r="O1441" s="1597">
        <v>5392.49</v>
      </c>
      <c r="P1441" s="1597">
        <v>94817.07</v>
      </c>
      <c r="Q1441" s="1597">
        <v>5392.44</v>
      </c>
      <c r="R1441" s="1597">
        <v>100209.51</v>
      </c>
      <c r="S1441" s="1592"/>
    </row>
    <row r="1442" spans="2:19" s="1593" customFormat="1" ht="11.25" customHeight="1" outlineLevel="1">
      <c r="B1442" s="1594">
        <v>31898</v>
      </c>
      <c r="C1442" s="1595" t="s">
        <v>3660</v>
      </c>
      <c r="D1442" s="1595" t="s">
        <v>13100</v>
      </c>
      <c r="E1442" s="1595"/>
      <c r="F1442" s="1595"/>
      <c r="G1442" s="1595"/>
      <c r="H1442" s="1596">
        <v>1</v>
      </c>
      <c r="I1442" s="1595"/>
      <c r="J1442" s="1595"/>
      <c r="K1442" s="1597">
        <v>7560</v>
      </c>
      <c r="L1442" s="1597">
        <v>7560</v>
      </c>
      <c r="M1442" s="1597">
        <v>-7560</v>
      </c>
      <c r="N1442" s="1598"/>
      <c r="O1442" s="1598"/>
      <c r="P1442" s="1597">
        <v>7560</v>
      </c>
      <c r="Q1442" s="1597">
        <v>-7560</v>
      </c>
      <c r="R1442" s="1598"/>
      <c r="S1442" s="1592"/>
    </row>
    <row r="1443" spans="2:19" s="1593" customFormat="1" ht="11.25" customHeight="1" outlineLevel="1">
      <c r="B1443" s="1594">
        <v>31899</v>
      </c>
      <c r="C1443" s="1595" t="s">
        <v>3660</v>
      </c>
      <c r="D1443" s="1595" t="s">
        <v>13099</v>
      </c>
      <c r="E1443" s="1595"/>
      <c r="F1443" s="1595"/>
      <c r="G1443" s="1595"/>
      <c r="H1443" s="1596">
        <v>1</v>
      </c>
      <c r="I1443" s="1595"/>
      <c r="J1443" s="1595"/>
      <c r="K1443" s="1597">
        <v>2100</v>
      </c>
      <c r="L1443" s="1597">
        <v>2100</v>
      </c>
      <c r="M1443" s="1597">
        <v>-2100</v>
      </c>
      <c r="N1443" s="1598"/>
      <c r="O1443" s="1598"/>
      <c r="P1443" s="1597">
        <v>2100</v>
      </c>
      <c r="Q1443" s="1597">
        <v>-2100</v>
      </c>
      <c r="R1443" s="1598"/>
      <c r="S1443" s="1592"/>
    </row>
    <row r="1444" spans="2:19" s="1593" customFormat="1" ht="11.25" customHeight="1" outlineLevel="1">
      <c r="B1444" s="1594">
        <v>31905</v>
      </c>
      <c r="C1444" s="1595" t="s">
        <v>3660</v>
      </c>
      <c r="D1444" s="1595" t="s">
        <v>13098</v>
      </c>
      <c r="E1444" s="1595"/>
      <c r="F1444" s="1595"/>
      <c r="G1444" s="1595"/>
      <c r="H1444" s="1596">
        <v>1</v>
      </c>
      <c r="I1444" s="1595"/>
      <c r="J1444" s="1595"/>
      <c r="K1444" s="1597">
        <v>1375</v>
      </c>
      <c r="L1444" s="1597">
        <v>1375</v>
      </c>
      <c r="M1444" s="1597">
        <v>-1375</v>
      </c>
      <c r="N1444" s="1598"/>
      <c r="O1444" s="1598"/>
      <c r="P1444" s="1597">
        <v>1375</v>
      </c>
      <c r="Q1444" s="1597">
        <v>-1375</v>
      </c>
      <c r="R1444" s="1598"/>
      <c r="S1444" s="1592"/>
    </row>
    <row r="1445" spans="2:19" s="1593" customFormat="1" ht="11.25" customHeight="1" outlineLevel="1">
      <c r="B1445" s="1594">
        <v>32759</v>
      </c>
      <c r="C1445" s="1595" t="s">
        <v>3660</v>
      </c>
      <c r="D1445" s="1595" t="s">
        <v>13097</v>
      </c>
      <c r="E1445" s="1595"/>
      <c r="F1445" s="1595"/>
      <c r="G1445" s="1595"/>
      <c r="H1445" s="1596">
        <v>1</v>
      </c>
      <c r="I1445" s="1595"/>
      <c r="J1445" s="1595"/>
      <c r="K1445" s="1599">
        <v>374.98</v>
      </c>
      <c r="L1445" s="1599">
        <v>374.98</v>
      </c>
      <c r="M1445" s="1599">
        <v>-374.98</v>
      </c>
      <c r="N1445" s="1598"/>
      <c r="O1445" s="1598"/>
      <c r="P1445" s="1599">
        <v>374.98</v>
      </c>
      <c r="Q1445" s="1599">
        <v>-374.98</v>
      </c>
      <c r="R1445" s="1598"/>
      <c r="S1445" s="1592"/>
    </row>
    <row r="1446" spans="2:19" s="1593" customFormat="1" ht="11.25" customHeight="1" outlineLevel="1">
      <c r="B1446" s="1594">
        <v>32778</v>
      </c>
      <c r="C1446" s="1595" t="s">
        <v>3660</v>
      </c>
      <c r="D1446" s="1595" t="s">
        <v>13096</v>
      </c>
      <c r="E1446" s="1595"/>
      <c r="F1446" s="1595"/>
      <c r="G1446" s="1595"/>
      <c r="H1446" s="1596">
        <v>1</v>
      </c>
      <c r="I1446" s="1595"/>
      <c r="J1446" s="1595"/>
      <c r="K1446" s="1597">
        <v>1118.6400000000001</v>
      </c>
      <c r="L1446" s="1597">
        <v>1118.6400000000001</v>
      </c>
      <c r="M1446" s="1597">
        <v>-1118.6400000000001</v>
      </c>
      <c r="N1446" s="1598"/>
      <c r="O1446" s="1598"/>
      <c r="P1446" s="1597">
        <v>1118.6400000000001</v>
      </c>
      <c r="Q1446" s="1597">
        <v>-1118.6400000000001</v>
      </c>
      <c r="R1446" s="1598"/>
      <c r="S1446" s="1592"/>
    </row>
    <row r="1447" spans="2:19" s="1593" customFormat="1" ht="11.25" customHeight="1" outlineLevel="1">
      <c r="B1447" s="1594">
        <v>36939</v>
      </c>
      <c r="C1447" s="1595" t="s">
        <v>3660</v>
      </c>
      <c r="D1447" s="1595" t="s">
        <v>13095</v>
      </c>
      <c r="E1447" s="1595"/>
      <c r="F1447" s="1595"/>
      <c r="G1447" s="1595"/>
      <c r="H1447" s="1596">
        <v>1</v>
      </c>
      <c r="I1447" s="1595"/>
      <c r="J1447" s="1595"/>
      <c r="K1447" s="1599">
        <v>312.5</v>
      </c>
      <c r="L1447" s="1599">
        <v>312.5</v>
      </c>
      <c r="M1447" s="1599">
        <v>-312.5</v>
      </c>
      <c r="N1447" s="1598"/>
      <c r="O1447" s="1598"/>
      <c r="P1447" s="1599">
        <v>312.5</v>
      </c>
      <c r="Q1447" s="1599">
        <v>-312.5</v>
      </c>
      <c r="R1447" s="1598"/>
      <c r="S1447" s="1592"/>
    </row>
    <row r="1448" spans="2:19" s="1593" customFormat="1" ht="11.25" customHeight="1" outlineLevel="1">
      <c r="B1448" s="1594">
        <v>37056</v>
      </c>
      <c r="C1448" s="1595" t="s">
        <v>3660</v>
      </c>
      <c r="D1448" s="1595" t="s">
        <v>13094</v>
      </c>
      <c r="E1448" s="1595"/>
      <c r="F1448" s="1595"/>
      <c r="G1448" s="1595"/>
      <c r="H1448" s="1596">
        <v>1</v>
      </c>
      <c r="I1448" s="1595"/>
      <c r="J1448" s="1595"/>
      <c r="K1448" s="1599">
        <v>332.22</v>
      </c>
      <c r="L1448" s="1599">
        <v>332.22</v>
      </c>
      <c r="M1448" s="1599">
        <v>-332.22</v>
      </c>
      <c r="N1448" s="1598"/>
      <c r="O1448" s="1598"/>
      <c r="P1448" s="1599">
        <v>332.22</v>
      </c>
      <c r="Q1448" s="1599">
        <v>-332.22</v>
      </c>
      <c r="R1448" s="1598"/>
      <c r="S1448" s="1592"/>
    </row>
    <row r="1449" spans="2:19" s="1593" customFormat="1" ht="11.25" customHeight="1" outlineLevel="1">
      <c r="B1449" s="1594">
        <v>37057</v>
      </c>
      <c r="C1449" s="1595" t="s">
        <v>3660</v>
      </c>
      <c r="D1449" s="1595" t="s">
        <v>13093</v>
      </c>
      <c r="E1449" s="1595"/>
      <c r="F1449" s="1595"/>
      <c r="G1449" s="1595"/>
      <c r="H1449" s="1596">
        <v>1</v>
      </c>
      <c r="I1449" s="1595"/>
      <c r="J1449" s="1595"/>
      <c r="K1449" s="1599">
        <v>332.22</v>
      </c>
      <c r="L1449" s="1599">
        <v>332.22</v>
      </c>
      <c r="M1449" s="1599">
        <v>-332.22</v>
      </c>
      <c r="N1449" s="1598"/>
      <c r="O1449" s="1598"/>
      <c r="P1449" s="1599">
        <v>332.22</v>
      </c>
      <c r="Q1449" s="1599">
        <v>-332.22</v>
      </c>
      <c r="R1449" s="1598"/>
      <c r="S1449" s="1592"/>
    </row>
    <row r="1450" spans="2:19" s="1593" customFormat="1" ht="11.25" customHeight="1" outlineLevel="1">
      <c r="B1450" s="1594">
        <v>37058</v>
      </c>
      <c r="C1450" s="1595" t="s">
        <v>3660</v>
      </c>
      <c r="D1450" s="1595" t="s">
        <v>13092</v>
      </c>
      <c r="E1450" s="1595"/>
      <c r="F1450" s="1595"/>
      <c r="G1450" s="1595"/>
      <c r="H1450" s="1596">
        <v>1</v>
      </c>
      <c r="I1450" s="1595"/>
      <c r="J1450" s="1595"/>
      <c r="K1450" s="1599">
        <v>332.22</v>
      </c>
      <c r="L1450" s="1599">
        <v>332.22</v>
      </c>
      <c r="M1450" s="1599">
        <v>-332.22</v>
      </c>
      <c r="N1450" s="1598"/>
      <c r="O1450" s="1598"/>
      <c r="P1450" s="1599">
        <v>332.22</v>
      </c>
      <c r="Q1450" s="1599">
        <v>-332.22</v>
      </c>
      <c r="R1450" s="1598"/>
      <c r="S1450" s="1592"/>
    </row>
    <row r="1451" spans="2:19" s="1593" customFormat="1" ht="11.25" customHeight="1" outlineLevel="1">
      <c r="B1451" s="1594">
        <v>37059</v>
      </c>
      <c r="C1451" s="1595" t="s">
        <v>3660</v>
      </c>
      <c r="D1451" s="1595" t="s">
        <v>13091</v>
      </c>
      <c r="E1451" s="1595"/>
      <c r="F1451" s="1595"/>
      <c r="G1451" s="1595"/>
      <c r="H1451" s="1596">
        <v>1</v>
      </c>
      <c r="I1451" s="1595"/>
      <c r="J1451" s="1595"/>
      <c r="K1451" s="1599">
        <v>332.22</v>
      </c>
      <c r="L1451" s="1599">
        <v>332.22</v>
      </c>
      <c r="M1451" s="1599">
        <v>-332.22</v>
      </c>
      <c r="N1451" s="1598"/>
      <c r="O1451" s="1598"/>
      <c r="P1451" s="1599">
        <v>332.22</v>
      </c>
      <c r="Q1451" s="1599">
        <v>-332.22</v>
      </c>
      <c r="R1451" s="1598"/>
      <c r="S1451" s="1592"/>
    </row>
    <row r="1452" spans="2:19" s="1593" customFormat="1" ht="11.25" customHeight="1" outlineLevel="1">
      <c r="B1452" s="1594">
        <v>37060</v>
      </c>
      <c r="C1452" s="1595" t="s">
        <v>3660</v>
      </c>
      <c r="D1452" s="1595" t="s">
        <v>13090</v>
      </c>
      <c r="E1452" s="1595"/>
      <c r="F1452" s="1595"/>
      <c r="G1452" s="1595"/>
      <c r="H1452" s="1596">
        <v>1</v>
      </c>
      <c r="I1452" s="1595"/>
      <c r="J1452" s="1595"/>
      <c r="K1452" s="1599">
        <v>332.22</v>
      </c>
      <c r="L1452" s="1599">
        <v>332.22</v>
      </c>
      <c r="M1452" s="1599">
        <v>-332.22</v>
      </c>
      <c r="N1452" s="1598"/>
      <c r="O1452" s="1598"/>
      <c r="P1452" s="1599">
        <v>332.22</v>
      </c>
      <c r="Q1452" s="1599">
        <v>-332.22</v>
      </c>
      <c r="R1452" s="1598"/>
      <c r="S1452" s="1592"/>
    </row>
    <row r="1453" spans="2:19" s="1593" customFormat="1" ht="11.25" customHeight="1" outlineLevel="1">
      <c r="B1453" s="1594">
        <v>37061</v>
      </c>
      <c r="C1453" s="1595" t="s">
        <v>3660</v>
      </c>
      <c r="D1453" s="1595" t="s">
        <v>13089</v>
      </c>
      <c r="E1453" s="1595"/>
      <c r="F1453" s="1595"/>
      <c r="G1453" s="1595"/>
      <c r="H1453" s="1596">
        <v>1</v>
      </c>
      <c r="I1453" s="1595"/>
      <c r="J1453" s="1595"/>
      <c r="K1453" s="1599">
        <v>332.22</v>
      </c>
      <c r="L1453" s="1599">
        <v>332.22</v>
      </c>
      <c r="M1453" s="1599">
        <v>-332.22</v>
      </c>
      <c r="N1453" s="1598"/>
      <c r="O1453" s="1598"/>
      <c r="P1453" s="1599">
        <v>332.22</v>
      </c>
      <c r="Q1453" s="1599">
        <v>-332.22</v>
      </c>
      <c r="R1453" s="1598"/>
      <c r="S1453" s="1592"/>
    </row>
    <row r="1454" spans="2:19" s="1593" customFormat="1" ht="11.25" customHeight="1" outlineLevel="1">
      <c r="B1454" s="1594">
        <v>37062</v>
      </c>
      <c r="C1454" s="1595" t="s">
        <v>3660</v>
      </c>
      <c r="D1454" s="1595" t="s">
        <v>13088</v>
      </c>
      <c r="E1454" s="1595"/>
      <c r="F1454" s="1595"/>
      <c r="G1454" s="1595"/>
      <c r="H1454" s="1596">
        <v>1</v>
      </c>
      <c r="I1454" s="1595"/>
      <c r="J1454" s="1595"/>
      <c r="K1454" s="1599">
        <v>332.22</v>
      </c>
      <c r="L1454" s="1599">
        <v>332.22</v>
      </c>
      <c r="M1454" s="1599">
        <v>-332.22</v>
      </c>
      <c r="N1454" s="1598"/>
      <c r="O1454" s="1598"/>
      <c r="P1454" s="1599">
        <v>332.22</v>
      </c>
      <c r="Q1454" s="1599">
        <v>-332.22</v>
      </c>
      <c r="R1454" s="1598"/>
      <c r="S1454" s="1592"/>
    </row>
    <row r="1455" spans="2:19" s="1593" customFormat="1" ht="11.25" customHeight="1" outlineLevel="1">
      <c r="B1455" s="1594">
        <v>32955</v>
      </c>
      <c r="C1455" s="1595" t="s">
        <v>11889</v>
      </c>
      <c r="D1455" s="1595" t="s">
        <v>13087</v>
      </c>
      <c r="E1455" s="1595"/>
      <c r="F1455" s="1595"/>
      <c r="G1455" s="1595"/>
      <c r="H1455" s="1596">
        <v>2</v>
      </c>
      <c r="I1455" s="1595"/>
      <c r="J1455" s="1595"/>
      <c r="K1455" s="1597">
        <v>2925</v>
      </c>
      <c r="L1455" s="1597">
        <v>2925</v>
      </c>
      <c r="M1455" s="1597">
        <v>-2925</v>
      </c>
      <c r="N1455" s="1598"/>
      <c r="O1455" s="1598"/>
      <c r="P1455" s="1597">
        <v>2925</v>
      </c>
      <c r="Q1455" s="1597">
        <v>-2925</v>
      </c>
      <c r="R1455" s="1598"/>
      <c r="S1455" s="1592"/>
    </row>
    <row r="1456" spans="2:19" s="1593" customFormat="1" ht="11.25" customHeight="1" outlineLevel="1">
      <c r="B1456" s="1594">
        <v>23115</v>
      </c>
      <c r="C1456" s="1595" t="s">
        <v>8063</v>
      </c>
      <c r="D1456" s="1595" t="s">
        <v>13086</v>
      </c>
      <c r="E1456" s="1595"/>
      <c r="F1456" s="1595"/>
      <c r="G1456" s="1595"/>
      <c r="H1456" s="1596">
        <v>2</v>
      </c>
      <c r="I1456" s="1595"/>
      <c r="J1456" s="1595"/>
      <c r="K1456" s="1597">
        <v>2769.3</v>
      </c>
      <c r="L1456" s="1597">
        <v>2769</v>
      </c>
      <c r="M1456" s="1597">
        <v>-2769</v>
      </c>
      <c r="N1456" s="1598"/>
      <c r="O1456" s="1598"/>
      <c r="P1456" s="1597">
        <v>2769</v>
      </c>
      <c r="Q1456" s="1597">
        <v>-2769</v>
      </c>
      <c r="R1456" s="1598"/>
      <c r="S1456" s="1592"/>
    </row>
    <row r="1457" spans="2:19" s="1593" customFormat="1" ht="11.25" customHeight="1" outlineLevel="1">
      <c r="B1457" s="1594">
        <v>33026</v>
      </c>
      <c r="C1457" s="1595" t="s">
        <v>8063</v>
      </c>
      <c r="D1457" s="1595" t="s">
        <v>13085</v>
      </c>
      <c r="E1457" s="1595"/>
      <c r="F1457" s="1595"/>
      <c r="G1457" s="1595"/>
      <c r="H1457" s="1596">
        <v>2</v>
      </c>
      <c r="I1457" s="1595"/>
      <c r="J1457" s="1595"/>
      <c r="K1457" s="1597">
        <v>1609.13</v>
      </c>
      <c r="L1457" s="1597">
        <v>1609.13</v>
      </c>
      <c r="M1457" s="1597">
        <v>-1609.13</v>
      </c>
      <c r="N1457" s="1598"/>
      <c r="O1457" s="1598"/>
      <c r="P1457" s="1597">
        <v>1609.13</v>
      </c>
      <c r="Q1457" s="1597">
        <v>-1609.13</v>
      </c>
      <c r="R1457" s="1598"/>
      <c r="S1457" s="1592"/>
    </row>
    <row r="1458" spans="2:19" s="1593" customFormat="1" ht="11.25" customHeight="1" outlineLevel="1">
      <c r="B1458" s="1594">
        <v>33027</v>
      </c>
      <c r="C1458" s="1595" t="s">
        <v>8063</v>
      </c>
      <c r="D1458" s="1595" t="s">
        <v>13084</v>
      </c>
      <c r="E1458" s="1595"/>
      <c r="F1458" s="1595"/>
      <c r="G1458" s="1595"/>
      <c r="H1458" s="1596">
        <v>2</v>
      </c>
      <c r="I1458" s="1595"/>
      <c r="J1458" s="1595"/>
      <c r="K1458" s="1597">
        <v>1609.13</v>
      </c>
      <c r="L1458" s="1597">
        <v>1609.13</v>
      </c>
      <c r="M1458" s="1597">
        <v>-1609.13</v>
      </c>
      <c r="N1458" s="1598"/>
      <c r="O1458" s="1598"/>
      <c r="P1458" s="1597">
        <v>1609.13</v>
      </c>
      <c r="Q1458" s="1597">
        <v>-1609.13</v>
      </c>
      <c r="R1458" s="1598"/>
      <c r="S1458" s="1592"/>
    </row>
    <row r="1459" spans="2:19" s="1593" customFormat="1" ht="11.25" customHeight="1" outlineLevel="1">
      <c r="B1459" s="1594">
        <v>33028</v>
      </c>
      <c r="C1459" s="1595" t="s">
        <v>8063</v>
      </c>
      <c r="D1459" s="1595" t="s">
        <v>13083</v>
      </c>
      <c r="E1459" s="1595"/>
      <c r="F1459" s="1595"/>
      <c r="G1459" s="1595"/>
      <c r="H1459" s="1596">
        <v>2</v>
      </c>
      <c r="I1459" s="1595"/>
      <c r="J1459" s="1595"/>
      <c r="K1459" s="1597">
        <v>1609.13</v>
      </c>
      <c r="L1459" s="1597">
        <v>1609.13</v>
      </c>
      <c r="M1459" s="1597">
        <v>-1609.13</v>
      </c>
      <c r="N1459" s="1598"/>
      <c r="O1459" s="1598"/>
      <c r="P1459" s="1597">
        <v>1609.13</v>
      </c>
      <c r="Q1459" s="1597">
        <v>-1609.13</v>
      </c>
      <c r="R1459" s="1598"/>
      <c r="S1459" s="1592"/>
    </row>
    <row r="1460" spans="2:19" s="1593" customFormat="1" ht="11.25" customHeight="1" outlineLevel="1">
      <c r="B1460" s="1594">
        <v>33029</v>
      </c>
      <c r="C1460" s="1595" t="s">
        <v>8063</v>
      </c>
      <c r="D1460" s="1595" t="s">
        <v>13082</v>
      </c>
      <c r="E1460" s="1595"/>
      <c r="F1460" s="1595"/>
      <c r="G1460" s="1595"/>
      <c r="H1460" s="1596">
        <v>2</v>
      </c>
      <c r="I1460" s="1595"/>
      <c r="J1460" s="1595"/>
      <c r="K1460" s="1597">
        <v>1609.13</v>
      </c>
      <c r="L1460" s="1597">
        <v>1609.13</v>
      </c>
      <c r="M1460" s="1597">
        <v>-1609.13</v>
      </c>
      <c r="N1460" s="1598"/>
      <c r="O1460" s="1598"/>
      <c r="P1460" s="1597">
        <v>1609.13</v>
      </c>
      <c r="Q1460" s="1597">
        <v>-1609.13</v>
      </c>
      <c r="R1460" s="1598"/>
      <c r="S1460" s="1592"/>
    </row>
    <row r="1461" spans="2:19" s="1593" customFormat="1" ht="11.25" customHeight="1" outlineLevel="1">
      <c r="B1461" s="1594">
        <v>33030</v>
      </c>
      <c r="C1461" s="1595" t="s">
        <v>8063</v>
      </c>
      <c r="D1461" s="1595" t="s">
        <v>13081</v>
      </c>
      <c r="E1461" s="1595"/>
      <c r="F1461" s="1595"/>
      <c r="G1461" s="1595"/>
      <c r="H1461" s="1596">
        <v>2</v>
      </c>
      <c r="I1461" s="1595"/>
      <c r="J1461" s="1595"/>
      <c r="K1461" s="1597">
        <v>1609.13</v>
      </c>
      <c r="L1461" s="1597">
        <v>1609.13</v>
      </c>
      <c r="M1461" s="1597">
        <v>-1609.13</v>
      </c>
      <c r="N1461" s="1598"/>
      <c r="O1461" s="1598"/>
      <c r="P1461" s="1597">
        <v>1609.13</v>
      </c>
      <c r="Q1461" s="1597">
        <v>-1609.13</v>
      </c>
      <c r="R1461" s="1598"/>
      <c r="S1461" s="1592"/>
    </row>
    <row r="1462" spans="2:19" s="1593" customFormat="1" ht="11.25" customHeight="1" outlineLevel="1">
      <c r="B1462" s="1594">
        <v>33031</v>
      </c>
      <c r="C1462" s="1595" t="s">
        <v>8063</v>
      </c>
      <c r="D1462" s="1595" t="s">
        <v>13080</v>
      </c>
      <c r="E1462" s="1595"/>
      <c r="F1462" s="1595"/>
      <c r="G1462" s="1595"/>
      <c r="H1462" s="1596">
        <v>2</v>
      </c>
      <c r="I1462" s="1595"/>
      <c r="J1462" s="1595"/>
      <c r="K1462" s="1597">
        <v>1609.13</v>
      </c>
      <c r="L1462" s="1597">
        <v>1609.13</v>
      </c>
      <c r="M1462" s="1597">
        <v>-1609.13</v>
      </c>
      <c r="N1462" s="1598"/>
      <c r="O1462" s="1598"/>
      <c r="P1462" s="1597">
        <v>1609.13</v>
      </c>
      <c r="Q1462" s="1597">
        <v>-1609.13</v>
      </c>
      <c r="R1462" s="1598"/>
      <c r="S1462" s="1592"/>
    </row>
    <row r="1463" spans="2:19" s="1593" customFormat="1" ht="11.25" customHeight="1" outlineLevel="1">
      <c r="B1463" s="1594">
        <v>33032</v>
      </c>
      <c r="C1463" s="1595" t="s">
        <v>8063</v>
      </c>
      <c r="D1463" s="1595" t="s">
        <v>13079</v>
      </c>
      <c r="E1463" s="1595"/>
      <c r="F1463" s="1595"/>
      <c r="G1463" s="1595"/>
      <c r="H1463" s="1596">
        <v>2</v>
      </c>
      <c r="I1463" s="1595"/>
      <c r="J1463" s="1595"/>
      <c r="K1463" s="1597">
        <v>1609.13</v>
      </c>
      <c r="L1463" s="1597">
        <v>1609.13</v>
      </c>
      <c r="M1463" s="1597">
        <v>-1609.13</v>
      </c>
      <c r="N1463" s="1598"/>
      <c r="O1463" s="1598"/>
      <c r="P1463" s="1597">
        <v>1609.13</v>
      </c>
      <c r="Q1463" s="1597">
        <v>-1609.13</v>
      </c>
      <c r="R1463" s="1598"/>
      <c r="S1463" s="1592"/>
    </row>
    <row r="1464" spans="2:19" s="1593" customFormat="1" ht="11.25" customHeight="1" outlineLevel="1">
      <c r="B1464" s="1594">
        <v>33033</v>
      </c>
      <c r="C1464" s="1595" t="s">
        <v>8063</v>
      </c>
      <c r="D1464" s="1595" t="s">
        <v>13078</v>
      </c>
      <c r="E1464" s="1595"/>
      <c r="F1464" s="1595"/>
      <c r="G1464" s="1595"/>
      <c r="H1464" s="1596">
        <v>2</v>
      </c>
      <c r="I1464" s="1595"/>
      <c r="J1464" s="1595"/>
      <c r="K1464" s="1597">
        <v>1609.13</v>
      </c>
      <c r="L1464" s="1597">
        <v>1609.13</v>
      </c>
      <c r="M1464" s="1597">
        <v>-1609.13</v>
      </c>
      <c r="N1464" s="1598"/>
      <c r="O1464" s="1598"/>
      <c r="P1464" s="1597">
        <v>1609.13</v>
      </c>
      <c r="Q1464" s="1597">
        <v>-1609.13</v>
      </c>
      <c r="R1464" s="1598"/>
      <c r="S1464" s="1592"/>
    </row>
    <row r="1465" spans="2:19" s="1593" customFormat="1" ht="11.25" customHeight="1" outlineLevel="1">
      <c r="B1465" s="1594">
        <v>33034</v>
      </c>
      <c r="C1465" s="1595" t="s">
        <v>8063</v>
      </c>
      <c r="D1465" s="1595" t="s">
        <v>13077</v>
      </c>
      <c r="E1465" s="1595"/>
      <c r="F1465" s="1595"/>
      <c r="G1465" s="1595"/>
      <c r="H1465" s="1596">
        <v>2</v>
      </c>
      <c r="I1465" s="1595"/>
      <c r="J1465" s="1595"/>
      <c r="K1465" s="1597">
        <v>1609.13</v>
      </c>
      <c r="L1465" s="1597">
        <v>1609.13</v>
      </c>
      <c r="M1465" s="1597">
        <v>-1609.13</v>
      </c>
      <c r="N1465" s="1598"/>
      <c r="O1465" s="1598"/>
      <c r="P1465" s="1597">
        <v>1609.13</v>
      </c>
      <c r="Q1465" s="1597">
        <v>-1609.13</v>
      </c>
      <c r="R1465" s="1598"/>
      <c r="S1465" s="1592"/>
    </row>
    <row r="1466" spans="2:19" s="1593" customFormat="1" ht="11.25" customHeight="1" outlineLevel="1">
      <c r="B1466" s="1594">
        <v>33035</v>
      </c>
      <c r="C1466" s="1595" t="s">
        <v>8063</v>
      </c>
      <c r="D1466" s="1595" t="s">
        <v>13076</v>
      </c>
      <c r="E1466" s="1595"/>
      <c r="F1466" s="1595"/>
      <c r="G1466" s="1595"/>
      <c r="H1466" s="1596">
        <v>2</v>
      </c>
      <c r="I1466" s="1595"/>
      <c r="J1466" s="1595"/>
      <c r="K1466" s="1597">
        <v>1609.13</v>
      </c>
      <c r="L1466" s="1597">
        <v>1609.13</v>
      </c>
      <c r="M1466" s="1597">
        <v>-1609.13</v>
      </c>
      <c r="N1466" s="1598"/>
      <c r="O1466" s="1598"/>
      <c r="P1466" s="1597">
        <v>1609.13</v>
      </c>
      <c r="Q1466" s="1597">
        <v>-1609.13</v>
      </c>
      <c r="R1466" s="1598"/>
      <c r="S1466" s="1592"/>
    </row>
    <row r="1467" spans="2:19" s="1593" customFormat="1" ht="11.25" customHeight="1" outlineLevel="1">
      <c r="B1467" s="1594">
        <v>33036</v>
      </c>
      <c r="C1467" s="1595" t="s">
        <v>8063</v>
      </c>
      <c r="D1467" s="1595" t="s">
        <v>13075</v>
      </c>
      <c r="E1467" s="1595"/>
      <c r="F1467" s="1595"/>
      <c r="G1467" s="1595"/>
      <c r="H1467" s="1596">
        <v>2</v>
      </c>
      <c r="I1467" s="1595"/>
      <c r="J1467" s="1595"/>
      <c r="K1467" s="1597">
        <v>1609.13</v>
      </c>
      <c r="L1467" s="1597">
        <v>1609.13</v>
      </c>
      <c r="M1467" s="1597">
        <v>-1609.13</v>
      </c>
      <c r="N1467" s="1598"/>
      <c r="O1467" s="1598"/>
      <c r="P1467" s="1597">
        <v>1609.13</v>
      </c>
      <c r="Q1467" s="1597">
        <v>-1609.13</v>
      </c>
      <c r="R1467" s="1598"/>
      <c r="S1467" s="1592"/>
    </row>
    <row r="1468" spans="2:19" s="1593" customFormat="1" ht="11.25" customHeight="1" outlineLevel="1">
      <c r="B1468" s="1594">
        <v>33037</v>
      </c>
      <c r="C1468" s="1595" t="s">
        <v>8063</v>
      </c>
      <c r="D1468" s="1595" t="s">
        <v>13074</v>
      </c>
      <c r="E1468" s="1595"/>
      <c r="F1468" s="1595"/>
      <c r="G1468" s="1595"/>
      <c r="H1468" s="1596">
        <v>2</v>
      </c>
      <c r="I1468" s="1595"/>
      <c r="J1468" s="1595"/>
      <c r="K1468" s="1597">
        <v>1609.13</v>
      </c>
      <c r="L1468" s="1597">
        <v>1609.13</v>
      </c>
      <c r="M1468" s="1597">
        <v>-1609.13</v>
      </c>
      <c r="N1468" s="1598"/>
      <c r="O1468" s="1598"/>
      <c r="P1468" s="1597">
        <v>1609.13</v>
      </c>
      <c r="Q1468" s="1597">
        <v>-1609.13</v>
      </c>
      <c r="R1468" s="1598"/>
      <c r="S1468" s="1592"/>
    </row>
    <row r="1469" spans="2:19" s="1593" customFormat="1" ht="11.25" customHeight="1" outlineLevel="1">
      <c r="B1469" s="1594">
        <v>33127</v>
      </c>
      <c r="C1469" s="1595" t="s">
        <v>8063</v>
      </c>
      <c r="D1469" s="1595" t="s">
        <v>13073</v>
      </c>
      <c r="E1469" s="1595"/>
      <c r="F1469" s="1595"/>
      <c r="G1469" s="1595" t="s">
        <v>3734</v>
      </c>
      <c r="H1469" s="1596">
        <v>2</v>
      </c>
      <c r="I1469" s="1595"/>
      <c r="J1469" s="1595"/>
      <c r="K1469" s="1597">
        <v>4714707.8600000003</v>
      </c>
      <c r="L1469" s="1597">
        <v>4714707.8600000003</v>
      </c>
      <c r="M1469" s="1598"/>
      <c r="N1469" s="1597">
        <v>4714707.8600000003</v>
      </c>
      <c r="O1469" s="1597">
        <v>471470.28</v>
      </c>
      <c r="P1469" s="1597">
        <v>4007502.48</v>
      </c>
      <c r="Q1469" s="1597">
        <v>235735.1</v>
      </c>
      <c r="R1469" s="1597">
        <v>4243237.58</v>
      </c>
      <c r="S1469" s="1592"/>
    </row>
    <row r="1470" spans="2:19" s="1593" customFormat="1" ht="11.25" customHeight="1" outlineLevel="1">
      <c r="B1470" s="1594">
        <v>33109</v>
      </c>
      <c r="C1470" s="1595" t="s">
        <v>11878</v>
      </c>
      <c r="D1470" s="1595" t="s">
        <v>13072</v>
      </c>
      <c r="E1470" s="1595"/>
      <c r="F1470" s="1595"/>
      <c r="G1470" s="1595"/>
      <c r="H1470" s="1596">
        <v>2</v>
      </c>
      <c r="I1470" s="1595"/>
      <c r="J1470" s="1595"/>
      <c r="K1470" s="1597">
        <v>1609.13</v>
      </c>
      <c r="L1470" s="1597">
        <v>1609.13</v>
      </c>
      <c r="M1470" s="1597">
        <v>-1609.13</v>
      </c>
      <c r="N1470" s="1598"/>
      <c r="O1470" s="1598"/>
      <c r="P1470" s="1597">
        <v>1609.13</v>
      </c>
      <c r="Q1470" s="1597">
        <v>-1609.13</v>
      </c>
      <c r="R1470" s="1598"/>
      <c r="S1470" s="1592"/>
    </row>
    <row r="1471" spans="2:19" s="1593" customFormat="1" ht="11.25" customHeight="1" outlineLevel="1">
      <c r="B1471" s="1594">
        <v>33110</v>
      </c>
      <c r="C1471" s="1595" t="s">
        <v>11878</v>
      </c>
      <c r="D1471" s="1595" t="s">
        <v>13071</v>
      </c>
      <c r="E1471" s="1595"/>
      <c r="F1471" s="1595"/>
      <c r="G1471" s="1595"/>
      <c r="H1471" s="1596">
        <v>2</v>
      </c>
      <c r="I1471" s="1595"/>
      <c r="J1471" s="1595"/>
      <c r="K1471" s="1597">
        <v>1609.13</v>
      </c>
      <c r="L1471" s="1597">
        <v>1609.13</v>
      </c>
      <c r="M1471" s="1597">
        <v>-1609.13</v>
      </c>
      <c r="N1471" s="1598"/>
      <c r="O1471" s="1598"/>
      <c r="P1471" s="1597">
        <v>1609.13</v>
      </c>
      <c r="Q1471" s="1597">
        <v>-1609.13</v>
      </c>
      <c r="R1471" s="1598"/>
      <c r="S1471" s="1592"/>
    </row>
    <row r="1472" spans="2:19" s="1593" customFormat="1" ht="11.25" customHeight="1" outlineLevel="1">
      <c r="B1472" s="1594">
        <v>33111</v>
      </c>
      <c r="C1472" s="1595" t="s">
        <v>11878</v>
      </c>
      <c r="D1472" s="1595" t="s">
        <v>13070</v>
      </c>
      <c r="E1472" s="1595"/>
      <c r="F1472" s="1595"/>
      <c r="G1472" s="1595"/>
      <c r="H1472" s="1596">
        <v>2</v>
      </c>
      <c r="I1472" s="1595"/>
      <c r="J1472" s="1595"/>
      <c r="K1472" s="1597">
        <v>1609.13</v>
      </c>
      <c r="L1472" s="1597">
        <v>1609.13</v>
      </c>
      <c r="M1472" s="1597">
        <v>-1609.13</v>
      </c>
      <c r="N1472" s="1598"/>
      <c r="O1472" s="1598"/>
      <c r="P1472" s="1597">
        <v>1609.13</v>
      </c>
      <c r="Q1472" s="1597">
        <v>-1609.13</v>
      </c>
      <c r="R1472" s="1598"/>
      <c r="S1472" s="1592"/>
    </row>
    <row r="1473" spans="2:19" s="1593" customFormat="1" ht="11.25" customHeight="1" outlineLevel="1">
      <c r="B1473" s="1594">
        <v>33112</v>
      </c>
      <c r="C1473" s="1595" t="s">
        <v>11878</v>
      </c>
      <c r="D1473" s="1595" t="s">
        <v>13069</v>
      </c>
      <c r="E1473" s="1595"/>
      <c r="F1473" s="1595"/>
      <c r="G1473" s="1595"/>
      <c r="H1473" s="1596">
        <v>2</v>
      </c>
      <c r="I1473" s="1595"/>
      <c r="J1473" s="1595"/>
      <c r="K1473" s="1597">
        <v>1609.13</v>
      </c>
      <c r="L1473" s="1597">
        <v>1609.13</v>
      </c>
      <c r="M1473" s="1597">
        <v>-1609.13</v>
      </c>
      <c r="N1473" s="1598"/>
      <c r="O1473" s="1598"/>
      <c r="P1473" s="1597">
        <v>1609.13</v>
      </c>
      <c r="Q1473" s="1597">
        <v>-1609.13</v>
      </c>
      <c r="R1473" s="1598"/>
      <c r="S1473" s="1592"/>
    </row>
    <row r="1474" spans="2:19" s="1593" customFormat="1" ht="11.25" customHeight="1" outlineLevel="1">
      <c r="B1474" s="1594">
        <v>33113</v>
      </c>
      <c r="C1474" s="1595" t="s">
        <v>11878</v>
      </c>
      <c r="D1474" s="1595" t="s">
        <v>13068</v>
      </c>
      <c r="E1474" s="1595"/>
      <c r="F1474" s="1595"/>
      <c r="G1474" s="1595"/>
      <c r="H1474" s="1596">
        <v>2</v>
      </c>
      <c r="I1474" s="1595"/>
      <c r="J1474" s="1595"/>
      <c r="K1474" s="1597">
        <v>1609.13</v>
      </c>
      <c r="L1474" s="1597">
        <v>1609.13</v>
      </c>
      <c r="M1474" s="1597">
        <v>-1609.13</v>
      </c>
      <c r="N1474" s="1598"/>
      <c r="O1474" s="1598"/>
      <c r="P1474" s="1597">
        <v>1609.13</v>
      </c>
      <c r="Q1474" s="1597">
        <v>-1609.13</v>
      </c>
      <c r="R1474" s="1598"/>
      <c r="S1474" s="1592"/>
    </row>
    <row r="1475" spans="2:19" s="1593" customFormat="1" ht="11.25" customHeight="1" outlineLevel="1">
      <c r="B1475" s="1594">
        <v>33115</v>
      </c>
      <c r="C1475" s="1595" t="s">
        <v>11878</v>
      </c>
      <c r="D1475" s="1595" t="s">
        <v>13067</v>
      </c>
      <c r="E1475" s="1595"/>
      <c r="F1475" s="1595"/>
      <c r="G1475" s="1595"/>
      <c r="H1475" s="1596">
        <v>2</v>
      </c>
      <c r="I1475" s="1595"/>
      <c r="J1475" s="1595"/>
      <c r="K1475" s="1597">
        <v>1609.13</v>
      </c>
      <c r="L1475" s="1597">
        <v>1609.13</v>
      </c>
      <c r="M1475" s="1597">
        <v>-1609.13</v>
      </c>
      <c r="N1475" s="1598"/>
      <c r="O1475" s="1598"/>
      <c r="P1475" s="1597">
        <v>1609.13</v>
      </c>
      <c r="Q1475" s="1597">
        <v>-1609.13</v>
      </c>
      <c r="R1475" s="1598"/>
      <c r="S1475" s="1592"/>
    </row>
    <row r="1476" spans="2:19" s="1593" customFormat="1" ht="11.25" customHeight="1" outlineLevel="1">
      <c r="B1476" s="1594">
        <v>33116</v>
      </c>
      <c r="C1476" s="1595" t="s">
        <v>11878</v>
      </c>
      <c r="D1476" s="1595" t="s">
        <v>13066</v>
      </c>
      <c r="E1476" s="1595"/>
      <c r="F1476" s="1595"/>
      <c r="G1476" s="1595"/>
      <c r="H1476" s="1596">
        <v>2</v>
      </c>
      <c r="I1476" s="1595"/>
      <c r="J1476" s="1595"/>
      <c r="K1476" s="1597">
        <v>1609.13</v>
      </c>
      <c r="L1476" s="1597">
        <v>1609.13</v>
      </c>
      <c r="M1476" s="1597">
        <v>-1609.13</v>
      </c>
      <c r="N1476" s="1598"/>
      <c r="O1476" s="1598"/>
      <c r="P1476" s="1597">
        <v>1609.13</v>
      </c>
      <c r="Q1476" s="1597">
        <v>-1609.13</v>
      </c>
      <c r="R1476" s="1598"/>
      <c r="S1476" s="1592"/>
    </row>
    <row r="1477" spans="2:19" s="1593" customFormat="1" ht="11.25" customHeight="1" outlineLevel="1">
      <c r="B1477" s="1594">
        <v>33117</v>
      </c>
      <c r="C1477" s="1595" t="s">
        <v>11878</v>
      </c>
      <c r="D1477" s="1595" t="s">
        <v>13065</v>
      </c>
      <c r="E1477" s="1595"/>
      <c r="F1477" s="1595"/>
      <c r="G1477" s="1595"/>
      <c r="H1477" s="1596">
        <v>2</v>
      </c>
      <c r="I1477" s="1595"/>
      <c r="J1477" s="1595"/>
      <c r="K1477" s="1597">
        <v>1609.13</v>
      </c>
      <c r="L1477" s="1597">
        <v>1609.13</v>
      </c>
      <c r="M1477" s="1597">
        <v>-1609.13</v>
      </c>
      <c r="N1477" s="1598"/>
      <c r="O1477" s="1598"/>
      <c r="P1477" s="1597">
        <v>1609.13</v>
      </c>
      <c r="Q1477" s="1597">
        <v>-1609.13</v>
      </c>
      <c r="R1477" s="1598"/>
      <c r="S1477" s="1592"/>
    </row>
    <row r="1478" spans="2:19" s="1593" customFormat="1" ht="11.25" customHeight="1" outlineLevel="1">
      <c r="B1478" s="1594">
        <v>33118</v>
      </c>
      <c r="C1478" s="1595" t="s">
        <v>11878</v>
      </c>
      <c r="D1478" s="1595" t="s">
        <v>13064</v>
      </c>
      <c r="E1478" s="1595"/>
      <c r="F1478" s="1595"/>
      <c r="G1478" s="1595"/>
      <c r="H1478" s="1596">
        <v>2</v>
      </c>
      <c r="I1478" s="1595"/>
      <c r="J1478" s="1595"/>
      <c r="K1478" s="1597">
        <v>1609.13</v>
      </c>
      <c r="L1478" s="1597">
        <v>1609.13</v>
      </c>
      <c r="M1478" s="1597">
        <v>-1609.13</v>
      </c>
      <c r="N1478" s="1598"/>
      <c r="O1478" s="1598"/>
      <c r="P1478" s="1597">
        <v>1609.13</v>
      </c>
      <c r="Q1478" s="1597">
        <v>-1609.13</v>
      </c>
      <c r="R1478" s="1598"/>
      <c r="S1478" s="1592"/>
    </row>
    <row r="1479" spans="2:19" s="1593" customFormat="1" ht="11.25" customHeight="1" outlineLevel="1">
      <c r="B1479" s="1594">
        <v>33119</v>
      </c>
      <c r="C1479" s="1595" t="s">
        <v>11878</v>
      </c>
      <c r="D1479" s="1595" t="s">
        <v>13063</v>
      </c>
      <c r="E1479" s="1595"/>
      <c r="F1479" s="1595"/>
      <c r="G1479" s="1595"/>
      <c r="H1479" s="1596">
        <v>2</v>
      </c>
      <c r="I1479" s="1595"/>
      <c r="J1479" s="1595"/>
      <c r="K1479" s="1597">
        <v>1609.13</v>
      </c>
      <c r="L1479" s="1597">
        <v>1609.13</v>
      </c>
      <c r="M1479" s="1597">
        <v>-1609.13</v>
      </c>
      <c r="N1479" s="1598"/>
      <c r="O1479" s="1598"/>
      <c r="P1479" s="1597">
        <v>1609.13</v>
      </c>
      <c r="Q1479" s="1597">
        <v>-1609.13</v>
      </c>
      <c r="R1479" s="1598"/>
      <c r="S1479" s="1592"/>
    </row>
    <row r="1480" spans="2:19" s="1593" customFormat="1" ht="11.25" customHeight="1" outlineLevel="1">
      <c r="B1480" s="1594">
        <v>33120</v>
      </c>
      <c r="C1480" s="1595" t="s">
        <v>11878</v>
      </c>
      <c r="D1480" s="1595" t="s">
        <v>13062</v>
      </c>
      <c r="E1480" s="1595"/>
      <c r="F1480" s="1595"/>
      <c r="G1480" s="1595"/>
      <c r="H1480" s="1596">
        <v>2</v>
      </c>
      <c r="I1480" s="1595"/>
      <c r="J1480" s="1595"/>
      <c r="K1480" s="1597">
        <v>1609.13</v>
      </c>
      <c r="L1480" s="1597">
        <v>1609.13</v>
      </c>
      <c r="M1480" s="1597">
        <v>-1609.13</v>
      </c>
      <c r="N1480" s="1598"/>
      <c r="O1480" s="1598"/>
      <c r="P1480" s="1597">
        <v>1609.13</v>
      </c>
      <c r="Q1480" s="1597">
        <v>-1609.13</v>
      </c>
      <c r="R1480" s="1598"/>
      <c r="S1480" s="1592"/>
    </row>
    <row r="1481" spans="2:19" s="1593" customFormat="1" ht="11.25" customHeight="1" outlineLevel="1">
      <c r="B1481" s="1594">
        <v>33173</v>
      </c>
      <c r="C1481" s="1595" t="s">
        <v>11878</v>
      </c>
      <c r="D1481" s="1595" t="s">
        <v>13061</v>
      </c>
      <c r="E1481" s="1595"/>
      <c r="F1481" s="1595"/>
      <c r="G1481" s="1595"/>
      <c r="H1481" s="1596">
        <v>2</v>
      </c>
      <c r="I1481" s="1595"/>
      <c r="J1481" s="1595"/>
      <c r="K1481" s="1597">
        <v>1609.13</v>
      </c>
      <c r="L1481" s="1597">
        <v>1609.13</v>
      </c>
      <c r="M1481" s="1597">
        <v>-1609.13</v>
      </c>
      <c r="N1481" s="1598"/>
      <c r="O1481" s="1598"/>
      <c r="P1481" s="1597">
        <v>1609.13</v>
      </c>
      <c r="Q1481" s="1597">
        <v>-1609.13</v>
      </c>
      <c r="R1481" s="1598"/>
      <c r="S1481" s="1592"/>
    </row>
    <row r="1482" spans="2:19" s="1593" customFormat="1" ht="11.25" customHeight="1" outlineLevel="1">
      <c r="B1482" s="1594">
        <v>37541</v>
      </c>
      <c r="C1482" s="1595" t="s">
        <v>8052</v>
      </c>
      <c r="D1482" s="1595" t="s">
        <v>13060</v>
      </c>
      <c r="E1482" s="1595"/>
      <c r="F1482" s="1595"/>
      <c r="G1482" s="1595"/>
      <c r="H1482" s="1596">
        <v>2</v>
      </c>
      <c r="I1482" s="1595"/>
      <c r="J1482" s="1595"/>
      <c r="K1482" s="1597">
        <v>39646</v>
      </c>
      <c r="L1482" s="1597">
        <v>39646</v>
      </c>
      <c r="M1482" s="1597">
        <v>-39646</v>
      </c>
      <c r="N1482" s="1598"/>
      <c r="O1482" s="1598"/>
      <c r="P1482" s="1597">
        <v>39646</v>
      </c>
      <c r="Q1482" s="1597">
        <v>-39646</v>
      </c>
      <c r="R1482" s="1598"/>
      <c r="S1482" s="1592"/>
    </row>
    <row r="1483" spans="2:19" s="1593" customFormat="1" ht="11.25" customHeight="1" outlineLevel="1">
      <c r="B1483" s="1594">
        <v>37542</v>
      </c>
      <c r="C1483" s="1595" t="s">
        <v>8052</v>
      </c>
      <c r="D1483" s="1595" t="s">
        <v>13059</v>
      </c>
      <c r="E1483" s="1595"/>
      <c r="F1483" s="1595"/>
      <c r="G1483" s="1595" t="s">
        <v>13058</v>
      </c>
      <c r="H1483" s="1596">
        <v>2</v>
      </c>
      <c r="I1483" s="1595"/>
      <c r="J1483" s="1595"/>
      <c r="K1483" s="1597">
        <v>338268.56</v>
      </c>
      <c r="L1483" s="1597">
        <v>338268.56</v>
      </c>
      <c r="M1483" s="1598"/>
      <c r="N1483" s="1597">
        <v>338268.56</v>
      </c>
      <c r="O1483" s="1597">
        <v>38055.550000000003</v>
      </c>
      <c r="P1483" s="1597">
        <v>283299.45</v>
      </c>
      <c r="Q1483" s="1597">
        <v>16913.560000000001</v>
      </c>
      <c r="R1483" s="1597">
        <v>300213.01</v>
      </c>
      <c r="S1483" s="1592"/>
    </row>
    <row r="1484" spans="2:19" s="1593" customFormat="1" ht="11.25" customHeight="1" outlineLevel="1">
      <c r="B1484" s="1594">
        <v>37543</v>
      </c>
      <c r="C1484" s="1595" t="s">
        <v>8052</v>
      </c>
      <c r="D1484" s="1595" t="s">
        <v>13057</v>
      </c>
      <c r="E1484" s="1595"/>
      <c r="F1484" s="1595"/>
      <c r="G1484" s="1595" t="s">
        <v>12985</v>
      </c>
      <c r="H1484" s="1596">
        <v>2</v>
      </c>
      <c r="I1484" s="1595"/>
      <c r="J1484" s="1595"/>
      <c r="K1484" s="1597">
        <v>338268.56</v>
      </c>
      <c r="L1484" s="1597">
        <v>338268.56</v>
      </c>
      <c r="M1484" s="1598"/>
      <c r="N1484" s="1597">
        <v>338268.56</v>
      </c>
      <c r="O1484" s="1597">
        <v>38055.550000000003</v>
      </c>
      <c r="P1484" s="1597">
        <v>283299.45</v>
      </c>
      <c r="Q1484" s="1597">
        <v>16913.560000000001</v>
      </c>
      <c r="R1484" s="1597">
        <v>300213.01</v>
      </c>
      <c r="S1484" s="1592"/>
    </row>
    <row r="1485" spans="2:19" s="1593" customFormat="1" ht="11.25" customHeight="1" outlineLevel="1">
      <c r="B1485" s="1594">
        <v>37544</v>
      </c>
      <c r="C1485" s="1595" t="s">
        <v>8052</v>
      </c>
      <c r="D1485" s="1595" t="s">
        <v>13056</v>
      </c>
      <c r="E1485" s="1595"/>
      <c r="F1485" s="1595"/>
      <c r="G1485" s="1595" t="s">
        <v>12985</v>
      </c>
      <c r="H1485" s="1596">
        <v>2</v>
      </c>
      <c r="I1485" s="1595"/>
      <c r="J1485" s="1595"/>
      <c r="K1485" s="1597">
        <v>338268.56</v>
      </c>
      <c r="L1485" s="1597">
        <v>338268.56</v>
      </c>
      <c r="M1485" s="1598"/>
      <c r="N1485" s="1597">
        <v>338268.56</v>
      </c>
      <c r="O1485" s="1597">
        <v>38055.550000000003</v>
      </c>
      <c r="P1485" s="1597">
        <v>283299.45</v>
      </c>
      <c r="Q1485" s="1597">
        <v>16913.560000000001</v>
      </c>
      <c r="R1485" s="1597">
        <v>300213.01</v>
      </c>
      <c r="S1485" s="1592"/>
    </row>
    <row r="1486" spans="2:19" s="1593" customFormat="1" ht="11.25" customHeight="1" outlineLevel="1">
      <c r="B1486" s="1594">
        <v>37545</v>
      </c>
      <c r="C1486" s="1595" t="s">
        <v>8052</v>
      </c>
      <c r="D1486" s="1595" t="s">
        <v>13055</v>
      </c>
      <c r="E1486" s="1595"/>
      <c r="F1486" s="1595"/>
      <c r="G1486" s="1595" t="s">
        <v>12985</v>
      </c>
      <c r="H1486" s="1596">
        <v>2</v>
      </c>
      <c r="I1486" s="1595"/>
      <c r="J1486" s="1595"/>
      <c r="K1486" s="1597">
        <v>338268.56</v>
      </c>
      <c r="L1486" s="1597">
        <v>338268.56</v>
      </c>
      <c r="M1486" s="1598"/>
      <c r="N1486" s="1597">
        <v>338268.56</v>
      </c>
      <c r="O1486" s="1597">
        <v>38055.550000000003</v>
      </c>
      <c r="P1486" s="1597">
        <v>283299.45</v>
      </c>
      <c r="Q1486" s="1597">
        <v>16913.560000000001</v>
      </c>
      <c r="R1486" s="1597">
        <v>300213.01</v>
      </c>
      <c r="S1486" s="1592"/>
    </row>
    <row r="1487" spans="2:19" s="1593" customFormat="1" ht="11.25" customHeight="1" outlineLevel="1">
      <c r="B1487" s="1594">
        <v>37546</v>
      </c>
      <c r="C1487" s="1595" t="s">
        <v>8052</v>
      </c>
      <c r="D1487" s="1595" t="s">
        <v>13054</v>
      </c>
      <c r="E1487" s="1595"/>
      <c r="F1487" s="1595"/>
      <c r="G1487" s="1595" t="s">
        <v>12985</v>
      </c>
      <c r="H1487" s="1596">
        <v>2</v>
      </c>
      <c r="I1487" s="1595"/>
      <c r="J1487" s="1595"/>
      <c r="K1487" s="1597">
        <v>338268.56</v>
      </c>
      <c r="L1487" s="1597">
        <v>338268.56</v>
      </c>
      <c r="M1487" s="1598"/>
      <c r="N1487" s="1597">
        <v>338268.56</v>
      </c>
      <c r="O1487" s="1597">
        <v>38055.550000000003</v>
      </c>
      <c r="P1487" s="1597">
        <v>283299.45</v>
      </c>
      <c r="Q1487" s="1597">
        <v>16913.560000000001</v>
      </c>
      <c r="R1487" s="1597">
        <v>300213.01</v>
      </c>
      <c r="S1487" s="1592"/>
    </row>
    <row r="1488" spans="2:19" s="1593" customFormat="1" ht="11.25" customHeight="1" outlineLevel="1">
      <c r="B1488" s="1594">
        <v>37547</v>
      </c>
      <c r="C1488" s="1595" t="s">
        <v>8052</v>
      </c>
      <c r="D1488" s="1595" t="s">
        <v>13053</v>
      </c>
      <c r="E1488" s="1595"/>
      <c r="F1488" s="1595"/>
      <c r="G1488" s="1595" t="s">
        <v>12985</v>
      </c>
      <c r="H1488" s="1596">
        <v>2</v>
      </c>
      <c r="I1488" s="1595"/>
      <c r="J1488" s="1595"/>
      <c r="K1488" s="1597">
        <v>338268.56</v>
      </c>
      <c r="L1488" s="1597">
        <v>338268.56</v>
      </c>
      <c r="M1488" s="1598"/>
      <c r="N1488" s="1597">
        <v>338268.56</v>
      </c>
      <c r="O1488" s="1597">
        <v>38055.550000000003</v>
      </c>
      <c r="P1488" s="1597">
        <v>283299.45</v>
      </c>
      <c r="Q1488" s="1597">
        <v>16913.560000000001</v>
      </c>
      <c r="R1488" s="1597">
        <v>300213.01</v>
      </c>
      <c r="S1488" s="1592"/>
    </row>
    <row r="1489" spans="2:19" s="1593" customFormat="1" ht="11.25" customHeight="1" outlineLevel="1">
      <c r="B1489" s="1594">
        <v>37548</v>
      </c>
      <c r="C1489" s="1595" t="s">
        <v>8052</v>
      </c>
      <c r="D1489" s="1595" t="s">
        <v>13052</v>
      </c>
      <c r="E1489" s="1595"/>
      <c r="F1489" s="1595"/>
      <c r="G1489" s="1595" t="s">
        <v>12985</v>
      </c>
      <c r="H1489" s="1596">
        <v>2</v>
      </c>
      <c r="I1489" s="1595"/>
      <c r="J1489" s="1595"/>
      <c r="K1489" s="1597">
        <v>338268.57</v>
      </c>
      <c r="L1489" s="1597">
        <v>338268.57</v>
      </c>
      <c r="M1489" s="1598"/>
      <c r="N1489" s="1597">
        <v>338268.57</v>
      </c>
      <c r="O1489" s="1597">
        <v>38055.550000000003</v>
      </c>
      <c r="P1489" s="1597">
        <v>283299.45</v>
      </c>
      <c r="Q1489" s="1597">
        <v>16913.57</v>
      </c>
      <c r="R1489" s="1597">
        <v>300213.02</v>
      </c>
      <c r="S1489" s="1592"/>
    </row>
    <row r="1490" spans="2:19" s="1593" customFormat="1" ht="11.25" customHeight="1" outlineLevel="1">
      <c r="B1490" s="1594">
        <v>37549</v>
      </c>
      <c r="C1490" s="1595" t="s">
        <v>8052</v>
      </c>
      <c r="D1490" s="1595" t="s">
        <v>13051</v>
      </c>
      <c r="E1490" s="1595"/>
      <c r="F1490" s="1595"/>
      <c r="G1490" s="1595" t="s">
        <v>12985</v>
      </c>
      <c r="H1490" s="1596">
        <v>2</v>
      </c>
      <c r="I1490" s="1595"/>
      <c r="J1490" s="1595"/>
      <c r="K1490" s="1597">
        <v>338268.57</v>
      </c>
      <c r="L1490" s="1597">
        <v>338268.57</v>
      </c>
      <c r="M1490" s="1598"/>
      <c r="N1490" s="1597">
        <v>338268.57</v>
      </c>
      <c r="O1490" s="1597">
        <v>38055.550000000003</v>
      </c>
      <c r="P1490" s="1597">
        <v>283299.45</v>
      </c>
      <c r="Q1490" s="1597">
        <v>16913.57</v>
      </c>
      <c r="R1490" s="1597">
        <v>300213.02</v>
      </c>
      <c r="S1490" s="1592"/>
    </row>
    <row r="1491" spans="2:19" s="1593" customFormat="1" ht="11.25" customHeight="1" outlineLevel="1">
      <c r="B1491" s="1594">
        <v>37608</v>
      </c>
      <c r="C1491" s="1595" t="s">
        <v>3658</v>
      </c>
      <c r="D1491" s="1595" t="s">
        <v>13050</v>
      </c>
      <c r="E1491" s="1595"/>
      <c r="F1491" s="1595"/>
      <c r="G1491" s="1595"/>
      <c r="H1491" s="1596">
        <v>2</v>
      </c>
      <c r="I1491" s="1595"/>
      <c r="J1491" s="1595"/>
      <c r="K1491" s="1597">
        <v>26185</v>
      </c>
      <c r="L1491" s="1597">
        <v>26185</v>
      </c>
      <c r="M1491" s="1597">
        <v>-26185</v>
      </c>
      <c r="N1491" s="1598"/>
      <c r="O1491" s="1598"/>
      <c r="P1491" s="1597">
        <v>24443.200000000001</v>
      </c>
      <c r="Q1491" s="1597">
        <v>-24443.200000000001</v>
      </c>
      <c r="R1491" s="1598"/>
      <c r="S1491" s="1592"/>
    </row>
    <row r="1492" spans="2:19" s="1593" customFormat="1" ht="11.25" customHeight="1" outlineLevel="1">
      <c r="B1492" s="1594">
        <v>24517</v>
      </c>
      <c r="C1492" s="1595" t="s">
        <v>10749</v>
      </c>
      <c r="D1492" s="1595" t="s">
        <v>13049</v>
      </c>
      <c r="E1492" s="1595"/>
      <c r="F1492" s="1595"/>
      <c r="G1492" s="1595"/>
      <c r="H1492" s="1596">
        <v>2</v>
      </c>
      <c r="I1492" s="1595"/>
      <c r="J1492" s="1595"/>
      <c r="K1492" s="1597">
        <v>20800</v>
      </c>
      <c r="L1492" s="1597">
        <v>20800</v>
      </c>
      <c r="M1492" s="1597">
        <v>-20800</v>
      </c>
      <c r="N1492" s="1598"/>
      <c r="O1492" s="1598"/>
      <c r="P1492" s="1597">
        <v>20800</v>
      </c>
      <c r="Q1492" s="1597">
        <v>-20800</v>
      </c>
      <c r="R1492" s="1598"/>
      <c r="S1492" s="1592"/>
    </row>
    <row r="1493" spans="2:19" s="1593" customFormat="1" ht="11.25" customHeight="1" outlineLevel="1">
      <c r="B1493" s="1594">
        <v>31432</v>
      </c>
      <c r="C1493" s="1595" t="s">
        <v>3655</v>
      </c>
      <c r="D1493" s="1595" t="s">
        <v>13048</v>
      </c>
      <c r="E1493" s="1595"/>
      <c r="F1493" s="1595"/>
      <c r="G1493" s="1595" t="s">
        <v>10820</v>
      </c>
      <c r="H1493" s="1596">
        <v>2</v>
      </c>
      <c r="I1493" s="1595"/>
      <c r="J1493" s="1595"/>
      <c r="K1493" s="1597">
        <v>111377.12</v>
      </c>
      <c r="L1493" s="1597">
        <v>233627.12</v>
      </c>
      <c r="M1493" s="1598"/>
      <c r="N1493" s="1597">
        <v>233627.12</v>
      </c>
      <c r="O1493" s="1597">
        <v>2231.41</v>
      </c>
      <c r="P1493" s="1597">
        <v>220017.34</v>
      </c>
      <c r="Q1493" s="1597">
        <v>11378.37</v>
      </c>
      <c r="R1493" s="1597">
        <v>231395.71</v>
      </c>
      <c r="S1493" s="1592"/>
    </row>
    <row r="1494" spans="2:19" s="1593" customFormat="1" ht="11.25" customHeight="1" outlineLevel="1">
      <c r="B1494" s="1594">
        <v>31444</v>
      </c>
      <c r="C1494" s="1595" t="s">
        <v>3655</v>
      </c>
      <c r="D1494" s="1595" t="s">
        <v>13047</v>
      </c>
      <c r="E1494" s="1595"/>
      <c r="F1494" s="1595"/>
      <c r="G1494" s="1595" t="s">
        <v>13046</v>
      </c>
      <c r="H1494" s="1596">
        <v>2</v>
      </c>
      <c r="I1494" s="1595"/>
      <c r="J1494" s="1595"/>
      <c r="K1494" s="1597">
        <v>84546.61</v>
      </c>
      <c r="L1494" s="1597">
        <v>761020.61</v>
      </c>
      <c r="M1494" s="1598"/>
      <c r="N1494" s="1597">
        <v>761020.61</v>
      </c>
      <c r="O1494" s="1597">
        <v>261752.71</v>
      </c>
      <c r="P1494" s="1597">
        <v>470184.22</v>
      </c>
      <c r="Q1494" s="1597">
        <v>29083.68</v>
      </c>
      <c r="R1494" s="1597">
        <v>499267.9</v>
      </c>
      <c r="S1494" s="1592"/>
    </row>
    <row r="1495" spans="2:19" s="1593" customFormat="1" ht="11.25" customHeight="1" outlineLevel="1">
      <c r="B1495" s="1594">
        <v>31172</v>
      </c>
      <c r="C1495" s="1595" t="s">
        <v>11869</v>
      </c>
      <c r="D1495" s="1595" t="s">
        <v>13045</v>
      </c>
      <c r="E1495" s="1595"/>
      <c r="F1495" s="1595"/>
      <c r="G1495" s="1595" t="s">
        <v>13044</v>
      </c>
      <c r="H1495" s="1596">
        <v>2</v>
      </c>
      <c r="I1495" s="1595"/>
      <c r="J1495" s="1595"/>
      <c r="K1495" s="1597">
        <v>13465301</v>
      </c>
      <c r="L1495" s="1597">
        <v>33801237.810000002</v>
      </c>
      <c r="M1495" s="1598"/>
      <c r="N1495" s="1597">
        <v>33801237.810000002</v>
      </c>
      <c r="O1495" s="1597">
        <v>19477385.280000001</v>
      </c>
      <c r="P1495" s="1597">
        <v>13106515.890000001</v>
      </c>
      <c r="Q1495" s="1597">
        <v>1217336.6399999999</v>
      </c>
      <c r="R1495" s="1597">
        <v>14323852.529999999</v>
      </c>
      <c r="S1495" s="1592"/>
    </row>
    <row r="1496" spans="2:19" s="1593" customFormat="1" ht="11.25" customHeight="1" outlineLevel="1">
      <c r="B1496" s="1600" t="s">
        <v>13043</v>
      </c>
      <c r="C1496" s="1595" t="s">
        <v>7927</v>
      </c>
      <c r="D1496" s="1595" t="s">
        <v>13042</v>
      </c>
      <c r="E1496" s="1595"/>
      <c r="F1496" s="1595"/>
      <c r="G1496" s="1595"/>
      <c r="H1496" s="1596">
        <v>2</v>
      </c>
      <c r="I1496" s="1595"/>
      <c r="J1496" s="1595"/>
      <c r="K1496" s="1597">
        <v>63381.57</v>
      </c>
      <c r="L1496" s="1597">
        <v>63381.57</v>
      </c>
      <c r="M1496" s="1597">
        <v>-63381.57</v>
      </c>
      <c r="N1496" s="1598"/>
      <c r="O1496" s="1598"/>
      <c r="P1496" s="1597">
        <v>51899.77</v>
      </c>
      <c r="Q1496" s="1597">
        <v>-51899.77</v>
      </c>
      <c r="R1496" s="1598"/>
      <c r="S1496" s="1592"/>
    </row>
    <row r="1497" spans="2:19" s="1593" customFormat="1" ht="11.25" customHeight="1" outlineLevel="1">
      <c r="B1497" s="1600" t="s">
        <v>13041</v>
      </c>
      <c r="C1497" s="1595" t="s">
        <v>13032</v>
      </c>
      <c r="D1497" s="1595" t="s">
        <v>13040</v>
      </c>
      <c r="E1497" s="1595"/>
      <c r="F1497" s="1595"/>
      <c r="G1497" s="1595" t="s">
        <v>3596</v>
      </c>
      <c r="H1497" s="1596">
        <v>2</v>
      </c>
      <c r="I1497" s="1595"/>
      <c r="J1497" s="1595"/>
      <c r="K1497" s="1597">
        <v>269351</v>
      </c>
      <c r="L1497" s="1597">
        <v>269351</v>
      </c>
      <c r="M1497" s="1598"/>
      <c r="N1497" s="1597">
        <v>269351</v>
      </c>
      <c r="O1497" s="1597">
        <v>23766.400000000001</v>
      </c>
      <c r="P1497" s="1597">
        <v>221818.23999999999</v>
      </c>
      <c r="Q1497" s="1597">
        <v>23766.36</v>
      </c>
      <c r="R1497" s="1597">
        <v>245584.6</v>
      </c>
      <c r="S1497" s="1592"/>
    </row>
    <row r="1498" spans="2:19" s="1593" customFormat="1" ht="11.25" customHeight="1" outlineLevel="1">
      <c r="B1498" s="1600" t="s">
        <v>13039</v>
      </c>
      <c r="C1498" s="1595" t="s">
        <v>13032</v>
      </c>
      <c r="D1498" s="1595" t="s">
        <v>13038</v>
      </c>
      <c r="E1498" s="1595"/>
      <c r="F1498" s="1595"/>
      <c r="G1498" s="1595" t="s">
        <v>3596</v>
      </c>
      <c r="H1498" s="1596">
        <v>2</v>
      </c>
      <c r="I1498" s="1595"/>
      <c r="J1498" s="1595"/>
      <c r="K1498" s="1597">
        <v>339599</v>
      </c>
      <c r="L1498" s="1597">
        <v>339599</v>
      </c>
      <c r="M1498" s="1598"/>
      <c r="N1498" s="1597">
        <v>339599</v>
      </c>
      <c r="O1498" s="1597">
        <v>29964.68</v>
      </c>
      <c r="P1498" s="1597">
        <v>279669.59999999998</v>
      </c>
      <c r="Q1498" s="1597">
        <v>29964.720000000001</v>
      </c>
      <c r="R1498" s="1597">
        <v>309634.32</v>
      </c>
      <c r="S1498" s="1592"/>
    </row>
    <row r="1499" spans="2:19" s="1593" customFormat="1" ht="11.25" customHeight="1" outlineLevel="1">
      <c r="B1499" s="1600" t="s">
        <v>13037</v>
      </c>
      <c r="C1499" s="1595" t="s">
        <v>13032</v>
      </c>
      <c r="D1499" s="1595" t="s">
        <v>13036</v>
      </c>
      <c r="E1499" s="1595"/>
      <c r="F1499" s="1595"/>
      <c r="G1499" s="1595" t="s">
        <v>3596</v>
      </c>
      <c r="H1499" s="1596">
        <v>2</v>
      </c>
      <c r="I1499" s="1595"/>
      <c r="J1499" s="1595"/>
      <c r="K1499" s="1597">
        <v>339599</v>
      </c>
      <c r="L1499" s="1597">
        <v>339599</v>
      </c>
      <c r="M1499" s="1598"/>
      <c r="N1499" s="1597">
        <v>339599</v>
      </c>
      <c r="O1499" s="1597">
        <v>29964.68</v>
      </c>
      <c r="P1499" s="1597">
        <v>279669.59999999998</v>
      </c>
      <c r="Q1499" s="1597">
        <v>29964.720000000001</v>
      </c>
      <c r="R1499" s="1597">
        <v>309634.32</v>
      </c>
      <c r="S1499" s="1592"/>
    </row>
    <row r="1500" spans="2:19" s="1593" customFormat="1" ht="11.25" customHeight="1" outlineLevel="1">
      <c r="B1500" s="1600" t="s">
        <v>13035</v>
      </c>
      <c r="C1500" s="1595" t="s">
        <v>13032</v>
      </c>
      <c r="D1500" s="1595" t="s">
        <v>13034</v>
      </c>
      <c r="E1500" s="1595"/>
      <c r="F1500" s="1595"/>
      <c r="G1500" s="1595" t="s">
        <v>3596</v>
      </c>
      <c r="H1500" s="1596">
        <v>2</v>
      </c>
      <c r="I1500" s="1595"/>
      <c r="J1500" s="1595"/>
      <c r="K1500" s="1597">
        <v>339599</v>
      </c>
      <c r="L1500" s="1597">
        <v>339599</v>
      </c>
      <c r="M1500" s="1598"/>
      <c r="N1500" s="1597">
        <v>339599</v>
      </c>
      <c r="O1500" s="1597">
        <v>29964.68</v>
      </c>
      <c r="P1500" s="1597">
        <v>279669.59999999998</v>
      </c>
      <c r="Q1500" s="1597">
        <v>29964.720000000001</v>
      </c>
      <c r="R1500" s="1597">
        <v>309634.32</v>
      </c>
      <c r="S1500" s="1592"/>
    </row>
    <row r="1501" spans="2:19" s="1593" customFormat="1" ht="11.25" customHeight="1" outlineLevel="1">
      <c r="B1501" s="1600" t="s">
        <v>13033</v>
      </c>
      <c r="C1501" s="1595" t="s">
        <v>13032</v>
      </c>
      <c r="D1501" s="1595" t="s">
        <v>13031</v>
      </c>
      <c r="E1501" s="1595"/>
      <c r="F1501" s="1595"/>
      <c r="G1501" s="1595" t="s">
        <v>3596</v>
      </c>
      <c r="H1501" s="1596">
        <v>2</v>
      </c>
      <c r="I1501" s="1595"/>
      <c r="J1501" s="1595"/>
      <c r="K1501" s="1597">
        <v>339599</v>
      </c>
      <c r="L1501" s="1597">
        <v>339599</v>
      </c>
      <c r="M1501" s="1598"/>
      <c r="N1501" s="1597">
        <v>339599</v>
      </c>
      <c r="O1501" s="1597">
        <v>29964.68</v>
      </c>
      <c r="P1501" s="1597">
        <v>279669.59999999998</v>
      </c>
      <c r="Q1501" s="1597">
        <v>29964.720000000001</v>
      </c>
      <c r="R1501" s="1597">
        <v>309634.32</v>
      </c>
      <c r="S1501" s="1592"/>
    </row>
    <row r="1502" spans="2:19" s="1593" customFormat="1" ht="11.25" customHeight="1" outlineLevel="1">
      <c r="B1502" s="1600" t="s">
        <v>13030</v>
      </c>
      <c r="C1502" s="1595" t="s">
        <v>13013</v>
      </c>
      <c r="D1502" s="1595" t="s">
        <v>13029</v>
      </c>
      <c r="E1502" s="1595"/>
      <c r="F1502" s="1595"/>
      <c r="G1502" s="1595"/>
      <c r="H1502" s="1596">
        <v>2</v>
      </c>
      <c r="I1502" s="1595"/>
      <c r="J1502" s="1595"/>
      <c r="K1502" s="1597">
        <v>105602</v>
      </c>
      <c r="L1502" s="1597">
        <v>105602</v>
      </c>
      <c r="M1502" s="1598"/>
      <c r="N1502" s="1597">
        <v>105602</v>
      </c>
      <c r="O1502" s="1597">
        <v>2885.73</v>
      </c>
      <c r="P1502" s="1597">
        <v>88001.4</v>
      </c>
      <c r="Q1502" s="1597">
        <v>14714.87</v>
      </c>
      <c r="R1502" s="1597">
        <v>102716.27</v>
      </c>
      <c r="S1502" s="1592"/>
    </row>
    <row r="1503" spans="2:19" s="1593" customFormat="1" ht="11.25" customHeight="1" outlineLevel="1">
      <c r="B1503" s="1600" t="s">
        <v>13028</v>
      </c>
      <c r="C1503" s="1595" t="s">
        <v>13013</v>
      </c>
      <c r="D1503" s="1595" t="s">
        <v>13027</v>
      </c>
      <c r="E1503" s="1595"/>
      <c r="F1503" s="1595"/>
      <c r="G1503" s="1595"/>
      <c r="H1503" s="1596">
        <v>2</v>
      </c>
      <c r="I1503" s="1595"/>
      <c r="J1503" s="1595"/>
      <c r="K1503" s="1597">
        <v>129541</v>
      </c>
      <c r="L1503" s="1597">
        <v>129541</v>
      </c>
      <c r="M1503" s="1598"/>
      <c r="N1503" s="1597">
        <v>129541</v>
      </c>
      <c r="O1503" s="1597">
        <v>3539.85</v>
      </c>
      <c r="P1503" s="1597">
        <v>107950.8</v>
      </c>
      <c r="Q1503" s="1597">
        <v>18050.349999999999</v>
      </c>
      <c r="R1503" s="1597">
        <v>126001.15</v>
      </c>
      <c r="S1503" s="1592"/>
    </row>
    <row r="1504" spans="2:19" s="1593" customFormat="1" ht="11.25" customHeight="1" outlineLevel="1">
      <c r="B1504" s="1600" t="s">
        <v>13026</v>
      </c>
      <c r="C1504" s="1595" t="s">
        <v>13013</v>
      </c>
      <c r="D1504" s="1595" t="s">
        <v>13025</v>
      </c>
      <c r="E1504" s="1595"/>
      <c r="F1504" s="1595"/>
      <c r="G1504" s="1595"/>
      <c r="H1504" s="1596">
        <v>2</v>
      </c>
      <c r="I1504" s="1595"/>
      <c r="J1504" s="1595"/>
      <c r="K1504" s="1597">
        <v>98538</v>
      </c>
      <c r="L1504" s="1597">
        <v>98538</v>
      </c>
      <c r="M1504" s="1597">
        <v>-98538</v>
      </c>
      <c r="N1504" s="1598"/>
      <c r="O1504" s="1598"/>
      <c r="P1504" s="1597">
        <v>95307.39</v>
      </c>
      <c r="Q1504" s="1597">
        <v>-95307.39</v>
      </c>
      <c r="R1504" s="1598"/>
      <c r="S1504" s="1592"/>
    </row>
    <row r="1505" spans="2:19" s="1593" customFormat="1" ht="11.25" customHeight="1" outlineLevel="1">
      <c r="B1505" s="1600" t="s">
        <v>13024</v>
      </c>
      <c r="C1505" s="1595" t="s">
        <v>13013</v>
      </c>
      <c r="D1505" s="1595" t="s">
        <v>13023</v>
      </c>
      <c r="E1505" s="1595"/>
      <c r="F1505" s="1595"/>
      <c r="G1505" s="1595"/>
      <c r="H1505" s="1596">
        <v>2</v>
      </c>
      <c r="I1505" s="1595"/>
      <c r="J1505" s="1595"/>
      <c r="K1505" s="1597">
        <v>105602</v>
      </c>
      <c r="L1505" s="1597">
        <v>105602</v>
      </c>
      <c r="M1505" s="1598"/>
      <c r="N1505" s="1597">
        <v>105602</v>
      </c>
      <c r="O1505" s="1597">
        <v>2885.73</v>
      </c>
      <c r="P1505" s="1597">
        <v>88001.4</v>
      </c>
      <c r="Q1505" s="1597">
        <v>14714.87</v>
      </c>
      <c r="R1505" s="1597">
        <v>102716.27</v>
      </c>
      <c r="S1505" s="1592"/>
    </row>
    <row r="1506" spans="2:19" s="1593" customFormat="1" ht="11.25" customHeight="1" outlineLevel="1">
      <c r="B1506" s="1600" t="s">
        <v>13022</v>
      </c>
      <c r="C1506" s="1595" t="s">
        <v>13013</v>
      </c>
      <c r="D1506" s="1595" t="s">
        <v>13021</v>
      </c>
      <c r="E1506" s="1595"/>
      <c r="F1506" s="1595"/>
      <c r="G1506" s="1595"/>
      <c r="H1506" s="1596">
        <v>2</v>
      </c>
      <c r="I1506" s="1595"/>
      <c r="J1506" s="1595"/>
      <c r="K1506" s="1597">
        <v>129541</v>
      </c>
      <c r="L1506" s="1597">
        <v>129541</v>
      </c>
      <c r="M1506" s="1598"/>
      <c r="N1506" s="1597">
        <v>129541</v>
      </c>
      <c r="O1506" s="1597">
        <v>3539.85</v>
      </c>
      <c r="P1506" s="1597">
        <v>107950.8</v>
      </c>
      <c r="Q1506" s="1597">
        <v>18050.349999999999</v>
      </c>
      <c r="R1506" s="1597">
        <v>126001.15</v>
      </c>
      <c r="S1506" s="1592"/>
    </row>
    <row r="1507" spans="2:19" s="1593" customFormat="1" ht="11.25" customHeight="1" outlineLevel="1">
      <c r="B1507" s="1600" t="s">
        <v>13020</v>
      </c>
      <c r="C1507" s="1595" t="s">
        <v>13013</v>
      </c>
      <c r="D1507" s="1595" t="s">
        <v>13019</v>
      </c>
      <c r="E1507" s="1595"/>
      <c r="F1507" s="1595"/>
      <c r="G1507" s="1595"/>
      <c r="H1507" s="1596">
        <v>2</v>
      </c>
      <c r="I1507" s="1595"/>
      <c r="J1507" s="1595"/>
      <c r="K1507" s="1597">
        <v>129541</v>
      </c>
      <c r="L1507" s="1597">
        <v>129541</v>
      </c>
      <c r="M1507" s="1598"/>
      <c r="N1507" s="1597">
        <v>129541</v>
      </c>
      <c r="O1507" s="1597">
        <v>3539.85</v>
      </c>
      <c r="P1507" s="1597">
        <v>107950.8</v>
      </c>
      <c r="Q1507" s="1597">
        <v>18050.349999999999</v>
      </c>
      <c r="R1507" s="1597">
        <v>126001.15</v>
      </c>
      <c r="S1507" s="1592"/>
    </row>
    <row r="1508" spans="2:19" s="1593" customFormat="1" ht="11.25" customHeight="1" outlineLevel="1">
      <c r="B1508" s="1600" t="s">
        <v>13018</v>
      </c>
      <c r="C1508" s="1595" t="s">
        <v>13013</v>
      </c>
      <c r="D1508" s="1595" t="s">
        <v>13017</v>
      </c>
      <c r="E1508" s="1595"/>
      <c r="F1508" s="1595"/>
      <c r="G1508" s="1595"/>
      <c r="H1508" s="1596">
        <v>2</v>
      </c>
      <c r="I1508" s="1595"/>
      <c r="J1508" s="1595"/>
      <c r="K1508" s="1597">
        <v>129541</v>
      </c>
      <c r="L1508" s="1597">
        <v>129541</v>
      </c>
      <c r="M1508" s="1598"/>
      <c r="N1508" s="1597">
        <v>129541</v>
      </c>
      <c r="O1508" s="1597">
        <v>3539.85</v>
      </c>
      <c r="P1508" s="1597">
        <v>107950.8</v>
      </c>
      <c r="Q1508" s="1597">
        <v>18050.349999999999</v>
      </c>
      <c r="R1508" s="1597">
        <v>126001.15</v>
      </c>
      <c r="S1508" s="1592"/>
    </row>
    <row r="1509" spans="2:19" s="1593" customFormat="1" ht="11.25" customHeight="1" outlineLevel="1">
      <c r="B1509" s="1600" t="s">
        <v>13016</v>
      </c>
      <c r="C1509" s="1595" t="s">
        <v>13013</v>
      </c>
      <c r="D1509" s="1595" t="s">
        <v>13015</v>
      </c>
      <c r="E1509" s="1595"/>
      <c r="F1509" s="1595"/>
      <c r="G1509" s="1595"/>
      <c r="H1509" s="1596">
        <v>2</v>
      </c>
      <c r="I1509" s="1595"/>
      <c r="J1509" s="1595"/>
      <c r="K1509" s="1597">
        <v>98538</v>
      </c>
      <c r="L1509" s="1597">
        <v>98538</v>
      </c>
      <c r="M1509" s="1597">
        <v>-98538</v>
      </c>
      <c r="N1509" s="1598"/>
      <c r="O1509" s="1598"/>
      <c r="P1509" s="1597">
        <v>95307.39</v>
      </c>
      <c r="Q1509" s="1597">
        <v>-95307.39</v>
      </c>
      <c r="R1509" s="1598"/>
      <c r="S1509" s="1592"/>
    </row>
    <row r="1510" spans="2:19" s="1593" customFormat="1" ht="11.25" customHeight="1" outlineLevel="1">
      <c r="B1510" s="1600" t="s">
        <v>13014</v>
      </c>
      <c r="C1510" s="1595" t="s">
        <v>13013</v>
      </c>
      <c r="D1510" s="1595" t="s">
        <v>13012</v>
      </c>
      <c r="E1510" s="1595"/>
      <c r="F1510" s="1595"/>
      <c r="G1510" s="1595"/>
      <c r="H1510" s="1596">
        <v>2</v>
      </c>
      <c r="I1510" s="1595"/>
      <c r="J1510" s="1595"/>
      <c r="K1510" s="1597">
        <v>98538</v>
      </c>
      <c r="L1510" s="1597">
        <v>98538</v>
      </c>
      <c r="M1510" s="1597">
        <v>-98538</v>
      </c>
      <c r="N1510" s="1598"/>
      <c r="O1510" s="1598"/>
      <c r="P1510" s="1597">
        <v>95307.39</v>
      </c>
      <c r="Q1510" s="1597">
        <v>-95307.39</v>
      </c>
      <c r="R1510" s="1598"/>
      <c r="S1510" s="1592"/>
    </row>
    <row r="1511" spans="2:19" s="1593" customFormat="1" ht="21.75" customHeight="1" outlineLevel="1">
      <c r="B1511" s="1600" t="s">
        <v>13011</v>
      </c>
      <c r="C1511" s="1595" t="s">
        <v>13002</v>
      </c>
      <c r="D1511" s="1595" t="s">
        <v>13010</v>
      </c>
      <c r="E1511" s="1595"/>
      <c r="F1511" s="1595"/>
      <c r="G1511" s="1595"/>
      <c r="H1511" s="1596">
        <v>2</v>
      </c>
      <c r="I1511" s="1595"/>
      <c r="J1511" s="1595"/>
      <c r="K1511" s="1597">
        <v>20129325.699999999</v>
      </c>
      <c r="L1511" s="1597">
        <v>20129325.699999999</v>
      </c>
      <c r="M1511" s="1598"/>
      <c r="N1511" s="1597">
        <v>20129325.699999999</v>
      </c>
      <c r="O1511" s="1597">
        <v>4025865.02</v>
      </c>
      <c r="P1511" s="1597">
        <v>13261673.6</v>
      </c>
      <c r="Q1511" s="1597">
        <v>2841787.08</v>
      </c>
      <c r="R1511" s="1597">
        <v>16103460.68</v>
      </c>
      <c r="S1511" s="1592"/>
    </row>
    <row r="1512" spans="2:19" s="1593" customFormat="1" ht="21.75" customHeight="1" outlineLevel="1">
      <c r="B1512" s="1600" t="s">
        <v>13009</v>
      </c>
      <c r="C1512" s="1595" t="s">
        <v>13002</v>
      </c>
      <c r="D1512" s="1595" t="s">
        <v>13008</v>
      </c>
      <c r="E1512" s="1595"/>
      <c r="F1512" s="1595"/>
      <c r="G1512" s="1595"/>
      <c r="H1512" s="1596">
        <v>2</v>
      </c>
      <c r="I1512" s="1595"/>
      <c r="J1512" s="1595"/>
      <c r="K1512" s="1597">
        <v>10057292.560000001</v>
      </c>
      <c r="L1512" s="1597">
        <v>10057292.560000001</v>
      </c>
      <c r="M1512" s="1598"/>
      <c r="N1512" s="1597">
        <v>10057292.560000001</v>
      </c>
      <c r="O1512" s="1597">
        <v>2011458.44</v>
      </c>
      <c r="P1512" s="1597">
        <v>6625981.04</v>
      </c>
      <c r="Q1512" s="1597">
        <v>1419853.08</v>
      </c>
      <c r="R1512" s="1597">
        <v>8045834.1200000001</v>
      </c>
      <c r="S1512" s="1592"/>
    </row>
    <row r="1513" spans="2:19" s="1593" customFormat="1" ht="21.75" customHeight="1" outlineLevel="1">
      <c r="B1513" s="1600" t="s">
        <v>13007</v>
      </c>
      <c r="C1513" s="1595" t="s">
        <v>13002</v>
      </c>
      <c r="D1513" s="1595" t="s">
        <v>13006</v>
      </c>
      <c r="E1513" s="1595"/>
      <c r="F1513" s="1595"/>
      <c r="G1513" s="1595"/>
      <c r="H1513" s="1596">
        <v>2</v>
      </c>
      <c r="I1513" s="1595"/>
      <c r="J1513" s="1595"/>
      <c r="K1513" s="1597">
        <v>9395196</v>
      </c>
      <c r="L1513" s="1597">
        <v>9395196</v>
      </c>
      <c r="M1513" s="1598"/>
      <c r="N1513" s="1597">
        <v>9395196</v>
      </c>
      <c r="O1513" s="1597">
        <v>5865509.1200000001</v>
      </c>
      <c r="P1513" s="1597">
        <v>2906800.96</v>
      </c>
      <c r="Q1513" s="1597">
        <v>622885.92000000004</v>
      </c>
      <c r="R1513" s="1597">
        <v>3529686.88</v>
      </c>
      <c r="S1513" s="1592"/>
    </row>
    <row r="1514" spans="2:19" s="1593" customFormat="1" ht="11.25" customHeight="1" outlineLevel="1">
      <c r="B1514" s="1600" t="s">
        <v>13005</v>
      </c>
      <c r="C1514" s="1595" t="s">
        <v>13002</v>
      </c>
      <c r="D1514" s="1595" t="s">
        <v>13004</v>
      </c>
      <c r="E1514" s="1595" t="s">
        <v>2266</v>
      </c>
      <c r="F1514" s="1595"/>
      <c r="G1514" s="1595"/>
      <c r="H1514" s="1596">
        <v>2</v>
      </c>
      <c r="I1514" s="1595"/>
      <c r="J1514" s="1595"/>
      <c r="K1514" s="1597">
        <v>183865</v>
      </c>
      <c r="L1514" s="1597">
        <v>183865</v>
      </c>
      <c r="M1514" s="1598"/>
      <c r="N1514" s="1597">
        <v>183865</v>
      </c>
      <c r="O1514" s="1597">
        <v>80535.72</v>
      </c>
      <c r="P1514" s="1597">
        <v>85094.8</v>
      </c>
      <c r="Q1514" s="1597">
        <v>18234.48</v>
      </c>
      <c r="R1514" s="1597">
        <v>103329.28</v>
      </c>
      <c r="S1514" s="1592"/>
    </row>
    <row r="1515" spans="2:19" s="1593" customFormat="1" ht="11.25" customHeight="1" outlineLevel="1">
      <c r="B1515" s="1600" t="s">
        <v>13003</v>
      </c>
      <c r="C1515" s="1595" t="s">
        <v>13002</v>
      </c>
      <c r="D1515" s="1595" t="s">
        <v>13001</v>
      </c>
      <c r="E1515" s="1595" t="s">
        <v>2266</v>
      </c>
      <c r="F1515" s="1595"/>
      <c r="G1515" s="1595"/>
      <c r="H1515" s="1596">
        <v>2</v>
      </c>
      <c r="I1515" s="1595"/>
      <c r="J1515" s="1595"/>
      <c r="K1515" s="1597">
        <v>1186942</v>
      </c>
      <c r="L1515" s="1597">
        <v>1186942</v>
      </c>
      <c r="M1515" s="1598"/>
      <c r="N1515" s="1597">
        <v>1186942</v>
      </c>
      <c r="O1515" s="1597">
        <v>519900.08</v>
      </c>
      <c r="P1515" s="1597">
        <v>549328.64000000001</v>
      </c>
      <c r="Q1515" s="1597">
        <v>117713.28</v>
      </c>
      <c r="R1515" s="1597">
        <v>667041.92000000004</v>
      </c>
      <c r="S1515" s="1592"/>
    </row>
    <row r="1516" spans="2:19" s="1593" customFormat="1" ht="21.75" customHeight="1" outlineLevel="1">
      <c r="B1516" s="1600" t="s">
        <v>13000</v>
      </c>
      <c r="C1516" s="1595" t="s">
        <v>2414</v>
      </c>
      <c r="D1516" s="1595" t="s">
        <v>12999</v>
      </c>
      <c r="E1516" s="1595"/>
      <c r="F1516" s="1595"/>
      <c r="G1516" s="1595"/>
      <c r="H1516" s="1595"/>
      <c r="I1516" s="1595"/>
      <c r="J1516" s="1595"/>
      <c r="K1516" s="1597">
        <v>4829873.71</v>
      </c>
      <c r="L1516" s="1597">
        <v>4829873.71</v>
      </c>
      <c r="M1516" s="1597">
        <v>-4829873.71</v>
      </c>
      <c r="N1516" s="1598"/>
      <c r="O1516" s="1598"/>
      <c r="P1516" s="1598"/>
      <c r="Q1516" s="1598"/>
      <c r="R1516" s="1598"/>
      <c r="S1516" s="1592"/>
    </row>
    <row r="1517" spans="2:19" s="1593" customFormat="1" ht="21.75" customHeight="1" outlineLevel="1">
      <c r="B1517" s="1600" t="s">
        <v>12998</v>
      </c>
      <c r="C1517" s="1595" t="s">
        <v>2414</v>
      </c>
      <c r="D1517" s="1595" t="s">
        <v>12997</v>
      </c>
      <c r="E1517" s="1595" t="s">
        <v>2219</v>
      </c>
      <c r="F1517" s="1595" t="s">
        <v>12996</v>
      </c>
      <c r="G1517" s="1595" t="s">
        <v>12995</v>
      </c>
      <c r="H1517" s="1596">
        <v>2</v>
      </c>
      <c r="I1517" s="1595"/>
      <c r="J1517" s="1595"/>
      <c r="K1517" s="1597">
        <v>1379260.8</v>
      </c>
      <c r="L1517" s="1597">
        <v>1379260.8</v>
      </c>
      <c r="M1517" s="1598"/>
      <c r="N1517" s="1597">
        <v>1379260.8</v>
      </c>
      <c r="O1517" s="1597">
        <v>1226009.6399999999</v>
      </c>
      <c r="P1517" s="1598"/>
      <c r="Q1517" s="1597">
        <v>153251.16</v>
      </c>
      <c r="R1517" s="1597">
        <v>153251.16</v>
      </c>
      <c r="S1517" s="1592"/>
    </row>
    <row r="1518" spans="2:19" s="1593" customFormat="1" ht="21.75" customHeight="1" outlineLevel="1">
      <c r="B1518" s="1600" t="s">
        <v>12994</v>
      </c>
      <c r="C1518" s="1595" t="s">
        <v>12993</v>
      </c>
      <c r="D1518" s="1595" t="s">
        <v>12992</v>
      </c>
      <c r="E1518" s="1595"/>
      <c r="F1518" s="1595"/>
      <c r="G1518" s="1595"/>
      <c r="H1518" s="1595"/>
      <c r="I1518" s="1595"/>
      <c r="J1518" s="1595"/>
      <c r="K1518" s="1597">
        <v>13931370.939999999</v>
      </c>
      <c r="L1518" s="1598"/>
      <c r="M1518" s="1597">
        <v>13931370.939999999</v>
      </c>
      <c r="N1518" s="1597">
        <v>13931370.939999999</v>
      </c>
      <c r="O1518" s="1597">
        <v>13777006.699999999</v>
      </c>
      <c r="P1518" s="1598"/>
      <c r="Q1518" s="1597">
        <v>154364.24</v>
      </c>
      <c r="R1518" s="1597">
        <v>154364.24</v>
      </c>
      <c r="S1518" s="1592"/>
    </row>
    <row r="1519" spans="2:19" s="1593" customFormat="1" ht="5.0999999999999996" customHeight="1">
      <c r="S1519" s="1592"/>
    </row>
    <row r="1520" spans="2:19" s="1593" customFormat="1" ht="21.75" customHeight="1">
      <c r="B1520" s="1590" t="s">
        <v>11039</v>
      </c>
      <c r="C1520" s="1590"/>
      <c r="D1520" s="1590" t="s">
        <v>12991</v>
      </c>
      <c r="E1520" s="1590"/>
      <c r="F1520" s="1590"/>
      <c r="G1520" s="1590"/>
      <c r="H1520" s="1590">
        <v>1</v>
      </c>
      <c r="I1520" s="1590"/>
      <c r="J1520" s="1590"/>
      <c r="K1520" s="1591">
        <v>475537425.63999999</v>
      </c>
      <c r="L1520" s="1591">
        <v>139427093.08000001</v>
      </c>
      <c r="M1520" s="1591">
        <v>216349860.41999999</v>
      </c>
      <c r="N1520" s="1591">
        <v>355776953.5</v>
      </c>
      <c r="O1520" s="1591">
        <v>342180724.68000001</v>
      </c>
      <c r="P1520" s="1591">
        <v>23366770.260000002</v>
      </c>
      <c r="Q1520" s="1591">
        <v>-9770541.4399999995</v>
      </c>
      <c r="R1520" s="1591">
        <v>13596228.82</v>
      </c>
      <c r="S1520" s="1592">
        <f>R1520/N1520</f>
        <v>3.8215597402376428E-2</v>
      </c>
    </row>
    <row r="1521" spans="2:19" s="1593" customFormat="1" ht="11.25" customHeight="1" outlineLevel="1">
      <c r="B1521" s="1594">
        <v>28856</v>
      </c>
      <c r="C1521" s="1595" t="s">
        <v>4023</v>
      </c>
      <c r="D1521" s="1595" t="s">
        <v>12990</v>
      </c>
      <c r="E1521" s="1595"/>
      <c r="F1521" s="1595"/>
      <c r="G1521" s="1595" t="s">
        <v>12980</v>
      </c>
      <c r="H1521" s="1596">
        <v>1</v>
      </c>
      <c r="I1521" s="1595"/>
      <c r="J1521" s="1595"/>
      <c r="K1521" s="1597">
        <v>4532027</v>
      </c>
      <c r="L1521" s="1597">
        <v>14497136.859999999</v>
      </c>
      <c r="M1521" s="1597">
        <v>-14497136.859999999</v>
      </c>
      <c r="N1521" s="1598"/>
      <c r="O1521" s="1598"/>
      <c r="P1521" s="1597">
        <v>14497136.859999999</v>
      </c>
      <c r="Q1521" s="1597">
        <v>-14497136.859999999</v>
      </c>
      <c r="R1521" s="1598"/>
      <c r="S1521" s="1592"/>
    </row>
    <row r="1522" spans="2:19" s="1593" customFormat="1" ht="11.25" customHeight="1" outlineLevel="1">
      <c r="B1522" s="1594">
        <v>28872</v>
      </c>
      <c r="C1522" s="1595" t="s">
        <v>4023</v>
      </c>
      <c r="D1522" s="1595" t="s">
        <v>12989</v>
      </c>
      <c r="E1522" s="1595"/>
      <c r="F1522" s="1595"/>
      <c r="G1522" s="1595"/>
      <c r="H1522" s="1596">
        <v>1</v>
      </c>
      <c r="I1522" s="1595"/>
      <c r="J1522" s="1595"/>
      <c r="K1522" s="1597">
        <v>128948</v>
      </c>
      <c r="L1522" s="1597">
        <v>128948</v>
      </c>
      <c r="M1522" s="1598"/>
      <c r="N1522" s="1597">
        <v>128948</v>
      </c>
      <c r="O1522" s="1597">
        <v>9446.2999999999993</v>
      </c>
      <c r="P1522" s="1597">
        <v>113833.94</v>
      </c>
      <c r="Q1522" s="1597">
        <v>5667.76</v>
      </c>
      <c r="R1522" s="1597">
        <v>119501.7</v>
      </c>
      <c r="S1522" s="1592"/>
    </row>
    <row r="1523" spans="2:19" s="1593" customFormat="1" ht="11.25" customHeight="1" outlineLevel="1">
      <c r="B1523" s="1594">
        <v>28874</v>
      </c>
      <c r="C1523" s="1595" t="s">
        <v>4023</v>
      </c>
      <c r="D1523" s="1595" t="s">
        <v>12988</v>
      </c>
      <c r="E1523" s="1595"/>
      <c r="F1523" s="1595"/>
      <c r="G1523" s="1595"/>
      <c r="H1523" s="1596">
        <v>1</v>
      </c>
      <c r="I1523" s="1595"/>
      <c r="J1523" s="1595"/>
      <c r="K1523" s="1597">
        <v>181165</v>
      </c>
      <c r="L1523" s="1597">
        <v>181165</v>
      </c>
      <c r="M1523" s="1598"/>
      <c r="N1523" s="1597">
        <v>181165</v>
      </c>
      <c r="O1523" s="1597">
        <v>13271.9</v>
      </c>
      <c r="P1523" s="1597">
        <v>159930.01</v>
      </c>
      <c r="Q1523" s="1597">
        <v>7963.09</v>
      </c>
      <c r="R1523" s="1597">
        <v>167893.1</v>
      </c>
      <c r="S1523" s="1592"/>
    </row>
    <row r="1524" spans="2:19" s="1593" customFormat="1" ht="11.25" customHeight="1" outlineLevel="1">
      <c r="B1524" s="1594">
        <v>28881</v>
      </c>
      <c r="C1524" s="1595" t="s">
        <v>4023</v>
      </c>
      <c r="D1524" s="1595" t="s">
        <v>12987</v>
      </c>
      <c r="E1524" s="1595"/>
      <c r="F1524" s="1595"/>
      <c r="G1524" s="1595" t="s">
        <v>12980</v>
      </c>
      <c r="H1524" s="1596">
        <v>1</v>
      </c>
      <c r="I1524" s="1595"/>
      <c r="J1524" s="1595"/>
      <c r="K1524" s="1597">
        <v>208200</v>
      </c>
      <c r="L1524" s="1597">
        <v>208200</v>
      </c>
      <c r="M1524" s="1598"/>
      <c r="N1524" s="1597">
        <v>208200</v>
      </c>
      <c r="O1524" s="1597">
        <v>98461.25</v>
      </c>
      <c r="P1524" s="1597">
        <v>104533.75</v>
      </c>
      <c r="Q1524" s="1597">
        <v>5205</v>
      </c>
      <c r="R1524" s="1597">
        <v>109738.75</v>
      </c>
      <c r="S1524" s="1592"/>
    </row>
    <row r="1525" spans="2:19" s="1593" customFormat="1" ht="11.25" customHeight="1" outlineLevel="1">
      <c r="B1525" s="1594">
        <v>28882</v>
      </c>
      <c r="C1525" s="1595" t="s">
        <v>4023</v>
      </c>
      <c r="D1525" s="1595" t="s">
        <v>12986</v>
      </c>
      <c r="E1525" s="1595"/>
      <c r="F1525" s="1595"/>
      <c r="G1525" s="1595" t="s">
        <v>12985</v>
      </c>
      <c r="H1525" s="1596">
        <v>3</v>
      </c>
      <c r="I1525" s="1595"/>
      <c r="J1525" s="1595"/>
      <c r="K1525" s="1597">
        <v>1239600</v>
      </c>
      <c r="L1525" s="1597">
        <v>1239600</v>
      </c>
      <c r="M1525" s="1598"/>
      <c r="N1525" s="1597">
        <v>1239600</v>
      </c>
      <c r="O1525" s="1597">
        <v>455553</v>
      </c>
      <c r="P1525" s="1597">
        <v>746859</v>
      </c>
      <c r="Q1525" s="1597">
        <v>37188</v>
      </c>
      <c r="R1525" s="1597">
        <v>784047</v>
      </c>
      <c r="S1525" s="1592"/>
    </row>
    <row r="1526" spans="2:19" s="1593" customFormat="1" ht="11.25" customHeight="1" outlineLevel="1">
      <c r="B1526" s="1594">
        <v>28883</v>
      </c>
      <c r="C1526" s="1595" t="s">
        <v>4023</v>
      </c>
      <c r="D1526" s="1595" t="s">
        <v>12984</v>
      </c>
      <c r="E1526" s="1595"/>
      <c r="F1526" s="1595"/>
      <c r="G1526" s="1595" t="s">
        <v>12983</v>
      </c>
      <c r="H1526" s="1596">
        <v>1</v>
      </c>
      <c r="I1526" s="1595"/>
      <c r="J1526" s="1595"/>
      <c r="K1526" s="1597">
        <v>1617500</v>
      </c>
      <c r="L1526" s="1597">
        <v>1617500</v>
      </c>
      <c r="M1526" s="1598"/>
      <c r="N1526" s="1597">
        <v>1617500</v>
      </c>
      <c r="O1526" s="1597">
        <v>444928.49</v>
      </c>
      <c r="P1526" s="1597">
        <v>1116955.47</v>
      </c>
      <c r="Q1526" s="1597">
        <v>55616.04</v>
      </c>
      <c r="R1526" s="1597">
        <v>1172571.51</v>
      </c>
      <c r="S1526" s="1592"/>
    </row>
    <row r="1527" spans="2:19" s="1593" customFormat="1" ht="11.25" customHeight="1" outlineLevel="1">
      <c r="B1527" s="1594">
        <v>28884</v>
      </c>
      <c r="C1527" s="1595" t="s">
        <v>4023</v>
      </c>
      <c r="D1527" s="1595" t="s">
        <v>12982</v>
      </c>
      <c r="E1527" s="1595"/>
      <c r="F1527" s="1595"/>
      <c r="G1527" s="1595" t="s">
        <v>12980</v>
      </c>
      <c r="H1527" s="1596">
        <v>1</v>
      </c>
      <c r="I1527" s="1595"/>
      <c r="J1527" s="1595"/>
      <c r="K1527" s="1597">
        <v>2060000</v>
      </c>
      <c r="L1527" s="1597">
        <v>2060000</v>
      </c>
      <c r="M1527" s="1598"/>
      <c r="N1527" s="1597">
        <v>2060000</v>
      </c>
      <c r="O1527" s="1597">
        <v>394888.09</v>
      </c>
      <c r="P1527" s="1597">
        <v>1586134.27</v>
      </c>
      <c r="Q1527" s="1597">
        <v>78977.64</v>
      </c>
      <c r="R1527" s="1597">
        <v>1665111.91</v>
      </c>
      <c r="S1527" s="1592"/>
    </row>
    <row r="1528" spans="2:19" s="1593" customFormat="1" ht="11.25" customHeight="1" outlineLevel="1">
      <c r="B1528" s="1594">
        <v>28885</v>
      </c>
      <c r="C1528" s="1595" t="s">
        <v>4023</v>
      </c>
      <c r="D1528" s="1595" t="s">
        <v>12981</v>
      </c>
      <c r="E1528" s="1595"/>
      <c r="F1528" s="1595"/>
      <c r="G1528" s="1595" t="s">
        <v>12980</v>
      </c>
      <c r="H1528" s="1596">
        <v>1</v>
      </c>
      <c r="I1528" s="1595"/>
      <c r="J1528" s="1595"/>
      <c r="K1528" s="1597">
        <v>400000</v>
      </c>
      <c r="L1528" s="1597">
        <v>400000</v>
      </c>
      <c r="M1528" s="1598"/>
      <c r="N1528" s="1597">
        <v>400000</v>
      </c>
      <c r="O1528" s="1597">
        <v>121978.3</v>
      </c>
      <c r="P1528" s="1597">
        <v>264834.90000000002</v>
      </c>
      <c r="Q1528" s="1597">
        <v>13186.8</v>
      </c>
      <c r="R1528" s="1597">
        <v>278021.7</v>
      </c>
      <c r="S1528" s="1592"/>
    </row>
    <row r="1529" spans="2:19" s="1593" customFormat="1" ht="11.25" customHeight="1" outlineLevel="1">
      <c r="B1529" s="1594">
        <v>34768</v>
      </c>
      <c r="C1529" s="1595" t="s">
        <v>4023</v>
      </c>
      <c r="D1529" s="1595" t="s">
        <v>12979</v>
      </c>
      <c r="E1529" s="1595"/>
      <c r="F1529" s="1595"/>
      <c r="G1529" s="1595"/>
      <c r="H1529" s="1596">
        <v>1</v>
      </c>
      <c r="I1529" s="1595"/>
      <c r="J1529" s="1595"/>
      <c r="K1529" s="1597">
        <v>108304</v>
      </c>
      <c r="L1529" s="1597">
        <v>108304.8</v>
      </c>
      <c r="M1529" s="1598"/>
      <c r="N1529" s="1597">
        <v>108304.8</v>
      </c>
      <c r="O1529" s="1597">
        <v>7934.52</v>
      </c>
      <c r="P1529" s="1597">
        <v>95609.52</v>
      </c>
      <c r="Q1529" s="1597">
        <v>4760.76</v>
      </c>
      <c r="R1529" s="1597">
        <v>100370.28</v>
      </c>
      <c r="S1529" s="1592"/>
    </row>
    <row r="1530" spans="2:19" s="1593" customFormat="1" ht="11.25" customHeight="1" outlineLevel="1">
      <c r="B1530" s="1594">
        <v>34769</v>
      </c>
      <c r="C1530" s="1595" t="s">
        <v>4023</v>
      </c>
      <c r="D1530" s="1595" t="s">
        <v>12978</v>
      </c>
      <c r="E1530" s="1595"/>
      <c r="F1530" s="1595"/>
      <c r="G1530" s="1595"/>
      <c r="H1530" s="1596">
        <v>1</v>
      </c>
      <c r="I1530" s="1595"/>
      <c r="J1530" s="1595"/>
      <c r="K1530" s="1597">
        <v>108304</v>
      </c>
      <c r="L1530" s="1597">
        <v>108304.8</v>
      </c>
      <c r="M1530" s="1598"/>
      <c r="N1530" s="1597">
        <v>108304.8</v>
      </c>
      <c r="O1530" s="1597">
        <v>7934.52</v>
      </c>
      <c r="P1530" s="1597">
        <v>95609.52</v>
      </c>
      <c r="Q1530" s="1597">
        <v>4760.76</v>
      </c>
      <c r="R1530" s="1597">
        <v>100370.28</v>
      </c>
      <c r="S1530" s="1592"/>
    </row>
    <row r="1531" spans="2:19" s="1593" customFormat="1" ht="11.25" customHeight="1" outlineLevel="1">
      <c r="B1531" s="1594">
        <v>34770</v>
      </c>
      <c r="C1531" s="1595" t="s">
        <v>4023</v>
      </c>
      <c r="D1531" s="1595" t="s">
        <v>12977</v>
      </c>
      <c r="E1531" s="1595"/>
      <c r="F1531" s="1595"/>
      <c r="G1531" s="1595"/>
      <c r="H1531" s="1596">
        <v>1</v>
      </c>
      <c r="I1531" s="1595"/>
      <c r="J1531" s="1595"/>
      <c r="K1531" s="1597">
        <v>108304</v>
      </c>
      <c r="L1531" s="1597">
        <v>108304.8</v>
      </c>
      <c r="M1531" s="1598"/>
      <c r="N1531" s="1597">
        <v>108304.8</v>
      </c>
      <c r="O1531" s="1597">
        <v>7934.52</v>
      </c>
      <c r="P1531" s="1597">
        <v>95609.52</v>
      </c>
      <c r="Q1531" s="1597">
        <v>4760.76</v>
      </c>
      <c r="R1531" s="1597">
        <v>100370.28</v>
      </c>
      <c r="S1531" s="1592"/>
    </row>
    <row r="1532" spans="2:19" s="1593" customFormat="1" ht="11.25" customHeight="1" outlineLevel="1">
      <c r="B1532" s="1594">
        <v>34771</v>
      </c>
      <c r="C1532" s="1595" t="s">
        <v>4023</v>
      </c>
      <c r="D1532" s="1595" t="s">
        <v>12976</v>
      </c>
      <c r="E1532" s="1595"/>
      <c r="F1532" s="1595"/>
      <c r="G1532" s="1595"/>
      <c r="H1532" s="1596">
        <v>1</v>
      </c>
      <c r="I1532" s="1595"/>
      <c r="J1532" s="1595"/>
      <c r="K1532" s="1597">
        <v>108304</v>
      </c>
      <c r="L1532" s="1597">
        <v>108304.8</v>
      </c>
      <c r="M1532" s="1598"/>
      <c r="N1532" s="1597">
        <v>108304.8</v>
      </c>
      <c r="O1532" s="1597">
        <v>7934.52</v>
      </c>
      <c r="P1532" s="1597">
        <v>95609.52</v>
      </c>
      <c r="Q1532" s="1597">
        <v>4760.76</v>
      </c>
      <c r="R1532" s="1597">
        <v>100370.28</v>
      </c>
      <c r="S1532" s="1592"/>
    </row>
    <row r="1533" spans="2:19" s="1593" customFormat="1" ht="11.25" customHeight="1" outlineLevel="1">
      <c r="B1533" s="1594">
        <v>34772</v>
      </c>
      <c r="C1533" s="1595" t="s">
        <v>4023</v>
      </c>
      <c r="D1533" s="1595" t="s">
        <v>12975</v>
      </c>
      <c r="E1533" s="1595"/>
      <c r="F1533" s="1595"/>
      <c r="G1533" s="1595"/>
      <c r="H1533" s="1596">
        <v>1</v>
      </c>
      <c r="I1533" s="1595"/>
      <c r="J1533" s="1595"/>
      <c r="K1533" s="1597">
        <v>108304</v>
      </c>
      <c r="L1533" s="1597">
        <v>108304.8</v>
      </c>
      <c r="M1533" s="1598"/>
      <c r="N1533" s="1597">
        <v>108304.8</v>
      </c>
      <c r="O1533" s="1597">
        <v>7934.52</v>
      </c>
      <c r="P1533" s="1597">
        <v>95609.52</v>
      </c>
      <c r="Q1533" s="1597">
        <v>4760.76</v>
      </c>
      <c r="R1533" s="1597">
        <v>100370.28</v>
      </c>
      <c r="S1533" s="1592"/>
    </row>
    <row r="1534" spans="2:19" s="1593" customFormat="1" ht="11.25" customHeight="1" outlineLevel="1">
      <c r="B1534" s="1594">
        <v>34773</v>
      </c>
      <c r="C1534" s="1595" t="s">
        <v>4023</v>
      </c>
      <c r="D1534" s="1595" t="s">
        <v>12974</v>
      </c>
      <c r="E1534" s="1595"/>
      <c r="F1534" s="1595"/>
      <c r="G1534" s="1595"/>
      <c r="H1534" s="1596">
        <v>1</v>
      </c>
      <c r="I1534" s="1595"/>
      <c r="J1534" s="1595"/>
      <c r="K1534" s="1597">
        <v>108304</v>
      </c>
      <c r="L1534" s="1597">
        <v>108304.8</v>
      </c>
      <c r="M1534" s="1598"/>
      <c r="N1534" s="1597">
        <v>108304.8</v>
      </c>
      <c r="O1534" s="1597">
        <v>7934.52</v>
      </c>
      <c r="P1534" s="1597">
        <v>95609.52</v>
      </c>
      <c r="Q1534" s="1597">
        <v>4760.76</v>
      </c>
      <c r="R1534" s="1597">
        <v>100370.28</v>
      </c>
      <c r="S1534" s="1592"/>
    </row>
    <row r="1535" spans="2:19" s="1593" customFormat="1" ht="11.25" customHeight="1" outlineLevel="1">
      <c r="B1535" s="1594">
        <v>34774</v>
      </c>
      <c r="C1535" s="1595" t="s">
        <v>4023</v>
      </c>
      <c r="D1535" s="1595" t="s">
        <v>12973</v>
      </c>
      <c r="E1535" s="1595"/>
      <c r="F1535" s="1595"/>
      <c r="G1535" s="1595"/>
      <c r="H1535" s="1596">
        <v>1</v>
      </c>
      <c r="I1535" s="1595"/>
      <c r="J1535" s="1595"/>
      <c r="K1535" s="1597">
        <v>108304</v>
      </c>
      <c r="L1535" s="1597">
        <v>108304.8</v>
      </c>
      <c r="M1535" s="1598"/>
      <c r="N1535" s="1597">
        <v>108304.8</v>
      </c>
      <c r="O1535" s="1597">
        <v>7934.52</v>
      </c>
      <c r="P1535" s="1597">
        <v>95609.52</v>
      </c>
      <c r="Q1535" s="1597">
        <v>4760.76</v>
      </c>
      <c r="R1535" s="1597">
        <v>100370.28</v>
      </c>
      <c r="S1535" s="1592"/>
    </row>
    <row r="1536" spans="2:19" s="1593" customFormat="1" ht="11.25" customHeight="1" outlineLevel="1">
      <c r="B1536" s="1594">
        <v>34775</v>
      </c>
      <c r="C1536" s="1595" t="s">
        <v>4023</v>
      </c>
      <c r="D1536" s="1595" t="s">
        <v>12972</v>
      </c>
      <c r="E1536" s="1595"/>
      <c r="F1536" s="1595"/>
      <c r="G1536" s="1595"/>
      <c r="H1536" s="1596">
        <v>1</v>
      </c>
      <c r="I1536" s="1595"/>
      <c r="J1536" s="1595"/>
      <c r="K1536" s="1597">
        <v>108304</v>
      </c>
      <c r="L1536" s="1597">
        <v>108304.8</v>
      </c>
      <c r="M1536" s="1598"/>
      <c r="N1536" s="1597">
        <v>108304.8</v>
      </c>
      <c r="O1536" s="1597">
        <v>7934.52</v>
      </c>
      <c r="P1536" s="1597">
        <v>95609.52</v>
      </c>
      <c r="Q1536" s="1597">
        <v>4760.76</v>
      </c>
      <c r="R1536" s="1597">
        <v>100370.28</v>
      </c>
      <c r="S1536" s="1592"/>
    </row>
    <row r="1537" spans="2:19" s="1593" customFormat="1" ht="11.25" customHeight="1" outlineLevel="1">
      <c r="B1537" s="1594">
        <v>34776</v>
      </c>
      <c r="C1537" s="1595" t="s">
        <v>4023</v>
      </c>
      <c r="D1537" s="1595" t="s">
        <v>12971</v>
      </c>
      <c r="E1537" s="1595"/>
      <c r="F1537" s="1595"/>
      <c r="G1537" s="1595"/>
      <c r="H1537" s="1596">
        <v>1</v>
      </c>
      <c r="I1537" s="1595"/>
      <c r="J1537" s="1595"/>
      <c r="K1537" s="1597">
        <v>108304</v>
      </c>
      <c r="L1537" s="1597">
        <v>108304.8</v>
      </c>
      <c r="M1537" s="1598"/>
      <c r="N1537" s="1597">
        <v>108304.8</v>
      </c>
      <c r="O1537" s="1597">
        <v>7934.52</v>
      </c>
      <c r="P1537" s="1597">
        <v>95609.52</v>
      </c>
      <c r="Q1537" s="1597">
        <v>4760.76</v>
      </c>
      <c r="R1537" s="1597">
        <v>100370.28</v>
      </c>
      <c r="S1537" s="1592"/>
    </row>
    <row r="1538" spans="2:19" s="1593" customFormat="1" ht="11.25" customHeight="1" outlineLevel="1">
      <c r="B1538" s="1594">
        <v>34777</v>
      </c>
      <c r="C1538" s="1595" t="s">
        <v>4023</v>
      </c>
      <c r="D1538" s="1595" t="s">
        <v>12970</v>
      </c>
      <c r="E1538" s="1595"/>
      <c r="F1538" s="1595"/>
      <c r="G1538" s="1595"/>
      <c r="H1538" s="1596">
        <v>1</v>
      </c>
      <c r="I1538" s="1595"/>
      <c r="J1538" s="1595"/>
      <c r="K1538" s="1597">
        <v>181165</v>
      </c>
      <c r="L1538" s="1597">
        <v>181165</v>
      </c>
      <c r="M1538" s="1598"/>
      <c r="N1538" s="1597">
        <v>181165</v>
      </c>
      <c r="O1538" s="1597">
        <v>13271.9</v>
      </c>
      <c r="P1538" s="1597">
        <v>159930.01</v>
      </c>
      <c r="Q1538" s="1597">
        <v>7963.09</v>
      </c>
      <c r="R1538" s="1597">
        <v>167893.1</v>
      </c>
      <c r="S1538" s="1592"/>
    </row>
    <row r="1539" spans="2:19" s="1593" customFormat="1" ht="11.25" customHeight="1" outlineLevel="1">
      <c r="B1539" s="1594">
        <v>34778</v>
      </c>
      <c r="C1539" s="1595" t="s">
        <v>4023</v>
      </c>
      <c r="D1539" s="1595" t="s">
        <v>12969</v>
      </c>
      <c r="E1539" s="1595"/>
      <c r="F1539" s="1595"/>
      <c r="G1539" s="1595"/>
      <c r="H1539" s="1596">
        <v>1</v>
      </c>
      <c r="I1539" s="1595"/>
      <c r="J1539" s="1595"/>
      <c r="K1539" s="1597">
        <v>181165</v>
      </c>
      <c r="L1539" s="1597">
        <v>181165</v>
      </c>
      <c r="M1539" s="1598"/>
      <c r="N1539" s="1597">
        <v>181165</v>
      </c>
      <c r="O1539" s="1597">
        <v>13271.9</v>
      </c>
      <c r="P1539" s="1597">
        <v>159930.01</v>
      </c>
      <c r="Q1539" s="1597">
        <v>7963.09</v>
      </c>
      <c r="R1539" s="1597">
        <v>167893.1</v>
      </c>
      <c r="S1539" s="1592"/>
    </row>
    <row r="1540" spans="2:19" s="1593" customFormat="1" ht="11.25" customHeight="1" outlineLevel="1">
      <c r="B1540" s="1594">
        <v>34779</v>
      </c>
      <c r="C1540" s="1595" t="s">
        <v>4023</v>
      </c>
      <c r="D1540" s="1595" t="s">
        <v>12968</v>
      </c>
      <c r="E1540" s="1595"/>
      <c r="F1540" s="1595"/>
      <c r="G1540" s="1595"/>
      <c r="H1540" s="1596">
        <v>1</v>
      </c>
      <c r="I1540" s="1595"/>
      <c r="J1540" s="1595"/>
      <c r="K1540" s="1597">
        <v>181165</v>
      </c>
      <c r="L1540" s="1597">
        <v>181165</v>
      </c>
      <c r="M1540" s="1598"/>
      <c r="N1540" s="1597">
        <v>181165</v>
      </c>
      <c r="O1540" s="1597">
        <v>13271.9</v>
      </c>
      <c r="P1540" s="1597">
        <v>159930.01</v>
      </c>
      <c r="Q1540" s="1597">
        <v>7963.09</v>
      </c>
      <c r="R1540" s="1597">
        <v>167893.1</v>
      </c>
      <c r="S1540" s="1592"/>
    </row>
    <row r="1541" spans="2:19" s="1593" customFormat="1" ht="11.25" customHeight="1" outlineLevel="1">
      <c r="B1541" s="1594">
        <v>31377</v>
      </c>
      <c r="C1541" s="1595" t="s">
        <v>3711</v>
      </c>
      <c r="D1541" s="1595" t="s">
        <v>12967</v>
      </c>
      <c r="E1541" s="1595"/>
      <c r="F1541" s="1595"/>
      <c r="G1541" s="1595"/>
      <c r="H1541" s="1596">
        <v>1</v>
      </c>
      <c r="I1541" s="1595"/>
      <c r="J1541" s="1595"/>
      <c r="K1541" s="1597">
        <v>44976</v>
      </c>
      <c r="L1541" s="1597">
        <v>44976</v>
      </c>
      <c r="M1541" s="1597">
        <v>-44976</v>
      </c>
      <c r="N1541" s="1598"/>
      <c r="O1541" s="1598"/>
      <c r="P1541" s="1597">
        <v>44976</v>
      </c>
      <c r="Q1541" s="1597">
        <v>-44976</v>
      </c>
      <c r="R1541" s="1598"/>
      <c r="S1541" s="1592"/>
    </row>
    <row r="1542" spans="2:19" s="1593" customFormat="1" ht="11.25" customHeight="1" outlineLevel="1">
      <c r="B1542" s="1594">
        <v>31380</v>
      </c>
      <c r="C1542" s="1595" t="s">
        <v>3711</v>
      </c>
      <c r="D1542" s="1595" t="s">
        <v>12966</v>
      </c>
      <c r="E1542" s="1595"/>
      <c r="F1542" s="1595"/>
      <c r="G1542" s="1595" t="s">
        <v>3664</v>
      </c>
      <c r="H1542" s="1596">
        <v>2</v>
      </c>
      <c r="I1542" s="1595"/>
      <c r="J1542" s="1595"/>
      <c r="K1542" s="1597">
        <v>189506</v>
      </c>
      <c r="L1542" s="1597">
        <v>189506</v>
      </c>
      <c r="M1542" s="1598"/>
      <c r="N1542" s="1597">
        <v>189506</v>
      </c>
      <c r="O1542" s="1597">
        <v>56675</v>
      </c>
      <c r="P1542" s="1597">
        <v>125746.68</v>
      </c>
      <c r="Q1542" s="1597">
        <v>7084.32</v>
      </c>
      <c r="R1542" s="1597">
        <v>132831</v>
      </c>
      <c r="S1542" s="1592"/>
    </row>
    <row r="1543" spans="2:19" s="1593" customFormat="1" ht="11.25" customHeight="1" outlineLevel="1">
      <c r="B1543" s="1594">
        <v>31381</v>
      </c>
      <c r="C1543" s="1595" t="s">
        <v>3711</v>
      </c>
      <c r="D1543" s="1595" t="s">
        <v>12965</v>
      </c>
      <c r="E1543" s="1595"/>
      <c r="F1543" s="1595"/>
      <c r="G1543" s="1595" t="s">
        <v>3664</v>
      </c>
      <c r="H1543" s="1596">
        <v>3</v>
      </c>
      <c r="I1543" s="1595"/>
      <c r="J1543" s="1595"/>
      <c r="K1543" s="1597">
        <v>689575</v>
      </c>
      <c r="L1543" s="1597">
        <v>689575</v>
      </c>
      <c r="M1543" s="1598"/>
      <c r="N1543" s="1597">
        <v>689575</v>
      </c>
      <c r="O1543" s="1597">
        <v>253747.75</v>
      </c>
      <c r="P1543" s="1597">
        <v>412583.13</v>
      </c>
      <c r="Q1543" s="1597">
        <v>23244.12</v>
      </c>
      <c r="R1543" s="1597">
        <v>435827.25</v>
      </c>
      <c r="S1543" s="1592"/>
    </row>
    <row r="1544" spans="2:19" s="1593" customFormat="1" ht="11.25" customHeight="1" outlineLevel="1">
      <c r="B1544" s="1594">
        <v>39598</v>
      </c>
      <c r="C1544" s="1595" t="s">
        <v>12957</v>
      </c>
      <c r="D1544" s="1595" t="s">
        <v>12964</v>
      </c>
      <c r="E1544" s="1595"/>
      <c r="F1544" s="1595"/>
      <c r="G1544" s="1595" t="s">
        <v>3596</v>
      </c>
      <c r="H1544" s="1596">
        <v>1</v>
      </c>
      <c r="I1544" s="1595"/>
      <c r="J1544" s="1595"/>
      <c r="K1544" s="1597">
        <v>311440.68</v>
      </c>
      <c r="L1544" s="1597">
        <v>311440.68</v>
      </c>
      <c r="M1544" s="1598"/>
      <c r="N1544" s="1597">
        <v>311440.68</v>
      </c>
      <c r="O1544" s="1597">
        <v>25953.54</v>
      </c>
      <c r="P1544" s="1597">
        <v>259533.6</v>
      </c>
      <c r="Q1544" s="1597">
        <v>25953.54</v>
      </c>
      <c r="R1544" s="1597">
        <v>285487.14</v>
      </c>
      <c r="S1544" s="1592"/>
    </row>
    <row r="1545" spans="2:19" s="1593" customFormat="1" ht="11.25" customHeight="1" outlineLevel="1">
      <c r="B1545" s="1594">
        <v>39599</v>
      </c>
      <c r="C1545" s="1595" t="s">
        <v>12957</v>
      </c>
      <c r="D1545" s="1595" t="s">
        <v>12963</v>
      </c>
      <c r="E1545" s="1595"/>
      <c r="F1545" s="1595"/>
      <c r="G1545" s="1595" t="s">
        <v>3596</v>
      </c>
      <c r="H1545" s="1596">
        <v>1</v>
      </c>
      <c r="I1545" s="1595"/>
      <c r="J1545" s="1595"/>
      <c r="K1545" s="1597">
        <v>311440.68</v>
      </c>
      <c r="L1545" s="1597">
        <v>311440.68</v>
      </c>
      <c r="M1545" s="1598"/>
      <c r="N1545" s="1597">
        <v>311440.68</v>
      </c>
      <c r="O1545" s="1597">
        <v>25953.54</v>
      </c>
      <c r="P1545" s="1597">
        <v>259533.6</v>
      </c>
      <c r="Q1545" s="1597">
        <v>25953.54</v>
      </c>
      <c r="R1545" s="1597">
        <v>285487.14</v>
      </c>
      <c r="S1545" s="1592"/>
    </row>
    <row r="1546" spans="2:19" s="1593" customFormat="1" ht="11.25" customHeight="1" outlineLevel="1">
      <c r="B1546" s="1594">
        <v>39600</v>
      </c>
      <c r="C1546" s="1595" t="s">
        <v>12957</v>
      </c>
      <c r="D1546" s="1595" t="s">
        <v>12962</v>
      </c>
      <c r="E1546" s="1595"/>
      <c r="F1546" s="1595"/>
      <c r="G1546" s="1595"/>
      <c r="H1546" s="1596">
        <v>1</v>
      </c>
      <c r="I1546" s="1595"/>
      <c r="J1546" s="1595"/>
      <c r="K1546" s="1597">
        <v>133700.6</v>
      </c>
      <c r="L1546" s="1597">
        <v>133700.6</v>
      </c>
      <c r="M1546" s="1598"/>
      <c r="N1546" s="1597">
        <v>133700.6</v>
      </c>
      <c r="O1546" s="1597">
        <v>11141.48</v>
      </c>
      <c r="P1546" s="1597">
        <v>111417.60000000001</v>
      </c>
      <c r="Q1546" s="1597">
        <v>11141.52</v>
      </c>
      <c r="R1546" s="1597">
        <v>122559.12</v>
      </c>
      <c r="S1546" s="1592"/>
    </row>
    <row r="1547" spans="2:19" s="1593" customFormat="1" ht="11.25" customHeight="1" outlineLevel="1">
      <c r="B1547" s="1594">
        <v>39601</v>
      </c>
      <c r="C1547" s="1595" t="s">
        <v>12957</v>
      </c>
      <c r="D1547" s="1595" t="s">
        <v>12961</v>
      </c>
      <c r="E1547" s="1595"/>
      <c r="F1547" s="1595"/>
      <c r="G1547" s="1595"/>
      <c r="H1547" s="1596">
        <v>1</v>
      </c>
      <c r="I1547" s="1595"/>
      <c r="J1547" s="1595"/>
      <c r="K1547" s="1597">
        <v>133700.6</v>
      </c>
      <c r="L1547" s="1597">
        <v>133700.6</v>
      </c>
      <c r="M1547" s="1598"/>
      <c r="N1547" s="1597">
        <v>133700.6</v>
      </c>
      <c r="O1547" s="1597">
        <v>11141.48</v>
      </c>
      <c r="P1547" s="1597">
        <v>111417.60000000001</v>
      </c>
      <c r="Q1547" s="1597">
        <v>11141.52</v>
      </c>
      <c r="R1547" s="1597">
        <v>122559.12</v>
      </c>
      <c r="S1547" s="1592"/>
    </row>
    <row r="1548" spans="2:19" s="1593" customFormat="1" ht="11.25" customHeight="1" outlineLevel="1">
      <c r="B1548" s="1594">
        <v>39602</v>
      </c>
      <c r="C1548" s="1595" t="s">
        <v>12957</v>
      </c>
      <c r="D1548" s="1595" t="s">
        <v>12960</v>
      </c>
      <c r="E1548" s="1595"/>
      <c r="F1548" s="1595"/>
      <c r="G1548" s="1595"/>
      <c r="H1548" s="1596">
        <v>1</v>
      </c>
      <c r="I1548" s="1595"/>
      <c r="J1548" s="1595"/>
      <c r="K1548" s="1597">
        <v>65309.11</v>
      </c>
      <c r="L1548" s="1597">
        <v>65309.11</v>
      </c>
      <c r="M1548" s="1597">
        <v>-65309.11</v>
      </c>
      <c r="N1548" s="1598"/>
      <c r="O1548" s="1598"/>
      <c r="P1548" s="1597">
        <v>65309.11</v>
      </c>
      <c r="Q1548" s="1597">
        <v>-65309.11</v>
      </c>
      <c r="R1548" s="1598"/>
      <c r="S1548" s="1592"/>
    </row>
    <row r="1549" spans="2:19" s="1593" customFormat="1" ht="11.25" customHeight="1" outlineLevel="1">
      <c r="B1549" s="1594">
        <v>39603</v>
      </c>
      <c r="C1549" s="1595" t="s">
        <v>12957</v>
      </c>
      <c r="D1549" s="1595" t="s">
        <v>12959</v>
      </c>
      <c r="E1549" s="1595"/>
      <c r="F1549" s="1595"/>
      <c r="G1549" s="1595"/>
      <c r="H1549" s="1596">
        <v>1</v>
      </c>
      <c r="I1549" s="1595"/>
      <c r="J1549" s="1595"/>
      <c r="K1549" s="1597">
        <v>65309.11</v>
      </c>
      <c r="L1549" s="1597">
        <v>65309.11</v>
      </c>
      <c r="M1549" s="1597">
        <v>-65309.11</v>
      </c>
      <c r="N1549" s="1598"/>
      <c r="O1549" s="1598"/>
      <c r="P1549" s="1597">
        <v>65309.11</v>
      </c>
      <c r="Q1549" s="1597">
        <v>-65309.11</v>
      </c>
      <c r="R1549" s="1598"/>
      <c r="S1549" s="1592"/>
    </row>
    <row r="1550" spans="2:19" s="1593" customFormat="1" ht="11.25" customHeight="1" outlineLevel="1">
      <c r="B1550" s="1594">
        <v>39604</v>
      </c>
      <c r="C1550" s="1595" t="s">
        <v>12957</v>
      </c>
      <c r="D1550" s="1595" t="s">
        <v>12958</v>
      </c>
      <c r="E1550" s="1595"/>
      <c r="F1550" s="1595"/>
      <c r="G1550" s="1595"/>
      <c r="H1550" s="1596">
        <v>1</v>
      </c>
      <c r="I1550" s="1595"/>
      <c r="J1550" s="1595"/>
      <c r="K1550" s="1597">
        <v>65309.11</v>
      </c>
      <c r="L1550" s="1597">
        <v>65309.11</v>
      </c>
      <c r="M1550" s="1597">
        <v>-65309.11</v>
      </c>
      <c r="N1550" s="1598"/>
      <c r="O1550" s="1598"/>
      <c r="P1550" s="1597">
        <v>65309.11</v>
      </c>
      <c r="Q1550" s="1597">
        <v>-65309.11</v>
      </c>
      <c r="R1550" s="1598"/>
      <c r="S1550" s="1592"/>
    </row>
    <row r="1551" spans="2:19" s="1593" customFormat="1" ht="11.25" customHeight="1" outlineLevel="1">
      <c r="B1551" s="1594">
        <v>39605</v>
      </c>
      <c r="C1551" s="1595" t="s">
        <v>12957</v>
      </c>
      <c r="D1551" s="1595" t="s">
        <v>12956</v>
      </c>
      <c r="E1551" s="1595"/>
      <c r="F1551" s="1595"/>
      <c r="G1551" s="1595"/>
      <c r="H1551" s="1596">
        <v>1</v>
      </c>
      <c r="I1551" s="1595"/>
      <c r="J1551" s="1595"/>
      <c r="K1551" s="1597">
        <v>65309.11</v>
      </c>
      <c r="L1551" s="1597">
        <v>65309.11</v>
      </c>
      <c r="M1551" s="1597">
        <v>-65309.11</v>
      </c>
      <c r="N1551" s="1598"/>
      <c r="O1551" s="1598"/>
      <c r="P1551" s="1597">
        <v>65309.11</v>
      </c>
      <c r="Q1551" s="1597">
        <v>-65309.11</v>
      </c>
      <c r="R1551" s="1598"/>
      <c r="S1551" s="1592"/>
    </row>
    <row r="1552" spans="2:19" s="1593" customFormat="1" ht="21.75" customHeight="1" outlineLevel="1">
      <c r="B1552" s="1600" t="s">
        <v>12955</v>
      </c>
      <c r="C1552" s="1595" t="s">
        <v>12954</v>
      </c>
      <c r="D1552" s="1595" t="s">
        <v>12953</v>
      </c>
      <c r="E1552" s="1595" t="s">
        <v>2288</v>
      </c>
      <c r="F1552" s="1595" t="s">
        <v>12952</v>
      </c>
      <c r="G1552" s="1595"/>
      <c r="H1552" s="1596">
        <v>3</v>
      </c>
      <c r="I1552" s="1595"/>
      <c r="J1552" s="1595"/>
      <c r="K1552" s="1597">
        <v>55517.5</v>
      </c>
      <c r="L1552" s="1597">
        <v>55517.5</v>
      </c>
      <c r="M1552" s="1597">
        <v>-55517.5</v>
      </c>
      <c r="N1552" s="1598"/>
      <c r="O1552" s="1598"/>
      <c r="P1552" s="1597">
        <v>16382.16</v>
      </c>
      <c r="Q1552" s="1597">
        <v>-16382.16</v>
      </c>
      <c r="R1552" s="1598"/>
      <c r="S1552" s="1592"/>
    </row>
    <row r="1553" spans="2:19" s="1593" customFormat="1" ht="21.75" customHeight="1" outlineLevel="1">
      <c r="B1553" s="1600" t="s">
        <v>12951</v>
      </c>
      <c r="C1553" s="1595" t="s">
        <v>12287</v>
      </c>
      <c r="D1553" s="1595" t="s">
        <v>12950</v>
      </c>
      <c r="E1553" s="1595" t="s">
        <v>2266</v>
      </c>
      <c r="F1553" s="1595"/>
      <c r="G1553" s="1595"/>
      <c r="H1553" s="1595"/>
      <c r="I1553" s="1595"/>
      <c r="J1553" s="1595"/>
      <c r="K1553" s="1597">
        <v>108885194</v>
      </c>
      <c r="L1553" s="1597">
        <v>108885194</v>
      </c>
      <c r="M1553" s="1597">
        <v>-108885194</v>
      </c>
      <c r="N1553" s="1598"/>
      <c r="O1553" s="1598"/>
      <c r="P1553" s="1597">
        <v>1799755.28</v>
      </c>
      <c r="Q1553" s="1597">
        <v>-1799755.28</v>
      </c>
      <c r="R1553" s="1598"/>
      <c r="S1553" s="1592"/>
    </row>
    <row r="1554" spans="2:19" s="1593" customFormat="1" ht="21.75" customHeight="1" outlineLevel="1">
      <c r="B1554" s="1600" t="s">
        <v>12949</v>
      </c>
      <c r="C1554" s="1595" t="s">
        <v>12287</v>
      </c>
      <c r="D1554" s="1595" t="s">
        <v>12948</v>
      </c>
      <c r="E1554" s="1595"/>
      <c r="F1554" s="1595"/>
      <c r="G1554" s="1595"/>
      <c r="H1554" s="1595"/>
      <c r="I1554" s="1595"/>
      <c r="J1554" s="1595"/>
      <c r="K1554" s="1597">
        <v>503112.93</v>
      </c>
      <c r="L1554" s="1597">
        <v>503112.93</v>
      </c>
      <c r="M1554" s="1597">
        <v>-503112.93</v>
      </c>
      <c r="N1554" s="1598"/>
      <c r="O1554" s="1598"/>
      <c r="P1554" s="1597">
        <v>3342.94</v>
      </c>
      <c r="Q1554" s="1597">
        <v>-3342.94</v>
      </c>
      <c r="R1554" s="1598"/>
      <c r="S1554" s="1592"/>
    </row>
    <row r="1555" spans="2:19" s="1593" customFormat="1" ht="21.75" customHeight="1" outlineLevel="1">
      <c r="B1555" s="1600" t="s">
        <v>12947</v>
      </c>
      <c r="C1555" s="1595" t="s">
        <v>12287</v>
      </c>
      <c r="D1555" s="1595" t="s">
        <v>12946</v>
      </c>
      <c r="E1555" s="1595"/>
      <c r="F1555" s="1595"/>
      <c r="G1555" s="1595"/>
      <c r="H1555" s="1595"/>
      <c r="I1555" s="1595"/>
      <c r="J1555" s="1595"/>
      <c r="K1555" s="1597">
        <v>2135528.81</v>
      </c>
      <c r="L1555" s="1597">
        <v>2135528.81</v>
      </c>
      <c r="M1555" s="1597">
        <v>-2135528.81</v>
      </c>
      <c r="N1555" s="1598"/>
      <c r="O1555" s="1598"/>
      <c r="P1555" s="1597">
        <v>11831.18</v>
      </c>
      <c r="Q1555" s="1597">
        <v>-11831.18</v>
      </c>
      <c r="R1555" s="1598"/>
      <c r="S1555" s="1592"/>
    </row>
    <row r="1556" spans="2:19" s="1593" customFormat="1" ht="21.75" customHeight="1" outlineLevel="1">
      <c r="B1556" s="1600" t="s">
        <v>12945</v>
      </c>
      <c r="C1556" s="1595" t="s">
        <v>12287</v>
      </c>
      <c r="D1556" s="1595" t="s">
        <v>12944</v>
      </c>
      <c r="E1556" s="1595"/>
      <c r="F1556" s="1595"/>
      <c r="G1556" s="1595"/>
      <c r="H1556" s="1595"/>
      <c r="I1556" s="1595"/>
      <c r="J1556" s="1595"/>
      <c r="K1556" s="1597">
        <v>3342886.66</v>
      </c>
      <c r="L1556" s="1597">
        <v>3342886.66</v>
      </c>
      <c r="M1556" s="1597">
        <v>-3342886.66</v>
      </c>
      <c r="N1556" s="1598"/>
      <c r="O1556" s="1598"/>
      <c r="P1556" s="1597">
        <v>18520.14</v>
      </c>
      <c r="Q1556" s="1597">
        <v>-18520.14</v>
      </c>
      <c r="R1556" s="1598"/>
      <c r="S1556" s="1592"/>
    </row>
    <row r="1557" spans="2:19" s="1593" customFormat="1" ht="21.75" customHeight="1" outlineLevel="1">
      <c r="B1557" s="1600" t="s">
        <v>12943</v>
      </c>
      <c r="C1557" s="1595" t="s">
        <v>2414</v>
      </c>
      <c r="D1557" s="1595" t="s">
        <v>12942</v>
      </c>
      <c r="E1557" s="1595"/>
      <c r="F1557" s="1595"/>
      <c r="G1557" s="1595"/>
      <c r="H1557" s="1595"/>
      <c r="I1557" s="1595"/>
      <c r="J1557" s="1595"/>
      <c r="K1557" s="1597">
        <v>578489.12</v>
      </c>
      <c r="L1557" s="1597">
        <v>578489.12</v>
      </c>
      <c r="M1557" s="1598"/>
      <c r="N1557" s="1597">
        <v>578489.12</v>
      </c>
      <c r="O1557" s="1597">
        <v>417050.28</v>
      </c>
      <c r="P1557" s="1598"/>
      <c r="Q1557" s="1597">
        <v>161438.84</v>
      </c>
      <c r="R1557" s="1597">
        <v>161438.84</v>
      </c>
      <c r="S1557" s="1592"/>
    </row>
    <row r="1558" spans="2:19" s="1593" customFormat="1" ht="21.75" customHeight="1" outlineLevel="1">
      <c r="B1558" s="1600" t="s">
        <v>12941</v>
      </c>
      <c r="C1558" s="1595" t="s">
        <v>12931</v>
      </c>
      <c r="D1558" s="1595" t="s">
        <v>12940</v>
      </c>
      <c r="E1558" s="1595" t="s">
        <v>2219</v>
      </c>
      <c r="F1558" s="1595" t="s">
        <v>12929</v>
      </c>
      <c r="G1558" s="1595" t="s">
        <v>12928</v>
      </c>
      <c r="H1558" s="1596">
        <v>2</v>
      </c>
      <c r="I1558" s="1601">
        <v>263</v>
      </c>
      <c r="J1558" s="1595"/>
      <c r="K1558" s="1597">
        <v>3066247.95</v>
      </c>
      <c r="L1558" s="1598"/>
      <c r="M1558" s="1597">
        <v>3066247.95</v>
      </c>
      <c r="N1558" s="1597">
        <v>3066247.95</v>
      </c>
      <c r="O1558" s="1597">
        <v>3015143.79</v>
      </c>
      <c r="P1558" s="1598"/>
      <c r="Q1558" s="1597">
        <v>51104.160000000003</v>
      </c>
      <c r="R1558" s="1597">
        <v>51104.160000000003</v>
      </c>
      <c r="S1558" s="1592"/>
    </row>
    <row r="1559" spans="2:19" s="1593" customFormat="1" ht="21.75" customHeight="1" outlineLevel="1">
      <c r="B1559" s="1600" t="s">
        <v>12939</v>
      </c>
      <c r="C1559" s="1595" t="s">
        <v>12931</v>
      </c>
      <c r="D1559" s="1595" t="s">
        <v>12938</v>
      </c>
      <c r="E1559" s="1595" t="s">
        <v>2219</v>
      </c>
      <c r="F1559" s="1595" t="s">
        <v>12929</v>
      </c>
      <c r="G1559" s="1595" t="s">
        <v>12928</v>
      </c>
      <c r="H1559" s="1596">
        <v>1</v>
      </c>
      <c r="I1559" s="1601">
        <v>810</v>
      </c>
      <c r="J1559" s="1595"/>
      <c r="K1559" s="1597">
        <v>32088644.120000001</v>
      </c>
      <c r="L1559" s="1598"/>
      <c r="M1559" s="1597">
        <v>32088644.120000001</v>
      </c>
      <c r="N1559" s="1597">
        <v>32088644.120000001</v>
      </c>
      <c r="O1559" s="1597">
        <v>31553833.399999999</v>
      </c>
      <c r="P1559" s="1598"/>
      <c r="Q1559" s="1597">
        <v>534810.72</v>
      </c>
      <c r="R1559" s="1597">
        <v>534810.72</v>
      </c>
      <c r="S1559" s="1592"/>
    </row>
    <row r="1560" spans="2:19" s="1593" customFormat="1" ht="21.75" customHeight="1" outlineLevel="1">
      <c r="B1560" s="1600" t="s">
        <v>12937</v>
      </c>
      <c r="C1560" s="1595" t="s">
        <v>12931</v>
      </c>
      <c r="D1560" s="1595" t="s">
        <v>12936</v>
      </c>
      <c r="E1560" s="1595" t="s">
        <v>2219</v>
      </c>
      <c r="F1560" s="1595" t="s">
        <v>12929</v>
      </c>
      <c r="G1560" s="1595" t="s">
        <v>12928</v>
      </c>
      <c r="H1560" s="1596">
        <v>1</v>
      </c>
      <c r="I1560" s="1595"/>
      <c r="J1560" s="1595"/>
      <c r="K1560" s="1597">
        <v>228598847.77000001</v>
      </c>
      <c r="L1560" s="1598"/>
      <c r="M1560" s="1597">
        <v>228598847.77000001</v>
      </c>
      <c r="N1560" s="1597">
        <v>228598847.77000001</v>
      </c>
      <c r="O1560" s="1597">
        <v>224788866.97</v>
      </c>
      <c r="P1560" s="1598"/>
      <c r="Q1560" s="1597">
        <v>3809980.8</v>
      </c>
      <c r="R1560" s="1597">
        <v>3809980.8</v>
      </c>
      <c r="S1560" s="1592"/>
    </row>
    <row r="1561" spans="2:19" s="1593" customFormat="1" ht="21.75" customHeight="1" outlineLevel="1">
      <c r="B1561" s="1600" t="s">
        <v>12935</v>
      </c>
      <c r="C1561" s="1595" t="s">
        <v>12931</v>
      </c>
      <c r="D1561" s="1595" t="s">
        <v>12934</v>
      </c>
      <c r="E1561" s="1595" t="s">
        <v>2219</v>
      </c>
      <c r="F1561" s="1595" t="s">
        <v>12929</v>
      </c>
      <c r="G1561" s="1595" t="s">
        <v>12933</v>
      </c>
      <c r="H1561" s="1596">
        <v>1</v>
      </c>
      <c r="I1561" s="1595"/>
      <c r="J1561" s="1595"/>
      <c r="K1561" s="1597">
        <v>57757373.82</v>
      </c>
      <c r="L1561" s="1598"/>
      <c r="M1561" s="1597">
        <v>57757373.82</v>
      </c>
      <c r="N1561" s="1597">
        <v>57757373.82</v>
      </c>
      <c r="O1561" s="1597">
        <v>56217177.18</v>
      </c>
      <c r="P1561" s="1598"/>
      <c r="Q1561" s="1597">
        <v>1540196.64</v>
      </c>
      <c r="R1561" s="1597">
        <v>1540196.64</v>
      </c>
      <c r="S1561" s="1592"/>
    </row>
    <row r="1562" spans="2:19" s="1593" customFormat="1" ht="21.75" customHeight="1" outlineLevel="1">
      <c r="B1562" s="1600" t="s">
        <v>12932</v>
      </c>
      <c r="C1562" s="1595" t="s">
        <v>12931</v>
      </c>
      <c r="D1562" s="1595" t="s">
        <v>12930</v>
      </c>
      <c r="E1562" s="1595" t="s">
        <v>2219</v>
      </c>
      <c r="F1562" s="1595" t="s">
        <v>12929</v>
      </c>
      <c r="G1562" s="1595" t="s">
        <v>12928</v>
      </c>
      <c r="H1562" s="1596">
        <v>1</v>
      </c>
      <c r="I1562" s="1601">
        <v>1240</v>
      </c>
      <c r="J1562" s="1595"/>
      <c r="K1562" s="1597">
        <v>24551459.09</v>
      </c>
      <c r="L1562" s="1598"/>
      <c r="M1562" s="1597">
        <v>24551459.09</v>
      </c>
      <c r="N1562" s="1597">
        <v>24551459.09</v>
      </c>
      <c r="O1562" s="1597">
        <v>24142268.129999999</v>
      </c>
      <c r="P1562" s="1598"/>
      <c r="Q1562" s="1597">
        <v>409190.96</v>
      </c>
      <c r="R1562" s="1597">
        <v>409190.96</v>
      </c>
      <c r="S1562" s="1592"/>
    </row>
    <row r="1563" spans="2:19" s="1593" customFormat="1" ht="21.75" customHeight="1" outlineLevel="1">
      <c r="B1563" s="1600" t="s">
        <v>12927</v>
      </c>
      <c r="C1563" s="1595" t="s">
        <v>2331</v>
      </c>
      <c r="D1563" s="1595" t="s">
        <v>12926</v>
      </c>
      <c r="E1563" s="1595" t="s">
        <v>2288</v>
      </c>
      <c r="F1563" s="1595" t="s">
        <v>12925</v>
      </c>
      <c r="G1563" s="1595"/>
      <c r="H1563" s="1596">
        <v>3</v>
      </c>
      <c r="I1563" s="1595"/>
      <c r="J1563" s="1595"/>
      <c r="K1563" s="1597">
        <v>12876.87</v>
      </c>
      <c r="L1563" s="1598"/>
      <c r="M1563" s="1597">
        <v>12876.87</v>
      </c>
      <c r="N1563" s="1597">
        <v>12876.87</v>
      </c>
      <c r="O1563" s="1597">
        <v>12018.43</v>
      </c>
      <c r="P1563" s="1598"/>
      <c r="Q1563" s="1599">
        <v>858.44</v>
      </c>
      <c r="R1563" s="1599">
        <v>858.44</v>
      </c>
      <c r="S1563" s="1592"/>
    </row>
    <row r="1564" spans="2:19" s="1593" customFormat="1" ht="5.0999999999999996" customHeight="1">
      <c r="S1564" s="1592"/>
    </row>
    <row r="1565" spans="2:19" s="1593" customFormat="1" ht="11.25" customHeight="1">
      <c r="B1565" s="1590" t="s">
        <v>12924</v>
      </c>
      <c r="C1565" s="1590"/>
      <c r="D1565" s="1590" t="s">
        <v>12923</v>
      </c>
      <c r="E1565" s="1590"/>
      <c r="F1565" s="1590"/>
      <c r="G1565" s="1590"/>
      <c r="H1565" s="1590">
        <v>2</v>
      </c>
      <c r="I1565" s="1590"/>
      <c r="J1565" s="1590"/>
      <c r="K1565" s="1591">
        <v>226476271.06999999</v>
      </c>
      <c r="L1565" s="1591">
        <v>183485438.22</v>
      </c>
      <c r="M1565" s="1591">
        <v>42444882.469999999</v>
      </c>
      <c r="N1565" s="1591">
        <v>225930320.69</v>
      </c>
      <c r="O1565" s="1591">
        <v>122269366.09999999</v>
      </c>
      <c r="P1565" s="1591">
        <v>74090578</v>
      </c>
      <c r="Q1565" s="1591">
        <v>29570376.59</v>
      </c>
      <c r="R1565" s="1591">
        <v>103660954.59</v>
      </c>
      <c r="S1565" s="1592">
        <f>R1565/N1565</f>
        <v>0.45881825101392065</v>
      </c>
    </row>
    <row r="1566" spans="2:19" s="1593" customFormat="1" ht="11.25" customHeight="1" outlineLevel="1">
      <c r="B1566" s="1594">
        <v>10348</v>
      </c>
      <c r="C1566" s="1595" t="s">
        <v>5403</v>
      </c>
      <c r="D1566" s="1595" t="s">
        <v>12922</v>
      </c>
      <c r="E1566" s="1595"/>
      <c r="F1566" s="1595"/>
      <c r="G1566" s="1595"/>
      <c r="H1566" s="1596">
        <v>1</v>
      </c>
      <c r="I1566" s="1595"/>
      <c r="J1566" s="1595"/>
      <c r="K1566" s="1597">
        <v>32539</v>
      </c>
      <c r="L1566" s="1597">
        <v>32539</v>
      </c>
      <c r="M1566" s="1597">
        <v>-32539</v>
      </c>
      <c r="N1566" s="1598"/>
      <c r="O1566" s="1598"/>
      <c r="P1566" s="1597">
        <v>32539</v>
      </c>
      <c r="Q1566" s="1597">
        <v>-32539</v>
      </c>
      <c r="R1566" s="1598"/>
      <c r="S1566" s="1592"/>
    </row>
    <row r="1567" spans="2:19" s="1593" customFormat="1" ht="21.75" customHeight="1" outlineLevel="1">
      <c r="B1567" s="1594">
        <v>10394</v>
      </c>
      <c r="C1567" s="1595" t="s">
        <v>5403</v>
      </c>
      <c r="D1567" s="1595" t="s">
        <v>12921</v>
      </c>
      <c r="E1567" s="1595"/>
      <c r="F1567" s="1595"/>
      <c r="G1567" s="1595" t="s">
        <v>10820</v>
      </c>
      <c r="H1567" s="1596">
        <v>2</v>
      </c>
      <c r="I1567" s="1595"/>
      <c r="J1567" s="1595"/>
      <c r="K1567" s="1597">
        <v>1246121</v>
      </c>
      <c r="L1567" s="1597">
        <v>1028098</v>
      </c>
      <c r="M1567" s="1598"/>
      <c r="N1567" s="1597">
        <v>1028098</v>
      </c>
      <c r="O1567" s="1597">
        <v>240855.17</v>
      </c>
      <c r="P1567" s="1597">
        <v>760481.15</v>
      </c>
      <c r="Q1567" s="1597">
        <v>26761.68</v>
      </c>
      <c r="R1567" s="1597">
        <v>787242.83</v>
      </c>
      <c r="S1567" s="1592"/>
    </row>
    <row r="1568" spans="2:19" s="1593" customFormat="1" ht="11.25" customHeight="1" outlineLevel="1">
      <c r="B1568" s="1594">
        <v>10395</v>
      </c>
      <c r="C1568" s="1595" t="s">
        <v>5403</v>
      </c>
      <c r="D1568" s="1595" t="s">
        <v>12920</v>
      </c>
      <c r="E1568" s="1595"/>
      <c r="F1568" s="1595"/>
      <c r="G1568" s="1595" t="s">
        <v>10820</v>
      </c>
      <c r="H1568" s="1596">
        <v>2</v>
      </c>
      <c r="I1568" s="1595"/>
      <c r="J1568" s="1595"/>
      <c r="K1568" s="1597">
        <v>485440</v>
      </c>
      <c r="L1568" s="1597">
        <v>485440</v>
      </c>
      <c r="M1568" s="1598"/>
      <c r="N1568" s="1597">
        <v>485440</v>
      </c>
      <c r="O1568" s="1597">
        <v>113724.18</v>
      </c>
      <c r="P1568" s="1597">
        <v>359079.82</v>
      </c>
      <c r="Q1568" s="1597">
        <v>12636</v>
      </c>
      <c r="R1568" s="1597">
        <v>371715.82</v>
      </c>
      <c r="S1568" s="1592"/>
    </row>
    <row r="1569" spans="2:19" s="1593" customFormat="1" ht="11.25" customHeight="1" outlineLevel="1">
      <c r="B1569" s="1594">
        <v>10396</v>
      </c>
      <c r="C1569" s="1595" t="s">
        <v>5403</v>
      </c>
      <c r="D1569" s="1595" t="s">
        <v>12919</v>
      </c>
      <c r="E1569" s="1595"/>
      <c r="F1569" s="1595"/>
      <c r="G1569" s="1595" t="s">
        <v>10820</v>
      </c>
      <c r="H1569" s="1596">
        <v>2</v>
      </c>
      <c r="I1569" s="1595"/>
      <c r="J1569" s="1595"/>
      <c r="K1569" s="1597">
        <v>53449</v>
      </c>
      <c r="L1569" s="1597">
        <v>53449</v>
      </c>
      <c r="M1569" s="1598"/>
      <c r="N1569" s="1597">
        <v>53449</v>
      </c>
      <c r="O1569" s="1597">
        <v>7763.98</v>
      </c>
      <c r="P1569" s="1597">
        <v>44132.22</v>
      </c>
      <c r="Q1569" s="1597">
        <v>1552.8</v>
      </c>
      <c r="R1569" s="1597">
        <v>45685.02</v>
      </c>
      <c r="S1569" s="1592"/>
    </row>
    <row r="1570" spans="2:19" s="1593" customFormat="1" ht="11.25" customHeight="1" outlineLevel="1">
      <c r="B1570" s="1594">
        <v>10410</v>
      </c>
      <c r="C1570" s="1595" t="s">
        <v>5403</v>
      </c>
      <c r="D1570" s="1595" t="s">
        <v>12918</v>
      </c>
      <c r="E1570" s="1595"/>
      <c r="F1570" s="1595"/>
      <c r="G1570" s="1595" t="s">
        <v>3734</v>
      </c>
      <c r="H1570" s="1596">
        <v>2</v>
      </c>
      <c r="I1570" s="1595"/>
      <c r="J1570" s="1595"/>
      <c r="K1570" s="1597">
        <v>541229</v>
      </c>
      <c r="L1570" s="1597">
        <v>562811</v>
      </c>
      <c r="M1570" s="1598"/>
      <c r="N1570" s="1597">
        <v>562811</v>
      </c>
      <c r="O1570" s="1597">
        <v>231689.94</v>
      </c>
      <c r="P1570" s="1597">
        <v>319864.82</v>
      </c>
      <c r="Q1570" s="1597">
        <v>11256.24</v>
      </c>
      <c r="R1570" s="1597">
        <v>331121.06</v>
      </c>
      <c r="S1570" s="1592"/>
    </row>
    <row r="1571" spans="2:19" s="1593" customFormat="1" ht="11.25" customHeight="1" outlineLevel="1">
      <c r="B1571" s="1594">
        <v>10418</v>
      </c>
      <c r="C1571" s="1595" t="s">
        <v>5403</v>
      </c>
      <c r="D1571" s="1595" t="s">
        <v>12917</v>
      </c>
      <c r="E1571" s="1595"/>
      <c r="F1571" s="1595"/>
      <c r="G1571" s="1595"/>
      <c r="H1571" s="1596">
        <v>2</v>
      </c>
      <c r="I1571" s="1595"/>
      <c r="J1571" s="1595"/>
      <c r="K1571" s="1597">
        <v>1373</v>
      </c>
      <c r="L1571" s="1597">
        <v>1373</v>
      </c>
      <c r="M1571" s="1597">
        <v>-1373</v>
      </c>
      <c r="N1571" s="1598"/>
      <c r="O1571" s="1598"/>
      <c r="P1571" s="1597">
        <v>1373</v>
      </c>
      <c r="Q1571" s="1597">
        <v>-1373</v>
      </c>
      <c r="R1571" s="1598"/>
      <c r="S1571" s="1592"/>
    </row>
    <row r="1572" spans="2:19" s="1593" customFormat="1" ht="11.25" customHeight="1" outlineLevel="1">
      <c r="B1572" s="1594">
        <v>10424</v>
      </c>
      <c r="C1572" s="1595" t="s">
        <v>5403</v>
      </c>
      <c r="D1572" s="1595" t="s">
        <v>12916</v>
      </c>
      <c r="E1572" s="1595"/>
      <c r="F1572" s="1595"/>
      <c r="G1572" s="1595"/>
      <c r="H1572" s="1596">
        <v>2</v>
      </c>
      <c r="I1572" s="1595"/>
      <c r="J1572" s="1595"/>
      <c r="K1572" s="1599">
        <v>133</v>
      </c>
      <c r="L1572" s="1599">
        <v>133</v>
      </c>
      <c r="M1572" s="1599">
        <v>-133</v>
      </c>
      <c r="N1572" s="1598"/>
      <c r="O1572" s="1598"/>
      <c r="P1572" s="1599">
        <v>133</v>
      </c>
      <c r="Q1572" s="1599">
        <v>-133</v>
      </c>
      <c r="R1572" s="1598"/>
      <c r="S1572" s="1592"/>
    </row>
    <row r="1573" spans="2:19" s="1593" customFormat="1" ht="11.25" customHeight="1" outlineLevel="1">
      <c r="B1573" s="1594">
        <v>10434</v>
      </c>
      <c r="C1573" s="1595" t="s">
        <v>5403</v>
      </c>
      <c r="D1573" s="1595" t="s">
        <v>12915</v>
      </c>
      <c r="E1573" s="1595"/>
      <c r="F1573" s="1595"/>
      <c r="G1573" s="1595"/>
      <c r="H1573" s="1596">
        <v>2</v>
      </c>
      <c r="I1573" s="1595"/>
      <c r="J1573" s="1595"/>
      <c r="K1573" s="1597">
        <v>2347</v>
      </c>
      <c r="L1573" s="1597">
        <v>2347</v>
      </c>
      <c r="M1573" s="1597">
        <v>-2347</v>
      </c>
      <c r="N1573" s="1598"/>
      <c r="O1573" s="1598"/>
      <c r="P1573" s="1597">
        <v>2347</v>
      </c>
      <c r="Q1573" s="1597">
        <v>-2347</v>
      </c>
      <c r="R1573" s="1598"/>
      <c r="S1573" s="1592"/>
    </row>
    <row r="1574" spans="2:19" s="1593" customFormat="1" ht="11.25" customHeight="1" outlineLevel="1">
      <c r="B1574" s="1594">
        <v>10571</v>
      </c>
      <c r="C1574" s="1595" t="s">
        <v>5403</v>
      </c>
      <c r="D1574" s="1595" t="s">
        <v>12914</v>
      </c>
      <c r="E1574" s="1595"/>
      <c r="F1574" s="1595"/>
      <c r="G1574" s="1595"/>
      <c r="H1574" s="1596">
        <v>1</v>
      </c>
      <c r="I1574" s="1595"/>
      <c r="J1574" s="1595"/>
      <c r="K1574" s="1599">
        <v>733</v>
      </c>
      <c r="L1574" s="1599">
        <v>733</v>
      </c>
      <c r="M1574" s="1599">
        <v>-733</v>
      </c>
      <c r="N1574" s="1598"/>
      <c r="O1574" s="1598"/>
      <c r="P1574" s="1599">
        <v>733</v>
      </c>
      <c r="Q1574" s="1599">
        <v>-733</v>
      </c>
      <c r="R1574" s="1598"/>
      <c r="S1574" s="1592"/>
    </row>
    <row r="1575" spans="2:19" s="1593" customFormat="1" ht="11.25" customHeight="1" outlineLevel="1">
      <c r="B1575" s="1594">
        <v>10948</v>
      </c>
      <c r="C1575" s="1595" t="s">
        <v>5403</v>
      </c>
      <c r="D1575" s="1595" t="s">
        <v>12913</v>
      </c>
      <c r="E1575" s="1595"/>
      <c r="F1575" s="1595"/>
      <c r="G1575" s="1595"/>
      <c r="H1575" s="1596">
        <v>2</v>
      </c>
      <c r="I1575" s="1595"/>
      <c r="J1575" s="1595"/>
      <c r="K1575" s="1597">
        <v>1109459</v>
      </c>
      <c r="L1575" s="1597">
        <v>1109459</v>
      </c>
      <c r="M1575" s="1598"/>
      <c r="N1575" s="1597">
        <v>1109459</v>
      </c>
      <c r="O1575" s="1597">
        <v>456726.7</v>
      </c>
      <c r="P1575" s="1597">
        <v>630543.1</v>
      </c>
      <c r="Q1575" s="1597">
        <v>22189.200000000001</v>
      </c>
      <c r="R1575" s="1597">
        <v>652732.30000000005</v>
      </c>
      <c r="S1575" s="1592"/>
    </row>
    <row r="1576" spans="2:19" s="1593" customFormat="1" ht="11.25" customHeight="1" outlineLevel="1">
      <c r="B1576" s="1594">
        <v>11100</v>
      </c>
      <c r="C1576" s="1595" t="s">
        <v>5403</v>
      </c>
      <c r="D1576" s="1595" t="s">
        <v>12912</v>
      </c>
      <c r="E1576" s="1595"/>
      <c r="F1576" s="1595"/>
      <c r="G1576" s="1595"/>
      <c r="H1576" s="1596">
        <v>2</v>
      </c>
      <c r="I1576" s="1595"/>
      <c r="J1576" s="1595"/>
      <c r="K1576" s="1599">
        <v>682</v>
      </c>
      <c r="L1576" s="1599">
        <v>682</v>
      </c>
      <c r="M1576" s="1599">
        <v>-682</v>
      </c>
      <c r="N1576" s="1598"/>
      <c r="O1576" s="1598"/>
      <c r="P1576" s="1599">
        <v>682</v>
      </c>
      <c r="Q1576" s="1599">
        <v>-682</v>
      </c>
      <c r="R1576" s="1598"/>
      <c r="S1576" s="1592"/>
    </row>
    <row r="1577" spans="2:19" s="1593" customFormat="1" ht="11.25" customHeight="1" outlineLevel="1">
      <c r="B1577" s="1594">
        <v>11101</v>
      </c>
      <c r="C1577" s="1595" t="s">
        <v>5403</v>
      </c>
      <c r="D1577" s="1595" t="s">
        <v>12911</v>
      </c>
      <c r="E1577" s="1595"/>
      <c r="F1577" s="1595"/>
      <c r="G1577" s="1595"/>
      <c r="H1577" s="1596">
        <v>2</v>
      </c>
      <c r="I1577" s="1595"/>
      <c r="J1577" s="1595"/>
      <c r="K1577" s="1599">
        <v>529</v>
      </c>
      <c r="L1577" s="1599">
        <v>529</v>
      </c>
      <c r="M1577" s="1599">
        <v>-529</v>
      </c>
      <c r="N1577" s="1598"/>
      <c r="O1577" s="1598"/>
      <c r="P1577" s="1599">
        <v>529</v>
      </c>
      <c r="Q1577" s="1599">
        <v>-529</v>
      </c>
      <c r="R1577" s="1598"/>
      <c r="S1577" s="1592"/>
    </row>
    <row r="1578" spans="2:19" s="1593" customFormat="1" ht="11.25" customHeight="1" outlineLevel="1">
      <c r="B1578" s="1594">
        <v>11103</v>
      </c>
      <c r="C1578" s="1595" t="s">
        <v>5403</v>
      </c>
      <c r="D1578" s="1595" t="s">
        <v>12910</v>
      </c>
      <c r="E1578" s="1595"/>
      <c r="F1578" s="1595"/>
      <c r="G1578" s="1595"/>
      <c r="H1578" s="1596">
        <v>2</v>
      </c>
      <c r="I1578" s="1595"/>
      <c r="J1578" s="1595"/>
      <c r="K1578" s="1597">
        <v>1465</v>
      </c>
      <c r="L1578" s="1597">
        <v>1465.34</v>
      </c>
      <c r="M1578" s="1597">
        <v>-1465.34</v>
      </c>
      <c r="N1578" s="1598"/>
      <c r="O1578" s="1598"/>
      <c r="P1578" s="1597">
        <v>1465.34</v>
      </c>
      <c r="Q1578" s="1597">
        <v>-1465.34</v>
      </c>
      <c r="R1578" s="1598"/>
      <c r="S1578" s="1592"/>
    </row>
    <row r="1579" spans="2:19" s="1593" customFormat="1" ht="11.25" customHeight="1" outlineLevel="1">
      <c r="B1579" s="1594">
        <v>11105</v>
      </c>
      <c r="C1579" s="1595" t="s">
        <v>5403</v>
      </c>
      <c r="D1579" s="1595" t="s">
        <v>12909</v>
      </c>
      <c r="E1579" s="1595"/>
      <c r="F1579" s="1595"/>
      <c r="G1579" s="1595"/>
      <c r="H1579" s="1596">
        <v>2</v>
      </c>
      <c r="I1579" s="1595"/>
      <c r="J1579" s="1595"/>
      <c r="K1579" s="1599">
        <v>169</v>
      </c>
      <c r="L1579" s="1599">
        <v>169</v>
      </c>
      <c r="M1579" s="1599">
        <v>-169</v>
      </c>
      <c r="N1579" s="1598"/>
      <c r="O1579" s="1598"/>
      <c r="P1579" s="1599">
        <v>169</v>
      </c>
      <c r="Q1579" s="1599">
        <v>-169</v>
      </c>
      <c r="R1579" s="1598"/>
      <c r="S1579" s="1592"/>
    </row>
    <row r="1580" spans="2:19" s="1593" customFormat="1" ht="11.25" customHeight="1" outlineLevel="1">
      <c r="B1580" s="1594">
        <v>11106</v>
      </c>
      <c r="C1580" s="1595" t="s">
        <v>5403</v>
      </c>
      <c r="D1580" s="1595" t="s">
        <v>12908</v>
      </c>
      <c r="E1580" s="1595"/>
      <c r="F1580" s="1595"/>
      <c r="G1580" s="1595"/>
      <c r="H1580" s="1596">
        <v>2</v>
      </c>
      <c r="I1580" s="1595"/>
      <c r="J1580" s="1595"/>
      <c r="K1580" s="1599">
        <v>299</v>
      </c>
      <c r="L1580" s="1599">
        <v>299</v>
      </c>
      <c r="M1580" s="1599">
        <v>-299</v>
      </c>
      <c r="N1580" s="1598"/>
      <c r="O1580" s="1598"/>
      <c r="P1580" s="1599">
        <v>299</v>
      </c>
      <c r="Q1580" s="1599">
        <v>-299</v>
      </c>
      <c r="R1580" s="1598"/>
      <c r="S1580" s="1592"/>
    </row>
    <row r="1581" spans="2:19" s="1725" customFormat="1" ht="21.75" customHeight="1" outlineLevel="1">
      <c r="B1581" s="1718">
        <v>11120</v>
      </c>
      <c r="C1581" s="1719" t="s">
        <v>5403</v>
      </c>
      <c r="D1581" s="1719" t="s">
        <v>12907</v>
      </c>
      <c r="E1581" s="1719"/>
      <c r="F1581" s="1719"/>
      <c r="G1581" s="1719" t="s">
        <v>12906</v>
      </c>
      <c r="H1581" s="1720">
        <v>2</v>
      </c>
      <c r="I1581" s="1719"/>
      <c r="J1581" s="1719"/>
      <c r="K1581" s="1722">
        <v>365988</v>
      </c>
      <c r="L1581" s="1722">
        <v>365988</v>
      </c>
      <c r="M1581" s="1723"/>
      <c r="N1581" s="1722">
        <v>365988</v>
      </c>
      <c r="O1581" s="1722">
        <v>43808.55</v>
      </c>
      <c r="P1581" s="1722">
        <v>311227.28999999998</v>
      </c>
      <c r="Q1581" s="1722">
        <v>10952.16</v>
      </c>
      <c r="R1581" s="1722">
        <v>322179.45</v>
      </c>
      <c r="S1581" s="1724"/>
    </row>
    <row r="1582" spans="2:19" s="1593" customFormat="1" ht="11.25" customHeight="1" outlineLevel="1">
      <c r="B1582" s="1594">
        <v>11124</v>
      </c>
      <c r="C1582" s="1595" t="s">
        <v>5403</v>
      </c>
      <c r="D1582" s="1595" t="s">
        <v>12905</v>
      </c>
      <c r="E1582" s="1595"/>
      <c r="F1582" s="1595"/>
      <c r="G1582" s="1595"/>
      <c r="H1582" s="1596">
        <v>2</v>
      </c>
      <c r="I1582" s="1595"/>
      <c r="J1582" s="1595"/>
      <c r="K1582" s="1599">
        <v>299</v>
      </c>
      <c r="L1582" s="1599">
        <v>299</v>
      </c>
      <c r="M1582" s="1599">
        <v>-299</v>
      </c>
      <c r="N1582" s="1598"/>
      <c r="O1582" s="1598"/>
      <c r="P1582" s="1599">
        <v>299</v>
      </c>
      <c r="Q1582" s="1599">
        <v>-299</v>
      </c>
      <c r="R1582" s="1598"/>
      <c r="S1582" s="1592"/>
    </row>
    <row r="1583" spans="2:19" s="1593" customFormat="1" ht="11.25" customHeight="1" outlineLevel="1">
      <c r="B1583" s="1594">
        <v>11134</v>
      </c>
      <c r="C1583" s="1595" t="s">
        <v>5403</v>
      </c>
      <c r="D1583" s="1595" t="s">
        <v>12904</v>
      </c>
      <c r="E1583" s="1595"/>
      <c r="F1583" s="1595"/>
      <c r="G1583" s="1595" t="s">
        <v>12903</v>
      </c>
      <c r="H1583" s="1596">
        <v>2</v>
      </c>
      <c r="I1583" s="1595"/>
      <c r="J1583" s="1595"/>
      <c r="K1583" s="1597">
        <v>214201</v>
      </c>
      <c r="L1583" s="1597">
        <v>214201</v>
      </c>
      <c r="M1583" s="1598"/>
      <c r="N1583" s="1597">
        <v>214201</v>
      </c>
      <c r="O1583" s="1597">
        <v>88180</v>
      </c>
      <c r="P1583" s="1597">
        <v>121737</v>
      </c>
      <c r="Q1583" s="1597">
        <v>4284</v>
      </c>
      <c r="R1583" s="1597">
        <v>126021</v>
      </c>
      <c r="S1583" s="1592"/>
    </row>
    <row r="1584" spans="2:19" s="1734" customFormat="1" ht="11.25" customHeight="1" outlineLevel="1">
      <c r="B1584" s="1728">
        <v>25995</v>
      </c>
      <c r="C1584" s="1729" t="s">
        <v>5403</v>
      </c>
      <c r="D1584" s="1729" t="s">
        <v>12902</v>
      </c>
      <c r="E1584" s="1729"/>
      <c r="F1584" s="1729"/>
      <c r="G1584" s="1729" t="s">
        <v>3734</v>
      </c>
      <c r="H1584" s="1730">
        <v>2</v>
      </c>
      <c r="I1584" s="1729"/>
      <c r="J1584" s="1729"/>
      <c r="K1584" s="1731">
        <v>474127</v>
      </c>
      <c r="L1584" s="1731">
        <v>474127</v>
      </c>
      <c r="M1584" s="1732"/>
      <c r="N1584" s="1731">
        <v>474127</v>
      </c>
      <c r="O1584" s="1731">
        <v>195182.87</v>
      </c>
      <c r="P1584" s="1731">
        <v>269461.61</v>
      </c>
      <c r="Q1584" s="1731">
        <v>9482.52</v>
      </c>
      <c r="R1584" s="1731">
        <v>278944.13</v>
      </c>
      <c r="S1584" s="1733"/>
    </row>
    <row r="1585" spans="2:19" s="1593" customFormat="1" ht="11.25" customHeight="1" outlineLevel="1">
      <c r="B1585" s="1594">
        <v>33592</v>
      </c>
      <c r="C1585" s="1595" t="s">
        <v>5403</v>
      </c>
      <c r="D1585" s="1595" t="s">
        <v>12901</v>
      </c>
      <c r="E1585" s="1595"/>
      <c r="F1585" s="1595"/>
      <c r="G1585" s="1595"/>
      <c r="H1585" s="1596">
        <v>2</v>
      </c>
      <c r="I1585" s="1595"/>
      <c r="J1585" s="1595"/>
      <c r="K1585" s="1597">
        <v>2078</v>
      </c>
      <c r="L1585" s="1597">
        <v>2078.25</v>
      </c>
      <c r="M1585" s="1597">
        <v>-2078.25</v>
      </c>
      <c r="N1585" s="1598"/>
      <c r="O1585" s="1598"/>
      <c r="P1585" s="1597">
        <v>2078.25</v>
      </c>
      <c r="Q1585" s="1597">
        <v>-2078.25</v>
      </c>
      <c r="R1585" s="1598"/>
      <c r="S1585" s="1592"/>
    </row>
    <row r="1586" spans="2:19" s="1593" customFormat="1" ht="11.25" customHeight="1" outlineLevel="1">
      <c r="B1586" s="1594">
        <v>34570</v>
      </c>
      <c r="C1586" s="1595" t="s">
        <v>5403</v>
      </c>
      <c r="D1586" s="1595" t="s">
        <v>12900</v>
      </c>
      <c r="E1586" s="1595"/>
      <c r="F1586" s="1595"/>
      <c r="G1586" s="1595"/>
      <c r="H1586" s="1596">
        <v>2</v>
      </c>
      <c r="I1586" s="1595"/>
      <c r="J1586" s="1595"/>
      <c r="K1586" s="1599">
        <v>38</v>
      </c>
      <c r="L1586" s="1599">
        <v>38.5</v>
      </c>
      <c r="M1586" s="1599">
        <v>-38.5</v>
      </c>
      <c r="N1586" s="1598"/>
      <c r="O1586" s="1598"/>
      <c r="P1586" s="1599">
        <v>38.5</v>
      </c>
      <c r="Q1586" s="1599">
        <v>-38.5</v>
      </c>
      <c r="R1586" s="1598"/>
      <c r="S1586" s="1592"/>
    </row>
    <row r="1587" spans="2:19" s="1593" customFormat="1" ht="11.25" customHeight="1" outlineLevel="1">
      <c r="B1587" s="1594">
        <v>35172</v>
      </c>
      <c r="C1587" s="1595" t="s">
        <v>5403</v>
      </c>
      <c r="D1587" s="1595" t="s">
        <v>12899</v>
      </c>
      <c r="E1587" s="1595"/>
      <c r="F1587" s="1595"/>
      <c r="G1587" s="1595"/>
      <c r="H1587" s="1596">
        <v>2</v>
      </c>
      <c r="I1587" s="1595"/>
      <c r="J1587" s="1595"/>
      <c r="K1587" s="1597">
        <v>6342</v>
      </c>
      <c r="L1587" s="1597">
        <v>6341.5</v>
      </c>
      <c r="M1587" s="1597">
        <v>-6341.5</v>
      </c>
      <c r="N1587" s="1598"/>
      <c r="O1587" s="1598"/>
      <c r="P1587" s="1597">
        <v>6341.5</v>
      </c>
      <c r="Q1587" s="1597">
        <v>-6341.5</v>
      </c>
      <c r="R1587" s="1598"/>
      <c r="S1587" s="1592"/>
    </row>
    <row r="1588" spans="2:19" s="1593" customFormat="1" ht="11.25" customHeight="1" outlineLevel="1">
      <c r="B1588" s="1594">
        <v>35215</v>
      </c>
      <c r="C1588" s="1595" t="s">
        <v>5403</v>
      </c>
      <c r="D1588" s="1595" t="s">
        <v>12898</v>
      </c>
      <c r="E1588" s="1595"/>
      <c r="F1588" s="1595"/>
      <c r="G1588" s="1595"/>
      <c r="H1588" s="1596">
        <v>2</v>
      </c>
      <c r="I1588" s="1595"/>
      <c r="J1588" s="1595"/>
      <c r="K1588" s="1597">
        <v>1465</v>
      </c>
      <c r="L1588" s="1597">
        <v>1465.33</v>
      </c>
      <c r="M1588" s="1597">
        <v>-1465.33</v>
      </c>
      <c r="N1588" s="1598"/>
      <c r="O1588" s="1598"/>
      <c r="P1588" s="1597">
        <v>1465.33</v>
      </c>
      <c r="Q1588" s="1597">
        <v>-1465.33</v>
      </c>
      <c r="R1588" s="1598"/>
      <c r="S1588" s="1592"/>
    </row>
    <row r="1589" spans="2:19" s="1593" customFormat="1" ht="11.25" customHeight="1" outlineLevel="1">
      <c r="B1589" s="1594">
        <v>35216</v>
      </c>
      <c r="C1589" s="1595" t="s">
        <v>5403</v>
      </c>
      <c r="D1589" s="1595" t="s">
        <v>12897</v>
      </c>
      <c r="E1589" s="1595"/>
      <c r="F1589" s="1595"/>
      <c r="G1589" s="1595"/>
      <c r="H1589" s="1596">
        <v>2</v>
      </c>
      <c r="I1589" s="1595"/>
      <c r="J1589" s="1595"/>
      <c r="K1589" s="1597">
        <v>1465</v>
      </c>
      <c r="L1589" s="1597">
        <v>1465.33</v>
      </c>
      <c r="M1589" s="1597">
        <v>-1465.33</v>
      </c>
      <c r="N1589" s="1598"/>
      <c r="O1589" s="1598"/>
      <c r="P1589" s="1597">
        <v>1465.33</v>
      </c>
      <c r="Q1589" s="1597">
        <v>-1465.33</v>
      </c>
      <c r="R1589" s="1598"/>
      <c r="S1589" s="1592"/>
    </row>
    <row r="1590" spans="2:19" s="1593" customFormat="1" ht="11.25" customHeight="1" outlineLevel="1">
      <c r="B1590" s="1594">
        <v>35479</v>
      </c>
      <c r="C1590" s="1595" t="s">
        <v>5403</v>
      </c>
      <c r="D1590" s="1595" t="s">
        <v>12896</v>
      </c>
      <c r="E1590" s="1595"/>
      <c r="F1590" s="1595"/>
      <c r="G1590" s="1595"/>
      <c r="H1590" s="1596">
        <v>2</v>
      </c>
      <c r="I1590" s="1595"/>
      <c r="J1590" s="1595"/>
      <c r="K1590" s="1599">
        <v>682</v>
      </c>
      <c r="L1590" s="1599">
        <v>682</v>
      </c>
      <c r="M1590" s="1599">
        <v>-682</v>
      </c>
      <c r="N1590" s="1598"/>
      <c r="O1590" s="1598"/>
      <c r="P1590" s="1599">
        <v>682</v>
      </c>
      <c r="Q1590" s="1599">
        <v>-682</v>
      </c>
      <c r="R1590" s="1598"/>
      <c r="S1590" s="1592"/>
    </row>
    <row r="1591" spans="2:19" s="1593" customFormat="1" ht="11.25" customHeight="1" outlineLevel="1">
      <c r="B1591" s="1594">
        <v>24030</v>
      </c>
      <c r="C1591" s="1595" t="s">
        <v>5172</v>
      </c>
      <c r="D1591" s="1595" t="s">
        <v>12895</v>
      </c>
      <c r="E1591" s="1595"/>
      <c r="F1591" s="1595"/>
      <c r="G1591" s="1595" t="s">
        <v>3734</v>
      </c>
      <c r="H1591" s="1596">
        <v>2</v>
      </c>
      <c r="I1591" s="1595"/>
      <c r="J1591" s="1595"/>
      <c r="K1591" s="1597">
        <v>217160</v>
      </c>
      <c r="L1591" s="1597">
        <v>217160</v>
      </c>
      <c r="M1591" s="1598"/>
      <c r="N1591" s="1597">
        <v>217160</v>
      </c>
      <c r="O1591" s="1597">
        <v>99894.56</v>
      </c>
      <c r="P1591" s="1597">
        <v>112922.16</v>
      </c>
      <c r="Q1591" s="1597">
        <v>4343.28</v>
      </c>
      <c r="R1591" s="1597">
        <v>117265.44</v>
      </c>
      <c r="S1591" s="1592"/>
    </row>
    <row r="1592" spans="2:19" s="1593" customFormat="1" ht="11.25" customHeight="1" outlineLevel="1">
      <c r="B1592" s="1594">
        <v>24036</v>
      </c>
      <c r="C1592" s="1595" t="s">
        <v>5172</v>
      </c>
      <c r="D1592" s="1595" t="s">
        <v>12894</v>
      </c>
      <c r="E1592" s="1595"/>
      <c r="F1592" s="1595"/>
      <c r="G1592" s="1595" t="s">
        <v>3734</v>
      </c>
      <c r="H1592" s="1596">
        <v>2</v>
      </c>
      <c r="I1592" s="1595"/>
      <c r="J1592" s="1595"/>
      <c r="K1592" s="1597">
        <v>51130</v>
      </c>
      <c r="L1592" s="1597">
        <v>51130</v>
      </c>
      <c r="M1592" s="1598"/>
      <c r="N1592" s="1597">
        <v>51130</v>
      </c>
      <c r="O1592" s="1597">
        <v>6952.84</v>
      </c>
      <c r="P1592" s="1597">
        <v>42541.2</v>
      </c>
      <c r="Q1592" s="1597">
        <v>1635.96</v>
      </c>
      <c r="R1592" s="1597">
        <v>44177.16</v>
      </c>
      <c r="S1592" s="1592"/>
    </row>
    <row r="1593" spans="2:19" s="1593" customFormat="1" ht="11.25" customHeight="1" outlineLevel="1">
      <c r="B1593" s="1594">
        <v>24039</v>
      </c>
      <c r="C1593" s="1595" t="s">
        <v>5172</v>
      </c>
      <c r="D1593" s="1595" t="s">
        <v>12893</v>
      </c>
      <c r="E1593" s="1595"/>
      <c r="F1593" s="1595"/>
      <c r="G1593" s="1595" t="s">
        <v>3734</v>
      </c>
      <c r="H1593" s="1596">
        <v>2</v>
      </c>
      <c r="I1593" s="1595"/>
      <c r="J1593" s="1595"/>
      <c r="K1593" s="1597">
        <v>47734</v>
      </c>
      <c r="L1593" s="1597">
        <v>47734</v>
      </c>
      <c r="M1593" s="1598"/>
      <c r="N1593" s="1597">
        <v>47734</v>
      </c>
      <c r="O1593" s="1597">
        <v>6492.04</v>
      </c>
      <c r="P1593" s="1597">
        <v>39714.480000000003</v>
      </c>
      <c r="Q1593" s="1597">
        <v>1527.48</v>
      </c>
      <c r="R1593" s="1597">
        <v>41241.96</v>
      </c>
      <c r="S1593" s="1592"/>
    </row>
    <row r="1594" spans="2:19" s="1593" customFormat="1" ht="11.25" customHeight="1" outlineLevel="1">
      <c r="B1594" s="1594">
        <v>24076</v>
      </c>
      <c r="C1594" s="1595" t="s">
        <v>5153</v>
      </c>
      <c r="D1594" s="1595" t="s">
        <v>12892</v>
      </c>
      <c r="E1594" s="1595"/>
      <c r="F1594" s="1595"/>
      <c r="G1594" s="1595" t="s">
        <v>12891</v>
      </c>
      <c r="H1594" s="1596">
        <v>2</v>
      </c>
      <c r="I1594" s="1595"/>
      <c r="J1594" s="1595"/>
      <c r="K1594" s="1597">
        <v>73064</v>
      </c>
      <c r="L1594" s="1597">
        <v>73064</v>
      </c>
      <c r="M1594" s="1598"/>
      <c r="N1594" s="1597">
        <v>73064</v>
      </c>
      <c r="O1594" s="1597">
        <v>33732.17</v>
      </c>
      <c r="P1594" s="1597">
        <v>37870.47</v>
      </c>
      <c r="Q1594" s="1597">
        <v>1461.36</v>
      </c>
      <c r="R1594" s="1597">
        <v>39331.83</v>
      </c>
      <c r="S1594" s="1592"/>
    </row>
    <row r="1595" spans="2:19" s="1593" customFormat="1" ht="11.25" customHeight="1" outlineLevel="1">
      <c r="B1595" s="1594">
        <v>25992</v>
      </c>
      <c r="C1595" s="1595" t="s">
        <v>5153</v>
      </c>
      <c r="D1595" s="1595" t="s">
        <v>12890</v>
      </c>
      <c r="E1595" s="1595"/>
      <c r="F1595" s="1595"/>
      <c r="G1595" s="1595" t="s">
        <v>12889</v>
      </c>
      <c r="H1595" s="1596">
        <v>2</v>
      </c>
      <c r="I1595" s="1595"/>
      <c r="J1595" s="1595"/>
      <c r="K1595" s="1597">
        <v>7357</v>
      </c>
      <c r="L1595" s="1597">
        <v>7357</v>
      </c>
      <c r="M1595" s="1598"/>
      <c r="N1595" s="1597">
        <v>7357</v>
      </c>
      <c r="O1595" s="1597">
        <v>3397.02</v>
      </c>
      <c r="P1595" s="1597">
        <v>3812.86</v>
      </c>
      <c r="Q1595" s="1599">
        <v>147.12</v>
      </c>
      <c r="R1595" s="1597">
        <v>3959.98</v>
      </c>
      <c r="S1595" s="1592"/>
    </row>
    <row r="1596" spans="2:19" s="1593" customFormat="1" ht="11.25" customHeight="1" outlineLevel="1">
      <c r="B1596" s="1594">
        <v>24240</v>
      </c>
      <c r="C1596" s="1595" t="s">
        <v>5115</v>
      </c>
      <c r="D1596" s="1595" t="s">
        <v>12888</v>
      </c>
      <c r="E1596" s="1595"/>
      <c r="F1596" s="1595"/>
      <c r="G1596" s="1595" t="s">
        <v>12887</v>
      </c>
      <c r="H1596" s="1596">
        <v>2</v>
      </c>
      <c r="I1596" s="1595"/>
      <c r="J1596" s="1595"/>
      <c r="K1596" s="1597">
        <v>733093</v>
      </c>
      <c r="L1596" s="1597">
        <v>733093</v>
      </c>
      <c r="M1596" s="1598"/>
      <c r="N1596" s="1597">
        <v>733093</v>
      </c>
      <c r="O1596" s="1597">
        <v>344554.23999999999</v>
      </c>
      <c r="P1596" s="1597">
        <v>373876.92</v>
      </c>
      <c r="Q1596" s="1597">
        <v>14661.84</v>
      </c>
      <c r="R1596" s="1597">
        <v>388538.76</v>
      </c>
      <c r="S1596" s="1592"/>
    </row>
    <row r="1597" spans="2:19" s="1593" customFormat="1" ht="11.25" customHeight="1" outlineLevel="1">
      <c r="B1597" s="1594">
        <v>24299</v>
      </c>
      <c r="C1597" s="1595" t="s">
        <v>5105</v>
      </c>
      <c r="D1597" s="1595" t="s">
        <v>12886</v>
      </c>
      <c r="E1597" s="1595"/>
      <c r="F1597" s="1595"/>
      <c r="G1597" s="1595"/>
      <c r="H1597" s="1596">
        <v>2</v>
      </c>
      <c r="I1597" s="1595"/>
      <c r="J1597" s="1595"/>
      <c r="K1597" s="1597">
        <v>7808</v>
      </c>
      <c r="L1597" s="1597">
        <v>7808</v>
      </c>
      <c r="M1597" s="1597">
        <v>-7808</v>
      </c>
      <c r="N1597" s="1598"/>
      <c r="O1597" s="1598"/>
      <c r="P1597" s="1597">
        <v>7808</v>
      </c>
      <c r="Q1597" s="1597">
        <v>-7808</v>
      </c>
      <c r="R1597" s="1598"/>
      <c r="S1597" s="1592"/>
    </row>
    <row r="1598" spans="2:19" s="1593" customFormat="1" ht="11.25" customHeight="1" outlineLevel="1">
      <c r="B1598" s="1594">
        <v>24302</v>
      </c>
      <c r="C1598" s="1595" t="s">
        <v>5105</v>
      </c>
      <c r="D1598" s="1595" t="s">
        <v>12885</v>
      </c>
      <c r="E1598" s="1595"/>
      <c r="F1598" s="1595"/>
      <c r="G1598" s="1595"/>
      <c r="H1598" s="1596">
        <v>2</v>
      </c>
      <c r="I1598" s="1595"/>
      <c r="J1598" s="1595"/>
      <c r="K1598" s="1597">
        <v>4212</v>
      </c>
      <c r="L1598" s="1597">
        <v>4212</v>
      </c>
      <c r="M1598" s="1597">
        <v>-4212</v>
      </c>
      <c r="N1598" s="1598"/>
      <c r="O1598" s="1598"/>
      <c r="P1598" s="1597">
        <v>4212</v>
      </c>
      <c r="Q1598" s="1597">
        <v>-4212</v>
      </c>
      <c r="R1598" s="1598"/>
      <c r="S1598" s="1592"/>
    </row>
    <row r="1599" spans="2:19" s="1593" customFormat="1" ht="11.25" customHeight="1" outlineLevel="1">
      <c r="B1599" s="1594">
        <v>24564</v>
      </c>
      <c r="C1599" s="1595" t="s">
        <v>12884</v>
      </c>
      <c r="D1599" s="1595" t="s">
        <v>12883</v>
      </c>
      <c r="E1599" s="1595"/>
      <c r="F1599" s="1595"/>
      <c r="G1599" s="1595"/>
      <c r="H1599" s="1596">
        <v>2</v>
      </c>
      <c r="I1599" s="1595"/>
      <c r="J1599" s="1595"/>
      <c r="K1599" s="1597">
        <v>51495</v>
      </c>
      <c r="L1599" s="1597">
        <v>51495</v>
      </c>
      <c r="M1599" s="1597">
        <v>-51495</v>
      </c>
      <c r="N1599" s="1598"/>
      <c r="O1599" s="1598"/>
      <c r="P1599" s="1597">
        <v>51495</v>
      </c>
      <c r="Q1599" s="1597">
        <v>-51495</v>
      </c>
      <c r="R1599" s="1598"/>
      <c r="S1599" s="1592"/>
    </row>
    <row r="1600" spans="2:19" s="1593" customFormat="1" ht="11.25" customHeight="1" outlineLevel="1">
      <c r="B1600" s="1594">
        <v>23327</v>
      </c>
      <c r="C1600" s="1595" t="s">
        <v>4952</v>
      </c>
      <c r="D1600" s="1595" t="s">
        <v>12882</v>
      </c>
      <c r="E1600" s="1595"/>
      <c r="F1600" s="1595"/>
      <c r="G1600" s="1595"/>
      <c r="H1600" s="1596">
        <v>1</v>
      </c>
      <c r="I1600" s="1595"/>
      <c r="J1600" s="1595"/>
      <c r="K1600" s="1597">
        <v>1962</v>
      </c>
      <c r="L1600" s="1597">
        <v>1962</v>
      </c>
      <c r="M1600" s="1597">
        <v>-1962</v>
      </c>
      <c r="N1600" s="1598"/>
      <c r="O1600" s="1598"/>
      <c r="P1600" s="1597">
        <v>1962</v>
      </c>
      <c r="Q1600" s="1597">
        <v>-1962</v>
      </c>
      <c r="R1600" s="1598"/>
      <c r="S1600" s="1592"/>
    </row>
    <row r="1601" spans="2:19" s="1593" customFormat="1" ht="11.25" customHeight="1" outlineLevel="1">
      <c r="B1601" s="1594">
        <v>23394</v>
      </c>
      <c r="C1601" s="1595" t="s">
        <v>4952</v>
      </c>
      <c r="D1601" s="1595" t="s">
        <v>12881</v>
      </c>
      <c r="E1601" s="1595"/>
      <c r="F1601" s="1595"/>
      <c r="G1601" s="1595"/>
      <c r="H1601" s="1596">
        <v>1</v>
      </c>
      <c r="I1601" s="1595"/>
      <c r="J1601" s="1595"/>
      <c r="K1601" s="1597">
        <v>2008</v>
      </c>
      <c r="L1601" s="1597">
        <v>2008</v>
      </c>
      <c r="M1601" s="1597">
        <v>-2008</v>
      </c>
      <c r="N1601" s="1598"/>
      <c r="O1601" s="1598"/>
      <c r="P1601" s="1597">
        <v>2008</v>
      </c>
      <c r="Q1601" s="1597">
        <v>-2008</v>
      </c>
      <c r="R1601" s="1598"/>
      <c r="S1601" s="1592"/>
    </row>
    <row r="1602" spans="2:19" s="1593" customFormat="1" ht="11.25" customHeight="1" outlineLevel="1">
      <c r="B1602" s="1594">
        <v>24814</v>
      </c>
      <c r="C1602" s="1595" t="s">
        <v>4952</v>
      </c>
      <c r="D1602" s="1595" t="s">
        <v>12880</v>
      </c>
      <c r="E1602" s="1595"/>
      <c r="F1602" s="1595"/>
      <c r="G1602" s="1595"/>
      <c r="H1602" s="1596">
        <v>2</v>
      </c>
      <c r="I1602" s="1595"/>
      <c r="J1602" s="1595"/>
      <c r="K1602" s="1597">
        <v>95552</v>
      </c>
      <c r="L1602" s="1597">
        <v>95552</v>
      </c>
      <c r="M1602" s="1597">
        <v>-95552</v>
      </c>
      <c r="N1602" s="1598"/>
      <c r="O1602" s="1598"/>
      <c r="P1602" s="1597">
        <v>95552</v>
      </c>
      <c r="Q1602" s="1597">
        <v>-95552</v>
      </c>
      <c r="R1602" s="1598"/>
      <c r="S1602" s="1592"/>
    </row>
    <row r="1603" spans="2:19" s="1593" customFormat="1" ht="11.25" customHeight="1" outlineLevel="1">
      <c r="B1603" s="1594">
        <v>24816</v>
      </c>
      <c r="C1603" s="1595" t="s">
        <v>4952</v>
      </c>
      <c r="D1603" s="1595" t="s">
        <v>12879</v>
      </c>
      <c r="E1603" s="1595"/>
      <c r="F1603" s="1595"/>
      <c r="G1603" s="1595"/>
      <c r="H1603" s="1596">
        <v>2</v>
      </c>
      <c r="I1603" s="1595"/>
      <c r="J1603" s="1595"/>
      <c r="K1603" s="1597">
        <v>127362</v>
      </c>
      <c r="L1603" s="1597">
        <v>127362</v>
      </c>
      <c r="M1603" s="1598"/>
      <c r="N1603" s="1597">
        <v>127362</v>
      </c>
      <c r="O1603" s="1597">
        <v>4837.1400000000003</v>
      </c>
      <c r="P1603" s="1597">
        <v>117687.67999999999</v>
      </c>
      <c r="Q1603" s="1597">
        <v>4837.18</v>
      </c>
      <c r="R1603" s="1597">
        <v>122524.86</v>
      </c>
      <c r="S1603" s="1592"/>
    </row>
    <row r="1604" spans="2:19" s="1593" customFormat="1" ht="11.25" customHeight="1" outlineLevel="1">
      <c r="B1604" s="1594">
        <v>24824</v>
      </c>
      <c r="C1604" s="1595" t="s">
        <v>4952</v>
      </c>
      <c r="D1604" s="1595" t="s">
        <v>12878</v>
      </c>
      <c r="E1604" s="1595"/>
      <c r="F1604" s="1595"/>
      <c r="G1604" s="1595"/>
      <c r="H1604" s="1596">
        <v>2</v>
      </c>
      <c r="I1604" s="1595"/>
      <c r="J1604" s="1595"/>
      <c r="K1604" s="1597">
        <v>13246</v>
      </c>
      <c r="L1604" s="1597">
        <v>13246</v>
      </c>
      <c r="M1604" s="1597">
        <v>-13246</v>
      </c>
      <c r="N1604" s="1598"/>
      <c r="O1604" s="1598"/>
      <c r="P1604" s="1597">
        <v>13246</v>
      </c>
      <c r="Q1604" s="1597">
        <v>-13246</v>
      </c>
      <c r="R1604" s="1598"/>
      <c r="S1604" s="1592"/>
    </row>
    <row r="1605" spans="2:19" s="1593" customFormat="1" ht="11.25" customHeight="1" outlineLevel="1">
      <c r="B1605" s="1594">
        <v>24826</v>
      </c>
      <c r="C1605" s="1595" t="s">
        <v>4952</v>
      </c>
      <c r="D1605" s="1595" t="s">
        <v>12877</v>
      </c>
      <c r="E1605" s="1595"/>
      <c r="F1605" s="1595"/>
      <c r="G1605" s="1595"/>
      <c r="H1605" s="1596">
        <v>2</v>
      </c>
      <c r="I1605" s="1595"/>
      <c r="J1605" s="1595"/>
      <c r="K1605" s="1597">
        <v>17525</v>
      </c>
      <c r="L1605" s="1597">
        <v>17525</v>
      </c>
      <c r="M1605" s="1597">
        <v>-17525</v>
      </c>
      <c r="N1605" s="1598"/>
      <c r="O1605" s="1598"/>
      <c r="P1605" s="1597">
        <v>17525</v>
      </c>
      <c r="Q1605" s="1597">
        <v>-17525</v>
      </c>
      <c r="R1605" s="1598"/>
      <c r="S1605" s="1592"/>
    </row>
    <row r="1606" spans="2:19" s="1593" customFormat="1" ht="11.25" customHeight="1" outlineLevel="1">
      <c r="B1606" s="1594">
        <v>24827</v>
      </c>
      <c r="C1606" s="1595" t="s">
        <v>4952</v>
      </c>
      <c r="D1606" s="1595" t="s">
        <v>12876</v>
      </c>
      <c r="E1606" s="1595"/>
      <c r="F1606" s="1595"/>
      <c r="G1606" s="1595"/>
      <c r="H1606" s="1596">
        <v>2</v>
      </c>
      <c r="I1606" s="1595"/>
      <c r="J1606" s="1595"/>
      <c r="K1606" s="1597">
        <v>17678</v>
      </c>
      <c r="L1606" s="1597">
        <v>17678</v>
      </c>
      <c r="M1606" s="1597">
        <v>-17678</v>
      </c>
      <c r="N1606" s="1598"/>
      <c r="O1606" s="1598"/>
      <c r="P1606" s="1597">
        <v>17678</v>
      </c>
      <c r="Q1606" s="1597">
        <v>-17678</v>
      </c>
      <c r="R1606" s="1598"/>
      <c r="S1606" s="1592"/>
    </row>
    <row r="1607" spans="2:19" s="1593" customFormat="1" ht="11.25" customHeight="1" outlineLevel="1">
      <c r="B1607" s="1594">
        <v>24828</v>
      </c>
      <c r="C1607" s="1595" t="s">
        <v>4952</v>
      </c>
      <c r="D1607" s="1595" t="s">
        <v>12875</v>
      </c>
      <c r="E1607" s="1595"/>
      <c r="F1607" s="1595"/>
      <c r="G1607" s="1595"/>
      <c r="H1607" s="1596">
        <v>2</v>
      </c>
      <c r="I1607" s="1595"/>
      <c r="J1607" s="1595"/>
      <c r="K1607" s="1597">
        <v>12227</v>
      </c>
      <c r="L1607" s="1597">
        <v>12227</v>
      </c>
      <c r="M1607" s="1597">
        <v>-12227</v>
      </c>
      <c r="N1607" s="1598"/>
      <c r="O1607" s="1598"/>
      <c r="P1607" s="1597">
        <v>12227</v>
      </c>
      <c r="Q1607" s="1597">
        <v>-12227</v>
      </c>
      <c r="R1607" s="1598"/>
      <c r="S1607" s="1592"/>
    </row>
    <row r="1608" spans="2:19" s="1593" customFormat="1" ht="11.25" customHeight="1" outlineLevel="1">
      <c r="B1608" s="1594">
        <v>24830</v>
      </c>
      <c r="C1608" s="1595" t="s">
        <v>4952</v>
      </c>
      <c r="D1608" s="1595" t="s">
        <v>12874</v>
      </c>
      <c r="E1608" s="1595"/>
      <c r="F1608" s="1595"/>
      <c r="G1608" s="1595" t="s">
        <v>12873</v>
      </c>
      <c r="H1608" s="1596">
        <v>2</v>
      </c>
      <c r="I1608" s="1595"/>
      <c r="J1608" s="1595"/>
      <c r="K1608" s="1597">
        <v>645056</v>
      </c>
      <c r="L1608" s="1597">
        <v>645056</v>
      </c>
      <c r="M1608" s="1598"/>
      <c r="N1608" s="1597">
        <v>645056</v>
      </c>
      <c r="O1608" s="1597">
        <v>448957.88</v>
      </c>
      <c r="P1608" s="1597">
        <v>188357.52</v>
      </c>
      <c r="Q1608" s="1597">
        <v>7740.6</v>
      </c>
      <c r="R1608" s="1597">
        <v>196098.12</v>
      </c>
      <c r="S1608" s="1592"/>
    </row>
    <row r="1609" spans="2:19" s="1593" customFormat="1" ht="11.25" customHeight="1" outlineLevel="1">
      <c r="B1609" s="1594">
        <v>23021</v>
      </c>
      <c r="C1609" s="1595" t="s">
        <v>4924</v>
      </c>
      <c r="D1609" s="1595" t="s">
        <v>12872</v>
      </c>
      <c r="E1609" s="1595"/>
      <c r="F1609" s="1595"/>
      <c r="G1609" s="1595"/>
      <c r="H1609" s="1596">
        <v>1</v>
      </c>
      <c r="I1609" s="1595"/>
      <c r="J1609" s="1595"/>
      <c r="K1609" s="1597">
        <v>13748</v>
      </c>
      <c r="L1609" s="1597">
        <v>13748</v>
      </c>
      <c r="M1609" s="1597">
        <v>-13748</v>
      </c>
      <c r="N1609" s="1598"/>
      <c r="O1609" s="1598"/>
      <c r="P1609" s="1597">
        <v>13748</v>
      </c>
      <c r="Q1609" s="1597">
        <v>-13748</v>
      </c>
      <c r="R1609" s="1598"/>
      <c r="S1609" s="1592"/>
    </row>
    <row r="1610" spans="2:19" s="1593" customFormat="1" ht="11.25" customHeight="1" outlineLevel="1">
      <c r="B1610" s="1594">
        <v>23027</v>
      </c>
      <c r="C1610" s="1595" t="s">
        <v>4924</v>
      </c>
      <c r="D1610" s="1595" t="s">
        <v>12871</v>
      </c>
      <c r="E1610" s="1595"/>
      <c r="F1610" s="1595"/>
      <c r="G1610" s="1595"/>
      <c r="H1610" s="1596">
        <v>1</v>
      </c>
      <c r="I1610" s="1595"/>
      <c r="J1610" s="1595"/>
      <c r="K1610" s="1597">
        <v>10958</v>
      </c>
      <c r="L1610" s="1597">
        <v>10958</v>
      </c>
      <c r="M1610" s="1597">
        <v>-10958</v>
      </c>
      <c r="N1610" s="1598"/>
      <c r="O1610" s="1598"/>
      <c r="P1610" s="1597">
        <v>10958</v>
      </c>
      <c r="Q1610" s="1597">
        <v>-10958</v>
      </c>
      <c r="R1610" s="1598"/>
      <c r="S1610" s="1592"/>
    </row>
    <row r="1611" spans="2:19" s="1593" customFormat="1" ht="11.25" customHeight="1" outlineLevel="1">
      <c r="B1611" s="1594">
        <v>25658</v>
      </c>
      <c r="C1611" s="1595" t="s">
        <v>4817</v>
      </c>
      <c r="D1611" s="1595" t="s">
        <v>12870</v>
      </c>
      <c r="E1611" s="1595"/>
      <c r="F1611" s="1595"/>
      <c r="G1611" s="1595" t="s">
        <v>3734</v>
      </c>
      <c r="H1611" s="1596">
        <v>3</v>
      </c>
      <c r="I1611" s="1595"/>
      <c r="J1611" s="1595"/>
      <c r="K1611" s="1599">
        <v>118</v>
      </c>
      <c r="L1611" s="1597">
        <v>4641980.2300000004</v>
      </c>
      <c r="M1611" s="1598"/>
      <c r="N1611" s="1597">
        <v>4641980.2300000004</v>
      </c>
      <c r="O1611" s="1597">
        <v>4233505.07</v>
      </c>
      <c r="P1611" s="1597">
        <v>245648</v>
      </c>
      <c r="Q1611" s="1597">
        <v>162827.16</v>
      </c>
      <c r="R1611" s="1597">
        <v>408475.16</v>
      </c>
      <c r="S1611" s="1592"/>
    </row>
    <row r="1612" spans="2:19" s="1593" customFormat="1" ht="11.25" customHeight="1" outlineLevel="1">
      <c r="B1612" s="1594">
        <v>25726</v>
      </c>
      <c r="C1612" s="1595" t="s">
        <v>4714</v>
      </c>
      <c r="D1612" s="1595" t="s">
        <v>12869</v>
      </c>
      <c r="E1612" s="1595"/>
      <c r="F1612" s="1595"/>
      <c r="G1612" s="1595"/>
      <c r="H1612" s="1596">
        <v>2</v>
      </c>
      <c r="I1612" s="1595"/>
      <c r="J1612" s="1595"/>
      <c r="K1612" s="1599">
        <v>20</v>
      </c>
      <c r="L1612" s="1599">
        <v>20</v>
      </c>
      <c r="M1612" s="1599">
        <v>-20</v>
      </c>
      <c r="N1612" s="1598"/>
      <c r="O1612" s="1598"/>
      <c r="P1612" s="1599">
        <v>13.4</v>
      </c>
      <c r="Q1612" s="1599">
        <v>-13.4</v>
      </c>
      <c r="R1612" s="1598"/>
      <c r="S1612" s="1592"/>
    </row>
    <row r="1613" spans="2:19" s="1593" customFormat="1" ht="11.25" customHeight="1" outlineLevel="1">
      <c r="B1613" s="1594">
        <v>25731</v>
      </c>
      <c r="C1613" s="1595" t="s">
        <v>4714</v>
      </c>
      <c r="D1613" s="1595" t="s">
        <v>12868</v>
      </c>
      <c r="E1613" s="1595"/>
      <c r="F1613" s="1595"/>
      <c r="G1613" s="1595" t="s">
        <v>3719</v>
      </c>
      <c r="H1613" s="1596">
        <v>2</v>
      </c>
      <c r="I1613" s="1595"/>
      <c r="J1613" s="1595"/>
      <c r="K1613" s="1597">
        <v>27200</v>
      </c>
      <c r="L1613" s="1597">
        <v>27200</v>
      </c>
      <c r="M1613" s="1598"/>
      <c r="N1613" s="1597">
        <v>27200</v>
      </c>
      <c r="O1613" s="1597">
        <v>10199.120000000001</v>
      </c>
      <c r="P1613" s="1597">
        <v>16320.96</v>
      </c>
      <c r="Q1613" s="1599">
        <v>679.92</v>
      </c>
      <c r="R1613" s="1597">
        <v>17000.88</v>
      </c>
      <c r="S1613" s="1592"/>
    </row>
    <row r="1614" spans="2:19" s="1593" customFormat="1" ht="11.25" customHeight="1" outlineLevel="1">
      <c r="B1614" s="1594">
        <v>25947</v>
      </c>
      <c r="C1614" s="1595" t="s">
        <v>4703</v>
      </c>
      <c r="D1614" s="1595" t="s">
        <v>12867</v>
      </c>
      <c r="E1614" s="1595"/>
      <c r="F1614" s="1595"/>
      <c r="G1614" s="1595" t="s">
        <v>12866</v>
      </c>
      <c r="H1614" s="1596">
        <v>2</v>
      </c>
      <c r="I1614" s="1595"/>
      <c r="J1614" s="1595"/>
      <c r="K1614" s="1597">
        <v>31667</v>
      </c>
      <c r="L1614" s="1597">
        <v>31667</v>
      </c>
      <c r="M1614" s="1598"/>
      <c r="N1614" s="1597">
        <v>31667</v>
      </c>
      <c r="O1614" s="1597">
        <v>6945.56</v>
      </c>
      <c r="P1614" s="1597">
        <v>23729.16</v>
      </c>
      <c r="Q1614" s="1599">
        <v>992.28</v>
      </c>
      <c r="R1614" s="1597">
        <v>24721.439999999999</v>
      </c>
      <c r="S1614" s="1592"/>
    </row>
    <row r="1615" spans="2:19" s="1593" customFormat="1" ht="11.25" customHeight="1" outlineLevel="1">
      <c r="B1615" s="1594">
        <v>25948</v>
      </c>
      <c r="C1615" s="1595" t="s">
        <v>4703</v>
      </c>
      <c r="D1615" s="1595" t="s">
        <v>12865</v>
      </c>
      <c r="E1615" s="1595"/>
      <c r="F1615" s="1595"/>
      <c r="G1615" s="1595" t="s">
        <v>12864</v>
      </c>
      <c r="H1615" s="1596">
        <v>1</v>
      </c>
      <c r="I1615" s="1595"/>
      <c r="J1615" s="1595"/>
      <c r="K1615" s="1597">
        <v>31667</v>
      </c>
      <c r="L1615" s="1597">
        <v>31667</v>
      </c>
      <c r="M1615" s="1598"/>
      <c r="N1615" s="1597">
        <v>31667</v>
      </c>
      <c r="O1615" s="1597">
        <v>5292.3</v>
      </c>
      <c r="P1615" s="1597">
        <v>25316.27</v>
      </c>
      <c r="Q1615" s="1597">
        <v>1058.43</v>
      </c>
      <c r="R1615" s="1597">
        <v>26374.7</v>
      </c>
      <c r="S1615" s="1592"/>
    </row>
    <row r="1616" spans="2:19" s="1593" customFormat="1" ht="11.25" customHeight="1" outlineLevel="1">
      <c r="B1616" s="1594">
        <v>25949</v>
      </c>
      <c r="C1616" s="1595" t="s">
        <v>4703</v>
      </c>
      <c r="D1616" s="1595" t="s">
        <v>12863</v>
      </c>
      <c r="E1616" s="1595"/>
      <c r="F1616" s="1595"/>
      <c r="G1616" s="1595"/>
      <c r="H1616" s="1596">
        <v>1</v>
      </c>
      <c r="I1616" s="1595"/>
      <c r="J1616" s="1595"/>
      <c r="K1616" s="1597">
        <v>6547</v>
      </c>
      <c r="L1616" s="1597">
        <v>6547.5</v>
      </c>
      <c r="M1616" s="1597">
        <v>-6547.5</v>
      </c>
      <c r="N1616" s="1598"/>
      <c r="O1616" s="1598"/>
      <c r="P1616" s="1597">
        <v>6547.5</v>
      </c>
      <c r="Q1616" s="1597">
        <v>-6547.5</v>
      </c>
      <c r="R1616" s="1598"/>
      <c r="S1616" s="1592"/>
    </row>
    <row r="1617" spans="2:19" s="1593" customFormat="1" ht="11.25" customHeight="1" outlineLevel="1">
      <c r="B1617" s="1594">
        <v>25991</v>
      </c>
      <c r="C1617" s="1595" t="s">
        <v>4703</v>
      </c>
      <c r="D1617" s="1595" t="s">
        <v>12862</v>
      </c>
      <c r="E1617" s="1595"/>
      <c r="F1617" s="1595"/>
      <c r="G1617" s="1595" t="s">
        <v>12861</v>
      </c>
      <c r="H1617" s="1596">
        <v>2</v>
      </c>
      <c r="I1617" s="1595"/>
      <c r="J1617" s="1595"/>
      <c r="K1617" s="1597">
        <v>253318</v>
      </c>
      <c r="L1617" s="1597">
        <v>253318</v>
      </c>
      <c r="M1617" s="1598"/>
      <c r="N1617" s="1597">
        <v>253318</v>
      </c>
      <c r="O1617" s="1597">
        <v>177575.32</v>
      </c>
      <c r="P1617" s="1597">
        <v>72702.84</v>
      </c>
      <c r="Q1617" s="1597">
        <v>3039.84</v>
      </c>
      <c r="R1617" s="1597">
        <v>75742.679999999993</v>
      </c>
      <c r="S1617" s="1592"/>
    </row>
    <row r="1618" spans="2:19" s="1593" customFormat="1" ht="11.25" customHeight="1" outlineLevel="1">
      <c r="B1618" s="1594">
        <v>34287</v>
      </c>
      <c r="C1618" s="1595" t="s">
        <v>4703</v>
      </c>
      <c r="D1618" s="1595" t="s">
        <v>12860</v>
      </c>
      <c r="E1618" s="1595"/>
      <c r="F1618" s="1595"/>
      <c r="G1618" s="1595"/>
      <c r="H1618" s="1596">
        <v>1</v>
      </c>
      <c r="I1618" s="1595"/>
      <c r="J1618" s="1595"/>
      <c r="K1618" s="1597">
        <v>6547</v>
      </c>
      <c r="L1618" s="1597">
        <v>6547.5</v>
      </c>
      <c r="M1618" s="1597">
        <v>-6547.5</v>
      </c>
      <c r="N1618" s="1598"/>
      <c r="O1618" s="1598"/>
      <c r="P1618" s="1597">
        <v>6547.5</v>
      </c>
      <c r="Q1618" s="1597">
        <v>-6547.5</v>
      </c>
      <c r="R1618" s="1598"/>
      <c r="S1618" s="1592"/>
    </row>
    <row r="1619" spans="2:19" s="1593" customFormat="1" ht="11.25" customHeight="1" outlineLevel="1">
      <c r="B1619" s="1594">
        <v>26044</v>
      </c>
      <c r="C1619" s="1595" t="s">
        <v>4632</v>
      </c>
      <c r="D1619" s="1595" t="s">
        <v>12859</v>
      </c>
      <c r="E1619" s="1595"/>
      <c r="F1619" s="1595"/>
      <c r="G1619" s="1595" t="s">
        <v>4663</v>
      </c>
      <c r="H1619" s="1596">
        <v>2</v>
      </c>
      <c r="I1619" s="1595"/>
      <c r="J1619" s="1595"/>
      <c r="K1619" s="1597">
        <v>73830</v>
      </c>
      <c r="L1619" s="1597">
        <v>114519.59</v>
      </c>
      <c r="M1619" s="1598"/>
      <c r="N1619" s="1597">
        <v>114519.59</v>
      </c>
      <c r="O1619" s="1597">
        <v>28535.4</v>
      </c>
      <c r="P1619" s="1597">
        <v>81228.350000000006</v>
      </c>
      <c r="Q1619" s="1597">
        <v>4755.84</v>
      </c>
      <c r="R1619" s="1597">
        <v>85984.19</v>
      </c>
      <c r="S1619" s="1592"/>
    </row>
    <row r="1620" spans="2:19" s="1593" customFormat="1" ht="11.25" customHeight="1" outlineLevel="1">
      <c r="B1620" s="1594">
        <v>26045</v>
      </c>
      <c r="C1620" s="1595" t="s">
        <v>4632</v>
      </c>
      <c r="D1620" s="1595" t="s">
        <v>12858</v>
      </c>
      <c r="E1620" s="1595"/>
      <c r="F1620" s="1595"/>
      <c r="G1620" s="1595" t="s">
        <v>4663</v>
      </c>
      <c r="H1620" s="1596">
        <v>2</v>
      </c>
      <c r="I1620" s="1595"/>
      <c r="J1620" s="1595"/>
      <c r="K1620" s="1597">
        <v>2866</v>
      </c>
      <c r="L1620" s="1597">
        <v>83636</v>
      </c>
      <c r="M1620" s="1598"/>
      <c r="N1620" s="1597">
        <v>83636</v>
      </c>
      <c r="O1620" s="1597">
        <v>48453.26</v>
      </c>
      <c r="P1620" s="1597">
        <v>33761.1</v>
      </c>
      <c r="Q1620" s="1597">
        <v>1421.64</v>
      </c>
      <c r="R1620" s="1597">
        <v>35182.74</v>
      </c>
      <c r="S1620" s="1592"/>
    </row>
    <row r="1621" spans="2:19" s="1593" customFormat="1" ht="11.25" customHeight="1" outlineLevel="1">
      <c r="B1621" s="1594">
        <v>26046</v>
      </c>
      <c r="C1621" s="1595" t="s">
        <v>4632</v>
      </c>
      <c r="D1621" s="1595" t="s">
        <v>12857</v>
      </c>
      <c r="E1621" s="1595"/>
      <c r="F1621" s="1595"/>
      <c r="G1621" s="1595" t="s">
        <v>4663</v>
      </c>
      <c r="H1621" s="1596">
        <v>2</v>
      </c>
      <c r="I1621" s="1595"/>
      <c r="J1621" s="1595"/>
      <c r="K1621" s="1597">
        <v>22409</v>
      </c>
      <c r="L1621" s="1597">
        <v>22409</v>
      </c>
      <c r="M1621" s="1598"/>
      <c r="N1621" s="1597">
        <v>22409</v>
      </c>
      <c r="O1621" s="1597">
        <v>11316.05</v>
      </c>
      <c r="P1621" s="1597">
        <v>10644.75</v>
      </c>
      <c r="Q1621" s="1599">
        <v>448.2</v>
      </c>
      <c r="R1621" s="1597">
        <v>11092.95</v>
      </c>
      <c r="S1621" s="1592"/>
    </row>
    <row r="1622" spans="2:19" s="1593" customFormat="1" ht="11.25" customHeight="1" outlineLevel="1">
      <c r="B1622" s="1594">
        <v>26492</v>
      </c>
      <c r="C1622" s="1595" t="s">
        <v>4447</v>
      </c>
      <c r="D1622" s="1595" t="s">
        <v>12856</v>
      </c>
      <c r="E1622" s="1595"/>
      <c r="F1622" s="1595"/>
      <c r="G1622" s="1595" t="s">
        <v>12855</v>
      </c>
      <c r="H1622" s="1596">
        <v>2</v>
      </c>
      <c r="I1622" s="1595"/>
      <c r="J1622" s="1595"/>
      <c r="K1622" s="1597">
        <v>122767</v>
      </c>
      <c r="L1622" s="1597">
        <v>122767</v>
      </c>
      <c r="M1622" s="1598"/>
      <c r="N1622" s="1597">
        <v>122767</v>
      </c>
      <c r="O1622" s="1597">
        <v>49108</v>
      </c>
      <c r="P1622" s="1597">
        <v>70589.759999999995</v>
      </c>
      <c r="Q1622" s="1597">
        <v>3069.24</v>
      </c>
      <c r="R1622" s="1597">
        <v>73659</v>
      </c>
      <c r="S1622" s="1592"/>
    </row>
    <row r="1623" spans="2:19" s="1593" customFormat="1" ht="11.25" customHeight="1" outlineLevel="1">
      <c r="B1623" s="1594">
        <v>26584</v>
      </c>
      <c r="C1623" s="1595" t="s">
        <v>4423</v>
      </c>
      <c r="D1623" s="1595" t="s">
        <v>12854</v>
      </c>
      <c r="E1623" s="1595"/>
      <c r="F1623" s="1595"/>
      <c r="G1623" s="1595" t="s">
        <v>3734</v>
      </c>
      <c r="H1623" s="1596">
        <v>2</v>
      </c>
      <c r="I1623" s="1595"/>
      <c r="J1623" s="1595"/>
      <c r="K1623" s="1597">
        <v>10000</v>
      </c>
      <c r="L1623" s="1597">
        <v>10000</v>
      </c>
      <c r="M1623" s="1598"/>
      <c r="N1623" s="1597">
        <v>10000</v>
      </c>
      <c r="O1623" s="1597">
        <v>5215.83</v>
      </c>
      <c r="P1623" s="1597">
        <v>4584.25</v>
      </c>
      <c r="Q1623" s="1599">
        <v>199.92</v>
      </c>
      <c r="R1623" s="1597">
        <v>4784.17</v>
      </c>
      <c r="S1623" s="1592"/>
    </row>
    <row r="1624" spans="2:19" s="1593" customFormat="1" ht="11.25" customHeight="1" outlineLevel="1">
      <c r="B1624" s="1594">
        <v>26840</v>
      </c>
      <c r="C1624" s="1595" t="s">
        <v>4321</v>
      </c>
      <c r="D1624" s="1595" t="s">
        <v>12853</v>
      </c>
      <c r="E1624" s="1595"/>
      <c r="F1624" s="1595"/>
      <c r="G1624" s="1595"/>
      <c r="H1624" s="1596">
        <v>1</v>
      </c>
      <c r="I1624" s="1595"/>
      <c r="J1624" s="1595"/>
      <c r="K1624" s="1597">
        <v>140000</v>
      </c>
      <c r="L1624" s="1597">
        <v>140000</v>
      </c>
      <c r="M1624" s="1598"/>
      <c r="N1624" s="1597">
        <v>140000</v>
      </c>
      <c r="O1624" s="1597">
        <v>5637.42</v>
      </c>
      <c r="P1624" s="1597">
        <v>128725.2</v>
      </c>
      <c r="Q1624" s="1597">
        <v>5637.38</v>
      </c>
      <c r="R1624" s="1597">
        <v>134362.57999999999</v>
      </c>
      <c r="S1624" s="1592"/>
    </row>
    <row r="1625" spans="2:19" s="1593" customFormat="1" ht="11.25" customHeight="1" outlineLevel="1">
      <c r="B1625" s="1594">
        <v>26868</v>
      </c>
      <c r="C1625" s="1595" t="s">
        <v>4314</v>
      </c>
      <c r="D1625" s="1595" t="s">
        <v>12852</v>
      </c>
      <c r="E1625" s="1595"/>
      <c r="F1625" s="1595"/>
      <c r="G1625" s="1595"/>
      <c r="H1625" s="1596">
        <v>1</v>
      </c>
      <c r="I1625" s="1595"/>
      <c r="J1625" s="1595"/>
      <c r="K1625" s="1597">
        <v>2400</v>
      </c>
      <c r="L1625" s="1597">
        <v>2400</v>
      </c>
      <c r="M1625" s="1597">
        <v>-2400</v>
      </c>
      <c r="N1625" s="1598"/>
      <c r="O1625" s="1598"/>
      <c r="P1625" s="1597">
        <v>2400</v>
      </c>
      <c r="Q1625" s="1597">
        <v>-2400</v>
      </c>
      <c r="R1625" s="1598"/>
      <c r="S1625" s="1592"/>
    </row>
    <row r="1626" spans="2:19" s="1593" customFormat="1" ht="11.25" customHeight="1" outlineLevel="1">
      <c r="B1626" s="1594">
        <v>26880</v>
      </c>
      <c r="C1626" s="1595" t="s">
        <v>4314</v>
      </c>
      <c r="D1626" s="1595" t="s">
        <v>12851</v>
      </c>
      <c r="E1626" s="1595"/>
      <c r="F1626" s="1595"/>
      <c r="G1626" s="1595" t="s">
        <v>3596</v>
      </c>
      <c r="H1626" s="1596">
        <v>1</v>
      </c>
      <c r="I1626" s="1595"/>
      <c r="J1626" s="1595"/>
      <c r="K1626" s="1597">
        <v>2418</v>
      </c>
      <c r="L1626" s="1597">
        <v>2418</v>
      </c>
      <c r="M1626" s="1597">
        <v>-2418</v>
      </c>
      <c r="N1626" s="1598"/>
      <c r="O1626" s="1598"/>
      <c r="P1626" s="1597">
        <v>2418</v>
      </c>
      <c r="Q1626" s="1597">
        <v>-2418</v>
      </c>
      <c r="R1626" s="1598"/>
      <c r="S1626" s="1592"/>
    </row>
    <row r="1627" spans="2:19" s="1593" customFormat="1" ht="11.25" customHeight="1" outlineLevel="1">
      <c r="B1627" s="1594">
        <v>26887</v>
      </c>
      <c r="C1627" s="1595" t="s">
        <v>4314</v>
      </c>
      <c r="D1627" s="1595" t="s">
        <v>12850</v>
      </c>
      <c r="E1627" s="1595"/>
      <c r="F1627" s="1595"/>
      <c r="G1627" s="1595"/>
      <c r="H1627" s="1596">
        <v>1</v>
      </c>
      <c r="I1627" s="1595"/>
      <c r="J1627" s="1595"/>
      <c r="K1627" s="1597">
        <v>6225</v>
      </c>
      <c r="L1627" s="1597">
        <v>6225</v>
      </c>
      <c r="M1627" s="1597">
        <v>-6225</v>
      </c>
      <c r="N1627" s="1598"/>
      <c r="O1627" s="1598"/>
      <c r="P1627" s="1597">
        <v>6225</v>
      </c>
      <c r="Q1627" s="1597">
        <v>-6225</v>
      </c>
      <c r="R1627" s="1598"/>
      <c r="S1627" s="1592"/>
    </row>
    <row r="1628" spans="2:19" s="1593" customFormat="1" ht="11.25" customHeight="1" outlineLevel="1">
      <c r="B1628" s="1594">
        <v>26888</v>
      </c>
      <c r="C1628" s="1595" t="s">
        <v>4314</v>
      </c>
      <c r="D1628" s="1595" t="s">
        <v>12849</v>
      </c>
      <c r="E1628" s="1595"/>
      <c r="F1628" s="1595"/>
      <c r="G1628" s="1595"/>
      <c r="H1628" s="1596">
        <v>1</v>
      </c>
      <c r="I1628" s="1595"/>
      <c r="J1628" s="1595"/>
      <c r="K1628" s="1597">
        <v>6225</v>
      </c>
      <c r="L1628" s="1597">
        <v>6225</v>
      </c>
      <c r="M1628" s="1597">
        <v>-6225</v>
      </c>
      <c r="N1628" s="1598"/>
      <c r="O1628" s="1598"/>
      <c r="P1628" s="1597">
        <v>6225</v>
      </c>
      <c r="Q1628" s="1597">
        <v>-6225</v>
      </c>
      <c r="R1628" s="1598"/>
      <c r="S1628" s="1592"/>
    </row>
    <row r="1629" spans="2:19" s="1593" customFormat="1" ht="11.25" customHeight="1" outlineLevel="1">
      <c r="B1629" s="1594">
        <v>34548</v>
      </c>
      <c r="C1629" s="1595" t="s">
        <v>4314</v>
      </c>
      <c r="D1629" s="1595" t="s">
        <v>12848</v>
      </c>
      <c r="E1629" s="1595"/>
      <c r="F1629" s="1595"/>
      <c r="G1629" s="1595"/>
      <c r="H1629" s="1596">
        <v>1</v>
      </c>
      <c r="I1629" s="1595"/>
      <c r="J1629" s="1595"/>
      <c r="K1629" s="1597">
        <v>2418</v>
      </c>
      <c r="L1629" s="1597">
        <v>2418</v>
      </c>
      <c r="M1629" s="1597">
        <v>-2418</v>
      </c>
      <c r="N1629" s="1598"/>
      <c r="O1629" s="1598"/>
      <c r="P1629" s="1597">
        <v>2418</v>
      </c>
      <c r="Q1629" s="1597">
        <v>-2418</v>
      </c>
      <c r="R1629" s="1598"/>
      <c r="S1629" s="1592"/>
    </row>
    <row r="1630" spans="2:19" s="1593" customFormat="1" ht="11.25" customHeight="1" outlineLevel="1">
      <c r="B1630" s="1594">
        <v>23288</v>
      </c>
      <c r="C1630" s="1595" t="s">
        <v>4246</v>
      </c>
      <c r="D1630" s="1595" t="s">
        <v>12847</v>
      </c>
      <c r="E1630" s="1595"/>
      <c r="F1630" s="1595"/>
      <c r="G1630" s="1595"/>
      <c r="H1630" s="1596">
        <v>1</v>
      </c>
      <c r="I1630" s="1595"/>
      <c r="J1630" s="1595"/>
      <c r="K1630" s="1597">
        <v>2400</v>
      </c>
      <c r="L1630" s="1597">
        <v>2400</v>
      </c>
      <c r="M1630" s="1597">
        <v>-2400</v>
      </c>
      <c r="N1630" s="1598"/>
      <c r="O1630" s="1598"/>
      <c r="P1630" s="1597">
        <v>2400</v>
      </c>
      <c r="Q1630" s="1597">
        <v>-2400</v>
      </c>
      <c r="R1630" s="1598"/>
      <c r="S1630" s="1592"/>
    </row>
    <row r="1631" spans="2:19" s="1593" customFormat="1" ht="11.25" customHeight="1" outlineLevel="1">
      <c r="B1631" s="1594">
        <v>26988</v>
      </c>
      <c r="C1631" s="1595" t="s">
        <v>4246</v>
      </c>
      <c r="D1631" s="1595" t="s">
        <v>12846</v>
      </c>
      <c r="E1631" s="1595"/>
      <c r="F1631" s="1595"/>
      <c r="G1631" s="1595"/>
      <c r="H1631" s="1596">
        <v>1</v>
      </c>
      <c r="I1631" s="1595"/>
      <c r="J1631" s="1595"/>
      <c r="K1631" s="1597">
        <v>6147</v>
      </c>
      <c r="L1631" s="1597">
        <v>6147</v>
      </c>
      <c r="M1631" s="1597">
        <v>-6147</v>
      </c>
      <c r="N1631" s="1598"/>
      <c r="O1631" s="1598"/>
      <c r="P1631" s="1597">
        <v>6147</v>
      </c>
      <c r="Q1631" s="1597">
        <v>-6147</v>
      </c>
      <c r="R1631" s="1598"/>
      <c r="S1631" s="1592"/>
    </row>
    <row r="1632" spans="2:19" s="1593" customFormat="1" ht="11.25" customHeight="1" outlineLevel="1">
      <c r="B1632" s="1594">
        <v>26510</v>
      </c>
      <c r="C1632" s="1595" t="s">
        <v>4227</v>
      </c>
      <c r="D1632" s="1595" t="s">
        <v>12845</v>
      </c>
      <c r="E1632" s="1595"/>
      <c r="F1632" s="1595"/>
      <c r="G1632" s="1595"/>
      <c r="H1632" s="1596">
        <v>1</v>
      </c>
      <c r="I1632" s="1595"/>
      <c r="J1632" s="1595"/>
      <c r="K1632" s="1597">
        <v>65160</v>
      </c>
      <c r="L1632" s="1597">
        <v>65160</v>
      </c>
      <c r="M1632" s="1597">
        <v>-65160</v>
      </c>
      <c r="N1632" s="1598"/>
      <c r="O1632" s="1598"/>
      <c r="P1632" s="1597">
        <v>65160</v>
      </c>
      <c r="Q1632" s="1597">
        <v>-65160</v>
      </c>
      <c r="R1632" s="1598"/>
      <c r="S1632" s="1592"/>
    </row>
    <row r="1633" spans="2:19" s="1593" customFormat="1" ht="11.25" customHeight="1" outlineLevel="1">
      <c r="B1633" s="1594">
        <v>27242</v>
      </c>
      <c r="C1633" s="1595" t="s">
        <v>4164</v>
      </c>
      <c r="D1633" s="1595" t="s">
        <v>12844</v>
      </c>
      <c r="E1633" s="1595"/>
      <c r="F1633" s="1595"/>
      <c r="G1633" s="1595"/>
      <c r="H1633" s="1596">
        <v>1</v>
      </c>
      <c r="I1633" s="1595"/>
      <c r="J1633" s="1595"/>
      <c r="K1633" s="1597">
        <v>67500</v>
      </c>
      <c r="L1633" s="1597">
        <v>67500</v>
      </c>
      <c r="M1633" s="1597">
        <v>-67500</v>
      </c>
      <c r="N1633" s="1598"/>
      <c r="O1633" s="1598"/>
      <c r="P1633" s="1597">
        <v>67500</v>
      </c>
      <c r="Q1633" s="1597">
        <v>-67500</v>
      </c>
      <c r="R1633" s="1598"/>
      <c r="S1633" s="1592"/>
    </row>
    <row r="1634" spans="2:19" s="1593" customFormat="1" ht="11.25" customHeight="1" outlineLevel="1">
      <c r="B1634" s="1594">
        <v>27650</v>
      </c>
      <c r="C1634" s="1595" t="s">
        <v>8496</v>
      </c>
      <c r="D1634" s="1595" t="s">
        <v>12843</v>
      </c>
      <c r="E1634" s="1595"/>
      <c r="F1634" s="1595"/>
      <c r="G1634" s="1595"/>
      <c r="H1634" s="1596">
        <v>1</v>
      </c>
      <c r="I1634" s="1595"/>
      <c r="J1634" s="1595"/>
      <c r="K1634" s="1597">
        <v>4200</v>
      </c>
      <c r="L1634" s="1597">
        <v>4200</v>
      </c>
      <c r="M1634" s="1597">
        <v>-4200</v>
      </c>
      <c r="N1634" s="1598"/>
      <c r="O1634" s="1598"/>
      <c r="P1634" s="1597">
        <v>4200</v>
      </c>
      <c r="Q1634" s="1597">
        <v>-4200</v>
      </c>
      <c r="R1634" s="1598"/>
      <c r="S1634" s="1592"/>
    </row>
    <row r="1635" spans="2:19" s="1593" customFormat="1" ht="11.25" customHeight="1" outlineLevel="1">
      <c r="B1635" s="1594">
        <v>24284</v>
      </c>
      <c r="C1635" s="1595" t="s">
        <v>8489</v>
      </c>
      <c r="D1635" s="1595" t="s">
        <v>12842</v>
      </c>
      <c r="E1635" s="1595"/>
      <c r="F1635" s="1595"/>
      <c r="G1635" s="1595"/>
      <c r="H1635" s="1596">
        <v>2</v>
      </c>
      <c r="I1635" s="1595"/>
      <c r="J1635" s="1595"/>
      <c r="K1635" s="1597">
        <v>11392</v>
      </c>
      <c r="L1635" s="1597">
        <v>11392</v>
      </c>
      <c r="M1635" s="1597">
        <v>-11392</v>
      </c>
      <c r="N1635" s="1598"/>
      <c r="O1635" s="1598"/>
      <c r="P1635" s="1597">
        <v>11392</v>
      </c>
      <c r="Q1635" s="1597">
        <v>-11392</v>
      </c>
      <c r="R1635" s="1598"/>
      <c r="S1635" s="1592"/>
    </row>
    <row r="1636" spans="2:19" s="1593" customFormat="1" ht="11.25" customHeight="1" outlineLevel="1">
      <c r="B1636" s="1594">
        <v>27904</v>
      </c>
      <c r="C1636" s="1595" t="s">
        <v>4097</v>
      </c>
      <c r="D1636" s="1595" t="s">
        <v>12841</v>
      </c>
      <c r="E1636" s="1595"/>
      <c r="F1636" s="1595"/>
      <c r="G1636" s="1595" t="s">
        <v>12840</v>
      </c>
      <c r="H1636" s="1596">
        <v>2</v>
      </c>
      <c r="I1636" s="1595"/>
      <c r="J1636" s="1595"/>
      <c r="K1636" s="1597">
        <v>200513</v>
      </c>
      <c r="L1636" s="1597">
        <v>200513</v>
      </c>
      <c r="M1636" s="1598"/>
      <c r="N1636" s="1597">
        <v>200513</v>
      </c>
      <c r="O1636" s="1597">
        <v>88558.8</v>
      </c>
      <c r="P1636" s="1597">
        <v>106941.44</v>
      </c>
      <c r="Q1636" s="1597">
        <v>5012.76</v>
      </c>
      <c r="R1636" s="1597">
        <v>111954.2</v>
      </c>
      <c r="S1636" s="1592"/>
    </row>
    <row r="1637" spans="2:19" s="1593" customFormat="1" ht="11.25" customHeight="1" outlineLevel="1">
      <c r="B1637" s="1594">
        <v>27905</v>
      </c>
      <c r="C1637" s="1595" t="s">
        <v>4097</v>
      </c>
      <c r="D1637" s="1595" t="s">
        <v>12839</v>
      </c>
      <c r="E1637" s="1595"/>
      <c r="F1637" s="1595"/>
      <c r="G1637" s="1595"/>
      <c r="H1637" s="1596">
        <v>2</v>
      </c>
      <c r="I1637" s="1595"/>
      <c r="J1637" s="1595"/>
      <c r="K1637" s="1597">
        <v>7187</v>
      </c>
      <c r="L1637" s="1597">
        <v>7187</v>
      </c>
      <c r="M1637" s="1597">
        <v>-7187</v>
      </c>
      <c r="N1637" s="1598"/>
      <c r="O1637" s="1598"/>
      <c r="P1637" s="1597">
        <v>7187</v>
      </c>
      <c r="Q1637" s="1597">
        <v>-7187</v>
      </c>
      <c r="R1637" s="1598"/>
      <c r="S1637" s="1592"/>
    </row>
    <row r="1638" spans="2:19" s="1593" customFormat="1" ht="11.25" customHeight="1" outlineLevel="1">
      <c r="B1638" s="1594">
        <v>27912</v>
      </c>
      <c r="C1638" s="1595" t="s">
        <v>4097</v>
      </c>
      <c r="D1638" s="1595" t="s">
        <v>12838</v>
      </c>
      <c r="E1638" s="1595"/>
      <c r="F1638" s="1595"/>
      <c r="G1638" s="1595"/>
      <c r="H1638" s="1596">
        <v>2</v>
      </c>
      <c r="I1638" s="1595"/>
      <c r="J1638" s="1595"/>
      <c r="K1638" s="1599">
        <v>357</v>
      </c>
      <c r="L1638" s="1599">
        <v>357</v>
      </c>
      <c r="M1638" s="1599">
        <v>-357</v>
      </c>
      <c r="N1638" s="1598"/>
      <c r="O1638" s="1598"/>
      <c r="P1638" s="1599">
        <v>357</v>
      </c>
      <c r="Q1638" s="1599">
        <v>-357</v>
      </c>
      <c r="R1638" s="1598"/>
      <c r="S1638" s="1592"/>
    </row>
    <row r="1639" spans="2:19" s="1593" customFormat="1" ht="11.25" customHeight="1" outlineLevel="1">
      <c r="B1639" s="1594">
        <v>27913</v>
      </c>
      <c r="C1639" s="1595" t="s">
        <v>4097</v>
      </c>
      <c r="D1639" s="1595" t="s">
        <v>12837</v>
      </c>
      <c r="E1639" s="1595"/>
      <c r="F1639" s="1595"/>
      <c r="G1639" s="1595" t="s">
        <v>12833</v>
      </c>
      <c r="H1639" s="1596">
        <v>2</v>
      </c>
      <c r="I1639" s="1595"/>
      <c r="J1639" s="1595"/>
      <c r="K1639" s="1599">
        <v>38</v>
      </c>
      <c r="L1639" s="1597">
        <v>2880</v>
      </c>
      <c r="M1639" s="1598"/>
      <c r="N1639" s="1597">
        <v>2880</v>
      </c>
      <c r="O1639" s="1597">
        <v>1786.56</v>
      </c>
      <c r="P1639" s="1597">
        <v>1044.48</v>
      </c>
      <c r="Q1639" s="1599">
        <v>48.96</v>
      </c>
      <c r="R1639" s="1597">
        <v>1093.44</v>
      </c>
      <c r="S1639" s="1592"/>
    </row>
    <row r="1640" spans="2:19" s="1593" customFormat="1" ht="11.25" customHeight="1" outlineLevel="1">
      <c r="B1640" s="1594">
        <v>27914</v>
      </c>
      <c r="C1640" s="1595" t="s">
        <v>4097</v>
      </c>
      <c r="D1640" s="1595" t="s">
        <v>12836</v>
      </c>
      <c r="E1640" s="1595"/>
      <c r="F1640" s="1595"/>
      <c r="G1640" s="1595"/>
      <c r="H1640" s="1596">
        <v>2</v>
      </c>
      <c r="I1640" s="1595"/>
      <c r="J1640" s="1595"/>
      <c r="K1640" s="1597">
        <v>8100</v>
      </c>
      <c r="L1640" s="1597">
        <v>8100</v>
      </c>
      <c r="M1640" s="1597">
        <v>-8100</v>
      </c>
      <c r="N1640" s="1598"/>
      <c r="O1640" s="1598"/>
      <c r="P1640" s="1597">
        <v>8100</v>
      </c>
      <c r="Q1640" s="1597">
        <v>-8100</v>
      </c>
      <c r="R1640" s="1598"/>
      <c r="S1640" s="1592"/>
    </row>
    <row r="1641" spans="2:19" s="1593" customFormat="1" ht="11.25" customHeight="1" outlineLevel="1">
      <c r="B1641" s="1594">
        <v>27915</v>
      </c>
      <c r="C1641" s="1595" t="s">
        <v>4097</v>
      </c>
      <c r="D1641" s="1595" t="s">
        <v>12835</v>
      </c>
      <c r="E1641" s="1595"/>
      <c r="F1641" s="1595"/>
      <c r="G1641" s="1595" t="s">
        <v>12833</v>
      </c>
      <c r="H1641" s="1596">
        <v>3</v>
      </c>
      <c r="I1641" s="1595"/>
      <c r="J1641" s="1595"/>
      <c r="K1641" s="1599">
        <v>21</v>
      </c>
      <c r="L1641" s="1599">
        <v>208.2</v>
      </c>
      <c r="M1641" s="1598"/>
      <c r="N1641" s="1599">
        <v>208.2</v>
      </c>
      <c r="O1641" s="1599">
        <v>25.6</v>
      </c>
      <c r="P1641" s="1599">
        <v>174.08</v>
      </c>
      <c r="Q1641" s="1599">
        <v>8.52</v>
      </c>
      <c r="R1641" s="1599">
        <v>182.6</v>
      </c>
      <c r="S1641" s="1592"/>
    </row>
    <row r="1642" spans="2:19" s="1593" customFormat="1" ht="11.25" customHeight="1" outlineLevel="1">
      <c r="B1642" s="1594">
        <v>27916</v>
      </c>
      <c r="C1642" s="1595" t="s">
        <v>4097</v>
      </c>
      <c r="D1642" s="1595" t="s">
        <v>12834</v>
      </c>
      <c r="E1642" s="1595"/>
      <c r="F1642" s="1595"/>
      <c r="G1642" s="1595" t="s">
        <v>12833</v>
      </c>
      <c r="H1642" s="1596">
        <v>3</v>
      </c>
      <c r="I1642" s="1595"/>
      <c r="J1642" s="1595"/>
      <c r="K1642" s="1599">
        <v>21</v>
      </c>
      <c r="L1642" s="1597">
        <v>2055</v>
      </c>
      <c r="M1642" s="1598"/>
      <c r="N1642" s="1597">
        <v>2055</v>
      </c>
      <c r="O1642" s="1599">
        <v>243.32</v>
      </c>
      <c r="P1642" s="1597">
        <v>1730.56</v>
      </c>
      <c r="Q1642" s="1599">
        <v>81.12</v>
      </c>
      <c r="R1642" s="1597">
        <v>1811.68</v>
      </c>
      <c r="S1642" s="1592"/>
    </row>
    <row r="1643" spans="2:19" s="1593" customFormat="1" ht="11.25" customHeight="1" outlineLevel="1">
      <c r="B1643" s="1594">
        <v>29693</v>
      </c>
      <c r="C1643" s="1595" t="s">
        <v>4097</v>
      </c>
      <c r="D1643" s="1595" t="s">
        <v>12832</v>
      </c>
      <c r="E1643" s="1595"/>
      <c r="F1643" s="1595"/>
      <c r="G1643" s="1595"/>
      <c r="H1643" s="1596">
        <v>2</v>
      </c>
      <c r="I1643" s="1595"/>
      <c r="J1643" s="1595"/>
      <c r="K1643" s="1597">
        <v>7188</v>
      </c>
      <c r="L1643" s="1597">
        <v>7188</v>
      </c>
      <c r="M1643" s="1597">
        <v>-7188</v>
      </c>
      <c r="N1643" s="1598"/>
      <c r="O1643" s="1598"/>
      <c r="P1643" s="1597">
        <v>7188</v>
      </c>
      <c r="Q1643" s="1597">
        <v>-7188</v>
      </c>
      <c r="R1643" s="1598"/>
      <c r="S1643" s="1592"/>
    </row>
    <row r="1644" spans="2:19" s="1593" customFormat="1" ht="11.25" customHeight="1" outlineLevel="1">
      <c r="B1644" s="1594">
        <v>33300</v>
      </c>
      <c r="C1644" s="1595" t="s">
        <v>4097</v>
      </c>
      <c r="D1644" s="1595" t="s">
        <v>12831</v>
      </c>
      <c r="E1644" s="1595"/>
      <c r="F1644" s="1595"/>
      <c r="G1644" s="1595"/>
      <c r="H1644" s="1596">
        <v>2</v>
      </c>
      <c r="I1644" s="1595"/>
      <c r="J1644" s="1595"/>
      <c r="K1644" s="1597">
        <v>8100</v>
      </c>
      <c r="L1644" s="1597">
        <v>8100</v>
      </c>
      <c r="M1644" s="1597">
        <v>-8100</v>
      </c>
      <c r="N1644" s="1598"/>
      <c r="O1644" s="1598"/>
      <c r="P1644" s="1597">
        <v>8100</v>
      </c>
      <c r="Q1644" s="1597">
        <v>-8100</v>
      </c>
      <c r="R1644" s="1598"/>
      <c r="S1644" s="1592"/>
    </row>
    <row r="1645" spans="2:19" s="1593" customFormat="1" ht="11.25" customHeight="1" outlineLevel="1">
      <c r="B1645" s="1594">
        <v>33759</v>
      </c>
      <c r="C1645" s="1595" t="s">
        <v>4097</v>
      </c>
      <c r="D1645" s="1595" t="s">
        <v>12830</v>
      </c>
      <c r="E1645" s="1595"/>
      <c r="F1645" s="1595"/>
      <c r="G1645" s="1595"/>
      <c r="H1645" s="1596">
        <v>2</v>
      </c>
      <c r="I1645" s="1595"/>
      <c r="J1645" s="1595"/>
      <c r="K1645" s="1599">
        <v>357</v>
      </c>
      <c r="L1645" s="1599">
        <v>357</v>
      </c>
      <c r="M1645" s="1599">
        <v>-357</v>
      </c>
      <c r="N1645" s="1598"/>
      <c r="O1645" s="1598"/>
      <c r="P1645" s="1599">
        <v>357</v>
      </c>
      <c r="Q1645" s="1599">
        <v>-357</v>
      </c>
      <c r="R1645" s="1598"/>
      <c r="S1645" s="1592"/>
    </row>
    <row r="1646" spans="2:19" s="1593" customFormat="1" ht="11.25" customHeight="1" outlineLevel="1">
      <c r="B1646" s="1594">
        <v>33760</v>
      </c>
      <c r="C1646" s="1595" t="s">
        <v>4097</v>
      </c>
      <c r="D1646" s="1595" t="s">
        <v>12829</v>
      </c>
      <c r="E1646" s="1595"/>
      <c r="F1646" s="1595"/>
      <c r="G1646" s="1595"/>
      <c r="H1646" s="1596">
        <v>2</v>
      </c>
      <c r="I1646" s="1595"/>
      <c r="J1646" s="1595"/>
      <c r="K1646" s="1599">
        <v>357</v>
      </c>
      <c r="L1646" s="1599">
        <v>357</v>
      </c>
      <c r="M1646" s="1599">
        <v>-357</v>
      </c>
      <c r="N1646" s="1598"/>
      <c r="O1646" s="1598"/>
      <c r="P1646" s="1599">
        <v>357</v>
      </c>
      <c r="Q1646" s="1599">
        <v>-357</v>
      </c>
      <c r="R1646" s="1598"/>
      <c r="S1646" s="1592"/>
    </row>
    <row r="1647" spans="2:19" s="1593" customFormat="1" ht="11.25" customHeight="1" outlineLevel="1">
      <c r="B1647" s="1594">
        <v>33761</v>
      </c>
      <c r="C1647" s="1595" t="s">
        <v>4097</v>
      </c>
      <c r="D1647" s="1595" t="s">
        <v>12828</v>
      </c>
      <c r="E1647" s="1595"/>
      <c r="F1647" s="1595"/>
      <c r="G1647" s="1595"/>
      <c r="H1647" s="1596">
        <v>2</v>
      </c>
      <c r="I1647" s="1595"/>
      <c r="J1647" s="1595"/>
      <c r="K1647" s="1599">
        <v>357</v>
      </c>
      <c r="L1647" s="1599">
        <v>357</v>
      </c>
      <c r="M1647" s="1599">
        <v>-357</v>
      </c>
      <c r="N1647" s="1598"/>
      <c r="O1647" s="1598"/>
      <c r="P1647" s="1599">
        <v>357</v>
      </c>
      <c r="Q1647" s="1599">
        <v>-357</v>
      </c>
      <c r="R1647" s="1598"/>
      <c r="S1647" s="1592"/>
    </row>
    <row r="1648" spans="2:19" s="1593" customFormat="1" ht="11.25" customHeight="1" outlineLevel="1">
      <c r="B1648" s="1594">
        <v>33762</v>
      </c>
      <c r="C1648" s="1595" t="s">
        <v>4097</v>
      </c>
      <c r="D1648" s="1595" t="s">
        <v>12827</v>
      </c>
      <c r="E1648" s="1595"/>
      <c r="F1648" s="1595"/>
      <c r="G1648" s="1595"/>
      <c r="H1648" s="1596">
        <v>2</v>
      </c>
      <c r="I1648" s="1595"/>
      <c r="J1648" s="1595"/>
      <c r="K1648" s="1599">
        <v>357</v>
      </c>
      <c r="L1648" s="1599">
        <v>357</v>
      </c>
      <c r="M1648" s="1599">
        <v>-357</v>
      </c>
      <c r="N1648" s="1598"/>
      <c r="O1648" s="1598"/>
      <c r="P1648" s="1599">
        <v>357</v>
      </c>
      <c r="Q1648" s="1599">
        <v>-357</v>
      </c>
      <c r="R1648" s="1598"/>
      <c r="S1648" s="1592"/>
    </row>
    <row r="1649" spans="2:19" s="1593" customFormat="1" ht="11.25" customHeight="1" outlineLevel="1">
      <c r="B1649" s="1594">
        <v>34695</v>
      </c>
      <c r="C1649" s="1595" t="s">
        <v>4097</v>
      </c>
      <c r="D1649" s="1595" t="s">
        <v>12826</v>
      </c>
      <c r="E1649" s="1595"/>
      <c r="F1649" s="1595"/>
      <c r="G1649" s="1595" t="s">
        <v>12822</v>
      </c>
      <c r="H1649" s="1596">
        <v>3</v>
      </c>
      <c r="I1649" s="1595"/>
      <c r="J1649" s="1595"/>
      <c r="K1649" s="1599">
        <v>21</v>
      </c>
      <c r="L1649" s="1599">
        <v>208.2</v>
      </c>
      <c r="M1649" s="1598"/>
      <c r="N1649" s="1599">
        <v>208.2</v>
      </c>
      <c r="O1649" s="1599">
        <v>17.64</v>
      </c>
      <c r="P1649" s="1599">
        <v>181.76</v>
      </c>
      <c r="Q1649" s="1599">
        <v>8.8000000000000007</v>
      </c>
      <c r="R1649" s="1599">
        <v>190.56</v>
      </c>
      <c r="S1649" s="1592"/>
    </row>
    <row r="1650" spans="2:19" s="1593" customFormat="1" ht="11.25" customHeight="1" outlineLevel="1">
      <c r="B1650" s="1594">
        <v>34696</v>
      </c>
      <c r="C1650" s="1595" t="s">
        <v>4097</v>
      </c>
      <c r="D1650" s="1595" t="s">
        <v>12825</v>
      </c>
      <c r="E1650" s="1595"/>
      <c r="F1650" s="1595"/>
      <c r="G1650" s="1595" t="s">
        <v>12822</v>
      </c>
      <c r="H1650" s="1596">
        <v>3</v>
      </c>
      <c r="I1650" s="1595"/>
      <c r="J1650" s="1595"/>
      <c r="K1650" s="1599">
        <v>21</v>
      </c>
      <c r="L1650" s="1599">
        <v>208.2</v>
      </c>
      <c r="M1650" s="1598"/>
      <c r="N1650" s="1599">
        <v>208.2</v>
      </c>
      <c r="O1650" s="1599">
        <v>17.64</v>
      </c>
      <c r="P1650" s="1599">
        <v>181.76</v>
      </c>
      <c r="Q1650" s="1599">
        <v>8.8000000000000007</v>
      </c>
      <c r="R1650" s="1599">
        <v>190.56</v>
      </c>
      <c r="S1650" s="1592"/>
    </row>
    <row r="1651" spans="2:19" s="1593" customFormat="1" ht="11.25" customHeight="1" outlineLevel="1">
      <c r="B1651" s="1594">
        <v>34697</v>
      </c>
      <c r="C1651" s="1595" t="s">
        <v>4097</v>
      </c>
      <c r="D1651" s="1595" t="s">
        <v>12824</v>
      </c>
      <c r="E1651" s="1595"/>
      <c r="F1651" s="1595"/>
      <c r="G1651" s="1595" t="s">
        <v>12822</v>
      </c>
      <c r="H1651" s="1596">
        <v>3</v>
      </c>
      <c r="I1651" s="1595"/>
      <c r="J1651" s="1595"/>
      <c r="K1651" s="1599">
        <v>21</v>
      </c>
      <c r="L1651" s="1599">
        <v>208.2</v>
      </c>
      <c r="M1651" s="1598"/>
      <c r="N1651" s="1599">
        <v>208.2</v>
      </c>
      <c r="O1651" s="1599">
        <v>17.64</v>
      </c>
      <c r="P1651" s="1599">
        <v>181.76</v>
      </c>
      <c r="Q1651" s="1599">
        <v>8.8000000000000007</v>
      </c>
      <c r="R1651" s="1599">
        <v>190.56</v>
      </c>
      <c r="S1651" s="1592"/>
    </row>
    <row r="1652" spans="2:19" s="1593" customFormat="1" ht="11.25" customHeight="1" outlineLevel="1">
      <c r="B1652" s="1594">
        <v>34698</v>
      </c>
      <c r="C1652" s="1595" t="s">
        <v>4097</v>
      </c>
      <c r="D1652" s="1595" t="s">
        <v>12823</v>
      </c>
      <c r="E1652" s="1595"/>
      <c r="F1652" s="1595"/>
      <c r="G1652" s="1595" t="s">
        <v>12822</v>
      </c>
      <c r="H1652" s="1596">
        <v>3</v>
      </c>
      <c r="I1652" s="1595"/>
      <c r="J1652" s="1595"/>
      <c r="K1652" s="1599">
        <v>21</v>
      </c>
      <c r="L1652" s="1599">
        <v>208.2</v>
      </c>
      <c r="M1652" s="1598"/>
      <c r="N1652" s="1599">
        <v>208.2</v>
      </c>
      <c r="O1652" s="1599">
        <v>17.64</v>
      </c>
      <c r="P1652" s="1599">
        <v>181.76</v>
      </c>
      <c r="Q1652" s="1599">
        <v>8.8000000000000007</v>
      </c>
      <c r="R1652" s="1599">
        <v>190.56</v>
      </c>
      <c r="S1652" s="1592"/>
    </row>
    <row r="1653" spans="2:19" s="1593" customFormat="1" ht="11.25" customHeight="1" outlineLevel="1">
      <c r="B1653" s="1594">
        <v>28051</v>
      </c>
      <c r="C1653" s="1595" t="s">
        <v>12821</v>
      </c>
      <c r="D1653" s="1595" t="s">
        <v>12820</v>
      </c>
      <c r="E1653" s="1595"/>
      <c r="F1653" s="1595"/>
      <c r="G1653" s="1595" t="s">
        <v>3734</v>
      </c>
      <c r="H1653" s="1596">
        <v>2</v>
      </c>
      <c r="I1653" s="1595"/>
      <c r="J1653" s="1595"/>
      <c r="K1653" s="1597">
        <v>861938</v>
      </c>
      <c r="L1653" s="1597">
        <v>861938</v>
      </c>
      <c r="M1653" s="1598"/>
      <c r="N1653" s="1597">
        <v>861938</v>
      </c>
      <c r="O1653" s="1597">
        <v>481249.48</v>
      </c>
      <c r="P1653" s="1597">
        <v>363449.68</v>
      </c>
      <c r="Q1653" s="1597">
        <v>17238.84</v>
      </c>
      <c r="R1653" s="1597">
        <v>380688.52</v>
      </c>
      <c r="S1653" s="1592"/>
    </row>
    <row r="1654" spans="2:19" s="1593" customFormat="1" ht="11.25" customHeight="1" outlineLevel="1">
      <c r="B1654" s="1594">
        <v>28177</v>
      </c>
      <c r="C1654" s="1595" t="s">
        <v>4043</v>
      </c>
      <c r="D1654" s="1595" t="s">
        <v>12819</v>
      </c>
      <c r="E1654" s="1595"/>
      <c r="F1654" s="1595"/>
      <c r="G1654" s="1595" t="s">
        <v>12818</v>
      </c>
      <c r="H1654" s="1596">
        <v>2</v>
      </c>
      <c r="I1654" s="1595"/>
      <c r="J1654" s="1595"/>
      <c r="K1654" s="1597">
        <v>98497</v>
      </c>
      <c r="L1654" s="1597">
        <v>98497</v>
      </c>
      <c r="M1654" s="1598"/>
      <c r="N1654" s="1597">
        <v>98497</v>
      </c>
      <c r="O1654" s="1597">
        <v>55158.76</v>
      </c>
      <c r="P1654" s="1597">
        <v>41368.32</v>
      </c>
      <c r="Q1654" s="1597">
        <v>1969.92</v>
      </c>
      <c r="R1654" s="1597">
        <v>43338.239999999998</v>
      </c>
      <c r="S1654" s="1592"/>
    </row>
    <row r="1655" spans="2:19" s="1593" customFormat="1" ht="11.25" customHeight="1" outlineLevel="1">
      <c r="B1655" s="1594">
        <v>27987</v>
      </c>
      <c r="C1655" s="1595" t="s">
        <v>4026</v>
      </c>
      <c r="D1655" s="1595" t="s">
        <v>12817</v>
      </c>
      <c r="E1655" s="1595"/>
      <c r="F1655" s="1595"/>
      <c r="G1655" s="1595" t="s">
        <v>3596</v>
      </c>
      <c r="H1655" s="1596">
        <v>1</v>
      </c>
      <c r="I1655" s="1595"/>
      <c r="J1655" s="1595"/>
      <c r="K1655" s="1597">
        <v>250000</v>
      </c>
      <c r="L1655" s="1597">
        <v>250000</v>
      </c>
      <c r="M1655" s="1598"/>
      <c r="N1655" s="1597">
        <v>250000</v>
      </c>
      <c r="O1655" s="1597">
        <v>11070.03</v>
      </c>
      <c r="P1655" s="1597">
        <v>227859.97</v>
      </c>
      <c r="Q1655" s="1597">
        <v>11070</v>
      </c>
      <c r="R1655" s="1597">
        <v>238929.97</v>
      </c>
      <c r="S1655" s="1592"/>
    </row>
    <row r="1656" spans="2:19" s="1593" customFormat="1" ht="11.25" customHeight="1" outlineLevel="1">
      <c r="B1656" s="1594">
        <v>28663</v>
      </c>
      <c r="C1656" s="1595" t="s">
        <v>8445</v>
      </c>
      <c r="D1656" s="1595" t="s">
        <v>12816</v>
      </c>
      <c r="E1656" s="1595"/>
      <c r="F1656" s="1595"/>
      <c r="G1656" s="1595"/>
      <c r="H1656" s="1596">
        <v>1</v>
      </c>
      <c r="I1656" s="1595"/>
      <c r="J1656" s="1595"/>
      <c r="K1656" s="1597">
        <v>14083</v>
      </c>
      <c r="L1656" s="1597">
        <v>14083</v>
      </c>
      <c r="M1656" s="1597">
        <v>-14083</v>
      </c>
      <c r="N1656" s="1598"/>
      <c r="O1656" s="1598"/>
      <c r="P1656" s="1597">
        <v>14083</v>
      </c>
      <c r="Q1656" s="1597">
        <v>-14083</v>
      </c>
      <c r="R1656" s="1598"/>
      <c r="S1656" s="1592"/>
    </row>
    <row r="1657" spans="2:19" s="1593" customFormat="1" ht="11.25" customHeight="1" outlineLevel="1">
      <c r="B1657" s="1594">
        <v>22897</v>
      </c>
      <c r="C1657" s="1595" t="s">
        <v>4023</v>
      </c>
      <c r="D1657" s="1595" t="s">
        <v>12815</v>
      </c>
      <c r="E1657" s="1595"/>
      <c r="F1657" s="1595"/>
      <c r="G1657" s="1595"/>
      <c r="H1657" s="1596">
        <v>1</v>
      </c>
      <c r="I1657" s="1595"/>
      <c r="J1657" s="1595"/>
      <c r="K1657" s="1597">
        <v>8774</v>
      </c>
      <c r="L1657" s="1597">
        <v>116039</v>
      </c>
      <c r="M1657" s="1598"/>
      <c r="N1657" s="1597">
        <v>116039</v>
      </c>
      <c r="O1657" s="1599">
        <v>888.27</v>
      </c>
      <c r="P1657" s="1597">
        <v>110534.65</v>
      </c>
      <c r="Q1657" s="1597">
        <v>4616.08</v>
      </c>
      <c r="R1657" s="1597">
        <v>115150.73</v>
      </c>
      <c r="S1657" s="1592"/>
    </row>
    <row r="1658" spans="2:19" s="1593" customFormat="1" ht="11.25" customHeight="1" outlineLevel="1">
      <c r="B1658" s="1594">
        <v>27788</v>
      </c>
      <c r="C1658" s="1595" t="s">
        <v>3771</v>
      </c>
      <c r="D1658" s="1595" t="s">
        <v>12814</v>
      </c>
      <c r="E1658" s="1595"/>
      <c r="F1658" s="1595"/>
      <c r="G1658" s="1595" t="s">
        <v>12813</v>
      </c>
      <c r="H1658" s="1596">
        <v>2</v>
      </c>
      <c r="I1658" s="1595"/>
      <c r="J1658" s="1595"/>
      <c r="K1658" s="1597">
        <v>126291</v>
      </c>
      <c r="L1658" s="1597">
        <v>126291</v>
      </c>
      <c r="M1658" s="1598"/>
      <c r="N1658" s="1597">
        <v>126291</v>
      </c>
      <c r="O1658" s="1597">
        <v>59987.4</v>
      </c>
      <c r="P1658" s="1597">
        <v>63146.400000000001</v>
      </c>
      <c r="Q1658" s="1597">
        <v>3157.2</v>
      </c>
      <c r="R1658" s="1597">
        <v>66303.600000000006</v>
      </c>
      <c r="S1658" s="1592"/>
    </row>
    <row r="1659" spans="2:19" s="1593" customFormat="1" ht="11.25" customHeight="1" outlineLevel="1">
      <c r="B1659" s="1594">
        <v>28054</v>
      </c>
      <c r="C1659" s="1595" t="s">
        <v>3771</v>
      </c>
      <c r="D1659" s="1595" t="s">
        <v>12812</v>
      </c>
      <c r="E1659" s="1595"/>
      <c r="F1659" s="1595"/>
      <c r="G1659" s="1595" t="s">
        <v>12811</v>
      </c>
      <c r="H1659" s="1596">
        <v>3</v>
      </c>
      <c r="I1659" s="1595"/>
      <c r="J1659" s="1595"/>
      <c r="K1659" s="1599">
        <v>62</v>
      </c>
      <c r="L1659" s="1597">
        <v>34348</v>
      </c>
      <c r="M1659" s="1598"/>
      <c r="N1659" s="1597">
        <v>34348</v>
      </c>
      <c r="O1659" s="1597">
        <v>4294.24</v>
      </c>
      <c r="P1659" s="1597">
        <v>28622.400000000001</v>
      </c>
      <c r="Q1659" s="1597">
        <v>1431.36</v>
      </c>
      <c r="R1659" s="1597">
        <v>30053.759999999998</v>
      </c>
      <c r="S1659" s="1592"/>
    </row>
    <row r="1660" spans="2:19" s="1593" customFormat="1" ht="11.25" customHeight="1" outlineLevel="1">
      <c r="B1660" s="1594">
        <v>35226</v>
      </c>
      <c r="C1660" s="1595" t="s">
        <v>12810</v>
      </c>
      <c r="D1660" s="1595" t="s">
        <v>12809</v>
      </c>
      <c r="E1660" s="1595"/>
      <c r="F1660" s="1595"/>
      <c r="G1660" s="1595"/>
      <c r="H1660" s="1596">
        <v>1</v>
      </c>
      <c r="I1660" s="1595"/>
      <c r="J1660" s="1595"/>
      <c r="K1660" s="1597">
        <v>4900</v>
      </c>
      <c r="L1660" s="1597">
        <v>4900</v>
      </c>
      <c r="M1660" s="1597">
        <v>-4900</v>
      </c>
      <c r="N1660" s="1598"/>
      <c r="O1660" s="1598"/>
      <c r="P1660" s="1597">
        <v>4900</v>
      </c>
      <c r="Q1660" s="1597">
        <v>-4900</v>
      </c>
      <c r="R1660" s="1598"/>
      <c r="S1660" s="1592"/>
    </row>
    <row r="1661" spans="2:19" s="1593" customFormat="1" ht="11.25" customHeight="1" outlineLevel="1">
      <c r="B1661" s="1594">
        <v>29467</v>
      </c>
      <c r="C1661" s="1595" t="s">
        <v>3740</v>
      </c>
      <c r="D1661" s="1595" t="s">
        <v>12808</v>
      </c>
      <c r="E1661" s="1595"/>
      <c r="F1661" s="1595"/>
      <c r="G1661" s="1595" t="s">
        <v>12807</v>
      </c>
      <c r="H1661" s="1596">
        <v>2</v>
      </c>
      <c r="I1661" s="1595"/>
      <c r="J1661" s="1595"/>
      <c r="K1661" s="1597">
        <v>88569</v>
      </c>
      <c r="L1661" s="1597">
        <v>88569</v>
      </c>
      <c r="M1661" s="1598"/>
      <c r="N1661" s="1597">
        <v>88569</v>
      </c>
      <c r="O1661" s="1597">
        <v>44284.2</v>
      </c>
      <c r="P1661" s="1597">
        <v>42070.559999999998</v>
      </c>
      <c r="Q1661" s="1597">
        <v>2214.2399999999998</v>
      </c>
      <c r="R1661" s="1597">
        <v>44284.800000000003</v>
      </c>
      <c r="S1661" s="1592"/>
    </row>
    <row r="1662" spans="2:19" s="1593" customFormat="1" ht="11.25" customHeight="1" outlineLevel="1">
      <c r="B1662" s="1594">
        <v>29509</v>
      </c>
      <c r="C1662" s="1595" t="s">
        <v>3740</v>
      </c>
      <c r="D1662" s="1595" t="s">
        <v>12806</v>
      </c>
      <c r="E1662" s="1595"/>
      <c r="F1662" s="1595"/>
      <c r="G1662" s="1595"/>
      <c r="H1662" s="1596">
        <v>2</v>
      </c>
      <c r="I1662" s="1595"/>
      <c r="J1662" s="1595"/>
      <c r="K1662" s="1597">
        <v>4198</v>
      </c>
      <c r="L1662" s="1597">
        <v>4198</v>
      </c>
      <c r="M1662" s="1597">
        <v>-4198</v>
      </c>
      <c r="N1662" s="1598"/>
      <c r="O1662" s="1598"/>
      <c r="P1662" s="1597">
        <v>4198</v>
      </c>
      <c r="Q1662" s="1597">
        <v>-4198</v>
      </c>
      <c r="R1662" s="1598"/>
      <c r="S1662" s="1592"/>
    </row>
    <row r="1663" spans="2:19" s="1593" customFormat="1" ht="11.25" customHeight="1" outlineLevel="1">
      <c r="B1663" s="1594">
        <v>35218</v>
      </c>
      <c r="C1663" s="1595" t="s">
        <v>3740</v>
      </c>
      <c r="D1663" s="1595" t="s">
        <v>12805</v>
      </c>
      <c r="E1663" s="1595"/>
      <c r="F1663" s="1595"/>
      <c r="G1663" s="1595"/>
      <c r="H1663" s="1596">
        <v>2</v>
      </c>
      <c r="I1663" s="1595"/>
      <c r="J1663" s="1595"/>
      <c r="K1663" s="1597">
        <v>30000</v>
      </c>
      <c r="L1663" s="1597">
        <v>30000</v>
      </c>
      <c r="M1663" s="1597">
        <v>-30000</v>
      </c>
      <c r="N1663" s="1598"/>
      <c r="O1663" s="1598"/>
      <c r="P1663" s="1597">
        <v>30000</v>
      </c>
      <c r="Q1663" s="1597">
        <v>-30000</v>
      </c>
      <c r="R1663" s="1598"/>
      <c r="S1663" s="1592"/>
    </row>
    <row r="1664" spans="2:19" s="1593" customFormat="1" ht="11.25" customHeight="1" outlineLevel="1">
      <c r="B1664" s="1594">
        <v>29622</v>
      </c>
      <c r="C1664" s="1595" t="s">
        <v>12804</v>
      </c>
      <c r="D1664" s="1595" t="s">
        <v>12803</v>
      </c>
      <c r="E1664" s="1595"/>
      <c r="F1664" s="1595"/>
      <c r="G1664" s="1595"/>
      <c r="H1664" s="1596">
        <v>2</v>
      </c>
      <c r="I1664" s="1595"/>
      <c r="J1664" s="1595"/>
      <c r="K1664" s="1597">
        <v>57600</v>
      </c>
      <c r="L1664" s="1597">
        <v>57600</v>
      </c>
      <c r="M1664" s="1597">
        <v>-57600</v>
      </c>
      <c r="N1664" s="1598"/>
      <c r="O1664" s="1598"/>
      <c r="P1664" s="1597">
        <v>57600</v>
      </c>
      <c r="Q1664" s="1597">
        <v>-57600</v>
      </c>
      <c r="R1664" s="1598"/>
      <c r="S1664" s="1592"/>
    </row>
    <row r="1665" spans="2:19" s="1593" customFormat="1" ht="11.25" customHeight="1" outlineLevel="1">
      <c r="B1665" s="1594">
        <v>29652</v>
      </c>
      <c r="C1665" s="1595" t="s">
        <v>11922</v>
      </c>
      <c r="D1665" s="1595" t="s">
        <v>12802</v>
      </c>
      <c r="E1665" s="1595"/>
      <c r="F1665" s="1595"/>
      <c r="G1665" s="1595"/>
      <c r="H1665" s="1596">
        <v>2</v>
      </c>
      <c r="I1665" s="1595"/>
      <c r="J1665" s="1595"/>
      <c r="K1665" s="1597">
        <v>16962</v>
      </c>
      <c r="L1665" s="1597">
        <v>16962</v>
      </c>
      <c r="M1665" s="1597">
        <v>-16962</v>
      </c>
      <c r="N1665" s="1598"/>
      <c r="O1665" s="1598"/>
      <c r="P1665" s="1597">
        <v>16962</v>
      </c>
      <c r="Q1665" s="1597">
        <v>-16962</v>
      </c>
      <c r="R1665" s="1598"/>
      <c r="S1665" s="1592"/>
    </row>
    <row r="1666" spans="2:19" s="1593" customFormat="1" ht="11.25" customHeight="1" outlineLevel="1">
      <c r="B1666" s="1594">
        <v>30476</v>
      </c>
      <c r="C1666" s="1595" t="s">
        <v>8215</v>
      </c>
      <c r="D1666" s="1595" t="s">
        <v>12801</v>
      </c>
      <c r="E1666" s="1595"/>
      <c r="F1666" s="1595"/>
      <c r="G1666" s="1595"/>
      <c r="H1666" s="1596">
        <v>2</v>
      </c>
      <c r="I1666" s="1595"/>
      <c r="J1666" s="1595"/>
      <c r="K1666" s="1597">
        <v>2062.5</v>
      </c>
      <c r="L1666" s="1597">
        <v>2062.5</v>
      </c>
      <c r="M1666" s="1597">
        <v>-2062.5</v>
      </c>
      <c r="N1666" s="1598"/>
      <c r="O1666" s="1598"/>
      <c r="P1666" s="1597">
        <v>2062.5</v>
      </c>
      <c r="Q1666" s="1597">
        <v>-2062.5</v>
      </c>
      <c r="R1666" s="1598"/>
      <c r="S1666" s="1592"/>
    </row>
    <row r="1667" spans="2:19" s="1593" customFormat="1" ht="11.25" customHeight="1" outlineLevel="1">
      <c r="B1667" s="1594">
        <v>29895</v>
      </c>
      <c r="C1667" s="1595" t="s">
        <v>12800</v>
      </c>
      <c r="D1667" s="1595" t="s">
        <v>12799</v>
      </c>
      <c r="E1667" s="1595"/>
      <c r="F1667" s="1595"/>
      <c r="G1667" s="1595"/>
      <c r="H1667" s="1596">
        <v>1</v>
      </c>
      <c r="I1667" s="1595"/>
      <c r="J1667" s="1595"/>
      <c r="K1667" s="1597">
        <v>26163</v>
      </c>
      <c r="L1667" s="1597">
        <v>26163</v>
      </c>
      <c r="M1667" s="1597">
        <v>-26163</v>
      </c>
      <c r="N1667" s="1598"/>
      <c r="O1667" s="1598"/>
      <c r="P1667" s="1597">
        <v>26163</v>
      </c>
      <c r="Q1667" s="1597">
        <v>-26163</v>
      </c>
      <c r="R1667" s="1598"/>
      <c r="S1667" s="1592"/>
    </row>
    <row r="1668" spans="2:19" s="1593" customFormat="1" ht="11.25" customHeight="1" outlineLevel="1">
      <c r="B1668" s="1594">
        <v>31028</v>
      </c>
      <c r="C1668" s="1595" t="s">
        <v>12798</v>
      </c>
      <c r="D1668" s="1595" t="s">
        <v>12797</v>
      </c>
      <c r="E1668" s="1595"/>
      <c r="F1668" s="1595"/>
      <c r="G1668" s="1595"/>
      <c r="H1668" s="1596">
        <v>2</v>
      </c>
      <c r="I1668" s="1595"/>
      <c r="J1668" s="1595"/>
      <c r="K1668" s="1597">
        <v>66000</v>
      </c>
      <c r="L1668" s="1597">
        <v>66000</v>
      </c>
      <c r="M1668" s="1597">
        <v>-66000</v>
      </c>
      <c r="N1668" s="1598"/>
      <c r="O1668" s="1598"/>
      <c r="P1668" s="1597">
        <v>66000</v>
      </c>
      <c r="Q1668" s="1597">
        <v>-66000</v>
      </c>
      <c r="R1668" s="1598"/>
      <c r="S1668" s="1592"/>
    </row>
    <row r="1669" spans="2:19" s="1593" customFormat="1" ht="11.25" customHeight="1" outlineLevel="1">
      <c r="B1669" s="1594">
        <v>31203</v>
      </c>
      <c r="C1669" s="1595" t="s">
        <v>3721</v>
      </c>
      <c r="D1669" s="1595" t="s">
        <v>12796</v>
      </c>
      <c r="E1669" s="1595"/>
      <c r="F1669" s="1595"/>
      <c r="G1669" s="1595" t="s">
        <v>3596</v>
      </c>
      <c r="H1669" s="1596">
        <v>1</v>
      </c>
      <c r="I1669" s="1595"/>
      <c r="J1669" s="1595"/>
      <c r="K1669" s="1597">
        <v>270000</v>
      </c>
      <c r="L1669" s="1597">
        <v>270000</v>
      </c>
      <c r="M1669" s="1598"/>
      <c r="N1669" s="1597">
        <v>270000</v>
      </c>
      <c r="O1669" s="1597">
        <v>13500</v>
      </c>
      <c r="P1669" s="1597">
        <v>243000</v>
      </c>
      <c r="Q1669" s="1597">
        <v>13500</v>
      </c>
      <c r="R1669" s="1597">
        <v>256500</v>
      </c>
      <c r="S1669" s="1592"/>
    </row>
    <row r="1670" spans="2:19" s="1593" customFormat="1" ht="11.25" customHeight="1" outlineLevel="1">
      <c r="B1670" s="1594">
        <v>31204</v>
      </c>
      <c r="C1670" s="1595" t="s">
        <v>3721</v>
      </c>
      <c r="D1670" s="1595" t="s">
        <v>12795</v>
      </c>
      <c r="E1670" s="1595"/>
      <c r="F1670" s="1595"/>
      <c r="G1670" s="1595"/>
      <c r="H1670" s="1596">
        <v>1</v>
      </c>
      <c r="I1670" s="1595"/>
      <c r="J1670" s="1595"/>
      <c r="K1670" s="1597">
        <v>2418</v>
      </c>
      <c r="L1670" s="1597">
        <v>2418</v>
      </c>
      <c r="M1670" s="1597">
        <v>-2418</v>
      </c>
      <c r="N1670" s="1598"/>
      <c r="O1670" s="1598"/>
      <c r="P1670" s="1597">
        <v>2418</v>
      </c>
      <c r="Q1670" s="1597">
        <v>-2418</v>
      </c>
      <c r="R1670" s="1598"/>
      <c r="S1670" s="1592"/>
    </row>
    <row r="1671" spans="2:19" s="1593" customFormat="1" ht="11.25" customHeight="1" outlineLevel="1">
      <c r="B1671" s="1594">
        <v>34295</v>
      </c>
      <c r="C1671" s="1595" t="s">
        <v>3721</v>
      </c>
      <c r="D1671" s="1595" t="s">
        <v>12794</v>
      </c>
      <c r="E1671" s="1595"/>
      <c r="F1671" s="1595"/>
      <c r="G1671" s="1595"/>
      <c r="H1671" s="1596">
        <v>1</v>
      </c>
      <c r="I1671" s="1595"/>
      <c r="J1671" s="1595"/>
      <c r="K1671" s="1597">
        <v>4322</v>
      </c>
      <c r="L1671" s="1597">
        <v>4322.33</v>
      </c>
      <c r="M1671" s="1597">
        <v>-4322.33</v>
      </c>
      <c r="N1671" s="1598"/>
      <c r="O1671" s="1598"/>
      <c r="P1671" s="1597">
        <v>4322.33</v>
      </c>
      <c r="Q1671" s="1597">
        <v>-4322.33</v>
      </c>
      <c r="R1671" s="1598"/>
      <c r="S1671" s="1592"/>
    </row>
    <row r="1672" spans="2:19" s="1593" customFormat="1" ht="11.25" customHeight="1" outlineLevel="1">
      <c r="B1672" s="1594">
        <v>31296</v>
      </c>
      <c r="C1672" s="1595" t="s">
        <v>3713</v>
      </c>
      <c r="D1672" s="1595" t="s">
        <v>12793</v>
      </c>
      <c r="E1672" s="1595"/>
      <c r="F1672" s="1595"/>
      <c r="G1672" s="1595"/>
      <c r="H1672" s="1596">
        <v>2</v>
      </c>
      <c r="I1672" s="1595"/>
      <c r="J1672" s="1595"/>
      <c r="K1672" s="1597">
        <v>4198</v>
      </c>
      <c r="L1672" s="1597">
        <v>4198.5</v>
      </c>
      <c r="M1672" s="1597">
        <v>-4198.5</v>
      </c>
      <c r="N1672" s="1598"/>
      <c r="O1672" s="1598"/>
      <c r="P1672" s="1597">
        <v>4198.5</v>
      </c>
      <c r="Q1672" s="1597">
        <v>-4198.5</v>
      </c>
      <c r="R1672" s="1598"/>
      <c r="S1672" s="1592"/>
    </row>
    <row r="1673" spans="2:19" s="1593" customFormat="1" ht="11.25" customHeight="1" outlineLevel="1">
      <c r="B1673" s="1594">
        <v>33212</v>
      </c>
      <c r="C1673" s="1595" t="s">
        <v>3713</v>
      </c>
      <c r="D1673" s="1595" t="s">
        <v>12792</v>
      </c>
      <c r="E1673" s="1595"/>
      <c r="F1673" s="1595"/>
      <c r="G1673" s="1595"/>
      <c r="H1673" s="1596">
        <v>2</v>
      </c>
      <c r="I1673" s="1595"/>
      <c r="J1673" s="1595"/>
      <c r="K1673" s="1597">
        <v>4198</v>
      </c>
      <c r="L1673" s="1597">
        <v>4198.5</v>
      </c>
      <c r="M1673" s="1597">
        <v>-4198.5</v>
      </c>
      <c r="N1673" s="1598"/>
      <c r="O1673" s="1598"/>
      <c r="P1673" s="1597">
        <v>4198.5</v>
      </c>
      <c r="Q1673" s="1597">
        <v>-4198.5</v>
      </c>
      <c r="R1673" s="1598"/>
      <c r="S1673" s="1592"/>
    </row>
    <row r="1674" spans="2:19" s="1593" customFormat="1" ht="11.25" customHeight="1" outlineLevel="1">
      <c r="B1674" s="1594">
        <v>29825</v>
      </c>
      <c r="C1674" s="1595" t="s">
        <v>12791</v>
      </c>
      <c r="D1674" s="1595" t="s">
        <v>12790</v>
      </c>
      <c r="E1674" s="1595"/>
      <c r="F1674" s="1595"/>
      <c r="G1674" s="1595"/>
      <c r="H1674" s="1596">
        <v>1</v>
      </c>
      <c r="I1674" s="1595"/>
      <c r="J1674" s="1595"/>
      <c r="K1674" s="1597">
        <v>66000</v>
      </c>
      <c r="L1674" s="1597">
        <v>66000</v>
      </c>
      <c r="M1674" s="1597">
        <v>-66000</v>
      </c>
      <c r="N1674" s="1598"/>
      <c r="O1674" s="1598"/>
      <c r="P1674" s="1597">
        <v>66000</v>
      </c>
      <c r="Q1674" s="1597">
        <v>-66000</v>
      </c>
      <c r="R1674" s="1598"/>
      <c r="S1674" s="1592"/>
    </row>
    <row r="1675" spans="2:19" s="1593" customFormat="1" ht="21.75" customHeight="1" outlineLevel="1">
      <c r="B1675" s="1594">
        <v>31384</v>
      </c>
      <c r="C1675" s="1595" t="s">
        <v>3711</v>
      </c>
      <c r="D1675" s="1595" t="s">
        <v>12789</v>
      </c>
      <c r="E1675" s="1595"/>
      <c r="F1675" s="1595"/>
      <c r="G1675" s="1595" t="s">
        <v>12788</v>
      </c>
      <c r="H1675" s="1596">
        <v>3</v>
      </c>
      <c r="I1675" s="1595"/>
      <c r="J1675" s="1595"/>
      <c r="K1675" s="1597">
        <v>10540</v>
      </c>
      <c r="L1675" s="1597">
        <v>10540</v>
      </c>
      <c r="M1675" s="1598"/>
      <c r="N1675" s="1597">
        <v>10540</v>
      </c>
      <c r="O1675" s="1597">
        <v>1821.25</v>
      </c>
      <c r="P1675" s="1597">
        <v>8253.75</v>
      </c>
      <c r="Q1675" s="1599">
        <v>465</v>
      </c>
      <c r="R1675" s="1597">
        <v>8718.75</v>
      </c>
      <c r="S1675" s="1592"/>
    </row>
    <row r="1676" spans="2:19" s="1593" customFormat="1" ht="11.25" customHeight="1" outlineLevel="1">
      <c r="B1676" s="1594">
        <v>31389</v>
      </c>
      <c r="C1676" s="1595" t="s">
        <v>3711</v>
      </c>
      <c r="D1676" s="1595" t="s">
        <v>12787</v>
      </c>
      <c r="E1676" s="1595"/>
      <c r="F1676" s="1595"/>
      <c r="G1676" s="1595"/>
      <c r="H1676" s="1596">
        <v>1</v>
      </c>
      <c r="I1676" s="1595"/>
      <c r="J1676" s="1595"/>
      <c r="K1676" s="1597">
        <v>14937</v>
      </c>
      <c r="L1676" s="1597">
        <v>14937</v>
      </c>
      <c r="M1676" s="1597">
        <v>-14937</v>
      </c>
      <c r="N1676" s="1598"/>
      <c r="O1676" s="1598"/>
      <c r="P1676" s="1597">
        <v>14937</v>
      </c>
      <c r="Q1676" s="1597">
        <v>-14937</v>
      </c>
      <c r="R1676" s="1598"/>
      <c r="S1676" s="1592"/>
    </row>
    <row r="1677" spans="2:19" s="1593" customFormat="1" ht="11.25" customHeight="1" outlineLevel="1">
      <c r="B1677" s="1594">
        <v>31391</v>
      </c>
      <c r="C1677" s="1595" t="s">
        <v>3711</v>
      </c>
      <c r="D1677" s="1595" t="s">
        <v>12786</v>
      </c>
      <c r="E1677" s="1595"/>
      <c r="F1677" s="1595"/>
      <c r="G1677" s="1595" t="s">
        <v>12785</v>
      </c>
      <c r="H1677" s="1596">
        <v>3</v>
      </c>
      <c r="I1677" s="1595"/>
      <c r="J1677" s="1595"/>
      <c r="K1677" s="1597">
        <v>531552</v>
      </c>
      <c r="L1677" s="1597">
        <v>531552</v>
      </c>
      <c r="M1677" s="1598"/>
      <c r="N1677" s="1597">
        <v>531552</v>
      </c>
      <c r="O1677" s="1597">
        <v>248812.38</v>
      </c>
      <c r="P1677" s="1597">
        <v>267660.06</v>
      </c>
      <c r="Q1677" s="1597">
        <v>15079.56</v>
      </c>
      <c r="R1677" s="1597">
        <v>282739.62</v>
      </c>
      <c r="S1677" s="1592"/>
    </row>
    <row r="1678" spans="2:19" s="1593" customFormat="1" ht="11.25" customHeight="1" outlineLevel="1">
      <c r="B1678" s="1594">
        <v>31393</v>
      </c>
      <c r="C1678" s="1595" t="s">
        <v>3711</v>
      </c>
      <c r="D1678" s="1595" t="s">
        <v>12784</v>
      </c>
      <c r="E1678" s="1595"/>
      <c r="F1678" s="1595"/>
      <c r="G1678" s="1595" t="s">
        <v>3734</v>
      </c>
      <c r="H1678" s="1596">
        <v>1</v>
      </c>
      <c r="I1678" s="1595"/>
      <c r="J1678" s="1595"/>
      <c r="K1678" s="1597">
        <v>256673</v>
      </c>
      <c r="L1678" s="1597">
        <v>256673.5</v>
      </c>
      <c r="M1678" s="1598"/>
      <c r="N1678" s="1597">
        <v>256673.5</v>
      </c>
      <c r="O1678" s="1597">
        <v>2209.15</v>
      </c>
      <c r="P1678" s="1597">
        <v>242984.01</v>
      </c>
      <c r="Q1678" s="1597">
        <v>11480.34</v>
      </c>
      <c r="R1678" s="1597">
        <v>254464.35</v>
      </c>
      <c r="S1678" s="1592"/>
    </row>
    <row r="1679" spans="2:19" s="1593" customFormat="1" ht="11.25" customHeight="1" outlineLevel="1">
      <c r="B1679" s="1594">
        <v>34836</v>
      </c>
      <c r="C1679" s="1595" t="s">
        <v>3711</v>
      </c>
      <c r="D1679" s="1595" t="s">
        <v>12783</v>
      </c>
      <c r="E1679" s="1595"/>
      <c r="F1679" s="1595"/>
      <c r="G1679" s="1595" t="s">
        <v>3734</v>
      </c>
      <c r="H1679" s="1596">
        <v>1</v>
      </c>
      <c r="I1679" s="1595"/>
      <c r="J1679" s="1595"/>
      <c r="K1679" s="1597">
        <v>256673</v>
      </c>
      <c r="L1679" s="1597">
        <v>256673.5</v>
      </c>
      <c r="M1679" s="1598"/>
      <c r="N1679" s="1597">
        <v>256673.5</v>
      </c>
      <c r="O1679" s="1597">
        <v>2209.15</v>
      </c>
      <c r="P1679" s="1597">
        <v>242984.01</v>
      </c>
      <c r="Q1679" s="1597">
        <v>11480.34</v>
      </c>
      <c r="R1679" s="1597">
        <v>254464.35</v>
      </c>
      <c r="S1679" s="1592"/>
    </row>
    <row r="1680" spans="2:19" s="1593" customFormat="1" ht="11.25" customHeight="1" outlineLevel="1">
      <c r="B1680" s="1594">
        <v>32491</v>
      </c>
      <c r="C1680" s="1595" t="s">
        <v>3660</v>
      </c>
      <c r="D1680" s="1595" t="s">
        <v>12782</v>
      </c>
      <c r="E1680" s="1595"/>
      <c r="F1680" s="1595"/>
      <c r="G1680" s="1595"/>
      <c r="H1680" s="1596">
        <v>1</v>
      </c>
      <c r="I1680" s="1595"/>
      <c r="J1680" s="1595"/>
      <c r="K1680" s="1597">
        <v>1875</v>
      </c>
      <c r="L1680" s="1597">
        <v>1875</v>
      </c>
      <c r="M1680" s="1597">
        <v>-1875</v>
      </c>
      <c r="N1680" s="1598"/>
      <c r="O1680" s="1598"/>
      <c r="P1680" s="1597">
        <v>1875</v>
      </c>
      <c r="Q1680" s="1597">
        <v>-1875</v>
      </c>
      <c r="R1680" s="1598"/>
      <c r="S1680" s="1592"/>
    </row>
    <row r="1681" spans="2:19" s="1593" customFormat="1" ht="11.25" customHeight="1" outlineLevel="1">
      <c r="B1681" s="1594">
        <v>32498</v>
      </c>
      <c r="C1681" s="1595" t="s">
        <v>3660</v>
      </c>
      <c r="D1681" s="1595" t="s">
        <v>12781</v>
      </c>
      <c r="E1681" s="1595"/>
      <c r="F1681" s="1595"/>
      <c r="G1681" s="1595"/>
      <c r="H1681" s="1596">
        <v>1</v>
      </c>
      <c r="I1681" s="1595"/>
      <c r="J1681" s="1595"/>
      <c r="K1681" s="1597">
        <v>1104.75</v>
      </c>
      <c r="L1681" s="1597">
        <v>1104.75</v>
      </c>
      <c r="M1681" s="1597">
        <v>-1104.75</v>
      </c>
      <c r="N1681" s="1598"/>
      <c r="O1681" s="1598"/>
      <c r="P1681" s="1597">
        <v>1104.75</v>
      </c>
      <c r="Q1681" s="1597">
        <v>-1104.75</v>
      </c>
      <c r="R1681" s="1598"/>
      <c r="S1681" s="1592"/>
    </row>
    <row r="1682" spans="2:19" s="1593" customFormat="1" ht="11.25" customHeight="1" outlineLevel="1">
      <c r="B1682" s="1594">
        <v>32499</v>
      </c>
      <c r="C1682" s="1595" t="s">
        <v>3660</v>
      </c>
      <c r="D1682" s="1595" t="s">
        <v>12780</v>
      </c>
      <c r="E1682" s="1595"/>
      <c r="F1682" s="1595"/>
      <c r="G1682" s="1595"/>
      <c r="H1682" s="1596">
        <v>1</v>
      </c>
      <c r="I1682" s="1595"/>
      <c r="J1682" s="1595"/>
      <c r="K1682" s="1597">
        <v>1875</v>
      </c>
      <c r="L1682" s="1597">
        <v>1875</v>
      </c>
      <c r="M1682" s="1597">
        <v>-1875</v>
      </c>
      <c r="N1682" s="1598"/>
      <c r="O1682" s="1598"/>
      <c r="P1682" s="1597">
        <v>1875</v>
      </c>
      <c r="Q1682" s="1597">
        <v>-1875</v>
      </c>
      <c r="R1682" s="1598"/>
      <c r="S1682" s="1592"/>
    </row>
    <row r="1683" spans="2:19" s="1593" customFormat="1" ht="11.25" customHeight="1" outlineLevel="1">
      <c r="B1683" s="1594">
        <v>35222</v>
      </c>
      <c r="C1683" s="1595" t="s">
        <v>8058</v>
      </c>
      <c r="D1683" s="1595" t="s">
        <v>12779</v>
      </c>
      <c r="E1683" s="1595"/>
      <c r="F1683" s="1595"/>
      <c r="G1683" s="1595"/>
      <c r="H1683" s="1596">
        <v>2</v>
      </c>
      <c r="I1683" s="1595"/>
      <c r="J1683" s="1595"/>
      <c r="K1683" s="1597">
        <v>9850</v>
      </c>
      <c r="L1683" s="1597">
        <v>9850</v>
      </c>
      <c r="M1683" s="1597">
        <v>-9850</v>
      </c>
      <c r="N1683" s="1598"/>
      <c r="O1683" s="1598"/>
      <c r="P1683" s="1597">
        <v>9850</v>
      </c>
      <c r="Q1683" s="1597">
        <v>-9850</v>
      </c>
      <c r="R1683" s="1598"/>
      <c r="S1683" s="1592"/>
    </row>
    <row r="1684" spans="2:19" s="1593" customFormat="1" ht="11.25" customHeight="1" outlineLevel="1">
      <c r="B1684" s="1594">
        <v>29759</v>
      </c>
      <c r="C1684" s="1595" t="s">
        <v>8055</v>
      </c>
      <c r="D1684" s="1595" t="s">
        <v>12778</v>
      </c>
      <c r="E1684" s="1595"/>
      <c r="F1684" s="1595"/>
      <c r="G1684" s="1595"/>
      <c r="H1684" s="1596">
        <v>2</v>
      </c>
      <c r="I1684" s="1595"/>
      <c r="J1684" s="1595"/>
      <c r="K1684" s="1597">
        <v>38320</v>
      </c>
      <c r="L1684" s="1597">
        <v>38320</v>
      </c>
      <c r="M1684" s="1597">
        <v>-38320</v>
      </c>
      <c r="N1684" s="1598"/>
      <c r="O1684" s="1598"/>
      <c r="P1684" s="1597">
        <v>38320</v>
      </c>
      <c r="Q1684" s="1597">
        <v>-38320</v>
      </c>
      <c r="R1684" s="1598"/>
      <c r="S1684" s="1592"/>
    </row>
    <row r="1685" spans="2:19" s="1593" customFormat="1" ht="11.25" customHeight="1" outlineLevel="1">
      <c r="B1685" s="1594">
        <v>37540</v>
      </c>
      <c r="C1685" s="1595" t="s">
        <v>8052</v>
      </c>
      <c r="D1685" s="1595" t="s">
        <v>12777</v>
      </c>
      <c r="E1685" s="1595"/>
      <c r="F1685" s="1595"/>
      <c r="G1685" s="1595" t="s">
        <v>12776</v>
      </c>
      <c r="H1685" s="1596">
        <v>2</v>
      </c>
      <c r="I1685" s="1595"/>
      <c r="J1685" s="1595"/>
      <c r="K1685" s="1597">
        <v>38740.410000000003</v>
      </c>
      <c r="L1685" s="1597">
        <v>38740.410000000003</v>
      </c>
      <c r="M1685" s="1598"/>
      <c r="N1685" s="1597">
        <v>38740.410000000003</v>
      </c>
      <c r="O1685" s="1597">
        <v>27053.1</v>
      </c>
      <c r="P1685" s="1597">
        <v>11028.87</v>
      </c>
      <c r="Q1685" s="1599">
        <v>658.44</v>
      </c>
      <c r="R1685" s="1597">
        <v>11687.31</v>
      </c>
      <c r="S1685" s="1592"/>
    </row>
    <row r="1686" spans="2:19" s="1593" customFormat="1" ht="11.25" customHeight="1" outlineLevel="1">
      <c r="B1686" s="1594">
        <v>38129</v>
      </c>
      <c r="C1686" s="1595" t="s">
        <v>3648</v>
      </c>
      <c r="D1686" s="1595" t="s">
        <v>12775</v>
      </c>
      <c r="E1686" s="1595"/>
      <c r="F1686" s="1595"/>
      <c r="G1686" s="1595" t="s">
        <v>3646</v>
      </c>
      <c r="H1686" s="1596">
        <v>2</v>
      </c>
      <c r="I1686" s="1595"/>
      <c r="J1686" s="1595"/>
      <c r="K1686" s="1597">
        <v>216361</v>
      </c>
      <c r="L1686" s="1597">
        <v>216361</v>
      </c>
      <c r="M1686" s="1598"/>
      <c r="N1686" s="1597">
        <v>216361</v>
      </c>
      <c r="O1686" s="1597">
        <v>31553.26</v>
      </c>
      <c r="P1686" s="1597">
        <v>173989.5</v>
      </c>
      <c r="Q1686" s="1597">
        <v>10818.24</v>
      </c>
      <c r="R1686" s="1597">
        <v>184807.74</v>
      </c>
      <c r="S1686" s="1592"/>
    </row>
    <row r="1687" spans="2:19" s="1593" customFormat="1" ht="11.25" customHeight="1" outlineLevel="1">
      <c r="B1687" s="1594">
        <v>38158</v>
      </c>
      <c r="C1687" s="1595" t="s">
        <v>12774</v>
      </c>
      <c r="D1687" s="1595" t="s">
        <v>12773</v>
      </c>
      <c r="E1687" s="1595"/>
      <c r="F1687" s="1595"/>
      <c r="G1687" s="1595"/>
      <c r="H1687" s="1596">
        <v>2</v>
      </c>
      <c r="I1687" s="1595"/>
      <c r="J1687" s="1595"/>
      <c r="K1687" s="1597">
        <v>12402</v>
      </c>
      <c r="L1687" s="1597">
        <v>12402</v>
      </c>
      <c r="M1687" s="1597">
        <v>-12402</v>
      </c>
      <c r="N1687" s="1598"/>
      <c r="O1687" s="1598"/>
      <c r="P1687" s="1597">
        <v>12402</v>
      </c>
      <c r="Q1687" s="1597">
        <v>-12402</v>
      </c>
      <c r="R1687" s="1598"/>
      <c r="S1687" s="1592"/>
    </row>
    <row r="1688" spans="2:19" s="1593" customFormat="1" ht="11.25" customHeight="1" outlineLevel="1">
      <c r="B1688" s="1594">
        <v>37933</v>
      </c>
      <c r="C1688" s="1595" t="s">
        <v>12772</v>
      </c>
      <c r="D1688" s="1595" t="s">
        <v>12771</v>
      </c>
      <c r="E1688" s="1595"/>
      <c r="F1688" s="1595"/>
      <c r="G1688" s="1595"/>
      <c r="H1688" s="1596">
        <v>2</v>
      </c>
      <c r="I1688" s="1595"/>
      <c r="J1688" s="1595"/>
      <c r="K1688" s="1597">
        <v>78892</v>
      </c>
      <c r="L1688" s="1597">
        <v>78892</v>
      </c>
      <c r="M1688" s="1597">
        <v>-78892</v>
      </c>
      <c r="N1688" s="1598"/>
      <c r="O1688" s="1598"/>
      <c r="P1688" s="1597">
        <v>78892</v>
      </c>
      <c r="Q1688" s="1597">
        <v>-78892</v>
      </c>
      <c r="R1688" s="1598"/>
      <c r="S1688" s="1592"/>
    </row>
    <row r="1689" spans="2:19" s="1593" customFormat="1" ht="11.25" customHeight="1" outlineLevel="1">
      <c r="B1689" s="1594">
        <v>39004</v>
      </c>
      <c r="C1689" s="1595" t="s">
        <v>3630</v>
      </c>
      <c r="D1689" s="1595" t="s">
        <v>12770</v>
      </c>
      <c r="E1689" s="1595"/>
      <c r="F1689" s="1595"/>
      <c r="G1689" s="1595" t="s">
        <v>12769</v>
      </c>
      <c r="H1689" s="1596">
        <v>2</v>
      </c>
      <c r="I1689" s="1595"/>
      <c r="J1689" s="1595"/>
      <c r="K1689" s="1597">
        <v>366200</v>
      </c>
      <c r="L1689" s="1597">
        <v>366200</v>
      </c>
      <c r="M1689" s="1598"/>
      <c r="N1689" s="1597">
        <v>366200</v>
      </c>
      <c r="O1689" s="1597">
        <v>112443.38</v>
      </c>
      <c r="P1689" s="1597">
        <v>235522.5</v>
      </c>
      <c r="Q1689" s="1597">
        <v>18234.12</v>
      </c>
      <c r="R1689" s="1597">
        <v>253756.62</v>
      </c>
      <c r="S1689" s="1592"/>
    </row>
    <row r="1690" spans="2:19" s="1593" customFormat="1" ht="11.25" customHeight="1" outlineLevel="1">
      <c r="B1690" s="1594">
        <v>39074</v>
      </c>
      <c r="C1690" s="1595" t="s">
        <v>3618</v>
      </c>
      <c r="D1690" s="1595" t="s">
        <v>12768</v>
      </c>
      <c r="E1690" s="1595"/>
      <c r="F1690" s="1595"/>
      <c r="G1690" s="1595" t="s">
        <v>12767</v>
      </c>
      <c r="H1690" s="1596">
        <v>2</v>
      </c>
      <c r="I1690" s="1595"/>
      <c r="J1690" s="1595"/>
      <c r="K1690" s="1597">
        <v>698937.2</v>
      </c>
      <c r="L1690" s="1597">
        <v>698937.2</v>
      </c>
      <c r="M1690" s="1598"/>
      <c r="N1690" s="1597">
        <v>698937.2</v>
      </c>
      <c r="O1690" s="1597">
        <v>220412.33</v>
      </c>
      <c r="P1690" s="1597">
        <v>443722.95</v>
      </c>
      <c r="Q1690" s="1597">
        <v>34801.919999999998</v>
      </c>
      <c r="R1690" s="1597">
        <v>478524.87</v>
      </c>
      <c r="S1690" s="1592"/>
    </row>
    <row r="1691" spans="2:19" s="1593" customFormat="1" ht="11.25" customHeight="1" outlineLevel="1">
      <c r="B1691" s="1600" t="s">
        <v>12766</v>
      </c>
      <c r="C1691" s="1595" t="s">
        <v>12765</v>
      </c>
      <c r="D1691" s="1595" t="s">
        <v>12764</v>
      </c>
      <c r="E1691" s="1595"/>
      <c r="F1691" s="1595"/>
      <c r="G1691" s="1595"/>
      <c r="H1691" s="1596">
        <v>2</v>
      </c>
      <c r="I1691" s="1595"/>
      <c r="J1691" s="1595"/>
      <c r="K1691" s="1597">
        <v>43418.18</v>
      </c>
      <c r="L1691" s="1597">
        <v>43418.18</v>
      </c>
      <c r="M1691" s="1597">
        <v>-43418.18</v>
      </c>
      <c r="N1691" s="1598"/>
      <c r="O1691" s="1598"/>
      <c r="P1691" s="1597">
        <v>43418.18</v>
      </c>
      <c r="Q1691" s="1597">
        <v>-43418.18</v>
      </c>
      <c r="R1691" s="1598"/>
      <c r="S1691" s="1592"/>
    </row>
    <row r="1692" spans="2:19" s="1593" customFormat="1" ht="11.25" customHeight="1" outlineLevel="1">
      <c r="B1692" s="1600" t="s">
        <v>12763</v>
      </c>
      <c r="C1692" s="1595" t="s">
        <v>7927</v>
      </c>
      <c r="D1692" s="1595" t="s">
        <v>12762</v>
      </c>
      <c r="E1692" s="1595"/>
      <c r="F1692" s="1595"/>
      <c r="G1692" s="1595"/>
      <c r="H1692" s="1596">
        <v>2</v>
      </c>
      <c r="I1692" s="1595"/>
      <c r="J1692" s="1595"/>
      <c r="K1692" s="1597">
        <v>78181.47</v>
      </c>
      <c r="L1692" s="1597">
        <v>78181.47</v>
      </c>
      <c r="M1692" s="1597">
        <v>-78181.47</v>
      </c>
      <c r="N1692" s="1598"/>
      <c r="O1692" s="1598"/>
      <c r="P1692" s="1597">
        <v>78181.47</v>
      </c>
      <c r="Q1692" s="1597">
        <v>-78181.47</v>
      </c>
      <c r="R1692" s="1598"/>
      <c r="S1692" s="1592"/>
    </row>
    <row r="1693" spans="2:19" s="1593" customFormat="1" ht="11.25" customHeight="1" outlineLevel="1">
      <c r="B1693" s="1600" t="s">
        <v>12761</v>
      </c>
      <c r="C1693" s="1595" t="s">
        <v>7927</v>
      </c>
      <c r="D1693" s="1595" t="s">
        <v>12760</v>
      </c>
      <c r="E1693" s="1595"/>
      <c r="F1693" s="1595"/>
      <c r="G1693" s="1595"/>
      <c r="H1693" s="1596">
        <v>2</v>
      </c>
      <c r="I1693" s="1595"/>
      <c r="J1693" s="1595"/>
      <c r="K1693" s="1597">
        <v>78181.47</v>
      </c>
      <c r="L1693" s="1597">
        <v>78181.47</v>
      </c>
      <c r="M1693" s="1597">
        <v>-78181.47</v>
      </c>
      <c r="N1693" s="1598"/>
      <c r="O1693" s="1598"/>
      <c r="P1693" s="1597">
        <v>78181.47</v>
      </c>
      <c r="Q1693" s="1597">
        <v>-78181.47</v>
      </c>
      <c r="R1693" s="1598"/>
      <c r="S1693" s="1592"/>
    </row>
    <row r="1694" spans="2:19" s="1593" customFormat="1" ht="11.25" customHeight="1" outlineLevel="1">
      <c r="B1694" s="1600" t="s">
        <v>12759</v>
      </c>
      <c r="C1694" s="1595" t="s">
        <v>7927</v>
      </c>
      <c r="D1694" s="1595" t="s">
        <v>12758</v>
      </c>
      <c r="E1694" s="1595"/>
      <c r="F1694" s="1595"/>
      <c r="G1694" s="1595"/>
      <c r="H1694" s="1596">
        <v>2</v>
      </c>
      <c r="I1694" s="1595"/>
      <c r="J1694" s="1595"/>
      <c r="K1694" s="1597">
        <v>110794.03</v>
      </c>
      <c r="L1694" s="1597">
        <v>110794.03</v>
      </c>
      <c r="M1694" s="1598"/>
      <c r="N1694" s="1597">
        <v>110794.03</v>
      </c>
      <c r="O1694" s="1597">
        <v>1716.47</v>
      </c>
      <c r="P1694" s="1597">
        <v>100157.55</v>
      </c>
      <c r="Q1694" s="1597">
        <v>8920.01</v>
      </c>
      <c r="R1694" s="1597">
        <v>109077.56</v>
      </c>
      <c r="S1694" s="1592"/>
    </row>
    <row r="1695" spans="2:19" s="1593" customFormat="1" ht="11.25" customHeight="1" outlineLevel="1">
      <c r="B1695" s="1600" t="s">
        <v>12757</v>
      </c>
      <c r="C1695" s="1595" t="s">
        <v>7927</v>
      </c>
      <c r="D1695" s="1595" t="s">
        <v>12756</v>
      </c>
      <c r="E1695" s="1595"/>
      <c r="F1695" s="1595"/>
      <c r="G1695" s="1595"/>
      <c r="H1695" s="1596">
        <v>2</v>
      </c>
      <c r="I1695" s="1595"/>
      <c r="J1695" s="1595"/>
      <c r="K1695" s="1597">
        <v>165698.98000000001</v>
      </c>
      <c r="L1695" s="1597">
        <v>165698.98000000001</v>
      </c>
      <c r="M1695" s="1598"/>
      <c r="N1695" s="1597">
        <v>165698.98000000001</v>
      </c>
      <c r="O1695" s="1597">
        <v>15609.16</v>
      </c>
      <c r="P1695" s="1597">
        <v>135681.35999999999</v>
      </c>
      <c r="Q1695" s="1597">
        <v>14408.46</v>
      </c>
      <c r="R1695" s="1597">
        <v>150089.82</v>
      </c>
      <c r="S1695" s="1592"/>
    </row>
    <row r="1696" spans="2:19" s="1593" customFormat="1" ht="11.25" customHeight="1" outlineLevel="1">
      <c r="B1696" s="1600" t="s">
        <v>12755</v>
      </c>
      <c r="C1696" s="1595" t="s">
        <v>12752</v>
      </c>
      <c r="D1696" s="1595" t="s">
        <v>12754</v>
      </c>
      <c r="E1696" s="1595"/>
      <c r="F1696" s="1595"/>
      <c r="G1696" s="1595"/>
      <c r="H1696" s="1596">
        <v>2</v>
      </c>
      <c r="I1696" s="1595"/>
      <c r="J1696" s="1595"/>
      <c r="K1696" s="1597">
        <v>48250</v>
      </c>
      <c r="L1696" s="1597">
        <v>48250</v>
      </c>
      <c r="M1696" s="1597">
        <v>-48250</v>
      </c>
      <c r="N1696" s="1598"/>
      <c r="O1696" s="1598"/>
      <c r="P1696" s="1597">
        <v>48250</v>
      </c>
      <c r="Q1696" s="1597">
        <v>-48250</v>
      </c>
      <c r="R1696" s="1598"/>
      <c r="S1696" s="1592"/>
    </row>
    <row r="1697" spans="2:19" s="1593" customFormat="1" ht="11.25" customHeight="1" outlineLevel="1">
      <c r="B1697" s="1600" t="s">
        <v>12753</v>
      </c>
      <c r="C1697" s="1595" t="s">
        <v>12752</v>
      </c>
      <c r="D1697" s="1595" t="s">
        <v>12751</v>
      </c>
      <c r="E1697" s="1595"/>
      <c r="F1697" s="1595"/>
      <c r="G1697" s="1595"/>
      <c r="H1697" s="1596">
        <v>2</v>
      </c>
      <c r="I1697" s="1595"/>
      <c r="J1697" s="1595"/>
      <c r="K1697" s="1597">
        <v>121237.29</v>
      </c>
      <c r="L1697" s="1597">
        <v>121237.29</v>
      </c>
      <c r="M1697" s="1598"/>
      <c r="N1697" s="1597">
        <v>121237.29</v>
      </c>
      <c r="O1697" s="1597">
        <v>1908.74</v>
      </c>
      <c r="P1697" s="1597">
        <v>109409.37</v>
      </c>
      <c r="Q1697" s="1597">
        <v>9919.18</v>
      </c>
      <c r="R1697" s="1597">
        <v>119328.55</v>
      </c>
      <c r="S1697" s="1592"/>
    </row>
    <row r="1698" spans="2:19" s="1593" customFormat="1" ht="11.25" customHeight="1" outlineLevel="1">
      <c r="B1698" s="1600" t="s">
        <v>12750</v>
      </c>
      <c r="C1698" s="1595" t="s">
        <v>12749</v>
      </c>
      <c r="D1698" s="1595" t="s">
        <v>12748</v>
      </c>
      <c r="E1698" s="1595"/>
      <c r="F1698" s="1595"/>
      <c r="G1698" s="1595"/>
      <c r="H1698" s="1596">
        <v>2</v>
      </c>
      <c r="I1698" s="1595"/>
      <c r="J1698" s="1595"/>
      <c r="K1698" s="1597">
        <v>45818.54</v>
      </c>
      <c r="L1698" s="1597">
        <v>45818.54</v>
      </c>
      <c r="M1698" s="1597">
        <v>-45818.54</v>
      </c>
      <c r="N1698" s="1598"/>
      <c r="O1698" s="1598"/>
      <c r="P1698" s="1597">
        <v>45818.54</v>
      </c>
      <c r="Q1698" s="1597">
        <v>-45818.54</v>
      </c>
      <c r="R1698" s="1598"/>
      <c r="S1698" s="1592"/>
    </row>
    <row r="1699" spans="2:19" s="1593" customFormat="1" ht="11.25" customHeight="1" outlineLevel="1">
      <c r="B1699" s="1600" t="s">
        <v>12747</v>
      </c>
      <c r="C1699" s="1595" t="s">
        <v>7921</v>
      </c>
      <c r="D1699" s="1595" t="s">
        <v>12746</v>
      </c>
      <c r="E1699" s="1595"/>
      <c r="F1699" s="1595"/>
      <c r="G1699" s="1595"/>
      <c r="H1699" s="1596">
        <v>2</v>
      </c>
      <c r="I1699" s="1595"/>
      <c r="J1699" s="1595"/>
      <c r="K1699" s="1597">
        <v>44732.08</v>
      </c>
      <c r="L1699" s="1597">
        <v>44732.08</v>
      </c>
      <c r="M1699" s="1597">
        <v>-44732.08</v>
      </c>
      <c r="N1699" s="1598"/>
      <c r="O1699" s="1598"/>
      <c r="P1699" s="1597">
        <v>44732.08</v>
      </c>
      <c r="Q1699" s="1597">
        <v>-44732.08</v>
      </c>
      <c r="R1699" s="1598"/>
      <c r="S1699" s="1592"/>
    </row>
    <row r="1700" spans="2:19" s="1593" customFormat="1" ht="11.25" customHeight="1" outlineLevel="1">
      <c r="B1700" s="1600" t="s">
        <v>12745</v>
      </c>
      <c r="C1700" s="1595" t="s">
        <v>7921</v>
      </c>
      <c r="D1700" s="1595" t="s">
        <v>12744</v>
      </c>
      <c r="E1700" s="1595"/>
      <c r="F1700" s="1595"/>
      <c r="G1700" s="1595"/>
      <c r="H1700" s="1596">
        <v>2</v>
      </c>
      <c r="I1700" s="1595"/>
      <c r="J1700" s="1595"/>
      <c r="K1700" s="1597">
        <v>94838.61</v>
      </c>
      <c r="L1700" s="1597">
        <v>94838.61</v>
      </c>
      <c r="M1700" s="1597">
        <v>-94838.61</v>
      </c>
      <c r="N1700" s="1598"/>
      <c r="O1700" s="1598"/>
      <c r="P1700" s="1597">
        <v>94838.61</v>
      </c>
      <c r="Q1700" s="1597">
        <v>-94838.61</v>
      </c>
      <c r="R1700" s="1598"/>
      <c r="S1700" s="1592"/>
    </row>
    <row r="1701" spans="2:19" s="1593" customFormat="1" ht="21.75" customHeight="1" outlineLevel="1">
      <c r="B1701" s="1600" t="s">
        <v>12743</v>
      </c>
      <c r="C1701" s="1595" t="s">
        <v>7921</v>
      </c>
      <c r="D1701" s="1595" t="s">
        <v>12742</v>
      </c>
      <c r="E1701" s="1595"/>
      <c r="F1701" s="1595"/>
      <c r="G1701" s="1595"/>
      <c r="H1701" s="1596">
        <v>2</v>
      </c>
      <c r="I1701" s="1595"/>
      <c r="J1701" s="1595"/>
      <c r="K1701" s="1597">
        <v>72224.05</v>
      </c>
      <c r="L1701" s="1597">
        <v>72224.05</v>
      </c>
      <c r="M1701" s="1597">
        <v>-72224.05</v>
      </c>
      <c r="N1701" s="1598"/>
      <c r="O1701" s="1598"/>
      <c r="P1701" s="1597">
        <v>72224.05</v>
      </c>
      <c r="Q1701" s="1597">
        <v>-72224.05</v>
      </c>
      <c r="R1701" s="1598"/>
      <c r="S1701" s="1592"/>
    </row>
    <row r="1702" spans="2:19" s="1593" customFormat="1" ht="21.75" customHeight="1" outlineLevel="1">
      <c r="B1702" s="1600" t="s">
        <v>12741</v>
      </c>
      <c r="C1702" s="1595" t="s">
        <v>12740</v>
      </c>
      <c r="D1702" s="1595" t="s">
        <v>12739</v>
      </c>
      <c r="E1702" s="1595"/>
      <c r="F1702" s="1595"/>
      <c r="G1702" s="1595" t="s">
        <v>3596</v>
      </c>
      <c r="H1702" s="1596">
        <v>2</v>
      </c>
      <c r="I1702" s="1595"/>
      <c r="J1702" s="1595"/>
      <c r="K1702" s="1597">
        <v>318789.23</v>
      </c>
      <c r="L1702" s="1597">
        <v>318789.23</v>
      </c>
      <c r="M1702" s="1598"/>
      <c r="N1702" s="1597">
        <v>318789.23</v>
      </c>
      <c r="O1702" s="1597">
        <v>5231.7299999999996</v>
      </c>
      <c r="P1702" s="1597">
        <v>286369.59999999998</v>
      </c>
      <c r="Q1702" s="1597">
        <v>27187.9</v>
      </c>
      <c r="R1702" s="1597">
        <v>313557.5</v>
      </c>
      <c r="S1702" s="1592"/>
    </row>
    <row r="1703" spans="2:19" s="1593" customFormat="1" ht="11.25" customHeight="1" outlineLevel="1">
      <c r="B1703" s="1600" t="s">
        <v>12738</v>
      </c>
      <c r="C1703" s="1595" t="s">
        <v>7910</v>
      </c>
      <c r="D1703" s="1595" t="s">
        <v>12737</v>
      </c>
      <c r="E1703" s="1595"/>
      <c r="F1703" s="1595"/>
      <c r="G1703" s="1595"/>
      <c r="H1703" s="1596">
        <v>2</v>
      </c>
      <c r="I1703" s="1595"/>
      <c r="J1703" s="1595"/>
      <c r="K1703" s="1597">
        <v>131554.42000000001</v>
      </c>
      <c r="L1703" s="1597">
        <v>131554.42000000001</v>
      </c>
      <c r="M1703" s="1598"/>
      <c r="N1703" s="1597">
        <v>131554.42000000001</v>
      </c>
      <c r="O1703" s="1597">
        <v>2177.35</v>
      </c>
      <c r="P1703" s="1597">
        <v>118062</v>
      </c>
      <c r="Q1703" s="1597">
        <v>11315.07</v>
      </c>
      <c r="R1703" s="1597">
        <v>129377.07</v>
      </c>
      <c r="S1703" s="1592"/>
    </row>
    <row r="1704" spans="2:19" s="1593" customFormat="1" ht="11.25" customHeight="1" outlineLevel="1">
      <c r="B1704" s="1600" t="s">
        <v>12736</v>
      </c>
      <c r="C1704" s="1595" t="s">
        <v>7910</v>
      </c>
      <c r="D1704" s="1595" t="s">
        <v>12735</v>
      </c>
      <c r="E1704" s="1595"/>
      <c r="F1704" s="1595"/>
      <c r="G1704" s="1595"/>
      <c r="H1704" s="1596">
        <v>2</v>
      </c>
      <c r="I1704" s="1595"/>
      <c r="J1704" s="1595"/>
      <c r="K1704" s="1597">
        <v>131554.41</v>
      </c>
      <c r="L1704" s="1597">
        <v>131554.41</v>
      </c>
      <c r="M1704" s="1598"/>
      <c r="N1704" s="1597">
        <v>131554.41</v>
      </c>
      <c r="O1704" s="1597">
        <v>2177.35</v>
      </c>
      <c r="P1704" s="1597">
        <v>118062</v>
      </c>
      <c r="Q1704" s="1597">
        <v>11315.06</v>
      </c>
      <c r="R1704" s="1597">
        <v>129377.06</v>
      </c>
      <c r="S1704" s="1592"/>
    </row>
    <row r="1705" spans="2:19" s="1593" customFormat="1" ht="21.75" customHeight="1" outlineLevel="1">
      <c r="B1705" s="1600" t="s">
        <v>12734</v>
      </c>
      <c r="C1705" s="1595" t="s">
        <v>3592</v>
      </c>
      <c r="D1705" s="1595" t="s">
        <v>12733</v>
      </c>
      <c r="E1705" s="1595"/>
      <c r="F1705" s="1595"/>
      <c r="G1705" s="1595"/>
      <c r="H1705" s="1596">
        <v>2</v>
      </c>
      <c r="I1705" s="1595"/>
      <c r="J1705" s="1595"/>
      <c r="K1705" s="1597">
        <v>108432.21</v>
      </c>
      <c r="L1705" s="1597">
        <v>108432.21</v>
      </c>
      <c r="M1705" s="1598"/>
      <c r="N1705" s="1597">
        <v>108432.21</v>
      </c>
      <c r="O1705" s="1597">
        <v>1794.72</v>
      </c>
      <c r="P1705" s="1597">
        <v>97310.85</v>
      </c>
      <c r="Q1705" s="1597">
        <v>9326.64</v>
      </c>
      <c r="R1705" s="1597">
        <v>106637.49</v>
      </c>
      <c r="S1705" s="1592"/>
    </row>
    <row r="1706" spans="2:19" s="1593" customFormat="1" ht="21.75" customHeight="1" outlineLevel="1">
      <c r="B1706" s="1600" t="s">
        <v>12732</v>
      </c>
      <c r="C1706" s="1595" t="s">
        <v>12725</v>
      </c>
      <c r="D1706" s="1595" t="s">
        <v>12731</v>
      </c>
      <c r="E1706" s="1595"/>
      <c r="F1706" s="1595"/>
      <c r="G1706" s="1595" t="s">
        <v>3596</v>
      </c>
      <c r="H1706" s="1595"/>
      <c r="I1706" s="1595"/>
      <c r="J1706" s="1595"/>
      <c r="K1706" s="1597">
        <v>975363.56</v>
      </c>
      <c r="L1706" s="1597">
        <v>975363.56</v>
      </c>
      <c r="M1706" s="1598"/>
      <c r="N1706" s="1597">
        <v>975363.56</v>
      </c>
      <c r="O1706" s="1597">
        <v>285472.12</v>
      </c>
      <c r="P1706" s="1597">
        <v>618523.36</v>
      </c>
      <c r="Q1706" s="1597">
        <v>71368.08</v>
      </c>
      <c r="R1706" s="1597">
        <v>689891.44</v>
      </c>
      <c r="S1706" s="1592"/>
    </row>
    <row r="1707" spans="2:19" s="1593" customFormat="1" ht="21.75" customHeight="1" outlineLevel="1">
      <c r="B1707" s="1600" t="s">
        <v>12730</v>
      </c>
      <c r="C1707" s="1595" t="s">
        <v>12725</v>
      </c>
      <c r="D1707" s="1595" t="s">
        <v>12729</v>
      </c>
      <c r="E1707" s="1595"/>
      <c r="F1707" s="1595"/>
      <c r="G1707" s="1595" t="s">
        <v>3596</v>
      </c>
      <c r="H1707" s="1596">
        <v>2</v>
      </c>
      <c r="I1707" s="1595"/>
      <c r="J1707" s="1595"/>
      <c r="K1707" s="1597">
        <v>700265.6</v>
      </c>
      <c r="L1707" s="1597">
        <v>700265.6</v>
      </c>
      <c r="M1707" s="1598"/>
      <c r="N1707" s="1597">
        <v>700265.6</v>
      </c>
      <c r="O1707" s="1597">
        <v>11690.31</v>
      </c>
      <c r="P1707" s="1597">
        <v>627824.07999999996</v>
      </c>
      <c r="Q1707" s="1597">
        <v>60751.21</v>
      </c>
      <c r="R1707" s="1597">
        <v>688575.29</v>
      </c>
      <c r="S1707" s="1592"/>
    </row>
    <row r="1708" spans="2:19" s="1593" customFormat="1" ht="21.75" customHeight="1" outlineLevel="1">
      <c r="B1708" s="1600" t="s">
        <v>12728</v>
      </c>
      <c r="C1708" s="1595" t="s">
        <v>12725</v>
      </c>
      <c r="D1708" s="1595" t="s">
        <v>12727</v>
      </c>
      <c r="E1708" s="1595"/>
      <c r="F1708" s="1595"/>
      <c r="G1708" s="1595" t="s">
        <v>3596</v>
      </c>
      <c r="H1708" s="1596">
        <v>2</v>
      </c>
      <c r="I1708" s="1595"/>
      <c r="J1708" s="1595"/>
      <c r="K1708" s="1597">
        <v>700265.59</v>
      </c>
      <c r="L1708" s="1597">
        <v>700265.59</v>
      </c>
      <c r="M1708" s="1598"/>
      <c r="N1708" s="1597">
        <v>700265.59</v>
      </c>
      <c r="O1708" s="1597">
        <v>11690.31</v>
      </c>
      <c r="P1708" s="1597">
        <v>627824.07999999996</v>
      </c>
      <c r="Q1708" s="1597">
        <v>60751.199999999997</v>
      </c>
      <c r="R1708" s="1597">
        <v>688575.28</v>
      </c>
      <c r="S1708" s="1592"/>
    </row>
    <row r="1709" spans="2:19" s="1593" customFormat="1" ht="21.75" customHeight="1" outlineLevel="1">
      <c r="B1709" s="1600" t="s">
        <v>12726</v>
      </c>
      <c r="C1709" s="1595" t="s">
        <v>12725</v>
      </c>
      <c r="D1709" s="1595" t="s">
        <v>12724</v>
      </c>
      <c r="E1709" s="1595"/>
      <c r="F1709" s="1595"/>
      <c r="G1709" s="1595" t="s">
        <v>3596</v>
      </c>
      <c r="H1709" s="1596">
        <v>2</v>
      </c>
      <c r="I1709" s="1595"/>
      <c r="J1709" s="1595"/>
      <c r="K1709" s="1597">
        <v>676109.74</v>
      </c>
      <c r="L1709" s="1597">
        <v>676109.74</v>
      </c>
      <c r="M1709" s="1598"/>
      <c r="N1709" s="1597">
        <v>676109.74</v>
      </c>
      <c r="O1709" s="1597">
        <v>11287.05</v>
      </c>
      <c r="P1709" s="1597">
        <v>606167.12</v>
      </c>
      <c r="Q1709" s="1597">
        <v>58655.57</v>
      </c>
      <c r="R1709" s="1597">
        <v>664822.68999999994</v>
      </c>
      <c r="S1709" s="1592"/>
    </row>
    <row r="1710" spans="2:19" s="1593" customFormat="1" ht="21.75" customHeight="1" outlineLevel="1">
      <c r="B1710" s="1600" t="s">
        <v>12723</v>
      </c>
      <c r="C1710" s="1595" t="s">
        <v>12722</v>
      </c>
      <c r="D1710" s="1595" t="s">
        <v>12721</v>
      </c>
      <c r="E1710" s="1595"/>
      <c r="F1710" s="1595"/>
      <c r="G1710" s="1595" t="s">
        <v>3596</v>
      </c>
      <c r="H1710" s="1596">
        <v>2</v>
      </c>
      <c r="I1710" s="1595"/>
      <c r="J1710" s="1595"/>
      <c r="K1710" s="1597">
        <v>1068341.95</v>
      </c>
      <c r="L1710" s="1597">
        <v>1068341.95</v>
      </c>
      <c r="M1710" s="1598"/>
      <c r="N1710" s="1597">
        <v>1068341.95</v>
      </c>
      <c r="O1710" s="1597">
        <v>17835.009999999998</v>
      </c>
      <c r="P1710" s="1597">
        <v>957823.36</v>
      </c>
      <c r="Q1710" s="1597">
        <v>92683.58</v>
      </c>
      <c r="R1710" s="1597">
        <v>1050506.94</v>
      </c>
      <c r="S1710" s="1592"/>
    </row>
    <row r="1711" spans="2:19" s="1593" customFormat="1" ht="11.25" customHeight="1" outlineLevel="1">
      <c r="B1711" s="1600" t="s">
        <v>12720</v>
      </c>
      <c r="C1711" s="1595" t="s">
        <v>12719</v>
      </c>
      <c r="D1711" s="1595" t="s">
        <v>12718</v>
      </c>
      <c r="E1711" s="1595"/>
      <c r="F1711" s="1595"/>
      <c r="G1711" s="1595" t="s">
        <v>3596</v>
      </c>
      <c r="H1711" s="1596">
        <v>2</v>
      </c>
      <c r="I1711" s="1595"/>
      <c r="J1711" s="1595"/>
      <c r="K1711" s="1597">
        <v>482965</v>
      </c>
      <c r="L1711" s="1597">
        <v>482965</v>
      </c>
      <c r="M1711" s="1598"/>
      <c r="N1711" s="1597">
        <v>482965</v>
      </c>
      <c r="O1711" s="1597">
        <v>8062.67</v>
      </c>
      <c r="P1711" s="1597">
        <v>433002.96</v>
      </c>
      <c r="Q1711" s="1597">
        <v>41899.370000000003</v>
      </c>
      <c r="R1711" s="1597">
        <v>474902.33</v>
      </c>
      <c r="S1711" s="1592"/>
    </row>
    <row r="1712" spans="2:19" s="1593" customFormat="1" ht="11.25" customHeight="1" outlineLevel="1">
      <c r="B1712" s="1600" t="s">
        <v>12717</v>
      </c>
      <c r="C1712" s="1595" t="s">
        <v>12716</v>
      </c>
      <c r="D1712" s="1595" t="s">
        <v>12715</v>
      </c>
      <c r="E1712" s="1595"/>
      <c r="F1712" s="1595"/>
      <c r="G1712" s="1595" t="s">
        <v>3596</v>
      </c>
      <c r="H1712" s="1596">
        <v>2</v>
      </c>
      <c r="I1712" s="1595"/>
      <c r="J1712" s="1595"/>
      <c r="K1712" s="1597">
        <v>329956.08</v>
      </c>
      <c r="L1712" s="1597">
        <v>329956.08</v>
      </c>
      <c r="M1712" s="1598"/>
      <c r="N1712" s="1597">
        <v>329956.08</v>
      </c>
      <c r="O1712" s="1597">
        <v>5556.25</v>
      </c>
      <c r="P1712" s="1597">
        <v>295525.53999999998</v>
      </c>
      <c r="Q1712" s="1597">
        <v>28874.29</v>
      </c>
      <c r="R1712" s="1597">
        <v>324399.83</v>
      </c>
      <c r="S1712" s="1592"/>
    </row>
    <row r="1713" spans="2:19" s="1593" customFormat="1" ht="11.25" customHeight="1" outlineLevel="1">
      <c r="B1713" s="1600" t="s">
        <v>12714</v>
      </c>
      <c r="C1713" s="1595" t="s">
        <v>12711</v>
      </c>
      <c r="D1713" s="1595" t="s">
        <v>12713</v>
      </c>
      <c r="E1713" s="1595"/>
      <c r="F1713" s="1595"/>
      <c r="G1713" s="1595"/>
      <c r="H1713" s="1595"/>
      <c r="I1713" s="1595"/>
      <c r="J1713" s="1595"/>
      <c r="K1713" s="1597">
        <v>112959.6</v>
      </c>
      <c r="L1713" s="1597">
        <v>112959.6</v>
      </c>
      <c r="M1713" s="1598"/>
      <c r="N1713" s="1597">
        <v>112959.6</v>
      </c>
      <c r="O1713" s="1597">
        <v>19645.02</v>
      </c>
      <c r="P1713" s="1597">
        <v>83492.100000000006</v>
      </c>
      <c r="Q1713" s="1597">
        <v>9822.48</v>
      </c>
      <c r="R1713" s="1597">
        <v>93314.58</v>
      </c>
      <c r="S1713" s="1592"/>
    </row>
    <row r="1714" spans="2:19" s="1593" customFormat="1" ht="11.25" customHeight="1" outlineLevel="1">
      <c r="B1714" s="1600" t="s">
        <v>12712</v>
      </c>
      <c r="C1714" s="1595" t="s">
        <v>12711</v>
      </c>
      <c r="D1714" s="1595" t="s">
        <v>12710</v>
      </c>
      <c r="E1714" s="1595"/>
      <c r="F1714" s="1595"/>
      <c r="G1714" s="1595"/>
      <c r="H1714" s="1595"/>
      <c r="I1714" s="1595"/>
      <c r="J1714" s="1595"/>
      <c r="K1714" s="1597">
        <v>112959.6</v>
      </c>
      <c r="L1714" s="1597">
        <v>112959.6</v>
      </c>
      <c r="M1714" s="1598"/>
      <c r="N1714" s="1597">
        <v>112959.6</v>
      </c>
      <c r="O1714" s="1597">
        <v>19645.02</v>
      </c>
      <c r="P1714" s="1597">
        <v>83492.100000000006</v>
      </c>
      <c r="Q1714" s="1597">
        <v>9822.48</v>
      </c>
      <c r="R1714" s="1597">
        <v>93314.58</v>
      </c>
      <c r="S1714" s="1592"/>
    </row>
    <row r="1715" spans="2:19" s="1593" customFormat="1" ht="11.25" customHeight="1" outlineLevel="1">
      <c r="B1715" s="1600" t="s">
        <v>12709</v>
      </c>
      <c r="C1715" s="1595" t="s">
        <v>12708</v>
      </c>
      <c r="D1715" s="1595" t="s">
        <v>12707</v>
      </c>
      <c r="E1715" s="1595"/>
      <c r="F1715" s="1595"/>
      <c r="G1715" s="1595" t="s">
        <v>3596</v>
      </c>
      <c r="H1715" s="1596">
        <v>2</v>
      </c>
      <c r="I1715" s="1595"/>
      <c r="J1715" s="1595"/>
      <c r="K1715" s="1597">
        <v>1677966.1</v>
      </c>
      <c r="L1715" s="1597">
        <v>1677966.1</v>
      </c>
      <c r="M1715" s="1598"/>
      <c r="N1715" s="1597">
        <v>1677966.1</v>
      </c>
      <c r="O1715" s="1597">
        <v>29012.47</v>
      </c>
      <c r="P1715" s="1597">
        <v>1498184</v>
      </c>
      <c r="Q1715" s="1597">
        <v>150769.63</v>
      </c>
      <c r="R1715" s="1597">
        <v>1648953.63</v>
      </c>
      <c r="S1715" s="1592"/>
    </row>
    <row r="1716" spans="2:19" s="1593" customFormat="1" ht="11.25" customHeight="1" outlineLevel="1">
      <c r="B1716" s="1600" t="s">
        <v>12706</v>
      </c>
      <c r="C1716" s="1595" t="s">
        <v>12705</v>
      </c>
      <c r="D1716" s="1595" t="s">
        <v>12704</v>
      </c>
      <c r="E1716" s="1595"/>
      <c r="F1716" s="1595"/>
      <c r="G1716" s="1595" t="s">
        <v>3596</v>
      </c>
      <c r="H1716" s="1596">
        <v>2</v>
      </c>
      <c r="I1716" s="1595"/>
      <c r="J1716" s="1595"/>
      <c r="K1716" s="1597">
        <v>1677966.1</v>
      </c>
      <c r="L1716" s="1597">
        <v>1677966.1</v>
      </c>
      <c r="M1716" s="1598"/>
      <c r="N1716" s="1597">
        <v>1677966.1</v>
      </c>
      <c r="O1716" s="1597">
        <v>29273.85</v>
      </c>
      <c r="P1716" s="1597">
        <v>1496564.19</v>
      </c>
      <c r="Q1716" s="1597">
        <v>152128.06</v>
      </c>
      <c r="R1716" s="1597">
        <v>1648692.25</v>
      </c>
      <c r="S1716" s="1592"/>
    </row>
    <row r="1717" spans="2:19" s="1593" customFormat="1" ht="11.25" customHeight="1" outlineLevel="1">
      <c r="B1717" s="1600" t="s">
        <v>12703</v>
      </c>
      <c r="C1717" s="1595" t="s">
        <v>12702</v>
      </c>
      <c r="D1717" s="1595" t="s">
        <v>12701</v>
      </c>
      <c r="E1717" s="1595"/>
      <c r="F1717" s="1595"/>
      <c r="G1717" s="1595"/>
      <c r="H1717" s="1596">
        <v>2</v>
      </c>
      <c r="I1717" s="1595"/>
      <c r="J1717" s="1595"/>
      <c r="K1717" s="1597">
        <v>49033.3</v>
      </c>
      <c r="L1717" s="1597">
        <v>49033.3</v>
      </c>
      <c r="M1717" s="1597">
        <v>-49033.3</v>
      </c>
      <c r="N1717" s="1598"/>
      <c r="O1717" s="1598"/>
      <c r="P1717" s="1597">
        <v>49033.3</v>
      </c>
      <c r="Q1717" s="1597">
        <v>-49033.3</v>
      </c>
      <c r="R1717" s="1598"/>
      <c r="S1717" s="1592"/>
    </row>
    <row r="1718" spans="2:19" s="1593" customFormat="1" ht="11.25" customHeight="1" outlineLevel="1">
      <c r="B1718" s="1600" t="s">
        <v>12700</v>
      </c>
      <c r="C1718" s="1595" t="s">
        <v>3551</v>
      </c>
      <c r="D1718" s="1595" t="s">
        <v>12699</v>
      </c>
      <c r="E1718" s="1595"/>
      <c r="F1718" s="1595"/>
      <c r="G1718" s="1595"/>
      <c r="H1718" s="1596">
        <v>2</v>
      </c>
      <c r="I1718" s="1595"/>
      <c r="J1718" s="1595"/>
      <c r="K1718" s="1597">
        <v>58308.76</v>
      </c>
      <c r="L1718" s="1597">
        <v>58308.76</v>
      </c>
      <c r="M1718" s="1597">
        <v>-58308.76</v>
      </c>
      <c r="N1718" s="1598"/>
      <c r="O1718" s="1598"/>
      <c r="P1718" s="1597">
        <v>58308.76</v>
      </c>
      <c r="Q1718" s="1597">
        <v>-58308.76</v>
      </c>
      <c r="R1718" s="1598"/>
      <c r="S1718" s="1592"/>
    </row>
    <row r="1719" spans="2:19" s="1593" customFormat="1" ht="21.75" customHeight="1" outlineLevel="1">
      <c r="B1719" s="1600" t="s">
        <v>12698</v>
      </c>
      <c r="C1719" s="1595" t="s">
        <v>7860</v>
      </c>
      <c r="D1719" s="1595" t="s">
        <v>12697</v>
      </c>
      <c r="E1719" s="1595"/>
      <c r="F1719" s="1595"/>
      <c r="G1719" s="1595"/>
      <c r="H1719" s="1596">
        <v>2</v>
      </c>
      <c r="I1719" s="1595"/>
      <c r="J1719" s="1595"/>
      <c r="K1719" s="1597">
        <v>147881</v>
      </c>
      <c r="L1719" s="1597">
        <v>147881</v>
      </c>
      <c r="M1719" s="1598"/>
      <c r="N1719" s="1597">
        <v>147881</v>
      </c>
      <c r="O1719" s="1597">
        <v>15887.88</v>
      </c>
      <c r="P1719" s="1597">
        <v>117327.36</v>
      </c>
      <c r="Q1719" s="1597">
        <v>14665.76</v>
      </c>
      <c r="R1719" s="1597">
        <v>131993.12</v>
      </c>
      <c r="S1719" s="1592"/>
    </row>
    <row r="1720" spans="2:19" s="1593" customFormat="1" ht="21.75" customHeight="1" outlineLevel="1">
      <c r="B1720" s="1600" t="s">
        <v>12696</v>
      </c>
      <c r="C1720" s="1595" t="s">
        <v>3545</v>
      </c>
      <c r="D1720" s="1595" t="s">
        <v>12695</v>
      </c>
      <c r="E1720" s="1595"/>
      <c r="F1720" s="1595"/>
      <c r="G1720" s="1595"/>
      <c r="H1720" s="1596">
        <v>2</v>
      </c>
      <c r="I1720" s="1595"/>
      <c r="J1720" s="1595"/>
      <c r="K1720" s="1597">
        <v>354567.31</v>
      </c>
      <c r="L1720" s="1597">
        <v>354567.31</v>
      </c>
      <c r="M1720" s="1598"/>
      <c r="N1720" s="1597">
        <v>354567.31</v>
      </c>
      <c r="O1720" s="1597">
        <v>51469.65</v>
      </c>
      <c r="P1720" s="1597">
        <v>268784.53999999998</v>
      </c>
      <c r="Q1720" s="1597">
        <v>34313.120000000003</v>
      </c>
      <c r="R1720" s="1597">
        <v>303097.65999999997</v>
      </c>
      <c r="S1720" s="1592"/>
    </row>
    <row r="1721" spans="2:19" s="1593" customFormat="1" ht="11.25" customHeight="1" outlineLevel="1">
      <c r="B1721" s="1600" t="s">
        <v>12694</v>
      </c>
      <c r="C1721" s="1595" t="s">
        <v>12691</v>
      </c>
      <c r="D1721" s="1595" t="s">
        <v>12693</v>
      </c>
      <c r="E1721" s="1595"/>
      <c r="F1721" s="1595"/>
      <c r="G1721" s="1595"/>
      <c r="H1721" s="1596">
        <v>1</v>
      </c>
      <c r="I1721" s="1595"/>
      <c r="J1721" s="1595"/>
      <c r="K1721" s="1597">
        <v>43440.08</v>
      </c>
      <c r="L1721" s="1597">
        <v>43440.08</v>
      </c>
      <c r="M1721" s="1597">
        <v>-43440.08</v>
      </c>
      <c r="N1721" s="1598"/>
      <c r="O1721" s="1598"/>
      <c r="P1721" s="1597">
        <v>43440.08</v>
      </c>
      <c r="Q1721" s="1597">
        <v>-43440.08</v>
      </c>
      <c r="R1721" s="1598"/>
      <c r="S1721" s="1592"/>
    </row>
    <row r="1722" spans="2:19" s="1593" customFormat="1" ht="11.25" customHeight="1" outlineLevel="1">
      <c r="B1722" s="1600" t="s">
        <v>12692</v>
      </c>
      <c r="C1722" s="1595" t="s">
        <v>12691</v>
      </c>
      <c r="D1722" s="1595" t="s">
        <v>12690</v>
      </c>
      <c r="E1722" s="1595"/>
      <c r="F1722" s="1595"/>
      <c r="G1722" s="1595"/>
      <c r="H1722" s="1596">
        <v>1</v>
      </c>
      <c r="I1722" s="1595"/>
      <c r="J1722" s="1595"/>
      <c r="K1722" s="1597">
        <v>43440.08</v>
      </c>
      <c r="L1722" s="1597">
        <v>43440.08</v>
      </c>
      <c r="M1722" s="1597">
        <v>-43440.08</v>
      </c>
      <c r="N1722" s="1598"/>
      <c r="O1722" s="1598"/>
      <c r="P1722" s="1597">
        <v>43440.08</v>
      </c>
      <c r="Q1722" s="1597">
        <v>-43440.08</v>
      </c>
      <c r="R1722" s="1598"/>
      <c r="S1722" s="1592"/>
    </row>
    <row r="1723" spans="2:19" s="1593" customFormat="1" ht="21.75" customHeight="1" outlineLevel="1">
      <c r="B1723" s="1600" t="s">
        <v>12689</v>
      </c>
      <c r="C1723" s="1595" t="s">
        <v>12684</v>
      </c>
      <c r="D1723" s="1595" t="s">
        <v>12688</v>
      </c>
      <c r="E1723" s="1595"/>
      <c r="F1723" s="1595"/>
      <c r="G1723" s="1595"/>
      <c r="H1723" s="1596">
        <v>2</v>
      </c>
      <c r="I1723" s="1595"/>
      <c r="J1723" s="1595"/>
      <c r="K1723" s="1597">
        <v>92946</v>
      </c>
      <c r="L1723" s="1597">
        <v>92946</v>
      </c>
      <c r="M1723" s="1597">
        <v>-92946</v>
      </c>
      <c r="N1723" s="1598"/>
      <c r="O1723" s="1598"/>
      <c r="P1723" s="1597">
        <v>92946</v>
      </c>
      <c r="Q1723" s="1597">
        <v>-92946</v>
      </c>
      <c r="R1723" s="1598"/>
      <c r="S1723" s="1592"/>
    </row>
    <row r="1724" spans="2:19" s="1593" customFormat="1" ht="21.75" customHeight="1" outlineLevel="1">
      <c r="B1724" s="1600" t="s">
        <v>12687</v>
      </c>
      <c r="C1724" s="1595" t="s">
        <v>12684</v>
      </c>
      <c r="D1724" s="1595" t="s">
        <v>12686</v>
      </c>
      <c r="E1724" s="1595"/>
      <c r="F1724" s="1595"/>
      <c r="G1724" s="1595"/>
      <c r="H1724" s="1596">
        <v>2</v>
      </c>
      <c r="I1724" s="1595"/>
      <c r="J1724" s="1595"/>
      <c r="K1724" s="1597">
        <v>92946</v>
      </c>
      <c r="L1724" s="1597">
        <v>92946</v>
      </c>
      <c r="M1724" s="1597">
        <v>-92946</v>
      </c>
      <c r="N1724" s="1598"/>
      <c r="O1724" s="1598"/>
      <c r="P1724" s="1597">
        <v>92946</v>
      </c>
      <c r="Q1724" s="1597">
        <v>-92946</v>
      </c>
      <c r="R1724" s="1598"/>
      <c r="S1724" s="1592"/>
    </row>
    <row r="1725" spans="2:19" s="1593" customFormat="1" ht="21.75" customHeight="1" outlineLevel="1">
      <c r="B1725" s="1600" t="s">
        <v>12685</v>
      </c>
      <c r="C1725" s="1595" t="s">
        <v>12684</v>
      </c>
      <c r="D1725" s="1595" t="s">
        <v>12683</v>
      </c>
      <c r="E1725" s="1595"/>
      <c r="F1725" s="1595"/>
      <c r="G1725" s="1595"/>
      <c r="H1725" s="1596">
        <v>2</v>
      </c>
      <c r="I1725" s="1595"/>
      <c r="J1725" s="1595"/>
      <c r="K1725" s="1597">
        <v>92946</v>
      </c>
      <c r="L1725" s="1597">
        <v>92946</v>
      </c>
      <c r="M1725" s="1597">
        <v>-92946</v>
      </c>
      <c r="N1725" s="1598"/>
      <c r="O1725" s="1598"/>
      <c r="P1725" s="1597">
        <v>92946</v>
      </c>
      <c r="Q1725" s="1597">
        <v>-92946</v>
      </c>
      <c r="R1725" s="1598"/>
      <c r="S1725" s="1592"/>
    </row>
    <row r="1726" spans="2:19" s="1593" customFormat="1" ht="11.25" customHeight="1" outlineLevel="1">
      <c r="B1726" s="1600" t="s">
        <v>12682</v>
      </c>
      <c r="C1726" s="1595" t="s">
        <v>10714</v>
      </c>
      <c r="D1726" s="1595" t="s">
        <v>12681</v>
      </c>
      <c r="E1726" s="1595"/>
      <c r="F1726" s="1595"/>
      <c r="G1726" s="1595"/>
      <c r="H1726" s="1596">
        <v>2</v>
      </c>
      <c r="I1726" s="1595"/>
      <c r="J1726" s="1595"/>
      <c r="K1726" s="1597">
        <v>418894.92</v>
      </c>
      <c r="L1726" s="1597">
        <v>418894.92</v>
      </c>
      <c r="M1726" s="1598"/>
      <c r="N1726" s="1597">
        <v>418894.92</v>
      </c>
      <c r="O1726" s="1597">
        <v>7875.67</v>
      </c>
      <c r="P1726" s="1597">
        <v>370091.54</v>
      </c>
      <c r="Q1726" s="1597">
        <v>40927.71</v>
      </c>
      <c r="R1726" s="1597">
        <v>411019.25</v>
      </c>
      <c r="S1726" s="1592"/>
    </row>
    <row r="1727" spans="2:19" s="1593" customFormat="1" ht="11.25" customHeight="1" outlineLevel="1">
      <c r="B1727" s="1600" t="s">
        <v>12680</v>
      </c>
      <c r="C1727" s="1595" t="s">
        <v>10714</v>
      </c>
      <c r="D1727" s="1595" t="s">
        <v>12679</v>
      </c>
      <c r="E1727" s="1595"/>
      <c r="F1727" s="1595"/>
      <c r="G1727" s="1595"/>
      <c r="H1727" s="1596">
        <v>2</v>
      </c>
      <c r="I1727" s="1595"/>
      <c r="J1727" s="1595"/>
      <c r="K1727" s="1597">
        <v>163490.26</v>
      </c>
      <c r="L1727" s="1597">
        <v>163490.26</v>
      </c>
      <c r="M1727" s="1598"/>
      <c r="N1727" s="1597">
        <v>163490.26</v>
      </c>
      <c r="O1727" s="1597">
        <v>51970.22</v>
      </c>
      <c r="P1727" s="1597">
        <v>98527.52</v>
      </c>
      <c r="Q1727" s="1597">
        <v>12992.52</v>
      </c>
      <c r="R1727" s="1597">
        <v>111520.04</v>
      </c>
      <c r="S1727" s="1592"/>
    </row>
    <row r="1728" spans="2:19" s="1593" customFormat="1" ht="11.25" customHeight="1" outlineLevel="1">
      <c r="B1728" s="1600" t="s">
        <v>12678</v>
      </c>
      <c r="C1728" s="1595" t="s">
        <v>10714</v>
      </c>
      <c r="D1728" s="1595" t="s">
        <v>12677</v>
      </c>
      <c r="E1728" s="1595"/>
      <c r="F1728" s="1595"/>
      <c r="G1728" s="1595"/>
      <c r="H1728" s="1596">
        <v>2</v>
      </c>
      <c r="I1728" s="1595"/>
      <c r="J1728" s="1595"/>
      <c r="K1728" s="1597">
        <v>163490.25</v>
      </c>
      <c r="L1728" s="1597">
        <v>163490.25</v>
      </c>
      <c r="M1728" s="1598"/>
      <c r="N1728" s="1597">
        <v>163490.25</v>
      </c>
      <c r="O1728" s="1597">
        <v>51970.21</v>
      </c>
      <c r="P1728" s="1597">
        <v>98527.52</v>
      </c>
      <c r="Q1728" s="1597">
        <v>12992.52</v>
      </c>
      <c r="R1728" s="1597">
        <v>111520.04</v>
      </c>
      <c r="S1728" s="1592"/>
    </row>
    <row r="1729" spans="2:19" s="1593" customFormat="1" ht="11.25" customHeight="1" outlineLevel="1">
      <c r="B1729" s="1600" t="s">
        <v>12676</v>
      </c>
      <c r="C1729" s="1595" t="s">
        <v>12673</v>
      </c>
      <c r="D1729" s="1595" t="s">
        <v>12675</v>
      </c>
      <c r="E1729" s="1595"/>
      <c r="F1729" s="1595"/>
      <c r="G1729" s="1595"/>
      <c r="H1729" s="1596">
        <v>2</v>
      </c>
      <c r="I1729" s="1595"/>
      <c r="J1729" s="1595"/>
      <c r="K1729" s="1597">
        <v>1686440.68</v>
      </c>
      <c r="L1729" s="1597">
        <v>1686440.68</v>
      </c>
      <c r="M1729" s="1598"/>
      <c r="N1729" s="1597">
        <v>1686440.68</v>
      </c>
      <c r="O1729" s="1597">
        <v>264812.78000000003</v>
      </c>
      <c r="P1729" s="1597">
        <v>1254377.7</v>
      </c>
      <c r="Q1729" s="1597">
        <v>167250.20000000001</v>
      </c>
      <c r="R1729" s="1597">
        <v>1421627.9</v>
      </c>
      <c r="S1729" s="1592"/>
    </row>
    <row r="1730" spans="2:19" s="1593" customFormat="1" ht="11.25" customHeight="1" outlineLevel="1">
      <c r="B1730" s="1600" t="s">
        <v>12674</v>
      </c>
      <c r="C1730" s="1595" t="s">
        <v>12673</v>
      </c>
      <c r="D1730" s="1595" t="s">
        <v>12672</v>
      </c>
      <c r="E1730" s="1595"/>
      <c r="F1730" s="1595"/>
      <c r="G1730" s="1595"/>
      <c r="H1730" s="1596">
        <v>2</v>
      </c>
      <c r="I1730" s="1595"/>
      <c r="J1730" s="1595"/>
      <c r="K1730" s="1597">
        <v>1694915.25</v>
      </c>
      <c r="L1730" s="1597">
        <v>1694915.25</v>
      </c>
      <c r="M1730" s="1598"/>
      <c r="N1730" s="1597">
        <v>1694915.25</v>
      </c>
      <c r="O1730" s="1597">
        <v>266143.92</v>
      </c>
      <c r="P1730" s="1597">
        <v>1260680.3999999999</v>
      </c>
      <c r="Q1730" s="1597">
        <v>168090.93</v>
      </c>
      <c r="R1730" s="1597">
        <v>1428771.33</v>
      </c>
      <c r="S1730" s="1592"/>
    </row>
    <row r="1731" spans="2:19" s="1593" customFormat="1" ht="21.75" customHeight="1" outlineLevel="1">
      <c r="B1731" s="1600" t="s">
        <v>12671</v>
      </c>
      <c r="C1731" s="1595" t="s">
        <v>12670</v>
      </c>
      <c r="D1731" s="1595" t="s">
        <v>12669</v>
      </c>
      <c r="E1731" s="1595"/>
      <c r="F1731" s="1595"/>
      <c r="G1731" s="1595"/>
      <c r="H1731" s="1596">
        <v>2</v>
      </c>
      <c r="I1731" s="1595"/>
      <c r="J1731" s="1595"/>
      <c r="K1731" s="1597">
        <v>3575847.46</v>
      </c>
      <c r="L1731" s="1597">
        <v>3575847.46</v>
      </c>
      <c r="M1731" s="1598"/>
      <c r="N1731" s="1597">
        <v>3575847.46</v>
      </c>
      <c r="O1731" s="1597">
        <v>68560.97</v>
      </c>
      <c r="P1731" s="1597">
        <v>3150994.27</v>
      </c>
      <c r="Q1731" s="1597">
        <v>356292.22</v>
      </c>
      <c r="R1731" s="1597">
        <v>3507286.49</v>
      </c>
      <c r="S1731" s="1592"/>
    </row>
    <row r="1732" spans="2:19" s="1593" customFormat="1" ht="11.25" customHeight="1" outlineLevel="1">
      <c r="B1732" s="1600" t="s">
        <v>12668</v>
      </c>
      <c r="C1732" s="1595" t="s">
        <v>12667</v>
      </c>
      <c r="D1732" s="1595" t="s">
        <v>12666</v>
      </c>
      <c r="E1732" s="1595"/>
      <c r="F1732" s="1595"/>
      <c r="G1732" s="1595"/>
      <c r="H1732" s="1596">
        <v>2</v>
      </c>
      <c r="I1732" s="1595"/>
      <c r="J1732" s="1595"/>
      <c r="K1732" s="1597">
        <v>175900</v>
      </c>
      <c r="L1732" s="1597">
        <v>175900</v>
      </c>
      <c r="M1732" s="1598"/>
      <c r="N1732" s="1597">
        <v>175900</v>
      </c>
      <c r="O1732" s="1597">
        <v>12910.12</v>
      </c>
      <c r="P1732" s="1597">
        <v>143624.64000000001</v>
      </c>
      <c r="Q1732" s="1597">
        <v>19365.240000000002</v>
      </c>
      <c r="R1732" s="1597">
        <v>162989.88</v>
      </c>
      <c r="S1732" s="1592"/>
    </row>
    <row r="1733" spans="2:19" s="1593" customFormat="1" ht="11.25" customHeight="1" outlineLevel="1">
      <c r="B1733" s="1600" t="s">
        <v>12665</v>
      </c>
      <c r="C1733" s="1595" t="s">
        <v>12662</v>
      </c>
      <c r="D1733" s="1595" t="s">
        <v>12664</v>
      </c>
      <c r="E1733" s="1595"/>
      <c r="F1733" s="1595"/>
      <c r="G1733" s="1595"/>
      <c r="H1733" s="1595"/>
      <c r="I1733" s="1595"/>
      <c r="J1733" s="1595"/>
      <c r="K1733" s="1597">
        <v>42203.39</v>
      </c>
      <c r="L1733" s="1597">
        <v>42203.39</v>
      </c>
      <c r="M1733" s="1597">
        <v>-42203.39</v>
      </c>
      <c r="N1733" s="1598"/>
      <c r="O1733" s="1598"/>
      <c r="P1733" s="1597">
        <v>42203.39</v>
      </c>
      <c r="Q1733" s="1597">
        <v>-42203.39</v>
      </c>
      <c r="R1733" s="1598"/>
      <c r="S1733" s="1592"/>
    </row>
    <row r="1734" spans="2:19" s="1593" customFormat="1" ht="21.75" customHeight="1" outlineLevel="1">
      <c r="B1734" s="1600" t="s">
        <v>12663</v>
      </c>
      <c r="C1734" s="1595" t="s">
        <v>12662</v>
      </c>
      <c r="D1734" s="1595" t="s">
        <v>12661</v>
      </c>
      <c r="E1734" s="1595"/>
      <c r="F1734" s="1595"/>
      <c r="G1734" s="1595"/>
      <c r="H1734" s="1595"/>
      <c r="I1734" s="1595"/>
      <c r="J1734" s="1595"/>
      <c r="K1734" s="1597">
        <v>92008.47</v>
      </c>
      <c r="L1734" s="1597">
        <v>92008.47</v>
      </c>
      <c r="M1734" s="1597">
        <v>-92008.47</v>
      </c>
      <c r="N1734" s="1598"/>
      <c r="O1734" s="1598"/>
      <c r="P1734" s="1597">
        <v>92008.47</v>
      </c>
      <c r="Q1734" s="1597">
        <v>-92008.47</v>
      </c>
      <c r="R1734" s="1598"/>
      <c r="S1734" s="1592"/>
    </row>
    <row r="1735" spans="2:19" s="1593" customFormat="1" ht="21.75" customHeight="1" outlineLevel="1">
      <c r="B1735" s="1600" t="s">
        <v>12660</v>
      </c>
      <c r="C1735" s="1595" t="s">
        <v>12659</v>
      </c>
      <c r="D1735" s="1595" t="s">
        <v>12658</v>
      </c>
      <c r="E1735" s="1595"/>
      <c r="F1735" s="1595"/>
      <c r="G1735" s="1595"/>
      <c r="H1735" s="1596">
        <v>2</v>
      </c>
      <c r="I1735" s="1595"/>
      <c r="J1735" s="1595"/>
      <c r="K1735" s="1597">
        <v>88652.62</v>
      </c>
      <c r="L1735" s="1597">
        <v>88652.62</v>
      </c>
      <c r="M1735" s="1597">
        <v>-88652.62</v>
      </c>
      <c r="N1735" s="1598"/>
      <c r="O1735" s="1598"/>
      <c r="P1735" s="1597">
        <v>88652.62</v>
      </c>
      <c r="Q1735" s="1597">
        <v>-88652.62</v>
      </c>
      <c r="R1735" s="1598"/>
      <c r="S1735" s="1592"/>
    </row>
    <row r="1736" spans="2:19" s="1593" customFormat="1" ht="11.25" customHeight="1" outlineLevel="1">
      <c r="B1736" s="1600" t="s">
        <v>12657</v>
      </c>
      <c r="C1736" s="1595" t="s">
        <v>12656</v>
      </c>
      <c r="D1736" s="1595" t="s">
        <v>12655</v>
      </c>
      <c r="E1736" s="1595"/>
      <c r="F1736" s="1595"/>
      <c r="G1736" s="1595"/>
      <c r="H1736" s="1596">
        <v>2</v>
      </c>
      <c r="I1736" s="1595"/>
      <c r="J1736" s="1595"/>
      <c r="K1736" s="1597">
        <v>592238.14</v>
      </c>
      <c r="L1736" s="1597">
        <v>592238.14</v>
      </c>
      <c r="M1736" s="1598"/>
      <c r="N1736" s="1597">
        <v>592238.14</v>
      </c>
      <c r="O1736" s="1597">
        <v>11946.55</v>
      </c>
      <c r="P1736" s="1597">
        <v>518208.6</v>
      </c>
      <c r="Q1736" s="1597">
        <v>62082.99</v>
      </c>
      <c r="R1736" s="1597">
        <v>580291.59</v>
      </c>
      <c r="S1736" s="1592"/>
    </row>
    <row r="1737" spans="2:19" s="1593" customFormat="1" ht="11.25" customHeight="1" outlineLevel="1">
      <c r="B1737" s="1600" t="s">
        <v>12654</v>
      </c>
      <c r="C1737" s="1595" t="s">
        <v>12653</v>
      </c>
      <c r="D1737" s="1595" t="s">
        <v>12652</v>
      </c>
      <c r="E1737" s="1595"/>
      <c r="F1737" s="1595"/>
      <c r="G1737" s="1595"/>
      <c r="H1737" s="1596">
        <v>2</v>
      </c>
      <c r="I1737" s="1595"/>
      <c r="J1737" s="1595"/>
      <c r="K1737" s="1597">
        <v>84737.279999999999</v>
      </c>
      <c r="L1737" s="1597">
        <v>84737.279999999999</v>
      </c>
      <c r="M1737" s="1597">
        <v>-84737.279999999999</v>
      </c>
      <c r="N1737" s="1598"/>
      <c r="O1737" s="1598"/>
      <c r="P1737" s="1597">
        <v>68796.36</v>
      </c>
      <c r="Q1737" s="1597">
        <v>-68796.36</v>
      </c>
      <c r="R1737" s="1598"/>
      <c r="S1737" s="1592"/>
    </row>
    <row r="1738" spans="2:19" s="1593" customFormat="1" ht="11.25" customHeight="1" outlineLevel="1">
      <c r="B1738" s="1600" t="s">
        <v>12651</v>
      </c>
      <c r="C1738" s="1595" t="s">
        <v>12650</v>
      </c>
      <c r="D1738" s="1595" t="s">
        <v>12649</v>
      </c>
      <c r="E1738" s="1595"/>
      <c r="F1738" s="1595"/>
      <c r="G1738" s="1595"/>
      <c r="H1738" s="1596">
        <v>2</v>
      </c>
      <c r="I1738" s="1595"/>
      <c r="J1738" s="1595"/>
      <c r="K1738" s="1597">
        <v>313136</v>
      </c>
      <c r="L1738" s="1597">
        <v>313136</v>
      </c>
      <c r="M1738" s="1598"/>
      <c r="N1738" s="1597">
        <v>313136</v>
      </c>
      <c r="O1738" s="1597">
        <v>6737.67</v>
      </c>
      <c r="P1738" s="1597">
        <v>271384.62</v>
      </c>
      <c r="Q1738" s="1597">
        <v>35013.71</v>
      </c>
      <c r="R1738" s="1597">
        <v>306398.33</v>
      </c>
      <c r="S1738" s="1592"/>
    </row>
    <row r="1739" spans="2:19" s="1593" customFormat="1" ht="21.75" customHeight="1" outlineLevel="1">
      <c r="B1739" s="1600" t="s">
        <v>12648</v>
      </c>
      <c r="C1739" s="1595" t="s">
        <v>12647</v>
      </c>
      <c r="D1739" s="1595" t="s">
        <v>12646</v>
      </c>
      <c r="E1739" s="1595"/>
      <c r="F1739" s="1595"/>
      <c r="G1739" s="1595"/>
      <c r="H1739" s="1596">
        <v>2</v>
      </c>
      <c r="I1739" s="1595"/>
      <c r="J1739" s="1595"/>
      <c r="K1739" s="1597">
        <v>44067.8</v>
      </c>
      <c r="L1739" s="1597">
        <v>44067.8</v>
      </c>
      <c r="M1739" s="1597">
        <v>-44067.8</v>
      </c>
      <c r="N1739" s="1598"/>
      <c r="O1739" s="1598"/>
      <c r="P1739" s="1597">
        <v>44067.8</v>
      </c>
      <c r="Q1739" s="1597">
        <v>-44067.8</v>
      </c>
      <c r="R1739" s="1598"/>
      <c r="S1739" s="1592"/>
    </row>
    <row r="1740" spans="2:19" s="1593" customFormat="1" ht="21.75" customHeight="1" outlineLevel="1">
      <c r="B1740" s="1600" t="s">
        <v>12645</v>
      </c>
      <c r="C1740" s="1595" t="s">
        <v>3460</v>
      </c>
      <c r="D1740" s="1595" t="s">
        <v>12644</v>
      </c>
      <c r="E1740" s="1595" t="s">
        <v>2219</v>
      </c>
      <c r="F1740" s="1595"/>
      <c r="G1740" s="1595" t="s">
        <v>12643</v>
      </c>
      <c r="H1740" s="1596">
        <v>2</v>
      </c>
      <c r="I1740" s="1595"/>
      <c r="J1740" s="1595"/>
      <c r="K1740" s="1597">
        <v>59741.279999999999</v>
      </c>
      <c r="L1740" s="1597">
        <v>59741.279999999999</v>
      </c>
      <c r="M1740" s="1598"/>
      <c r="N1740" s="1597">
        <v>59741.279999999999</v>
      </c>
      <c r="O1740" s="1597">
        <v>44458.32</v>
      </c>
      <c r="P1740" s="1597">
        <v>13198.92</v>
      </c>
      <c r="Q1740" s="1597">
        <v>2084.04</v>
      </c>
      <c r="R1740" s="1597">
        <v>15282.96</v>
      </c>
      <c r="S1740" s="1592"/>
    </row>
    <row r="1741" spans="2:19" s="1593" customFormat="1" ht="11.25" customHeight="1" outlineLevel="1">
      <c r="B1741" s="1600" t="s">
        <v>12642</v>
      </c>
      <c r="C1741" s="1595" t="s">
        <v>12641</v>
      </c>
      <c r="D1741" s="1595" t="s">
        <v>12640</v>
      </c>
      <c r="E1741" s="1595"/>
      <c r="F1741" s="1595"/>
      <c r="G1741" s="1595"/>
      <c r="H1741" s="1596">
        <v>2</v>
      </c>
      <c r="I1741" s="1595"/>
      <c r="J1741" s="1595"/>
      <c r="K1741" s="1597">
        <v>45810</v>
      </c>
      <c r="L1741" s="1597">
        <v>45810</v>
      </c>
      <c r="M1741" s="1597">
        <v>-45810</v>
      </c>
      <c r="N1741" s="1598"/>
      <c r="O1741" s="1598"/>
      <c r="P1741" s="1597">
        <v>45810</v>
      </c>
      <c r="Q1741" s="1597">
        <v>-45810</v>
      </c>
      <c r="R1741" s="1598"/>
      <c r="S1741" s="1592"/>
    </row>
    <row r="1742" spans="2:19" s="1593" customFormat="1" ht="21.75" customHeight="1" outlineLevel="1">
      <c r="B1742" s="1600" t="s">
        <v>12639</v>
      </c>
      <c r="C1742" s="1595" t="s">
        <v>7682</v>
      </c>
      <c r="D1742" s="1595" t="s">
        <v>12638</v>
      </c>
      <c r="E1742" s="1595"/>
      <c r="F1742" s="1595"/>
      <c r="G1742" s="1595"/>
      <c r="H1742" s="1595"/>
      <c r="I1742" s="1595"/>
      <c r="J1742" s="1595"/>
      <c r="K1742" s="1597">
        <v>84737.29</v>
      </c>
      <c r="L1742" s="1597">
        <v>84737.29</v>
      </c>
      <c r="M1742" s="1597">
        <v>-84737.29</v>
      </c>
      <c r="N1742" s="1598"/>
      <c r="O1742" s="1598"/>
      <c r="P1742" s="1597">
        <v>84737.29</v>
      </c>
      <c r="Q1742" s="1597">
        <v>-84737.29</v>
      </c>
      <c r="R1742" s="1598"/>
      <c r="S1742" s="1592"/>
    </row>
    <row r="1743" spans="2:19" s="1593" customFormat="1" ht="21.75" customHeight="1" outlineLevel="1">
      <c r="B1743" s="1600" t="s">
        <v>12637</v>
      </c>
      <c r="C1743" s="1595" t="s">
        <v>12636</v>
      </c>
      <c r="D1743" s="1595" t="s">
        <v>12635</v>
      </c>
      <c r="E1743" s="1595"/>
      <c r="F1743" s="1595"/>
      <c r="G1743" s="1595"/>
      <c r="H1743" s="1596">
        <v>2</v>
      </c>
      <c r="I1743" s="1595"/>
      <c r="J1743" s="1595"/>
      <c r="K1743" s="1597">
        <v>698705.79</v>
      </c>
      <c r="L1743" s="1597">
        <v>698705.79</v>
      </c>
      <c r="M1743" s="1598"/>
      <c r="N1743" s="1597">
        <v>698705.79</v>
      </c>
      <c r="O1743" s="1597">
        <v>15733.09</v>
      </c>
      <c r="P1743" s="1597">
        <v>601212.26</v>
      </c>
      <c r="Q1743" s="1597">
        <v>81760.44</v>
      </c>
      <c r="R1743" s="1597">
        <v>682972.7</v>
      </c>
      <c r="S1743" s="1592"/>
    </row>
    <row r="1744" spans="2:19" s="1593" customFormat="1" ht="11.25" customHeight="1" outlineLevel="1">
      <c r="B1744" s="1600" t="s">
        <v>12634</v>
      </c>
      <c r="C1744" s="1595" t="s">
        <v>12633</v>
      </c>
      <c r="D1744" s="1595" t="s">
        <v>12632</v>
      </c>
      <c r="E1744" s="1595"/>
      <c r="F1744" s="1595"/>
      <c r="G1744" s="1595"/>
      <c r="H1744" s="1595"/>
      <c r="I1744" s="1595"/>
      <c r="J1744" s="1595"/>
      <c r="K1744" s="1597">
        <v>147767.5</v>
      </c>
      <c r="L1744" s="1597">
        <v>147767.5</v>
      </c>
      <c r="M1744" s="1598"/>
      <c r="N1744" s="1597">
        <v>147767.5</v>
      </c>
      <c r="O1744" s="1597">
        <v>3406.54</v>
      </c>
      <c r="P1744" s="1597">
        <v>126658.08</v>
      </c>
      <c r="Q1744" s="1597">
        <v>17702.88</v>
      </c>
      <c r="R1744" s="1597">
        <v>144360.95999999999</v>
      </c>
      <c r="S1744" s="1592"/>
    </row>
    <row r="1745" spans="2:19" s="1593" customFormat="1" ht="11.25" customHeight="1" outlineLevel="1">
      <c r="B1745" s="1600" t="s">
        <v>12631</v>
      </c>
      <c r="C1745" s="1595" t="s">
        <v>3446</v>
      </c>
      <c r="D1745" s="1595" t="s">
        <v>12630</v>
      </c>
      <c r="E1745" s="1595"/>
      <c r="F1745" s="1595"/>
      <c r="G1745" s="1595"/>
      <c r="H1745" s="1596">
        <v>2</v>
      </c>
      <c r="I1745" s="1595"/>
      <c r="J1745" s="1595"/>
      <c r="K1745" s="1597">
        <v>4612934.1399999997</v>
      </c>
      <c r="L1745" s="1597">
        <v>4612934.1399999997</v>
      </c>
      <c r="M1745" s="1598"/>
      <c r="N1745" s="1597">
        <v>4612934.1399999997</v>
      </c>
      <c r="O1745" s="1597">
        <v>3539564.5</v>
      </c>
      <c r="P1745" s="1597">
        <v>920031.12</v>
      </c>
      <c r="Q1745" s="1597">
        <v>153338.51999999999</v>
      </c>
      <c r="R1745" s="1597">
        <v>1073369.6399999999</v>
      </c>
      <c r="S1745" s="1592"/>
    </row>
    <row r="1746" spans="2:19" s="1593" customFormat="1" ht="11.25" customHeight="1" outlineLevel="1">
      <c r="B1746" s="1600" t="s">
        <v>12629</v>
      </c>
      <c r="C1746" s="1595" t="s">
        <v>12628</v>
      </c>
      <c r="D1746" s="1595" t="s">
        <v>12627</v>
      </c>
      <c r="E1746" s="1595"/>
      <c r="F1746" s="1595"/>
      <c r="G1746" s="1595"/>
      <c r="H1746" s="1595"/>
      <c r="I1746" s="1595"/>
      <c r="J1746" s="1595"/>
      <c r="K1746" s="1597">
        <v>77207.8</v>
      </c>
      <c r="L1746" s="1597">
        <v>77207.8</v>
      </c>
      <c r="M1746" s="1597">
        <v>-77207.8</v>
      </c>
      <c r="N1746" s="1598"/>
      <c r="O1746" s="1598"/>
      <c r="P1746" s="1597">
        <v>77207.8</v>
      </c>
      <c r="Q1746" s="1597">
        <v>-77207.8</v>
      </c>
      <c r="R1746" s="1598"/>
      <c r="S1746" s="1592"/>
    </row>
    <row r="1747" spans="2:19" s="1593" customFormat="1" ht="11.25" customHeight="1" outlineLevel="1">
      <c r="B1747" s="1600" t="s">
        <v>12626</v>
      </c>
      <c r="C1747" s="1595" t="s">
        <v>12625</v>
      </c>
      <c r="D1747" s="1595" t="s">
        <v>12624</v>
      </c>
      <c r="E1747" s="1595"/>
      <c r="F1747" s="1595"/>
      <c r="G1747" s="1595"/>
      <c r="H1747" s="1595"/>
      <c r="I1747" s="1595"/>
      <c r="J1747" s="1595"/>
      <c r="K1747" s="1597">
        <v>111864.41</v>
      </c>
      <c r="L1747" s="1597">
        <v>111864.41</v>
      </c>
      <c r="M1747" s="1598"/>
      <c r="N1747" s="1597">
        <v>111864.41</v>
      </c>
      <c r="O1747" s="1597">
        <v>2813.37</v>
      </c>
      <c r="P1747" s="1597">
        <v>94430.7</v>
      </c>
      <c r="Q1747" s="1597">
        <v>14620.34</v>
      </c>
      <c r="R1747" s="1597">
        <v>109051.04</v>
      </c>
      <c r="S1747" s="1592"/>
    </row>
    <row r="1748" spans="2:19" s="1593" customFormat="1" ht="11.25" customHeight="1" outlineLevel="1">
      <c r="B1748" s="1600" t="s">
        <v>12623</v>
      </c>
      <c r="C1748" s="1595" t="s">
        <v>12612</v>
      </c>
      <c r="D1748" s="1595" t="s">
        <v>12622</v>
      </c>
      <c r="E1748" s="1595" t="s">
        <v>2288</v>
      </c>
      <c r="F1748" s="1595" t="s">
        <v>12610</v>
      </c>
      <c r="G1748" s="1595"/>
      <c r="H1748" s="1596">
        <v>2</v>
      </c>
      <c r="I1748" s="1595"/>
      <c r="J1748" s="1595"/>
      <c r="K1748" s="1597">
        <v>66902.94</v>
      </c>
      <c r="L1748" s="1597">
        <v>66902.94</v>
      </c>
      <c r="M1748" s="1597">
        <v>-66902.94</v>
      </c>
      <c r="N1748" s="1598"/>
      <c r="O1748" s="1598"/>
      <c r="P1748" s="1597">
        <v>66902.94</v>
      </c>
      <c r="Q1748" s="1597">
        <v>-66902.94</v>
      </c>
      <c r="R1748" s="1598"/>
      <c r="S1748" s="1592"/>
    </row>
    <row r="1749" spans="2:19" s="1593" customFormat="1" ht="11.25" customHeight="1" outlineLevel="1">
      <c r="B1749" s="1600" t="s">
        <v>12621</v>
      </c>
      <c r="C1749" s="1595" t="s">
        <v>12612</v>
      </c>
      <c r="D1749" s="1595" t="s">
        <v>12620</v>
      </c>
      <c r="E1749" s="1595" t="s">
        <v>2288</v>
      </c>
      <c r="F1749" s="1595" t="s">
        <v>12610</v>
      </c>
      <c r="G1749" s="1595"/>
      <c r="H1749" s="1596">
        <v>2</v>
      </c>
      <c r="I1749" s="1595"/>
      <c r="J1749" s="1595"/>
      <c r="K1749" s="1597">
        <v>83028.06</v>
      </c>
      <c r="L1749" s="1597">
        <v>83028.06</v>
      </c>
      <c r="M1749" s="1597">
        <v>-83028.06</v>
      </c>
      <c r="N1749" s="1598"/>
      <c r="O1749" s="1598"/>
      <c r="P1749" s="1597">
        <v>83028.06</v>
      </c>
      <c r="Q1749" s="1597">
        <v>-83028.06</v>
      </c>
      <c r="R1749" s="1598"/>
      <c r="S1749" s="1592"/>
    </row>
    <row r="1750" spans="2:19" s="1593" customFormat="1" ht="11.25" customHeight="1" outlineLevel="1">
      <c r="B1750" s="1600" t="s">
        <v>12619</v>
      </c>
      <c r="C1750" s="1595" t="s">
        <v>12612</v>
      </c>
      <c r="D1750" s="1595" t="s">
        <v>12618</v>
      </c>
      <c r="E1750" s="1595" t="s">
        <v>2288</v>
      </c>
      <c r="F1750" s="1595" t="s">
        <v>12610</v>
      </c>
      <c r="G1750" s="1595"/>
      <c r="H1750" s="1596">
        <v>2</v>
      </c>
      <c r="I1750" s="1595"/>
      <c r="J1750" s="1595"/>
      <c r="K1750" s="1597">
        <v>86000.62</v>
      </c>
      <c r="L1750" s="1597">
        <v>86000.62</v>
      </c>
      <c r="M1750" s="1597">
        <v>-86000.62</v>
      </c>
      <c r="N1750" s="1598"/>
      <c r="O1750" s="1598"/>
      <c r="P1750" s="1597">
        <v>86000.62</v>
      </c>
      <c r="Q1750" s="1597">
        <v>-86000.62</v>
      </c>
      <c r="R1750" s="1598"/>
      <c r="S1750" s="1592"/>
    </row>
    <row r="1751" spans="2:19" s="1593" customFormat="1" ht="11.25" customHeight="1" outlineLevel="1">
      <c r="B1751" s="1600" t="s">
        <v>12617</v>
      </c>
      <c r="C1751" s="1595" t="s">
        <v>12612</v>
      </c>
      <c r="D1751" s="1595" t="s">
        <v>12616</v>
      </c>
      <c r="E1751" s="1595" t="s">
        <v>2288</v>
      </c>
      <c r="F1751" s="1595" t="s">
        <v>12610</v>
      </c>
      <c r="G1751" s="1595"/>
      <c r="H1751" s="1596">
        <v>2</v>
      </c>
      <c r="I1751" s="1595"/>
      <c r="J1751" s="1595"/>
      <c r="K1751" s="1597">
        <v>100334.04</v>
      </c>
      <c r="L1751" s="1597">
        <v>100334.04</v>
      </c>
      <c r="M1751" s="1598"/>
      <c r="N1751" s="1597">
        <v>100334.04</v>
      </c>
      <c r="O1751" s="1597">
        <v>2590.61</v>
      </c>
      <c r="P1751" s="1597">
        <v>84280.77</v>
      </c>
      <c r="Q1751" s="1597">
        <v>13462.66</v>
      </c>
      <c r="R1751" s="1597">
        <v>97743.43</v>
      </c>
      <c r="S1751" s="1592"/>
    </row>
    <row r="1752" spans="2:19" s="1593" customFormat="1" ht="11.25" customHeight="1" outlineLevel="1">
      <c r="B1752" s="1600" t="s">
        <v>12615</v>
      </c>
      <c r="C1752" s="1595" t="s">
        <v>12612</v>
      </c>
      <c r="D1752" s="1595" t="s">
        <v>12614</v>
      </c>
      <c r="E1752" s="1595" t="s">
        <v>2288</v>
      </c>
      <c r="F1752" s="1595" t="s">
        <v>12610</v>
      </c>
      <c r="G1752" s="1595"/>
      <c r="H1752" s="1596">
        <v>2</v>
      </c>
      <c r="I1752" s="1595"/>
      <c r="J1752" s="1595"/>
      <c r="K1752" s="1597">
        <v>201197.46</v>
      </c>
      <c r="L1752" s="1597">
        <v>201197.46</v>
      </c>
      <c r="M1752" s="1598"/>
      <c r="N1752" s="1597">
        <v>201197.46</v>
      </c>
      <c r="O1752" s="1597">
        <v>5194.97</v>
      </c>
      <c r="P1752" s="1597">
        <v>169005.69</v>
      </c>
      <c r="Q1752" s="1597">
        <v>26996.799999999999</v>
      </c>
      <c r="R1752" s="1597">
        <v>196002.49</v>
      </c>
      <c r="S1752" s="1592"/>
    </row>
    <row r="1753" spans="2:19" s="1593" customFormat="1" ht="11.25" customHeight="1" outlineLevel="1">
      <c r="B1753" s="1600" t="s">
        <v>12613</v>
      </c>
      <c r="C1753" s="1595" t="s">
        <v>12612</v>
      </c>
      <c r="D1753" s="1595" t="s">
        <v>12611</v>
      </c>
      <c r="E1753" s="1595" t="s">
        <v>2288</v>
      </c>
      <c r="F1753" s="1595" t="s">
        <v>12610</v>
      </c>
      <c r="G1753" s="1595"/>
      <c r="H1753" s="1596">
        <v>2</v>
      </c>
      <c r="I1753" s="1595"/>
      <c r="J1753" s="1595"/>
      <c r="K1753" s="1597">
        <v>170168.83</v>
      </c>
      <c r="L1753" s="1597">
        <v>170168.83</v>
      </c>
      <c r="M1753" s="1598"/>
      <c r="N1753" s="1597">
        <v>170168.83</v>
      </c>
      <c r="O1753" s="1597">
        <v>4393.75</v>
      </c>
      <c r="P1753" s="1597">
        <v>142941.96</v>
      </c>
      <c r="Q1753" s="1597">
        <v>22833.119999999999</v>
      </c>
      <c r="R1753" s="1597">
        <v>165775.07999999999</v>
      </c>
      <c r="S1753" s="1592"/>
    </row>
    <row r="1754" spans="2:19" s="1593" customFormat="1" ht="11.25" customHeight="1" outlineLevel="1">
      <c r="B1754" s="1600" t="s">
        <v>12609</v>
      </c>
      <c r="C1754" s="1595" t="s">
        <v>12602</v>
      </c>
      <c r="D1754" s="1595" t="s">
        <v>12608</v>
      </c>
      <c r="E1754" s="1595"/>
      <c r="F1754" s="1595"/>
      <c r="G1754" s="1595"/>
      <c r="H1754" s="1596">
        <v>2</v>
      </c>
      <c r="I1754" s="1595"/>
      <c r="J1754" s="1595"/>
      <c r="K1754" s="1597">
        <v>89555.78</v>
      </c>
      <c r="L1754" s="1597">
        <v>89555.78</v>
      </c>
      <c r="M1754" s="1597">
        <v>-89555.78</v>
      </c>
      <c r="N1754" s="1598"/>
      <c r="O1754" s="1598"/>
      <c r="P1754" s="1597">
        <v>89555.78</v>
      </c>
      <c r="Q1754" s="1597">
        <v>-89555.78</v>
      </c>
      <c r="R1754" s="1598"/>
      <c r="S1754" s="1592"/>
    </row>
    <row r="1755" spans="2:19" s="1593" customFormat="1" ht="11.25" customHeight="1" outlineLevel="1">
      <c r="B1755" s="1600" t="s">
        <v>12607</v>
      </c>
      <c r="C1755" s="1595" t="s">
        <v>12602</v>
      </c>
      <c r="D1755" s="1595" t="s">
        <v>12606</v>
      </c>
      <c r="E1755" s="1595"/>
      <c r="F1755" s="1595"/>
      <c r="G1755" s="1595"/>
      <c r="H1755" s="1596">
        <v>2</v>
      </c>
      <c r="I1755" s="1595"/>
      <c r="J1755" s="1595"/>
      <c r="K1755" s="1597">
        <v>89555.78</v>
      </c>
      <c r="L1755" s="1597">
        <v>89555.78</v>
      </c>
      <c r="M1755" s="1597">
        <v>-89555.78</v>
      </c>
      <c r="N1755" s="1598"/>
      <c r="O1755" s="1598"/>
      <c r="P1755" s="1597">
        <v>89555.78</v>
      </c>
      <c r="Q1755" s="1597">
        <v>-89555.78</v>
      </c>
      <c r="R1755" s="1598"/>
      <c r="S1755" s="1592"/>
    </row>
    <row r="1756" spans="2:19" s="1593" customFormat="1" ht="11.25" customHeight="1" outlineLevel="1">
      <c r="B1756" s="1600" t="s">
        <v>12605</v>
      </c>
      <c r="C1756" s="1595" t="s">
        <v>12602</v>
      </c>
      <c r="D1756" s="1595" t="s">
        <v>12604</v>
      </c>
      <c r="E1756" s="1595"/>
      <c r="F1756" s="1595"/>
      <c r="G1756" s="1595"/>
      <c r="H1756" s="1596">
        <v>2</v>
      </c>
      <c r="I1756" s="1595"/>
      <c r="J1756" s="1595"/>
      <c r="K1756" s="1597">
        <v>89555.78</v>
      </c>
      <c r="L1756" s="1597">
        <v>89555.78</v>
      </c>
      <c r="M1756" s="1597">
        <v>-89555.78</v>
      </c>
      <c r="N1756" s="1598"/>
      <c r="O1756" s="1598"/>
      <c r="P1756" s="1597">
        <v>89555.78</v>
      </c>
      <c r="Q1756" s="1597">
        <v>-89555.78</v>
      </c>
      <c r="R1756" s="1598"/>
      <c r="S1756" s="1592"/>
    </row>
    <row r="1757" spans="2:19" s="1593" customFormat="1" ht="11.25" customHeight="1" outlineLevel="1">
      <c r="B1757" s="1600" t="s">
        <v>12603</v>
      </c>
      <c r="C1757" s="1595" t="s">
        <v>12602</v>
      </c>
      <c r="D1757" s="1595" t="s">
        <v>12601</v>
      </c>
      <c r="E1757" s="1595"/>
      <c r="F1757" s="1595"/>
      <c r="G1757" s="1595"/>
      <c r="H1757" s="1595"/>
      <c r="I1757" s="1595"/>
      <c r="J1757" s="1595"/>
      <c r="K1757" s="1597">
        <v>89555.78</v>
      </c>
      <c r="L1757" s="1597">
        <v>89555.78</v>
      </c>
      <c r="M1757" s="1597">
        <v>-89555.78</v>
      </c>
      <c r="N1757" s="1598"/>
      <c r="O1757" s="1598"/>
      <c r="P1757" s="1597">
        <v>89555.78</v>
      </c>
      <c r="Q1757" s="1597">
        <v>-89555.78</v>
      </c>
      <c r="R1757" s="1598"/>
      <c r="S1757" s="1592"/>
    </row>
    <row r="1758" spans="2:19" s="1593" customFormat="1" ht="11.25" customHeight="1" outlineLevel="1">
      <c r="B1758" s="1600" t="s">
        <v>12600</v>
      </c>
      <c r="C1758" s="1595" t="s">
        <v>12599</v>
      </c>
      <c r="D1758" s="1595" t="s">
        <v>12598</v>
      </c>
      <c r="E1758" s="1595"/>
      <c r="F1758" s="1595" t="s">
        <v>12597</v>
      </c>
      <c r="G1758" s="1595"/>
      <c r="H1758" s="1595"/>
      <c r="I1758" s="1595"/>
      <c r="J1758" s="1595"/>
      <c r="K1758" s="1597">
        <v>95254.24</v>
      </c>
      <c r="L1758" s="1597">
        <v>95254.24</v>
      </c>
      <c r="M1758" s="1597">
        <v>-95254.24</v>
      </c>
      <c r="N1758" s="1598"/>
      <c r="O1758" s="1598"/>
      <c r="P1758" s="1597">
        <v>66117.759999999995</v>
      </c>
      <c r="Q1758" s="1597">
        <v>-66117.759999999995</v>
      </c>
      <c r="R1758" s="1598"/>
      <c r="S1758" s="1592"/>
    </row>
    <row r="1759" spans="2:19" s="1593" customFormat="1" ht="11.25" customHeight="1" outlineLevel="1">
      <c r="B1759" s="1600" t="s">
        <v>12596</v>
      </c>
      <c r="C1759" s="1595" t="s">
        <v>12595</v>
      </c>
      <c r="D1759" s="1595" t="s">
        <v>12594</v>
      </c>
      <c r="E1759" s="1595" t="s">
        <v>2288</v>
      </c>
      <c r="F1759" s="1595" t="s">
        <v>12593</v>
      </c>
      <c r="G1759" s="1595"/>
      <c r="H1759" s="1595"/>
      <c r="I1759" s="1595"/>
      <c r="J1759" s="1595"/>
      <c r="K1759" s="1597">
        <v>84737.279999999999</v>
      </c>
      <c r="L1759" s="1597">
        <v>84737.279999999999</v>
      </c>
      <c r="M1759" s="1597">
        <v>-84737.279999999999</v>
      </c>
      <c r="N1759" s="1598"/>
      <c r="O1759" s="1598"/>
      <c r="P1759" s="1597">
        <v>54830.05</v>
      </c>
      <c r="Q1759" s="1597">
        <v>-54830.05</v>
      </c>
      <c r="R1759" s="1598"/>
      <c r="S1759" s="1592"/>
    </row>
    <row r="1760" spans="2:19" s="1593" customFormat="1" ht="21.75" customHeight="1" outlineLevel="1">
      <c r="B1760" s="1600" t="s">
        <v>12592</v>
      </c>
      <c r="C1760" s="1595" t="s">
        <v>12591</v>
      </c>
      <c r="D1760" s="1595" t="s">
        <v>12590</v>
      </c>
      <c r="E1760" s="1595"/>
      <c r="F1760" s="1595" t="s">
        <v>12589</v>
      </c>
      <c r="G1760" s="1595"/>
      <c r="H1760" s="1596">
        <v>2</v>
      </c>
      <c r="I1760" s="1595"/>
      <c r="J1760" s="1595"/>
      <c r="K1760" s="1597">
        <v>1924507.63</v>
      </c>
      <c r="L1760" s="1597">
        <v>1924507.63</v>
      </c>
      <c r="M1760" s="1598"/>
      <c r="N1760" s="1597">
        <v>1924507.63</v>
      </c>
      <c r="O1760" s="1597">
        <v>62113.71</v>
      </c>
      <c r="P1760" s="1597">
        <v>1539606.24</v>
      </c>
      <c r="Q1760" s="1597">
        <v>322787.68</v>
      </c>
      <c r="R1760" s="1597">
        <v>1862393.92</v>
      </c>
      <c r="S1760" s="1592"/>
    </row>
    <row r="1761" spans="2:19" s="1593" customFormat="1" ht="21.75" customHeight="1" outlineLevel="1">
      <c r="B1761" s="1600" t="s">
        <v>12588</v>
      </c>
      <c r="C1761" s="1595" t="s">
        <v>3374</v>
      </c>
      <c r="D1761" s="1595" t="s">
        <v>12587</v>
      </c>
      <c r="E1761" s="1595" t="s">
        <v>2208</v>
      </c>
      <c r="F1761" s="1595"/>
      <c r="G1761" s="1595"/>
      <c r="H1761" s="1595"/>
      <c r="I1761" s="1595"/>
      <c r="J1761" s="1595"/>
      <c r="K1761" s="1597">
        <v>39909303.210000001</v>
      </c>
      <c r="L1761" s="1597">
        <v>39909303.210000001</v>
      </c>
      <c r="M1761" s="1598"/>
      <c r="N1761" s="1597">
        <v>39909303.210000001</v>
      </c>
      <c r="O1761" s="1597">
        <v>20779224.109999999</v>
      </c>
      <c r="P1761" s="1597">
        <v>15172131.699999999</v>
      </c>
      <c r="Q1761" s="1597">
        <v>3957947.4</v>
      </c>
      <c r="R1761" s="1597">
        <v>19130079.100000001</v>
      </c>
      <c r="S1761" s="1592"/>
    </row>
    <row r="1762" spans="2:19" s="1593" customFormat="1" ht="21.75" customHeight="1" outlineLevel="1">
      <c r="B1762" s="1600" t="s">
        <v>12586</v>
      </c>
      <c r="C1762" s="1595" t="s">
        <v>12585</v>
      </c>
      <c r="D1762" s="1595" t="s">
        <v>12584</v>
      </c>
      <c r="E1762" s="1595" t="s">
        <v>2288</v>
      </c>
      <c r="F1762" s="1595" t="s">
        <v>12583</v>
      </c>
      <c r="G1762" s="1595"/>
      <c r="H1762" s="1596">
        <v>2</v>
      </c>
      <c r="I1762" s="1595"/>
      <c r="J1762" s="1595"/>
      <c r="K1762" s="1597">
        <v>1616270.17</v>
      </c>
      <c r="L1762" s="1597">
        <v>1616270.17</v>
      </c>
      <c r="M1762" s="1598"/>
      <c r="N1762" s="1597">
        <v>1616270.17</v>
      </c>
      <c r="O1762" s="1597">
        <v>55891.41</v>
      </c>
      <c r="P1762" s="1597">
        <v>1269926.68</v>
      </c>
      <c r="Q1762" s="1597">
        <v>290452.08</v>
      </c>
      <c r="R1762" s="1597">
        <v>1560378.76</v>
      </c>
      <c r="S1762" s="1592"/>
    </row>
    <row r="1763" spans="2:19" s="1593" customFormat="1" ht="11.25" customHeight="1" outlineLevel="1">
      <c r="B1763" s="1600" t="s">
        <v>12582</v>
      </c>
      <c r="C1763" s="1595" t="s">
        <v>12581</v>
      </c>
      <c r="D1763" s="1595" t="s">
        <v>12580</v>
      </c>
      <c r="E1763" s="1595" t="s">
        <v>2288</v>
      </c>
      <c r="F1763" s="1595" t="s">
        <v>12579</v>
      </c>
      <c r="G1763" s="1595"/>
      <c r="H1763" s="1596">
        <v>2</v>
      </c>
      <c r="I1763" s="1595"/>
      <c r="J1763" s="1595"/>
      <c r="K1763" s="1597">
        <v>167332.46</v>
      </c>
      <c r="L1763" s="1597">
        <v>167332.46</v>
      </c>
      <c r="M1763" s="1598"/>
      <c r="N1763" s="1597">
        <v>167332.46</v>
      </c>
      <c r="O1763" s="1597">
        <v>5891.65</v>
      </c>
      <c r="P1763" s="1597">
        <v>130823.63</v>
      </c>
      <c r="Q1763" s="1597">
        <v>30617.18</v>
      </c>
      <c r="R1763" s="1597">
        <v>161440.81</v>
      </c>
      <c r="S1763" s="1592"/>
    </row>
    <row r="1764" spans="2:19" s="1593" customFormat="1" ht="21.75" customHeight="1" outlineLevel="1">
      <c r="B1764" s="1600" t="s">
        <v>12578</v>
      </c>
      <c r="C1764" s="1595" t="s">
        <v>12577</v>
      </c>
      <c r="D1764" s="1595" t="s">
        <v>12576</v>
      </c>
      <c r="E1764" s="1595" t="s">
        <v>2288</v>
      </c>
      <c r="F1764" s="1595" t="s">
        <v>12575</v>
      </c>
      <c r="G1764" s="1595"/>
      <c r="H1764" s="1596">
        <v>2</v>
      </c>
      <c r="I1764" s="1595"/>
      <c r="J1764" s="1595"/>
      <c r="K1764" s="1597">
        <v>68900</v>
      </c>
      <c r="L1764" s="1597">
        <v>68900</v>
      </c>
      <c r="M1764" s="1597">
        <v>-68900</v>
      </c>
      <c r="N1764" s="1598"/>
      <c r="O1764" s="1598"/>
      <c r="P1764" s="1597">
        <v>68900</v>
      </c>
      <c r="Q1764" s="1597">
        <v>-68900</v>
      </c>
      <c r="R1764" s="1598"/>
      <c r="S1764" s="1592"/>
    </row>
    <row r="1765" spans="2:19" s="1593" customFormat="1" ht="11.25" customHeight="1" outlineLevel="1">
      <c r="B1765" s="1600" t="s">
        <v>12574</v>
      </c>
      <c r="C1765" s="1595" t="s">
        <v>12573</v>
      </c>
      <c r="D1765" s="1595" t="s">
        <v>12572</v>
      </c>
      <c r="E1765" s="1595" t="s">
        <v>2288</v>
      </c>
      <c r="F1765" s="1595" t="s">
        <v>12571</v>
      </c>
      <c r="G1765" s="1595"/>
      <c r="H1765" s="1596">
        <v>2</v>
      </c>
      <c r="I1765" s="1595"/>
      <c r="J1765" s="1595"/>
      <c r="K1765" s="1597">
        <v>207612.18</v>
      </c>
      <c r="L1765" s="1597">
        <v>207612.18</v>
      </c>
      <c r="M1765" s="1598"/>
      <c r="N1765" s="1597">
        <v>207612.18</v>
      </c>
      <c r="O1765" s="1597">
        <v>7731.59</v>
      </c>
      <c r="P1765" s="1597">
        <v>159701.6</v>
      </c>
      <c r="Q1765" s="1597">
        <v>40178.99</v>
      </c>
      <c r="R1765" s="1597">
        <v>199880.59</v>
      </c>
      <c r="S1765" s="1592"/>
    </row>
    <row r="1766" spans="2:19" s="1593" customFormat="1" ht="21.75" customHeight="1" outlineLevel="1">
      <c r="B1766" s="1600" t="s">
        <v>12570</v>
      </c>
      <c r="C1766" s="1595" t="s">
        <v>12569</v>
      </c>
      <c r="D1766" s="1595" t="s">
        <v>12568</v>
      </c>
      <c r="E1766" s="1595"/>
      <c r="F1766" s="1595"/>
      <c r="G1766" s="1595"/>
      <c r="H1766" s="1596">
        <v>2</v>
      </c>
      <c r="I1766" s="1595"/>
      <c r="J1766" s="1595"/>
      <c r="K1766" s="1597">
        <v>46932.2</v>
      </c>
      <c r="L1766" s="1597">
        <v>46932.2</v>
      </c>
      <c r="M1766" s="1597">
        <v>-46932.2</v>
      </c>
      <c r="N1766" s="1598"/>
      <c r="O1766" s="1598"/>
      <c r="P1766" s="1597">
        <v>46932.2</v>
      </c>
      <c r="Q1766" s="1597">
        <v>-46932.2</v>
      </c>
      <c r="R1766" s="1598"/>
      <c r="S1766" s="1592"/>
    </row>
    <row r="1767" spans="2:19" s="1593" customFormat="1" ht="11.25" customHeight="1" outlineLevel="1">
      <c r="B1767" s="1600" t="s">
        <v>12567</v>
      </c>
      <c r="C1767" s="1595" t="s">
        <v>12562</v>
      </c>
      <c r="D1767" s="1595" t="s">
        <v>12566</v>
      </c>
      <c r="E1767" s="1595"/>
      <c r="F1767" s="1595"/>
      <c r="G1767" s="1595"/>
      <c r="H1767" s="1595"/>
      <c r="I1767" s="1595"/>
      <c r="J1767" s="1595"/>
      <c r="K1767" s="1597">
        <v>77816.27</v>
      </c>
      <c r="L1767" s="1597">
        <v>77816.27</v>
      </c>
      <c r="M1767" s="1597">
        <v>-77816.27</v>
      </c>
      <c r="N1767" s="1598"/>
      <c r="O1767" s="1598"/>
      <c r="P1767" s="1597">
        <v>77816.27</v>
      </c>
      <c r="Q1767" s="1597">
        <v>-77816.27</v>
      </c>
      <c r="R1767" s="1598"/>
      <c r="S1767" s="1592"/>
    </row>
    <row r="1768" spans="2:19" s="1593" customFormat="1" ht="11.25" customHeight="1" outlineLevel="1">
      <c r="B1768" s="1600" t="s">
        <v>12565</v>
      </c>
      <c r="C1768" s="1595" t="s">
        <v>12562</v>
      </c>
      <c r="D1768" s="1595" t="s">
        <v>12564</v>
      </c>
      <c r="E1768" s="1595"/>
      <c r="F1768" s="1595"/>
      <c r="G1768" s="1595"/>
      <c r="H1768" s="1595"/>
      <c r="I1768" s="1595"/>
      <c r="J1768" s="1595"/>
      <c r="K1768" s="1597">
        <v>116724.41</v>
      </c>
      <c r="L1768" s="1597">
        <v>116724.41</v>
      </c>
      <c r="M1768" s="1598"/>
      <c r="N1768" s="1597">
        <v>116724.41</v>
      </c>
      <c r="O1768" s="1597">
        <v>4432.13</v>
      </c>
      <c r="P1768" s="1597">
        <v>89259.69</v>
      </c>
      <c r="Q1768" s="1597">
        <v>23032.59</v>
      </c>
      <c r="R1768" s="1597">
        <v>112292.28</v>
      </c>
      <c r="S1768" s="1592"/>
    </row>
    <row r="1769" spans="2:19" s="1593" customFormat="1" ht="11.25" customHeight="1" outlineLevel="1">
      <c r="B1769" s="1600" t="s">
        <v>12563</v>
      </c>
      <c r="C1769" s="1595" t="s">
        <v>12562</v>
      </c>
      <c r="D1769" s="1595" t="s">
        <v>12561</v>
      </c>
      <c r="E1769" s="1595"/>
      <c r="F1769" s="1595"/>
      <c r="G1769" s="1595"/>
      <c r="H1769" s="1595"/>
      <c r="I1769" s="1595"/>
      <c r="J1769" s="1595"/>
      <c r="K1769" s="1597">
        <v>197967.12</v>
      </c>
      <c r="L1769" s="1597">
        <v>197967.12</v>
      </c>
      <c r="M1769" s="1598"/>
      <c r="N1769" s="1597">
        <v>197967.12</v>
      </c>
      <c r="O1769" s="1597">
        <v>7516.95</v>
      </c>
      <c r="P1769" s="1597">
        <v>151386.69</v>
      </c>
      <c r="Q1769" s="1597">
        <v>39063.480000000003</v>
      </c>
      <c r="R1769" s="1597">
        <v>190450.17</v>
      </c>
      <c r="S1769" s="1592"/>
    </row>
    <row r="1770" spans="2:19" s="1593" customFormat="1" ht="11.25" customHeight="1" outlineLevel="1">
      <c r="B1770" s="1600" t="s">
        <v>12560</v>
      </c>
      <c r="C1770" s="1595" t="s">
        <v>12559</v>
      </c>
      <c r="D1770" s="1595" t="s">
        <v>12558</v>
      </c>
      <c r="E1770" s="1595"/>
      <c r="F1770" s="1595"/>
      <c r="G1770" s="1595"/>
      <c r="H1770" s="1595"/>
      <c r="I1770" s="1595"/>
      <c r="J1770" s="1595"/>
      <c r="K1770" s="1597">
        <v>65021.19</v>
      </c>
      <c r="L1770" s="1597">
        <v>65021.19</v>
      </c>
      <c r="M1770" s="1597">
        <v>-65021.19</v>
      </c>
      <c r="N1770" s="1598"/>
      <c r="O1770" s="1598"/>
      <c r="P1770" s="1597">
        <v>65021.19</v>
      </c>
      <c r="Q1770" s="1597">
        <v>-65021.19</v>
      </c>
      <c r="R1770" s="1598"/>
      <c r="S1770" s="1592"/>
    </row>
    <row r="1771" spans="2:19" s="1593" customFormat="1" ht="21.75" customHeight="1" outlineLevel="1">
      <c r="B1771" s="1600" t="s">
        <v>12557</v>
      </c>
      <c r="C1771" s="1595" t="s">
        <v>3320</v>
      </c>
      <c r="D1771" s="1595" t="s">
        <v>12556</v>
      </c>
      <c r="E1771" s="1595" t="s">
        <v>2219</v>
      </c>
      <c r="F1771" s="1595" t="s">
        <v>3318</v>
      </c>
      <c r="G1771" s="1595"/>
      <c r="H1771" s="1596">
        <v>2</v>
      </c>
      <c r="I1771" s="1595"/>
      <c r="J1771" s="1595"/>
      <c r="K1771" s="1597">
        <v>6140000</v>
      </c>
      <c r="L1771" s="1597">
        <v>6140000</v>
      </c>
      <c r="M1771" s="1598"/>
      <c r="N1771" s="1597">
        <v>6140000</v>
      </c>
      <c r="O1771" s="1597">
        <v>5306592.8099999996</v>
      </c>
      <c r="P1771" s="1597">
        <v>629307.47</v>
      </c>
      <c r="Q1771" s="1597">
        <v>204099.72</v>
      </c>
      <c r="R1771" s="1597">
        <v>833407.19</v>
      </c>
      <c r="S1771" s="1592"/>
    </row>
    <row r="1772" spans="2:19" s="1593" customFormat="1" ht="11.25" customHeight="1" outlineLevel="1">
      <c r="B1772" s="1600" t="s">
        <v>12555</v>
      </c>
      <c r="C1772" s="1595" t="s">
        <v>7247</v>
      </c>
      <c r="D1772" s="1595" t="s">
        <v>12554</v>
      </c>
      <c r="E1772" s="1595" t="s">
        <v>2288</v>
      </c>
      <c r="F1772" s="1595" t="s">
        <v>12553</v>
      </c>
      <c r="G1772" s="1595"/>
      <c r="H1772" s="1596">
        <v>2</v>
      </c>
      <c r="I1772" s="1595"/>
      <c r="J1772" s="1595"/>
      <c r="K1772" s="1597">
        <v>170583.9</v>
      </c>
      <c r="L1772" s="1597">
        <v>170583.9</v>
      </c>
      <c r="M1772" s="1598"/>
      <c r="N1772" s="1597">
        <v>170583.9</v>
      </c>
      <c r="O1772" s="1597">
        <v>6741.59</v>
      </c>
      <c r="P1772" s="1597">
        <v>128808.1</v>
      </c>
      <c r="Q1772" s="1597">
        <v>35034.21</v>
      </c>
      <c r="R1772" s="1597">
        <v>163842.31</v>
      </c>
      <c r="S1772" s="1592"/>
    </row>
    <row r="1773" spans="2:19" s="1593" customFormat="1" ht="11.25" customHeight="1" outlineLevel="1">
      <c r="B1773" s="1600" t="s">
        <v>12552</v>
      </c>
      <c r="C1773" s="1595" t="s">
        <v>12551</v>
      </c>
      <c r="D1773" s="1595" t="s">
        <v>12550</v>
      </c>
      <c r="E1773" s="1595"/>
      <c r="F1773" s="1595" t="s">
        <v>12549</v>
      </c>
      <c r="G1773" s="1595"/>
      <c r="H1773" s="1596">
        <v>2</v>
      </c>
      <c r="I1773" s="1595"/>
      <c r="J1773" s="1595"/>
      <c r="K1773" s="1597">
        <v>53008.47</v>
      </c>
      <c r="L1773" s="1597">
        <v>53008.47</v>
      </c>
      <c r="M1773" s="1597">
        <v>-53008.47</v>
      </c>
      <c r="N1773" s="1598"/>
      <c r="O1773" s="1598"/>
      <c r="P1773" s="1597">
        <v>53008.47</v>
      </c>
      <c r="Q1773" s="1597">
        <v>-53008.47</v>
      </c>
      <c r="R1773" s="1598"/>
      <c r="S1773" s="1592"/>
    </row>
    <row r="1774" spans="2:19" s="1593" customFormat="1" ht="11.25" customHeight="1" outlineLevel="1">
      <c r="B1774" s="1600" t="s">
        <v>12548</v>
      </c>
      <c r="C1774" s="1595" t="s">
        <v>12547</v>
      </c>
      <c r="D1774" s="1595" t="s">
        <v>12546</v>
      </c>
      <c r="E1774" s="1595" t="s">
        <v>2288</v>
      </c>
      <c r="F1774" s="1595" t="s">
        <v>12545</v>
      </c>
      <c r="G1774" s="1595"/>
      <c r="H1774" s="1596">
        <v>2</v>
      </c>
      <c r="I1774" s="1595"/>
      <c r="J1774" s="1595"/>
      <c r="K1774" s="1597">
        <v>414466.67</v>
      </c>
      <c r="L1774" s="1597">
        <v>414466.67</v>
      </c>
      <c r="M1774" s="1598"/>
      <c r="N1774" s="1597">
        <v>414466.67</v>
      </c>
      <c r="O1774" s="1597">
        <v>17076.97</v>
      </c>
      <c r="P1774" s="1597">
        <v>308645.40000000002</v>
      </c>
      <c r="Q1774" s="1597">
        <v>88744.3</v>
      </c>
      <c r="R1774" s="1597">
        <v>397389.7</v>
      </c>
      <c r="S1774" s="1592"/>
    </row>
    <row r="1775" spans="2:19" s="1593" customFormat="1" ht="21.75" customHeight="1" outlineLevel="1">
      <c r="B1775" s="1600" t="s">
        <v>12544</v>
      </c>
      <c r="C1775" s="1595" t="s">
        <v>12541</v>
      </c>
      <c r="D1775" s="1595" t="s">
        <v>12543</v>
      </c>
      <c r="E1775" s="1595" t="s">
        <v>2288</v>
      </c>
      <c r="F1775" s="1595" t="s">
        <v>12539</v>
      </c>
      <c r="G1775" s="1595"/>
      <c r="H1775" s="1596">
        <v>2</v>
      </c>
      <c r="I1775" s="1595"/>
      <c r="J1775" s="1595"/>
      <c r="K1775" s="1597">
        <v>1398550</v>
      </c>
      <c r="L1775" s="1597">
        <v>1398550</v>
      </c>
      <c r="M1775" s="1598"/>
      <c r="N1775" s="1597">
        <v>1398550</v>
      </c>
      <c r="O1775" s="1597">
        <v>60184.51</v>
      </c>
      <c r="P1775" s="1597">
        <v>1025603.37</v>
      </c>
      <c r="Q1775" s="1597">
        <v>312762.12</v>
      </c>
      <c r="R1775" s="1597">
        <v>1338365.49</v>
      </c>
      <c r="S1775" s="1592"/>
    </row>
    <row r="1776" spans="2:19" s="1593" customFormat="1" ht="21.75" customHeight="1" outlineLevel="1">
      <c r="B1776" s="1600" t="s">
        <v>12542</v>
      </c>
      <c r="C1776" s="1595" t="s">
        <v>12541</v>
      </c>
      <c r="D1776" s="1595" t="s">
        <v>12540</v>
      </c>
      <c r="E1776" s="1595" t="s">
        <v>2288</v>
      </c>
      <c r="F1776" s="1595" t="s">
        <v>12539</v>
      </c>
      <c r="G1776" s="1595"/>
      <c r="H1776" s="1596">
        <v>2</v>
      </c>
      <c r="I1776" s="1595"/>
      <c r="J1776" s="1595"/>
      <c r="K1776" s="1597">
        <v>1398550</v>
      </c>
      <c r="L1776" s="1597">
        <v>1398550</v>
      </c>
      <c r="M1776" s="1598"/>
      <c r="N1776" s="1597">
        <v>1398550</v>
      </c>
      <c r="O1776" s="1597">
        <v>60184.51</v>
      </c>
      <c r="P1776" s="1597">
        <v>1025603.37</v>
      </c>
      <c r="Q1776" s="1597">
        <v>312762.12</v>
      </c>
      <c r="R1776" s="1597">
        <v>1338365.49</v>
      </c>
      <c r="S1776" s="1592"/>
    </row>
    <row r="1777" spans="2:19" s="1593" customFormat="1" ht="11.25" customHeight="1" outlineLevel="1">
      <c r="B1777" s="1600" t="s">
        <v>12538</v>
      </c>
      <c r="C1777" s="1595" t="s">
        <v>12535</v>
      </c>
      <c r="D1777" s="1595" t="s">
        <v>12537</v>
      </c>
      <c r="E1777" s="1595" t="s">
        <v>2288</v>
      </c>
      <c r="F1777" s="1595"/>
      <c r="G1777" s="1595"/>
      <c r="H1777" s="1595"/>
      <c r="I1777" s="1595"/>
      <c r="J1777" s="1595"/>
      <c r="K1777" s="1597">
        <v>1000</v>
      </c>
      <c r="L1777" s="1597">
        <v>1000</v>
      </c>
      <c r="M1777" s="1597">
        <v>-1000</v>
      </c>
      <c r="N1777" s="1598"/>
      <c r="O1777" s="1598"/>
      <c r="P1777" s="1597">
        <v>1000</v>
      </c>
      <c r="Q1777" s="1597">
        <v>-1000</v>
      </c>
      <c r="R1777" s="1598"/>
      <c r="S1777" s="1592"/>
    </row>
    <row r="1778" spans="2:19" s="1593" customFormat="1" ht="11.25" customHeight="1" outlineLevel="1">
      <c r="B1778" s="1600" t="s">
        <v>12536</v>
      </c>
      <c r="C1778" s="1595" t="s">
        <v>12535</v>
      </c>
      <c r="D1778" s="1595" t="s">
        <v>12534</v>
      </c>
      <c r="E1778" s="1595" t="s">
        <v>2288</v>
      </c>
      <c r="F1778" s="1595"/>
      <c r="G1778" s="1595"/>
      <c r="H1778" s="1595"/>
      <c r="I1778" s="1595"/>
      <c r="J1778" s="1595"/>
      <c r="K1778" s="1597">
        <v>1000</v>
      </c>
      <c r="L1778" s="1597">
        <v>1000</v>
      </c>
      <c r="M1778" s="1597">
        <v>-1000</v>
      </c>
      <c r="N1778" s="1598"/>
      <c r="O1778" s="1598"/>
      <c r="P1778" s="1597">
        <v>1000</v>
      </c>
      <c r="Q1778" s="1597">
        <v>-1000</v>
      </c>
      <c r="R1778" s="1598"/>
      <c r="S1778" s="1592"/>
    </row>
    <row r="1779" spans="2:19" s="1593" customFormat="1" ht="21.75" customHeight="1" outlineLevel="1">
      <c r="B1779" s="1600" t="s">
        <v>12533</v>
      </c>
      <c r="C1779" s="1595" t="s">
        <v>12532</v>
      </c>
      <c r="D1779" s="1595" t="s">
        <v>12531</v>
      </c>
      <c r="E1779" s="1595" t="s">
        <v>2288</v>
      </c>
      <c r="F1779" s="1595" t="s">
        <v>12530</v>
      </c>
      <c r="G1779" s="1595"/>
      <c r="H1779" s="1596">
        <v>2</v>
      </c>
      <c r="I1779" s="1595"/>
      <c r="J1779" s="1595"/>
      <c r="K1779" s="1597">
        <v>2069731.76</v>
      </c>
      <c r="L1779" s="1597">
        <v>2069731.76</v>
      </c>
      <c r="M1779" s="1598"/>
      <c r="N1779" s="1597">
        <v>2069731.76</v>
      </c>
      <c r="O1779" s="1597">
        <v>89067.81</v>
      </c>
      <c r="P1779" s="1597">
        <v>1517803.32</v>
      </c>
      <c r="Q1779" s="1597">
        <v>462860.63</v>
      </c>
      <c r="R1779" s="1597">
        <v>1980663.95</v>
      </c>
      <c r="S1779" s="1592"/>
    </row>
    <row r="1780" spans="2:19" s="1593" customFormat="1" ht="21.75" customHeight="1" outlineLevel="1">
      <c r="B1780" s="1600" t="s">
        <v>12529</v>
      </c>
      <c r="C1780" s="1595" t="s">
        <v>12525</v>
      </c>
      <c r="D1780" s="1595" t="s">
        <v>12528</v>
      </c>
      <c r="E1780" s="1595" t="s">
        <v>2288</v>
      </c>
      <c r="F1780" s="1595" t="s">
        <v>12527</v>
      </c>
      <c r="G1780" s="1595"/>
      <c r="H1780" s="1596">
        <v>2</v>
      </c>
      <c r="I1780" s="1595"/>
      <c r="J1780" s="1595"/>
      <c r="K1780" s="1597">
        <v>907647.5</v>
      </c>
      <c r="L1780" s="1597">
        <v>907647.5</v>
      </c>
      <c r="M1780" s="1598"/>
      <c r="N1780" s="1597">
        <v>907647.5</v>
      </c>
      <c r="O1780" s="1597">
        <v>39946.97</v>
      </c>
      <c r="P1780" s="1597">
        <v>660107.19999999995</v>
      </c>
      <c r="Q1780" s="1597">
        <v>207593.33</v>
      </c>
      <c r="R1780" s="1597">
        <v>867700.53</v>
      </c>
      <c r="S1780" s="1592"/>
    </row>
    <row r="1781" spans="2:19" s="1593" customFormat="1" ht="21.75" customHeight="1" outlineLevel="1">
      <c r="B1781" s="1600" t="s">
        <v>12526</v>
      </c>
      <c r="C1781" s="1595" t="s">
        <v>12525</v>
      </c>
      <c r="D1781" s="1595" t="s">
        <v>12524</v>
      </c>
      <c r="E1781" s="1595" t="s">
        <v>2288</v>
      </c>
      <c r="F1781" s="1595" t="s">
        <v>12523</v>
      </c>
      <c r="G1781" s="1595"/>
      <c r="H1781" s="1596">
        <v>2</v>
      </c>
      <c r="I1781" s="1595"/>
      <c r="J1781" s="1595"/>
      <c r="K1781" s="1597">
        <v>907647.5</v>
      </c>
      <c r="L1781" s="1597">
        <v>907647.5</v>
      </c>
      <c r="M1781" s="1598"/>
      <c r="N1781" s="1597">
        <v>907647.5</v>
      </c>
      <c r="O1781" s="1597">
        <v>39946.97</v>
      </c>
      <c r="P1781" s="1597">
        <v>660107.19999999995</v>
      </c>
      <c r="Q1781" s="1597">
        <v>207593.33</v>
      </c>
      <c r="R1781" s="1597">
        <v>867700.53</v>
      </c>
      <c r="S1781" s="1592"/>
    </row>
    <row r="1782" spans="2:19" s="1593" customFormat="1" ht="11.25" customHeight="1" outlineLevel="1">
      <c r="B1782" s="1600" t="s">
        <v>12522</v>
      </c>
      <c r="C1782" s="1595" t="s">
        <v>12508</v>
      </c>
      <c r="D1782" s="1595" t="s">
        <v>12521</v>
      </c>
      <c r="E1782" s="1595" t="s">
        <v>2288</v>
      </c>
      <c r="F1782" s="1595" t="s">
        <v>12506</v>
      </c>
      <c r="G1782" s="1595"/>
      <c r="H1782" s="1596">
        <v>2</v>
      </c>
      <c r="I1782" s="1595"/>
      <c r="J1782" s="1595"/>
      <c r="K1782" s="1597">
        <v>113237.71</v>
      </c>
      <c r="L1782" s="1597">
        <v>113237.71</v>
      </c>
      <c r="M1782" s="1598"/>
      <c r="N1782" s="1597">
        <v>113237.71</v>
      </c>
      <c r="O1782" s="1597">
        <v>5348.41</v>
      </c>
      <c r="P1782" s="1597">
        <v>80095.100000000006</v>
      </c>
      <c r="Q1782" s="1597">
        <v>27794.2</v>
      </c>
      <c r="R1782" s="1597">
        <v>107889.3</v>
      </c>
      <c r="S1782" s="1592"/>
    </row>
    <row r="1783" spans="2:19" s="1593" customFormat="1" ht="11.25" customHeight="1" outlineLevel="1">
      <c r="B1783" s="1600" t="s">
        <v>12520</v>
      </c>
      <c r="C1783" s="1595" t="s">
        <v>12508</v>
      </c>
      <c r="D1783" s="1595" t="s">
        <v>12519</v>
      </c>
      <c r="E1783" s="1595" t="s">
        <v>2288</v>
      </c>
      <c r="F1783" s="1595" t="s">
        <v>12506</v>
      </c>
      <c r="G1783" s="1595"/>
      <c r="H1783" s="1596">
        <v>2</v>
      </c>
      <c r="I1783" s="1595"/>
      <c r="J1783" s="1595"/>
      <c r="K1783" s="1597">
        <v>118768.41</v>
      </c>
      <c r="L1783" s="1597">
        <v>118768.41</v>
      </c>
      <c r="M1783" s="1598"/>
      <c r="N1783" s="1597">
        <v>118768.41</v>
      </c>
      <c r="O1783" s="1597">
        <v>5609.67</v>
      </c>
      <c r="P1783" s="1597">
        <v>84006.91</v>
      </c>
      <c r="Q1783" s="1597">
        <v>29151.83</v>
      </c>
      <c r="R1783" s="1597">
        <v>113158.74</v>
      </c>
      <c r="S1783" s="1592"/>
    </row>
    <row r="1784" spans="2:19" s="1593" customFormat="1" ht="11.25" customHeight="1" outlineLevel="1">
      <c r="B1784" s="1600" t="s">
        <v>12518</v>
      </c>
      <c r="C1784" s="1595" t="s">
        <v>12508</v>
      </c>
      <c r="D1784" s="1595" t="s">
        <v>12517</v>
      </c>
      <c r="E1784" s="1595" t="s">
        <v>2288</v>
      </c>
      <c r="F1784" s="1595" t="s">
        <v>12506</v>
      </c>
      <c r="G1784" s="1595"/>
      <c r="H1784" s="1596">
        <v>2</v>
      </c>
      <c r="I1784" s="1595"/>
      <c r="J1784" s="1595"/>
      <c r="K1784" s="1597">
        <v>118768.41</v>
      </c>
      <c r="L1784" s="1597">
        <v>118768.41</v>
      </c>
      <c r="M1784" s="1598"/>
      <c r="N1784" s="1597">
        <v>118768.41</v>
      </c>
      <c r="O1784" s="1597">
        <v>5609.67</v>
      </c>
      <c r="P1784" s="1597">
        <v>84006.91</v>
      </c>
      <c r="Q1784" s="1597">
        <v>29151.83</v>
      </c>
      <c r="R1784" s="1597">
        <v>113158.74</v>
      </c>
      <c r="S1784" s="1592"/>
    </row>
    <row r="1785" spans="2:19" s="1593" customFormat="1" ht="11.25" customHeight="1" outlineLevel="1">
      <c r="B1785" s="1600" t="s">
        <v>12516</v>
      </c>
      <c r="C1785" s="1595" t="s">
        <v>12508</v>
      </c>
      <c r="D1785" s="1595" t="s">
        <v>12515</v>
      </c>
      <c r="E1785" s="1595" t="s">
        <v>2288</v>
      </c>
      <c r="F1785" s="1595" t="s">
        <v>12506</v>
      </c>
      <c r="G1785" s="1595"/>
      <c r="H1785" s="1596">
        <v>2</v>
      </c>
      <c r="I1785" s="1595"/>
      <c r="J1785" s="1595"/>
      <c r="K1785" s="1597">
        <v>113237.71</v>
      </c>
      <c r="L1785" s="1597">
        <v>113237.71</v>
      </c>
      <c r="M1785" s="1598"/>
      <c r="N1785" s="1597">
        <v>113237.71</v>
      </c>
      <c r="O1785" s="1597">
        <v>5348.41</v>
      </c>
      <c r="P1785" s="1597">
        <v>80095.100000000006</v>
      </c>
      <c r="Q1785" s="1597">
        <v>27794.2</v>
      </c>
      <c r="R1785" s="1597">
        <v>107889.3</v>
      </c>
      <c r="S1785" s="1592"/>
    </row>
    <row r="1786" spans="2:19" s="1593" customFormat="1" ht="11.25" customHeight="1" outlineLevel="1">
      <c r="B1786" s="1600" t="s">
        <v>12514</v>
      </c>
      <c r="C1786" s="1595" t="s">
        <v>12508</v>
      </c>
      <c r="D1786" s="1595" t="s">
        <v>12513</v>
      </c>
      <c r="E1786" s="1595" t="s">
        <v>2288</v>
      </c>
      <c r="F1786" s="1595" t="s">
        <v>12506</v>
      </c>
      <c r="G1786" s="1595"/>
      <c r="H1786" s="1596">
        <v>2</v>
      </c>
      <c r="I1786" s="1595"/>
      <c r="J1786" s="1595"/>
      <c r="K1786" s="1597">
        <v>74451.839999999997</v>
      </c>
      <c r="L1786" s="1597">
        <v>74451.839999999997</v>
      </c>
      <c r="M1786" s="1597">
        <v>-74451.839999999997</v>
      </c>
      <c r="N1786" s="1598"/>
      <c r="O1786" s="1598"/>
      <c r="P1786" s="1597">
        <v>74451.839999999997</v>
      </c>
      <c r="Q1786" s="1597">
        <v>-74451.839999999997</v>
      </c>
      <c r="R1786" s="1598"/>
      <c r="S1786" s="1592"/>
    </row>
    <row r="1787" spans="2:19" s="1593" customFormat="1" ht="11.25" customHeight="1" outlineLevel="1">
      <c r="B1787" s="1600" t="s">
        <v>12512</v>
      </c>
      <c r="C1787" s="1595" t="s">
        <v>12508</v>
      </c>
      <c r="D1787" s="1595" t="s">
        <v>12511</v>
      </c>
      <c r="E1787" s="1595" t="s">
        <v>2288</v>
      </c>
      <c r="F1787" s="1595" t="s">
        <v>12510</v>
      </c>
      <c r="G1787" s="1595"/>
      <c r="H1787" s="1596">
        <v>2</v>
      </c>
      <c r="I1787" s="1595"/>
      <c r="J1787" s="1595"/>
      <c r="K1787" s="1597">
        <v>62894.080000000002</v>
      </c>
      <c r="L1787" s="1597">
        <v>62894.080000000002</v>
      </c>
      <c r="M1787" s="1597">
        <v>-62894.080000000002</v>
      </c>
      <c r="N1787" s="1598"/>
      <c r="O1787" s="1598"/>
      <c r="P1787" s="1597">
        <v>62894.080000000002</v>
      </c>
      <c r="Q1787" s="1597">
        <v>-62894.080000000002</v>
      </c>
      <c r="R1787" s="1598"/>
      <c r="S1787" s="1592"/>
    </row>
    <row r="1788" spans="2:19" s="1593" customFormat="1" ht="11.25" customHeight="1" outlineLevel="1">
      <c r="B1788" s="1600" t="s">
        <v>12509</v>
      </c>
      <c r="C1788" s="1595" t="s">
        <v>12508</v>
      </c>
      <c r="D1788" s="1595" t="s">
        <v>12507</v>
      </c>
      <c r="E1788" s="1595" t="s">
        <v>2288</v>
      </c>
      <c r="F1788" s="1595" t="s">
        <v>12506</v>
      </c>
      <c r="G1788" s="1595"/>
      <c r="H1788" s="1596">
        <v>2</v>
      </c>
      <c r="I1788" s="1595"/>
      <c r="J1788" s="1595"/>
      <c r="K1788" s="1597">
        <v>56725.2</v>
      </c>
      <c r="L1788" s="1597">
        <v>56725.2</v>
      </c>
      <c r="M1788" s="1597">
        <v>-56725.2</v>
      </c>
      <c r="N1788" s="1598"/>
      <c r="O1788" s="1598"/>
      <c r="P1788" s="1597">
        <v>56725.2</v>
      </c>
      <c r="Q1788" s="1597">
        <v>-56725.2</v>
      </c>
      <c r="R1788" s="1598"/>
      <c r="S1788" s="1592"/>
    </row>
    <row r="1789" spans="2:19" s="1593" customFormat="1" ht="11.25" customHeight="1" outlineLevel="1">
      <c r="B1789" s="1600" t="s">
        <v>12505</v>
      </c>
      <c r="C1789" s="1595" t="s">
        <v>3266</v>
      </c>
      <c r="D1789" s="1595" t="s">
        <v>12504</v>
      </c>
      <c r="E1789" s="1595" t="s">
        <v>2219</v>
      </c>
      <c r="F1789" s="1595" t="s">
        <v>3264</v>
      </c>
      <c r="G1789" s="1595"/>
      <c r="H1789" s="1596">
        <v>2</v>
      </c>
      <c r="I1789" s="1595"/>
      <c r="J1789" s="1595"/>
      <c r="K1789" s="1597">
        <v>8431836.0500000007</v>
      </c>
      <c r="L1789" s="1597">
        <v>8431836.0500000007</v>
      </c>
      <c r="M1789" s="1598"/>
      <c r="N1789" s="1597">
        <v>8431836.0500000007</v>
      </c>
      <c r="O1789" s="1597">
        <v>7497560.4500000002</v>
      </c>
      <c r="P1789" s="1597">
        <v>653992.92000000004</v>
      </c>
      <c r="Q1789" s="1597">
        <v>280282.68</v>
      </c>
      <c r="R1789" s="1597">
        <v>934275.6</v>
      </c>
      <c r="S1789" s="1592"/>
    </row>
    <row r="1790" spans="2:19" s="1593" customFormat="1" ht="11.25" customHeight="1" outlineLevel="1">
      <c r="B1790" s="1600" t="s">
        <v>12503</v>
      </c>
      <c r="C1790" s="1595" t="s">
        <v>12502</v>
      </c>
      <c r="D1790" s="1595" t="s">
        <v>12501</v>
      </c>
      <c r="E1790" s="1595" t="s">
        <v>2288</v>
      </c>
      <c r="F1790" s="1595" t="s">
        <v>12500</v>
      </c>
      <c r="G1790" s="1595"/>
      <c r="H1790" s="1596">
        <v>2</v>
      </c>
      <c r="I1790" s="1595"/>
      <c r="J1790" s="1595"/>
      <c r="K1790" s="1597">
        <v>72655.83</v>
      </c>
      <c r="L1790" s="1597">
        <v>72655.83</v>
      </c>
      <c r="M1790" s="1597">
        <v>-72655.83</v>
      </c>
      <c r="N1790" s="1598"/>
      <c r="O1790" s="1598"/>
      <c r="P1790" s="1597">
        <v>72655.83</v>
      </c>
      <c r="Q1790" s="1597">
        <v>-72655.83</v>
      </c>
      <c r="R1790" s="1598"/>
      <c r="S1790" s="1592"/>
    </row>
    <row r="1791" spans="2:19" s="1593" customFormat="1" ht="11.25" customHeight="1" outlineLevel="1">
      <c r="B1791" s="1600" t="s">
        <v>12499</v>
      </c>
      <c r="C1791" s="1595" t="s">
        <v>12485</v>
      </c>
      <c r="D1791" s="1595" t="s">
        <v>12498</v>
      </c>
      <c r="E1791" s="1595" t="s">
        <v>2288</v>
      </c>
      <c r="F1791" s="1595" t="s">
        <v>12483</v>
      </c>
      <c r="G1791" s="1595"/>
      <c r="H1791" s="1596">
        <v>2</v>
      </c>
      <c r="I1791" s="1595"/>
      <c r="J1791" s="1595"/>
      <c r="K1791" s="1597">
        <v>80911.8</v>
      </c>
      <c r="L1791" s="1597">
        <v>80911.8</v>
      </c>
      <c r="M1791" s="1597">
        <v>-80911.8</v>
      </c>
      <c r="N1791" s="1598"/>
      <c r="O1791" s="1598"/>
      <c r="P1791" s="1597">
        <v>80911.8</v>
      </c>
      <c r="Q1791" s="1597">
        <v>-80911.8</v>
      </c>
      <c r="R1791" s="1598"/>
      <c r="S1791" s="1592"/>
    </row>
    <row r="1792" spans="2:19" s="1593" customFormat="1" ht="11.25" customHeight="1" outlineLevel="1">
      <c r="B1792" s="1600" t="s">
        <v>12497</v>
      </c>
      <c r="C1792" s="1595" t="s">
        <v>12485</v>
      </c>
      <c r="D1792" s="1595" t="s">
        <v>12496</v>
      </c>
      <c r="E1792" s="1595" t="s">
        <v>2288</v>
      </c>
      <c r="F1792" s="1595" t="s">
        <v>12489</v>
      </c>
      <c r="G1792" s="1595"/>
      <c r="H1792" s="1596">
        <v>2</v>
      </c>
      <c r="I1792" s="1595"/>
      <c r="J1792" s="1595"/>
      <c r="K1792" s="1597">
        <v>100393.2</v>
      </c>
      <c r="L1792" s="1597">
        <v>100393.2</v>
      </c>
      <c r="M1792" s="1598"/>
      <c r="N1792" s="1597">
        <v>100393.2</v>
      </c>
      <c r="O1792" s="1597">
        <v>4984.95</v>
      </c>
      <c r="P1792" s="1597">
        <v>69502.86</v>
      </c>
      <c r="Q1792" s="1597">
        <v>25905.39</v>
      </c>
      <c r="R1792" s="1597">
        <v>95408.25</v>
      </c>
      <c r="S1792" s="1592"/>
    </row>
    <row r="1793" spans="2:19" s="1593" customFormat="1" ht="11.25" customHeight="1" outlineLevel="1">
      <c r="B1793" s="1600" t="s">
        <v>12495</v>
      </c>
      <c r="C1793" s="1595" t="s">
        <v>12485</v>
      </c>
      <c r="D1793" s="1595" t="s">
        <v>12494</v>
      </c>
      <c r="E1793" s="1595" t="s">
        <v>2288</v>
      </c>
      <c r="F1793" s="1595" t="s">
        <v>12489</v>
      </c>
      <c r="G1793" s="1595"/>
      <c r="H1793" s="1596">
        <v>2</v>
      </c>
      <c r="I1793" s="1595"/>
      <c r="J1793" s="1595"/>
      <c r="K1793" s="1597">
        <v>100393.2</v>
      </c>
      <c r="L1793" s="1597">
        <v>100393.2</v>
      </c>
      <c r="M1793" s="1598"/>
      <c r="N1793" s="1597">
        <v>100393.2</v>
      </c>
      <c r="O1793" s="1597">
        <v>4984.95</v>
      </c>
      <c r="P1793" s="1597">
        <v>69502.86</v>
      </c>
      <c r="Q1793" s="1597">
        <v>25905.39</v>
      </c>
      <c r="R1793" s="1597">
        <v>95408.25</v>
      </c>
      <c r="S1793" s="1592"/>
    </row>
    <row r="1794" spans="2:19" s="1593" customFormat="1" ht="11.25" customHeight="1" outlineLevel="1">
      <c r="B1794" s="1600" t="s">
        <v>12493</v>
      </c>
      <c r="C1794" s="1595" t="s">
        <v>12485</v>
      </c>
      <c r="D1794" s="1595" t="s">
        <v>12492</v>
      </c>
      <c r="E1794" s="1595" t="s">
        <v>2288</v>
      </c>
      <c r="F1794" s="1595" t="s">
        <v>12483</v>
      </c>
      <c r="G1794" s="1595"/>
      <c r="H1794" s="1596">
        <v>2</v>
      </c>
      <c r="I1794" s="1595"/>
      <c r="J1794" s="1595"/>
      <c r="K1794" s="1597">
        <v>104019.3</v>
      </c>
      <c r="L1794" s="1597">
        <v>104019.3</v>
      </c>
      <c r="M1794" s="1598"/>
      <c r="N1794" s="1597">
        <v>104019.3</v>
      </c>
      <c r="O1794" s="1597">
        <v>5164.99</v>
      </c>
      <c r="P1794" s="1597">
        <v>72013.320000000007</v>
      </c>
      <c r="Q1794" s="1597">
        <v>26840.99</v>
      </c>
      <c r="R1794" s="1597">
        <v>98854.31</v>
      </c>
      <c r="S1794" s="1592"/>
    </row>
    <row r="1795" spans="2:19" s="1593" customFormat="1" ht="11.25" customHeight="1" outlineLevel="1">
      <c r="B1795" s="1600" t="s">
        <v>12491</v>
      </c>
      <c r="C1795" s="1595" t="s">
        <v>12485</v>
      </c>
      <c r="D1795" s="1595" t="s">
        <v>12490</v>
      </c>
      <c r="E1795" s="1595" t="s">
        <v>2288</v>
      </c>
      <c r="F1795" s="1595" t="s">
        <v>12489</v>
      </c>
      <c r="G1795" s="1595"/>
      <c r="H1795" s="1596">
        <v>2</v>
      </c>
      <c r="I1795" s="1595"/>
      <c r="J1795" s="1595"/>
      <c r="K1795" s="1597">
        <v>104019.3</v>
      </c>
      <c r="L1795" s="1597">
        <v>104019.3</v>
      </c>
      <c r="M1795" s="1598"/>
      <c r="N1795" s="1597">
        <v>104019.3</v>
      </c>
      <c r="O1795" s="1597">
        <v>5164.99</v>
      </c>
      <c r="P1795" s="1597">
        <v>72013.320000000007</v>
      </c>
      <c r="Q1795" s="1597">
        <v>26840.99</v>
      </c>
      <c r="R1795" s="1597">
        <v>98854.31</v>
      </c>
      <c r="S1795" s="1592"/>
    </row>
    <row r="1796" spans="2:19" s="1593" customFormat="1" ht="11.25" customHeight="1" outlineLevel="1">
      <c r="B1796" s="1600" t="s">
        <v>12488</v>
      </c>
      <c r="C1796" s="1595" t="s">
        <v>12485</v>
      </c>
      <c r="D1796" s="1595" t="s">
        <v>12487</v>
      </c>
      <c r="E1796" s="1595" t="s">
        <v>2288</v>
      </c>
      <c r="F1796" s="1595" t="s">
        <v>12483</v>
      </c>
      <c r="G1796" s="1595"/>
      <c r="H1796" s="1596">
        <v>2</v>
      </c>
      <c r="I1796" s="1595"/>
      <c r="J1796" s="1595"/>
      <c r="K1796" s="1597">
        <v>121367.7</v>
      </c>
      <c r="L1796" s="1597">
        <v>121367.7</v>
      </c>
      <c r="M1796" s="1598"/>
      <c r="N1796" s="1597">
        <v>121367.7</v>
      </c>
      <c r="O1796" s="1597">
        <v>6026.41</v>
      </c>
      <c r="P1796" s="1597">
        <v>84023.73</v>
      </c>
      <c r="Q1796" s="1597">
        <v>31317.56</v>
      </c>
      <c r="R1796" s="1597">
        <v>115341.29</v>
      </c>
      <c r="S1796" s="1592"/>
    </row>
    <row r="1797" spans="2:19" s="1593" customFormat="1" ht="11.25" customHeight="1" outlineLevel="1">
      <c r="B1797" s="1600" t="s">
        <v>12486</v>
      </c>
      <c r="C1797" s="1595" t="s">
        <v>12485</v>
      </c>
      <c r="D1797" s="1595" t="s">
        <v>12484</v>
      </c>
      <c r="E1797" s="1595" t="s">
        <v>2288</v>
      </c>
      <c r="F1797" s="1595" t="s">
        <v>12483</v>
      </c>
      <c r="G1797" s="1595"/>
      <c r="H1797" s="1596">
        <v>2</v>
      </c>
      <c r="I1797" s="1595"/>
      <c r="J1797" s="1595"/>
      <c r="K1797" s="1597">
        <v>121367.7</v>
      </c>
      <c r="L1797" s="1597">
        <v>121367.7</v>
      </c>
      <c r="M1797" s="1598"/>
      <c r="N1797" s="1597">
        <v>121367.7</v>
      </c>
      <c r="O1797" s="1597">
        <v>6026.41</v>
      </c>
      <c r="P1797" s="1597">
        <v>84023.73</v>
      </c>
      <c r="Q1797" s="1597">
        <v>31317.56</v>
      </c>
      <c r="R1797" s="1597">
        <v>115341.29</v>
      </c>
      <c r="S1797" s="1592"/>
    </row>
    <row r="1798" spans="2:19" s="1593" customFormat="1" ht="11.25" customHeight="1" outlineLevel="1">
      <c r="B1798" s="1600" t="s">
        <v>12482</v>
      </c>
      <c r="C1798" s="1595" t="s">
        <v>12481</v>
      </c>
      <c r="D1798" s="1595" t="s">
        <v>12480</v>
      </c>
      <c r="E1798" s="1595" t="s">
        <v>2288</v>
      </c>
      <c r="F1798" s="1595" t="s">
        <v>12476</v>
      </c>
      <c r="G1798" s="1595"/>
      <c r="H1798" s="1596">
        <v>2</v>
      </c>
      <c r="I1798" s="1595"/>
      <c r="J1798" s="1595"/>
      <c r="K1798" s="1597">
        <v>69630</v>
      </c>
      <c r="L1798" s="1597">
        <v>69630</v>
      </c>
      <c r="M1798" s="1597">
        <v>-69630</v>
      </c>
      <c r="N1798" s="1598"/>
      <c r="O1798" s="1598"/>
      <c r="P1798" s="1597">
        <v>69630</v>
      </c>
      <c r="Q1798" s="1597">
        <v>-69630</v>
      </c>
      <c r="R1798" s="1598"/>
      <c r="S1798" s="1592"/>
    </row>
    <row r="1799" spans="2:19" s="1593" customFormat="1" ht="11.25" customHeight="1" outlineLevel="1">
      <c r="B1799" s="1600" t="s">
        <v>12479</v>
      </c>
      <c r="C1799" s="1595" t="s">
        <v>12478</v>
      </c>
      <c r="D1799" s="1595" t="s">
        <v>12477</v>
      </c>
      <c r="E1799" s="1595" t="s">
        <v>2288</v>
      </c>
      <c r="F1799" s="1595" t="s">
        <v>12476</v>
      </c>
      <c r="G1799" s="1595"/>
      <c r="H1799" s="1596">
        <v>2</v>
      </c>
      <c r="I1799" s="1595"/>
      <c r="J1799" s="1595"/>
      <c r="K1799" s="1597">
        <v>132028</v>
      </c>
      <c r="L1799" s="1597">
        <v>132028</v>
      </c>
      <c r="M1799" s="1598"/>
      <c r="N1799" s="1597">
        <v>132028</v>
      </c>
      <c r="O1799" s="1597">
        <v>6910.11</v>
      </c>
      <c r="P1799" s="1597">
        <v>89208</v>
      </c>
      <c r="Q1799" s="1597">
        <v>35909.89</v>
      </c>
      <c r="R1799" s="1597">
        <v>125117.89</v>
      </c>
      <c r="S1799" s="1592"/>
    </row>
    <row r="1800" spans="2:19" s="1593" customFormat="1" ht="21.75" customHeight="1" outlineLevel="1">
      <c r="B1800" s="1600" t="s">
        <v>12475</v>
      </c>
      <c r="C1800" s="1595" t="s">
        <v>12474</v>
      </c>
      <c r="D1800" s="1595" t="s">
        <v>12473</v>
      </c>
      <c r="E1800" s="1595" t="s">
        <v>2288</v>
      </c>
      <c r="F1800" s="1595" t="s">
        <v>12472</v>
      </c>
      <c r="G1800" s="1595"/>
      <c r="H1800" s="1596">
        <v>2</v>
      </c>
      <c r="I1800" s="1595"/>
      <c r="J1800" s="1595"/>
      <c r="K1800" s="1597">
        <v>1790096</v>
      </c>
      <c r="L1800" s="1597">
        <v>1790096</v>
      </c>
      <c r="M1800" s="1598"/>
      <c r="N1800" s="1597">
        <v>1790096</v>
      </c>
      <c r="O1800" s="1597">
        <v>96292.63</v>
      </c>
      <c r="P1800" s="1597">
        <v>1193397.3600000001</v>
      </c>
      <c r="Q1800" s="1597">
        <v>500406.01</v>
      </c>
      <c r="R1800" s="1597">
        <v>1693803.37</v>
      </c>
      <c r="S1800" s="1592"/>
    </row>
    <row r="1801" spans="2:19" s="1593" customFormat="1" ht="11.25" customHeight="1" outlineLevel="1">
      <c r="B1801" s="1600" t="s">
        <v>12471</v>
      </c>
      <c r="C1801" s="1595" t="s">
        <v>12463</v>
      </c>
      <c r="D1801" s="1595" t="s">
        <v>12470</v>
      </c>
      <c r="E1801" s="1595" t="s">
        <v>2288</v>
      </c>
      <c r="F1801" s="1595" t="s">
        <v>12469</v>
      </c>
      <c r="G1801" s="1595"/>
      <c r="H1801" s="1596">
        <v>2</v>
      </c>
      <c r="I1801" s="1595"/>
      <c r="J1801" s="1595"/>
      <c r="K1801" s="1597">
        <v>112149.9</v>
      </c>
      <c r="L1801" s="1597">
        <v>112149.9</v>
      </c>
      <c r="M1801" s="1598"/>
      <c r="N1801" s="1597">
        <v>112149.9</v>
      </c>
      <c r="O1801" s="1597">
        <v>6205.13</v>
      </c>
      <c r="P1801" s="1597">
        <v>73698.44</v>
      </c>
      <c r="Q1801" s="1597">
        <v>32246.33</v>
      </c>
      <c r="R1801" s="1597">
        <v>105944.77</v>
      </c>
      <c r="S1801" s="1592"/>
    </row>
    <row r="1802" spans="2:19" s="1593" customFormat="1" ht="11.25" customHeight="1" outlineLevel="1">
      <c r="B1802" s="1600" t="s">
        <v>12468</v>
      </c>
      <c r="C1802" s="1595" t="s">
        <v>12463</v>
      </c>
      <c r="D1802" s="1595" t="s">
        <v>12467</v>
      </c>
      <c r="E1802" s="1595" t="s">
        <v>2288</v>
      </c>
      <c r="F1802" s="1595" t="s">
        <v>12461</v>
      </c>
      <c r="G1802" s="1595"/>
      <c r="H1802" s="1596">
        <v>2</v>
      </c>
      <c r="I1802" s="1595"/>
      <c r="J1802" s="1595"/>
      <c r="K1802" s="1597">
        <v>112149.9</v>
      </c>
      <c r="L1802" s="1597">
        <v>112149.9</v>
      </c>
      <c r="M1802" s="1598"/>
      <c r="N1802" s="1597">
        <v>112149.9</v>
      </c>
      <c r="O1802" s="1597">
        <v>6205.13</v>
      </c>
      <c r="P1802" s="1597">
        <v>73698.44</v>
      </c>
      <c r="Q1802" s="1597">
        <v>32246.33</v>
      </c>
      <c r="R1802" s="1597">
        <v>105944.77</v>
      </c>
      <c r="S1802" s="1592"/>
    </row>
    <row r="1803" spans="2:19" s="1593" customFormat="1" ht="11.25" customHeight="1" outlineLevel="1">
      <c r="B1803" s="1600" t="s">
        <v>12466</v>
      </c>
      <c r="C1803" s="1595" t="s">
        <v>12463</v>
      </c>
      <c r="D1803" s="1595" t="s">
        <v>12465</v>
      </c>
      <c r="E1803" s="1595" t="s">
        <v>2288</v>
      </c>
      <c r="F1803" s="1595" t="s">
        <v>12461</v>
      </c>
      <c r="G1803" s="1595"/>
      <c r="H1803" s="1596">
        <v>2</v>
      </c>
      <c r="I1803" s="1595"/>
      <c r="J1803" s="1595"/>
      <c r="K1803" s="1597">
        <v>112149.9</v>
      </c>
      <c r="L1803" s="1597">
        <v>112149.9</v>
      </c>
      <c r="M1803" s="1598"/>
      <c r="N1803" s="1597">
        <v>112149.9</v>
      </c>
      <c r="O1803" s="1597">
        <v>6205.13</v>
      </c>
      <c r="P1803" s="1597">
        <v>73698.44</v>
      </c>
      <c r="Q1803" s="1597">
        <v>32246.33</v>
      </c>
      <c r="R1803" s="1597">
        <v>105944.77</v>
      </c>
      <c r="S1803" s="1592"/>
    </row>
    <row r="1804" spans="2:19" s="1593" customFormat="1" ht="11.25" customHeight="1" outlineLevel="1">
      <c r="B1804" s="1600" t="s">
        <v>12464</v>
      </c>
      <c r="C1804" s="1595" t="s">
        <v>12463</v>
      </c>
      <c r="D1804" s="1595" t="s">
        <v>12462</v>
      </c>
      <c r="E1804" s="1595" t="s">
        <v>2288</v>
      </c>
      <c r="F1804" s="1595" t="s">
        <v>12461</v>
      </c>
      <c r="G1804" s="1595"/>
      <c r="H1804" s="1596">
        <v>2</v>
      </c>
      <c r="I1804" s="1595"/>
      <c r="J1804" s="1595"/>
      <c r="K1804" s="1597">
        <v>112149.9</v>
      </c>
      <c r="L1804" s="1597">
        <v>112149.9</v>
      </c>
      <c r="M1804" s="1598"/>
      <c r="N1804" s="1597">
        <v>112149.9</v>
      </c>
      <c r="O1804" s="1597">
        <v>6205.13</v>
      </c>
      <c r="P1804" s="1597">
        <v>73698.44</v>
      </c>
      <c r="Q1804" s="1597">
        <v>32246.33</v>
      </c>
      <c r="R1804" s="1597">
        <v>105944.77</v>
      </c>
      <c r="S1804" s="1592"/>
    </row>
    <row r="1805" spans="2:19" s="1593" customFormat="1" ht="11.25" customHeight="1" outlineLevel="1">
      <c r="B1805" s="1600" t="s">
        <v>12460</v>
      </c>
      <c r="C1805" s="1595" t="s">
        <v>12459</v>
      </c>
      <c r="D1805" s="1595" t="s">
        <v>12458</v>
      </c>
      <c r="E1805" s="1595" t="s">
        <v>2288</v>
      </c>
      <c r="F1805" s="1595" t="s">
        <v>12457</v>
      </c>
      <c r="G1805" s="1595"/>
      <c r="H1805" s="1596">
        <v>2</v>
      </c>
      <c r="I1805" s="1595"/>
      <c r="J1805" s="1595"/>
      <c r="K1805" s="1597">
        <v>319275</v>
      </c>
      <c r="L1805" s="1597">
        <v>319275</v>
      </c>
      <c r="M1805" s="1598"/>
      <c r="N1805" s="1597">
        <v>319275</v>
      </c>
      <c r="O1805" s="1597">
        <v>18735.72</v>
      </c>
      <c r="P1805" s="1597">
        <v>203175</v>
      </c>
      <c r="Q1805" s="1597">
        <v>97364.28</v>
      </c>
      <c r="R1805" s="1597">
        <v>300539.28000000003</v>
      </c>
      <c r="S1805" s="1592"/>
    </row>
    <row r="1806" spans="2:19" s="1593" customFormat="1" ht="11.25" customHeight="1" outlineLevel="1">
      <c r="B1806" s="1600" t="s">
        <v>12456</v>
      </c>
      <c r="C1806" s="1595" t="s">
        <v>12455</v>
      </c>
      <c r="D1806" s="1595" t="s">
        <v>12454</v>
      </c>
      <c r="E1806" s="1595" t="s">
        <v>2288</v>
      </c>
      <c r="F1806" s="1595" t="s">
        <v>12453</v>
      </c>
      <c r="G1806" s="1595"/>
      <c r="H1806" s="1596">
        <v>2</v>
      </c>
      <c r="I1806" s="1595"/>
      <c r="J1806" s="1595"/>
      <c r="K1806" s="1597">
        <v>1775000</v>
      </c>
      <c r="L1806" s="1597">
        <v>1775000</v>
      </c>
      <c r="M1806" s="1598"/>
      <c r="N1806" s="1597">
        <v>1775000</v>
      </c>
      <c r="O1806" s="1597">
        <v>239864.87</v>
      </c>
      <c r="P1806" s="1597">
        <v>959459.4</v>
      </c>
      <c r="Q1806" s="1597">
        <v>575675.73</v>
      </c>
      <c r="R1806" s="1597">
        <v>1535135.13</v>
      </c>
      <c r="S1806" s="1592"/>
    </row>
    <row r="1807" spans="2:19" s="1593" customFormat="1" ht="11.25" customHeight="1" outlineLevel="1">
      <c r="B1807" s="1600" t="s">
        <v>12452</v>
      </c>
      <c r="C1807" s="1595" t="s">
        <v>12449</v>
      </c>
      <c r="D1807" s="1595" t="s">
        <v>12451</v>
      </c>
      <c r="E1807" s="1595" t="s">
        <v>2288</v>
      </c>
      <c r="F1807" s="1595" t="s">
        <v>12447</v>
      </c>
      <c r="G1807" s="1595"/>
      <c r="H1807" s="1596">
        <v>2</v>
      </c>
      <c r="I1807" s="1595"/>
      <c r="J1807" s="1595"/>
      <c r="K1807" s="1597">
        <v>1577304.17</v>
      </c>
      <c r="L1807" s="1597">
        <v>1577304.17</v>
      </c>
      <c r="M1807" s="1598"/>
      <c r="N1807" s="1597">
        <v>1577304.17</v>
      </c>
      <c r="O1807" s="1597">
        <v>101815.39</v>
      </c>
      <c r="P1807" s="1597">
        <v>946382.58</v>
      </c>
      <c r="Q1807" s="1597">
        <v>529106.19999999995</v>
      </c>
      <c r="R1807" s="1597">
        <v>1475488.78</v>
      </c>
      <c r="S1807" s="1592"/>
    </row>
    <row r="1808" spans="2:19" s="1593" customFormat="1" ht="11.25" customHeight="1" outlineLevel="1">
      <c r="B1808" s="1600" t="s">
        <v>12450</v>
      </c>
      <c r="C1808" s="1595" t="s">
        <v>12449</v>
      </c>
      <c r="D1808" s="1595" t="s">
        <v>12448</v>
      </c>
      <c r="E1808" s="1595" t="s">
        <v>2288</v>
      </c>
      <c r="F1808" s="1595" t="s">
        <v>12447</v>
      </c>
      <c r="G1808" s="1595"/>
      <c r="H1808" s="1596">
        <v>2</v>
      </c>
      <c r="I1808" s="1595"/>
      <c r="J1808" s="1595"/>
      <c r="K1808" s="1597">
        <v>1577304.16</v>
      </c>
      <c r="L1808" s="1597">
        <v>1577304.16</v>
      </c>
      <c r="M1808" s="1598"/>
      <c r="N1808" s="1597">
        <v>1577304.16</v>
      </c>
      <c r="O1808" s="1597">
        <v>101815.39</v>
      </c>
      <c r="P1808" s="1597">
        <v>946382.58</v>
      </c>
      <c r="Q1808" s="1597">
        <v>529106.18999999994</v>
      </c>
      <c r="R1808" s="1597">
        <v>1475488.77</v>
      </c>
      <c r="S1808" s="1592"/>
    </row>
    <row r="1809" spans="2:19" s="1593" customFormat="1" ht="21.75" customHeight="1" outlineLevel="1">
      <c r="B1809" s="1600" t="s">
        <v>12446</v>
      </c>
      <c r="C1809" s="1595" t="s">
        <v>12445</v>
      </c>
      <c r="D1809" s="1595" t="s">
        <v>12444</v>
      </c>
      <c r="E1809" s="1595" t="s">
        <v>2288</v>
      </c>
      <c r="F1809" s="1595" t="s">
        <v>12443</v>
      </c>
      <c r="G1809" s="1595"/>
      <c r="H1809" s="1596">
        <v>2</v>
      </c>
      <c r="I1809" s="1595"/>
      <c r="J1809" s="1595"/>
      <c r="K1809" s="1597">
        <v>268343.33</v>
      </c>
      <c r="L1809" s="1597">
        <v>268343.33</v>
      </c>
      <c r="M1809" s="1598"/>
      <c r="N1809" s="1597">
        <v>268343.33</v>
      </c>
      <c r="O1809" s="1597">
        <v>223866.53</v>
      </c>
      <c r="P1809" s="1597">
        <v>26686.080000000002</v>
      </c>
      <c r="Q1809" s="1597">
        <v>17790.72</v>
      </c>
      <c r="R1809" s="1597">
        <v>44476.800000000003</v>
      </c>
      <c r="S1809" s="1592"/>
    </row>
    <row r="1810" spans="2:19" s="1593" customFormat="1" ht="21.75" customHeight="1" outlineLevel="1">
      <c r="B1810" s="1600" t="s">
        <v>12442</v>
      </c>
      <c r="C1810" s="1595" t="s">
        <v>12441</v>
      </c>
      <c r="D1810" s="1595" t="s">
        <v>12440</v>
      </c>
      <c r="E1810" s="1595" t="s">
        <v>2288</v>
      </c>
      <c r="F1810" s="1595" t="s">
        <v>12439</v>
      </c>
      <c r="G1810" s="1595"/>
      <c r="H1810" s="1596">
        <v>2</v>
      </c>
      <c r="I1810" s="1595"/>
      <c r="J1810" s="1595"/>
      <c r="K1810" s="1597">
        <v>514750</v>
      </c>
      <c r="L1810" s="1597">
        <v>514750</v>
      </c>
      <c r="M1810" s="1598"/>
      <c r="N1810" s="1597">
        <v>514750</v>
      </c>
      <c r="O1810" s="1597">
        <v>34373.019999999997</v>
      </c>
      <c r="P1810" s="1597">
        <v>301750</v>
      </c>
      <c r="Q1810" s="1597">
        <v>178626.98</v>
      </c>
      <c r="R1810" s="1597">
        <v>480376.98</v>
      </c>
      <c r="S1810" s="1592"/>
    </row>
    <row r="1811" spans="2:19" s="1593" customFormat="1" ht="11.25" customHeight="1" outlineLevel="1">
      <c r="B1811" s="1600" t="s">
        <v>12438</v>
      </c>
      <c r="C1811" s="1595" t="s">
        <v>12433</v>
      </c>
      <c r="D1811" s="1595" t="s">
        <v>12437</v>
      </c>
      <c r="E1811" s="1595" t="s">
        <v>2288</v>
      </c>
      <c r="F1811" s="1595"/>
      <c r="G1811" s="1595"/>
      <c r="H1811" s="1596">
        <v>2</v>
      </c>
      <c r="I1811" s="1595"/>
      <c r="J1811" s="1595"/>
      <c r="K1811" s="1597">
        <v>418730.4</v>
      </c>
      <c r="L1811" s="1597">
        <v>418730.4</v>
      </c>
      <c r="M1811" s="1598"/>
      <c r="N1811" s="1597">
        <v>418730.4</v>
      </c>
      <c r="O1811" s="1597">
        <v>27961.19</v>
      </c>
      <c r="P1811" s="1597">
        <v>245462.66</v>
      </c>
      <c r="Q1811" s="1597">
        <v>145306.54999999999</v>
      </c>
      <c r="R1811" s="1597">
        <v>390769.21</v>
      </c>
      <c r="S1811" s="1592"/>
    </row>
    <row r="1812" spans="2:19" s="1593" customFormat="1" ht="11.25" customHeight="1" outlineLevel="1">
      <c r="B1812" s="1600" t="s">
        <v>12436</v>
      </c>
      <c r="C1812" s="1595" t="s">
        <v>12433</v>
      </c>
      <c r="D1812" s="1595" t="s">
        <v>12435</v>
      </c>
      <c r="E1812" s="1595" t="s">
        <v>2288</v>
      </c>
      <c r="F1812" s="1595"/>
      <c r="G1812" s="1595"/>
      <c r="H1812" s="1596">
        <v>2</v>
      </c>
      <c r="I1812" s="1595"/>
      <c r="J1812" s="1595"/>
      <c r="K1812" s="1597">
        <v>418730.4</v>
      </c>
      <c r="L1812" s="1597">
        <v>418730.4</v>
      </c>
      <c r="M1812" s="1598"/>
      <c r="N1812" s="1597">
        <v>418730.4</v>
      </c>
      <c r="O1812" s="1597">
        <v>27961.19</v>
      </c>
      <c r="P1812" s="1597">
        <v>245462.66</v>
      </c>
      <c r="Q1812" s="1597">
        <v>145306.54999999999</v>
      </c>
      <c r="R1812" s="1597">
        <v>390769.21</v>
      </c>
      <c r="S1812" s="1592"/>
    </row>
    <row r="1813" spans="2:19" s="1593" customFormat="1" ht="11.25" customHeight="1" outlineLevel="1">
      <c r="B1813" s="1600" t="s">
        <v>12434</v>
      </c>
      <c r="C1813" s="1595" t="s">
        <v>12433</v>
      </c>
      <c r="D1813" s="1595" t="s">
        <v>12432</v>
      </c>
      <c r="E1813" s="1595" t="s">
        <v>2288</v>
      </c>
      <c r="F1813" s="1595" t="s">
        <v>12431</v>
      </c>
      <c r="G1813" s="1595"/>
      <c r="H1813" s="1596">
        <v>2</v>
      </c>
      <c r="I1813" s="1595"/>
      <c r="J1813" s="1595"/>
      <c r="K1813" s="1597">
        <v>390192</v>
      </c>
      <c r="L1813" s="1597">
        <v>390192</v>
      </c>
      <c r="M1813" s="1598"/>
      <c r="N1813" s="1597">
        <v>390192</v>
      </c>
      <c r="O1813" s="1597">
        <v>26055.51</v>
      </c>
      <c r="P1813" s="1597">
        <v>228733.3</v>
      </c>
      <c r="Q1813" s="1597">
        <v>135403.19</v>
      </c>
      <c r="R1813" s="1597">
        <v>364136.49</v>
      </c>
      <c r="S1813" s="1592"/>
    </row>
    <row r="1814" spans="2:19" s="1593" customFormat="1" ht="21.75" customHeight="1" outlineLevel="1">
      <c r="B1814" s="1600" t="s">
        <v>12430</v>
      </c>
      <c r="C1814" s="1595" t="s">
        <v>3212</v>
      </c>
      <c r="D1814" s="1595" t="s">
        <v>12429</v>
      </c>
      <c r="E1814" s="1595" t="s">
        <v>2288</v>
      </c>
      <c r="F1814" s="1595" t="s">
        <v>12428</v>
      </c>
      <c r="G1814" s="1595"/>
      <c r="H1814" s="1596">
        <v>2</v>
      </c>
      <c r="I1814" s="1595"/>
      <c r="J1814" s="1595"/>
      <c r="K1814" s="1597">
        <v>268343.33</v>
      </c>
      <c r="L1814" s="1597">
        <v>268343.33</v>
      </c>
      <c r="M1814" s="1598"/>
      <c r="N1814" s="1597">
        <v>268343.33</v>
      </c>
      <c r="O1814" s="1597">
        <v>225349.09</v>
      </c>
      <c r="P1814" s="1597">
        <v>25203.52</v>
      </c>
      <c r="Q1814" s="1597">
        <v>17790.72</v>
      </c>
      <c r="R1814" s="1597">
        <v>42994.239999999998</v>
      </c>
      <c r="S1814" s="1592"/>
    </row>
    <row r="1815" spans="2:19" s="1593" customFormat="1" ht="21.75" customHeight="1" outlineLevel="1">
      <c r="B1815" s="1600" t="s">
        <v>12427</v>
      </c>
      <c r="C1815" s="1595" t="s">
        <v>12424</v>
      </c>
      <c r="D1815" s="1595" t="s">
        <v>12426</v>
      </c>
      <c r="E1815" s="1595" t="s">
        <v>2288</v>
      </c>
      <c r="F1815" s="1595" t="s">
        <v>12422</v>
      </c>
      <c r="G1815" s="1595"/>
      <c r="H1815" s="1596">
        <v>2</v>
      </c>
      <c r="I1815" s="1595"/>
      <c r="J1815" s="1595"/>
      <c r="K1815" s="1597">
        <v>230148.63</v>
      </c>
      <c r="L1815" s="1597">
        <v>230148.63</v>
      </c>
      <c r="M1815" s="1598"/>
      <c r="N1815" s="1597">
        <v>230148.63</v>
      </c>
      <c r="O1815" s="1597">
        <v>15917.31</v>
      </c>
      <c r="P1815" s="1597">
        <v>131513.44</v>
      </c>
      <c r="Q1815" s="1597">
        <v>82717.88</v>
      </c>
      <c r="R1815" s="1597">
        <v>214231.32</v>
      </c>
      <c r="S1815" s="1592"/>
    </row>
    <row r="1816" spans="2:19" s="1593" customFormat="1" ht="21.75" customHeight="1" outlineLevel="1">
      <c r="B1816" s="1600" t="s">
        <v>12425</v>
      </c>
      <c r="C1816" s="1595" t="s">
        <v>12424</v>
      </c>
      <c r="D1816" s="1595" t="s">
        <v>12423</v>
      </c>
      <c r="E1816" s="1595" t="s">
        <v>2288</v>
      </c>
      <c r="F1816" s="1595" t="s">
        <v>12422</v>
      </c>
      <c r="G1816" s="1595"/>
      <c r="H1816" s="1596">
        <v>2</v>
      </c>
      <c r="I1816" s="1595"/>
      <c r="J1816" s="1595"/>
      <c r="K1816" s="1597">
        <v>230148.62</v>
      </c>
      <c r="L1816" s="1597">
        <v>230148.62</v>
      </c>
      <c r="M1816" s="1598"/>
      <c r="N1816" s="1597">
        <v>230148.62</v>
      </c>
      <c r="O1816" s="1597">
        <v>15917.31</v>
      </c>
      <c r="P1816" s="1597">
        <v>131513.44</v>
      </c>
      <c r="Q1816" s="1597">
        <v>82717.87</v>
      </c>
      <c r="R1816" s="1597">
        <v>214231.31</v>
      </c>
      <c r="S1816" s="1592"/>
    </row>
    <row r="1817" spans="2:19" s="1593" customFormat="1" ht="11.25" customHeight="1" outlineLevel="1">
      <c r="B1817" s="1600" t="s">
        <v>12421</v>
      </c>
      <c r="C1817" s="1595" t="s">
        <v>3208</v>
      </c>
      <c r="D1817" s="1595" t="s">
        <v>12420</v>
      </c>
      <c r="E1817" s="1595" t="s">
        <v>2288</v>
      </c>
      <c r="F1817" s="1595" t="s">
        <v>12419</v>
      </c>
      <c r="G1817" s="1595"/>
      <c r="H1817" s="1596">
        <v>2</v>
      </c>
      <c r="I1817" s="1595"/>
      <c r="J1817" s="1595"/>
      <c r="K1817" s="1597">
        <v>5027689.99</v>
      </c>
      <c r="L1817" s="1597">
        <v>5027689.99</v>
      </c>
      <c r="M1817" s="1598"/>
      <c r="N1817" s="1597">
        <v>5027689.99</v>
      </c>
      <c r="O1817" s="1597">
        <v>347720.05</v>
      </c>
      <c r="P1817" s="1597">
        <v>2872965.76</v>
      </c>
      <c r="Q1817" s="1597">
        <v>1807004.18</v>
      </c>
      <c r="R1817" s="1597">
        <v>4679969.9400000004</v>
      </c>
      <c r="S1817" s="1592"/>
    </row>
    <row r="1818" spans="2:19" s="1593" customFormat="1" ht="11.25" customHeight="1" outlineLevel="1">
      <c r="B1818" s="1600" t="s">
        <v>12418</v>
      </c>
      <c r="C1818" s="1595" t="s">
        <v>3191</v>
      </c>
      <c r="D1818" s="1595" t="s">
        <v>12417</v>
      </c>
      <c r="E1818" s="1595" t="s">
        <v>2288</v>
      </c>
      <c r="F1818" s="1595" t="s">
        <v>12414</v>
      </c>
      <c r="G1818" s="1595"/>
      <c r="H1818" s="1595"/>
      <c r="I1818" s="1595"/>
      <c r="J1818" s="1595"/>
      <c r="K1818" s="1597">
        <v>45688.76</v>
      </c>
      <c r="L1818" s="1597">
        <v>45688.76</v>
      </c>
      <c r="M1818" s="1597">
        <v>-45688.76</v>
      </c>
      <c r="N1818" s="1598"/>
      <c r="O1818" s="1598"/>
      <c r="P1818" s="1597">
        <v>18522.45</v>
      </c>
      <c r="Q1818" s="1597">
        <v>-18522.45</v>
      </c>
      <c r="R1818" s="1598"/>
      <c r="S1818" s="1592"/>
    </row>
    <row r="1819" spans="2:19" s="1593" customFormat="1" ht="11.25" customHeight="1" outlineLevel="1">
      <c r="B1819" s="1600" t="s">
        <v>12416</v>
      </c>
      <c r="C1819" s="1595" t="s">
        <v>3191</v>
      </c>
      <c r="D1819" s="1595" t="s">
        <v>12415</v>
      </c>
      <c r="E1819" s="1595" t="s">
        <v>2288</v>
      </c>
      <c r="F1819" s="1595" t="s">
        <v>12414</v>
      </c>
      <c r="G1819" s="1595"/>
      <c r="H1819" s="1595"/>
      <c r="I1819" s="1595"/>
      <c r="J1819" s="1595"/>
      <c r="K1819" s="1597">
        <v>45688.76</v>
      </c>
      <c r="L1819" s="1597">
        <v>45688.76</v>
      </c>
      <c r="M1819" s="1597">
        <v>-45688.76</v>
      </c>
      <c r="N1819" s="1598"/>
      <c r="O1819" s="1598"/>
      <c r="P1819" s="1597">
        <v>18522.45</v>
      </c>
      <c r="Q1819" s="1597">
        <v>-18522.45</v>
      </c>
      <c r="R1819" s="1598"/>
      <c r="S1819" s="1592"/>
    </row>
    <row r="1820" spans="2:19" s="1593" customFormat="1" ht="11.25" customHeight="1" outlineLevel="1">
      <c r="B1820" s="1600" t="s">
        <v>12413</v>
      </c>
      <c r="C1820" s="1595" t="s">
        <v>10592</v>
      </c>
      <c r="D1820" s="1595" t="s">
        <v>12412</v>
      </c>
      <c r="E1820" s="1595" t="s">
        <v>2288</v>
      </c>
      <c r="F1820" s="1595" t="s">
        <v>10590</v>
      </c>
      <c r="G1820" s="1595"/>
      <c r="H1820" s="1595"/>
      <c r="I1820" s="1595"/>
      <c r="J1820" s="1595"/>
      <c r="K1820" s="1597">
        <v>45688.76</v>
      </c>
      <c r="L1820" s="1597">
        <v>45688.76</v>
      </c>
      <c r="M1820" s="1597">
        <v>-45688.76</v>
      </c>
      <c r="N1820" s="1598"/>
      <c r="O1820" s="1598"/>
      <c r="P1820" s="1597">
        <v>17287.62</v>
      </c>
      <c r="Q1820" s="1597">
        <v>-17287.62</v>
      </c>
      <c r="R1820" s="1598"/>
      <c r="S1820" s="1592"/>
    </row>
    <row r="1821" spans="2:19" s="1593" customFormat="1" ht="11.25" customHeight="1" outlineLevel="1">
      <c r="B1821" s="1600" t="s">
        <v>12411</v>
      </c>
      <c r="C1821" s="1595" t="s">
        <v>10592</v>
      </c>
      <c r="D1821" s="1595" t="s">
        <v>12410</v>
      </c>
      <c r="E1821" s="1595" t="s">
        <v>2288</v>
      </c>
      <c r="F1821" s="1595" t="s">
        <v>10590</v>
      </c>
      <c r="G1821" s="1595"/>
      <c r="H1821" s="1596">
        <v>2</v>
      </c>
      <c r="I1821" s="1595"/>
      <c r="J1821" s="1595"/>
      <c r="K1821" s="1597">
        <v>45688.76</v>
      </c>
      <c r="L1821" s="1597">
        <v>45688.76</v>
      </c>
      <c r="M1821" s="1597">
        <v>-45688.76</v>
      </c>
      <c r="N1821" s="1598"/>
      <c r="O1821" s="1598"/>
      <c r="P1821" s="1597">
        <v>17287.62</v>
      </c>
      <c r="Q1821" s="1597">
        <v>-17287.62</v>
      </c>
      <c r="R1821" s="1598"/>
      <c r="S1821" s="1592"/>
    </row>
    <row r="1822" spans="2:19" s="1593" customFormat="1" ht="11.25" customHeight="1" outlineLevel="1">
      <c r="B1822" s="1600" t="s">
        <v>12409</v>
      </c>
      <c r="C1822" s="1595" t="s">
        <v>10592</v>
      </c>
      <c r="D1822" s="1595" t="s">
        <v>12408</v>
      </c>
      <c r="E1822" s="1595" t="s">
        <v>2288</v>
      </c>
      <c r="F1822" s="1595" t="s">
        <v>10590</v>
      </c>
      <c r="G1822" s="1595"/>
      <c r="H1822" s="1595"/>
      <c r="I1822" s="1595"/>
      <c r="J1822" s="1595"/>
      <c r="K1822" s="1597">
        <v>45688.76</v>
      </c>
      <c r="L1822" s="1597">
        <v>45688.76</v>
      </c>
      <c r="M1822" s="1597">
        <v>-45688.76</v>
      </c>
      <c r="N1822" s="1598"/>
      <c r="O1822" s="1598"/>
      <c r="P1822" s="1597">
        <v>17287.62</v>
      </c>
      <c r="Q1822" s="1597">
        <v>-17287.62</v>
      </c>
      <c r="R1822" s="1598"/>
      <c r="S1822" s="1592"/>
    </row>
    <row r="1823" spans="2:19" s="1593" customFormat="1" ht="11.25" customHeight="1" outlineLevel="1">
      <c r="B1823" s="1600" t="s">
        <v>12407</v>
      </c>
      <c r="C1823" s="1595" t="s">
        <v>10592</v>
      </c>
      <c r="D1823" s="1595" t="s">
        <v>12406</v>
      </c>
      <c r="E1823" s="1595" t="s">
        <v>2288</v>
      </c>
      <c r="F1823" s="1595" t="s">
        <v>10590</v>
      </c>
      <c r="G1823" s="1595"/>
      <c r="H1823" s="1595"/>
      <c r="I1823" s="1595"/>
      <c r="J1823" s="1595"/>
      <c r="K1823" s="1597">
        <v>53000</v>
      </c>
      <c r="L1823" s="1597">
        <v>53000</v>
      </c>
      <c r="M1823" s="1597">
        <v>-53000</v>
      </c>
      <c r="N1823" s="1598"/>
      <c r="O1823" s="1598"/>
      <c r="P1823" s="1597">
        <v>20054.02</v>
      </c>
      <c r="Q1823" s="1597">
        <v>-20054.02</v>
      </c>
      <c r="R1823" s="1598"/>
      <c r="S1823" s="1592"/>
    </row>
    <row r="1824" spans="2:19" s="1593" customFormat="1" ht="11.25" customHeight="1" outlineLevel="1">
      <c r="B1824" s="1600" t="s">
        <v>12405</v>
      </c>
      <c r="C1824" s="1595" t="s">
        <v>10592</v>
      </c>
      <c r="D1824" s="1595" t="s">
        <v>12404</v>
      </c>
      <c r="E1824" s="1595" t="s">
        <v>2288</v>
      </c>
      <c r="F1824" s="1595" t="s">
        <v>10590</v>
      </c>
      <c r="G1824" s="1595"/>
      <c r="H1824" s="1595"/>
      <c r="I1824" s="1595"/>
      <c r="J1824" s="1595"/>
      <c r="K1824" s="1597">
        <v>53000</v>
      </c>
      <c r="L1824" s="1597">
        <v>53000</v>
      </c>
      <c r="M1824" s="1597">
        <v>-53000</v>
      </c>
      <c r="N1824" s="1598"/>
      <c r="O1824" s="1598"/>
      <c r="P1824" s="1597">
        <v>20054.02</v>
      </c>
      <c r="Q1824" s="1597">
        <v>-20054.02</v>
      </c>
      <c r="R1824" s="1598"/>
      <c r="S1824" s="1592"/>
    </row>
    <row r="1825" spans="2:19" s="1593" customFormat="1" ht="11.25" customHeight="1" outlineLevel="1">
      <c r="B1825" s="1600" t="s">
        <v>12403</v>
      </c>
      <c r="C1825" s="1595" t="s">
        <v>10592</v>
      </c>
      <c r="D1825" s="1595" t="s">
        <v>12402</v>
      </c>
      <c r="E1825" s="1595" t="s">
        <v>2288</v>
      </c>
      <c r="F1825" s="1595" t="s">
        <v>10590</v>
      </c>
      <c r="G1825" s="1595"/>
      <c r="H1825" s="1596">
        <v>2</v>
      </c>
      <c r="I1825" s="1595"/>
      <c r="J1825" s="1595"/>
      <c r="K1825" s="1597">
        <v>53000</v>
      </c>
      <c r="L1825" s="1597">
        <v>53000</v>
      </c>
      <c r="M1825" s="1597">
        <v>-53000</v>
      </c>
      <c r="N1825" s="1598"/>
      <c r="O1825" s="1598"/>
      <c r="P1825" s="1597">
        <v>20054.02</v>
      </c>
      <c r="Q1825" s="1597">
        <v>-20054.02</v>
      </c>
      <c r="R1825" s="1598"/>
      <c r="S1825" s="1592"/>
    </row>
    <row r="1826" spans="2:19" s="1593" customFormat="1" ht="11.25" customHeight="1" outlineLevel="1">
      <c r="B1826" s="1600" t="s">
        <v>12401</v>
      </c>
      <c r="C1826" s="1595" t="s">
        <v>10592</v>
      </c>
      <c r="D1826" s="1595" t="s">
        <v>12400</v>
      </c>
      <c r="E1826" s="1595" t="s">
        <v>2288</v>
      </c>
      <c r="F1826" s="1595" t="s">
        <v>10590</v>
      </c>
      <c r="G1826" s="1595"/>
      <c r="H1826" s="1596">
        <v>2</v>
      </c>
      <c r="I1826" s="1595"/>
      <c r="J1826" s="1595"/>
      <c r="K1826" s="1597">
        <v>53000</v>
      </c>
      <c r="L1826" s="1597">
        <v>53000</v>
      </c>
      <c r="M1826" s="1597">
        <v>-53000</v>
      </c>
      <c r="N1826" s="1598"/>
      <c r="O1826" s="1598"/>
      <c r="P1826" s="1597">
        <v>20054.02</v>
      </c>
      <c r="Q1826" s="1597">
        <v>-20054.02</v>
      </c>
      <c r="R1826" s="1598"/>
      <c r="S1826" s="1592"/>
    </row>
    <row r="1827" spans="2:19" s="1593" customFormat="1" ht="11.25" customHeight="1" outlineLevel="1">
      <c r="B1827" s="1600" t="s">
        <v>12399</v>
      </c>
      <c r="C1827" s="1595" t="s">
        <v>10592</v>
      </c>
      <c r="D1827" s="1595" t="s">
        <v>12398</v>
      </c>
      <c r="E1827" s="1595" t="s">
        <v>2288</v>
      </c>
      <c r="F1827" s="1595" t="s">
        <v>10590</v>
      </c>
      <c r="G1827" s="1595"/>
      <c r="H1827" s="1595"/>
      <c r="I1827" s="1595"/>
      <c r="J1827" s="1595"/>
      <c r="K1827" s="1597">
        <v>53000</v>
      </c>
      <c r="L1827" s="1597">
        <v>53000</v>
      </c>
      <c r="M1827" s="1597">
        <v>-53000</v>
      </c>
      <c r="N1827" s="1598"/>
      <c r="O1827" s="1598"/>
      <c r="P1827" s="1597">
        <v>20054.02</v>
      </c>
      <c r="Q1827" s="1597">
        <v>-20054.02</v>
      </c>
      <c r="R1827" s="1598"/>
      <c r="S1827" s="1592"/>
    </row>
    <row r="1828" spans="2:19" s="1593" customFormat="1" ht="11.25" customHeight="1" outlineLevel="1">
      <c r="B1828" s="1600" t="s">
        <v>12397</v>
      </c>
      <c r="C1828" s="1595" t="s">
        <v>10592</v>
      </c>
      <c r="D1828" s="1595" t="s">
        <v>12396</v>
      </c>
      <c r="E1828" s="1595" t="s">
        <v>2288</v>
      </c>
      <c r="F1828" s="1595" t="s">
        <v>10590</v>
      </c>
      <c r="G1828" s="1595"/>
      <c r="H1828" s="1595"/>
      <c r="I1828" s="1595"/>
      <c r="J1828" s="1595"/>
      <c r="K1828" s="1597">
        <v>53000</v>
      </c>
      <c r="L1828" s="1597">
        <v>53000</v>
      </c>
      <c r="M1828" s="1597">
        <v>-53000</v>
      </c>
      <c r="N1828" s="1598"/>
      <c r="O1828" s="1598"/>
      <c r="P1828" s="1597">
        <v>20054.02</v>
      </c>
      <c r="Q1828" s="1597">
        <v>-20054.02</v>
      </c>
      <c r="R1828" s="1598"/>
      <c r="S1828" s="1592"/>
    </row>
    <row r="1829" spans="2:19" s="1593" customFormat="1" ht="11.25" customHeight="1" outlineLevel="1">
      <c r="B1829" s="1600" t="s">
        <v>12395</v>
      </c>
      <c r="C1829" s="1595" t="s">
        <v>10592</v>
      </c>
      <c r="D1829" s="1595" t="s">
        <v>12394</v>
      </c>
      <c r="E1829" s="1595" t="s">
        <v>2288</v>
      </c>
      <c r="F1829" s="1595" t="s">
        <v>10590</v>
      </c>
      <c r="G1829" s="1595"/>
      <c r="H1829" s="1595"/>
      <c r="I1829" s="1595"/>
      <c r="J1829" s="1595"/>
      <c r="K1829" s="1597">
        <v>53000</v>
      </c>
      <c r="L1829" s="1597">
        <v>53000</v>
      </c>
      <c r="M1829" s="1597">
        <v>-53000</v>
      </c>
      <c r="N1829" s="1598"/>
      <c r="O1829" s="1598"/>
      <c r="P1829" s="1597">
        <v>20054.02</v>
      </c>
      <c r="Q1829" s="1597">
        <v>-20054.02</v>
      </c>
      <c r="R1829" s="1598"/>
      <c r="S1829" s="1592"/>
    </row>
    <row r="1830" spans="2:19" s="1593" customFormat="1" ht="11.25" customHeight="1" outlineLevel="1">
      <c r="B1830" s="1600" t="s">
        <v>12393</v>
      </c>
      <c r="C1830" s="1595" t="s">
        <v>10592</v>
      </c>
      <c r="D1830" s="1595" t="s">
        <v>12392</v>
      </c>
      <c r="E1830" s="1595" t="s">
        <v>2288</v>
      </c>
      <c r="F1830" s="1595" t="s">
        <v>10590</v>
      </c>
      <c r="G1830" s="1595"/>
      <c r="H1830" s="1595"/>
      <c r="I1830" s="1595"/>
      <c r="J1830" s="1595"/>
      <c r="K1830" s="1597">
        <v>53000</v>
      </c>
      <c r="L1830" s="1597">
        <v>53000</v>
      </c>
      <c r="M1830" s="1597">
        <v>-53000</v>
      </c>
      <c r="N1830" s="1598"/>
      <c r="O1830" s="1598"/>
      <c r="P1830" s="1597">
        <v>20054.02</v>
      </c>
      <c r="Q1830" s="1597">
        <v>-20054.02</v>
      </c>
      <c r="R1830" s="1598"/>
      <c r="S1830" s="1592"/>
    </row>
    <row r="1831" spans="2:19" s="1593" customFormat="1" ht="21.75" customHeight="1" outlineLevel="1">
      <c r="B1831" s="1600" t="s">
        <v>12391</v>
      </c>
      <c r="C1831" s="1595" t="s">
        <v>12386</v>
      </c>
      <c r="D1831" s="1595" t="s">
        <v>12390</v>
      </c>
      <c r="E1831" s="1595" t="s">
        <v>2288</v>
      </c>
      <c r="F1831" s="1595" t="s">
        <v>12384</v>
      </c>
      <c r="G1831" s="1595"/>
      <c r="H1831" s="1596">
        <v>2</v>
      </c>
      <c r="I1831" s="1595"/>
      <c r="J1831" s="1595"/>
      <c r="K1831" s="1597">
        <v>1082639.02</v>
      </c>
      <c r="L1831" s="1597">
        <v>1082639.02</v>
      </c>
      <c r="M1831" s="1598"/>
      <c r="N1831" s="1597">
        <v>1082639.02</v>
      </c>
      <c r="O1831" s="1597">
        <v>80636.13</v>
      </c>
      <c r="P1831" s="1597">
        <v>582959.43999999994</v>
      </c>
      <c r="Q1831" s="1597">
        <v>419043.45</v>
      </c>
      <c r="R1831" s="1597">
        <v>1002002.89</v>
      </c>
      <c r="S1831" s="1592"/>
    </row>
    <row r="1832" spans="2:19" s="1593" customFormat="1" ht="21.75" customHeight="1" outlineLevel="1">
      <c r="B1832" s="1600" t="s">
        <v>12389</v>
      </c>
      <c r="C1832" s="1595" t="s">
        <v>12386</v>
      </c>
      <c r="D1832" s="1595" t="s">
        <v>12388</v>
      </c>
      <c r="E1832" s="1595" t="s">
        <v>2288</v>
      </c>
      <c r="F1832" s="1595" t="s">
        <v>12384</v>
      </c>
      <c r="G1832" s="1595"/>
      <c r="H1832" s="1596">
        <v>2</v>
      </c>
      <c r="I1832" s="1595"/>
      <c r="J1832" s="1595"/>
      <c r="K1832" s="1597">
        <v>1106596.8700000001</v>
      </c>
      <c r="L1832" s="1597">
        <v>1106596.8700000001</v>
      </c>
      <c r="M1832" s="1598"/>
      <c r="N1832" s="1597">
        <v>1106596.8700000001</v>
      </c>
      <c r="O1832" s="1597">
        <v>82420.509999999995</v>
      </c>
      <c r="P1832" s="1597">
        <v>595859.88</v>
      </c>
      <c r="Q1832" s="1597">
        <v>428316.48</v>
      </c>
      <c r="R1832" s="1597">
        <v>1024176.36</v>
      </c>
      <c r="S1832" s="1592"/>
    </row>
    <row r="1833" spans="2:19" s="1593" customFormat="1" ht="11.25" customHeight="1" outlineLevel="1">
      <c r="B1833" s="1600" t="s">
        <v>12387</v>
      </c>
      <c r="C1833" s="1595" t="s">
        <v>12386</v>
      </c>
      <c r="D1833" s="1595" t="s">
        <v>12385</v>
      </c>
      <c r="E1833" s="1595" t="s">
        <v>2288</v>
      </c>
      <c r="F1833" s="1595" t="s">
        <v>12384</v>
      </c>
      <c r="G1833" s="1595"/>
      <c r="H1833" s="1596">
        <v>2</v>
      </c>
      <c r="I1833" s="1595"/>
      <c r="J1833" s="1595"/>
      <c r="K1833" s="1597">
        <v>1068533.67</v>
      </c>
      <c r="L1833" s="1597">
        <v>1068533.67</v>
      </c>
      <c r="M1833" s="1598"/>
      <c r="N1833" s="1597">
        <v>1068533.67</v>
      </c>
      <c r="O1833" s="1597">
        <v>79585.53</v>
      </c>
      <c r="P1833" s="1597">
        <v>575364.30000000005</v>
      </c>
      <c r="Q1833" s="1597">
        <v>413583.84</v>
      </c>
      <c r="R1833" s="1597">
        <v>988948.14</v>
      </c>
      <c r="S1833" s="1592"/>
    </row>
    <row r="1834" spans="2:19" s="1593" customFormat="1" ht="11.25" customHeight="1" outlineLevel="1">
      <c r="B1834" s="1600" t="s">
        <v>12383</v>
      </c>
      <c r="C1834" s="1595" t="s">
        <v>6948</v>
      </c>
      <c r="D1834" s="1595" t="s">
        <v>12382</v>
      </c>
      <c r="E1834" s="1595" t="s">
        <v>2219</v>
      </c>
      <c r="F1834" s="1595" t="s">
        <v>12381</v>
      </c>
      <c r="G1834" s="1595" t="s">
        <v>12380</v>
      </c>
      <c r="H1834" s="1596">
        <v>2</v>
      </c>
      <c r="I1834" s="1595"/>
      <c r="J1834" s="1595"/>
      <c r="K1834" s="1597">
        <v>118863.4</v>
      </c>
      <c r="L1834" s="1597">
        <v>118863.4</v>
      </c>
      <c r="M1834" s="1598"/>
      <c r="N1834" s="1597">
        <v>118863.4</v>
      </c>
      <c r="O1834" s="1597">
        <v>86208.65</v>
      </c>
      <c r="P1834" s="1597">
        <v>16980.47</v>
      </c>
      <c r="Q1834" s="1597">
        <v>15674.28</v>
      </c>
      <c r="R1834" s="1597">
        <v>32654.75</v>
      </c>
      <c r="S1834" s="1592"/>
    </row>
    <row r="1835" spans="2:19" s="1593" customFormat="1" ht="11.25" customHeight="1" outlineLevel="1">
      <c r="B1835" s="1600" t="s">
        <v>12379</v>
      </c>
      <c r="C1835" s="1595" t="s">
        <v>11698</v>
      </c>
      <c r="D1835" s="1595" t="s">
        <v>12378</v>
      </c>
      <c r="E1835" s="1595" t="s">
        <v>2288</v>
      </c>
      <c r="F1835" s="1595" t="s">
        <v>12373</v>
      </c>
      <c r="G1835" s="1595"/>
      <c r="H1835" s="1595"/>
      <c r="I1835" s="1595"/>
      <c r="J1835" s="1595"/>
      <c r="K1835" s="1597">
        <v>1734000</v>
      </c>
      <c r="L1835" s="1597">
        <v>1734000</v>
      </c>
      <c r="M1835" s="1598"/>
      <c r="N1835" s="1597">
        <v>1734000</v>
      </c>
      <c r="O1835" s="1597">
        <v>69360</v>
      </c>
      <c r="P1835" s="1597">
        <v>832320</v>
      </c>
      <c r="Q1835" s="1597">
        <v>832320</v>
      </c>
      <c r="R1835" s="1597">
        <v>1664640</v>
      </c>
      <c r="S1835" s="1592"/>
    </row>
    <row r="1836" spans="2:19" s="1593" customFormat="1" ht="11.25" customHeight="1" outlineLevel="1">
      <c r="B1836" s="1600" t="s">
        <v>12377</v>
      </c>
      <c r="C1836" s="1595" t="s">
        <v>11698</v>
      </c>
      <c r="D1836" s="1595" t="s">
        <v>12376</v>
      </c>
      <c r="E1836" s="1595" t="s">
        <v>2288</v>
      </c>
      <c r="F1836" s="1595" t="s">
        <v>12373</v>
      </c>
      <c r="G1836" s="1595"/>
      <c r="H1836" s="1595"/>
      <c r="I1836" s="1595"/>
      <c r="J1836" s="1595"/>
      <c r="K1836" s="1597">
        <v>1734000</v>
      </c>
      <c r="L1836" s="1597">
        <v>1734000</v>
      </c>
      <c r="M1836" s="1598"/>
      <c r="N1836" s="1597">
        <v>1734000</v>
      </c>
      <c r="O1836" s="1597">
        <v>69360</v>
      </c>
      <c r="P1836" s="1597">
        <v>832320</v>
      </c>
      <c r="Q1836" s="1597">
        <v>832320</v>
      </c>
      <c r="R1836" s="1597">
        <v>1664640</v>
      </c>
      <c r="S1836" s="1592"/>
    </row>
    <row r="1837" spans="2:19" s="1593" customFormat="1" ht="21.75" customHeight="1" outlineLevel="1">
      <c r="B1837" s="1600" t="s">
        <v>12375</v>
      </c>
      <c r="C1837" s="1595" t="s">
        <v>11698</v>
      </c>
      <c r="D1837" s="1595" t="s">
        <v>12374</v>
      </c>
      <c r="E1837" s="1595" t="s">
        <v>2288</v>
      </c>
      <c r="F1837" s="1595" t="s">
        <v>12373</v>
      </c>
      <c r="G1837" s="1595"/>
      <c r="H1837" s="1595"/>
      <c r="I1837" s="1595"/>
      <c r="J1837" s="1595"/>
      <c r="K1837" s="1597">
        <v>580833.32999999996</v>
      </c>
      <c r="L1837" s="1597">
        <v>580833.32999999996</v>
      </c>
      <c r="M1837" s="1598"/>
      <c r="N1837" s="1597">
        <v>580833.32999999996</v>
      </c>
      <c r="O1837" s="1597">
        <v>204076.53</v>
      </c>
      <c r="P1837" s="1597">
        <v>188378.4</v>
      </c>
      <c r="Q1837" s="1597">
        <v>188378.4</v>
      </c>
      <c r="R1837" s="1597">
        <v>376756.8</v>
      </c>
      <c r="S1837" s="1592"/>
    </row>
    <row r="1838" spans="2:19" s="1593" customFormat="1" ht="21.75" customHeight="1" outlineLevel="1">
      <c r="B1838" s="1600" t="s">
        <v>12372</v>
      </c>
      <c r="C1838" s="1595" t="s">
        <v>12369</v>
      </c>
      <c r="D1838" s="1595" t="s">
        <v>12371</v>
      </c>
      <c r="E1838" s="1595" t="s">
        <v>2288</v>
      </c>
      <c r="F1838" s="1595" t="s">
        <v>12367</v>
      </c>
      <c r="G1838" s="1595"/>
      <c r="H1838" s="1595"/>
      <c r="I1838" s="1595"/>
      <c r="J1838" s="1595"/>
      <c r="K1838" s="1597">
        <v>1341853.49</v>
      </c>
      <c r="L1838" s="1597">
        <v>1341853.49</v>
      </c>
      <c r="M1838" s="1598"/>
      <c r="N1838" s="1597">
        <v>1341853.49</v>
      </c>
      <c r="O1838" s="1597">
        <v>107348.27</v>
      </c>
      <c r="P1838" s="1597">
        <v>590415.54</v>
      </c>
      <c r="Q1838" s="1597">
        <v>644089.68000000005</v>
      </c>
      <c r="R1838" s="1597">
        <v>1234505.22</v>
      </c>
      <c r="S1838" s="1592"/>
    </row>
    <row r="1839" spans="2:19" s="1593" customFormat="1" ht="21.75" customHeight="1" outlineLevel="1">
      <c r="B1839" s="1600" t="s">
        <v>12370</v>
      </c>
      <c r="C1839" s="1595" t="s">
        <v>12369</v>
      </c>
      <c r="D1839" s="1595" t="s">
        <v>12368</v>
      </c>
      <c r="E1839" s="1595" t="s">
        <v>2288</v>
      </c>
      <c r="F1839" s="1595" t="s">
        <v>12367</v>
      </c>
      <c r="G1839" s="1595"/>
      <c r="H1839" s="1595"/>
      <c r="I1839" s="1595"/>
      <c r="J1839" s="1595"/>
      <c r="K1839" s="1597">
        <v>1341853.49</v>
      </c>
      <c r="L1839" s="1597">
        <v>1341853.49</v>
      </c>
      <c r="M1839" s="1598"/>
      <c r="N1839" s="1597">
        <v>1341853.49</v>
      </c>
      <c r="O1839" s="1597">
        <v>107348.27</v>
      </c>
      <c r="P1839" s="1597">
        <v>590415.54</v>
      </c>
      <c r="Q1839" s="1597">
        <v>644089.68000000005</v>
      </c>
      <c r="R1839" s="1597">
        <v>1234505.22</v>
      </c>
      <c r="S1839" s="1592"/>
    </row>
    <row r="1840" spans="2:19" s="1593" customFormat="1" ht="21.75" customHeight="1" outlineLevel="1">
      <c r="B1840" s="1600" t="s">
        <v>12366</v>
      </c>
      <c r="C1840" s="1595" t="s">
        <v>12363</v>
      </c>
      <c r="D1840" s="1595" t="s">
        <v>12365</v>
      </c>
      <c r="E1840" s="1595" t="s">
        <v>2288</v>
      </c>
      <c r="F1840" s="1595" t="s">
        <v>12361</v>
      </c>
      <c r="G1840" s="1595"/>
      <c r="H1840" s="1596">
        <v>2</v>
      </c>
      <c r="I1840" s="1595"/>
      <c r="J1840" s="1595"/>
      <c r="K1840" s="1597">
        <v>827500</v>
      </c>
      <c r="L1840" s="1597">
        <v>827500</v>
      </c>
      <c r="M1840" s="1598"/>
      <c r="N1840" s="1597">
        <v>827500</v>
      </c>
      <c r="O1840" s="1597">
        <v>132400</v>
      </c>
      <c r="P1840" s="1597">
        <v>297900</v>
      </c>
      <c r="Q1840" s="1597">
        <v>397200</v>
      </c>
      <c r="R1840" s="1597">
        <v>695100</v>
      </c>
      <c r="S1840" s="1592"/>
    </row>
    <row r="1841" spans="2:19" s="1593" customFormat="1" ht="21.75" customHeight="1" outlineLevel="1">
      <c r="B1841" s="1600" t="s">
        <v>12364</v>
      </c>
      <c r="C1841" s="1595" t="s">
        <v>12363</v>
      </c>
      <c r="D1841" s="1595" t="s">
        <v>12362</v>
      </c>
      <c r="E1841" s="1595" t="s">
        <v>2288</v>
      </c>
      <c r="F1841" s="1595" t="s">
        <v>12361</v>
      </c>
      <c r="G1841" s="1595"/>
      <c r="H1841" s="1596">
        <v>2</v>
      </c>
      <c r="I1841" s="1595"/>
      <c r="J1841" s="1595"/>
      <c r="K1841" s="1597">
        <v>896666.67</v>
      </c>
      <c r="L1841" s="1597">
        <v>896666.67</v>
      </c>
      <c r="M1841" s="1598"/>
      <c r="N1841" s="1597">
        <v>896666.67</v>
      </c>
      <c r="O1841" s="1597">
        <v>143466.66</v>
      </c>
      <c r="P1841" s="1597">
        <v>322800.03000000003</v>
      </c>
      <c r="Q1841" s="1597">
        <v>430399.98</v>
      </c>
      <c r="R1841" s="1597">
        <v>753200.01</v>
      </c>
      <c r="S1841" s="1592"/>
    </row>
    <row r="1842" spans="2:19" s="1593" customFormat="1" ht="21.75" customHeight="1" outlineLevel="1">
      <c r="B1842" s="1600" t="s">
        <v>12360</v>
      </c>
      <c r="C1842" s="1595" t="s">
        <v>12349</v>
      </c>
      <c r="D1842" s="1595" t="s">
        <v>12359</v>
      </c>
      <c r="E1842" s="1595" t="s">
        <v>2288</v>
      </c>
      <c r="F1842" s="1595" t="s">
        <v>12354</v>
      </c>
      <c r="G1842" s="1595"/>
      <c r="H1842" s="1596">
        <v>2</v>
      </c>
      <c r="I1842" s="1595"/>
      <c r="J1842" s="1595"/>
      <c r="K1842" s="1597">
        <v>1341853.49</v>
      </c>
      <c r="L1842" s="1597">
        <v>1341853.49</v>
      </c>
      <c r="M1842" s="1598"/>
      <c r="N1842" s="1597">
        <v>1341853.49</v>
      </c>
      <c r="O1842" s="1597">
        <v>214696.55</v>
      </c>
      <c r="P1842" s="1597">
        <v>483067.26</v>
      </c>
      <c r="Q1842" s="1597">
        <v>644089.68000000005</v>
      </c>
      <c r="R1842" s="1597">
        <v>1127156.94</v>
      </c>
      <c r="S1842" s="1592"/>
    </row>
    <row r="1843" spans="2:19" s="1593" customFormat="1" ht="21.75" customHeight="1" outlineLevel="1">
      <c r="B1843" s="1600" t="s">
        <v>12358</v>
      </c>
      <c r="C1843" s="1595" t="s">
        <v>12349</v>
      </c>
      <c r="D1843" s="1595" t="s">
        <v>12357</v>
      </c>
      <c r="E1843" s="1595" t="s">
        <v>2288</v>
      </c>
      <c r="F1843" s="1595" t="s">
        <v>12354</v>
      </c>
      <c r="G1843" s="1595"/>
      <c r="H1843" s="1596">
        <v>2</v>
      </c>
      <c r="I1843" s="1595"/>
      <c r="J1843" s="1595"/>
      <c r="K1843" s="1597">
        <v>1341853.49</v>
      </c>
      <c r="L1843" s="1597">
        <v>1341853.49</v>
      </c>
      <c r="M1843" s="1598"/>
      <c r="N1843" s="1597">
        <v>1341853.49</v>
      </c>
      <c r="O1843" s="1597">
        <v>214696.55</v>
      </c>
      <c r="P1843" s="1597">
        <v>483067.26</v>
      </c>
      <c r="Q1843" s="1597">
        <v>644089.68000000005</v>
      </c>
      <c r="R1843" s="1597">
        <v>1127156.94</v>
      </c>
      <c r="S1843" s="1592"/>
    </row>
    <row r="1844" spans="2:19" s="1593" customFormat="1" ht="21.75" customHeight="1" outlineLevel="1">
      <c r="B1844" s="1600" t="s">
        <v>12356</v>
      </c>
      <c r="C1844" s="1595" t="s">
        <v>12349</v>
      </c>
      <c r="D1844" s="1595" t="s">
        <v>12355</v>
      </c>
      <c r="E1844" s="1595" t="s">
        <v>2288</v>
      </c>
      <c r="F1844" s="1595" t="s">
        <v>12354</v>
      </c>
      <c r="G1844" s="1595"/>
      <c r="H1844" s="1596">
        <v>2</v>
      </c>
      <c r="I1844" s="1595"/>
      <c r="J1844" s="1595"/>
      <c r="K1844" s="1597">
        <v>1341853.49</v>
      </c>
      <c r="L1844" s="1597">
        <v>1341853.49</v>
      </c>
      <c r="M1844" s="1598"/>
      <c r="N1844" s="1597">
        <v>1341853.49</v>
      </c>
      <c r="O1844" s="1597">
        <v>214696.55</v>
      </c>
      <c r="P1844" s="1597">
        <v>483067.26</v>
      </c>
      <c r="Q1844" s="1597">
        <v>644089.68000000005</v>
      </c>
      <c r="R1844" s="1597">
        <v>1127156.94</v>
      </c>
      <c r="S1844" s="1592"/>
    </row>
    <row r="1845" spans="2:19" s="1593" customFormat="1" ht="11.25" customHeight="1" outlineLevel="1">
      <c r="B1845" s="1600" t="s">
        <v>12353</v>
      </c>
      <c r="C1845" s="1595" t="s">
        <v>12349</v>
      </c>
      <c r="D1845" s="1595" t="s">
        <v>12352</v>
      </c>
      <c r="E1845" s="1595" t="s">
        <v>2288</v>
      </c>
      <c r="F1845" s="1595" t="s">
        <v>12351</v>
      </c>
      <c r="G1845" s="1595"/>
      <c r="H1845" s="1596">
        <v>2</v>
      </c>
      <c r="I1845" s="1595"/>
      <c r="J1845" s="1595"/>
      <c r="K1845" s="1597">
        <v>65416.67</v>
      </c>
      <c r="L1845" s="1597">
        <v>65416.67</v>
      </c>
      <c r="M1845" s="1597">
        <v>-65416.67</v>
      </c>
      <c r="N1845" s="1598"/>
      <c r="O1845" s="1598"/>
      <c r="P1845" s="1597">
        <v>23550.03</v>
      </c>
      <c r="Q1845" s="1597">
        <v>-23550.03</v>
      </c>
      <c r="R1845" s="1598"/>
      <c r="S1845" s="1592"/>
    </row>
    <row r="1846" spans="2:19" s="1593" customFormat="1" ht="11.25" customHeight="1" outlineLevel="1">
      <c r="B1846" s="1600" t="s">
        <v>12350</v>
      </c>
      <c r="C1846" s="1595" t="s">
        <v>12349</v>
      </c>
      <c r="D1846" s="1595" t="s">
        <v>12348</v>
      </c>
      <c r="E1846" s="1595" t="s">
        <v>2288</v>
      </c>
      <c r="F1846" s="1595" t="s">
        <v>12347</v>
      </c>
      <c r="G1846" s="1595"/>
      <c r="H1846" s="1596">
        <v>2</v>
      </c>
      <c r="I1846" s="1595"/>
      <c r="J1846" s="1595"/>
      <c r="K1846" s="1597">
        <v>65416.67</v>
      </c>
      <c r="L1846" s="1597">
        <v>65416.67</v>
      </c>
      <c r="M1846" s="1597">
        <v>-65416.67</v>
      </c>
      <c r="N1846" s="1598"/>
      <c r="O1846" s="1598"/>
      <c r="P1846" s="1597">
        <v>23550.03</v>
      </c>
      <c r="Q1846" s="1597">
        <v>-23550.03</v>
      </c>
      <c r="R1846" s="1598"/>
      <c r="S1846" s="1592"/>
    </row>
    <row r="1847" spans="2:19" s="1593" customFormat="1" ht="11.25" customHeight="1" outlineLevel="1">
      <c r="B1847" s="1600" t="s">
        <v>12346</v>
      </c>
      <c r="C1847" s="1595" t="s">
        <v>12345</v>
      </c>
      <c r="D1847" s="1595" t="s">
        <v>12344</v>
      </c>
      <c r="E1847" s="1595" t="s">
        <v>2288</v>
      </c>
      <c r="F1847" s="1595" t="s">
        <v>12343</v>
      </c>
      <c r="G1847" s="1595"/>
      <c r="H1847" s="1596">
        <v>2</v>
      </c>
      <c r="I1847" s="1595"/>
      <c r="J1847" s="1595"/>
      <c r="K1847" s="1597">
        <v>400000</v>
      </c>
      <c r="L1847" s="1597">
        <v>400000</v>
      </c>
      <c r="M1847" s="1598"/>
      <c r="N1847" s="1597">
        <v>400000</v>
      </c>
      <c r="O1847" s="1597">
        <v>172972.99</v>
      </c>
      <c r="P1847" s="1597">
        <v>97297.29</v>
      </c>
      <c r="Q1847" s="1597">
        <v>129729.72</v>
      </c>
      <c r="R1847" s="1597">
        <v>227027.01</v>
      </c>
      <c r="S1847" s="1592"/>
    </row>
    <row r="1848" spans="2:19" s="1593" customFormat="1" ht="11.25" customHeight="1" outlineLevel="1">
      <c r="B1848" s="1600" t="s">
        <v>12342</v>
      </c>
      <c r="C1848" s="1595" t="s">
        <v>12331</v>
      </c>
      <c r="D1848" s="1595" t="s">
        <v>12341</v>
      </c>
      <c r="E1848" s="1595" t="s">
        <v>2288</v>
      </c>
      <c r="F1848" s="1595" t="s">
        <v>12329</v>
      </c>
      <c r="G1848" s="1595"/>
      <c r="H1848" s="1596">
        <v>2</v>
      </c>
      <c r="I1848" s="1595"/>
      <c r="J1848" s="1595"/>
      <c r="K1848" s="1597">
        <v>155407.65</v>
      </c>
      <c r="L1848" s="1597">
        <v>155407.65</v>
      </c>
      <c r="M1848" s="1598"/>
      <c r="N1848" s="1597">
        <v>155407.65</v>
      </c>
      <c r="O1848" s="1597">
        <v>31081.52</v>
      </c>
      <c r="P1848" s="1597">
        <v>49730.48</v>
      </c>
      <c r="Q1848" s="1597">
        <v>74595.649999999994</v>
      </c>
      <c r="R1848" s="1597">
        <v>124326.13</v>
      </c>
      <c r="S1848" s="1592"/>
    </row>
    <row r="1849" spans="2:19" s="1593" customFormat="1" ht="11.25" customHeight="1" outlineLevel="1">
      <c r="B1849" s="1600" t="s">
        <v>12340</v>
      </c>
      <c r="C1849" s="1595" t="s">
        <v>12331</v>
      </c>
      <c r="D1849" s="1595" t="s">
        <v>12339</v>
      </c>
      <c r="E1849" s="1595" t="s">
        <v>2288</v>
      </c>
      <c r="F1849" s="1595" t="s">
        <v>12329</v>
      </c>
      <c r="G1849" s="1595"/>
      <c r="H1849" s="1596">
        <v>2</v>
      </c>
      <c r="I1849" s="1595"/>
      <c r="J1849" s="1595"/>
      <c r="K1849" s="1597">
        <v>155407.65</v>
      </c>
      <c r="L1849" s="1597">
        <v>155407.65</v>
      </c>
      <c r="M1849" s="1598"/>
      <c r="N1849" s="1597">
        <v>155407.65</v>
      </c>
      <c r="O1849" s="1597">
        <v>31081.52</v>
      </c>
      <c r="P1849" s="1597">
        <v>49730.48</v>
      </c>
      <c r="Q1849" s="1597">
        <v>74595.649999999994</v>
      </c>
      <c r="R1849" s="1597">
        <v>124326.13</v>
      </c>
      <c r="S1849" s="1592"/>
    </row>
    <row r="1850" spans="2:19" s="1593" customFormat="1" ht="11.25" customHeight="1" outlineLevel="1">
      <c r="B1850" s="1600" t="s">
        <v>12338</v>
      </c>
      <c r="C1850" s="1595" t="s">
        <v>12331</v>
      </c>
      <c r="D1850" s="1595" t="s">
        <v>12337</v>
      </c>
      <c r="E1850" s="1595" t="s">
        <v>2288</v>
      </c>
      <c r="F1850" s="1595" t="s">
        <v>12329</v>
      </c>
      <c r="G1850" s="1595"/>
      <c r="H1850" s="1596">
        <v>2</v>
      </c>
      <c r="I1850" s="1595"/>
      <c r="J1850" s="1595"/>
      <c r="K1850" s="1597">
        <v>155407.65</v>
      </c>
      <c r="L1850" s="1597">
        <v>155407.65</v>
      </c>
      <c r="M1850" s="1598"/>
      <c r="N1850" s="1597">
        <v>155407.65</v>
      </c>
      <c r="O1850" s="1597">
        <v>31081.52</v>
      </c>
      <c r="P1850" s="1597">
        <v>49730.48</v>
      </c>
      <c r="Q1850" s="1597">
        <v>74595.649999999994</v>
      </c>
      <c r="R1850" s="1597">
        <v>124326.13</v>
      </c>
      <c r="S1850" s="1592"/>
    </row>
    <row r="1851" spans="2:19" s="1593" customFormat="1" ht="11.25" customHeight="1" outlineLevel="1">
      <c r="B1851" s="1600" t="s">
        <v>12336</v>
      </c>
      <c r="C1851" s="1595" t="s">
        <v>12331</v>
      </c>
      <c r="D1851" s="1595" t="s">
        <v>12335</v>
      </c>
      <c r="E1851" s="1595" t="s">
        <v>2288</v>
      </c>
      <c r="F1851" s="1595" t="s">
        <v>12329</v>
      </c>
      <c r="G1851" s="1595"/>
      <c r="H1851" s="1596">
        <v>2</v>
      </c>
      <c r="I1851" s="1595"/>
      <c r="J1851" s="1595"/>
      <c r="K1851" s="1597">
        <v>155407.65</v>
      </c>
      <c r="L1851" s="1597">
        <v>155407.65</v>
      </c>
      <c r="M1851" s="1598"/>
      <c r="N1851" s="1597">
        <v>155407.65</v>
      </c>
      <c r="O1851" s="1597">
        <v>31081.52</v>
      </c>
      <c r="P1851" s="1597">
        <v>49730.48</v>
      </c>
      <c r="Q1851" s="1597">
        <v>74595.649999999994</v>
      </c>
      <c r="R1851" s="1597">
        <v>124326.13</v>
      </c>
      <c r="S1851" s="1592"/>
    </row>
    <row r="1852" spans="2:19" s="1593" customFormat="1" ht="11.25" customHeight="1" outlineLevel="1">
      <c r="B1852" s="1600" t="s">
        <v>12334</v>
      </c>
      <c r="C1852" s="1595" t="s">
        <v>12331</v>
      </c>
      <c r="D1852" s="1595" t="s">
        <v>12333</v>
      </c>
      <c r="E1852" s="1595" t="s">
        <v>2288</v>
      </c>
      <c r="F1852" s="1595" t="s">
        <v>12329</v>
      </c>
      <c r="G1852" s="1595"/>
      <c r="H1852" s="1596">
        <v>2</v>
      </c>
      <c r="I1852" s="1595"/>
      <c r="J1852" s="1595"/>
      <c r="K1852" s="1597">
        <v>155407.65</v>
      </c>
      <c r="L1852" s="1597">
        <v>155407.65</v>
      </c>
      <c r="M1852" s="1598"/>
      <c r="N1852" s="1597">
        <v>155407.65</v>
      </c>
      <c r="O1852" s="1597">
        <v>31081.52</v>
      </c>
      <c r="P1852" s="1597">
        <v>49730.48</v>
      </c>
      <c r="Q1852" s="1597">
        <v>74595.649999999994</v>
      </c>
      <c r="R1852" s="1597">
        <v>124326.13</v>
      </c>
      <c r="S1852" s="1592"/>
    </row>
    <row r="1853" spans="2:19" s="1593" customFormat="1" ht="11.25" customHeight="1" outlineLevel="1">
      <c r="B1853" s="1600" t="s">
        <v>12332</v>
      </c>
      <c r="C1853" s="1595" t="s">
        <v>12331</v>
      </c>
      <c r="D1853" s="1595" t="s">
        <v>12330</v>
      </c>
      <c r="E1853" s="1595" t="s">
        <v>2288</v>
      </c>
      <c r="F1853" s="1595" t="s">
        <v>12329</v>
      </c>
      <c r="G1853" s="1595"/>
      <c r="H1853" s="1596">
        <v>2</v>
      </c>
      <c r="I1853" s="1595"/>
      <c r="J1853" s="1595"/>
      <c r="K1853" s="1597">
        <v>155407.65</v>
      </c>
      <c r="L1853" s="1597">
        <v>155407.65</v>
      </c>
      <c r="M1853" s="1598"/>
      <c r="N1853" s="1597">
        <v>155407.65</v>
      </c>
      <c r="O1853" s="1597">
        <v>31081.52</v>
      </c>
      <c r="P1853" s="1597">
        <v>49730.48</v>
      </c>
      <c r="Q1853" s="1597">
        <v>74595.649999999994</v>
      </c>
      <c r="R1853" s="1597">
        <v>124326.13</v>
      </c>
      <c r="S1853" s="1592"/>
    </row>
    <row r="1854" spans="2:19" s="1593" customFormat="1" ht="11.25" customHeight="1" outlineLevel="1">
      <c r="B1854" s="1600" t="s">
        <v>12328</v>
      </c>
      <c r="C1854" s="1595" t="s">
        <v>12327</v>
      </c>
      <c r="D1854" s="1595" t="s">
        <v>12326</v>
      </c>
      <c r="E1854" s="1595" t="s">
        <v>2288</v>
      </c>
      <c r="F1854" s="1595" t="s">
        <v>12325</v>
      </c>
      <c r="G1854" s="1595"/>
      <c r="H1854" s="1596">
        <v>2</v>
      </c>
      <c r="I1854" s="1595"/>
      <c r="J1854" s="1595"/>
      <c r="K1854" s="1597">
        <v>417500</v>
      </c>
      <c r="L1854" s="1597">
        <v>417500</v>
      </c>
      <c r="M1854" s="1598"/>
      <c r="N1854" s="1597">
        <v>417500</v>
      </c>
      <c r="O1854" s="1597">
        <v>191824.34</v>
      </c>
      <c r="P1854" s="1597">
        <v>90270.24</v>
      </c>
      <c r="Q1854" s="1597">
        <v>135405.42000000001</v>
      </c>
      <c r="R1854" s="1597">
        <v>225675.66</v>
      </c>
      <c r="S1854" s="1592"/>
    </row>
    <row r="1855" spans="2:19" s="1593" customFormat="1" ht="11.25" customHeight="1" outlineLevel="1">
      <c r="B1855" s="1600" t="s">
        <v>12324</v>
      </c>
      <c r="C1855" s="1595" t="s">
        <v>12323</v>
      </c>
      <c r="D1855" s="1595" t="s">
        <v>12322</v>
      </c>
      <c r="E1855" s="1595" t="s">
        <v>2288</v>
      </c>
      <c r="F1855" s="1595" t="s">
        <v>12321</v>
      </c>
      <c r="G1855" s="1595"/>
      <c r="H1855" s="1596">
        <v>2</v>
      </c>
      <c r="I1855" s="1595"/>
      <c r="J1855" s="1595"/>
      <c r="K1855" s="1597">
        <v>3562241.09</v>
      </c>
      <c r="L1855" s="1597">
        <v>3562241.09</v>
      </c>
      <c r="M1855" s="1598"/>
      <c r="N1855" s="1597">
        <v>3562241.09</v>
      </c>
      <c r="O1855" s="1597">
        <v>997427.51</v>
      </c>
      <c r="P1855" s="1597">
        <v>854937.84</v>
      </c>
      <c r="Q1855" s="1597">
        <v>1709875.74</v>
      </c>
      <c r="R1855" s="1597">
        <v>2564813.58</v>
      </c>
      <c r="S1855" s="1592"/>
    </row>
    <row r="1856" spans="2:19" s="1593" customFormat="1" ht="11.25" customHeight="1" outlineLevel="1">
      <c r="B1856" s="1600" t="s">
        <v>12320</v>
      </c>
      <c r="C1856" s="1595" t="s">
        <v>12316</v>
      </c>
      <c r="D1856" s="1595" t="s">
        <v>12319</v>
      </c>
      <c r="E1856" s="1595" t="s">
        <v>2288</v>
      </c>
      <c r="F1856" s="1595" t="s">
        <v>12318</v>
      </c>
      <c r="G1856" s="1595"/>
      <c r="H1856" s="1596">
        <v>2</v>
      </c>
      <c r="I1856" s="1595"/>
      <c r="J1856" s="1595"/>
      <c r="K1856" s="1597">
        <v>215044.17</v>
      </c>
      <c r="L1856" s="1597">
        <v>215044.17</v>
      </c>
      <c r="M1856" s="1598"/>
      <c r="N1856" s="1597">
        <v>215044.17</v>
      </c>
      <c r="O1856" s="1597">
        <v>60212.35</v>
      </c>
      <c r="P1856" s="1597">
        <v>51610.62</v>
      </c>
      <c r="Q1856" s="1597">
        <v>103221.2</v>
      </c>
      <c r="R1856" s="1597">
        <v>154831.82</v>
      </c>
      <c r="S1856" s="1592"/>
    </row>
    <row r="1857" spans="2:19" s="1593" customFormat="1" ht="11.25" customHeight="1" outlineLevel="1">
      <c r="B1857" s="1600" t="s">
        <v>12317</v>
      </c>
      <c r="C1857" s="1595" t="s">
        <v>12316</v>
      </c>
      <c r="D1857" s="1595" t="s">
        <v>12315</v>
      </c>
      <c r="E1857" s="1595" t="s">
        <v>2288</v>
      </c>
      <c r="F1857" s="1595" t="s">
        <v>12314</v>
      </c>
      <c r="G1857" s="1595"/>
      <c r="H1857" s="1596">
        <v>2</v>
      </c>
      <c r="I1857" s="1595"/>
      <c r="J1857" s="1595"/>
      <c r="K1857" s="1597">
        <v>104033.33</v>
      </c>
      <c r="L1857" s="1597">
        <v>104033.33</v>
      </c>
      <c r="M1857" s="1598"/>
      <c r="N1857" s="1597">
        <v>104033.33</v>
      </c>
      <c r="O1857" s="1597">
        <v>82002.77</v>
      </c>
      <c r="P1857" s="1597">
        <v>7343.52</v>
      </c>
      <c r="Q1857" s="1597">
        <v>14687.04</v>
      </c>
      <c r="R1857" s="1597">
        <v>22030.560000000001</v>
      </c>
      <c r="S1857" s="1592"/>
    </row>
    <row r="1858" spans="2:19" s="1593" customFormat="1" ht="11.25" customHeight="1" outlineLevel="1">
      <c r="B1858" s="1600" t="s">
        <v>12313</v>
      </c>
      <c r="C1858" s="1595" t="s">
        <v>12312</v>
      </c>
      <c r="D1858" s="1595" t="s">
        <v>12311</v>
      </c>
      <c r="E1858" s="1595" t="s">
        <v>2219</v>
      </c>
      <c r="F1858" s="1595" t="s">
        <v>2488</v>
      </c>
      <c r="G1858" s="1595"/>
      <c r="H1858" s="1596">
        <v>2</v>
      </c>
      <c r="I1858" s="1595"/>
      <c r="J1858" s="1595"/>
      <c r="K1858" s="1597">
        <v>2230217.58</v>
      </c>
      <c r="L1858" s="1597">
        <v>2230217.58</v>
      </c>
      <c r="M1858" s="1598"/>
      <c r="N1858" s="1597">
        <v>2230217.58</v>
      </c>
      <c r="O1858" s="1597">
        <v>2072243.89</v>
      </c>
      <c r="P1858" s="1597">
        <v>46462.85</v>
      </c>
      <c r="Q1858" s="1597">
        <v>111510.84</v>
      </c>
      <c r="R1858" s="1597">
        <v>157973.69</v>
      </c>
      <c r="S1858" s="1592"/>
    </row>
    <row r="1859" spans="2:19" s="1593" customFormat="1" ht="21.75" customHeight="1" outlineLevel="1">
      <c r="B1859" s="1600" t="s">
        <v>12310</v>
      </c>
      <c r="C1859" s="1595" t="s">
        <v>12309</v>
      </c>
      <c r="D1859" s="1595" t="s">
        <v>12308</v>
      </c>
      <c r="E1859" s="1595" t="s">
        <v>2288</v>
      </c>
      <c r="F1859" s="1595" t="s">
        <v>12307</v>
      </c>
      <c r="G1859" s="1595"/>
      <c r="H1859" s="1596">
        <v>2</v>
      </c>
      <c r="I1859" s="1595"/>
      <c r="J1859" s="1595"/>
      <c r="K1859" s="1597">
        <v>1350927.3600000001</v>
      </c>
      <c r="L1859" s="1597">
        <v>1350927.3600000001</v>
      </c>
      <c r="M1859" s="1598"/>
      <c r="N1859" s="1597">
        <v>1350927.3600000001</v>
      </c>
      <c r="O1859" s="1597">
        <v>432296.76</v>
      </c>
      <c r="P1859" s="1597">
        <v>270185.45</v>
      </c>
      <c r="Q1859" s="1597">
        <v>648445.15</v>
      </c>
      <c r="R1859" s="1597">
        <v>918630.6</v>
      </c>
      <c r="S1859" s="1592"/>
    </row>
    <row r="1860" spans="2:19" s="1593" customFormat="1" ht="11.25" customHeight="1" outlineLevel="1">
      <c r="B1860" s="1600" t="s">
        <v>12306</v>
      </c>
      <c r="C1860" s="1595" t="s">
        <v>3141</v>
      </c>
      <c r="D1860" s="1595" t="s">
        <v>12305</v>
      </c>
      <c r="E1860" s="1595" t="s">
        <v>2288</v>
      </c>
      <c r="F1860" s="1595" t="s">
        <v>12304</v>
      </c>
      <c r="G1860" s="1595"/>
      <c r="H1860" s="1596">
        <v>2</v>
      </c>
      <c r="I1860" s="1595"/>
      <c r="J1860" s="1595"/>
      <c r="K1860" s="1597">
        <v>4991032.4000000004</v>
      </c>
      <c r="L1860" s="1597">
        <v>4991032.4000000004</v>
      </c>
      <c r="M1860" s="1598"/>
      <c r="N1860" s="1597">
        <v>4991032.4000000004</v>
      </c>
      <c r="O1860" s="1597">
        <v>1597130.36</v>
      </c>
      <c r="P1860" s="1597">
        <v>998206.5</v>
      </c>
      <c r="Q1860" s="1597">
        <v>2395695.54</v>
      </c>
      <c r="R1860" s="1597">
        <v>3393902.04</v>
      </c>
      <c r="S1860" s="1592"/>
    </row>
    <row r="1861" spans="2:19" s="1593" customFormat="1" ht="21.75" customHeight="1" outlineLevel="1">
      <c r="B1861" s="1600" t="s">
        <v>12303</v>
      </c>
      <c r="C1861" s="1595" t="s">
        <v>12300</v>
      </c>
      <c r="D1861" s="1595" t="s">
        <v>12302</v>
      </c>
      <c r="E1861" s="1595" t="s">
        <v>2288</v>
      </c>
      <c r="F1861" s="1595" t="s">
        <v>12298</v>
      </c>
      <c r="G1861" s="1595"/>
      <c r="H1861" s="1596">
        <v>2</v>
      </c>
      <c r="I1861" s="1595"/>
      <c r="J1861" s="1595"/>
      <c r="K1861" s="1597">
        <v>90708.35</v>
      </c>
      <c r="L1861" s="1597">
        <v>90708.35</v>
      </c>
      <c r="M1861" s="1597">
        <v>-90708.35</v>
      </c>
      <c r="N1861" s="1598"/>
      <c r="O1861" s="1598"/>
      <c r="P1861" s="1597">
        <v>10884.99</v>
      </c>
      <c r="Q1861" s="1597">
        <v>-10884.99</v>
      </c>
      <c r="R1861" s="1598"/>
      <c r="S1861" s="1592"/>
    </row>
    <row r="1862" spans="2:19" s="1593" customFormat="1" ht="21.75" customHeight="1" outlineLevel="1">
      <c r="B1862" s="1600" t="s">
        <v>12301</v>
      </c>
      <c r="C1862" s="1595" t="s">
        <v>12300</v>
      </c>
      <c r="D1862" s="1595" t="s">
        <v>12299</v>
      </c>
      <c r="E1862" s="1595"/>
      <c r="F1862" s="1595" t="s">
        <v>12298</v>
      </c>
      <c r="G1862" s="1595"/>
      <c r="H1862" s="1595"/>
      <c r="I1862" s="1595"/>
      <c r="J1862" s="1595"/>
      <c r="K1862" s="1597">
        <v>90708.35</v>
      </c>
      <c r="L1862" s="1597">
        <v>90708.35</v>
      </c>
      <c r="M1862" s="1597">
        <v>-90708.35</v>
      </c>
      <c r="N1862" s="1598"/>
      <c r="O1862" s="1598"/>
      <c r="P1862" s="1597">
        <v>10884.99</v>
      </c>
      <c r="Q1862" s="1597">
        <v>-10884.99</v>
      </c>
      <c r="R1862" s="1598"/>
      <c r="S1862" s="1592"/>
    </row>
    <row r="1863" spans="2:19" s="1593" customFormat="1" ht="11.25" customHeight="1" outlineLevel="1">
      <c r="B1863" s="1600" t="s">
        <v>12297</v>
      </c>
      <c r="C1863" s="1595" t="s">
        <v>12293</v>
      </c>
      <c r="D1863" s="1595" t="s">
        <v>12296</v>
      </c>
      <c r="E1863" s="1595" t="s">
        <v>2288</v>
      </c>
      <c r="F1863" s="1595" t="s">
        <v>12295</v>
      </c>
      <c r="G1863" s="1595"/>
      <c r="H1863" s="1595"/>
      <c r="I1863" s="1595"/>
      <c r="J1863" s="1595"/>
      <c r="K1863" s="1597">
        <v>704166.67</v>
      </c>
      <c r="L1863" s="1597">
        <v>704166.67</v>
      </c>
      <c r="M1863" s="1598"/>
      <c r="N1863" s="1597">
        <v>704166.67</v>
      </c>
      <c r="O1863" s="1597">
        <v>281666.65000000002</v>
      </c>
      <c r="P1863" s="1597">
        <v>84500.01</v>
      </c>
      <c r="Q1863" s="1597">
        <v>338000.01</v>
      </c>
      <c r="R1863" s="1597">
        <v>422500.02</v>
      </c>
      <c r="S1863" s="1592"/>
    </row>
    <row r="1864" spans="2:19" s="1593" customFormat="1" ht="11.25" customHeight="1" outlineLevel="1">
      <c r="B1864" s="1600" t="s">
        <v>12294</v>
      </c>
      <c r="C1864" s="1595" t="s">
        <v>12293</v>
      </c>
      <c r="D1864" s="1595" t="s">
        <v>12292</v>
      </c>
      <c r="E1864" s="1595" t="s">
        <v>2288</v>
      </c>
      <c r="F1864" s="1595" t="s">
        <v>12291</v>
      </c>
      <c r="G1864" s="1595"/>
      <c r="H1864" s="1595"/>
      <c r="I1864" s="1595"/>
      <c r="J1864" s="1595"/>
      <c r="K1864" s="1597">
        <v>704166.66</v>
      </c>
      <c r="L1864" s="1597">
        <v>704166.66</v>
      </c>
      <c r="M1864" s="1598"/>
      <c r="N1864" s="1597">
        <v>704166.66</v>
      </c>
      <c r="O1864" s="1597">
        <v>281666.65000000002</v>
      </c>
      <c r="P1864" s="1597">
        <v>84500.01</v>
      </c>
      <c r="Q1864" s="1597">
        <v>338000</v>
      </c>
      <c r="R1864" s="1597">
        <v>422500.01</v>
      </c>
      <c r="S1864" s="1592"/>
    </row>
    <row r="1865" spans="2:19" s="1593" customFormat="1" ht="11.25" customHeight="1" outlineLevel="1">
      <c r="B1865" s="1600" t="s">
        <v>12290</v>
      </c>
      <c r="C1865" s="1595" t="s">
        <v>12287</v>
      </c>
      <c r="D1865" s="1595" t="s">
        <v>12289</v>
      </c>
      <c r="E1865" s="1595" t="s">
        <v>2288</v>
      </c>
      <c r="F1865" s="1595" t="s">
        <v>12285</v>
      </c>
      <c r="G1865" s="1595"/>
      <c r="H1865" s="1596">
        <v>1</v>
      </c>
      <c r="I1865" s="1595"/>
      <c r="J1865" s="1595"/>
      <c r="K1865" s="1597">
        <v>64416.67</v>
      </c>
      <c r="L1865" s="1597">
        <v>64416.67</v>
      </c>
      <c r="M1865" s="1597">
        <v>-64416.67</v>
      </c>
      <c r="N1865" s="1598"/>
      <c r="O1865" s="1598"/>
      <c r="P1865" s="1597">
        <v>5153.34</v>
      </c>
      <c r="Q1865" s="1597">
        <v>-5153.34</v>
      </c>
      <c r="R1865" s="1598"/>
      <c r="S1865" s="1592"/>
    </row>
    <row r="1866" spans="2:19" s="1593" customFormat="1" ht="11.25" customHeight="1" outlineLevel="1">
      <c r="B1866" s="1600" t="s">
        <v>12288</v>
      </c>
      <c r="C1866" s="1595" t="s">
        <v>12287</v>
      </c>
      <c r="D1866" s="1595" t="s">
        <v>12286</v>
      </c>
      <c r="E1866" s="1595" t="s">
        <v>2288</v>
      </c>
      <c r="F1866" s="1595" t="s">
        <v>12285</v>
      </c>
      <c r="G1866" s="1595"/>
      <c r="H1866" s="1596">
        <v>1</v>
      </c>
      <c r="I1866" s="1595"/>
      <c r="J1866" s="1595"/>
      <c r="K1866" s="1597">
        <v>64416.66</v>
      </c>
      <c r="L1866" s="1597">
        <v>64416.66</v>
      </c>
      <c r="M1866" s="1597">
        <v>-64416.66</v>
      </c>
      <c r="N1866" s="1598"/>
      <c r="O1866" s="1598"/>
      <c r="P1866" s="1597">
        <v>5153.34</v>
      </c>
      <c r="Q1866" s="1597">
        <v>-5153.34</v>
      </c>
      <c r="R1866" s="1598"/>
      <c r="S1866" s="1592"/>
    </row>
    <row r="1867" spans="2:19" s="1593" customFormat="1" ht="11.25" customHeight="1" outlineLevel="1">
      <c r="B1867" s="1600" t="s">
        <v>12284</v>
      </c>
      <c r="C1867" s="1595" t="s">
        <v>12283</v>
      </c>
      <c r="D1867" s="1595" t="s">
        <v>12282</v>
      </c>
      <c r="E1867" s="1595" t="s">
        <v>2288</v>
      </c>
      <c r="F1867" s="1595" t="s">
        <v>12281</v>
      </c>
      <c r="G1867" s="1595"/>
      <c r="H1867" s="1596">
        <v>2</v>
      </c>
      <c r="I1867" s="1595"/>
      <c r="J1867" s="1595"/>
      <c r="K1867" s="1597">
        <v>191666.67</v>
      </c>
      <c r="L1867" s="1597">
        <v>191666.67</v>
      </c>
      <c r="M1867" s="1598"/>
      <c r="N1867" s="1597">
        <v>191666.67</v>
      </c>
      <c r="O1867" s="1597">
        <v>160098.07</v>
      </c>
      <c r="P1867" s="1597">
        <v>4509.8</v>
      </c>
      <c r="Q1867" s="1597">
        <v>27058.799999999999</v>
      </c>
      <c r="R1867" s="1597">
        <v>31568.6</v>
      </c>
      <c r="S1867" s="1592"/>
    </row>
    <row r="1868" spans="2:19" s="1593" customFormat="1" ht="21.75" customHeight="1" outlineLevel="1">
      <c r="B1868" s="1600" t="s">
        <v>12280</v>
      </c>
      <c r="C1868" s="1595" t="s">
        <v>12279</v>
      </c>
      <c r="D1868" s="1595" t="s">
        <v>12278</v>
      </c>
      <c r="E1868" s="1595" t="s">
        <v>2288</v>
      </c>
      <c r="F1868" s="1595" t="s">
        <v>12277</v>
      </c>
      <c r="G1868" s="1595"/>
      <c r="H1868" s="1595"/>
      <c r="I1868" s="1595"/>
      <c r="J1868" s="1595"/>
      <c r="K1868" s="1597">
        <v>778950</v>
      </c>
      <c r="L1868" s="1597">
        <v>778950</v>
      </c>
      <c r="M1868" s="1598"/>
      <c r="N1868" s="1597">
        <v>778950</v>
      </c>
      <c r="O1868" s="1597">
        <v>405054</v>
      </c>
      <c r="P1868" s="1598"/>
      <c r="Q1868" s="1597">
        <v>373896</v>
      </c>
      <c r="R1868" s="1597">
        <v>373896</v>
      </c>
      <c r="S1868" s="1592"/>
    </row>
    <row r="1869" spans="2:19" s="1593" customFormat="1" ht="21.75" customHeight="1" outlineLevel="1">
      <c r="B1869" s="1600" t="s">
        <v>12276</v>
      </c>
      <c r="C1869" s="1595" t="s">
        <v>2414</v>
      </c>
      <c r="D1869" s="1595" t="s">
        <v>12275</v>
      </c>
      <c r="E1869" s="1595"/>
      <c r="F1869" s="1595"/>
      <c r="G1869" s="1595"/>
      <c r="H1869" s="1595"/>
      <c r="I1869" s="1595"/>
      <c r="J1869" s="1595"/>
      <c r="K1869" s="1597">
        <v>47893.22</v>
      </c>
      <c r="L1869" s="1597">
        <v>47893.22</v>
      </c>
      <c r="M1869" s="1598"/>
      <c r="N1869" s="1597">
        <v>47893.22</v>
      </c>
      <c r="O1869" s="1597">
        <v>43143.5</v>
      </c>
      <c r="P1869" s="1598"/>
      <c r="Q1869" s="1597">
        <v>4749.72</v>
      </c>
      <c r="R1869" s="1597">
        <v>4749.72</v>
      </c>
      <c r="S1869" s="1592"/>
    </row>
    <row r="1870" spans="2:19" s="1593" customFormat="1" ht="21.75" customHeight="1" outlineLevel="1">
      <c r="B1870" s="1600" t="s">
        <v>12274</v>
      </c>
      <c r="C1870" s="1595" t="s">
        <v>2414</v>
      </c>
      <c r="D1870" s="1595" t="s">
        <v>12273</v>
      </c>
      <c r="E1870" s="1595"/>
      <c r="F1870" s="1595"/>
      <c r="G1870" s="1595"/>
      <c r="H1870" s="1595"/>
      <c r="I1870" s="1595"/>
      <c r="J1870" s="1595"/>
      <c r="K1870" s="1597">
        <v>44337.16</v>
      </c>
      <c r="L1870" s="1597">
        <v>44337.16</v>
      </c>
      <c r="M1870" s="1597">
        <v>-44337.16</v>
      </c>
      <c r="N1870" s="1598"/>
      <c r="O1870" s="1598"/>
      <c r="P1870" s="1598"/>
      <c r="Q1870" s="1598"/>
      <c r="R1870" s="1598"/>
      <c r="S1870" s="1592"/>
    </row>
    <row r="1871" spans="2:19" s="1593" customFormat="1" ht="21.75" customHeight="1" outlineLevel="1">
      <c r="B1871" s="1600" t="s">
        <v>12272</v>
      </c>
      <c r="C1871" s="1595" t="s">
        <v>2414</v>
      </c>
      <c r="D1871" s="1595" t="s">
        <v>12271</v>
      </c>
      <c r="E1871" s="1595"/>
      <c r="F1871" s="1595"/>
      <c r="G1871" s="1595"/>
      <c r="H1871" s="1595"/>
      <c r="I1871" s="1595"/>
      <c r="J1871" s="1595"/>
      <c r="K1871" s="1597">
        <v>38133.72</v>
      </c>
      <c r="L1871" s="1597">
        <v>38133.72</v>
      </c>
      <c r="M1871" s="1598"/>
      <c r="N1871" s="1597">
        <v>38133.72</v>
      </c>
      <c r="O1871" s="1597">
        <v>27733.599999999999</v>
      </c>
      <c r="P1871" s="1598"/>
      <c r="Q1871" s="1597">
        <v>10400.120000000001</v>
      </c>
      <c r="R1871" s="1597">
        <v>10400.120000000001</v>
      </c>
      <c r="S1871" s="1592"/>
    </row>
    <row r="1872" spans="2:19" s="1593" customFormat="1" ht="21.75" customHeight="1" outlineLevel="1">
      <c r="B1872" s="1600" t="s">
        <v>12270</v>
      </c>
      <c r="C1872" s="1595" t="s">
        <v>2414</v>
      </c>
      <c r="D1872" s="1595" t="s">
        <v>12269</v>
      </c>
      <c r="E1872" s="1595"/>
      <c r="F1872" s="1595"/>
      <c r="G1872" s="1595"/>
      <c r="H1872" s="1595"/>
      <c r="I1872" s="1595"/>
      <c r="J1872" s="1595"/>
      <c r="K1872" s="1597">
        <v>23307.73</v>
      </c>
      <c r="L1872" s="1597">
        <v>23307.73</v>
      </c>
      <c r="M1872" s="1598"/>
      <c r="N1872" s="1597">
        <v>23307.73</v>
      </c>
      <c r="O1872" s="1597">
        <v>17092.330000000002</v>
      </c>
      <c r="P1872" s="1598"/>
      <c r="Q1872" s="1597">
        <v>6215.4</v>
      </c>
      <c r="R1872" s="1597">
        <v>6215.4</v>
      </c>
      <c r="S1872" s="1592"/>
    </row>
    <row r="1873" spans="2:19" s="1593" customFormat="1" ht="21.75" customHeight="1" outlineLevel="1">
      <c r="B1873" s="1600" t="s">
        <v>12268</v>
      </c>
      <c r="C1873" s="1595" t="s">
        <v>2414</v>
      </c>
      <c r="D1873" s="1595" t="s">
        <v>12267</v>
      </c>
      <c r="E1873" s="1595"/>
      <c r="F1873" s="1595"/>
      <c r="G1873" s="1595"/>
      <c r="H1873" s="1595"/>
      <c r="I1873" s="1595"/>
      <c r="J1873" s="1595"/>
      <c r="K1873" s="1597">
        <v>346297.86</v>
      </c>
      <c r="L1873" s="1597">
        <v>346297.86</v>
      </c>
      <c r="M1873" s="1598"/>
      <c r="N1873" s="1597">
        <v>346297.86</v>
      </c>
      <c r="O1873" s="1597">
        <v>259723.38</v>
      </c>
      <c r="P1873" s="1598"/>
      <c r="Q1873" s="1597">
        <v>86574.48</v>
      </c>
      <c r="R1873" s="1597">
        <v>86574.48</v>
      </c>
      <c r="S1873" s="1592"/>
    </row>
    <row r="1874" spans="2:19" s="1593" customFormat="1" ht="21.75" customHeight="1" outlineLevel="1">
      <c r="B1874" s="1600" t="s">
        <v>12266</v>
      </c>
      <c r="C1874" s="1595" t="s">
        <v>2414</v>
      </c>
      <c r="D1874" s="1595" t="s">
        <v>12265</v>
      </c>
      <c r="E1874" s="1595"/>
      <c r="F1874" s="1595"/>
      <c r="G1874" s="1595"/>
      <c r="H1874" s="1595"/>
      <c r="I1874" s="1595"/>
      <c r="J1874" s="1595"/>
      <c r="K1874" s="1597">
        <v>42646.94</v>
      </c>
      <c r="L1874" s="1597">
        <v>42646.94</v>
      </c>
      <c r="M1874" s="1597">
        <v>-42646.94</v>
      </c>
      <c r="N1874" s="1598"/>
      <c r="O1874" s="1598"/>
      <c r="P1874" s="1598"/>
      <c r="Q1874" s="1598"/>
      <c r="R1874" s="1598"/>
      <c r="S1874" s="1592"/>
    </row>
    <row r="1875" spans="2:19" s="1593" customFormat="1" ht="21.75" customHeight="1" outlineLevel="1">
      <c r="B1875" s="1600" t="s">
        <v>12264</v>
      </c>
      <c r="C1875" s="1595" t="s">
        <v>2414</v>
      </c>
      <c r="D1875" s="1595" t="s">
        <v>12263</v>
      </c>
      <c r="E1875" s="1595"/>
      <c r="F1875" s="1595"/>
      <c r="G1875" s="1595"/>
      <c r="H1875" s="1595"/>
      <c r="I1875" s="1595"/>
      <c r="J1875" s="1595"/>
      <c r="K1875" s="1597">
        <v>51085.27</v>
      </c>
      <c r="L1875" s="1597">
        <v>51085.27</v>
      </c>
      <c r="M1875" s="1597">
        <v>-51085.27</v>
      </c>
      <c r="N1875" s="1598"/>
      <c r="O1875" s="1598"/>
      <c r="P1875" s="1598"/>
      <c r="Q1875" s="1598"/>
      <c r="R1875" s="1598"/>
      <c r="S1875" s="1592"/>
    </row>
    <row r="1876" spans="2:19" s="1593" customFormat="1" ht="21.75" customHeight="1" outlineLevel="1">
      <c r="B1876" s="1600" t="s">
        <v>12262</v>
      </c>
      <c r="C1876" s="1595" t="s">
        <v>2414</v>
      </c>
      <c r="D1876" s="1595" t="s">
        <v>12261</v>
      </c>
      <c r="E1876" s="1595" t="s">
        <v>2219</v>
      </c>
      <c r="F1876" s="1595" t="s">
        <v>6479</v>
      </c>
      <c r="G1876" s="1595" t="s">
        <v>12260</v>
      </c>
      <c r="H1876" s="1596">
        <v>2</v>
      </c>
      <c r="I1876" s="1595"/>
      <c r="J1876" s="1595"/>
      <c r="K1876" s="1597">
        <v>4482597.5999999996</v>
      </c>
      <c r="L1876" s="1597">
        <v>4482597.5999999996</v>
      </c>
      <c r="M1876" s="1598"/>
      <c r="N1876" s="1597">
        <v>4482597.5999999996</v>
      </c>
      <c r="O1876" s="1597">
        <v>3984531.24</v>
      </c>
      <c r="P1876" s="1598"/>
      <c r="Q1876" s="1597">
        <v>498066.36</v>
      </c>
      <c r="R1876" s="1597">
        <v>498066.36</v>
      </c>
      <c r="S1876" s="1592"/>
    </row>
    <row r="1877" spans="2:19" s="1593" customFormat="1" ht="21.75" customHeight="1" outlineLevel="1">
      <c r="B1877" s="1600" t="s">
        <v>12259</v>
      </c>
      <c r="C1877" s="1595" t="s">
        <v>2414</v>
      </c>
      <c r="D1877" s="1595" t="s">
        <v>12258</v>
      </c>
      <c r="E1877" s="1595" t="s">
        <v>2219</v>
      </c>
      <c r="F1877" s="1595" t="s">
        <v>2860</v>
      </c>
      <c r="G1877" s="1595"/>
      <c r="H1877" s="1596">
        <v>2</v>
      </c>
      <c r="I1877" s="1595"/>
      <c r="J1877" s="1595"/>
      <c r="K1877" s="1597">
        <v>5603247</v>
      </c>
      <c r="L1877" s="1597">
        <v>5603247</v>
      </c>
      <c r="M1877" s="1598"/>
      <c r="N1877" s="1597">
        <v>5603247</v>
      </c>
      <c r="O1877" s="1597">
        <v>4980663.96</v>
      </c>
      <c r="P1877" s="1598"/>
      <c r="Q1877" s="1597">
        <v>622583.04000000004</v>
      </c>
      <c r="R1877" s="1597">
        <v>622583.04000000004</v>
      </c>
      <c r="S1877" s="1592"/>
    </row>
    <row r="1878" spans="2:19" s="1593" customFormat="1" ht="21.75" customHeight="1" outlineLevel="1">
      <c r="B1878" s="1600" t="s">
        <v>12257</v>
      </c>
      <c r="C1878" s="1595" t="s">
        <v>2414</v>
      </c>
      <c r="D1878" s="1595" t="s">
        <v>12256</v>
      </c>
      <c r="E1878" s="1595" t="s">
        <v>2219</v>
      </c>
      <c r="F1878" s="1595" t="s">
        <v>5931</v>
      </c>
      <c r="G1878" s="1595" t="s">
        <v>12255</v>
      </c>
      <c r="H1878" s="1596">
        <v>2</v>
      </c>
      <c r="I1878" s="1595"/>
      <c r="J1878" s="1595"/>
      <c r="K1878" s="1597">
        <v>1609137.6</v>
      </c>
      <c r="L1878" s="1597">
        <v>1609137.6</v>
      </c>
      <c r="M1878" s="1598"/>
      <c r="N1878" s="1597">
        <v>1609137.6</v>
      </c>
      <c r="O1878" s="1597">
        <v>1379260.8</v>
      </c>
      <c r="P1878" s="1598"/>
      <c r="Q1878" s="1597">
        <v>229876.8</v>
      </c>
      <c r="R1878" s="1597">
        <v>229876.8</v>
      </c>
      <c r="S1878" s="1592"/>
    </row>
    <row r="1879" spans="2:19" s="1593" customFormat="1" ht="21.75" customHeight="1" outlineLevel="1">
      <c r="B1879" s="1600" t="s">
        <v>12254</v>
      </c>
      <c r="C1879" s="1595" t="s">
        <v>2414</v>
      </c>
      <c r="D1879" s="1595" t="s">
        <v>12253</v>
      </c>
      <c r="E1879" s="1595" t="s">
        <v>2219</v>
      </c>
      <c r="F1879" s="1595" t="s">
        <v>12252</v>
      </c>
      <c r="G1879" s="1595"/>
      <c r="H1879" s="1596">
        <v>2</v>
      </c>
      <c r="I1879" s="1595"/>
      <c r="J1879" s="1595"/>
      <c r="K1879" s="1597">
        <v>10057110</v>
      </c>
      <c r="L1879" s="1597">
        <v>10057110</v>
      </c>
      <c r="M1879" s="1598"/>
      <c r="N1879" s="1597">
        <v>10057110</v>
      </c>
      <c r="O1879" s="1597">
        <v>9482418</v>
      </c>
      <c r="P1879" s="1598"/>
      <c r="Q1879" s="1597">
        <v>574692</v>
      </c>
      <c r="R1879" s="1597">
        <v>574692</v>
      </c>
      <c r="S1879" s="1592"/>
    </row>
    <row r="1880" spans="2:19" s="1593" customFormat="1" ht="21.75" customHeight="1" outlineLevel="1">
      <c r="B1880" s="1600" t="s">
        <v>12251</v>
      </c>
      <c r="C1880" s="1595" t="s">
        <v>5732</v>
      </c>
      <c r="D1880" s="1595" t="s">
        <v>12250</v>
      </c>
      <c r="E1880" s="1595" t="s">
        <v>2208</v>
      </c>
      <c r="F1880" s="1595"/>
      <c r="G1880" s="1595"/>
      <c r="H1880" s="1596">
        <v>3</v>
      </c>
      <c r="I1880" s="1595"/>
      <c r="J1880" s="1595"/>
      <c r="K1880" s="1597">
        <v>230277.62</v>
      </c>
      <c r="L1880" s="1598"/>
      <c r="M1880" s="1597">
        <v>230277.62</v>
      </c>
      <c r="N1880" s="1597">
        <v>230277.62</v>
      </c>
      <c r="O1880" s="1597">
        <v>213149.54</v>
      </c>
      <c r="P1880" s="1598"/>
      <c r="Q1880" s="1597">
        <v>17128.080000000002</v>
      </c>
      <c r="R1880" s="1597">
        <v>17128.080000000002</v>
      </c>
      <c r="S1880" s="1592"/>
    </row>
    <row r="1881" spans="2:19" s="1593" customFormat="1" ht="11.25" customHeight="1" outlineLevel="1">
      <c r="B1881" s="1600" t="s">
        <v>12249</v>
      </c>
      <c r="C1881" s="1595" t="s">
        <v>5732</v>
      </c>
      <c r="D1881" s="1595" t="s">
        <v>12248</v>
      </c>
      <c r="E1881" s="1595" t="s">
        <v>2266</v>
      </c>
      <c r="F1881" s="1595"/>
      <c r="G1881" s="1595"/>
      <c r="H1881" s="1596">
        <v>2</v>
      </c>
      <c r="I1881" s="1595"/>
      <c r="J1881" s="1595"/>
      <c r="K1881" s="1597">
        <v>1035376.53</v>
      </c>
      <c r="L1881" s="1598"/>
      <c r="M1881" s="1597">
        <v>1035376.53</v>
      </c>
      <c r="N1881" s="1597">
        <v>1035376.53</v>
      </c>
      <c r="O1881" s="1597">
        <v>882616.02</v>
      </c>
      <c r="P1881" s="1598"/>
      <c r="Q1881" s="1597">
        <v>152760.51</v>
      </c>
      <c r="R1881" s="1597">
        <v>152760.51</v>
      </c>
      <c r="S1881" s="1592"/>
    </row>
    <row r="1882" spans="2:19" s="1593" customFormat="1" ht="11.25" customHeight="1" outlineLevel="1">
      <c r="B1882" s="1600" t="s">
        <v>12247</v>
      </c>
      <c r="C1882" s="1595" t="s">
        <v>5732</v>
      </c>
      <c r="D1882" s="1595" t="s">
        <v>12246</v>
      </c>
      <c r="E1882" s="1595" t="s">
        <v>2266</v>
      </c>
      <c r="F1882" s="1595"/>
      <c r="G1882" s="1595"/>
      <c r="H1882" s="1596">
        <v>2</v>
      </c>
      <c r="I1882" s="1595"/>
      <c r="J1882" s="1595"/>
      <c r="K1882" s="1597">
        <v>1530769.96</v>
      </c>
      <c r="L1882" s="1598"/>
      <c r="M1882" s="1597">
        <v>1530769.96</v>
      </c>
      <c r="N1882" s="1597">
        <v>1530769.96</v>
      </c>
      <c r="O1882" s="1597">
        <v>1304918.6499999999</v>
      </c>
      <c r="P1882" s="1598"/>
      <c r="Q1882" s="1597">
        <v>225851.31</v>
      </c>
      <c r="R1882" s="1597">
        <v>225851.31</v>
      </c>
      <c r="S1882" s="1592"/>
    </row>
    <row r="1883" spans="2:19" s="1593" customFormat="1" ht="11.25" customHeight="1" outlineLevel="1">
      <c r="B1883" s="1600" t="s">
        <v>12245</v>
      </c>
      <c r="C1883" s="1595" t="s">
        <v>5732</v>
      </c>
      <c r="D1883" s="1595" t="s">
        <v>12244</v>
      </c>
      <c r="E1883" s="1595" t="s">
        <v>2266</v>
      </c>
      <c r="F1883" s="1595"/>
      <c r="G1883" s="1595"/>
      <c r="H1883" s="1596">
        <v>2</v>
      </c>
      <c r="I1883" s="1595"/>
      <c r="J1883" s="1595"/>
      <c r="K1883" s="1597">
        <v>4098570.4</v>
      </c>
      <c r="L1883" s="1598"/>
      <c r="M1883" s="1597">
        <v>4098570.4</v>
      </c>
      <c r="N1883" s="1597">
        <v>4098570.4</v>
      </c>
      <c r="O1883" s="1597">
        <v>3493863.28</v>
      </c>
      <c r="P1883" s="1598"/>
      <c r="Q1883" s="1597">
        <v>604707.12</v>
      </c>
      <c r="R1883" s="1597">
        <v>604707.12</v>
      </c>
      <c r="S1883" s="1592"/>
    </row>
    <row r="1884" spans="2:19" s="1593" customFormat="1" ht="21.75" customHeight="1" outlineLevel="1">
      <c r="B1884" s="1600" t="s">
        <v>12243</v>
      </c>
      <c r="C1884" s="1595" t="s">
        <v>5732</v>
      </c>
      <c r="D1884" s="1595" t="s">
        <v>12242</v>
      </c>
      <c r="E1884" s="1595" t="s">
        <v>2266</v>
      </c>
      <c r="F1884" s="1595"/>
      <c r="G1884" s="1595"/>
      <c r="H1884" s="1596">
        <v>2</v>
      </c>
      <c r="I1884" s="1595"/>
      <c r="J1884" s="1595"/>
      <c r="K1884" s="1597">
        <v>4327270.6900000004</v>
      </c>
      <c r="L1884" s="1598"/>
      <c r="M1884" s="1597">
        <v>4327270.6900000004</v>
      </c>
      <c r="N1884" s="1597">
        <v>4327270.6900000004</v>
      </c>
      <c r="O1884" s="1597">
        <v>4110907.18</v>
      </c>
      <c r="P1884" s="1598"/>
      <c r="Q1884" s="1597">
        <v>216363.51</v>
      </c>
      <c r="R1884" s="1597">
        <v>216363.51</v>
      </c>
      <c r="S1884" s="1592"/>
    </row>
    <row r="1885" spans="2:19" s="1593" customFormat="1" ht="21.75" customHeight="1" outlineLevel="1">
      <c r="B1885" s="1600" t="s">
        <v>12241</v>
      </c>
      <c r="C1885" s="1595" t="s">
        <v>5732</v>
      </c>
      <c r="D1885" s="1595" t="s">
        <v>12240</v>
      </c>
      <c r="E1885" s="1595"/>
      <c r="F1885" s="1595"/>
      <c r="G1885" s="1595"/>
      <c r="H1885" s="1595"/>
      <c r="I1885" s="1595"/>
      <c r="J1885" s="1595"/>
      <c r="K1885" s="1597">
        <v>4280125.2</v>
      </c>
      <c r="L1885" s="1598"/>
      <c r="M1885" s="1597">
        <v>4280125.2</v>
      </c>
      <c r="N1885" s="1597">
        <v>4280125.2</v>
      </c>
      <c r="O1885" s="1597">
        <v>4066118.97</v>
      </c>
      <c r="P1885" s="1598"/>
      <c r="Q1885" s="1597">
        <v>214006.23</v>
      </c>
      <c r="R1885" s="1597">
        <v>214006.23</v>
      </c>
      <c r="S1885" s="1592"/>
    </row>
    <row r="1886" spans="2:19" s="1593" customFormat="1" ht="21.75" customHeight="1" outlineLevel="1">
      <c r="B1886" s="1600" t="s">
        <v>12239</v>
      </c>
      <c r="C1886" s="1595" t="s">
        <v>5732</v>
      </c>
      <c r="D1886" s="1595" t="s">
        <v>12238</v>
      </c>
      <c r="E1886" s="1595"/>
      <c r="F1886" s="1595"/>
      <c r="G1886" s="1595"/>
      <c r="H1886" s="1595"/>
      <c r="I1886" s="1595"/>
      <c r="J1886" s="1595"/>
      <c r="K1886" s="1597">
        <v>4182863.17</v>
      </c>
      <c r="L1886" s="1598"/>
      <c r="M1886" s="1597">
        <v>4182863.17</v>
      </c>
      <c r="N1886" s="1597">
        <v>4182863.17</v>
      </c>
      <c r="O1886" s="1597">
        <v>3973720</v>
      </c>
      <c r="P1886" s="1598"/>
      <c r="Q1886" s="1597">
        <v>209143.17</v>
      </c>
      <c r="R1886" s="1597">
        <v>209143.17</v>
      </c>
      <c r="S1886" s="1592"/>
    </row>
    <row r="1887" spans="2:19" s="1593" customFormat="1" ht="21.75" customHeight="1" outlineLevel="1">
      <c r="B1887" s="1600" t="s">
        <v>12237</v>
      </c>
      <c r="C1887" s="1595" t="s">
        <v>5732</v>
      </c>
      <c r="D1887" s="1595" t="s">
        <v>12236</v>
      </c>
      <c r="E1887" s="1595"/>
      <c r="F1887" s="1595"/>
      <c r="G1887" s="1595"/>
      <c r="H1887" s="1595"/>
      <c r="I1887" s="1595"/>
      <c r="J1887" s="1595"/>
      <c r="K1887" s="1597">
        <v>4190068.74</v>
      </c>
      <c r="L1887" s="1598"/>
      <c r="M1887" s="1597">
        <v>4190068.74</v>
      </c>
      <c r="N1887" s="1597">
        <v>4190068.74</v>
      </c>
      <c r="O1887" s="1597">
        <v>3980565.3</v>
      </c>
      <c r="P1887" s="1598"/>
      <c r="Q1887" s="1597">
        <v>209503.44</v>
      </c>
      <c r="R1887" s="1597">
        <v>209503.44</v>
      </c>
      <c r="S1887" s="1592"/>
    </row>
    <row r="1888" spans="2:19" s="1593" customFormat="1" ht="21.75" customHeight="1" outlineLevel="1">
      <c r="B1888" s="1600" t="s">
        <v>12235</v>
      </c>
      <c r="C1888" s="1595" t="s">
        <v>5732</v>
      </c>
      <c r="D1888" s="1595" t="s">
        <v>12234</v>
      </c>
      <c r="E1888" s="1595"/>
      <c r="F1888" s="1595"/>
      <c r="G1888" s="1595"/>
      <c r="H1888" s="1595"/>
      <c r="I1888" s="1595"/>
      <c r="J1888" s="1595"/>
      <c r="K1888" s="1597">
        <v>4213551.51</v>
      </c>
      <c r="L1888" s="1598"/>
      <c r="M1888" s="1597">
        <v>4213551.51</v>
      </c>
      <c r="N1888" s="1597">
        <v>4213551.51</v>
      </c>
      <c r="O1888" s="1597">
        <v>4002873.93</v>
      </c>
      <c r="P1888" s="1598"/>
      <c r="Q1888" s="1597">
        <v>210677.58</v>
      </c>
      <c r="R1888" s="1597">
        <v>210677.58</v>
      </c>
      <c r="S1888" s="1592"/>
    </row>
    <row r="1889" spans="2:19" s="1593" customFormat="1" ht="21.75" customHeight="1" outlineLevel="1">
      <c r="B1889" s="1600" t="s">
        <v>12233</v>
      </c>
      <c r="C1889" s="1595" t="s">
        <v>5732</v>
      </c>
      <c r="D1889" s="1595" t="s">
        <v>12232</v>
      </c>
      <c r="E1889" s="1595" t="s">
        <v>2266</v>
      </c>
      <c r="F1889" s="1595"/>
      <c r="G1889" s="1595"/>
      <c r="H1889" s="1596">
        <v>2</v>
      </c>
      <c r="I1889" s="1595"/>
      <c r="J1889" s="1595"/>
      <c r="K1889" s="1597">
        <v>1063575.83</v>
      </c>
      <c r="L1889" s="1598"/>
      <c r="M1889" s="1597">
        <v>1063575.83</v>
      </c>
      <c r="N1889" s="1597">
        <v>1063575.83</v>
      </c>
      <c r="O1889" s="1597">
        <v>906654.8</v>
      </c>
      <c r="P1889" s="1598"/>
      <c r="Q1889" s="1597">
        <v>156921.03</v>
      </c>
      <c r="R1889" s="1597">
        <v>156921.03</v>
      </c>
      <c r="S1889" s="1592"/>
    </row>
    <row r="1890" spans="2:19" s="1593" customFormat="1" ht="11.25" customHeight="1" outlineLevel="1">
      <c r="B1890" s="1600" t="s">
        <v>12231</v>
      </c>
      <c r="C1890" s="1595" t="s">
        <v>5732</v>
      </c>
      <c r="D1890" s="1595" t="s">
        <v>12230</v>
      </c>
      <c r="E1890" s="1595" t="s">
        <v>2266</v>
      </c>
      <c r="F1890" s="1595"/>
      <c r="G1890" s="1595"/>
      <c r="H1890" s="1596">
        <v>2</v>
      </c>
      <c r="I1890" s="1595"/>
      <c r="J1890" s="1595"/>
      <c r="K1890" s="1597">
        <v>121076.6</v>
      </c>
      <c r="L1890" s="1598"/>
      <c r="M1890" s="1597">
        <v>121076.6</v>
      </c>
      <c r="N1890" s="1597">
        <v>121076.6</v>
      </c>
      <c r="O1890" s="1597">
        <v>118058.09</v>
      </c>
      <c r="P1890" s="1598"/>
      <c r="Q1890" s="1597">
        <v>3018.51</v>
      </c>
      <c r="R1890" s="1597">
        <v>3018.51</v>
      </c>
      <c r="S1890" s="1592"/>
    </row>
    <row r="1891" spans="2:19" s="1593" customFormat="1" ht="21.75" customHeight="1" outlineLevel="1">
      <c r="B1891" s="1600" t="s">
        <v>12229</v>
      </c>
      <c r="C1891" s="1595" t="s">
        <v>5732</v>
      </c>
      <c r="D1891" s="1595" t="s">
        <v>12228</v>
      </c>
      <c r="E1891" s="1595" t="s">
        <v>2266</v>
      </c>
      <c r="F1891" s="1595"/>
      <c r="G1891" s="1595"/>
      <c r="H1891" s="1596">
        <v>3</v>
      </c>
      <c r="I1891" s="1595"/>
      <c r="J1891" s="1595"/>
      <c r="K1891" s="1597">
        <v>2218833.33</v>
      </c>
      <c r="L1891" s="1598"/>
      <c r="M1891" s="1597">
        <v>2218833.33</v>
      </c>
      <c r="N1891" s="1597">
        <v>2218833.33</v>
      </c>
      <c r="O1891" s="1597">
        <v>2163516.1800000002</v>
      </c>
      <c r="P1891" s="1598"/>
      <c r="Q1891" s="1597">
        <v>55317.15</v>
      </c>
      <c r="R1891" s="1597">
        <v>55317.15</v>
      </c>
      <c r="S1891" s="1592"/>
    </row>
    <row r="1892" spans="2:19" s="1593" customFormat="1" ht="11.25" customHeight="1" outlineLevel="1">
      <c r="B1892" s="1600" t="s">
        <v>12227</v>
      </c>
      <c r="C1892" s="1595" t="s">
        <v>5732</v>
      </c>
      <c r="D1892" s="1595" t="s">
        <v>12226</v>
      </c>
      <c r="E1892" s="1595" t="s">
        <v>2266</v>
      </c>
      <c r="F1892" s="1595"/>
      <c r="G1892" s="1595"/>
      <c r="H1892" s="1596">
        <v>2</v>
      </c>
      <c r="I1892" s="1595"/>
      <c r="J1892" s="1595"/>
      <c r="K1892" s="1597">
        <v>1043770.97</v>
      </c>
      <c r="L1892" s="1598"/>
      <c r="M1892" s="1597">
        <v>1043770.97</v>
      </c>
      <c r="N1892" s="1597">
        <v>1043770.97</v>
      </c>
      <c r="O1892" s="1597">
        <v>931938.37</v>
      </c>
      <c r="P1892" s="1598"/>
      <c r="Q1892" s="1597">
        <v>111832.6</v>
      </c>
      <c r="R1892" s="1597">
        <v>111832.6</v>
      </c>
      <c r="S1892" s="1592"/>
    </row>
    <row r="1893" spans="2:19" s="1593" customFormat="1" ht="21.75" customHeight="1" outlineLevel="1">
      <c r="B1893" s="1600" t="s">
        <v>12225</v>
      </c>
      <c r="C1893" s="1595" t="s">
        <v>5732</v>
      </c>
      <c r="D1893" s="1595" t="s">
        <v>12224</v>
      </c>
      <c r="E1893" s="1595" t="s">
        <v>2208</v>
      </c>
      <c r="F1893" s="1595"/>
      <c r="G1893" s="1595"/>
      <c r="H1893" s="1596">
        <v>2</v>
      </c>
      <c r="I1893" s="1595"/>
      <c r="J1893" s="1595"/>
      <c r="K1893" s="1597">
        <v>2722697.59</v>
      </c>
      <c r="L1893" s="1598"/>
      <c r="M1893" s="1597">
        <v>2722697.59</v>
      </c>
      <c r="N1893" s="1597">
        <v>2722697.59</v>
      </c>
      <c r="O1893" s="1597">
        <v>2320988.08</v>
      </c>
      <c r="P1893" s="1598"/>
      <c r="Q1893" s="1597">
        <v>401709.51</v>
      </c>
      <c r="R1893" s="1597">
        <v>401709.51</v>
      </c>
      <c r="S1893" s="1592"/>
    </row>
    <row r="1894" spans="2:19" s="1593" customFormat="1" ht="21.75" customHeight="1" outlineLevel="1">
      <c r="B1894" s="1600" t="s">
        <v>12223</v>
      </c>
      <c r="C1894" s="1595" t="s">
        <v>2359</v>
      </c>
      <c r="D1894" s="1595" t="s">
        <v>12222</v>
      </c>
      <c r="E1894" s="1595" t="s">
        <v>2219</v>
      </c>
      <c r="F1894" s="1595" t="s">
        <v>2357</v>
      </c>
      <c r="G1894" s="1595" t="s">
        <v>2356</v>
      </c>
      <c r="H1894" s="1596">
        <v>2</v>
      </c>
      <c r="I1894" s="1595"/>
      <c r="J1894" s="1595"/>
      <c r="K1894" s="1597">
        <v>60545.279999999999</v>
      </c>
      <c r="L1894" s="1598"/>
      <c r="M1894" s="1597">
        <v>60545.279999999999</v>
      </c>
      <c r="N1894" s="1597">
        <v>60545.279999999999</v>
      </c>
      <c r="O1894" s="1597">
        <v>59818.74</v>
      </c>
      <c r="P1894" s="1598"/>
      <c r="Q1894" s="1599">
        <v>726.54</v>
      </c>
      <c r="R1894" s="1599">
        <v>726.54</v>
      </c>
      <c r="S1894" s="1592"/>
    </row>
    <row r="1895" spans="2:19" s="1593" customFormat="1" ht="21.75" customHeight="1" outlineLevel="1">
      <c r="B1895" s="1600" t="s">
        <v>12221</v>
      </c>
      <c r="C1895" s="1595" t="s">
        <v>2331</v>
      </c>
      <c r="D1895" s="1595" t="s">
        <v>12220</v>
      </c>
      <c r="E1895" s="1595" t="s">
        <v>2208</v>
      </c>
      <c r="F1895" s="1595"/>
      <c r="G1895" s="1595"/>
      <c r="H1895" s="1596">
        <v>2</v>
      </c>
      <c r="I1895" s="1595"/>
      <c r="J1895" s="1595"/>
      <c r="K1895" s="1597">
        <v>6027272.8399999999</v>
      </c>
      <c r="L1895" s="1598"/>
      <c r="M1895" s="1597">
        <v>6027272.8399999999</v>
      </c>
      <c r="N1895" s="1597">
        <v>6027272.8399999999</v>
      </c>
      <c r="O1895" s="1597">
        <v>5893333.4400000004</v>
      </c>
      <c r="P1895" s="1598"/>
      <c r="Q1895" s="1597">
        <v>133939.4</v>
      </c>
      <c r="R1895" s="1597">
        <v>133939.4</v>
      </c>
      <c r="S1895" s="1592"/>
    </row>
    <row r="1896" spans="2:19" s="1593" customFormat="1" ht="11.25" customHeight="1" outlineLevel="1">
      <c r="B1896" s="1600" t="s">
        <v>12219</v>
      </c>
      <c r="C1896" s="1595" t="s">
        <v>2331</v>
      </c>
      <c r="D1896" s="1595" t="s">
        <v>12218</v>
      </c>
      <c r="E1896" s="1595" t="s">
        <v>2288</v>
      </c>
      <c r="F1896" s="1595" t="s">
        <v>12203</v>
      </c>
      <c r="G1896" s="1595"/>
      <c r="H1896" s="1596">
        <v>2</v>
      </c>
      <c r="I1896" s="1595"/>
      <c r="J1896" s="1595"/>
      <c r="K1896" s="1597">
        <v>17432.77</v>
      </c>
      <c r="L1896" s="1598"/>
      <c r="M1896" s="1597">
        <v>17432.77</v>
      </c>
      <c r="N1896" s="1597">
        <v>17432.77</v>
      </c>
      <c r="O1896" s="1597">
        <v>14643.53</v>
      </c>
      <c r="P1896" s="1598"/>
      <c r="Q1896" s="1597">
        <v>2789.24</v>
      </c>
      <c r="R1896" s="1597">
        <v>2789.24</v>
      </c>
      <c r="S1896" s="1592"/>
    </row>
    <row r="1897" spans="2:19" s="1593" customFormat="1" ht="11.25" customHeight="1" outlineLevel="1">
      <c r="B1897" s="1600" t="s">
        <v>12217</v>
      </c>
      <c r="C1897" s="1595" t="s">
        <v>2331</v>
      </c>
      <c r="D1897" s="1595" t="s">
        <v>12216</v>
      </c>
      <c r="E1897" s="1595" t="s">
        <v>2288</v>
      </c>
      <c r="F1897" s="1595" t="s">
        <v>12203</v>
      </c>
      <c r="G1897" s="1595"/>
      <c r="H1897" s="1596">
        <v>2</v>
      </c>
      <c r="I1897" s="1595"/>
      <c r="J1897" s="1595"/>
      <c r="K1897" s="1597">
        <v>18119.5</v>
      </c>
      <c r="L1897" s="1598"/>
      <c r="M1897" s="1597">
        <v>18119.5</v>
      </c>
      <c r="N1897" s="1597">
        <v>18119.5</v>
      </c>
      <c r="O1897" s="1597">
        <v>15220.38</v>
      </c>
      <c r="P1897" s="1598"/>
      <c r="Q1897" s="1597">
        <v>2899.12</v>
      </c>
      <c r="R1897" s="1597">
        <v>2899.12</v>
      </c>
      <c r="S1897" s="1592"/>
    </row>
    <row r="1898" spans="2:19" s="1593" customFormat="1" ht="11.25" customHeight="1" outlineLevel="1">
      <c r="B1898" s="1600" t="s">
        <v>12215</v>
      </c>
      <c r="C1898" s="1595" t="s">
        <v>2331</v>
      </c>
      <c r="D1898" s="1595" t="s">
        <v>12214</v>
      </c>
      <c r="E1898" s="1595" t="s">
        <v>2288</v>
      </c>
      <c r="F1898" s="1595" t="s">
        <v>12203</v>
      </c>
      <c r="G1898" s="1595"/>
      <c r="H1898" s="1596">
        <v>2</v>
      </c>
      <c r="I1898" s="1595"/>
      <c r="J1898" s="1595"/>
      <c r="K1898" s="1597">
        <v>16957.07</v>
      </c>
      <c r="L1898" s="1598"/>
      <c r="M1898" s="1597">
        <v>16957.07</v>
      </c>
      <c r="N1898" s="1597">
        <v>16957.07</v>
      </c>
      <c r="O1898" s="1597">
        <v>14243.95</v>
      </c>
      <c r="P1898" s="1598"/>
      <c r="Q1898" s="1597">
        <v>2713.12</v>
      </c>
      <c r="R1898" s="1597">
        <v>2713.12</v>
      </c>
      <c r="S1898" s="1592"/>
    </row>
    <row r="1899" spans="2:19" s="1593" customFormat="1" ht="11.25" customHeight="1" outlineLevel="1">
      <c r="B1899" s="1600" t="s">
        <v>12213</v>
      </c>
      <c r="C1899" s="1595" t="s">
        <v>2331</v>
      </c>
      <c r="D1899" s="1595" t="s">
        <v>12212</v>
      </c>
      <c r="E1899" s="1595" t="s">
        <v>2288</v>
      </c>
      <c r="F1899" s="1595" t="s">
        <v>12203</v>
      </c>
      <c r="G1899" s="1595"/>
      <c r="H1899" s="1596">
        <v>2</v>
      </c>
      <c r="I1899" s="1595"/>
      <c r="J1899" s="1595"/>
      <c r="K1899" s="1597">
        <v>16957.07</v>
      </c>
      <c r="L1899" s="1598"/>
      <c r="M1899" s="1597">
        <v>16957.07</v>
      </c>
      <c r="N1899" s="1597">
        <v>16957.07</v>
      </c>
      <c r="O1899" s="1597">
        <v>14243.95</v>
      </c>
      <c r="P1899" s="1598"/>
      <c r="Q1899" s="1597">
        <v>2713.12</v>
      </c>
      <c r="R1899" s="1597">
        <v>2713.12</v>
      </c>
      <c r="S1899" s="1592"/>
    </row>
    <row r="1900" spans="2:19" s="1593" customFormat="1" ht="11.25" customHeight="1" outlineLevel="1">
      <c r="B1900" s="1600" t="s">
        <v>12211</v>
      </c>
      <c r="C1900" s="1595" t="s">
        <v>2331</v>
      </c>
      <c r="D1900" s="1595" t="s">
        <v>12210</v>
      </c>
      <c r="E1900" s="1595" t="s">
        <v>2288</v>
      </c>
      <c r="F1900" s="1595" t="s">
        <v>12203</v>
      </c>
      <c r="G1900" s="1595"/>
      <c r="H1900" s="1596">
        <v>2</v>
      </c>
      <c r="I1900" s="1595"/>
      <c r="J1900" s="1595"/>
      <c r="K1900" s="1597">
        <v>17432.77</v>
      </c>
      <c r="L1900" s="1598"/>
      <c r="M1900" s="1597">
        <v>17432.77</v>
      </c>
      <c r="N1900" s="1597">
        <v>17432.77</v>
      </c>
      <c r="O1900" s="1597">
        <v>14643.53</v>
      </c>
      <c r="P1900" s="1598"/>
      <c r="Q1900" s="1597">
        <v>2789.24</v>
      </c>
      <c r="R1900" s="1597">
        <v>2789.24</v>
      </c>
      <c r="S1900" s="1592"/>
    </row>
    <row r="1901" spans="2:19" s="1593" customFormat="1" ht="11.25" customHeight="1" outlineLevel="1">
      <c r="B1901" s="1600" t="s">
        <v>12209</v>
      </c>
      <c r="C1901" s="1595" t="s">
        <v>2331</v>
      </c>
      <c r="D1901" s="1595" t="s">
        <v>12208</v>
      </c>
      <c r="E1901" s="1595" t="s">
        <v>2288</v>
      </c>
      <c r="F1901" s="1595" t="s">
        <v>12203</v>
      </c>
      <c r="G1901" s="1595"/>
      <c r="H1901" s="1596">
        <v>2</v>
      </c>
      <c r="I1901" s="1595"/>
      <c r="J1901" s="1595"/>
      <c r="K1901" s="1597">
        <v>17432.77</v>
      </c>
      <c r="L1901" s="1598"/>
      <c r="M1901" s="1597">
        <v>17432.77</v>
      </c>
      <c r="N1901" s="1597">
        <v>17432.77</v>
      </c>
      <c r="O1901" s="1597">
        <v>14643.53</v>
      </c>
      <c r="P1901" s="1598"/>
      <c r="Q1901" s="1597">
        <v>2789.24</v>
      </c>
      <c r="R1901" s="1597">
        <v>2789.24</v>
      </c>
      <c r="S1901" s="1592"/>
    </row>
    <row r="1902" spans="2:19" s="1593" customFormat="1" ht="11.25" customHeight="1" outlineLevel="1">
      <c r="B1902" s="1600" t="s">
        <v>12207</v>
      </c>
      <c r="C1902" s="1595" t="s">
        <v>2331</v>
      </c>
      <c r="D1902" s="1595" t="s">
        <v>12206</v>
      </c>
      <c r="E1902" s="1595" t="s">
        <v>2288</v>
      </c>
      <c r="F1902" s="1595" t="s">
        <v>12203</v>
      </c>
      <c r="G1902" s="1595"/>
      <c r="H1902" s="1596">
        <v>2</v>
      </c>
      <c r="I1902" s="1595"/>
      <c r="J1902" s="1595"/>
      <c r="K1902" s="1597">
        <v>17512.03</v>
      </c>
      <c r="L1902" s="1598"/>
      <c r="M1902" s="1597">
        <v>17512.03</v>
      </c>
      <c r="N1902" s="1597">
        <v>17512.03</v>
      </c>
      <c r="O1902" s="1597">
        <v>14710.11</v>
      </c>
      <c r="P1902" s="1598"/>
      <c r="Q1902" s="1597">
        <v>2801.92</v>
      </c>
      <c r="R1902" s="1597">
        <v>2801.92</v>
      </c>
      <c r="S1902" s="1592"/>
    </row>
    <row r="1903" spans="2:19" s="1593" customFormat="1" ht="11.25" customHeight="1" outlineLevel="1">
      <c r="B1903" s="1600" t="s">
        <v>12205</v>
      </c>
      <c r="C1903" s="1595" t="s">
        <v>2331</v>
      </c>
      <c r="D1903" s="1595" t="s">
        <v>12204</v>
      </c>
      <c r="E1903" s="1595" t="s">
        <v>2288</v>
      </c>
      <c r="F1903" s="1595" t="s">
        <v>12203</v>
      </c>
      <c r="G1903" s="1595"/>
      <c r="H1903" s="1596">
        <v>2</v>
      </c>
      <c r="I1903" s="1595"/>
      <c r="J1903" s="1595"/>
      <c r="K1903" s="1597">
        <v>17512.03</v>
      </c>
      <c r="L1903" s="1598"/>
      <c r="M1903" s="1597">
        <v>17512.03</v>
      </c>
      <c r="N1903" s="1597">
        <v>17512.03</v>
      </c>
      <c r="O1903" s="1597">
        <v>14710.11</v>
      </c>
      <c r="P1903" s="1598"/>
      <c r="Q1903" s="1597">
        <v>2801.92</v>
      </c>
      <c r="R1903" s="1597">
        <v>2801.92</v>
      </c>
      <c r="S1903" s="1592"/>
    </row>
    <row r="1904" spans="2:19" s="1593" customFormat="1" ht="21.75" customHeight="1" outlineLevel="1">
      <c r="B1904" s="1600" t="s">
        <v>12202</v>
      </c>
      <c r="C1904" s="1595" t="s">
        <v>2331</v>
      </c>
      <c r="D1904" s="1595" t="s">
        <v>12201</v>
      </c>
      <c r="E1904" s="1595" t="s">
        <v>2208</v>
      </c>
      <c r="F1904" s="1595"/>
      <c r="G1904" s="1595"/>
      <c r="H1904" s="1596">
        <v>2</v>
      </c>
      <c r="I1904" s="1595"/>
      <c r="J1904" s="1595"/>
      <c r="K1904" s="1597">
        <v>411278.95</v>
      </c>
      <c r="L1904" s="1598"/>
      <c r="M1904" s="1597">
        <v>411278.95</v>
      </c>
      <c r="N1904" s="1597">
        <v>411278.95</v>
      </c>
      <c r="O1904" s="1597">
        <v>402139.43</v>
      </c>
      <c r="P1904" s="1598"/>
      <c r="Q1904" s="1597">
        <v>9139.52</v>
      </c>
      <c r="R1904" s="1597">
        <v>9139.52</v>
      </c>
      <c r="S1904" s="1592"/>
    </row>
    <row r="1905" spans="2:19" s="1593" customFormat="1" ht="21.75" customHeight="1" outlineLevel="1">
      <c r="B1905" s="1600" t="s">
        <v>12200</v>
      </c>
      <c r="C1905" s="1595" t="s">
        <v>2331</v>
      </c>
      <c r="D1905" s="1595" t="s">
        <v>12199</v>
      </c>
      <c r="E1905" s="1595" t="s">
        <v>2208</v>
      </c>
      <c r="F1905" s="1595"/>
      <c r="G1905" s="1595"/>
      <c r="H1905" s="1596">
        <v>2</v>
      </c>
      <c r="I1905" s="1601">
        <v>45</v>
      </c>
      <c r="J1905" s="1595"/>
      <c r="K1905" s="1597">
        <v>185501.28</v>
      </c>
      <c r="L1905" s="1598"/>
      <c r="M1905" s="1597">
        <v>185501.28</v>
      </c>
      <c r="N1905" s="1597">
        <v>185501.28</v>
      </c>
      <c r="O1905" s="1597">
        <v>181379.04</v>
      </c>
      <c r="P1905" s="1598"/>
      <c r="Q1905" s="1597">
        <v>4122.24</v>
      </c>
      <c r="R1905" s="1597">
        <v>4122.24</v>
      </c>
      <c r="S1905" s="1592"/>
    </row>
    <row r="1906" spans="2:19" s="1593" customFormat="1" ht="21.75" customHeight="1" outlineLevel="1">
      <c r="B1906" s="1600" t="s">
        <v>12198</v>
      </c>
      <c r="C1906" s="1595" t="s">
        <v>2331</v>
      </c>
      <c r="D1906" s="1595" t="s">
        <v>12197</v>
      </c>
      <c r="E1906" s="1595" t="s">
        <v>2208</v>
      </c>
      <c r="F1906" s="1595"/>
      <c r="G1906" s="1595"/>
      <c r="H1906" s="1596">
        <v>2</v>
      </c>
      <c r="I1906" s="1595"/>
      <c r="J1906" s="1595"/>
      <c r="K1906" s="1597">
        <v>66881.88</v>
      </c>
      <c r="L1906" s="1598"/>
      <c r="M1906" s="1597">
        <v>66881.88</v>
      </c>
      <c r="N1906" s="1597">
        <v>66881.88</v>
      </c>
      <c r="O1906" s="1597">
        <v>65395.6</v>
      </c>
      <c r="P1906" s="1598"/>
      <c r="Q1906" s="1597">
        <v>1486.28</v>
      </c>
      <c r="R1906" s="1597">
        <v>1486.28</v>
      </c>
      <c r="S1906" s="1592"/>
    </row>
    <row r="1907" spans="2:19" s="1593" customFormat="1" ht="11.25" customHeight="1" outlineLevel="1">
      <c r="B1907" s="1600" t="s">
        <v>12196</v>
      </c>
      <c r="C1907" s="1595" t="s">
        <v>12193</v>
      </c>
      <c r="D1907" s="1595" t="s">
        <v>12195</v>
      </c>
      <c r="E1907" s="1595" t="s">
        <v>2288</v>
      </c>
      <c r="F1907" s="1595" t="s">
        <v>12191</v>
      </c>
      <c r="G1907" s="1595"/>
      <c r="H1907" s="1596">
        <v>3</v>
      </c>
      <c r="I1907" s="1595"/>
      <c r="J1907" s="1595"/>
      <c r="K1907" s="1597">
        <v>116000</v>
      </c>
      <c r="L1907" s="1598"/>
      <c r="M1907" s="1597">
        <v>116000</v>
      </c>
      <c r="N1907" s="1597">
        <v>116000</v>
      </c>
      <c r="O1907" s="1597">
        <v>113099.99</v>
      </c>
      <c r="P1907" s="1598"/>
      <c r="Q1907" s="1597">
        <v>2900.01</v>
      </c>
      <c r="R1907" s="1597">
        <v>2900.01</v>
      </c>
      <c r="S1907" s="1592"/>
    </row>
    <row r="1908" spans="2:19" s="1593" customFormat="1" ht="11.25" customHeight="1" outlineLevel="1">
      <c r="B1908" s="1600" t="s">
        <v>12194</v>
      </c>
      <c r="C1908" s="1595" t="s">
        <v>12193</v>
      </c>
      <c r="D1908" s="1595" t="s">
        <v>12192</v>
      </c>
      <c r="E1908" s="1595" t="s">
        <v>2288</v>
      </c>
      <c r="F1908" s="1595" t="s">
        <v>12191</v>
      </c>
      <c r="G1908" s="1595"/>
      <c r="H1908" s="1596">
        <v>3</v>
      </c>
      <c r="I1908" s="1595"/>
      <c r="J1908" s="1595"/>
      <c r="K1908" s="1597">
        <v>116000</v>
      </c>
      <c r="L1908" s="1598"/>
      <c r="M1908" s="1597">
        <v>116000</v>
      </c>
      <c r="N1908" s="1597">
        <v>116000</v>
      </c>
      <c r="O1908" s="1597">
        <v>113099.99</v>
      </c>
      <c r="P1908" s="1598"/>
      <c r="Q1908" s="1597">
        <v>2900.01</v>
      </c>
      <c r="R1908" s="1597">
        <v>2900.01</v>
      </c>
      <c r="S1908" s="1592"/>
    </row>
    <row r="1909" spans="2:19" s="1593" customFormat="1" ht="21.75" customHeight="1" outlineLevel="1">
      <c r="B1909" s="1600" t="s">
        <v>12190</v>
      </c>
      <c r="C1909" s="1595" t="s">
        <v>5621</v>
      </c>
      <c r="D1909" s="1595" t="s">
        <v>12189</v>
      </c>
      <c r="E1909" s="1595" t="s">
        <v>2288</v>
      </c>
      <c r="F1909" s="1595" t="s">
        <v>12178</v>
      </c>
      <c r="G1909" s="1595"/>
      <c r="H1909" s="1595"/>
      <c r="I1909" s="1595"/>
      <c r="J1909" s="1595"/>
      <c r="K1909" s="1597">
        <v>450000</v>
      </c>
      <c r="L1909" s="1598"/>
      <c r="M1909" s="1597">
        <v>450000</v>
      </c>
      <c r="N1909" s="1597">
        <v>450000</v>
      </c>
      <c r="O1909" s="1597">
        <v>427868.85</v>
      </c>
      <c r="P1909" s="1598"/>
      <c r="Q1909" s="1597">
        <v>22131.15</v>
      </c>
      <c r="R1909" s="1597">
        <v>22131.15</v>
      </c>
      <c r="S1909" s="1592"/>
    </row>
    <row r="1910" spans="2:19" s="1593" customFormat="1" ht="21.75" customHeight="1" outlineLevel="1">
      <c r="B1910" s="1600" t="s">
        <v>12188</v>
      </c>
      <c r="C1910" s="1595" t="s">
        <v>5621</v>
      </c>
      <c r="D1910" s="1595" t="s">
        <v>12187</v>
      </c>
      <c r="E1910" s="1595" t="s">
        <v>2288</v>
      </c>
      <c r="F1910" s="1595" t="s">
        <v>12178</v>
      </c>
      <c r="G1910" s="1595"/>
      <c r="H1910" s="1595"/>
      <c r="I1910" s="1595"/>
      <c r="J1910" s="1595"/>
      <c r="K1910" s="1597">
        <v>726666.67</v>
      </c>
      <c r="L1910" s="1598"/>
      <c r="M1910" s="1597">
        <v>726666.67</v>
      </c>
      <c r="N1910" s="1597">
        <v>726666.67</v>
      </c>
      <c r="O1910" s="1597">
        <v>690928.96</v>
      </c>
      <c r="P1910" s="1598"/>
      <c r="Q1910" s="1597">
        <v>35737.71</v>
      </c>
      <c r="R1910" s="1597">
        <v>35737.71</v>
      </c>
      <c r="S1910" s="1592"/>
    </row>
    <row r="1911" spans="2:19" s="1593" customFormat="1" ht="21.75" customHeight="1" outlineLevel="1">
      <c r="B1911" s="1600" t="s">
        <v>12186</v>
      </c>
      <c r="C1911" s="1595" t="s">
        <v>5621</v>
      </c>
      <c r="D1911" s="1595" t="s">
        <v>12185</v>
      </c>
      <c r="E1911" s="1595" t="s">
        <v>2288</v>
      </c>
      <c r="F1911" s="1595" t="s">
        <v>12178</v>
      </c>
      <c r="G1911" s="1595"/>
      <c r="H1911" s="1595"/>
      <c r="I1911" s="1595"/>
      <c r="J1911" s="1595"/>
      <c r="K1911" s="1597">
        <v>726666.67</v>
      </c>
      <c r="L1911" s="1598"/>
      <c r="M1911" s="1597">
        <v>726666.67</v>
      </c>
      <c r="N1911" s="1597">
        <v>726666.67</v>
      </c>
      <c r="O1911" s="1597">
        <v>690928.96</v>
      </c>
      <c r="P1911" s="1598"/>
      <c r="Q1911" s="1597">
        <v>35737.71</v>
      </c>
      <c r="R1911" s="1597">
        <v>35737.71</v>
      </c>
      <c r="S1911" s="1592"/>
    </row>
    <row r="1912" spans="2:19" s="1593" customFormat="1" ht="21.75" customHeight="1" outlineLevel="1">
      <c r="B1912" s="1600" t="s">
        <v>12184</v>
      </c>
      <c r="C1912" s="1595" t="s">
        <v>5621</v>
      </c>
      <c r="D1912" s="1595" t="s">
        <v>12183</v>
      </c>
      <c r="E1912" s="1595" t="s">
        <v>2288</v>
      </c>
      <c r="F1912" s="1595" t="s">
        <v>12178</v>
      </c>
      <c r="G1912" s="1595"/>
      <c r="H1912" s="1595"/>
      <c r="I1912" s="1595"/>
      <c r="J1912" s="1595"/>
      <c r="K1912" s="1597">
        <v>726666.66</v>
      </c>
      <c r="L1912" s="1598"/>
      <c r="M1912" s="1597">
        <v>726666.66</v>
      </c>
      <c r="N1912" s="1597">
        <v>726666.66</v>
      </c>
      <c r="O1912" s="1597">
        <v>690928.95</v>
      </c>
      <c r="P1912" s="1598"/>
      <c r="Q1912" s="1597">
        <v>35737.71</v>
      </c>
      <c r="R1912" s="1597">
        <v>35737.71</v>
      </c>
      <c r="S1912" s="1592"/>
    </row>
    <row r="1913" spans="2:19" s="1593" customFormat="1" ht="21.75" customHeight="1" outlineLevel="1">
      <c r="B1913" s="1600" t="s">
        <v>12182</v>
      </c>
      <c r="C1913" s="1595" t="s">
        <v>5621</v>
      </c>
      <c r="D1913" s="1595" t="s">
        <v>12181</v>
      </c>
      <c r="E1913" s="1595" t="s">
        <v>2288</v>
      </c>
      <c r="F1913" s="1595" t="s">
        <v>12178</v>
      </c>
      <c r="G1913" s="1595"/>
      <c r="H1913" s="1595"/>
      <c r="I1913" s="1595"/>
      <c r="J1913" s="1595"/>
      <c r="K1913" s="1597">
        <v>726666.67</v>
      </c>
      <c r="L1913" s="1598"/>
      <c r="M1913" s="1597">
        <v>726666.67</v>
      </c>
      <c r="N1913" s="1597">
        <v>726666.67</v>
      </c>
      <c r="O1913" s="1597">
        <v>690928.96</v>
      </c>
      <c r="P1913" s="1598"/>
      <c r="Q1913" s="1597">
        <v>35737.71</v>
      </c>
      <c r="R1913" s="1597">
        <v>35737.71</v>
      </c>
      <c r="S1913" s="1592"/>
    </row>
    <row r="1914" spans="2:19" s="1593" customFormat="1" ht="21.75" customHeight="1" outlineLevel="1">
      <c r="B1914" s="1600" t="s">
        <v>12180</v>
      </c>
      <c r="C1914" s="1595" t="s">
        <v>5621</v>
      </c>
      <c r="D1914" s="1595" t="s">
        <v>12179</v>
      </c>
      <c r="E1914" s="1595" t="s">
        <v>2288</v>
      </c>
      <c r="F1914" s="1595" t="s">
        <v>12178</v>
      </c>
      <c r="G1914" s="1595"/>
      <c r="H1914" s="1595"/>
      <c r="I1914" s="1595"/>
      <c r="J1914" s="1595"/>
      <c r="K1914" s="1597">
        <v>726666.66</v>
      </c>
      <c r="L1914" s="1598"/>
      <c r="M1914" s="1597">
        <v>726666.66</v>
      </c>
      <c r="N1914" s="1597">
        <v>726666.66</v>
      </c>
      <c r="O1914" s="1597">
        <v>690928.95</v>
      </c>
      <c r="P1914" s="1598"/>
      <c r="Q1914" s="1597">
        <v>35737.71</v>
      </c>
      <c r="R1914" s="1597">
        <v>35737.71</v>
      </c>
      <c r="S1914" s="1592"/>
    </row>
    <row r="1915" spans="2:19" s="1593" customFormat="1" ht="21.75" customHeight="1" outlineLevel="1">
      <c r="B1915" s="1600" t="s">
        <v>12177</v>
      </c>
      <c r="C1915" s="1595" t="s">
        <v>2278</v>
      </c>
      <c r="D1915" s="1595" t="s">
        <v>12176</v>
      </c>
      <c r="E1915" s="1595" t="s">
        <v>2288</v>
      </c>
      <c r="F1915" s="1595" t="s">
        <v>12175</v>
      </c>
      <c r="G1915" s="1595"/>
      <c r="H1915" s="1596">
        <v>2</v>
      </c>
      <c r="I1915" s="1595"/>
      <c r="J1915" s="1595"/>
      <c r="K1915" s="1597">
        <v>309467.13</v>
      </c>
      <c r="L1915" s="1598"/>
      <c r="M1915" s="1597">
        <v>309467.13</v>
      </c>
      <c r="N1915" s="1597">
        <v>309467.13</v>
      </c>
      <c r="O1915" s="1597">
        <v>292274.51</v>
      </c>
      <c r="P1915" s="1598"/>
      <c r="Q1915" s="1597">
        <v>17192.62</v>
      </c>
      <c r="R1915" s="1597">
        <v>17192.62</v>
      </c>
      <c r="S1915" s="1592"/>
    </row>
    <row r="1916" spans="2:19" s="1593" customFormat="1" ht="11.25" customHeight="1" outlineLevel="1">
      <c r="B1916" s="1600" t="s">
        <v>12174</v>
      </c>
      <c r="C1916" s="1595" t="s">
        <v>2278</v>
      </c>
      <c r="D1916" s="1595" t="s">
        <v>12173</v>
      </c>
      <c r="E1916" s="1595" t="s">
        <v>2288</v>
      </c>
      <c r="F1916" s="1595" t="s">
        <v>12168</v>
      </c>
      <c r="G1916" s="1595"/>
      <c r="H1916" s="1596">
        <v>2</v>
      </c>
      <c r="I1916" s="1595"/>
      <c r="J1916" s="1595"/>
      <c r="K1916" s="1597">
        <v>17450.53</v>
      </c>
      <c r="L1916" s="1598"/>
      <c r="M1916" s="1597">
        <v>17450.53</v>
      </c>
      <c r="N1916" s="1597">
        <v>17450.53</v>
      </c>
      <c r="O1916" s="1597">
        <v>16054.49</v>
      </c>
      <c r="P1916" s="1598"/>
      <c r="Q1916" s="1597">
        <v>1396.04</v>
      </c>
      <c r="R1916" s="1597">
        <v>1396.04</v>
      </c>
      <c r="S1916" s="1592"/>
    </row>
    <row r="1917" spans="2:19" s="1593" customFormat="1" ht="11.25" customHeight="1" outlineLevel="1">
      <c r="B1917" s="1600" t="s">
        <v>12172</v>
      </c>
      <c r="C1917" s="1595" t="s">
        <v>2278</v>
      </c>
      <c r="D1917" s="1595" t="s">
        <v>12171</v>
      </c>
      <c r="E1917" s="1595" t="s">
        <v>2288</v>
      </c>
      <c r="F1917" s="1595" t="s">
        <v>12168</v>
      </c>
      <c r="G1917" s="1595"/>
      <c r="H1917" s="1596">
        <v>2</v>
      </c>
      <c r="I1917" s="1595"/>
      <c r="J1917" s="1595"/>
      <c r="K1917" s="1597">
        <v>17450.53</v>
      </c>
      <c r="L1917" s="1598"/>
      <c r="M1917" s="1597">
        <v>17450.53</v>
      </c>
      <c r="N1917" s="1597">
        <v>17450.53</v>
      </c>
      <c r="O1917" s="1597">
        <v>16054.49</v>
      </c>
      <c r="P1917" s="1598"/>
      <c r="Q1917" s="1597">
        <v>1396.04</v>
      </c>
      <c r="R1917" s="1597">
        <v>1396.04</v>
      </c>
      <c r="S1917" s="1592"/>
    </row>
    <row r="1918" spans="2:19" s="1593" customFormat="1" ht="11.25" customHeight="1" outlineLevel="1">
      <c r="B1918" s="1600" t="s">
        <v>12170</v>
      </c>
      <c r="C1918" s="1595" t="s">
        <v>2278</v>
      </c>
      <c r="D1918" s="1595" t="s">
        <v>12169</v>
      </c>
      <c r="E1918" s="1595" t="s">
        <v>2288</v>
      </c>
      <c r="F1918" s="1595" t="s">
        <v>12168</v>
      </c>
      <c r="G1918" s="1595"/>
      <c r="H1918" s="1596">
        <v>2</v>
      </c>
      <c r="I1918" s="1595"/>
      <c r="J1918" s="1595"/>
      <c r="K1918" s="1597">
        <v>17450.52</v>
      </c>
      <c r="L1918" s="1598"/>
      <c r="M1918" s="1597">
        <v>17450.52</v>
      </c>
      <c r="N1918" s="1597">
        <v>17450.52</v>
      </c>
      <c r="O1918" s="1597">
        <v>16054.48</v>
      </c>
      <c r="P1918" s="1598"/>
      <c r="Q1918" s="1597">
        <v>1396.04</v>
      </c>
      <c r="R1918" s="1597">
        <v>1396.04</v>
      </c>
      <c r="S1918" s="1592"/>
    </row>
    <row r="1919" spans="2:19" s="1593" customFormat="1" ht="11.25" customHeight="1" outlineLevel="1">
      <c r="B1919" s="1600" t="s">
        <v>12167</v>
      </c>
      <c r="C1919" s="1595" t="s">
        <v>2226</v>
      </c>
      <c r="D1919" s="1595" t="s">
        <v>12166</v>
      </c>
      <c r="E1919" s="1595" t="s">
        <v>2214</v>
      </c>
      <c r="F1919" s="1595" t="s">
        <v>12165</v>
      </c>
      <c r="G1919" s="1595"/>
      <c r="H1919" s="1596">
        <v>2</v>
      </c>
      <c r="I1919" s="1595"/>
      <c r="J1919" s="1595"/>
      <c r="K1919" s="1597">
        <v>757334.83</v>
      </c>
      <c r="L1919" s="1598"/>
      <c r="M1919" s="1597">
        <v>757334.83</v>
      </c>
      <c r="N1919" s="1597">
        <v>757334.83</v>
      </c>
      <c r="O1919" s="1597">
        <v>754179.27</v>
      </c>
      <c r="P1919" s="1598"/>
      <c r="Q1919" s="1597">
        <v>3155.56</v>
      </c>
      <c r="R1919" s="1597">
        <v>3155.56</v>
      </c>
      <c r="S1919" s="1592"/>
    </row>
    <row r="1920" spans="2:19" s="1593" customFormat="1" ht="11.25" customHeight="1" outlineLevel="1">
      <c r="B1920" s="1600" t="s">
        <v>12164</v>
      </c>
      <c r="C1920" s="1595" t="s">
        <v>12141</v>
      </c>
      <c r="D1920" s="1595" t="s">
        <v>12163</v>
      </c>
      <c r="E1920" s="1595" t="s">
        <v>2288</v>
      </c>
      <c r="F1920" s="1595" t="s">
        <v>12139</v>
      </c>
      <c r="G1920" s="1595"/>
      <c r="H1920" s="1596">
        <v>2</v>
      </c>
      <c r="I1920" s="1595"/>
      <c r="J1920" s="1595"/>
      <c r="K1920" s="1597">
        <v>10077.5</v>
      </c>
      <c r="L1920" s="1598"/>
      <c r="M1920" s="1597">
        <v>10077.5</v>
      </c>
      <c r="N1920" s="1597">
        <v>10077.5</v>
      </c>
      <c r="O1920" s="1597">
        <v>10077.5</v>
      </c>
      <c r="P1920" s="1598"/>
      <c r="Q1920" s="1598"/>
      <c r="R1920" s="1598"/>
      <c r="S1920" s="1592"/>
    </row>
    <row r="1921" spans="2:19" s="1593" customFormat="1" ht="11.25" customHeight="1" outlineLevel="1">
      <c r="B1921" s="1600" t="s">
        <v>12162</v>
      </c>
      <c r="C1921" s="1595" t="s">
        <v>12141</v>
      </c>
      <c r="D1921" s="1595" t="s">
        <v>12161</v>
      </c>
      <c r="E1921" s="1595" t="s">
        <v>2288</v>
      </c>
      <c r="F1921" s="1595" t="s">
        <v>12139</v>
      </c>
      <c r="G1921" s="1595"/>
      <c r="H1921" s="1596">
        <v>2</v>
      </c>
      <c r="I1921" s="1595"/>
      <c r="J1921" s="1595"/>
      <c r="K1921" s="1597">
        <v>10077.5</v>
      </c>
      <c r="L1921" s="1598"/>
      <c r="M1921" s="1597">
        <v>10077.5</v>
      </c>
      <c r="N1921" s="1597">
        <v>10077.5</v>
      </c>
      <c r="O1921" s="1597">
        <v>10077.5</v>
      </c>
      <c r="P1921" s="1598"/>
      <c r="Q1921" s="1598"/>
      <c r="R1921" s="1598"/>
      <c r="S1921" s="1592"/>
    </row>
    <row r="1922" spans="2:19" s="1593" customFormat="1" ht="11.25" customHeight="1" outlineLevel="1">
      <c r="B1922" s="1600" t="s">
        <v>12160</v>
      </c>
      <c r="C1922" s="1595" t="s">
        <v>12141</v>
      </c>
      <c r="D1922" s="1595" t="s">
        <v>12159</v>
      </c>
      <c r="E1922" s="1595" t="s">
        <v>2219</v>
      </c>
      <c r="F1922" s="1595" t="s">
        <v>12139</v>
      </c>
      <c r="G1922" s="1595"/>
      <c r="H1922" s="1596">
        <v>2</v>
      </c>
      <c r="I1922" s="1595"/>
      <c r="J1922" s="1595"/>
      <c r="K1922" s="1597">
        <v>10077.5</v>
      </c>
      <c r="L1922" s="1598"/>
      <c r="M1922" s="1597">
        <v>10077.5</v>
      </c>
      <c r="N1922" s="1597">
        <v>10077.5</v>
      </c>
      <c r="O1922" s="1597">
        <v>10077.5</v>
      </c>
      <c r="P1922" s="1598"/>
      <c r="Q1922" s="1598"/>
      <c r="R1922" s="1598"/>
      <c r="S1922" s="1592"/>
    </row>
    <row r="1923" spans="2:19" s="1593" customFormat="1" ht="11.25" customHeight="1" outlineLevel="1">
      <c r="B1923" s="1600" t="s">
        <v>12158</v>
      </c>
      <c r="C1923" s="1595" t="s">
        <v>12141</v>
      </c>
      <c r="D1923" s="1595" t="s">
        <v>12157</v>
      </c>
      <c r="E1923" s="1595" t="s">
        <v>2288</v>
      </c>
      <c r="F1923" s="1595" t="s">
        <v>12139</v>
      </c>
      <c r="G1923" s="1595"/>
      <c r="H1923" s="1596">
        <v>2</v>
      </c>
      <c r="I1923" s="1595"/>
      <c r="J1923" s="1595"/>
      <c r="K1923" s="1597">
        <v>10077.5</v>
      </c>
      <c r="L1923" s="1598"/>
      <c r="M1923" s="1597">
        <v>10077.5</v>
      </c>
      <c r="N1923" s="1597">
        <v>10077.5</v>
      </c>
      <c r="O1923" s="1597">
        <v>10077.5</v>
      </c>
      <c r="P1923" s="1598"/>
      <c r="Q1923" s="1598"/>
      <c r="R1923" s="1598"/>
      <c r="S1923" s="1592"/>
    </row>
    <row r="1924" spans="2:19" s="1593" customFormat="1" ht="11.25" customHeight="1" outlineLevel="1">
      <c r="B1924" s="1600" t="s">
        <v>12156</v>
      </c>
      <c r="C1924" s="1595" t="s">
        <v>12141</v>
      </c>
      <c r="D1924" s="1595" t="s">
        <v>12155</v>
      </c>
      <c r="E1924" s="1595" t="s">
        <v>2288</v>
      </c>
      <c r="F1924" s="1595" t="s">
        <v>12139</v>
      </c>
      <c r="G1924" s="1595"/>
      <c r="H1924" s="1596">
        <v>2</v>
      </c>
      <c r="I1924" s="1595"/>
      <c r="J1924" s="1595"/>
      <c r="K1924" s="1597">
        <v>10077.5</v>
      </c>
      <c r="L1924" s="1598"/>
      <c r="M1924" s="1597">
        <v>10077.5</v>
      </c>
      <c r="N1924" s="1597">
        <v>10077.5</v>
      </c>
      <c r="O1924" s="1597">
        <v>10077.5</v>
      </c>
      <c r="P1924" s="1598"/>
      <c r="Q1924" s="1598"/>
      <c r="R1924" s="1598"/>
      <c r="S1924" s="1592"/>
    </row>
    <row r="1925" spans="2:19" s="1593" customFormat="1" ht="11.25" customHeight="1" outlineLevel="1">
      <c r="B1925" s="1600" t="s">
        <v>12154</v>
      </c>
      <c r="C1925" s="1595" t="s">
        <v>12141</v>
      </c>
      <c r="D1925" s="1595" t="s">
        <v>12153</v>
      </c>
      <c r="E1925" s="1595" t="s">
        <v>2288</v>
      </c>
      <c r="F1925" s="1595" t="s">
        <v>12139</v>
      </c>
      <c r="G1925" s="1595"/>
      <c r="H1925" s="1596">
        <v>2</v>
      </c>
      <c r="I1925" s="1595"/>
      <c r="J1925" s="1595"/>
      <c r="K1925" s="1597">
        <v>10077.5</v>
      </c>
      <c r="L1925" s="1598"/>
      <c r="M1925" s="1597">
        <v>10077.5</v>
      </c>
      <c r="N1925" s="1597">
        <v>10077.5</v>
      </c>
      <c r="O1925" s="1597">
        <v>10077.5</v>
      </c>
      <c r="P1925" s="1598"/>
      <c r="Q1925" s="1598"/>
      <c r="R1925" s="1598"/>
      <c r="S1925" s="1592"/>
    </row>
    <row r="1926" spans="2:19" s="1593" customFormat="1" ht="11.25" customHeight="1" outlineLevel="1">
      <c r="B1926" s="1600" t="s">
        <v>12152</v>
      </c>
      <c r="C1926" s="1595" t="s">
        <v>12141</v>
      </c>
      <c r="D1926" s="1595" t="s">
        <v>12151</v>
      </c>
      <c r="E1926" s="1595" t="s">
        <v>2288</v>
      </c>
      <c r="F1926" s="1595" t="s">
        <v>12139</v>
      </c>
      <c r="G1926" s="1595"/>
      <c r="H1926" s="1596">
        <v>2</v>
      </c>
      <c r="I1926" s="1595"/>
      <c r="J1926" s="1595"/>
      <c r="K1926" s="1597">
        <v>10077.5</v>
      </c>
      <c r="L1926" s="1598"/>
      <c r="M1926" s="1597">
        <v>10077.5</v>
      </c>
      <c r="N1926" s="1597">
        <v>10077.5</v>
      </c>
      <c r="O1926" s="1597">
        <v>10077.5</v>
      </c>
      <c r="P1926" s="1598"/>
      <c r="Q1926" s="1598"/>
      <c r="R1926" s="1598"/>
      <c r="S1926" s="1592"/>
    </row>
    <row r="1927" spans="2:19" s="1593" customFormat="1" ht="11.25" customHeight="1" outlineLevel="1">
      <c r="B1927" s="1600" t="s">
        <v>12150</v>
      </c>
      <c r="C1927" s="1595" t="s">
        <v>12141</v>
      </c>
      <c r="D1927" s="1595" t="s">
        <v>12149</v>
      </c>
      <c r="E1927" s="1595" t="s">
        <v>2288</v>
      </c>
      <c r="F1927" s="1595" t="s">
        <v>12139</v>
      </c>
      <c r="G1927" s="1595"/>
      <c r="H1927" s="1596">
        <v>2</v>
      </c>
      <c r="I1927" s="1595"/>
      <c r="J1927" s="1595"/>
      <c r="K1927" s="1597">
        <v>10077.5</v>
      </c>
      <c r="L1927" s="1598"/>
      <c r="M1927" s="1597">
        <v>10077.5</v>
      </c>
      <c r="N1927" s="1597">
        <v>10077.5</v>
      </c>
      <c r="O1927" s="1597">
        <v>10077.5</v>
      </c>
      <c r="P1927" s="1598"/>
      <c r="Q1927" s="1598"/>
      <c r="R1927" s="1598"/>
      <c r="S1927" s="1592"/>
    </row>
    <row r="1928" spans="2:19" s="1593" customFormat="1" ht="11.25" customHeight="1" outlineLevel="1">
      <c r="B1928" s="1600" t="s">
        <v>12148</v>
      </c>
      <c r="C1928" s="1595" t="s">
        <v>12141</v>
      </c>
      <c r="D1928" s="1595" t="s">
        <v>12147</v>
      </c>
      <c r="E1928" s="1595" t="s">
        <v>2288</v>
      </c>
      <c r="F1928" s="1595" t="s">
        <v>12139</v>
      </c>
      <c r="G1928" s="1595"/>
      <c r="H1928" s="1596">
        <v>2</v>
      </c>
      <c r="I1928" s="1595"/>
      <c r="J1928" s="1595"/>
      <c r="K1928" s="1597">
        <v>10077.5</v>
      </c>
      <c r="L1928" s="1598"/>
      <c r="M1928" s="1597">
        <v>10077.5</v>
      </c>
      <c r="N1928" s="1597">
        <v>10077.5</v>
      </c>
      <c r="O1928" s="1597">
        <v>10077.5</v>
      </c>
      <c r="P1928" s="1598"/>
      <c r="Q1928" s="1598"/>
      <c r="R1928" s="1598"/>
      <c r="S1928" s="1592"/>
    </row>
    <row r="1929" spans="2:19" s="1593" customFormat="1" ht="11.25" customHeight="1" outlineLevel="1">
      <c r="B1929" s="1600" t="s">
        <v>12146</v>
      </c>
      <c r="C1929" s="1595" t="s">
        <v>12141</v>
      </c>
      <c r="D1929" s="1595" t="s">
        <v>12145</v>
      </c>
      <c r="E1929" s="1595" t="s">
        <v>2288</v>
      </c>
      <c r="F1929" s="1595" t="s">
        <v>12139</v>
      </c>
      <c r="G1929" s="1595"/>
      <c r="H1929" s="1596">
        <v>2</v>
      </c>
      <c r="I1929" s="1595"/>
      <c r="J1929" s="1595"/>
      <c r="K1929" s="1597">
        <v>10077.5</v>
      </c>
      <c r="L1929" s="1598"/>
      <c r="M1929" s="1597">
        <v>10077.5</v>
      </c>
      <c r="N1929" s="1597">
        <v>10077.5</v>
      </c>
      <c r="O1929" s="1597">
        <v>10077.5</v>
      </c>
      <c r="P1929" s="1598"/>
      <c r="Q1929" s="1598"/>
      <c r="R1929" s="1598"/>
      <c r="S1929" s="1592"/>
    </row>
    <row r="1930" spans="2:19" s="1593" customFormat="1" ht="11.25" customHeight="1" outlineLevel="1">
      <c r="B1930" s="1600" t="s">
        <v>12144</v>
      </c>
      <c r="C1930" s="1595" t="s">
        <v>12141</v>
      </c>
      <c r="D1930" s="1595" t="s">
        <v>12143</v>
      </c>
      <c r="E1930" s="1595" t="s">
        <v>2288</v>
      </c>
      <c r="F1930" s="1595" t="s">
        <v>12139</v>
      </c>
      <c r="G1930" s="1595"/>
      <c r="H1930" s="1596">
        <v>2</v>
      </c>
      <c r="I1930" s="1595"/>
      <c r="J1930" s="1595"/>
      <c r="K1930" s="1597">
        <v>10077.5</v>
      </c>
      <c r="L1930" s="1598"/>
      <c r="M1930" s="1597">
        <v>10077.5</v>
      </c>
      <c r="N1930" s="1597">
        <v>10077.5</v>
      </c>
      <c r="O1930" s="1597">
        <v>10077.5</v>
      </c>
      <c r="P1930" s="1598"/>
      <c r="Q1930" s="1598"/>
      <c r="R1930" s="1598"/>
      <c r="S1930" s="1592"/>
    </row>
    <row r="1931" spans="2:19" s="1593" customFormat="1" ht="11.25" customHeight="1" outlineLevel="1">
      <c r="B1931" s="1600" t="s">
        <v>12142</v>
      </c>
      <c r="C1931" s="1595" t="s">
        <v>12141</v>
      </c>
      <c r="D1931" s="1595" t="s">
        <v>12140</v>
      </c>
      <c r="E1931" s="1595" t="s">
        <v>2288</v>
      </c>
      <c r="F1931" s="1595" t="s">
        <v>12139</v>
      </c>
      <c r="G1931" s="1595"/>
      <c r="H1931" s="1596">
        <v>2</v>
      </c>
      <c r="I1931" s="1595"/>
      <c r="J1931" s="1595"/>
      <c r="K1931" s="1597">
        <v>10077.5</v>
      </c>
      <c r="L1931" s="1598"/>
      <c r="M1931" s="1597">
        <v>10077.5</v>
      </c>
      <c r="N1931" s="1597">
        <v>10077.5</v>
      </c>
      <c r="O1931" s="1597">
        <v>10077.5</v>
      </c>
      <c r="P1931" s="1598"/>
      <c r="Q1931" s="1598"/>
      <c r="R1931" s="1598"/>
      <c r="S1931" s="1592"/>
    </row>
    <row r="1932" spans="2:19" s="1593" customFormat="1" ht="5.0999999999999996" customHeight="1">
      <c r="S1932" s="1592"/>
    </row>
    <row r="1933" spans="2:19" s="1593" customFormat="1" ht="11.25" customHeight="1">
      <c r="B1933" s="1590" t="s">
        <v>11039</v>
      </c>
      <c r="C1933" s="1590"/>
      <c r="D1933" s="1590" t="s">
        <v>12138</v>
      </c>
      <c r="E1933" s="1590"/>
      <c r="F1933" s="1590"/>
      <c r="G1933" s="1590"/>
      <c r="H1933" s="1590">
        <v>1</v>
      </c>
      <c r="I1933" s="1590"/>
      <c r="J1933" s="1590"/>
      <c r="K1933" s="1591">
        <v>96065088.439999998</v>
      </c>
      <c r="L1933" s="1591">
        <v>96929406.870000005</v>
      </c>
      <c r="M1933" s="1591">
        <v>-5351775.55</v>
      </c>
      <c r="N1933" s="1591">
        <v>91577631.319999993</v>
      </c>
      <c r="O1933" s="1591">
        <v>44260076.32</v>
      </c>
      <c r="P1933" s="1591">
        <v>41594229</v>
      </c>
      <c r="Q1933" s="1591">
        <v>5723326</v>
      </c>
      <c r="R1933" s="1591">
        <v>47317555</v>
      </c>
      <c r="S1933" s="1592">
        <f>R1933/N1933</f>
        <v>0.51669337061861897</v>
      </c>
    </row>
    <row r="1934" spans="2:19" s="1593" customFormat="1" ht="11.25" customHeight="1" outlineLevel="1">
      <c r="B1934" s="1594">
        <v>10334</v>
      </c>
      <c r="C1934" s="1595" t="s">
        <v>5403</v>
      </c>
      <c r="D1934" s="1595" t="s">
        <v>12137</v>
      </c>
      <c r="E1934" s="1595"/>
      <c r="F1934" s="1595"/>
      <c r="G1934" s="1595" t="s">
        <v>12136</v>
      </c>
      <c r="H1934" s="1596">
        <v>1</v>
      </c>
      <c r="I1934" s="1595"/>
      <c r="J1934" s="1595"/>
      <c r="K1934" s="1597">
        <v>866938</v>
      </c>
      <c r="L1934" s="1597">
        <v>866938</v>
      </c>
      <c r="M1934" s="1598"/>
      <c r="N1934" s="1597">
        <v>866938</v>
      </c>
      <c r="O1934" s="1597">
        <v>229377.64</v>
      </c>
      <c r="P1934" s="1597">
        <v>615886.92000000004</v>
      </c>
      <c r="Q1934" s="1597">
        <v>21673.439999999999</v>
      </c>
      <c r="R1934" s="1597">
        <v>637560.36</v>
      </c>
      <c r="S1934" s="1592"/>
    </row>
    <row r="1935" spans="2:19" s="1593" customFormat="1" ht="11.25" customHeight="1" outlineLevel="1">
      <c r="B1935" s="1594">
        <v>10335</v>
      </c>
      <c r="C1935" s="1595" t="s">
        <v>5403</v>
      </c>
      <c r="D1935" s="1595" t="s">
        <v>12135</v>
      </c>
      <c r="E1935" s="1595"/>
      <c r="F1935" s="1595"/>
      <c r="G1935" s="1595" t="s">
        <v>12134</v>
      </c>
      <c r="H1935" s="1596">
        <v>1</v>
      </c>
      <c r="I1935" s="1595"/>
      <c r="J1935" s="1595"/>
      <c r="K1935" s="1597">
        <v>26714</v>
      </c>
      <c r="L1935" s="1597">
        <v>26714</v>
      </c>
      <c r="M1935" s="1598"/>
      <c r="N1935" s="1597">
        <v>26714</v>
      </c>
      <c r="O1935" s="1597">
        <v>7069.43</v>
      </c>
      <c r="P1935" s="1597">
        <v>18976.650000000001</v>
      </c>
      <c r="Q1935" s="1599">
        <v>667.92</v>
      </c>
      <c r="R1935" s="1597">
        <v>19644.57</v>
      </c>
      <c r="S1935" s="1592"/>
    </row>
    <row r="1936" spans="2:19" s="1593" customFormat="1" ht="21.75" customHeight="1" outlineLevel="1">
      <c r="B1936" s="1594">
        <v>10336</v>
      </c>
      <c r="C1936" s="1595" t="s">
        <v>5403</v>
      </c>
      <c r="D1936" s="1595" t="s">
        <v>12133</v>
      </c>
      <c r="E1936" s="1595"/>
      <c r="F1936" s="1595"/>
      <c r="G1936" s="1595" t="s">
        <v>12132</v>
      </c>
      <c r="H1936" s="1596">
        <v>1</v>
      </c>
      <c r="I1936" s="1595"/>
      <c r="J1936" s="1595"/>
      <c r="K1936" s="1597">
        <v>1423958</v>
      </c>
      <c r="L1936" s="1597">
        <v>1423958</v>
      </c>
      <c r="M1936" s="1598"/>
      <c r="N1936" s="1597">
        <v>1423958</v>
      </c>
      <c r="O1936" s="1597">
        <v>376755.26</v>
      </c>
      <c r="P1936" s="1597">
        <v>1011603.78</v>
      </c>
      <c r="Q1936" s="1597">
        <v>35598.959999999999</v>
      </c>
      <c r="R1936" s="1597">
        <v>1047202.74</v>
      </c>
      <c r="S1936" s="1592"/>
    </row>
    <row r="1937" spans="2:19" s="1593" customFormat="1" ht="11.25" customHeight="1" outlineLevel="1">
      <c r="B1937" s="1594">
        <v>10337</v>
      </c>
      <c r="C1937" s="1595" t="s">
        <v>5403</v>
      </c>
      <c r="D1937" s="1595" t="s">
        <v>12131</v>
      </c>
      <c r="E1937" s="1595"/>
      <c r="F1937" s="1595"/>
      <c r="G1937" s="1595"/>
      <c r="H1937" s="1596">
        <v>2</v>
      </c>
      <c r="I1937" s="1595"/>
      <c r="J1937" s="1595"/>
      <c r="K1937" s="1597">
        <v>535443</v>
      </c>
      <c r="L1937" s="1597">
        <v>535443</v>
      </c>
      <c r="M1937" s="1598"/>
      <c r="N1937" s="1597">
        <v>535443</v>
      </c>
      <c r="O1937" s="1597">
        <v>102922.69</v>
      </c>
      <c r="P1937" s="1597">
        <v>417817.07</v>
      </c>
      <c r="Q1937" s="1597">
        <v>14703.24</v>
      </c>
      <c r="R1937" s="1597">
        <v>432520.31</v>
      </c>
      <c r="S1937" s="1592"/>
    </row>
    <row r="1938" spans="2:19" s="1593" customFormat="1" ht="11.25" customHeight="1" outlineLevel="1">
      <c r="B1938" s="1594">
        <v>10339</v>
      </c>
      <c r="C1938" s="1595" t="s">
        <v>5403</v>
      </c>
      <c r="D1938" s="1595" t="s">
        <v>12130</v>
      </c>
      <c r="E1938" s="1595"/>
      <c r="F1938" s="1595"/>
      <c r="G1938" s="1595"/>
      <c r="H1938" s="1596">
        <v>1</v>
      </c>
      <c r="I1938" s="1595"/>
      <c r="J1938" s="1595"/>
      <c r="K1938" s="1597">
        <v>49330</v>
      </c>
      <c r="L1938" s="1597">
        <v>49329.5</v>
      </c>
      <c r="M1938" s="1597">
        <v>-49329.5</v>
      </c>
      <c r="N1938" s="1598"/>
      <c r="O1938" s="1598"/>
      <c r="P1938" s="1597">
        <v>49329.5</v>
      </c>
      <c r="Q1938" s="1597">
        <v>-49329.5</v>
      </c>
      <c r="R1938" s="1598"/>
      <c r="S1938" s="1592"/>
    </row>
    <row r="1939" spans="2:19" s="1593" customFormat="1" ht="11.25" customHeight="1" outlineLevel="1">
      <c r="B1939" s="1594">
        <v>10340</v>
      </c>
      <c r="C1939" s="1595" t="s">
        <v>5403</v>
      </c>
      <c r="D1939" s="1595" t="s">
        <v>12129</v>
      </c>
      <c r="E1939" s="1595"/>
      <c r="F1939" s="1595"/>
      <c r="G1939" s="1595"/>
      <c r="H1939" s="1596">
        <v>1</v>
      </c>
      <c r="I1939" s="1595"/>
      <c r="J1939" s="1595"/>
      <c r="K1939" s="1597">
        <v>37614</v>
      </c>
      <c r="L1939" s="1597">
        <v>37613.800000000003</v>
      </c>
      <c r="M1939" s="1597">
        <v>-37613.800000000003</v>
      </c>
      <c r="N1939" s="1598"/>
      <c r="O1939" s="1598"/>
      <c r="P1939" s="1597">
        <v>37613.800000000003</v>
      </c>
      <c r="Q1939" s="1597">
        <v>-37613.800000000003</v>
      </c>
      <c r="R1939" s="1598"/>
      <c r="S1939" s="1592"/>
    </row>
    <row r="1940" spans="2:19" s="1593" customFormat="1" ht="11.25" customHeight="1" outlineLevel="1">
      <c r="B1940" s="1594">
        <v>10341</v>
      </c>
      <c r="C1940" s="1595" t="s">
        <v>5403</v>
      </c>
      <c r="D1940" s="1595" t="s">
        <v>12128</v>
      </c>
      <c r="E1940" s="1595"/>
      <c r="F1940" s="1595"/>
      <c r="G1940" s="1595"/>
      <c r="H1940" s="1596">
        <v>1</v>
      </c>
      <c r="I1940" s="1595"/>
      <c r="J1940" s="1595"/>
      <c r="K1940" s="1597">
        <v>41159</v>
      </c>
      <c r="L1940" s="1597">
        <v>41159</v>
      </c>
      <c r="M1940" s="1597">
        <v>-41159</v>
      </c>
      <c r="N1940" s="1598"/>
      <c r="O1940" s="1598"/>
      <c r="P1940" s="1597">
        <v>41159</v>
      </c>
      <c r="Q1940" s="1597">
        <v>-41159</v>
      </c>
      <c r="R1940" s="1598"/>
      <c r="S1940" s="1592"/>
    </row>
    <row r="1941" spans="2:19" s="1593" customFormat="1" ht="11.25" customHeight="1" outlineLevel="1">
      <c r="B1941" s="1594">
        <v>10342</v>
      </c>
      <c r="C1941" s="1595" t="s">
        <v>5403</v>
      </c>
      <c r="D1941" s="1595" t="s">
        <v>12127</v>
      </c>
      <c r="E1941" s="1595"/>
      <c r="F1941" s="1595"/>
      <c r="G1941" s="1595"/>
      <c r="H1941" s="1596">
        <v>1</v>
      </c>
      <c r="I1941" s="1595"/>
      <c r="J1941" s="1595"/>
      <c r="K1941" s="1597">
        <v>28364</v>
      </c>
      <c r="L1941" s="1597">
        <v>28364.5</v>
      </c>
      <c r="M1941" s="1597">
        <v>-28364.5</v>
      </c>
      <c r="N1941" s="1598"/>
      <c r="O1941" s="1598"/>
      <c r="P1941" s="1597">
        <v>28364.5</v>
      </c>
      <c r="Q1941" s="1597">
        <v>-28364.5</v>
      </c>
      <c r="R1941" s="1598"/>
      <c r="S1941" s="1592"/>
    </row>
    <row r="1942" spans="2:19" s="1593" customFormat="1" ht="11.25" customHeight="1" outlineLevel="1">
      <c r="B1942" s="1594">
        <v>10343</v>
      </c>
      <c r="C1942" s="1595" t="s">
        <v>5403</v>
      </c>
      <c r="D1942" s="1595" t="s">
        <v>12126</v>
      </c>
      <c r="E1942" s="1595"/>
      <c r="F1942" s="1595"/>
      <c r="G1942" s="1595"/>
      <c r="H1942" s="1596">
        <v>1</v>
      </c>
      <c r="I1942" s="1595"/>
      <c r="J1942" s="1595"/>
      <c r="K1942" s="1597">
        <v>26206</v>
      </c>
      <c r="L1942" s="1597">
        <v>26206</v>
      </c>
      <c r="M1942" s="1597">
        <v>-26206</v>
      </c>
      <c r="N1942" s="1598"/>
      <c r="O1942" s="1598"/>
      <c r="P1942" s="1597">
        <v>26206</v>
      </c>
      <c r="Q1942" s="1597">
        <v>-26206</v>
      </c>
      <c r="R1942" s="1598"/>
      <c r="S1942" s="1592"/>
    </row>
    <row r="1943" spans="2:19" s="1593" customFormat="1" ht="11.25" customHeight="1" outlineLevel="1">
      <c r="B1943" s="1594">
        <v>10344</v>
      </c>
      <c r="C1943" s="1595" t="s">
        <v>5403</v>
      </c>
      <c r="D1943" s="1595" t="s">
        <v>12125</v>
      </c>
      <c r="E1943" s="1595"/>
      <c r="F1943" s="1595"/>
      <c r="G1943" s="1595"/>
      <c r="H1943" s="1596">
        <v>1</v>
      </c>
      <c r="I1943" s="1595"/>
      <c r="J1943" s="1595"/>
      <c r="K1943" s="1597">
        <v>94713</v>
      </c>
      <c r="L1943" s="1597">
        <v>94713</v>
      </c>
      <c r="M1943" s="1597">
        <v>-94713</v>
      </c>
      <c r="N1943" s="1598"/>
      <c r="O1943" s="1598"/>
      <c r="P1943" s="1597">
        <v>94713</v>
      </c>
      <c r="Q1943" s="1597">
        <v>-94713</v>
      </c>
      <c r="R1943" s="1598"/>
      <c r="S1943" s="1592"/>
    </row>
    <row r="1944" spans="2:19" s="1593" customFormat="1" ht="11.25" customHeight="1" outlineLevel="1">
      <c r="B1944" s="1594">
        <v>10345</v>
      </c>
      <c r="C1944" s="1595" t="s">
        <v>5403</v>
      </c>
      <c r="D1944" s="1595" t="s">
        <v>12124</v>
      </c>
      <c r="E1944" s="1595"/>
      <c r="F1944" s="1595"/>
      <c r="G1944" s="1595"/>
      <c r="H1944" s="1596">
        <v>1</v>
      </c>
      <c r="I1944" s="1595"/>
      <c r="J1944" s="1595"/>
      <c r="K1944" s="1597">
        <v>24696</v>
      </c>
      <c r="L1944" s="1597">
        <v>24696</v>
      </c>
      <c r="M1944" s="1597">
        <v>-24696</v>
      </c>
      <c r="N1944" s="1598"/>
      <c r="O1944" s="1598"/>
      <c r="P1944" s="1597">
        <v>24696</v>
      </c>
      <c r="Q1944" s="1597">
        <v>-24696</v>
      </c>
      <c r="R1944" s="1598"/>
      <c r="S1944" s="1592"/>
    </row>
    <row r="1945" spans="2:19" s="1593" customFormat="1" ht="11.25" customHeight="1" outlineLevel="1">
      <c r="B1945" s="1594">
        <v>10346</v>
      </c>
      <c r="C1945" s="1595" t="s">
        <v>5403</v>
      </c>
      <c r="D1945" s="1595" t="s">
        <v>12123</v>
      </c>
      <c r="E1945" s="1595"/>
      <c r="F1945" s="1595"/>
      <c r="G1945" s="1595" t="s">
        <v>5497</v>
      </c>
      <c r="H1945" s="1596">
        <v>1</v>
      </c>
      <c r="I1945" s="1595"/>
      <c r="J1945" s="1595"/>
      <c r="K1945" s="1597">
        <v>31102</v>
      </c>
      <c r="L1945" s="1597">
        <v>31102</v>
      </c>
      <c r="M1945" s="1598"/>
      <c r="N1945" s="1597">
        <v>31102</v>
      </c>
      <c r="O1945" s="1597">
        <v>15552.23</v>
      </c>
      <c r="P1945" s="1597">
        <v>15021.05</v>
      </c>
      <c r="Q1945" s="1599">
        <v>528.72</v>
      </c>
      <c r="R1945" s="1597">
        <v>15549.77</v>
      </c>
      <c r="S1945" s="1592"/>
    </row>
    <row r="1946" spans="2:19" s="1593" customFormat="1" ht="11.25" customHeight="1" outlineLevel="1">
      <c r="B1946" s="1594">
        <v>10349</v>
      </c>
      <c r="C1946" s="1595" t="s">
        <v>5403</v>
      </c>
      <c r="D1946" s="1595" t="s">
        <v>12122</v>
      </c>
      <c r="E1946" s="1595"/>
      <c r="F1946" s="1595"/>
      <c r="G1946" s="1595"/>
      <c r="H1946" s="1596">
        <v>1</v>
      </c>
      <c r="I1946" s="1595"/>
      <c r="J1946" s="1595"/>
      <c r="K1946" s="1597">
        <v>51744</v>
      </c>
      <c r="L1946" s="1597">
        <v>51743.66</v>
      </c>
      <c r="M1946" s="1597">
        <v>-51743.66</v>
      </c>
      <c r="N1946" s="1598"/>
      <c r="O1946" s="1598"/>
      <c r="P1946" s="1597">
        <v>51743.66</v>
      </c>
      <c r="Q1946" s="1597">
        <v>-51743.66</v>
      </c>
      <c r="R1946" s="1598"/>
      <c r="S1946" s="1592"/>
    </row>
    <row r="1947" spans="2:19" s="1593" customFormat="1" ht="11.25" customHeight="1" outlineLevel="1">
      <c r="B1947" s="1594">
        <v>10350</v>
      </c>
      <c r="C1947" s="1595" t="s">
        <v>5403</v>
      </c>
      <c r="D1947" s="1595" t="s">
        <v>12121</v>
      </c>
      <c r="E1947" s="1595"/>
      <c r="F1947" s="1595"/>
      <c r="G1947" s="1595"/>
      <c r="H1947" s="1596">
        <v>1</v>
      </c>
      <c r="I1947" s="1595"/>
      <c r="J1947" s="1595"/>
      <c r="K1947" s="1597">
        <v>13120</v>
      </c>
      <c r="L1947" s="1597">
        <v>13120</v>
      </c>
      <c r="M1947" s="1597">
        <v>-13120</v>
      </c>
      <c r="N1947" s="1598"/>
      <c r="O1947" s="1598"/>
      <c r="P1947" s="1597">
        <v>13120</v>
      </c>
      <c r="Q1947" s="1597">
        <v>-13120</v>
      </c>
      <c r="R1947" s="1598"/>
      <c r="S1947" s="1592"/>
    </row>
    <row r="1948" spans="2:19" s="1593" customFormat="1" ht="11.25" customHeight="1" outlineLevel="1">
      <c r="B1948" s="1594">
        <v>10351</v>
      </c>
      <c r="C1948" s="1595" t="s">
        <v>5403</v>
      </c>
      <c r="D1948" s="1595" t="s">
        <v>12120</v>
      </c>
      <c r="E1948" s="1595"/>
      <c r="F1948" s="1595"/>
      <c r="G1948" s="1595"/>
      <c r="H1948" s="1596">
        <v>1</v>
      </c>
      <c r="I1948" s="1595"/>
      <c r="J1948" s="1595"/>
      <c r="K1948" s="1597">
        <v>4646</v>
      </c>
      <c r="L1948" s="1597">
        <v>4646</v>
      </c>
      <c r="M1948" s="1597">
        <v>-4646</v>
      </c>
      <c r="N1948" s="1598"/>
      <c r="O1948" s="1598"/>
      <c r="P1948" s="1597">
        <v>4646</v>
      </c>
      <c r="Q1948" s="1597">
        <v>-4646</v>
      </c>
      <c r="R1948" s="1598"/>
      <c r="S1948" s="1592"/>
    </row>
    <row r="1949" spans="2:19" s="1593" customFormat="1" ht="11.25" customHeight="1" outlineLevel="1">
      <c r="B1949" s="1594">
        <v>10353</v>
      </c>
      <c r="C1949" s="1595" t="s">
        <v>5403</v>
      </c>
      <c r="D1949" s="1595" t="s">
        <v>12119</v>
      </c>
      <c r="E1949" s="1595"/>
      <c r="F1949" s="1595"/>
      <c r="G1949" s="1595"/>
      <c r="H1949" s="1596">
        <v>1</v>
      </c>
      <c r="I1949" s="1595"/>
      <c r="J1949" s="1595"/>
      <c r="K1949" s="1597">
        <v>2510</v>
      </c>
      <c r="L1949" s="1597">
        <v>2510</v>
      </c>
      <c r="M1949" s="1597">
        <v>-2510</v>
      </c>
      <c r="N1949" s="1598"/>
      <c r="O1949" s="1598"/>
      <c r="P1949" s="1597">
        <v>2510</v>
      </c>
      <c r="Q1949" s="1597">
        <v>-2510</v>
      </c>
      <c r="R1949" s="1598"/>
      <c r="S1949" s="1592"/>
    </row>
    <row r="1950" spans="2:19" s="1593" customFormat="1" ht="11.25" customHeight="1" outlineLevel="1">
      <c r="B1950" s="1594">
        <v>10354</v>
      </c>
      <c r="C1950" s="1595" t="s">
        <v>5403</v>
      </c>
      <c r="D1950" s="1595" t="s">
        <v>12118</v>
      </c>
      <c r="E1950" s="1595"/>
      <c r="F1950" s="1595"/>
      <c r="G1950" s="1595"/>
      <c r="H1950" s="1596">
        <v>1</v>
      </c>
      <c r="I1950" s="1595"/>
      <c r="J1950" s="1595"/>
      <c r="K1950" s="1597">
        <v>1476</v>
      </c>
      <c r="L1950" s="1597">
        <v>1475.5</v>
      </c>
      <c r="M1950" s="1597">
        <v>-1475.5</v>
      </c>
      <c r="N1950" s="1598"/>
      <c r="O1950" s="1598"/>
      <c r="P1950" s="1597">
        <v>1475.5</v>
      </c>
      <c r="Q1950" s="1597">
        <v>-1475.5</v>
      </c>
      <c r="R1950" s="1598"/>
      <c r="S1950" s="1592"/>
    </row>
    <row r="1951" spans="2:19" s="1593" customFormat="1" ht="11.25" customHeight="1" outlineLevel="1">
      <c r="B1951" s="1594">
        <v>10479</v>
      </c>
      <c r="C1951" s="1595" t="s">
        <v>5403</v>
      </c>
      <c r="D1951" s="1595" t="s">
        <v>12117</v>
      </c>
      <c r="E1951" s="1595"/>
      <c r="F1951" s="1595"/>
      <c r="G1951" s="1595" t="s">
        <v>12116</v>
      </c>
      <c r="H1951" s="1596">
        <v>1</v>
      </c>
      <c r="I1951" s="1595"/>
      <c r="J1951" s="1595"/>
      <c r="K1951" s="1597">
        <v>220500</v>
      </c>
      <c r="L1951" s="1597">
        <v>220500</v>
      </c>
      <c r="M1951" s="1598"/>
      <c r="N1951" s="1597">
        <v>220500</v>
      </c>
      <c r="O1951" s="1597">
        <v>142663.5</v>
      </c>
      <c r="P1951" s="1597">
        <v>75190.5</v>
      </c>
      <c r="Q1951" s="1597">
        <v>2646</v>
      </c>
      <c r="R1951" s="1597">
        <v>77836.5</v>
      </c>
      <c r="S1951" s="1592"/>
    </row>
    <row r="1952" spans="2:19" s="1593" customFormat="1" ht="21.75" customHeight="1" outlineLevel="1">
      <c r="B1952" s="1594">
        <v>10480</v>
      </c>
      <c r="C1952" s="1595" t="s">
        <v>5403</v>
      </c>
      <c r="D1952" s="1595" t="s">
        <v>12115</v>
      </c>
      <c r="E1952" s="1595"/>
      <c r="F1952" s="1595"/>
      <c r="G1952" s="1595" t="s">
        <v>12114</v>
      </c>
      <c r="H1952" s="1596">
        <v>1</v>
      </c>
      <c r="I1952" s="1595"/>
      <c r="J1952" s="1595"/>
      <c r="K1952" s="1597">
        <v>100269</v>
      </c>
      <c r="L1952" s="1597">
        <v>100269</v>
      </c>
      <c r="M1952" s="1598"/>
      <c r="N1952" s="1597">
        <v>100269</v>
      </c>
      <c r="O1952" s="1597">
        <v>64873.69</v>
      </c>
      <c r="P1952" s="1597">
        <v>34192.07</v>
      </c>
      <c r="Q1952" s="1597">
        <v>1203.24</v>
      </c>
      <c r="R1952" s="1597">
        <v>35395.31</v>
      </c>
      <c r="S1952" s="1592"/>
    </row>
    <row r="1953" spans="2:19" s="1593" customFormat="1" ht="11.25" customHeight="1" outlineLevel="1">
      <c r="B1953" s="1594">
        <v>10481</v>
      </c>
      <c r="C1953" s="1595" t="s">
        <v>5403</v>
      </c>
      <c r="D1953" s="1595" t="s">
        <v>12113</v>
      </c>
      <c r="E1953" s="1595"/>
      <c r="F1953" s="1595"/>
      <c r="G1953" s="1595" t="s">
        <v>12108</v>
      </c>
      <c r="H1953" s="1596">
        <v>1</v>
      </c>
      <c r="I1953" s="1595"/>
      <c r="J1953" s="1595"/>
      <c r="K1953" s="1597">
        <v>1219700</v>
      </c>
      <c r="L1953" s="1597">
        <v>1219700</v>
      </c>
      <c r="M1953" s="1598"/>
      <c r="N1953" s="1597">
        <v>1219700</v>
      </c>
      <c r="O1953" s="1597">
        <v>322712.76</v>
      </c>
      <c r="P1953" s="1597">
        <v>866494.64</v>
      </c>
      <c r="Q1953" s="1597">
        <v>30492.6</v>
      </c>
      <c r="R1953" s="1597">
        <v>896987.24</v>
      </c>
      <c r="S1953" s="1592"/>
    </row>
    <row r="1954" spans="2:19" s="1593" customFormat="1" ht="11.25" customHeight="1" outlineLevel="1">
      <c r="B1954" s="1594">
        <v>10482</v>
      </c>
      <c r="C1954" s="1595" t="s">
        <v>5403</v>
      </c>
      <c r="D1954" s="1595" t="s">
        <v>12112</v>
      </c>
      <c r="E1954" s="1595"/>
      <c r="F1954" s="1595"/>
      <c r="G1954" s="1595"/>
      <c r="H1954" s="1596">
        <v>1</v>
      </c>
      <c r="I1954" s="1595"/>
      <c r="J1954" s="1595"/>
      <c r="K1954" s="1597">
        <v>12095</v>
      </c>
      <c r="L1954" s="1597">
        <v>12095</v>
      </c>
      <c r="M1954" s="1597">
        <v>-12095</v>
      </c>
      <c r="N1954" s="1598"/>
      <c r="O1954" s="1598"/>
      <c r="P1954" s="1597">
        <v>12095</v>
      </c>
      <c r="Q1954" s="1597">
        <v>-12095</v>
      </c>
      <c r="R1954" s="1598"/>
      <c r="S1954" s="1592"/>
    </row>
    <row r="1955" spans="2:19" s="1593" customFormat="1" ht="11.25" customHeight="1" outlineLevel="1">
      <c r="B1955" s="1594">
        <v>10486</v>
      </c>
      <c r="C1955" s="1595" t="s">
        <v>5403</v>
      </c>
      <c r="D1955" s="1595" t="s">
        <v>12111</v>
      </c>
      <c r="E1955" s="1595"/>
      <c r="F1955" s="1595"/>
      <c r="G1955" s="1595"/>
      <c r="H1955" s="1596">
        <v>1</v>
      </c>
      <c r="I1955" s="1595"/>
      <c r="J1955" s="1595"/>
      <c r="K1955" s="1597">
        <v>2231</v>
      </c>
      <c r="L1955" s="1597">
        <v>2230.66</v>
      </c>
      <c r="M1955" s="1597">
        <v>-2230.66</v>
      </c>
      <c r="N1955" s="1598"/>
      <c r="O1955" s="1598"/>
      <c r="P1955" s="1597">
        <v>2230.66</v>
      </c>
      <c r="Q1955" s="1597">
        <v>-2230.66</v>
      </c>
      <c r="R1955" s="1598"/>
      <c r="S1955" s="1592"/>
    </row>
    <row r="1956" spans="2:19" s="1593" customFormat="1" ht="11.25" customHeight="1" outlineLevel="1">
      <c r="B1956" s="1594">
        <v>10488</v>
      </c>
      <c r="C1956" s="1595" t="s">
        <v>5403</v>
      </c>
      <c r="D1956" s="1595" t="s">
        <v>12110</v>
      </c>
      <c r="E1956" s="1595"/>
      <c r="F1956" s="1595"/>
      <c r="G1956" s="1595" t="s">
        <v>12108</v>
      </c>
      <c r="H1956" s="1596">
        <v>1</v>
      </c>
      <c r="I1956" s="1595"/>
      <c r="J1956" s="1595"/>
      <c r="K1956" s="1597">
        <v>139450</v>
      </c>
      <c r="L1956" s="1597">
        <v>150262</v>
      </c>
      <c r="M1956" s="1598"/>
      <c r="N1956" s="1597">
        <v>150262</v>
      </c>
      <c r="O1956" s="1597">
        <v>17985.96</v>
      </c>
      <c r="P1956" s="1597">
        <v>127779.52</v>
      </c>
      <c r="Q1956" s="1597">
        <v>4496.5200000000004</v>
      </c>
      <c r="R1956" s="1597">
        <v>132276.04</v>
      </c>
      <c r="S1956" s="1592"/>
    </row>
    <row r="1957" spans="2:19" s="1593" customFormat="1" ht="11.25" customHeight="1" outlineLevel="1">
      <c r="B1957" s="1594">
        <v>10491</v>
      </c>
      <c r="C1957" s="1595" t="s">
        <v>5403</v>
      </c>
      <c r="D1957" s="1595" t="s">
        <v>12109</v>
      </c>
      <c r="E1957" s="1595"/>
      <c r="F1957" s="1595"/>
      <c r="G1957" s="1595" t="s">
        <v>12108</v>
      </c>
      <c r="H1957" s="1596">
        <v>1</v>
      </c>
      <c r="I1957" s="1595"/>
      <c r="J1957" s="1595"/>
      <c r="K1957" s="1597">
        <v>472330</v>
      </c>
      <c r="L1957" s="1597">
        <v>683425.61</v>
      </c>
      <c r="M1957" s="1598"/>
      <c r="N1957" s="1597">
        <v>683425.61</v>
      </c>
      <c r="O1957" s="1597">
        <v>191731.61</v>
      </c>
      <c r="P1957" s="1597">
        <v>484592.88</v>
      </c>
      <c r="Q1957" s="1597">
        <v>7101.12</v>
      </c>
      <c r="R1957" s="1597">
        <v>491694</v>
      </c>
      <c r="S1957" s="1592"/>
    </row>
    <row r="1958" spans="2:19" s="1593" customFormat="1" ht="11.25" customHeight="1" outlineLevel="1">
      <c r="B1958" s="1594">
        <v>10492</v>
      </c>
      <c r="C1958" s="1595" t="s">
        <v>5403</v>
      </c>
      <c r="D1958" s="1595" t="s">
        <v>12107</v>
      </c>
      <c r="E1958" s="1595"/>
      <c r="F1958" s="1595"/>
      <c r="G1958" s="1595" t="s">
        <v>3734</v>
      </c>
      <c r="H1958" s="1596">
        <v>1</v>
      </c>
      <c r="I1958" s="1595"/>
      <c r="J1958" s="1595"/>
      <c r="K1958" s="1597">
        <v>264393</v>
      </c>
      <c r="L1958" s="1597">
        <v>264393</v>
      </c>
      <c r="M1958" s="1598"/>
      <c r="N1958" s="1597">
        <v>264393</v>
      </c>
      <c r="O1958" s="1597">
        <v>16830.84</v>
      </c>
      <c r="P1958" s="1597">
        <v>239146.71</v>
      </c>
      <c r="Q1958" s="1597">
        <v>8415.4500000000007</v>
      </c>
      <c r="R1958" s="1597">
        <v>247562.16</v>
      </c>
      <c r="S1958" s="1592"/>
    </row>
    <row r="1959" spans="2:19" s="1593" customFormat="1" ht="11.25" customHeight="1" outlineLevel="1">
      <c r="B1959" s="1594">
        <v>10493</v>
      </c>
      <c r="C1959" s="1595" t="s">
        <v>5403</v>
      </c>
      <c r="D1959" s="1595" t="s">
        <v>12106</v>
      </c>
      <c r="E1959" s="1595"/>
      <c r="F1959" s="1595"/>
      <c r="G1959" s="1595" t="s">
        <v>12105</v>
      </c>
      <c r="H1959" s="1596">
        <v>3</v>
      </c>
      <c r="I1959" s="1595"/>
      <c r="J1959" s="1595"/>
      <c r="K1959" s="1597">
        <v>37225</v>
      </c>
      <c r="L1959" s="1597">
        <v>37225</v>
      </c>
      <c r="M1959" s="1598"/>
      <c r="N1959" s="1597">
        <v>37225</v>
      </c>
      <c r="O1959" s="1597">
        <v>15324.88</v>
      </c>
      <c r="P1959" s="1597">
        <v>21155.64</v>
      </c>
      <c r="Q1959" s="1599">
        <v>744.48</v>
      </c>
      <c r="R1959" s="1597">
        <v>21900.12</v>
      </c>
      <c r="S1959" s="1592"/>
    </row>
    <row r="1960" spans="2:19" s="1593" customFormat="1" ht="11.25" customHeight="1" outlineLevel="1">
      <c r="B1960" s="1594">
        <v>10495</v>
      </c>
      <c r="C1960" s="1595" t="s">
        <v>5403</v>
      </c>
      <c r="D1960" s="1595" t="s">
        <v>12104</v>
      </c>
      <c r="E1960" s="1595"/>
      <c r="F1960" s="1595"/>
      <c r="G1960" s="1595"/>
      <c r="H1960" s="1596">
        <v>1</v>
      </c>
      <c r="I1960" s="1595"/>
      <c r="J1960" s="1595"/>
      <c r="K1960" s="1599">
        <v>419</v>
      </c>
      <c r="L1960" s="1599">
        <v>419</v>
      </c>
      <c r="M1960" s="1599">
        <v>-419</v>
      </c>
      <c r="N1960" s="1598"/>
      <c r="O1960" s="1598"/>
      <c r="P1960" s="1599">
        <v>419</v>
      </c>
      <c r="Q1960" s="1599">
        <v>-419</v>
      </c>
      <c r="R1960" s="1598"/>
      <c r="S1960" s="1592"/>
    </row>
    <row r="1961" spans="2:19" s="1593" customFormat="1" ht="11.25" customHeight="1" outlineLevel="1">
      <c r="B1961" s="1594">
        <v>10498</v>
      </c>
      <c r="C1961" s="1595" t="s">
        <v>5403</v>
      </c>
      <c r="D1961" s="1595" t="s">
        <v>12103</v>
      </c>
      <c r="E1961" s="1595"/>
      <c r="F1961" s="1595"/>
      <c r="G1961" s="1595"/>
      <c r="H1961" s="1596">
        <v>1</v>
      </c>
      <c r="I1961" s="1595"/>
      <c r="J1961" s="1595"/>
      <c r="K1961" s="1599">
        <v>775</v>
      </c>
      <c r="L1961" s="1599">
        <v>775</v>
      </c>
      <c r="M1961" s="1599">
        <v>-775</v>
      </c>
      <c r="N1961" s="1598"/>
      <c r="O1961" s="1598"/>
      <c r="P1961" s="1599">
        <v>775</v>
      </c>
      <c r="Q1961" s="1599">
        <v>-775</v>
      </c>
      <c r="R1961" s="1598"/>
      <c r="S1961" s="1592"/>
    </row>
    <row r="1962" spans="2:19" s="1593" customFormat="1" ht="11.25" customHeight="1" outlineLevel="1">
      <c r="B1962" s="1594">
        <v>10510</v>
      </c>
      <c r="C1962" s="1595" t="s">
        <v>5403</v>
      </c>
      <c r="D1962" s="1595" t="s">
        <v>12102</v>
      </c>
      <c r="E1962" s="1595"/>
      <c r="F1962" s="1595"/>
      <c r="G1962" s="1595"/>
      <c r="H1962" s="1596">
        <v>1</v>
      </c>
      <c r="I1962" s="1595"/>
      <c r="J1962" s="1595"/>
      <c r="K1962" s="1597">
        <v>2257</v>
      </c>
      <c r="L1962" s="1597">
        <v>2257</v>
      </c>
      <c r="M1962" s="1597">
        <v>-2257</v>
      </c>
      <c r="N1962" s="1598"/>
      <c r="O1962" s="1598"/>
      <c r="P1962" s="1597">
        <v>2257</v>
      </c>
      <c r="Q1962" s="1597">
        <v>-2257</v>
      </c>
      <c r="R1962" s="1598"/>
      <c r="S1962" s="1592"/>
    </row>
    <row r="1963" spans="2:19" s="1593" customFormat="1" ht="11.25" customHeight="1" outlineLevel="1">
      <c r="B1963" s="1594">
        <v>10604</v>
      </c>
      <c r="C1963" s="1595" t="s">
        <v>5403</v>
      </c>
      <c r="D1963" s="1595" t="s">
        <v>12101</v>
      </c>
      <c r="E1963" s="1595"/>
      <c r="F1963" s="1595"/>
      <c r="G1963" s="1595" t="s">
        <v>3734</v>
      </c>
      <c r="H1963" s="1596">
        <v>1</v>
      </c>
      <c r="I1963" s="1595"/>
      <c r="J1963" s="1595"/>
      <c r="K1963" s="1599">
        <v>205</v>
      </c>
      <c r="L1963" s="1597">
        <v>450717.8</v>
      </c>
      <c r="M1963" s="1598"/>
      <c r="N1963" s="1597">
        <v>450717.8</v>
      </c>
      <c r="O1963" s="1597">
        <v>324199.90000000002</v>
      </c>
      <c r="P1963" s="1597">
        <v>111781.54</v>
      </c>
      <c r="Q1963" s="1597">
        <v>14736.36</v>
      </c>
      <c r="R1963" s="1597">
        <v>126517.9</v>
      </c>
      <c r="S1963" s="1592"/>
    </row>
    <row r="1964" spans="2:19" s="1593" customFormat="1" ht="11.25" customHeight="1" outlineLevel="1">
      <c r="B1964" s="1594">
        <v>10605</v>
      </c>
      <c r="C1964" s="1595" t="s">
        <v>5403</v>
      </c>
      <c r="D1964" s="1595" t="s">
        <v>12100</v>
      </c>
      <c r="E1964" s="1595"/>
      <c r="F1964" s="1595"/>
      <c r="G1964" s="1595" t="s">
        <v>3734</v>
      </c>
      <c r="H1964" s="1596">
        <v>1</v>
      </c>
      <c r="I1964" s="1595"/>
      <c r="J1964" s="1595"/>
      <c r="K1964" s="1597">
        <v>83729</v>
      </c>
      <c r="L1964" s="1597">
        <v>83729</v>
      </c>
      <c r="M1964" s="1598"/>
      <c r="N1964" s="1597">
        <v>83729</v>
      </c>
      <c r="O1964" s="1599">
        <v>466.81</v>
      </c>
      <c r="P1964" s="1597">
        <v>80881.789999999994</v>
      </c>
      <c r="Q1964" s="1597">
        <v>2380.4</v>
      </c>
      <c r="R1964" s="1597">
        <v>83262.19</v>
      </c>
      <c r="S1964" s="1592"/>
    </row>
    <row r="1965" spans="2:19" s="1593" customFormat="1" ht="11.25" customHeight="1" outlineLevel="1">
      <c r="B1965" s="1594">
        <v>10829</v>
      </c>
      <c r="C1965" s="1595" t="s">
        <v>5403</v>
      </c>
      <c r="D1965" s="1595" t="s">
        <v>12099</v>
      </c>
      <c r="E1965" s="1595"/>
      <c r="F1965" s="1595"/>
      <c r="G1965" s="1595" t="s">
        <v>11871</v>
      </c>
      <c r="H1965" s="1596">
        <v>1</v>
      </c>
      <c r="I1965" s="1595"/>
      <c r="J1965" s="1595"/>
      <c r="K1965" s="1597">
        <v>9516</v>
      </c>
      <c r="L1965" s="1597">
        <v>9516</v>
      </c>
      <c r="M1965" s="1598"/>
      <c r="N1965" s="1597">
        <v>9516</v>
      </c>
      <c r="O1965" s="1597">
        <v>1382.76</v>
      </c>
      <c r="P1965" s="1597">
        <v>7856.64</v>
      </c>
      <c r="Q1965" s="1599">
        <v>276.60000000000002</v>
      </c>
      <c r="R1965" s="1597">
        <v>8133.24</v>
      </c>
      <c r="S1965" s="1592"/>
    </row>
    <row r="1966" spans="2:19" s="1593" customFormat="1" ht="11.25" customHeight="1" outlineLevel="1">
      <c r="B1966" s="1594">
        <v>10830</v>
      </c>
      <c r="C1966" s="1595" t="s">
        <v>5403</v>
      </c>
      <c r="D1966" s="1595" t="s">
        <v>12098</v>
      </c>
      <c r="E1966" s="1595"/>
      <c r="F1966" s="1595"/>
      <c r="G1966" s="1595" t="s">
        <v>11871</v>
      </c>
      <c r="H1966" s="1596">
        <v>1</v>
      </c>
      <c r="I1966" s="1595"/>
      <c r="J1966" s="1595"/>
      <c r="K1966" s="1597">
        <v>71901</v>
      </c>
      <c r="L1966" s="1597">
        <v>71901</v>
      </c>
      <c r="M1966" s="1598"/>
      <c r="N1966" s="1597">
        <v>71901</v>
      </c>
      <c r="O1966" s="1597">
        <v>10446.9</v>
      </c>
      <c r="P1966" s="1597">
        <v>59364.69</v>
      </c>
      <c r="Q1966" s="1597">
        <v>2089.41</v>
      </c>
      <c r="R1966" s="1597">
        <v>61454.1</v>
      </c>
      <c r="S1966" s="1592"/>
    </row>
    <row r="1967" spans="2:19" s="1593" customFormat="1" ht="21.75" customHeight="1" outlineLevel="1">
      <c r="B1967" s="1594">
        <v>10831</v>
      </c>
      <c r="C1967" s="1595" t="s">
        <v>5403</v>
      </c>
      <c r="D1967" s="1595" t="s">
        <v>12097</v>
      </c>
      <c r="E1967" s="1595"/>
      <c r="F1967" s="1595"/>
      <c r="G1967" s="1595" t="s">
        <v>12096</v>
      </c>
      <c r="H1967" s="1596">
        <v>1</v>
      </c>
      <c r="I1967" s="1595"/>
      <c r="J1967" s="1595"/>
      <c r="K1967" s="1597">
        <v>25428</v>
      </c>
      <c r="L1967" s="1597">
        <v>25428</v>
      </c>
      <c r="M1967" s="1598"/>
      <c r="N1967" s="1597">
        <v>25428</v>
      </c>
      <c r="O1967" s="1597">
        <v>4887.05</v>
      </c>
      <c r="P1967" s="1597">
        <v>19842.79</v>
      </c>
      <c r="Q1967" s="1599">
        <v>698.16</v>
      </c>
      <c r="R1967" s="1597">
        <v>20540.95</v>
      </c>
      <c r="S1967" s="1592"/>
    </row>
    <row r="1968" spans="2:19" s="1593" customFormat="1" ht="11.25" customHeight="1" outlineLevel="1">
      <c r="B1968" s="1594">
        <v>10832</v>
      </c>
      <c r="C1968" s="1595" t="s">
        <v>5403</v>
      </c>
      <c r="D1968" s="1595" t="s">
        <v>12095</v>
      </c>
      <c r="E1968" s="1595"/>
      <c r="F1968" s="1595"/>
      <c r="G1968" s="1595"/>
      <c r="H1968" s="1596">
        <v>1</v>
      </c>
      <c r="I1968" s="1595"/>
      <c r="J1968" s="1595"/>
      <c r="K1968" s="1599">
        <v>778</v>
      </c>
      <c r="L1968" s="1599">
        <v>778.25</v>
      </c>
      <c r="M1968" s="1598"/>
      <c r="N1968" s="1599">
        <v>778.25</v>
      </c>
      <c r="O1968" s="1599">
        <v>149.91</v>
      </c>
      <c r="P1968" s="1599">
        <v>606.98</v>
      </c>
      <c r="Q1968" s="1599">
        <v>21.36</v>
      </c>
      <c r="R1968" s="1599">
        <v>628.34</v>
      </c>
      <c r="S1968" s="1592"/>
    </row>
    <row r="1969" spans="2:19" s="1593" customFormat="1" ht="21.75" customHeight="1" outlineLevel="1">
      <c r="B1969" s="1594">
        <v>10833</v>
      </c>
      <c r="C1969" s="1595" t="s">
        <v>5403</v>
      </c>
      <c r="D1969" s="1595" t="s">
        <v>12094</v>
      </c>
      <c r="E1969" s="1595" t="s">
        <v>2219</v>
      </c>
      <c r="F1969" s="1595" t="s">
        <v>12093</v>
      </c>
      <c r="G1969" s="1595" t="s">
        <v>12092</v>
      </c>
      <c r="H1969" s="1596">
        <v>1</v>
      </c>
      <c r="I1969" s="1595"/>
      <c r="J1969" s="1595"/>
      <c r="K1969" s="1599">
        <v>582</v>
      </c>
      <c r="L1969" s="1599">
        <v>581.85</v>
      </c>
      <c r="M1969" s="1598"/>
      <c r="N1969" s="1599">
        <v>581.85</v>
      </c>
      <c r="O1969" s="1599">
        <v>112.24</v>
      </c>
      <c r="P1969" s="1599">
        <v>453.53</v>
      </c>
      <c r="Q1969" s="1599">
        <v>16.079999999999998</v>
      </c>
      <c r="R1969" s="1599">
        <v>469.61</v>
      </c>
      <c r="S1969" s="1592"/>
    </row>
    <row r="1970" spans="2:19" s="1593" customFormat="1" ht="21.75" customHeight="1" outlineLevel="1">
      <c r="B1970" s="1594">
        <v>10834</v>
      </c>
      <c r="C1970" s="1595" t="s">
        <v>5403</v>
      </c>
      <c r="D1970" s="1595" t="s">
        <v>12091</v>
      </c>
      <c r="E1970" s="1595"/>
      <c r="F1970" s="1595"/>
      <c r="G1970" s="1595" t="s">
        <v>12090</v>
      </c>
      <c r="H1970" s="1596">
        <v>1</v>
      </c>
      <c r="I1970" s="1595"/>
      <c r="J1970" s="1595"/>
      <c r="K1970" s="1597">
        <v>23425</v>
      </c>
      <c r="L1970" s="1597">
        <v>23425.25</v>
      </c>
      <c r="M1970" s="1598"/>
      <c r="N1970" s="1597">
        <v>23425.25</v>
      </c>
      <c r="O1970" s="1597">
        <v>4504.21</v>
      </c>
      <c r="P1970" s="1597">
        <v>18277.599999999999</v>
      </c>
      <c r="Q1970" s="1599">
        <v>643.44000000000005</v>
      </c>
      <c r="R1970" s="1597">
        <v>18921.04</v>
      </c>
      <c r="S1970" s="1592"/>
    </row>
    <row r="1971" spans="2:19" s="1593" customFormat="1" ht="11.25" customHeight="1" outlineLevel="1">
      <c r="B1971" s="1594">
        <v>10835</v>
      </c>
      <c r="C1971" s="1595" t="s">
        <v>5403</v>
      </c>
      <c r="D1971" s="1595" t="s">
        <v>12089</v>
      </c>
      <c r="E1971" s="1595"/>
      <c r="F1971" s="1595"/>
      <c r="G1971" s="1595" t="s">
        <v>12088</v>
      </c>
      <c r="H1971" s="1596">
        <v>1</v>
      </c>
      <c r="I1971" s="1595"/>
      <c r="J1971" s="1595"/>
      <c r="K1971" s="1597">
        <v>232273</v>
      </c>
      <c r="L1971" s="1597">
        <v>232273</v>
      </c>
      <c r="M1971" s="1598"/>
      <c r="N1971" s="1597">
        <v>232273</v>
      </c>
      <c r="O1971" s="1597">
        <v>150281.69</v>
      </c>
      <c r="P1971" s="1597">
        <v>79204.070000000007</v>
      </c>
      <c r="Q1971" s="1597">
        <v>2787.24</v>
      </c>
      <c r="R1971" s="1597">
        <v>81991.31</v>
      </c>
      <c r="S1971" s="1592"/>
    </row>
    <row r="1972" spans="2:19" s="1593" customFormat="1" ht="11.25" customHeight="1" outlineLevel="1">
      <c r="B1972" s="1594">
        <v>10836</v>
      </c>
      <c r="C1972" s="1595" t="s">
        <v>5403</v>
      </c>
      <c r="D1972" s="1595" t="s">
        <v>12087</v>
      </c>
      <c r="E1972" s="1595"/>
      <c r="F1972" s="1595"/>
      <c r="G1972" s="1595" t="s">
        <v>3734</v>
      </c>
      <c r="H1972" s="1596">
        <v>1</v>
      </c>
      <c r="I1972" s="1595"/>
      <c r="J1972" s="1595"/>
      <c r="K1972" s="1597">
        <v>310260</v>
      </c>
      <c r="L1972" s="1597">
        <v>310260</v>
      </c>
      <c r="M1972" s="1598"/>
      <c r="N1972" s="1597">
        <v>310260</v>
      </c>
      <c r="O1972" s="1597">
        <v>45075.45</v>
      </c>
      <c r="P1972" s="1597">
        <v>256169.43</v>
      </c>
      <c r="Q1972" s="1597">
        <v>9015.1200000000008</v>
      </c>
      <c r="R1972" s="1597">
        <v>265184.55</v>
      </c>
      <c r="S1972" s="1592"/>
    </row>
    <row r="1973" spans="2:19" s="1593" customFormat="1" ht="11.25" customHeight="1" outlineLevel="1">
      <c r="B1973" s="1594">
        <v>10843</v>
      </c>
      <c r="C1973" s="1595" t="s">
        <v>5403</v>
      </c>
      <c r="D1973" s="1595" t="s">
        <v>12086</v>
      </c>
      <c r="E1973" s="1595"/>
      <c r="F1973" s="1595"/>
      <c r="G1973" s="1595"/>
      <c r="H1973" s="1596">
        <v>1</v>
      </c>
      <c r="I1973" s="1595"/>
      <c r="J1973" s="1595"/>
      <c r="K1973" s="1599">
        <v>187</v>
      </c>
      <c r="L1973" s="1599">
        <v>186.5</v>
      </c>
      <c r="M1973" s="1599">
        <v>-186.5</v>
      </c>
      <c r="N1973" s="1598"/>
      <c r="O1973" s="1598"/>
      <c r="P1973" s="1599">
        <v>186.5</v>
      </c>
      <c r="Q1973" s="1599">
        <v>-186.5</v>
      </c>
      <c r="R1973" s="1598"/>
      <c r="S1973" s="1592"/>
    </row>
    <row r="1974" spans="2:19" s="1593" customFormat="1" ht="11.25" customHeight="1" outlineLevel="1">
      <c r="B1974" s="1594">
        <v>10859</v>
      </c>
      <c r="C1974" s="1595" t="s">
        <v>5403</v>
      </c>
      <c r="D1974" s="1595" t="s">
        <v>12085</v>
      </c>
      <c r="E1974" s="1595"/>
      <c r="F1974" s="1595"/>
      <c r="G1974" s="1595" t="s">
        <v>12084</v>
      </c>
      <c r="H1974" s="1596">
        <v>1</v>
      </c>
      <c r="I1974" s="1595"/>
      <c r="J1974" s="1595"/>
      <c r="K1974" s="1597">
        <v>12705</v>
      </c>
      <c r="L1974" s="1597">
        <v>12705</v>
      </c>
      <c r="M1974" s="1598"/>
      <c r="N1974" s="1597">
        <v>12705</v>
      </c>
      <c r="O1974" s="1597">
        <v>1846.5</v>
      </c>
      <c r="P1974" s="1597">
        <v>10489.16</v>
      </c>
      <c r="Q1974" s="1599">
        <v>369.34</v>
      </c>
      <c r="R1974" s="1597">
        <v>10858.5</v>
      </c>
      <c r="S1974" s="1592"/>
    </row>
    <row r="1975" spans="2:19" s="1593" customFormat="1" ht="11.25" customHeight="1" outlineLevel="1">
      <c r="B1975" s="1594">
        <v>10868</v>
      </c>
      <c r="C1975" s="1595" t="s">
        <v>5403</v>
      </c>
      <c r="D1975" s="1595" t="s">
        <v>12083</v>
      </c>
      <c r="E1975" s="1595"/>
      <c r="F1975" s="1595"/>
      <c r="G1975" s="1595"/>
      <c r="H1975" s="1596">
        <v>1</v>
      </c>
      <c r="I1975" s="1595"/>
      <c r="J1975" s="1595"/>
      <c r="K1975" s="1599">
        <v>109</v>
      </c>
      <c r="L1975" s="1599">
        <v>109.34</v>
      </c>
      <c r="M1975" s="1599">
        <v>-109.34</v>
      </c>
      <c r="N1975" s="1598"/>
      <c r="O1975" s="1598"/>
      <c r="P1975" s="1599">
        <v>109.34</v>
      </c>
      <c r="Q1975" s="1599">
        <v>-109.34</v>
      </c>
      <c r="R1975" s="1598"/>
      <c r="S1975" s="1592"/>
    </row>
    <row r="1976" spans="2:19" s="1593" customFormat="1" ht="11.25" customHeight="1" outlineLevel="1">
      <c r="B1976" s="1594">
        <v>10876</v>
      </c>
      <c r="C1976" s="1595" t="s">
        <v>5403</v>
      </c>
      <c r="D1976" s="1595" t="s">
        <v>12082</v>
      </c>
      <c r="E1976" s="1595"/>
      <c r="F1976" s="1595"/>
      <c r="G1976" s="1595" t="s">
        <v>11871</v>
      </c>
      <c r="H1976" s="1596">
        <v>1</v>
      </c>
      <c r="I1976" s="1595"/>
      <c r="J1976" s="1595"/>
      <c r="K1976" s="1597">
        <v>311803</v>
      </c>
      <c r="L1976" s="1597">
        <v>311803</v>
      </c>
      <c r="M1976" s="1598"/>
      <c r="N1976" s="1597">
        <v>311803</v>
      </c>
      <c r="O1976" s="1597">
        <v>73047.8</v>
      </c>
      <c r="P1976" s="1597">
        <v>230638.76</v>
      </c>
      <c r="Q1976" s="1597">
        <v>8116.44</v>
      </c>
      <c r="R1976" s="1597">
        <v>238755.20000000001</v>
      </c>
      <c r="S1976" s="1592"/>
    </row>
    <row r="1977" spans="2:19" s="1593" customFormat="1" ht="11.25" customHeight="1" outlineLevel="1">
      <c r="B1977" s="1594">
        <v>10877</v>
      </c>
      <c r="C1977" s="1595" t="s">
        <v>5403</v>
      </c>
      <c r="D1977" s="1595" t="s">
        <v>12081</v>
      </c>
      <c r="E1977" s="1595"/>
      <c r="F1977" s="1595"/>
      <c r="G1977" s="1595" t="s">
        <v>11871</v>
      </c>
      <c r="H1977" s="1596">
        <v>1</v>
      </c>
      <c r="I1977" s="1595"/>
      <c r="J1977" s="1595"/>
      <c r="K1977" s="1597">
        <v>173822</v>
      </c>
      <c r="L1977" s="1597">
        <v>173822</v>
      </c>
      <c r="M1977" s="1598"/>
      <c r="N1977" s="1597">
        <v>173822</v>
      </c>
      <c r="O1977" s="1597">
        <v>40723.11</v>
      </c>
      <c r="P1977" s="1597">
        <v>128574.05</v>
      </c>
      <c r="Q1977" s="1597">
        <v>4524.84</v>
      </c>
      <c r="R1977" s="1597">
        <v>133098.89000000001</v>
      </c>
      <c r="S1977" s="1592"/>
    </row>
    <row r="1978" spans="2:19" s="1593" customFormat="1" ht="11.25" customHeight="1" outlineLevel="1">
      <c r="B1978" s="1594">
        <v>10885</v>
      </c>
      <c r="C1978" s="1595" t="s">
        <v>5403</v>
      </c>
      <c r="D1978" s="1595" t="s">
        <v>12080</v>
      </c>
      <c r="E1978" s="1595"/>
      <c r="F1978" s="1595"/>
      <c r="G1978" s="1595" t="s">
        <v>11871</v>
      </c>
      <c r="H1978" s="1596">
        <v>1</v>
      </c>
      <c r="I1978" s="1595"/>
      <c r="J1978" s="1595"/>
      <c r="K1978" s="1599">
        <v>958</v>
      </c>
      <c r="L1978" s="1599">
        <v>958</v>
      </c>
      <c r="M1978" s="1598"/>
      <c r="N1978" s="1599">
        <v>958</v>
      </c>
      <c r="O1978" s="1599">
        <v>139.04</v>
      </c>
      <c r="P1978" s="1599">
        <v>791.12</v>
      </c>
      <c r="Q1978" s="1599">
        <v>27.84</v>
      </c>
      <c r="R1978" s="1599">
        <v>818.96</v>
      </c>
      <c r="S1978" s="1592"/>
    </row>
    <row r="1979" spans="2:19" s="1593" customFormat="1" ht="11.25" customHeight="1" outlineLevel="1">
      <c r="B1979" s="1594">
        <v>11009</v>
      </c>
      <c r="C1979" s="1595" t="s">
        <v>5403</v>
      </c>
      <c r="D1979" s="1595" t="s">
        <v>12079</v>
      </c>
      <c r="E1979" s="1595"/>
      <c r="F1979" s="1595"/>
      <c r="G1979" s="1595"/>
      <c r="H1979" s="1596">
        <v>1</v>
      </c>
      <c r="I1979" s="1595"/>
      <c r="J1979" s="1595"/>
      <c r="K1979" s="1597">
        <v>1171</v>
      </c>
      <c r="L1979" s="1597">
        <v>1171.2</v>
      </c>
      <c r="M1979" s="1597">
        <v>-1171.2</v>
      </c>
      <c r="N1979" s="1598"/>
      <c r="O1979" s="1598"/>
      <c r="P1979" s="1597">
        <v>1171.2</v>
      </c>
      <c r="Q1979" s="1597">
        <v>-1171.2</v>
      </c>
      <c r="R1979" s="1598"/>
      <c r="S1979" s="1592"/>
    </row>
    <row r="1980" spans="2:19" s="1593" customFormat="1" ht="11.25" customHeight="1" outlineLevel="1">
      <c r="B1980" s="1594">
        <v>11011</v>
      </c>
      <c r="C1980" s="1595" t="s">
        <v>5403</v>
      </c>
      <c r="D1980" s="1595" t="s">
        <v>12078</v>
      </c>
      <c r="E1980" s="1595"/>
      <c r="F1980" s="1595"/>
      <c r="G1980" s="1595"/>
      <c r="H1980" s="1596">
        <v>1</v>
      </c>
      <c r="I1980" s="1595"/>
      <c r="J1980" s="1595"/>
      <c r="K1980" s="1597">
        <v>1356</v>
      </c>
      <c r="L1980" s="1597">
        <v>1356.26</v>
      </c>
      <c r="M1980" s="1597">
        <v>-1356.26</v>
      </c>
      <c r="N1980" s="1598"/>
      <c r="O1980" s="1598"/>
      <c r="P1980" s="1597">
        <v>1356.26</v>
      </c>
      <c r="Q1980" s="1597">
        <v>-1356.26</v>
      </c>
      <c r="R1980" s="1598"/>
      <c r="S1980" s="1592"/>
    </row>
    <row r="1981" spans="2:19" s="1593" customFormat="1" ht="11.25" customHeight="1" outlineLevel="1">
      <c r="B1981" s="1594">
        <v>11012</v>
      </c>
      <c r="C1981" s="1595" t="s">
        <v>5403</v>
      </c>
      <c r="D1981" s="1595" t="s">
        <v>12077</v>
      </c>
      <c r="E1981" s="1595"/>
      <c r="F1981" s="1595"/>
      <c r="G1981" s="1595"/>
      <c r="H1981" s="1596">
        <v>1</v>
      </c>
      <c r="I1981" s="1595"/>
      <c r="J1981" s="1595"/>
      <c r="K1981" s="1599">
        <v>404</v>
      </c>
      <c r="L1981" s="1599">
        <v>403.85</v>
      </c>
      <c r="M1981" s="1599">
        <v>-403.85</v>
      </c>
      <c r="N1981" s="1598"/>
      <c r="O1981" s="1598"/>
      <c r="P1981" s="1599">
        <v>403.85</v>
      </c>
      <c r="Q1981" s="1599">
        <v>-403.85</v>
      </c>
      <c r="R1981" s="1598"/>
      <c r="S1981" s="1592"/>
    </row>
    <row r="1982" spans="2:19" s="1593" customFormat="1" ht="11.25" customHeight="1" outlineLevel="1">
      <c r="B1982" s="1594">
        <v>11015</v>
      </c>
      <c r="C1982" s="1595" t="s">
        <v>5403</v>
      </c>
      <c r="D1982" s="1595" t="s">
        <v>12076</v>
      </c>
      <c r="E1982" s="1595"/>
      <c r="F1982" s="1595"/>
      <c r="G1982" s="1595"/>
      <c r="H1982" s="1596">
        <v>1</v>
      </c>
      <c r="I1982" s="1595"/>
      <c r="J1982" s="1595"/>
      <c r="K1982" s="1599">
        <v>129</v>
      </c>
      <c r="L1982" s="1599">
        <v>128.5</v>
      </c>
      <c r="M1982" s="1599">
        <v>-128.5</v>
      </c>
      <c r="N1982" s="1598"/>
      <c r="O1982" s="1598"/>
      <c r="P1982" s="1599">
        <v>128.5</v>
      </c>
      <c r="Q1982" s="1599">
        <v>-128.5</v>
      </c>
      <c r="R1982" s="1598"/>
      <c r="S1982" s="1592"/>
    </row>
    <row r="1983" spans="2:19" s="1593" customFormat="1" ht="11.25" customHeight="1" outlineLevel="1">
      <c r="B1983" s="1594">
        <v>11096</v>
      </c>
      <c r="C1983" s="1595" t="s">
        <v>5403</v>
      </c>
      <c r="D1983" s="1595" t="s">
        <v>12075</v>
      </c>
      <c r="E1983" s="1595"/>
      <c r="F1983" s="1595"/>
      <c r="G1983" s="1595"/>
      <c r="H1983" s="1596">
        <v>1</v>
      </c>
      <c r="I1983" s="1595"/>
      <c r="J1983" s="1595"/>
      <c r="K1983" s="1597">
        <v>10933</v>
      </c>
      <c r="L1983" s="1597">
        <v>10933</v>
      </c>
      <c r="M1983" s="1597">
        <v>-10933</v>
      </c>
      <c r="N1983" s="1598"/>
      <c r="O1983" s="1598"/>
      <c r="P1983" s="1597">
        <v>10933</v>
      </c>
      <c r="Q1983" s="1597">
        <v>-10933</v>
      </c>
      <c r="R1983" s="1598"/>
      <c r="S1983" s="1592"/>
    </row>
    <row r="1984" spans="2:19" s="1593" customFormat="1" ht="11.25" customHeight="1" outlineLevel="1">
      <c r="B1984" s="1594">
        <v>11098</v>
      </c>
      <c r="C1984" s="1595" t="s">
        <v>5403</v>
      </c>
      <c r="D1984" s="1595" t="s">
        <v>12074</v>
      </c>
      <c r="E1984" s="1595"/>
      <c r="F1984" s="1595"/>
      <c r="G1984" s="1595"/>
      <c r="H1984" s="1596">
        <v>1</v>
      </c>
      <c r="I1984" s="1595"/>
      <c r="J1984" s="1595"/>
      <c r="K1984" s="1597">
        <v>2463</v>
      </c>
      <c r="L1984" s="1597">
        <v>2463</v>
      </c>
      <c r="M1984" s="1597">
        <v>-2463</v>
      </c>
      <c r="N1984" s="1598"/>
      <c r="O1984" s="1598"/>
      <c r="P1984" s="1597">
        <v>2463</v>
      </c>
      <c r="Q1984" s="1597">
        <v>-2463</v>
      </c>
      <c r="R1984" s="1598"/>
      <c r="S1984" s="1592"/>
    </row>
    <row r="1985" spans="2:19" s="1593" customFormat="1" ht="11.25" customHeight="1" outlineLevel="1">
      <c r="B1985" s="1594">
        <v>11099</v>
      </c>
      <c r="C1985" s="1595" t="s">
        <v>5403</v>
      </c>
      <c r="D1985" s="1595" t="s">
        <v>12073</v>
      </c>
      <c r="E1985" s="1595"/>
      <c r="F1985" s="1595"/>
      <c r="G1985" s="1595"/>
      <c r="H1985" s="1596">
        <v>1</v>
      </c>
      <c r="I1985" s="1595"/>
      <c r="J1985" s="1595"/>
      <c r="K1985" s="1597">
        <v>2463</v>
      </c>
      <c r="L1985" s="1597">
        <v>2463</v>
      </c>
      <c r="M1985" s="1597">
        <v>-2463</v>
      </c>
      <c r="N1985" s="1598"/>
      <c r="O1985" s="1598"/>
      <c r="P1985" s="1597">
        <v>2463</v>
      </c>
      <c r="Q1985" s="1597">
        <v>-2463</v>
      </c>
      <c r="R1985" s="1598"/>
      <c r="S1985" s="1592"/>
    </row>
    <row r="1986" spans="2:19" s="1593" customFormat="1" ht="11.25" customHeight="1" outlineLevel="1">
      <c r="B1986" s="1594">
        <v>11216</v>
      </c>
      <c r="C1986" s="1595" t="s">
        <v>5403</v>
      </c>
      <c r="D1986" s="1595" t="s">
        <v>12072</v>
      </c>
      <c r="E1986" s="1595"/>
      <c r="F1986" s="1595"/>
      <c r="G1986" s="1595" t="s">
        <v>11983</v>
      </c>
      <c r="H1986" s="1596">
        <v>1</v>
      </c>
      <c r="I1986" s="1595"/>
      <c r="J1986" s="1595"/>
      <c r="K1986" s="1597">
        <v>101818</v>
      </c>
      <c r="L1986" s="1597">
        <v>101818</v>
      </c>
      <c r="M1986" s="1598"/>
      <c r="N1986" s="1597">
        <v>101818</v>
      </c>
      <c r="O1986" s="1597">
        <v>17249.669999999998</v>
      </c>
      <c r="P1986" s="1597">
        <v>81693.37</v>
      </c>
      <c r="Q1986" s="1597">
        <v>2874.96</v>
      </c>
      <c r="R1986" s="1597">
        <v>84568.33</v>
      </c>
      <c r="S1986" s="1592"/>
    </row>
    <row r="1987" spans="2:19" s="1593" customFormat="1" ht="11.25" customHeight="1" outlineLevel="1">
      <c r="B1987" s="1594">
        <v>25993</v>
      </c>
      <c r="C1987" s="1595" t="s">
        <v>5403</v>
      </c>
      <c r="D1987" s="1595" t="s">
        <v>12071</v>
      </c>
      <c r="E1987" s="1595"/>
      <c r="F1987" s="1595"/>
      <c r="G1987" s="1595" t="s">
        <v>11985</v>
      </c>
      <c r="H1987" s="1596">
        <v>1</v>
      </c>
      <c r="I1987" s="1595"/>
      <c r="J1987" s="1595"/>
      <c r="K1987" s="1597">
        <v>310260</v>
      </c>
      <c r="L1987" s="1597">
        <v>310260</v>
      </c>
      <c r="M1987" s="1598"/>
      <c r="N1987" s="1597">
        <v>310260</v>
      </c>
      <c r="O1987" s="1597">
        <v>45075.45</v>
      </c>
      <c r="P1987" s="1597">
        <v>256169.43</v>
      </c>
      <c r="Q1987" s="1597">
        <v>9015.1200000000008</v>
      </c>
      <c r="R1987" s="1597">
        <v>265184.55</v>
      </c>
      <c r="S1987" s="1592"/>
    </row>
    <row r="1988" spans="2:19" s="1593" customFormat="1" ht="11.25" customHeight="1" outlineLevel="1">
      <c r="B1988" s="1594">
        <v>25994</v>
      </c>
      <c r="C1988" s="1595" t="s">
        <v>5403</v>
      </c>
      <c r="D1988" s="1595" t="s">
        <v>12070</v>
      </c>
      <c r="E1988" s="1595"/>
      <c r="F1988" s="1595"/>
      <c r="G1988" s="1595" t="s">
        <v>12069</v>
      </c>
      <c r="H1988" s="1596">
        <v>1</v>
      </c>
      <c r="I1988" s="1595"/>
      <c r="J1988" s="1595"/>
      <c r="K1988" s="1597">
        <v>1215457</v>
      </c>
      <c r="L1988" s="1597">
        <v>1215457</v>
      </c>
      <c r="M1988" s="1598"/>
      <c r="N1988" s="1597">
        <v>1215457</v>
      </c>
      <c r="O1988" s="1597">
        <v>176578.36</v>
      </c>
      <c r="P1988" s="1597">
        <v>1003563</v>
      </c>
      <c r="Q1988" s="1597">
        <v>35315.64</v>
      </c>
      <c r="R1988" s="1597">
        <v>1038878.64</v>
      </c>
      <c r="S1988" s="1592"/>
    </row>
    <row r="1989" spans="2:19" s="1593" customFormat="1" ht="11.25" customHeight="1" outlineLevel="1">
      <c r="B1989" s="1594">
        <v>33430</v>
      </c>
      <c r="C1989" s="1595" t="s">
        <v>5403</v>
      </c>
      <c r="D1989" s="1595" t="s">
        <v>12068</v>
      </c>
      <c r="E1989" s="1595"/>
      <c r="F1989" s="1595"/>
      <c r="G1989" s="1595"/>
      <c r="H1989" s="1596">
        <v>1</v>
      </c>
      <c r="I1989" s="1595"/>
      <c r="J1989" s="1595"/>
      <c r="K1989" s="1599">
        <v>404</v>
      </c>
      <c r="L1989" s="1599">
        <v>403.83</v>
      </c>
      <c r="M1989" s="1599">
        <v>-403.83</v>
      </c>
      <c r="N1989" s="1598"/>
      <c r="O1989" s="1598"/>
      <c r="P1989" s="1599">
        <v>403.83</v>
      </c>
      <c r="Q1989" s="1599">
        <v>-403.83</v>
      </c>
      <c r="R1989" s="1598"/>
      <c r="S1989" s="1592"/>
    </row>
    <row r="1990" spans="2:19" s="1593" customFormat="1" ht="11.25" customHeight="1" outlineLevel="1">
      <c r="B1990" s="1594">
        <v>33431</v>
      </c>
      <c r="C1990" s="1595" t="s">
        <v>5403</v>
      </c>
      <c r="D1990" s="1595" t="s">
        <v>12067</v>
      </c>
      <c r="E1990" s="1595"/>
      <c r="F1990" s="1595"/>
      <c r="G1990" s="1595"/>
      <c r="H1990" s="1596">
        <v>1</v>
      </c>
      <c r="I1990" s="1595"/>
      <c r="J1990" s="1595"/>
      <c r="K1990" s="1599">
        <v>404</v>
      </c>
      <c r="L1990" s="1599">
        <v>403.83</v>
      </c>
      <c r="M1990" s="1599">
        <v>-403.83</v>
      </c>
      <c r="N1990" s="1598"/>
      <c r="O1990" s="1598"/>
      <c r="P1990" s="1599">
        <v>403.83</v>
      </c>
      <c r="Q1990" s="1599">
        <v>-403.83</v>
      </c>
      <c r="R1990" s="1598"/>
      <c r="S1990" s="1592"/>
    </row>
    <row r="1991" spans="2:19" s="1593" customFormat="1" ht="11.25" customHeight="1" outlineLevel="1">
      <c r="B1991" s="1594">
        <v>33432</v>
      </c>
      <c r="C1991" s="1595" t="s">
        <v>5403</v>
      </c>
      <c r="D1991" s="1595" t="s">
        <v>12066</v>
      </c>
      <c r="E1991" s="1595"/>
      <c r="F1991" s="1595"/>
      <c r="G1991" s="1595"/>
      <c r="H1991" s="1596">
        <v>1</v>
      </c>
      <c r="I1991" s="1595"/>
      <c r="J1991" s="1595"/>
      <c r="K1991" s="1599">
        <v>404</v>
      </c>
      <c r="L1991" s="1599">
        <v>403.83</v>
      </c>
      <c r="M1991" s="1599">
        <v>-403.83</v>
      </c>
      <c r="N1991" s="1598"/>
      <c r="O1991" s="1598"/>
      <c r="P1991" s="1599">
        <v>403.83</v>
      </c>
      <c r="Q1991" s="1599">
        <v>-403.83</v>
      </c>
      <c r="R1991" s="1598"/>
      <c r="S1991" s="1592"/>
    </row>
    <row r="1992" spans="2:19" s="1593" customFormat="1" ht="11.25" customHeight="1" outlineLevel="1">
      <c r="B1992" s="1594">
        <v>33433</v>
      </c>
      <c r="C1992" s="1595" t="s">
        <v>5403</v>
      </c>
      <c r="D1992" s="1595" t="s">
        <v>12065</v>
      </c>
      <c r="E1992" s="1595"/>
      <c r="F1992" s="1595"/>
      <c r="G1992" s="1595"/>
      <c r="H1992" s="1596">
        <v>1</v>
      </c>
      <c r="I1992" s="1595"/>
      <c r="J1992" s="1595"/>
      <c r="K1992" s="1599">
        <v>404</v>
      </c>
      <c r="L1992" s="1599">
        <v>403.83</v>
      </c>
      <c r="M1992" s="1599">
        <v>-403.83</v>
      </c>
      <c r="N1992" s="1598"/>
      <c r="O1992" s="1598"/>
      <c r="P1992" s="1599">
        <v>403.83</v>
      </c>
      <c r="Q1992" s="1599">
        <v>-403.83</v>
      </c>
      <c r="R1992" s="1598"/>
      <c r="S1992" s="1592"/>
    </row>
    <row r="1993" spans="2:19" s="1593" customFormat="1" ht="11.25" customHeight="1" outlineLevel="1">
      <c r="B1993" s="1594">
        <v>33434</v>
      </c>
      <c r="C1993" s="1595" t="s">
        <v>5403</v>
      </c>
      <c r="D1993" s="1595" t="s">
        <v>12064</v>
      </c>
      <c r="E1993" s="1595"/>
      <c r="F1993" s="1595"/>
      <c r="G1993" s="1595"/>
      <c r="H1993" s="1596">
        <v>1</v>
      </c>
      <c r="I1993" s="1595"/>
      <c r="J1993" s="1595"/>
      <c r="K1993" s="1599">
        <v>404</v>
      </c>
      <c r="L1993" s="1599">
        <v>403.83</v>
      </c>
      <c r="M1993" s="1599">
        <v>-403.83</v>
      </c>
      <c r="N1993" s="1598"/>
      <c r="O1993" s="1598"/>
      <c r="P1993" s="1599">
        <v>403.83</v>
      </c>
      <c r="Q1993" s="1599">
        <v>-403.83</v>
      </c>
      <c r="R1993" s="1598"/>
      <c r="S1993" s="1592"/>
    </row>
    <row r="1994" spans="2:19" s="1593" customFormat="1" ht="11.25" customHeight="1" outlineLevel="1">
      <c r="B1994" s="1594">
        <v>33435</v>
      </c>
      <c r="C1994" s="1595" t="s">
        <v>5403</v>
      </c>
      <c r="D1994" s="1595" t="s">
        <v>12063</v>
      </c>
      <c r="E1994" s="1595"/>
      <c r="F1994" s="1595"/>
      <c r="G1994" s="1595"/>
      <c r="H1994" s="1596">
        <v>1</v>
      </c>
      <c r="I1994" s="1595"/>
      <c r="J1994" s="1595"/>
      <c r="K1994" s="1597">
        <v>1356</v>
      </c>
      <c r="L1994" s="1597">
        <v>1356.29</v>
      </c>
      <c r="M1994" s="1597">
        <v>-1356.29</v>
      </c>
      <c r="N1994" s="1598"/>
      <c r="O1994" s="1598"/>
      <c r="P1994" s="1597">
        <v>1356.29</v>
      </c>
      <c r="Q1994" s="1597">
        <v>-1356.29</v>
      </c>
      <c r="R1994" s="1598"/>
      <c r="S1994" s="1592"/>
    </row>
    <row r="1995" spans="2:19" s="1593" customFormat="1" ht="11.25" customHeight="1" outlineLevel="1">
      <c r="B1995" s="1594">
        <v>33436</v>
      </c>
      <c r="C1995" s="1595" t="s">
        <v>5403</v>
      </c>
      <c r="D1995" s="1595" t="s">
        <v>12062</v>
      </c>
      <c r="E1995" s="1595"/>
      <c r="F1995" s="1595"/>
      <c r="G1995" s="1595"/>
      <c r="H1995" s="1596">
        <v>1</v>
      </c>
      <c r="I1995" s="1595"/>
      <c r="J1995" s="1595"/>
      <c r="K1995" s="1597">
        <v>1356</v>
      </c>
      <c r="L1995" s="1597">
        <v>1356.29</v>
      </c>
      <c r="M1995" s="1597">
        <v>-1356.29</v>
      </c>
      <c r="N1995" s="1598"/>
      <c r="O1995" s="1598"/>
      <c r="P1995" s="1597">
        <v>1356.29</v>
      </c>
      <c r="Q1995" s="1597">
        <v>-1356.29</v>
      </c>
      <c r="R1995" s="1598"/>
      <c r="S1995" s="1592"/>
    </row>
    <row r="1996" spans="2:19" s="1593" customFormat="1" ht="11.25" customHeight="1" outlineLevel="1">
      <c r="B1996" s="1594">
        <v>33437</v>
      </c>
      <c r="C1996" s="1595" t="s">
        <v>5403</v>
      </c>
      <c r="D1996" s="1595" t="s">
        <v>12061</v>
      </c>
      <c r="E1996" s="1595"/>
      <c r="F1996" s="1595"/>
      <c r="G1996" s="1595"/>
      <c r="H1996" s="1596">
        <v>1</v>
      </c>
      <c r="I1996" s="1595"/>
      <c r="J1996" s="1595"/>
      <c r="K1996" s="1597">
        <v>1356</v>
      </c>
      <c r="L1996" s="1597">
        <v>1356.29</v>
      </c>
      <c r="M1996" s="1597">
        <v>-1356.29</v>
      </c>
      <c r="N1996" s="1598"/>
      <c r="O1996" s="1598"/>
      <c r="P1996" s="1597">
        <v>1356.29</v>
      </c>
      <c r="Q1996" s="1597">
        <v>-1356.29</v>
      </c>
      <c r="R1996" s="1598"/>
      <c r="S1996" s="1592"/>
    </row>
    <row r="1997" spans="2:19" s="1593" customFormat="1" ht="11.25" customHeight="1" outlineLevel="1">
      <c r="B1997" s="1594">
        <v>33438</v>
      </c>
      <c r="C1997" s="1595" t="s">
        <v>5403</v>
      </c>
      <c r="D1997" s="1595" t="s">
        <v>12060</v>
      </c>
      <c r="E1997" s="1595"/>
      <c r="F1997" s="1595"/>
      <c r="G1997" s="1595"/>
      <c r="H1997" s="1596">
        <v>1</v>
      </c>
      <c r="I1997" s="1595"/>
      <c r="J1997" s="1595"/>
      <c r="K1997" s="1597">
        <v>1356</v>
      </c>
      <c r="L1997" s="1597">
        <v>1356.29</v>
      </c>
      <c r="M1997" s="1597">
        <v>-1356.29</v>
      </c>
      <c r="N1997" s="1598"/>
      <c r="O1997" s="1598"/>
      <c r="P1997" s="1597">
        <v>1356.29</v>
      </c>
      <c r="Q1997" s="1597">
        <v>-1356.29</v>
      </c>
      <c r="R1997" s="1598"/>
      <c r="S1997" s="1592"/>
    </row>
    <row r="1998" spans="2:19" s="1593" customFormat="1" ht="11.25" customHeight="1" outlineLevel="1">
      <c r="B1998" s="1594">
        <v>33439</v>
      </c>
      <c r="C1998" s="1595" t="s">
        <v>5403</v>
      </c>
      <c r="D1998" s="1595" t="s">
        <v>12059</v>
      </c>
      <c r="E1998" s="1595"/>
      <c r="F1998" s="1595"/>
      <c r="G1998" s="1595"/>
      <c r="H1998" s="1596">
        <v>1</v>
      </c>
      <c r="I1998" s="1595"/>
      <c r="J1998" s="1595"/>
      <c r="K1998" s="1597">
        <v>1356</v>
      </c>
      <c r="L1998" s="1597">
        <v>1356.29</v>
      </c>
      <c r="M1998" s="1597">
        <v>-1356.29</v>
      </c>
      <c r="N1998" s="1598"/>
      <c r="O1998" s="1598"/>
      <c r="P1998" s="1597">
        <v>1356.29</v>
      </c>
      <c r="Q1998" s="1597">
        <v>-1356.29</v>
      </c>
      <c r="R1998" s="1598"/>
      <c r="S1998" s="1592"/>
    </row>
    <row r="1999" spans="2:19" s="1593" customFormat="1" ht="11.25" customHeight="1" outlineLevel="1">
      <c r="B1999" s="1594">
        <v>33440</v>
      </c>
      <c r="C1999" s="1595" t="s">
        <v>5403</v>
      </c>
      <c r="D1999" s="1595" t="s">
        <v>12058</v>
      </c>
      <c r="E1999" s="1595"/>
      <c r="F1999" s="1595"/>
      <c r="G1999" s="1595"/>
      <c r="H1999" s="1596">
        <v>1</v>
      </c>
      <c r="I1999" s="1595"/>
      <c r="J1999" s="1595"/>
      <c r="K1999" s="1597">
        <v>1356</v>
      </c>
      <c r="L1999" s="1597">
        <v>1356.29</v>
      </c>
      <c r="M1999" s="1597">
        <v>-1356.29</v>
      </c>
      <c r="N1999" s="1598"/>
      <c r="O1999" s="1598"/>
      <c r="P1999" s="1597">
        <v>1356.29</v>
      </c>
      <c r="Q1999" s="1597">
        <v>-1356.29</v>
      </c>
      <c r="R1999" s="1598"/>
      <c r="S1999" s="1592"/>
    </row>
    <row r="2000" spans="2:19" s="1593" customFormat="1" ht="11.25" customHeight="1" outlineLevel="1">
      <c r="B2000" s="1594">
        <v>33441</v>
      </c>
      <c r="C2000" s="1595" t="s">
        <v>5403</v>
      </c>
      <c r="D2000" s="1595" t="s">
        <v>12057</v>
      </c>
      <c r="E2000" s="1595"/>
      <c r="F2000" s="1595"/>
      <c r="G2000" s="1595"/>
      <c r="H2000" s="1596">
        <v>1</v>
      </c>
      <c r="I2000" s="1595"/>
      <c r="J2000" s="1595"/>
      <c r="K2000" s="1597">
        <v>1171</v>
      </c>
      <c r="L2000" s="1597">
        <v>1171.2</v>
      </c>
      <c r="M2000" s="1597">
        <v>-1171.2</v>
      </c>
      <c r="N2000" s="1598"/>
      <c r="O2000" s="1598"/>
      <c r="P2000" s="1597">
        <v>1171.2</v>
      </c>
      <c r="Q2000" s="1597">
        <v>-1171.2</v>
      </c>
      <c r="R2000" s="1598"/>
      <c r="S2000" s="1592"/>
    </row>
    <row r="2001" spans="2:19" s="1593" customFormat="1" ht="11.25" customHeight="1" outlineLevel="1">
      <c r="B2001" s="1594">
        <v>33442</v>
      </c>
      <c r="C2001" s="1595" t="s">
        <v>5403</v>
      </c>
      <c r="D2001" s="1595" t="s">
        <v>12056</v>
      </c>
      <c r="E2001" s="1595"/>
      <c r="F2001" s="1595"/>
      <c r="G2001" s="1595"/>
      <c r="H2001" s="1596">
        <v>1</v>
      </c>
      <c r="I2001" s="1595"/>
      <c r="J2001" s="1595"/>
      <c r="K2001" s="1597">
        <v>1171</v>
      </c>
      <c r="L2001" s="1597">
        <v>1171.2</v>
      </c>
      <c r="M2001" s="1597">
        <v>-1171.2</v>
      </c>
      <c r="N2001" s="1598"/>
      <c r="O2001" s="1598"/>
      <c r="P2001" s="1597">
        <v>1171.2</v>
      </c>
      <c r="Q2001" s="1597">
        <v>-1171.2</v>
      </c>
      <c r="R2001" s="1598"/>
      <c r="S2001" s="1592"/>
    </row>
    <row r="2002" spans="2:19" s="1593" customFormat="1" ht="11.25" customHeight="1" outlineLevel="1">
      <c r="B2002" s="1594">
        <v>33553</v>
      </c>
      <c r="C2002" s="1595" t="s">
        <v>5403</v>
      </c>
      <c r="D2002" s="1595" t="s">
        <v>12055</v>
      </c>
      <c r="E2002" s="1595"/>
      <c r="F2002" s="1595"/>
      <c r="G2002" s="1595"/>
      <c r="H2002" s="1596">
        <v>1</v>
      </c>
      <c r="I2002" s="1595"/>
      <c r="J2002" s="1595"/>
      <c r="K2002" s="1599">
        <v>188</v>
      </c>
      <c r="L2002" s="1599">
        <v>187.56</v>
      </c>
      <c r="M2002" s="1599">
        <v>-187.56</v>
      </c>
      <c r="N2002" s="1598"/>
      <c r="O2002" s="1598"/>
      <c r="P2002" s="1599">
        <v>187.56</v>
      </c>
      <c r="Q2002" s="1599">
        <v>-187.56</v>
      </c>
      <c r="R2002" s="1598"/>
      <c r="S2002" s="1592"/>
    </row>
    <row r="2003" spans="2:19" s="1593" customFormat="1" ht="11.25" customHeight="1" outlineLevel="1">
      <c r="B2003" s="1594">
        <v>33554</v>
      </c>
      <c r="C2003" s="1595" t="s">
        <v>5403</v>
      </c>
      <c r="D2003" s="1595" t="s">
        <v>12054</v>
      </c>
      <c r="E2003" s="1595"/>
      <c r="F2003" s="1595"/>
      <c r="G2003" s="1595"/>
      <c r="H2003" s="1596">
        <v>1</v>
      </c>
      <c r="I2003" s="1595"/>
      <c r="J2003" s="1595"/>
      <c r="K2003" s="1599">
        <v>188</v>
      </c>
      <c r="L2003" s="1599">
        <v>187.56</v>
      </c>
      <c r="M2003" s="1599">
        <v>-187.56</v>
      </c>
      <c r="N2003" s="1598"/>
      <c r="O2003" s="1598"/>
      <c r="P2003" s="1599">
        <v>187.56</v>
      </c>
      <c r="Q2003" s="1599">
        <v>-187.56</v>
      </c>
      <c r="R2003" s="1598"/>
      <c r="S2003" s="1592"/>
    </row>
    <row r="2004" spans="2:19" s="1593" customFormat="1" ht="11.25" customHeight="1" outlineLevel="1">
      <c r="B2004" s="1594">
        <v>33714</v>
      </c>
      <c r="C2004" s="1595" t="s">
        <v>5403</v>
      </c>
      <c r="D2004" s="1595" t="s">
        <v>12053</v>
      </c>
      <c r="E2004" s="1595"/>
      <c r="F2004" s="1595"/>
      <c r="G2004" s="1595"/>
      <c r="H2004" s="1596">
        <v>1</v>
      </c>
      <c r="I2004" s="1595"/>
      <c r="J2004" s="1595"/>
      <c r="K2004" s="1597">
        <v>1476</v>
      </c>
      <c r="L2004" s="1597">
        <v>1475.5</v>
      </c>
      <c r="M2004" s="1597">
        <v>-1475.5</v>
      </c>
      <c r="N2004" s="1598"/>
      <c r="O2004" s="1598"/>
      <c r="P2004" s="1597">
        <v>1475.5</v>
      </c>
      <c r="Q2004" s="1597">
        <v>-1475.5</v>
      </c>
      <c r="R2004" s="1598"/>
      <c r="S2004" s="1592"/>
    </row>
    <row r="2005" spans="2:19" s="1593" customFormat="1" ht="11.25" customHeight="1" outlineLevel="1">
      <c r="B2005" s="1594">
        <v>33715</v>
      </c>
      <c r="C2005" s="1595" t="s">
        <v>5403</v>
      </c>
      <c r="D2005" s="1595" t="s">
        <v>12052</v>
      </c>
      <c r="E2005" s="1595"/>
      <c r="F2005" s="1595"/>
      <c r="G2005" s="1595"/>
      <c r="H2005" s="1596">
        <v>1</v>
      </c>
      <c r="I2005" s="1595"/>
      <c r="J2005" s="1595"/>
      <c r="K2005" s="1597">
        <v>1476</v>
      </c>
      <c r="L2005" s="1597">
        <v>1475.5</v>
      </c>
      <c r="M2005" s="1597">
        <v>-1475.5</v>
      </c>
      <c r="N2005" s="1598"/>
      <c r="O2005" s="1598"/>
      <c r="P2005" s="1597">
        <v>1475.5</v>
      </c>
      <c r="Q2005" s="1597">
        <v>-1475.5</v>
      </c>
      <c r="R2005" s="1598"/>
      <c r="S2005" s="1592"/>
    </row>
    <row r="2006" spans="2:19" s="1593" customFormat="1" ht="11.25" customHeight="1" outlineLevel="1">
      <c r="B2006" s="1594">
        <v>33716</v>
      </c>
      <c r="C2006" s="1595" t="s">
        <v>5403</v>
      </c>
      <c r="D2006" s="1595" t="s">
        <v>12051</v>
      </c>
      <c r="E2006" s="1595"/>
      <c r="F2006" s="1595"/>
      <c r="G2006" s="1595"/>
      <c r="H2006" s="1596">
        <v>1</v>
      </c>
      <c r="I2006" s="1595"/>
      <c r="J2006" s="1595"/>
      <c r="K2006" s="1597">
        <v>1476</v>
      </c>
      <c r="L2006" s="1597">
        <v>1475.5</v>
      </c>
      <c r="M2006" s="1597">
        <v>-1475.5</v>
      </c>
      <c r="N2006" s="1598"/>
      <c r="O2006" s="1598"/>
      <c r="P2006" s="1597">
        <v>1475.5</v>
      </c>
      <c r="Q2006" s="1597">
        <v>-1475.5</v>
      </c>
      <c r="R2006" s="1598"/>
      <c r="S2006" s="1592"/>
    </row>
    <row r="2007" spans="2:19" s="1593" customFormat="1" ht="11.25" customHeight="1" outlineLevel="1">
      <c r="B2007" s="1594">
        <v>33717</v>
      </c>
      <c r="C2007" s="1595" t="s">
        <v>5403</v>
      </c>
      <c r="D2007" s="1595" t="s">
        <v>12050</v>
      </c>
      <c r="E2007" s="1595"/>
      <c r="F2007" s="1595"/>
      <c r="G2007" s="1595"/>
      <c r="H2007" s="1596">
        <v>1</v>
      </c>
      <c r="I2007" s="1595"/>
      <c r="J2007" s="1595"/>
      <c r="K2007" s="1597">
        <v>1476</v>
      </c>
      <c r="L2007" s="1597">
        <v>1475.5</v>
      </c>
      <c r="M2007" s="1597">
        <v>-1475.5</v>
      </c>
      <c r="N2007" s="1598"/>
      <c r="O2007" s="1598"/>
      <c r="P2007" s="1597">
        <v>1475.5</v>
      </c>
      <c r="Q2007" s="1597">
        <v>-1475.5</v>
      </c>
      <c r="R2007" s="1598"/>
      <c r="S2007" s="1592"/>
    </row>
    <row r="2008" spans="2:19" s="1593" customFormat="1" ht="11.25" customHeight="1" outlineLevel="1">
      <c r="B2008" s="1594">
        <v>33718</v>
      </c>
      <c r="C2008" s="1595" t="s">
        <v>5403</v>
      </c>
      <c r="D2008" s="1595" t="s">
        <v>12049</v>
      </c>
      <c r="E2008" s="1595"/>
      <c r="F2008" s="1595"/>
      <c r="G2008" s="1595"/>
      <c r="H2008" s="1596">
        <v>1</v>
      </c>
      <c r="I2008" s="1595"/>
      <c r="J2008" s="1595"/>
      <c r="K2008" s="1597">
        <v>1476</v>
      </c>
      <c r="L2008" s="1597">
        <v>1475.5</v>
      </c>
      <c r="M2008" s="1597">
        <v>-1475.5</v>
      </c>
      <c r="N2008" s="1598"/>
      <c r="O2008" s="1598"/>
      <c r="P2008" s="1597">
        <v>1475.5</v>
      </c>
      <c r="Q2008" s="1597">
        <v>-1475.5</v>
      </c>
      <c r="R2008" s="1598"/>
      <c r="S2008" s="1592"/>
    </row>
    <row r="2009" spans="2:19" s="1593" customFormat="1" ht="11.25" customHeight="1" outlineLevel="1">
      <c r="B2009" s="1594">
        <v>35144</v>
      </c>
      <c r="C2009" s="1595" t="s">
        <v>5403</v>
      </c>
      <c r="D2009" s="1595" t="s">
        <v>12048</v>
      </c>
      <c r="E2009" s="1595"/>
      <c r="F2009" s="1595"/>
      <c r="G2009" s="1595"/>
      <c r="H2009" s="1596">
        <v>1</v>
      </c>
      <c r="I2009" s="1595"/>
      <c r="J2009" s="1595"/>
      <c r="K2009" s="1599">
        <v>129</v>
      </c>
      <c r="L2009" s="1599">
        <v>128.5</v>
      </c>
      <c r="M2009" s="1599">
        <v>-128.5</v>
      </c>
      <c r="N2009" s="1598"/>
      <c r="O2009" s="1598"/>
      <c r="P2009" s="1599">
        <v>128.5</v>
      </c>
      <c r="Q2009" s="1599">
        <v>-128.5</v>
      </c>
      <c r="R2009" s="1598"/>
      <c r="S2009" s="1592"/>
    </row>
    <row r="2010" spans="2:19" s="1593" customFormat="1" ht="11.25" customHeight="1" outlineLevel="1">
      <c r="B2010" s="1594">
        <v>35176</v>
      </c>
      <c r="C2010" s="1595" t="s">
        <v>5403</v>
      </c>
      <c r="D2010" s="1595" t="s">
        <v>12047</v>
      </c>
      <c r="E2010" s="1595"/>
      <c r="F2010" s="1595"/>
      <c r="G2010" s="1595"/>
      <c r="H2010" s="1596">
        <v>1</v>
      </c>
      <c r="I2010" s="1595"/>
      <c r="J2010" s="1595"/>
      <c r="K2010" s="1597">
        <v>12095</v>
      </c>
      <c r="L2010" s="1597">
        <v>12095</v>
      </c>
      <c r="M2010" s="1597">
        <v>-12095</v>
      </c>
      <c r="N2010" s="1598"/>
      <c r="O2010" s="1598"/>
      <c r="P2010" s="1597">
        <v>12095</v>
      </c>
      <c r="Q2010" s="1597">
        <v>-12095</v>
      </c>
      <c r="R2010" s="1598"/>
      <c r="S2010" s="1592"/>
    </row>
    <row r="2011" spans="2:19" s="1593" customFormat="1" ht="11.25" customHeight="1" outlineLevel="1">
      <c r="B2011" s="1594">
        <v>35261</v>
      </c>
      <c r="C2011" s="1595" t="s">
        <v>5403</v>
      </c>
      <c r="D2011" s="1595" t="s">
        <v>12046</v>
      </c>
      <c r="E2011" s="1595"/>
      <c r="F2011" s="1595"/>
      <c r="G2011" s="1595"/>
      <c r="H2011" s="1596">
        <v>1</v>
      </c>
      <c r="I2011" s="1595"/>
      <c r="J2011" s="1595"/>
      <c r="K2011" s="1597">
        <v>51744</v>
      </c>
      <c r="L2011" s="1597">
        <v>51743.67</v>
      </c>
      <c r="M2011" s="1597">
        <v>-51743.67</v>
      </c>
      <c r="N2011" s="1598"/>
      <c r="O2011" s="1598"/>
      <c r="P2011" s="1597">
        <v>51743.67</v>
      </c>
      <c r="Q2011" s="1597">
        <v>-51743.67</v>
      </c>
      <c r="R2011" s="1598"/>
      <c r="S2011" s="1592"/>
    </row>
    <row r="2012" spans="2:19" s="1593" customFormat="1" ht="11.25" customHeight="1" outlineLevel="1">
      <c r="B2012" s="1594">
        <v>35282</v>
      </c>
      <c r="C2012" s="1595" t="s">
        <v>5403</v>
      </c>
      <c r="D2012" s="1595" t="s">
        <v>12045</v>
      </c>
      <c r="E2012" s="1595"/>
      <c r="F2012" s="1595"/>
      <c r="G2012" s="1595"/>
      <c r="H2012" s="1596">
        <v>1</v>
      </c>
      <c r="I2012" s="1595"/>
      <c r="J2012" s="1595"/>
      <c r="K2012" s="1599">
        <v>855</v>
      </c>
      <c r="L2012" s="1599">
        <v>854.67</v>
      </c>
      <c r="M2012" s="1599">
        <v>-854.67</v>
      </c>
      <c r="N2012" s="1598"/>
      <c r="O2012" s="1598"/>
      <c r="P2012" s="1599">
        <v>854.67</v>
      </c>
      <c r="Q2012" s="1599">
        <v>-854.67</v>
      </c>
      <c r="R2012" s="1598"/>
      <c r="S2012" s="1592"/>
    </row>
    <row r="2013" spans="2:19" s="1593" customFormat="1" ht="11.25" customHeight="1" outlineLevel="1">
      <c r="B2013" s="1594">
        <v>35286</v>
      </c>
      <c r="C2013" s="1595" t="s">
        <v>5403</v>
      </c>
      <c r="D2013" s="1595" t="s">
        <v>12044</v>
      </c>
      <c r="E2013" s="1595"/>
      <c r="F2013" s="1595"/>
      <c r="G2013" s="1595"/>
      <c r="H2013" s="1596">
        <v>1</v>
      </c>
      <c r="I2013" s="1595"/>
      <c r="J2013" s="1595"/>
      <c r="K2013" s="1599">
        <v>352</v>
      </c>
      <c r="L2013" s="1599">
        <v>351.5</v>
      </c>
      <c r="M2013" s="1599">
        <v>-351.5</v>
      </c>
      <c r="N2013" s="1598"/>
      <c r="O2013" s="1598"/>
      <c r="P2013" s="1599">
        <v>351.5</v>
      </c>
      <c r="Q2013" s="1599">
        <v>-351.5</v>
      </c>
      <c r="R2013" s="1598"/>
      <c r="S2013" s="1592"/>
    </row>
    <row r="2014" spans="2:19" s="1593" customFormat="1" ht="11.25" customHeight="1" outlineLevel="1">
      <c r="B2014" s="1594">
        <v>35288</v>
      </c>
      <c r="C2014" s="1595" t="s">
        <v>5403</v>
      </c>
      <c r="D2014" s="1595" t="s">
        <v>12043</v>
      </c>
      <c r="E2014" s="1595"/>
      <c r="F2014" s="1595"/>
      <c r="G2014" s="1595"/>
      <c r="H2014" s="1596">
        <v>1</v>
      </c>
      <c r="I2014" s="1595"/>
      <c r="J2014" s="1595"/>
      <c r="K2014" s="1599">
        <v>352</v>
      </c>
      <c r="L2014" s="1599">
        <v>351.5</v>
      </c>
      <c r="M2014" s="1599">
        <v>-351.5</v>
      </c>
      <c r="N2014" s="1598"/>
      <c r="O2014" s="1598"/>
      <c r="P2014" s="1599">
        <v>351.5</v>
      </c>
      <c r="Q2014" s="1599">
        <v>-351.5</v>
      </c>
      <c r="R2014" s="1598"/>
      <c r="S2014" s="1592"/>
    </row>
    <row r="2015" spans="2:19" s="1593" customFormat="1" ht="21.75" customHeight="1" outlineLevel="1">
      <c r="B2015" s="1594">
        <v>35291</v>
      </c>
      <c r="C2015" s="1595" t="s">
        <v>5403</v>
      </c>
      <c r="D2015" s="1595" t="s">
        <v>12042</v>
      </c>
      <c r="E2015" s="1595"/>
      <c r="F2015" s="1595"/>
      <c r="G2015" s="1595" t="s">
        <v>5425</v>
      </c>
      <c r="H2015" s="1596">
        <v>1</v>
      </c>
      <c r="I2015" s="1595"/>
      <c r="J2015" s="1595"/>
      <c r="K2015" s="1597">
        <v>25428</v>
      </c>
      <c r="L2015" s="1597">
        <v>25428</v>
      </c>
      <c r="M2015" s="1598"/>
      <c r="N2015" s="1597">
        <v>25428</v>
      </c>
      <c r="O2015" s="1597">
        <v>3044.15</v>
      </c>
      <c r="P2015" s="1597">
        <v>21622.81</v>
      </c>
      <c r="Q2015" s="1599">
        <v>761.04</v>
      </c>
      <c r="R2015" s="1597">
        <v>22383.85</v>
      </c>
      <c r="S2015" s="1592"/>
    </row>
    <row r="2016" spans="2:19" s="1593" customFormat="1" ht="11.25" customHeight="1" outlineLevel="1">
      <c r="B2016" s="1594">
        <v>35292</v>
      </c>
      <c r="C2016" s="1595" t="s">
        <v>5403</v>
      </c>
      <c r="D2016" s="1595" t="s">
        <v>12041</v>
      </c>
      <c r="E2016" s="1595"/>
      <c r="F2016" s="1595"/>
      <c r="G2016" s="1595"/>
      <c r="H2016" s="1596">
        <v>1</v>
      </c>
      <c r="I2016" s="1595"/>
      <c r="J2016" s="1595"/>
      <c r="K2016" s="1597">
        <v>25428</v>
      </c>
      <c r="L2016" s="1597">
        <v>25428</v>
      </c>
      <c r="M2016" s="1598"/>
      <c r="N2016" s="1597">
        <v>25428</v>
      </c>
      <c r="O2016" s="1597">
        <v>3044.15</v>
      </c>
      <c r="P2016" s="1597">
        <v>21622.81</v>
      </c>
      <c r="Q2016" s="1599">
        <v>761.04</v>
      </c>
      <c r="R2016" s="1597">
        <v>22383.85</v>
      </c>
      <c r="S2016" s="1592"/>
    </row>
    <row r="2017" spans="2:19" s="1593" customFormat="1" ht="11.25" customHeight="1" outlineLevel="1">
      <c r="B2017" s="1594">
        <v>35448</v>
      </c>
      <c r="C2017" s="1595" t="s">
        <v>5403</v>
      </c>
      <c r="D2017" s="1595" t="s">
        <v>12040</v>
      </c>
      <c r="E2017" s="1595"/>
      <c r="F2017" s="1595"/>
      <c r="G2017" s="1595"/>
      <c r="H2017" s="1596">
        <v>1</v>
      </c>
      <c r="I2017" s="1595"/>
      <c r="J2017" s="1595"/>
      <c r="K2017" s="1597">
        <v>37614</v>
      </c>
      <c r="L2017" s="1597">
        <v>37613.800000000003</v>
      </c>
      <c r="M2017" s="1597">
        <v>-37613.800000000003</v>
      </c>
      <c r="N2017" s="1598"/>
      <c r="O2017" s="1598"/>
      <c r="P2017" s="1597">
        <v>37613.800000000003</v>
      </c>
      <c r="Q2017" s="1597">
        <v>-37613.800000000003</v>
      </c>
      <c r="R2017" s="1598"/>
      <c r="S2017" s="1592"/>
    </row>
    <row r="2018" spans="2:19" s="1593" customFormat="1" ht="11.25" customHeight="1" outlineLevel="1">
      <c r="B2018" s="1594">
        <v>35449</v>
      </c>
      <c r="C2018" s="1595" t="s">
        <v>5403</v>
      </c>
      <c r="D2018" s="1595" t="s">
        <v>12039</v>
      </c>
      <c r="E2018" s="1595"/>
      <c r="F2018" s="1595"/>
      <c r="G2018" s="1595"/>
      <c r="H2018" s="1596">
        <v>1</v>
      </c>
      <c r="I2018" s="1595"/>
      <c r="J2018" s="1595"/>
      <c r="K2018" s="1597">
        <v>37614</v>
      </c>
      <c r="L2018" s="1597">
        <v>37613.800000000003</v>
      </c>
      <c r="M2018" s="1597">
        <v>-37613.800000000003</v>
      </c>
      <c r="N2018" s="1598"/>
      <c r="O2018" s="1598"/>
      <c r="P2018" s="1597">
        <v>37613.800000000003</v>
      </c>
      <c r="Q2018" s="1597">
        <v>-37613.800000000003</v>
      </c>
      <c r="R2018" s="1598"/>
      <c r="S2018" s="1592"/>
    </row>
    <row r="2019" spans="2:19" s="1593" customFormat="1" ht="11.25" customHeight="1" outlineLevel="1">
      <c r="B2019" s="1594">
        <v>35450</v>
      </c>
      <c r="C2019" s="1595" t="s">
        <v>5403</v>
      </c>
      <c r="D2019" s="1595" t="s">
        <v>12038</v>
      </c>
      <c r="E2019" s="1595"/>
      <c r="F2019" s="1595"/>
      <c r="G2019" s="1595"/>
      <c r="H2019" s="1596">
        <v>1</v>
      </c>
      <c r="I2019" s="1595"/>
      <c r="J2019" s="1595"/>
      <c r="K2019" s="1597">
        <v>37614</v>
      </c>
      <c r="L2019" s="1597">
        <v>37613.800000000003</v>
      </c>
      <c r="M2019" s="1597">
        <v>-37613.800000000003</v>
      </c>
      <c r="N2019" s="1598"/>
      <c r="O2019" s="1598"/>
      <c r="P2019" s="1597">
        <v>37613.800000000003</v>
      </c>
      <c r="Q2019" s="1597">
        <v>-37613.800000000003</v>
      </c>
      <c r="R2019" s="1598"/>
      <c r="S2019" s="1592"/>
    </row>
    <row r="2020" spans="2:19" s="1593" customFormat="1" ht="11.25" customHeight="1" outlineLevel="1">
      <c r="B2020" s="1594">
        <v>35451</v>
      </c>
      <c r="C2020" s="1595" t="s">
        <v>5403</v>
      </c>
      <c r="D2020" s="1595" t="s">
        <v>12037</v>
      </c>
      <c r="E2020" s="1595"/>
      <c r="F2020" s="1595"/>
      <c r="G2020" s="1595"/>
      <c r="H2020" s="1596">
        <v>1</v>
      </c>
      <c r="I2020" s="1595"/>
      <c r="J2020" s="1595"/>
      <c r="K2020" s="1597">
        <v>37614</v>
      </c>
      <c r="L2020" s="1597">
        <v>37613.800000000003</v>
      </c>
      <c r="M2020" s="1597">
        <v>-37613.800000000003</v>
      </c>
      <c r="N2020" s="1598"/>
      <c r="O2020" s="1598"/>
      <c r="P2020" s="1597">
        <v>37613.800000000003</v>
      </c>
      <c r="Q2020" s="1597">
        <v>-37613.800000000003</v>
      </c>
      <c r="R2020" s="1598"/>
      <c r="S2020" s="1592"/>
    </row>
    <row r="2021" spans="2:19" s="1593" customFormat="1" ht="11.25" customHeight="1" outlineLevel="1">
      <c r="B2021" s="1594">
        <v>35452</v>
      </c>
      <c r="C2021" s="1595" t="s">
        <v>5403</v>
      </c>
      <c r="D2021" s="1595" t="s">
        <v>12036</v>
      </c>
      <c r="E2021" s="1595"/>
      <c r="F2021" s="1595"/>
      <c r="G2021" s="1595"/>
      <c r="H2021" s="1596">
        <v>1</v>
      </c>
      <c r="I2021" s="1595"/>
      <c r="J2021" s="1595"/>
      <c r="K2021" s="1597">
        <v>37614</v>
      </c>
      <c r="L2021" s="1597">
        <v>37613.800000000003</v>
      </c>
      <c r="M2021" s="1597">
        <v>-37613.800000000003</v>
      </c>
      <c r="N2021" s="1598"/>
      <c r="O2021" s="1598"/>
      <c r="P2021" s="1597">
        <v>37613.800000000003</v>
      </c>
      <c r="Q2021" s="1597">
        <v>-37613.800000000003</v>
      </c>
      <c r="R2021" s="1598"/>
      <c r="S2021" s="1592"/>
    </row>
    <row r="2022" spans="2:19" s="1593" customFormat="1" ht="11.25" customHeight="1" outlineLevel="1">
      <c r="B2022" s="1594">
        <v>35453</v>
      </c>
      <c r="C2022" s="1595" t="s">
        <v>5403</v>
      </c>
      <c r="D2022" s="1595" t="s">
        <v>12035</v>
      </c>
      <c r="E2022" s="1595"/>
      <c r="F2022" s="1595"/>
      <c r="G2022" s="1595"/>
      <c r="H2022" s="1596">
        <v>1</v>
      </c>
      <c r="I2022" s="1595"/>
      <c r="J2022" s="1595"/>
      <c r="K2022" s="1597">
        <v>37614</v>
      </c>
      <c r="L2022" s="1597">
        <v>37613.800000000003</v>
      </c>
      <c r="M2022" s="1597">
        <v>-37613.800000000003</v>
      </c>
      <c r="N2022" s="1598"/>
      <c r="O2022" s="1598"/>
      <c r="P2022" s="1597">
        <v>37613.800000000003</v>
      </c>
      <c r="Q2022" s="1597">
        <v>-37613.800000000003</v>
      </c>
      <c r="R2022" s="1598"/>
      <c r="S2022" s="1592"/>
    </row>
    <row r="2023" spans="2:19" s="1593" customFormat="1" ht="11.25" customHeight="1" outlineLevel="1">
      <c r="B2023" s="1594">
        <v>35454</v>
      </c>
      <c r="C2023" s="1595" t="s">
        <v>5403</v>
      </c>
      <c r="D2023" s="1595" t="s">
        <v>12034</v>
      </c>
      <c r="E2023" s="1595"/>
      <c r="F2023" s="1595"/>
      <c r="G2023" s="1595"/>
      <c r="H2023" s="1596">
        <v>1</v>
      </c>
      <c r="I2023" s="1595"/>
      <c r="J2023" s="1595"/>
      <c r="K2023" s="1597">
        <v>37614</v>
      </c>
      <c r="L2023" s="1597">
        <v>37613.800000000003</v>
      </c>
      <c r="M2023" s="1597">
        <v>-37613.800000000003</v>
      </c>
      <c r="N2023" s="1598"/>
      <c r="O2023" s="1598"/>
      <c r="P2023" s="1597">
        <v>37613.800000000003</v>
      </c>
      <c r="Q2023" s="1597">
        <v>-37613.800000000003</v>
      </c>
      <c r="R2023" s="1598"/>
      <c r="S2023" s="1592"/>
    </row>
    <row r="2024" spans="2:19" s="1593" customFormat="1" ht="11.25" customHeight="1" outlineLevel="1">
      <c r="B2024" s="1594">
        <v>35455</v>
      </c>
      <c r="C2024" s="1595" t="s">
        <v>5403</v>
      </c>
      <c r="D2024" s="1595" t="s">
        <v>12033</v>
      </c>
      <c r="E2024" s="1595"/>
      <c r="F2024" s="1595"/>
      <c r="G2024" s="1595"/>
      <c r="H2024" s="1596">
        <v>1</v>
      </c>
      <c r="I2024" s="1595"/>
      <c r="J2024" s="1595"/>
      <c r="K2024" s="1597">
        <v>37614</v>
      </c>
      <c r="L2024" s="1597">
        <v>37613.800000000003</v>
      </c>
      <c r="M2024" s="1597">
        <v>-37613.800000000003</v>
      </c>
      <c r="N2024" s="1598"/>
      <c r="O2024" s="1598"/>
      <c r="P2024" s="1597">
        <v>37613.800000000003</v>
      </c>
      <c r="Q2024" s="1597">
        <v>-37613.800000000003</v>
      </c>
      <c r="R2024" s="1598"/>
      <c r="S2024" s="1592"/>
    </row>
    <row r="2025" spans="2:19" s="1593" customFormat="1" ht="11.25" customHeight="1" outlineLevel="1">
      <c r="B2025" s="1594">
        <v>35456</v>
      </c>
      <c r="C2025" s="1595" t="s">
        <v>5403</v>
      </c>
      <c r="D2025" s="1595" t="s">
        <v>12032</v>
      </c>
      <c r="E2025" s="1595"/>
      <c r="F2025" s="1595"/>
      <c r="G2025" s="1595"/>
      <c r="H2025" s="1596">
        <v>1</v>
      </c>
      <c r="I2025" s="1595"/>
      <c r="J2025" s="1595"/>
      <c r="K2025" s="1597">
        <v>37614</v>
      </c>
      <c r="L2025" s="1597">
        <v>37613.800000000003</v>
      </c>
      <c r="M2025" s="1597">
        <v>-37613.800000000003</v>
      </c>
      <c r="N2025" s="1598"/>
      <c r="O2025" s="1598"/>
      <c r="P2025" s="1597">
        <v>37613.800000000003</v>
      </c>
      <c r="Q2025" s="1597">
        <v>-37613.800000000003</v>
      </c>
      <c r="R2025" s="1598"/>
      <c r="S2025" s="1592"/>
    </row>
    <row r="2026" spans="2:19" s="1593" customFormat="1" ht="11.25" customHeight="1" outlineLevel="1">
      <c r="B2026" s="1594">
        <v>35547</v>
      </c>
      <c r="C2026" s="1595" t="s">
        <v>5403</v>
      </c>
      <c r="D2026" s="1595" t="s">
        <v>12031</v>
      </c>
      <c r="E2026" s="1595"/>
      <c r="F2026" s="1595"/>
      <c r="G2026" s="1595" t="s">
        <v>12030</v>
      </c>
      <c r="H2026" s="1596">
        <v>1</v>
      </c>
      <c r="I2026" s="1595"/>
      <c r="J2026" s="1595"/>
      <c r="K2026" s="1599">
        <v>778</v>
      </c>
      <c r="L2026" s="1599">
        <v>778.25</v>
      </c>
      <c r="M2026" s="1598"/>
      <c r="N2026" s="1599">
        <v>778.25</v>
      </c>
      <c r="O2026" s="1599">
        <v>72.180000000000007</v>
      </c>
      <c r="P2026" s="1599">
        <v>682</v>
      </c>
      <c r="Q2026" s="1599">
        <v>24.07</v>
      </c>
      <c r="R2026" s="1599">
        <v>706.07</v>
      </c>
      <c r="S2026" s="1592"/>
    </row>
    <row r="2027" spans="2:19" s="1593" customFormat="1" ht="11.25" customHeight="1" outlineLevel="1">
      <c r="B2027" s="1594">
        <v>35548</v>
      </c>
      <c r="C2027" s="1595" t="s">
        <v>5403</v>
      </c>
      <c r="D2027" s="1595" t="s">
        <v>12029</v>
      </c>
      <c r="E2027" s="1595"/>
      <c r="F2027" s="1595"/>
      <c r="G2027" s="1595" t="s">
        <v>12028</v>
      </c>
      <c r="H2027" s="1596">
        <v>1</v>
      </c>
      <c r="I2027" s="1595"/>
      <c r="J2027" s="1595"/>
      <c r="K2027" s="1599">
        <v>778</v>
      </c>
      <c r="L2027" s="1599">
        <v>778.25</v>
      </c>
      <c r="M2027" s="1598"/>
      <c r="N2027" s="1599">
        <v>778.25</v>
      </c>
      <c r="O2027" s="1599">
        <v>72.180000000000007</v>
      </c>
      <c r="P2027" s="1599">
        <v>682</v>
      </c>
      <c r="Q2027" s="1599">
        <v>24.07</v>
      </c>
      <c r="R2027" s="1599">
        <v>706.07</v>
      </c>
      <c r="S2027" s="1592"/>
    </row>
    <row r="2028" spans="2:19" s="1593" customFormat="1" ht="21.75" customHeight="1" outlineLevel="1">
      <c r="B2028" s="1594">
        <v>35549</v>
      </c>
      <c r="C2028" s="1595" t="s">
        <v>5403</v>
      </c>
      <c r="D2028" s="1595" t="s">
        <v>12027</v>
      </c>
      <c r="E2028" s="1595"/>
      <c r="F2028" s="1595"/>
      <c r="G2028" s="1595" t="s">
        <v>12026</v>
      </c>
      <c r="H2028" s="1596">
        <v>1</v>
      </c>
      <c r="I2028" s="1595"/>
      <c r="J2028" s="1595"/>
      <c r="K2028" s="1597">
        <v>23425</v>
      </c>
      <c r="L2028" s="1597">
        <v>23425.25</v>
      </c>
      <c r="M2028" s="1598"/>
      <c r="N2028" s="1597">
        <v>23425.25</v>
      </c>
      <c r="O2028" s="1597">
        <v>2803.23</v>
      </c>
      <c r="P2028" s="1597">
        <v>19921.22</v>
      </c>
      <c r="Q2028" s="1599">
        <v>700.8</v>
      </c>
      <c r="R2028" s="1597">
        <v>20622.02</v>
      </c>
      <c r="S2028" s="1592"/>
    </row>
    <row r="2029" spans="2:19" s="1593" customFormat="1" ht="21.75" customHeight="1" outlineLevel="1">
      <c r="B2029" s="1594">
        <v>35550</v>
      </c>
      <c r="C2029" s="1595" t="s">
        <v>5403</v>
      </c>
      <c r="D2029" s="1595" t="s">
        <v>12025</v>
      </c>
      <c r="E2029" s="1595"/>
      <c r="F2029" s="1595"/>
      <c r="G2029" s="1595" t="s">
        <v>12024</v>
      </c>
      <c r="H2029" s="1596">
        <v>1</v>
      </c>
      <c r="I2029" s="1595"/>
      <c r="J2029" s="1595"/>
      <c r="K2029" s="1597">
        <v>23425</v>
      </c>
      <c r="L2029" s="1597">
        <v>23425.25</v>
      </c>
      <c r="M2029" s="1598"/>
      <c r="N2029" s="1597">
        <v>23425.25</v>
      </c>
      <c r="O2029" s="1597">
        <v>2803.23</v>
      </c>
      <c r="P2029" s="1597">
        <v>19921.22</v>
      </c>
      <c r="Q2029" s="1599">
        <v>700.8</v>
      </c>
      <c r="R2029" s="1597">
        <v>20622.02</v>
      </c>
      <c r="S2029" s="1592"/>
    </row>
    <row r="2030" spans="2:19" s="1593" customFormat="1" ht="21.75" customHeight="1" outlineLevel="1">
      <c r="B2030" s="1594">
        <v>35552</v>
      </c>
      <c r="C2030" s="1595" t="s">
        <v>5403</v>
      </c>
      <c r="D2030" s="1595" t="s">
        <v>12023</v>
      </c>
      <c r="E2030" s="1595"/>
      <c r="F2030" s="1595"/>
      <c r="G2030" s="1595" t="s">
        <v>12022</v>
      </c>
      <c r="H2030" s="1596">
        <v>1</v>
      </c>
      <c r="I2030" s="1595"/>
      <c r="J2030" s="1595"/>
      <c r="K2030" s="1599">
        <v>582</v>
      </c>
      <c r="L2030" s="1599">
        <v>581.89</v>
      </c>
      <c r="M2030" s="1598"/>
      <c r="N2030" s="1599">
        <v>581.89</v>
      </c>
      <c r="O2030" s="1599">
        <v>69.92</v>
      </c>
      <c r="P2030" s="1599">
        <v>494.45</v>
      </c>
      <c r="Q2030" s="1599">
        <v>17.52</v>
      </c>
      <c r="R2030" s="1599">
        <v>511.97</v>
      </c>
      <c r="S2030" s="1592"/>
    </row>
    <row r="2031" spans="2:19" s="1593" customFormat="1" ht="21.75" customHeight="1" outlineLevel="1">
      <c r="B2031" s="1594">
        <v>35553</v>
      </c>
      <c r="C2031" s="1595" t="s">
        <v>5403</v>
      </c>
      <c r="D2031" s="1595" t="s">
        <v>12021</v>
      </c>
      <c r="E2031" s="1595"/>
      <c r="F2031" s="1595"/>
      <c r="G2031" s="1595" t="s">
        <v>12020</v>
      </c>
      <c r="H2031" s="1596">
        <v>1</v>
      </c>
      <c r="I2031" s="1595"/>
      <c r="J2031" s="1595"/>
      <c r="K2031" s="1599">
        <v>582</v>
      </c>
      <c r="L2031" s="1599">
        <v>581.89</v>
      </c>
      <c r="M2031" s="1598"/>
      <c r="N2031" s="1599">
        <v>581.89</v>
      </c>
      <c r="O2031" s="1599">
        <v>69.92</v>
      </c>
      <c r="P2031" s="1599">
        <v>494.45</v>
      </c>
      <c r="Q2031" s="1599">
        <v>17.52</v>
      </c>
      <c r="R2031" s="1599">
        <v>511.97</v>
      </c>
      <c r="S2031" s="1592"/>
    </row>
    <row r="2032" spans="2:19" s="1593" customFormat="1" ht="21.75" customHeight="1" outlineLevel="1">
      <c r="B2032" s="1594">
        <v>35554</v>
      </c>
      <c r="C2032" s="1595" t="s">
        <v>5403</v>
      </c>
      <c r="D2032" s="1595" t="s">
        <v>12019</v>
      </c>
      <c r="E2032" s="1595"/>
      <c r="F2032" s="1595"/>
      <c r="G2032" s="1595" t="s">
        <v>12018</v>
      </c>
      <c r="H2032" s="1596">
        <v>1</v>
      </c>
      <c r="I2032" s="1595"/>
      <c r="J2032" s="1595"/>
      <c r="K2032" s="1599">
        <v>582</v>
      </c>
      <c r="L2032" s="1599">
        <v>581.89</v>
      </c>
      <c r="M2032" s="1598"/>
      <c r="N2032" s="1599">
        <v>581.89</v>
      </c>
      <c r="O2032" s="1599">
        <v>69.92</v>
      </c>
      <c r="P2032" s="1599">
        <v>494.45</v>
      </c>
      <c r="Q2032" s="1599">
        <v>17.52</v>
      </c>
      <c r="R2032" s="1599">
        <v>511.97</v>
      </c>
      <c r="S2032" s="1592"/>
    </row>
    <row r="2033" spans="2:19" s="1593" customFormat="1" ht="21.75" customHeight="1" outlineLevel="1">
      <c r="B2033" s="1594">
        <v>35555</v>
      </c>
      <c r="C2033" s="1595" t="s">
        <v>5403</v>
      </c>
      <c r="D2033" s="1595" t="s">
        <v>12017</v>
      </c>
      <c r="E2033" s="1595"/>
      <c r="F2033" s="1595"/>
      <c r="G2033" s="1595" t="s">
        <v>12016</v>
      </c>
      <c r="H2033" s="1596">
        <v>1</v>
      </c>
      <c r="I2033" s="1595"/>
      <c r="J2033" s="1595"/>
      <c r="K2033" s="1599">
        <v>582</v>
      </c>
      <c r="L2033" s="1599">
        <v>581.89</v>
      </c>
      <c r="M2033" s="1598"/>
      <c r="N2033" s="1599">
        <v>581.89</v>
      </c>
      <c r="O2033" s="1599">
        <v>69.92</v>
      </c>
      <c r="P2033" s="1599">
        <v>494.45</v>
      </c>
      <c r="Q2033" s="1599">
        <v>17.52</v>
      </c>
      <c r="R2033" s="1599">
        <v>511.97</v>
      </c>
      <c r="S2033" s="1592"/>
    </row>
    <row r="2034" spans="2:19" s="1593" customFormat="1" ht="21.75" customHeight="1" outlineLevel="1">
      <c r="B2034" s="1594">
        <v>35556</v>
      </c>
      <c r="C2034" s="1595" t="s">
        <v>5403</v>
      </c>
      <c r="D2034" s="1595" t="s">
        <v>12015</v>
      </c>
      <c r="E2034" s="1595"/>
      <c r="F2034" s="1595"/>
      <c r="G2034" s="1595" t="s">
        <v>12014</v>
      </c>
      <c r="H2034" s="1596">
        <v>1</v>
      </c>
      <c r="I2034" s="1595"/>
      <c r="J2034" s="1595"/>
      <c r="K2034" s="1599">
        <v>582</v>
      </c>
      <c r="L2034" s="1599">
        <v>581.89</v>
      </c>
      <c r="M2034" s="1598"/>
      <c r="N2034" s="1599">
        <v>581.89</v>
      </c>
      <c r="O2034" s="1599">
        <v>69.92</v>
      </c>
      <c r="P2034" s="1599">
        <v>494.45</v>
      </c>
      <c r="Q2034" s="1599">
        <v>17.52</v>
      </c>
      <c r="R2034" s="1599">
        <v>511.97</v>
      </c>
      <c r="S2034" s="1592"/>
    </row>
    <row r="2035" spans="2:19" s="1593" customFormat="1" ht="21.75" customHeight="1" outlineLevel="1">
      <c r="B2035" s="1594">
        <v>35557</v>
      </c>
      <c r="C2035" s="1595" t="s">
        <v>5403</v>
      </c>
      <c r="D2035" s="1595" t="s">
        <v>12013</v>
      </c>
      <c r="E2035" s="1595"/>
      <c r="F2035" s="1595"/>
      <c r="G2035" s="1595" t="s">
        <v>12012</v>
      </c>
      <c r="H2035" s="1596">
        <v>1</v>
      </c>
      <c r="I2035" s="1595"/>
      <c r="J2035" s="1595"/>
      <c r="K2035" s="1599">
        <v>582</v>
      </c>
      <c r="L2035" s="1599">
        <v>581.89</v>
      </c>
      <c r="M2035" s="1598"/>
      <c r="N2035" s="1599">
        <v>581.89</v>
      </c>
      <c r="O2035" s="1599">
        <v>69.92</v>
      </c>
      <c r="P2035" s="1599">
        <v>494.45</v>
      </c>
      <c r="Q2035" s="1599">
        <v>17.52</v>
      </c>
      <c r="R2035" s="1599">
        <v>511.97</v>
      </c>
      <c r="S2035" s="1592"/>
    </row>
    <row r="2036" spans="2:19" s="1593" customFormat="1" ht="21.75" customHeight="1" outlineLevel="1">
      <c r="B2036" s="1594">
        <v>35558</v>
      </c>
      <c r="C2036" s="1595" t="s">
        <v>5403</v>
      </c>
      <c r="D2036" s="1595" t="s">
        <v>12011</v>
      </c>
      <c r="E2036" s="1595"/>
      <c r="F2036" s="1595"/>
      <c r="G2036" s="1595" t="s">
        <v>12010</v>
      </c>
      <c r="H2036" s="1596">
        <v>1</v>
      </c>
      <c r="I2036" s="1595"/>
      <c r="J2036" s="1595"/>
      <c r="K2036" s="1599">
        <v>582</v>
      </c>
      <c r="L2036" s="1599">
        <v>581.89</v>
      </c>
      <c r="M2036" s="1598"/>
      <c r="N2036" s="1599">
        <v>581.89</v>
      </c>
      <c r="O2036" s="1599">
        <v>69.92</v>
      </c>
      <c r="P2036" s="1599">
        <v>494.45</v>
      </c>
      <c r="Q2036" s="1599">
        <v>17.52</v>
      </c>
      <c r="R2036" s="1599">
        <v>511.97</v>
      </c>
      <c r="S2036" s="1592"/>
    </row>
    <row r="2037" spans="2:19" s="1593" customFormat="1" ht="11.25" customHeight="1" outlineLevel="1">
      <c r="B2037" s="1594">
        <v>35608</v>
      </c>
      <c r="C2037" s="1595" t="s">
        <v>5403</v>
      </c>
      <c r="D2037" s="1595" t="s">
        <v>12009</v>
      </c>
      <c r="E2037" s="1595"/>
      <c r="F2037" s="1595"/>
      <c r="G2037" s="1595"/>
      <c r="H2037" s="1596">
        <v>1</v>
      </c>
      <c r="I2037" s="1595"/>
      <c r="J2037" s="1595"/>
      <c r="K2037" s="1599">
        <v>187</v>
      </c>
      <c r="L2037" s="1599">
        <v>186.5</v>
      </c>
      <c r="M2037" s="1599">
        <v>-186.5</v>
      </c>
      <c r="N2037" s="1598"/>
      <c r="O2037" s="1598"/>
      <c r="P2037" s="1599">
        <v>186.5</v>
      </c>
      <c r="Q2037" s="1599">
        <v>-186.5</v>
      </c>
      <c r="R2037" s="1598"/>
      <c r="S2037" s="1592"/>
    </row>
    <row r="2038" spans="2:19" s="1593" customFormat="1" ht="11.25" customHeight="1" outlineLevel="1">
      <c r="B2038" s="1594">
        <v>35609</v>
      </c>
      <c r="C2038" s="1595" t="s">
        <v>5403</v>
      </c>
      <c r="D2038" s="1595" t="s">
        <v>12008</v>
      </c>
      <c r="E2038" s="1595"/>
      <c r="F2038" s="1595"/>
      <c r="G2038" s="1595"/>
      <c r="H2038" s="1596">
        <v>1</v>
      </c>
      <c r="I2038" s="1595"/>
      <c r="J2038" s="1595"/>
      <c r="K2038" s="1599">
        <v>187</v>
      </c>
      <c r="L2038" s="1599">
        <v>186.5</v>
      </c>
      <c r="M2038" s="1599">
        <v>-186.5</v>
      </c>
      <c r="N2038" s="1598"/>
      <c r="O2038" s="1598"/>
      <c r="P2038" s="1599">
        <v>186.5</v>
      </c>
      <c r="Q2038" s="1599">
        <v>-186.5</v>
      </c>
      <c r="R2038" s="1598"/>
      <c r="S2038" s="1592"/>
    </row>
    <row r="2039" spans="2:19" s="1593" customFormat="1" ht="11.25" customHeight="1" outlineLevel="1">
      <c r="B2039" s="1594">
        <v>35610</v>
      </c>
      <c r="C2039" s="1595" t="s">
        <v>5403</v>
      </c>
      <c r="D2039" s="1595" t="s">
        <v>12007</v>
      </c>
      <c r="E2039" s="1595"/>
      <c r="F2039" s="1595"/>
      <c r="G2039" s="1595"/>
      <c r="H2039" s="1596">
        <v>1</v>
      </c>
      <c r="I2039" s="1595"/>
      <c r="J2039" s="1595"/>
      <c r="K2039" s="1599">
        <v>187</v>
      </c>
      <c r="L2039" s="1599">
        <v>186.5</v>
      </c>
      <c r="M2039" s="1599">
        <v>-186.5</v>
      </c>
      <c r="N2039" s="1598"/>
      <c r="O2039" s="1598"/>
      <c r="P2039" s="1599">
        <v>186.5</v>
      </c>
      <c r="Q2039" s="1599">
        <v>-186.5</v>
      </c>
      <c r="R2039" s="1598"/>
      <c r="S2039" s="1592"/>
    </row>
    <row r="2040" spans="2:19" s="1593" customFormat="1" ht="11.25" customHeight="1" outlineLevel="1">
      <c r="B2040" s="1594">
        <v>36784</v>
      </c>
      <c r="C2040" s="1595" t="s">
        <v>5403</v>
      </c>
      <c r="D2040" s="1595" t="s">
        <v>12006</v>
      </c>
      <c r="E2040" s="1595"/>
      <c r="F2040" s="1595"/>
      <c r="G2040" s="1595"/>
      <c r="H2040" s="1596">
        <v>1</v>
      </c>
      <c r="I2040" s="1595"/>
      <c r="J2040" s="1595"/>
      <c r="K2040" s="1597">
        <v>28364</v>
      </c>
      <c r="L2040" s="1597">
        <v>28364.5</v>
      </c>
      <c r="M2040" s="1597">
        <v>-28364.5</v>
      </c>
      <c r="N2040" s="1598"/>
      <c r="O2040" s="1598"/>
      <c r="P2040" s="1597">
        <v>28364.5</v>
      </c>
      <c r="Q2040" s="1597">
        <v>-28364.5</v>
      </c>
      <c r="R2040" s="1598"/>
      <c r="S2040" s="1592"/>
    </row>
    <row r="2041" spans="2:19" s="1593" customFormat="1" ht="11.25" customHeight="1" outlineLevel="1">
      <c r="B2041" s="1594">
        <v>36790</v>
      </c>
      <c r="C2041" s="1595" t="s">
        <v>5403</v>
      </c>
      <c r="D2041" s="1595" t="s">
        <v>12005</v>
      </c>
      <c r="E2041" s="1595"/>
      <c r="F2041" s="1595"/>
      <c r="G2041" s="1595"/>
      <c r="H2041" s="1596">
        <v>1</v>
      </c>
      <c r="I2041" s="1595"/>
      <c r="J2041" s="1595"/>
      <c r="K2041" s="1597">
        <v>49330</v>
      </c>
      <c r="L2041" s="1597">
        <v>49329.5</v>
      </c>
      <c r="M2041" s="1597">
        <v>-49329.5</v>
      </c>
      <c r="N2041" s="1598"/>
      <c r="O2041" s="1598"/>
      <c r="P2041" s="1597">
        <v>49329.5</v>
      </c>
      <c r="Q2041" s="1597">
        <v>-49329.5</v>
      </c>
      <c r="R2041" s="1598"/>
      <c r="S2041" s="1592"/>
    </row>
    <row r="2042" spans="2:19" s="1593" customFormat="1" ht="11.25" customHeight="1" outlineLevel="1">
      <c r="B2042" s="1594">
        <v>37318</v>
      </c>
      <c r="C2042" s="1595" t="s">
        <v>5403</v>
      </c>
      <c r="D2042" s="1595" t="s">
        <v>12004</v>
      </c>
      <c r="E2042" s="1595"/>
      <c r="F2042" s="1595"/>
      <c r="G2042" s="1595"/>
      <c r="H2042" s="1596">
        <v>1</v>
      </c>
      <c r="I2042" s="1595"/>
      <c r="J2042" s="1595"/>
      <c r="K2042" s="1597">
        <v>2231</v>
      </c>
      <c r="L2042" s="1597">
        <v>2230.67</v>
      </c>
      <c r="M2042" s="1597">
        <v>-2230.67</v>
      </c>
      <c r="N2042" s="1598"/>
      <c r="O2042" s="1598"/>
      <c r="P2042" s="1597">
        <v>2230.67</v>
      </c>
      <c r="Q2042" s="1597">
        <v>-2230.67</v>
      </c>
      <c r="R2042" s="1598"/>
      <c r="S2042" s="1592"/>
    </row>
    <row r="2043" spans="2:19" s="1593" customFormat="1" ht="11.25" customHeight="1" outlineLevel="1">
      <c r="B2043" s="1594">
        <v>37321</v>
      </c>
      <c r="C2043" s="1595" t="s">
        <v>5403</v>
      </c>
      <c r="D2043" s="1595" t="s">
        <v>12003</v>
      </c>
      <c r="E2043" s="1595"/>
      <c r="F2043" s="1595"/>
      <c r="G2043" s="1595"/>
      <c r="H2043" s="1596">
        <v>1</v>
      </c>
      <c r="I2043" s="1595"/>
      <c r="J2043" s="1595"/>
      <c r="K2043" s="1599">
        <v>109</v>
      </c>
      <c r="L2043" s="1599">
        <v>109.33</v>
      </c>
      <c r="M2043" s="1599">
        <v>-109.33</v>
      </c>
      <c r="N2043" s="1598"/>
      <c r="O2043" s="1598"/>
      <c r="P2043" s="1599">
        <v>109.33</v>
      </c>
      <c r="Q2043" s="1599">
        <v>-109.33</v>
      </c>
      <c r="R2043" s="1598"/>
      <c r="S2043" s="1592"/>
    </row>
    <row r="2044" spans="2:19" s="1593" customFormat="1" ht="11.25" customHeight="1" outlineLevel="1">
      <c r="B2044" s="1594">
        <v>11394</v>
      </c>
      <c r="C2044" s="1595" t="s">
        <v>5358</v>
      </c>
      <c r="D2044" s="1595" t="s">
        <v>12002</v>
      </c>
      <c r="E2044" s="1595"/>
      <c r="F2044" s="1595"/>
      <c r="G2044" s="1595"/>
      <c r="H2044" s="1596">
        <v>1</v>
      </c>
      <c r="I2044" s="1595"/>
      <c r="J2044" s="1595"/>
      <c r="K2044" s="1599">
        <v>85</v>
      </c>
      <c r="L2044" s="1599">
        <v>85</v>
      </c>
      <c r="M2044" s="1599">
        <v>-85</v>
      </c>
      <c r="N2044" s="1598"/>
      <c r="O2044" s="1598"/>
      <c r="P2044" s="1599">
        <v>85</v>
      </c>
      <c r="Q2044" s="1599">
        <v>-85</v>
      </c>
      <c r="R2044" s="1598"/>
      <c r="S2044" s="1592"/>
    </row>
    <row r="2045" spans="2:19" s="1593" customFormat="1" ht="11.25" customHeight="1" outlineLevel="1">
      <c r="B2045" s="1594">
        <v>35567</v>
      </c>
      <c r="C2045" s="1595" t="s">
        <v>5358</v>
      </c>
      <c r="D2045" s="1595" t="s">
        <v>12001</v>
      </c>
      <c r="E2045" s="1595"/>
      <c r="F2045" s="1595"/>
      <c r="G2045" s="1595"/>
      <c r="H2045" s="1596">
        <v>1</v>
      </c>
      <c r="I2045" s="1595"/>
      <c r="J2045" s="1595"/>
      <c r="K2045" s="1599">
        <v>85</v>
      </c>
      <c r="L2045" s="1599">
        <v>85</v>
      </c>
      <c r="M2045" s="1599">
        <v>-85</v>
      </c>
      <c r="N2045" s="1598"/>
      <c r="O2045" s="1598"/>
      <c r="P2045" s="1599">
        <v>85</v>
      </c>
      <c r="Q2045" s="1599">
        <v>-85</v>
      </c>
      <c r="R2045" s="1598"/>
      <c r="S2045" s="1592"/>
    </row>
    <row r="2046" spans="2:19" s="1593" customFormat="1" ht="11.25" customHeight="1" outlineLevel="1">
      <c r="B2046" s="1594">
        <v>25934</v>
      </c>
      <c r="C2046" s="1595" t="s">
        <v>5335</v>
      </c>
      <c r="D2046" s="1595" t="s">
        <v>12000</v>
      </c>
      <c r="E2046" s="1595"/>
      <c r="F2046" s="1595"/>
      <c r="G2046" s="1595" t="s">
        <v>11999</v>
      </c>
      <c r="H2046" s="1596">
        <v>1</v>
      </c>
      <c r="I2046" s="1595"/>
      <c r="J2046" s="1595"/>
      <c r="K2046" s="1597">
        <v>24783</v>
      </c>
      <c r="L2046" s="1597">
        <v>24783</v>
      </c>
      <c r="M2046" s="1598"/>
      <c r="N2046" s="1597">
        <v>24783</v>
      </c>
      <c r="O2046" s="1597">
        <v>4992.6899999999996</v>
      </c>
      <c r="P2046" s="1597">
        <v>19077.03</v>
      </c>
      <c r="Q2046" s="1599">
        <v>713.28</v>
      </c>
      <c r="R2046" s="1597">
        <v>19790.310000000001</v>
      </c>
      <c r="S2046" s="1592"/>
    </row>
    <row r="2047" spans="2:19" s="1593" customFormat="1" ht="11.25" customHeight="1" outlineLevel="1">
      <c r="B2047" s="1594">
        <v>25936</v>
      </c>
      <c r="C2047" s="1595" t="s">
        <v>5335</v>
      </c>
      <c r="D2047" s="1595" t="s">
        <v>11998</v>
      </c>
      <c r="E2047" s="1595"/>
      <c r="F2047" s="1595"/>
      <c r="G2047" s="1595" t="s">
        <v>11997</v>
      </c>
      <c r="H2047" s="1596">
        <v>1</v>
      </c>
      <c r="I2047" s="1595"/>
      <c r="J2047" s="1595"/>
      <c r="K2047" s="1597">
        <v>24783</v>
      </c>
      <c r="L2047" s="1597">
        <v>24783</v>
      </c>
      <c r="M2047" s="1598"/>
      <c r="N2047" s="1597">
        <v>24783</v>
      </c>
      <c r="O2047" s="1597">
        <v>4992.6899999999996</v>
      </c>
      <c r="P2047" s="1597">
        <v>19077.03</v>
      </c>
      <c r="Q2047" s="1599">
        <v>713.28</v>
      </c>
      <c r="R2047" s="1597">
        <v>19790.310000000001</v>
      </c>
      <c r="S2047" s="1592"/>
    </row>
    <row r="2048" spans="2:19" s="1593" customFormat="1" ht="11.25" customHeight="1" outlineLevel="1">
      <c r="B2048" s="1594">
        <v>25939</v>
      </c>
      <c r="C2048" s="1595" t="s">
        <v>5335</v>
      </c>
      <c r="D2048" s="1595" t="s">
        <v>11996</v>
      </c>
      <c r="E2048" s="1595"/>
      <c r="F2048" s="1595"/>
      <c r="G2048" s="1595" t="s">
        <v>11995</v>
      </c>
      <c r="H2048" s="1596">
        <v>1</v>
      </c>
      <c r="I2048" s="1595"/>
      <c r="J2048" s="1595"/>
      <c r="K2048" s="1597">
        <v>24783</v>
      </c>
      <c r="L2048" s="1597">
        <v>24783</v>
      </c>
      <c r="M2048" s="1598"/>
      <c r="N2048" s="1597">
        <v>24783</v>
      </c>
      <c r="O2048" s="1597">
        <v>4992.6899999999996</v>
      </c>
      <c r="P2048" s="1597">
        <v>19077.03</v>
      </c>
      <c r="Q2048" s="1599">
        <v>713.28</v>
      </c>
      <c r="R2048" s="1597">
        <v>19790.310000000001</v>
      </c>
      <c r="S2048" s="1592"/>
    </row>
    <row r="2049" spans="2:19" s="1593" customFormat="1" ht="21.75" customHeight="1" outlineLevel="1">
      <c r="B2049" s="1594">
        <v>24026</v>
      </c>
      <c r="C2049" s="1595" t="s">
        <v>5172</v>
      </c>
      <c r="D2049" s="1595" t="s">
        <v>11994</v>
      </c>
      <c r="E2049" s="1595"/>
      <c r="F2049" s="1595"/>
      <c r="G2049" s="1595" t="s">
        <v>11993</v>
      </c>
      <c r="H2049" s="1596">
        <v>1</v>
      </c>
      <c r="I2049" s="1595"/>
      <c r="J2049" s="1595"/>
      <c r="K2049" s="1597">
        <v>1786</v>
      </c>
      <c r="L2049" s="1597">
        <v>1786</v>
      </c>
      <c r="M2049" s="1598"/>
      <c r="N2049" s="1597">
        <v>1786</v>
      </c>
      <c r="O2049" s="1599">
        <v>367</v>
      </c>
      <c r="P2049" s="1597">
        <v>1366.56</v>
      </c>
      <c r="Q2049" s="1599">
        <v>52.44</v>
      </c>
      <c r="R2049" s="1597">
        <v>1419</v>
      </c>
      <c r="S2049" s="1592"/>
    </row>
    <row r="2050" spans="2:19" s="1593" customFormat="1" ht="11.25" customHeight="1" outlineLevel="1">
      <c r="B2050" s="1594">
        <v>22800</v>
      </c>
      <c r="C2050" s="1595" t="s">
        <v>5053</v>
      </c>
      <c r="D2050" s="1595" t="s">
        <v>11992</v>
      </c>
      <c r="E2050" s="1595"/>
      <c r="F2050" s="1595"/>
      <c r="G2050" s="1595"/>
      <c r="H2050" s="1596">
        <v>1</v>
      </c>
      <c r="I2050" s="1595"/>
      <c r="J2050" s="1595"/>
      <c r="K2050" s="1597">
        <v>4363</v>
      </c>
      <c r="L2050" s="1597">
        <v>4363</v>
      </c>
      <c r="M2050" s="1597">
        <v>-4363</v>
      </c>
      <c r="N2050" s="1598"/>
      <c r="O2050" s="1598"/>
      <c r="P2050" s="1597">
        <v>4363</v>
      </c>
      <c r="Q2050" s="1597">
        <v>-4363</v>
      </c>
      <c r="R2050" s="1598"/>
      <c r="S2050" s="1592"/>
    </row>
    <row r="2051" spans="2:19" s="1593" customFormat="1" ht="11.25" customHeight="1" outlineLevel="1">
      <c r="B2051" s="1594">
        <v>24289</v>
      </c>
      <c r="C2051" s="1595" t="s">
        <v>5053</v>
      </c>
      <c r="D2051" s="1595" t="s">
        <v>11991</v>
      </c>
      <c r="E2051" s="1595"/>
      <c r="F2051" s="1595"/>
      <c r="G2051" s="1595"/>
      <c r="H2051" s="1596">
        <v>1</v>
      </c>
      <c r="I2051" s="1595"/>
      <c r="J2051" s="1595"/>
      <c r="K2051" s="1597">
        <v>7500</v>
      </c>
      <c r="L2051" s="1597">
        <v>7500</v>
      </c>
      <c r="M2051" s="1597">
        <v>-7500</v>
      </c>
      <c r="N2051" s="1598"/>
      <c r="O2051" s="1598"/>
      <c r="P2051" s="1597">
        <v>7500</v>
      </c>
      <c r="Q2051" s="1597">
        <v>-7500</v>
      </c>
      <c r="R2051" s="1598"/>
      <c r="S2051" s="1592"/>
    </row>
    <row r="2052" spans="2:19" s="1593" customFormat="1" ht="11.25" customHeight="1" outlineLevel="1">
      <c r="B2052" s="1594">
        <v>24709</v>
      </c>
      <c r="C2052" s="1595" t="s">
        <v>11990</v>
      </c>
      <c r="D2052" s="1595" t="s">
        <v>11989</v>
      </c>
      <c r="E2052" s="1595"/>
      <c r="F2052" s="1595"/>
      <c r="G2052" s="1595" t="s">
        <v>3596</v>
      </c>
      <c r="H2052" s="1596">
        <v>1</v>
      </c>
      <c r="I2052" s="1595"/>
      <c r="J2052" s="1595"/>
      <c r="K2052" s="1597">
        <v>225000</v>
      </c>
      <c r="L2052" s="1597">
        <v>225000</v>
      </c>
      <c r="M2052" s="1598"/>
      <c r="N2052" s="1597">
        <v>225000</v>
      </c>
      <c r="O2052" s="1597">
        <v>16363.32</v>
      </c>
      <c r="P2052" s="1597">
        <v>200455.08</v>
      </c>
      <c r="Q2052" s="1597">
        <v>8181.6</v>
      </c>
      <c r="R2052" s="1597">
        <v>208636.68</v>
      </c>
      <c r="S2052" s="1592"/>
    </row>
    <row r="2053" spans="2:19" s="1593" customFormat="1" ht="11.25" customHeight="1" outlineLevel="1">
      <c r="B2053" s="1594">
        <v>23544</v>
      </c>
      <c r="C2053" s="1595" t="s">
        <v>5012</v>
      </c>
      <c r="D2053" s="1595" t="s">
        <v>11988</v>
      </c>
      <c r="E2053" s="1595"/>
      <c r="F2053" s="1595"/>
      <c r="G2053" s="1595"/>
      <c r="H2053" s="1596">
        <v>1</v>
      </c>
      <c r="I2053" s="1595"/>
      <c r="J2053" s="1595"/>
      <c r="K2053" s="1597">
        <v>22055</v>
      </c>
      <c r="L2053" s="1597">
        <v>22055</v>
      </c>
      <c r="M2053" s="1597">
        <v>-22055</v>
      </c>
      <c r="N2053" s="1598"/>
      <c r="O2053" s="1598"/>
      <c r="P2053" s="1597">
        <v>22055</v>
      </c>
      <c r="Q2053" s="1597">
        <v>-22055</v>
      </c>
      <c r="R2053" s="1598"/>
      <c r="S2053" s="1592"/>
    </row>
    <row r="2054" spans="2:19" s="1593" customFormat="1" ht="11.25" customHeight="1" outlineLevel="1">
      <c r="B2054" s="1594">
        <v>25981</v>
      </c>
      <c r="C2054" s="1595" t="s">
        <v>4703</v>
      </c>
      <c r="D2054" s="1595" t="s">
        <v>11987</v>
      </c>
      <c r="E2054" s="1595"/>
      <c r="F2054" s="1595"/>
      <c r="G2054" s="1595" t="s">
        <v>3734</v>
      </c>
      <c r="H2054" s="1596">
        <v>1</v>
      </c>
      <c r="I2054" s="1595"/>
      <c r="J2054" s="1595"/>
      <c r="K2054" s="1597">
        <v>10150</v>
      </c>
      <c r="L2054" s="1597">
        <v>10150</v>
      </c>
      <c r="M2054" s="1598"/>
      <c r="N2054" s="1597">
        <v>10150</v>
      </c>
      <c r="O2054" s="1597">
        <v>7115.15</v>
      </c>
      <c r="P2054" s="1597">
        <v>2913.05</v>
      </c>
      <c r="Q2054" s="1599">
        <v>121.8</v>
      </c>
      <c r="R2054" s="1597">
        <v>3034.85</v>
      </c>
      <c r="S2054" s="1592"/>
    </row>
    <row r="2055" spans="2:19" s="1593" customFormat="1" ht="11.25" customHeight="1" outlineLevel="1">
      <c r="B2055" s="1594">
        <v>25983</v>
      </c>
      <c r="C2055" s="1595" t="s">
        <v>4703</v>
      </c>
      <c r="D2055" s="1595" t="s">
        <v>11986</v>
      </c>
      <c r="E2055" s="1595"/>
      <c r="F2055" s="1595"/>
      <c r="G2055" s="1595" t="s">
        <v>11985</v>
      </c>
      <c r="H2055" s="1596">
        <v>1</v>
      </c>
      <c r="I2055" s="1595"/>
      <c r="J2055" s="1595"/>
      <c r="K2055" s="1597">
        <v>188062</v>
      </c>
      <c r="L2055" s="1597">
        <v>188062</v>
      </c>
      <c r="M2055" s="1598"/>
      <c r="N2055" s="1597">
        <v>188062</v>
      </c>
      <c r="O2055" s="1597">
        <v>70913.919999999998</v>
      </c>
      <c r="P2055" s="1597">
        <v>112446.6</v>
      </c>
      <c r="Q2055" s="1597">
        <v>4701.4799999999996</v>
      </c>
      <c r="R2055" s="1597">
        <v>117148.08</v>
      </c>
      <c r="S2055" s="1592"/>
    </row>
    <row r="2056" spans="2:19" s="1593" customFormat="1" ht="11.25" customHeight="1" outlineLevel="1">
      <c r="B2056" s="1594">
        <v>25986</v>
      </c>
      <c r="C2056" s="1595" t="s">
        <v>4703</v>
      </c>
      <c r="D2056" s="1595" t="s">
        <v>11984</v>
      </c>
      <c r="E2056" s="1595"/>
      <c r="F2056" s="1595"/>
      <c r="G2056" s="1595" t="s">
        <v>11983</v>
      </c>
      <c r="H2056" s="1596">
        <v>1</v>
      </c>
      <c r="I2056" s="1595"/>
      <c r="J2056" s="1595"/>
      <c r="K2056" s="1597">
        <v>228260</v>
      </c>
      <c r="L2056" s="1597">
        <v>228260</v>
      </c>
      <c r="M2056" s="1598"/>
      <c r="N2056" s="1597">
        <v>228260</v>
      </c>
      <c r="O2056" s="1597">
        <v>160010.26</v>
      </c>
      <c r="P2056" s="1597">
        <v>65510.62</v>
      </c>
      <c r="Q2056" s="1597">
        <v>2739.12</v>
      </c>
      <c r="R2056" s="1597">
        <v>68249.740000000005</v>
      </c>
      <c r="S2056" s="1592"/>
    </row>
    <row r="2057" spans="2:19" s="1593" customFormat="1" ht="11.25" customHeight="1" outlineLevel="1">
      <c r="B2057" s="1594">
        <v>25988</v>
      </c>
      <c r="C2057" s="1595" t="s">
        <v>4703</v>
      </c>
      <c r="D2057" s="1595" t="s">
        <v>11982</v>
      </c>
      <c r="E2057" s="1595"/>
      <c r="F2057" s="1595"/>
      <c r="G2057" s="1595" t="s">
        <v>3734</v>
      </c>
      <c r="H2057" s="1596">
        <v>1</v>
      </c>
      <c r="I2057" s="1595"/>
      <c r="J2057" s="1595"/>
      <c r="K2057" s="1597">
        <v>10150</v>
      </c>
      <c r="L2057" s="1597">
        <v>10150</v>
      </c>
      <c r="M2057" s="1598"/>
      <c r="N2057" s="1597">
        <v>10150</v>
      </c>
      <c r="O2057" s="1597">
        <v>7115.15</v>
      </c>
      <c r="P2057" s="1597">
        <v>2913.05</v>
      </c>
      <c r="Q2057" s="1599">
        <v>121.8</v>
      </c>
      <c r="R2057" s="1597">
        <v>3034.85</v>
      </c>
      <c r="S2057" s="1592"/>
    </row>
    <row r="2058" spans="2:19" s="1593" customFormat="1" ht="11.25" customHeight="1" outlineLevel="1">
      <c r="B2058" s="1594">
        <v>25990</v>
      </c>
      <c r="C2058" s="1595" t="s">
        <v>4703</v>
      </c>
      <c r="D2058" s="1595" t="s">
        <v>11981</v>
      </c>
      <c r="E2058" s="1595"/>
      <c r="F2058" s="1595"/>
      <c r="G2058" s="1595" t="s">
        <v>11980</v>
      </c>
      <c r="H2058" s="1596">
        <v>1</v>
      </c>
      <c r="I2058" s="1595"/>
      <c r="J2058" s="1595"/>
      <c r="K2058" s="1597">
        <v>29167</v>
      </c>
      <c r="L2058" s="1597">
        <v>29167</v>
      </c>
      <c r="M2058" s="1598"/>
      <c r="N2058" s="1597">
        <v>29167</v>
      </c>
      <c r="O2058" s="1597">
        <v>20445.169999999998</v>
      </c>
      <c r="P2058" s="1597">
        <v>8371.7900000000009</v>
      </c>
      <c r="Q2058" s="1599">
        <v>350.04</v>
      </c>
      <c r="R2058" s="1597">
        <v>8721.83</v>
      </c>
      <c r="S2058" s="1592"/>
    </row>
    <row r="2059" spans="2:19" s="1593" customFormat="1" ht="11.25" customHeight="1" outlineLevel="1">
      <c r="B2059" s="1594">
        <v>26027</v>
      </c>
      <c r="C2059" s="1595" t="s">
        <v>4632</v>
      </c>
      <c r="D2059" s="1595" t="s">
        <v>11979</v>
      </c>
      <c r="E2059" s="1595"/>
      <c r="F2059" s="1595"/>
      <c r="G2059" s="1595" t="s">
        <v>11978</v>
      </c>
      <c r="H2059" s="1596">
        <v>1</v>
      </c>
      <c r="I2059" s="1595"/>
      <c r="J2059" s="1595"/>
      <c r="K2059" s="1597">
        <v>3049</v>
      </c>
      <c r="L2059" s="1597">
        <v>3049</v>
      </c>
      <c r="M2059" s="1598"/>
      <c r="N2059" s="1597">
        <v>3049</v>
      </c>
      <c r="O2059" s="1597">
        <v>1765.96</v>
      </c>
      <c r="P2059" s="1597">
        <v>1231.2</v>
      </c>
      <c r="Q2059" s="1599">
        <v>51.84</v>
      </c>
      <c r="R2059" s="1597">
        <v>1283.04</v>
      </c>
      <c r="S2059" s="1592"/>
    </row>
    <row r="2060" spans="2:19" s="1593" customFormat="1" ht="11.25" customHeight="1" outlineLevel="1">
      <c r="B2060" s="1594">
        <v>26029</v>
      </c>
      <c r="C2060" s="1595" t="s">
        <v>4632</v>
      </c>
      <c r="D2060" s="1595" t="s">
        <v>11977</v>
      </c>
      <c r="E2060" s="1595"/>
      <c r="F2060" s="1595"/>
      <c r="G2060" s="1595" t="s">
        <v>11976</v>
      </c>
      <c r="H2060" s="1596">
        <v>1</v>
      </c>
      <c r="I2060" s="1595"/>
      <c r="J2060" s="1595"/>
      <c r="K2060" s="1597">
        <v>17266</v>
      </c>
      <c r="L2060" s="1597">
        <v>17266</v>
      </c>
      <c r="M2060" s="1598"/>
      <c r="N2060" s="1597">
        <v>17266</v>
      </c>
      <c r="O2060" s="1597">
        <v>3806.08</v>
      </c>
      <c r="P2060" s="1597">
        <v>12916.2</v>
      </c>
      <c r="Q2060" s="1599">
        <v>543.72</v>
      </c>
      <c r="R2060" s="1597">
        <v>13459.92</v>
      </c>
      <c r="S2060" s="1592"/>
    </row>
    <row r="2061" spans="2:19" s="1593" customFormat="1" ht="11.25" customHeight="1" outlineLevel="1">
      <c r="B2061" s="1594">
        <v>26030</v>
      </c>
      <c r="C2061" s="1595" t="s">
        <v>4632</v>
      </c>
      <c r="D2061" s="1595" t="s">
        <v>11975</v>
      </c>
      <c r="E2061" s="1595"/>
      <c r="F2061" s="1595"/>
      <c r="G2061" s="1595" t="s">
        <v>11974</v>
      </c>
      <c r="H2061" s="1596">
        <v>1</v>
      </c>
      <c r="I2061" s="1595"/>
      <c r="J2061" s="1595"/>
      <c r="K2061" s="1597">
        <v>24852</v>
      </c>
      <c r="L2061" s="1597">
        <v>24852</v>
      </c>
      <c r="M2061" s="1598"/>
      <c r="N2061" s="1597">
        <v>24852</v>
      </c>
      <c r="O2061" s="1597">
        <v>5478.81</v>
      </c>
      <c r="P2061" s="1597">
        <v>18590.55</v>
      </c>
      <c r="Q2061" s="1599">
        <v>782.64</v>
      </c>
      <c r="R2061" s="1597">
        <v>19373.189999999999</v>
      </c>
      <c r="S2061" s="1592"/>
    </row>
    <row r="2062" spans="2:19" s="1593" customFormat="1" ht="11.25" customHeight="1" outlineLevel="1">
      <c r="B2062" s="1594">
        <v>24005</v>
      </c>
      <c r="C2062" s="1595" t="s">
        <v>4458</v>
      </c>
      <c r="D2062" s="1595" t="s">
        <v>11973</v>
      </c>
      <c r="E2062" s="1595"/>
      <c r="F2062" s="1595"/>
      <c r="G2062" s="1595"/>
      <c r="H2062" s="1596">
        <v>1</v>
      </c>
      <c r="I2062" s="1595"/>
      <c r="J2062" s="1595"/>
      <c r="K2062" s="1597">
        <v>15000</v>
      </c>
      <c r="L2062" s="1597">
        <v>15000</v>
      </c>
      <c r="M2062" s="1597">
        <v>-15000</v>
      </c>
      <c r="N2062" s="1598"/>
      <c r="O2062" s="1598"/>
      <c r="P2062" s="1597">
        <v>15000</v>
      </c>
      <c r="Q2062" s="1597">
        <v>-15000</v>
      </c>
      <c r="R2062" s="1598"/>
      <c r="S2062" s="1592"/>
    </row>
    <row r="2063" spans="2:19" s="1593" customFormat="1" ht="11.25" customHeight="1" outlineLevel="1">
      <c r="B2063" s="1594">
        <v>24848</v>
      </c>
      <c r="C2063" s="1595" t="s">
        <v>4458</v>
      </c>
      <c r="D2063" s="1595" t="s">
        <v>11972</v>
      </c>
      <c r="E2063" s="1595"/>
      <c r="F2063" s="1595"/>
      <c r="G2063" s="1595"/>
      <c r="H2063" s="1596">
        <v>1</v>
      </c>
      <c r="I2063" s="1595"/>
      <c r="J2063" s="1595"/>
      <c r="K2063" s="1597">
        <v>18798</v>
      </c>
      <c r="L2063" s="1597">
        <v>18798</v>
      </c>
      <c r="M2063" s="1597">
        <v>-18798</v>
      </c>
      <c r="N2063" s="1598"/>
      <c r="O2063" s="1598"/>
      <c r="P2063" s="1597">
        <v>18798</v>
      </c>
      <c r="Q2063" s="1597">
        <v>-18798</v>
      </c>
      <c r="R2063" s="1598"/>
      <c r="S2063" s="1592"/>
    </row>
    <row r="2064" spans="2:19" s="1593" customFormat="1" ht="11.25" customHeight="1" outlineLevel="1">
      <c r="B2064" s="1594">
        <v>24449</v>
      </c>
      <c r="C2064" s="1595" t="s">
        <v>4447</v>
      </c>
      <c r="D2064" s="1595" t="s">
        <v>11971</v>
      </c>
      <c r="E2064" s="1595"/>
      <c r="F2064" s="1595"/>
      <c r="G2064" s="1595"/>
      <c r="H2064" s="1596">
        <v>1</v>
      </c>
      <c r="I2064" s="1595"/>
      <c r="J2064" s="1595"/>
      <c r="K2064" s="1597">
        <v>96100</v>
      </c>
      <c r="L2064" s="1597">
        <v>96100</v>
      </c>
      <c r="M2064" s="1597">
        <v>-96100</v>
      </c>
      <c r="N2064" s="1598"/>
      <c r="O2064" s="1598"/>
      <c r="P2064" s="1597">
        <v>96100</v>
      </c>
      <c r="Q2064" s="1597">
        <v>-96100</v>
      </c>
      <c r="R2064" s="1598"/>
      <c r="S2064" s="1592"/>
    </row>
    <row r="2065" spans="2:19" s="1593" customFormat="1" ht="11.25" customHeight="1" outlineLevel="1">
      <c r="B2065" s="1594">
        <v>25989</v>
      </c>
      <c r="C2065" s="1595" t="s">
        <v>4447</v>
      </c>
      <c r="D2065" s="1595" t="s">
        <v>11970</v>
      </c>
      <c r="E2065" s="1595"/>
      <c r="F2065" s="1595"/>
      <c r="G2065" s="1595" t="s">
        <v>11969</v>
      </c>
      <c r="H2065" s="1596">
        <v>1</v>
      </c>
      <c r="I2065" s="1595"/>
      <c r="J2065" s="1595"/>
      <c r="K2065" s="1597">
        <v>35265</v>
      </c>
      <c r="L2065" s="1597">
        <v>56578.98</v>
      </c>
      <c r="M2065" s="1598"/>
      <c r="N2065" s="1597">
        <v>56578.98</v>
      </c>
      <c r="O2065" s="1597">
        <v>9755.7000000000007</v>
      </c>
      <c r="P2065" s="1597">
        <v>44872.08</v>
      </c>
      <c r="Q2065" s="1597">
        <v>1951.2</v>
      </c>
      <c r="R2065" s="1597">
        <v>46823.28</v>
      </c>
      <c r="S2065" s="1592"/>
    </row>
    <row r="2066" spans="2:19" s="1593" customFormat="1" ht="11.25" customHeight="1" outlineLevel="1">
      <c r="B2066" s="1594">
        <v>26881</v>
      </c>
      <c r="C2066" s="1595" t="s">
        <v>4314</v>
      </c>
      <c r="D2066" s="1595" t="s">
        <v>11968</v>
      </c>
      <c r="E2066" s="1595"/>
      <c r="F2066" s="1595"/>
      <c r="G2066" s="1595"/>
      <c r="H2066" s="1596">
        <v>1</v>
      </c>
      <c r="I2066" s="1595"/>
      <c r="J2066" s="1595"/>
      <c r="K2066" s="1597">
        <v>2418</v>
      </c>
      <c r="L2066" s="1597">
        <v>2418</v>
      </c>
      <c r="M2066" s="1597">
        <v>-2418</v>
      </c>
      <c r="N2066" s="1598"/>
      <c r="O2066" s="1598"/>
      <c r="P2066" s="1597">
        <v>2418</v>
      </c>
      <c r="Q2066" s="1597">
        <v>-2418</v>
      </c>
      <c r="R2066" s="1598"/>
      <c r="S2066" s="1592"/>
    </row>
    <row r="2067" spans="2:19" s="1593" customFormat="1" ht="11.25" customHeight="1" outlineLevel="1">
      <c r="B2067" s="1594">
        <v>27163</v>
      </c>
      <c r="C2067" s="1595" t="s">
        <v>4227</v>
      </c>
      <c r="D2067" s="1595" t="s">
        <v>11967</v>
      </c>
      <c r="E2067" s="1595"/>
      <c r="F2067" s="1595"/>
      <c r="G2067" s="1595"/>
      <c r="H2067" s="1596">
        <v>1</v>
      </c>
      <c r="I2067" s="1595"/>
      <c r="J2067" s="1595"/>
      <c r="K2067" s="1597">
        <v>2117</v>
      </c>
      <c r="L2067" s="1597">
        <v>2117</v>
      </c>
      <c r="M2067" s="1597">
        <v>-2117</v>
      </c>
      <c r="N2067" s="1598"/>
      <c r="O2067" s="1598"/>
      <c r="P2067" s="1597">
        <v>2117</v>
      </c>
      <c r="Q2067" s="1597">
        <v>-2117</v>
      </c>
      <c r="R2067" s="1598"/>
      <c r="S2067" s="1592"/>
    </row>
    <row r="2068" spans="2:19" s="1593" customFormat="1" ht="11.25" customHeight="1" outlineLevel="1">
      <c r="B2068" s="1594">
        <v>34247</v>
      </c>
      <c r="C2068" s="1595" t="s">
        <v>4227</v>
      </c>
      <c r="D2068" s="1595" t="s">
        <v>11966</v>
      </c>
      <c r="E2068" s="1595"/>
      <c r="F2068" s="1595"/>
      <c r="G2068" s="1595"/>
      <c r="H2068" s="1596">
        <v>1</v>
      </c>
      <c r="I2068" s="1595"/>
      <c r="J2068" s="1595"/>
      <c r="K2068" s="1597">
        <v>2117</v>
      </c>
      <c r="L2068" s="1597">
        <v>2117</v>
      </c>
      <c r="M2068" s="1597">
        <v>-2117</v>
      </c>
      <c r="N2068" s="1598"/>
      <c r="O2068" s="1598"/>
      <c r="P2068" s="1597">
        <v>2117</v>
      </c>
      <c r="Q2068" s="1597">
        <v>-2117</v>
      </c>
      <c r="R2068" s="1598"/>
      <c r="S2068" s="1592"/>
    </row>
    <row r="2069" spans="2:19" s="1593" customFormat="1" ht="11.25" customHeight="1" outlineLevel="1">
      <c r="B2069" s="1594">
        <v>23235</v>
      </c>
      <c r="C2069" s="1595" t="s">
        <v>4142</v>
      </c>
      <c r="D2069" s="1595" t="s">
        <v>11965</v>
      </c>
      <c r="E2069" s="1595"/>
      <c r="F2069" s="1595"/>
      <c r="G2069" s="1595"/>
      <c r="H2069" s="1596">
        <v>1</v>
      </c>
      <c r="I2069" s="1595"/>
      <c r="J2069" s="1595"/>
      <c r="K2069" s="1597">
        <v>6335</v>
      </c>
      <c r="L2069" s="1597">
        <v>6335</v>
      </c>
      <c r="M2069" s="1597">
        <v>-6335</v>
      </c>
      <c r="N2069" s="1598"/>
      <c r="O2069" s="1598"/>
      <c r="P2069" s="1597">
        <v>6335</v>
      </c>
      <c r="Q2069" s="1597">
        <v>-6335</v>
      </c>
      <c r="R2069" s="1598"/>
      <c r="S2069" s="1592"/>
    </row>
    <row r="2070" spans="2:19" s="1593" customFormat="1" ht="11.25" customHeight="1" outlineLevel="1">
      <c r="B2070" s="1594">
        <v>27545</v>
      </c>
      <c r="C2070" s="1595" t="s">
        <v>4117</v>
      </c>
      <c r="D2070" s="1595" t="s">
        <v>11964</v>
      </c>
      <c r="E2070" s="1595"/>
      <c r="F2070" s="1595"/>
      <c r="G2070" s="1595"/>
      <c r="H2070" s="1596">
        <v>1</v>
      </c>
      <c r="I2070" s="1595"/>
      <c r="J2070" s="1595"/>
      <c r="K2070" s="1597">
        <v>1719</v>
      </c>
      <c r="L2070" s="1597">
        <v>1719</v>
      </c>
      <c r="M2070" s="1597">
        <v>-1719</v>
      </c>
      <c r="N2070" s="1598"/>
      <c r="O2070" s="1598"/>
      <c r="P2070" s="1597">
        <v>1719</v>
      </c>
      <c r="Q2070" s="1597">
        <v>-1719</v>
      </c>
      <c r="R2070" s="1598"/>
      <c r="S2070" s="1592"/>
    </row>
    <row r="2071" spans="2:19" s="1593" customFormat="1" ht="11.25" customHeight="1" outlineLevel="1">
      <c r="B2071" s="1594">
        <v>37899</v>
      </c>
      <c r="C2071" s="1595" t="s">
        <v>4043</v>
      </c>
      <c r="D2071" s="1595" t="s">
        <v>11963</v>
      </c>
      <c r="E2071" s="1595"/>
      <c r="F2071" s="1595"/>
      <c r="G2071" s="1595" t="s">
        <v>4055</v>
      </c>
      <c r="H2071" s="1596">
        <v>3</v>
      </c>
      <c r="I2071" s="1595"/>
      <c r="J2071" s="1595"/>
      <c r="K2071" s="1597">
        <v>49686</v>
      </c>
      <c r="L2071" s="1597">
        <v>49686</v>
      </c>
      <c r="M2071" s="1598"/>
      <c r="N2071" s="1597">
        <v>49686</v>
      </c>
      <c r="O2071" s="1597">
        <v>5962.32</v>
      </c>
      <c r="P2071" s="1597">
        <v>41736.239999999998</v>
      </c>
      <c r="Q2071" s="1597">
        <v>1987.44</v>
      </c>
      <c r="R2071" s="1597">
        <v>43723.68</v>
      </c>
      <c r="S2071" s="1592"/>
    </row>
    <row r="2072" spans="2:19" s="1593" customFormat="1" ht="11.25" customHeight="1" outlineLevel="1">
      <c r="B2072" s="1594">
        <v>37900</v>
      </c>
      <c r="C2072" s="1595" t="s">
        <v>4043</v>
      </c>
      <c r="D2072" s="1595" t="s">
        <v>11962</v>
      </c>
      <c r="E2072" s="1595"/>
      <c r="F2072" s="1595"/>
      <c r="G2072" s="1595" t="s">
        <v>4055</v>
      </c>
      <c r="H2072" s="1596">
        <v>3</v>
      </c>
      <c r="I2072" s="1595"/>
      <c r="J2072" s="1595"/>
      <c r="K2072" s="1597">
        <v>12158</v>
      </c>
      <c r="L2072" s="1597">
        <v>12158</v>
      </c>
      <c r="M2072" s="1598"/>
      <c r="N2072" s="1597">
        <v>12158</v>
      </c>
      <c r="O2072" s="1597">
        <v>1458.32</v>
      </c>
      <c r="P2072" s="1597">
        <v>10213.56</v>
      </c>
      <c r="Q2072" s="1599">
        <v>486.12</v>
      </c>
      <c r="R2072" s="1597">
        <v>10699.68</v>
      </c>
      <c r="S2072" s="1592"/>
    </row>
    <row r="2073" spans="2:19" s="1593" customFormat="1" ht="11.25" customHeight="1" outlineLevel="1">
      <c r="B2073" s="1594">
        <v>37901</v>
      </c>
      <c r="C2073" s="1595" t="s">
        <v>4043</v>
      </c>
      <c r="D2073" s="1595" t="s">
        <v>11961</v>
      </c>
      <c r="E2073" s="1595"/>
      <c r="F2073" s="1595"/>
      <c r="G2073" s="1595" t="s">
        <v>4055</v>
      </c>
      <c r="H2073" s="1596">
        <v>3</v>
      </c>
      <c r="I2073" s="1595"/>
      <c r="J2073" s="1595"/>
      <c r="K2073" s="1597">
        <v>12293</v>
      </c>
      <c r="L2073" s="1597">
        <v>12293</v>
      </c>
      <c r="M2073" s="1598"/>
      <c r="N2073" s="1597">
        <v>12293</v>
      </c>
      <c r="O2073" s="1597">
        <v>1474.52</v>
      </c>
      <c r="P2073" s="1597">
        <v>10326.959999999999</v>
      </c>
      <c r="Q2073" s="1599">
        <v>491.52</v>
      </c>
      <c r="R2073" s="1597">
        <v>10818.48</v>
      </c>
      <c r="S2073" s="1592"/>
    </row>
    <row r="2074" spans="2:19" s="1593" customFormat="1" ht="11.25" customHeight="1" outlineLevel="1">
      <c r="B2074" s="1594">
        <v>28041</v>
      </c>
      <c r="C2074" s="1595" t="s">
        <v>10800</v>
      </c>
      <c r="D2074" s="1595" t="s">
        <v>11960</v>
      </c>
      <c r="E2074" s="1595"/>
      <c r="F2074" s="1595"/>
      <c r="G2074" s="1595"/>
      <c r="H2074" s="1596">
        <v>1</v>
      </c>
      <c r="I2074" s="1595"/>
      <c r="J2074" s="1595"/>
      <c r="K2074" s="1597">
        <v>125000</v>
      </c>
      <c r="L2074" s="1597">
        <v>125000</v>
      </c>
      <c r="M2074" s="1598"/>
      <c r="N2074" s="1597">
        <v>125000</v>
      </c>
      <c r="O2074" s="1597">
        <v>5453.95</v>
      </c>
      <c r="P2074" s="1597">
        <v>114092.05</v>
      </c>
      <c r="Q2074" s="1597">
        <v>5454</v>
      </c>
      <c r="R2074" s="1597">
        <v>119546.05</v>
      </c>
      <c r="S2074" s="1592"/>
    </row>
    <row r="2075" spans="2:19" s="1593" customFormat="1" ht="11.25" customHeight="1" outlineLevel="1">
      <c r="B2075" s="1594">
        <v>28367</v>
      </c>
      <c r="C2075" s="1595" t="s">
        <v>4032</v>
      </c>
      <c r="D2075" s="1595" t="s">
        <v>11959</v>
      </c>
      <c r="E2075" s="1595"/>
      <c r="F2075" s="1595"/>
      <c r="G2075" s="1595"/>
      <c r="H2075" s="1596">
        <v>1</v>
      </c>
      <c r="I2075" s="1595"/>
      <c r="J2075" s="1595"/>
      <c r="K2075" s="1597">
        <v>8250</v>
      </c>
      <c r="L2075" s="1597">
        <v>8250</v>
      </c>
      <c r="M2075" s="1597">
        <v>-8250</v>
      </c>
      <c r="N2075" s="1598"/>
      <c r="O2075" s="1598"/>
      <c r="P2075" s="1597">
        <v>8250</v>
      </c>
      <c r="Q2075" s="1597">
        <v>-8250</v>
      </c>
      <c r="R2075" s="1598"/>
      <c r="S2075" s="1592"/>
    </row>
    <row r="2076" spans="2:19" s="1593" customFormat="1" ht="21.75" customHeight="1" outlineLevel="1">
      <c r="B2076" s="1594">
        <v>28369</v>
      </c>
      <c r="C2076" s="1595" t="s">
        <v>4032</v>
      </c>
      <c r="D2076" s="1595" t="s">
        <v>11958</v>
      </c>
      <c r="E2076" s="1595"/>
      <c r="F2076" s="1595"/>
      <c r="G2076" s="1595" t="s">
        <v>11957</v>
      </c>
      <c r="H2076" s="1596">
        <v>1</v>
      </c>
      <c r="I2076" s="1595"/>
      <c r="J2076" s="1595"/>
      <c r="K2076" s="1597">
        <v>16500</v>
      </c>
      <c r="L2076" s="1597">
        <v>16500</v>
      </c>
      <c r="M2076" s="1597">
        <v>-16500</v>
      </c>
      <c r="N2076" s="1598"/>
      <c r="O2076" s="1598"/>
      <c r="P2076" s="1597">
        <v>16500</v>
      </c>
      <c r="Q2076" s="1597">
        <v>-16500</v>
      </c>
      <c r="R2076" s="1598"/>
      <c r="S2076" s="1592"/>
    </row>
    <row r="2077" spans="2:19" s="1593" customFormat="1" ht="11.25" customHeight="1" outlineLevel="1">
      <c r="B2077" s="1594">
        <v>28482</v>
      </c>
      <c r="C2077" s="1595" t="s">
        <v>11956</v>
      </c>
      <c r="D2077" s="1595" t="s">
        <v>11955</v>
      </c>
      <c r="E2077" s="1595"/>
      <c r="F2077" s="1595"/>
      <c r="G2077" s="1595" t="s">
        <v>807</v>
      </c>
      <c r="H2077" s="1596">
        <v>1</v>
      </c>
      <c r="I2077" s="1595"/>
      <c r="J2077" s="1595"/>
      <c r="K2077" s="1597">
        <v>16500</v>
      </c>
      <c r="L2077" s="1597">
        <v>16500</v>
      </c>
      <c r="M2077" s="1597">
        <v>-16500</v>
      </c>
      <c r="N2077" s="1598"/>
      <c r="O2077" s="1598"/>
      <c r="P2077" s="1597">
        <v>16500</v>
      </c>
      <c r="Q2077" s="1597">
        <v>-16500</v>
      </c>
      <c r="R2077" s="1598"/>
      <c r="S2077" s="1592"/>
    </row>
    <row r="2078" spans="2:19" s="1593" customFormat="1" ht="21.75" customHeight="1" outlineLevel="1">
      <c r="B2078" s="1594">
        <v>28640</v>
      </c>
      <c r="C2078" s="1595" t="s">
        <v>11954</v>
      </c>
      <c r="D2078" s="1595" t="s">
        <v>11953</v>
      </c>
      <c r="E2078" s="1595"/>
      <c r="F2078" s="1595"/>
      <c r="G2078" s="1595"/>
      <c r="H2078" s="1596">
        <v>1</v>
      </c>
      <c r="I2078" s="1595"/>
      <c r="J2078" s="1595"/>
      <c r="K2078" s="1597">
        <v>6850</v>
      </c>
      <c r="L2078" s="1597">
        <v>6850</v>
      </c>
      <c r="M2078" s="1597">
        <v>-6850</v>
      </c>
      <c r="N2078" s="1598"/>
      <c r="O2078" s="1598"/>
      <c r="P2078" s="1597">
        <v>6085.8</v>
      </c>
      <c r="Q2078" s="1597">
        <v>-6085.8</v>
      </c>
      <c r="R2078" s="1598"/>
      <c r="S2078" s="1592"/>
    </row>
    <row r="2079" spans="2:19" s="1593" customFormat="1" ht="11.25" customHeight="1" outlineLevel="1">
      <c r="B2079" s="1594">
        <v>28694</v>
      </c>
      <c r="C2079" s="1595" t="s">
        <v>8445</v>
      </c>
      <c r="D2079" s="1595" t="s">
        <v>11952</v>
      </c>
      <c r="E2079" s="1595"/>
      <c r="F2079" s="1595"/>
      <c r="G2079" s="1595"/>
      <c r="H2079" s="1596">
        <v>1</v>
      </c>
      <c r="I2079" s="1595"/>
      <c r="J2079" s="1595"/>
      <c r="K2079" s="1597">
        <v>20093</v>
      </c>
      <c r="L2079" s="1597">
        <v>20093</v>
      </c>
      <c r="M2079" s="1597">
        <v>-20093</v>
      </c>
      <c r="N2079" s="1598"/>
      <c r="O2079" s="1598"/>
      <c r="P2079" s="1597">
        <v>20093</v>
      </c>
      <c r="Q2079" s="1597">
        <v>-20093</v>
      </c>
      <c r="R2079" s="1598"/>
      <c r="S2079" s="1592"/>
    </row>
    <row r="2080" spans="2:19" s="1593" customFormat="1" ht="11.25" customHeight="1" outlineLevel="1">
      <c r="B2080" s="1594">
        <v>28889</v>
      </c>
      <c r="C2080" s="1595" t="s">
        <v>4023</v>
      </c>
      <c r="D2080" s="1595" t="s">
        <v>11951</v>
      </c>
      <c r="E2080" s="1595"/>
      <c r="F2080" s="1595"/>
      <c r="G2080" s="1595"/>
      <c r="H2080" s="1596">
        <v>1</v>
      </c>
      <c r="I2080" s="1595"/>
      <c r="J2080" s="1595"/>
      <c r="K2080" s="1597">
        <v>54167</v>
      </c>
      <c r="L2080" s="1597">
        <v>54167</v>
      </c>
      <c r="M2080" s="1597">
        <v>-54167</v>
      </c>
      <c r="N2080" s="1598"/>
      <c r="O2080" s="1598"/>
      <c r="P2080" s="1597">
        <v>54167</v>
      </c>
      <c r="Q2080" s="1597">
        <v>-54167</v>
      </c>
      <c r="R2080" s="1598"/>
      <c r="S2080" s="1592"/>
    </row>
    <row r="2081" spans="2:19" s="1593" customFormat="1" ht="11.25" customHeight="1" outlineLevel="1">
      <c r="B2081" s="1594">
        <v>28081</v>
      </c>
      <c r="C2081" s="1595" t="s">
        <v>3771</v>
      </c>
      <c r="D2081" s="1595" t="s">
        <v>11950</v>
      </c>
      <c r="E2081" s="1595"/>
      <c r="F2081" s="1595"/>
      <c r="G2081" s="1595" t="s">
        <v>11949</v>
      </c>
      <c r="H2081" s="1596">
        <v>1</v>
      </c>
      <c r="I2081" s="1595"/>
      <c r="J2081" s="1595"/>
      <c r="K2081" s="1597">
        <v>52776</v>
      </c>
      <c r="L2081" s="1597">
        <v>52776</v>
      </c>
      <c r="M2081" s="1598"/>
      <c r="N2081" s="1597">
        <v>52776</v>
      </c>
      <c r="O2081" s="1597">
        <v>25068.6</v>
      </c>
      <c r="P2081" s="1597">
        <v>26388</v>
      </c>
      <c r="Q2081" s="1597">
        <v>1319.4</v>
      </c>
      <c r="R2081" s="1597">
        <v>27707.4</v>
      </c>
      <c r="S2081" s="1592"/>
    </row>
    <row r="2082" spans="2:19" s="1593" customFormat="1" ht="11.25" customHeight="1" outlineLevel="1">
      <c r="B2082" s="1594">
        <v>28082</v>
      </c>
      <c r="C2082" s="1595" t="s">
        <v>3771</v>
      </c>
      <c r="D2082" s="1595" t="s">
        <v>11948</v>
      </c>
      <c r="E2082" s="1595"/>
      <c r="F2082" s="1595"/>
      <c r="G2082" s="1595" t="s">
        <v>11947</v>
      </c>
      <c r="H2082" s="1596">
        <v>1</v>
      </c>
      <c r="I2082" s="1595"/>
      <c r="J2082" s="1595"/>
      <c r="K2082" s="1597">
        <v>178310</v>
      </c>
      <c r="L2082" s="1597">
        <v>178310</v>
      </c>
      <c r="M2082" s="1598"/>
      <c r="N2082" s="1597">
        <v>178310</v>
      </c>
      <c r="O2082" s="1597">
        <v>84697.04</v>
      </c>
      <c r="P2082" s="1597">
        <v>89155.199999999997</v>
      </c>
      <c r="Q2082" s="1597">
        <v>4457.76</v>
      </c>
      <c r="R2082" s="1597">
        <v>93612.96</v>
      </c>
      <c r="S2082" s="1592"/>
    </row>
    <row r="2083" spans="2:19" s="1593" customFormat="1" ht="11.25" customHeight="1" outlineLevel="1">
      <c r="B2083" s="1594">
        <v>28083</v>
      </c>
      <c r="C2083" s="1595" t="s">
        <v>3771</v>
      </c>
      <c r="D2083" s="1595" t="s">
        <v>11946</v>
      </c>
      <c r="E2083" s="1595"/>
      <c r="F2083" s="1595"/>
      <c r="G2083" s="1595" t="s">
        <v>11945</v>
      </c>
      <c r="H2083" s="1596">
        <v>1</v>
      </c>
      <c r="I2083" s="1595"/>
      <c r="J2083" s="1595"/>
      <c r="K2083" s="1597">
        <v>262341</v>
      </c>
      <c r="L2083" s="1597">
        <v>262341</v>
      </c>
      <c r="M2083" s="1598"/>
      <c r="N2083" s="1597">
        <v>262341</v>
      </c>
      <c r="O2083" s="1597">
        <v>124612.8</v>
      </c>
      <c r="P2083" s="1597">
        <v>131169.60000000001</v>
      </c>
      <c r="Q2083" s="1597">
        <v>6558.6</v>
      </c>
      <c r="R2083" s="1597">
        <v>137728.20000000001</v>
      </c>
      <c r="S2083" s="1592"/>
    </row>
    <row r="2084" spans="2:19" s="1593" customFormat="1" ht="11.25" customHeight="1" outlineLevel="1">
      <c r="B2084" s="1594">
        <v>28084</v>
      </c>
      <c r="C2084" s="1595" t="s">
        <v>3771</v>
      </c>
      <c r="D2084" s="1595" t="s">
        <v>11944</v>
      </c>
      <c r="E2084" s="1595"/>
      <c r="F2084" s="1595"/>
      <c r="G2084" s="1595" t="s">
        <v>11943</v>
      </c>
      <c r="H2084" s="1596">
        <v>1</v>
      </c>
      <c r="I2084" s="1595"/>
      <c r="J2084" s="1595"/>
      <c r="K2084" s="1597">
        <v>112449</v>
      </c>
      <c r="L2084" s="1597">
        <v>112449</v>
      </c>
      <c r="M2084" s="1598"/>
      <c r="N2084" s="1597">
        <v>112449</v>
      </c>
      <c r="O2084" s="1597">
        <v>53412.959999999999</v>
      </c>
      <c r="P2084" s="1597">
        <v>56224.800000000003</v>
      </c>
      <c r="Q2084" s="1597">
        <v>2811.24</v>
      </c>
      <c r="R2084" s="1597">
        <v>59036.04</v>
      </c>
      <c r="S2084" s="1592"/>
    </row>
    <row r="2085" spans="2:19" s="1593" customFormat="1" ht="11.25" customHeight="1" outlineLevel="1">
      <c r="B2085" s="1594">
        <v>28085</v>
      </c>
      <c r="C2085" s="1595" t="s">
        <v>3771</v>
      </c>
      <c r="D2085" s="1595" t="s">
        <v>11942</v>
      </c>
      <c r="E2085" s="1595"/>
      <c r="F2085" s="1595"/>
      <c r="G2085" s="1595" t="s">
        <v>11941</v>
      </c>
      <c r="H2085" s="1596">
        <v>1</v>
      </c>
      <c r="I2085" s="1595"/>
      <c r="J2085" s="1595"/>
      <c r="K2085" s="1597">
        <v>112449</v>
      </c>
      <c r="L2085" s="1597">
        <v>112449</v>
      </c>
      <c r="M2085" s="1598"/>
      <c r="N2085" s="1597">
        <v>112449</v>
      </c>
      <c r="O2085" s="1597">
        <v>53412.959999999999</v>
      </c>
      <c r="P2085" s="1597">
        <v>56224.800000000003</v>
      </c>
      <c r="Q2085" s="1597">
        <v>2811.24</v>
      </c>
      <c r="R2085" s="1597">
        <v>59036.04</v>
      </c>
      <c r="S2085" s="1592"/>
    </row>
    <row r="2086" spans="2:19" s="1593" customFormat="1" ht="11.25" customHeight="1" outlineLevel="1">
      <c r="B2086" s="1594">
        <v>28086</v>
      </c>
      <c r="C2086" s="1595" t="s">
        <v>3771</v>
      </c>
      <c r="D2086" s="1595" t="s">
        <v>11940</v>
      </c>
      <c r="E2086" s="1595"/>
      <c r="F2086" s="1595"/>
      <c r="G2086" s="1595" t="s">
        <v>11939</v>
      </c>
      <c r="H2086" s="1596">
        <v>1</v>
      </c>
      <c r="I2086" s="1595"/>
      <c r="J2086" s="1595"/>
      <c r="K2086" s="1597">
        <v>51857</v>
      </c>
      <c r="L2086" s="1597">
        <v>51857</v>
      </c>
      <c r="M2086" s="1598"/>
      <c r="N2086" s="1597">
        <v>51857</v>
      </c>
      <c r="O2086" s="1597">
        <v>8296.52</v>
      </c>
      <c r="P2086" s="1597">
        <v>41486.400000000001</v>
      </c>
      <c r="Q2086" s="1597">
        <v>2074.08</v>
      </c>
      <c r="R2086" s="1597">
        <v>43560.480000000003</v>
      </c>
      <c r="S2086" s="1592"/>
    </row>
    <row r="2087" spans="2:19" s="1593" customFormat="1" ht="11.25" customHeight="1" outlineLevel="1">
      <c r="B2087" s="1594">
        <v>28087</v>
      </c>
      <c r="C2087" s="1595" t="s">
        <v>3771</v>
      </c>
      <c r="D2087" s="1595" t="s">
        <v>11938</v>
      </c>
      <c r="E2087" s="1595"/>
      <c r="F2087" s="1595"/>
      <c r="G2087" s="1595" t="s">
        <v>11937</v>
      </c>
      <c r="H2087" s="1596">
        <v>1</v>
      </c>
      <c r="I2087" s="1595"/>
      <c r="J2087" s="1595"/>
      <c r="K2087" s="1597">
        <v>147536</v>
      </c>
      <c r="L2087" s="1597">
        <v>147536</v>
      </c>
      <c r="M2087" s="1598"/>
      <c r="N2087" s="1597">
        <v>147536</v>
      </c>
      <c r="O2087" s="1597">
        <v>70078.880000000005</v>
      </c>
      <c r="P2087" s="1597">
        <v>73768.800000000003</v>
      </c>
      <c r="Q2087" s="1597">
        <v>3688.32</v>
      </c>
      <c r="R2087" s="1597">
        <v>77457.119999999995</v>
      </c>
      <c r="S2087" s="1592"/>
    </row>
    <row r="2088" spans="2:19" s="1593" customFormat="1" ht="11.25" customHeight="1" outlineLevel="1">
      <c r="B2088" s="1594">
        <v>28088</v>
      </c>
      <c r="C2088" s="1595" t="s">
        <v>3771</v>
      </c>
      <c r="D2088" s="1595" t="s">
        <v>11936</v>
      </c>
      <c r="E2088" s="1595"/>
      <c r="F2088" s="1595"/>
      <c r="G2088" s="1595" t="s">
        <v>3724</v>
      </c>
      <c r="H2088" s="1596">
        <v>1</v>
      </c>
      <c r="I2088" s="1595"/>
      <c r="J2088" s="1595"/>
      <c r="K2088" s="1599">
        <v>495</v>
      </c>
      <c r="L2088" s="1597">
        <v>163270</v>
      </c>
      <c r="M2088" s="1598"/>
      <c r="N2088" s="1597">
        <v>163270</v>
      </c>
      <c r="O2088" s="1597">
        <v>50237.8</v>
      </c>
      <c r="P2088" s="1597">
        <v>107649.60000000001</v>
      </c>
      <c r="Q2088" s="1597">
        <v>5382.6</v>
      </c>
      <c r="R2088" s="1597">
        <v>113032.2</v>
      </c>
      <c r="S2088" s="1592"/>
    </row>
    <row r="2089" spans="2:19" s="1593" customFormat="1" ht="11.25" customHeight="1" outlineLevel="1">
      <c r="B2089" s="1594">
        <v>28090</v>
      </c>
      <c r="C2089" s="1595" t="s">
        <v>3771</v>
      </c>
      <c r="D2089" s="1595" t="s">
        <v>11935</v>
      </c>
      <c r="E2089" s="1595"/>
      <c r="F2089" s="1595"/>
      <c r="G2089" s="1595" t="s">
        <v>3724</v>
      </c>
      <c r="H2089" s="1596">
        <v>1</v>
      </c>
      <c r="I2089" s="1595"/>
      <c r="J2089" s="1595"/>
      <c r="K2089" s="1597">
        <v>3987</v>
      </c>
      <c r="L2089" s="1597">
        <v>3986.75</v>
      </c>
      <c r="M2089" s="1598"/>
      <c r="N2089" s="1597">
        <v>3986.75</v>
      </c>
      <c r="O2089" s="1597">
        <v>1098.95</v>
      </c>
      <c r="P2089" s="1597">
        <v>2750.4</v>
      </c>
      <c r="Q2089" s="1599">
        <v>137.4</v>
      </c>
      <c r="R2089" s="1597">
        <v>2887.8</v>
      </c>
      <c r="S2089" s="1592"/>
    </row>
    <row r="2090" spans="2:19" s="1593" customFormat="1" ht="11.25" customHeight="1" outlineLevel="1">
      <c r="B2090" s="1594">
        <v>28097</v>
      </c>
      <c r="C2090" s="1595" t="s">
        <v>3771</v>
      </c>
      <c r="D2090" s="1595" t="s">
        <v>11934</v>
      </c>
      <c r="E2090" s="1595"/>
      <c r="F2090" s="1595"/>
      <c r="G2090" s="1595" t="s">
        <v>3724</v>
      </c>
      <c r="H2090" s="1596">
        <v>1</v>
      </c>
      <c r="I2090" s="1595"/>
      <c r="J2090" s="1595"/>
      <c r="K2090" s="1597">
        <v>88101</v>
      </c>
      <c r="L2090" s="1597">
        <v>88101</v>
      </c>
      <c r="M2090" s="1598"/>
      <c r="N2090" s="1597">
        <v>88101</v>
      </c>
      <c r="O2090" s="1597">
        <v>14096.16</v>
      </c>
      <c r="P2090" s="1597">
        <v>70480.800000000003</v>
      </c>
      <c r="Q2090" s="1597">
        <v>3524.04</v>
      </c>
      <c r="R2090" s="1597">
        <v>74004.84</v>
      </c>
      <c r="S2090" s="1592"/>
    </row>
    <row r="2091" spans="2:19" s="1593" customFormat="1" ht="11.25" customHeight="1" outlineLevel="1">
      <c r="B2091" s="1594">
        <v>28098</v>
      </c>
      <c r="C2091" s="1595" t="s">
        <v>3771</v>
      </c>
      <c r="D2091" s="1595" t="s">
        <v>11933</v>
      </c>
      <c r="E2091" s="1595"/>
      <c r="F2091" s="1595"/>
      <c r="G2091" s="1595" t="s">
        <v>3724</v>
      </c>
      <c r="H2091" s="1596">
        <v>1</v>
      </c>
      <c r="I2091" s="1595"/>
      <c r="J2091" s="1595"/>
      <c r="K2091" s="1597">
        <v>196101</v>
      </c>
      <c r="L2091" s="1597">
        <v>196101</v>
      </c>
      <c r="M2091" s="1598"/>
      <c r="N2091" s="1597">
        <v>196101</v>
      </c>
      <c r="O2091" s="1597">
        <v>31376.16</v>
      </c>
      <c r="P2091" s="1597">
        <v>156880.79999999999</v>
      </c>
      <c r="Q2091" s="1597">
        <v>7844.04</v>
      </c>
      <c r="R2091" s="1597">
        <v>164724.84</v>
      </c>
      <c r="S2091" s="1592"/>
    </row>
    <row r="2092" spans="2:19" s="1593" customFormat="1" ht="11.25" customHeight="1" outlineLevel="1">
      <c r="B2092" s="1594">
        <v>28099</v>
      </c>
      <c r="C2092" s="1595" t="s">
        <v>3771</v>
      </c>
      <c r="D2092" s="1595" t="s">
        <v>11932</v>
      </c>
      <c r="E2092" s="1595"/>
      <c r="F2092" s="1595"/>
      <c r="G2092" s="1595" t="s">
        <v>11931</v>
      </c>
      <c r="H2092" s="1596">
        <v>1</v>
      </c>
      <c r="I2092" s="1595"/>
      <c r="J2092" s="1595"/>
      <c r="K2092" s="1597">
        <v>232553</v>
      </c>
      <c r="L2092" s="1597">
        <v>232553</v>
      </c>
      <c r="M2092" s="1598"/>
      <c r="N2092" s="1597">
        <v>232553</v>
      </c>
      <c r="O2092" s="1597">
        <v>37207.879999999997</v>
      </c>
      <c r="P2092" s="1597">
        <v>186043.2</v>
      </c>
      <c r="Q2092" s="1597">
        <v>9301.92</v>
      </c>
      <c r="R2092" s="1597">
        <v>195345.12</v>
      </c>
      <c r="S2092" s="1592"/>
    </row>
    <row r="2093" spans="2:19" s="1593" customFormat="1" ht="11.25" customHeight="1" outlineLevel="1">
      <c r="B2093" s="1594">
        <v>28100</v>
      </c>
      <c r="C2093" s="1595" t="s">
        <v>3771</v>
      </c>
      <c r="D2093" s="1595" t="s">
        <v>11930</v>
      </c>
      <c r="E2093" s="1595"/>
      <c r="F2093" s="1595"/>
      <c r="G2093" s="1595" t="s">
        <v>3724</v>
      </c>
      <c r="H2093" s="1596">
        <v>1</v>
      </c>
      <c r="I2093" s="1595"/>
      <c r="J2093" s="1595"/>
      <c r="K2093" s="1599">
        <v>486</v>
      </c>
      <c r="L2093" s="1597">
        <v>114681</v>
      </c>
      <c r="M2093" s="1598"/>
      <c r="N2093" s="1597">
        <v>114681</v>
      </c>
      <c r="O2093" s="1597">
        <v>35286</v>
      </c>
      <c r="P2093" s="1597">
        <v>75614.399999999994</v>
      </c>
      <c r="Q2093" s="1597">
        <v>3780.6</v>
      </c>
      <c r="R2093" s="1597">
        <v>79395</v>
      </c>
      <c r="S2093" s="1592"/>
    </row>
    <row r="2094" spans="2:19" s="1593" customFormat="1" ht="11.25" customHeight="1" outlineLevel="1">
      <c r="B2094" s="1594">
        <v>28101</v>
      </c>
      <c r="C2094" s="1595" t="s">
        <v>3771</v>
      </c>
      <c r="D2094" s="1595" t="s">
        <v>11929</v>
      </c>
      <c r="E2094" s="1595"/>
      <c r="F2094" s="1595"/>
      <c r="G2094" s="1595" t="s">
        <v>3724</v>
      </c>
      <c r="H2094" s="1596">
        <v>1</v>
      </c>
      <c r="I2094" s="1595"/>
      <c r="J2094" s="1595"/>
      <c r="K2094" s="1599">
        <v>258</v>
      </c>
      <c r="L2094" s="1597">
        <v>66205</v>
      </c>
      <c r="M2094" s="1598"/>
      <c r="N2094" s="1597">
        <v>66205</v>
      </c>
      <c r="O2094" s="1597">
        <v>21714.52</v>
      </c>
      <c r="P2094" s="1597">
        <v>42372</v>
      </c>
      <c r="Q2094" s="1597">
        <v>2118.48</v>
      </c>
      <c r="R2094" s="1597">
        <v>44490.48</v>
      </c>
      <c r="S2094" s="1592"/>
    </row>
    <row r="2095" spans="2:19" s="1593" customFormat="1" ht="11.25" customHeight="1" outlineLevel="1">
      <c r="B2095" s="1594">
        <v>28102</v>
      </c>
      <c r="C2095" s="1595" t="s">
        <v>3771</v>
      </c>
      <c r="D2095" s="1595" t="s">
        <v>11928</v>
      </c>
      <c r="E2095" s="1595"/>
      <c r="F2095" s="1595"/>
      <c r="G2095" s="1595" t="s">
        <v>8059</v>
      </c>
      <c r="H2095" s="1596">
        <v>1</v>
      </c>
      <c r="I2095" s="1595"/>
      <c r="J2095" s="1595"/>
      <c r="K2095" s="1597">
        <v>164931</v>
      </c>
      <c r="L2095" s="1597">
        <v>164931</v>
      </c>
      <c r="M2095" s="1598"/>
      <c r="N2095" s="1597">
        <v>164931</v>
      </c>
      <c r="O2095" s="1597">
        <v>26388.959999999999</v>
      </c>
      <c r="P2095" s="1597">
        <v>131944.79999999999</v>
      </c>
      <c r="Q2095" s="1597">
        <v>6597.24</v>
      </c>
      <c r="R2095" s="1597">
        <v>138542.04</v>
      </c>
      <c r="S2095" s="1592"/>
    </row>
    <row r="2096" spans="2:19" s="1593" customFormat="1" ht="11.25" customHeight="1" outlineLevel="1">
      <c r="B2096" s="1594">
        <v>28103</v>
      </c>
      <c r="C2096" s="1595" t="s">
        <v>3771</v>
      </c>
      <c r="D2096" s="1595" t="s">
        <v>11927</v>
      </c>
      <c r="E2096" s="1595"/>
      <c r="F2096" s="1595"/>
      <c r="G2096" s="1595" t="s">
        <v>3724</v>
      </c>
      <c r="H2096" s="1596">
        <v>1</v>
      </c>
      <c r="I2096" s="1595"/>
      <c r="J2096" s="1595"/>
      <c r="K2096" s="1599">
        <v>276</v>
      </c>
      <c r="L2096" s="1597">
        <v>64469</v>
      </c>
      <c r="M2096" s="1598"/>
      <c r="N2096" s="1597">
        <v>64469</v>
      </c>
      <c r="O2096" s="1597">
        <v>21145.279999999999</v>
      </c>
      <c r="P2096" s="1597">
        <v>41260.800000000003</v>
      </c>
      <c r="Q2096" s="1597">
        <v>2062.92</v>
      </c>
      <c r="R2096" s="1597">
        <v>43323.72</v>
      </c>
      <c r="S2096" s="1592"/>
    </row>
    <row r="2097" spans="2:19" s="1593" customFormat="1" ht="11.25" customHeight="1" outlineLevel="1">
      <c r="B2097" s="1594">
        <v>28104</v>
      </c>
      <c r="C2097" s="1595" t="s">
        <v>3771</v>
      </c>
      <c r="D2097" s="1595" t="s">
        <v>11926</v>
      </c>
      <c r="E2097" s="1595"/>
      <c r="F2097" s="1595"/>
      <c r="G2097" s="1595"/>
      <c r="H2097" s="1596">
        <v>1</v>
      </c>
      <c r="I2097" s="1595"/>
      <c r="J2097" s="1595"/>
      <c r="K2097" s="1597">
        <v>22646</v>
      </c>
      <c r="L2097" s="1597">
        <v>22646</v>
      </c>
      <c r="M2097" s="1597">
        <v>-22646</v>
      </c>
      <c r="N2097" s="1598"/>
      <c r="O2097" s="1598"/>
      <c r="P2097" s="1597">
        <v>22646</v>
      </c>
      <c r="Q2097" s="1597">
        <v>-22646</v>
      </c>
      <c r="R2097" s="1598"/>
      <c r="S2097" s="1592"/>
    </row>
    <row r="2098" spans="2:19" s="1593" customFormat="1" ht="11.25" customHeight="1" outlineLevel="1">
      <c r="B2098" s="1594">
        <v>28105</v>
      </c>
      <c r="C2098" s="1595" t="s">
        <v>3771</v>
      </c>
      <c r="D2098" s="1595" t="s">
        <v>11925</v>
      </c>
      <c r="E2098" s="1595"/>
      <c r="F2098" s="1595"/>
      <c r="G2098" s="1595" t="s">
        <v>3724</v>
      </c>
      <c r="H2098" s="1596">
        <v>3</v>
      </c>
      <c r="I2098" s="1595"/>
      <c r="J2098" s="1595"/>
      <c r="K2098" s="1599">
        <v>56</v>
      </c>
      <c r="L2098" s="1597">
        <v>28512</v>
      </c>
      <c r="M2098" s="1598"/>
      <c r="N2098" s="1597">
        <v>28512</v>
      </c>
      <c r="O2098" s="1597">
        <v>10549.44</v>
      </c>
      <c r="P2098" s="1597">
        <v>17107.2</v>
      </c>
      <c r="Q2098" s="1599">
        <v>855.36</v>
      </c>
      <c r="R2098" s="1597">
        <v>17962.560000000001</v>
      </c>
      <c r="S2098" s="1592"/>
    </row>
    <row r="2099" spans="2:19" s="1593" customFormat="1" ht="11.25" customHeight="1" outlineLevel="1">
      <c r="B2099" s="1594">
        <v>25645</v>
      </c>
      <c r="C2099" s="1595" t="s">
        <v>11922</v>
      </c>
      <c r="D2099" s="1595" t="s">
        <v>11924</v>
      </c>
      <c r="E2099" s="1595"/>
      <c r="F2099" s="1595"/>
      <c r="G2099" s="1595"/>
      <c r="H2099" s="1596">
        <v>1</v>
      </c>
      <c r="I2099" s="1595"/>
      <c r="J2099" s="1595"/>
      <c r="K2099" s="1597">
        <v>16480</v>
      </c>
      <c r="L2099" s="1597">
        <v>16480</v>
      </c>
      <c r="M2099" s="1597">
        <v>-16480</v>
      </c>
      <c r="N2099" s="1598"/>
      <c r="O2099" s="1598"/>
      <c r="P2099" s="1597">
        <v>16480</v>
      </c>
      <c r="Q2099" s="1597">
        <v>-16480</v>
      </c>
      <c r="R2099" s="1598"/>
      <c r="S2099" s="1592"/>
    </row>
    <row r="2100" spans="2:19" s="1593" customFormat="1" ht="11.25" customHeight="1" outlineLevel="1">
      <c r="B2100" s="1594">
        <v>28359</v>
      </c>
      <c r="C2100" s="1595" t="s">
        <v>11922</v>
      </c>
      <c r="D2100" s="1595" t="s">
        <v>11923</v>
      </c>
      <c r="E2100" s="1595"/>
      <c r="F2100" s="1595"/>
      <c r="G2100" s="1595" t="s">
        <v>3596</v>
      </c>
      <c r="H2100" s="1596">
        <v>1</v>
      </c>
      <c r="I2100" s="1595"/>
      <c r="J2100" s="1595"/>
      <c r="K2100" s="1597">
        <v>768000</v>
      </c>
      <c r="L2100" s="1597">
        <v>768000</v>
      </c>
      <c r="M2100" s="1598"/>
      <c r="N2100" s="1597">
        <v>768000</v>
      </c>
      <c r="O2100" s="1597">
        <v>37011.78</v>
      </c>
      <c r="P2100" s="1597">
        <v>693976.5</v>
      </c>
      <c r="Q2100" s="1597">
        <v>37011.72</v>
      </c>
      <c r="R2100" s="1597">
        <v>730988.22</v>
      </c>
      <c r="S2100" s="1592"/>
    </row>
    <row r="2101" spans="2:19" s="1593" customFormat="1" ht="11.25" customHeight="1" outlineLevel="1">
      <c r="B2101" s="1594">
        <v>29645</v>
      </c>
      <c r="C2101" s="1595" t="s">
        <v>11922</v>
      </c>
      <c r="D2101" s="1595" t="s">
        <v>11921</v>
      </c>
      <c r="E2101" s="1595"/>
      <c r="F2101" s="1595"/>
      <c r="G2101" s="1595"/>
      <c r="H2101" s="1596">
        <v>1</v>
      </c>
      <c r="I2101" s="1595"/>
      <c r="J2101" s="1595"/>
      <c r="K2101" s="1597">
        <v>180000</v>
      </c>
      <c r="L2101" s="1597">
        <v>180000</v>
      </c>
      <c r="M2101" s="1598"/>
      <c r="N2101" s="1597">
        <v>180000</v>
      </c>
      <c r="O2101" s="1597">
        <v>1470.91</v>
      </c>
      <c r="P2101" s="1597">
        <v>170885.25</v>
      </c>
      <c r="Q2101" s="1597">
        <v>7643.84</v>
      </c>
      <c r="R2101" s="1597">
        <v>178529.09</v>
      </c>
      <c r="S2101" s="1592"/>
    </row>
    <row r="2102" spans="2:19" s="1593" customFormat="1" ht="11.25" customHeight="1" outlineLevel="1">
      <c r="B2102" s="1594">
        <v>29704</v>
      </c>
      <c r="C2102" s="1595" t="s">
        <v>11920</v>
      </c>
      <c r="D2102" s="1595" t="s">
        <v>11919</v>
      </c>
      <c r="E2102" s="1595"/>
      <c r="F2102" s="1595"/>
      <c r="G2102" s="1595"/>
      <c r="H2102" s="1596">
        <v>1</v>
      </c>
      <c r="I2102" s="1595"/>
      <c r="J2102" s="1595"/>
      <c r="K2102" s="1597">
        <v>2856</v>
      </c>
      <c r="L2102" s="1597">
        <v>2856</v>
      </c>
      <c r="M2102" s="1597">
        <v>-2856</v>
      </c>
      <c r="N2102" s="1598"/>
      <c r="O2102" s="1598"/>
      <c r="P2102" s="1597">
        <v>2856</v>
      </c>
      <c r="Q2102" s="1597">
        <v>-2856</v>
      </c>
      <c r="R2102" s="1598"/>
      <c r="S2102" s="1592"/>
    </row>
    <row r="2103" spans="2:19" s="1593" customFormat="1" ht="11.25" customHeight="1" outlineLevel="1">
      <c r="B2103" s="1594">
        <v>30448</v>
      </c>
      <c r="C2103" s="1595" t="s">
        <v>8215</v>
      </c>
      <c r="D2103" s="1595" t="s">
        <v>11918</v>
      </c>
      <c r="E2103" s="1595"/>
      <c r="F2103" s="1595"/>
      <c r="G2103" s="1595"/>
      <c r="H2103" s="1596">
        <v>1</v>
      </c>
      <c r="I2103" s="1595"/>
      <c r="J2103" s="1595"/>
      <c r="K2103" s="1597">
        <v>4166.67</v>
      </c>
      <c r="L2103" s="1597">
        <v>4166.67</v>
      </c>
      <c r="M2103" s="1597">
        <v>-4166.67</v>
      </c>
      <c r="N2103" s="1598"/>
      <c r="O2103" s="1598"/>
      <c r="P2103" s="1597">
        <v>4166.67</v>
      </c>
      <c r="Q2103" s="1597">
        <v>-4166.67</v>
      </c>
      <c r="R2103" s="1598"/>
      <c r="S2103" s="1592"/>
    </row>
    <row r="2104" spans="2:19" s="1593" customFormat="1" ht="11.25" customHeight="1" outlineLevel="1">
      <c r="B2104" s="1594">
        <v>30449</v>
      </c>
      <c r="C2104" s="1595" t="s">
        <v>8215</v>
      </c>
      <c r="D2104" s="1595" t="s">
        <v>11917</v>
      </c>
      <c r="E2104" s="1595"/>
      <c r="F2104" s="1595"/>
      <c r="G2104" s="1595"/>
      <c r="H2104" s="1596">
        <v>1</v>
      </c>
      <c r="I2104" s="1595"/>
      <c r="J2104" s="1595"/>
      <c r="K2104" s="1597">
        <v>2299.17</v>
      </c>
      <c r="L2104" s="1597">
        <v>2299.17</v>
      </c>
      <c r="M2104" s="1597">
        <v>-2299.17</v>
      </c>
      <c r="N2104" s="1598"/>
      <c r="O2104" s="1598"/>
      <c r="P2104" s="1597">
        <v>2299.17</v>
      </c>
      <c r="Q2104" s="1597">
        <v>-2299.17</v>
      </c>
      <c r="R2104" s="1598"/>
      <c r="S2104" s="1592"/>
    </row>
    <row r="2105" spans="2:19" s="1593" customFormat="1" ht="11.25" customHeight="1" outlineLevel="1">
      <c r="B2105" s="1594">
        <v>37270</v>
      </c>
      <c r="C2105" s="1595" t="s">
        <v>8215</v>
      </c>
      <c r="D2105" s="1595" t="s">
        <v>11916</v>
      </c>
      <c r="E2105" s="1595"/>
      <c r="F2105" s="1595"/>
      <c r="G2105" s="1595"/>
      <c r="H2105" s="1596">
        <v>1</v>
      </c>
      <c r="I2105" s="1595"/>
      <c r="J2105" s="1595"/>
      <c r="K2105" s="1597">
        <v>4166.67</v>
      </c>
      <c r="L2105" s="1597">
        <v>4166.67</v>
      </c>
      <c r="M2105" s="1597">
        <v>-4166.67</v>
      </c>
      <c r="N2105" s="1598"/>
      <c r="O2105" s="1598"/>
      <c r="P2105" s="1597">
        <v>4166.67</v>
      </c>
      <c r="Q2105" s="1597">
        <v>-4166.67</v>
      </c>
      <c r="R2105" s="1598"/>
      <c r="S2105" s="1592"/>
    </row>
    <row r="2106" spans="2:19" s="1593" customFormat="1" ht="11.25" customHeight="1" outlineLevel="1">
      <c r="B2106" s="1594">
        <v>29822</v>
      </c>
      <c r="C2106" s="1595" t="s">
        <v>8212</v>
      </c>
      <c r="D2106" s="1595" t="s">
        <v>11915</v>
      </c>
      <c r="E2106" s="1595"/>
      <c r="F2106" s="1595"/>
      <c r="G2106" s="1595"/>
      <c r="H2106" s="1596">
        <v>1</v>
      </c>
      <c r="I2106" s="1595"/>
      <c r="J2106" s="1595"/>
      <c r="K2106" s="1597">
        <v>22650</v>
      </c>
      <c r="L2106" s="1597">
        <v>22650</v>
      </c>
      <c r="M2106" s="1597">
        <v>-22650</v>
      </c>
      <c r="N2106" s="1598"/>
      <c r="O2106" s="1598"/>
      <c r="P2106" s="1597">
        <v>22650</v>
      </c>
      <c r="Q2106" s="1597">
        <v>-22650</v>
      </c>
      <c r="R2106" s="1598"/>
      <c r="S2106" s="1592"/>
    </row>
    <row r="2107" spans="2:19" s="1593" customFormat="1" ht="11.25" customHeight="1" outlineLevel="1">
      <c r="B2107" s="1594">
        <v>31069</v>
      </c>
      <c r="C2107" s="1595" t="s">
        <v>3721</v>
      </c>
      <c r="D2107" s="1595" t="s">
        <v>11914</v>
      </c>
      <c r="E2107" s="1595"/>
      <c r="F2107" s="1595"/>
      <c r="G2107" s="1595" t="s">
        <v>11871</v>
      </c>
      <c r="H2107" s="1596">
        <v>1</v>
      </c>
      <c r="I2107" s="1595"/>
      <c r="J2107" s="1595"/>
      <c r="K2107" s="1597">
        <v>371000</v>
      </c>
      <c r="L2107" s="1597">
        <v>596050</v>
      </c>
      <c r="M2107" s="1598"/>
      <c r="N2107" s="1597">
        <v>596050</v>
      </c>
      <c r="O2107" s="1597">
        <v>98250.52</v>
      </c>
      <c r="P2107" s="1597">
        <v>471599.28</v>
      </c>
      <c r="Q2107" s="1597">
        <v>26200.2</v>
      </c>
      <c r="R2107" s="1597">
        <v>497799.48</v>
      </c>
      <c r="S2107" s="1592"/>
    </row>
    <row r="2108" spans="2:19" s="1593" customFormat="1" ht="11.25" customHeight="1" outlineLevel="1">
      <c r="B2108" s="1594">
        <v>31070</v>
      </c>
      <c r="C2108" s="1595" t="s">
        <v>3721</v>
      </c>
      <c r="D2108" s="1595" t="s">
        <v>11913</v>
      </c>
      <c r="E2108" s="1595"/>
      <c r="F2108" s="1595"/>
      <c r="G2108" s="1595"/>
      <c r="H2108" s="1596">
        <v>1</v>
      </c>
      <c r="I2108" s="1595"/>
      <c r="J2108" s="1595"/>
      <c r="K2108" s="1597">
        <v>87500</v>
      </c>
      <c r="L2108" s="1597">
        <v>182311.32</v>
      </c>
      <c r="M2108" s="1598"/>
      <c r="N2108" s="1597">
        <v>182311.32</v>
      </c>
      <c r="O2108" s="1597">
        <v>30050.77</v>
      </c>
      <c r="P2108" s="1597">
        <v>144246.96</v>
      </c>
      <c r="Q2108" s="1597">
        <v>8013.59</v>
      </c>
      <c r="R2108" s="1597">
        <v>152260.54999999999</v>
      </c>
      <c r="S2108" s="1592"/>
    </row>
    <row r="2109" spans="2:19" s="1593" customFormat="1" ht="11.25" customHeight="1" outlineLevel="1">
      <c r="B2109" s="1594">
        <v>31142</v>
      </c>
      <c r="C2109" s="1595" t="s">
        <v>3721</v>
      </c>
      <c r="D2109" s="1595" t="s">
        <v>11912</v>
      </c>
      <c r="E2109" s="1595"/>
      <c r="F2109" s="1595"/>
      <c r="G2109" s="1595"/>
      <c r="H2109" s="1596">
        <v>1</v>
      </c>
      <c r="I2109" s="1595"/>
      <c r="J2109" s="1595"/>
      <c r="K2109" s="1597">
        <v>3049</v>
      </c>
      <c r="L2109" s="1597">
        <v>3049</v>
      </c>
      <c r="M2109" s="1597">
        <v>-3049</v>
      </c>
      <c r="N2109" s="1598"/>
      <c r="O2109" s="1598"/>
      <c r="P2109" s="1597">
        <v>3049</v>
      </c>
      <c r="Q2109" s="1597">
        <v>-3049</v>
      </c>
      <c r="R2109" s="1598"/>
      <c r="S2109" s="1592"/>
    </row>
    <row r="2110" spans="2:19" s="1593" customFormat="1" ht="11.25" customHeight="1" outlineLevel="1">
      <c r="B2110" s="1594">
        <v>31157</v>
      </c>
      <c r="C2110" s="1595" t="s">
        <v>3721</v>
      </c>
      <c r="D2110" s="1595" t="s">
        <v>11911</v>
      </c>
      <c r="E2110" s="1595"/>
      <c r="F2110" s="1595"/>
      <c r="G2110" s="1595"/>
      <c r="H2110" s="1596">
        <v>1</v>
      </c>
      <c r="I2110" s="1595"/>
      <c r="J2110" s="1595"/>
      <c r="K2110" s="1597">
        <v>28104</v>
      </c>
      <c r="L2110" s="1597">
        <v>28104</v>
      </c>
      <c r="M2110" s="1597">
        <v>-28104</v>
      </c>
      <c r="N2110" s="1598"/>
      <c r="O2110" s="1598"/>
      <c r="P2110" s="1597">
        <v>15151.2</v>
      </c>
      <c r="Q2110" s="1597">
        <v>-15151.2</v>
      </c>
      <c r="R2110" s="1598"/>
      <c r="S2110" s="1592"/>
    </row>
    <row r="2111" spans="2:19" s="1593" customFormat="1" ht="11.25" customHeight="1" outlineLevel="1">
      <c r="B2111" s="1594">
        <v>31190</v>
      </c>
      <c r="C2111" s="1595" t="s">
        <v>3721</v>
      </c>
      <c r="D2111" s="1595" t="s">
        <v>11910</v>
      </c>
      <c r="E2111" s="1595"/>
      <c r="F2111" s="1595"/>
      <c r="G2111" s="1595"/>
      <c r="H2111" s="1596">
        <v>1</v>
      </c>
      <c r="I2111" s="1595"/>
      <c r="J2111" s="1595"/>
      <c r="K2111" s="1597">
        <v>131453</v>
      </c>
      <c r="L2111" s="1597">
        <v>307789.58</v>
      </c>
      <c r="M2111" s="1598"/>
      <c r="N2111" s="1597">
        <v>307789.58</v>
      </c>
      <c r="O2111" s="1597">
        <v>132350.29999999999</v>
      </c>
      <c r="P2111" s="1597">
        <v>166205.51999999999</v>
      </c>
      <c r="Q2111" s="1597">
        <v>9233.76</v>
      </c>
      <c r="R2111" s="1597">
        <v>175439.28</v>
      </c>
      <c r="S2111" s="1592"/>
    </row>
    <row r="2112" spans="2:19" s="1593" customFormat="1" ht="11.25" customHeight="1" outlineLevel="1">
      <c r="B2112" s="1594">
        <v>31196</v>
      </c>
      <c r="C2112" s="1595" t="s">
        <v>3721</v>
      </c>
      <c r="D2112" s="1595" t="s">
        <v>11909</v>
      </c>
      <c r="E2112" s="1595"/>
      <c r="F2112" s="1595"/>
      <c r="G2112" s="1595" t="s">
        <v>11908</v>
      </c>
      <c r="H2112" s="1596">
        <v>1</v>
      </c>
      <c r="I2112" s="1595"/>
      <c r="J2112" s="1595"/>
      <c r="K2112" s="1597">
        <v>143891</v>
      </c>
      <c r="L2112" s="1597">
        <v>143891</v>
      </c>
      <c r="M2112" s="1598"/>
      <c r="N2112" s="1597">
        <v>143891</v>
      </c>
      <c r="O2112" s="1597">
        <v>7194.08</v>
      </c>
      <c r="P2112" s="1597">
        <v>129502.8</v>
      </c>
      <c r="Q2112" s="1597">
        <v>7194.12</v>
      </c>
      <c r="R2112" s="1597">
        <v>136696.92000000001</v>
      </c>
      <c r="S2112" s="1592"/>
    </row>
    <row r="2113" spans="2:19" s="1593" customFormat="1" ht="11.25" customHeight="1" outlineLevel="1">
      <c r="B2113" s="1594">
        <v>35546</v>
      </c>
      <c r="C2113" s="1595" t="s">
        <v>3716</v>
      </c>
      <c r="D2113" s="1595" t="s">
        <v>11907</v>
      </c>
      <c r="E2113" s="1595"/>
      <c r="F2113" s="1595"/>
      <c r="G2113" s="1595" t="s">
        <v>11906</v>
      </c>
      <c r="H2113" s="1596">
        <v>1</v>
      </c>
      <c r="I2113" s="1595"/>
      <c r="J2113" s="1595"/>
      <c r="K2113" s="1599">
        <v>778</v>
      </c>
      <c r="L2113" s="1599">
        <v>778.25</v>
      </c>
      <c r="M2113" s="1598"/>
      <c r="N2113" s="1599">
        <v>778.25</v>
      </c>
      <c r="O2113" s="1599">
        <v>210.63</v>
      </c>
      <c r="P2113" s="1599">
        <v>537.5</v>
      </c>
      <c r="Q2113" s="1599">
        <v>30.12</v>
      </c>
      <c r="R2113" s="1599">
        <v>567.62</v>
      </c>
      <c r="S2113" s="1592"/>
    </row>
    <row r="2114" spans="2:19" s="1593" customFormat="1" ht="11.25" customHeight="1" outlineLevel="1">
      <c r="B2114" s="1594">
        <v>28040</v>
      </c>
      <c r="C2114" s="1595" t="s">
        <v>3713</v>
      </c>
      <c r="D2114" s="1595" t="s">
        <v>11905</v>
      </c>
      <c r="E2114" s="1595"/>
      <c r="F2114" s="1595"/>
      <c r="G2114" s="1595" t="s">
        <v>3596</v>
      </c>
      <c r="H2114" s="1596">
        <v>1</v>
      </c>
      <c r="I2114" s="1595"/>
      <c r="J2114" s="1595"/>
      <c r="K2114" s="1597">
        <v>208333</v>
      </c>
      <c r="L2114" s="1597">
        <v>208333</v>
      </c>
      <c r="M2114" s="1598"/>
      <c r="N2114" s="1597">
        <v>208333</v>
      </c>
      <c r="O2114" s="1597">
        <v>10459.85</v>
      </c>
      <c r="P2114" s="1597">
        <v>187413.35</v>
      </c>
      <c r="Q2114" s="1597">
        <v>10459.799999999999</v>
      </c>
      <c r="R2114" s="1597">
        <v>197873.15</v>
      </c>
      <c r="S2114" s="1592"/>
    </row>
    <row r="2115" spans="2:19" s="1593" customFormat="1" ht="11.25" customHeight="1" outlineLevel="1">
      <c r="B2115" s="1594">
        <v>29678</v>
      </c>
      <c r="C2115" s="1595" t="s">
        <v>3713</v>
      </c>
      <c r="D2115" s="1595" t="s">
        <v>11904</v>
      </c>
      <c r="E2115" s="1595"/>
      <c r="F2115" s="1595"/>
      <c r="G2115" s="1595"/>
      <c r="H2115" s="1596">
        <v>1</v>
      </c>
      <c r="I2115" s="1595"/>
      <c r="J2115" s="1595"/>
      <c r="K2115" s="1597">
        <v>166667</v>
      </c>
      <c r="L2115" s="1597">
        <v>166667</v>
      </c>
      <c r="M2115" s="1598"/>
      <c r="N2115" s="1597">
        <v>166667</v>
      </c>
      <c r="O2115" s="1597">
        <v>1421.67</v>
      </c>
      <c r="P2115" s="1597">
        <v>157857.29999999999</v>
      </c>
      <c r="Q2115" s="1597">
        <v>7388.03</v>
      </c>
      <c r="R2115" s="1597">
        <v>165245.32999999999</v>
      </c>
      <c r="S2115" s="1592"/>
    </row>
    <row r="2116" spans="2:19" s="1593" customFormat="1" ht="11.25" customHeight="1" outlineLevel="1">
      <c r="B2116" s="1594">
        <v>29770</v>
      </c>
      <c r="C2116" s="1595" t="s">
        <v>3713</v>
      </c>
      <c r="D2116" s="1595" t="s">
        <v>11903</v>
      </c>
      <c r="E2116" s="1595"/>
      <c r="F2116" s="1595"/>
      <c r="G2116" s="1595"/>
      <c r="H2116" s="1596">
        <v>1</v>
      </c>
      <c r="I2116" s="1595"/>
      <c r="J2116" s="1595"/>
      <c r="K2116" s="1597">
        <v>200000</v>
      </c>
      <c r="L2116" s="1597">
        <v>200000</v>
      </c>
      <c r="M2116" s="1598"/>
      <c r="N2116" s="1597">
        <v>200000</v>
      </c>
      <c r="O2116" s="1597">
        <v>1706.07</v>
      </c>
      <c r="P2116" s="1597">
        <v>189427.9</v>
      </c>
      <c r="Q2116" s="1597">
        <v>8866.0300000000007</v>
      </c>
      <c r="R2116" s="1597">
        <v>198293.93</v>
      </c>
      <c r="S2116" s="1592"/>
    </row>
    <row r="2117" spans="2:19" s="1593" customFormat="1" ht="11.25" customHeight="1" outlineLevel="1">
      <c r="B2117" s="1594">
        <v>35178</v>
      </c>
      <c r="C2117" s="1595" t="s">
        <v>3713</v>
      </c>
      <c r="D2117" s="1595" t="s">
        <v>11902</v>
      </c>
      <c r="E2117" s="1595"/>
      <c r="F2117" s="1595"/>
      <c r="G2117" s="1595" t="s">
        <v>3596</v>
      </c>
      <c r="H2117" s="1596">
        <v>1</v>
      </c>
      <c r="I2117" s="1595"/>
      <c r="J2117" s="1595"/>
      <c r="K2117" s="1597">
        <v>208333</v>
      </c>
      <c r="L2117" s="1597">
        <v>208333</v>
      </c>
      <c r="M2117" s="1598"/>
      <c r="N2117" s="1597">
        <v>208333</v>
      </c>
      <c r="O2117" s="1597">
        <v>10459.85</v>
      </c>
      <c r="P2117" s="1597">
        <v>187413.35</v>
      </c>
      <c r="Q2117" s="1597">
        <v>10459.799999999999</v>
      </c>
      <c r="R2117" s="1597">
        <v>197873.15</v>
      </c>
      <c r="S2117" s="1592"/>
    </row>
    <row r="2118" spans="2:19" s="1593" customFormat="1" ht="11.25" customHeight="1" outlineLevel="1">
      <c r="B2118" s="1594">
        <v>36613</v>
      </c>
      <c r="C2118" s="1595" t="s">
        <v>3713</v>
      </c>
      <c r="D2118" s="1595" t="s">
        <v>11901</v>
      </c>
      <c r="E2118" s="1595"/>
      <c r="F2118" s="1595"/>
      <c r="G2118" s="1595"/>
      <c r="H2118" s="1596">
        <v>1</v>
      </c>
      <c r="I2118" s="1595"/>
      <c r="J2118" s="1595"/>
      <c r="K2118" s="1597">
        <v>2492</v>
      </c>
      <c r="L2118" s="1597">
        <v>2492</v>
      </c>
      <c r="M2118" s="1597">
        <v>-2492</v>
      </c>
      <c r="N2118" s="1598"/>
      <c r="O2118" s="1598"/>
      <c r="P2118" s="1597">
        <v>2492</v>
      </c>
      <c r="Q2118" s="1597">
        <v>-2492</v>
      </c>
      <c r="R2118" s="1598"/>
      <c r="S2118" s="1592"/>
    </row>
    <row r="2119" spans="2:19" s="1593" customFormat="1" ht="11.25" customHeight="1" outlineLevel="1">
      <c r="B2119" s="1594">
        <v>28170</v>
      </c>
      <c r="C2119" s="1595" t="s">
        <v>8141</v>
      </c>
      <c r="D2119" s="1595" t="s">
        <v>11900</v>
      </c>
      <c r="E2119" s="1595"/>
      <c r="F2119" s="1595"/>
      <c r="G2119" s="1595" t="s">
        <v>807</v>
      </c>
      <c r="H2119" s="1596">
        <v>1</v>
      </c>
      <c r="I2119" s="1595"/>
      <c r="J2119" s="1595"/>
      <c r="K2119" s="1597">
        <v>14135</v>
      </c>
      <c r="L2119" s="1597">
        <v>14135</v>
      </c>
      <c r="M2119" s="1598"/>
      <c r="N2119" s="1597">
        <v>14135</v>
      </c>
      <c r="O2119" s="1597">
        <v>3427.13</v>
      </c>
      <c r="P2119" s="1597">
        <v>10136.67</v>
      </c>
      <c r="Q2119" s="1599">
        <v>571.20000000000005</v>
      </c>
      <c r="R2119" s="1597">
        <v>10707.87</v>
      </c>
      <c r="S2119" s="1592"/>
    </row>
    <row r="2120" spans="2:19" s="1593" customFormat="1" ht="11.25" customHeight="1" outlineLevel="1">
      <c r="B2120" s="1594">
        <v>31324</v>
      </c>
      <c r="C2120" s="1595" t="s">
        <v>8141</v>
      </c>
      <c r="D2120" s="1595" t="s">
        <v>11899</v>
      </c>
      <c r="E2120" s="1595"/>
      <c r="F2120" s="1595"/>
      <c r="G2120" s="1595"/>
      <c r="H2120" s="1596">
        <v>1</v>
      </c>
      <c r="I2120" s="1595"/>
      <c r="J2120" s="1595"/>
      <c r="K2120" s="1597">
        <v>196850</v>
      </c>
      <c r="L2120" s="1597">
        <v>196850</v>
      </c>
      <c r="M2120" s="1598"/>
      <c r="N2120" s="1597">
        <v>196850</v>
      </c>
      <c r="O2120" s="1597">
        <v>14581.76</v>
      </c>
      <c r="P2120" s="1597">
        <v>172547.04</v>
      </c>
      <c r="Q2120" s="1597">
        <v>9721.2000000000007</v>
      </c>
      <c r="R2120" s="1597">
        <v>182268.24</v>
      </c>
      <c r="S2120" s="1592"/>
    </row>
    <row r="2121" spans="2:19" s="1593" customFormat="1" ht="11.25" customHeight="1" outlineLevel="1">
      <c r="B2121" s="1594">
        <v>31424</v>
      </c>
      <c r="C2121" s="1595" t="s">
        <v>8141</v>
      </c>
      <c r="D2121" s="1595" t="s">
        <v>11898</v>
      </c>
      <c r="E2121" s="1595"/>
      <c r="F2121" s="1595"/>
      <c r="G2121" s="1595" t="s">
        <v>11897</v>
      </c>
      <c r="H2121" s="1596">
        <v>1</v>
      </c>
      <c r="I2121" s="1595"/>
      <c r="J2121" s="1595"/>
      <c r="K2121" s="1597">
        <v>13824</v>
      </c>
      <c r="L2121" s="1597">
        <v>13824</v>
      </c>
      <c r="M2121" s="1597">
        <v>-13824</v>
      </c>
      <c r="N2121" s="1598"/>
      <c r="O2121" s="1598"/>
      <c r="P2121" s="1597">
        <v>13824</v>
      </c>
      <c r="Q2121" s="1597">
        <v>-13824</v>
      </c>
      <c r="R2121" s="1598"/>
      <c r="S2121" s="1592"/>
    </row>
    <row r="2122" spans="2:19" s="1593" customFormat="1" ht="11.25" customHeight="1" outlineLevel="1">
      <c r="B2122" s="1594">
        <v>31518</v>
      </c>
      <c r="C2122" s="1595" t="s">
        <v>10762</v>
      </c>
      <c r="D2122" s="1595" t="s">
        <v>11896</v>
      </c>
      <c r="E2122" s="1595"/>
      <c r="F2122" s="1595"/>
      <c r="G2122" s="1595" t="s">
        <v>11871</v>
      </c>
      <c r="H2122" s="1596">
        <v>1</v>
      </c>
      <c r="I2122" s="1595"/>
      <c r="J2122" s="1595"/>
      <c r="K2122" s="1597">
        <v>36397</v>
      </c>
      <c r="L2122" s="1597">
        <v>36397</v>
      </c>
      <c r="M2122" s="1598"/>
      <c r="N2122" s="1597">
        <v>36397</v>
      </c>
      <c r="O2122" s="1599">
        <v>314.52999999999997</v>
      </c>
      <c r="P2122" s="1597">
        <v>34447.879999999997</v>
      </c>
      <c r="Q2122" s="1597">
        <v>1634.59</v>
      </c>
      <c r="R2122" s="1597">
        <v>36082.47</v>
      </c>
      <c r="S2122" s="1592"/>
    </row>
    <row r="2123" spans="2:19" s="1593" customFormat="1" ht="11.25" customHeight="1" outlineLevel="1">
      <c r="B2123" s="1594">
        <v>31341</v>
      </c>
      <c r="C2123" s="1595" t="s">
        <v>3708</v>
      </c>
      <c r="D2123" s="1595" t="s">
        <v>11895</v>
      </c>
      <c r="E2123" s="1595"/>
      <c r="F2123" s="1595"/>
      <c r="G2123" s="1595"/>
      <c r="H2123" s="1596">
        <v>1</v>
      </c>
      <c r="I2123" s="1595"/>
      <c r="J2123" s="1595"/>
      <c r="K2123" s="1597">
        <v>25900</v>
      </c>
      <c r="L2123" s="1597">
        <v>25900</v>
      </c>
      <c r="M2123" s="1597">
        <v>-25900</v>
      </c>
      <c r="N2123" s="1598"/>
      <c r="O2123" s="1598"/>
      <c r="P2123" s="1597">
        <v>25900</v>
      </c>
      <c r="Q2123" s="1597">
        <v>-25900</v>
      </c>
      <c r="R2123" s="1598"/>
      <c r="S2123" s="1592"/>
    </row>
    <row r="2124" spans="2:19" s="1593" customFormat="1" ht="11.25" customHeight="1" outlineLevel="1">
      <c r="B2124" s="1594">
        <v>34819</v>
      </c>
      <c r="C2124" s="1595" t="s">
        <v>3708</v>
      </c>
      <c r="D2124" s="1595" t="s">
        <v>11894</v>
      </c>
      <c r="E2124" s="1595"/>
      <c r="F2124" s="1595"/>
      <c r="G2124" s="1595"/>
      <c r="H2124" s="1596">
        <v>1</v>
      </c>
      <c r="I2124" s="1595"/>
      <c r="J2124" s="1595"/>
      <c r="K2124" s="1597">
        <v>11100</v>
      </c>
      <c r="L2124" s="1597">
        <v>11100</v>
      </c>
      <c r="M2124" s="1597">
        <v>-11100</v>
      </c>
      <c r="N2124" s="1598"/>
      <c r="O2124" s="1598"/>
      <c r="P2124" s="1597">
        <v>11100</v>
      </c>
      <c r="Q2124" s="1597">
        <v>-11100</v>
      </c>
      <c r="R2124" s="1598"/>
      <c r="S2124" s="1592"/>
    </row>
    <row r="2125" spans="2:19" s="1593" customFormat="1" ht="11.25" customHeight="1" outlineLevel="1">
      <c r="B2125" s="1594">
        <v>35362</v>
      </c>
      <c r="C2125" s="1595" t="s">
        <v>3708</v>
      </c>
      <c r="D2125" s="1595" t="s">
        <v>11893</v>
      </c>
      <c r="E2125" s="1595"/>
      <c r="F2125" s="1595"/>
      <c r="G2125" s="1595"/>
      <c r="H2125" s="1596">
        <v>1</v>
      </c>
      <c r="I2125" s="1595"/>
      <c r="J2125" s="1595"/>
      <c r="K2125" s="1597">
        <v>25900</v>
      </c>
      <c r="L2125" s="1597">
        <v>25900</v>
      </c>
      <c r="M2125" s="1597">
        <v>-25900</v>
      </c>
      <c r="N2125" s="1598"/>
      <c r="O2125" s="1598"/>
      <c r="P2125" s="1597">
        <v>25900</v>
      </c>
      <c r="Q2125" s="1597">
        <v>-25900</v>
      </c>
      <c r="R2125" s="1598"/>
      <c r="S2125" s="1592"/>
    </row>
    <row r="2126" spans="2:19" s="1593" customFormat="1" ht="11.25" customHeight="1" outlineLevel="1">
      <c r="B2126" s="1594">
        <v>31647</v>
      </c>
      <c r="C2126" s="1595" t="s">
        <v>3705</v>
      </c>
      <c r="D2126" s="1595" t="s">
        <v>11892</v>
      </c>
      <c r="E2126" s="1595"/>
      <c r="F2126" s="1595"/>
      <c r="G2126" s="1595" t="s">
        <v>3734</v>
      </c>
      <c r="H2126" s="1596">
        <v>1</v>
      </c>
      <c r="I2126" s="1595"/>
      <c r="J2126" s="1595"/>
      <c r="K2126" s="1597">
        <v>120235</v>
      </c>
      <c r="L2126" s="1597">
        <v>120235</v>
      </c>
      <c r="M2126" s="1598"/>
      <c r="N2126" s="1597">
        <v>120235</v>
      </c>
      <c r="O2126" s="1597">
        <v>9479.19</v>
      </c>
      <c r="P2126" s="1597">
        <v>104769</v>
      </c>
      <c r="Q2126" s="1597">
        <v>5986.81</v>
      </c>
      <c r="R2126" s="1597">
        <v>110755.81</v>
      </c>
      <c r="S2126" s="1592"/>
    </row>
    <row r="2127" spans="2:19" s="1593" customFormat="1" ht="11.25" customHeight="1" outlineLevel="1">
      <c r="B2127" s="1594">
        <v>28285</v>
      </c>
      <c r="C2127" s="1595" t="s">
        <v>8066</v>
      </c>
      <c r="D2127" s="1595" t="s">
        <v>11891</v>
      </c>
      <c r="E2127" s="1595"/>
      <c r="F2127" s="1595"/>
      <c r="G2127" s="1595"/>
      <c r="H2127" s="1596">
        <v>1</v>
      </c>
      <c r="I2127" s="1595"/>
      <c r="J2127" s="1595"/>
      <c r="K2127" s="1597">
        <v>54166</v>
      </c>
      <c r="L2127" s="1597">
        <v>54166</v>
      </c>
      <c r="M2127" s="1597">
        <v>-54166</v>
      </c>
      <c r="N2127" s="1598"/>
      <c r="O2127" s="1598"/>
      <c r="P2127" s="1597">
        <v>51903.6</v>
      </c>
      <c r="Q2127" s="1597">
        <v>-51903.6</v>
      </c>
      <c r="R2127" s="1598"/>
      <c r="S2127" s="1592"/>
    </row>
    <row r="2128" spans="2:19" s="1593" customFormat="1" ht="11.25" customHeight="1" outlineLevel="1">
      <c r="B2128" s="1594">
        <v>33023</v>
      </c>
      <c r="C2128" s="1595" t="s">
        <v>11889</v>
      </c>
      <c r="D2128" s="1595" t="s">
        <v>11890</v>
      </c>
      <c r="E2128" s="1595"/>
      <c r="F2128" s="1595"/>
      <c r="G2128" s="1595" t="s">
        <v>3664</v>
      </c>
      <c r="H2128" s="1596">
        <v>1</v>
      </c>
      <c r="I2128" s="1595"/>
      <c r="J2128" s="1595"/>
      <c r="K2128" s="1597">
        <v>251318.65</v>
      </c>
      <c r="L2128" s="1597">
        <v>251318.65</v>
      </c>
      <c r="M2128" s="1598"/>
      <c r="N2128" s="1597">
        <v>251318.65</v>
      </c>
      <c r="O2128" s="1597">
        <v>160425.91</v>
      </c>
      <c r="P2128" s="1597">
        <v>85866.3</v>
      </c>
      <c r="Q2128" s="1597">
        <v>5026.4399999999996</v>
      </c>
      <c r="R2128" s="1597">
        <v>90892.74</v>
      </c>
      <c r="S2128" s="1592"/>
    </row>
    <row r="2129" spans="2:19" s="1593" customFormat="1" ht="11.25" customHeight="1" outlineLevel="1">
      <c r="B2129" s="1594">
        <v>33024</v>
      </c>
      <c r="C2129" s="1595" t="s">
        <v>11889</v>
      </c>
      <c r="D2129" s="1595" t="s">
        <v>11888</v>
      </c>
      <c r="E2129" s="1595"/>
      <c r="F2129" s="1595"/>
      <c r="G2129" s="1595" t="s">
        <v>3664</v>
      </c>
      <c r="H2129" s="1596">
        <v>1</v>
      </c>
      <c r="I2129" s="1595"/>
      <c r="J2129" s="1595"/>
      <c r="K2129" s="1597">
        <v>757079.12</v>
      </c>
      <c r="L2129" s="1597">
        <v>757079.17</v>
      </c>
      <c r="M2129" s="1598"/>
      <c r="N2129" s="1597">
        <v>757079.17</v>
      </c>
      <c r="O2129" s="1597">
        <v>483268.57</v>
      </c>
      <c r="P2129" s="1597">
        <v>258669</v>
      </c>
      <c r="Q2129" s="1597">
        <v>15141.6</v>
      </c>
      <c r="R2129" s="1597">
        <v>273810.59999999998</v>
      </c>
      <c r="S2129" s="1592"/>
    </row>
    <row r="2130" spans="2:19" s="1593" customFormat="1" ht="11.25" customHeight="1" outlineLevel="1">
      <c r="B2130" s="1594">
        <v>33129</v>
      </c>
      <c r="C2130" s="1595" t="s">
        <v>8063</v>
      </c>
      <c r="D2130" s="1595" t="s">
        <v>11887</v>
      </c>
      <c r="E2130" s="1595"/>
      <c r="F2130" s="1595"/>
      <c r="G2130" s="1595"/>
      <c r="H2130" s="1596">
        <v>1</v>
      </c>
      <c r="I2130" s="1595"/>
      <c r="J2130" s="1595"/>
      <c r="K2130" s="1597">
        <v>75884.009999999995</v>
      </c>
      <c r="L2130" s="1597">
        <v>75884.009999999995</v>
      </c>
      <c r="M2130" s="1597">
        <v>-75884.009999999995</v>
      </c>
      <c r="N2130" s="1598"/>
      <c r="O2130" s="1598"/>
      <c r="P2130" s="1597">
        <v>75884.009999999995</v>
      </c>
      <c r="Q2130" s="1597">
        <v>-75884.009999999995</v>
      </c>
      <c r="R2130" s="1598"/>
      <c r="S2130" s="1592"/>
    </row>
    <row r="2131" spans="2:19" s="1593" customFormat="1" ht="11.25" customHeight="1" outlineLevel="1">
      <c r="B2131" s="1594">
        <v>36868</v>
      </c>
      <c r="C2131" s="1595" t="s">
        <v>8058</v>
      </c>
      <c r="D2131" s="1595" t="s">
        <v>11886</v>
      </c>
      <c r="E2131" s="1595"/>
      <c r="F2131" s="1595"/>
      <c r="G2131" s="1595" t="s">
        <v>11883</v>
      </c>
      <c r="H2131" s="1596">
        <v>1</v>
      </c>
      <c r="I2131" s="1595"/>
      <c r="J2131" s="1595"/>
      <c r="K2131" s="1597">
        <v>3987</v>
      </c>
      <c r="L2131" s="1597">
        <v>3986.75</v>
      </c>
      <c r="M2131" s="1598"/>
      <c r="N2131" s="1597">
        <v>3986.75</v>
      </c>
      <c r="O2131" s="1599">
        <v>725.04</v>
      </c>
      <c r="P2131" s="1597">
        <v>3080.4</v>
      </c>
      <c r="Q2131" s="1599">
        <v>181.31</v>
      </c>
      <c r="R2131" s="1597">
        <v>3261.71</v>
      </c>
      <c r="S2131" s="1592"/>
    </row>
    <row r="2132" spans="2:19" s="1593" customFormat="1" ht="11.25" customHeight="1" outlineLevel="1">
      <c r="B2132" s="1594">
        <v>36869</v>
      </c>
      <c r="C2132" s="1595" t="s">
        <v>8058</v>
      </c>
      <c r="D2132" s="1595" t="s">
        <v>11885</v>
      </c>
      <c r="E2132" s="1595"/>
      <c r="F2132" s="1595"/>
      <c r="G2132" s="1595" t="s">
        <v>11883</v>
      </c>
      <c r="H2132" s="1596">
        <v>1</v>
      </c>
      <c r="I2132" s="1595"/>
      <c r="J2132" s="1595"/>
      <c r="K2132" s="1597">
        <v>3987</v>
      </c>
      <c r="L2132" s="1597">
        <v>3986.75</v>
      </c>
      <c r="M2132" s="1598"/>
      <c r="N2132" s="1597">
        <v>3986.75</v>
      </c>
      <c r="O2132" s="1599">
        <v>725.04</v>
      </c>
      <c r="P2132" s="1597">
        <v>3080.4</v>
      </c>
      <c r="Q2132" s="1599">
        <v>181.31</v>
      </c>
      <c r="R2132" s="1597">
        <v>3261.71</v>
      </c>
      <c r="S2132" s="1592"/>
    </row>
    <row r="2133" spans="2:19" s="1593" customFormat="1" ht="11.25" customHeight="1" outlineLevel="1">
      <c r="B2133" s="1594">
        <v>36870</v>
      </c>
      <c r="C2133" s="1595" t="s">
        <v>8058</v>
      </c>
      <c r="D2133" s="1595" t="s">
        <v>11884</v>
      </c>
      <c r="E2133" s="1595"/>
      <c r="F2133" s="1595"/>
      <c r="G2133" s="1595" t="s">
        <v>11883</v>
      </c>
      <c r="H2133" s="1596">
        <v>1</v>
      </c>
      <c r="I2133" s="1595"/>
      <c r="J2133" s="1595"/>
      <c r="K2133" s="1597">
        <v>3987</v>
      </c>
      <c r="L2133" s="1597">
        <v>3986.75</v>
      </c>
      <c r="M2133" s="1598"/>
      <c r="N2133" s="1597">
        <v>3986.75</v>
      </c>
      <c r="O2133" s="1599">
        <v>725.04</v>
      </c>
      <c r="P2133" s="1597">
        <v>3080.4</v>
      </c>
      <c r="Q2133" s="1599">
        <v>181.31</v>
      </c>
      <c r="R2133" s="1597">
        <v>3261.71</v>
      </c>
      <c r="S2133" s="1592"/>
    </row>
    <row r="2134" spans="2:19" s="1593" customFormat="1" ht="11.25" customHeight="1" outlineLevel="1">
      <c r="B2134" s="1594">
        <v>33096</v>
      </c>
      <c r="C2134" s="1595" t="s">
        <v>8055</v>
      </c>
      <c r="D2134" s="1595" t="s">
        <v>11882</v>
      </c>
      <c r="E2134" s="1595"/>
      <c r="F2134" s="1595"/>
      <c r="G2134" s="1595"/>
      <c r="H2134" s="1596">
        <v>1</v>
      </c>
      <c r="I2134" s="1595"/>
      <c r="J2134" s="1595"/>
      <c r="K2134" s="1599">
        <v>992</v>
      </c>
      <c r="L2134" s="1599">
        <v>992</v>
      </c>
      <c r="M2134" s="1599">
        <v>-992</v>
      </c>
      <c r="N2134" s="1598"/>
      <c r="O2134" s="1598"/>
      <c r="P2134" s="1599">
        <v>992</v>
      </c>
      <c r="Q2134" s="1599">
        <v>-992</v>
      </c>
      <c r="R2134" s="1598"/>
      <c r="S2134" s="1592"/>
    </row>
    <row r="2135" spans="2:19" s="1593" customFormat="1" ht="11.25" customHeight="1" outlineLevel="1">
      <c r="B2135" s="1594">
        <v>33097</v>
      </c>
      <c r="C2135" s="1595" t="s">
        <v>8055</v>
      </c>
      <c r="D2135" s="1595" t="s">
        <v>11881</v>
      </c>
      <c r="E2135" s="1595"/>
      <c r="F2135" s="1595"/>
      <c r="G2135" s="1595"/>
      <c r="H2135" s="1596">
        <v>1</v>
      </c>
      <c r="I2135" s="1595"/>
      <c r="J2135" s="1595"/>
      <c r="K2135" s="1599">
        <v>992</v>
      </c>
      <c r="L2135" s="1599">
        <v>992</v>
      </c>
      <c r="M2135" s="1599">
        <v>-992</v>
      </c>
      <c r="N2135" s="1598"/>
      <c r="O2135" s="1598"/>
      <c r="P2135" s="1599">
        <v>992</v>
      </c>
      <c r="Q2135" s="1599">
        <v>-992</v>
      </c>
      <c r="R2135" s="1598"/>
      <c r="S2135" s="1592"/>
    </row>
    <row r="2136" spans="2:19" s="1593" customFormat="1" ht="11.25" customHeight="1" outlineLevel="1">
      <c r="B2136" s="1594">
        <v>33199</v>
      </c>
      <c r="C2136" s="1595" t="s">
        <v>8055</v>
      </c>
      <c r="D2136" s="1595" t="s">
        <v>11880</v>
      </c>
      <c r="E2136" s="1595"/>
      <c r="F2136" s="1595"/>
      <c r="G2136" s="1595"/>
      <c r="H2136" s="1596">
        <v>1</v>
      </c>
      <c r="I2136" s="1595"/>
      <c r="J2136" s="1595"/>
      <c r="K2136" s="1597">
        <v>25565</v>
      </c>
      <c r="L2136" s="1597">
        <v>25565</v>
      </c>
      <c r="M2136" s="1597">
        <v>-25565</v>
      </c>
      <c r="N2136" s="1598"/>
      <c r="O2136" s="1598"/>
      <c r="P2136" s="1597">
        <v>21663.4</v>
      </c>
      <c r="Q2136" s="1597">
        <v>-21663.4</v>
      </c>
      <c r="R2136" s="1598"/>
      <c r="S2136" s="1592"/>
    </row>
    <row r="2137" spans="2:19" s="1593" customFormat="1" ht="11.25" customHeight="1" outlineLevel="1">
      <c r="B2137" s="1594">
        <v>33200</v>
      </c>
      <c r="C2137" s="1595" t="s">
        <v>8055</v>
      </c>
      <c r="D2137" s="1595" t="s">
        <v>11879</v>
      </c>
      <c r="E2137" s="1595"/>
      <c r="F2137" s="1595"/>
      <c r="G2137" s="1595"/>
      <c r="H2137" s="1596">
        <v>1</v>
      </c>
      <c r="I2137" s="1595"/>
      <c r="J2137" s="1595"/>
      <c r="K2137" s="1597">
        <v>56137</v>
      </c>
      <c r="L2137" s="1597">
        <v>56137</v>
      </c>
      <c r="M2137" s="1597">
        <v>-56137</v>
      </c>
      <c r="N2137" s="1598"/>
      <c r="O2137" s="1598"/>
      <c r="P2137" s="1597">
        <v>47490</v>
      </c>
      <c r="Q2137" s="1597">
        <v>-47490</v>
      </c>
      <c r="R2137" s="1598"/>
      <c r="S2137" s="1592"/>
    </row>
    <row r="2138" spans="2:19" s="1593" customFormat="1" ht="11.25" customHeight="1" outlineLevel="1">
      <c r="B2138" s="1594">
        <v>37434</v>
      </c>
      <c r="C2138" s="1595" t="s">
        <v>11878</v>
      </c>
      <c r="D2138" s="1595" t="s">
        <v>11877</v>
      </c>
      <c r="E2138" s="1595"/>
      <c r="F2138" s="1595"/>
      <c r="G2138" s="1595" t="s">
        <v>3664</v>
      </c>
      <c r="H2138" s="1596">
        <v>1</v>
      </c>
      <c r="I2138" s="1595"/>
      <c r="J2138" s="1595"/>
      <c r="K2138" s="1597">
        <v>944716</v>
      </c>
      <c r="L2138" s="1597">
        <v>944716</v>
      </c>
      <c r="M2138" s="1598"/>
      <c r="N2138" s="1597">
        <v>944716</v>
      </c>
      <c r="O2138" s="1597">
        <v>266295.46000000002</v>
      </c>
      <c r="P2138" s="1597">
        <v>640378.38</v>
      </c>
      <c r="Q2138" s="1597">
        <v>38042.160000000003</v>
      </c>
      <c r="R2138" s="1597">
        <v>678420.54</v>
      </c>
      <c r="S2138" s="1592"/>
    </row>
    <row r="2139" spans="2:19" s="1593" customFormat="1" ht="21.75" customHeight="1" outlineLevel="1">
      <c r="B2139" s="1594">
        <v>37811</v>
      </c>
      <c r="C2139" s="1595" t="s">
        <v>10749</v>
      </c>
      <c r="D2139" s="1595" t="s">
        <v>11876</v>
      </c>
      <c r="E2139" s="1595"/>
      <c r="F2139" s="1595"/>
      <c r="G2139" s="1595" t="s">
        <v>11875</v>
      </c>
      <c r="H2139" s="1596">
        <v>1</v>
      </c>
      <c r="I2139" s="1595"/>
      <c r="J2139" s="1595"/>
      <c r="K2139" s="1599">
        <v>581.91999999999996</v>
      </c>
      <c r="L2139" s="1599">
        <v>581.91999999999996</v>
      </c>
      <c r="M2139" s="1598"/>
      <c r="N2139" s="1599">
        <v>581.91999999999996</v>
      </c>
      <c r="O2139" s="1599">
        <v>166.12</v>
      </c>
      <c r="P2139" s="1599">
        <v>392.04</v>
      </c>
      <c r="Q2139" s="1599">
        <v>23.76</v>
      </c>
      <c r="R2139" s="1599">
        <v>415.8</v>
      </c>
      <c r="S2139" s="1592"/>
    </row>
    <row r="2140" spans="2:19" s="1593" customFormat="1" ht="11.25" customHeight="1" outlineLevel="1">
      <c r="B2140" s="1594">
        <v>37884</v>
      </c>
      <c r="C2140" s="1595" t="s">
        <v>11874</v>
      </c>
      <c r="D2140" s="1595" t="s">
        <v>11873</v>
      </c>
      <c r="E2140" s="1595"/>
      <c r="F2140" s="1595"/>
      <c r="G2140" s="1595" t="s">
        <v>3664</v>
      </c>
      <c r="H2140" s="1596">
        <v>1</v>
      </c>
      <c r="I2140" s="1595"/>
      <c r="J2140" s="1595"/>
      <c r="K2140" s="1597">
        <v>308518</v>
      </c>
      <c r="L2140" s="1597">
        <v>308518</v>
      </c>
      <c r="M2140" s="1598"/>
      <c r="N2140" s="1597">
        <v>308518</v>
      </c>
      <c r="O2140" s="1597">
        <v>39850.47</v>
      </c>
      <c r="P2140" s="1597">
        <v>253241.53</v>
      </c>
      <c r="Q2140" s="1597">
        <v>15426</v>
      </c>
      <c r="R2140" s="1597">
        <v>268667.53000000003</v>
      </c>
      <c r="S2140" s="1592"/>
    </row>
    <row r="2141" spans="2:19" s="1593" customFormat="1" ht="11.25" customHeight="1" outlineLevel="1">
      <c r="B2141" s="1594">
        <v>33148</v>
      </c>
      <c r="C2141" s="1595" t="s">
        <v>3655</v>
      </c>
      <c r="D2141" s="1595" t="s">
        <v>11872</v>
      </c>
      <c r="E2141" s="1595"/>
      <c r="F2141" s="1595"/>
      <c r="G2141" s="1595" t="s">
        <v>11871</v>
      </c>
      <c r="H2141" s="1596">
        <v>1</v>
      </c>
      <c r="I2141" s="1595"/>
      <c r="J2141" s="1595"/>
      <c r="K2141" s="1597">
        <v>93664</v>
      </c>
      <c r="L2141" s="1597">
        <v>93664</v>
      </c>
      <c r="M2141" s="1598"/>
      <c r="N2141" s="1597">
        <v>93664</v>
      </c>
      <c r="O2141" s="1597">
        <v>27130.12</v>
      </c>
      <c r="P2141" s="1597">
        <v>62658.12</v>
      </c>
      <c r="Q2141" s="1597">
        <v>3875.76</v>
      </c>
      <c r="R2141" s="1597">
        <v>66533.88</v>
      </c>
      <c r="S2141" s="1592"/>
    </row>
    <row r="2142" spans="2:19" s="1593" customFormat="1" ht="11.25" customHeight="1" outlineLevel="1">
      <c r="B2142" s="1594">
        <v>38071</v>
      </c>
      <c r="C2142" s="1595" t="s">
        <v>3655</v>
      </c>
      <c r="D2142" s="1595" t="s">
        <v>11870</v>
      </c>
      <c r="E2142" s="1595"/>
      <c r="F2142" s="1595"/>
      <c r="G2142" s="1595" t="s">
        <v>3664</v>
      </c>
      <c r="H2142" s="1596">
        <v>1</v>
      </c>
      <c r="I2142" s="1595"/>
      <c r="J2142" s="1595"/>
      <c r="K2142" s="1597">
        <v>68248</v>
      </c>
      <c r="L2142" s="1597">
        <v>68248</v>
      </c>
      <c r="M2142" s="1598"/>
      <c r="N2142" s="1597">
        <v>68248</v>
      </c>
      <c r="O2142" s="1597">
        <v>9668.02</v>
      </c>
      <c r="P2142" s="1597">
        <v>55167.78</v>
      </c>
      <c r="Q2142" s="1597">
        <v>3412.2</v>
      </c>
      <c r="R2142" s="1597">
        <v>58579.98</v>
      </c>
      <c r="S2142" s="1592"/>
    </row>
    <row r="2143" spans="2:19" s="1593" customFormat="1" ht="11.25" customHeight="1" outlineLevel="1">
      <c r="B2143" s="1594">
        <v>37980</v>
      </c>
      <c r="C2143" s="1595" t="s">
        <v>11869</v>
      </c>
      <c r="D2143" s="1595" t="s">
        <v>11868</v>
      </c>
      <c r="E2143" s="1595"/>
      <c r="F2143" s="1595"/>
      <c r="G2143" s="1595"/>
      <c r="H2143" s="1596">
        <v>1</v>
      </c>
      <c r="I2143" s="1595"/>
      <c r="J2143" s="1595"/>
      <c r="K2143" s="1597">
        <v>54963.15</v>
      </c>
      <c r="L2143" s="1597">
        <v>54963.15</v>
      </c>
      <c r="M2143" s="1597">
        <v>-54963.15</v>
      </c>
      <c r="N2143" s="1598"/>
      <c r="O2143" s="1598"/>
      <c r="P2143" s="1597">
        <v>54963.15</v>
      </c>
      <c r="Q2143" s="1597">
        <v>-54963.15</v>
      </c>
      <c r="R2143" s="1598"/>
      <c r="S2143" s="1592"/>
    </row>
    <row r="2144" spans="2:19" s="1593" customFormat="1" ht="11.25" customHeight="1" outlineLevel="1">
      <c r="B2144" s="1594">
        <v>28132</v>
      </c>
      <c r="C2144" s="1595" t="s">
        <v>7986</v>
      </c>
      <c r="D2144" s="1595" t="s">
        <v>11867</v>
      </c>
      <c r="E2144" s="1595"/>
      <c r="F2144" s="1595"/>
      <c r="G2144" s="1595" t="s">
        <v>3929</v>
      </c>
      <c r="H2144" s="1596">
        <v>1</v>
      </c>
      <c r="I2144" s="1595"/>
      <c r="J2144" s="1595"/>
      <c r="K2144" s="1597">
        <v>86717</v>
      </c>
      <c r="L2144" s="1597">
        <v>86717</v>
      </c>
      <c r="M2144" s="1598"/>
      <c r="N2144" s="1597">
        <v>86717</v>
      </c>
      <c r="O2144" s="1597">
        <v>32880.32</v>
      </c>
      <c r="P2144" s="1597">
        <v>49500.84</v>
      </c>
      <c r="Q2144" s="1597">
        <v>4335.84</v>
      </c>
      <c r="R2144" s="1597">
        <v>53836.68</v>
      </c>
      <c r="S2144" s="1592"/>
    </row>
    <row r="2145" spans="2:19" s="1593" customFormat="1" ht="11.25" customHeight="1" outlineLevel="1">
      <c r="B2145" s="1594">
        <v>39423</v>
      </c>
      <c r="C2145" s="1595" t="s">
        <v>7966</v>
      </c>
      <c r="D2145" s="1595" t="s">
        <v>11866</v>
      </c>
      <c r="E2145" s="1595"/>
      <c r="F2145" s="1595"/>
      <c r="G2145" s="1595" t="s">
        <v>3596</v>
      </c>
      <c r="H2145" s="1596">
        <v>1</v>
      </c>
      <c r="I2145" s="1595"/>
      <c r="J2145" s="1595"/>
      <c r="K2145" s="1597">
        <v>735052</v>
      </c>
      <c r="L2145" s="1597">
        <v>735052</v>
      </c>
      <c r="M2145" s="1598"/>
      <c r="N2145" s="1597">
        <v>735052</v>
      </c>
      <c r="O2145" s="1597">
        <v>58030.32</v>
      </c>
      <c r="P2145" s="1597">
        <v>618991.35999999999</v>
      </c>
      <c r="Q2145" s="1597">
        <v>58030.32</v>
      </c>
      <c r="R2145" s="1597">
        <v>677021.68</v>
      </c>
      <c r="S2145" s="1592"/>
    </row>
    <row r="2146" spans="2:19" s="1593" customFormat="1" ht="11.25" customHeight="1" outlineLevel="1">
      <c r="B2146" s="1594">
        <v>39500</v>
      </c>
      <c r="C2146" s="1595" t="s">
        <v>7958</v>
      </c>
      <c r="D2146" s="1595" t="s">
        <v>11865</v>
      </c>
      <c r="E2146" s="1595"/>
      <c r="F2146" s="1595"/>
      <c r="G2146" s="1595"/>
      <c r="H2146" s="1596">
        <v>1</v>
      </c>
      <c r="I2146" s="1595"/>
      <c r="J2146" s="1595"/>
      <c r="K2146" s="1597">
        <v>5000</v>
      </c>
      <c r="L2146" s="1597">
        <v>5000</v>
      </c>
      <c r="M2146" s="1597">
        <v>-5000</v>
      </c>
      <c r="N2146" s="1598"/>
      <c r="O2146" s="1598"/>
      <c r="P2146" s="1597">
        <v>5000</v>
      </c>
      <c r="Q2146" s="1597">
        <v>-5000</v>
      </c>
      <c r="R2146" s="1598"/>
      <c r="S2146" s="1592"/>
    </row>
    <row r="2147" spans="2:19" s="1593" customFormat="1" ht="11.25" customHeight="1" outlineLevel="1">
      <c r="B2147" s="1594">
        <v>39501</v>
      </c>
      <c r="C2147" s="1595" t="s">
        <v>7958</v>
      </c>
      <c r="D2147" s="1595" t="s">
        <v>11864</v>
      </c>
      <c r="E2147" s="1595"/>
      <c r="F2147" s="1595"/>
      <c r="G2147" s="1595"/>
      <c r="H2147" s="1596">
        <v>1</v>
      </c>
      <c r="I2147" s="1595"/>
      <c r="J2147" s="1595"/>
      <c r="K2147" s="1597">
        <v>5000</v>
      </c>
      <c r="L2147" s="1597">
        <v>5000</v>
      </c>
      <c r="M2147" s="1597">
        <v>-5000</v>
      </c>
      <c r="N2147" s="1598"/>
      <c r="O2147" s="1598"/>
      <c r="P2147" s="1597">
        <v>5000</v>
      </c>
      <c r="Q2147" s="1597">
        <v>-5000</v>
      </c>
      <c r="R2147" s="1598"/>
      <c r="S2147" s="1592"/>
    </row>
    <row r="2148" spans="2:19" s="1593" customFormat="1" ht="11.25" customHeight="1" outlineLevel="1">
      <c r="B2148" s="1600" t="s">
        <v>11863</v>
      </c>
      <c r="C2148" s="1595" t="s">
        <v>7927</v>
      </c>
      <c r="D2148" s="1595" t="s">
        <v>11862</v>
      </c>
      <c r="E2148" s="1595"/>
      <c r="F2148" s="1595"/>
      <c r="G2148" s="1595"/>
      <c r="H2148" s="1596">
        <v>1</v>
      </c>
      <c r="I2148" s="1595"/>
      <c r="J2148" s="1595"/>
      <c r="K2148" s="1597">
        <v>46143.66</v>
      </c>
      <c r="L2148" s="1597">
        <v>46143.66</v>
      </c>
      <c r="M2148" s="1597">
        <v>-46143.66</v>
      </c>
      <c r="N2148" s="1598"/>
      <c r="O2148" s="1598"/>
      <c r="P2148" s="1597">
        <v>46143.66</v>
      </c>
      <c r="Q2148" s="1597">
        <v>-46143.66</v>
      </c>
      <c r="R2148" s="1598"/>
      <c r="S2148" s="1592"/>
    </row>
    <row r="2149" spans="2:19" s="1593" customFormat="1" ht="11.25" customHeight="1" outlineLevel="1">
      <c r="B2149" s="1600" t="s">
        <v>11861</v>
      </c>
      <c r="C2149" s="1595" t="s">
        <v>7927</v>
      </c>
      <c r="D2149" s="1595" t="s">
        <v>11860</v>
      </c>
      <c r="E2149" s="1595"/>
      <c r="F2149" s="1595"/>
      <c r="G2149" s="1595"/>
      <c r="H2149" s="1596">
        <v>1</v>
      </c>
      <c r="I2149" s="1595"/>
      <c r="J2149" s="1595"/>
      <c r="K2149" s="1597">
        <v>97091.94</v>
      </c>
      <c r="L2149" s="1597">
        <v>97091.94</v>
      </c>
      <c r="M2149" s="1597">
        <v>-97091.94</v>
      </c>
      <c r="N2149" s="1598"/>
      <c r="O2149" s="1598"/>
      <c r="P2149" s="1597">
        <v>97091.94</v>
      </c>
      <c r="Q2149" s="1597">
        <v>-97091.94</v>
      </c>
      <c r="R2149" s="1598"/>
      <c r="S2149" s="1592"/>
    </row>
    <row r="2150" spans="2:19" s="1593" customFormat="1" ht="11.25" customHeight="1" outlineLevel="1">
      <c r="B2150" s="1600" t="s">
        <v>11859</v>
      </c>
      <c r="C2150" s="1595" t="s">
        <v>7927</v>
      </c>
      <c r="D2150" s="1595" t="s">
        <v>11858</v>
      </c>
      <c r="E2150" s="1595"/>
      <c r="F2150" s="1595"/>
      <c r="G2150" s="1595"/>
      <c r="H2150" s="1596">
        <v>1</v>
      </c>
      <c r="I2150" s="1595"/>
      <c r="J2150" s="1595"/>
      <c r="K2150" s="1597">
        <v>116135.85</v>
      </c>
      <c r="L2150" s="1597">
        <v>116135.85</v>
      </c>
      <c r="M2150" s="1598"/>
      <c r="N2150" s="1597">
        <v>116135.85</v>
      </c>
      <c r="O2150" s="1597">
        <v>1799.13</v>
      </c>
      <c r="P2150" s="1597">
        <v>104987.17</v>
      </c>
      <c r="Q2150" s="1597">
        <v>9349.5499999999993</v>
      </c>
      <c r="R2150" s="1597">
        <v>114336.72</v>
      </c>
      <c r="S2150" s="1592"/>
    </row>
    <row r="2151" spans="2:19" s="1593" customFormat="1" ht="11.25" customHeight="1" outlineLevel="1">
      <c r="B2151" s="1600" t="s">
        <v>11857</v>
      </c>
      <c r="C2151" s="1595" t="s">
        <v>7927</v>
      </c>
      <c r="D2151" s="1595" t="s">
        <v>11856</v>
      </c>
      <c r="E2151" s="1595"/>
      <c r="F2151" s="1595"/>
      <c r="G2151" s="1595"/>
      <c r="H2151" s="1596">
        <v>1</v>
      </c>
      <c r="I2151" s="1595"/>
      <c r="J2151" s="1595"/>
      <c r="K2151" s="1597">
        <v>116135.85</v>
      </c>
      <c r="L2151" s="1597">
        <v>116135.85</v>
      </c>
      <c r="M2151" s="1598"/>
      <c r="N2151" s="1597">
        <v>116135.85</v>
      </c>
      <c r="O2151" s="1597">
        <v>1799.13</v>
      </c>
      <c r="P2151" s="1597">
        <v>104987.17</v>
      </c>
      <c r="Q2151" s="1597">
        <v>9349.5499999999993</v>
      </c>
      <c r="R2151" s="1597">
        <v>114336.72</v>
      </c>
      <c r="S2151" s="1592"/>
    </row>
    <row r="2152" spans="2:19" s="1593" customFormat="1" ht="21.75" customHeight="1" outlineLevel="1">
      <c r="B2152" s="1600" t="s">
        <v>11855</v>
      </c>
      <c r="C2152" s="1595" t="s">
        <v>7927</v>
      </c>
      <c r="D2152" s="1595" t="s">
        <v>11854</v>
      </c>
      <c r="E2152" s="1595"/>
      <c r="F2152" s="1595"/>
      <c r="G2152" s="1595"/>
      <c r="H2152" s="1596">
        <v>1</v>
      </c>
      <c r="I2152" s="1595"/>
      <c r="J2152" s="1595"/>
      <c r="K2152" s="1597">
        <v>75020.78</v>
      </c>
      <c r="L2152" s="1597">
        <v>75020.78</v>
      </c>
      <c r="M2152" s="1597">
        <v>-75020.78</v>
      </c>
      <c r="N2152" s="1598"/>
      <c r="O2152" s="1598"/>
      <c r="P2152" s="1597">
        <v>75020.78</v>
      </c>
      <c r="Q2152" s="1597">
        <v>-75020.78</v>
      </c>
      <c r="R2152" s="1598"/>
      <c r="S2152" s="1592"/>
    </row>
    <row r="2153" spans="2:19" s="1593" customFormat="1" ht="21.75" customHeight="1" outlineLevel="1">
      <c r="B2153" s="1600" t="s">
        <v>11853</v>
      </c>
      <c r="C2153" s="1595" t="s">
        <v>7927</v>
      </c>
      <c r="D2153" s="1595" t="s">
        <v>11852</v>
      </c>
      <c r="E2153" s="1595"/>
      <c r="F2153" s="1595"/>
      <c r="G2153" s="1595"/>
      <c r="H2153" s="1596">
        <v>1</v>
      </c>
      <c r="I2153" s="1595"/>
      <c r="J2153" s="1595"/>
      <c r="K2153" s="1597">
        <v>40650.21</v>
      </c>
      <c r="L2153" s="1597">
        <v>40650.21</v>
      </c>
      <c r="M2153" s="1597">
        <v>-40650.21</v>
      </c>
      <c r="N2153" s="1598"/>
      <c r="O2153" s="1598"/>
      <c r="P2153" s="1597">
        <v>40650.21</v>
      </c>
      <c r="Q2153" s="1597">
        <v>-40650.21</v>
      </c>
      <c r="R2153" s="1598"/>
      <c r="S2153" s="1592"/>
    </row>
    <row r="2154" spans="2:19" s="1593" customFormat="1" ht="11.25" customHeight="1" outlineLevel="1">
      <c r="B2154" s="1600" t="s">
        <v>11851</v>
      </c>
      <c r="C2154" s="1595" t="s">
        <v>10720</v>
      </c>
      <c r="D2154" s="1595" t="s">
        <v>11850</v>
      </c>
      <c r="E2154" s="1595"/>
      <c r="F2154" s="1595"/>
      <c r="G2154" s="1595"/>
      <c r="H2154" s="1596">
        <v>1</v>
      </c>
      <c r="I2154" s="1595"/>
      <c r="J2154" s="1595"/>
      <c r="K2154" s="1597">
        <v>62881.35</v>
      </c>
      <c r="L2154" s="1597">
        <v>62881.35</v>
      </c>
      <c r="M2154" s="1597">
        <v>-62881.35</v>
      </c>
      <c r="N2154" s="1598"/>
      <c r="O2154" s="1598"/>
      <c r="P2154" s="1597">
        <v>62881.35</v>
      </c>
      <c r="Q2154" s="1597">
        <v>-62881.35</v>
      </c>
      <c r="R2154" s="1598"/>
      <c r="S2154" s="1592"/>
    </row>
    <row r="2155" spans="2:19" s="1593" customFormat="1" ht="21.75" customHeight="1" outlineLevel="1">
      <c r="B2155" s="1600" t="s">
        <v>11849</v>
      </c>
      <c r="C2155" s="1595" t="s">
        <v>11848</v>
      </c>
      <c r="D2155" s="1595" t="s">
        <v>11847</v>
      </c>
      <c r="E2155" s="1595"/>
      <c r="F2155" s="1595"/>
      <c r="G2155" s="1595"/>
      <c r="H2155" s="1596">
        <v>1</v>
      </c>
      <c r="I2155" s="1595"/>
      <c r="J2155" s="1595"/>
      <c r="K2155" s="1597">
        <v>47133.02</v>
      </c>
      <c r="L2155" s="1597">
        <v>47133.02</v>
      </c>
      <c r="M2155" s="1597">
        <v>-47133.02</v>
      </c>
      <c r="N2155" s="1598"/>
      <c r="O2155" s="1598"/>
      <c r="P2155" s="1597">
        <v>47133.02</v>
      </c>
      <c r="Q2155" s="1597">
        <v>-47133.02</v>
      </c>
      <c r="R2155" s="1598"/>
      <c r="S2155" s="1592"/>
    </row>
    <row r="2156" spans="2:19" s="1593" customFormat="1" ht="11.25" customHeight="1" outlineLevel="1">
      <c r="B2156" s="1600" t="s">
        <v>11846</v>
      </c>
      <c r="C2156" s="1595" t="s">
        <v>7905</v>
      </c>
      <c r="D2156" s="1595" t="s">
        <v>11845</v>
      </c>
      <c r="E2156" s="1595"/>
      <c r="F2156" s="1595"/>
      <c r="G2156" s="1595"/>
      <c r="H2156" s="1596">
        <v>1</v>
      </c>
      <c r="I2156" s="1595"/>
      <c r="J2156" s="1595"/>
      <c r="K2156" s="1597">
        <v>65228.39</v>
      </c>
      <c r="L2156" s="1597">
        <v>65228.39</v>
      </c>
      <c r="M2156" s="1597">
        <v>-65228.39</v>
      </c>
      <c r="N2156" s="1598"/>
      <c r="O2156" s="1598"/>
      <c r="P2156" s="1597">
        <v>65228.39</v>
      </c>
      <c r="Q2156" s="1597">
        <v>-65228.39</v>
      </c>
      <c r="R2156" s="1598"/>
      <c r="S2156" s="1592"/>
    </row>
    <row r="2157" spans="2:19" s="1593" customFormat="1" ht="11.25" customHeight="1" outlineLevel="1">
      <c r="B2157" s="1600" t="s">
        <v>11844</v>
      </c>
      <c r="C2157" s="1595" t="s">
        <v>11843</v>
      </c>
      <c r="D2157" s="1595" t="s">
        <v>11842</v>
      </c>
      <c r="E2157" s="1595"/>
      <c r="F2157" s="1595"/>
      <c r="G2157" s="1595"/>
      <c r="H2157" s="1596">
        <v>1</v>
      </c>
      <c r="I2157" s="1595"/>
      <c r="J2157" s="1595"/>
      <c r="K2157" s="1597">
        <v>143364.75</v>
      </c>
      <c r="L2157" s="1597">
        <v>143364.75</v>
      </c>
      <c r="M2157" s="1598"/>
      <c r="N2157" s="1597">
        <v>143364.75</v>
      </c>
      <c r="O2157" s="1597">
        <v>13873.86</v>
      </c>
      <c r="P2157" s="1597">
        <v>115617</v>
      </c>
      <c r="Q2157" s="1597">
        <v>13873.89</v>
      </c>
      <c r="R2157" s="1597">
        <v>129490.89</v>
      </c>
      <c r="S2157" s="1592"/>
    </row>
    <row r="2158" spans="2:19" s="1593" customFormat="1" ht="21.75" customHeight="1" outlineLevel="1">
      <c r="B2158" s="1600" t="s">
        <v>11841</v>
      </c>
      <c r="C2158" s="1595" t="s">
        <v>11840</v>
      </c>
      <c r="D2158" s="1595" t="s">
        <v>11839</v>
      </c>
      <c r="E2158" s="1595"/>
      <c r="F2158" s="1595"/>
      <c r="G2158" s="1595"/>
      <c r="H2158" s="1596">
        <v>2</v>
      </c>
      <c r="I2158" s="1595"/>
      <c r="J2158" s="1595"/>
      <c r="K2158" s="1597">
        <v>61411.02</v>
      </c>
      <c r="L2158" s="1597">
        <v>61411.02</v>
      </c>
      <c r="M2158" s="1597">
        <v>-61411.02</v>
      </c>
      <c r="N2158" s="1598"/>
      <c r="O2158" s="1598"/>
      <c r="P2158" s="1597">
        <v>61411.02</v>
      </c>
      <c r="Q2158" s="1597">
        <v>-61411.02</v>
      </c>
      <c r="R2158" s="1598"/>
      <c r="S2158" s="1592"/>
    </row>
    <row r="2159" spans="2:19" s="1593" customFormat="1" ht="21.75" customHeight="1" outlineLevel="1">
      <c r="B2159" s="1600" t="s">
        <v>11838</v>
      </c>
      <c r="C2159" s="1595" t="s">
        <v>11835</v>
      </c>
      <c r="D2159" s="1595" t="s">
        <v>11837</v>
      </c>
      <c r="E2159" s="1595"/>
      <c r="F2159" s="1595"/>
      <c r="G2159" s="1595"/>
      <c r="H2159" s="1596">
        <v>1</v>
      </c>
      <c r="I2159" s="1595"/>
      <c r="J2159" s="1595"/>
      <c r="K2159" s="1597">
        <v>3117796.61</v>
      </c>
      <c r="L2159" s="1597">
        <v>3117796.61</v>
      </c>
      <c r="M2159" s="1598"/>
      <c r="N2159" s="1597">
        <v>3117796.61</v>
      </c>
      <c r="O2159" s="1597">
        <v>1268256.26</v>
      </c>
      <c r="P2159" s="1597">
        <v>1638164.31</v>
      </c>
      <c r="Q2159" s="1597">
        <v>211376.04</v>
      </c>
      <c r="R2159" s="1597">
        <v>1849540.35</v>
      </c>
      <c r="S2159" s="1592"/>
    </row>
    <row r="2160" spans="2:19" s="1593" customFormat="1" ht="21.75" customHeight="1" outlineLevel="1">
      <c r="B2160" s="1600" t="s">
        <v>11836</v>
      </c>
      <c r="C2160" s="1595" t="s">
        <v>11835</v>
      </c>
      <c r="D2160" s="1595" t="s">
        <v>11834</v>
      </c>
      <c r="E2160" s="1595"/>
      <c r="F2160" s="1595"/>
      <c r="G2160" s="1595"/>
      <c r="H2160" s="1596">
        <v>1</v>
      </c>
      <c r="I2160" s="1595"/>
      <c r="J2160" s="1595"/>
      <c r="K2160" s="1597">
        <v>119926.27</v>
      </c>
      <c r="L2160" s="1597">
        <v>119926.27</v>
      </c>
      <c r="M2160" s="1598"/>
      <c r="N2160" s="1597">
        <v>119926.27</v>
      </c>
      <c r="O2160" s="1597">
        <v>37624.080000000002</v>
      </c>
      <c r="P2160" s="1597">
        <v>72896.19</v>
      </c>
      <c r="Q2160" s="1597">
        <v>9406</v>
      </c>
      <c r="R2160" s="1597">
        <v>82302.19</v>
      </c>
      <c r="S2160" s="1592"/>
    </row>
    <row r="2161" spans="2:19" s="1593" customFormat="1" ht="11.25" customHeight="1" outlineLevel="1">
      <c r="B2161" s="1600" t="s">
        <v>11833</v>
      </c>
      <c r="C2161" s="1595" t="s">
        <v>11830</v>
      </c>
      <c r="D2161" s="1595" t="s">
        <v>11832</v>
      </c>
      <c r="E2161" s="1595"/>
      <c r="F2161" s="1595"/>
      <c r="G2161" s="1595" t="s">
        <v>8027</v>
      </c>
      <c r="H2161" s="1596">
        <v>1</v>
      </c>
      <c r="I2161" s="1595"/>
      <c r="J2161" s="1595"/>
      <c r="K2161" s="1597">
        <v>150156.5</v>
      </c>
      <c r="L2161" s="1597">
        <v>150156.5</v>
      </c>
      <c r="M2161" s="1598"/>
      <c r="N2161" s="1597">
        <v>150156.5</v>
      </c>
      <c r="O2161" s="1597">
        <v>2813.65</v>
      </c>
      <c r="P2161" s="1597">
        <v>132995.57999999999</v>
      </c>
      <c r="Q2161" s="1597">
        <v>14347.27</v>
      </c>
      <c r="R2161" s="1597">
        <v>147342.85</v>
      </c>
      <c r="S2161" s="1592"/>
    </row>
    <row r="2162" spans="2:19" s="1593" customFormat="1" ht="11.25" customHeight="1" outlineLevel="1">
      <c r="B2162" s="1600" t="s">
        <v>11831</v>
      </c>
      <c r="C2162" s="1595" t="s">
        <v>11830</v>
      </c>
      <c r="D2162" s="1595" t="s">
        <v>11829</v>
      </c>
      <c r="E2162" s="1595"/>
      <c r="F2162" s="1595"/>
      <c r="G2162" s="1595" t="s">
        <v>8027</v>
      </c>
      <c r="H2162" s="1596">
        <v>1</v>
      </c>
      <c r="I2162" s="1595"/>
      <c r="J2162" s="1595"/>
      <c r="K2162" s="1597">
        <v>351711</v>
      </c>
      <c r="L2162" s="1597">
        <v>351711</v>
      </c>
      <c r="M2162" s="1598"/>
      <c r="N2162" s="1597">
        <v>351711</v>
      </c>
      <c r="O2162" s="1597">
        <v>6590.29</v>
      </c>
      <c r="P2162" s="1597">
        <v>311515.59000000003</v>
      </c>
      <c r="Q2162" s="1597">
        <v>33605.120000000003</v>
      </c>
      <c r="R2162" s="1597">
        <v>345120.71</v>
      </c>
      <c r="S2162" s="1592"/>
    </row>
    <row r="2163" spans="2:19" s="1593" customFormat="1" ht="11.25" customHeight="1" outlineLevel="1">
      <c r="B2163" s="1600" t="s">
        <v>11828</v>
      </c>
      <c r="C2163" s="1595" t="s">
        <v>11827</v>
      </c>
      <c r="D2163" s="1595" t="s">
        <v>11826</v>
      </c>
      <c r="E2163" s="1595"/>
      <c r="F2163" s="1595"/>
      <c r="G2163" s="1595"/>
      <c r="H2163" s="1596">
        <v>1</v>
      </c>
      <c r="I2163" s="1595"/>
      <c r="J2163" s="1595"/>
      <c r="K2163" s="1597">
        <v>76856.78</v>
      </c>
      <c r="L2163" s="1597">
        <v>76856.78</v>
      </c>
      <c r="M2163" s="1597">
        <v>-76856.78</v>
      </c>
      <c r="N2163" s="1598"/>
      <c r="O2163" s="1598"/>
      <c r="P2163" s="1597">
        <v>76856.78</v>
      </c>
      <c r="Q2163" s="1597">
        <v>-76856.78</v>
      </c>
      <c r="R2163" s="1598"/>
      <c r="S2163" s="1592"/>
    </row>
    <row r="2164" spans="2:19" s="1593" customFormat="1" ht="11.25" customHeight="1" outlineLevel="1">
      <c r="B2164" s="1600" t="s">
        <v>11825</v>
      </c>
      <c r="C2164" s="1595" t="s">
        <v>10714</v>
      </c>
      <c r="D2164" s="1595" t="s">
        <v>11824</v>
      </c>
      <c r="E2164" s="1595"/>
      <c r="F2164" s="1595"/>
      <c r="G2164" s="1595"/>
      <c r="H2164" s="1596">
        <v>1</v>
      </c>
      <c r="I2164" s="1595"/>
      <c r="J2164" s="1595"/>
      <c r="K2164" s="1597">
        <v>223534.75</v>
      </c>
      <c r="L2164" s="1597">
        <v>223534.75</v>
      </c>
      <c r="M2164" s="1598"/>
      <c r="N2164" s="1597">
        <v>223534.75</v>
      </c>
      <c r="O2164" s="1597">
        <v>4202.6899999999996</v>
      </c>
      <c r="P2164" s="1597">
        <v>197491.84</v>
      </c>
      <c r="Q2164" s="1597">
        <v>21840.22</v>
      </c>
      <c r="R2164" s="1597">
        <v>219332.06</v>
      </c>
      <c r="S2164" s="1592"/>
    </row>
    <row r="2165" spans="2:19" s="1593" customFormat="1" ht="11.25" customHeight="1" outlineLevel="1">
      <c r="B2165" s="1600" t="s">
        <v>11823</v>
      </c>
      <c r="C2165" s="1595" t="s">
        <v>10714</v>
      </c>
      <c r="D2165" s="1595" t="s">
        <v>11822</v>
      </c>
      <c r="E2165" s="1595"/>
      <c r="F2165" s="1595"/>
      <c r="G2165" s="1595"/>
      <c r="H2165" s="1596">
        <v>1</v>
      </c>
      <c r="I2165" s="1595"/>
      <c r="J2165" s="1595"/>
      <c r="K2165" s="1597">
        <v>223534.75</v>
      </c>
      <c r="L2165" s="1597">
        <v>223534.75</v>
      </c>
      <c r="M2165" s="1598"/>
      <c r="N2165" s="1597">
        <v>223534.75</v>
      </c>
      <c r="O2165" s="1597">
        <v>4202.6899999999996</v>
      </c>
      <c r="P2165" s="1597">
        <v>197491.84</v>
      </c>
      <c r="Q2165" s="1597">
        <v>21840.22</v>
      </c>
      <c r="R2165" s="1597">
        <v>219332.06</v>
      </c>
      <c r="S2165" s="1592"/>
    </row>
    <row r="2166" spans="2:19" s="1593" customFormat="1" ht="11.25" customHeight="1" outlineLevel="1">
      <c r="B2166" s="1600" t="s">
        <v>11821</v>
      </c>
      <c r="C2166" s="1595" t="s">
        <v>10714</v>
      </c>
      <c r="D2166" s="1595" t="s">
        <v>11820</v>
      </c>
      <c r="E2166" s="1595"/>
      <c r="F2166" s="1595"/>
      <c r="G2166" s="1595"/>
      <c r="H2166" s="1596">
        <v>1</v>
      </c>
      <c r="I2166" s="1595"/>
      <c r="J2166" s="1595"/>
      <c r="K2166" s="1597">
        <v>223534.74</v>
      </c>
      <c r="L2166" s="1597">
        <v>223534.74</v>
      </c>
      <c r="M2166" s="1598"/>
      <c r="N2166" s="1597">
        <v>223534.74</v>
      </c>
      <c r="O2166" s="1597">
        <v>4202.6899999999996</v>
      </c>
      <c r="P2166" s="1597">
        <v>197491.84</v>
      </c>
      <c r="Q2166" s="1597">
        <v>21840.21</v>
      </c>
      <c r="R2166" s="1597">
        <v>219332.05</v>
      </c>
      <c r="S2166" s="1592"/>
    </row>
    <row r="2167" spans="2:19" s="1593" customFormat="1" ht="11.25" customHeight="1" outlineLevel="1">
      <c r="B2167" s="1600" t="s">
        <v>11819</v>
      </c>
      <c r="C2167" s="1595" t="s">
        <v>10714</v>
      </c>
      <c r="D2167" s="1595" t="s">
        <v>11818</v>
      </c>
      <c r="E2167" s="1595"/>
      <c r="F2167" s="1595"/>
      <c r="G2167" s="1595"/>
      <c r="H2167" s="1596">
        <v>1</v>
      </c>
      <c r="I2167" s="1595"/>
      <c r="J2167" s="1595"/>
      <c r="K2167" s="1597">
        <v>223534.75</v>
      </c>
      <c r="L2167" s="1597">
        <v>223534.75</v>
      </c>
      <c r="M2167" s="1598"/>
      <c r="N2167" s="1597">
        <v>223534.75</v>
      </c>
      <c r="O2167" s="1597">
        <v>4202.6899999999996</v>
      </c>
      <c r="P2167" s="1597">
        <v>197491.84</v>
      </c>
      <c r="Q2167" s="1597">
        <v>21840.22</v>
      </c>
      <c r="R2167" s="1597">
        <v>219332.06</v>
      </c>
      <c r="S2167" s="1592"/>
    </row>
    <row r="2168" spans="2:19" s="1593" customFormat="1" ht="11.25" customHeight="1" outlineLevel="1">
      <c r="B2168" s="1600" t="s">
        <v>11817</v>
      </c>
      <c r="C2168" s="1595" t="s">
        <v>10714</v>
      </c>
      <c r="D2168" s="1595" t="s">
        <v>11816</v>
      </c>
      <c r="E2168" s="1595"/>
      <c r="F2168" s="1595"/>
      <c r="G2168" s="1595"/>
      <c r="H2168" s="1596">
        <v>1</v>
      </c>
      <c r="I2168" s="1595"/>
      <c r="J2168" s="1595"/>
      <c r="K2168" s="1597">
        <v>223534.75</v>
      </c>
      <c r="L2168" s="1597">
        <v>223534.75</v>
      </c>
      <c r="M2168" s="1598"/>
      <c r="N2168" s="1597">
        <v>223534.75</v>
      </c>
      <c r="O2168" s="1597">
        <v>4202.6899999999996</v>
      </c>
      <c r="P2168" s="1597">
        <v>197491.84</v>
      </c>
      <c r="Q2168" s="1597">
        <v>21840.22</v>
      </c>
      <c r="R2168" s="1597">
        <v>219332.06</v>
      </c>
      <c r="S2168" s="1592"/>
    </row>
    <row r="2169" spans="2:19" s="1593" customFormat="1" ht="11.25" customHeight="1" outlineLevel="1">
      <c r="B2169" s="1600" t="s">
        <v>11815</v>
      </c>
      <c r="C2169" s="1595" t="s">
        <v>10714</v>
      </c>
      <c r="D2169" s="1595" t="s">
        <v>11814</v>
      </c>
      <c r="E2169" s="1595"/>
      <c r="F2169" s="1595"/>
      <c r="G2169" s="1595"/>
      <c r="H2169" s="1596">
        <v>1</v>
      </c>
      <c r="I2169" s="1595"/>
      <c r="J2169" s="1595"/>
      <c r="K2169" s="1597">
        <v>223534.75</v>
      </c>
      <c r="L2169" s="1597">
        <v>223534.75</v>
      </c>
      <c r="M2169" s="1598"/>
      <c r="N2169" s="1597">
        <v>223534.75</v>
      </c>
      <c r="O2169" s="1597">
        <v>4202.6899999999996</v>
      </c>
      <c r="P2169" s="1597">
        <v>197491.84</v>
      </c>
      <c r="Q2169" s="1597">
        <v>21840.22</v>
      </c>
      <c r="R2169" s="1597">
        <v>219332.06</v>
      </c>
      <c r="S2169" s="1592"/>
    </row>
    <row r="2170" spans="2:19" s="1593" customFormat="1" ht="21.75" customHeight="1" outlineLevel="1">
      <c r="B2170" s="1600" t="s">
        <v>11813</v>
      </c>
      <c r="C2170" s="1595" t="s">
        <v>11812</v>
      </c>
      <c r="D2170" s="1595" t="s">
        <v>11811</v>
      </c>
      <c r="E2170" s="1595"/>
      <c r="F2170" s="1595"/>
      <c r="G2170" s="1595"/>
      <c r="H2170" s="1596">
        <v>1</v>
      </c>
      <c r="I2170" s="1595"/>
      <c r="J2170" s="1595"/>
      <c r="K2170" s="1597">
        <v>84033.9</v>
      </c>
      <c r="L2170" s="1597">
        <v>84033.9</v>
      </c>
      <c r="M2170" s="1597">
        <v>-84033.9</v>
      </c>
      <c r="N2170" s="1598"/>
      <c r="O2170" s="1598"/>
      <c r="P2170" s="1597">
        <v>84033.9</v>
      </c>
      <c r="Q2170" s="1597">
        <v>-84033.9</v>
      </c>
      <c r="R2170" s="1598"/>
      <c r="S2170" s="1592"/>
    </row>
    <row r="2171" spans="2:19" s="1593" customFormat="1" ht="21.75" customHeight="1" outlineLevel="1">
      <c r="B2171" s="1600" t="s">
        <v>11810</v>
      </c>
      <c r="C2171" s="1595" t="s">
        <v>7850</v>
      </c>
      <c r="D2171" s="1595" t="s">
        <v>11809</v>
      </c>
      <c r="E2171" s="1595"/>
      <c r="F2171" s="1595"/>
      <c r="G2171" s="1595"/>
      <c r="H2171" s="1596">
        <v>1</v>
      </c>
      <c r="I2171" s="1595"/>
      <c r="J2171" s="1595"/>
      <c r="K2171" s="1597">
        <v>90360</v>
      </c>
      <c r="L2171" s="1597">
        <v>90360</v>
      </c>
      <c r="M2171" s="1597">
        <v>-90360</v>
      </c>
      <c r="N2171" s="1598"/>
      <c r="O2171" s="1598"/>
      <c r="P2171" s="1597">
        <v>90360</v>
      </c>
      <c r="Q2171" s="1597">
        <v>-90360</v>
      </c>
      <c r="R2171" s="1598"/>
      <c r="S2171" s="1592"/>
    </row>
    <row r="2172" spans="2:19" s="1593" customFormat="1" ht="21.75" customHeight="1" outlineLevel="1">
      <c r="B2172" s="1600" t="s">
        <v>11808</v>
      </c>
      <c r="C2172" s="1595" t="s">
        <v>10699</v>
      </c>
      <c r="D2172" s="1595" t="s">
        <v>11807</v>
      </c>
      <c r="E2172" s="1595"/>
      <c r="F2172" s="1595"/>
      <c r="G2172" s="1595"/>
      <c r="H2172" s="1596">
        <v>1</v>
      </c>
      <c r="I2172" s="1595"/>
      <c r="J2172" s="1595"/>
      <c r="K2172" s="1597">
        <v>322017.21999999997</v>
      </c>
      <c r="L2172" s="1597">
        <v>322017.21999999997</v>
      </c>
      <c r="M2172" s="1598"/>
      <c r="N2172" s="1597">
        <v>322017.21999999997</v>
      </c>
      <c r="O2172" s="1597">
        <v>49541.31</v>
      </c>
      <c r="P2172" s="1597">
        <v>239448.36</v>
      </c>
      <c r="Q2172" s="1597">
        <v>33027.550000000003</v>
      </c>
      <c r="R2172" s="1597">
        <v>272475.90999999997</v>
      </c>
      <c r="S2172" s="1592"/>
    </row>
    <row r="2173" spans="2:19" s="1593" customFormat="1" ht="21.75" customHeight="1" outlineLevel="1">
      <c r="B2173" s="1600" t="s">
        <v>11806</v>
      </c>
      <c r="C2173" s="1595" t="s">
        <v>11805</v>
      </c>
      <c r="D2173" s="1595" t="s">
        <v>11804</v>
      </c>
      <c r="E2173" s="1595"/>
      <c r="F2173" s="1595"/>
      <c r="G2173" s="1595"/>
      <c r="H2173" s="1596">
        <v>1</v>
      </c>
      <c r="I2173" s="1595"/>
      <c r="J2173" s="1595"/>
      <c r="K2173" s="1597">
        <v>60425.42</v>
      </c>
      <c r="L2173" s="1597">
        <v>60425.42</v>
      </c>
      <c r="M2173" s="1597">
        <v>-60425.42</v>
      </c>
      <c r="N2173" s="1598"/>
      <c r="O2173" s="1598"/>
      <c r="P2173" s="1597">
        <v>60425.42</v>
      </c>
      <c r="Q2173" s="1597">
        <v>-60425.42</v>
      </c>
      <c r="R2173" s="1598"/>
      <c r="S2173" s="1592"/>
    </row>
    <row r="2174" spans="2:19" s="1593" customFormat="1" ht="11.25" customHeight="1" outlineLevel="1">
      <c r="B2174" s="1600" t="s">
        <v>11803</v>
      </c>
      <c r="C2174" s="1595" t="s">
        <v>11802</v>
      </c>
      <c r="D2174" s="1595" t="s">
        <v>11801</v>
      </c>
      <c r="E2174" s="1595"/>
      <c r="F2174" s="1595"/>
      <c r="G2174" s="1595"/>
      <c r="H2174" s="1596">
        <v>1</v>
      </c>
      <c r="I2174" s="1595"/>
      <c r="J2174" s="1595"/>
      <c r="K2174" s="1597">
        <v>896522.14</v>
      </c>
      <c r="L2174" s="1597">
        <v>896522.14</v>
      </c>
      <c r="M2174" s="1598"/>
      <c r="N2174" s="1597">
        <v>896522.14</v>
      </c>
      <c r="O2174" s="1597">
        <v>137926.6</v>
      </c>
      <c r="P2174" s="1597">
        <v>666644.46</v>
      </c>
      <c r="Q2174" s="1597">
        <v>91951.08</v>
      </c>
      <c r="R2174" s="1597">
        <v>758595.54</v>
      </c>
      <c r="S2174" s="1592"/>
    </row>
    <row r="2175" spans="2:19" s="1593" customFormat="1" ht="21.75" customHeight="1" outlineLevel="1">
      <c r="B2175" s="1600" t="s">
        <v>11800</v>
      </c>
      <c r="C2175" s="1595" t="s">
        <v>7835</v>
      </c>
      <c r="D2175" s="1595" t="s">
        <v>11799</v>
      </c>
      <c r="E2175" s="1595"/>
      <c r="F2175" s="1595"/>
      <c r="G2175" s="1595"/>
      <c r="H2175" s="1596">
        <v>1</v>
      </c>
      <c r="I2175" s="1595"/>
      <c r="J2175" s="1595"/>
      <c r="K2175" s="1597">
        <v>140570.60999999999</v>
      </c>
      <c r="L2175" s="1597">
        <v>140570.60999999999</v>
      </c>
      <c r="M2175" s="1598"/>
      <c r="N2175" s="1597">
        <v>140570.60999999999</v>
      </c>
      <c r="O2175" s="1597">
        <v>2865.45</v>
      </c>
      <c r="P2175" s="1597">
        <v>122814.27</v>
      </c>
      <c r="Q2175" s="1597">
        <v>14890.89</v>
      </c>
      <c r="R2175" s="1597">
        <v>137705.16</v>
      </c>
      <c r="S2175" s="1592"/>
    </row>
    <row r="2176" spans="2:19" s="1593" customFormat="1" ht="11.25" customHeight="1" outlineLevel="1">
      <c r="B2176" s="1600" t="s">
        <v>11798</v>
      </c>
      <c r="C2176" s="1595" t="s">
        <v>11793</v>
      </c>
      <c r="D2176" s="1595" t="s">
        <v>11797</v>
      </c>
      <c r="E2176" s="1595"/>
      <c r="F2176" s="1595"/>
      <c r="G2176" s="1595"/>
      <c r="H2176" s="1596">
        <v>1</v>
      </c>
      <c r="I2176" s="1595"/>
      <c r="J2176" s="1595"/>
      <c r="K2176" s="1597">
        <v>1124576.28</v>
      </c>
      <c r="L2176" s="1597">
        <v>1124576.28</v>
      </c>
      <c r="M2176" s="1598"/>
      <c r="N2176" s="1597">
        <v>1124576.28</v>
      </c>
      <c r="O2176" s="1597">
        <v>24197.25</v>
      </c>
      <c r="P2176" s="1597">
        <v>974632.62</v>
      </c>
      <c r="Q2176" s="1597">
        <v>125746.41</v>
      </c>
      <c r="R2176" s="1597">
        <v>1100379.03</v>
      </c>
      <c r="S2176" s="1592"/>
    </row>
    <row r="2177" spans="2:19" s="1593" customFormat="1" ht="11.25" customHeight="1" outlineLevel="1">
      <c r="B2177" s="1600" t="s">
        <v>11796</v>
      </c>
      <c r="C2177" s="1595" t="s">
        <v>11793</v>
      </c>
      <c r="D2177" s="1595" t="s">
        <v>11795</v>
      </c>
      <c r="E2177" s="1595"/>
      <c r="F2177" s="1595"/>
      <c r="G2177" s="1595"/>
      <c r="H2177" s="1596">
        <v>1</v>
      </c>
      <c r="I2177" s="1595"/>
      <c r="J2177" s="1595"/>
      <c r="K2177" s="1597">
        <v>1124576.28</v>
      </c>
      <c r="L2177" s="1597">
        <v>1124576.28</v>
      </c>
      <c r="M2177" s="1598"/>
      <c r="N2177" s="1597">
        <v>1124576.28</v>
      </c>
      <c r="O2177" s="1597">
        <v>24197.25</v>
      </c>
      <c r="P2177" s="1597">
        <v>974632.62</v>
      </c>
      <c r="Q2177" s="1597">
        <v>125746.41</v>
      </c>
      <c r="R2177" s="1597">
        <v>1100379.03</v>
      </c>
      <c r="S2177" s="1592"/>
    </row>
    <row r="2178" spans="2:19" s="1593" customFormat="1" ht="11.25" customHeight="1" outlineLevel="1">
      <c r="B2178" s="1600" t="s">
        <v>11794</v>
      </c>
      <c r="C2178" s="1595" t="s">
        <v>11793</v>
      </c>
      <c r="D2178" s="1595" t="s">
        <v>11792</v>
      </c>
      <c r="E2178" s="1595"/>
      <c r="F2178" s="1595"/>
      <c r="G2178" s="1595"/>
      <c r="H2178" s="1596">
        <v>1</v>
      </c>
      <c r="I2178" s="1595"/>
      <c r="J2178" s="1595"/>
      <c r="K2178" s="1597">
        <v>1124576.28</v>
      </c>
      <c r="L2178" s="1597">
        <v>1124576.28</v>
      </c>
      <c r="M2178" s="1598"/>
      <c r="N2178" s="1597">
        <v>1124576.28</v>
      </c>
      <c r="O2178" s="1597">
        <v>24197.25</v>
      </c>
      <c r="P2178" s="1597">
        <v>974632.62</v>
      </c>
      <c r="Q2178" s="1597">
        <v>125746.41</v>
      </c>
      <c r="R2178" s="1597">
        <v>1100379.03</v>
      </c>
      <c r="S2178" s="1592"/>
    </row>
    <row r="2179" spans="2:19" s="1593" customFormat="1" ht="11.25" customHeight="1" outlineLevel="1">
      <c r="B2179" s="1600" t="s">
        <v>11791</v>
      </c>
      <c r="C2179" s="1595" t="s">
        <v>11790</v>
      </c>
      <c r="D2179" s="1595" t="s">
        <v>11789</v>
      </c>
      <c r="E2179" s="1595"/>
      <c r="F2179" s="1595"/>
      <c r="G2179" s="1595"/>
      <c r="H2179" s="1596">
        <v>1</v>
      </c>
      <c r="I2179" s="1595"/>
      <c r="J2179" s="1595"/>
      <c r="K2179" s="1597">
        <v>83898.31</v>
      </c>
      <c r="L2179" s="1597">
        <v>83898.31</v>
      </c>
      <c r="M2179" s="1597">
        <v>-83898.31</v>
      </c>
      <c r="N2179" s="1598"/>
      <c r="O2179" s="1598"/>
      <c r="P2179" s="1597">
        <v>83898.31</v>
      </c>
      <c r="Q2179" s="1597">
        <v>-83898.31</v>
      </c>
      <c r="R2179" s="1598"/>
      <c r="S2179" s="1592"/>
    </row>
    <row r="2180" spans="2:19" s="1593" customFormat="1" ht="21.75" customHeight="1" outlineLevel="1">
      <c r="B2180" s="1600" t="s">
        <v>11788</v>
      </c>
      <c r="C2180" s="1595" t="s">
        <v>10683</v>
      </c>
      <c r="D2180" s="1595" t="s">
        <v>11787</v>
      </c>
      <c r="E2180" s="1595"/>
      <c r="F2180" s="1595"/>
      <c r="G2180" s="1595"/>
      <c r="H2180" s="1596">
        <v>1</v>
      </c>
      <c r="I2180" s="1595"/>
      <c r="J2180" s="1595"/>
      <c r="K2180" s="1597">
        <v>92247</v>
      </c>
      <c r="L2180" s="1597">
        <v>92247</v>
      </c>
      <c r="M2180" s="1597">
        <v>-92247</v>
      </c>
      <c r="N2180" s="1598"/>
      <c r="O2180" s="1598"/>
      <c r="P2180" s="1597">
        <v>92247</v>
      </c>
      <c r="Q2180" s="1597">
        <v>-92247</v>
      </c>
      <c r="R2180" s="1598"/>
      <c r="S2180" s="1592"/>
    </row>
    <row r="2181" spans="2:19" s="1593" customFormat="1" ht="11.25" customHeight="1" outlineLevel="1">
      <c r="B2181" s="1600" t="s">
        <v>11786</v>
      </c>
      <c r="C2181" s="1595" t="s">
        <v>11785</v>
      </c>
      <c r="D2181" s="1595" t="s">
        <v>11784</v>
      </c>
      <c r="E2181" s="1595"/>
      <c r="F2181" s="1595"/>
      <c r="G2181" s="1595"/>
      <c r="H2181" s="1596">
        <v>1</v>
      </c>
      <c r="I2181" s="1595"/>
      <c r="J2181" s="1595"/>
      <c r="K2181" s="1597">
        <v>117771.9</v>
      </c>
      <c r="L2181" s="1597">
        <v>117771.9</v>
      </c>
      <c r="M2181" s="1598"/>
      <c r="N2181" s="1597">
        <v>117771.9</v>
      </c>
      <c r="O2181" s="1597">
        <v>14721.54</v>
      </c>
      <c r="P2181" s="1597">
        <v>88328.88</v>
      </c>
      <c r="Q2181" s="1597">
        <v>14721.48</v>
      </c>
      <c r="R2181" s="1597">
        <v>103050.36</v>
      </c>
      <c r="S2181" s="1592"/>
    </row>
    <row r="2182" spans="2:19" s="1593" customFormat="1" ht="11.25" customHeight="1" outlineLevel="1">
      <c r="B2182" s="1600" t="s">
        <v>11783</v>
      </c>
      <c r="C2182" s="1595" t="s">
        <v>11780</v>
      </c>
      <c r="D2182" s="1595" t="s">
        <v>11782</v>
      </c>
      <c r="E2182" s="1595"/>
      <c r="F2182" s="1595"/>
      <c r="G2182" s="1595"/>
      <c r="H2182" s="1596">
        <v>1</v>
      </c>
      <c r="I2182" s="1595"/>
      <c r="J2182" s="1595"/>
      <c r="K2182" s="1597">
        <v>45902</v>
      </c>
      <c r="L2182" s="1597">
        <v>45902</v>
      </c>
      <c r="M2182" s="1597">
        <v>-45902</v>
      </c>
      <c r="N2182" s="1598"/>
      <c r="O2182" s="1598"/>
      <c r="P2182" s="1597">
        <v>45902</v>
      </c>
      <c r="Q2182" s="1597">
        <v>-45902</v>
      </c>
      <c r="R2182" s="1598"/>
      <c r="S2182" s="1592"/>
    </row>
    <row r="2183" spans="2:19" s="1593" customFormat="1" ht="11.25" customHeight="1" outlineLevel="1">
      <c r="B2183" s="1600" t="s">
        <v>11781</v>
      </c>
      <c r="C2183" s="1595" t="s">
        <v>11780</v>
      </c>
      <c r="D2183" s="1595" t="s">
        <v>11779</v>
      </c>
      <c r="E2183" s="1595"/>
      <c r="F2183" s="1595"/>
      <c r="G2183" s="1595"/>
      <c r="H2183" s="1596">
        <v>1</v>
      </c>
      <c r="I2183" s="1595"/>
      <c r="J2183" s="1595"/>
      <c r="K2183" s="1597">
        <v>45902</v>
      </c>
      <c r="L2183" s="1597">
        <v>45902</v>
      </c>
      <c r="M2183" s="1597">
        <v>-45902</v>
      </c>
      <c r="N2183" s="1598"/>
      <c r="O2183" s="1598"/>
      <c r="P2183" s="1597">
        <v>45902</v>
      </c>
      <c r="Q2183" s="1597">
        <v>-45902</v>
      </c>
      <c r="R2183" s="1598"/>
      <c r="S2183" s="1592"/>
    </row>
    <row r="2184" spans="2:19" s="1593" customFormat="1" ht="21.75" customHeight="1" outlineLevel="1">
      <c r="B2184" s="1600" t="s">
        <v>11778</v>
      </c>
      <c r="C2184" s="1595" t="s">
        <v>11777</v>
      </c>
      <c r="D2184" s="1595" t="s">
        <v>11776</v>
      </c>
      <c r="E2184" s="1595"/>
      <c r="F2184" s="1595"/>
      <c r="G2184" s="1595"/>
      <c r="H2184" s="1596">
        <v>1</v>
      </c>
      <c r="I2184" s="1595"/>
      <c r="J2184" s="1595"/>
      <c r="K2184" s="1597">
        <v>48037.29</v>
      </c>
      <c r="L2184" s="1597">
        <v>48037.29</v>
      </c>
      <c r="M2184" s="1597">
        <v>-48037.29</v>
      </c>
      <c r="N2184" s="1598"/>
      <c r="O2184" s="1598"/>
      <c r="P2184" s="1597">
        <v>48037.29</v>
      </c>
      <c r="Q2184" s="1597">
        <v>-48037.29</v>
      </c>
      <c r="R2184" s="1598"/>
      <c r="S2184" s="1592"/>
    </row>
    <row r="2185" spans="2:19" s="1593" customFormat="1" ht="11.25" customHeight="1" outlineLevel="1">
      <c r="B2185" s="1600" t="s">
        <v>11775</v>
      </c>
      <c r="C2185" s="1595" t="s">
        <v>11774</v>
      </c>
      <c r="D2185" s="1595" t="s">
        <v>11773</v>
      </c>
      <c r="E2185" s="1595"/>
      <c r="F2185" s="1595"/>
      <c r="G2185" s="1595"/>
      <c r="H2185" s="1596">
        <v>1</v>
      </c>
      <c r="I2185" s="1595"/>
      <c r="J2185" s="1595"/>
      <c r="K2185" s="1597">
        <v>49728</v>
      </c>
      <c r="L2185" s="1597">
        <v>49728</v>
      </c>
      <c r="M2185" s="1597">
        <v>-49728</v>
      </c>
      <c r="N2185" s="1598"/>
      <c r="O2185" s="1598"/>
      <c r="P2185" s="1597">
        <v>49728</v>
      </c>
      <c r="Q2185" s="1597">
        <v>-49728</v>
      </c>
      <c r="R2185" s="1598"/>
      <c r="S2185" s="1592"/>
    </row>
    <row r="2186" spans="2:19" s="1593" customFormat="1" ht="21.75" customHeight="1" outlineLevel="1">
      <c r="B2186" s="1600" t="s">
        <v>11772</v>
      </c>
      <c r="C2186" s="1595" t="s">
        <v>3405</v>
      </c>
      <c r="D2186" s="1595" t="s">
        <v>11771</v>
      </c>
      <c r="E2186" s="1595" t="s">
        <v>2266</v>
      </c>
      <c r="F2186" s="1595"/>
      <c r="G2186" s="1595"/>
      <c r="H2186" s="1596">
        <v>2</v>
      </c>
      <c r="I2186" s="1595"/>
      <c r="J2186" s="1595"/>
      <c r="K2186" s="1597">
        <v>1199693.07</v>
      </c>
      <c r="L2186" s="1597">
        <v>1199693.07</v>
      </c>
      <c r="M2186" s="1598"/>
      <c r="N2186" s="1597">
        <v>1199693.07</v>
      </c>
      <c r="O2186" s="1597">
        <v>762235.83</v>
      </c>
      <c r="P2186" s="1597">
        <v>357919.56</v>
      </c>
      <c r="Q2186" s="1597">
        <v>79537.679999999993</v>
      </c>
      <c r="R2186" s="1597">
        <v>437457.24</v>
      </c>
      <c r="S2186" s="1592"/>
    </row>
    <row r="2187" spans="2:19" s="1593" customFormat="1" ht="21.75" customHeight="1" outlineLevel="1">
      <c r="B2187" s="1600" t="s">
        <v>11770</v>
      </c>
      <c r="C2187" s="1595" t="s">
        <v>3405</v>
      </c>
      <c r="D2187" s="1595" t="s">
        <v>11769</v>
      </c>
      <c r="E2187" s="1595" t="s">
        <v>2266</v>
      </c>
      <c r="F2187" s="1595"/>
      <c r="G2187" s="1595"/>
      <c r="H2187" s="1596">
        <v>1</v>
      </c>
      <c r="I2187" s="1595"/>
      <c r="J2187" s="1595"/>
      <c r="K2187" s="1597">
        <v>388030.74</v>
      </c>
      <c r="L2187" s="1597">
        <v>388030.74</v>
      </c>
      <c r="M2187" s="1598"/>
      <c r="N2187" s="1597">
        <v>388030.74</v>
      </c>
      <c r="O2187" s="1597">
        <v>176377.44</v>
      </c>
      <c r="P2187" s="1597">
        <v>173170.98</v>
      </c>
      <c r="Q2187" s="1597">
        <v>38482.32</v>
      </c>
      <c r="R2187" s="1597">
        <v>211653.3</v>
      </c>
      <c r="S2187" s="1592"/>
    </row>
    <row r="2188" spans="2:19" s="1593" customFormat="1" ht="21.75" customHeight="1" outlineLevel="1">
      <c r="B2188" s="1600" t="s">
        <v>11768</v>
      </c>
      <c r="C2188" s="1595" t="s">
        <v>3405</v>
      </c>
      <c r="D2188" s="1595" t="s">
        <v>11767</v>
      </c>
      <c r="E2188" s="1595" t="s">
        <v>2266</v>
      </c>
      <c r="F2188" s="1595"/>
      <c r="G2188" s="1595"/>
      <c r="H2188" s="1596">
        <v>1</v>
      </c>
      <c r="I2188" s="1595"/>
      <c r="J2188" s="1595"/>
      <c r="K2188" s="1597">
        <v>186927.26</v>
      </c>
      <c r="L2188" s="1597">
        <v>186927.26</v>
      </c>
      <c r="M2188" s="1598"/>
      <c r="N2188" s="1597">
        <v>186927.26</v>
      </c>
      <c r="O2188" s="1597">
        <v>84967.039999999994</v>
      </c>
      <c r="P2188" s="1597">
        <v>83421.899999999994</v>
      </c>
      <c r="Q2188" s="1597">
        <v>18538.32</v>
      </c>
      <c r="R2188" s="1597">
        <v>101960.22</v>
      </c>
      <c r="S2188" s="1592"/>
    </row>
    <row r="2189" spans="2:19" s="1593" customFormat="1" ht="21.75" customHeight="1" outlineLevel="1">
      <c r="B2189" s="1600" t="s">
        <v>11766</v>
      </c>
      <c r="C2189" s="1595" t="s">
        <v>3405</v>
      </c>
      <c r="D2189" s="1595" t="s">
        <v>11765</v>
      </c>
      <c r="E2189" s="1595" t="s">
        <v>2266</v>
      </c>
      <c r="F2189" s="1595"/>
      <c r="G2189" s="1595"/>
      <c r="H2189" s="1596">
        <v>1</v>
      </c>
      <c r="I2189" s="1595"/>
      <c r="J2189" s="1595"/>
      <c r="K2189" s="1597">
        <v>1757243.4</v>
      </c>
      <c r="L2189" s="1597">
        <v>1757243.4</v>
      </c>
      <c r="M2189" s="1598"/>
      <c r="N2189" s="1597">
        <v>1757243.4</v>
      </c>
      <c r="O2189" s="1597">
        <v>798747.12</v>
      </c>
      <c r="P2189" s="1597">
        <v>784224.18</v>
      </c>
      <c r="Q2189" s="1597">
        <v>174272.1</v>
      </c>
      <c r="R2189" s="1597">
        <v>958496.28</v>
      </c>
      <c r="S2189" s="1592"/>
    </row>
    <row r="2190" spans="2:19" s="1593" customFormat="1" ht="11.25" customHeight="1" outlineLevel="1">
      <c r="B2190" s="1600" t="s">
        <v>11764</v>
      </c>
      <c r="C2190" s="1595" t="s">
        <v>3405</v>
      </c>
      <c r="D2190" s="1595" t="s">
        <v>11763</v>
      </c>
      <c r="E2190" s="1595" t="s">
        <v>2266</v>
      </c>
      <c r="F2190" s="1595"/>
      <c r="G2190" s="1595"/>
      <c r="H2190" s="1596">
        <v>1</v>
      </c>
      <c r="I2190" s="1595"/>
      <c r="J2190" s="1595"/>
      <c r="K2190" s="1597">
        <v>530482.89</v>
      </c>
      <c r="L2190" s="1597">
        <v>530482.89</v>
      </c>
      <c r="M2190" s="1598"/>
      <c r="N2190" s="1597">
        <v>530482.89</v>
      </c>
      <c r="O2190" s="1597">
        <v>433497.21</v>
      </c>
      <c r="P2190" s="1597">
        <v>79351.92</v>
      </c>
      <c r="Q2190" s="1597">
        <v>17633.759999999998</v>
      </c>
      <c r="R2190" s="1597">
        <v>96985.68</v>
      </c>
      <c r="S2190" s="1592"/>
    </row>
    <row r="2191" spans="2:19" s="1593" customFormat="1" ht="21.75" customHeight="1" outlineLevel="1">
      <c r="B2191" s="1600" t="s">
        <v>11762</v>
      </c>
      <c r="C2191" s="1595" t="s">
        <v>3405</v>
      </c>
      <c r="D2191" s="1595" t="s">
        <v>11761</v>
      </c>
      <c r="E2191" s="1595" t="s">
        <v>2266</v>
      </c>
      <c r="F2191" s="1595"/>
      <c r="G2191" s="1595"/>
      <c r="H2191" s="1596">
        <v>1</v>
      </c>
      <c r="I2191" s="1595"/>
      <c r="J2191" s="1595"/>
      <c r="K2191" s="1597">
        <v>770924.37</v>
      </c>
      <c r="L2191" s="1597">
        <v>770924.37</v>
      </c>
      <c r="M2191" s="1598"/>
      <c r="N2191" s="1597">
        <v>770924.37</v>
      </c>
      <c r="O2191" s="1597">
        <v>350420.01</v>
      </c>
      <c r="P2191" s="1597">
        <v>344049.12</v>
      </c>
      <c r="Q2191" s="1597">
        <v>76455.240000000005</v>
      </c>
      <c r="R2191" s="1597">
        <v>420504.36</v>
      </c>
      <c r="S2191" s="1592"/>
    </row>
    <row r="2192" spans="2:19" s="1593" customFormat="1" ht="11.25" customHeight="1" outlineLevel="1">
      <c r="B2192" s="1600" t="s">
        <v>11760</v>
      </c>
      <c r="C2192" s="1595" t="s">
        <v>3405</v>
      </c>
      <c r="D2192" s="1595" t="s">
        <v>11759</v>
      </c>
      <c r="E2192" s="1595" t="s">
        <v>2266</v>
      </c>
      <c r="F2192" s="1595"/>
      <c r="G2192" s="1595"/>
      <c r="H2192" s="1596">
        <v>1</v>
      </c>
      <c r="I2192" s="1595"/>
      <c r="J2192" s="1595"/>
      <c r="K2192" s="1597">
        <v>8798565.1199999992</v>
      </c>
      <c r="L2192" s="1597">
        <v>8798565.1199999992</v>
      </c>
      <c r="M2192" s="1598"/>
      <c r="N2192" s="1597">
        <v>8798565.1199999992</v>
      </c>
      <c r="O2192" s="1597">
        <v>3999347.94</v>
      </c>
      <c r="P2192" s="1597">
        <v>3926632.14</v>
      </c>
      <c r="Q2192" s="1597">
        <v>872585.04</v>
      </c>
      <c r="R2192" s="1597">
        <v>4799217.18</v>
      </c>
      <c r="S2192" s="1592"/>
    </row>
    <row r="2193" spans="2:19" s="1593" customFormat="1" ht="11.25" customHeight="1" outlineLevel="1">
      <c r="B2193" s="1600" t="s">
        <v>11758</v>
      </c>
      <c r="C2193" s="1595" t="s">
        <v>3405</v>
      </c>
      <c r="D2193" s="1595" t="s">
        <v>11757</v>
      </c>
      <c r="E2193" s="1595" t="s">
        <v>2266</v>
      </c>
      <c r="F2193" s="1595"/>
      <c r="G2193" s="1595"/>
      <c r="H2193" s="1596">
        <v>1</v>
      </c>
      <c r="I2193" s="1595"/>
      <c r="J2193" s="1595"/>
      <c r="K2193" s="1597">
        <v>2802391.71</v>
      </c>
      <c r="L2193" s="1597">
        <v>2802391.71</v>
      </c>
      <c r="M2193" s="1598"/>
      <c r="N2193" s="1597">
        <v>2802391.71</v>
      </c>
      <c r="O2193" s="1597">
        <v>1273814.55</v>
      </c>
      <c r="P2193" s="1597">
        <v>1250654.04</v>
      </c>
      <c r="Q2193" s="1597">
        <v>277923.12</v>
      </c>
      <c r="R2193" s="1597">
        <v>1528577.16</v>
      </c>
      <c r="S2193" s="1592"/>
    </row>
    <row r="2194" spans="2:19" s="1593" customFormat="1" ht="11.25" customHeight="1" outlineLevel="1">
      <c r="B2194" s="1600" t="s">
        <v>11756</v>
      </c>
      <c r="C2194" s="1595" t="s">
        <v>3405</v>
      </c>
      <c r="D2194" s="1595" t="s">
        <v>11755</v>
      </c>
      <c r="E2194" s="1595" t="s">
        <v>2266</v>
      </c>
      <c r="F2194" s="1595"/>
      <c r="G2194" s="1595"/>
      <c r="H2194" s="1596">
        <v>1</v>
      </c>
      <c r="I2194" s="1595"/>
      <c r="J2194" s="1595"/>
      <c r="K2194" s="1597">
        <v>11101155.140000001</v>
      </c>
      <c r="L2194" s="1597">
        <v>11101155.140000001</v>
      </c>
      <c r="M2194" s="1598"/>
      <c r="N2194" s="1597">
        <v>11101155.140000001</v>
      </c>
      <c r="O2194" s="1597">
        <v>8667015.0199999996</v>
      </c>
      <c r="P2194" s="1597">
        <v>1991569.14</v>
      </c>
      <c r="Q2194" s="1597">
        <v>442570.98</v>
      </c>
      <c r="R2194" s="1597">
        <v>2434140.12</v>
      </c>
      <c r="S2194" s="1592"/>
    </row>
    <row r="2195" spans="2:19" s="1593" customFormat="1" ht="11.25" customHeight="1" outlineLevel="1">
      <c r="B2195" s="1600" t="s">
        <v>11754</v>
      </c>
      <c r="C2195" s="1595" t="s">
        <v>3405</v>
      </c>
      <c r="D2195" s="1595" t="s">
        <v>11753</v>
      </c>
      <c r="E2195" s="1595" t="s">
        <v>2266</v>
      </c>
      <c r="F2195" s="1595"/>
      <c r="G2195" s="1595"/>
      <c r="H2195" s="1596">
        <v>1</v>
      </c>
      <c r="I2195" s="1595"/>
      <c r="J2195" s="1595"/>
      <c r="K2195" s="1597">
        <v>7353243.7800000003</v>
      </c>
      <c r="L2195" s="1597">
        <v>7353243.7800000003</v>
      </c>
      <c r="M2195" s="1598"/>
      <c r="N2195" s="1597">
        <v>7353243.7800000003</v>
      </c>
      <c r="O2195" s="1597">
        <v>6008883.1799999997</v>
      </c>
      <c r="P2195" s="1597">
        <v>1099931.3999999999</v>
      </c>
      <c r="Q2195" s="1597">
        <v>244429.2</v>
      </c>
      <c r="R2195" s="1597">
        <v>1344360.6</v>
      </c>
      <c r="S2195" s="1592"/>
    </row>
    <row r="2196" spans="2:19" s="1593" customFormat="1" ht="11.25" customHeight="1" outlineLevel="1">
      <c r="B2196" s="1600" t="s">
        <v>11752</v>
      </c>
      <c r="C2196" s="1595" t="s">
        <v>3405</v>
      </c>
      <c r="D2196" s="1595" t="s">
        <v>11751</v>
      </c>
      <c r="E2196" s="1595" t="s">
        <v>2266</v>
      </c>
      <c r="F2196" s="1595"/>
      <c r="G2196" s="1595"/>
      <c r="H2196" s="1596">
        <v>1</v>
      </c>
      <c r="I2196" s="1595"/>
      <c r="J2196" s="1595"/>
      <c r="K2196" s="1597">
        <v>7353243.79</v>
      </c>
      <c r="L2196" s="1597">
        <v>7353243.79</v>
      </c>
      <c r="M2196" s="1598"/>
      <c r="N2196" s="1597">
        <v>7353243.79</v>
      </c>
      <c r="O2196" s="1597">
        <v>6008883.1900000004</v>
      </c>
      <c r="P2196" s="1597">
        <v>1099931.3999999999</v>
      </c>
      <c r="Q2196" s="1597">
        <v>244429.2</v>
      </c>
      <c r="R2196" s="1597">
        <v>1344360.6</v>
      </c>
      <c r="S2196" s="1592"/>
    </row>
    <row r="2197" spans="2:19" s="1593" customFormat="1" ht="11.25" customHeight="1" outlineLevel="1">
      <c r="B2197" s="1600" t="s">
        <v>11750</v>
      </c>
      <c r="C2197" s="1595" t="s">
        <v>11749</v>
      </c>
      <c r="D2197" s="1595" t="s">
        <v>11748</v>
      </c>
      <c r="E2197" s="1595" t="s">
        <v>2288</v>
      </c>
      <c r="F2197" s="1595" t="s">
        <v>11747</v>
      </c>
      <c r="G2197" s="1595"/>
      <c r="H2197" s="1596">
        <v>1</v>
      </c>
      <c r="I2197" s="1595"/>
      <c r="J2197" s="1595"/>
      <c r="K2197" s="1597">
        <v>68575</v>
      </c>
      <c r="L2197" s="1597">
        <v>68575</v>
      </c>
      <c r="M2197" s="1597">
        <v>-68575</v>
      </c>
      <c r="N2197" s="1598"/>
      <c r="O2197" s="1598"/>
      <c r="P2197" s="1597">
        <v>68575</v>
      </c>
      <c r="Q2197" s="1597">
        <v>-68575</v>
      </c>
      <c r="R2197" s="1598"/>
      <c r="S2197" s="1592"/>
    </row>
    <row r="2198" spans="2:19" s="1593" customFormat="1" ht="11.25" customHeight="1" outlineLevel="1">
      <c r="B2198" s="1600" t="s">
        <v>11746</v>
      </c>
      <c r="C2198" s="1595" t="s">
        <v>3360</v>
      </c>
      <c r="D2198" s="1595" t="s">
        <v>11745</v>
      </c>
      <c r="E2198" s="1595" t="s">
        <v>2288</v>
      </c>
      <c r="F2198" s="1595" t="s">
        <v>11744</v>
      </c>
      <c r="G2198" s="1595"/>
      <c r="H2198" s="1596">
        <v>1</v>
      </c>
      <c r="I2198" s="1595"/>
      <c r="J2198" s="1595"/>
      <c r="K2198" s="1597">
        <v>512711.86</v>
      </c>
      <c r="L2198" s="1597">
        <v>512711.86</v>
      </c>
      <c r="M2198" s="1598"/>
      <c r="N2198" s="1597">
        <v>512711.86</v>
      </c>
      <c r="O2198" s="1597">
        <v>186989.14</v>
      </c>
      <c r="P2198" s="1597">
        <v>253339.8</v>
      </c>
      <c r="Q2198" s="1597">
        <v>72382.92</v>
      </c>
      <c r="R2198" s="1597">
        <v>325722.71999999997</v>
      </c>
      <c r="S2198" s="1592"/>
    </row>
    <row r="2199" spans="2:19" s="1593" customFormat="1" ht="11.25" customHeight="1" outlineLevel="1">
      <c r="B2199" s="1600" t="s">
        <v>11743</v>
      </c>
      <c r="C2199" s="1595" t="s">
        <v>11742</v>
      </c>
      <c r="D2199" s="1595" t="s">
        <v>11741</v>
      </c>
      <c r="E2199" s="1595"/>
      <c r="F2199" s="1595"/>
      <c r="G2199" s="1595"/>
      <c r="H2199" s="1595"/>
      <c r="I2199" s="1595"/>
      <c r="J2199" s="1595"/>
      <c r="K2199" s="1597">
        <v>177118.64</v>
      </c>
      <c r="L2199" s="1597">
        <v>177118.64</v>
      </c>
      <c r="M2199" s="1598"/>
      <c r="N2199" s="1597">
        <v>177118.64</v>
      </c>
      <c r="O2199" s="1597">
        <v>29035.94</v>
      </c>
      <c r="P2199" s="1597">
        <v>113239.62</v>
      </c>
      <c r="Q2199" s="1597">
        <v>34843.08</v>
      </c>
      <c r="R2199" s="1597">
        <v>148082.70000000001</v>
      </c>
      <c r="S2199" s="1592"/>
    </row>
    <row r="2200" spans="2:19" s="1593" customFormat="1" ht="11.25" customHeight="1" outlineLevel="1">
      <c r="B2200" s="1600" t="s">
        <v>11740</v>
      </c>
      <c r="C2200" s="1595" t="s">
        <v>7255</v>
      </c>
      <c r="D2200" s="1595" t="s">
        <v>11739</v>
      </c>
      <c r="E2200" s="1595"/>
      <c r="F2200" s="1595"/>
      <c r="G2200" s="1595"/>
      <c r="H2200" s="1596">
        <v>1</v>
      </c>
      <c r="I2200" s="1595"/>
      <c r="J2200" s="1595"/>
      <c r="K2200" s="1597">
        <v>1652879.07</v>
      </c>
      <c r="L2200" s="1597">
        <v>1652879.07</v>
      </c>
      <c r="M2200" s="1598"/>
      <c r="N2200" s="1597">
        <v>1652879.07</v>
      </c>
      <c r="O2200" s="1597">
        <v>298060.12</v>
      </c>
      <c r="P2200" s="1597">
        <v>1029662.44</v>
      </c>
      <c r="Q2200" s="1597">
        <v>325156.51</v>
      </c>
      <c r="R2200" s="1597">
        <v>1354818.95</v>
      </c>
      <c r="S2200" s="1592"/>
    </row>
    <row r="2201" spans="2:19" s="1593" customFormat="1" ht="11.25" customHeight="1" outlineLevel="1">
      <c r="B2201" s="1600" t="s">
        <v>11738</v>
      </c>
      <c r="C2201" s="1595" t="s">
        <v>7255</v>
      </c>
      <c r="D2201" s="1595" t="s">
        <v>11737</v>
      </c>
      <c r="E2201" s="1595"/>
      <c r="F2201" s="1595"/>
      <c r="G2201" s="1595"/>
      <c r="H2201" s="1596">
        <v>1</v>
      </c>
      <c r="I2201" s="1595"/>
      <c r="J2201" s="1595"/>
      <c r="K2201" s="1597">
        <v>4499516.8899999997</v>
      </c>
      <c r="L2201" s="1597">
        <v>4499516.8899999997</v>
      </c>
      <c r="M2201" s="1598"/>
      <c r="N2201" s="1597">
        <v>4499516.8899999997</v>
      </c>
      <c r="O2201" s="1597">
        <v>1852742.32</v>
      </c>
      <c r="P2201" s="1597">
        <v>2011548.62</v>
      </c>
      <c r="Q2201" s="1597">
        <v>635225.94999999995</v>
      </c>
      <c r="R2201" s="1597">
        <v>2646774.5699999998</v>
      </c>
      <c r="S2201" s="1592"/>
    </row>
    <row r="2202" spans="2:19" s="1593" customFormat="1" ht="11.25" customHeight="1" outlineLevel="1">
      <c r="B2202" s="1600" t="s">
        <v>11736</v>
      </c>
      <c r="C2202" s="1595" t="s">
        <v>10639</v>
      </c>
      <c r="D2202" s="1595" t="s">
        <v>11735</v>
      </c>
      <c r="E2202" s="1595" t="s">
        <v>2288</v>
      </c>
      <c r="F2202" s="1595" t="s">
        <v>11734</v>
      </c>
      <c r="G2202" s="1595"/>
      <c r="H2202" s="1596">
        <v>1</v>
      </c>
      <c r="I2202" s="1595"/>
      <c r="J2202" s="1595"/>
      <c r="K2202" s="1597">
        <v>61949.15</v>
      </c>
      <c r="L2202" s="1597">
        <v>61949.15</v>
      </c>
      <c r="M2202" s="1597">
        <v>-61949.15</v>
      </c>
      <c r="N2202" s="1598"/>
      <c r="O2202" s="1598"/>
      <c r="P2202" s="1597">
        <v>60274.8</v>
      </c>
      <c r="Q2202" s="1597">
        <v>-60274.8</v>
      </c>
      <c r="R2202" s="1598"/>
      <c r="S2202" s="1592"/>
    </row>
    <row r="2203" spans="2:19" s="1593" customFormat="1" ht="11.25" customHeight="1" outlineLevel="1">
      <c r="B2203" s="1600" t="s">
        <v>11733</v>
      </c>
      <c r="C2203" s="1595" t="s">
        <v>10635</v>
      </c>
      <c r="D2203" s="1595" t="s">
        <v>11732</v>
      </c>
      <c r="E2203" s="1595" t="s">
        <v>2288</v>
      </c>
      <c r="F2203" s="1595" t="s">
        <v>11731</v>
      </c>
      <c r="G2203" s="1595"/>
      <c r="H2203" s="1596">
        <v>1</v>
      </c>
      <c r="I2203" s="1595"/>
      <c r="J2203" s="1595"/>
      <c r="K2203" s="1597">
        <v>131356.25</v>
      </c>
      <c r="L2203" s="1597">
        <v>131356.25</v>
      </c>
      <c r="M2203" s="1598"/>
      <c r="N2203" s="1597">
        <v>131356.25</v>
      </c>
      <c r="O2203" s="1597">
        <v>5652.71</v>
      </c>
      <c r="P2203" s="1597">
        <v>96327.99</v>
      </c>
      <c r="Q2203" s="1597">
        <v>29375.55</v>
      </c>
      <c r="R2203" s="1597">
        <v>125703.54</v>
      </c>
      <c r="S2203" s="1592"/>
    </row>
    <row r="2204" spans="2:19" s="1593" customFormat="1" ht="11.25" customHeight="1" outlineLevel="1">
      <c r="B2204" s="1600" t="s">
        <v>11730</v>
      </c>
      <c r="C2204" s="1595" t="s">
        <v>10635</v>
      </c>
      <c r="D2204" s="1595" t="s">
        <v>11729</v>
      </c>
      <c r="E2204" s="1595" t="s">
        <v>2288</v>
      </c>
      <c r="F2204" s="1595" t="s">
        <v>10633</v>
      </c>
      <c r="G2204" s="1595"/>
      <c r="H2204" s="1596">
        <v>1</v>
      </c>
      <c r="I2204" s="1595"/>
      <c r="J2204" s="1595"/>
      <c r="K2204" s="1597">
        <v>173300</v>
      </c>
      <c r="L2204" s="1597">
        <v>173300</v>
      </c>
      <c r="M2204" s="1598"/>
      <c r="N2204" s="1597">
        <v>173300</v>
      </c>
      <c r="O2204" s="1597">
        <v>7457.71</v>
      </c>
      <c r="P2204" s="1597">
        <v>127086.63</v>
      </c>
      <c r="Q2204" s="1597">
        <v>38755.660000000003</v>
      </c>
      <c r="R2204" s="1597">
        <v>165842.29</v>
      </c>
      <c r="S2204" s="1592"/>
    </row>
    <row r="2205" spans="2:19" s="1593" customFormat="1" ht="11.25" customHeight="1" outlineLevel="1">
      <c r="B2205" s="1600" t="s">
        <v>11728</v>
      </c>
      <c r="C2205" s="1595" t="s">
        <v>11727</v>
      </c>
      <c r="D2205" s="1595" t="s">
        <v>11726</v>
      </c>
      <c r="E2205" s="1595" t="s">
        <v>2288</v>
      </c>
      <c r="F2205" s="1595" t="s">
        <v>11725</v>
      </c>
      <c r="G2205" s="1595"/>
      <c r="H2205" s="1596">
        <v>1</v>
      </c>
      <c r="I2205" s="1595"/>
      <c r="J2205" s="1595"/>
      <c r="K2205" s="1597">
        <v>691666.67</v>
      </c>
      <c r="L2205" s="1597">
        <v>691666.67</v>
      </c>
      <c r="M2205" s="1598"/>
      <c r="N2205" s="1597">
        <v>691666.67</v>
      </c>
      <c r="O2205" s="1597">
        <v>519705.47</v>
      </c>
      <c r="P2205" s="1597">
        <v>126104.88</v>
      </c>
      <c r="Q2205" s="1597">
        <v>45856.32</v>
      </c>
      <c r="R2205" s="1597">
        <v>171961.2</v>
      </c>
      <c r="S2205" s="1592"/>
    </row>
    <row r="2206" spans="2:19" s="1593" customFormat="1" ht="21.75" customHeight="1" outlineLevel="1">
      <c r="B2206" s="1600" t="s">
        <v>11724</v>
      </c>
      <c r="C2206" s="1595" t="s">
        <v>11721</v>
      </c>
      <c r="D2206" s="1595" t="s">
        <v>11723</v>
      </c>
      <c r="E2206" s="1595" t="s">
        <v>2288</v>
      </c>
      <c r="F2206" s="1595" t="s">
        <v>11719</v>
      </c>
      <c r="G2206" s="1595"/>
      <c r="H2206" s="1595"/>
      <c r="I2206" s="1595"/>
      <c r="J2206" s="1595"/>
      <c r="K2206" s="1597">
        <v>338732.58</v>
      </c>
      <c r="L2206" s="1597">
        <v>338732.58</v>
      </c>
      <c r="M2206" s="1598"/>
      <c r="N2206" s="1597">
        <v>338732.58</v>
      </c>
      <c r="O2206" s="1597">
        <v>144377.87</v>
      </c>
      <c r="P2206" s="1597">
        <v>127718.77</v>
      </c>
      <c r="Q2206" s="1597">
        <v>66635.94</v>
      </c>
      <c r="R2206" s="1597">
        <v>194354.71</v>
      </c>
      <c r="S2206" s="1592"/>
    </row>
    <row r="2207" spans="2:19" s="1593" customFormat="1" ht="21.75" customHeight="1" outlineLevel="1">
      <c r="B2207" s="1600" t="s">
        <v>11722</v>
      </c>
      <c r="C2207" s="1595" t="s">
        <v>11721</v>
      </c>
      <c r="D2207" s="1595" t="s">
        <v>11720</v>
      </c>
      <c r="E2207" s="1595" t="s">
        <v>2288</v>
      </c>
      <c r="F2207" s="1595" t="s">
        <v>11719</v>
      </c>
      <c r="G2207" s="1595"/>
      <c r="H2207" s="1595"/>
      <c r="I2207" s="1595"/>
      <c r="J2207" s="1595"/>
      <c r="K2207" s="1597">
        <v>338732.57</v>
      </c>
      <c r="L2207" s="1597">
        <v>338732.57</v>
      </c>
      <c r="M2207" s="1598"/>
      <c r="N2207" s="1597">
        <v>338732.57</v>
      </c>
      <c r="O2207" s="1597">
        <v>144377.87</v>
      </c>
      <c r="P2207" s="1597">
        <v>127718.77</v>
      </c>
      <c r="Q2207" s="1597">
        <v>66635.929999999993</v>
      </c>
      <c r="R2207" s="1597">
        <v>194354.7</v>
      </c>
      <c r="S2207" s="1592"/>
    </row>
    <row r="2208" spans="2:19" s="1593" customFormat="1" ht="11.25" customHeight="1" outlineLevel="1">
      <c r="B2208" s="1600" t="s">
        <v>11718</v>
      </c>
      <c r="C2208" s="1595" t="s">
        <v>11717</v>
      </c>
      <c r="D2208" s="1595" t="s">
        <v>11716</v>
      </c>
      <c r="E2208" s="1595" t="s">
        <v>2288</v>
      </c>
      <c r="F2208" s="1595" t="s">
        <v>11715</v>
      </c>
      <c r="G2208" s="1595"/>
      <c r="H2208" s="1596">
        <v>3</v>
      </c>
      <c r="I2208" s="1595"/>
      <c r="J2208" s="1595"/>
      <c r="K2208" s="1597">
        <v>58333.33</v>
      </c>
      <c r="L2208" s="1597">
        <v>58333.33</v>
      </c>
      <c r="M2208" s="1597">
        <v>-58333.33</v>
      </c>
      <c r="N2208" s="1598"/>
      <c r="O2208" s="1598"/>
      <c r="P2208" s="1597">
        <v>58333.33</v>
      </c>
      <c r="Q2208" s="1597">
        <v>-58333.33</v>
      </c>
      <c r="R2208" s="1598"/>
      <c r="S2208" s="1592"/>
    </row>
    <row r="2209" spans="2:19" s="1593" customFormat="1" ht="11.25" customHeight="1" outlineLevel="1">
      <c r="B2209" s="1600" t="s">
        <v>11714</v>
      </c>
      <c r="C2209" s="1595" t="s">
        <v>11713</v>
      </c>
      <c r="D2209" s="1595" t="s">
        <v>11712</v>
      </c>
      <c r="E2209" s="1595" t="s">
        <v>2288</v>
      </c>
      <c r="F2209" s="1595" t="s">
        <v>11711</v>
      </c>
      <c r="G2209" s="1595"/>
      <c r="H2209" s="1596">
        <v>3</v>
      </c>
      <c r="I2209" s="1595"/>
      <c r="J2209" s="1595"/>
      <c r="K2209" s="1597">
        <v>159416.67000000001</v>
      </c>
      <c r="L2209" s="1597">
        <v>159416.67000000001</v>
      </c>
      <c r="M2209" s="1598"/>
      <c r="N2209" s="1597">
        <v>159416.67000000001</v>
      </c>
      <c r="O2209" s="1597">
        <v>103151.97</v>
      </c>
      <c r="P2209" s="1597">
        <v>33758.82</v>
      </c>
      <c r="Q2209" s="1597">
        <v>22505.88</v>
      </c>
      <c r="R2209" s="1597">
        <v>56264.7</v>
      </c>
      <c r="S2209" s="1592"/>
    </row>
    <row r="2210" spans="2:19" s="1593" customFormat="1" ht="11.25" customHeight="1" outlineLevel="1">
      <c r="B2210" s="1600" t="s">
        <v>11710</v>
      </c>
      <c r="C2210" s="1595" t="s">
        <v>11709</v>
      </c>
      <c r="D2210" s="1595" t="s">
        <v>11708</v>
      </c>
      <c r="E2210" s="1595" t="s">
        <v>2288</v>
      </c>
      <c r="F2210" s="1595" t="s">
        <v>11707</v>
      </c>
      <c r="G2210" s="1595"/>
      <c r="H2210" s="1596">
        <v>1</v>
      </c>
      <c r="I2210" s="1595"/>
      <c r="J2210" s="1595"/>
      <c r="K2210" s="1597">
        <v>51500</v>
      </c>
      <c r="L2210" s="1597">
        <v>51500</v>
      </c>
      <c r="M2210" s="1597">
        <v>-51500</v>
      </c>
      <c r="N2210" s="1598"/>
      <c r="O2210" s="1598"/>
      <c r="P2210" s="1597">
        <v>30900</v>
      </c>
      <c r="Q2210" s="1597">
        <v>-30900</v>
      </c>
      <c r="R2210" s="1598"/>
      <c r="S2210" s="1592"/>
    </row>
    <row r="2211" spans="2:19" s="1593" customFormat="1" ht="11.25" customHeight="1" outlineLevel="1">
      <c r="B2211" s="1600" t="s">
        <v>11706</v>
      </c>
      <c r="C2211" s="1595" t="s">
        <v>3196</v>
      </c>
      <c r="D2211" s="1595" t="s">
        <v>11705</v>
      </c>
      <c r="E2211" s="1595" t="s">
        <v>2288</v>
      </c>
      <c r="F2211" s="1595" t="s">
        <v>11702</v>
      </c>
      <c r="G2211" s="1595"/>
      <c r="H2211" s="1596">
        <v>1</v>
      </c>
      <c r="I2211" s="1595"/>
      <c r="J2211" s="1595"/>
      <c r="K2211" s="1597">
        <v>67914</v>
      </c>
      <c r="L2211" s="1597">
        <v>67914</v>
      </c>
      <c r="M2211" s="1597">
        <v>-67914</v>
      </c>
      <c r="N2211" s="1598"/>
      <c r="O2211" s="1598"/>
      <c r="P2211" s="1597">
        <v>40748.400000000001</v>
      </c>
      <c r="Q2211" s="1597">
        <v>-40748.400000000001</v>
      </c>
      <c r="R2211" s="1598"/>
      <c r="S2211" s="1592"/>
    </row>
    <row r="2212" spans="2:19" s="1593" customFormat="1" ht="11.25" customHeight="1" outlineLevel="1">
      <c r="B2212" s="1600" t="s">
        <v>11704</v>
      </c>
      <c r="C2212" s="1595" t="s">
        <v>3196</v>
      </c>
      <c r="D2212" s="1595" t="s">
        <v>11703</v>
      </c>
      <c r="E2212" s="1595" t="s">
        <v>2288</v>
      </c>
      <c r="F2212" s="1595" t="s">
        <v>11702</v>
      </c>
      <c r="G2212" s="1595"/>
      <c r="H2212" s="1596">
        <v>1</v>
      </c>
      <c r="I2212" s="1595"/>
      <c r="J2212" s="1595"/>
      <c r="K2212" s="1597">
        <v>67914</v>
      </c>
      <c r="L2212" s="1597">
        <v>67914</v>
      </c>
      <c r="M2212" s="1597">
        <v>-67914</v>
      </c>
      <c r="N2212" s="1598"/>
      <c r="O2212" s="1598"/>
      <c r="P2212" s="1597">
        <v>40748.400000000001</v>
      </c>
      <c r="Q2212" s="1597">
        <v>-40748.400000000001</v>
      </c>
      <c r="R2212" s="1598"/>
      <c r="S2212" s="1592"/>
    </row>
    <row r="2213" spans="2:19" s="1593" customFormat="1" ht="11.25" customHeight="1" outlineLevel="1">
      <c r="B2213" s="1600" t="s">
        <v>11701</v>
      </c>
      <c r="C2213" s="1595" t="s">
        <v>10580</v>
      </c>
      <c r="D2213" s="1595" t="s">
        <v>11700</v>
      </c>
      <c r="E2213" s="1595" t="s">
        <v>2288</v>
      </c>
      <c r="F2213" s="1595" t="s">
        <v>10578</v>
      </c>
      <c r="G2213" s="1595"/>
      <c r="H2213" s="1596">
        <v>1</v>
      </c>
      <c r="I2213" s="1595"/>
      <c r="J2213" s="1595"/>
      <c r="K2213" s="1597">
        <v>95637.5</v>
      </c>
      <c r="L2213" s="1597">
        <v>95637.5</v>
      </c>
      <c r="M2213" s="1597">
        <v>-95637.5</v>
      </c>
      <c r="N2213" s="1598"/>
      <c r="O2213" s="1598"/>
      <c r="P2213" s="1597">
        <v>45906</v>
      </c>
      <c r="Q2213" s="1597">
        <v>-45906</v>
      </c>
      <c r="R2213" s="1598"/>
      <c r="S2213" s="1592"/>
    </row>
    <row r="2214" spans="2:19" s="1593" customFormat="1" ht="21.75" customHeight="1" outlineLevel="1">
      <c r="B2214" s="1600" t="s">
        <v>11699</v>
      </c>
      <c r="C2214" s="1595" t="s">
        <v>11698</v>
      </c>
      <c r="D2214" s="1595" t="s">
        <v>11697</v>
      </c>
      <c r="E2214" s="1595" t="s">
        <v>2288</v>
      </c>
      <c r="F2214" s="1595" t="s">
        <v>11696</v>
      </c>
      <c r="G2214" s="1595"/>
      <c r="H2214" s="1596">
        <v>1</v>
      </c>
      <c r="I2214" s="1595"/>
      <c r="J2214" s="1595"/>
      <c r="K2214" s="1597">
        <v>1262500</v>
      </c>
      <c r="L2214" s="1597">
        <v>1262500</v>
      </c>
      <c r="M2214" s="1598"/>
      <c r="N2214" s="1597">
        <v>1262500</v>
      </c>
      <c r="O2214" s="1597">
        <v>765778.72</v>
      </c>
      <c r="P2214" s="1597">
        <v>248360.64</v>
      </c>
      <c r="Q2214" s="1597">
        <v>248360.64</v>
      </c>
      <c r="R2214" s="1597">
        <v>496721.28</v>
      </c>
      <c r="S2214" s="1592"/>
    </row>
    <row r="2215" spans="2:19" s="1593" customFormat="1" ht="11.25" customHeight="1" outlineLevel="1">
      <c r="B2215" s="1600" t="s">
        <v>11695</v>
      </c>
      <c r="C2215" s="1595" t="s">
        <v>11694</v>
      </c>
      <c r="D2215" s="1595" t="s">
        <v>11693</v>
      </c>
      <c r="E2215" s="1595" t="s">
        <v>2288</v>
      </c>
      <c r="F2215" s="1595" t="s">
        <v>11692</v>
      </c>
      <c r="G2215" s="1595"/>
      <c r="H2215" s="1596">
        <v>1</v>
      </c>
      <c r="I2215" s="1595"/>
      <c r="J2215" s="1595"/>
      <c r="K2215" s="1597">
        <v>1141477.17</v>
      </c>
      <c r="L2215" s="1597">
        <v>1141477.17</v>
      </c>
      <c r="M2215" s="1598"/>
      <c r="N2215" s="1597">
        <v>1141477.17</v>
      </c>
      <c r="O2215" s="1597">
        <v>45659.08</v>
      </c>
      <c r="P2215" s="1597">
        <v>547909.07999999996</v>
      </c>
      <c r="Q2215" s="1597">
        <v>547909.01</v>
      </c>
      <c r="R2215" s="1597">
        <v>1095818.0900000001</v>
      </c>
      <c r="S2215" s="1592"/>
    </row>
    <row r="2216" spans="2:19" s="1593" customFormat="1" ht="11.25" customHeight="1" outlineLevel="1">
      <c r="B2216" s="1600" t="s">
        <v>11691</v>
      </c>
      <c r="C2216" s="1595" t="s">
        <v>11690</v>
      </c>
      <c r="D2216" s="1595" t="s">
        <v>11689</v>
      </c>
      <c r="E2216" s="1595" t="s">
        <v>2288</v>
      </c>
      <c r="F2216" s="1595" t="s">
        <v>11688</v>
      </c>
      <c r="G2216" s="1595"/>
      <c r="H2216" s="1596">
        <v>1</v>
      </c>
      <c r="I2216" s="1595"/>
      <c r="J2216" s="1595"/>
      <c r="K2216" s="1597">
        <v>76270</v>
      </c>
      <c r="L2216" s="1597">
        <v>76270</v>
      </c>
      <c r="M2216" s="1597">
        <v>-76270</v>
      </c>
      <c r="N2216" s="1598"/>
      <c r="O2216" s="1598"/>
      <c r="P2216" s="1597">
        <v>30508</v>
      </c>
      <c r="Q2216" s="1597">
        <v>-30508</v>
      </c>
      <c r="R2216" s="1598"/>
      <c r="S2216" s="1592"/>
    </row>
    <row r="2217" spans="2:19" s="1593" customFormat="1" ht="11.25" customHeight="1" outlineLevel="1">
      <c r="B2217" s="1600" t="s">
        <v>11687</v>
      </c>
      <c r="C2217" s="1595" t="s">
        <v>11686</v>
      </c>
      <c r="D2217" s="1595" t="s">
        <v>11685</v>
      </c>
      <c r="E2217" s="1595"/>
      <c r="F2217" s="1595"/>
      <c r="G2217" s="1595"/>
      <c r="H2217" s="1595"/>
      <c r="I2217" s="1595"/>
      <c r="J2217" s="1595"/>
      <c r="K2217" s="1597">
        <v>98850</v>
      </c>
      <c r="L2217" s="1597">
        <v>98850</v>
      </c>
      <c r="M2217" s="1597">
        <v>-98850</v>
      </c>
      <c r="N2217" s="1598"/>
      <c r="O2217" s="1598"/>
      <c r="P2217" s="1597">
        <v>27678</v>
      </c>
      <c r="Q2217" s="1597">
        <v>-27678</v>
      </c>
      <c r="R2217" s="1598"/>
      <c r="S2217" s="1592"/>
    </row>
    <row r="2218" spans="2:19" s="1593" customFormat="1" ht="21.75" customHeight="1" outlineLevel="1">
      <c r="B2218" s="1600" t="s">
        <v>11684</v>
      </c>
      <c r="C2218" s="1595" t="s">
        <v>3157</v>
      </c>
      <c r="D2218" s="1595" t="s">
        <v>11683</v>
      </c>
      <c r="E2218" s="1595" t="s">
        <v>2208</v>
      </c>
      <c r="F2218" s="1595"/>
      <c r="G2218" s="1595"/>
      <c r="H2218" s="1596">
        <v>1</v>
      </c>
      <c r="I2218" s="1595"/>
      <c r="J2218" s="1595"/>
      <c r="K2218" s="1597">
        <v>151369</v>
      </c>
      <c r="L2218" s="1597">
        <v>151369</v>
      </c>
      <c r="M2218" s="1598"/>
      <c r="N2218" s="1597">
        <v>151369</v>
      </c>
      <c r="O2218" s="1597">
        <v>127600.38</v>
      </c>
      <c r="P2218" s="1597">
        <v>8756.86</v>
      </c>
      <c r="Q2218" s="1597">
        <v>15011.76</v>
      </c>
      <c r="R2218" s="1597">
        <v>23768.62</v>
      </c>
      <c r="S2218" s="1592"/>
    </row>
    <row r="2219" spans="2:19" s="1593" customFormat="1" ht="21.75" customHeight="1" outlineLevel="1">
      <c r="B2219" s="1600" t="s">
        <v>11682</v>
      </c>
      <c r="C2219" s="1595" t="s">
        <v>3157</v>
      </c>
      <c r="D2219" s="1595" t="s">
        <v>11681</v>
      </c>
      <c r="E2219" s="1595" t="s">
        <v>2266</v>
      </c>
      <c r="F2219" s="1595"/>
      <c r="G2219" s="1595"/>
      <c r="H2219" s="1596">
        <v>1</v>
      </c>
      <c r="I2219" s="1595"/>
      <c r="J2219" s="1595"/>
      <c r="K2219" s="1597">
        <v>4583333.33</v>
      </c>
      <c r="L2219" s="1597">
        <v>4583333.33</v>
      </c>
      <c r="M2219" s="1598"/>
      <c r="N2219" s="1597">
        <v>4583333.33</v>
      </c>
      <c r="O2219" s="1597">
        <v>1100000.01</v>
      </c>
      <c r="P2219" s="1597">
        <v>1283333.31</v>
      </c>
      <c r="Q2219" s="1597">
        <v>2200000.0099999998</v>
      </c>
      <c r="R2219" s="1597">
        <v>3483333.32</v>
      </c>
      <c r="S2219" s="1592"/>
    </row>
    <row r="2220" spans="2:19" s="1593" customFormat="1" ht="21.75" customHeight="1" outlineLevel="1">
      <c r="B2220" s="1600" t="s">
        <v>11680</v>
      </c>
      <c r="C2220" s="1595" t="s">
        <v>3157</v>
      </c>
      <c r="D2220" s="1595" t="s">
        <v>11679</v>
      </c>
      <c r="E2220" s="1595" t="s">
        <v>2208</v>
      </c>
      <c r="F2220" s="1595"/>
      <c r="G2220" s="1595"/>
      <c r="H2220" s="1596">
        <v>1</v>
      </c>
      <c r="I2220" s="1595"/>
      <c r="J2220" s="1595"/>
      <c r="K2220" s="1597">
        <v>190737.57</v>
      </c>
      <c r="L2220" s="1597">
        <v>190737.57</v>
      </c>
      <c r="M2220" s="1598"/>
      <c r="N2220" s="1597">
        <v>190737.57</v>
      </c>
      <c r="O2220" s="1597">
        <v>131327.49</v>
      </c>
      <c r="P2220" s="1597">
        <v>21887.95</v>
      </c>
      <c r="Q2220" s="1597">
        <v>37522.129999999997</v>
      </c>
      <c r="R2220" s="1597">
        <v>59410.080000000002</v>
      </c>
      <c r="S2220" s="1592"/>
    </row>
    <row r="2221" spans="2:19" s="1593" customFormat="1" ht="21.75" customHeight="1" outlineLevel="1">
      <c r="B2221" s="1600" t="s">
        <v>11678</v>
      </c>
      <c r="C2221" s="1595" t="s">
        <v>3157</v>
      </c>
      <c r="D2221" s="1595" t="s">
        <v>11677</v>
      </c>
      <c r="E2221" s="1595" t="s">
        <v>2208</v>
      </c>
      <c r="F2221" s="1595"/>
      <c r="G2221" s="1595"/>
      <c r="H2221" s="1596">
        <v>1</v>
      </c>
      <c r="I2221" s="1601">
        <v>83</v>
      </c>
      <c r="J2221" s="1595"/>
      <c r="K2221" s="1597">
        <v>312424.25</v>
      </c>
      <c r="L2221" s="1597">
        <v>312424.25</v>
      </c>
      <c r="M2221" s="1598"/>
      <c r="N2221" s="1597">
        <v>312424.25</v>
      </c>
      <c r="O2221" s="1597">
        <v>295980.89</v>
      </c>
      <c r="P2221" s="1597">
        <v>6058.08</v>
      </c>
      <c r="Q2221" s="1597">
        <v>10385.280000000001</v>
      </c>
      <c r="R2221" s="1597">
        <v>16443.36</v>
      </c>
      <c r="S2221" s="1592"/>
    </row>
    <row r="2222" spans="2:19" s="1593" customFormat="1" ht="21.75" customHeight="1" outlineLevel="1">
      <c r="B2222" s="1600" t="s">
        <v>11676</v>
      </c>
      <c r="C2222" s="1595" t="s">
        <v>3157</v>
      </c>
      <c r="D2222" s="1595" t="s">
        <v>11675</v>
      </c>
      <c r="E2222" s="1595" t="s">
        <v>2208</v>
      </c>
      <c r="F2222" s="1595"/>
      <c r="G2222" s="1595"/>
      <c r="H2222" s="1596">
        <v>2</v>
      </c>
      <c r="I2222" s="1601">
        <v>18</v>
      </c>
      <c r="J2222" s="1595"/>
      <c r="K2222" s="1597">
        <v>225912.79</v>
      </c>
      <c r="L2222" s="1597">
        <v>225912.79</v>
      </c>
      <c r="M2222" s="1598"/>
      <c r="N2222" s="1597">
        <v>225912.79</v>
      </c>
      <c r="O2222" s="1597">
        <v>211652.53</v>
      </c>
      <c r="P2222" s="1597">
        <v>5253.78</v>
      </c>
      <c r="Q2222" s="1597">
        <v>9006.48</v>
      </c>
      <c r="R2222" s="1597">
        <v>14260.26</v>
      </c>
      <c r="S2222" s="1592"/>
    </row>
    <row r="2223" spans="2:19" s="1593" customFormat="1" ht="11.25" customHeight="1" outlineLevel="1">
      <c r="B2223" s="1600" t="s">
        <v>11674</v>
      </c>
      <c r="C2223" s="1595" t="s">
        <v>11673</v>
      </c>
      <c r="D2223" s="1595" t="s">
        <v>11672</v>
      </c>
      <c r="E2223" s="1595" t="s">
        <v>2288</v>
      </c>
      <c r="F2223" s="1595" t="s">
        <v>11671</v>
      </c>
      <c r="G2223" s="1595"/>
      <c r="H2223" s="1596">
        <v>1</v>
      </c>
      <c r="I2223" s="1595"/>
      <c r="J2223" s="1595"/>
      <c r="K2223" s="1597">
        <v>98850</v>
      </c>
      <c r="L2223" s="1597">
        <v>98850</v>
      </c>
      <c r="M2223" s="1597">
        <v>-98850</v>
      </c>
      <c r="N2223" s="1598"/>
      <c r="O2223" s="1598"/>
      <c r="P2223" s="1597">
        <v>23724</v>
      </c>
      <c r="Q2223" s="1597">
        <v>-23724</v>
      </c>
      <c r="R2223" s="1598"/>
      <c r="S2223" s="1592"/>
    </row>
    <row r="2224" spans="2:19" s="1593" customFormat="1" ht="21.75" customHeight="1" outlineLevel="1">
      <c r="B2224" s="1600" t="s">
        <v>11670</v>
      </c>
      <c r="C2224" s="1595" t="s">
        <v>10466</v>
      </c>
      <c r="D2224" s="1595" t="s">
        <v>11669</v>
      </c>
      <c r="E2224" s="1595"/>
      <c r="F2224" s="1595"/>
      <c r="G2224" s="1595"/>
      <c r="H2224" s="1595"/>
      <c r="I2224" s="1595"/>
      <c r="J2224" s="1595"/>
      <c r="K2224" s="1597">
        <v>154830.82999999999</v>
      </c>
      <c r="L2224" s="1597">
        <v>154830.82999999999</v>
      </c>
      <c r="M2224" s="1598"/>
      <c r="N2224" s="1597">
        <v>154830.82999999999</v>
      </c>
      <c r="O2224" s="1597">
        <v>111681.26</v>
      </c>
      <c r="P2224" s="1597">
        <v>12691.05</v>
      </c>
      <c r="Q2224" s="1597">
        <v>30458.52</v>
      </c>
      <c r="R2224" s="1597">
        <v>43149.57</v>
      </c>
      <c r="S2224" s="1592"/>
    </row>
    <row r="2225" spans="2:19" s="1593" customFormat="1" ht="11.25" customHeight="1" outlineLevel="1">
      <c r="B2225" s="1600" t="s">
        <v>11668</v>
      </c>
      <c r="C2225" s="1595" t="s">
        <v>11667</v>
      </c>
      <c r="D2225" s="1595" t="s">
        <v>11666</v>
      </c>
      <c r="E2225" s="1595" t="s">
        <v>2288</v>
      </c>
      <c r="F2225" s="1595" t="s">
        <v>11665</v>
      </c>
      <c r="G2225" s="1595"/>
      <c r="H2225" s="1596">
        <v>1</v>
      </c>
      <c r="I2225" s="1595"/>
      <c r="J2225" s="1595"/>
      <c r="K2225" s="1597">
        <v>103800</v>
      </c>
      <c r="L2225" s="1597">
        <v>103800</v>
      </c>
      <c r="M2225" s="1598"/>
      <c r="N2225" s="1597">
        <v>103800</v>
      </c>
      <c r="O2225" s="1597">
        <v>33216</v>
      </c>
      <c r="P2225" s="1597">
        <v>20760</v>
      </c>
      <c r="Q2225" s="1597">
        <v>49824</v>
      </c>
      <c r="R2225" s="1597">
        <v>70584</v>
      </c>
      <c r="S2225" s="1592"/>
    </row>
    <row r="2226" spans="2:19" s="1593" customFormat="1" ht="11.25" customHeight="1" outlineLevel="1">
      <c r="B2226" s="1600" t="s">
        <v>11664</v>
      </c>
      <c r="C2226" s="1595" t="s">
        <v>3131</v>
      </c>
      <c r="D2226" s="1595" t="s">
        <v>11663</v>
      </c>
      <c r="E2226" s="1595" t="s">
        <v>2208</v>
      </c>
      <c r="F2226" s="1595"/>
      <c r="G2226" s="1595"/>
      <c r="H2226" s="1596">
        <v>1</v>
      </c>
      <c r="I2226" s="1595"/>
      <c r="J2226" s="1595"/>
      <c r="K2226" s="1597">
        <v>74724.05</v>
      </c>
      <c r="L2226" s="1597">
        <v>74724.05</v>
      </c>
      <c r="M2226" s="1597">
        <v>-74724.05</v>
      </c>
      <c r="N2226" s="1598"/>
      <c r="O2226" s="1598"/>
      <c r="P2226" s="1597">
        <v>8966.8799999999992</v>
      </c>
      <c r="Q2226" s="1597">
        <v>-8966.8799999999992</v>
      </c>
      <c r="R2226" s="1598"/>
      <c r="S2226" s="1592"/>
    </row>
    <row r="2227" spans="2:19" s="1593" customFormat="1" ht="11.25" customHeight="1" outlineLevel="1">
      <c r="B2227" s="1600" t="s">
        <v>11662</v>
      </c>
      <c r="C2227" s="1595" t="s">
        <v>6843</v>
      </c>
      <c r="D2227" s="1595" t="s">
        <v>11661</v>
      </c>
      <c r="E2227" s="1595" t="s">
        <v>2208</v>
      </c>
      <c r="F2227" s="1595"/>
      <c r="G2227" s="1595"/>
      <c r="H2227" s="1596">
        <v>1</v>
      </c>
      <c r="I2227" s="1595"/>
      <c r="J2227" s="1595"/>
      <c r="K2227" s="1597">
        <v>123158.28</v>
      </c>
      <c r="L2227" s="1597">
        <v>123158.28</v>
      </c>
      <c r="M2227" s="1598"/>
      <c r="N2227" s="1597">
        <v>123158.28</v>
      </c>
      <c r="O2227" s="1597">
        <v>109926.36</v>
      </c>
      <c r="P2227" s="1597">
        <v>1017.84</v>
      </c>
      <c r="Q2227" s="1597">
        <v>12214.08</v>
      </c>
      <c r="R2227" s="1597">
        <v>13231.92</v>
      </c>
      <c r="S2227" s="1592"/>
    </row>
    <row r="2228" spans="2:19" s="1593" customFormat="1" ht="11.25" customHeight="1" outlineLevel="1">
      <c r="B2228" s="1600" t="s">
        <v>11660</v>
      </c>
      <c r="C2228" s="1595" t="s">
        <v>6843</v>
      </c>
      <c r="D2228" s="1595" t="s">
        <v>11659</v>
      </c>
      <c r="E2228" s="1595" t="s">
        <v>2208</v>
      </c>
      <c r="F2228" s="1595"/>
      <c r="G2228" s="1595"/>
      <c r="H2228" s="1596">
        <v>1</v>
      </c>
      <c r="I2228" s="1595"/>
      <c r="J2228" s="1595"/>
      <c r="K2228" s="1597">
        <v>126737.98</v>
      </c>
      <c r="L2228" s="1597">
        <v>126737.98</v>
      </c>
      <c r="M2228" s="1598"/>
      <c r="N2228" s="1597">
        <v>126737.98</v>
      </c>
      <c r="O2228" s="1597">
        <v>113121.52</v>
      </c>
      <c r="P2228" s="1597">
        <v>1047.42</v>
      </c>
      <c r="Q2228" s="1597">
        <v>12569.04</v>
      </c>
      <c r="R2228" s="1597">
        <v>13616.46</v>
      </c>
      <c r="S2228" s="1592"/>
    </row>
    <row r="2229" spans="2:19" s="1593" customFormat="1" ht="21.75" customHeight="1" outlineLevel="1">
      <c r="B2229" s="1600" t="s">
        <v>11658</v>
      </c>
      <c r="C2229" s="1595" t="s">
        <v>2414</v>
      </c>
      <c r="D2229" s="1595" t="s">
        <v>11657</v>
      </c>
      <c r="E2229" s="1595"/>
      <c r="F2229" s="1595"/>
      <c r="G2229" s="1595"/>
      <c r="H2229" s="1595"/>
      <c r="I2229" s="1595"/>
      <c r="J2229" s="1595"/>
      <c r="K2229" s="1597">
        <v>411771.3</v>
      </c>
      <c r="L2229" s="1597">
        <v>411771.3</v>
      </c>
      <c r="M2229" s="1597">
        <v>-411771.3</v>
      </c>
      <c r="N2229" s="1598"/>
      <c r="O2229" s="1598"/>
      <c r="P2229" s="1598"/>
      <c r="Q2229" s="1598"/>
      <c r="R2229" s="1598"/>
      <c r="S2229" s="1592"/>
    </row>
    <row r="2230" spans="2:19" s="1593" customFormat="1" ht="21.75" customHeight="1" outlineLevel="1">
      <c r="B2230" s="1600" t="s">
        <v>11656</v>
      </c>
      <c r="C2230" s="1595" t="s">
        <v>2414</v>
      </c>
      <c r="D2230" s="1595" t="s">
        <v>11655</v>
      </c>
      <c r="E2230" s="1595"/>
      <c r="F2230" s="1595"/>
      <c r="G2230" s="1595"/>
      <c r="H2230" s="1595"/>
      <c r="I2230" s="1595"/>
      <c r="J2230" s="1595"/>
      <c r="K2230" s="1597">
        <v>373878.01</v>
      </c>
      <c r="L2230" s="1597">
        <v>373878.01</v>
      </c>
      <c r="M2230" s="1597">
        <v>-373878.01</v>
      </c>
      <c r="N2230" s="1598"/>
      <c r="O2230" s="1598"/>
      <c r="P2230" s="1598"/>
      <c r="Q2230" s="1598"/>
      <c r="R2230" s="1598"/>
      <c r="S2230" s="1592"/>
    </row>
    <row r="2231" spans="2:19" s="1593" customFormat="1" ht="21.75" customHeight="1" outlineLevel="1">
      <c r="B2231" s="1600" t="s">
        <v>11654</v>
      </c>
      <c r="C2231" s="1595" t="s">
        <v>2414</v>
      </c>
      <c r="D2231" s="1595" t="s">
        <v>11653</v>
      </c>
      <c r="E2231" s="1595"/>
      <c r="F2231" s="1595"/>
      <c r="G2231" s="1595"/>
      <c r="H2231" s="1595"/>
      <c r="I2231" s="1595"/>
      <c r="J2231" s="1595"/>
      <c r="K2231" s="1597">
        <v>1887401.47</v>
      </c>
      <c r="L2231" s="1597">
        <v>1887401.47</v>
      </c>
      <c r="M2231" s="1597">
        <v>-1392260.61</v>
      </c>
      <c r="N2231" s="1597">
        <v>495140.86</v>
      </c>
      <c r="O2231" s="1597">
        <v>294708.82</v>
      </c>
      <c r="P2231" s="1598"/>
      <c r="Q2231" s="1597">
        <v>200432.04</v>
      </c>
      <c r="R2231" s="1597">
        <v>200432.04</v>
      </c>
      <c r="S2231" s="1592"/>
    </row>
    <row r="2232" spans="2:19" s="1593" customFormat="1" ht="21.75" customHeight="1" outlineLevel="1">
      <c r="B2232" s="1600" t="s">
        <v>11652</v>
      </c>
      <c r="C2232" s="1595" t="s">
        <v>2414</v>
      </c>
      <c r="D2232" s="1595" t="s">
        <v>11651</v>
      </c>
      <c r="E2232" s="1595"/>
      <c r="F2232" s="1595"/>
      <c r="G2232" s="1595"/>
      <c r="H2232" s="1595"/>
      <c r="I2232" s="1595"/>
      <c r="J2232" s="1595"/>
      <c r="K2232" s="1597">
        <v>258720.6</v>
      </c>
      <c r="L2232" s="1597">
        <v>258720.6</v>
      </c>
      <c r="M2232" s="1597">
        <v>-258720.6</v>
      </c>
      <c r="N2232" s="1598"/>
      <c r="O2232" s="1598"/>
      <c r="P2232" s="1598"/>
      <c r="Q2232" s="1598"/>
      <c r="R2232" s="1598"/>
      <c r="S2232" s="1592"/>
    </row>
    <row r="2233" spans="2:19" s="1593" customFormat="1" ht="21.75" customHeight="1" outlineLevel="1">
      <c r="B2233" s="1600" t="s">
        <v>11650</v>
      </c>
      <c r="C2233" s="1595" t="s">
        <v>2414</v>
      </c>
      <c r="D2233" s="1595" t="s">
        <v>11649</v>
      </c>
      <c r="E2233" s="1595"/>
      <c r="F2233" s="1595"/>
      <c r="G2233" s="1595"/>
      <c r="H2233" s="1595"/>
      <c r="I2233" s="1595"/>
      <c r="J2233" s="1595"/>
      <c r="K2233" s="1597">
        <v>559979.15</v>
      </c>
      <c r="L2233" s="1597">
        <v>559979.15</v>
      </c>
      <c r="M2233" s="1598"/>
      <c r="N2233" s="1597">
        <v>559979.15</v>
      </c>
      <c r="O2233" s="1597">
        <v>541261.18999999994</v>
      </c>
      <c r="P2233" s="1598"/>
      <c r="Q2233" s="1597">
        <v>18717.96</v>
      </c>
      <c r="R2233" s="1597">
        <v>18717.96</v>
      </c>
      <c r="S2233" s="1592"/>
    </row>
    <row r="2234" spans="2:19" s="1593" customFormat="1" ht="21.75" customHeight="1" outlineLevel="1">
      <c r="B2234" s="1600" t="s">
        <v>11648</v>
      </c>
      <c r="C2234" s="1595" t="s">
        <v>2414</v>
      </c>
      <c r="D2234" s="1595" t="s">
        <v>11647</v>
      </c>
      <c r="E2234" s="1595"/>
      <c r="F2234" s="1595"/>
      <c r="G2234" s="1595"/>
      <c r="H2234" s="1595"/>
      <c r="I2234" s="1595"/>
      <c r="J2234" s="1595"/>
      <c r="K2234" s="1597">
        <v>185238.88</v>
      </c>
      <c r="L2234" s="1597">
        <v>185238.88</v>
      </c>
      <c r="M2234" s="1598"/>
      <c r="N2234" s="1597">
        <v>185238.88</v>
      </c>
      <c r="O2234" s="1597">
        <v>167018.68</v>
      </c>
      <c r="P2234" s="1598"/>
      <c r="Q2234" s="1597">
        <v>18220.2</v>
      </c>
      <c r="R2234" s="1597">
        <v>18220.2</v>
      </c>
      <c r="S2234" s="1592"/>
    </row>
    <row r="2235" spans="2:19" s="1593" customFormat="1" ht="21.75" customHeight="1" outlineLevel="1">
      <c r="B2235" s="1600" t="s">
        <v>11646</v>
      </c>
      <c r="C2235" s="1595" t="s">
        <v>2414</v>
      </c>
      <c r="D2235" s="1595" t="s">
        <v>11645</v>
      </c>
      <c r="E2235" s="1595"/>
      <c r="F2235" s="1595"/>
      <c r="G2235" s="1595"/>
      <c r="H2235" s="1595"/>
      <c r="I2235" s="1595"/>
      <c r="J2235" s="1595"/>
      <c r="K2235" s="1597">
        <v>26265.66</v>
      </c>
      <c r="L2235" s="1597">
        <v>26265.66</v>
      </c>
      <c r="M2235" s="1598"/>
      <c r="N2235" s="1597">
        <v>26265.66</v>
      </c>
      <c r="O2235" s="1597">
        <v>17747.099999999999</v>
      </c>
      <c r="P2235" s="1598"/>
      <c r="Q2235" s="1597">
        <v>8518.56</v>
      </c>
      <c r="R2235" s="1597">
        <v>8518.56</v>
      </c>
      <c r="S2235" s="1592"/>
    </row>
    <row r="2236" spans="2:19" s="1593" customFormat="1" ht="21.75" customHeight="1" outlineLevel="1">
      <c r="B2236" s="1600" t="s">
        <v>11644</v>
      </c>
      <c r="C2236" s="1595" t="s">
        <v>2414</v>
      </c>
      <c r="D2236" s="1595" t="s">
        <v>11643</v>
      </c>
      <c r="E2236" s="1595"/>
      <c r="F2236" s="1595"/>
      <c r="G2236" s="1595"/>
      <c r="H2236" s="1595"/>
      <c r="I2236" s="1595"/>
      <c r="J2236" s="1595"/>
      <c r="K2236" s="1597">
        <v>286124.94</v>
      </c>
      <c r="L2236" s="1597">
        <v>286124.94</v>
      </c>
      <c r="M2236" s="1598"/>
      <c r="N2236" s="1597">
        <v>286124.94</v>
      </c>
      <c r="O2236" s="1597">
        <v>206276.1</v>
      </c>
      <c r="P2236" s="1598"/>
      <c r="Q2236" s="1597">
        <v>79848.84</v>
      </c>
      <c r="R2236" s="1597">
        <v>79848.84</v>
      </c>
      <c r="S2236" s="1592"/>
    </row>
    <row r="2237" spans="2:19" s="1593" customFormat="1" ht="21.75" customHeight="1" outlineLevel="1">
      <c r="B2237" s="1600" t="s">
        <v>11642</v>
      </c>
      <c r="C2237" s="1595" t="s">
        <v>2414</v>
      </c>
      <c r="D2237" s="1595" t="s">
        <v>11641</v>
      </c>
      <c r="E2237" s="1595"/>
      <c r="F2237" s="1595"/>
      <c r="G2237" s="1595"/>
      <c r="H2237" s="1595"/>
      <c r="I2237" s="1595"/>
      <c r="J2237" s="1595"/>
      <c r="K2237" s="1597">
        <v>43157.14</v>
      </c>
      <c r="L2237" s="1597">
        <v>43157.14</v>
      </c>
      <c r="M2237" s="1598"/>
      <c r="N2237" s="1597">
        <v>43157.14</v>
      </c>
      <c r="O2237" s="1597">
        <v>38912.14</v>
      </c>
      <c r="P2237" s="1598"/>
      <c r="Q2237" s="1597">
        <v>4245</v>
      </c>
      <c r="R2237" s="1597">
        <v>4245</v>
      </c>
      <c r="S2237" s="1592"/>
    </row>
    <row r="2238" spans="2:19" s="1593" customFormat="1" ht="21.75" customHeight="1" outlineLevel="1">
      <c r="B2238" s="1600" t="s">
        <v>11640</v>
      </c>
      <c r="C2238" s="1595" t="s">
        <v>2414</v>
      </c>
      <c r="D2238" s="1595" t="s">
        <v>11639</v>
      </c>
      <c r="E2238" s="1595"/>
      <c r="F2238" s="1595"/>
      <c r="G2238" s="1595"/>
      <c r="H2238" s="1595"/>
      <c r="I2238" s="1595"/>
      <c r="J2238" s="1595"/>
      <c r="K2238" s="1597">
        <v>23906.58</v>
      </c>
      <c r="L2238" s="1597">
        <v>23906.58</v>
      </c>
      <c r="M2238" s="1598"/>
      <c r="N2238" s="1597">
        <v>23906.58</v>
      </c>
      <c r="O2238" s="1597">
        <v>21555.06</v>
      </c>
      <c r="P2238" s="1598"/>
      <c r="Q2238" s="1597">
        <v>2351.52</v>
      </c>
      <c r="R2238" s="1597">
        <v>2351.52</v>
      </c>
      <c r="S2238" s="1592"/>
    </row>
    <row r="2239" spans="2:19" s="1593" customFormat="1" ht="21.75" customHeight="1" outlineLevel="1">
      <c r="B2239" s="1600" t="s">
        <v>11638</v>
      </c>
      <c r="C2239" s="1595" t="s">
        <v>2414</v>
      </c>
      <c r="D2239" s="1595" t="s">
        <v>11637</v>
      </c>
      <c r="E2239" s="1595"/>
      <c r="F2239" s="1595"/>
      <c r="G2239" s="1595"/>
      <c r="H2239" s="1595"/>
      <c r="I2239" s="1595"/>
      <c r="J2239" s="1595"/>
      <c r="K2239" s="1597">
        <v>50302.61</v>
      </c>
      <c r="L2239" s="1597">
        <v>50302.61</v>
      </c>
      <c r="M2239" s="1598"/>
      <c r="N2239" s="1597">
        <v>50302.61</v>
      </c>
      <c r="O2239" s="1597">
        <v>48616.49</v>
      </c>
      <c r="P2239" s="1598"/>
      <c r="Q2239" s="1597">
        <v>1686.12</v>
      </c>
      <c r="R2239" s="1597">
        <v>1686.12</v>
      </c>
      <c r="S2239" s="1592"/>
    </row>
    <row r="2240" spans="2:19" s="1593" customFormat="1" ht="21.75" customHeight="1" outlineLevel="1">
      <c r="B2240" s="1600" t="s">
        <v>11636</v>
      </c>
      <c r="C2240" s="1595" t="s">
        <v>2414</v>
      </c>
      <c r="D2240" s="1595" t="s">
        <v>11635</v>
      </c>
      <c r="E2240" s="1595"/>
      <c r="F2240" s="1595"/>
      <c r="G2240" s="1595"/>
      <c r="H2240" s="1595"/>
      <c r="I2240" s="1595"/>
      <c r="J2240" s="1595"/>
      <c r="K2240" s="1597">
        <v>38600.1</v>
      </c>
      <c r="L2240" s="1597">
        <v>38600.1</v>
      </c>
      <c r="M2240" s="1598"/>
      <c r="N2240" s="1597">
        <v>38600.1</v>
      </c>
      <c r="O2240" s="1597">
        <v>37309.86</v>
      </c>
      <c r="P2240" s="1598"/>
      <c r="Q2240" s="1597">
        <v>1290.24</v>
      </c>
      <c r="R2240" s="1597">
        <v>1290.24</v>
      </c>
      <c r="S2240" s="1592"/>
    </row>
    <row r="2241" spans="2:19" s="1593" customFormat="1" ht="21.75" customHeight="1" outlineLevel="1">
      <c r="B2241" s="1600" t="s">
        <v>11634</v>
      </c>
      <c r="C2241" s="1595" t="s">
        <v>2414</v>
      </c>
      <c r="D2241" s="1595" t="s">
        <v>11633</v>
      </c>
      <c r="E2241" s="1595"/>
      <c r="F2241" s="1595"/>
      <c r="G2241" s="1595"/>
      <c r="H2241" s="1595"/>
      <c r="I2241" s="1595"/>
      <c r="J2241" s="1595"/>
      <c r="K2241" s="1597">
        <v>71181.86</v>
      </c>
      <c r="L2241" s="1597">
        <v>71181.86</v>
      </c>
      <c r="M2241" s="1598"/>
      <c r="N2241" s="1597">
        <v>71181.86</v>
      </c>
      <c r="O2241" s="1597">
        <v>68802.5</v>
      </c>
      <c r="P2241" s="1598"/>
      <c r="Q2241" s="1597">
        <v>2379.36</v>
      </c>
      <c r="R2241" s="1597">
        <v>2379.36</v>
      </c>
      <c r="S2241" s="1592"/>
    </row>
    <row r="2242" spans="2:19" s="1593" customFormat="1" ht="21.75" customHeight="1" outlineLevel="1">
      <c r="B2242" s="1600" t="s">
        <v>11632</v>
      </c>
      <c r="C2242" s="1595" t="s">
        <v>2414</v>
      </c>
      <c r="D2242" s="1595" t="s">
        <v>11631</v>
      </c>
      <c r="E2242" s="1595"/>
      <c r="F2242" s="1595"/>
      <c r="G2242" s="1595"/>
      <c r="H2242" s="1595"/>
      <c r="I2242" s="1595"/>
      <c r="J2242" s="1595"/>
      <c r="K2242" s="1597">
        <v>211147.27</v>
      </c>
      <c r="L2242" s="1597">
        <v>211147.27</v>
      </c>
      <c r="M2242" s="1598"/>
      <c r="N2242" s="1597">
        <v>211147.27</v>
      </c>
      <c r="O2242" s="1597">
        <v>204089.47</v>
      </c>
      <c r="P2242" s="1598"/>
      <c r="Q2242" s="1597">
        <v>7057.8</v>
      </c>
      <c r="R2242" s="1597">
        <v>7057.8</v>
      </c>
      <c r="S2242" s="1592"/>
    </row>
    <row r="2243" spans="2:19" s="1593" customFormat="1" ht="11.25" customHeight="1" outlineLevel="1">
      <c r="B2243" s="1600" t="s">
        <v>11630</v>
      </c>
      <c r="C2243" s="1595" t="s">
        <v>2414</v>
      </c>
      <c r="D2243" s="1595" t="s">
        <v>11629</v>
      </c>
      <c r="E2243" s="1595"/>
      <c r="F2243" s="1595"/>
      <c r="G2243" s="1595" t="s">
        <v>11628</v>
      </c>
      <c r="H2243" s="1596">
        <v>1</v>
      </c>
      <c r="I2243" s="1595"/>
      <c r="J2243" s="1595"/>
      <c r="K2243" s="1597">
        <v>239667.48</v>
      </c>
      <c r="L2243" s="1597">
        <v>239667.48</v>
      </c>
      <c r="M2243" s="1598"/>
      <c r="N2243" s="1597">
        <v>239667.48</v>
      </c>
      <c r="O2243" s="1597">
        <v>215700.72</v>
      </c>
      <c r="P2243" s="1598"/>
      <c r="Q2243" s="1597">
        <v>23966.76</v>
      </c>
      <c r="R2243" s="1597">
        <v>23966.76</v>
      </c>
      <c r="S2243" s="1592"/>
    </row>
    <row r="2244" spans="2:19" s="1593" customFormat="1" ht="21.75" customHeight="1" outlineLevel="1">
      <c r="B2244" s="1600" t="s">
        <v>11627</v>
      </c>
      <c r="C2244" s="1595" t="s">
        <v>2414</v>
      </c>
      <c r="D2244" s="1595" t="s">
        <v>11626</v>
      </c>
      <c r="E2244" s="1595"/>
      <c r="F2244" s="1595"/>
      <c r="G2244" s="1595" t="s">
        <v>7806</v>
      </c>
      <c r="H2244" s="1596">
        <v>1</v>
      </c>
      <c r="I2244" s="1595"/>
      <c r="J2244" s="1595"/>
      <c r="K2244" s="1597">
        <v>18151.86</v>
      </c>
      <c r="L2244" s="1597">
        <v>18151.86</v>
      </c>
      <c r="M2244" s="1598"/>
      <c r="N2244" s="1597">
        <v>18151.86</v>
      </c>
      <c r="O2244" s="1597">
        <v>16336.62</v>
      </c>
      <c r="P2244" s="1598"/>
      <c r="Q2244" s="1597">
        <v>1815.24</v>
      </c>
      <c r="R2244" s="1597">
        <v>1815.24</v>
      </c>
      <c r="S2244" s="1592"/>
    </row>
    <row r="2245" spans="2:19" s="1593" customFormat="1" ht="21.75" customHeight="1" outlineLevel="1">
      <c r="B2245" s="1600" t="s">
        <v>11625</v>
      </c>
      <c r="C2245" s="1595" t="s">
        <v>2414</v>
      </c>
      <c r="D2245" s="1595" t="s">
        <v>11624</v>
      </c>
      <c r="E2245" s="1595" t="s">
        <v>10383</v>
      </c>
      <c r="F2245" s="1595"/>
      <c r="G2245" s="1595"/>
      <c r="H2245" s="1596">
        <v>1</v>
      </c>
      <c r="I2245" s="1595"/>
      <c r="J2245" s="1595"/>
      <c r="K2245" s="1597">
        <v>113449.13</v>
      </c>
      <c r="L2245" s="1597">
        <v>113449.13</v>
      </c>
      <c r="M2245" s="1598"/>
      <c r="N2245" s="1597">
        <v>113449.13</v>
      </c>
      <c r="O2245" s="1597">
        <v>100843.68</v>
      </c>
      <c r="P2245" s="1598"/>
      <c r="Q2245" s="1597">
        <v>12605.45</v>
      </c>
      <c r="R2245" s="1597">
        <v>12605.45</v>
      </c>
      <c r="S2245" s="1592"/>
    </row>
    <row r="2246" spans="2:19" s="1593" customFormat="1" ht="21.75" customHeight="1" outlineLevel="1">
      <c r="B2246" s="1600" t="s">
        <v>11623</v>
      </c>
      <c r="C2246" s="1595" t="s">
        <v>2414</v>
      </c>
      <c r="D2246" s="1595" t="s">
        <v>11622</v>
      </c>
      <c r="E2246" s="1595" t="s">
        <v>10383</v>
      </c>
      <c r="F2246" s="1595"/>
      <c r="G2246" s="1595"/>
      <c r="H2246" s="1596">
        <v>1</v>
      </c>
      <c r="I2246" s="1595"/>
      <c r="J2246" s="1595"/>
      <c r="K2246" s="1597">
        <v>45379.65</v>
      </c>
      <c r="L2246" s="1597">
        <v>45379.65</v>
      </c>
      <c r="M2246" s="1598"/>
      <c r="N2246" s="1597">
        <v>45379.65</v>
      </c>
      <c r="O2246" s="1597">
        <v>40337.49</v>
      </c>
      <c r="P2246" s="1598"/>
      <c r="Q2246" s="1597">
        <v>5042.16</v>
      </c>
      <c r="R2246" s="1597">
        <v>5042.16</v>
      </c>
      <c r="S2246" s="1592"/>
    </row>
    <row r="2247" spans="2:19" s="1593" customFormat="1" ht="21.75" customHeight="1" outlineLevel="1">
      <c r="B2247" s="1600" t="s">
        <v>11621</v>
      </c>
      <c r="C2247" s="1595" t="s">
        <v>2414</v>
      </c>
      <c r="D2247" s="1595" t="s">
        <v>11620</v>
      </c>
      <c r="E2247" s="1595" t="s">
        <v>10383</v>
      </c>
      <c r="F2247" s="1595"/>
      <c r="G2247" s="1595"/>
      <c r="H2247" s="1596">
        <v>1</v>
      </c>
      <c r="I2247" s="1595"/>
      <c r="J2247" s="1595"/>
      <c r="K2247" s="1597">
        <v>113449.13</v>
      </c>
      <c r="L2247" s="1597">
        <v>113449.13</v>
      </c>
      <c r="M2247" s="1598"/>
      <c r="N2247" s="1597">
        <v>113449.13</v>
      </c>
      <c r="O2247" s="1597">
        <v>100843.68</v>
      </c>
      <c r="P2247" s="1598"/>
      <c r="Q2247" s="1597">
        <v>12605.45</v>
      </c>
      <c r="R2247" s="1597">
        <v>12605.45</v>
      </c>
      <c r="S2247" s="1592"/>
    </row>
    <row r="2248" spans="2:19" s="1593" customFormat="1" ht="11.25" customHeight="1" outlineLevel="1">
      <c r="B2248" s="1600" t="s">
        <v>11619</v>
      </c>
      <c r="C2248" s="1595" t="s">
        <v>2386</v>
      </c>
      <c r="D2248" s="1595" t="s">
        <v>11618</v>
      </c>
      <c r="E2248" s="1595" t="s">
        <v>2288</v>
      </c>
      <c r="F2248" s="1595"/>
      <c r="G2248" s="1595"/>
      <c r="H2248" s="1596">
        <v>1</v>
      </c>
      <c r="I2248" s="1595"/>
      <c r="J2248" s="1595"/>
      <c r="K2248" s="1597">
        <v>39761.08</v>
      </c>
      <c r="L2248" s="1598"/>
      <c r="M2248" s="1597">
        <v>39761.08</v>
      </c>
      <c r="N2248" s="1597">
        <v>39761.08</v>
      </c>
      <c r="O2248" s="1597">
        <v>34459.620000000003</v>
      </c>
      <c r="P2248" s="1598"/>
      <c r="Q2248" s="1597">
        <v>5301.46</v>
      </c>
      <c r="R2248" s="1597">
        <v>5301.46</v>
      </c>
      <c r="S2248" s="1592"/>
    </row>
    <row r="2249" spans="2:19" s="1593" customFormat="1" ht="21.75" customHeight="1" outlineLevel="1">
      <c r="B2249" s="1600" t="s">
        <v>11617</v>
      </c>
      <c r="C2249" s="1595" t="s">
        <v>5621</v>
      </c>
      <c r="D2249" s="1595" t="s">
        <v>11616</v>
      </c>
      <c r="E2249" s="1595" t="s">
        <v>2288</v>
      </c>
      <c r="F2249" s="1595"/>
      <c r="G2249" s="1595"/>
      <c r="H2249" s="1596">
        <v>1</v>
      </c>
      <c r="I2249" s="1595"/>
      <c r="J2249" s="1595"/>
      <c r="K2249" s="1597">
        <v>42642.27</v>
      </c>
      <c r="L2249" s="1598"/>
      <c r="M2249" s="1597">
        <v>42642.27</v>
      </c>
      <c r="N2249" s="1597">
        <v>42642.27</v>
      </c>
      <c r="O2249" s="1597">
        <v>40510.17</v>
      </c>
      <c r="P2249" s="1598"/>
      <c r="Q2249" s="1597">
        <v>2132.1</v>
      </c>
      <c r="R2249" s="1597">
        <v>2132.1</v>
      </c>
      <c r="S2249" s="1592"/>
    </row>
    <row r="2250" spans="2:19" s="1593" customFormat="1" ht="11.25" customHeight="1" outlineLevel="1">
      <c r="B2250" s="1600" t="s">
        <v>11615</v>
      </c>
      <c r="C2250" s="1595" t="s">
        <v>2278</v>
      </c>
      <c r="D2250" s="1595" t="s">
        <v>11614</v>
      </c>
      <c r="E2250" s="1595" t="s">
        <v>2288</v>
      </c>
      <c r="F2250" s="1595" t="s">
        <v>11613</v>
      </c>
      <c r="G2250" s="1595"/>
      <c r="H2250" s="1596">
        <v>1</v>
      </c>
      <c r="I2250" s="1595"/>
      <c r="J2250" s="1595"/>
      <c r="K2250" s="1597">
        <v>6135</v>
      </c>
      <c r="L2250" s="1598"/>
      <c r="M2250" s="1597">
        <v>6135</v>
      </c>
      <c r="N2250" s="1597">
        <v>6135</v>
      </c>
      <c r="O2250" s="1597">
        <v>5794.16</v>
      </c>
      <c r="P2250" s="1598"/>
      <c r="Q2250" s="1599">
        <v>340.84</v>
      </c>
      <c r="R2250" s="1599">
        <v>340.84</v>
      </c>
      <c r="S2250" s="1592"/>
    </row>
    <row r="2251" spans="2:19" s="1593" customFormat="1" ht="21.75" customHeight="1" outlineLevel="1">
      <c r="B2251" s="1600" t="s">
        <v>11612</v>
      </c>
      <c r="C2251" s="1595" t="s">
        <v>2278</v>
      </c>
      <c r="D2251" s="1595" t="s">
        <v>11611</v>
      </c>
      <c r="E2251" s="1595" t="s">
        <v>2288</v>
      </c>
      <c r="F2251" s="1595" t="s">
        <v>11610</v>
      </c>
      <c r="G2251" s="1595"/>
      <c r="H2251" s="1596">
        <v>1</v>
      </c>
      <c r="I2251" s="1595"/>
      <c r="J2251" s="1595"/>
      <c r="K2251" s="1597">
        <v>324288.03999999998</v>
      </c>
      <c r="L2251" s="1598"/>
      <c r="M2251" s="1597">
        <v>324288.03999999998</v>
      </c>
      <c r="N2251" s="1597">
        <v>324288.03999999998</v>
      </c>
      <c r="O2251" s="1597">
        <v>321585.64</v>
      </c>
      <c r="P2251" s="1598"/>
      <c r="Q2251" s="1597">
        <v>2702.4</v>
      </c>
      <c r="R2251" s="1597">
        <v>2702.4</v>
      </c>
      <c r="S2251" s="1592"/>
    </row>
    <row r="2252" spans="2:19" s="1593" customFormat="1" ht="21.75" customHeight="1" outlineLevel="1">
      <c r="B2252" s="1600" t="s">
        <v>11609</v>
      </c>
      <c r="C2252" s="1595" t="s">
        <v>11608</v>
      </c>
      <c r="D2252" s="1595" t="s">
        <v>11607</v>
      </c>
      <c r="E2252" s="1595"/>
      <c r="F2252" s="1595"/>
      <c r="G2252" s="1595"/>
      <c r="H2252" s="1595"/>
      <c r="I2252" s="1595"/>
      <c r="J2252" s="1595"/>
      <c r="K2252" s="1597">
        <v>44712.56</v>
      </c>
      <c r="L2252" s="1598"/>
      <c r="M2252" s="1597">
        <v>44712.56</v>
      </c>
      <c r="N2252" s="1597">
        <v>44712.56</v>
      </c>
      <c r="O2252" s="1597">
        <v>44712.56</v>
      </c>
      <c r="P2252" s="1598"/>
      <c r="Q2252" s="1598"/>
      <c r="R2252" s="1598"/>
      <c r="S2252" s="1592"/>
    </row>
    <row r="2253" spans="2:19" s="1593" customFormat="1" ht="21.75" customHeight="1" outlineLevel="1">
      <c r="B2253" s="1600" t="s">
        <v>11606</v>
      </c>
      <c r="C2253" s="1595" t="s">
        <v>2210</v>
      </c>
      <c r="D2253" s="1595" t="s">
        <v>11605</v>
      </c>
      <c r="E2253" s="1595" t="s">
        <v>2214</v>
      </c>
      <c r="F2253" s="1595"/>
      <c r="G2253" s="1595"/>
      <c r="H2253" s="1596">
        <v>1</v>
      </c>
      <c r="I2253" s="1595"/>
      <c r="J2253" s="1595"/>
      <c r="K2253" s="1597">
        <v>152894.04</v>
      </c>
      <c r="L2253" s="1598"/>
      <c r="M2253" s="1597">
        <v>152894.04</v>
      </c>
      <c r="N2253" s="1597">
        <v>152894.04</v>
      </c>
      <c r="O2253" s="1597">
        <v>152894.04</v>
      </c>
      <c r="P2253" s="1598"/>
      <c r="Q2253" s="1598"/>
      <c r="R2253" s="1598"/>
      <c r="S2253" s="1592"/>
    </row>
    <row r="2254" spans="2:19" s="1593" customFormat="1" ht="11.25" customHeight="1" outlineLevel="1">
      <c r="B2254" s="1600" t="s">
        <v>11604</v>
      </c>
      <c r="C2254" s="1595" t="s">
        <v>2210</v>
      </c>
      <c r="D2254" s="1595" t="s">
        <v>11603</v>
      </c>
      <c r="E2254" s="1595" t="s">
        <v>2214</v>
      </c>
      <c r="F2254" s="1595"/>
      <c r="G2254" s="1595"/>
      <c r="H2254" s="1596">
        <v>1</v>
      </c>
      <c r="I2254" s="1595"/>
      <c r="J2254" s="1595"/>
      <c r="K2254" s="1597">
        <v>150737.47</v>
      </c>
      <c r="L2254" s="1598"/>
      <c r="M2254" s="1597">
        <v>150737.47</v>
      </c>
      <c r="N2254" s="1597">
        <v>150737.47</v>
      </c>
      <c r="O2254" s="1597">
        <v>150737.47</v>
      </c>
      <c r="P2254" s="1598"/>
      <c r="Q2254" s="1598"/>
      <c r="R2254" s="1598"/>
      <c r="S2254" s="1592"/>
    </row>
    <row r="2255" spans="2:19" s="1593" customFormat="1" ht="5.0999999999999996" customHeight="1">
      <c r="S2255" s="1592"/>
    </row>
    <row r="2256" spans="2:19" s="1593" customFormat="1" ht="11.25" customHeight="1">
      <c r="B2256" s="1590" t="s">
        <v>11602</v>
      </c>
      <c r="C2256" s="1590"/>
      <c r="D2256" s="1590" t="s">
        <v>11601</v>
      </c>
      <c r="E2256" s="1590"/>
      <c r="F2256" s="1590"/>
      <c r="G2256" s="1590"/>
      <c r="H2256" s="1590">
        <v>1</v>
      </c>
      <c r="I2256" s="1590"/>
      <c r="J2256" s="1590"/>
      <c r="K2256" s="1591">
        <v>36656525.170000002</v>
      </c>
      <c r="L2256" s="1591">
        <v>9571791.6699999999</v>
      </c>
      <c r="M2256" s="1591">
        <v>26950066.829999998</v>
      </c>
      <c r="N2256" s="1591">
        <v>36521858.5</v>
      </c>
      <c r="O2256" s="1591">
        <v>31489013.309999999</v>
      </c>
      <c r="P2256" s="1591">
        <v>1147939.55</v>
      </c>
      <c r="Q2256" s="1591">
        <v>3884905.64</v>
      </c>
      <c r="R2256" s="1591">
        <v>5032845.1900000004</v>
      </c>
      <c r="S2256" s="1592">
        <f>R2256/N2256</f>
        <v>0.13780364408344664</v>
      </c>
    </row>
    <row r="2257" spans="2:19" s="1593" customFormat="1" ht="21.75" customHeight="1" outlineLevel="1">
      <c r="B2257" s="1600" t="s">
        <v>11600</v>
      </c>
      <c r="C2257" s="1595" t="s">
        <v>11599</v>
      </c>
      <c r="D2257" s="1595" t="s">
        <v>11598</v>
      </c>
      <c r="E2257" s="1595" t="s">
        <v>2288</v>
      </c>
      <c r="F2257" s="1595" t="s">
        <v>11597</v>
      </c>
      <c r="G2257" s="1595"/>
      <c r="H2257" s="1596">
        <v>3</v>
      </c>
      <c r="I2257" s="1595"/>
      <c r="J2257" s="1595"/>
      <c r="K2257" s="1597">
        <v>80916.67</v>
      </c>
      <c r="L2257" s="1597">
        <v>80916.67</v>
      </c>
      <c r="M2257" s="1597">
        <v>-80916.67</v>
      </c>
      <c r="N2257" s="1598"/>
      <c r="O2257" s="1598"/>
      <c r="P2257" s="1597">
        <v>61234.32</v>
      </c>
      <c r="Q2257" s="1597">
        <v>-61234.32</v>
      </c>
      <c r="R2257" s="1598"/>
      <c r="S2257" s="1592"/>
    </row>
    <row r="2258" spans="2:19" s="1593" customFormat="1" ht="11.25" customHeight="1" outlineLevel="1">
      <c r="B2258" s="1600" t="s">
        <v>11596</v>
      </c>
      <c r="C2258" s="1595" t="s">
        <v>3173</v>
      </c>
      <c r="D2258" s="1595" t="s">
        <v>11595</v>
      </c>
      <c r="E2258" s="1595" t="s">
        <v>2288</v>
      </c>
      <c r="F2258" s="1595" t="s">
        <v>11594</v>
      </c>
      <c r="G2258" s="1595"/>
      <c r="H2258" s="1596">
        <v>1</v>
      </c>
      <c r="I2258" s="1595"/>
      <c r="J2258" s="1595"/>
      <c r="K2258" s="1597">
        <v>105229.17</v>
      </c>
      <c r="L2258" s="1597">
        <v>105229.17</v>
      </c>
      <c r="M2258" s="1598"/>
      <c r="N2258" s="1597">
        <v>105229.17</v>
      </c>
      <c r="O2258" s="1597">
        <v>39816.480000000003</v>
      </c>
      <c r="P2258" s="1597">
        <v>31284.33</v>
      </c>
      <c r="Q2258" s="1597">
        <v>34128.36</v>
      </c>
      <c r="R2258" s="1597">
        <v>65412.69</v>
      </c>
      <c r="S2258" s="1592"/>
    </row>
    <row r="2259" spans="2:19" s="1593" customFormat="1" ht="11.25" customHeight="1" outlineLevel="1">
      <c r="B2259" s="1600" t="s">
        <v>11593</v>
      </c>
      <c r="C2259" s="1595" t="s">
        <v>10532</v>
      </c>
      <c r="D2259" s="1595" t="s">
        <v>11592</v>
      </c>
      <c r="E2259" s="1595" t="s">
        <v>2288</v>
      </c>
      <c r="F2259" s="1595" t="s">
        <v>11047</v>
      </c>
      <c r="G2259" s="1595"/>
      <c r="H2259" s="1596">
        <v>1</v>
      </c>
      <c r="I2259" s="1595"/>
      <c r="J2259" s="1595"/>
      <c r="K2259" s="1597">
        <v>131145.82999999999</v>
      </c>
      <c r="L2259" s="1597">
        <v>131145.82999999999</v>
      </c>
      <c r="M2259" s="1598"/>
      <c r="N2259" s="1597">
        <v>131145.82999999999</v>
      </c>
      <c r="O2259" s="1597">
        <v>56711.75</v>
      </c>
      <c r="P2259" s="1597">
        <v>31900.32</v>
      </c>
      <c r="Q2259" s="1597">
        <v>42533.760000000002</v>
      </c>
      <c r="R2259" s="1597">
        <v>74434.080000000002</v>
      </c>
      <c r="S2259" s="1592"/>
    </row>
    <row r="2260" spans="2:19" s="1593" customFormat="1" ht="11.25" customHeight="1" outlineLevel="1">
      <c r="B2260" s="1600" t="s">
        <v>11591</v>
      </c>
      <c r="C2260" s="1595" t="s">
        <v>10532</v>
      </c>
      <c r="D2260" s="1595" t="s">
        <v>11590</v>
      </c>
      <c r="E2260" s="1595" t="s">
        <v>2288</v>
      </c>
      <c r="F2260" s="1595" t="s">
        <v>11047</v>
      </c>
      <c r="G2260" s="1595"/>
      <c r="H2260" s="1596">
        <v>1</v>
      </c>
      <c r="I2260" s="1595"/>
      <c r="J2260" s="1595"/>
      <c r="K2260" s="1597">
        <v>131145.82999999999</v>
      </c>
      <c r="L2260" s="1597">
        <v>131145.82999999999</v>
      </c>
      <c r="M2260" s="1598"/>
      <c r="N2260" s="1597">
        <v>131145.82999999999</v>
      </c>
      <c r="O2260" s="1597">
        <v>56711.75</v>
      </c>
      <c r="P2260" s="1597">
        <v>31900.32</v>
      </c>
      <c r="Q2260" s="1597">
        <v>42533.760000000002</v>
      </c>
      <c r="R2260" s="1597">
        <v>74434.080000000002</v>
      </c>
      <c r="S2260" s="1592"/>
    </row>
    <row r="2261" spans="2:19" s="1593" customFormat="1" ht="11.25" customHeight="1" outlineLevel="1">
      <c r="B2261" s="1600" t="s">
        <v>11589</v>
      </c>
      <c r="C2261" s="1595" t="s">
        <v>10532</v>
      </c>
      <c r="D2261" s="1595" t="s">
        <v>11588</v>
      </c>
      <c r="E2261" s="1595" t="s">
        <v>2288</v>
      </c>
      <c r="F2261" s="1595" t="s">
        <v>11047</v>
      </c>
      <c r="G2261" s="1595"/>
      <c r="H2261" s="1596">
        <v>1</v>
      </c>
      <c r="I2261" s="1595"/>
      <c r="J2261" s="1595"/>
      <c r="K2261" s="1597">
        <v>131145.82999999999</v>
      </c>
      <c r="L2261" s="1597">
        <v>131145.82999999999</v>
      </c>
      <c r="M2261" s="1598"/>
      <c r="N2261" s="1597">
        <v>131145.82999999999</v>
      </c>
      <c r="O2261" s="1597">
        <v>56711.75</v>
      </c>
      <c r="P2261" s="1597">
        <v>31900.32</v>
      </c>
      <c r="Q2261" s="1597">
        <v>42533.760000000002</v>
      </c>
      <c r="R2261" s="1597">
        <v>74434.080000000002</v>
      </c>
      <c r="S2261" s="1592"/>
    </row>
    <row r="2262" spans="2:19" s="1593" customFormat="1" ht="11.25" customHeight="1" outlineLevel="1">
      <c r="B2262" s="1600" t="s">
        <v>11587</v>
      </c>
      <c r="C2262" s="1595" t="s">
        <v>10532</v>
      </c>
      <c r="D2262" s="1595" t="s">
        <v>11586</v>
      </c>
      <c r="E2262" s="1595" t="s">
        <v>2288</v>
      </c>
      <c r="F2262" s="1595" t="s">
        <v>11047</v>
      </c>
      <c r="G2262" s="1595"/>
      <c r="H2262" s="1596">
        <v>1</v>
      </c>
      <c r="I2262" s="1595"/>
      <c r="J2262" s="1595"/>
      <c r="K2262" s="1597">
        <v>131145.82999999999</v>
      </c>
      <c r="L2262" s="1597">
        <v>131145.82999999999</v>
      </c>
      <c r="M2262" s="1598"/>
      <c r="N2262" s="1597">
        <v>131145.82999999999</v>
      </c>
      <c r="O2262" s="1597">
        <v>56711.75</v>
      </c>
      <c r="P2262" s="1597">
        <v>31900.32</v>
      </c>
      <c r="Q2262" s="1597">
        <v>42533.760000000002</v>
      </c>
      <c r="R2262" s="1597">
        <v>74434.080000000002</v>
      </c>
      <c r="S2262" s="1592"/>
    </row>
    <row r="2263" spans="2:19" s="1593" customFormat="1" ht="11.25" customHeight="1" outlineLevel="1">
      <c r="B2263" s="1600" t="s">
        <v>11585</v>
      </c>
      <c r="C2263" s="1595" t="s">
        <v>10532</v>
      </c>
      <c r="D2263" s="1595" t="s">
        <v>11584</v>
      </c>
      <c r="E2263" s="1595" t="s">
        <v>2288</v>
      </c>
      <c r="F2263" s="1595" t="s">
        <v>11047</v>
      </c>
      <c r="G2263" s="1595"/>
      <c r="H2263" s="1596">
        <v>1</v>
      </c>
      <c r="I2263" s="1595"/>
      <c r="J2263" s="1595"/>
      <c r="K2263" s="1597">
        <v>105229.19</v>
      </c>
      <c r="L2263" s="1597">
        <v>105229.19</v>
      </c>
      <c r="M2263" s="1598"/>
      <c r="N2263" s="1597">
        <v>105229.19</v>
      </c>
      <c r="O2263" s="1597">
        <v>45504.56</v>
      </c>
      <c r="P2263" s="1597">
        <v>25596.27</v>
      </c>
      <c r="Q2263" s="1597">
        <v>34128.36</v>
      </c>
      <c r="R2263" s="1597">
        <v>59724.63</v>
      </c>
      <c r="S2263" s="1592"/>
    </row>
    <row r="2264" spans="2:19" s="1593" customFormat="1" ht="11.25" customHeight="1" outlineLevel="1">
      <c r="B2264" s="1600" t="s">
        <v>11583</v>
      </c>
      <c r="C2264" s="1595" t="s">
        <v>10532</v>
      </c>
      <c r="D2264" s="1595" t="s">
        <v>11582</v>
      </c>
      <c r="E2264" s="1595" t="s">
        <v>2288</v>
      </c>
      <c r="F2264" s="1595" t="s">
        <v>11047</v>
      </c>
      <c r="G2264" s="1595"/>
      <c r="H2264" s="1596">
        <v>1</v>
      </c>
      <c r="I2264" s="1595"/>
      <c r="J2264" s="1595"/>
      <c r="K2264" s="1597">
        <v>182270.83</v>
      </c>
      <c r="L2264" s="1597">
        <v>182270.83</v>
      </c>
      <c r="M2264" s="1598"/>
      <c r="N2264" s="1597">
        <v>182270.83</v>
      </c>
      <c r="O2264" s="1597">
        <v>78819.789999999994</v>
      </c>
      <c r="P2264" s="1597">
        <v>44336.160000000003</v>
      </c>
      <c r="Q2264" s="1597">
        <v>59114.879999999997</v>
      </c>
      <c r="R2264" s="1597">
        <v>103451.04</v>
      </c>
      <c r="S2264" s="1592"/>
    </row>
    <row r="2265" spans="2:19" s="1593" customFormat="1" ht="11.25" customHeight="1" outlineLevel="1">
      <c r="B2265" s="1600" t="s">
        <v>11581</v>
      </c>
      <c r="C2265" s="1595" t="s">
        <v>10532</v>
      </c>
      <c r="D2265" s="1595" t="s">
        <v>11580</v>
      </c>
      <c r="E2265" s="1595" t="s">
        <v>2288</v>
      </c>
      <c r="F2265" s="1595" t="s">
        <v>11047</v>
      </c>
      <c r="G2265" s="1595"/>
      <c r="H2265" s="1596">
        <v>1</v>
      </c>
      <c r="I2265" s="1595"/>
      <c r="J2265" s="1595"/>
      <c r="K2265" s="1597">
        <v>182270.83</v>
      </c>
      <c r="L2265" s="1597">
        <v>182270.83</v>
      </c>
      <c r="M2265" s="1598"/>
      <c r="N2265" s="1597">
        <v>182270.83</v>
      </c>
      <c r="O2265" s="1597">
        <v>78819.789999999994</v>
      </c>
      <c r="P2265" s="1597">
        <v>44336.160000000003</v>
      </c>
      <c r="Q2265" s="1597">
        <v>59114.879999999997</v>
      </c>
      <c r="R2265" s="1597">
        <v>103451.04</v>
      </c>
      <c r="S2265" s="1592"/>
    </row>
    <row r="2266" spans="2:19" s="1593" customFormat="1" ht="11.25" customHeight="1" outlineLevel="1">
      <c r="B2266" s="1600" t="s">
        <v>11579</v>
      </c>
      <c r="C2266" s="1595" t="s">
        <v>10532</v>
      </c>
      <c r="D2266" s="1595" t="s">
        <v>11578</v>
      </c>
      <c r="E2266" s="1595" t="s">
        <v>2288</v>
      </c>
      <c r="F2266" s="1595" t="s">
        <v>11047</v>
      </c>
      <c r="G2266" s="1595"/>
      <c r="H2266" s="1596">
        <v>1</v>
      </c>
      <c r="I2266" s="1595"/>
      <c r="J2266" s="1595"/>
      <c r="K2266" s="1597">
        <v>105229.17</v>
      </c>
      <c r="L2266" s="1597">
        <v>105229.17</v>
      </c>
      <c r="M2266" s="1598"/>
      <c r="N2266" s="1597">
        <v>105229.17</v>
      </c>
      <c r="O2266" s="1597">
        <v>45504.54</v>
      </c>
      <c r="P2266" s="1597">
        <v>25596.27</v>
      </c>
      <c r="Q2266" s="1597">
        <v>34128.36</v>
      </c>
      <c r="R2266" s="1597">
        <v>59724.63</v>
      </c>
      <c r="S2266" s="1592"/>
    </row>
    <row r="2267" spans="2:19" s="1593" customFormat="1" ht="11.25" customHeight="1" outlineLevel="1">
      <c r="B2267" s="1600" t="s">
        <v>11577</v>
      </c>
      <c r="C2267" s="1595" t="s">
        <v>10532</v>
      </c>
      <c r="D2267" s="1595" t="s">
        <v>11576</v>
      </c>
      <c r="E2267" s="1595" t="s">
        <v>2288</v>
      </c>
      <c r="F2267" s="1595" t="s">
        <v>11047</v>
      </c>
      <c r="G2267" s="1595"/>
      <c r="H2267" s="1596">
        <v>1</v>
      </c>
      <c r="I2267" s="1595"/>
      <c r="J2267" s="1595"/>
      <c r="K2267" s="1597">
        <v>105229.16</v>
      </c>
      <c r="L2267" s="1597">
        <v>105229.16</v>
      </c>
      <c r="M2267" s="1598"/>
      <c r="N2267" s="1597">
        <v>105229.16</v>
      </c>
      <c r="O2267" s="1597">
        <v>45504.53</v>
      </c>
      <c r="P2267" s="1597">
        <v>25596.27</v>
      </c>
      <c r="Q2267" s="1597">
        <v>34128.36</v>
      </c>
      <c r="R2267" s="1597">
        <v>59724.63</v>
      </c>
      <c r="S2267" s="1592"/>
    </row>
    <row r="2268" spans="2:19" s="1593" customFormat="1" ht="11.25" customHeight="1" outlineLevel="1">
      <c r="B2268" s="1600" t="s">
        <v>11575</v>
      </c>
      <c r="C2268" s="1595" t="s">
        <v>3157</v>
      </c>
      <c r="D2268" s="1595" t="s">
        <v>11574</v>
      </c>
      <c r="E2268" s="1595" t="s">
        <v>2288</v>
      </c>
      <c r="F2268" s="1595" t="s">
        <v>11047</v>
      </c>
      <c r="G2268" s="1595"/>
      <c r="H2268" s="1596">
        <v>1</v>
      </c>
      <c r="I2268" s="1595"/>
      <c r="J2268" s="1595"/>
      <c r="K2268" s="1597">
        <v>131145.82999999999</v>
      </c>
      <c r="L2268" s="1597">
        <v>131145.82999999999</v>
      </c>
      <c r="M2268" s="1598"/>
      <c r="N2268" s="1597">
        <v>131145.82999999999</v>
      </c>
      <c r="O2268" s="1597">
        <v>63800.71</v>
      </c>
      <c r="P2268" s="1597">
        <v>24811.360000000001</v>
      </c>
      <c r="Q2268" s="1597">
        <v>42533.760000000002</v>
      </c>
      <c r="R2268" s="1597">
        <v>67345.119999999995</v>
      </c>
      <c r="S2268" s="1592"/>
    </row>
    <row r="2269" spans="2:19" s="1593" customFormat="1" ht="11.25" customHeight="1" outlineLevel="1">
      <c r="B2269" s="1600" t="s">
        <v>11573</v>
      </c>
      <c r="C2269" s="1595" t="s">
        <v>3157</v>
      </c>
      <c r="D2269" s="1595" t="s">
        <v>11572</v>
      </c>
      <c r="E2269" s="1595" t="s">
        <v>2288</v>
      </c>
      <c r="F2269" s="1595" t="s">
        <v>11047</v>
      </c>
      <c r="G2269" s="1595"/>
      <c r="H2269" s="1596">
        <v>1</v>
      </c>
      <c r="I2269" s="1595"/>
      <c r="J2269" s="1595"/>
      <c r="K2269" s="1597">
        <v>131145.84</v>
      </c>
      <c r="L2269" s="1597">
        <v>131145.84</v>
      </c>
      <c r="M2269" s="1598"/>
      <c r="N2269" s="1597">
        <v>131145.84</v>
      </c>
      <c r="O2269" s="1597">
        <v>63800.72</v>
      </c>
      <c r="P2269" s="1597">
        <v>24811.360000000001</v>
      </c>
      <c r="Q2269" s="1597">
        <v>42533.760000000002</v>
      </c>
      <c r="R2269" s="1597">
        <v>67345.119999999995</v>
      </c>
      <c r="S2269" s="1592"/>
    </row>
    <row r="2270" spans="2:19" s="1593" customFormat="1" ht="11.25" customHeight="1" outlineLevel="1">
      <c r="B2270" s="1600" t="s">
        <v>11571</v>
      </c>
      <c r="C2270" s="1595" t="s">
        <v>3157</v>
      </c>
      <c r="D2270" s="1595" t="s">
        <v>11570</v>
      </c>
      <c r="E2270" s="1595" t="s">
        <v>2288</v>
      </c>
      <c r="F2270" s="1595" t="s">
        <v>11047</v>
      </c>
      <c r="G2270" s="1595"/>
      <c r="H2270" s="1596">
        <v>1</v>
      </c>
      <c r="I2270" s="1595"/>
      <c r="J2270" s="1595"/>
      <c r="K2270" s="1597">
        <v>131145.82999999999</v>
      </c>
      <c r="L2270" s="1597">
        <v>131145.82999999999</v>
      </c>
      <c r="M2270" s="1598"/>
      <c r="N2270" s="1597">
        <v>131145.82999999999</v>
      </c>
      <c r="O2270" s="1597">
        <v>63800.71</v>
      </c>
      <c r="P2270" s="1597">
        <v>24811.360000000001</v>
      </c>
      <c r="Q2270" s="1597">
        <v>42533.760000000002</v>
      </c>
      <c r="R2270" s="1597">
        <v>67345.119999999995</v>
      </c>
      <c r="S2270" s="1592"/>
    </row>
    <row r="2271" spans="2:19" s="1593" customFormat="1" ht="11.25" customHeight="1" outlineLevel="1">
      <c r="B2271" s="1600" t="s">
        <v>11569</v>
      </c>
      <c r="C2271" s="1595" t="s">
        <v>3157</v>
      </c>
      <c r="D2271" s="1595" t="s">
        <v>11568</v>
      </c>
      <c r="E2271" s="1595" t="s">
        <v>2288</v>
      </c>
      <c r="F2271" s="1595" t="s">
        <v>11047</v>
      </c>
      <c r="G2271" s="1595"/>
      <c r="H2271" s="1596">
        <v>1</v>
      </c>
      <c r="I2271" s="1595"/>
      <c r="J2271" s="1595"/>
      <c r="K2271" s="1597">
        <v>131145.84</v>
      </c>
      <c r="L2271" s="1597">
        <v>131145.84</v>
      </c>
      <c r="M2271" s="1598"/>
      <c r="N2271" s="1597">
        <v>131145.84</v>
      </c>
      <c r="O2271" s="1597">
        <v>63800.72</v>
      </c>
      <c r="P2271" s="1597">
        <v>24811.360000000001</v>
      </c>
      <c r="Q2271" s="1597">
        <v>42533.760000000002</v>
      </c>
      <c r="R2271" s="1597">
        <v>67345.119999999995</v>
      </c>
      <c r="S2271" s="1592"/>
    </row>
    <row r="2272" spans="2:19" s="1593" customFormat="1" ht="11.25" customHeight="1" outlineLevel="1">
      <c r="B2272" s="1600" t="s">
        <v>11567</v>
      </c>
      <c r="C2272" s="1595" t="s">
        <v>3157</v>
      </c>
      <c r="D2272" s="1595" t="s">
        <v>11566</v>
      </c>
      <c r="E2272" s="1595" t="s">
        <v>2288</v>
      </c>
      <c r="F2272" s="1595" t="s">
        <v>11047</v>
      </c>
      <c r="G2272" s="1595"/>
      <c r="H2272" s="1596">
        <v>1</v>
      </c>
      <c r="I2272" s="1595"/>
      <c r="J2272" s="1595"/>
      <c r="K2272" s="1597">
        <v>131145.82999999999</v>
      </c>
      <c r="L2272" s="1597">
        <v>131145.82999999999</v>
      </c>
      <c r="M2272" s="1598"/>
      <c r="N2272" s="1597">
        <v>131145.82999999999</v>
      </c>
      <c r="O2272" s="1597">
        <v>63800.71</v>
      </c>
      <c r="P2272" s="1597">
        <v>24811.360000000001</v>
      </c>
      <c r="Q2272" s="1597">
        <v>42533.760000000002</v>
      </c>
      <c r="R2272" s="1597">
        <v>67345.119999999995</v>
      </c>
      <c r="S2272" s="1592"/>
    </row>
    <row r="2273" spans="2:19" s="1593" customFormat="1" ht="11.25" customHeight="1" outlineLevel="1">
      <c r="B2273" s="1600" t="s">
        <v>11565</v>
      </c>
      <c r="C2273" s="1595" t="s">
        <v>3157</v>
      </c>
      <c r="D2273" s="1595" t="s">
        <v>11564</v>
      </c>
      <c r="E2273" s="1595" t="s">
        <v>2288</v>
      </c>
      <c r="F2273" s="1595" t="s">
        <v>11047</v>
      </c>
      <c r="G2273" s="1595"/>
      <c r="H2273" s="1596">
        <v>1</v>
      </c>
      <c r="I2273" s="1595"/>
      <c r="J2273" s="1595"/>
      <c r="K2273" s="1597">
        <v>131145.84</v>
      </c>
      <c r="L2273" s="1597">
        <v>131145.84</v>
      </c>
      <c r="M2273" s="1598"/>
      <c r="N2273" s="1597">
        <v>131145.84</v>
      </c>
      <c r="O2273" s="1597">
        <v>63800.72</v>
      </c>
      <c r="P2273" s="1597">
        <v>24811.360000000001</v>
      </c>
      <c r="Q2273" s="1597">
        <v>42533.760000000002</v>
      </c>
      <c r="R2273" s="1597">
        <v>67345.119999999995</v>
      </c>
      <c r="S2273" s="1592"/>
    </row>
    <row r="2274" spans="2:19" s="1593" customFormat="1" ht="11.25" customHeight="1" outlineLevel="1">
      <c r="B2274" s="1600" t="s">
        <v>11563</v>
      </c>
      <c r="C2274" s="1595" t="s">
        <v>3157</v>
      </c>
      <c r="D2274" s="1595" t="s">
        <v>11562</v>
      </c>
      <c r="E2274" s="1595" t="s">
        <v>2288</v>
      </c>
      <c r="F2274" s="1595" t="s">
        <v>11047</v>
      </c>
      <c r="G2274" s="1595"/>
      <c r="H2274" s="1596">
        <v>1</v>
      </c>
      <c r="I2274" s="1595"/>
      <c r="J2274" s="1595"/>
      <c r="K2274" s="1597">
        <v>131145.82999999999</v>
      </c>
      <c r="L2274" s="1597">
        <v>131145.82999999999</v>
      </c>
      <c r="M2274" s="1598"/>
      <c r="N2274" s="1597">
        <v>131145.82999999999</v>
      </c>
      <c r="O2274" s="1597">
        <v>63800.71</v>
      </c>
      <c r="P2274" s="1597">
        <v>24811.360000000001</v>
      </c>
      <c r="Q2274" s="1597">
        <v>42533.760000000002</v>
      </c>
      <c r="R2274" s="1597">
        <v>67345.119999999995</v>
      </c>
      <c r="S2274" s="1592"/>
    </row>
    <row r="2275" spans="2:19" s="1593" customFormat="1" ht="11.25" customHeight="1" outlineLevel="1">
      <c r="B2275" s="1600" t="s">
        <v>11561</v>
      </c>
      <c r="C2275" s="1595" t="s">
        <v>3157</v>
      </c>
      <c r="D2275" s="1595" t="s">
        <v>11560</v>
      </c>
      <c r="E2275" s="1595" t="s">
        <v>2288</v>
      </c>
      <c r="F2275" s="1595" t="s">
        <v>11047</v>
      </c>
      <c r="G2275" s="1595"/>
      <c r="H2275" s="1596">
        <v>1</v>
      </c>
      <c r="I2275" s="1595"/>
      <c r="J2275" s="1595"/>
      <c r="K2275" s="1597">
        <v>182270.83</v>
      </c>
      <c r="L2275" s="1597">
        <v>182270.83</v>
      </c>
      <c r="M2275" s="1598"/>
      <c r="N2275" s="1597">
        <v>182270.83</v>
      </c>
      <c r="O2275" s="1597">
        <v>88672.27</v>
      </c>
      <c r="P2275" s="1597">
        <v>34483.68</v>
      </c>
      <c r="Q2275" s="1597">
        <v>59114.879999999997</v>
      </c>
      <c r="R2275" s="1597">
        <v>93598.56</v>
      </c>
      <c r="S2275" s="1592"/>
    </row>
    <row r="2276" spans="2:19" s="1593" customFormat="1" ht="11.25" customHeight="1" outlineLevel="1">
      <c r="B2276" s="1600" t="s">
        <v>11559</v>
      </c>
      <c r="C2276" s="1595" t="s">
        <v>3157</v>
      </c>
      <c r="D2276" s="1595" t="s">
        <v>11558</v>
      </c>
      <c r="E2276" s="1595" t="s">
        <v>2288</v>
      </c>
      <c r="F2276" s="1595" t="s">
        <v>11047</v>
      </c>
      <c r="G2276" s="1595"/>
      <c r="H2276" s="1596">
        <v>1</v>
      </c>
      <c r="I2276" s="1595"/>
      <c r="J2276" s="1595"/>
      <c r="K2276" s="1597">
        <v>131145.82999999999</v>
      </c>
      <c r="L2276" s="1597">
        <v>131145.82999999999</v>
      </c>
      <c r="M2276" s="1598"/>
      <c r="N2276" s="1597">
        <v>131145.82999999999</v>
      </c>
      <c r="O2276" s="1597">
        <v>63800.71</v>
      </c>
      <c r="P2276" s="1597">
        <v>24811.360000000001</v>
      </c>
      <c r="Q2276" s="1597">
        <v>42533.760000000002</v>
      </c>
      <c r="R2276" s="1597">
        <v>67345.119999999995</v>
      </c>
      <c r="S2276" s="1592"/>
    </row>
    <row r="2277" spans="2:19" s="1593" customFormat="1" ht="21.75" customHeight="1" outlineLevel="1">
      <c r="B2277" s="1600" t="s">
        <v>11557</v>
      </c>
      <c r="C2277" s="1595" t="s">
        <v>3157</v>
      </c>
      <c r="D2277" s="1595" t="s">
        <v>11556</v>
      </c>
      <c r="E2277" s="1595" t="s">
        <v>2288</v>
      </c>
      <c r="F2277" s="1595" t="s">
        <v>11047</v>
      </c>
      <c r="G2277" s="1595"/>
      <c r="H2277" s="1596">
        <v>1</v>
      </c>
      <c r="I2277" s="1595"/>
      <c r="J2277" s="1595"/>
      <c r="K2277" s="1597">
        <v>131145.84</v>
      </c>
      <c r="L2277" s="1597">
        <v>131145.84</v>
      </c>
      <c r="M2277" s="1598"/>
      <c r="N2277" s="1597">
        <v>131145.84</v>
      </c>
      <c r="O2277" s="1597">
        <v>63800.72</v>
      </c>
      <c r="P2277" s="1597">
        <v>24811.360000000001</v>
      </c>
      <c r="Q2277" s="1597">
        <v>42533.760000000002</v>
      </c>
      <c r="R2277" s="1597">
        <v>67345.119999999995</v>
      </c>
      <c r="S2277" s="1592"/>
    </row>
    <row r="2278" spans="2:19" s="1593" customFormat="1" ht="21.75" customHeight="1" outlineLevel="1">
      <c r="B2278" s="1600" t="s">
        <v>11555</v>
      </c>
      <c r="C2278" s="1595" t="s">
        <v>3157</v>
      </c>
      <c r="D2278" s="1595" t="s">
        <v>11554</v>
      </c>
      <c r="E2278" s="1595" t="s">
        <v>2288</v>
      </c>
      <c r="F2278" s="1595" t="s">
        <v>11047</v>
      </c>
      <c r="G2278" s="1595"/>
      <c r="H2278" s="1596">
        <v>1</v>
      </c>
      <c r="I2278" s="1595"/>
      <c r="J2278" s="1595"/>
      <c r="K2278" s="1597">
        <v>131145.82999999999</v>
      </c>
      <c r="L2278" s="1597">
        <v>131145.82999999999</v>
      </c>
      <c r="M2278" s="1598"/>
      <c r="N2278" s="1597">
        <v>131145.82999999999</v>
      </c>
      <c r="O2278" s="1597">
        <v>63800.71</v>
      </c>
      <c r="P2278" s="1597">
        <v>24811.360000000001</v>
      </c>
      <c r="Q2278" s="1597">
        <v>42533.760000000002</v>
      </c>
      <c r="R2278" s="1597">
        <v>67345.119999999995</v>
      </c>
      <c r="S2278" s="1592"/>
    </row>
    <row r="2279" spans="2:19" s="1593" customFormat="1" ht="21.75" customHeight="1" outlineLevel="1">
      <c r="B2279" s="1600" t="s">
        <v>11553</v>
      </c>
      <c r="C2279" s="1595" t="s">
        <v>3157</v>
      </c>
      <c r="D2279" s="1595" t="s">
        <v>11552</v>
      </c>
      <c r="E2279" s="1595" t="s">
        <v>2288</v>
      </c>
      <c r="F2279" s="1595" t="s">
        <v>11047</v>
      </c>
      <c r="G2279" s="1595"/>
      <c r="H2279" s="1596">
        <v>1</v>
      </c>
      <c r="I2279" s="1595"/>
      <c r="J2279" s="1595"/>
      <c r="K2279" s="1597">
        <v>131145.84</v>
      </c>
      <c r="L2279" s="1597">
        <v>131145.84</v>
      </c>
      <c r="M2279" s="1598"/>
      <c r="N2279" s="1597">
        <v>131145.84</v>
      </c>
      <c r="O2279" s="1597">
        <v>63800.72</v>
      </c>
      <c r="P2279" s="1597">
        <v>24811.360000000001</v>
      </c>
      <c r="Q2279" s="1597">
        <v>42533.760000000002</v>
      </c>
      <c r="R2279" s="1597">
        <v>67345.119999999995</v>
      </c>
      <c r="S2279" s="1592"/>
    </row>
    <row r="2280" spans="2:19" s="1593" customFormat="1" ht="21.75" customHeight="1" outlineLevel="1">
      <c r="B2280" s="1600" t="s">
        <v>11551</v>
      </c>
      <c r="C2280" s="1595" t="s">
        <v>3157</v>
      </c>
      <c r="D2280" s="1595" t="s">
        <v>11550</v>
      </c>
      <c r="E2280" s="1595" t="s">
        <v>2288</v>
      </c>
      <c r="F2280" s="1595" t="s">
        <v>11047</v>
      </c>
      <c r="G2280" s="1595"/>
      <c r="H2280" s="1596">
        <v>1</v>
      </c>
      <c r="I2280" s="1595"/>
      <c r="J2280" s="1595"/>
      <c r="K2280" s="1597">
        <v>182270.83</v>
      </c>
      <c r="L2280" s="1597">
        <v>182270.83</v>
      </c>
      <c r="M2280" s="1598"/>
      <c r="N2280" s="1597">
        <v>182270.83</v>
      </c>
      <c r="O2280" s="1597">
        <v>88672.27</v>
      </c>
      <c r="P2280" s="1597">
        <v>34483.68</v>
      </c>
      <c r="Q2280" s="1597">
        <v>59114.879999999997</v>
      </c>
      <c r="R2280" s="1597">
        <v>93598.56</v>
      </c>
      <c r="S2280" s="1592"/>
    </row>
    <row r="2281" spans="2:19" s="1593" customFormat="1" ht="11.25" customHeight="1" outlineLevel="1">
      <c r="B2281" s="1600" t="s">
        <v>11549</v>
      </c>
      <c r="C2281" s="1595" t="s">
        <v>11528</v>
      </c>
      <c r="D2281" s="1595" t="s">
        <v>11548</v>
      </c>
      <c r="E2281" s="1595" t="s">
        <v>2288</v>
      </c>
      <c r="F2281" s="1595" t="s">
        <v>11547</v>
      </c>
      <c r="G2281" s="1595"/>
      <c r="H2281" s="1596">
        <v>1</v>
      </c>
      <c r="I2281" s="1595"/>
      <c r="J2281" s="1595"/>
      <c r="K2281" s="1597">
        <v>105229.17</v>
      </c>
      <c r="L2281" s="1597">
        <v>105229.17</v>
      </c>
      <c r="M2281" s="1598"/>
      <c r="N2281" s="1597">
        <v>105229.17</v>
      </c>
      <c r="O2281" s="1597">
        <v>59724.69</v>
      </c>
      <c r="P2281" s="1597">
        <v>11376.12</v>
      </c>
      <c r="Q2281" s="1597">
        <v>34128.36</v>
      </c>
      <c r="R2281" s="1597">
        <v>45504.480000000003</v>
      </c>
      <c r="S2281" s="1592"/>
    </row>
    <row r="2282" spans="2:19" s="1593" customFormat="1" ht="11.25" customHeight="1" outlineLevel="1">
      <c r="B2282" s="1600" t="s">
        <v>11546</v>
      </c>
      <c r="C2282" s="1595" t="s">
        <v>11528</v>
      </c>
      <c r="D2282" s="1595" t="s">
        <v>11545</v>
      </c>
      <c r="E2282" s="1595" t="s">
        <v>2288</v>
      </c>
      <c r="F2282" s="1595" t="s">
        <v>11544</v>
      </c>
      <c r="G2282" s="1595"/>
      <c r="H2282" s="1596">
        <v>1</v>
      </c>
      <c r="I2282" s="1595"/>
      <c r="J2282" s="1595"/>
      <c r="K2282" s="1597">
        <v>105229.17</v>
      </c>
      <c r="L2282" s="1597">
        <v>105229.17</v>
      </c>
      <c r="M2282" s="1598"/>
      <c r="N2282" s="1597">
        <v>105229.17</v>
      </c>
      <c r="O2282" s="1597">
        <v>59724.69</v>
      </c>
      <c r="P2282" s="1597">
        <v>11376.12</v>
      </c>
      <c r="Q2282" s="1597">
        <v>34128.36</v>
      </c>
      <c r="R2282" s="1597">
        <v>45504.480000000003</v>
      </c>
      <c r="S2282" s="1592"/>
    </row>
    <row r="2283" spans="2:19" s="1593" customFormat="1" ht="11.25" customHeight="1" outlineLevel="1">
      <c r="B2283" s="1600" t="s">
        <v>11543</v>
      </c>
      <c r="C2283" s="1595" t="s">
        <v>11528</v>
      </c>
      <c r="D2283" s="1595" t="s">
        <v>11542</v>
      </c>
      <c r="E2283" s="1595" t="s">
        <v>2288</v>
      </c>
      <c r="F2283" s="1595" t="s">
        <v>11047</v>
      </c>
      <c r="G2283" s="1595"/>
      <c r="H2283" s="1596">
        <v>1</v>
      </c>
      <c r="I2283" s="1595"/>
      <c r="J2283" s="1595"/>
      <c r="K2283" s="1597">
        <v>105229.17</v>
      </c>
      <c r="L2283" s="1597">
        <v>105229.17</v>
      </c>
      <c r="M2283" s="1598"/>
      <c r="N2283" s="1597">
        <v>105229.17</v>
      </c>
      <c r="O2283" s="1597">
        <v>59724.69</v>
      </c>
      <c r="P2283" s="1597">
        <v>11376.12</v>
      </c>
      <c r="Q2283" s="1597">
        <v>34128.36</v>
      </c>
      <c r="R2283" s="1597">
        <v>45504.480000000003</v>
      </c>
      <c r="S2283" s="1592"/>
    </row>
    <row r="2284" spans="2:19" s="1593" customFormat="1" ht="11.25" customHeight="1" outlineLevel="1">
      <c r="B2284" s="1600" t="s">
        <v>11541</v>
      </c>
      <c r="C2284" s="1595" t="s">
        <v>11528</v>
      </c>
      <c r="D2284" s="1595" t="s">
        <v>11540</v>
      </c>
      <c r="E2284" s="1595" t="s">
        <v>2288</v>
      </c>
      <c r="F2284" s="1595" t="s">
        <v>11047</v>
      </c>
      <c r="G2284" s="1595"/>
      <c r="H2284" s="1596">
        <v>1</v>
      </c>
      <c r="I2284" s="1595"/>
      <c r="J2284" s="1595"/>
      <c r="K2284" s="1597">
        <v>105229.17</v>
      </c>
      <c r="L2284" s="1597">
        <v>105229.17</v>
      </c>
      <c r="M2284" s="1598"/>
      <c r="N2284" s="1597">
        <v>105229.17</v>
      </c>
      <c r="O2284" s="1597">
        <v>59724.69</v>
      </c>
      <c r="P2284" s="1597">
        <v>11376.12</v>
      </c>
      <c r="Q2284" s="1597">
        <v>34128.36</v>
      </c>
      <c r="R2284" s="1597">
        <v>45504.480000000003</v>
      </c>
      <c r="S2284" s="1592"/>
    </row>
    <row r="2285" spans="2:19" s="1593" customFormat="1" ht="11.25" customHeight="1" outlineLevel="1">
      <c r="B2285" s="1600" t="s">
        <v>11539</v>
      </c>
      <c r="C2285" s="1595" t="s">
        <v>11528</v>
      </c>
      <c r="D2285" s="1595" t="s">
        <v>11538</v>
      </c>
      <c r="E2285" s="1595" t="s">
        <v>2288</v>
      </c>
      <c r="F2285" s="1595" t="s">
        <v>11047</v>
      </c>
      <c r="G2285" s="1595"/>
      <c r="H2285" s="1596">
        <v>1</v>
      </c>
      <c r="I2285" s="1595"/>
      <c r="J2285" s="1595"/>
      <c r="K2285" s="1597">
        <v>105229.17</v>
      </c>
      <c r="L2285" s="1597">
        <v>105229.17</v>
      </c>
      <c r="M2285" s="1598"/>
      <c r="N2285" s="1597">
        <v>105229.17</v>
      </c>
      <c r="O2285" s="1597">
        <v>59724.69</v>
      </c>
      <c r="P2285" s="1597">
        <v>11376.12</v>
      </c>
      <c r="Q2285" s="1597">
        <v>34128.36</v>
      </c>
      <c r="R2285" s="1597">
        <v>45504.480000000003</v>
      </c>
      <c r="S2285" s="1592"/>
    </row>
    <row r="2286" spans="2:19" s="1593" customFormat="1" ht="11.25" customHeight="1" outlineLevel="1">
      <c r="B2286" s="1600" t="s">
        <v>11537</v>
      </c>
      <c r="C2286" s="1595" t="s">
        <v>11528</v>
      </c>
      <c r="D2286" s="1595" t="s">
        <v>11536</v>
      </c>
      <c r="E2286" s="1595" t="s">
        <v>2288</v>
      </c>
      <c r="F2286" s="1595" t="s">
        <v>11047</v>
      </c>
      <c r="G2286" s="1595"/>
      <c r="H2286" s="1596">
        <v>1</v>
      </c>
      <c r="I2286" s="1595"/>
      <c r="J2286" s="1595"/>
      <c r="K2286" s="1597">
        <v>105229.16</v>
      </c>
      <c r="L2286" s="1597">
        <v>105229.16</v>
      </c>
      <c r="M2286" s="1598"/>
      <c r="N2286" s="1597">
        <v>105229.16</v>
      </c>
      <c r="O2286" s="1597">
        <v>59724.68</v>
      </c>
      <c r="P2286" s="1597">
        <v>11376.12</v>
      </c>
      <c r="Q2286" s="1597">
        <v>34128.36</v>
      </c>
      <c r="R2286" s="1597">
        <v>45504.480000000003</v>
      </c>
      <c r="S2286" s="1592"/>
    </row>
    <row r="2287" spans="2:19" s="1593" customFormat="1" ht="11.25" customHeight="1" outlineLevel="1">
      <c r="B2287" s="1600" t="s">
        <v>11535</v>
      </c>
      <c r="C2287" s="1595" t="s">
        <v>11528</v>
      </c>
      <c r="D2287" s="1595" t="s">
        <v>11534</v>
      </c>
      <c r="E2287" s="1595" t="s">
        <v>2288</v>
      </c>
      <c r="F2287" s="1595" t="s">
        <v>11047</v>
      </c>
      <c r="G2287" s="1595"/>
      <c r="H2287" s="1596">
        <v>1</v>
      </c>
      <c r="I2287" s="1595"/>
      <c r="J2287" s="1595"/>
      <c r="K2287" s="1597">
        <v>131145.82999999999</v>
      </c>
      <c r="L2287" s="1597">
        <v>131145.82999999999</v>
      </c>
      <c r="M2287" s="1598"/>
      <c r="N2287" s="1597">
        <v>131145.82999999999</v>
      </c>
      <c r="O2287" s="1597">
        <v>74434.149999999994</v>
      </c>
      <c r="P2287" s="1597">
        <v>14177.92</v>
      </c>
      <c r="Q2287" s="1597">
        <v>42533.760000000002</v>
      </c>
      <c r="R2287" s="1597">
        <v>56711.68</v>
      </c>
      <c r="S2287" s="1592"/>
    </row>
    <row r="2288" spans="2:19" s="1593" customFormat="1" ht="11.25" customHeight="1" outlineLevel="1">
      <c r="B2288" s="1600" t="s">
        <v>11533</v>
      </c>
      <c r="C2288" s="1595" t="s">
        <v>11528</v>
      </c>
      <c r="D2288" s="1595" t="s">
        <v>11532</v>
      </c>
      <c r="E2288" s="1595" t="s">
        <v>2288</v>
      </c>
      <c r="F2288" s="1595" t="s">
        <v>11047</v>
      </c>
      <c r="G2288" s="1595"/>
      <c r="H2288" s="1596">
        <v>1</v>
      </c>
      <c r="I2288" s="1595"/>
      <c r="J2288" s="1595"/>
      <c r="K2288" s="1597">
        <v>131145.82999999999</v>
      </c>
      <c r="L2288" s="1597">
        <v>131145.82999999999</v>
      </c>
      <c r="M2288" s="1598"/>
      <c r="N2288" s="1597">
        <v>131145.82999999999</v>
      </c>
      <c r="O2288" s="1597">
        <v>74434.149999999994</v>
      </c>
      <c r="P2288" s="1597">
        <v>14177.92</v>
      </c>
      <c r="Q2288" s="1597">
        <v>42533.760000000002</v>
      </c>
      <c r="R2288" s="1597">
        <v>56711.68</v>
      </c>
      <c r="S2288" s="1592"/>
    </row>
    <row r="2289" spans="2:19" s="1593" customFormat="1" ht="11.25" customHeight="1" outlineLevel="1">
      <c r="B2289" s="1600" t="s">
        <v>11531</v>
      </c>
      <c r="C2289" s="1595" t="s">
        <v>11528</v>
      </c>
      <c r="D2289" s="1595" t="s">
        <v>11530</v>
      </c>
      <c r="E2289" s="1595" t="s">
        <v>2288</v>
      </c>
      <c r="F2289" s="1595" t="s">
        <v>11047</v>
      </c>
      <c r="G2289" s="1595"/>
      <c r="H2289" s="1596">
        <v>1</v>
      </c>
      <c r="I2289" s="1595"/>
      <c r="J2289" s="1595"/>
      <c r="K2289" s="1597">
        <v>131145.82999999999</v>
      </c>
      <c r="L2289" s="1597">
        <v>131145.82999999999</v>
      </c>
      <c r="M2289" s="1598"/>
      <c r="N2289" s="1597">
        <v>131145.82999999999</v>
      </c>
      <c r="O2289" s="1597">
        <v>74434.149999999994</v>
      </c>
      <c r="P2289" s="1597">
        <v>14177.92</v>
      </c>
      <c r="Q2289" s="1597">
        <v>42533.760000000002</v>
      </c>
      <c r="R2289" s="1597">
        <v>56711.68</v>
      </c>
      <c r="S2289" s="1592"/>
    </row>
    <row r="2290" spans="2:19" s="1593" customFormat="1" ht="11.25" customHeight="1" outlineLevel="1">
      <c r="B2290" s="1600" t="s">
        <v>11529</v>
      </c>
      <c r="C2290" s="1595" t="s">
        <v>11528</v>
      </c>
      <c r="D2290" s="1595" t="s">
        <v>11527</v>
      </c>
      <c r="E2290" s="1595" t="s">
        <v>2288</v>
      </c>
      <c r="F2290" s="1595" t="s">
        <v>11047</v>
      </c>
      <c r="G2290" s="1595"/>
      <c r="H2290" s="1596">
        <v>1</v>
      </c>
      <c r="I2290" s="1595"/>
      <c r="J2290" s="1595"/>
      <c r="K2290" s="1597">
        <v>131145.82999999999</v>
      </c>
      <c r="L2290" s="1597">
        <v>131145.82999999999</v>
      </c>
      <c r="M2290" s="1598"/>
      <c r="N2290" s="1597">
        <v>131145.82999999999</v>
      </c>
      <c r="O2290" s="1597">
        <v>74434.149999999994</v>
      </c>
      <c r="P2290" s="1597">
        <v>14177.92</v>
      </c>
      <c r="Q2290" s="1597">
        <v>42533.760000000002</v>
      </c>
      <c r="R2290" s="1597">
        <v>56711.68</v>
      </c>
      <c r="S2290" s="1592"/>
    </row>
    <row r="2291" spans="2:19" s="1593" customFormat="1" ht="11.25" customHeight="1" outlineLevel="1">
      <c r="B2291" s="1600" t="s">
        <v>11526</v>
      </c>
      <c r="C2291" s="1595" t="s">
        <v>3134</v>
      </c>
      <c r="D2291" s="1595" t="s">
        <v>11525</v>
      </c>
      <c r="E2291" s="1595" t="s">
        <v>2288</v>
      </c>
      <c r="F2291" s="1595" t="s">
        <v>11047</v>
      </c>
      <c r="G2291" s="1595"/>
      <c r="H2291" s="1596">
        <v>1</v>
      </c>
      <c r="I2291" s="1595"/>
      <c r="J2291" s="1595"/>
      <c r="K2291" s="1597">
        <v>105229.17</v>
      </c>
      <c r="L2291" s="1597">
        <v>105229.17</v>
      </c>
      <c r="M2291" s="1598"/>
      <c r="N2291" s="1597">
        <v>105229.17</v>
      </c>
      <c r="O2291" s="1597">
        <v>59724.69</v>
      </c>
      <c r="P2291" s="1597">
        <v>11376.12</v>
      </c>
      <c r="Q2291" s="1597">
        <v>34128.36</v>
      </c>
      <c r="R2291" s="1597">
        <v>45504.480000000003</v>
      </c>
      <c r="S2291" s="1592"/>
    </row>
    <row r="2292" spans="2:19" s="1593" customFormat="1" ht="11.25" customHeight="1" outlineLevel="1">
      <c r="B2292" s="1600" t="s">
        <v>11524</v>
      </c>
      <c r="C2292" s="1595" t="s">
        <v>3134</v>
      </c>
      <c r="D2292" s="1595" t="s">
        <v>11523</v>
      </c>
      <c r="E2292" s="1595" t="s">
        <v>2288</v>
      </c>
      <c r="F2292" s="1595" t="s">
        <v>11047</v>
      </c>
      <c r="G2292" s="1595"/>
      <c r="H2292" s="1596">
        <v>1</v>
      </c>
      <c r="I2292" s="1595"/>
      <c r="J2292" s="1595"/>
      <c r="K2292" s="1597">
        <v>105229.17</v>
      </c>
      <c r="L2292" s="1597">
        <v>105229.17</v>
      </c>
      <c r="M2292" s="1598"/>
      <c r="N2292" s="1597">
        <v>105229.17</v>
      </c>
      <c r="O2292" s="1597">
        <v>59724.69</v>
      </c>
      <c r="P2292" s="1597">
        <v>11376.12</v>
      </c>
      <c r="Q2292" s="1597">
        <v>34128.36</v>
      </c>
      <c r="R2292" s="1597">
        <v>45504.480000000003</v>
      </c>
      <c r="S2292" s="1592"/>
    </row>
    <row r="2293" spans="2:19" s="1593" customFormat="1" ht="11.25" customHeight="1" outlineLevel="1">
      <c r="B2293" s="1600" t="s">
        <v>11522</v>
      </c>
      <c r="C2293" s="1595" t="s">
        <v>3134</v>
      </c>
      <c r="D2293" s="1595" t="s">
        <v>11521</v>
      </c>
      <c r="E2293" s="1595" t="s">
        <v>2288</v>
      </c>
      <c r="F2293" s="1595" t="s">
        <v>11047</v>
      </c>
      <c r="G2293" s="1595"/>
      <c r="H2293" s="1595"/>
      <c r="I2293" s="1595"/>
      <c r="J2293" s="1595"/>
      <c r="K2293" s="1597">
        <v>105229.16</v>
      </c>
      <c r="L2293" s="1597">
        <v>105229.16</v>
      </c>
      <c r="M2293" s="1598"/>
      <c r="N2293" s="1597">
        <v>105229.16</v>
      </c>
      <c r="O2293" s="1597">
        <v>59724.68</v>
      </c>
      <c r="P2293" s="1597">
        <v>11376.12</v>
      </c>
      <c r="Q2293" s="1597">
        <v>34128.36</v>
      </c>
      <c r="R2293" s="1597">
        <v>45504.480000000003</v>
      </c>
      <c r="S2293" s="1592"/>
    </row>
    <row r="2294" spans="2:19" s="1593" customFormat="1" ht="21.75" customHeight="1" outlineLevel="1">
      <c r="B2294" s="1600" t="s">
        <v>11520</v>
      </c>
      <c r="C2294" s="1595" t="s">
        <v>3134</v>
      </c>
      <c r="D2294" s="1595" t="s">
        <v>11519</v>
      </c>
      <c r="E2294" s="1595" t="s">
        <v>2288</v>
      </c>
      <c r="F2294" s="1595" t="s">
        <v>11047</v>
      </c>
      <c r="G2294" s="1595"/>
      <c r="H2294" s="1596">
        <v>1</v>
      </c>
      <c r="I2294" s="1595"/>
      <c r="J2294" s="1595"/>
      <c r="K2294" s="1597">
        <v>182270.83</v>
      </c>
      <c r="L2294" s="1597">
        <v>182270.83</v>
      </c>
      <c r="M2294" s="1598"/>
      <c r="N2294" s="1597">
        <v>182270.83</v>
      </c>
      <c r="O2294" s="1597">
        <v>103450.99</v>
      </c>
      <c r="P2294" s="1597">
        <v>19704.96</v>
      </c>
      <c r="Q2294" s="1597">
        <v>59114.879999999997</v>
      </c>
      <c r="R2294" s="1597">
        <v>78819.839999999997</v>
      </c>
      <c r="S2294" s="1592"/>
    </row>
    <row r="2295" spans="2:19" s="1593" customFormat="1" ht="11.25" customHeight="1" outlineLevel="1">
      <c r="B2295" s="1600" t="s">
        <v>11518</v>
      </c>
      <c r="C2295" s="1595" t="s">
        <v>3134</v>
      </c>
      <c r="D2295" s="1595" t="s">
        <v>11517</v>
      </c>
      <c r="E2295" s="1595" t="s">
        <v>2288</v>
      </c>
      <c r="F2295" s="1595" t="s">
        <v>11047</v>
      </c>
      <c r="G2295" s="1595"/>
      <c r="H2295" s="1596">
        <v>1</v>
      </c>
      <c r="I2295" s="1595"/>
      <c r="J2295" s="1595"/>
      <c r="K2295" s="1597">
        <v>105229.17</v>
      </c>
      <c r="L2295" s="1597">
        <v>105229.17</v>
      </c>
      <c r="M2295" s="1598"/>
      <c r="N2295" s="1597">
        <v>105229.17</v>
      </c>
      <c r="O2295" s="1597">
        <v>59724.69</v>
      </c>
      <c r="P2295" s="1597">
        <v>11376.12</v>
      </c>
      <c r="Q2295" s="1597">
        <v>34128.36</v>
      </c>
      <c r="R2295" s="1597">
        <v>45504.480000000003</v>
      </c>
      <c r="S2295" s="1592"/>
    </row>
    <row r="2296" spans="2:19" s="1593" customFormat="1" ht="11.25" customHeight="1" outlineLevel="1">
      <c r="B2296" s="1600" t="s">
        <v>11516</v>
      </c>
      <c r="C2296" s="1595" t="s">
        <v>3134</v>
      </c>
      <c r="D2296" s="1595" t="s">
        <v>11515</v>
      </c>
      <c r="E2296" s="1595" t="s">
        <v>2288</v>
      </c>
      <c r="F2296" s="1595" t="s">
        <v>11047</v>
      </c>
      <c r="G2296" s="1595"/>
      <c r="H2296" s="1595"/>
      <c r="I2296" s="1595"/>
      <c r="J2296" s="1595"/>
      <c r="K2296" s="1597">
        <v>131145.82999999999</v>
      </c>
      <c r="L2296" s="1597">
        <v>131145.82999999999</v>
      </c>
      <c r="M2296" s="1598"/>
      <c r="N2296" s="1597">
        <v>131145.82999999999</v>
      </c>
      <c r="O2296" s="1597">
        <v>74434.149999999994</v>
      </c>
      <c r="P2296" s="1597">
        <v>14177.92</v>
      </c>
      <c r="Q2296" s="1597">
        <v>42533.760000000002</v>
      </c>
      <c r="R2296" s="1597">
        <v>56711.68</v>
      </c>
      <c r="S2296" s="1592"/>
    </row>
    <row r="2297" spans="2:19" s="1593" customFormat="1" ht="11.25" customHeight="1" outlineLevel="1">
      <c r="B2297" s="1600" t="s">
        <v>11514</v>
      </c>
      <c r="C2297" s="1595" t="s">
        <v>3134</v>
      </c>
      <c r="D2297" s="1595" t="s">
        <v>11513</v>
      </c>
      <c r="E2297" s="1595" t="s">
        <v>2288</v>
      </c>
      <c r="F2297" s="1595" t="s">
        <v>11047</v>
      </c>
      <c r="G2297" s="1595"/>
      <c r="H2297" s="1596">
        <v>1</v>
      </c>
      <c r="I2297" s="1595"/>
      <c r="J2297" s="1595"/>
      <c r="K2297" s="1597">
        <v>105229.17</v>
      </c>
      <c r="L2297" s="1597">
        <v>105229.17</v>
      </c>
      <c r="M2297" s="1598"/>
      <c r="N2297" s="1597">
        <v>105229.17</v>
      </c>
      <c r="O2297" s="1597">
        <v>59724.69</v>
      </c>
      <c r="P2297" s="1597">
        <v>11376.12</v>
      </c>
      <c r="Q2297" s="1597">
        <v>34128.36</v>
      </c>
      <c r="R2297" s="1597">
        <v>45504.480000000003</v>
      </c>
      <c r="S2297" s="1592"/>
    </row>
    <row r="2298" spans="2:19" s="1593" customFormat="1" ht="11.25" customHeight="1" outlineLevel="1">
      <c r="B2298" s="1600" t="s">
        <v>11512</v>
      </c>
      <c r="C2298" s="1595" t="s">
        <v>3134</v>
      </c>
      <c r="D2298" s="1595" t="s">
        <v>11511</v>
      </c>
      <c r="E2298" s="1595" t="s">
        <v>2288</v>
      </c>
      <c r="F2298" s="1595" t="s">
        <v>11047</v>
      </c>
      <c r="G2298" s="1595"/>
      <c r="H2298" s="1596">
        <v>1</v>
      </c>
      <c r="I2298" s="1595"/>
      <c r="J2298" s="1595"/>
      <c r="K2298" s="1597">
        <v>105229.17</v>
      </c>
      <c r="L2298" s="1597">
        <v>105229.17</v>
      </c>
      <c r="M2298" s="1598"/>
      <c r="N2298" s="1597">
        <v>105229.17</v>
      </c>
      <c r="O2298" s="1597">
        <v>59724.69</v>
      </c>
      <c r="P2298" s="1597">
        <v>11376.12</v>
      </c>
      <c r="Q2298" s="1597">
        <v>34128.36</v>
      </c>
      <c r="R2298" s="1597">
        <v>45504.480000000003</v>
      </c>
      <c r="S2298" s="1592"/>
    </row>
    <row r="2299" spans="2:19" s="1593" customFormat="1" ht="11.25" customHeight="1" outlineLevel="1">
      <c r="B2299" s="1600" t="s">
        <v>11510</v>
      </c>
      <c r="C2299" s="1595" t="s">
        <v>3134</v>
      </c>
      <c r="D2299" s="1595" t="s">
        <v>11509</v>
      </c>
      <c r="E2299" s="1595" t="s">
        <v>2288</v>
      </c>
      <c r="F2299" s="1595" t="s">
        <v>11047</v>
      </c>
      <c r="G2299" s="1595"/>
      <c r="H2299" s="1596">
        <v>1</v>
      </c>
      <c r="I2299" s="1595"/>
      <c r="J2299" s="1595"/>
      <c r="K2299" s="1597">
        <v>131145.82999999999</v>
      </c>
      <c r="L2299" s="1597">
        <v>131145.82999999999</v>
      </c>
      <c r="M2299" s="1598"/>
      <c r="N2299" s="1597">
        <v>131145.82999999999</v>
      </c>
      <c r="O2299" s="1597">
        <v>74434.149999999994</v>
      </c>
      <c r="P2299" s="1597">
        <v>14177.92</v>
      </c>
      <c r="Q2299" s="1597">
        <v>42533.760000000002</v>
      </c>
      <c r="R2299" s="1597">
        <v>56711.68</v>
      </c>
      <c r="S2299" s="1592"/>
    </row>
    <row r="2300" spans="2:19" s="1593" customFormat="1" ht="21.75" customHeight="1" outlineLevel="1">
      <c r="B2300" s="1600" t="s">
        <v>11508</v>
      </c>
      <c r="C2300" s="1595" t="s">
        <v>3134</v>
      </c>
      <c r="D2300" s="1595" t="s">
        <v>11507</v>
      </c>
      <c r="E2300" s="1595" t="s">
        <v>2288</v>
      </c>
      <c r="F2300" s="1595" t="s">
        <v>11047</v>
      </c>
      <c r="G2300" s="1595"/>
      <c r="H2300" s="1596">
        <v>1</v>
      </c>
      <c r="I2300" s="1595"/>
      <c r="J2300" s="1595"/>
      <c r="K2300" s="1597">
        <v>131145.82999999999</v>
      </c>
      <c r="L2300" s="1597">
        <v>131145.82999999999</v>
      </c>
      <c r="M2300" s="1598"/>
      <c r="N2300" s="1597">
        <v>131145.82999999999</v>
      </c>
      <c r="O2300" s="1597">
        <v>74434.149999999994</v>
      </c>
      <c r="P2300" s="1597">
        <v>14177.92</v>
      </c>
      <c r="Q2300" s="1597">
        <v>42533.760000000002</v>
      </c>
      <c r="R2300" s="1597">
        <v>56711.68</v>
      </c>
      <c r="S2300" s="1592"/>
    </row>
    <row r="2301" spans="2:19" s="1593" customFormat="1" ht="11.25" customHeight="1" outlineLevel="1">
      <c r="B2301" s="1600" t="s">
        <v>11506</v>
      </c>
      <c r="C2301" s="1595" t="s">
        <v>3134</v>
      </c>
      <c r="D2301" s="1595" t="s">
        <v>11505</v>
      </c>
      <c r="E2301" s="1595" t="s">
        <v>2288</v>
      </c>
      <c r="F2301" s="1595" t="s">
        <v>11047</v>
      </c>
      <c r="G2301" s="1595"/>
      <c r="H2301" s="1596">
        <v>1</v>
      </c>
      <c r="I2301" s="1595"/>
      <c r="J2301" s="1595"/>
      <c r="K2301" s="1597">
        <v>105229.17</v>
      </c>
      <c r="L2301" s="1597">
        <v>105229.17</v>
      </c>
      <c r="M2301" s="1598"/>
      <c r="N2301" s="1597">
        <v>105229.17</v>
      </c>
      <c r="O2301" s="1597">
        <v>59724.69</v>
      </c>
      <c r="P2301" s="1597">
        <v>11376.12</v>
      </c>
      <c r="Q2301" s="1597">
        <v>34128.36</v>
      </c>
      <c r="R2301" s="1597">
        <v>45504.480000000003</v>
      </c>
      <c r="S2301" s="1592"/>
    </row>
    <row r="2302" spans="2:19" s="1593" customFormat="1" ht="11.25" customHeight="1" outlineLevel="1">
      <c r="B2302" s="1600" t="s">
        <v>11504</v>
      </c>
      <c r="C2302" s="1595" t="s">
        <v>3134</v>
      </c>
      <c r="D2302" s="1595" t="s">
        <v>11503</v>
      </c>
      <c r="E2302" s="1595" t="s">
        <v>2288</v>
      </c>
      <c r="F2302" s="1595" t="s">
        <v>11047</v>
      </c>
      <c r="G2302" s="1595"/>
      <c r="H2302" s="1596">
        <v>1</v>
      </c>
      <c r="I2302" s="1595"/>
      <c r="J2302" s="1595"/>
      <c r="K2302" s="1597">
        <v>105229.17</v>
      </c>
      <c r="L2302" s="1597">
        <v>105229.17</v>
      </c>
      <c r="M2302" s="1598"/>
      <c r="N2302" s="1597">
        <v>105229.17</v>
      </c>
      <c r="O2302" s="1597">
        <v>59724.69</v>
      </c>
      <c r="P2302" s="1597">
        <v>11376.12</v>
      </c>
      <c r="Q2302" s="1597">
        <v>34128.36</v>
      </c>
      <c r="R2302" s="1597">
        <v>45504.480000000003</v>
      </c>
      <c r="S2302" s="1592"/>
    </row>
    <row r="2303" spans="2:19" s="1593" customFormat="1" ht="11.25" customHeight="1" outlineLevel="1">
      <c r="B2303" s="1600" t="s">
        <v>11502</v>
      </c>
      <c r="C2303" s="1595" t="s">
        <v>3134</v>
      </c>
      <c r="D2303" s="1595" t="s">
        <v>11501</v>
      </c>
      <c r="E2303" s="1595" t="s">
        <v>2288</v>
      </c>
      <c r="F2303" s="1595" t="s">
        <v>11047</v>
      </c>
      <c r="G2303" s="1595"/>
      <c r="H2303" s="1596">
        <v>1</v>
      </c>
      <c r="I2303" s="1595"/>
      <c r="J2303" s="1595"/>
      <c r="K2303" s="1597">
        <v>105229.16</v>
      </c>
      <c r="L2303" s="1597">
        <v>105229.16</v>
      </c>
      <c r="M2303" s="1598"/>
      <c r="N2303" s="1597">
        <v>105229.16</v>
      </c>
      <c r="O2303" s="1597">
        <v>59724.68</v>
      </c>
      <c r="P2303" s="1597">
        <v>11376.12</v>
      </c>
      <c r="Q2303" s="1597">
        <v>34128.36</v>
      </c>
      <c r="R2303" s="1597">
        <v>45504.480000000003</v>
      </c>
      <c r="S2303" s="1592"/>
    </row>
    <row r="2304" spans="2:19" s="1593" customFormat="1" ht="21.75" customHeight="1" outlineLevel="1">
      <c r="B2304" s="1600" t="s">
        <v>11500</v>
      </c>
      <c r="C2304" s="1595" t="s">
        <v>11499</v>
      </c>
      <c r="D2304" s="1595" t="s">
        <v>11498</v>
      </c>
      <c r="E2304" s="1595"/>
      <c r="F2304" s="1595"/>
      <c r="G2304" s="1595"/>
      <c r="H2304" s="1595"/>
      <c r="I2304" s="1595"/>
      <c r="J2304" s="1595"/>
      <c r="K2304" s="1597">
        <v>53750</v>
      </c>
      <c r="L2304" s="1597">
        <v>53750</v>
      </c>
      <c r="M2304" s="1597">
        <v>-53750</v>
      </c>
      <c r="N2304" s="1598"/>
      <c r="O2304" s="1598"/>
      <c r="P2304" s="1597">
        <v>6450</v>
      </c>
      <c r="Q2304" s="1597">
        <v>-6450</v>
      </c>
      <c r="R2304" s="1598"/>
      <c r="S2304" s="1592"/>
    </row>
    <row r="2305" spans="2:19" s="1593" customFormat="1" ht="21.75" customHeight="1" outlineLevel="1">
      <c r="B2305" s="1600" t="s">
        <v>11497</v>
      </c>
      <c r="C2305" s="1595" t="s">
        <v>11484</v>
      </c>
      <c r="D2305" s="1595" t="s">
        <v>11496</v>
      </c>
      <c r="E2305" s="1595" t="s">
        <v>2288</v>
      </c>
      <c r="F2305" s="1595" t="s">
        <v>11047</v>
      </c>
      <c r="G2305" s="1595"/>
      <c r="H2305" s="1596">
        <v>1</v>
      </c>
      <c r="I2305" s="1595"/>
      <c r="J2305" s="1595"/>
      <c r="K2305" s="1597">
        <v>182270.83</v>
      </c>
      <c r="L2305" s="1597">
        <v>182270.83</v>
      </c>
      <c r="M2305" s="1598"/>
      <c r="N2305" s="1597">
        <v>182270.83</v>
      </c>
      <c r="O2305" s="1597">
        <v>113303.47</v>
      </c>
      <c r="P2305" s="1597">
        <v>9852.48</v>
      </c>
      <c r="Q2305" s="1597">
        <v>59114.879999999997</v>
      </c>
      <c r="R2305" s="1597">
        <v>68967.360000000001</v>
      </c>
      <c r="S2305" s="1592"/>
    </row>
    <row r="2306" spans="2:19" s="1593" customFormat="1" ht="11.25" customHeight="1" outlineLevel="1">
      <c r="B2306" s="1600" t="s">
        <v>11495</v>
      </c>
      <c r="C2306" s="1595" t="s">
        <v>11484</v>
      </c>
      <c r="D2306" s="1595" t="s">
        <v>11494</v>
      </c>
      <c r="E2306" s="1595" t="s">
        <v>2288</v>
      </c>
      <c r="F2306" s="1595" t="s">
        <v>11047</v>
      </c>
      <c r="G2306" s="1595"/>
      <c r="H2306" s="1596">
        <v>1</v>
      </c>
      <c r="I2306" s="1595"/>
      <c r="J2306" s="1595"/>
      <c r="K2306" s="1597">
        <v>182270.84</v>
      </c>
      <c r="L2306" s="1597">
        <v>182270.84</v>
      </c>
      <c r="M2306" s="1598"/>
      <c r="N2306" s="1597">
        <v>182270.84</v>
      </c>
      <c r="O2306" s="1597">
        <v>113303.48</v>
      </c>
      <c r="P2306" s="1597">
        <v>9852.48</v>
      </c>
      <c r="Q2306" s="1597">
        <v>59114.879999999997</v>
      </c>
      <c r="R2306" s="1597">
        <v>68967.360000000001</v>
      </c>
      <c r="S2306" s="1592"/>
    </row>
    <row r="2307" spans="2:19" s="1593" customFormat="1" ht="21.75" customHeight="1" outlineLevel="1">
      <c r="B2307" s="1600" t="s">
        <v>11493</v>
      </c>
      <c r="C2307" s="1595" t="s">
        <v>11484</v>
      </c>
      <c r="D2307" s="1595" t="s">
        <v>11492</v>
      </c>
      <c r="E2307" s="1595" t="s">
        <v>2288</v>
      </c>
      <c r="F2307" s="1595" t="s">
        <v>11047</v>
      </c>
      <c r="G2307" s="1595"/>
      <c r="H2307" s="1596">
        <v>1</v>
      </c>
      <c r="I2307" s="1595"/>
      <c r="J2307" s="1595"/>
      <c r="K2307" s="1597">
        <v>182270.83</v>
      </c>
      <c r="L2307" s="1597">
        <v>182270.83</v>
      </c>
      <c r="M2307" s="1598"/>
      <c r="N2307" s="1597">
        <v>182270.83</v>
      </c>
      <c r="O2307" s="1597">
        <v>113303.47</v>
      </c>
      <c r="P2307" s="1597">
        <v>9852.48</v>
      </c>
      <c r="Q2307" s="1597">
        <v>59114.879999999997</v>
      </c>
      <c r="R2307" s="1597">
        <v>68967.360000000001</v>
      </c>
      <c r="S2307" s="1592"/>
    </row>
    <row r="2308" spans="2:19" s="1593" customFormat="1" ht="21.75" customHeight="1" outlineLevel="1">
      <c r="B2308" s="1600" t="s">
        <v>11491</v>
      </c>
      <c r="C2308" s="1595" t="s">
        <v>11484</v>
      </c>
      <c r="D2308" s="1595" t="s">
        <v>11490</v>
      </c>
      <c r="E2308" s="1595" t="s">
        <v>2288</v>
      </c>
      <c r="F2308" s="1595" t="s">
        <v>11047</v>
      </c>
      <c r="G2308" s="1595"/>
      <c r="H2308" s="1596">
        <v>1</v>
      </c>
      <c r="I2308" s="1595"/>
      <c r="J2308" s="1595"/>
      <c r="K2308" s="1597">
        <v>182270.84</v>
      </c>
      <c r="L2308" s="1597">
        <v>182270.84</v>
      </c>
      <c r="M2308" s="1598"/>
      <c r="N2308" s="1597">
        <v>182270.84</v>
      </c>
      <c r="O2308" s="1597">
        <v>113303.48</v>
      </c>
      <c r="P2308" s="1597">
        <v>9852.48</v>
      </c>
      <c r="Q2308" s="1597">
        <v>59114.879999999997</v>
      </c>
      <c r="R2308" s="1597">
        <v>68967.360000000001</v>
      </c>
      <c r="S2308" s="1592"/>
    </row>
    <row r="2309" spans="2:19" s="1593" customFormat="1" ht="11.25" customHeight="1" outlineLevel="1">
      <c r="B2309" s="1600" t="s">
        <v>11489</v>
      </c>
      <c r="C2309" s="1595" t="s">
        <v>11484</v>
      </c>
      <c r="D2309" s="1595" t="s">
        <v>11488</v>
      </c>
      <c r="E2309" s="1595" t="s">
        <v>2288</v>
      </c>
      <c r="F2309" s="1595" t="s">
        <v>11047</v>
      </c>
      <c r="G2309" s="1595"/>
      <c r="H2309" s="1596">
        <v>1</v>
      </c>
      <c r="I2309" s="1595"/>
      <c r="J2309" s="1595"/>
      <c r="K2309" s="1597">
        <v>182270.83</v>
      </c>
      <c r="L2309" s="1597">
        <v>182270.83</v>
      </c>
      <c r="M2309" s="1598"/>
      <c r="N2309" s="1597">
        <v>182270.83</v>
      </c>
      <c r="O2309" s="1597">
        <v>113303.47</v>
      </c>
      <c r="P2309" s="1597">
        <v>9852.48</v>
      </c>
      <c r="Q2309" s="1597">
        <v>59114.879999999997</v>
      </c>
      <c r="R2309" s="1597">
        <v>68967.360000000001</v>
      </c>
      <c r="S2309" s="1592"/>
    </row>
    <row r="2310" spans="2:19" s="1593" customFormat="1" ht="11.25" customHeight="1" outlineLevel="1">
      <c r="B2310" s="1600" t="s">
        <v>11487</v>
      </c>
      <c r="C2310" s="1595" t="s">
        <v>11484</v>
      </c>
      <c r="D2310" s="1595" t="s">
        <v>11486</v>
      </c>
      <c r="E2310" s="1595" t="s">
        <v>2288</v>
      </c>
      <c r="F2310" s="1595" t="s">
        <v>11047</v>
      </c>
      <c r="G2310" s="1595"/>
      <c r="H2310" s="1596">
        <v>1</v>
      </c>
      <c r="I2310" s="1595"/>
      <c r="J2310" s="1595"/>
      <c r="K2310" s="1597">
        <v>182270.83</v>
      </c>
      <c r="L2310" s="1597">
        <v>182270.83</v>
      </c>
      <c r="M2310" s="1598"/>
      <c r="N2310" s="1597">
        <v>182270.83</v>
      </c>
      <c r="O2310" s="1597">
        <v>113303.47</v>
      </c>
      <c r="P2310" s="1597">
        <v>9852.48</v>
      </c>
      <c r="Q2310" s="1597">
        <v>59114.879999999997</v>
      </c>
      <c r="R2310" s="1597">
        <v>68967.360000000001</v>
      </c>
      <c r="S2310" s="1592"/>
    </row>
    <row r="2311" spans="2:19" s="1593" customFormat="1" ht="11.25" customHeight="1" outlineLevel="1">
      <c r="B2311" s="1600" t="s">
        <v>11485</v>
      </c>
      <c r="C2311" s="1595" t="s">
        <v>11484</v>
      </c>
      <c r="D2311" s="1595" t="s">
        <v>11483</v>
      </c>
      <c r="E2311" s="1595" t="s">
        <v>2288</v>
      </c>
      <c r="F2311" s="1595" t="s">
        <v>11047</v>
      </c>
      <c r="G2311" s="1595"/>
      <c r="H2311" s="1596">
        <v>1</v>
      </c>
      <c r="I2311" s="1595"/>
      <c r="J2311" s="1595"/>
      <c r="K2311" s="1597">
        <v>105229.17</v>
      </c>
      <c r="L2311" s="1597">
        <v>105229.17</v>
      </c>
      <c r="M2311" s="1598"/>
      <c r="N2311" s="1597">
        <v>105229.17</v>
      </c>
      <c r="O2311" s="1597">
        <v>65412.75</v>
      </c>
      <c r="P2311" s="1597">
        <v>5688.06</v>
      </c>
      <c r="Q2311" s="1597">
        <v>34128.36</v>
      </c>
      <c r="R2311" s="1597">
        <v>39816.42</v>
      </c>
      <c r="S2311" s="1592"/>
    </row>
    <row r="2312" spans="2:19" s="1593" customFormat="1" ht="21.75" customHeight="1" outlineLevel="1">
      <c r="B2312" s="1600" t="s">
        <v>11482</v>
      </c>
      <c r="C2312" s="1595" t="s">
        <v>11459</v>
      </c>
      <c r="D2312" s="1595" t="s">
        <v>11481</v>
      </c>
      <c r="E2312" s="1595" t="s">
        <v>2288</v>
      </c>
      <c r="F2312" s="1595" t="s">
        <v>11047</v>
      </c>
      <c r="G2312" s="1595"/>
      <c r="H2312" s="1596">
        <v>1</v>
      </c>
      <c r="I2312" s="1595"/>
      <c r="J2312" s="1595"/>
      <c r="K2312" s="1597">
        <v>105229.16</v>
      </c>
      <c r="L2312" s="1597">
        <v>105229.16</v>
      </c>
      <c r="M2312" s="1598"/>
      <c r="N2312" s="1597">
        <v>105229.16</v>
      </c>
      <c r="O2312" s="1597">
        <v>68256.77</v>
      </c>
      <c r="P2312" s="1597">
        <v>2844.03</v>
      </c>
      <c r="Q2312" s="1597">
        <v>34128.36</v>
      </c>
      <c r="R2312" s="1597">
        <v>36972.39</v>
      </c>
      <c r="S2312" s="1592"/>
    </row>
    <row r="2313" spans="2:19" s="1593" customFormat="1" ht="21.75" customHeight="1" outlineLevel="1">
      <c r="B2313" s="1600" t="s">
        <v>11480</v>
      </c>
      <c r="C2313" s="1595" t="s">
        <v>11459</v>
      </c>
      <c r="D2313" s="1595" t="s">
        <v>11479</v>
      </c>
      <c r="E2313" s="1595" t="s">
        <v>2288</v>
      </c>
      <c r="F2313" s="1595" t="s">
        <v>11047</v>
      </c>
      <c r="G2313" s="1595"/>
      <c r="H2313" s="1596">
        <v>1</v>
      </c>
      <c r="I2313" s="1595"/>
      <c r="J2313" s="1595"/>
      <c r="K2313" s="1597">
        <v>131145.82999999999</v>
      </c>
      <c r="L2313" s="1597">
        <v>131145.82999999999</v>
      </c>
      <c r="M2313" s="1598"/>
      <c r="N2313" s="1597">
        <v>131145.82999999999</v>
      </c>
      <c r="O2313" s="1597">
        <v>85067.59</v>
      </c>
      <c r="P2313" s="1597">
        <v>3544.48</v>
      </c>
      <c r="Q2313" s="1597">
        <v>42533.760000000002</v>
      </c>
      <c r="R2313" s="1597">
        <v>46078.239999999998</v>
      </c>
      <c r="S2313" s="1592"/>
    </row>
    <row r="2314" spans="2:19" s="1593" customFormat="1" ht="11.25" customHeight="1" outlineLevel="1">
      <c r="B2314" s="1600" t="s">
        <v>11478</v>
      </c>
      <c r="C2314" s="1595" t="s">
        <v>11459</v>
      </c>
      <c r="D2314" s="1595" t="s">
        <v>11477</v>
      </c>
      <c r="E2314" s="1595" t="s">
        <v>2288</v>
      </c>
      <c r="F2314" s="1595" t="s">
        <v>11047</v>
      </c>
      <c r="G2314" s="1595"/>
      <c r="H2314" s="1596">
        <v>1</v>
      </c>
      <c r="I2314" s="1595"/>
      <c r="J2314" s="1595"/>
      <c r="K2314" s="1597">
        <v>131145.82999999999</v>
      </c>
      <c r="L2314" s="1597">
        <v>131145.82999999999</v>
      </c>
      <c r="M2314" s="1598"/>
      <c r="N2314" s="1597">
        <v>131145.82999999999</v>
      </c>
      <c r="O2314" s="1597">
        <v>85067.59</v>
      </c>
      <c r="P2314" s="1597">
        <v>3544.48</v>
      </c>
      <c r="Q2314" s="1597">
        <v>42533.760000000002</v>
      </c>
      <c r="R2314" s="1597">
        <v>46078.239999999998</v>
      </c>
      <c r="S2314" s="1592"/>
    </row>
    <row r="2315" spans="2:19" s="1593" customFormat="1" ht="11.25" customHeight="1" outlineLevel="1">
      <c r="B2315" s="1600" t="s">
        <v>11476</v>
      </c>
      <c r="C2315" s="1595" t="s">
        <v>11459</v>
      </c>
      <c r="D2315" s="1595" t="s">
        <v>11475</v>
      </c>
      <c r="E2315" s="1595" t="s">
        <v>2288</v>
      </c>
      <c r="F2315" s="1595" t="s">
        <v>11047</v>
      </c>
      <c r="G2315" s="1595"/>
      <c r="H2315" s="1596">
        <v>1</v>
      </c>
      <c r="I2315" s="1595"/>
      <c r="J2315" s="1595"/>
      <c r="K2315" s="1597">
        <v>131145.82999999999</v>
      </c>
      <c r="L2315" s="1597">
        <v>131145.82999999999</v>
      </c>
      <c r="M2315" s="1598"/>
      <c r="N2315" s="1597">
        <v>131145.82999999999</v>
      </c>
      <c r="O2315" s="1597">
        <v>85067.59</v>
      </c>
      <c r="P2315" s="1597">
        <v>3544.48</v>
      </c>
      <c r="Q2315" s="1597">
        <v>42533.760000000002</v>
      </c>
      <c r="R2315" s="1597">
        <v>46078.239999999998</v>
      </c>
      <c r="S2315" s="1592"/>
    </row>
    <row r="2316" spans="2:19" s="1593" customFormat="1" ht="11.25" customHeight="1" outlineLevel="1">
      <c r="B2316" s="1600" t="s">
        <v>11474</v>
      </c>
      <c r="C2316" s="1595" t="s">
        <v>11459</v>
      </c>
      <c r="D2316" s="1595" t="s">
        <v>11473</v>
      </c>
      <c r="E2316" s="1595" t="s">
        <v>2288</v>
      </c>
      <c r="F2316" s="1595" t="s">
        <v>11047</v>
      </c>
      <c r="G2316" s="1595"/>
      <c r="H2316" s="1596">
        <v>1</v>
      </c>
      <c r="I2316" s="1595"/>
      <c r="J2316" s="1595"/>
      <c r="K2316" s="1597">
        <v>131145.82999999999</v>
      </c>
      <c r="L2316" s="1597">
        <v>131145.82999999999</v>
      </c>
      <c r="M2316" s="1598"/>
      <c r="N2316" s="1597">
        <v>131145.82999999999</v>
      </c>
      <c r="O2316" s="1597">
        <v>85067.59</v>
      </c>
      <c r="P2316" s="1597">
        <v>3544.48</v>
      </c>
      <c r="Q2316" s="1597">
        <v>42533.760000000002</v>
      </c>
      <c r="R2316" s="1597">
        <v>46078.239999999998</v>
      </c>
      <c r="S2316" s="1592"/>
    </row>
    <row r="2317" spans="2:19" s="1593" customFormat="1" ht="11.25" customHeight="1" outlineLevel="1">
      <c r="B2317" s="1600" t="s">
        <v>11472</v>
      </c>
      <c r="C2317" s="1595" t="s">
        <v>11459</v>
      </c>
      <c r="D2317" s="1595" t="s">
        <v>11471</v>
      </c>
      <c r="E2317" s="1595" t="s">
        <v>2288</v>
      </c>
      <c r="F2317" s="1595" t="s">
        <v>11047</v>
      </c>
      <c r="G2317" s="1595"/>
      <c r="H2317" s="1596">
        <v>1</v>
      </c>
      <c r="I2317" s="1595"/>
      <c r="J2317" s="1595"/>
      <c r="K2317" s="1597">
        <v>105229.17</v>
      </c>
      <c r="L2317" s="1597">
        <v>105229.17</v>
      </c>
      <c r="M2317" s="1598"/>
      <c r="N2317" s="1597">
        <v>105229.17</v>
      </c>
      <c r="O2317" s="1597">
        <v>68256.78</v>
      </c>
      <c r="P2317" s="1597">
        <v>2844.03</v>
      </c>
      <c r="Q2317" s="1597">
        <v>34128.36</v>
      </c>
      <c r="R2317" s="1597">
        <v>36972.39</v>
      </c>
      <c r="S2317" s="1592"/>
    </row>
    <row r="2318" spans="2:19" s="1593" customFormat="1" ht="11.25" customHeight="1" outlineLevel="1">
      <c r="B2318" s="1600" t="s">
        <v>11470</v>
      </c>
      <c r="C2318" s="1595" t="s">
        <v>11459</v>
      </c>
      <c r="D2318" s="1595" t="s">
        <v>11469</v>
      </c>
      <c r="E2318" s="1595" t="s">
        <v>2288</v>
      </c>
      <c r="F2318" s="1595" t="s">
        <v>11047</v>
      </c>
      <c r="G2318" s="1595"/>
      <c r="H2318" s="1596">
        <v>1</v>
      </c>
      <c r="I2318" s="1595"/>
      <c r="J2318" s="1595"/>
      <c r="K2318" s="1597">
        <v>105229.17</v>
      </c>
      <c r="L2318" s="1597">
        <v>105229.17</v>
      </c>
      <c r="M2318" s="1598"/>
      <c r="N2318" s="1597">
        <v>105229.17</v>
      </c>
      <c r="O2318" s="1597">
        <v>68256.78</v>
      </c>
      <c r="P2318" s="1597">
        <v>2844.03</v>
      </c>
      <c r="Q2318" s="1597">
        <v>34128.36</v>
      </c>
      <c r="R2318" s="1597">
        <v>36972.39</v>
      </c>
      <c r="S2318" s="1592"/>
    </row>
    <row r="2319" spans="2:19" s="1593" customFormat="1" ht="11.25" customHeight="1" outlineLevel="1">
      <c r="B2319" s="1600" t="s">
        <v>11468</v>
      </c>
      <c r="C2319" s="1595" t="s">
        <v>11459</v>
      </c>
      <c r="D2319" s="1595" t="s">
        <v>11467</v>
      </c>
      <c r="E2319" s="1595" t="s">
        <v>2288</v>
      </c>
      <c r="F2319" s="1595" t="s">
        <v>11047</v>
      </c>
      <c r="G2319" s="1595"/>
      <c r="H2319" s="1596">
        <v>1</v>
      </c>
      <c r="I2319" s="1595"/>
      <c r="J2319" s="1595"/>
      <c r="K2319" s="1597">
        <v>105229.17</v>
      </c>
      <c r="L2319" s="1597">
        <v>105229.17</v>
      </c>
      <c r="M2319" s="1598"/>
      <c r="N2319" s="1597">
        <v>105229.17</v>
      </c>
      <c r="O2319" s="1597">
        <v>68256.78</v>
      </c>
      <c r="P2319" s="1597">
        <v>2844.03</v>
      </c>
      <c r="Q2319" s="1597">
        <v>34128.36</v>
      </c>
      <c r="R2319" s="1597">
        <v>36972.39</v>
      </c>
      <c r="S2319" s="1592"/>
    </row>
    <row r="2320" spans="2:19" s="1593" customFormat="1" ht="11.25" customHeight="1" outlineLevel="1">
      <c r="B2320" s="1600" t="s">
        <v>11466</v>
      </c>
      <c r="C2320" s="1595" t="s">
        <v>11459</v>
      </c>
      <c r="D2320" s="1595" t="s">
        <v>11465</v>
      </c>
      <c r="E2320" s="1595" t="s">
        <v>2288</v>
      </c>
      <c r="F2320" s="1595" t="s">
        <v>11047</v>
      </c>
      <c r="G2320" s="1595"/>
      <c r="H2320" s="1596">
        <v>1</v>
      </c>
      <c r="I2320" s="1595"/>
      <c r="J2320" s="1595"/>
      <c r="K2320" s="1597">
        <v>105229.17</v>
      </c>
      <c r="L2320" s="1597">
        <v>105229.17</v>
      </c>
      <c r="M2320" s="1598"/>
      <c r="N2320" s="1597">
        <v>105229.17</v>
      </c>
      <c r="O2320" s="1597">
        <v>68256.78</v>
      </c>
      <c r="P2320" s="1597">
        <v>2844.03</v>
      </c>
      <c r="Q2320" s="1597">
        <v>34128.36</v>
      </c>
      <c r="R2320" s="1597">
        <v>36972.39</v>
      </c>
      <c r="S2320" s="1592"/>
    </row>
    <row r="2321" spans="2:19" s="1593" customFormat="1" ht="11.25" customHeight="1" outlineLevel="1">
      <c r="B2321" s="1600" t="s">
        <v>11464</v>
      </c>
      <c r="C2321" s="1595" t="s">
        <v>11459</v>
      </c>
      <c r="D2321" s="1595" t="s">
        <v>11463</v>
      </c>
      <c r="E2321" s="1595" t="s">
        <v>2288</v>
      </c>
      <c r="F2321" s="1595" t="s">
        <v>11047</v>
      </c>
      <c r="G2321" s="1595"/>
      <c r="H2321" s="1596">
        <v>1</v>
      </c>
      <c r="I2321" s="1595"/>
      <c r="J2321" s="1595"/>
      <c r="K2321" s="1597">
        <v>105229.17</v>
      </c>
      <c r="L2321" s="1597">
        <v>105229.17</v>
      </c>
      <c r="M2321" s="1598"/>
      <c r="N2321" s="1597">
        <v>105229.17</v>
      </c>
      <c r="O2321" s="1597">
        <v>68256.78</v>
      </c>
      <c r="P2321" s="1597">
        <v>2844.03</v>
      </c>
      <c r="Q2321" s="1597">
        <v>34128.36</v>
      </c>
      <c r="R2321" s="1597">
        <v>36972.39</v>
      </c>
      <c r="S2321" s="1592"/>
    </row>
    <row r="2322" spans="2:19" s="1593" customFormat="1" ht="11.25" customHeight="1" outlineLevel="1">
      <c r="B2322" s="1600" t="s">
        <v>11462</v>
      </c>
      <c r="C2322" s="1595" t="s">
        <v>11459</v>
      </c>
      <c r="D2322" s="1595" t="s">
        <v>11461</v>
      </c>
      <c r="E2322" s="1595" t="s">
        <v>2288</v>
      </c>
      <c r="F2322" s="1595" t="s">
        <v>11047</v>
      </c>
      <c r="G2322" s="1595"/>
      <c r="H2322" s="1596">
        <v>1</v>
      </c>
      <c r="I2322" s="1595"/>
      <c r="J2322" s="1595"/>
      <c r="K2322" s="1597">
        <v>182270.83</v>
      </c>
      <c r="L2322" s="1597">
        <v>182270.83</v>
      </c>
      <c r="M2322" s="1598"/>
      <c r="N2322" s="1597">
        <v>182270.83</v>
      </c>
      <c r="O2322" s="1597">
        <v>118229.71</v>
      </c>
      <c r="P2322" s="1597">
        <v>4926.24</v>
      </c>
      <c r="Q2322" s="1597">
        <v>59114.879999999997</v>
      </c>
      <c r="R2322" s="1597">
        <v>64041.120000000003</v>
      </c>
      <c r="S2322" s="1592"/>
    </row>
    <row r="2323" spans="2:19" s="1593" customFormat="1" ht="11.25" customHeight="1" outlineLevel="1">
      <c r="B2323" s="1600" t="s">
        <v>11460</v>
      </c>
      <c r="C2323" s="1595" t="s">
        <v>11459</v>
      </c>
      <c r="D2323" s="1595" t="s">
        <v>11458</v>
      </c>
      <c r="E2323" s="1595" t="s">
        <v>2288</v>
      </c>
      <c r="F2323" s="1595" t="s">
        <v>11047</v>
      </c>
      <c r="G2323" s="1595"/>
      <c r="H2323" s="1596">
        <v>1</v>
      </c>
      <c r="I2323" s="1595"/>
      <c r="J2323" s="1595"/>
      <c r="K2323" s="1597">
        <v>105229.17</v>
      </c>
      <c r="L2323" s="1597">
        <v>105229.17</v>
      </c>
      <c r="M2323" s="1598"/>
      <c r="N2323" s="1597">
        <v>105229.17</v>
      </c>
      <c r="O2323" s="1597">
        <v>68256.78</v>
      </c>
      <c r="P2323" s="1597">
        <v>2844.03</v>
      </c>
      <c r="Q2323" s="1597">
        <v>34128.36</v>
      </c>
      <c r="R2323" s="1597">
        <v>36972.39</v>
      </c>
      <c r="S2323" s="1592"/>
    </row>
    <row r="2324" spans="2:19" s="1593" customFormat="1" ht="21.75" customHeight="1" outlineLevel="1">
      <c r="B2324" s="1600" t="s">
        <v>11457</v>
      </c>
      <c r="C2324" s="1595" t="s">
        <v>6843</v>
      </c>
      <c r="D2324" s="1595" t="s">
        <v>11456</v>
      </c>
      <c r="E2324" s="1595" t="s">
        <v>2288</v>
      </c>
      <c r="F2324" s="1595" t="s">
        <v>11047</v>
      </c>
      <c r="G2324" s="1595"/>
      <c r="H2324" s="1596">
        <v>1</v>
      </c>
      <c r="I2324" s="1595"/>
      <c r="J2324" s="1595"/>
      <c r="K2324" s="1597">
        <v>105229.17</v>
      </c>
      <c r="L2324" s="1597">
        <v>105229.17</v>
      </c>
      <c r="M2324" s="1598"/>
      <c r="N2324" s="1597">
        <v>105229.17</v>
      </c>
      <c r="O2324" s="1597">
        <v>68256.78</v>
      </c>
      <c r="P2324" s="1597">
        <v>2844.03</v>
      </c>
      <c r="Q2324" s="1597">
        <v>34128.36</v>
      </c>
      <c r="R2324" s="1597">
        <v>36972.39</v>
      </c>
      <c r="S2324" s="1592"/>
    </row>
    <row r="2325" spans="2:19" s="1593" customFormat="1" ht="11.25" customHeight="1" outlineLevel="1">
      <c r="B2325" s="1600" t="s">
        <v>11455</v>
      </c>
      <c r="C2325" s="1595" t="s">
        <v>6843</v>
      </c>
      <c r="D2325" s="1595" t="s">
        <v>11454</v>
      </c>
      <c r="E2325" s="1595" t="s">
        <v>2288</v>
      </c>
      <c r="F2325" s="1595" t="s">
        <v>11047</v>
      </c>
      <c r="G2325" s="1595"/>
      <c r="H2325" s="1596">
        <v>1</v>
      </c>
      <c r="I2325" s="1595"/>
      <c r="J2325" s="1595"/>
      <c r="K2325" s="1597">
        <v>105229.17</v>
      </c>
      <c r="L2325" s="1597">
        <v>105229.17</v>
      </c>
      <c r="M2325" s="1598"/>
      <c r="N2325" s="1597">
        <v>105229.17</v>
      </c>
      <c r="O2325" s="1597">
        <v>68256.78</v>
      </c>
      <c r="P2325" s="1597">
        <v>2844.03</v>
      </c>
      <c r="Q2325" s="1597">
        <v>34128.36</v>
      </c>
      <c r="R2325" s="1597">
        <v>36972.39</v>
      </c>
      <c r="S2325" s="1592"/>
    </row>
    <row r="2326" spans="2:19" s="1593" customFormat="1" ht="11.25" customHeight="1" outlineLevel="1">
      <c r="B2326" s="1600" t="s">
        <v>11453</v>
      </c>
      <c r="C2326" s="1595" t="s">
        <v>6843</v>
      </c>
      <c r="D2326" s="1595" t="s">
        <v>11452</v>
      </c>
      <c r="E2326" s="1595" t="s">
        <v>2288</v>
      </c>
      <c r="F2326" s="1595" t="s">
        <v>11047</v>
      </c>
      <c r="G2326" s="1595"/>
      <c r="H2326" s="1596">
        <v>1</v>
      </c>
      <c r="I2326" s="1595"/>
      <c r="J2326" s="1595"/>
      <c r="K2326" s="1597">
        <v>105229.17</v>
      </c>
      <c r="L2326" s="1597">
        <v>105229.17</v>
      </c>
      <c r="M2326" s="1598"/>
      <c r="N2326" s="1597">
        <v>105229.17</v>
      </c>
      <c r="O2326" s="1597">
        <v>68256.78</v>
      </c>
      <c r="P2326" s="1597">
        <v>2844.03</v>
      </c>
      <c r="Q2326" s="1597">
        <v>34128.36</v>
      </c>
      <c r="R2326" s="1597">
        <v>36972.39</v>
      </c>
      <c r="S2326" s="1592"/>
    </row>
    <row r="2327" spans="2:19" s="1593" customFormat="1" ht="11.25" customHeight="1" outlineLevel="1">
      <c r="B2327" s="1600" t="s">
        <v>11451</v>
      </c>
      <c r="C2327" s="1595" t="s">
        <v>6843</v>
      </c>
      <c r="D2327" s="1595" t="s">
        <v>11450</v>
      </c>
      <c r="E2327" s="1595" t="s">
        <v>2288</v>
      </c>
      <c r="F2327" s="1595" t="s">
        <v>11047</v>
      </c>
      <c r="G2327" s="1595"/>
      <c r="H2327" s="1596">
        <v>1</v>
      </c>
      <c r="I2327" s="1595"/>
      <c r="J2327" s="1595"/>
      <c r="K2327" s="1597">
        <v>105229.16</v>
      </c>
      <c r="L2327" s="1597">
        <v>105229.16</v>
      </c>
      <c r="M2327" s="1598"/>
      <c r="N2327" s="1597">
        <v>105229.16</v>
      </c>
      <c r="O2327" s="1597">
        <v>68256.77</v>
      </c>
      <c r="P2327" s="1597">
        <v>2844.03</v>
      </c>
      <c r="Q2327" s="1597">
        <v>34128.36</v>
      </c>
      <c r="R2327" s="1597">
        <v>36972.39</v>
      </c>
      <c r="S2327" s="1592"/>
    </row>
    <row r="2328" spans="2:19" s="1593" customFormat="1" ht="11.25" customHeight="1" outlineLevel="1">
      <c r="B2328" s="1600" t="s">
        <v>11449</v>
      </c>
      <c r="C2328" s="1595" t="s">
        <v>6843</v>
      </c>
      <c r="D2328" s="1595" t="s">
        <v>11448</v>
      </c>
      <c r="E2328" s="1595" t="s">
        <v>2288</v>
      </c>
      <c r="F2328" s="1595" t="s">
        <v>11047</v>
      </c>
      <c r="G2328" s="1595"/>
      <c r="H2328" s="1596">
        <v>1</v>
      </c>
      <c r="I2328" s="1595"/>
      <c r="J2328" s="1595"/>
      <c r="K2328" s="1597">
        <v>105229.17</v>
      </c>
      <c r="L2328" s="1597">
        <v>105229.17</v>
      </c>
      <c r="M2328" s="1598"/>
      <c r="N2328" s="1597">
        <v>105229.17</v>
      </c>
      <c r="O2328" s="1597">
        <v>68256.78</v>
      </c>
      <c r="P2328" s="1597">
        <v>2844.03</v>
      </c>
      <c r="Q2328" s="1597">
        <v>34128.36</v>
      </c>
      <c r="R2328" s="1597">
        <v>36972.39</v>
      </c>
      <c r="S2328" s="1592"/>
    </row>
    <row r="2329" spans="2:19" s="1593" customFormat="1" ht="21.75" customHeight="1" outlineLevel="1">
      <c r="B2329" s="1600" t="s">
        <v>11447</v>
      </c>
      <c r="C2329" s="1595" t="s">
        <v>6843</v>
      </c>
      <c r="D2329" s="1595" t="s">
        <v>11446</v>
      </c>
      <c r="E2329" s="1595" t="s">
        <v>2288</v>
      </c>
      <c r="F2329" s="1595" t="s">
        <v>11047</v>
      </c>
      <c r="G2329" s="1595"/>
      <c r="H2329" s="1596">
        <v>1</v>
      </c>
      <c r="I2329" s="1595"/>
      <c r="J2329" s="1595"/>
      <c r="K2329" s="1597">
        <v>105229.16</v>
      </c>
      <c r="L2329" s="1597">
        <v>105229.16</v>
      </c>
      <c r="M2329" s="1598"/>
      <c r="N2329" s="1597">
        <v>105229.16</v>
      </c>
      <c r="O2329" s="1597">
        <v>68256.77</v>
      </c>
      <c r="P2329" s="1597">
        <v>2844.03</v>
      </c>
      <c r="Q2329" s="1597">
        <v>34128.36</v>
      </c>
      <c r="R2329" s="1597">
        <v>36972.39</v>
      </c>
      <c r="S2329" s="1592"/>
    </row>
    <row r="2330" spans="2:19" s="1593" customFormat="1" ht="21.75" customHeight="1" outlineLevel="1">
      <c r="B2330" s="1600" t="s">
        <v>11445</v>
      </c>
      <c r="C2330" s="1595" t="s">
        <v>6843</v>
      </c>
      <c r="D2330" s="1595" t="s">
        <v>11444</v>
      </c>
      <c r="E2330" s="1595" t="s">
        <v>2288</v>
      </c>
      <c r="F2330" s="1595" t="s">
        <v>11047</v>
      </c>
      <c r="G2330" s="1595"/>
      <c r="H2330" s="1596">
        <v>1</v>
      </c>
      <c r="I2330" s="1595"/>
      <c r="J2330" s="1595"/>
      <c r="K2330" s="1597">
        <v>131145.82999999999</v>
      </c>
      <c r="L2330" s="1597">
        <v>131145.82999999999</v>
      </c>
      <c r="M2330" s="1598"/>
      <c r="N2330" s="1597">
        <v>131145.82999999999</v>
      </c>
      <c r="O2330" s="1597">
        <v>85067.59</v>
      </c>
      <c r="P2330" s="1597">
        <v>3544.48</v>
      </c>
      <c r="Q2330" s="1597">
        <v>42533.760000000002</v>
      </c>
      <c r="R2330" s="1597">
        <v>46078.239999999998</v>
      </c>
      <c r="S2330" s="1592"/>
    </row>
    <row r="2331" spans="2:19" s="1593" customFormat="1" ht="21.75" customHeight="1" outlineLevel="1">
      <c r="B2331" s="1600" t="s">
        <v>11443</v>
      </c>
      <c r="C2331" s="1595" t="s">
        <v>2414</v>
      </c>
      <c r="D2331" s="1595" t="s">
        <v>11442</v>
      </c>
      <c r="E2331" s="1595" t="s">
        <v>2288</v>
      </c>
      <c r="F2331" s="1595" t="s">
        <v>11047</v>
      </c>
      <c r="G2331" s="1595"/>
      <c r="H2331" s="1596">
        <v>1</v>
      </c>
      <c r="I2331" s="1595"/>
      <c r="J2331" s="1595"/>
      <c r="K2331" s="1597">
        <v>131145.82999999999</v>
      </c>
      <c r="L2331" s="1597">
        <v>131145.82999999999</v>
      </c>
      <c r="M2331" s="1598"/>
      <c r="N2331" s="1597">
        <v>131145.82999999999</v>
      </c>
      <c r="O2331" s="1597">
        <v>88612.07</v>
      </c>
      <c r="P2331" s="1598"/>
      <c r="Q2331" s="1597">
        <v>42533.760000000002</v>
      </c>
      <c r="R2331" s="1597">
        <v>42533.760000000002</v>
      </c>
      <c r="S2331" s="1592"/>
    </row>
    <row r="2332" spans="2:19" s="1593" customFormat="1" ht="11.25" customHeight="1" outlineLevel="1">
      <c r="B2332" s="1600" t="s">
        <v>11441</v>
      </c>
      <c r="C2332" s="1595" t="s">
        <v>2414</v>
      </c>
      <c r="D2332" s="1595" t="s">
        <v>11440</v>
      </c>
      <c r="E2332" s="1595" t="s">
        <v>2288</v>
      </c>
      <c r="F2332" s="1595" t="s">
        <v>11047</v>
      </c>
      <c r="G2332" s="1595"/>
      <c r="H2332" s="1596">
        <v>1</v>
      </c>
      <c r="I2332" s="1595"/>
      <c r="J2332" s="1595"/>
      <c r="K2332" s="1597">
        <v>105229.17</v>
      </c>
      <c r="L2332" s="1597">
        <v>105229.17</v>
      </c>
      <c r="M2332" s="1598"/>
      <c r="N2332" s="1597">
        <v>105229.17</v>
      </c>
      <c r="O2332" s="1597">
        <v>71100.81</v>
      </c>
      <c r="P2332" s="1598"/>
      <c r="Q2332" s="1597">
        <v>34128.36</v>
      </c>
      <c r="R2332" s="1597">
        <v>34128.36</v>
      </c>
      <c r="S2332" s="1592"/>
    </row>
    <row r="2333" spans="2:19" s="1593" customFormat="1" ht="21.75" customHeight="1" outlineLevel="1">
      <c r="B2333" s="1600" t="s">
        <v>11439</v>
      </c>
      <c r="C2333" s="1595" t="s">
        <v>2406</v>
      </c>
      <c r="D2333" s="1595" t="s">
        <v>11438</v>
      </c>
      <c r="E2333" s="1595" t="s">
        <v>2288</v>
      </c>
      <c r="F2333" s="1595" t="s">
        <v>11047</v>
      </c>
      <c r="G2333" s="1595"/>
      <c r="H2333" s="1596">
        <v>1</v>
      </c>
      <c r="I2333" s="1595"/>
      <c r="J2333" s="1595"/>
      <c r="K2333" s="1597">
        <v>105229.17</v>
      </c>
      <c r="L2333" s="1598"/>
      <c r="M2333" s="1597">
        <v>105229.17</v>
      </c>
      <c r="N2333" s="1597">
        <v>105229.17</v>
      </c>
      <c r="O2333" s="1597">
        <v>95583.16</v>
      </c>
      <c r="P2333" s="1598"/>
      <c r="Q2333" s="1597">
        <v>9646.01</v>
      </c>
      <c r="R2333" s="1597">
        <v>9646.01</v>
      </c>
      <c r="S2333" s="1592"/>
    </row>
    <row r="2334" spans="2:19" s="1593" customFormat="1" ht="21.75" customHeight="1" outlineLevel="1">
      <c r="B2334" s="1600" t="s">
        <v>11437</v>
      </c>
      <c r="C2334" s="1595" t="s">
        <v>2406</v>
      </c>
      <c r="D2334" s="1595" t="s">
        <v>11436</v>
      </c>
      <c r="E2334" s="1595" t="s">
        <v>2288</v>
      </c>
      <c r="F2334" s="1595" t="s">
        <v>11047</v>
      </c>
      <c r="G2334" s="1595"/>
      <c r="H2334" s="1596">
        <v>1</v>
      </c>
      <c r="I2334" s="1595"/>
      <c r="J2334" s="1595"/>
      <c r="K2334" s="1597">
        <v>131145.82999999999</v>
      </c>
      <c r="L2334" s="1598"/>
      <c r="M2334" s="1597">
        <v>131145.82999999999</v>
      </c>
      <c r="N2334" s="1597">
        <v>131145.82999999999</v>
      </c>
      <c r="O2334" s="1597">
        <v>119124.15</v>
      </c>
      <c r="P2334" s="1598"/>
      <c r="Q2334" s="1597">
        <v>12021.68</v>
      </c>
      <c r="R2334" s="1597">
        <v>12021.68</v>
      </c>
      <c r="S2334" s="1592"/>
    </row>
    <row r="2335" spans="2:19" s="1593" customFormat="1" ht="11.25" customHeight="1" outlineLevel="1">
      <c r="B2335" s="1600" t="s">
        <v>11435</v>
      </c>
      <c r="C2335" s="1595" t="s">
        <v>2406</v>
      </c>
      <c r="D2335" s="1595" t="s">
        <v>11434</v>
      </c>
      <c r="E2335" s="1595" t="s">
        <v>2288</v>
      </c>
      <c r="F2335" s="1595" t="s">
        <v>11047</v>
      </c>
      <c r="G2335" s="1595"/>
      <c r="H2335" s="1596">
        <v>1</v>
      </c>
      <c r="I2335" s="1595"/>
      <c r="J2335" s="1595"/>
      <c r="K2335" s="1597">
        <v>131145.82999999999</v>
      </c>
      <c r="L2335" s="1598"/>
      <c r="M2335" s="1597">
        <v>131145.82999999999</v>
      </c>
      <c r="N2335" s="1597">
        <v>131145.82999999999</v>
      </c>
      <c r="O2335" s="1597">
        <v>119124.15</v>
      </c>
      <c r="P2335" s="1598"/>
      <c r="Q2335" s="1597">
        <v>12021.68</v>
      </c>
      <c r="R2335" s="1597">
        <v>12021.68</v>
      </c>
      <c r="S2335" s="1592"/>
    </row>
    <row r="2336" spans="2:19" s="1593" customFormat="1" ht="11.25" customHeight="1" outlineLevel="1">
      <c r="B2336" s="1600" t="s">
        <v>11433</v>
      </c>
      <c r="C2336" s="1595" t="s">
        <v>11394</v>
      </c>
      <c r="D2336" s="1595" t="s">
        <v>11432</v>
      </c>
      <c r="E2336" s="1595" t="s">
        <v>2288</v>
      </c>
      <c r="F2336" s="1595" t="s">
        <v>11047</v>
      </c>
      <c r="G2336" s="1595"/>
      <c r="H2336" s="1596">
        <v>1</v>
      </c>
      <c r="I2336" s="1595"/>
      <c r="J2336" s="1595"/>
      <c r="K2336" s="1597">
        <v>131145.82999999999</v>
      </c>
      <c r="L2336" s="1598"/>
      <c r="M2336" s="1597">
        <v>131145.82999999999</v>
      </c>
      <c r="N2336" s="1597">
        <v>131145.82999999999</v>
      </c>
      <c r="O2336" s="1597">
        <v>122402.79</v>
      </c>
      <c r="P2336" s="1598"/>
      <c r="Q2336" s="1597">
        <v>8743.0400000000009</v>
      </c>
      <c r="R2336" s="1597">
        <v>8743.0400000000009</v>
      </c>
      <c r="S2336" s="1592"/>
    </row>
    <row r="2337" spans="2:19" s="1593" customFormat="1" ht="21.75" customHeight="1" outlineLevel="1">
      <c r="B2337" s="1600" t="s">
        <v>11431</v>
      </c>
      <c r="C2337" s="1595" t="s">
        <v>11394</v>
      </c>
      <c r="D2337" s="1595" t="s">
        <v>11430</v>
      </c>
      <c r="E2337" s="1595" t="s">
        <v>2288</v>
      </c>
      <c r="F2337" s="1595" t="s">
        <v>11047</v>
      </c>
      <c r="G2337" s="1595"/>
      <c r="H2337" s="1596">
        <v>1</v>
      </c>
      <c r="I2337" s="1595"/>
      <c r="J2337" s="1595"/>
      <c r="K2337" s="1597">
        <v>131145.82999999999</v>
      </c>
      <c r="L2337" s="1598"/>
      <c r="M2337" s="1597">
        <v>131145.82999999999</v>
      </c>
      <c r="N2337" s="1597">
        <v>131145.82999999999</v>
      </c>
      <c r="O2337" s="1597">
        <v>122402.79</v>
      </c>
      <c r="P2337" s="1598"/>
      <c r="Q2337" s="1597">
        <v>8743.0400000000009</v>
      </c>
      <c r="R2337" s="1597">
        <v>8743.0400000000009</v>
      </c>
      <c r="S2337" s="1592"/>
    </row>
    <row r="2338" spans="2:19" s="1593" customFormat="1" ht="21.75" customHeight="1" outlineLevel="1">
      <c r="B2338" s="1600" t="s">
        <v>11429</v>
      </c>
      <c r="C2338" s="1595" t="s">
        <v>11394</v>
      </c>
      <c r="D2338" s="1595" t="s">
        <v>11428</v>
      </c>
      <c r="E2338" s="1595" t="s">
        <v>2288</v>
      </c>
      <c r="F2338" s="1595" t="s">
        <v>11047</v>
      </c>
      <c r="G2338" s="1595"/>
      <c r="H2338" s="1596">
        <v>1</v>
      </c>
      <c r="I2338" s="1595"/>
      <c r="J2338" s="1595"/>
      <c r="K2338" s="1597">
        <v>131145.82999999999</v>
      </c>
      <c r="L2338" s="1598"/>
      <c r="M2338" s="1597">
        <v>131145.82999999999</v>
      </c>
      <c r="N2338" s="1597">
        <v>131145.82999999999</v>
      </c>
      <c r="O2338" s="1597">
        <v>122402.79</v>
      </c>
      <c r="P2338" s="1598"/>
      <c r="Q2338" s="1597">
        <v>8743.0400000000009</v>
      </c>
      <c r="R2338" s="1597">
        <v>8743.0400000000009</v>
      </c>
      <c r="S2338" s="1592"/>
    </row>
    <row r="2339" spans="2:19" s="1593" customFormat="1" ht="21.75" customHeight="1" outlineLevel="1">
      <c r="B2339" s="1600" t="s">
        <v>11427</v>
      </c>
      <c r="C2339" s="1595" t="s">
        <v>11394</v>
      </c>
      <c r="D2339" s="1595" t="s">
        <v>11426</v>
      </c>
      <c r="E2339" s="1595" t="s">
        <v>2288</v>
      </c>
      <c r="F2339" s="1595" t="s">
        <v>11047</v>
      </c>
      <c r="G2339" s="1595"/>
      <c r="H2339" s="1596">
        <v>1</v>
      </c>
      <c r="I2339" s="1595"/>
      <c r="J2339" s="1595"/>
      <c r="K2339" s="1597">
        <v>131145.82999999999</v>
      </c>
      <c r="L2339" s="1598"/>
      <c r="M2339" s="1597">
        <v>131145.82999999999</v>
      </c>
      <c r="N2339" s="1597">
        <v>131145.82999999999</v>
      </c>
      <c r="O2339" s="1597">
        <v>122402.79</v>
      </c>
      <c r="P2339" s="1598"/>
      <c r="Q2339" s="1597">
        <v>8743.0400000000009</v>
      </c>
      <c r="R2339" s="1597">
        <v>8743.0400000000009</v>
      </c>
      <c r="S2339" s="1592"/>
    </row>
    <row r="2340" spans="2:19" s="1593" customFormat="1" ht="21.75" customHeight="1" outlineLevel="1">
      <c r="B2340" s="1600" t="s">
        <v>11425</v>
      </c>
      <c r="C2340" s="1595" t="s">
        <v>11394</v>
      </c>
      <c r="D2340" s="1595" t="s">
        <v>11424</v>
      </c>
      <c r="E2340" s="1595" t="s">
        <v>2288</v>
      </c>
      <c r="F2340" s="1595" t="s">
        <v>11047</v>
      </c>
      <c r="G2340" s="1595"/>
      <c r="H2340" s="1596">
        <v>1</v>
      </c>
      <c r="I2340" s="1595"/>
      <c r="J2340" s="1595"/>
      <c r="K2340" s="1597">
        <v>131145.82999999999</v>
      </c>
      <c r="L2340" s="1598"/>
      <c r="M2340" s="1597">
        <v>131145.82999999999</v>
      </c>
      <c r="N2340" s="1597">
        <v>131145.82999999999</v>
      </c>
      <c r="O2340" s="1597">
        <v>122402.79</v>
      </c>
      <c r="P2340" s="1598"/>
      <c r="Q2340" s="1597">
        <v>8743.0400000000009</v>
      </c>
      <c r="R2340" s="1597">
        <v>8743.0400000000009</v>
      </c>
      <c r="S2340" s="1592"/>
    </row>
    <row r="2341" spans="2:19" s="1593" customFormat="1" ht="11.25" customHeight="1" outlineLevel="1">
      <c r="B2341" s="1600" t="s">
        <v>11423</v>
      </c>
      <c r="C2341" s="1595" t="s">
        <v>11394</v>
      </c>
      <c r="D2341" s="1595" t="s">
        <v>11422</v>
      </c>
      <c r="E2341" s="1595" t="s">
        <v>2288</v>
      </c>
      <c r="F2341" s="1595" t="s">
        <v>11047</v>
      </c>
      <c r="G2341" s="1595"/>
      <c r="H2341" s="1596">
        <v>1</v>
      </c>
      <c r="I2341" s="1595"/>
      <c r="J2341" s="1595"/>
      <c r="K2341" s="1597">
        <v>131145.82999999999</v>
      </c>
      <c r="L2341" s="1598"/>
      <c r="M2341" s="1597">
        <v>131145.82999999999</v>
      </c>
      <c r="N2341" s="1597">
        <v>131145.82999999999</v>
      </c>
      <c r="O2341" s="1597">
        <v>122402.79</v>
      </c>
      <c r="P2341" s="1598"/>
      <c r="Q2341" s="1597">
        <v>8743.0400000000009</v>
      </c>
      <c r="R2341" s="1597">
        <v>8743.0400000000009</v>
      </c>
      <c r="S2341" s="1592"/>
    </row>
    <row r="2342" spans="2:19" s="1593" customFormat="1" ht="11.25" customHeight="1" outlineLevel="1">
      <c r="B2342" s="1600" t="s">
        <v>11421</v>
      </c>
      <c r="C2342" s="1595" t="s">
        <v>11394</v>
      </c>
      <c r="D2342" s="1595" t="s">
        <v>11420</v>
      </c>
      <c r="E2342" s="1595" t="s">
        <v>2288</v>
      </c>
      <c r="F2342" s="1595" t="s">
        <v>11047</v>
      </c>
      <c r="G2342" s="1595"/>
      <c r="H2342" s="1596">
        <v>1</v>
      </c>
      <c r="I2342" s="1595"/>
      <c r="J2342" s="1595"/>
      <c r="K2342" s="1597">
        <v>131145.82999999999</v>
      </c>
      <c r="L2342" s="1598"/>
      <c r="M2342" s="1597">
        <v>131145.82999999999</v>
      </c>
      <c r="N2342" s="1597">
        <v>131145.82999999999</v>
      </c>
      <c r="O2342" s="1597">
        <v>122402.79</v>
      </c>
      <c r="P2342" s="1598"/>
      <c r="Q2342" s="1597">
        <v>8743.0400000000009</v>
      </c>
      <c r="R2342" s="1597">
        <v>8743.0400000000009</v>
      </c>
      <c r="S2342" s="1592"/>
    </row>
    <row r="2343" spans="2:19" s="1593" customFormat="1" ht="21.75" customHeight="1" outlineLevel="1">
      <c r="B2343" s="1600" t="s">
        <v>11419</v>
      </c>
      <c r="C2343" s="1595" t="s">
        <v>11394</v>
      </c>
      <c r="D2343" s="1595" t="s">
        <v>11418</v>
      </c>
      <c r="E2343" s="1595" t="s">
        <v>2288</v>
      </c>
      <c r="F2343" s="1595" t="s">
        <v>11047</v>
      </c>
      <c r="G2343" s="1595"/>
      <c r="H2343" s="1596">
        <v>1</v>
      </c>
      <c r="I2343" s="1595"/>
      <c r="J2343" s="1595"/>
      <c r="K2343" s="1597">
        <v>131145.82999999999</v>
      </c>
      <c r="L2343" s="1598"/>
      <c r="M2343" s="1597">
        <v>131145.82999999999</v>
      </c>
      <c r="N2343" s="1597">
        <v>131145.82999999999</v>
      </c>
      <c r="O2343" s="1597">
        <v>122402.79</v>
      </c>
      <c r="P2343" s="1598"/>
      <c r="Q2343" s="1597">
        <v>8743.0400000000009</v>
      </c>
      <c r="R2343" s="1597">
        <v>8743.0400000000009</v>
      </c>
      <c r="S2343" s="1592"/>
    </row>
    <row r="2344" spans="2:19" s="1593" customFormat="1" ht="21.75" customHeight="1" outlineLevel="1">
      <c r="B2344" s="1600" t="s">
        <v>11417</v>
      </c>
      <c r="C2344" s="1595" t="s">
        <v>11394</v>
      </c>
      <c r="D2344" s="1595" t="s">
        <v>11416</v>
      </c>
      <c r="E2344" s="1595" t="s">
        <v>2288</v>
      </c>
      <c r="F2344" s="1595" t="s">
        <v>11047</v>
      </c>
      <c r="G2344" s="1595"/>
      <c r="H2344" s="1596">
        <v>1</v>
      </c>
      <c r="I2344" s="1595"/>
      <c r="J2344" s="1595"/>
      <c r="K2344" s="1597">
        <v>131145.82999999999</v>
      </c>
      <c r="L2344" s="1598"/>
      <c r="M2344" s="1597">
        <v>131145.82999999999</v>
      </c>
      <c r="N2344" s="1597">
        <v>131145.82999999999</v>
      </c>
      <c r="O2344" s="1597">
        <v>122402.79</v>
      </c>
      <c r="P2344" s="1598"/>
      <c r="Q2344" s="1597">
        <v>8743.0400000000009</v>
      </c>
      <c r="R2344" s="1597">
        <v>8743.0400000000009</v>
      </c>
      <c r="S2344" s="1592"/>
    </row>
    <row r="2345" spans="2:19" s="1593" customFormat="1" ht="21.75" customHeight="1" outlineLevel="1">
      <c r="B2345" s="1600" t="s">
        <v>11415</v>
      </c>
      <c r="C2345" s="1595" t="s">
        <v>11394</v>
      </c>
      <c r="D2345" s="1595" t="s">
        <v>11414</v>
      </c>
      <c r="E2345" s="1595" t="s">
        <v>2288</v>
      </c>
      <c r="F2345" s="1595" t="s">
        <v>11047</v>
      </c>
      <c r="G2345" s="1595"/>
      <c r="H2345" s="1596">
        <v>1</v>
      </c>
      <c r="I2345" s="1595"/>
      <c r="J2345" s="1595"/>
      <c r="K2345" s="1597">
        <v>131145.82999999999</v>
      </c>
      <c r="L2345" s="1598"/>
      <c r="M2345" s="1597">
        <v>131145.82999999999</v>
      </c>
      <c r="N2345" s="1597">
        <v>131145.82999999999</v>
      </c>
      <c r="O2345" s="1597">
        <v>122402.79</v>
      </c>
      <c r="P2345" s="1598"/>
      <c r="Q2345" s="1597">
        <v>8743.0400000000009</v>
      </c>
      <c r="R2345" s="1597">
        <v>8743.0400000000009</v>
      </c>
      <c r="S2345" s="1592"/>
    </row>
    <row r="2346" spans="2:19" s="1593" customFormat="1" ht="21.75" customHeight="1" outlineLevel="1">
      <c r="B2346" s="1600" t="s">
        <v>11413</v>
      </c>
      <c r="C2346" s="1595" t="s">
        <v>11394</v>
      </c>
      <c r="D2346" s="1595" t="s">
        <v>11412</v>
      </c>
      <c r="E2346" s="1595" t="s">
        <v>2288</v>
      </c>
      <c r="F2346" s="1595" t="s">
        <v>11047</v>
      </c>
      <c r="G2346" s="1595"/>
      <c r="H2346" s="1596">
        <v>1</v>
      </c>
      <c r="I2346" s="1595"/>
      <c r="J2346" s="1595"/>
      <c r="K2346" s="1597">
        <v>131145.84</v>
      </c>
      <c r="L2346" s="1598"/>
      <c r="M2346" s="1597">
        <v>131145.84</v>
      </c>
      <c r="N2346" s="1597">
        <v>131145.84</v>
      </c>
      <c r="O2346" s="1597">
        <v>122402.8</v>
      </c>
      <c r="P2346" s="1598"/>
      <c r="Q2346" s="1597">
        <v>8743.0400000000009</v>
      </c>
      <c r="R2346" s="1597">
        <v>8743.0400000000009</v>
      </c>
      <c r="S2346" s="1592"/>
    </row>
    <row r="2347" spans="2:19" s="1593" customFormat="1" ht="21.75" customHeight="1" outlineLevel="1">
      <c r="B2347" s="1600" t="s">
        <v>11411</v>
      </c>
      <c r="C2347" s="1595" t="s">
        <v>11394</v>
      </c>
      <c r="D2347" s="1595" t="s">
        <v>11410</v>
      </c>
      <c r="E2347" s="1595" t="s">
        <v>2288</v>
      </c>
      <c r="F2347" s="1595" t="s">
        <v>11047</v>
      </c>
      <c r="G2347" s="1595"/>
      <c r="H2347" s="1596">
        <v>1</v>
      </c>
      <c r="I2347" s="1595"/>
      <c r="J2347" s="1595"/>
      <c r="K2347" s="1597">
        <v>131145.84</v>
      </c>
      <c r="L2347" s="1598"/>
      <c r="M2347" s="1597">
        <v>131145.84</v>
      </c>
      <c r="N2347" s="1597">
        <v>131145.84</v>
      </c>
      <c r="O2347" s="1597">
        <v>122402.8</v>
      </c>
      <c r="P2347" s="1598"/>
      <c r="Q2347" s="1597">
        <v>8743.0400000000009</v>
      </c>
      <c r="R2347" s="1597">
        <v>8743.0400000000009</v>
      </c>
      <c r="S2347" s="1592"/>
    </row>
    <row r="2348" spans="2:19" s="1593" customFormat="1" ht="21.75" customHeight="1" outlineLevel="1">
      <c r="B2348" s="1600" t="s">
        <v>11409</v>
      </c>
      <c r="C2348" s="1595" t="s">
        <v>11394</v>
      </c>
      <c r="D2348" s="1595" t="s">
        <v>11408</v>
      </c>
      <c r="E2348" s="1595" t="s">
        <v>2288</v>
      </c>
      <c r="F2348" s="1595" t="s">
        <v>11047</v>
      </c>
      <c r="G2348" s="1595"/>
      <c r="H2348" s="1596">
        <v>1</v>
      </c>
      <c r="I2348" s="1595"/>
      <c r="J2348" s="1595"/>
      <c r="K2348" s="1597">
        <v>131145.84</v>
      </c>
      <c r="L2348" s="1598"/>
      <c r="M2348" s="1597">
        <v>131145.84</v>
      </c>
      <c r="N2348" s="1597">
        <v>131145.84</v>
      </c>
      <c r="O2348" s="1597">
        <v>122402.8</v>
      </c>
      <c r="P2348" s="1598"/>
      <c r="Q2348" s="1597">
        <v>8743.0400000000009</v>
      </c>
      <c r="R2348" s="1597">
        <v>8743.0400000000009</v>
      </c>
      <c r="S2348" s="1592"/>
    </row>
    <row r="2349" spans="2:19" s="1593" customFormat="1" ht="21.75" customHeight="1" outlineLevel="1">
      <c r="B2349" s="1600" t="s">
        <v>11407</v>
      </c>
      <c r="C2349" s="1595" t="s">
        <v>11394</v>
      </c>
      <c r="D2349" s="1595" t="s">
        <v>11406</v>
      </c>
      <c r="E2349" s="1595" t="s">
        <v>2288</v>
      </c>
      <c r="F2349" s="1595" t="s">
        <v>11047</v>
      </c>
      <c r="G2349" s="1595"/>
      <c r="H2349" s="1596">
        <v>1</v>
      </c>
      <c r="I2349" s="1595"/>
      <c r="J2349" s="1595"/>
      <c r="K2349" s="1597">
        <v>131145.84</v>
      </c>
      <c r="L2349" s="1598"/>
      <c r="M2349" s="1597">
        <v>131145.84</v>
      </c>
      <c r="N2349" s="1597">
        <v>131145.84</v>
      </c>
      <c r="O2349" s="1597">
        <v>122402.8</v>
      </c>
      <c r="P2349" s="1598"/>
      <c r="Q2349" s="1597">
        <v>8743.0400000000009</v>
      </c>
      <c r="R2349" s="1597">
        <v>8743.0400000000009</v>
      </c>
      <c r="S2349" s="1592"/>
    </row>
    <row r="2350" spans="2:19" s="1593" customFormat="1" ht="11.25" customHeight="1" outlineLevel="1">
      <c r="B2350" s="1600" t="s">
        <v>11405</v>
      </c>
      <c r="C2350" s="1595" t="s">
        <v>11394</v>
      </c>
      <c r="D2350" s="1595" t="s">
        <v>11404</v>
      </c>
      <c r="E2350" s="1595" t="s">
        <v>2288</v>
      </c>
      <c r="F2350" s="1595" t="s">
        <v>11047</v>
      </c>
      <c r="G2350" s="1595"/>
      <c r="H2350" s="1596">
        <v>1</v>
      </c>
      <c r="I2350" s="1595"/>
      <c r="J2350" s="1595"/>
      <c r="K2350" s="1597">
        <v>131145.84</v>
      </c>
      <c r="L2350" s="1598"/>
      <c r="M2350" s="1597">
        <v>131145.84</v>
      </c>
      <c r="N2350" s="1597">
        <v>131145.84</v>
      </c>
      <c r="O2350" s="1597">
        <v>122402.8</v>
      </c>
      <c r="P2350" s="1598"/>
      <c r="Q2350" s="1597">
        <v>8743.0400000000009</v>
      </c>
      <c r="R2350" s="1597">
        <v>8743.0400000000009</v>
      </c>
      <c r="S2350" s="1592"/>
    </row>
    <row r="2351" spans="2:19" s="1593" customFormat="1" ht="11.25" customHeight="1" outlineLevel="1">
      <c r="B2351" s="1600" t="s">
        <v>11403</v>
      </c>
      <c r="C2351" s="1595" t="s">
        <v>11394</v>
      </c>
      <c r="D2351" s="1595" t="s">
        <v>11402</v>
      </c>
      <c r="E2351" s="1595" t="s">
        <v>2288</v>
      </c>
      <c r="F2351" s="1595" t="s">
        <v>11047</v>
      </c>
      <c r="G2351" s="1595"/>
      <c r="H2351" s="1596">
        <v>1</v>
      </c>
      <c r="I2351" s="1595"/>
      <c r="J2351" s="1595"/>
      <c r="K2351" s="1597">
        <v>131145.82999999999</v>
      </c>
      <c r="L2351" s="1598"/>
      <c r="M2351" s="1597">
        <v>131145.82999999999</v>
      </c>
      <c r="N2351" s="1597">
        <v>131145.82999999999</v>
      </c>
      <c r="O2351" s="1597">
        <v>122402.79</v>
      </c>
      <c r="P2351" s="1598"/>
      <c r="Q2351" s="1597">
        <v>8743.0400000000009</v>
      </c>
      <c r="R2351" s="1597">
        <v>8743.0400000000009</v>
      </c>
      <c r="S2351" s="1592"/>
    </row>
    <row r="2352" spans="2:19" s="1593" customFormat="1" ht="21.75" customHeight="1" outlineLevel="1">
      <c r="B2352" s="1600" t="s">
        <v>11401</v>
      </c>
      <c r="C2352" s="1595" t="s">
        <v>11394</v>
      </c>
      <c r="D2352" s="1595" t="s">
        <v>11400</v>
      </c>
      <c r="E2352" s="1595" t="s">
        <v>2288</v>
      </c>
      <c r="F2352" s="1595" t="s">
        <v>11047</v>
      </c>
      <c r="G2352" s="1595"/>
      <c r="H2352" s="1596">
        <v>1</v>
      </c>
      <c r="I2352" s="1595"/>
      <c r="J2352" s="1595"/>
      <c r="K2352" s="1597">
        <v>131145.82999999999</v>
      </c>
      <c r="L2352" s="1598"/>
      <c r="M2352" s="1597">
        <v>131145.82999999999</v>
      </c>
      <c r="N2352" s="1597">
        <v>131145.82999999999</v>
      </c>
      <c r="O2352" s="1597">
        <v>122402.79</v>
      </c>
      <c r="P2352" s="1598"/>
      <c r="Q2352" s="1597">
        <v>8743.0400000000009</v>
      </c>
      <c r="R2352" s="1597">
        <v>8743.0400000000009</v>
      </c>
      <c r="S2352" s="1592"/>
    </row>
    <row r="2353" spans="2:19" s="1593" customFormat="1" ht="11.25" customHeight="1" outlineLevel="1">
      <c r="B2353" s="1600" t="s">
        <v>11399</v>
      </c>
      <c r="C2353" s="1595" t="s">
        <v>11394</v>
      </c>
      <c r="D2353" s="1595" t="s">
        <v>11398</v>
      </c>
      <c r="E2353" s="1595"/>
      <c r="F2353" s="1595" t="s">
        <v>11047</v>
      </c>
      <c r="G2353" s="1595"/>
      <c r="H2353" s="1596">
        <v>1</v>
      </c>
      <c r="I2353" s="1595"/>
      <c r="J2353" s="1595"/>
      <c r="K2353" s="1597">
        <v>131145.82999999999</v>
      </c>
      <c r="L2353" s="1598"/>
      <c r="M2353" s="1597">
        <v>131145.82999999999</v>
      </c>
      <c r="N2353" s="1597">
        <v>131145.82999999999</v>
      </c>
      <c r="O2353" s="1597">
        <v>122402.79</v>
      </c>
      <c r="P2353" s="1598"/>
      <c r="Q2353" s="1597">
        <v>8743.0400000000009</v>
      </c>
      <c r="R2353" s="1597">
        <v>8743.0400000000009</v>
      </c>
      <c r="S2353" s="1592"/>
    </row>
    <row r="2354" spans="2:19" s="1593" customFormat="1" ht="11.25" customHeight="1" outlineLevel="1">
      <c r="B2354" s="1600" t="s">
        <v>11397</v>
      </c>
      <c r="C2354" s="1595" t="s">
        <v>11394</v>
      </c>
      <c r="D2354" s="1595" t="s">
        <v>11396</v>
      </c>
      <c r="E2354" s="1595" t="s">
        <v>2288</v>
      </c>
      <c r="F2354" s="1595" t="s">
        <v>11047</v>
      </c>
      <c r="G2354" s="1595"/>
      <c r="H2354" s="1596">
        <v>1</v>
      </c>
      <c r="I2354" s="1595"/>
      <c r="J2354" s="1595"/>
      <c r="K2354" s="1597">
        <v>131145.84</v>
      </c>
      <c r="L2354" s="1598"/>
      <c r="M2354" s="1597">
        <v>131145.84</v>
      </c>
      <c r="N2354" s="1597">
        <v>131145.84</v>
      </c>
      <c r="O2354" s="1597">
        <v>122402.8</v>
      </c>
      <c r="P2354" s="1598"/>
      <c r="Q2354" s="1597">
        <v>8743.0400000000009</v>
      </c>
      <c r="R2354" s="1597">
        <v>8743.0400000000009</v>
      </c>
      <c r="S2354" s="1592"/>
    </row>
    <row r="2355" spans="2:19" s="1593" customFormat="1" ht="21.75" customHeight="1" outlineLevel="1">
      <c r="B2355" s="1600" t="s">
        <v>11395</v>
      </c>
      <c r="C2355" s="1595" t="s">
        <v>11394</v>
      </c>
      <c r="D2355" s="1595" t="s">
        <v>11393</v>
      </c>
      <c r="E2355" s="1595" t="s">
        <v>2288</v>
      </c>
      <c r="F2355" s="1595" t="s">
        <v>11047</v>
      </c>
      <c r="G2355" s="1595"/>
      <c r="H2355" s="1596">
        <v>1</v>
      </c>
      <c r="I2355" s="1595"/>
      <c r="J2355" s="1595"/>
      <c r="K2355" s="1597">
        <v>131145.84</v>
      </c>
      <c r="L2355" s="1598"/>
      <c r="M2355" s="1597">
        <v>131145.84</v>
      </c>
      <c r="N2355" s="1597">
        <v>131145.84</v>
      </c>
      <c r="O2355" s="1597">
        <v>122402.8</v>
      </c>
      <c r="P2355" s="1598"/>
      <c r="Q2355" s="1597">
        <v>8743.0400000000009</v>
      </c>
      <c r="R2355" s="1597">
        <v>8743.0400000000009</v>
      </c>
      <c r="S2355" s="1592"/>
    </row>
    <row r="2356" spans="2:19" s="1593" customFormat="1" ht="11.25" customHeight="1" outlineLevel="1">
      <c r="B2356" s="1600" t="s">
        <v>11392</v>
      </c>
      <c r="C2356" s="1595" t="s">
        <v>2386</v>
      </c>
      <c r="D2356" s="1595" t="s">
        <v>11391</v>
      </c>
      <c r="E2356" s="1595" t="s">
        <v>2288</v>
      </c>
      <c r="F2356" s="1595" t="s">
        <v>11047</v>
      </c>
      <c r="G2356" s="1595"/>
      <c r="H2356" s="1596">
        <v>1</v>
      </c>
      <c r="I2356" s="1595"/>
      <c r="J2356" s="1595"/>
      <c r="K2356" s="1597">
        <v>131145.84</v>
      </c>
      <c r="L2356" s="1598"/>
      <c r="M2356" s="1597">
        <v>131145.84</v>
      </c>
      <c r="N2356" s="1597">
        <v>131145.84</v>
      </c>
      <c r="O2356" s="1597">
        <v>122402.8</v>
      </c>
      <c r="P2356" s="1598"/>
      <c r="Q2356" s="1597">
        <v>8743.0400000000009</v>
      </c>
      <c r="R2356" s="1597">
        <v>8743.0400000000009</v>
      </c>
      <c r="S2356" s="1592"/>
    </row>
    <row r="2357" spans="2:19" s="1593" customFormat="1" ht="11.25" customHeight="1" outlineLevel="1">
      <c r="B2357" s="1600" t="s">
        <v>11390</v>
      </c>
      <c r="C2357" s="1595" t="s">
        <v>2386</v>
      </c>
      <c r="D2357" s="1595" t="s">
        <v>11389</v>
      </c>
      <c r="E2357" s="1595" t="s">
        <v>2288</v>
      </c>
      <c r="F2357" s="1595" t="s">
        <v>11047</v>
      </c>
      <c r="G2357" s="1595"/>
      <c r="H2357" s="1596">
        <v>1</v>
      </c>
      <c r="I2357" s="1595"/>
      <c r="J2357" s="1595"/>
      <c r="K2357" s="1597">
        <v>131145.82999999999</v>
      </c>
      <c r="L2357" s="1598"/>
      <c r="M2357" s="1597">
        <v>131145.82999999999</v>
      </c>
      <c r="N2357" s="1597">
        <v>131145.82999999999</v>
      </c>
      <c r="O2357" s="1597">
        <v>122402.79</v>
      </c>
      <c r="P2357" s="1598"/>
      <c r="Q2357" s="1597">
        <v>8743.0400000000009</v>
      </c>
      <c r="R2357" s="1597">
        <v>8743.0400000000009</v>
      </c>
      <c r="S2357" s="1592"/>
    </row>
    <row r="2358" spans="2:19" s="1593" customFormat="1" ht="11.25" customHeight="1" outlineLevel="1">
      <c r="B2358" s="1600" t="s">
        <v>11388</v>
      </c>
      <c r="C2358" s="1595" t="s">
        <v>2386</v>
      </c>
      <c r="D2358" s="1595" t="s">
        <v>11387</v>
      </c>
      <c r="E2358" s="1595" t="s">
        <v>2288</v>
      </c>
      <c r="F2358" s="1595" t="s">
        <v>11047</v>
      </c>
      <c r="G2358" s="1595"/>
      <c r="H2358" s="1596">
        <v>1</v>
      </c>
      <c r="I2358" s="1595"/>
      <c r="J2358" s="1595"/>
      <c r="K2358" s="1597">
        <v>131145.82999999999</v>
      </c>
      <c r="L2358" s="1598"/>
      <c r="M2358" s="1597">
        <v>131145.82999999999</v>
      </c>
      <c r="N2358" s="1597">
        <v>131145.82999999999</v>
      </c>
      <c r="O2358" s="1597">
        <v>122402.79</v>
      </c>
      <c r="P2358" s="1598"/>
      <c r="Q2358" s="1597">
        <v>8743.0400000000009</v>
      </c>
      <c r="R2358" s="1597">
        <v>8743.0400000000009</v>
      </c>
      <c r="S2358" s="1592"/>
    </row>
    <row r="2359" spans="2:19" s="1593" customFormat="1" ht="21.75" customHeight="1" outlineLevel="1">
      <c r="B2359" s="1600" t="s">
        <v>11386</v>
      </c>
      <c r="C2359" s="1595" t="s">
        <v>2386</v>
      </c>
      <c r="D2359" s="1595" t="s">
        <v>11385</v>
      </c>
      <c r="E2359" s="1595" t="s">
        <v>2288</v>
      </c>
      <c r="F2359" s="1595" t="s">
        <v>11047</v>
      </c>
      <c r="G2359" s="1595"/>
      <c r="H2359" s="1596">
        <v>1</v>
      </c>
      <c r="I2359" s="1595"/>
      <c r="J2359" s="1595"/>
      <c r="K2359" s="1597">
        <v>131145.82999999999</v>
      </c>
      <c r="L2359" s="1598"/>
      <c r="M2359" s="1597">
        <v>131145.82999999999</v>
      </c>
      <c r="N2359" s="1597">
        <v>131145.82999999999</v>
      </c>
      <c r="O2359" s="1597">
        <v>122402.79</v>
      </c>
      <c r="P2359" s="1598"/>
      <c r="Q2359" s="1597">
        <v>8743.0400000000009</v>
      </c>
      <c r="R2359" s="1597">
        <v>8743.0400000000009</v>
      </c>
      <c r="S2359" s="1592"/>
    </row>
    <row r="2360" spans="2:19" s="1593" customFormat="1" ht="21.75" customHeight="1" outlineLevel="1">
      <c r="B2360" s="1600" t="s">
        <v>11384</v>
      </c>
      <c r="C2360" s="1595" t="s">
        <v>2386</v>
      </c>
      <c r="D2360" s="1595" t="s">
        <v>11383</v>
      </c>
      <c r="E2360" s="1595" t="s">
        <v>2288</v>
      </c>
      <c r="F2360" s="1595" t="s">
        <v>11047</v>
      </c>
      <c r="G2360" s="1595"/>
      <c r="H2360" s="1596">
        <v>1</v>
      </c>
      <c r="I2360" s="1595"/>
      <c r="J2360" s="1595"/>
      <c r="K2360" s="1597">
        <v>131145.82999999999</v>
      </c>
      <c r="L2360" s="1598"/>
      <c r="M2360" s="1597">
        <v>131145.82999999999</v>
      </c>
      <c r="N2360" s="1597">
        <v>131145.82999999999</v>
      </c>
      <c r="O2360" s="1597">
        <v>122402.79</v>
      </c>
      <c r="P2360" s="1598"/>
      <c r="Q2360" s="1597">
        <v>8743.0400000000009</v>
      </c>
      <c r="R2360" s="1597">
        <v>8743.0400000000009</v>
      </c>
      <c r="S2360" s="1592"/>
    </row>
    <row r="2361" spans="2:19" s="1593" customFormat="1" ht="21.75" customHeight="1" outlineLevel="1">
      <c r="B2361" s="1600" t="s">
        <v>11382</v>
      </c>
      <c r="C2361" s="1595" t="s">
        <v>2386</v>
      </c>
      <c r="D2361" s="1595" t="s">
        <v>11381</v>
      </c>
      <c r="E2361" s="1595" t="s">
        <v>2288</v>
      </c>
      <c r="F2361" s="1595" t="s">
        <v>11047</v>
      </c>
      <c r="G2361" s="1595"/>
      <c r="H2361" s="1596">
        <v>1</v>
      </c>
      <c r="I2361" s="1595"/>
      <c r="J2361" s="1595"/>
      <c r="K2361" s="1597">
        <v>131145.82999999999</v>
      </c>
      <c r="L2361" s="1598"/>
      <c r="M2361" s="1597">
        <v>131145.82999999999</v>
      </c>
      <c r="N2361" s="1597">
        <v>131145.82999999999</v>
      </c>
      <c r="O2361" s="1597">
        <v>122402.79</v>
      </c>
      <c r="P2361" s="1598"/>
      <c r="Q2361" s="1597">
        <v>8743.0400000000009</v>
      </c>
      <c r="R2361" s="1597">
        <v>8743.0400000000009</v>
      </c>
      <c r="S2361" s="1592"/>
    </row>
    <row r="2362" spans="2:19" s="1593" customFormat="1" ht="21.75" customHeight="1" outlineLevel="1">
      <c r="B2362" s="1600" t="s">
        <v>11380</v>
      </c>
      <c r="C2362" s="1595" t="s">
        <v>2386</v>
      </c>
      <c r="D2362" s="1595" t="s">
        <v>11379</v>
      </c>
      <c r="E2362" s="1595" t="s">
        <v>2288</v>
      </c>
      <c r="F2362" s="1595" t="s">
        <v>11047</v>
      </c>
      <c r="G2362" s="1595"/>
      <c r="H2362" s="1596">
        <v>1</v>
      </c>
      <c r="I2362" s="1595"/>
      <c r="J2362" s="1595"/>
      <c r="K2362" s="1597">
        <v>131145.82999999999</v>
      </c>
      <c r="L2362" s="1598"/>
      <c r="M2362" s="1597">
        <v>131145.82999999999</v>
      </c>
      <c r="N2362" s="1597">
        <v>131145.82999999999</v>
      </c>
      <c r="O2362" s="1597">
        <v>122402.79</v>
      </c>
      <c r="P2362" s="1598"/>
      <c r="Q2362" s="1597">
        <v>8743.0400000000009</v>
      </c>
      <c r="R2362" s="1597">
        <v>8743.0400000000009</v>
      </c>
      <c r="S2362" s="1592"/>
    </row>
    <row r="2363" spans="2:19" s="1593" customFormat="1" ht="21.75" customHeight="1" outlineLevel="1">
      <c r="B2363" s="1600" t="s">
        <v>11378</v>
      </c>
      <c r="C2363" s="1595" t="s">
        <v>2386</v>
      </c>
      <c r="D2363" s="1595" t="s">
        <v>11377</v>
      </c>
      <c r="E2363" s="1595" t="s">
        <v>2288</v>
      </c>
      <c r="F2363" s="1595" t="s">
        <v>11047</v>
      </c>
      <c r="G2363" s="1595"/>
      <c r="H2363" s="1596">
        <v>1</v>
      </c>
      <c r="I2363" s="1595"/>
      <c r="J2363" s="1595"/>
      <c r="K2363" s="1597">
        <v>131145.82999999999</v>
      </c>
      <c r="L2363" s="1598"/>
      <c r="M2363" s="1597">
        <v>131145.82999999999</v>
      </c>
      <c r="N2363" s="1597">
        <v>131145.82999999999</v>
      </c>
      <c r="O2363" s="1597">
        <v>122402.79</v>
      </c>
      <c r="P2363" s="1598"/>
      <c r="Q2363" s="1597">
        <v>8743.0400000000009</v>
      </c>
      <c r="R2363" s="1597">
        <v>8743.0400000000009</v>
      </c>
      <c r="S2363" s="1592"/>
    </row>
    <row r="2364" spans="2:19" s="1593" customFormat="1" ht="21.75" customHeight="1" outlineLevel="1">
      <c r="B2364" s="1600" t="s">
        <v>11376</v>
      </c>
      <c r="C2364" s="1595" t="s">
        <v>2386</v>
      </c>
      <c r="D2364" s="1595" t="s">
        <v>11375</v>
      </c>
      <c r="E2364" s="1595" t="s">
        <v>2288</v>
      </c>
      <c r="F2364" s="1595" t="s">
        <v>11047</v>
      </c>
      <c r="G2364" s="1595"/>
      <c r="H2364" s="1596">
        <v>1</v>
      </c>
      <c r="I2364" s="1595"/>
      <c r="J2364" s="1595"/>
      <c r="K2364" s="1597">
        <v>131145.82999999999</v>
      </c>
      <c r="L2364" s="1598"/>
      <c r="M2364" s="1597">
        <v>131145.82999999999</v>
      </c>
      <c r="N2364" s="1597">
        <v>131145.82999999999</v>
      </c>
      <c r="O2364" s="1597">
        <v>122402.79</v>
      </c>
      <c r="P2364" s="1598"/>
      <c r="Q2364" s="1597">
        <v>8743.0400000000009</v>
      </c>
      <c r="R2364" s="1597">
        <v>8743.0400000000009</v>
      </c>
      <c r="S2364" s="1592"/>
    </row>
    <row r="2365" spans="2:19" s="1593" customFormat="1" ht="21.75" customHeight="1" outlineLevel="1">
      <c r="B2365" s="1600" t="s">
        <v>11374</v>
      </c>
      <c r="C2365" s="1595" t="s">
        <v>2386</v>
      </c>
      <c r="D2365" s="1595" t="s">
        <v>11373</v>
      </c>
      <c r="E2365" s="1595" t="s">
        <v>2288</v>
      </c>
      <c r="F2365" s="1595" t="s">
        <v>11047</v>
      </c>
      <c r="G2365" s="1595"/>
      <c r="H2365" s="1596">
        <v>1</v>
      </c>
      <c r="I2365" s="1595"/>
      <c r="J2365" s="1595"/>
      <c r="K2365" s="1597">
        <v>131145.82999999999</v>
      </c>
      <c r="L2365" s="1598"/>
      <c r="M2365" s="1597">
        <v>131145.82999999999</v>
      </c>
      <c r="N2365" s="1597">
        <v>131145.82999999999</v>
      </c>
      <c r="O2365" s="1597">
        <v>122402.79</v>
      </c>
      <c r="P2365" s="1598"/>
      <c r="Q2365" s="1597">
        <v>8743.0400000000009</v>
      </c>
      <c r="R2365" s="1597">
        <v>8743.0400000000009</v>
      </c>
      <c r="S2365" s="1592"/>
    </row>
    <row r="2366" spans="2:19" s="1593" customFormat="1" ht="21.75" customHeight="1" outlineLevel="1">
      <c r="B2366" s="1600" t="s">
        <v>11372</v>
      </c>
      <c r="C2366" s="1595" t="s">
        <v>2386</v>
      </c>
      <c r="D2366" s="1595" t="s">
        <v>11371</v>
      </c>
      <c r="E2366" s="1595" t="s">
        <v>2288</v>
      </c>
      <c r="F2366" s="1595" t="s">
        <v>11047</v>
      </c>
      <c r="G2366" s="1595"/>
      <c r="H2366" s="1596">
        <v>1</v>
      </c>
      <c r="I2366" s="1595"/>
      <c r="J2366" s="1595"/>
      <c r="K2366" s="1597">
        <v>131145.82999999999</v>
      </c>
      <c r="L2366" s="1598"/>
      <c r="M2366" s="1597">
        <v>131145.82999999999</v>
      </c>
      <c r="N2366" s="1597">
        <v>131145.82999999999</v>
      </c>
      <c r="O2366" s="1597">
        <v>122402.79</v>
      </c>
      <c r="P2366" s="1598"/>
      <c r="Q2366" s="1597">
        <v>8743.0400000000009</v>
      </c>
      <c r="R2366" s="1597">
        <v>8743.0400000000009</v>
      </c>
      <c r="S2366" s="1592"/>
    </row>
    <row r="2367" spans="2:19" s="1593" customFormat="1" ht="21.75" customHeight="1" outlineLevel="1">
      <c r="B2367" s="1600" t="s">
        <v>11370</v>
      </c>
      <c r="C2367" s="1595" t="s">
        <v>2386</v>
      </c>
      <c r="D2367" s="1595" t="s">
        <v>11369</v>
      </c>
      <c r="E2367" s="1595" t="s">
        <v>2288</v>
      </c>
      <c r="F2367" s="1595" t="s">
        <v>11047</v>
      </c>
      <c r="G2367" s="1595"/>
      <c r="H2367" s="1596">
        <v>1</v>
      </c>
      <c r="I2367" s="1595"/>
      <c r="J2367" s="1595"/>
      <c r="K2367" s="1597">
        <v>131145.82999999999</v>
      </c>
      <c r="L2367" s="1598"/>
      <c r="M2367" s="1597">
        <v>131145.82999999999</v>
      </c>
      <c r="N2367" s="1597">
        <v>131145.82999999999</v>
      </c>
      <c r="O2367" s="1597">
        <v>122402.79</v>
      </c>
      <c r="P2367" s="1598"/>
      <c r="Q2367" s="1597">
        <v>8743.0400000000009</v>
      </c>
      <c r="R2367" s="1597">
        <v>8743.0400000000009</v>
      </c>
      <c r="S2367" s="1592"/>
    </row>
    <row r="2368" spans="2:19" s="1593" customFormat="1" ht="11.25" customHeight="1" outlineLevel="1">
      <c r="B2368" s="1600" t="s">
        <v>11368</v>
      </c>
      <c r="C2368" s="1595" t="s">
        <v>2386</v>
      </c>
      <c r="D2368" s="1595" t="s">
        <v>11367</v>
      </c>
      <c r="E2368" s="1595" t="s">
        <v>2288</v>
      </c>
      <c r="F2368" s="1595" t="s">
        <v>11047</v>
      </c>
      <c r="G2368" s="1595"/>
      <c r="H2368" s="1596">
        <v>1</v>
      </c>
      <c r="I2368" s="1595"/>
      <c r="J2368" s="1595"/>
      <c r="K2368" s="1597">
        <v>131145.82999999999</v>
      </c>
      <c r="L2368" s="1598"/>
      <c r="M2368" s="1597">
        <v>131145.82999999999</v>
      </c>
      <c r="N2368" s="1597">
        <v>131145.82999999999</v>
      </c>
      <c r="O2368" s="1597">
        <v>122402.79</v>
      </c>
      <c r="P2368" s="1598"/>
      <c r="Q2368" s="1597">
        <v>8743.0400000000009</v>
      </c>
      <c r="R2368" s="1597">
        <v>8743.0400000000009</v>
      </c>
      <c r="S2368" s="1592"/>
    </row>
    <row r="2369" spans="2:19" s="1593" customFormat="1" ht="11.25" customHeight="1" outlineLevel="1">
      <c r="B2369" s="1600" t="s">
        <v>11366</v>
      </c>
      <c r="C2369" s="1595" t="s">
        <v>2386</v>
      </c>
      <c r="D2369" s="1595" t="s">
        <v>11365</v>
      </c>
      <c r="E2369" s="1595" t="s">
        <v>2288</v>
      </c>
      <c r="F2369" s="1595" t="s">
        <v>11047</v>
      </c>
      <c r="G2369" s="1595"/>
      <c r="H2369" s="1596">
        <v>1</v>
      </c>
      <c r="I2369" s="1595"/>
      <c r="J2369" s="1595"/>
      <c r="K2369" s="1597">
        <v>131145.82999999999</v>
      </c>
      <c r="L2369" s="1598"/>
      <c r="M2369" s="1597">
        <v>131145.82999999999</v>
      </c>
      <c r="N2369" s="1597">
        <v>131145.82999999999</v>
      </c>
      <c r="O2369" s="1597">
        <v>122402.79</v>
      </c>
      <c r="P2369" s="1598"/>
      <c r="Q2369" s="1597">
        <v>8743.0400000000009</v>
      </c>
      <c r="R2369" s="1597">
        <v>8743.0400000000009</v>
      </c>
      <c r="S2369" s="1592"/>
    </row>
    <row r="2370" spans="2:19" s="1593" customFormat="1" ht="11.25" customHeight="1" outlineLevel="1">
      <c r="B2370" s="1600" t="s">
        <v>11364</v>
      </c>
      <c r="C2370" s="1595" t="s">
        <v>2386</v>
      </c>
      <c r="D2370" s="1595" t="s">
        <v>11363</v>
      </c>
      <c r="E2370" s="1595" t="s">
        <v>2288</v>
      </c>
      <c r="F2370" s="1595" t="s">
        <v>11047</v>
      </c>
      <c r="G2370" s="1595"/>
      <c r="H2370" s="1596">
        <v>1</v>
      </c>
      <c r="I2370" s="1595"/>
      <c r="J2370" s="1595"/>
      <c r="K2370" s="1597">
        <v>131145.84</v>
      </c>
      <c r="L2370" s="1598"/>
      <c r="M2370" s="1597">
        <v>131145.84</v>
      </c>
      <c r="N2370" s="1597">
        <v>131145.84</v>
      </c>
      <c r="O2370" s="1597">
        <v>122402.8</v>
      </c>
      <c r="P2370" s="1598"/>
      <c r="Q2370" s="1597">
        <v>8743.0400000000009</v>
      </c>
      <c r="R2370" s="1597">
        <v>8743.0400000000009</v>
      </c>
      <c r="S2370" s="1592"/>
    </row>
    <row r="2371" spans="2:19" s="1593" customFormat="1" ht="11.25" customHeight="1" outlineLevel="1">
      <c r="B2371" s="1600" t="s">
        <v>11362</v>
      </c>
      <c r="C2371" s="1595" t="s">
        <v>2386</v>
      </c>
      <c r="D2371" s="1595" t="s">
        <v>11361</v>
      </c>
      <c r="E2371" s="1595" t="s">
        <v>2288</v>
      </c>
      <c r="F2371" s="1595" t="s">
        <v>11047</v>
      </c>
      <c r="G2371" s="1595"/>
      <c r="H2371" s="1596">
        <v>1</v>
      </c>
      <c r="I2371" s="1595"/>
      <c r="J2371" s="1595"/>
      <c r="K2371" s="1597">
        <v>131145.84</v>
      </c>
      <c r="L2371" s="1598"/>
      <c r="M2371" s="1597">
        <v>131145.84</v>
      </c>
      <c r="N2371" s="1597">
        <v>131145.84</v>
      </c>
      <c r="O2371" s="1597">
        <v>122402.8</v>
      </c>
      <c r="P2371" s="1598"/>
      <c r="Q2371" s="1597">
        <v>8743.0400000000009</v>
      </c>
      <c r="R2371" s="1597">
        <v>8743.0400000000009</v>
      </c>
      <c r="S2371" s="1592"/>
    </row>
    <row r="2372" spans="2:19" s="1593" customFormat="1" ht="11.25" customHeight="1" outlineLevel="1">
      <c r="B2372" s="1600" t="s">
        <v>11360</v>
      </c>
      <c r="C2372" s="1595" t="s">
        <v>2386</v>
      </c>
      <c r="D2372" s="1595" t="s">
        <v>11359</v>
      </c>
      <c r="E2372" s="1595" t="s">
        <v>2288</v>
      </c>
      <c r="F2372" s="1595" t="s">
        <v>11047</v>
      </c>
      <c r="G2372" s="1595"/>
      <c r="H2372" s="1596">
        <v>1</v>
      </c>
      <c r="I2372" s="1595"/>
      <c r="J2372" s="1595"/>
      <c r="K2372" s="1597">
        <v>131145.84</v>
      </c>
      <c r="L2372" s="1598"/>
      <c r="M2372" s="1597">
        <v>131145.84</v>
      </c>
      <c r="N2372" s="1597">
        <v>131145.84</v>
      </c>
      <c r="O2372" s="1597">
        <v>122402.8</v>
      </c>
      <c r="P2372" s="1598"/>
      <c r="Q2372" s="1597">
        <v>8743.0400000000009</v>
      </c>
      <c r="R2372" s="1597">
        <v>8743.0400000000009</v>
      </c>
      <c r="S2372" s="1592"/>
    </row>
    <row r="2373" spans="2:19" s="1593" customFormat="1" ht="11.25" customHeight="1" outlineLevel="1">
      <c r="B2373" s="1600" t="s">
        <v>11358</v>
      </c>
      <c r="C2373" s="1595" t="s">
        <v>2386</v>
      </c>
      <c r="D2373" s="1595" t="s">
        <v>11357</v>
      </c>
      <c r="E2373" s="1595" t="s">
        <v>2288</v>
      </c>
      <c r="F2373" s="1595" t="s">
        <v>11047</v>
      </c>
      <c r="G2373" s="1595"/>
      <c r="H2373" s="1596">
        <v>1</v>
      </c>
      <c r="I2373" s="1595"/>
      <c r="J2373" s="1595"/>
      <c r="K2373" s="1597">
        <v>131145.84</v>
      </c>
      <c r="L2373" s="1598"/>
      <c r="M2373" s="1597">
        <v>131145.84</v>
      </c>
      <c r="N2373" s="1597">
        <v>131145.84</v>
      </c>
      <c r="O2373" s="1597">
        <v>122402.8</v>
      </c>
      <c r="P2373" s="1598"/>
      <c r="Q2373" s="1597">
        <v>8743.0400000000009</v>
      </c>
      <c r="R2373" s="1597">
        <v>8743.0400000000009</v>
      </c>
      <c r="S2373" s="1592"/>
    </row>
    <row r="2374" spans="2:19" s="1593" customFormat="1" ht="11.25" customHeight="1" outlineLevel="1">
      <c r="B2374" s="1600" t="s">
        <v>11356</v>
      </c>
      <c r="C2374" s="1595" t="s">
        <v>2386</v>
      </c>
      <c r="D2374" s="1595" t="s">
        <v>11355</v>
      </c>
      <c r="E2374" s="1595" t="s">
        <v>2288</v>
      </c>
      <c r="F2374" s="1595" t="s">
        <v>11047</v>
      </c>
      <c r="G2374" s="1595"/>
      <c r="H2374" s="1596">
        <v>1</v>
      </c>
      <c r="I2374" s="1595"/>
      <c r="J2374" s="1595"/>
      <c r="K2374" s="1597">
        <v>131145.84</v>
      </c>
      <c r="L2374" s="1598"/>
      <c r="M2374" s="1597">
        <v>131145.84</v>
      </c>
      <c r="N2374" s="1597">
        <v>131145.84</v>
      </c>
      <c r="O2374" s="1597">
        <v>122402.8</v>
      </c>
      <c r="P2374" s="1598"/>
      <c r="Q2374" s="1597">
        <v>8743.0400000000009</v>
      </c>
      <c r="R2374" s="1597">
        <v>8743.0400000000009</v>
      </c>
      <c r="S2374" s="1592"/>
    </row>
    <row r="2375" spans="2:19" s="1593" customFormat="1" ht="11.25" customHeight="1" outlineLevel="1">
      <c r="B2375" s="1600" t="s">
        <v>11354</v>
      </c>
      <c r="C2375" s="1595" t="s">
        <v>2386</v>
      </c>
      <c r="D2375" s="1595" t="s">
        <v>11353</v>
      </c>
      <c r="E2375" s="1595" t="s">
        <v>2288</v>
      </c>
      <c r="F2375" s="1595" t="s">
        <v>11047</v>
      </c>
      <c r="G2375" s="1595"/>
      <c r="H2375" s="1596">
        <v>1</v>
      </c>
      <c r="I2375" s="1595"/>
      <c r="J2375" s="1595"/>
      <c r="K2375" s="1597">
        <v>131145.84</v>
      </c>
      <c r="L2375" s="1598"/>
      <c r="M2375" s="1597">
        <v>131145.84</v>
      </c>
      <c r="N2375" s="1597">
        <v>131145.84</v>
      </c>
      <c r="O2375" s="1597">
        <v>122402.8</v>
      </c>
      <c r="P2375" s="1598"/>
      <c r="Q2375" s="1597">
        <v>8743.0400000000009</v>
      </c>
      <c r="R2375" s="1597">
        <v>8743.0400000000009</v>
      </c>
      <c r="S2375" s="1592"/>
    </row>
    <row r="2376" spans="2:19" s="1593" customFormat="1" ht="11.25" customHeight="1" outlineLevel="1">
      <c r="B2376" s="1600" t="s">
        <v>11352</v>
      </c>
      <c r="C2376" s="1595" t="s">
        <v>2386</v>
      </c>
      <c r="D2376" s="1595" t="s">
        <v>11351</v>
      </c>
      <c r="E2376" s="1595" t="s">
        <v>2288</v>
      </c>
      <c r="F2376" s="1595" t="s">
        <v>11047</v>
      </c>
      <c r="G2376" s="1595"/>
      <c r="H2376" s="1596">
        <v>1</v>
      </c>
      <c r="I2376" s="1595"/>
      <c r="J2376" s="1595"/>
      <c r="K2376" s="1597">
        <v>131145.84</v>
      </c>
      <c r="L2376" s="1598"/>
      <c r="M2376" s="1597">
        <v>131145.84</v>
      </c>
      <c r="N2376" s="1597">
        <v>131145.84</v>
      </c>
      <c r="O2376" s="1597">
        <v>122402.8</v>
      </c>
      <c r="P2376" s="1598"/>
      <c r="Q2376" s="1597">
        <v>8743.0400000000009</v>
      </c>
      <c r="R2376" s="1597">
        <v>8743.0400000000009</v>
      </c>
      <c r="S2376" s="1592"/>
    </row>
    <row r="2377" spans="2:19" s="1593" customFormat="1" ht="11.25" customHeight="1" outlineLevel="1">
      <c r="B2377" s="1600" t="s">
        <v>11350</v>
      </c>
      <c r="C2377" s="1595" t="s">
        <v>2386</v>
      </c>
      <c r="D2377" s="1595" t="s">
        <v>11349</v>
      </c>
      <c r="E2377" s="1595" t="s">
        <v>2288</v>
      </c>
      <c r="F2377" s="1595" t="s">
        <v>11047</v>
      </c>
      <c r="G2377" s="1595"/>
      <c r="H2377" s="1596">
        <v>1</v>
      </c>
      <c r="I2377" s="1595"/>
      <c r="J2377" s="1595"/>
      <c r="K2377" s="1597">
        <v>131145.84</v>
      </c>
      <c r="L2377" s="1598"/>
      <c r="M2377" s="1597">
        <v>131145.84</v>
      </c>
      <c r="N2377" s="1597">
        <v>131145.84</v>
      </c>
      <c r="O2377" s="1597">
        <v>122402.8</v>
      </c>
      <c r="P2377" s="1598"/>
      <c r="Q2377" s="1597">
        <v>8743.0400000000009</v>
      </c>
      <c r="R2377" s="1597">
        <v>8743.0400000000009</v>
      </c>
      <c r="S2377" s="1592"/>
    </row>
    <row r="2378" spans="2:19" s="1593" customFormat="1" ht="21.75" customHeight="1" outlineLevel="1">
      <c r="B2378" s="1600" t="s">
        <v>11348</v>
      </c>
      <c r="C2378" s="1595" t="s">
        <v>2386</v>
      </c>
      <c r="D2378" s="1595" t="s">
        <v>11347</v>
      </c>
      <c r="E2378" s="1595" t="s">
        <v>2288</v>
      </c>
      <c r="F2378" s="1595" t="s">
        <v>11047</v>
      </c>
      <c r="G2378" s="1595"/>
      <c r="H2378" s="1596">
        <v>1</v>
      </c>
      <c r="I2378" s="1595"/>
      <c r="J2378" s="1595"/>
      <c r="K2378" s="1597">
        <v>131145.82999999999</v>
      </c>
      <c r="L2378" s="1598"/>
      <c r="M2378" s="1597">
        <v>131145.82999999999</v>
      </c>
      <c r="N2378" s="1597">
        <v>131145.82999999999</v>
      </c>
      <c r="O2378" s="1597">
        <v>122402.79</v>
      </c>
      <c r="P2378" s="1598"/>
      <c r="Q2378" s="1597">
        <v>8743.0400000000009</v>
      </c>
      <c r="R2378" s="1597">
        <v>8743.0400000000009</v>
      </c>
      <c r="S2378" s="1592"/>
    </row>
    <row r="2379" spans="2:19" s="1593" customFormat="1" ht="11.25" customHeight="1" outlineLevel="1">
      <c r="B2379" s="1600" t="s">
        <v>11346</v>
      </c>
      <c r="C2379" s="1595" t="s">
        <v>2386</v>
      </c>
      <c r="D2379" s="1595" t="s">
        <v>11345</v>
      </c>
      <c r="E2379" s="1595" t="s">
        <v>2288</v>
      </c>
      <c r="F2379" s="1595" t="s">
        <v>11047</v>
      </c>
      <c r="G2379" s="1595"/>
      <c r="H2379" s="1596">
        <v>1</v>
      </c>
      <c r="I2379" s="1595"/>
      <c r="J2379" s="1595"/>
      <c r="K2379" s="1597">
        <v>131145.82999999999</v>
      </c>
      <c r="L2379" s="1598"/>
      <c r="M2379" s="1597">
        <v>131145.82999999999</v>
      </c>
      <c r="N2379" s="1597">
        <v>131145.82999999999</v>
      </c>
      <c r="O2379" s="1597">
        <v>122402.79</v>
      </c>
      <c r="P2379" s="1598"/>
      <c r="Q2379" s="1597">
        <v>8743.0400000000009</v>
      </c>
      <c r="R2379" s="1597">
        <v>8743.0400000000009</v>
      </c>
      <c r="S2379" s="1592"/>
    </row>
    <row r="2380" spans="2:19" s="1593" customFormat="1" ht="11.25" customHeight="1" outlineLevel="1">
      <c r="B2380" s="1600" t="s">
        <v>11344</v>
      </c>
      <c r="C2380" s="1595" t="s">
        <v>2386</v>
      </c>
      <c r="D2380" s="1595" t="s">
        <v>11343</v>
      </c>
      <c r="E2380" s="1595" t="s">
        <v>2288</v>
      </c>
      <c r="F2380" s="1595" t="s">
        <v>11047</v>
      </c>
      <c r="G2380" s="1595"/>
      <c r="H2380" s="1596">
        <v>1</v>
      </c>
      <c r="I2380" s="1595"/>
      <c r="J2380" s="1595"/>
      <c r="K2380" s="1597">
        <v>131145.82999999999</v>
      </c>
      <c r="L2380" s="1598"/>
      <c r="M2380" s="1597">
        <v>131145.82999999999</v>
      </c>
      <c r="N2380" s="1597">
        <v>131145.82999999999</v>
      </c>
      <c r="O2380" s="1597">
        <v>122402.79</v>
      </c>
      <c r="P2380" s="1598"/>
      <c r="Q2380" s="1597">
        <v>8743.0400000000009</v>
      </c>
      <c r="R2380" s="1597">
        <v>8743.0400000000009</v>
      </c>
      <c r="S2380" s="1592"/>
    </row>
    <row r="2381" spans="2:19" s="1593" customFormat="1" ht="11.25" customHeight="1" outlineLevel="1">
      <c r="B2381" s="1600" t="s">
        <v>11342</v>
      </c>
      <c r="C2381" s="1595" t="s">
        <v>2386</v>
      </c>
      <c r="D2381" s="1595" t="s">
        <v>11341</v>
      </c>
      <c r="E2381" s="1595" t="s">
        <v>2288</v>
      </c>
      <c r="F2381" s="1595" t="s">
        <v>11047</v>
      </c>
      <c r="G2381" s="1595"/>
      <c r="H2381" s="1596">
        <v>1</v>
      </c>
      <c r="I2381" s="1595"/>
      <c r="J2381" s="1595"/>
      <c r="K2381" s="1597">
        <v>131145.82999999999</v>
      </c>
      <c r="L2381" s="1598"/>
      <c r="M2381" s="1597">
        <v>131145.82999999999</v>
      </c>
      <c r="N2381" s="1597">
        <v>131145.82999999999</v>
      </c>
      <c r="O2381" s="1597">
        <v>122402.79</v>
      </c>
      <c r="P2381" s="1598"/>
      <c r="Q2381" s="1597">
        <v>8743.0400000000009</v>
      </c>
      <c r="R2381" s="1597">
        <v>8743.0400000000009</v>
      </c>
      <c r="S2381" s="1592"/>
    </row>
    <row r="2382" spans="2:19" s="1593" customFormat="1" ht="11.25" customHeight="1" outlineLevel="1">
      <c r="B2382" s="1600" t="s">
        <v>11340</v>
      </c>
      <c r="C2382" s="1595" t="s">
        <v>2383</v>
      </c>
      <c r="D2382" s="1595" t="s">
        <v>11339</v>
      </c>
      <c r="E2382" s="1595" t="s">
        <v>2288</v>
      </c>
      <c r="F2382" s="1595" t="s">
        <v>11047</v>
      </c>
      <c r="G2382" s="1595"/>
      <c r="H2382" s="1596">
        <v>1</v>
      </c>
      <c r="I2382" s="1595"/>
      <c r="J2382" s="1595"/>
      <c r="K2382" s="1597">
        <v>182270.83</v>
      </c>
      <c r="L2382" s="1598"/>
      <c r="M2382" s="1597">
        <v>182270.83</v>
      </c>
      <c r="N2382" s="1597">
        <v>182270.83</v>
      </c>
      <c r="O2382" s="1597">
        <v>171638.39</v>
      </c>
      <c r="P2382" s="1598"/>
      <c r="Q2382" s="1597">
        <v>10632.44</v>
      </c>
      <c r="R2382" s="1597">
        <v>10632.44</v>
      </c>
      <c r="S2382" s="1592"/>
    </row>
    <row r="2383" spans="2:19" s="1593" customFormat="1" ht="11.25" customHeight="1" outlineLevel="1">
      <c r="B2383" s="1600" t="s">
        <v>11338</v>
      </c>
      <c r="C2383" s="1595" t="s">
        <v>2383</v>
      </c>
      <c r="D2383" s="1595" t="s">
        <v>11337</v>
      </c>
      <c r="E2383" s="1595" t="s">
        <v>2288</v>
      </c>
      <c r="F2383" s="1595" t="s">
        <v>11047</v>
      </c>
      <c r="G2383" s="1595"/>
      <c r="H2383" s="1596">
        <v>1</v>
      </c>
      <c r="I2383" s="1595"/>
      <c r="J2383" s="1595"/>
      <c r="K2383" s="1597">
        <v>131145.82999999999</v>
      </c>
      <c r="L2383" s="1598"/>
      <c r="M2383" s="1597">
        <v>131145.82999999999</v>
      </c>
      <c r="N2383" s="1597">
        <v>131145.82999999999</v>
      </c>
      <c r="O2383" s="1597">
        <v>123495.67</v>
      </c>
      <c r="P2383" s="1598"/>
      <c r="Q2383" s="1597">
        <v>7650.16</v>
      </c>
      <c r="R2383" s="1597">
        <v>7650.16</v>
      </c>
      <c r="S2383" s="1592"/>
    </row>
    <row r="2384" spans="2:19" s="1593" customFormat="1" ht="11.25" customHeight="1" outlineLevel="1">
      <c r="B2384" s="1600" t="s">
        <v>11336</v>
      </c>
      <c r="C2384" s="1595" t="s">
        <v>2383</v>
      </c>
      <c r="D2384" s="1595" t="s">
        <v>11335</v>
      </c>
      <c r="E2384" s="1595" t="s">
        <v>2288</v>
      </c>
      <c r="F2384" s="1595" t="s">
        <v>11047</v>
      </c>
      <c r="G2384" s="1595"/>
      <c r="H2384" s="1596">
        <v>1</v>
      </c>
      <c r="I2384" s="1595"/>
      <c r="J2384" s="1595"/>
      <c r="K2384" s="1597">
        <v>131145.82999999999</v>
      </c>
      <c r="L2384" s="1598"/>
      <c r="M2384" s="1597">
        <v>131145.82999999999</v>
      </c>
      <c r="N2384" s="1597">
        <v>131145.82999999999</v>
      </c>
      <c r="O2384" s="1597">
        <v>123495.67</v>
      </c>
      <c r="P2384" s="1598"/>
      <c r="Q2384" s="1597">
        <v>7650.16</v>
      </c>
      <c r="R2384" s="1597">
        <v>7650.16</v>
      </c>
      <c r="S2384" s="1592"/>
    </row>
    <row r="2385" spans="2:19" s="1593" customFormat="1" ht="11.25" customHeight="1" outlineLevel="1">
      <c r="B2385" s="1600" t="s">
        <v>11334</v>
      </c>
      <c r="C2385" s="1595" t="s">
        <v>2383</v>
      </c>
      <c r="D2385" s="1595" t="s">
        <v>11333</v>
      </c>
      <c r="E2385" s="1595" t="s">
        <v>2288</v>
      </c>
      <c r="F2385" s="1595" t="s">
        <v>11047</v>
      </c>
      <c r="G2385" s="1595"/>
      <c r="H2385" s="1596">
        <v>1</v>
      </c>
      <c r="I2385" s="1595"/>
      <c r="J2385" s="1595"/>
      <c r="K2385" s="1597">
        <v>131145.82999999999</v>
      </c>
      <c r="L2385" s="1598"/>
      <c r="M2385" s="1597">
        <v>131145.82999999999</v>
      </c>
      <c r="N2385" s="1597">
        <v>131145.82999999999</v>
      </c>
      <c r="O2385" s="1597">
        <v>123495.67</v>
      </c>
      <c r="P2385" s="1598"/>
      <c r="Q2385" s="1597">
        <v>7650.16</v>
      </c>
      <c r="R2385" s="1597">
        <v>7650.16</v>
      </c>
      <c r="S2385" s="1592"/>
    </row>
    <row r="2386" spans="2:19" s="1593" customFormat="1" ht="21.75" customHeight="1" outlineLevel="1">
      <c r="B2386" s="1600" t="s">
        <v>11332</v>
      </c>
      <c r="C2386" s="1595" t="s">
        <v>2383</v>
      </c>
      <c r="D2386" s="1595" t="s">
        <v>11331</v>
      </c>
      <c r="E2386" s="1595" t="s">
        <v>2288</v>
      </c>
      <c r="F2386" s="1595" t="s">
        <v>11047</v>
      </c>
      <c r="G2386" s="1595"/>
      <c r="H2386" s="1596">
        <v>1</v>
      </c>
      <c r="I2386" s="1595"/>
      <c r="J2386" s="1595"/>
      <c r="K2386" s="1597">
        <v>131145.84</v>
      </c>
      <c r="L2386" s="1598"/>
      <c r="M2386" s="1597">
        <v>131145.84</v>
      </c>
      <c r="N2386" s="1597">
        <v>131145.84</v>
      </c>
      <c r="O2386" s="1597">
        <v>123495.67999999999</v>
      </c>
      <c r="P2386" s="1598"/>
      <c r="Q2386" s="1597">
        <v>7650.16</v>
      </c>
      <c r="R2386" s="1597">
        <v>7650.16</v>
      </c>
      <c r="S2386" s="1592"/>
    </row>
    <row r="2387" spans="2:19" s="1593" customFormat="1" ht="21.75" customHeight="1" outlineLevel="1">
      <c r="B2387" s="1600" t="s">
        <v>11330</v>
      </c>
      <c r="C2387" s="1595" t="s">
        <v>2383</v>
      </c>
      <c r="D2387" s="1595" t="s">
        <v>11329</v>
      </c>
      <c r="E2387" s="1595" t="s">
        <v>2288</v>
      </c>
      <c r="F2387" s="1595" t="s">
        <v>11047</v>
      </c>
      <c r="G2387" s="1595"/>
      <c r="H2387" s="1596">
        <v>1</v>
      </c>
      <c r="I2387" s="1595"/>
      <c r="J2387" s="1595"/>
      <c r="K2387" s="1597">
        <v>131145.84</v>
      </c>
      <c r="L2387" s="1598"/>
      <c r="M2387" s="1597">
        <v>131145.84</v>
      </c>
      <c r="N2387" s="1597">
        <v>131145.84</v>
      </c>
      <c r="O2387" s="1597">
        <v>123495.67999999999</v>
      </c>
      <c r="P2387" s="1598"/>
      <c r="Q2387" s="1597">
        <v>7650.16</v>
      </c>
      <c r="R2387" s="1597">
        <v>7650.16</v>
      </c>
      <c r="S2387" s="1592"/>
    </row>
    <row r="2388" spans="2:19" s="1593" customFormat="1" ht="21.75" customHeight="1" outlineLevel="1">
      <c r="B2388" s="1600" t="s">
        <v>11328</v>
      </c>
      <c r="C2388" s="1595" t="s">
        <v>2383</v>
      </c>
      <c r="D2388" s="1595" t="s">
        <v>11327</v>
      </c>
      <c r="E2388" s="1595" t="s">
        <v>2288</v>
      </c>
      <c r="F2388" s="1595" t="s">
        <v>11047</v>
      </c>
      <c r="G2388" s="1595"/>
      <c r="H2388" s="1596">
        <v>1</v>
      </c>
      <c r="I2388" s="1595"/>
      <c r="J2388" s="1595"/>
      <c r="K2388" s="1597">
        <v>131145.84</v>
      </c>
      <c r="L2388" s="1598"/>
      <c r="M2388" s="1597">
        <v>131145.84</v>
      </c>
      <c r="N2388" s="1597">
        <v>131145.84</v>
      </c>
      <c r="O2388" s="1597">
        <v>123495.67999999999</v>
      </c>
      <c r="P2388" s="1598"/>
      <c r="Q2388" s="1597">
        <v>7650.16</v>
      </c>
      <c r="R2388" s="1597">
        <v>7650.16</v>
      </c>
      <c r="S2388" s="1592"/>
    </row>
    <row r="2389" spans="2:19" s="1593" customFormat="1" ht="11.25" customHeight="1" outlineLevel="1">
      <c r="B2389" s="1600" t="s">
        <v>11326</v>
      </c>
      <c r="C2389" s="1595" t="s">
        <v>2383</v>
      </c>
      <c r="D2389" s="1595" t="s">
        <v>11325</v>
      </c>
      <c r="E2389" s="1595" t="s">
        <v>2288</v>
      </c>
      <c r="F2389" s="1595" t="s">
        <v>11047</v>
      </c>
      <c r="G2389" s="1595"/>
      <c r="H2389" s="1596">
        <v>1</v>
      </c>
      <c r="I2389" s="1595"/>
      <c r="J2389" s="1595"/>
      <c r="K2389" s="1597">
        <v>131145.84</v>
      </c>
      <c r="L2389" s="1598"/>
      <c r="M2389" s="1597">
        <v>131145.84</v>
      </c>
      <c r="N2389" s="1597">
        <v>131145.84</v>
      </c>
      <c r="O2389" s="1597">
        <v>123495.67999999999</v>
      </c>
      <c r="P2389" s="1598"/>
      <c r="Q2389" s="1597">
        <v>7650.16</v>
      </c>
      <c r="R2389" s="1597">
        <v>7650.16</v>
      </c>
      <c r="S2389" s="1592"/>
    </row>
    <row r="2390" spans="2:19" s="1593" customFormat="1" ht="21.75" customHeight="1" outlineLevel="1">
      <c r="B2390" s="1600" t="s">
        <v>11324</v>
      </c>
      <c r="C2390" s="1595" t="s">
        <v>2383</v>
      </c>
      <c r="D2390" s="1595" t="s">
        <v>11323</v>
      </c>
      <c r="E2390" s="1595" t="s">
        <v>2288</v>
      </c>
      <c r="F2390" s="1595" t="s">
        <v>11047</v>
      </c>
      <c r="G2390" s="1595"/>
      <c r="H2390" s="1596">
        <v>1</v>
      </c>
      <c r="I2390" s="1595"/>
      <c r="J2390" s="1595"/>
      <c r="K2390" s="1597">
        <v>131145.82999999999</v>
      </c>
      <c r="L2390" s="1598"/>
      <c r="M2390" s="1597">
        <v>131145.82999999999</v>
      </c>
      <c r="N2390" s="1597">
        <v>131145.82999999999</v>
      </c>
      <c r="O2390" s="1597">
        <v>123495.67</v>
      </c>
      <c r="P2390" s="1598"/>
      <c r="Q2390" s="1597">
        <v>7650.16</v>
      </c>
      <c r="R2390" s="1597">
        <v>7650.16</v>
      </c>
      <c r="S2390" s="1592"/>
    </row>
    <row r="2391" spans="2:19" s="1593" customFormat="1" ht="21.75" customHeight="1" outlineLevel="1">
      <c r="B2391" s="1600" t="s">
        <v>11322</v>
      </c>
      <c r="C2391" s="1595" t="s">
        <v>2383</v>
      </c>
      <c r="D2391" s="1595" t="s">
        <v>11321</v>
      </c>
      <c r="E2391" s="1595" t="s">
        <v>2288</v>
      </c>
      <c r="F2391" s="1595" t="s">
        <v>11047</v>
      </c>
      <c r="G2391" s="1595"/>
      <c r="H2391" s="1596">
        <v>1</v>
      </c>
      <c r="I2391" s="1595"/>
      <c r="J2391" s="1595"/>
      <c r="K2391" s="1597">
        <v>131145.82999999999</v>
      </c>
      <c r="L2391" s="1598"/>
      <c r="M2391" s="1597">
        <v>131145.82999999999</v>
      </c>
      <c r="N2391" s="1597">
        <v>131145.82999999999</v>
      </c>
      <c r="O2391" s="1597">
        <v>123495.67</v>
      </c>
      <c r="P2391" s="1598"/>
      <c r="Q2391" s="1597">
        <v>7650.16</v>
      </c>
      <c r="R2391" s="1597">
        <v>7650.16</v>
      </c>
      <c r="S2391" s="1592"/>
    </row>
    <row r="2392" spans="2:19" s="1593" customFormat="1" ht="11.25" customHeight="1" outlineLevel="1">
      <c r="B2392" s="1600" t="s">
        <v>11320</v>
      </c>
      <c r="C2392" s="1595" t="s">
        <v>2383</v>
      </c>
      <c r="D2392" s="1595" t="s">
        <v>11319</v>
      </c>
      <c r="E2392" s="1595" t="s">
        <v>2288</v>
      </c>
      <c r="F2392" s="1595" t="s">
        <v>11047</v>
      </c>
      <c r="G2392" s="1595"/>
      <c r="H2392" s="1596">
        <v>1</v>
      </c>
      <c r="I2392" s="1595"/>
      <c r="J2392" s="1595"/>
      <c r="K2392" s="1597">
        <v>131145.82999999999</v>
      </c>
      <c r="L2392" s="1598"/>
      <c r="M2392" s="1597">
        <v>131145.82999999999</v>
      </c>
      <c r="N2392" s="1597">
        <v>131145.82999999999</v>
      </c>
      <c r="O2392" s="1597">
        <v>123495.67</v>
      </c>
      <c r="P2392" s="1598"/>
      <c r="Q2392" s="1597">
        <v>7650.16</v>
      </c>
      <c r="R2392" s="1597">
        <v>7650.16</v>
      </c>
      <c r="S2392" s="1592"/>
    </row>
    <row r="2393" spans="2:19" s="1593" customFormat="1" ht="11.25" customHeight="1" outlineLevel="1">
      <c r="B2393" s="1600" t="s">
        <v>11318</v>
      </c>
      <c r="C2393" s="1595" t="s">
        <v>2383</v>
      </c>
      <c r="D2393" s="1595" t="s">
        <v>11317</v>
      </c>
      <c r="E2393" s="1595" t="s">
        <v>2288</v>
      </c>
      <c r="F2393" s="1595" t="s">
        <v>11047</v>
      </c>
      <c r="G2393" s="1595"/>
      <c r="H2393" s="1596">
        <v>1</v>
      </c>
      <c r="I2393" s="1595"/>
      <c r="J2393" s="1595"/>
      <c r="K2393" s="1597">
        <v>131145.82999999999</v>
      </c>
      <c r="L2393" s="1598"/>
      <c r="M2393" s="1597">
        <v>131145.82999999999</v>
      </c>
      <c r="N2393" s="1597">
        <v>131145.82999999999</v>
      </c>
      <c r="O2393" s="1597">
        <v>123495.67</v>
      </c>
      <c r="P2393" s="1598"/>
      <c r="Q2393" s="1597">
        <v>7650.16</v>
      </c>
      <c r="R2393" s="1597">
        <v>7650.16</v>
      </c>
      <c r="S2393" s="1592"/>
    </row>
    <row r="2394" spans="2:19" s="1593" customFormat="1" ht="11.25" customHeight="1" outlineLevel="1">
      <c r="B2394" s="1600" t="s">
        <v>11316</v>
      </c>
      <c r="C2394" s="1595" t="s">
        <v>2383</v>
      </c>
      <c r="D2394" s="1595" t="s">
        <v>11315</v>
      </c>
      <c r="E2394" s="1595" t="s">
        <v>2288</v>
      </c>
      <c r="F2394" s="1595" t="s">
        <v>11047</v>
      </c>
      <c r="G2394" s="1595"/>
      <c r="H2394" s="1596">
        <v>1</v>
      </c>
      <c r="I2394" s="1595"/>
      <c r="J2394" s="1595"/>
      <c r="K2394" s="1597">
        <v>131145.82999999999</v>
      </c>
      <c r="L2394" s="1598"/>
      <c r="M2394" s="1597">
        <v>131145.82999999999</v>
      </c>
      <c r="N2394" s="1597">
        <v>131145.82999999999</v>
      </c>
      <c r="O2394" s="1597">
        <v>123495.67</v>
      </c>
      <c r="P2394" s="1598"/>
      <c r="Q2394" s="1597">
        <v>7650.16</v>
      </c>
      <c r="R2394" s="1597">
        <v>7650.16</v>
      </c>
      <c r="S2394" s="1592"/>
    </row>
    <row r="2395" spans="2:19" s="1593" customFormat="1" ht="11.25" customHeight="1" outlineLevel="1">
      <c r="B2395" s="1600" t="s">
        <v>11314</v>
      </c>
      <c r="C2395" s="1595" t="s">
        <v>11299</v>
      </c>
      <c r="D2395" s="1595" t="s">
        <v>11313</v>
      </c>
      <c r="E2395" s="1595" t="s">
        <v>2288</v>
      </c>
      <c r="F2395" s="1595" t="s">
        <v>11040</v>
      </c>
      <c r="G2395" s="1595"/>
      <c r="H2395" s="1596">
        <v>1</v>
      </c>
      <c r="I2395" s="1595"/>
      <c r="J2395" s="1595"/>
      <c r="K2395" s="1597">
        <v>204505.83</v>
      </c>
      <c r="L2395" s="1598"/>
      <c r="M2395" s="1597">
        <v>204505.83</v>
      </c>
      <c r="N2395" s="1597">
        <v>204505.83</v>
      </c>
      <c r="O2395" s="1597">
        <v>194280.51</v>
      </c>
      <c r="P2395" s="1598"/>
      <c r="Q2395" s="1597">
        <v>10225.32</v>
      </c>
      <c r="R2395" s="1597">
        <v>10225.32</v>
      </c>
      <c r="S2395" s="1592"/>
    </row>
    <row r="2396" spans="2:19" s="1593" customFormat="1" ht="21.75" customHeight="1" outlineLevel="1">
      <c r="B2396" s="1600" t="s">
        <v>11312</v>
      </c>
      <c r="C2396" s="1595" t="s">
        <v>11299</v>
      </c>
      <c r="D2396" s="1595" t="s">
        <v>11311</v>
      </c>
      <c r="E2396" s="1595" t="s">
        <v>2288</v>
      </c>
      <c r="F2396" s="1595" t="s">
        <v>11040</v>
      </c>
      <c r="G2396" s="1595"/>
      <c r="H2396" s="1596">
        <v>1</v>
      </c>
      <c r="I2396" s="1595"/>
      <c r="J2396" s="1595"/>
      <c r="K2396" s="1597">
        <v>204505.84</v>
      </c>
      <c r="L2396" s="1598"/>
      <c r="M2396" s="1597">
        <v>204505.84</v>
      </c>
      <c r="N2396" s="1597">
        <v>204505.84</v>
      </c>
      <c r="O2396" s="1597">
        <v>194280.52</v>
      </c>
      <c r="P2396" s="1598"/>
      <c r="Q2396" s="1597">
        <v>10225.32</v>
      </c>
      <c r="R2396" s="1597">
        <v>10225.32</v>
      </c>
      <c r="S2396" s="1592"/>
    </row>
    <row r="2397" spans="2:19" s="1593" customFormat="1" ht="21.75" customHeight="1" outlineLevel="1">
      <c r="B2397" s="1600" t="s">
        <v>11310</v>
      </c>
      <c r="C2397" s="1595" t="s">
        <v>11299</v>
      </c>
      <c r="D2397" s="1595" t="s">
        <v>11309</v>
      </c>
      <c r="E2397" s="1595" t="s">
        <v>2288</v>
      </c>
      <c r="F2397" s="1595" t="s">
        <v>11040</v>
      </c>
      <c r="G2397" s="1595"/>
      <c r="H2397" s="1596">
        <v>1</v>
      </c>
      <c r="I2397" s="1595"/>
      <c r="J2397" s="1595"/>
      <c r="K2397" s="1597">
        <v>204505.84</v>
      </c>
      <c r="L2397" s="1598"/>
      <c r="M2397" s="1597">
        <v>204505.84</v>
      </c>
      <c r="N2397" s="1597">
        <v>204505.84</v>
      </c>
      <c r="O2397" s="1597">
        <v>194280.52</v>
      </c>
      <c r="P2397" s="1598"/>
      <c r="Q2397" s="1597">
        <v>10225.32</v>
      </c>
      <c r="R2397" s="1597">
        <v>10225.32</v>
      </c>
      <c r="S2397" s="1592"/>
    </row>
    <row r="2398" spans="2:19" s="1593" customFormat="1" ht="21.75" customHeight="1" outlineLevel="1">
      <c r="B2398" s="1600" t="s">
        <v>11308</v>
      </c>
      <c r="C2398" s="1595" t="s">
        <v>11299</v>
      </c>
      <c r="D2398" s="1595" t="s">
        <v>11307</v>
      </c>
      <c r="E2398" s="1595" t="s">
        <v>2288</v>
      </c>
      <c r="F2398" s="1595" t="s">
        <v>11040</v>
      </c>
      <c r="G2398" s="1595"/>
      <c r="H2398" s="1596">
        <v>1</v>
      </c>
      <c r="I2398" s="1595"/>
      <c r="J2398" s="1595"/>
      <c r="K2398" s="1597">
        <v>204505.84</v>
      </c>
      <c r="L2398" s="1598"/>
      <c r="M2398" s="1597">
        <v>204505.84</v>
      </c>
      <c r="N2398" s="1597">
        <v>204505.84</v>
      </c>
      <c r="O2398" s="1597">
        <v>194280.52</v>
      </c>
      <c r="P2398" s="1598"/>
      <c r="Q2398" s="1597">
        <v>10225.32</v>
      </c>
      <c r="R2398" s="1597">
        <v>10225.32</v>
      </c>
      <c r="S2398" s="1592"/>
    </row>
    <row r="2399" spans="2:19" s="1593" customFormat="1" ht="11.25" customHeight="1" outlineLevel="1">
      <c r="B2399" s="1600" t="s">
        <v>11306</v>
      </c>
      <c r="C2399" s="1595" t="s">
        <v>11299</v>
      </c>
      <c r="D2399" s="1595" t="s">
        <v>11305</v>
      </c>
      <c r="E2399" s="1595" t="s">
        <v>2288</v>
      </c>
      <c r="F2399" s="1595" t="s">
        <v>11040</v>
      </c>
      <c r="G2399" s="1595"/>
      <c r="H2399" s="1596">
        <v>1</v>
      </c>
      <c r="I2399" s="1595"/>
      <c r="J2399" s="1595"/>
      <c r="K2399" s="1597">
        <v>204505.83</v>
      </c>
      <c r="L2399" s="1598"/>
      <c r="M2399" s="1597">
        <v>204505.83</v>
      </c>
      <c r="N2399" s="1597">
        <v>204505.83</v>
      </c>
      <c r="O2399" s="1597">
        <v>194280.51</v>
      </c>
      <c r="P2399" s="1598"/>
      <c r="Q2399" s="1597">
        <v>10225.32</v>
      </c>
      <c r="R2399" s="1597">
        <v>10225.32</v>
      </c>
      <c r="S2399" s="1592"/>
    </row>
    <row r="2400" spans="2:19" s="1593" customFormat="1" ht="11.25" customHeight="1" outlineLevel="1">
      <c r="B2400" s="1600" t="s">
        <v>11304</v>
      </c>
      <c r="C2400" s="1595" t="s">
        <v>11299</v>
      </c>
      <c r="D2400" s="1595" t="s">
        <v>11303</v>
      </c>
      <c r="E2400" s="1595" t="s">
        <v>2288</v>
      </c>
      <c r="F2400" s="1595" t="s">
        <v>11040</v>
      </c>
      <c r="G2400" s="1595"/>
      <c r="H2400" s="1596">
        <v>1</v>
      </c>
      <c r="I2400" s="1595"/>
      <c r="J2400" s="1595"/>
      <c r="K2400" s="1597">
        <v>204505.83</v>
      </c>
      <c r="L2400" s="1598"/>
      <c r="M2400" s="1597">
        <v>204505.83</v>
      </c>
      <c r="N2400" s="1597">
        <v>204505.83</v>
      </c>
      <c r="O2400" s="1597">
        <v>194280.51</v>
      </c>
      <c r="P2400" s="1598"/>
      <c r="Q2400" s="1597">
        <v>10225.32</v>
      </c>
      <c r="R2400" s="1597">
        <v>10225.32</v>
      </c>
      <c r="S2400" s="1592"/>
    </row>
    <row r="2401" spans="2:19" s="1593" customFormat="1" ht="11.25" customHeight="1" outlineLevel="1">
      <c r="B2401" s="1600" t="s">
        <v>11302</v>
      </c>
      <c r="C2401" s="1595" t="s">
        <v>11299</v>
      </c>
      <c r="D2401" s="1595" t="s">
        <v>11301</v>
      </c>
      <c r="E2401" s="1595" t="s">
        <v>2288</v>
      </c>
      <c r="F2401" s="1595" t="s">
        <v>11040</v>
      </c>
      <c r="G2401" s="1595"/>
      <c r="H2401" s="1596">
        <v>1</v>
      </c>
      <c r="I2401" s="1595"/>
      <c r="J2401" s="1595"/>
      <c r="K2401" s="1597">
        <v>204505.83</v>
      </c>
      <c r="L2401" s="1598"/>
      <c r="M2401" s="1597">
        <v>204505.83</v>
      </c>
      <c r="N2401" s="1597">
        <v>204505.83</v>
      </c>
      <c r="O2401" s="1597">
        <v>194280.51</v>
      </c>
      <c r="P2401" s="1598"/>
      <c r="Q2401" s="1597">
        <v>10225.32</v>
      </c>
      <c r="R2401" s="1597">
        <v>10225.32</v>
      </c>
      <c r="S2401" s="1592"/>
    </row>
    <row r="2402" spans="2:19" s="1593" customFormat="1" ht="11.25" customHeight="1" outlineLevel="1">
      <c r="B2402" s="1600" t="s">
        <v>11300</v>
      </c>
      <c r="C2402" s="1595" t="s">
        <v>11299</v>
      </c>
      <c r="D2402" s="1595" t="s">
        <v>11298</v>
      </c>
      <c r="E2402" s="1595" t="s">
        <v>2288</v>
      </c>
      <c r="F2402" s="1595" t="s">
        <v>11040</v>
      </c>
      <c r="G2402" s="1595"/>
      <c r="H2402" s="1596">
        <v>1</v>
      </c>
      <c r="I2402" s="1595"/>
      <c r="J2402" s="1595"/>
      <c r="K2402" s="1597">
        <v>204505.83</v>
      </c>
      <c r="L2402" s="1598"/>
      <c r="M2402" s="1597">
        <v>204505.83</v>
      </c>
      <c r="N2402" s="1597">
        <v>204505.83</v>
      </c>
      <c r="O2402" s="1597">
        <v>194280.51</v>
      </c>
      <c r="P2402" s="1598"/>
      <c r="Q2402" s="1597">
        <v>10225.32</v>
      </c>
      <c r="R2402" s="1597">
        <v>10225.32</v>
      </c>
      <c r="S2402" s="1592"/>
    </row>
    <row r="2403" spans="2:19" s="1593" customFormat="1" ht="11.25" customHeight="1" outlineLevel="1">
      <c r="B2403" s="1600" t="s">
        <v>11297</v>
      </c>
      <c r="C2403" s="1595" t="s">
        <v>11296</v>
      </c>
      <c r="D2403" s="1595" t="s">
        <v>11295</v>
      </c>
      <c r="E2403" s="1595" t="s">
        <v>2288</v>
      </c>
      <c r="F2403" s="1595" t="s">
        <v>11294</v>
      </c>
      <c r="G2403" s="1595"/>
      <c r="H2403" s="1596">
        <v>3</v>
      </c>
      <c r="I2403" s="1595"/>
      <c r="J2403" s="1595"/>
      <c r="K2403" s="1597">
        <v>153721</v>
      </c>
      <c r="L2403" s="1598"/>
      <c r="M2403" s="1597">
        <v>153721</v>
      </c>
      <c r="N2403" s="1597">
        <v>153721</v>
      </c>
      <c r="O2403" s="1597">
        <v>148596.94</v>
      </c>
      <c r="P2403" s="1598"/>
      <c r="Q2403" s="1597">
        <v>5124.0600000000004</v>
      </c>
      <c r="R2403" s="1597">
        <v>5124.0600000000004</v>
      </c>
      <c r="S2403" s="1592"/>
    </row>
    <row r="2404" spans="2:19" s="1593" customFormat="1" ht="21.75" customHeight="1" outlineLevel="1">
      <c r="B2404" s="1600" t="s">
        <v>11293</v>
      </c>
      <c r="C2404" s="1595" t="s">
        <v>11262</v>
      </c>
      <c r="D2404" s="1595" t="s">
        <v>11292</v>
      </c>
      <c r="E2404" s="1595" t="s">
        <v>2288</v>
      </c>
      <c r="F2404" s="1595" t="s">
        <v>11040</v>
      </c>
      <c r="G2404" s="1595"/>
      <c r="H2404" s="1595"/>
      <c r="I2404" s="1595"/>
      <c r="J2404" s="1595"/>
      <c r="K2404" s="1597">
        <v>204505.83</v>
      </c>
      <c r="L2404" s="1598"/>
      <c r="M2404" s="1597">
        <v>204505.83</v>
      </c>
      <c r="N2404" s="1597">
        <v>204505.83</v>
      </c>
      <c r="O2404" s="1597">
        <v>195984.73</v>
      </c>
      <c r="P2404" s="1598"/>
      <c r="Q2404" s="1597">
        <v>8521.1</v>
      </c>
      <c r="R2404" s="1597">
        <v>8521.1</v>
      </c>
      <c r="S2404" s="1592"/>
    </row>
    <row r="2405" spans="2:19" s="1593" customFormat="1" ht="21.75" customHeight="1" outlineLevel="1">
      <c r="B2405" s="1600" t="s">
        <v>11291</v>
      </c>
      <c r="C2405" s="1595" t="s">
        <v>11262</v>
      </c>
      <c r="D2405" s="1595" t="s">
        <v>11290</v>
      </c>
      <c r="E2405" s="1595" t="s">
        <v>2288</v>
      </c>
      <c r="F2405" s="1595" t="s">
        <v>11040</v>
      </c>
      <c r="G2405" s="1595"/>
      <c r="H2405" s="1595"/>
      <c r="I2405" s="1595"/>
      <c r="J2405" s="1595"/>
      <c r="K2405" s="1597">
        <v>204505.83</v>
      </c>
      <c r="L2405" s="1598"/>
      <c r="M2405" s="1597">
        <v>204505.83</v>
      </c>
      <c r="N2405" s="1597">
        <v>204505.83</v>
      </c>
      <c r="O2405" s="1597">
        <v>195984.73</v>
      </c>
      <c r="P2405" s="1598"/>
      <c r="Q2405" s="1597">
        <v>8521.1</v>
      </c>
      <c r="R2405" s="1597">
        <v>8521.1</v>
      </c>
      <c r="S2405" s="1592"/>
    </row>
    <row r="2406" spans="2:19" s="1593" customFormat="1" ht="21.75" customHeight="1" outlineLevel="1">
      <c r="B2406" s="1600" t="s">
        <v>11289</v>
      </c>
      <c r="C2406" s="1595" t="s">
        <v>11262</v>
      </c>
      <c r="D2406" s="1595" t="s">
        <v>11288</v>
      </c>
      <c r="E2406" s="1595" t="s">
        <v>2288</v>
      </c>
      <c r="F2406" s="1595" t="s">
        <v>11040</v>
      </c>
      <c r="G2406" s="1595"/>
      <c r="H2406" s="1595"/>
      <c r="I2406" s="1595"/>
      <c r="J2406" s="1595"/>
      <c r="K2406" s="1597">
        <v>204505.83</v>
      </c>
      <c r="L2406" s="1598"/>
      <c r="M2406" s="1597">
        <v>204505.83</v>
      </c>
      <c r="N2406" s="1597">
        <v>204505.83</v>
      </c>
      <c r="O2406" s="1597">
        <v>195984.73</v>
      </c>
      <c r="P2406" s="1598"/>
      <c r="Q2406" s="1597">
        <v>8521.1</v>
      </c>
      <c r="R2406" s="1597">
        <v>8521.1</v>
      </c>
      <c r="S2406" s="1592"/>
    </row>
    <row r="2407" spans="2:19" s="1593" customFormat="1" ht="21.75" customHeight="1" outlineLevel="1">
      <c r="B2407" s="1600" t="s">
        <v>11287</v>
      </c>
      <c r="C2407" s="1595" t="s">
        <v>11262</v>
      </c>
      <c r="D2407" s="1595" t="s">
        <v>11286</v>
      </c>
      <c r="E2407" s="1595" t="s">
        <v>2288</v>
      </c>
      <c r="F2407" s="1595" t="s">
        <v>11040</v>
      </c>
      <c r="G2407" s="1595"/>
      <c r="H2407" s="1595"/>
      <c r="I2407" s="1595"/>
      <c r="J2407" s="1595"/>
      <c r="K2407" s="1597">
        <v>204505.83</v>
      </c>
      <c r="L2407" s="1598"/>
      <c r="M2407" s="1597">
        <v>204505.83</v>
      </c>
      <c r="N2407" s="1597">
        <v>204505.83</v>
      </c>
      <c r="O2407" s="1597">
        <v>195984.73</v>
      </c>
      <c r="P2407" s="1598"/>
      <c r="Q2407" s="1597">
        <v>8521.1</v>
      </c>
      <c r="R2407" s="1597">
        <v>8521.1</v>
      </c>
      <c r="S2407" s="1592"/>
    </row>
    <row r="2408" spans="2:19" s="1593" customFormat="1" ht="11.25" customHeight="1" outlineLevel="1">
      <c r="B2408" s="1600" t="s">
        <v>11285</v>
      </c>
      <c r="C2408" s="1595" t="s">
        <v>11262</v>
      </c>
      <c r="D2408" s="1595" t="s">
        <v>11284</v>
      </c>
      <c r="E2408" s="1595" t="s">
        <v>2288</v>
      </c>
      <c r="F2408" s="1595" t="s">
        <v>11040</v>
      </c>
      <c r="G2408" s="1595"/>
      <c r="H2408" s="1595"/>
      <c r="I2408" s="1595"/>
      <c r="J2408" s="1595"/>
      <c r="K2408" s="1597">
        <v>204505.84</v>
      </c>
      <c r="L2408" s="1598"/>
      <c r="M2408" s="1597">
        <v>204505.84</v>
      </c>
      <c r="N2408" s="1597">
        <v>204505.84</v>
      </c>
      <c r="O2408" s="1597">
        <v>195984.74</v>
      </c>
      <c r="P2408" s="1598"/>
      <c r="Q2408" s="1597">
        <v>8521.1</v>
      </c>
      <c r="R2408" s="1597">
        <v>8521.1</v>
      </c>
      <c r="S2408" s="1592"/>
    </row>
    <row r="2409" spans="2:19" s="1593" customFormat="1" ht="21.75" customHeight="1" outlineLevel="1">
      <c r="B2409" s="1600" t="s">
        <v>11283</v>
      </c>
      <c r="C2409" s="1595" t="s">
        <v>11262</v>
      </c>
      <c r="D2409" s="1595" t="s">
        <v>11282</v>
      </c>
      <c r="E2409" s="1595" t="s">
        <v>2288</v>
      </c>
      <c r="F2409" s="1595" t="s">
        <v>11040</v>
      </c>
      <c r="G2409" s="1595"/>
      <c r="H2409" s="1595"/>
      <c r="I2409" s="1595"/>
      <c r="J2409" s="1595"/>
      <c r="K2409" s="1597">
        <v>204505.84</v>
      </c>
      <c r="L2409" s="1598"/>
      <c r="M2409" s="1597">
        <v>204505.84</v>
      </c>
      <c r="N2409" s="1597">
        <v>204505.84</v>
      </c>
      <c r="O2409" s="1597">
        <v>195984.74</v>
      </c>
      <c r="P2409" s="1598"/>
      <c r="Q2409" s="1597">
        <v>8521.1</v>
      </c>
      <c r="R2409" s="1597">
        <v>8521.1</v>
      </c>
      <c r="S2409" s="1592"/>
    </row>
    <row r="2410" spans="2:19" s="1593" customFormat="1" ht="21.75" customHeight="1" outlineLevel="1">
      <c r="B2410" s="1600" t="s">
        <v>11281</v>
      </c>
      <c r="C2410" s="1595" t="s">
        <v>11262</v>
      </c>
      <c r="D2410" s="1595" t="s">
        <v>11280</v>
      </c>
      <c r="E2410" s="1595" t="s">
        <v>2288</v>
      </c>
      <c r="F2410" s="1595" t="s">
        <v>11047</v>
      </c>
      <c r="G2410" s="1595"/>
      <c r="H2410" s="1595"/>
      <c r="I2410" s="1595"/>
      <c r="J2410" s="1595"/>
      <c r="K2410" s="1597">
        <v>131145.84</v>
      </c>
      <c r="L2410" s="1598"/>
      <c r="M2410" s="1597">
        <v>131145.84</v>
      </c>
      <c r="N2410" s="1597">
        <v>131145.84</v>
      </c>
      <c r="O2410" s="1597">
        <v>125681.44</v>
      </c>
      <c r="P2410" s="1598"/>
      <c r="Q2410" s="1597">
        <v>5464.4</v>
      </c>
      <c r="R2410" s="1597">
        <v>5464.4</v>
      </c>
      <c r="S2410" s="1592"/>
    </row>
    <row r="2411" spans="2:19" s="1593" customFormat="1" ht="21.75" customHeight="1" outlineLevel="1">
      <c r="B2411" s="1600" t="s">
        <v>11279</v>
      </c>
      <c r="C2411" s="1595" t="s">
        <v>11262</v>
      </c>
      <c r="D2411" s="1595" t="s">
        <v>11278</v>
      </c>
      <c r="E2411" s="1595" t="s">
        <v>2288</v>
      </c>
      <c r="F2411" s="1595" t="s">
        <v>11047</v>
      </c>
      <c r="G2411" s="1595"/>
      <c r="H2411" s="1595"/>
      <c r="I2411" s="1595"/>
      <c r="J2411" s="1595"/>
      <c r="K2411" s="1597">
        <v>131145.84</v>
      </c>
      <c r="L2411" s="1598"/>
      <c r="M2411" s="1597">
        <v>131145.84</v>
      </c>
      <c r="N2411" s="1597">
        <v>131145.84</v>
      </c>
      <c r="O2411" s="1597">
        <v>125681.44</v>
      </c>
      <c r="P2411" s="1598"/>
      <c r="Q2411" s="1597">
        <v>5464.4</v>
      </c>
      <c r="R2411" s="1597">
        <v>5464.4</v>
      </c>
      <c r="S2411" s="1592"/>
    </row>
    <row r="2412" spans="2:19" s="1593" customFormat="1" ht="11.25" customHeight="1" outlineLevel="1">
      <c r="B2412" s="1600" t="s">
        <v>11277</v>
      </c>
      <c r="C2412" s="1595" t="s">
        <v>11262</v>
      </c>
      <c r="D2412" s="1595" t="s">
        <v>11276</v>
      </c>
      <c r="E2412" s="1595" t="s">
        <v>2288</v>
      </c>
      <c r="F2412" s="1595" t="s">
        <v>11047</v>
      </c>
      <c r="G2412" s="1595"/>
      <c r="H2412" s="1595"/>
      <c r="I2412" s="1595"/>
      <c r="J2412" s="1595"/>
      <c r="K2412" s="1597">
        <v>131145.84</v>
      </c>
      <c r="L2412" s="1598"/>
      <c r="M2412" s="1597">
        <v>131145.84</v>
      </c>
      <c r="N2412" s="1597">
        <v>131145.84</v>
      </c>
      <c r="O2412" s="1597">
        <v>125681.44</v>
      </c>
      <c r="P2412" s="1598"/>
      <c r="Q2412" s="1597">
        <v>5464.4</v>
      </c>
      <c r="R2412" s="1597">
        <v>5464.4</v>
      </c>
      <c r="S2412" s="1592"/>
    </row>
    <row r="2413" spans="2:19" s="1593" customFormat="1" ht="21.75" customHeight="1" outlineLevel="1">
      <c r="B2413" s="1600" t="s">
        <v>11275</v>
      </c>
      <c r="C2413" s="1595" t="s">
        <v>11262</v>
      </c>
      <c r="D2413" s="1595" t="s">
        <v>11274</v>
      </c>
      <c r="E2413" s="1595" t="s">
        <v>2288</v>
      </c>
      <c r="F2413" s="1595" t="s">
        <v>11047</v>
      </c>
      <c r="G2413" s="1595"/>
      <c r="H2413" s="1595"/>
      <c r="I2413" s="1595"/>
      <c r="J2413" s="1595"/>
      <c r="K2413" s="1597">
        <v>131145.82999999999</v>
      </c>
      <c r="L2413" s="1598"/>
      <c r="M2413" s="1597">
        <v>131145.82999999999</v>
      </c>
      <c r="N2413" s="1597">
        <v>131145.82999999999</v>
      </c>
      <c r="O2413" s="1597">
        <v>125681.43</v>
      </c>
      <c r="P2413" s="1598"/>
      <c r="Q2413" s="1597">
        <v>5464.4</v>
      </c>
      <c r="R2413" s="1597">
        <v>5464.4</v>
      </c>
      <c r="S2413" s="1592"/>
    </row>
    <row r="2414" spans="2:19" s="1593" customFormat="1" ht="21.75" customHeight="1" outlineLevel="1">
      <c r="B2414" s="1600" t="s">
        <v>11273</v>
      </c>
      <c r="C2414" s="1595" t="s">
        <v>11262</v>
      </c>
      <c r="D2414" s="1595" t="s">
        <v>11272</v>
      </c>
      <c r="E2414" s="1595" t="s">
        <v>2288</v>
      </c>
      <c r="F2414" s="1595" t="s">
        <v>11047</v>
      </c>
      <c r="G2414" s="1595"/>
      <c r="H2414" s="1595"/>
      <c r="I2414" s="1595"/>
      <c r="J2414" s="1595"/>
      <c r="K2414" s="1597">
        <v>131145.82999999999</v>
      </c>
      <c r="L2414" s="1598"/>
      <c r="M2414" s="1597">
        <v>131145.82999999999</v>
      </c>
      <c r="N2414" s="1597">
        <v>131145.82999999999</v>
      </c>
      <c r="O2414" s="1597">
        <v>125681.43</v>
      </c>
      <c r="P2414" s="1598"/>
      <c r="Q2414" s="1597">
        <v>5464.4</v>
      </c>
      <c r="R2414" s="1597">
        <v>5464.4</v>
      </c>
      <c r="S2414" s="1592"/>
    </row>
    <row r="2415" spans="2:19" s="1593" customFormat="1" ht="21.75" customHeight="1" outlineLevel="1">
      <c r="B2415" s="1600" t="s">
        <v>11271</v>
      </c>
      <c r="C2415" s="1595" t="s">
        <v>11262</v>
      </c>
      <c r="D2415" s="1595" t="s">
        <v>11270</v>
      </c>
      <c r="E2415" s="1595" t="s">
        <v>2288</v>
      </c>
      <c r="F2415" s="1595" t="s">
        <v>11047</v>
      </c>
      <c r="G2415" s="1595"/>
      <c r="H2415" s="1595"/>
      <c r="I2415" s="1595"/>
      <c r="J2415" s="1595"/>
      <c r="K2415" s="1597">
        <v>131145.82999999999</v>
      </c>
      <c r="L2415" s="1598"/>
      <c r="M2415" s="1597">
        <v>131145.82999999999</v>
      </c>
      <c r="N2415" s="1597">
        <v>131145.82999999999</v>
      </c>
      <c r="O2415" s="1597">
        <v>125681.43</v>
      </c>
      <c r="P2415" s="1598"/>
      <c r="Q2415" s="1597">
        <v>5464.4</v>
      </c>
      <c r="R2415" s="1597">
        <v>5464.4</v>
      </c>
      <c r="S2415" s="1592"/>
    </row>
    <row r="2416" spans="2:19" s="1593" customFormat="1" ht="11.25" customHeight="1" outlineLevel="1">
      <c r="B2416" s="1600" t="s">
        <v>11269</v>
      </c>
      <c r="C2416" s="1595" t="s">
        <v>11262</v>
      </c>
      <c r="D2416" s="1595" t="s">
        <v>11268</v>
      </c>
      <c r="E2416" s="1595" t="s">
        <v>2288</v>
      </c>
      <c r="F2416" s="1595" t="s">
        <v>11047</v>
      </c>
      <c r="G2416" s="1595"/>
      <c r="H2416" s="1595"/>
      <c r="I2416" s="1595"/>
      <c r="J2416" s="1595"/>
      <c r="K2416" s="1597">
        <v>131145.82999999999</v>
      </c>
      <c r="L2416" s="1598"/>
      <c r="M2416" s="1597">
        <v>131145.82999999999</v>
      </c>
      <c r="N2416" s="1597">
        <v>131145.82999999999</v>
      </c>
      <c r="O2416" s="1597">
        <v>125681.43</v>
      </c>
      <c r="P2416" s="1598"/>
      <c r="Q2416" s="1597">
        <v>5464.4</v>
      </c>
      <c r="R2416" s="1597">
        <v>5464.4</v>
      </c>
      <c r="S2416" s="1592"/>
    </row>
    <row r="2417" spans="2:19" s="1593" customFormat="1" ht="11.25" customHeight="1" outlineLevel="1">
      <c r="B2417" s="1600" t="s">
        <v>11267</v>
      </c>
      <c r="C2417" s="1595" t="s">
        <v>11262</v>
      </c>
      <c r="D2417" s="1595" t="s">
        <v>11266</v>
      </c>
      <c r="E2417" s="1595" t="s">
        <v>2288</v>
      </c>
      <c r="F2417" s="1595" t="s">
        <v>11047</v>
      </c>
      <c r="G2417" s="1595"/>
      <c r="H2417" s="1595"/>
      <c r="I2417" s="1595"/>
      <c r="J2417" s="1595"/>
      <c r="K2417" s="1597">
        <v>131145.82999999999</v>
      </c>
      <c r="L2417" s="1598"/>
      <c r="M2417" s="1597">
        <v>131145.82999999999</v>
      </c>
      <c r="N2417" s="1597">
        <v>131145.82999999999</v>
      </c>
      <c r="O2417" s="1597">
        <v>125681.43</v>
      </c>
      <c r="P2417" s="1598"/>
      <c r="Q2417" s="1597">
        <v>5464.4</v>
      </c>
      <c r="R2417" s="1597">
        <v>5464.4</v>
      </c>
      <c r="S2417" s="1592"/>
    </row>
    <row r="2418" spans="2:19" s="1593" customFormat="1" ht="11.25" customHeight="1" outlineLevel="1">
      <c r="B2418" s="1600" t="s">
        <v>11265</v>
      </c>
      <c r="C2418" s="1595" t="s">
        <v>11262</v>
      </c>
      <c r="D2418" s="1595" t="s">
        <v>11264</v>
      </c>
      <c r="E2418" s="1595" t="s">
        <v>2288</v>
      </c>
      <c r="F2418" s="1595" t="s">
        <v>11047</v>
      </c>
      <c r="G2418" s="1595"/>
      <c r="H2418" s="1595"/>
      <c r="I2418" s="1595"/>
      <c r="J2418" s="1595"/>
      <c r="K2418" s="1597">
        <v>131145.82999999999</v>
      </c>
      <c r="L2418" s="1598"/>
      <c r="M2418" s="1597">
        <v>131145.82999999999</v>
      </c>
      <c r="N2418" s="1597">
        <v>131145.82999999999</v>
      </c>
      <c r="O2418" s="1597">
        <v>125681.43</v>
      </c>
      <c r="P2418" s="1598"/>
      <c r="Q2418" s="1597">
        <v>5464.4</v>
      </c>
      <c r="R2418" s="1597">
        <v>5464.4</v>
      </c>
      <c r="S2418" s="1592"/>
    </row>
    <row r="2419" spans="2:19" s="1593" customFormat="1" ht="11.25" customHeight="1" outlineLevel="1">
      <c r="B2419" s="1600" t="s">
        <v>11263</v>
      </c>
      <c r="C2419" s="1595" t="s">
        <v>11262</v>
      </c>
      <c r="D2419" s="1595" t="s">
        <v>11261</v>
      </c>
      <c r="E2419" s="1595" t="s">
        <v>2288</v>
      </c>
      <c r="F2419" s="1595" t="s">
        <v>11047</v>
      </c>
      <c r="G2419" s="1595"/>
      <c r="H2419" s="1596">
        <v>1</v>
      </c>
      <c r="I2419" s="1595"/>
      <c r="J2419" s="1595"/>
      <c r="K2419" s="1597">
        <v>131145.82999999999</v>
      </c>
      <c r="L2419" s="1598"/>
      <c r="M2419" s="1597">
        <v>131145.82999999999</v>
      </c>
      <c r="N2419" s="1597">
        <v>131145.82999999999</v>
      </c>
      <c r="O2419" s="1597">
        <v>125681.43</v>
      </c>
      <c r="P2419" s="1598"/>
      <c r="Q2419" s="1597">
        <v>5464.4</v>
      </c>
      <c r="R2419" s="1597">
        <v>5464.4</v>
      </c>
      <c r="S2419" s="1592"/>
    </row>
    <row r="2420" spans="2:19" s="1593" customFormat="1" ht="11.25" customHeight="1" outlineLevel="1">
      <c r="B2420" s="1600" t="s">
        <v>11260</v>
      </c>
      <c r="C2420" s="1595" t="s">
        <v>11241</v>
      </c>
      <c r="D2420" s="1595" t="s">
        <v>11259</v>
      </c>
      <c r="E2420" s="1595" t="s">
        <v>2288</v>
      </c>
      <c r="F2420" s="1595" t="s">
        <v>11047</v>
      </c>
      <c r="G2420" s="1595"/>
      <c r="H2420" s="1596">
        <v>1</v>
      </c>
      <c r="I2420" s="1595"/>
      <c r="J2420" s="1595"/>
      <c r="K2420" s="1597">
        <v>131145.84</v>
      </c>
      <c r="L2420" s="1598"/>
      <c r="M2420" s="1597">
        <v>131145.84</v>
      </c>
      <c r="N2420" s="1597">
        <v>131145.84</v>
      </c>
      <c r="O2420" s="1597">
        <v>126774.32</v>
      </c>
      <c r="P2420" s="1598"/>
      <c r="Q2420" s="1597">
        <v>4371.5200000000004</v>
      </c>
      <c r="R2420" s="1597">
        <v>4371.5200000000004</v>
      </c>
      <c r="S2420" s="1592"/>
    </row>
    <row r="2421" spans="2:19" s="1593" customFormat="1" ht="11.25" customHeight="1" outlineLevel="1">
      <c r="B2421" s="1600" t="s">
        <v>11258</v>
      </c>
      <c r="C2421" s="1595" t="s">
        <v>11241</v>
      </c>
      <c r="D2421" s="1595" t="s">
        <v>11257</v>
      </c>
      <c r="E2421" s="1595" t="s">
        <v>2288</v>
      </c>
      <c r="F2421" s="1595" t="s">
        <v>11047</v>
      </c>
      <c r="G2421" s="1595"/>
      <c r="H2421" s="1596">
        <v>1</v>
      </c>
      <c r="I2421" s="1595"/>
      <c r="J2421" s="1595"/>
      <c r="K2421" s="1597">
        <v>131145.84</v>
      </c>
      <c r="L2421" s="1598"/>
      <c r="M2421" s="1597">
        <v>131145.84</v>
      </c>
      <c r="N2421" s="1597">
        <v>131145.84</v>
      </c>
      <c r="O2421" s="1597">
        <v>126774.32</v>
      </c>
      <c r="P2421" s="1598"/>
      <c r="Q2421" s="1597">
        <v>4371.5200000000004</v>
      </c>
      <c r="R2421" s="1597">
        <v>4371.5200000000004</v>
      </c>
      <c r="S2421" s="1592"/>
    </row>
    <row r="2422" spans="2:19" s="1593" customFormat="1" ht="11.25" customHeight="1" outlineLevel="1">
      <c r="B2422" s="1600" t="s">
        <v>11256</v>
      </c>
      <c r="C2422" s="1595" t="s">
        <v>11241</v>
      </c>
      <c r="D2422" s="1595" t="s">
        <v>11255</v>
      </c>
      <c r="E2422" s="1595" t="s">
        <v>2288</v>
      </c>
      <c r="F2422" s="1595" t="s">
        <v>11047</v>
      </c>
      <c r="G2422" s="1595"/>
      <c r="H2422" s="1596">
        <v>1</v>
      </c>
      <c r="I2422" s="1595"/>
      <c r="J2422" s="1595"/>
      <c r="K2422" s="1597">
        <v>131145.84</v>
      </c>
      <c r="L2422" s="1598"/>
      <c r="M2422" s="1597">
        <v>131145.84</v>
      </c>
      <c r="N2422" s="1597">
        <v>131145.84</v>
      </c>
      <c r="O2422" s="1597">
        <v>126774.32</v>
      </c>
      <c r="P2422" s="1598"/>
      <c r="Q2422" s="1597">
        <v>4371.5200000000004</v>
      </c>
      <c r="R2422" s="1597">
        <v>4371.5200000000004</v>
      </c>
      <c r="S2422" s="1592"/>
    </row>
    <row r="2423" spans="2:19" s="1593" customFormat="1" ht="21.75" customHeight="1" outlineLevel="1">
      <c r="B2423" s="1600" t="s">
        <v>11254</v>
      </c>
      <c r="C2423" s="1595" t="s">
        <v>11241</v>
      </c>
      <c r="D2423" s="1595" t="s">
        <v>11253</v>
      </c>
      <c r="E2423" s="1595" t="s">
        <v>2288</v>
      </c>
      <c r="F2423" s="1595" t="s">
        <v>11047</v>
      </c>
      <c r="G2423" s="1595"/>
      <c r="H2423" s="1596">
        <v>1</v>
      </c>
      <c r="I2423" s="1595"/>
      <c r="J2423" s="1595"/>
      <c r="K2423" s="1597">
        <v>131145.84</v>
      </c>
      <c r="L2423" s="1598"/>
      <c r="M2423" s="1597">
        <v>131145.84</v>
      </c>
      <c r="N2423" s="1597">
        <v>131145.84</v>
      </c>
      <c r="O2423" s="1597">
        <v>126774.32</v>
      </c>
      <c r="P2423" s="1598"/>
      <c r="Q2423" s="1597">
        <v>4371.5200000000004</v>
      </c>
      <c r="R2423" s="1597">
        <v>4371.5200000000004</v>
      </c>
      <c r="S2423" s="1592"/>
    </row>
    <row r="2424" spans="2:19" s="1593" customFormat="1" ht="21.75" customHeight="1" outlineLevel="1">
      <c r="B2424" s="1600" t="s">
        <v>11252</v>
      </c>
      <c r="C2424" s="1595" t="s">
        <v>11241</v>
      </c>
      <c r="D2424" s="1595" t="s">
        <v>11251</v>
      </c>
      <c r="E2424" s="1595" t="s">
        <v>2288</v>
      </c>
      <c r="F2424" s="1595" t="s">
        <v>11047</v>
      </c>
      <c r="G2424" s="1595"/>
      <c r="H2424" s="1596">
        <v>1</v>
      </c>
      <c r="I2424" s="1595"/>
      <c r="J2424" s="1595"/>
      <c r="K2424" s="1597">
        <v>131145.82999999999</v>
      </c>
      <c r="L2424" s="1598"/>
      <c r="M2424" s="1597">
        <v>131145.82999999999</v>
      </c>
      <c r="N2424" s="1597">
        <v>131145.82999999999</v>
      </c>
      <c r="O2424" s="1597">
        <v>126774.31</v>
      </c>
      <c r="P2424" s="1598"/>
      <c r="Q2424" s="1597">
        <v>4371.5200000000004</v>
      </c>
      <c r="R2424" s="1597">
        <v>4371.5200000000004</v>
      </c>
      <c r="S2424" s="1592"/>
    </row>
    <row r="2425" spans="2:19" s="1593" customFormat="1" ht="21.75" customHeight="1" outlineLevel="1">
      <c r="B2425" s="1600" t="s">
        <v>11250</v>
      </c>
      <c r="C2425" s="1595" t="s">
        <v>11241</v>
      </c>
      <c r="D2425" s="1595" t="s">
        <v>11249</v>
      </c>
      <c r="E2425" s="1595" t="s">
        <v>2288</v>
      </c>
      <c r="F2425" s="1595" t="s">
        <v>11047</v>
      </c>
      <c r="G2425" s="1595"/>
      <c r="H2425" s="1596">
        <v>1</v>
      </c>
      <c r="I2425" s="1595"/>
      <c r="J2425" s="1595"/>
      <c r="K2425" s="1597">
        <v>131145.82999999999</v>
      </c>
      <c r="L2425" s="1598"/>
      <c r="M2425" s="1597">
        <v>131145.82999999999</v>
      </c>
      <c r="N2425" s="1597">
        <v>131145.82999999999</v>
      </c>
      <c r="O2425" s="1597">
        <v>126774.31</v>
      </c>
      <c r="P2425" s="1598"/>
      <c r="Q2425" s="1597">
        <v>4371.5200000000004</v>
      </c>
      <c r="R2425" s="1597">
        <v>4371.5200000000004</v>
      </c>
      <c r="S2425" s="1592"/>
    </row>
    <row r="2426" spans="2:19" s="1593" customFormat="1" ht="11.25" customHeight="1" outlineLevel="1">
      <c r="B2426" s="1600" t="s">
        <v>11248</v>
      </c>
      <c r="C2426" s="1595" t="s">
        <v>11241</v>
      </c>
      <c r="D2426" s="1595" t="s">
        <v>11247</v>
      </c>
      <c r="E2426" s="1595" t="s">
        <v>2288</v>
      </c>
      <c r="F2426" s="1595" t="s">
        <v>11047</v>
      </c>
      <c r="G2426" s="1595"/>
      <c r="H2426" s="1596">
        <v>1</v>
      </c>
      <c r="I2426" s="1595"/>
      <c r="J2426" s="1595"/>
      <c r="K2426" s="1597">
        <v>131145.82999999999</v>
      </c>
      <c r="L2426" s="1598"/>
      <c r="M2426" s="1597">
        <v>131145.82999999999</v>
      </c>
      <c r="N2426" s="1597">
        <v>131145.82999999999</v>
      </c>
      <c r="O2426" s="1597">
        <v>126774.31</v>
      </c>
      <c r="P2426" s="1598"/>
      <c r="Q2426" s="1597">
        <v>4371.5200000000004</v>
      </c>
      <c r="R2426" s="1597">
        <v>4371.5200000000004</v>
      </c>
      <c r="S2426" s="1592"/>
    </row>
    <row r="2427" spans="2:19" s="1593" customFormat="1" ht="11.25" customHeight="1" outlineLevel="1">
      <c r="B2427" s="1600" t="s">
        <v>11246</v>
      </c>
      <c r="C2427" s="1595" t="s">
        <v>11241</v>
      </c>
      <c r="D2427" s="1595" t="s">
        <v>11245</v>
      </c>
      <c r="E2427" s="1595" t="s">
        <v>2288</v>
      </c>
      <c r="F2427" s="1595" t="s">
        <v>11047</v>
      </c>
      <c r="G2427" s="1595"/>
      <c r="H2427" s="1596">
        <v>1</v>
      </c>
      <c r="I2427" s="1595"/>
      <c r="J2427" s="1595"/>
      <c r="K2427" s="1597">
        <v>131145.82999999999</v>
      </c>
      <c r="L2427" s="1598"/>
      <c r="M2427" s="1597">
        <v>131145.82999999999</v>
      </c>
      <c r="N2427" s="1597">
        <v>131145.82999999999</v>
      </c>
      <c r="O2427" s="1597">
        <v>126774.31</v>
      </c>
      <c r="P2427" s="1598"/>
      <c r="Q2427" s="1597">
        <v>4371.5200000000004</v>
      </c>
      <c r="R2427" s="1597">
        <v>4371.5200000000004</v>
      </c>
      <c r="S2427" s="1592"/>
    </row>
    <row r="2428" spans="2:19" s="1593" customFormat="1" ht="11.25" customHeight="1" outlineLevel="1">
      <c r="B2428" s="1600" t="s">
        <v>11244</v>
      </c>
      <c r="C2428" s="1595" t="s">
        <v>11241</v>
      </c>
      <c r="D2428" s="1595" t="s">
        <v>11243</v>
      </c>
      <c r="E2428" s="1595" t="s">
        <v>2288</v>
      </c>
      <c r="F2428" s="1595" t="s">
        <v>11047</v>
      </c>
      <c r="G2428" s="1595"/>
      <c r="H2428" s="1596">
        <v>1</v>
      </c>
      <c r="I2428" s="1595"/>
      <c r="J2428" s="1595"/>
      <c r="K2428" s="1597">
        <v>131145.82999999999</v>
      </c>
      <c r="L2428" s="1598"/>
      <c r="M2428" s="1597">
        <v>131145.82999999999</v>
      </c>
      <c r="N2428" s="1597">
        <v>131145.82999999999</v>
      </c>
      <c r="O2428" s="1597">
        <v>126774.31</v>
      </c>
      <c r="P2428" s="1598"/>
      <c r="Q2428" s="1597">
        <v>4371.5200000000004</v>
      </c>
      <c r="R2428" s="1597">
        <v>4371.5200000000004</v>
      </c>
      <c r="S2428" s="1592"/>
    </row>
    <row r="2429" spans="2:19" s="1593" customFormat="1" ht="11.25" customHeight="1" outlineLevel="1">
      <c r="B2429" s="1600" t="s">
        <v>11242</v>
      </c>
      <c r="C2429" s="1595" t="s">
        <v>11241</v>
      </c>
      <c r="D2429" s="1595" t="s">
        <v>11240</v>
      </c>
      <c r="E2429" s="1595" t="s">
        <v>2288</v>
      </c>
      <c r="F2429" s="1595" t="s">
        <v>11047</v>
      </c>
      <c r="G2429" s="1595"/>
      <c r="H2429" s="1596">
        <v>1</v>
      </c>
      <c r="I2429" s="1595"/>
      <c r="J2429" s="1595"/>
      <c r="K2429" s="1597">
        <v>131145.82999999999</v>
      </c>
      <c r="L2429" s="1598"/>
      <c r="M2429" s="1597">
        <v>131145.82999999999</v>
      </c>
      <c r="N2429" s="1597">
        <v>131145.82999999999</v>
      </c>
      <c r="O2429" s="1597">
        <v>126774.31</v>
      </c>
      <c r="P2429" s="1598"/>
      <c r="Q2429" s="1597">
        <v>4371.5200000000004</v>
      </c>
      <c r="R2429" s="1597">
        <v>4371.5200000000004</v>
      </c>
      <c r="S2429" s="1592"/>
    </row>
    <row r="2430" spans="2:19" s="1593" customFormat="1" ht="21.75" customHeight="1" outlineLevel="1">
      <c r="B2430" s="1600" t="s">
        <v>11239</v>
      </c>
      <c r="C2430" s="1595" t="s">
        <v>11194</v>
      </c>
      <c r="D2430" s="1595" t="s">
        <v>11238</v>
      </c>
      <c r="E2430" s="1595" t="s">
        <v>2288</v>
      </c>
      <c r="F2430" s="1595" t="s">
        <v>11047</v>
      </c>
      <c r="G2430" s="1595"/>
      <c r="H2430" s="1596">
        <v>1</v>
      </c>
      <c r="I2430" s="1595"/>
      <c r="J2430" s="1595"/>
      <c r="K2430" s="1597">
        <v>131145.84</v>
      </c>
      <c r="L2430" s="1598"/>
      <c r="M2430" s="1597">
        <v>131145.84</v>
      </c>
      <c r="N2430" s="1597">
        <v>131145.84</v>
      </c>
      <c r="O2430" s="1597">
        <v>127867.2</v>
      </c>
      <c r="P2430" s="1598"/>
      <c r="Q2430" s="1597">
        <v>3278.64</v>
      </c>
      <c r="R2430" s="1597">
        <v>3278.64</v>
      </c>
      <c r="S2430" s="1592"/>
    </row>
    <row r="2431" spans="2:19" s="1593" customFormat="1" ht="21.75" customHeight="1" outlineLevel="1">
      <c r="B2431" s="1600" t="s">
        <v>11237</v>
      </c>
      <c r="C2431" s="1595" t="s">
        <v>11194</v>
      </c>
      <c r="D2431" s="1595" t="s">
        <v>11236</v>
      </c>
      <c r="E2431" s="1595" t="s">
        <v>2288</v>
      </c>
      <c r="F2431" s="1595" t="s">
        <v>11047</v>
      </c>
      <c r="G2431" s="1595"/>
      <c r="H2431" s="1596">
        <v>1</v>
      </c>
      <c r="I2431" s="1595"/>
      <c r="J2431" s="1595"/>
      <c r="K2431" s="1597">
        <v>131145.84</v>
      </c>
      <c r="L2431" s="1598"/>
      <c r="M2431" s="1597">
        <v>131145.84</v>
      </c>
      <c r="N2431" s="1597">
        <v>131145.84</v>
      </c>
      <c r="O2431" s="1597">
        <v>127867.2</v>
      </c>
      <c r="P2431" s="1598"/>
      <c r="Q2431" s="1597">
        <v>3278.64</v>
      </c>
      <c r="R2431" s="1597">
        <v>3278.64</v>
      </c>
      <c r="S2431" s="1592"/>
    </row>
    <row r="2432" spans="2:19" s="1593" customFormat="1" ht="21.75" customHeight="1" outlineLevel="1">
      <c r="B2432" s="1600" t="s">
        <v>11235</v>
      </c>
      <c r="C2432" s="1595" t="s">
        <v>11194</v>
      </c>
      <c r="D2432" s="1595" t="s">
        <v>11234</v>
      </c>
      <c r="E2432" s="1595" t="s">
        <v>2288</v>
      </c>
      <c r="F2432" s="1595" t="s">
        <v>11047</v>
      </c>
      <c r="G2432" s="1595"/>
      <c r="H2432" s="1596">
        <v>1</v>
      </c>
      <c r="I2432" s="1595"/>
      <c r="J2432" s="1595"/>
      <c r="K2432" s="1597">
        <v>131145.84</v>
      </c>
      <c r="L2432" s="1598"/>
      <c r="M2432" s="1597">
        <v>131145.84</v>
      </c>
      <c r="N2432" s="1597">
        <v>131145.84</v>
      </c>
      <c r="O2432" s="1597">
        <v>127867.2</v>
      </c>
      <c r="P2432" s="1598"/>
      <c r="Q2432" s="1597">
        <v>3278.64</v>
      </c>
      <c r="R2432" s="1597">
        <v>3278.64</v>
      </c>
      <c r="S2432" s="1592"/>
    </row>
    <row r="2433" spans="2:19" s="1593" customFormat="1" ht="11.25" customHeight="1" outlineLevel="1">
      <c r="B2433" s="1600" t="s">
        <v>11233</v>
      </c>
      <c r="C2433" s="1595" t="s">
        <v>11194</v>
      </c>
      <c r="D2433" s="1595" t="s">
        <v>11232</v>
      </c>
      <c r="E2433" s="1595" t="s">
        <v>2288</v>
      </c>
      <c r="F2433" s="1595" t="s">
        <v>11047</v>
      </c>
      <c r="G2433" s="1595"/>
      <c r="H2433" s="1596">
        <v>1</v>
      </c>
      <c r="I2433" s="1595"/>
      <c r="J2433" s="1595"/>
      <c r="K2433" s="1597">
        <v>131145.84</v>
      </c>
      <c r="L2433" s="1598"/>
      <c r="M2433" s="1597">
        <v>131145.84</v>
      </c>
      <c r="N2433" s="1597">
        <v>131145.84</v>
      </c>
      <c r="O2433" s="1597">
        <v>127867.2</v>
      </c>
      <c r="P2433" s="1598"/>
      <c r="Q2433" s="1597">
        <v>3278.64</v>
      </c>
      <c r="R2433" s="1597">
        <v>3278.64</v>
      </c>
      <c r="S2433" s="1592"/>
    </row>
    <row r="2434" spans="2:19" s="1593" customFormat="1" ht="21.75" customHeight="1" outlineLevel="1">
      <c r="B2434" s="1600" t="s">
        <v>11231</v>
      </c>
      <c r="C2434" s="1595" t="s">
        <v>11194</v>
      </c>
      <c r="D2434" s="1595" t="s">
        <v>11230</v>
      </c>
      <c r="E2434" s="1595" t="s">
        <v>2288</v>
      </c>
      <c r="F2434" s="1595" t="s">
        <v>11047</v>
      </c>
      <c r="G2434" s="1595"/>
      <c r="H2434" s="1596">
        <v>1</v>
      </c>
      <c r="I2434" s="1595"/>
      <c r="J2434" s="1595"/>
      <c r="K2434" s="1597">
        <v>131145.84</v>
      </c>
      <c r="L2434" s="1598"/>
      <c r="M2434" s="1597">
        <v>131145.84</v>
      </c>
      <c r="N2434" s="1597">
        <v>131145.84</v>
      </c>
      <c r="O2434" s="1597">
        <v>127867.2</v>
      </c>
      <c r="P2434" s="1598"/>
      <c r="Q2434" s="1597">
        <v>3278.64</v>
      </c>
      <c r="R2434" s="1597">
        <v>3278.64</v>
      </c>
      <c r="S2434" s="1592"/>
    </row>
    <row r="2435" spans="2:19" s="1593" customFormat="1" ht="21.75" customHeight="1" outlineLevel="1">
      <c r="B2435" s="1600" t="s">
        <v>11229</v>
      </c>
      <c r="C2435" s="1595" t="s">
        <v>11194</v>
      </c>
      <c r="D2435" s="1595" t="s">
        <v>11228</v>
      </c>
      <c r="E2435" s="1595" t="s">
        <v>2288</v>
      </c>
      <c r="F2435" s="1595" t="s">
        <v>11047</v>
      </c>
      <c r="G2435" s="1595"/>
      <c r="H2435" s="1596">
        <v>1</v>
      </c>
      <c r="I2435" s="1595"/>
      <c r="J2435" s="1595"/>
      <c r="K2435" s="1597">
        <v>131145.84</v>
      </c>
      <c r="L2435" s="1598"/>
      <c r="M2435" s="1597">
        <v>131145.84</v>
      </c>
      <c r="N2435" s="1597">
        <v>131145.84</v>
      </c>
      <c r="O2435" s="1597">
        <v>127867.2</v>
      </c>
      <c r="P2435" s="1598"/>
      <c r="Q2435" s="1597">
        <v>3278.64</v>
      </c>
      <c r="R2435" s="1597">
        <v>3278.64</v>
      </c>
      <c r="S2435" s="1592"/>
    </row>
    <row r="2436" spans="2:19" s="1593" customFormat="1" ht="21.75" customHeight="1" outlineLevel="1">
      <c r="B2436" s="1600" t="s">
        <v>11227</v>
      </c>
      <c r="C2436" s="1595" t="s">
        <v>11194</v>
      </c>
      <c r="D2436" s="1595" t="s">
        <v>11226</v>
      </c>
      <c r="E2436" s="1595"/>
      <c r="F2436" s="1595"/>
      <c r="G2436" s="1595"/>
      <c r="H2436" s="1595"/>
      <c r="I2436" s="1595"/>
      <c r="J2436" s="1595"/>
      <c r="K2436" s="1597">
        <v>131145.84</v>
      </c>
      <c r="L2436" s="1598"/>
      <c r="M2436" s="1597">
        <v>131145.84</v>
      </c>
      <c r="N2436" s="1597">
        <v>131145.84</v>
      </c>
      <c r="O2436" s="1597">
        <v>127867.2</v>
      </c>
      <c r="P2436" s="1598"/>
      <c r="Q2436" s="1597">
        <v>3278.64</v>
      </c>
      <c r="R2436" s="1597">
        <v>3278.64</v>
      </c>
      <c r="S2436" s="1592"/>
    </row>
    <row r="2437" spans="2:19" s="1593" customFormat="1" ht="21.75" customHeight="1" outlineLevel="1">
      <c r="B2437" s="1600" t="s">
        <v>11225</v>
      </c>
      <c r="C2437" s="1595" t="s">
        <v>11194</v>
      </c>
      <c r="D2437" s="1595" t="s">
        <v>11224</v>
      </c>
      <c r="E2437" s="1595" t="s">
        <v>2288</v>
      </c>
      <c r="F2437" s="1595" t="s">
        <v>11047</v>
      </c>
      <c r="G2437" s="1595"/>
      <c r="H2437" s="1596">
        <v>1</v>
      </c>
      <c r="I2437" s="1595"/>
      <c r="J2437" s="1595"/>
      <c r="K2437" s="1597">
        <v>131145.82999999999</v>
      </c>
      <c r="L2437" s="1598"/>
      <c r="M2437" s="1597">
        <v>131145.82999999999</v>
      </c>
      <c r="N2437" s="1597">
        <v>131145.82999999999</v>
      </c>
      <c r="O2437" s="1597">
        <v>127867.19</v>
      </c>
      <c r="P2437" s="1598"/>
      <c r="Q2437" s="1597">
        <v>3278.64</v>
      </c>
      <c r="R2437" s="1597">
        <v>3278.64</v>
      </c>
      <c r="S2437" s="1592"/>
    </row>
    <row r="2438" spans="2:19" s="1593" customFormat="1" ht="21.75" customHeight="1" outlineLevel="1">
      <c r="B2438" s="1600" t="s">
        <v>11223</v>
      </c>
      <c r="C2438" s="1595" t="s">
        <v>11194</v>
      </c>
      <c r="D2438" s="1595" t="s">
        <v>11222</v>
      </c>
      <c r="E2438" s="1595" t="s">
        <v>2288</v>
      </c>
      <c r="F2438" s="1595" t="s">
        <v>11047</v>
      </c>
      <c r="G2438" s="1595"/>
      <c r="H2438" s="1596">
        <v>1</v>
      </c>
      <c r="I2438" s="1595"/>
      <c r="J2438" s="1595"/>
      <c r="K2438" s="1597">
        <v>131145.82999999999</v>
      </c>
      <c r="L2438" s="1598"/>
      <c r="M2438" s="1597">
        <v>131145.82999999999</v>
      </c>
      <c r="N2438" s="1597">
        <v>131145.82999999999</v>
      </c>
      <c r="O2438" s="1597">
        <v>127867.19</v>
      </c>
      <c r="P2438" s="1598"/>
      <c r="Q2438" s="1597">
        <v>3278.64</v>
      </c>
      <c r="R2438" s="1597">
        <v>3278.64</v>
      </c>
      <c r="S2438" s="1592"/>
    </row>
    <row r="2439" spans="2:19" s="1593" customFormat="1" ht="21.75" customHeight="1" outlineLevel="1">
      <c r="B2439" s="1600" t="s">
        <v>11221</v>
      </c>
      <c r="C2439" s="1595" t="s">
        <v>11194</v>
      </c>
      <c r="D2439" s="1595" t="s">
        <v>11220</v>
      </c>
      <c r="E2439" s="1595" t="s">
        <v>2288</v>
      </c>
      <c r="F2439" s="1595" t="s">
        <v>11047</v>
      </c>
      <c r="G2439" s="1595"/>
      <c r="H2439" s="1596">
        <v>1</v>
      </c>
      <c r="I2439" s="1595"/>
      <c r="J2439" s="1595"/>
      <c r="K2439" s="1597">
        <v>131145.82999999999</v>
      </c>
      <c r="L2439" s="1598"/>
      <c r="M2439" s="1597">
        <v>131145.82999999999</v>
      </c>
      <c r="N2439" s="1597">
        <v>131145.82999999999</v>
      </c>
      <c r="O2439" s="1597">
        <v>127867.19</v>
      </c>
      <c r="P2439" s="1598"/>
      <c r="Q2439" s="1597">
        <v>3278.64</v>
      </c>
      <c r="R2439" s="1597">
        <v>3278.64</v>
      </c>
      <c r="S2439" s="1592"/>
    </row>
    <row r="2440" spans="2:19" s="1593" customFormat="1" ht="21.75" customHeight="1" outlineLevel="1">
      <c r="B2440" s="1600" t="s">
        <v>11219</v>
      </c>
      <c r="C2440" s="1595" t="s">
        <v>11194</v>
      </c>
      <c r="D2440" s="1595" t="s">
        <v>11218</v>
      </c>
      <c r="E2440" s="1595" t="s">
        <v>2288</v>
      </c>
      <c r="F2440" s="1595"/>
      <c r="G2440" s="1595"/>
      <c r="H2440" s="1596">
        <v>1</v>
      </c>
      <c r="I2440" s="1595"/>
      <c r="J2440" s="1595"/>
      <c r="K2440" s="1597">
        <v>131145.82999999999</v>
      </c>
      <c r="L2440" s="1598"/>
      <c r="M2440" s="1597">
        <v>131145.82999999999</v>
      </c>
      <c r="N2440" s="1597">
        <v>131145.82999999999</v>
      </c>
      <c r="O2440" s="1597">
        <v>127867.19</v>
      </c>
      <c r="P2440" s="1598"/>
      <c r="Q2440" s="1597">
        <v>3278.64</v>
      </c>
      <c r="R2440" s="1597">
        <v>3278.64</v>
      </c>
      <c r="S2440" s="1592"/>
    </row>
    <row r="2441" spans="2:19" s="1593" customFormat="1" ht="21.75" customHeight="1" outlineLevel="1">
      <c r="B2441" s="1600" t="s">
        <v>11217</v>
      </c>
      <c r="C2441" s="1595" t="s">
        <v>11194</v>
      </c>
      <c r="D2441" s="1595" t="s">
        <v>11216</v>
      </c>
      <c r="E2441" s="1595" t="s">
        <v>2288</v>
      </c>
      <c r="F2441" s="1595" t="s">
        <v>11047</v>
      </c>
      <c r="G2441" s="1595"/>
      <c r="H2441" s="1596">
        <v>1</v>
      </c>
      <c r="I2441" s="1595"/>
      <c r="J2441" s="1595"/>
      <c r="K2441" s="1597">
        <v>131145.82999999999</v>
      </c>
      <c r="L2441" s="1598"/>
      <c r="M2441" s="1597">
        <v>131145.82999999999</v>
      </c>
      <c r="N2441" s="1597">
        <v>131145.82999999999</v>
      </c>
      <c r="O2441" s="1597">
        <v>127867.19</v>
      </c>
      <c r="P2441" s="1598"/>
      <c r="Q2441" s="1597">
        <v>3278.64</v>
      </c>
      <c r="R2441" s="1597">
        <v>3278.64</v>
      </c>
      <c r="S2441" s="1592"/>
    </row>
    <row r="2442" spans="2:19" s="1593" customFormat="1" ht="21.75" customHeight="1" outlineLevel="1">
      <c r="B2442" s="1600" t="s">
        <v>11215</v>
      </c>
      <c r="C2442" s="1595" t="s">
        <v>11194</v>
      </c>
      <c r="D2442" s="1595" t="s">
        <v>11214</v>
      </c>
      <c r="E2442" s="1595" t="s">
        <v>2288</v>
      </c>
      <c r="F2442" s="1595" t="s">
        <v>11047</v>
      </c>
      <c r="G2442" s="1595"/>
      <c r="H2442" s="1596">
        <v>1</v>
      </c>
      <c r="I2442" s="1595"/>
      <c r="J2442" s="1595"/>
      <c r="K2442" s="1597">
        <v>131145.82999999999</v>
      </c>
      <c r="L2442" s="1598"/>
      <c r="M2442" s="1597">
        <v>131145.82999999999</v>
      </c>
      <c r="N2442" s="1597">
        <v>131145.82999999999</v>
      </c>
      <c r="O2442" s="1597">
        <v>127867.19</v>
      </c>
      <c r="P2442" s="1598"/>
      <c r="Q2442" s="1597">
        <v>3278.64</v>
      </c>
      <c r="R2442" s="1597">
        <v>3278.64</v>
      </c>
      <c r="S2442" s="1592"/>
    </row>
    <row r="2443" spans="2:19" s="1593" customFormat="1" ht="21.75" customHeight="1" outlineLevel="1">
      <c r="B2443" s="1600" t="s">
        <v>11213</v>
      </c>
      <c r="C2443" s="1595" t="s">
        <v>11194</v>
      </c>
      <c r="D2443" s="1595" t="s">
        <v>11212</v>
      </c>
      <c r="E2443" s="1595" t="s">
        <v>2288</v>
      </c>
      <c r="F2443" s="1595" t="s">
        <v>11047</v>
      </c>
      <c r="G2443" s="1595"/>
      <c r="H2443" s="1596">
        <v>1</v>
      </c>
      <c r="I2443" s="1595"/>
      <c r="J2443" s="1595"/>
      <c r="K2443" s="1597">
        <v>131145.82999999999</v>
      </c>
      <c r="L2443" s="1598"/>
      <c r="M2443" s="1597">
        <v>131145.82999999999</v>
      </c>
      <c r="N2443" s="1597">
        <v>131145.82999999999</v>
      </c>
      <c r="O2443" s="1597">
        <v>127867.19</v>
      </c>
      <c r="P2443" s="1598"/>
      <c r="Q2443" s="1597">
        <v>3278.64</v>
      </c>
      <c r="R2443" s="1597">
        <v>3278.64</v>
      </c>
      <c r="S2443" s="1592"/>
    </row>
    <row r="2444" spans="2:19" s="1593" customFormat="1" ht="21.75" customHeight="1" outlineLevel="1">
      <c r="B2444" s="1600" t="s">
        <v>11211</v>
      </c>
      <c r="C2444" s="1595" t="s">
        <v>11194</v>
      </c>
      <c r="D2444" s="1595" t="s">
        <v>11210</v>
      </c>
      <c r="E2444" s="1595" t="s">
        <v>2288</v>
      </c>
      <c r="F2444" s="1595" t="s">
        <v>11047</v>
      </c>
      <c r="G2444" s="1595"/>
      <c r="H2444" s="1596">
        <v>1</v>
      </c>
      <c r="I2444" s="1595"/>
      <c r="J2444" s="1595"/>
      <c r="K2444" s="1597">
        <v>131145.82999999999</v>
      </c>
      <c r="L2444" s="1598"/>
      <c r="M2444" s="1597">
        <v>131145.82999999999</v>
      </c>
      <c r="N2444" s="1597">
        <v>131145.82999999999</v>
      </c>
      <c r="O2444" s="1597">
        <v>127867.19</v>
      </c>
      <c r="P2444" s="1598"/>
      <c r="Q2444" s="1597">
        <v>3278.64</v>
      </c>
      <c r="R2444" s="1597">
        <v>3278.64</v>
      </c>
      <c r="S2444" s="1592"/>
    </row>
    <row r="2445" spans="2:19" s="1593" customFormat="1" ht="21.75" customHeight="1" outlineLevel="1">
      <c r="B2445" s="1600" t="s">
        <v>11209</v>
      </c>
      <c r="C2445" s="1595" t="s">
        <v>11194</v>
      </c>
      <c r="D2445" s="1595" t="s">
        <v>11208</v>
      </c>
      <c r="E2445" s="1595" t="s">
        <v>2288</v>
      </c>
      <c r="F2445" s="1595" t="s">
        <v>11047</v>
      </c>
      <c r="G2445" s="1595"/>
      <c r="H2445" s="1596">
        <v>1</v>
      </c>
      <c r="I2445" s="1595"/>
      <c r="J2445" s="1595"/>
      <c r="K2445" s="1597">
        <v>131145.82999999999</v>
      </c>
      <c r="L2445" s="1598"/>
      <c r="M2445" s="1597">
        <v>131145.82999999999</v>
      </c>
      <c r="N2445" s="1597">
        <v>131145.82999999999</v>
      </c>
      <c r="O2445" s="1597">
        <v>127867.19</v>
      </c>
      <c r="P2445" s="1598"/>
      <c r="Q2445" s="1597">
        <v>3278.64</v>
      </c>
      <c r="R2445" s="1597">
        <v>3278.64</v>
      </c>
      <c r="S2445" s="1592"/>
    </row>
    <row r="2446" spans="2:19" s="1593" customFormat="1" ht="21.75" customHeight="1" outlineLevel="1">
      <c r="B2446" s="1600" t="s">
        <v>11207</v>
      </c>
      <c r="C2446" s="1595" t="s">
        <v>11194</v>
      </c>
      <c r="D2446" s="1595" t="s">
        <v>11206</v>
      </c>
      <c r="E2446" s="1595" t="s">
        <v>2288</v>
      </c>
      <c r="F2446" s="1595" t="s">
        <v>11047</v>
      </c>
      <c r="G2446" s="1595"/>
      <c r="H2446" s="1596">
        <v>1</v>
      </c>
      <c r="I2446" s="1595"/>
      <c r="J2446" s="1595"/>
      <c r="K2446" s="1597">
        <v>131145.82999999999</v>
      </c>
      <c r="L2446" s="1598"/>
      <c r="M2446" s="1597">
        <v>131145.82999999999</v>
      </c>
      <c r="N2446" s="1597">
        <v>131145.82999999999</v>
      </c>
      <c r="O2446" s="1597">
        <v>127867.19</v>
      </c>
      <c r="P2446" s="1598"/>
      <c r="Q2446" s="1597">
        <v>3278.64</v>
      </c>
      <c r="R2446" s="1597">
        <v>3278.64</v>
      </c>
      <c r="S2446" s="1592"/>
    </row>
    <row r="2447" spans="2:19" s="1593" customFormat="1" ht="21.75" customHeight="1" outlineLevel="1">
      <c r="B2447" s="1600" t="s">
        <v>11205</v>
      </c>
      <c r="C2447" s="1595" t="s">
        <v>11194</v>
      </c>
      <c r="D2447" s="1595" t="s">
        <v>11204</v>
      </c>
      <c r="E2447" s="1595" t="s">
        <v>2288</v>
      </c>
      <c r="F2447" s="1595" t="s">
        <v>11047</v>
      </c>
      <c r="G2447" s="1595"/>
      <c r="H2447" s="1596">
        <v>1</v>
      </c>
      <c r="I2447" s="1595"/>
      <c r="J2447" s="1595"/>
      <c r="K2447" s="1597">
        <v>131145.82999999999</v>
      </c>
      <c r="L2447" s="1598"/>
      <c r="M2447" s="1597">
        <v>131145.82999999999</v>
      </c>
      <c r="N2447" s="1597">
        <v>131145.82999999999</v>
      </c>
      <c r="O2447" s="1597">
        <v>127867.19</v>
      </c>
      <c r="P2447" s="1598"/>
      <c r="Q2447" s="1597">
        <v>3278.64</v>
      </c>
      <c r="R2447" s="1597">
        <v>3278.64</v>
      </c>
      <c r="S2447" s="1592"/>
    </row>
    <row r="2448" spans="2:19" s="1593" customFormat="1" ht="21.75" customHeight="1" outlineLevel="1">
      <c r="B2448" s="1600" t="s">
        <v>11203</v>
      </c>
      <c r="C2448" s="1595" t="s">
        <v>11194</v>
      </c>
      <c r="D2448" s="1595" t="s">
        <v>11202</v>
      </c>
      <c r="E2448" s="1595" t="s">
        <v>2288</v>
      </c>
      <c r="F2448" s="1595" t="s">
        <v>11047</v>
      </c>
      <c r="G2448" s="1595"/>
      <c r="H2448" s="1596">
        <v>1</v>
      </c>
      <c r="I2448" s="1595"/>
      <c r="J2448" s="1595"/>
      <c r="K2448" s="1597">
        <v>131145.82999999999</v>
      </c>
      <c r="L2448" s="1598"/>
      <c r="M2448" s="1597">
        <v>131145.82999999999</v>
      </c>
      <c r="N2448" s="1597">
        <v>131145.82999999999</v>
      </c>
      <c r="O2448" s="1597">
        <v>127867.19</v>
      </c>
      <c r="P2448" s="1598"/>
      <c r="Q2448" s="1597">
        <v>3278.64</v>
      </c>
      <c r="R2448" s="1597">
        <v>3278.64</v>
      </c>
      <c r="S2448" s="1592"/>
    </row>
    <row r="2449" spans="2:19" s="1593" customFormat="1" ht="21.75" customHeight="1" outlineLevel="1">
      <c r="B2449" s="1600" t="s">
        <v>11201</v>
      </c>
      <c r="C2449" s="1595" t="s">
        <v>11194</v>
      </c>
      <c r="D2449" s="1595" t="s">
        <v>11200</v>
      </c>
      <c r="E2449" s="1595" t="s">
        <v>2288</v>
      </c>
      <c r="F2449" s="1595" t="s">
        <v>11047</v>
      </c>
      <c r="G2449" s="1595"/>
      <c r="H2449" s="1596">
        <v>1</v>
      </c>
      <c r="I2449" s="1595"/>
      <c r="J2449" s="1595"/>
      <c r="K2449" s="1597">
        <v>131145.82999999999</v>
      </c>
      <c r="L2449" s="1598"/>
      <c r="M2449" s="1597">
        <v>131145.82999999999</v>
      </c>
      <c r="N2449" s="1597">
        <v>131145.82999999999</v>
      </c>
      <c r="O2449" s="1597">
        <v>127867.19</v>
      </c>
      <c r="P2449" s="1598"/>
      <c r="Q2449" s="1597">
        <v>3278.64</v>
      </c>
      <c r="R2449" s="1597">
        <v>3278.64</v>
      </c>
      <c r="S2449" s="1592"/>
    </row>
    <row r="2450" spans="2:19" s="1593" customFormat="1" ht="21.75" customHeight="1" outlineLevel="1">
      <c r="B2450" s="1600" t="s">
        <v>11199</v>
      </c>
      <c r="C2450" s="1595" t="s">
        <v>11194</v>
      </c>
      <c r="D2450" s="1595" t="s">
        <v>11198</v>
      </c>
      <c r="E2450" s="1595" t="s">
        <v>2288</v>
      </c>
      <c r="F2450" s="1595" t="s">
        <v>11040</v>
      </c>
      <c r="G2450" s="1595"/>
      <c r="H2450" s="1596">
        <v>1</v>
      </c>
      <c r="I2450" s="1595"/>
      <c r="J2450" s="1595"/>
      <c r="K2450" s="1597">
        <v>204505.83</v>
      </c>
      <c r="L2450" s="1598"/>
      <c r="M2450" s="1597">
        <v>204505.83</v>
      </c>
      <c r="N2450" s="1597">
        <v>204505.83</v>
      </c>
      <c r="O2450" s="1597">
        <v>199393.17</v>
      </c>
      <c r="P2450" s="1598"/>
      <c r="Q2450" s="1597">
        <v>5112.66</v>
      </c>
      <c r="R2450" s="1597">
        <v>5112.66</v>
      </c>
      <c r="S2450" s="1592"/>
    </row>
    <row r="2451" spans="2:19" s="1593" customFormat="1" ht="21.75" customHeight="1" outlineLevel="1">
      <c r="B2451" s="1600" t="s">
        <v>11197</v>
      </c>
      <c r="C2451" s="1595" t="s">
        <v>11194</v>
      </c>
      <c r="D2451" s="1595" t="s">
        <v>11196</v>
      </c>
      <c r="E2451" s="1595" t="s">
        <v>2288</v>
      </c>
      <c r="F2451" s="1595" t="s">
        <v>11040</v>
      </c>
      <c r="G2451" s="1595"/>
      <c r="H2451" s="1596">
        <v>1</v>
      </c>
      <c r="I2451" s="1595"/>
      <c r="J2451" s="1595"/>
      <c r="K2451" s="1597">
        <v>204505.83</v>
      </c>
      <c r="L2451" s="1598"/>
      <c r="M2451" s="1597">
        <v>204505.83</v>
      </c>
      <c r="N2451" s="1597">
        <v>204505.83</v>
      </c>
      <c r="O2451" s="1597">
        <v>199393.17</v>
      </c>
      <c r="P2451" s="1598"/>
      <c r="Q2451" s="1597">
        <v>5112.66</v>
      </c>
      <c r="R2451" s="1597">
        <v>5112.66</v>
      </c>
      <c r="S2451" s="1592"/>
    </row>
    <row r="2452" spans="2:19" s="1593" customFormat="1" ht="21.75" customHeight="1" outlineLevel="1">
      <c r="B2452" s="1600" t="s">
        <v>11195</v>
      </c>
      <c r="C2452" s="1595" t="s">
        <v>11194</v>
      </c>
      <c r="D2452" s="1595" t="s">
        <v>11193</v>
      </c>
      <c r="E2452" s="1595" t="s">
        <v>2288</v>
      </c>
      <c r="F2452" s="1595" t="s">
        <v>11040</v>
      </c>
      <c r="G2452" s="1595"/>
      <c r="H2452" s="1596">
        <v>1</v>
      </c>
      <c r="I2452" s="1595"/>
      <c r="J2452" s="1595"/>
      <c r="K2452" s="1597">
        <v>204505.84</v>
      </c>
      <c r="L2452" s="1598"/>
      <c r="M2452" s="1597">
        <v>204505.84</v>
      </c>
      <c r="N2452" s="1597">
        <v>204505.84</v>
      </c>
      <c r="O2452" s="1597">
        <v>199393.18</v>
      </c>
      <c r="P2452" s="1598"/>
      <c r="Q2452" s="1597">
        <v>5112.66</v>
      </c>
      <c r="R2452" s="1597">
        <v>5112.66</v>
      </c>
      <c r="S2452" s="1592"/>
    </row>
    <row r="2453" spans="2:19" s="1593" customFormat="1" ht="21.75" customHeight="1" outlineLevel="1">
      <c r="B2453" s="1600" t="s">
        <v>11192</v>
      </c>
      <c r="C2453" s="1595" t="s">
        <v>11171</v>
      </c>
      <c r="D2453" s="1595" t="s">
        <v>11191</v>
      </c>
      <c r="E2453" s="1595" t="s">
        <v>2288</v>
      </c>
      <c r="F2453" s="1595" t="s">
        <v>11047</v>
      </c>
      <c r="G2453" s="1595"/>
      <c r="H2453" s="1596">
        <v>1</v>
      </c>
      <c r="I2453" s="1595"/>
      <c r="J2453" s="1595"/>
      <c r="K2453" s="1597">
        <v>105229.16</v>
      </c>
      <c r="L2453" s="1598"/>
      <c r="M2453" s="1597">
        <v>105229.16</v>
      </c>
      <c r="N2453" s="1597">
        <v>105229.16</v>
      </c>
      <c r="O2453" s="1597">
        <v>104352.25</v>
      </c>
      <c r="P2453" s="1598"/>
      <c r="Q2453" s="1599">
        <v>876.91</v>
      </c>
      <c r="R2453" s="1599">
        <v>876.91</v>
      </c>
      <c r="S2453" s="1592"/>
    </row>
    <row r="2454" spans="2:19" s="1593" customFormat="1" ht="21.75" customHeight="1" outlineLevel="1">
      <c r="B2454" s="1600" t="s">
        <v>11190</v>
      </c>
      <c r="C2454" s="1595" t="s">
        <v>11171</v>
      </c>
      <c r="D2454" s="1595" t="s">
        <v>11189</v>
      </c>
      <c r="E2454" s="1595" t="s">
        <v>2288</v>
      </c>
      <c r="F2454" s="1595" t="s">
        <v>11047</v>
      </c>
      <c r="G2454" s="1595"/>
      <c r="H2454" s="1596">
        <v>1</v>
      </c>
      <c r="I2454" s="1595"/>
      <c r="J2454" s="1595"/>
      <c r="K2454" s="1597">
        <v>131145.82999999999</v>
      </c>
      <c r="L2454" s="1598"/>
      <c r="M2454" s="1597">
        <v>131145.82999999999</v>
      </c>
      <c r="N2454" s="1597">
        <v>131145.82999999999</v>
      </c>
      <c r="O2454" s="1597">
        <v>130052.95</v>
      </c>
      <c r="P2454" s="1598"/>
      <c r="Q2454" s="1597">
        <v>1092.8800000000001</v>
      </c>
      <c r="R2454" s="1597">
        <v>1092.8800000000001</v>
      </c>
      <c r="S2454" s="1592"/>
    </row>
    <row r="2455" spans="2:19" s="1593" customFormat="1" ht="21.75" customHeight="1" outlineLevel="1">
      <c r="B2455" s="1600" t="s">
        <v>11188</v>
      </c>
      <c r="C2455" s="1595" t="s">
        <v>11171</v>
      </c>
      <c r="D2455" s="1595" t="s">
        <v>11187</v>
      </c>
      <c r="E2455" s="1595" t="s">
        <v>2288</v>
      </c>
      <c r="F2455" s="1595" t="s">
        <v>11047</v>
      </c>
      <c r="G2455" s="1595"/>
      <c r="H2455" s="1596">
        <v>1</v>
      </c>
      <c r="I2455" s="1595"/>
      <c r="J2455" s="1595"/>
      <c r="K2455" s="1597">
        <v>131145.82999999999</v>
      </c>
      <c r="L2455" s="1598"/>
      <c r="M2455" s="1597">
        <v>131145.82999999999</v>
      </c>
      <c r="N2455" s="1597">
        <v>131145.82999999999</v>
      </c>
      <c r="O2455" s="1597">
        <v>130052.95</v>
      </c>
      <c r="P2455" s="1598"/>
      <c r="Q2455" s="1597">
        <v>1092.8800000000001</v>
      </c>
      <c r="R2455" s="1597">
        <v>1092.8800000000001</v>
      </c>
      <c r="S2455" s="1592"/>
    </row>
    <row r="2456" spans="2:19" s="1593" customFormat="1" ht="21.75" customHeight="1" outlineLevel="1">
      <c r="B2456" s="1600" t="s">
        <v>11186</v>
      </c>
      <c r="C2456" s="1595" t="s">
        <v>11171</v>
      </c>
      <c r="D2456" s="1595" t="s">
        <v>11185</v>
      </c>
      <c r="E2456" s="1595" t="s">
        <v>2288</v>
      </c>
      <c r="F2456" s="1595" t="s">
        <v>11047</v>
      </c>
      <c r="G2456" s="1595"/>
      <c r="H2456" s="1596">
        <v>1</v>
      </c>
      <c r="I2456" s="1595"/>
      <c r="J2456" s="1595"/>
      <c r="K2456" s="1597">
        <v>182270.83</v>
      </c>
      <c r="L2456" s="1598"/>
      <c r="M2456" s="1597">
        <v>182270.83</v>
      </c>
      <c r="N2456" s="1597">
        <v>182270.83</v>
      </c>
      <c r="O2456" s="1597">
        <v>180751.91</v>
      </c>
      <c r="P2456" s="1598"/>
      <c r="Q2456" s="1597">
        <v>1518.92</v>
      </c>
      <c r="R2456" s="1597">
        <v>1518.92</v>
      </c>
      <c r="S2456" s="1592"/>
    </row>
    <row r="2457" spans="2:19" s="1593" customFormat="1" ht="21.75" customHeight="1" outlineLevel="1">
      <c r="B2457" s="1600" t="s">
        <v>11184</v>
      </c>
      <c r="C2457" s="1595" t="s">
        <v>11171</v>
      </c>
      <c r="D2457" s="1595" t="s">
        <v>11183</v>
      </c>
      <c r="E2457" s="1595" t="s">
        <v>2288</v>
      </c>
      <c r="F2457" s="1595" t="s">
        <v>11047</v>
      </c>
      <c r="G2457" s="1595"/>
      <c r="H2457" s="1596">
        <v>1</v>
      </c>
      <c r="I2457" s="1595"/>
      <c r="J2457" s="1595"/>
      <c r="K2457" s="1597">
        <v>131145.82999999999</v>
      </c>
      <c r="L2457" s="1598"/>
      <c r="M2457" s="1597">
        <v>131145.82999999999</v>
      </c>
      <c r="N2457" s="1597">
        <v>131145.82999999999</v>
      </c>
      <c r="O2457" s="1597">
        <v>130052.95</v>
      </c>
      <c r="P2457" s="1598"/>
      <c r="Q2457" s="1597">
        <v>1092.8800000000001</v>
      </c>
      <c r="R2457" s="1597">
        <v>1092.8800000000001</v>
      </c>
      <c r="S2457" s="1592"/>
    </row>
    <row r="2458" spans="2:19" s="1593" customFormat="1" ht="21.75" customHeight="1" outlineLevel="1">
      <c r="B2458" s="1600" t="s">
        <v>11182</v>
      </c>
      <c r="C2458" s="1595" t="s">
        <v>11171</v>
      </c>
      <c r="D2458" s="1595" t="s">
        <v>11181</v>
      </c>
      <c r="E2458" s="1595" t="s">
        <v>2288</v>
      </c>
      <c r="F2458" s="1595" t="s">
        <v>11047</v>
      </c>
      <c r="G2458" s="1595"/>
      <c r="H2458" s="1596">
        <v>1</v>
      </c>
      <c r="I2458" s="1595"/>
      <c r="J2458" s="1595"/>
      <c r="K2458" s="1597">
        <v>131145.82999999999</v>
      </c>
      <c r="L2458" s="1598"/>
      <c r="M2458" s="1597">
        <v>131145.82999999999</v>
      </c>
      <c r="N2458" s="1597">
        <v>131145.82999999999</v>
      </c>
      <c r="O2458" s="1597">
        <v>130052.95</v>
      </c>
      <c r="P2458" s="1598"/>
      <c r="Q2458" s="1597">
        <v>1092.8800000000001</v>
      </c>
      <c r="R2458" s="1597">
        <v>1092.8800000000001</v>
      </c>
      <c r="S2458" s="1592"/>
    </row>
    <row r="2459" spans="2:19" s="1593" customFormat="1" ht="21.75" customHeight="1" outlineLevel="1">
      <c r="B2459" s="1600" t="s">
        <v>11180</v>
      </c>
      <c r="C2459" s="1595" t="s">
        <v>11171</v>
      </c>
      <c r="D2459" s="1595" t="s">
        <v>11179</v>
      </c>
      <c r="E2459" s="1595" t="s">
        <v>2288</v>
      </c>
      <c r="F2459" s="1595" t="s">
        <v>11047</v>
      </c>
      <c r="G2459" s="1595"/>
      <c r="H2459" s="1596">
        <v>1</v>
      </c>
      <c r="I2459" s="1595"/>
      <c r="J2459" s="1595"/>
      <c r="K2459" s="1597">
        <v>131145.82999999999</v>
      </c>
      <c r="L2459" s="1598"/>
      <c r="M2459" s="1597">
        <v>131145.82999999999</v>
      </c>
      <c r="N2459" s="1597">
        <v>131145.82999999999</v>
      </c>
      <c r="O2459" s="1597">
        <v>130052.95</v>
      </c>
      <c r="P2459" s="1598"/>
      <c r="Q2459" s="1597">
        <v>1092.8800000000001</v>
      </c>
      <c r="R2459" s="1597">
        <v>1092.8800000000001</v>
      </c>
      <c r="S2459" s="1592"/>
    </row>
    <row r="2460" spans="2:19" s="1593" customFormat="1" ht="21.75" customHeight="1" outlineLevel="1">
      <c r="B2460" s="1600" t="s">
        <v>11178</v>
      </c>
      <c r="C2460" s="1595" t="s">
        <v>11171</v>
      </c>
      <c r="D2460" s="1595" t="s">
        <v>11177</v>
      </c>
      <c r="E2460" s="1595" t="s">
        <v>2288</v>
      </c>
      <c r="F2460" s="1595" t="s">
        <v>11047</v>
      </c>
      <c r="G2460" s="1595"/>
      <c r="H2460" s="1596">
        <v>1</v>
      </c>
      <c r="I2460" s="1595"/>
      <c r="J2460" s="1595"/>
      <c r="K2460" s="1597">
        <v>131145.84</v>
      </c>
      <c r="L2460" s="1598"/>
      <c r="M2460" s="1597">
        <v>131145.84</v>
      </c>
      <c r="N2460" s="1597">
        <v>131145.84</v>
      </c>
      <c r="O2460" s="1597">
        <v>130052.96</v>
      </c>
      <c r="P2460" s="1598"/>
      <c r="Q2460" s="1597">
        <v>1092.8800000000001</v>
      </c>
      <c r="R2460" s="1597">
        <v>1092.8800000000001</v>
      </c>
      <c r="S2460" s="1592"/>
    </row>
    <row r="2461" spans="2:19" s="1593" customFormat="1" ht="21.75" customHeight="1" outlineLevel="1">
      <c r="B2461" s="1600" t="s">
        <v>11176</v>
      </c>
      <c r="C2461" s="1595" t="s">
        <v>11171</v>
      </c>
      <c r="D2461" s="1595" t="s">
        <v>11175</v>
      </c>
      <c r="E2461" s="1595" t="s">
        <v>2288</v>
      </c>
      <c r="F2461" s="1595" t="s">
        <v>11047</v>
      </c>
      <c r="G2461" s="1595"/>
      <c r="H2461" s="1596">
        <v>1</v>
      </c>
      <c r="I2461" s="1595"/>
      <c r="J2461" s="1595"/>
      <c r="K2461" s="1597">
        <v>131145.84</v>
      </c>
      <c r="L2461" s="1598"/>
      <c r="M2461" s="1597">
        <v>131145.84</v>
      </c>
      <c r="N2461" s="1597">
        <v>131145.84</v>
      </c>
      <c r="O2461" s="1597">
        <v>130052.96</v>
      </c>
      <c r="P2461" s="1598"/>
      <c r="Q2461" s="1597">
        <v>1092.8800000000001</v>
      </c>
      <c r="R2461" s="1597">
        <v>1092.8800000000001</v>
      </c>
      <c r="S2461" s="1592"/>
    </row>
    <row r="2462" spans="2:19" s="1593" customFormat="1" ht="21.75" customHeight="1" outlineLevel="1">
      <c r="B2462" s="1600" t="s">
        <v>11174</v>
      </c>
      <c r="C2462" s="1595" t="s">
        <v>11171</v>
      </c>
      <c r="D2462" s="1595" t="s">
        <v>11173</v>
      </c>
      <c r="E2462" s="1595" t="s">
        <v>2288</v>
      </c>
      <c r="F2462" s="1595" t="s">
        <v>11047</v>
      </c>
      <c r="G2462" s="1595"/>
      <c r="H2462" s="1596">
        <v>1</v>
      </c>
      <c r="I2462" s="1595"/>
      <c r="J2462" s="1595"/>
      <c r="K2462" s="1597">
        <v>131145.84</v>
      </c>
      <c r="L2462" s="1598"/>
      <c r="M2462" s="1597">
        <v>131145.84</v>
      </c>
      <c r="N2462" s="1597">
        <v>131145.84</v>
      </c>
      <c r="O2462" s="1597">
        <v>130052.96</v>
      </c>
      <c r="P2462" s="1598"/>
      <c r="Q2462" s="1597">
        <v>1092.8800000000001</v>
      </c>
      <c r="R2462" s="1597">
        <v>1092.8800000000001</v>
      </c>
      <c r="S2462" s="1592"/>
    </row>
    <row r="2463" spans="2:19" s="1593" customFormat="1" ht="21.75" customHeight="1" outlineLevel="1">
      <c r="B2463" s="1600" t="s">
        <v>11172</v>
      </c>
      <c r="C2463" s="1595" t="s">
        <v>11171</v>
      </c>
      <c r="D2463" s="1595" t="s">
        <v>11170</v>
      </c>
      <c r="E2463" s="1595" t="s">
        <v>2288</v>
      </c>
      <c r="F2463" s="1595" t="s">
        <v>11047</v>
      </c>
      <c r="G2463" s="1595"/>
      <c r="H2463" s="1596">
        <v>1</v>
      </c>
      <c r="I2463" s="1595"/>
      <c r="J2463" s="1595"/>
      <c r="K2463" s="1597">
        <v>131145.84</v>
      </c>
      <c r="L2463" s="1598"/>
      <c r="M2463" s="1597">
        <v>131145.84</v>
      </c>
      <c r="N2463" s="1597">
        <v>131145.84</v>
      </c>
      <c r="O2463" s="1597">
        <v>130052.96</v>
      </c>
      <c r="P2463" s="1598"/>
      <c r="Q2463" s="1597">
        <v>1092.8800000000001</v>
      </c>
      <c r="R2463" s="1597">
        <v>1092.8800000000001</v>
      </c>
      <c r="S2463" s="1592"/>
    </row>
    <row r="2464" spans="2:19" s="1593" customFormat="1" ht="21.75" customHeight="1" outlineLevel="1">
      <c r="B2464" s="1600" t="s">
        <v>11169</v>
      </c>
      <c r="C2464" s="1595" t="s">
        <v>11126</v>
      </c>
      <c r="D2464" s="1595" t="s">
        <v>11168</v>
      </c>
      <c r="E2464" s="1595" t="s">
        <v>2288</v>
      </c>
      <c r="F2464" s="1595" t="s">
        <v>11047</v>
      </c>
      <c r="G2464" s="1595"/>
      <c r="H2464" s="1596">
        <v>1</v>
      </c>
      <c r="I2464" s="1595"/>
      <c r="J2464" s="1595"/>
      <c r="K2464" s="1597">
        <v>131145.82999999999</v>
      </c>
      <c r="L2464" s="1598"/>
      <c r="M2464" s="1597">
        <v>131145.82999999999</v>
      </c>
      <c r="N2464" s="1597">
        <v>131145.82999999999</v>
      </c>
      <c r="O2464" s="1597">
        <v>130052.95</v>
      </c>
      <c r="P2464" s="1598"/>
      <c r="Q2464" s="1597">
        <v>1092.8800000000001</v>
      </c>
      <c r="R2464" s="1597">
        <v>1092.8800000000001</v>
      </c>
      <c r="S2464" s="1592"/>
    </row>
    <row r="2465" spans="2:19" s="1593" customFormat="1" ht="21.75" customHeight="1" outlineLevel="1">
      <c r="B2465" s="1600" t="s">
        <v>11167</v>
      </c>
      <c r="C2465" s="1595" t="s">
        <v>11126</v>
      </c>
      <c r="D2465" s="1595" t="s">
        <v>11166</v>
      </c>
      <c r="E2465" s="1595" t="s">
        <v>2288</v>
      </c>
      <c r="F2465" s="1595" t="s">
        <v>11047</v>
      </c>
      <c r="G2465" s="1595"/>
      <c r="H2465" s="1596">
        <v>1</v>
      </c>
      <c r="I2465" s="1595"/>
      <c r="J2465" s="1595"/>
      <c r="K2465" s="1597">
        <v>131145.82999999999</v>
      </c>
      <c r="L2465" s="1598"/>
      <c r="M2465" s="1597">
        <v>131145.82999999999</v>
      </c>
      <c r="N2465" s="1597">
        <v>131145.82999999999</v>
      </c>
      <c r="O2465" s="1597">
        <v>130052.95</v>
      </c>
      <c r="P2465" s="1598"/>
      <c r="Q2465" s="1597">
        <v>1092.8800000000001</v>
      </c>
      <c r="R2465" s="1597">
        <v>1092.8800000000001</v>
      </c>
      <c r="S2465" s="1592"/>
    </row>
    <row r="2466" spans="2:19" s="1593" customFormat="1" ht="21.75" customHeight="1" outlineLevel="1">
      <c r="B2466" s="1600" t="s">
        <v>11165</v>
      </c>
      <c r="C2466" s="1595" t="s">
        <v>11126</v>
      </c>
      <c r="D2466" s="1595" t="s">
        <v>11164</v>
      </c>
      <c r="E2466" s="1595" t="s">
        <v>2288</v>
      </c>
      <c r="F2466" s="1595" t="s">
        <v>11047</v>
      </c>
      <c r="G2466" s="1595"/>
      <c r="H2466" s="1596">
        <v>1</v>
      </c>
      <c r="I2466" s="1595"/>
      <c r="J2466" s="1595"/>
      <c r="K2466" s="1597">
        <v>131145.82999999999</v>
      </c>
      <c r="L2466" s="1598"/>
      <c r="M2466" s="1597">
        <v>131145.82999999999</v>
      </c>
      <c r="N2466" s="1597">
        <v>131145.82999999999</v>
      </c>
      <c r="O2466" s="1597">
        <v>130052.95</v>
      </c>
      <c r="P2466" s="1598"/>
      <c r="Q2466" s="1597">
        <v>1092.8800000000001</v>
      </c>
      <c r="R2466" s="1597">
        <v>1092.8800000000001</v>
      </c>
      <c r="S2466" s="1592"/>
    </row>
    <row r="2467" spans="2:19" s="1593" customFormat="1" ht="21.75" customHeight="1" outlineLevel="1">
      <c r="B2467" s="1600" t="s">
        <v>11163</v>
      </c>
      <c r="C2467" s="1595" t="s">
        <v>11126</v>
      </c>
      <c r="D2467" s="1595" t="s">
        <v>11162</v>
      </c>
      <c r="E2467" s="1595" t="s">
        <v>2288</v>
      </c>
      <c r="F2467" s="1595" t="s">
        <v>11047</v>
      </c>
      <c r="G2467" s="1595"/>
      <c r="H2467" s="1596">
        <v>1</v>
      </c>
      <c r="I2467" s="1595"/>
      <c r="J2467" s="1595"/>
      <c r="K2467" s="1597">
        <v>131145.82999999999</v>
      </c>
      <c r="L2467" s="1598"/>
      <c r="M2467" s="1597">
        <v>131145.82999999999</v>
      </c>
      <c r="N2467" s="1597">
        <v>131145.82999999999</v>
      </c>
      <c r="O2467" s="1597">
        <v>130052.95</v>
      </c>
      <c r="P2467" s="1598"/>
      <c r="Q2467" s="1597">
        <v>1092.8800000000001</v>
      </c>
      <c r="R2467" s="1597">
        <v>1092.8800000000001</v>
      </c>
      <c r="S2467" s="1592"/>
    </row>
    <row r="2468" spans="2:19" s="1593" customFormat="1" ht="21.75" customHeight="1" outlineLevel="1">
      <c r="B2468" s="1600" t="s">
        <v>11161</v>
      </c>
      <c r="C2468" s="1595" t="s">
        <v>11126</v>
      </c>
      <c r="D2468" s="1595" t="s">
        <v>11160</v>
      </c>
      <c r="E2468" s="1595" t="s">
        <v>2288</v>
      </c>
      <c r="F2468" s="1595" t="s">
        <v>11047</v>
      </c>
      <c r="G2468" s="1595"/>
      <c r="H2468" s="1596">
        <v>1</v>
      </c>
      <c r="I2468" s="1595"/>
      <c r="J2468" s="1595"/>
      <c r="K2468" s="1597">
        <v>131145.82999999999</v>
      </c>
      <c r="L2468" s="1598"/>
      <c r="M2468" s="1597">
        <v>131145.82999999999</v>
      </c>
      <c r="N2468" s="1597">
        <v>131145.82999999999</v>
      </c>
      <c r="O2468" s="1597">
        <v>130052.95</v>
      </c>
      <c r="P2468" s="1598"/>
      <c r="Q2468" s="1597">
        <v>1092.8800000000001</v>
      </c>
      <c r="R2468" s="1597">
        <v>1092.8800000000001</v>
      </c>
      <c r="S2468" s="1592"/>
    </row>
    <row r="2469" spans="2:19" s="1593" customFormat="1" ht="21.75" customHeight="1" outlineLevel="1">
      <c r="B2469" s="1600" t="s">
        <v>11159</v>
      </c>
      <c r="C2469" s="1595" t="s">
        <v>11126</v>
      </c>
      <c r="D2469" s="1595" t="s">
        <v>11158</v>
      </c>
      <c r="E2469" s="1595" t="s">
        <v>2288</v>
      </c>
      <c r="F2469" s="1595" t="s">
        <v>11047</v>
      </c>
      <c r="G2469" s="1595"/>
      <c r="H2469" s="1596">
        <v>1</v>
      </c>
      <c r="I2469" s="1595"/>
      <c r="J2469" s="1595"/>
      <c r="K2469" s="1597">
        <v>131145.82999999999</v>
      </c>
      <c r="L2469" s="1598"/>
      <c r="M2469" s="1597">
        <v>131145.82999999999</v>
      </c>
      <c r="N2469" s="1597">
        <v>131145.82999999999</v>
      </c>
      <c r="O2469" s="1597">
        <v>130052.95</v>
      </c>
      <c r="P2469" s="1598"/>
      <c r="Q2469" s="1597">
        <v>1092.8800000000001</v>
      </c>
      <c r="R2469" s="1597">
        <v>1092.8800000000001</v>
      </c>
      <c r="S2469" s="1592"/>
    </row>
    <row r="2470" spans="2:19" s="1593" customFormat="1" ht="21.75" customHeight="1" outlineLevel="1">
      <c r="B2470" s="1600" t="s">
        <v>11157</v>
      </c>
      <c r="C2470" s="1595" t="s">
        <v>11126</v>
      </c>
      <c r="D2470" s="1595" t="s">
        <v>11156</v>
      </c>
      <c r="E2470" s="1595" t="s">
        <v>2288</v>
      </c>
      <c r="F2470" s="1595" t="s">
        <v>11047</v>
      </c>
      <c r="G2470" s="1595"/>
      <c r="H2470" s="1596">
        <v>1</v>
      </c>
      <c r="I2470" s="1595"/>
      <c r="J2470" s="1595"/>
      <c r="K2470" s="1597">
        <v>131145.82999999999</v>
      </c>
      <c r="L2470" s="1598"/>
      <c r="M2470" s="1597">
        <v>131145.82999999999</v>
      </c>
      <c r="N2470" s="1597">
        <v>131145.82999999999</v>
      </c>
      <c r="O2470" s="1597">
        <v>130052.95</v>
      </c>
      <c r="P2470" s="1598"/>
      <c r="Q2470" s="1597">
        <v>1092.8800000000001</v>
      </c>
      <c r="R2470" s="1597">
        <v>1092.8800000000001</v>
      </c>
      <c r="S2470" s="1592"/>
    </row>
    <row r="2471" spans="2:19" s="1593" customFormat="1" ht="21.75" customHeight="1" outlineLevel="1">
      <c r="B2471" s="1600" t="s">
        <v>11155</v>
      </c>
      <c r="C2471" s="1595" t="s">
        <v>11126</v>
      </c>
      <c r="D2471" s="1595" t="s">
        <v>11154</v>
      </c>
      <c r="E2471" s="1595" t="s">
        <v>2288</v>
      </c>
      <c r="F2471" s="1595" t="s">
        <v>11047</v>
      </c>
      <c r="G2471" s="1595"/>
      <c r="H2471" s="1596">
        <v>1</v>
      </c>
      <c r="I2471" s="1595"/>
      <c r="J2471" s="1595"/>
      <c r="K2471" s="1597">
        <v>131145.82999999999</v>
      </c>
      <c r="L2471" s="1598"/>
      <c r="M2471" s="1597">
        <v>131145.82999999999</v>
      </c>
      <c r="N2471" s="1597">
        <v>131145.82999999999</v>
      </c>
      <c r="O2471" s="1597">
        <v>130052.95</v>
      </c>
      <c r="P2471" s="1598"/>
      <c r="Q2471" s="1597">
        <v>1092.8800000000001</v>
      </c>
      <c r="R2471" s="1597">
        <v>1092.8800000000001</v>
      </c>
      <c r="S2471" s="1592"/>
    </row>
    <row r="2472" spans="2:19" s="1593" customFormat="1" ht="21.75" customHeight="1" outlineLevel="1">
      <c r="B2472" s="1600" t="s">
        <v>11153</v>
      </c>
      <c r="C2472" s="1595" t="s">
        <v>11126</v>
      </c>
      <c r="D2472" s="1595" t="s">
        <v>11152</v>
      </c>
      <c r="E2472" s="1595" t="s">
        <v>2288</v>
      </c>
      <c r="F2472" s="1595" t="s">
        <v>11047</v>
      </c>
      <c r="G2472" s="1595"/>
      <c r="H2472" s="1596">
        <v>1</v>
      </c>
      <c r="I2472" s="1595"/>
      <c r="J2472" s="1595"/>
      <c r="K2472" s="1597">
        <v>131145.82999999999</v>
      </c>
      <c r="L2472" s="1598"/>
      <c r="M2472" s="1597">
        <v>131145.82999999999</v>
      </c>
      <c r="N2472" s="1597">
        <v>131145.82999999999</v>
      </c>
      <c r="O2472" s="1597">
        <v>130052.95</v>
      </c>
      <c r="P2472" s="1598"/>
      <c r="Q2472" s="1597">
        <v>1092.8800000000001</v>
      </c>
      <c r="R2472" s="1597">
        <v>1092.8800000000001</v>
      </c>
      <c r="S2472" s="1592"/>
    </row>
    <row r="2473" spans="2:19" s="1593" customFormat="1" ht="21.75" customHeight="1" outlineLevel="1">
      <c r="B2473" s="1600" t="s">
        <v>11151</v>
      </c>
      <c r="C2473" s="1595" t="s">
        <v>11126</v>
      </c>
      <c r="D2473" s="1595" t="s">
        <v>11150</v>
      </c>
      <c r="E2473" s="1595" t="s">
        <v>2288</v>
      </c>
      <c r="F2473" s="1595" t="s">
        <v>11047</v>
      </c>
      <c r="G2473" s="1595"/>
      <c r="H2473" s="1596">
        <v>1</v>
      </c>
      <c r="I2473" s="1595"/>
      <c r="J2473" s="1595"/>
      <c r="K2473" s="1597">
        <v>131145.82999999999</v>
      </c>
      <c r="L2473" s="1598"/>
      <c r="M2473" s="1597">
        <v>131145.82999999999</v>
      </c>
      <c r="N2473" s="1597">
        <v>131145.82999999999</v>
      </c>
      <c r="O2473" s="1597">
        <v>130052.95</v>
      </c>
      <c r="P2473" s="1598"/>
      <c r="Q2473" s="1597">
        <v>1092.8800000000001</v>
      </c>
      <c r="R2473" s="1597">
        <v>1092.8800000000001</v>
      </c>
      <c r="S2473" s="1592"/>
    </row>
    <row r="2474" spans="2:19" s="1593" customFormat="1" ht="21.75" customHeight="1" outlineLevel="1">
      <c r="B2474" s="1600" t="s">
        <v>11149</v>
      </c>
      <c r="C2474" s="1595" t="s">
        <v>11126</v>
      </c>
      <c r="D2474" s="1595" t="s">
        <v>11148</v>
      </c>
      <c r="E2474" s="1595" t="s">
        <v>2288</v>
      </c>
      <c r="F2474" s="1595" t="s">
        <v>11047</v>
      </c>
      <c r="G2474" s="1595"/>
      <c r="H2474" s="1596">
        <v>1</v>
      </c>
      <c r="I2474" s="1595"/>
      <c r="J2474" s="1595"/>
      <c r="K2474" s="1597">
        <v>131145.82999999999</v>
      </c>
      <c r="L2474" s="1598"/>
      <c r="M2474" s="1597">
        <v>131145.82999999999</v>
      </c>
      <c r="N2474" s="1597">
        <v>131145.82999999999</v>
      </c>
      <c r="O2474" s="1597">
        <v>130052.95</v>
      </c>
      <c r="P2474" s="1598"/>
      <c r="Q2474" s="1597">
        <v>1092.8800000000001</v>
      </c>
      <c r="R2474" s="1597">
        <v>1092.8800000000001</v>
      </c>
      <c r="S2474" s="1592"/>
    </row>
    <row r="2475" spans="2:19" s="1593" customFormat="1" ht="21.75" customHeight="1" outlineLevel="1">
      <c r="B2475" s="1600" t="s">
        <v>11147</v>
      </c>
      <c r="C2475" s="1595" t="s">
        <v>11126</v>
      </c>
      <c r="D2475" s="1595" t="s">
        <v>11146</v>
      </c>
      <c r="E2475" s="1595" t="s">
        <v>2288</v>
      </c>
      <c r="F2475" s="1595" t="s">
        <v>11047</v>
      </c>
      <c r="G2475" s="1595"/>
      <c r="H2475" s="1596">
        <v>1</v>
      </c>
      <c r="I2475" s="1595"/>
      <c r="J2475" s="1595"/>
      <c r="K2475" s="1597">
        <v>131145.82999999999</v>
      </c>
      <c r="L2475" s="1598"/>
      <c r="M2475" s="1597">
        <v>131145.82999999999</v>
      </c>
      <c r="N2475" s="1597">
        <v>131145.82999999999</v>
      </c>
      <c r="O2475" s="1597">
        <v>130052.95</v>
      </c>
      <c r="P2475" s="1598"/>
      <c r="Q2475" s="1597">
        <v>1092.8800000000001</v>
      </c>
      <c r="R2475" s="1597">
        <v>1092.8800000000001</v>
      </c>
      <c r="S2475" s="1592"/>
    </row>
    <row r="2476" spans="2:19" s="1593" customFormat="1" ht="21.75" customHeight="1" outlineLevel="1">
      <c r="B2476" s="1600" t="s">
        <v>11145</v>
      </c>
      <c r="C2476" s="1595" t="s">
        <v>11126</v>
      </c>
      <c r="D2476" s="1595" t="s">
        <v>11144</v>
      </c>
      <c r="E2476" s="1595" t="s">
        <v>2288</v>
      </c>
      <c r="F2476" s="1595" t="s">
        <v>11047</v>
      </c>
      <c r="G2476" s="1595"/>
      <c r="H2476" s="1596">
        <v>1</v>
      </c>
      <c r="I2476" s="1595"/>
      <c r="J2476" s="1595"/>
      <c r="K2476" s="1597">
        <v>131145.82999999999</v>
      </c>
      <c r="L2476" s="1598"/>
      <c r="M2476" s="1597">
        <v>131145.82999999999</v>
      </c>
      <c r="N2476" s="1597">
        <v>131145.82999999999</v>
      </c>
      <c r="O2476" s="1597">
        <v>130052.95</v>
      </c>
      <c r="P2476" s="1598"/>
      <c r="Q2476" s="1597">
        <v>1092.8800000000001</v>
      </c>
      <c r="R2476" s="1597">
        <v>1092.8800000000001</v>
      </c>
      <c r="S2476" s="1592"/>
    </row>
    <row r="2477" spans="2:19" s="1593" customFormat="1" ht="21.75" customHeight="1" outlineLevel="1">
      <c r="B2477" s="1600" t="s">
        <v>11143</v>
      </c>
      <c r="C2477" s="1595" t="s">
        <v>11126</v>
      </c>
      <c r="D2477" s="1595" t="s">
        <v>11142</v>
      </c>
      <c r="E2477" s="1595" t="s">
        <v>2288</v>
      </c>
      <c r="F2477" s="1595" t="s">
        <v>11047</v>
      </c>
      <c r="G2477" s="1595"/>
      <c r="H2477" s="1596">
        <v>1</v>
      </c>
      <c r="I2477" s="1595"/>
      <c r="J2477" s="1595"/>
      <c r="K2477" s="1597">
        <v>131145.82999999999</v>
      </c>
      <c r="L2477" s="1598"/>
      <c r="M2477" s="1597">
        <v>131145.82999999999</v>
      </c>
      <c r="N2477" s="1597">
        <v>131145.82999999999</v>
      </c>
      <c r="O2477" s="1597">
        <v>130052.95</v>
      </c>
      <c r="P2477" s="1598"/>
      <c r="Q2477" s="1597">
        <v>1092.8800000000001</v>
      </c>
      <c r="R2477" s="1597">
        <v>1092.8800000000001</v>
      </c>
      <c r="S2477" s="1592"/>
    </row>
    <row r="2478" spans="2:19" s="1593" customFormat="1" ht="21.75" customHeight="1" outlineLevel="1">
      <c r="B2478" s="1600" t="s">
        <v>11141</v>
      </c>
      <c r="C2478" s="1595" t="s">
        <v>11126</v>
      </c>
      <c r="D2478" s="1595" t="s">
        <v>11140</v>
      </c>
      <c r="E2478" s="1595" t="s">
        <v>2288</v>
      </c>
      <c r="F2478" s="1595" t="s">
        <v>11047</v>
      </c>
      <c r="G2478" s="1595"/>
      <c r="H2478" s="1596">
        <v>1</v>
      </c>
      <c r="I2478" s="1595"/>
      <c r="J2478" s="1595"/>
      <c r="K2478" s="1597">
        <v>131145.82999999999</v>
      </c>
      <c r="L2478" s="1598"/>
      <c r="M2478" s="1597">
        <v>131145.82999999999</v>
      </c>
      <c r="N2478" s="1597">
        <v>131145.82999999999</v>
      </c>
      <c r="O2478" s="1597">
        <v>130052.95</v>
      </c>
      <c r="P2478" s="1598"/>
      <c r="Q2478" s="1597">
        <v>1092.8800000000001</v>
      </c>
      <c r="R2478" s="1597">
        <v>1092.8800000000001</v>
      </c>
      <c r="S2478" s="1592"/>
    </row>
    <row r="2479" spans="2:19" s="1593" customFormat="1" ht="21.75" customHeight="1" outlineLevel="1">
      <c r="B2479" s="1600" t="s">
        <v>11139</v>
      </c>
      <c r="C2479" s="1595" t="s">
        <v>11126</v>
      </c>
      <c r="D2479" s="1595" t="s">
        <v>11138</v>
      </c>
      <c r="E2479" s="1595" t="s">
        <v>2288</v>
      </c>
      <c r="F2479" s="1595" t="s">
        <v>11047</v>
      </c>
      <c r="G2479" s="1595"/>
      <c r="H2479" s="1596">
        <v>1</v>
      </c>
      <c r="I2479" s="1595"/>
      <c r="J2479" s="1595"/>
      <c r="K2479" s="1597">
        <v>131145.84</v>
      </c>
      <c r="L2479" s="1598"/>
      <c r="M2479" s="1597">
        <v>131145.84</v>
      </c>
      <c r="N2479" s="1597">
        <v>131145.84</v>
      </c>
      <c r="O2479" s="1597">
        <v>130052.96</v>
      </c>
      <c r="P2479" s="1598"/>
      <c r="Q2479" s="1597">
        <v>1092.8800000000001</v>
      </c>
      <c r="R2479" s="1597">
        <v>1092.8800000000001</v>
      </c>
      <c r="S2479" s="1592"/>
    </row>
    <row r="2480" spans="2:19" s="1593" customFormat="1" ht="21.75" customHeight="1" outlineLevel="1">
      <c r="B2480" s="1600" t="s">
        <v>11137</v>
      </c>
      <c r="C2480" s="1595" t="s">
        <v>11126</v>
      </c>
      <c r="D2480" s="1595" t="s">
        <v>11136</v>
      </c>
      <c r="E2480" s="1595" t="s">
        <v>2288</v>
      </c>
      <c r="F2480" s="1595" t="s">
        <v>11047</v>
      </c>
      <c r="G2480" s="1595"/>
      <c r="H2480" s="1596">
        <v>1</v>
      </c>
      <c r="I2480" s="1595"/>
      <c r="J2480" s="1595"/>
      <c r="K2480" s="1597">
        <v>131145.84</v>
      </c>
      <c r="L2480" s="1598"/>
      <c r="M2480" s="1597">
        <v>131145.84</v>
      </c>
      <c r="N2480" s="1597">
        <v>131145.84</v>
      </c>
      <c r="O2480" s="1597">
        <v>130052.96</v>
      </c>
      <c r="P2480" s="1598"/>
      <c r="Q2480" s="1597">
        <v>1092.8800000000001</v>
      </c>
      <c r="R2480" s="1597">
        <v>1092.8800000000001</v>
      </c>
      <c r="S2480" s="1592"/>
    </row>
    <row r="2481" spans="2:19" s="1593" customFormat="1" ht="21.75" customHeight="1" outlineLevel="1">
      <c r="B2481" s="1600" t="s">
        <v>11135</v>
      </c>
      <c r="C2481" s="1595" t="s">
        <v>11126</v>
      </c>
      <c r="D2481" s="1595" t="s">
        <v>11134</v>
      </c>
      <c r="E2481" s="1595" t="s">
        <v>2288</v>
      </c>
      <c r="F2481" s="1595" t="s">
        <v>11047</v>
      </c>
      <c r="G2481" s="1595"/>
      <c r="H2481" s="1596">
        <v>1</v>
      </c>
      <c r="I2481" s="1595"/>
      <c r="J2481" s="1595"/>
      <c r="K2481" s="1597">
        <v>131145.84</v>
      </c>
      <c r="L2481" s="1598"/>
      <c r="M2481" s="1597">
        <v>131145.84</v>
      </c>
      <c r="N2481" s="1597">
        <v>131145.84</v>
      </c>
      <c r="O2481" s="1597">
        <v>130052.96</v>
      </c>
      <c r="P2481" s="1598"/>
      <c r="Q2481" s="1597">
        <v>1092.8800000000001</v>
      </c>
      <c r="R2481" s="1597">
        <v>1092.8800000000001</v>
      </c>
      <c r="S2481" s="1592"/>
    </row>
    <row r="2482" spans="2:19" s="1593" customFormat="1" ht="21.75" customHeight="1" outlineLevel="1">
      <c r="B2482" s="1600" t="s">
        <v>11133</v>
      </c>
      <c r="C2482" s="1595" t="s">
        <v>11126</v>
      </c>
      <c r="D2482" s="1595" t="s">
        <v>11132</v>
      </c>
      <c r="E2482" s="1595" t="s">
        <v>2288</v>
      </c>
      <c r="F2482" s="1595" t="s">
        <v>11047</v>
      </c>
      <c r="G2482" s="1595"/>
      <c r="H2482" s="1596">
        <v>1</v>
      </c>
      <c r="I2482" s="1595"/>
      <c r="J2482" s="1595"/>
      <c r="K2482" s="1597">
        <v>131145.84</v>
      </c>
      <c r="L2482" s="1598"/>
      <c r="M2482" s="1597">
        <v>131145.84</v>
      </c>
      <c r="N2482" s="1597">
        <v>131145.84</v>
      </c>
      <c r="O2482" s="1597">
        <v>130052.96</v>
      </c>
      <c r="P2482" s="1598"/>
      <c r="Q2482" s="1597">
        <v>1092.8800000000001</v>
      </c>
      <c r="R2482" s="1597">
        <v>1092.8800000000001</v>
      </c>
      <c r="S2482" s="1592"/>
    </row>
    <row r="2483" spans="2:19" s="1593" customFormat="1" ht="21.75" customHeight="1" outlineLevel="1">
      <c r="B2483" s="1600" t="s">
        <v>11131</v>
      </c>
      <c r="C2483" s="1595" t="s">
        <v>11126</v>
      </c>
      <c r="D2483" s="1595" t="s">
        <v>11130</v>
      </c>
      <c r="E2483" s="1595" t="s">
        <v>2288</v>
      </c>
      <c r="F2483" s="1595" t="s">
        <v>11047</v>
      </c>
      <c r="G2483" s="1595"/>
      <c r="H2483" s="1596">
        <v>1</v>
      </c>
      <c r="I2483" s="1595"/>
      <c r="J2483" s="1595"/>
      <c r="K2483" s="1597">
        <v>131145.84</v>
      </c>
      <c r="L2483" s="1598"/>
      <c r="M2483" s="1597">
        <v>131145.84</v>
      </c>
      <c r="N2483" s="1597">
        <v>131145.84</v>
      </c>
      <c r="O2483" s="1597">
        <v>130052.96</v>
      </c>
      <c r="P2483" s="1598"/>
      <c r="Q2483" s="1597">
        <v>1092.8800000000001</v>
      </c>
      <c r="R2483" s="1597">
        <v>1092.8800000000001</v>
      </c>
      <c r="S2483" s="1592"/>
    </row>
    <row r="2484" spans="2:19" s="1593" customFormat="1" ht="21.75" customHeight="1" outlineLevel="1">
      <c r="B2484" s="1600" t="s">
        <v>11129</v>
      </c>
      <c r="C2484" s="1595" t="s">
        <v>11126</v>
      </c>
      <c r="D2484" s="1595" t="s">
        <v>11128</v>
      </c>
      <c r="E2484" s="1595" t="s">
        <v>2288</v>
      </c>
      <c r="F2484" s="1595" t="s">
        <v>11047</v>
      </c>
      <c r="G2484" s="1595"/>
      <c r="H2484" s="1596">
        <v>1</v>
      </c>
      <c r="I2484" s="1595"/>
      <c r="J2484" s="1595"/>
      <c r="K2484" s="1597">
        <v>131145.84</v>
      </c>
      <c r="L2484" s="1598"/>
      <c r="M2484" s="1597">
        <v>131145.84</v>
      </c>
      <c r="N2484" s="1597">
        <v>131145.84</v>
      </c>
      <c r="O2484" s="1597">
        <v>130052.96</v>
      </c>
      <c r="P2484" s="1598"/>
      <c r="Q2484" s="1597">
        <v>1092.8800000000001</v>
      </c>
      <c r="R2484" s="1597">
        <v>1092.8800000000001</v>
      </c>
      <c r="S2484" s="1592"/>
    </row>
    <row r="2485" spans="2:19" s="1593" customFormat="1" ht="21.75" customHeight="1" outlineLevel="1">
      <c r="B2485" s="1600" t="s">
        <v>11127</v>
      </c>
      <c r="C2485" s="1595" t="s">
        <v>11126</v>
      </c>
      <c r="D2485" s="1595" t="s">
        <v>11125</v>
      </c>
      <c r="E2485" s="1595" t="s">
        <v>2288</v>
      </c>
      <c r="F2485" s="1595" t="s">
        <v>11047</v>
      </c>
      <c r="G2485" s="1595"/>
      <c r="H2485" s="1596">
        <v>1</v>
      </c>
      <c r="I2485" s="1595"/>
      <c r="J2485" s="1595"/>
      <c r="K2485" s="1597">
        <v>131145.84</v>
      </c>
      <c r="L2485" s="1598"/>
      <c r="M2485" s="1597">
        <v>131145.84</v>
      </c>
      <c r="N2485" s="1597">
        <v>131145.84</v>
      </c>
      <c r="O2485" s="1597">
        <v>130052.96</v>
      </c>
      <c r="P2485" s="1598"/>
      <c r="Q2485" s="1597">
        <v>1092.8800000000001</v>
      </c>
      <c r="R2485" s="1597">
        <v>1092.8800000000001</v>
      </c>
      <c r="S2485" s="1592"/>
    </row>
    <row r="2486" spans="2:19" s="1593" customFormat="1" ht="21.75" customHeight="1" outlineLevel="1">
      <c r="B2486" s="1600" t="s">
        <v>11124</v>
      </c>
      <c r="C2486" s="1595" t="s">
        <v>11087</v>
      </c>
      <c r="D2486" s="1595" t="s">
        <v>11123</v>
      </c>
      <c r="E2486" s="1595" t="s">
        <v>2288</v>
      </c>
      <c r="F2486" s="1595" t="s">
        <v>11047</v>
      </c>
      <c r="G2486" s="1595"/>
      <c r="H2486" s="1596">
        <v>1</v>
      </c>
      <c r="I2486" s="1595"/>
      <c r="J2486" s="1595"/>
      <c r="K2486" s="1597">
        <v>131145.84</v>
      </c>
      <c r="L2486" s="1598"/>
      <c r="M2486" s="1597">
        <v>131145.84</v>
      </c>
      <c r="N2486" s="1597">
        <v>131145.84</v>
      </c>
      <c r="O2486" s="1597">
        <v>131145.84</v>
      </c>
      <c r="P2486" s="1598"/>
      <c r="Q2486" s="1598"/>
      <c r="R2486" s="1598"/>
      <c r="S2486" s="1592"/>
    </row>
    <row r="2487" spans="2:19" s="1593" customFormat="1" ht="21.75" customHeight="1" outlineLevel="1">
      <c r="B2487" s="1600" t="s">
        <v>11122</v>
      </c>
      <c r="C2487" s="1595" t="s">
        <v>11087</v>
      </c>
      <c r="D2487" s="1595" t="s">
        <v>11121</v>
      </c>
      <c r="E2487" s="1595" t="s">
        <v>2288</v>
      </c>
      <c r="F2487" s="1595" t="s">
        <v>11047</v>
      </c>
      <c r="G2487" s="1595"/>
      <c r="H2487" s="1596">
        <v>1</v>
      </c>
      <c r="I2487" s="1595"/>
      <c r="J2487" s="1595"/>
      <c r="K2487" s="1597">
        <v>131145.84</v>
      </c>
      <c r="L2487" s="1598"/>
      <c r="M2487" s="1597">
        <v>131145.84</v>
      </c>
      <c r="N2487" s="1597">
        <v>131145.84</v>
      </c>
      <c r="O2487" s="1597">
        <v>131145.84</v>
      </c>
      <c r="P2487" s="1598"/>
      <c r="Q2487" s="1598"/>
      <c r="R2487" s="1598"/>
      <c r="S2487" s="1592"/>
    </row>
    <row r="2488" spans="2:19" s="1593" customFormat="1" ht="11.25" customHeight="1" outlineLevel="1">
      <c r="B2488" s="1600" t="s">
        <v>11120</v>
      </c>
      <c r="C2488" s="1595" t="s">
        <v>11087</v>
      </c>
      <c r="D2488" s="1595" t="s">
        <v>11119</v>
      </c>
      <c r="E2488" s="1595" t="s">
        <v>2288</v>
      </c>
      <c r="F2488" s="1595" t="s">
        <v>11047</v>
      </c>
      <c r="G2488" s="1595"/>
      <c r="H2488" s="1596">
        <v>1</v>
      </c>
      <c r="I2488" s="1595"/>
      <c r="J2488" s="1595"/>
      <c r="K2488" s="1597">
        <v>131145.84</v>
      </c>
      <c r="L2488" s="1598"/>
      <c r="M2488" s="1597">
        <v>131145.84</v>
      </c>
      <c r="N2488" s="1597">
        <v>131145.84</v>
      </c>
      <c r="O2488" s="1597">
        <v>131145.84</v>
      </c>
      <c r="P2488" s="1598"/>
      <c r="Q2488" s="1598"/>
      <c r="R2488" s="1598"/>
      <c r="S2488" s="1592"/>
    </row>
    <row r="2489" spans="2:19" s="1593" customFormat="1" ht="11.25" customHeight="1" outlineLevel="1">
      <c r="B2489" s="1600" t="s">
        <v>11118</v>
      </c>
      <c r="C2489" s="1595" t="s">
        <v>11087</v>
      </c>
      <c r="D2489" s="1595" t="s">
        <v>11117</v>
      </c>
      <c r="E2489" s="1595" t="s">
        <v>2288</v>
      </c>
      <c r="F2489" s="1595" t="s">
        <v>11047</v>
      </c>
      <c r="G2489" s="1595"/>
      <c r="H2489" s="1596">
        <v>1</v>
      </c>
      <c r="I2489" s="1595"/>
      <c r="J2489" s="1595"/>
      <c r="K2489" s="1597">
        <v>131145.84</v>
      </c>
      <c r="L2489" s="1598"/>
      <c r="M2489" s="1597">
        <v>131145.84</v>
      </c>
      <c r="N2489" s="1597">
        <v>131145.84</v>
      </c>
      <c r="O2489" s="1597">
        <v>131145.84</v>
      </c>
      <c r="P2489" s="1598"/>
      <c r="Q2489" s="1598"/>
      <c r="R2489" s="1598"/>
      <c r="S2489" s="1592"/>
    </row>
    <row r="2490" spans="2:19" s="1593" customFormat="1" ht="11.25" customHeight="1" outlineLevel="1">
      <c r="B2490" s="1600" t="s">
        <v>11116</v>
      </c>
      <c r="C2490" s="1595" t="s">
        <v>11087</v>
      </c>
      <c r="D2490" s="1595" t="s">
        <v>11115</v>
      </c>
      <c r="E2490" s="1595" t="s">
        <v>2288</v>
      </c>
      <c r="F2490" s="1595" t="s">
        <v>11047</v>
      </c>
      <c r="G2490" s="1595"/>
      <c r="H2490" s="1596">
        <v>1</v>
      </c>
      <c r="I2490" s="1595"/>
      <c r="J2490" s="1595"/>
      <c r="K2490" s="1597">
        <v>131145.84</v>
      </c>
      <c r="L2490" s="1598"/>
      <c r="M2490" s="1597">
        <v>131145.84</v>
      </c>
      <c r="N2490" s="1597">
        <v>131145.84</v>
      </c>
      <c r="O2490" s="1597">
        <v>131145.84</v>
      </c>
      <c r="P2490" s="1598"/>
      <c r="Q2490" s="1598"/>
      <c r="R2490" s="1598"/>
      <c r="S2490" s="1592"/>
    </row>
    <row r="2491" spans="2:19" s="1593" customFormat="1" ht="21.75" customHeight="1" outlineLevel="1">
      <c r="B2491" s="1600" t="s">
        <v>11114</v>
      </c>
      <c r="C2491" s="1595" t="s">
        <v>11087</v>
      </c>
      <c r="D2491" s="1595" t="s">
        <v>11113</v>
      </c>
      <c r="E2491" s="1595" t="s">
        <v>2288</v>
      </c>
      <c r="F2491" s="1595" t="s">
        <v>11047</v>
      </c>
      <c r="G2491" s="1595"/>
      <c r="H2491" s="1596">
        <v>1</v>
      </c>
      <c r="I2491" s="1595"/>
      <c r="J2491" s="1595"/>
      <c r="K2491" s="1597">
        <v>131145.84</v>
      </c>
      <c r="L2491" s="1598"/>
      <c r="M2491" s="1597">
        <v>131145.84</v>
      </c>
      <c r="N2491" s="1597">
        <v>131145.84</v>
      </c>
      <c r="O2491" s="1597">
        <v>131145.84</v>
      </c>
      <c r="P2491" s="1598"/>
      <c r="Q2491" s="1598"/>
      <c r="R2491" s="1598"/>
      <c r="S2491" s="1592"/>
    </row>
    <row r="2492" spans="2:19" s="1593" customFormat="1" ht="21.75" customHeight="1" outlineLevel="1">
      <c r="B2492" s="1600" t="s">
        <v>11112</v>
      </c>
      <c r="C2492" s="1595" t="s">
        <v>11087</v>
      </c>
      <c r="D2492" s="1595" t="s">
        <v>11111</v>
      </c>
      <c r="E2492" s="1595" t="s">
        <v>2288</v>
      </c>
      <c r="F2492" s="1595" t="s">
        <v>11047</v>
      </c>
      <c r="G2492" s="1595"/>
      <c r="H2492" s="1596">
        <v>1</v>
      </c>
      <c r="I2492" s="1595"/>
      <c r="J2492" s="1595"/>
      <c r="K2492" s="1597">
        <v>131145.82999999999</v>
      </c>
      <c r="L2492" s="1598"/>
      <c r="M2492" s="1597">
        <v>131145.82999999999</v>
      </c>
      <c r="N2492" s="1597">
        <v>131145.82999999999</v>
      </c>
      <c r="O2492" s="1597">
        <v>131145.82999999999</v>
      </c>
      <c r="P2492" s="1598"/>
      <c r="Q2492" s="1598"/>
      <c r="R2492" s="1598"/>
      <c r="S2492" s="1592"/>
    </row>
    <row r="2493" spans="2:19" s="1593" customFormat="1" ht="21.75" customHeight="1" outlineLevel="1">
      <c r="B2493" s="1600" t="s">
        <v>11110</v>
      </c>
      <c r="C2493" s="1595" t="s">
        <v>11087</v>
      </c>
      <c r="D2493" s="1595" t="s">
        <v>11109</v>
      </c>
      <c r="E2493" s="1595" t="s">
        <v>2288</v>
      </c>
      <c r="F2493" s="1595" t="s">
        <v>11047</v>
      </c>
      <c r="G2493" s="1595"/>
      <c r="H2493" s="1596">
        <v>1</v>
      </c>
      <c r="I2493" s="1595"/>
      <c r="J2493" s="1595"/>
      <c r="K2493" s="1597">
        <v>131145.82999999999</v>
      </c>
      <c r="L2493" s="1598"/>
      <c r="M2493" s="1597">
        <v>131145.82999999999</v>
      </c>
      <c r="N2493" s="1597">
        <v>131145.82999999999</v>
      </c>
      <c r="O2493" s="1597">
        <v>131145.82999999999</v>
      </c>
      <c r="P2493" s="1598"/>
      <c r="Q2493" s="1598"/>
      <c r="R2493" s="1598"/>
      <c r="S2493" s="1592"/>
    </row>
    <row r="2494" spans="2:19" s="1593" customFormat="1" ht="11.25" customHeight="1" outlineLevel="1">
      <c r="B2494" s="1600" t="s">
        <v>11108</v>
      </c>
      <c r="C2494" s="1595" t="s">
        <v>11087</v>
      </c>
      <c r="D2494" s="1595" t="s">
        <v>11107</v>
      </c>
      <c r="E2494" s="1595" t="s">
        <v>2288</v>
      </c>
      <c r="F2494" s="1595" t="s">
        <v>11047</v>
      </c>
      <c r="G2494" s="1595"/>
      <c r="H2494" s="1596">
        <v>1</v>
      </c>
      <c r="I2494" s="1595"/>
      <c r="J2494" s="1595"/>
      <c r="K2494" s="1597">
        <v>131145.82999999999</v>
      </c>
      <c r="L2494" s="1598"/>
      <c r="M2494" s="1597">
        <v>131145.82999999999</v>
      </c>
      <c r="N2494" s="1597">
        <v>131145.82999999999</v>
      </c>
      <c r="O2494" s="1597">
        <v>131145.82999999999</v>
      </c>
      <c r="P2494" s="1598"/>
      <c r="Q2494" s="1598"/>
      <c r="R2494" s="1598"/>
      <c r="S2494" s="1592"/>
    </row>
    <row r="2495" spans="2:19" s="1593" customFormat="1" ht="21.75" customHeight="1" outlineLevel="1">
      <c r="B2495" s="1600" t="s">
        <v>11106</v>
      </c>
      <c r="C2495" s="1595" t="s">
        <v>11087</v>
      </c>
      <c r="D2495" s="1595" t="s">
        <v>11105</v>
      </c>
      <c r="E2495" s="1595" t="s">
        <v>2288</v>
      </c>
      <c r="F2495" s="1595" t="s">
        <v>11047</v>
      </c>
      <c r="G2495" s="1595"/>
      <c r="H2495" s="1596">
        <v>1</v>
      </c>
      <c r="I2495" s="1595"/>
      <c r="J2495" s="1595"/>
      <c r="K2495" s="1597">
        <v>131145.82999999999</v>
      </c>
      <c r="L2495" s="1598"/>
      <c r="M2495" s="1597">
        <v>131145.82999999999</v>
      </c>
      <c r="N2495" s="1597">
        <v>131145.82999999999</v>
      </c>
      <c r="O2495" s="1597">
        <v>131145.82999999999</v>
      </c>
      <c r="P2495" s="1598"/>
      <c r="Q2495" s="1598"/>
      <c r="R2495" s="1598"/>
      <c r="S2495" s="1592"/>
    </row>
    <row r="2496" spans="2:19" s="1593" customFormat="1" ht="21.75" customHeight="1" outlineLevel="1">
      <c r="B2496" s="1600" t="s">
        <v>11104</v>
      </c>
      <c r="C2496" s="1595" t="s">
        <v>11087</v>
      </c>
      <c r="D2496" s="1595" t="s">
        <v>11103</v>
      </c>
      <c r="E2496" s="1595" t="s">
        <v>2288</v>
      </c>
      <c r="F2496" s="1595" t="s">
        <v>11047</v>
      </c>
      <c r="G2496" s="1595"/>
      <c r="H2496" s="1596">
        <v>1</v>
      </c>
      <c r="I2496" s="1595"/>
      <c r="J2496" s="1595"/>
      <c r="K2496" s="1597">
        <v>131145.82999999999</v>
      </c>
      <c r="L2496" s="1598"/>
      <c r="M2496" s="1597">
        <v>131145.82999999999</v>
      </c>
      <c r="N2496" s="1597">
        <v>131145.82999999999</v>
      </c>
      <c r="O2496" s="1597">
        <v>131145.82999999999</v>
      </c>
      <c r="P2496" s="1598"/>
      <c r="Q2496" s="1598"/>
      <c r="R2496" s="1598"/>
      <c r="S2496" s="1592"/>
    </row>
    <row r="2497" spans="2:19" s="1593" customFormat="1" ht="21.75" customHeight="1" outlineLevel="1">
      <c r="B2497" s="1600" t="s">
        <v>11102</v>
      </c>
      <c r="C2497" s="1595" t="s">
        <v>11087</v>
      </c>
      <c r="D2497" s="1595" t="s">
        <v>11101</v>
      </c>
      <c r="E2497" s="1595" t="s">
        <v>2288</v>
      </c>
      <c r="F2497" s="1595" t="s">
        <v>11047</v>
      </c>
      <c r="G2497" s="1595"/>
      <c r="H2497" s="1596">
        <v>1</v>
      </c>
      <c r="I2497" s="1595"/>
      <c r="J2497" s="1595"/>
      <c r="K2497" s="1597">
        <v>131145.82999999999</v>
      </c>
      <c r="L2497" s="1598"/>
      <c r="M2497" s="1597">
        <v>131145.82999999999</v>
      </c>
      <c r="N2497" s="1597">
        <v>131145.82999999999</v>
      </c>
      <c r="O2497" s="1597">
        <v>131145.82999999999</v>
      </c>
      <c r="P2497" s="1598"/>
      <c r="Q2497" s="1598"/>
      <c r="R2497" s="1598"/>
      <c r="S2497" s="1592"/>
    </row>
    <row r="2498" spans="2:19" s="1593" customFormat="1" ht="21.75" customHeight="1" outlineLevel="1">
      <c r="B2498" s="1600" t="s">
        <v>11100</v>
      </c>
      <c r="C2498" s="1595" t="s">
        <v>11087</v>
      </c>
      <c r="D2498" s="1595" t="s">
        <v>11099</v>
      </c>
      <c r="E2498" s="1595" t="s">
        <v>2288</v>
      </c>
      <c r="F2498" s="1595" t="s">
        <v>11047</v>
      </c>
      <c r="G2498" s="1595"/>
      <c r="H2498" s="1596">
        <v>1</v>
      </c>
      <c r="I2498" s="1595"/>
      <c r="J2498" s="1595"/>
      <c r="K2498" s="1597">
        <v>131145.82999999999</v>
      </c>
      <c r="L2498" s="1598"/>
      <c r="M2498" s="1597">
        <v>131145.82999999999</v>
      </c>
      <c r="N2498" s="1597">
        <v>131145.82999999999</v>
      </c>
      <c r="O2498" s="1597">
        <v>131145.82999999999</v>
      </c>
      <c r="P2498" s="1598"/>
      <c r="Q2498" s="1598"/>
      <c r="R2498" s="1598"/>
      <c r="S2498" s="1592"/>
    </row>
    <row r="2499" spans="2:19" s="1593" customFormat="1" ht="21.75" customHeight="1" outlineLevel="1">
      <c r="B2499" s="1600" t="s">
        <v>11098</v>
      </c>
      <c r="C2499" s="1595" t="s">
        <v>11087</v>
      </c>
      <c r="D2499" s="1595" t="s">
        <v>11097</v>
      </c>
      <c r="E2499" s="1595" t="s">
        <v>2288</v>
      </c>
      <c r="F2499" s="1595" t="s">
        <v>11047</v>
      </c>
      <c r="G2499" s="1595"/>
      <c r="H2499" s="1596">
        <v>1</v>
      </c>
      <c r="I2499" s="1595"/>
      <c r="J2499" s="1595"/>
      <c r="K2499" s="1597">
        <v>131145.82999999999</v>
      </c>
      <c r="L2499" s="1598"/>
      <c r="M2499" s="1597">
        <v>131145.82999999999</v>
      </c>
      <c r="N2499" s="1597">
        <v>131145.82999999999</v>
      </c>
      <c r="O2499" s="1597">
        <v>131145.82999999999</v>
      </c>
      <c r="P2499" s="1598"/>
      <c r="Q2499" s="1598"/>
      <c r="R2499" s="1598"/>
      <c r="S2499" s="1592"/>
    </row>
    <row r="2500" spans="2:19" s="1593" customFormat="1" ht="21.75" customHeight="1" outlineLevel="1">
      <c r="B2500" s="1600" t="s">
        <v>11096</v>
      </c>
      <c r="C2500" s="1595" t="s">
        <v>11087</v>
      </c>
      <c r="D2500" s="1595" t="s">
        <v>11095</v>
      </c>
      <c r="E2500" s="1595" t="s">
        <v>2288</v>
      </c>
      <c r="F2500" s="1595" t="s">
        <v>11047</v>
      </c>
      <c r="G2500" s="1595"/>
      <c r="H2500" s="1596">
        <v>1</v>
      </c>
      <c r="I2500" s="1595"/>
      <c r="J2500" s="1595"/>
      <c r="K2500" s="1597">
        <v>131145.82999999999</v>
      </c>
      <c r="L2500" s="1598"/>
      <c r="M2500" s="1597">
        <v>131145.82999999999</v>
      </c>
      <c r="N2500" s="1597">
        <v>131145.82999999999</v>
      </c>
      <c r="O2500" s="1597">
        <v>131145.82999999999</v>
      </c>
      <c r="P2500" s="1598"/>
      <c r="Q2500" s="1598"/>
      <c r="R2500" s="1598"/>
      <c r="S2500" s="1592"/>
    </row>
    <row r="2501" spans="2:19" s="1593" customFormat="1" ht="21.75" customHeight="1" outlineLevel="1">
      <c r="B2501" s="1600" t="s">
        <v>11094</v>
      </c>
      <c r="C2501" s="1595" t="s">
        <v>11087</v>
      </c>
      <c r="D2501" s="1595" t="s">
        <v>11093</v>
      </c>
      <c r="E2501" s="1595" t="s">
        <v>2288</v>
      </c>
      <c r="F2501" s="1595" t="s">
        <v>11047</v>
      </c>
      <c r="G2501" s="1595"/>
      <c r="H2501" s="1596">
        <v>1</v>
      </c>
      <c r="I2501" s="1595"/>
      <c r="J2501" s="1595"/>
      <c r="K2501" s="1597">
        <v>131145.82999999999</v>
      </c>
      <c r="L2501" s="1598"/>
      <c r="M2501" s="1597">
        <v>131145.82999999999</v>
      </c>
      <c r="N2501" s="1597">
        <v>131145.82999999999</v>
      </c>
      <c r="O2501" s="1597">
        <v>131145.82999999999</v>
      </c>
      <c r="P2501" s="1598"/>
      <c r="Q2501" s="1598"/>
      <c r="R2501" s="1598"/>
      <c r="S2501" s="1592"/>
    </row>
    <row r="2502" spans="2:19" s="1593" customFormat="1" ht="21.75" customHeight="1" outlineLevel="1">
      <c r="B2502" s="1600" t="s">
        <v>11092</v>
      </c>
      <c r="C2502" s="1595" t="s">
        <v>11087</v>
      </c>
      <c r="D2502" s="1595" t="s">
        <v>11091</v>
      </c>
      <c r="E2502" s="1595" t="s">
        <v>2288</v>
      </c>
      <c r="F2502" s="1595" t="s">
        <v>11047</v>
      </c>
      <c r="G2502" s="1595"/>
      <c r="H2502" s="1596">
        <v>1</v>
      </c>
      <c r="I2502" s="1595"/>
      <c r="J2502" s="1595"/>
      <c r="K2502" s="1597">
        <v>131145.82999999999</v>
      </c>
      <c r="L2502" s="1598"/>
      <c r="M2502" s="1597">
        <v>131145.82999999999</v>
      </c>
      <c r="N2502" s="1597">
        <v>131145.82999999999</v>
      </c>
      <c r="O2502" s="1597">
        <v>131145.82999999999</v>
      </c>
      <c r="P2502" s="1598"/>
      <c r="Q2502" s="1598"/>
      <c r="R2502" s="1598"/>
      <c r="S2502" s="1592"/>
    </row>
    <row r="2503" spans="2:19" s="1593" customFormat="1" ht="21.75" customHeight="1" outlineLevel="1">
      <c r="B2503" s="1600" t="s">
        <v>11090</v>
      </c>
      <c r="C2503" s="1595" t="s">
        <v>11087</v>
      </c>
      <c r="D2503" s="1595" t="s">
        <v>11089</v>
      </c>
      <c r="E2503" s="1595" t="s">
        <v>2288</v>
      </c>
      <c r="F2503" s="1595" t="s">
        <v>11047</v>
      </c>
      <c r="G2503" s="1595"/>
      <c r="H2503" s="1596">
        <v>1</v>
      </c>
      <c r="I2503" s="1595"/>
      <c r="J2503" s="1595"/>
      <c r="K2503" s="1597">
        <v>131145.82999999999</v>
      </c>
      <c r="L2503" s="1598"/>
      <c r="M2503" s="1597">
        <v>131145.82999999999</v>
      </c>
      <c r="N2503" s="1597">
        <v>131145.82999999999</v>
      </c>
      <c r="O2503" s="1597">
        <v>131145.82999999999</v>
      </c>
      <c r="P2503" s="1598"/>
      <c r="Q2503" s="1598"/>
      <c r="R2503" s="1598"/>
      <c r="S2503" s="1592"/>
    </row>
    <row r="2504" spans="2:19" s="1593" customFormat="1" ht="21.75" customHeight="1" outlineLevel="1">
      <c r="B2504" s="1600" t="s">
        <v>11088</v>
      </c>
      <c r="C2504" s="1595" t="s">
        <v>11087</v>
      </c>
      <c r="D2504" s="1595" t="s">
        <v>11086</v>
      </c>
      <c r="E2504" s="1595" t="s">
        <v>2288</v>
      </c>
      <c r="F2504" s="1595" t="s">
        <v>11047</v>
      </c>
      <c r="G2504" s="1595"/>
      <c r="H2504" s="1596">
        <v>1</v>
      </c>
      <c r="I2504" s="1595"/>
      <c r="J2504" s="1595"/>
      <c r="K2504" s="1597">
        <v>131145.82999999999</v>
      </c>
      <c r="L2504" s="1598"/>
      <c r="M2504" s="1597">
        <v>131145.82999999999</v>
      </c>
      <c r="N2504" s="1597">
        <v>131145.82999999999</v>
      </c>
      <c r="O2504" s="1597">
        <v>131145.82999999999</v>
      </c>
      <c r="P2504" s="1598"/>
      <c r="Q2504" s="1598"/>
      <c r="R2504" s="1598"/>
      <c r="S2504" s="1592"/>
    </row>
    <row r="2505" spans="2:19" s="1593" customFormat="1" ht="11.25" customHeight="1" outlineLevel="1">
      <c r="B2505" s="1600" t="s">
        <v>11085</v>
      </c>
      <c r="C2505" s="1595" t="s">
        <v>2210</v>
      </c>
      <c r="D2505" s="1595" t="s">
        <v>11084</v>
      </c>
      <c r="E2505" s="1595" t="s">
        <v>2288</v>
      </c>
      <c r="F2505" s="1595" t="s">
        <v>11047</v>
      </c>
      <c r="G2505" s="1595"/>
      <c r="H2505" s="1596">
        <v>1</v>
      </c>
      <c r="I2505" s="1595"/>
      <c r="J2505" s="1595"/>
      <c r="K2505" s="1597">
        <v>131145.84</v>
      </c>
      <c r="L2505" s="1598"/>
      <c r="M2505" s="1597">
        <v>131145.84</v>
      </c>
      <c r="N2505" s="1597">
        <v>131145.84</v>
      </c>
      <c r="O2505" s="1597">
        <v>131145.84</v>
      </c>
      <c r="P2505" s="1598"/>
      <c r="Q2505" s="1598"/>
      <c r="R2505" s="1598"/>
      <c r="S2505" s="1592"/>
    </row>
    <row r="2506" spans="2:19" s="1593" customFormat="1" ht="21.75" customHeight="1" outlineLevel="1">
      <c r="B2506" s="1600" t="s">
        <v>11083</v>
      </c>
      <c r="C2506" s="1595" t="s">
        <v>2210</v>
      </c>
      <c r="D2506" s="1595" t="s">
        <v>11082</v>
      </c>
      <c r="E2506" s="1595" t="s">
        <v>2288</v>
      </c>
      <c r="F2506" s="1595" t="s">
        <v>11047</v>
      </c>
      <c r="G2506" s="1595"/>
      <c r="H2506" s="1596">
        <v>1</v>
      </c>
      <c r="I2506" s="1595"/>
      <c r="J2506" s="1595"/>
      <c r="K2506" s="1597">
        <v>131145.84</v>
      </c>
      <c r="L2506" s="1598"/>
      <c r="M2506" s="1597">
        <v>131145.84</v>
      </c>
      <c r="N2506" s="1597">
        <v>131145.84</v>
      </c>
      <c r="O2506" s="1597">
        <v>131145.84</v>
      </c>
      <c r="P2506" s="1598"/>
      <c r="Q2506" s="1598"/>
      <c r="R2506" s="1598"/>
      <c r="S2506" s="1592"/>
    </row>
    <row r="2507" spans="2:19" s="1593" customFormat="1" ht="21.75" customHeight="1" outlineLevel="1">
      <c r="B2507" s="1600" t="s">
        <v>11081</v>
      </c>
      <c r="C2507" s="1595" t="s">
        <v>2210</v>
      </c>
      <c r="D2507" s="1595" t="s">
        <v>11080</v>
      </c>
      <c r="E2507" s="1595" t="s">
        <v>2288</v>
      </c>
      <c r="F2507" s="1595" t="s">
        <v>11047</v>
      </c>
      <c r="G2507" s="1595"/>
      <c r="H2507" s="1596">
        <v>1</v>
      </c>
      <c r="I2507" s="1595"/>
      <c r="J2507" s="1595"/>
      <c r="K2507" s="1597">
        <v>131145.84</v>
      </c>
      <c r="L2507" s="1598"/>
      <c r="M2507" s="1597">
        <v>131145.84</v>
      </c>
      <c r="N2507" s="1597">
        <v>131145.84</v>
      </c>
      <c r="O2507" s="1597">
        <v>131145.84</v>
      </c>
      <c r="P2507" s="1598"/>
      <c r="Q2507" s="1598"/>
      <c r="R2507" s="1598"/>
      <c r="S2507" s="1592"/>
    </row>
    <row r="2508" spans="2:19" s="1593" customFormat="1" ht="21.75" customHeight="1" outlineLevel="1">
      <c r="B2508" s="1600" t="s">
        <v>11079</v>
      </c>
      <c r="C2508" s="1595" t="s">
        <v>2210</v>
      </c>
      <c r="D2508" s="1595" t="s">
        <v>11078</v>
      </c>
      <c r="E2508" s="1595" t="s">
        <v>2288</v>
      </c>
      <c r="F2508" s="1595" t="s">
        <v>11047</v>
      </c>
      <c r="G2508" s="1595"/>
      <c r="H2508" s="1596">
        <v>1</v>
      </c>
      <c r="I2508" s="1595"/>
      <c r="J2508" s="1595"/>
      <c r="K2508" s="1597">
        <v>131145.84</v>
      </c>
      <c r="L2508" s="1598"/>
      <c r="M2508" s="1597">
        <v>131145.84</v>
      </c>
      <c r="N2508" s="1597">
        <v>131145.84</v>
      </c>
      <c r="O2508" s="1597">
        <v>131145.84</v>
      </c>
      <c r="P2508" s="1598"/>
      <c r="Q2508" s="1598"/>
      <c r="R2508" s="1598"/>
      <c r="S2508" s="1592"/>
    </row>
    <row r="2509" spans="2:19" s="1593" customFormat="1" ht="21.75" customHeight="1" outlineLevel="1">
      <c r="B2509" s="1600" t="s">
        <v>11077</v>
      </c>
      <c r="C2509" s="1595" t="s">
        <v>2210</v>
      </c>
      <c r="D2509" s="1595" t="s">
        <v>11076</v>
      </c>
      <c r="E2509" s="1595" t="s">
        <v>2288</v>
      </c>
      <c r="F2509" s="1595" t="s">
        <v>11047</v>
      </c>
      <c r="G2509" s="1595"/>
      <c r="H2509" s="1596">
        <v>1</v>
      </c>
      <c r="I2509" s="1595"/>
      <c r="J2509" s="1595"/>
      <c r="K2509" s="1597">
        <v>131145.84</v>
      </c>
      <c r="L2509" s="1598"/>
      <c r="M2509" s="1597">
        <v>131145.84</v>
      </c>
      <c r="N2509" s="1597">
        <v>131145.84</v>
      </c>
      <c r="O2509" s="1597">
        <v>131145.84</v>
      </c>
      <c r="P2509" s="1598"/>
      <c r="Q2509" s="1598"/>
      <c r="R2509" s="1598"/>
      <c r="S2509" s="1592"/>
    </row>
    <row r="2510" spans="2:19" s="1593" customFormat="1" ht="11.25" customHeight="1" outlineLevel="1">
      <c r="B2510" s="1600" t="s">
        <v>11075</v>
      </c>
      <c r="C2510" s="1595" t="s">
        <v>2210</v>
      </c>
      <c r="D2510" s="1595" t="s">
        <v>11074</v>
      </c>
      <c r="E2510" s="1595" t="s">
        <v>2288</v>
      </c>
      <c r="F2510" s="1595" t="s">
        <v>11047</v>
      </c>
      <c r="G2510" s="1595"/>
      <c r="H2510" s="1596">
        <v>1</v>
      </c>
      <c r="I2510" s="1595"/>
      <c r="J2510" s="1595"/>
      <c r="K2510" s="1597">
        <v>131145.84</v>
      </c>
      <c r="L2510" s="1598"/>
      <c r="M2510" s="1597">
        <v>131145.84</v>
      </c>
      <c r="N2510" s="1597">
        <v>131145.84</v>
      </c>
      <c r="O2510" s="1597">
        <v>131145.84</v>
      </c>
      <c r="P2510" s="1598"/>
      <c r="Q2510" s="1598"/>
      <c r="R2510" s="1598"/>
      <c r="S2510" s="1592"/>
    </row>
    <row r="2511" spans="2:19" s="1593" customFormat="1" ht="11.25" customHeight="1" outlineLevel="1">
      <c r="B2511" s="1600" t="s">
        <v>11073</v>
      </c>
      <c r="C2511" s="1595" t="s">
        <v>2210</v>
      </c>
      <c r="D2511" s="1595" t="s">
        <v>11072</v>
      </c>
      <c r="E2511" s="1595" t="s">
        <v>2288</v>
      </c>
      <c r="F2511" s="1595" t="s">
        <v>11047</v>
      </c>
      <c r="G2511" s="1595"/>
      <c r="H2511" s="1596">
        <v>1</v>
      </c>
      <c r="I2511" s="1595"/>
      <c r="J2511" s="1595"/>
      <c r="K2511" s="1597">
        <v>131145.82999999999</v>
      </c>
      <c r="L2511" s="1598"/>
      <c r="M2511" s="1597">
        <v>131145.82999999999</v>
      </c>
      <c r="N2511" s="1597">
        <v>131145.82999999999</v>
      </c>
      <c r="O2511" s="1597">
        <v>131145.82999999999</v>
      </c>
      <c r="P2511" s="1598"/>
      <c r="Q2511" s="1598"/>
      <c r="R2511" s="1598"/>
      <c r="S2511" s="1592"/>
    </row>
    <row r="2512" spans="2:19" s="1593" customFormat="1" ht="21.75" customHeight="1" outlineLevel="1">
      <c r="B2512" s="1600" t="s">
        <v>11071</v>
      </c>
      <c r="C2512" s="1595" t="s">
        <v>2210</v>
      </c>
      <c r="D2512" s="1595" t="s">
        <v>11070</v>
      </c>
      <c r="E2512" s="1595" t="s">
        <v>2288</v>
      </c>
      <c r="F2512" s="1595" t="s">
        <v>11047</v>
      </c>
      <c r="G2512" s="1595"/>
      <c r="H2512" s="1596">
        <v>1</v>
      </c>
      <c r="I2512" s="1595"/>
      <c r="J2512" s="1595"/>
      <c r="K2512" s="1597">
        <v>131145.82999999999</v>
      </c>
      <c r="L2512" s="1598"/>
      <c r="M2512" s="1597">
        <v>131145.82999999999</v>
      </c>
      <c r="N2512" s="1597">
        <v>131145.82999999999</v>
      </c>
      <c r="O2512" s="1597">
        <v>131145.82999999999</v>
      </c>
      <c r="P2512" s="1598"/>
      <c r="Q2512" s="1598"/>
      <c r="R2512" s="1598"/>
      <c r="S2512" s="1592"/>
    </row>
    <row r="2513" spans="2:19" s="1593" customFormat="1" ht="21.75" customHeight="1" outlineLevel="1">
      <c r="B2513" s="1600" t="s">
        <v>11069</v>
      </c>
      <c r="C2513" s="1595" t="s">
        <v>2210</v>
      </c>
      <c r="D2513" s="1595" t="s">
        <v>11068</v>
      </c>
      <c r="E2513" s="1595" t="s">
        <v>2288</v>
      </c>
      <c r="F2513" s="1595" t="s">
        <v>11047</v>
      </c>
      <c r="G2513" s="1595"/>
      <c r="H2513" s="1596">
        <v>1</v>
      </c>
      <c r="I2513" s="1595"/>
      <c r="J2513" s="1595"/>
      <c r="K2513" s="1597">
        <v>131145.82999999999</v>
      </c>
      <c r="L2513" s="1598"/>
      <c r="M2513" s="1597">
        <v>131145.82999999999</v>
      </c>
      <c r="N2513" s="1597">
        <v>131145.82999999999</v>
      </c>
      <c r="O2513" s="1597">
        <v>131145.82999999999</v>
      </c>
      <c r="P2513" s="1598"/>
      <c r="Q2513" s="1598"/>
      <c r="R2513" s="1598"/>
      <c r="S2513" s="1592"/>
    </row>
    <row r="2514" spans="2:19" s="1593" customFormat="1" ht="21.75" customHeight="1" outlineLevel="1">
      <c r="B2514" s="1600" t="s">
        <v>11067</v>
      </c>
      <c r="C2514" s="1595" t="s">
        <v>2210</v>
      </c>
      <c r="D2514" s="1595" t="s">
        <v>11066</v>
      </c>
      <c r="E2514" s="1595" t="s">
        <v>2288</v>
      </c>
      <c r="F2514" s="1595" t="s">
        <v>11047</v>
      </c>
      <c r="G2514" s="1595"/>
      <c r="H2514" s="1596">
        <v>1</v>
      </c>
      <c r="I2514" s="1595"/>
      <c r="J2514" s="1595"/>
      <c r="K2514" s="1597">
        <v>182270.83</v>
      </c>
      <c r="L2514" s="1598"/>
      <c r="M2514" s="1597">
        <v>182270.83</v>
      </c>
      <c r="N2514" s="1597">
        <v>182270.83</v>
      </c>
      <c r="O2514" s="1597">
        <v>182270.83</v>
      </c>
      <c r="P2514" s="1598"/>
      <c r="Q2514" s="1598"/>
      <c r="R2514" s="1598"/>
      <c r="S2514" s="1592"/>
    </row>
    <row r="2515" spans="2:19" s="1593" customFormat="1" ht="21.75" customHeight="1" outlineLevel="1">
      <c r="B2515" s="1600" t="s">
        <v>11065</v>
      </c>
      <c r="C2515" s="1595" t="s">
        <v>2210</v>
      </c>
      <c r="D2515" s="1595" t="s">
        <v>11064</v>
      </c>
      <c r="E2515" s="1595" t="s">
        <v>2288</v>
      </c>
      <c r="F2515" s="1595" t="s">
        <v>11047</v>
      </c>
      <c r="G2515" s="1595"/>
      <c r="H2515" s="1596">
        <v>1</v>
      </c>
      <c r="I2515" s="1595"/>
      <c r="J2515" s="1595"/>
      <c r="K2515" s="1597">
        <v>131145.82999999999</v>
      </c>
      <c r="L2515" s="1598"/>
      <c r="M2515" s="1597">
        <v>131145.82999999999</v>
      </c>
      <c r="N2515" s="1597">
        <v>131145.82999999999</v>
      </c>
      <c r="O2515" s="1597">
        <v>131145.82999999999</v>
      </c>
      <c r="P2515" s="1598"/>
      <c r="Q2515" s="1598"/>
      <c r="R2515" s="1598"/>
      <c r="S2515" s="1592"/>
    </row>
    <row r="2516" spans="2:19" s="1593" customFormat="1" ht="21.75" customHeight="1" outlineLevel="1">
      <c r="B2516" s="1600" t="s">
        <v>11063</v>
      </c>
      <c r="C2516" s="1595" t="s">
        <v>2210</v>
      </c>
      <c r="D2516" s="1595" t="s">
        <v>11062</v>
      </c>
      <c r="E2516" s="1595" t="s">
        <v>2288</v>
      </c>
      <c r="F2516" s="1595" t="s">
        <v>11047</v>
      </c>
      <c r="G2516" s="1595"/>
      <c r="H2516" s="1596">
        <v>1</v>
      </c>
      <c r="I2516" s="1595"/>
      <c r="J2516" s="1595"/>
      <c r="K2516" s="1597">
        <v>182270.83</v>
      </c>
      <c r="L2516" s="1598"/>
      <c r="M2516" s="1597">
        <v>182270.83</v>
      </c>
      <c r="N2516" s="1597">
        <v>182270.83</v>
      </c>
      <c r="O2516" s="1597">
        <v>182270.83</v>
      </c>
      <c r="P2516" s="1598"/>
      <c r="Q2516" s="1598"/>
      <c r="R2516" s="1598"/>
      <c r="S2516" s="1592"/>
    </row>
    <row r="2517" spans="2:19" s="1593" customFormat="1" ht="21.75" customHeight="1" outlineLevel="1">
      <c r="B2517" s="1600" t="s">
        <v>11061</v>
      </c>
      <c r="C2517" s="1595" t="s">
        <v>2210</v>
      </c>
      <c r="D2517" s="1595" t="s">
        <v>11060</v>
      </c>
      <c r="E2517" s="1595" t="s">
        <v>2288</v>
      </c>
      <c r="F2517" s="1595" t="s">
        <v>11047</v>
      </c>
      <c r="G2517" s="1595"/>
      <c r="H2517" s="1596">
        <v>1</v>
      </c>
      <c r="I2517" s="1595"/>
      <c r="J2517" s="1595"/>
      <c r="K2517" s="1597">
        <v>131145.82999999999</v>
      </c>
      <c r="L2517" s="1598"/>
      <c r="M2517" s="1597">
        <v>131145.82999999999</v>
      </c>
      <c r="N2517" s="1597">
        <v>131145.82999999999</v>
      </c>
      <c r="O2517" s="1597">
        <v>131145.82999999999</v>
      </c>
      <c r="P2517" s="1598"/>
      <c r="Q2517" s="1598"/>
      <c r="R2517" s="1598"/>
      <c r="S2517" s="1592"/>
    </row>
    <row r="2518" spans="2:19" s="1593" customFormat="1" ht="21.75" customHeight="1" outlineLevel="1">
      <c r="B2518" s="1600" t="s">
        <v>11059</v>
      </c>
      <c r="C2518" s="1595" t="s">
        <v>2210</v>
      </c>
      <c r="D2518" s="1595" t="s">
        <v>11058</v>
      </c>
      <c r="E2518" s="1595" t="s">
        <v>2288</v>
      </c>
      <c r="F2518" s="1595" t="s">
        <v>11047</v>
      </c>
      <c r="G2518" s="1595"/>
      <c r="H2518" s="1596">
        <v>1</v>
      </c>
      <c r="I2518" s="1595"/>
      <c r="J2518" s="1595"/>
      <c r="K2518" s="1597">
        <v>131145.82999999999</v>
      </c>
      <c r="L2518" s="1598"/>
      <c r="M2518" s="1597">
        <v>131145.82999999999</v>
      </c>
      <c r="N2518" s="1597">
        <v>131145.82999999999</v>
      </c>
      <c r="O2518" s="1597">
        <v>131145.82999999999</v>
      </c>
      <c r="P2518" s="1598"/>
      <c r="Q2518" s="1598"/>
      <c r="R2518" s="1598"/>
      <c r="S2518" s="1592"/>
    </row>
    <row r="2519" spans="2:19" s="1593" customFormat="1" ht="21.75" customHeight="1" outlineLevel="1">
      <c r="B2519" s="1600" t="s">
        <v>11057</v>
      </c>
      <c r="C2519" s="1595" t="s">
        <v>2210</v>
      </c>
      <c r="D2519" s="1595" t="s">
        <v>11056</v>
      </c>
      <c r="E2519" s="1595" t="s">
        <v>2288</v>
      </c>
      <c r="F2519" s="1595" t="s">
        <v>11047</v>
      </c>
      <c r="G2519" s="1595"/>
      <c r="H2519" s="1596">
        <v>1</v>
      </c>
      <c r="I2519" s="1595"/>
      <c r="J2519" s="1595"/>
      <c r="K2519" s="1597">
        <v>131145.82999999999</v>
      </c>
      <c r="L2519" s="1598"/>
      <c r="M2519" s="1597">
        <v>131145.82999999999</v>
      </c>
      <c r="N2519" s="1597">
        <v>131145.82999999999</v>
      </c>
      <c r="O2519" s="1597">
        <v>131145.82999999999</v>
      </c>
      <c r="P2519" s="1598"/>
      <c r="Q2519" s="1598"/>
      <c r="R2519" s="1598"/>
      <c r="S2519" s="1592"/>
    </row>
    <row r="2520" spans="2:19" s="1593" customFormat="1" ht="11.25" customHeight="1" outlineLevel="1">
      <c r="B2520" s="1600" t="s">
        <v>11055</v>
      </c>
      <c r="C2520" s="1595" t="s">
        <v>2210</v>
      </c>
      <c r="D2520" s="1595" t="s">
        <v>11054</v>
      </c>
      <c r="E2520" s="1595" t="s">
        <v>2288</v>
      </c>
      <c r="F2520" s="1595" t="s">
        <v>11047</v>
      </c>
      <c r="G2520" s="1595"/>
      <c r="H2520" s="1596">
        <v>1</v>
      </c>
      <c r="I2520" s="1595"/>
      <c r="J2520" s="1595"/>
      <c r="K2520" s="1597">
        <v>131145.82999999999</v>
      </c>
      <c r="L2520" s="1598"/>
      <c r="M2520" s="1597">
        <v>131145.82999999999</v>
      </c>
      <c r="N2520" s="1597">
        <v>131145.82999999999</v>
      </c>
      <c r="O2520" s="1597">
        <v>131145.82999999999</v>
      </c>
      <c r="P2520" s="1598"/>
      <c r="Q2520" s="1598"/>
      <c r="R2520" s="1598"/>
      <c r="S2520" s="1592"/>
    </row>
    <row r="2521" spans="2:19" s="1593" customFormat="1" ht="11.25" customHeight="1" outlineLevel="1">
      <c r="B2521" s="1600" t="s">
        <v>11053</v>
      </c>
      <c r="C2521" s="1595" t="s">
        <v>2210</v>
      </c>
      <c r="D2521" s="1595" t="s">
        <v>11052</v>
      </c>
      <c r="E2521" s="1595" t="s">
        <v>2288</v>
      </c>
      <c r="F2521" s="1595" t="s">
        <v>11047</v>
      </c>
      <c r="G2521" s="1595"/>
      <c r="H2521" s="1596">
        <v>1</v>
      </c>
      <c r="I2521" s="1595"/>
      <c r="J2521" s="1595"/>
      <c r="K2521" s="1597">
        <v>131145.82999999999</v>
      </c>
      <c r="L2521" s="1598"/>
      <c r="M2521" s="1597">
        <v>131145.82999999999</v>
      </c>
      <c r="N2521" s="1597">
        <v>131145.82999999999</v>
      </c>
      <c r="O2521" s="1597">
        <v>131145.82999999999</v>
      </c>
      <c r="P2521" s="1598"/>
      <c r="Q2521" s="1598"/>
      <c r="R2521" s="1598"/>
      <c r="S2521" s="1592"/>
    </row>
    <row r="2522" spans="2:19" s="1593" customFormat="1" ht="11.25" customHeight="1" outlineLevel="1">
      <c r="B2522" s="1600" t="s">
        <v>11051</v>
      </c>
      <c r="C2522" s="1595" t="s">
        <v>2210</v>
      </c>
      <c r="D2522" s="1595" t="s">
        <v>11050</v>
      </c>
      <c r="E2522" s="1595" t="s">
        <v>2288</v>
      </c>
      <c r="F2522" s="1595" t="s">
        <v>11047</v>
      </c>
      <c r="G2522" s="1595"/>
      <c r="H2522" s="1596">
        <v>1</v>
      </c>
      <c r="I2522" s="1595"/>
      <c r="J2522" s="1595"/>
      <c r="K2522" s="1597">
        <v>131145.82999999999</v>
      </c>
      <c r="L2522" s="1598"/>
      <c r="M2522" s="1597">
        <v>131145.82999999999</v>
      </c>
      <c r="N2522" s="1597">
        <v>131145.82999999999</v>
      </c>
      <c r="O2522" s="1597">
        <v>131145.82999999999</v>
      </c>
      <c r="P2522" s="1598"/>
      <c r="Q2522" s="1598"/>
      <c r="R2522" s="1598"/>
      <c r="S2522" s="1592"/>
    </row>
    <row r="2523" spans="2:19" s="1593" customFormat="1" ht="11.25" customHeight="1" outlineLevel="1">
      <c r="B2523" s="1600" t="s">
        <v>11049</v>
      </c>
      <c r="C2523" s="1595" t="s">
        <v>2210</v>
      </c>
      <c r="D2523" s="1595" t="s">
        <v>11048</v>
      </c>
      <c r="E2523" s="1595" t="s">
        <v>2288</v>
      </c>
      <c r="F2523" s="1595" t="s">
        <v>11047</v>
      </c>
      <c r="G2523" s="1595"/>
      <c r="H2523" s="1596">
        <v>1</v>
      </c>
      <c r="I2523" s="1595"/>
      <c r="J2523" s="1595"/>
      <c r="K2523" s="1597">
        <v>131145.82999999999</v>
      </c>
      <c r="L2523" s="1598"/>
      <c r="M2523" s="1597">
        <v>131145.82999999999</v>
      </c>
      <c r="N2523" s="1597">
        <v>131145.82999999999</v>
      </c>
      <c r="O2523" s="1597">
        <v>131145.82999999999</v>
      </c>
      <c r="P2523" s="1598"/>
      <c r="Q2523" s="1598"/>
      <c r="R2523" s="1598"/>
      <c r="S2523" s="1592"/>
    </row>
    <row r="2524" spans="2:19" s="1593" customFormat="1" ht="21.75" customHeight="1" outlineLevel="1">
      <c r="B2524" s="1600" t="s">
        <v>11046</v>
      </c>
      <c r="C2524" s="1595" t="s">
        <v>2210</v>
      </c>
      <c r="D2524" s="1595" t="s">
        <v>11045</v>
      </c>
      <c r="E2524" s="1595" t="s">
        <v>2288</v>
      </c>
      <c r="F2524" s="1595" t="s">
        <v>11040</v>
      </c>
      <c r="G2524" s="1595"/>
      <c r="H2524" s="1596">
        <v>1</v>
      </c>
      <c r="I2524" s="1595"/>
      <c r="J2524" s="1595"/>
      <c r="K2524" s="1597">
        <v>204505.83</v>
      </c>
      <c r="L2524" s="1598"/>
      <c r="M2524" s="1597">
        <v>204505.83</v>
      </c>
      <c r="N2524" s="1597">
        <v>204505.83</v>
      </c>
      <c r="O2524" s="1597">
        <v>204505.83</v>
      </c>
      <c r="P2524" s="1598"/>
      <c r="Q2524" s="1598"/>
      <c r="R2524" s="1598"/>
      <c r="S2524" s="1592"/>
    </row>
    <row r="2525" spans="2:19" s="1593" customFormat="1" ht="11.25" customHeight="1" outlineLevel="1">
      <c r="B2525" s="1600" t="s">
        <v>11044</v>
      </c>
      <c r="C2525" s="1595" t="s">
        <v>2210</v>
      </c>
      <c r="D2525" s="1595" t="s">
        <v>11043</v>
      </c>
      <c r="E2525" s="1595" t="s">
        <v>2288</v>
      </c>
      <c r="F2525" s="1595" t="s">
        <v>11040</v>
      </c>
      <c r="G2525" s="1595"/>
      <c r="H2525" s="1596">
        <v>1</v>
      </c>
      <c r="I2525" s="1595"/>
      <c r="J2525" s="1595"/>
      <c r="K2525" s="1597">
        <v>204505.83</v>
      </c>
      <c r="L2525" s="1598"/>
      <c r="M2525" s="1597">
        <v>204505.83</v>
      </c>
      <c r="N2525" s="1597">
        <v>204505.83</v>
      </c>
      <c r="O2525" s="1597">
        <v>204505.83</v>
      </c>
      <c r="P2525" s="1598"/>
      <c r="Q2525" s="1598"/>
      <c r="R2525" s="1598"/>
      <c r="S2525" s="1592"/>
    </row>
    <row r="2526" spans="2:19" s="1593" customFormat="1" ht="11.25" customHeight="1" outlineLevel="1">
      <c r="B2526" s="1600" t="s">
        <v>11042</v>
      </c>
      <c r="C2526" s="1595" t="s">
        <v>2210</v>
      </c>
      <c r="D2526" s="1595" t="s">
        <v>11041</v>
      </c>
      <c r="E2526" s="1595" t="s">
        <v>2288</v>
      </c>
      <c r="F2526" s="1595" t="s">
        <v>11040</v>
      </c>
      <c r="G2526" s="1595"/>
      <c r="H2526" s="1596">
        <v>1</v>
      </c>
      <c r="I2526" s="1595"/>
      <c r="J2526" s="1595"/>
      <c r="K2526" s="1597">
        <v>204505.84</v>
      </c>
      <c r="L2526" s="1598"/>
      <c r="M2526" s="1597">
        <v>204505.84</v>
      </c>
      <c r="N2526" s="1597">
        <v>204505.84</v>
      </c>
      <c r="O2526" s="1597">
        <v>204505.84</v>
      </c>
      <c r="P2526" s="1598"/>
      <c r="Q2526" s="1598"/>
      <c r="R2526" s="1598"/>
      <c r="S2526" s="1592"/>
    </row>
    <row r="2527" spans="2:19" s="1593" customFormat="1" ht="5.0999999999999996" customHeight="1">
      <c r="S2527" s="1592"/>
    </row>
    <row r="2528" spans="2:19" s="1593" customFormat="1" ht="11.25" customHeight="1">
      <c r="B2528" s="1590" t="s">
        <v>11039</v>
      </c>
      <c r="C2528" s="1590"/>
      <c r="D2528" s="1590" t="s">
        <v>11038</v>
      </c>
      <c r="E2528" s="1590"/>
      <c r="F2528" s="1590"/>
      <c r="G2528" s="1590"/>
      <c r="H2528" s="1590">
        <v>1</v>
      </c>
      <c r="I2528" s="1590"/>
      <c r="J2528" s="1590"/>
      <c r="K2528" s="1591">
        <v>76807120.510000005</v>
      </c>
      <c r="L2528" s="1591">
        <v>97359810.530000001</v>
      </c>
      <c r="M2528" s="1591">
        <v>-661734.14</v>
      </c>
      <c r="N2528" s="1591">
        <v>96698076.390000001</v>
      </c>
      <c r="O2528" s="1591">
        <v>43678326.049999997</v>
      </c>
      <c r="P2528" s="1591">
        <v>41193862.560000002</v>
      </c>
      <c r="Q2528" s="1591">
        <v>11825887.779999999</v>
      </c>
      <c r="R2528" s="1591">
        <v>53019750.340000004</v>
      </c>
      <c r="S2528" s="1592">
        <f>R2528/N2528</f>
        <v>0.54830201715866833</v>
      </c>
    </row>
    <row r="2529" spans="2:19" s="1593" customFormat="1" ht="11.25" customHeight="1" outlineLevel="1">
      <c r="B2529" s="1594">
        <v>10138</v>
      </c>
      <c r="C2529" s="1595" t="s">
        <v>5403</v>
      </c>
      <c r="D2529" s="1595" t="s">
        <v>11037</v>
      </c>
      <c r="E2529" s="1595"/>
      <c r="F2529" s="1595"/>
      <c r="G2529" s="1595" t="s">
        <v>11036</v>
      </c>
      <c r="H2529" s="1596">
        <v>1</v>
      </c>
      <c r="I2529" s="1595"/>
      <c r="J2529" s="1595"/>
      <c r="K2529" s="1597">
        <v>690224</v>
      </c>
      <c r="L2529" s="1597">
        <v>690224</v>
      </c>
      <c r="M2529" s="1598"/>
      <c r="N2529" s="1597">
        <v>690224</v>
      </c>
      <c r="O2529" s="1597">
        <v>345113.43</v>
      </c>
      <c r="P2529" s="1597">
        <v>333378.65000000002</v>
      </c>
      <c r="Q2529" s="1597">
        <v>11731.92</v>
      </c>
      <c r="R2529" s="1597">
        <v>345110.57</v>
      </c>
      <c r="S2529" s="1592"/>
    </row>
    <row r="2530" spans="2:19" s="1593" customFormat="1" ht="11.25" customHeight="1" outlineLevel="1">
      <c r="B2530" s="1594">
        <v>10140</v>
      </c>
      <c r="C2530" s="1595" t="s">
        <v>5403</v>
      </c>
      <c r="D2530" s="1595" t="s">
        <v>11035</v>
      </c>
      <c r="E2530" s="1595"/>
      <c r="F2530" s="1595"/>
      <c r="G2530" s="1595"/>
      <c r="H2530" s="1596">
        <v>1</v>
      </c>
      <c r="I2530" s="1595"/>
      <c r="J2530" s="1595"/>
      <c r="K2530" s="1599">
        <v>552</v>
      </c>
      <c r="L2530" s="1599">
        <v>552.5</v>
      </c>
      <c r="M2530" s="1599">
        <v>-552.5</v>
      </c>
      <c r="N2530" s="1598"/>
      <c r="O2530" s="1598"/>
      <c r="P2530" s="1599">
        <v>552.5</v>
      </c>
      <c r="Q2530" s="1599">
        <v>-552.5</v>
      </c>
      <c r="R2530" s="1598"/>
      <c r="S2530" s="1592"/>
    </row>
    <row r="2531" spans="2:19" s="1593" customFormat="1" ht="11.25" customHeight="1" outlineLevel="1">
      <c r="B2531" s="1594">
        <v>10141</v>
      </c>
      <c r="C2531" s="1595" t="s">
        <v>5403</v>
      </c>
      <c r="D2531" s="1595" t="s">
        <v>11034</v>
      </c>
      <c r="E2531" s="1595"/>
      <c r="F2531" s="1595"/>
      <c r="G2531" s="1595"/>
      <c r="H2531" s="1596">
        <v>1</v>
      </c>
      <c r="I2531" s="1595"/>
      <c r="J2531" s="1595"/>
      <c r="K2531" s="1599">
        <v>68</v>
      </c>
      <c r="L2531" s="1599">
        <v>67.8</v>
      </c>
      <c r="M2531" s="1599">
        <v>-67.8</v>
      </c>
      <c r="N2531" s="1598"/>
      <c r="O2531" s="1598"/>
      <c r="P2531" s="1599">
        <v>67.8</v>
      </c>
      <c r="Q2531" s="1599">
        <v>-67.8</v>
      </c>
      <c r="R2531" s="1598"/>
      <c r="S2531" s="1592"/>
    </row>
    <row r="2532" spans="2:19" s="1593" customFormat="1" ht="11.25" customHeight="1" outlineLevel="1">
      <c r="B2532" s="1594">
        <v>10142</v>
      </c>
      <c r="C2532" s="1595" t="s">
        <v>5403</v>
      </c>
      <c r="D2532" s="1595" t="s">
        <v>11033</v>
      </c>
      <c r="E2532" s="1595"/>
      <c r="F2532" s="1595"/>
      <c r="G2532" s="1595"/>
      <c r="H2532" s="1596">
        <v>1</v>
      </c>
      <c r="I2532" s="1595"/>
      <c r="J2532" s="1595"/>
      <c r="K2532" s="1599">
        <v>237</v>
      </c>
      <c r="L2532" s="1599">
        <v>237</v>
      </c>
      <c r="M2532" s="1599">
        <v>-237</v>
      </c>
      <c r="N2532" s="1598"/>
      <c r="O2532" s="1598"/>
      <c r="P2532" s="1599">
        <v>237</v>
      </c>
      <c r="Q2532" s="1599">
        <v>-237</v>
      </c>
      <c r="R2532" s="1598"/>
      <c r="S2532" s="1592"/>
    </row>
    <row r="2533" spans="2:19" s="1593" customFormat="1" ht="11.25" customHeight="1" outlineLevel="1">
      <c r="B2533" s="1594">
        <v>10143</v>
      </c>
      <c r="C2533" s="1595" t="s">
        <v>5403</v>
      </c>
      <c r="D2533" s="1595" t="s">
        <v>11032</v>
      </c>
      <c r="E2533" s="1595"/>
      <c r="F2533" s="1595"/>
      <c r="G2533" s="1595"/>
      <c r="H2533" s="1596">
        <v>1</v>
      </c>
      <c r="I2533" s="1595"/>
      <c r="J2533" s="1595"/>
      <c r="K2533" s="1599">
        <v>122</v>
      </c>
      <c r="L2533" s="1599">
        <v>122</v>
      </c>
      <c r="M2533" s="1599">
        <v>-122</v>
      </c>
      <c r="N2533" s="1598"/>
      <c r="O2533" s="1598"/>
      <c r="P2533" s="1599">
        <v>122</v>
      </c>
      <c r="Q2533" s="1599">
        <v>-122</v>
      </c>
      <c r="R2533" s="1598"/>
      <c r="S2533" s="1592"/>
    </row>
    <row r="2534" spans="2:19" s="1593" customFormat="1" ht="11.25" customHeight="1" outlineLevel="1">
      <c r="B2534" s="1594">
        <v>10146</v>
      </c>
      <c r="C2534" s="1595" t="s">
        <v>5403</v>
      </c>
      <c r="D2534" s="1595" t="s">
        <v>11031</v>
      </c>
      <c r="E2534" s="1595"/>
      <c r="F2534" s="1595"/>
      <c r="G2534" s="1595" t="s">
        <v>11030</v>
      </c>
      <c r="H2534" s="1596">
        <v>1</v>
      </c>
      <c r="I2534" s="1595"/>
      <c r="J2534" s="1595"/>
      <c r="K2534" s="1597">
        <v>799051</v>
      </c>
      <c r="L2534" s="1597">
        <v>799050.5</v>
      </c>
      <c r="M2534" s="1598"/>
      <c r="N2534" s="1597">
        <v>799050.5</v>
      </c>
      <c r="O2534" s="1597">
        <v>116083.99</v>
      </c>
      <c r="P2534" s="1597">
        <v>659749.75</v>
      </c>
      <c r="Q2534" s="1597">
        <v>23216.76</v>
      </c>
      <c r="R2534" s="1597">
        <v>682966.51</v>
      </c>
      <c r="S2534" s="1592"/>
    </row>
    <row r="2535" spans="2:19" s="1593" customFormat="1" ht="11.25" customHeight="1" outlineLevel="1">
      <c r="B2535" s="1594">
        <v>10147</v>
      </c>
      <c r="C2535" s="1595" t="s">
        <v>5403</v>
      </c>
      <c r="D2535" s="1595" t="s">
        <v>11029</v>
      </c>
      <c r="E2535" s="1595"/>
      <c r="F2535" s="1595"/>
      <c r="G2535" s="1595"/>
      <c r="H2535" s="1596">
        <v>1</v>
      </c>
      <c r="I2535" s="1595"/>
      <c r="J2535" s="1595"/>
      <c r="K2535" s="1599">
        <v>211</v>
      </c>
      <c r="L2535" s="1599">
        <v>210.8</v>
      </c>
      <c r="M2535" s="1599">
        <v>-210.8</v>
      </c>
      <c r="N2535" s="1598"/>
      <c r="O2535" s="1598"/>
      <c r="P2535" s="1599">
        <v>210.8</v>
      </c>
      <c r="Q2535" s="1599">
        <v>-210.8</v>
      </c>
      <c r="R2535" s="1598"/>
      <c r="S2535" s="1592"/>
    </row>
    <row r="2536" spans="2:19" s="1593" customFormat="1" ht="11.25" customHeight="1" outlineLevel="1">
      <c r="B2536" s="1594">
        <v>10148</v>
      </c>
      <c r="C2536" s="1595" t="s">
        <v>5403</v>
      </c>
      <c r="D2536" s="1595" t="s">
        <v>11028</v>
      </c>
      <c r="E2536" s="1595"/>
      <c r="F2536" s="1595"/>
      <c r="G2536" s="1595"/>
      <c r="H2536" s="1596">
        <v>1</v>
      </c>
      <c r="I2536" s="1595"/>
      <c r="J2536" s="1595"/>
      <c r="K2536" s="1599">
        <v>730</v>
      </c>
      <c r="L2536" s="1599">
        <v>729.6</v>
      </c>
      <c r="M2536" s="1599">
        <v>-729.6</v>
      </c>
      <c r="N2536" s="1598"/>
      <c r="O2536" s="1598"/>
      <c r="P2536" s="1599">
        <v>729.6</v>
      </c>
      <c r="Q2536" s="1599">
        <v>-729.6</v>
      </c>
      <c r="R2536" s="1598"/>
      <c r="S2536" s="1592"/>
    </row>
    <row r="2537" spans="2:19" s="1593" customFormat="1" ht="11.25" customHeight="1" outlineLevel="1">
      <c r="B2537" s="1594">
        <v>10151</v>
      </c>
      <c r="C2537" s="1595" t="s">
        <v>5403</v>
      </c>
      <c r="D2537" s="1595" t="s">
        <v>11027</v>
      </c>
      <c r="E2537" s="1595"/>
      <c r="F2537" s="1595"/>
      <c r="G2537" s="1595"/>
      <c r="H2537" s="1596">
        <v>1</v>
      </c>
      <c r="I2537" s="1595"/>
      <c r="J2537" s="1595"/>
      <c r="K2537" s="1599">
        <v>122</v>
      </c>
      <c r="L2537" s="1599">
        <v>122.5</v>
      </c>
      <c r="M2537" s="1599">
        <v>-122.5</v>
      </c>
      <c r="N2537" s="1598"/>
      <c r="O2537" s="1598"/>
      <c r="P2537" s="1599">
        <v>122.5</v>
      </c>
      <c r="Q2537" s="1599">
        <v>-122.5</v>
      </c>
      <c r="R2537" s="1598"/>
      <c r="S2537" s="1592"/>
    </row>
    <row r="2538" spans="2:19" s="1593" customFormat="1" ht="11.25" customHeight="1" outlineLevel="1">
      <c r="B2538" s="1594">
        <v>10152</v>
      </c>
      <c r="C2538" s="1595" t="s">
        <v>5403</v>
      </c>
      <c r="D2538" s="1595" t="s">
        <v>11026</v>
      </c>
      <c r="E2538" s="1595"/>
      <c r="F2538" s="1595"/>
      <c r="G2538" s="1595"/>
      <c r="H2538" s="1596">
        <v>1</v>
      </c>
      <c r="I2538" s="1595"/>
      <c r="J2538" s="1595"/>
      <c r="K2538" s="1599">
        <v>70</v>
      </c>
      <c r="L2538" s="1599">
        <v>70</v>
      </c>
      <c r="M2538" s="1599">
        <v>-70</v>
      </c>
      <c r="N2538" s="1598"/>
      <c r="O2538" s="1598"/>
      <c r="P2538" s="1599">
        <v>70</v>
      </c>
      <c r="Q2538" s="1599">
        <v>-70</v>
      </c>
      <c r="R2538" s="1598"/>
      <c r="S2538" s="1592"/>
    </row>
    <row r="2539" spans="2:19" s="1593" customFormat="1" ht="11.25" customHeight="1" outlineLevel="1">
      <c r="B2539" s="1594">
        <v>10154</v>
      </c>
      <c r="C2539" s="1595" t="s">
        <v>5403</v>
      </c>
      <c r="D2539" s="1595" t="s">
        <v>11025</v>
      </c>
      <c r="E2539" s="1595"/>
      <c r="F2539" s="1595"/>
      <c r="G2539" s="1595" t="s">
        <v>11024</v>
      </c>
      <c r="H2539" s="1596">
        <v>1</v>
      </c>
      <c r="I2539" s="1595"/>
      <c r="J2539" s="1595"/>
      <c r="K2539" s="1597">
        <v>147307</v>
      </c>
      <c r="L2539" s="1597">
        <v>147307</v>
      </c>
      <c r="M2539" s="1598"/>
      <c r="N2539" s="1597">
        <v>147307</v>
      </c>
      <c r="O2539" s="1597">
        <v>21399.3</v>
      </c>
      <c r="P2539" s="1597">
        <v>121627.88</v>
      </c>
      <c r="Q2539" s="1597">
        <v>4279.82</v>
      </c>
      <c r="R2539" s="1597">
        <v>125907.7</v>
      </c>
      <c r="S2539" s="1592"/>
    </row>
    <row r="2540" spans="2:19" s="1593" customFormat="1" ht="11.25" customHeight="1" outlineLevel="1">
      <c r="B2540" s="1594">
        <v>10159</v>
      </c>
      <c r="C2540" s="1595" t="s">
        <v>5403</v>
      </c>
      <c r="D2540" s="1595" t="s">
        <v>11023</v>
      </c>
      <c r="E2540" s="1595"/>
      <c r="F2540" s="1595"/>
      <c r="G2540" s="1595"/>
      <c r="H2540" s="1596">
        <v>1</v>
      </c>
      <c r="I2540" s="1595"/>
      <c r="J2540" s="1595"/>
      <c r="K2540" s="1599">
        <v>70</v>
      </c>
      <c r="L2540" s="1599">
        <v>70</v>
      </c>
      <c r="M2540" s="1599">
        <v>-70</v>
      </c>
      <c r="N2540" s="1598"/>
      <c r="O2540" s="1598"/>
      <c r="P2540" s="1599">
        <v>70</v>
      </c>
      <c r="Q2540" s="1599">
        <v>-70</v>
      </c>
      <c r="R2540" s="1598"/>
      <c r="S2540" s="1592"/>
    </row>
    <row r="2541" spans="2:19" s="1593" customFormat="1" ht="11.25" customHeight="1" outlineLevel="1">
      <c r="B2541" s="1594">
        <v>10160</v>
      </c>
      <c r="C2541" s="1595" t="s">
        <v>5403</v>
      </c>
      <c r="D2541" s="1595" t="s">
        <v>11022</v>
      </c>
      <c r="E2541" s="1595"/>
      <c r="F2541" s="1595"/>
      <c r="G2541" s="1595"/>
      <c r="H2541" s="1596">
        <v>1</v>
      </c>
      <c r="I2541" s="1595"/>
      <c r="J2541" s="1595"/>
      <c r="K2541" s="1599">
        <v>70</v>
      </c>
      <c r="L2541" s="1599">
        <v>70</v>
      </c>
      <c r="M2541" s="1599">
        <v>-70</v>
      </c>
      <c r="N2541" s="1598"/>
      <c r="O2541" s="1598"/>
      <c r="P2541" s="1599">
        <v>70</v>
      </c>
      <c r="Q2541" s="1599">
        <v>-70</v>
      </c>
      <c r="R2541" s="1598"/>
      <c r="S2541" s="1592"/>
    </row>
    <row r="2542" spans="2:19" s="1593" customFormat="1" ht="11.25" customHeight="1" outlineLevel="1">
      <c r="B2542" s="1594">
        <v>10161</v>
      </c>
      <c r="C2542" s="1595" t="s">
        <v>5403</v>
      </c>
      <c r="D2542" s="1595" t="s">
        <v>11021</v>
      </c>
      <c r="E2542" s="1595"/>
      <c r="F2542" s="1595"/>
      <c r="G2542" s="1595"/>
      <c r="H2542" s="1596">
        <v>1</v>
      </c>
      <c r="I2542" s="1595"/>
      <c r="J2542" s="1595"/>
      <c r="K2542" s="1599">
        <v>70</v>
      </c>
      <c r="L2542" s="1599">
        <v>70</v>
      </c>
      <c r="M2542" s="1599">
        <v>-70</v>
      </c>
      <c r="N2542" s="1598"/>
      <c r="O2542" s="1598"/>
      <c r="P2542" s="1599">
        <v>70</v>
      </c>
      <c r="Q2542" s="1599">
        <v>-70</v>
      </c>
      <c r="R2542" s="1598"/>
      <c r="S2542" s="1592"/>
    </row>
    <row r="2543" spans="2:19" s="1593" customFormat="1" ht="11.25" customHeight="1" outlineLevel="1">
      <c r="B2543" s="1594">
        <v>10162</v>
      </c>
      <c r="C2543" s="1595" t="s">
        <v>5403</v>
      </c>
      <c r="D2543" s="1595" t="s">
        <v>11020</v>
      </c>
      <c r="E2543" s="1595"/>
      <c r="F2543" s="1595"/>
      <c r="G2543" s="1595" t="s">
        <v>3734</v>
      </c>
      <c r="H2543" s="1596">
        <v>3</v>
      </c>
      <c r="I2543" s="1595"/>
      <c r="J2543" s="1595"/>
      <c r="K2543" s="1597">
        <v>56566</v>
      </c>
      <c r="L2543" s="1597">
        <v>57789.73</v>
      </c>
      <c r="M2543" s="1598"/>
      <c r="N2543" s="1597">
        <v>57789.73</v>
      </c>
      <c r="O2543" s="1597">
        <v>5348.05</v>
      </c>
      <c r="P2543" s="1597">
        <v>50658.96</v>
      </c>
      <c r="Q2543" s="1597">
        <v>1782.72</v>
      </c>
      <c r="R2543" s="1597">
        <v>52441.68</v>
      </c>
      <c r="S2543" s="1592"/>
    </row>
    <row r="2544" spans="2:19" s="1593" customFormat="1" ht="11.25" customHeight="1" outlineLevel="1">
      <c r="B2544" s="1594">
        <v>10164</v>
      </c>
      <c r="C2544" s="1595" t="s">
        <v>5403</v>
      </c>
      <c r="D2544" s="1595" t="s">
        <v>11019</v>
      </c>
      <c r="E2544" s="1595"/>
      <c r="F2544" s="1595"/>
      <c r="G2544" s="1595" t="s">
        <v>11018</v>
      </c>
      <c r="H2544" s="1596">
        <v>1</v>
      </c>
      <c r="I2544" s="1595"/>
      <c r="J2544" s="1595"/>
      <c r="K2544" s="1597">
        <v>84142</v>
      </c>
      <c r="L2544" s="1597">
        <v>84142</v>
      </c>
      <c r="M2544" s="1598"/>
      <c r="N2544" s="1597">
        <v>84142</v>
      </c>
      <c r="O2544" s="1597">
        <v>12225.07</v>
      </c>
      <c r="P2544" s="1597">
        <v>69471.929999999993</v>
      </c>
      <c r="Q2544" s="1597">
        <v>2445</v>
      </c>
      <c r="R2544" s="1597">
        <v>71916.929999999993</v>
      </c>
      <c r="S2544" s="1592"/>
    </row>
    <row r="2545" spans="2:19" s="1593" customFormat="1" ht="11.25" customHeight="1" outlineLevel="1">
      <c r="B2545" s="1594">
        <v>10165</v>
      </c>
      <c r="C2545" s="1595" t="s">
        <v>5403</v>
      </c>
      <c r="D2545" s="1595" t="s">
        <v>11017</v>
      </c>
      <c r="E2545" s="1595"/>
      <c r="F2545" s="1595"/>
      <c r="G2545" s="1595"/>
      <c r="H2545" s="1596">
        <v>1</v>
      </c>
      <c r="I2545" s="1595"/>
      <c r="J2545" s="1595"/>
      <c r="K2545" s="1599">
        <v>173</v>
      </c>
      <c r="L2545" s="1599">
        <v>172.5</v>
      </c>
      <c r="M2545" s="1599">
        <v>-172.5</v>
      </c>
      <c r="N2545" s="1598"/>
      <c r="O2545" s="1598"/>
      <c r="P2545" s="1599">
        <v>172.5</v>
      </c>
      <c r="Q2545" s="1599">
        <v>-172.5</v>
      </c>
      <c r="R2545" s="1598"/>
      <c r="S2545" s="1592"/>
    </row>
    <row r="2546" spans="2:19" s="1593" customFormat="1" ht="11.25" customHeight="1" outlineLevel="1">
      <c r="B2546" s="1594">
        <v>10170</v>
      </c>
      <c r="C2546" s="1595" t="s">
        <v>5403</v>
      </c>
      <c r="D2546" s="1595" t="s">
        <v>11016</v>
      </c>
      <c r="E2546" s="1595"/>
      <c r="F2546" s="1595"/>
      <c r="G2546" s="1595"/>
      <c r="H2546" s="1596">
        <v>1</v>
      </c>
      <c r="I2546" s="1595"/>
      <c r="J2546" s="1595"/>
      <c r="K2546" s="1599">
        <v>122</v>
      </c>
      <c r="L2546" s="1599">
        <v>122.35</v>
      </c>
      <c r="M2546" s="1599">
        <v>-122.35</v>
      </c>
      <c r="N2546" s="1598"/>
      <c r="O2546" s="1598"/>
      <c r="P2546" s="1599">
        <v>122.35</v>
      </c>
      <c r="Q2546" s="1599">
        <v>-122.35</v>
      </c>
      <c r="R2546" s="1598"/>
      <c r="S2546" s="1592"/>
    </row>
    <row r="2547" spans="2:19" s="1593" customFormat="1" ht="11.25" customHeight="1" outlineLevel="1">
      <c r="B2547" s="1594">
        <v>10172</v>
      </c>
      <c r="C2547" s="1595" t="s">
        <v>5403</v>
      </c>
      <c r="D2547" s="1595" t="s">
        <v>11015</v>
      </c>
      <c r="E2547" s="1595"/>
      <c r="F2547" s="1595"/>
      <c r="G2547" s="1595"/>
      <c r="H2547" s="1596">
        <v>1</v>
      </c>
      <c r="I2547" s="1595"/>
      <c r="J2547" s="1595"/>
      <c r="K2547" s="1599">
        <v>68</v>
      </c>
      <c r="L2547" s="1599">
        <v>68</v>
      </c>
      <c r="M2547" s="1599">
        <v>-68</v>
      </c>
      <c r="N2547" s="1598"/>
      <c r="O2547" s="1598"/>
      <c r="P2547" s="1599">
        <v>68</v>
      </c>
      <c r="Q2547" s="1599">
        <v>-68</v>
      </c>
      <c r="R2547" s="1598"/>
      <c r="S2547" s="1592"/>
    </row>
    <row r="2548" spans="2:19" s="1593" customFormat="1" ht="11.25" customHeight="1" outlineLevel="1">
      <c r="B2548" s="1594">
        <v>10173</v>
      </c>
      <c r="C2548" s="1595" t="s">
        <v>5403</v>
      </c>
      <c r="D2548" s="1595" t="s">
        <v>11014</v>
      </c>
      <c r="E2548" s="1595"/>
      <c r="F2548" s="1595"/>
      <c r="G2548" s="1595"/>
      <c r="H2548" s="1596">
        <v>1</v>
      </c>
      <c r="I2548" s="1595"/>
      <c r="J2548" s="1595"/>
      <c r="K2548" s="1599">
        <v>51</v>
      </c>
      <c r="L2548" s="1599">
        <v>51</v>
      </c>
      <c r="M2548" s="1599">
        <v>-51</v>
      </c>
      <c r="N2548" s="1598"/>
      <c r="O2548" s="1598"/>
      <c r="P2548" s="1599">
        <v>51</v>
      </c>
      <c r="Q2548" s="1599">
        <v>-51</v>
      </c>
      <c r="R2548" s="1598"/>
      <c r="S2548" s="1592"/>
    </row>
    <row r="2549" spans="2:19" s="1593" customFormat="1" ht="11.25" customHeight="1" outlineLevel="1">
      <c r="B2549" s="1594">
        <v>10175</v>
      </c>
      <c r="C2549" s="1595" t="s">
        <v>5403</v>
      </c>
      <c r="D2549" s="1595" t="s">
        <v>11013</v>
      </c>
      <c r="E2549" s="1595"/>
      <c r="F2549" s="1595"/>
      <c r="G2549" s="1595" t="s">
        <v>11012</v>
      </c>
      <c r="H2549" s="1596">
        <v>1</v>
      </c>
      <c r="I2549" s="1595"/>
      <c r="J2549" s="1595"/>
      <c r="K2549" s="1597">
        <v>149235</v>
      </c>
      <c r="L2549" s="1597">
        <v>676465.56</v>
      </c>
      <c r="M2549" s="1598"/>
      <c r="N2549" s="1597">
        <v>676465.56</v>
      </c>
      <c r="O2549" s="1597">
        <v>493304.92</v>
      </c>
      <c r="P2549" s="1597">
        <v>162094.28</v>
      </c>
      <c r="Q2549" s="1597">
        <v>21066.36</v>
      </c>
      <c r="R2549" s="1597">
        <v>183160.64</v>
      </c>
      <c r="S2549" s="1592"/>
    </row>
    <row r="2550" spans="2:19" s="1593" customFormat="1" ht="11.25" customHeight="1" outlineLevel="1">
      <c r="B2550" s="1594">
        <v>10181</v>
      </c>
      <c r="C2550" s="1595" t="s">
        <v>5403</v>
      </c>
      <c r="D2550" s="1595" t="s">
        <v>11011</v>
      </c>
      <c r="E2550" s="1595"/>
      <c r="F2550" s="1595"/>
      <c r="G2550" s="1595"/>
      <c r="H2550" s="1596">
        <v>1</v>
      </c>
      <c r="I2550" s="1595"/>
      <c r="J2550" s="1595"/>
      <c r="K2550" s="1599">
        <v>122</v>
      </c>
      <c r="L2550" s="1599">
        <v>122</v>
      </c>
      <c r="M2550" s="1599">
        <v>-122</v>
      </c>
      <c r="N2550" s="1598"/>
      <c r="O2550" s="1598"/>
      <c r="P2550" s="1599">
        <v>122</v>
      </c>
      <c r="Q2550" s="1599">
        <v>-122</v>
      </c>
      <c r="R2550" s="1598"/>
      <c r="S2550" s="1592"/>
    </row>
    <row r="2551" spans="2:19" s="1593" customFormat="1" ht="11.25" customHeight="1" outlineLevel="1">
      <c r="B2551" s="1594">
        <v>10185</v>
      </c>
      <c r="C2551" s="1595" t="s">
        <v>5403</v>
      </c>
      <c r="D2551" s="1595" t="s">
        <v>11010</v>
      </c>
      <c r="E2551" s="1595"/>
      <c r="F2551" s="1595"/>
      <c r="G2551" s="1595" t="s">
        <v>11009</v>
      </c>
      <c r="H2551" s="1596">
        <v>1</v>
      </c>
      <c r="I2551" s="1595"/>
      <c r="J2551" s="1595"/>
      <c r="K2551" s="1597">
        <v>17394</v>
      </c>
      <c r="L2551" s="1597">
        <v>17394</v>
      </c>
      <c r="M2551" s="1598"/>
      <c r="N2551" s="1597">
        <v>17394</v>
      </c>
      <c r="O2551" s="1597">
        <v>2525.88</v>
      </c>
      <c r="P2551" s="1597">
        <v>14362.92</v>
      </c>
      <c r="Q2551" s="1599">
        <v>505.2</v>
      </c>
      <c r="R2551" s="1597">
        <v>14868.12</v>
      </c>
      <c r="S2551" s="1592"/>
    </row>
    <row r="2552" spans="2:19" s="1593" customFormat="1" ht="11.25" customHeight="1" outlineLevel="1">
      <c r="B2552" s="1594">
        <v>10186</v>
      </c>
      <c r="C2552" s="1595" t="s">
        <v>5403</v>
      </c>
      <c r="D2552" s="1595" t="s">
        <v>11008</v>
      </c>
      <c r="E2552" s="1595"/>
      <c r="F2552" s="1595"/>
      <c r="G2552" s="1595"/>
      <c r="H2552" s="1596">
        <v>1</v>
      </c>
      <c r="I2552" s="1595"/>
      <c r="J2552" s="1595"/>
      <c r="K2552" s="1599">
        <v>68</v>
      </c>
      <c r="L2552" s="1599">
        <v>68</v>
      </c>
      <c r="M2552" s="1599">
        <v>-68</v>
      </c>
      <c r="N2552" s="1598"/>
      <c r="O2552" s="1598"/>
      <c r="P2552" s="1599">
        <v>68</v>
      </c>
      <c r="Q2552" s="1599">
        <v>-68</v>
      </c>
      <c r="R2552" s="1598"/>
      <c r="S2552" s="1592"/>
    </row>
    <row r="2553" spans="2:19" s="1593" customFormat="1" ht="11.25" customHeight="1" outlineLevel="1">
      <c r="B2553" s="1594">
        <v>10187</v>
      </c>
      <c r="C2553" s="1595" t="s">
        <v>5403</v>
      </c>
      <c r="D2553" s="1595" t="s">
        <v>11007</v>
      </c>
      <c r="E2553" s="1595"/>
      <c r="F2553" s="1595"/>
      <c r="G2553" s="1595"/>
      <c r="H2553" s="1596">
        <v>1</v>
      </c>
      <c r="I2553" s="1595"/>
      <c r="J2553" s="1595"/>
      <c r="K2553" s="1599">
        <v>122</v>
      </c>
      <c r="L2553" s="1599">
        <v>122</v>
      </c>
      <c r="M2553" s="1599">
        <v>-122</v>
      </c>
      <c r="N2553" s="1598"/>
      <c r="O2553" s="1598"/>
      <c r="P2553" s="1599">
        <v>122</v>
      </c>
      <c r="Q2553" s="1599">
        <v>-122</v>
      </c>
      <c r="R2553" s="1598"/>
      <c r="S2553" s="1592"/>
    </row>
    <row r="2554" spans="2:19" s="1593" customFormat="1" ht="11.25" customHeight="1" outlineLevel="1">
      <c r="B2554" s="1594">
        <v>10189</v>
      </c>
      <c r="C2554" s="1595" t="s">
        <v>5403</v>
      </c>
      <c r="D2554" s="1595" t="s">
        <v>11006</v>
      </c>
      <c r="E2554" s="1595"/>
      <c r="F2554" s="1595"/>
      <c r="G2554" s="1595" t="s">
        <v>3734</v>
      </c>
      <c r="H2554" s="1596">
        <v>1</v>
      </c>
      <c r="I2554" s="1595"/>
      <c r="J2554" s="1595"/>
      <c r="K2554" s="1597">
        <v>17394</v>
      </c>
      <c r="L2554" s="1597">
        <v>17394</v>
      </c>
      <c r="M2554" s="1598"/>
      <c r="N2554" s="1597">
        <v>17394</v>
      </c>
      <c r="O2554" s="1597">
        <v>2525.88</v>
      </c>
      <c r="P2554" s="1597">
        <v>14362.92</v>
      </c>
      <c r="Q2554" s="1599">
        <v>505.2</v>
      </c>
      <c r="R2554" s="1597">
        <v>14868.12</v>
      </c>
      <c r="S2554" s="1592"/>
    </row>
    <row r="2555" spans="2:19" s="1593" customFormat="1" ht="11.25" customHeight="1" outlineLevel="1">
      <c r="B2555" s="1594">
        <v>10190</v>
      </c>
      <c r="C2555" s="1595" t="s">
        <v>5403</v>
      </c>
      <c r="D2555" s="1595" t="s">
        <v>11005</v>
      </c>
      <c r="E2555" s="1595"/>
      <c r="F2555" s="1595"/>
      <c r="G2555" s="1595"/>
      <c r="H2555" s="1596">
        <v>1</v>
      </c>
      <c r="I2555" s="1595"/>
      <c r="J2555" s="1595"/>
      <c r="K2555" s="1599">
        <v>68</v>
      </c>
      <c r="L2555" s="1599">
        <v>68</v>
      </c>
      <c r="M2555" s="1599">
        <v>-68</v>
      </c>
      <c r="N2555" s="1598"/>
      <c r="O2555" s="1598"/>
      <c r="P2555" s="1599">
        <v>68</v>
      </c>
      <c r="Q2555" s="1599">
        <v>-68</v>
      </c>
      <c r="R2555" s="1598"/>
      <c r="S2555" s="1592"/>
    </row>
    <row r="2556" spans="2:19" s="1593" customFormat="1" ht="11.25" customHeight="1" outlineLevel="1">
      <c r="B2556" s="1594">
        <v>10192</v>
      </c>
      <c r="C2556" s="1595" t="s">
        <v>5403</v>
      </c>
      <c r="D2556" s="1595" t="s">
        <v>11004</v>
      </c>
      <c r="E2556" s="1595"/>
      <c r="F2556" s="1595"/>
      <c r="G2556" s="1595" t="s">
        <v>3734</v>
      </c>
      <c r="H2556" s="1596">
        <v>1</v>
      </c>
      <c r="I2556" s="1595"/>
      <c r="J2556" s="1595"/>
      <c r="K2556" s="1597">
        <v>17394</v>
      </c>
      <c r="L2556" s="1597">
        <v>17394</v>
      </c>
      <c r="M2556" s="1598"/>
      <c r="N2556" s="1597">
        <v>17394</v>
      </c>
      <c r="O2556" s="1597">
        <v>2525.88</v>
      </c>
      <c r="P2556" s="1597">
        <v>14362.92</v>
      </c>
      <c r="Q2556" s="1599">
        <v>505.2</v>
      </c>
      <c r="R2556" s="1597">
        <v>14868.12</v>
      </c>
      <c r="S2556" s="1592"/>
    </row>
    <row r="2557" spans="2:19" s="1593" customFormat="1" ht="11.25" customHeight="1" outlineLevel="1">
      <c r="B2557" s="1594">
        <v>10193</v>
      </c>
      <c r="C2557" s="1595" t="s">
        <v>5403</v>
      </c>
      <c r="D2557" s="1595" t="s">
        <v>11003</v>
      </c>
      <c r="E2557" s="1595"/>
      <c r="F2557" s="1595"/>
      <c r="G2557" s="1595"/>
      <c r="H2557" s="1596">
        <v>1</v>
      </c>
      <c r="I2557" s="1595"/>
      <c r="J2557" s="1595"/>
      <c r="K2557" s="1599">
        <v>68</v>
      </c>
      <c r="L2557" s="1599">
        <v>68</v>
      </c>
      <c r="M2557" s="1599">
        <v>-68</v>
      </c>
      <c r="N2557" s="1598"/>
      <c r="O2557" s="1598"/>
      <c r="P2557" s="1599">
        <v>68</v>
      </c>
      <c r="Q2557" s="1599">
        <v>-68</v>
      </c>
      <c r="R2557" s="1598"/>
      <c r="S2557" s="1592"/>
    </row>
    <row r="2558" spans="2:19" s="1593" customFormat="1" ht="11.25" customHeight="1" outlineLevel="1">
      <c r="B2558" s="1594">
        <v>10198</v>
      </c>
      <c r="C2558" s="1595" t="s">
        <v>5403</v>
      </c>
      <c r="D2558" s="1595" t="s">
        <v>11002</v>
      </c>
      <c r="E2558" s="1595"/>
      <c r="F2558" s="1595"/>
      <c r="G2558" s="1595" t="s">
        <v>3734</v>
      </c>
      <c r="H2558" s="1596">
        <v>1</v>
      </c>
      <c r="I2558" s="1595"/>
      <c r="J2558" s="1595"/>
      <c r="K2558" s="1597">
        <v>14795</v>
      </c>
      <c r="L2558" s="1597">
        <v>14795</v>
      </c>
      <c r="M2558" s="1598"/>
      <c r="N2558" s="1597">
        <v>14795</v>
      </c>
      <c r="O2558" s="1597">
        <v>2150.3000000000002</v>
      </c>
      <c r="P2558" s="1597">
        <v>12214.62</v>
      </c>
      <c r="Q2558" s="1599">
        <v>430.08</v>
      </c>
      <c r="R2558" s="1597">
        <v>12644.7</v>
      </c>
      <c r="S2558" s="1592"/>
    </row>
    <row r="2559" spans="2:19" s="1593" customFormat="1" ht="21.75" customHeight="1" outlineLevel="1">
      <c r="B2559" s="1594">
        <v>10199</v>
      </c>
      <c r="C2559" s="1595" t="s">
        <v>5403</v>
      </c>
      <c r="D2559" s="1595" t="s">
        <v>11001</v>
      </c>
      <c r="E2559" s="1595"/>
      <c r="F2559" s="1595"/>
      <c r="G2559" s="1595" t="s">
        <v>3734</v>
      </c>
      <c r="H2559" s="1596">
        <v>1</v>
      </c>
      <c r="I2559" s="1595"/>
      <c r="J2559" s="1595"/>
      <c r="K2559" s="1597">
        <v>17394</v>
      </c>
      <c r="L2559" s="1597">
        <v>17394</v>
      </c>
      <c r="M2559" s="1598"/>
      <c r="N2559" s="1597">
        <v>17394</v>
      </c>
      <c r="O2559" s="1597">
        <v>3344.46</v>
      </c>
      <c r="P2559" s="1597">
        <v>13571.8</v>
      </c>
      <c r="Q2559" s="1599">
        <v>477.74</v>
      </c>
      <c r="R2559" s="1597">
        <v>14049.54</v>
      </c>
      <c r="S2559" s="1592"/>
    </row>
    <row r="2560" spans="2:19" s="1593" customFormat="1" ht="11.25" customHeight="1" outlineLevel="1">
      <c r="B2560" s="1594">
        <v>10205</v>
      </c>
      <c r="C2560" s="1595" t="s">
        <v>5403</v>
      </c>
      <c r="D2560" s="1595" t="s">
        <v>11000</v>
      </c>
      <c r="E2560" s="1595"/>
      <c r="F2560" s="1595"/>
      <c r="G2560" s="1595" t="s">
        <v>3734</v>
      </c>
      <c r="H2560" s="1596">
        <v>1</v>
      </c>
      <c r="I2560" s="1595"/>
      <c r="J2560" s="1595"/>
      <c r="K2560" s="1597">
        <v>17394</v>
      </c>
      <c r="L2560" s="1597">
        <v>17394</v>
      </c>
      <c r="M2560" s="1598"/>
      <c r="N2560" s="1597">
        <v>17394</v>
      </c>
      <c r="O2560" s="1597">
        <v>3344.46</v>
      </c>
      <c r="P2560" s="1597">
        <v>13571.8</v>
      </c>
      <c r="Q2560" s="1599">
        <v>477.74</v>
      </c>
      <c r="R2560" s="1597">
        <v>14049.54</v>
      </c>
      <c r="S2560" s="1592"/>
    </row>
    <row r="2561" spans="2:19" s="1593" customFormat="1" ht="11.25" customHeight="1" outlineLevel="1">
      <c r="B2561" s="1594">
        <v>10206</v>
      </c>
      <c r="C2561" s="1595" t="s">
        <v>5403</v>
      </c>
      <c r="D2561" s="1595" t="s">
        <v>10999</v>
      </c>
      <c r="E2561" s="1595"/>
      <c r="F2561" s="1595"/>
      <c r="G2561" s="1595"/>
      <c r="H2561" s="1596">
        <v>1</v>
      </c>
      <c r="I2561" s="1595"/>
      <c r="J2561" s="1595"/>
      <c r="K2561" s="1599">
        <v>122</v>
      </c>
      <c r="L2561" s="1599">
        <v>122.5</v>
      </c>
      <c r="M2561" s="1599">
        <v>-122.5</v>
      </c>
      <c r="N2561" s="1598"/>
      <c r="O2561" s="1598"/>
      <c r="P2561" s="1599">
        <v>122.5</v>
      </c>
      <c r="Q2561" s="1599">
        <v>-122.5</v>
      </c>
      <c r="R2561" s="1598"/>
      <c r="S2561" s="1592"/>
    </row>
    <row r="2562" spans="2:19" s="1593" customFormat="1" ht="11.25" customHeight="1" outlineLevel="1">
      <c r="B2562" s="1594">
        <v>10210</v>
      </c>
      <c r="C2562" s="1595" t="s">
        <v>5403</v>
      </c>
      <c r="D2562" s="1595" t="s">
        <v>10998</v>
      </c>
      <c r="E2562" s="1595"/>
      <c r="F2562" s="1595"/>
      <c r="G2562" s="1595" t="s">
        <v>3734</v>
      </c>
      <c r="H2562" s="1596">
        <v>1</v>
      </c>
      <c r="I2562" s="1595"/>
      <c r="J2562" s="1595"/>
      <c r="K2562" s="1597">
        <v>6329</v>
      </c>
      <c r="L2562" s="1597">
        <v>6329</v>
      </c>
      <c r="M2562" s="1598"/>
      <c r="N2562" s="1597">
        <v>6329</v>
      </c>
      <c r="O2562" s="1599">
        <v>920.7</v>
      </c>
      <c r="P2562" s="1597">
        <v>5224.12</v>
      </c>
      <c r="Q2562" s="1599">
        <v>184.18</v>
      </c>
      <c r="R2562" s="1597">
        <v>5408.3</v>
      </c>
      <c r="S2562" s="1592"/>
    </row>
    <row r="2563" spans="2:19" s="1593" customFormat="1" ht="11.25" customHeight="1" outlineLevel="1">
      <c r="B2563" s="1594">
        <v>10211</v>
      </c>
      <c r="C2563" s="1595" t="s">
        <v>5403</v>
      </c>
      <c r="D2563" s="1595" t="s">
        <v>10997</v>
      </c>
      <c r="E2563" s="1595"/>
      <c r="F2563" s="1595"/>
      <c r="G2563" s="1595" t="s">
        <v>3734</v>
      </c>
      <c r="H2563" s="1596">
        <v>1</v>
      </c>
      <c r="I2563" s="1595"/>
      <c r="J2563" s="1595"/>
      <c r="K2563" s="1597">
        <v>21742</v>
      </c>
      <c r="L2563" s="1597">
        <v>21742</v>
      </c>
      <c r="M2563" s="1598"/>
      <c r="N2563" s="1597">
        <v>21742</v>
      </c>
      <c r="O2563" s="1597">
        <v>3159.84</v>
      </c>
      <c r="P2563" s="1597">
        <v>17950.240000000002</v>
      </c>
      <c r="Q2563" s="1599">
        <v>631.91999999999996</v>
      </c>
      <c r="R2563" s="1597">
        <v>18582.16</v>
      </c>
      <c r="S2563" s="1592"/>
    </row>
    <row r="2564" spans="2:19" s="1593" customFormat="1" ht="11.25" customHeight="1" outlineLevel="1">
      <c r="B2564" s="1594">
        <v>10217</v>
      </c>
      <c r="C2564" s="1595" t="s">
        <v>5403</v>
      </c>
      <c r="D2564" s="1595" t="s">
        <v>10996</v>
      </c>
      <c r="E2564" s="1595"/>
      <c r="F2564" s="1595"/>
      <c r="G2564" s="1595" t="s">
        <v>3734</v>
      </c>
      <c r="H2564" s="1596">
        <v>1</v>
      </c>
      <c r="I2564" s="1595"/>
      <c r="J2564" s="1595"/>
      <c r="K2564" s="1597">
        <v>21742</v>
      </c>
      <c r="L2564" s="1597">
        <v>21742</v>
      </c>
      <c r="M2564" s="1598"/>
      <c r="N2564" s="1597">
        <v>21742</v>
      </c>
      <c r="O2564" s="1597">
        <v>3159.84</v>
      </c>
      <c r="P2564" s="1597">
        <v>17950.240000000002</v>
      </c>
      <c r="Q2564" s="1599">
        <v>631.91999999999996</v>
      </c>
      <c r="R2564" s="1597">
        <v>18582.16</v>
      </c>
      <c r="S2564" s="1592"/>
    </row>
    <row r="2565" spans="2:19" s="1593" customFormat="1" ht="11.25" customHeight="1" outlineLevel="1">
      <c r="B2565" s="1594">
        <v>10219</v>
      </c>
      <c r="C2565" s="1595" t="s">
        <v>5403</v>
      </c>
      <c r="D2565" s="1595" t="s">
        <v>10995</v>
      </c>
      <c r="E2565" s="1595"/>
      <c r="F2565" s="1595"/>
      <c r="G2565" s="1595"/>
      <c r="H2565" s="1596">
        <v>1</v>
      </c>
      <c r="I2565" s="1595"/>
      <c r="J2565" s="1595"/>
      <c r="K2565" s="1599">
        <v>122</v>
      </c>
      <c r="L2565" s="1599">
        <v>122</v>
      </c>
      <c r="M2565" s="1599">
        <v>-122</v>
      </c>
      <c r="N2565" s="1598"/>
      <c r="O2565" s="1598"/>
      <c r="P2565" s="1599">
        <v>122</v>
      </c>
      <c r="Q2565" s="1599">
        <v>-122</v>
      </c>
      <c r="R2565" s="1598"/>
      <c r="S2565" s="1592"/>
    </row>
    <row r="2566" spans="2:19" s="1593" customFormat="1" ht="11.25" customHeight="1" outlineLevel="1">
      <c r="B2566" s="1594">
        <v>10222</v>
      </c>
      <c r="C2566" s="1595" t="s">
        <v>5403</v>
      </c>
      <c r="D2566" s="1595" t="s">
        <v>10994</v>
      </c>
      <c r="E2566" s="1595"/>
      <c r="F2566" s="1595"/>
      <c r="G2566" s="1595"/>
      <c r="H2566" s="1596">
        <v>1</v>
      </c>
      <c r="I2566" s="1595"/>
      <c r="J2566" s="1595"/>
      <c r="K2566" s="1599">
        <v>92</v>
      </c>
      <c r="L2566" s="1599">
        <v>92</v>
      </c>
      <c r="M2566" s="1599">
        <v>-92</v>
      </c>
      <c r="N2566" s="1598"/>
      <c r="O2566" s="1598"/>
      <c r="P2566" s="1599">
        <v>92</v>
      </c>
      <c r="Q2566" s="1599">
        <v>-92</v>
      </c>
      <c r="R2566" s="1598"/>
      <c r="S2566" s="1592"/>
    </row>
    <row r="2567" spans="2:19" s="1593" customFormat="1" ht="11.25" customHeight="1" outlineLevel="1">
      <c r="B2567" s="1594">
        <v>10224</v>
      </c>
      <c r="C2567" s="1595" t="s">
        <v>5403</v>
      </c>
      <c r="D2567" s="1595" t="s">
        <v>10993</v>
      </c>
      <c r="E2567" s="1595"/>
      <c r="F2567" s="1595"/>
      <c r="G2567" s="1595"/>
      <c r="H2567" s="1596">
        <v>1</v>
      </c>
      <c r="I2567" s="1595"/>
      <c r="J2567" s="1595"/>
      <c r="K2567" s="1599">
        <v>68</v>
      </c>
      <c r="L2567" s="1599">
        <v>68</v>
      </c>
      <c r="M2567" s="1599">
        <v>-68</v>
      </c>
      <c r="N2567" s="1598"/>
      <c r="O2567" s="1598"/>
      <c r="P2567" s="1599">
        <v>68</v>
      </c>
      <c r="Q2567" s="1599">
        <v>-68</v>
      </c>
      <c r="R2567" s="1598"/>
      <c r="S2567" s="1592"/>
    </row>
    <row r="2568" spans="2:19" s="1593" customFormat="1" ht="11.25" customHeight="1" outlineLevel="1">
      <c r="B2568" s="1594">
        <v>10225</v>
      </c>
      <c r="C2568" s="1595" t="s">
        <v>5403</v>
      </c>
      <c r="D2568" s="1595" t="s">
        <v>10992</v>
      </c>
      <c r="E2568" s="1595"/>
      <c r="F2568" s="1595"/>
      <c r="G2568" s="1595"/>
      <c r="H2568" s="1596">
        <v>1</v>
      </c>
      <c r="I2568" s="1595"/>
      <c r="J2568" s="1595"/>
      <c r="K2568" s="1599">
        <v>122</v>
      </c>
      <c r="L2568" s="1599">
        <v>122</v>
      </c>
      <c r="M2568" s="1599">
        <v>-122</v>
      </c>
      <c r="N2568" s="1598"/>
      <c r="O2568" s="1598"/>
      <c r="P2568" s="1599">
        <v>122</v>
      </c>
      <c r="Q2568" s="1599">
        <v>-122</v>
      </c>
      <c r="R2568" s="1598"/>
      <c r="S2568" s="1592"/>
    </row>
    <row r="2569" spans="2:19" s="1593" customFormat="1" ht="11.25" customHeight="1" outlineLevel="1">
      <c r="B2569" s="1594">
        <v>10228</v>
      </c>
      <c r="C2569" s="1595" t="s">
        <v>5403</v>
      </c>
      <c r="D2569" s="1595" t="s">
        <v>10991</v>
      </c>
      <c r="E2569" s="1595"/>
      <c r="F2569" s="1595"/>
      <c r="G2569" s="1595"/>
      <c r="H2569" s="1596">
        <v>1</v>
      </c>
      <c r="I2569" s="1595"/>
      <c r="J2569" s="1595"/>
      <c r="K2569" s="1599">
        <v>92</v>
      </c>
      <c r="L2569" s="1599">
        <v>92</v>
      </c>
      <c r="M2569" s="1599">
        <v>-92</v>
      </c>
      <c r="N2569" s="1598"/>
      <c r="O2569" s="1598"/>
      <c r="P2569" s="1599">
        <v>92</v>
      </c>
      <c r="Q2569" s="1599">
        <v>-92</v>
      </c>
      <c r="R2569" s="1598"/>
      <c r="S2569" s="1592"/>
    </row>
    <row r="2570" spans="2:19" s="1593" customFormat="1" ht="11.25" customHeight="1" outlineLevel="1">
      <c r="B2570" s="1594">
        <v>10230</v>
      </c>
      <c r="C2570" s="1595" t="s">
        <v>5403</v>
      </c>
      <c r="D2570" s="1595" t="s">
        <v>10990</v>
      </c>
      <c r="E2570" s="1595"/>
      <c r="F2570" s="1595"/>
      <c r="G2570" s="1595"/>
      <c r="H2570" s="1596">
        <v>1</v>
      </c>
      <c r="I2570" s="1595"/>
      <c r="J2570" s="1595"/>
      <c r="K2570" s="1597">
        <v>8683</v>
      </c>
      <c r="L2570" s="1597">
        <v>8683</v>
      </c>
      <c r="M2570" s="1597">
        <v>-8683</v>
      </c>
      <c r="N2570" s="1598"/>
      <c r="O2570" s="1598"/>
      <c r="P2570" s="1597">
        <v>8683</v>
      </c>
      <c r="Q2570" s="1597">
        <v>-8683</v>
      </c>
      <c r="R2570" s="1598"/>
      <c r="S2570" s="1592"/>
    </row>
    <row r="2571" spans="2:19" s="1593" customFormat="1" ht="11.25" customHeight="1" outlineLevel="1">
      <c r="B2571" s="1594">
        <v>10231</v>
      </c>
      <c r="C2571" s="1595" t="s">
        <v>5403</v>
      </c>
      <c r="D2571" s="1595" t="s">
        <v>10989</v>
      </c>
      <c r="E2571" s="1595"/>
      <c r="F2571" s="1595"/>
      <c r="G2571" s="1595" t="s">
        <v>3596</v>
      </c>
      <c r="H2571" s="1596">
        <v>1</v>
      </c>
      <c r="I2571" s="1595"/>
      <c r="J2571" s="1595"/>
      <c r="K2571" s="1597">
        <v>317184</v>
      </c>
      <c r="L2571" s="1597">
        <v>317184</v>
      </c>
      <c r="M2571" s="1598"/>
      <c r="N2571" s="1597">
        <v>317184</v>
      </c>
      <c r="O2571" s="1597">
        <v>20191.34</v>
      </c>
      <c r="P2571" s="1597">
        <v>286896.94</v>
      </c>
      <c r="Q2571" s="1597">
        <v>10095.719999999999</v>
      </c>
      <c r="R2571" s="1597">
        <v>296992.65999999997</v>
      </c>
      <c r="S2571" s="1592"/>
    </row>
    <row r="2572" spans="2:19" s="1593" customFormat="1" ht="11.25" customHeight="1" outlineLevel="1">
      <c r="B2572" s="1594">
        <v>10232</v>
      </c>
      <c r="C2572" s="1595" t="s">
        <v>5403</v>
      </c>
      <c r="D2572" s="1595" t="s">
        <v>10988</v>
      </c>
      <c r="E2572" s="1595"/>
      <c r="F2572" s="1595"/>
      <c r="G2572" s="1595" t="s">
        <v>3734</v>
      </c>
      <c r="H2572" s="1596">
        <v>1</v>
      </c>
      <c r="I2572" s="1595"/>
      <c r="J2572" s="1595"/>
      <c r="K2572" s="1597">
        <v>14795</v>
      </c>
      <c r="L2572" s="1597">
        <v>14795</v>
      </c>
      <c r="M2572" s="1598"/>
      <c r="N2572" s="1597">
        <v>14795</v>
      </c>
      <c r="O2572" s="1597">
        <v>2150.3000000000002</v>
      </c>
      <c r="P2572" s="1597">
        <v>12214.62</v>
      </c>
      <c r="Q2572" s="1599">
        <v>430.08</v>
      </c>
      <c r="R2572" s="1597">
        <v>12644.7</v>
      </c>
      <c r="S2572" s="1592"/>
    </row>
    <row r="2573" spans="2:19" s="1593" customFormat="1" ht="11.25" customHeight="1" outlineLevel="1">
      <c r="B2573" s="1594">
        <v>10233</v>
      </c>
      <c r="C2573" s="1595" t="s">
        <v>5403</v>
      </c>
      <c r="D2573" s="1595" t="s">
        <v>10987</v>
      </c>
      <c r="E2573" s="1595"/>
      <c r="F2573" s="1595"/>
      <c r="G2573" s="1595" t="s">
        <v>3734</v>
      </c>
      <c r="H2573" s="1596">
        <v>1</v>
      </c>
      <c r="I2573" s="1595"/>
      <c r="J2573" s="1595"/>
      <c r="K2573" s="1597">
        <v>21742</v>
      </c>
      <c r="L2573" s="1597">
        <v>21742</v>
      </c>
      <c r="M2573" s="1598"/>
      <c r="N2573" s="1597">
        <v>21742</v>
      </c>
      <c r="O2573" s="1597">
        <v>3159.84</v>
      </c>
      <c r="P2573" s="1597">
        <v>17950.240000000002</v>
      </c>
      <c r="Q2573" s="1599">
        <v>631.91999999999996</v>
      </c>
      <c r="R2573" s="1597">
        <v>18582.16</v>
      </c>
      <c r="S2573" s="1592"/>
    </row>
    <row r="2574" spans="2:19" s="1593" customFormat="1" ht="11.25" customHeight="1" outlineLevel="1">
      <c r="B2574" s="1594">
        <v>10234</v>
      </c>
      <c r="C2574" s="1595" t="s">
        <v>5403</v>
      </c>
      <c r="D2574" s="1595" t="s">
        <v>10986</v>
      </c>
      <c r="E2574" s="1595"/>
      <c r="F2574" s="1595"/>
      <c r="G2574" s="1595"/>
      <c r="H2574" s="1596">
        <v>1</v>
      </c>
      <c r="I2574" s="1595"/>
      <c r="J2574" s="1595"/>
      <c r="K2574" s="1599">
        <v>68</v>
      </c>
      <c r="L2574" s="1599">
        <v>68</v>
      </c>
      <c r="M2574" s="1599">
        <v>-68</v>
      </c>
      <c r="N2574" s="1598"/>
      <c r="O2574" s="1598"/>
      <c r="P2574" s="1599">
        <v>68</v>
      </c>
      <c r="Q2574" s="1599">
        <v>-68</v>
      </c>
      <c r="R2574" s="1598"/>
      <c r="S2574" s="1592"/>
    </row>
    <row r="2575" spans="2:19" s="1593" customFormat="1" ht="11.25" customHeight="1" outlineLevel="1">
      <c r="B2575" s="1594">
        <v>10235</v>
      </c>
      <c r="C2575" s="1595" t="s">
        <v>5403</v>
      </c>
      <c r="D2575" s="1595" t="s">
        <v>10985</v>
      </c>
      <c r="E2575" s="1595"/>
      <c r="F2575" s="1595"/>
      <c r="G2575" s="1595"/>
      <c r="H2575" s="1596">
        <v>1</v>
      </c>
      <c r="I2575" s="1595"/>
      <c r="J2575" s="1595"/>
      <c r="K2575" s="1599">
        <v>122</v>
      </c>
      <c r="L2575" s="1599">
        <v>122</v>
      </c>
      <c r="M2575" s="1599">
        <v>-122</v>
      </c>
      <c r="N2575" s="1598"/>
      <c r="O2575" s="1598"/>
      <c r="P2575" s="1599">
        <v>122</v>
      </c>
      <c r="Q2575" s="1599">
        <v>-122</v>
      </c>
      <c r="R2575" s="1598"/>
      <c r="S2575" s="1592"/>
    </row>
    <row r="2576" spans="2:19" s="1593" customFormat="1" ht="11.25" customHeight="1" outlineLevel="1">
      <c r="B2576" s="1594">
        <v>10238</v>
      </c>
      <c r="C2576" s="1595" t="s">
        <v>5403</v>
      </c>
      <c r="D2576" s="1595" t="s">
        <v>10984</v>
      </c>
      <c r="E2576" s="1595"/>
      <c r="F2576" s="1595"/>
      <c r="G2576" s="1595" t="s">
        <v>3734</v>
      </c>
      <c r="H2576" s="1596">
        <v>1</v>
      </c>
      <c r="I2576" s="1595"/>
      <c r="J2576" s="1595"/>
      <c r="K2576" s="1597">
        <v>21742</v>
      </c>
      <c r="L2576" s="1597">
        <v>21742</v>
      </c>
      <c r="M2576" s="1598"/>
      <c r="N2576" s="1597">
        <v>21742</v>
      </c>
      <c r="O2576" s="1597">
        <v>3159.84</v>
      </c>
      <c r="P2576" s="1597">
        <v>17950.240000000002</v>
      </c>
      <c r="Q2576" s="1599">
        <v>631.91999999999996</v>
      </c>
      <c r="R2576" s="1597">
        <v>18582.16</v>
      </c>
      <c r="S2576" s="1592"/>
    </row>
    <row r="2577" spans="2:19" s="1593" customFormat="1" ht="11.25" customHeight="1" outlineLevel="1">
      <c r="B2577" s="1594">
        <v>10239</v>
      </c>
      <c r="C2577" s="1595" t="s">
        <v>5403</v>
      </c>
      <c r="D2577" s="1595" t="s">
        <v>10983</v>
      </c>
      <c r="E2577" s="1595"/>
      <c r="F2577" s="1595"/>
      <c r="G2577" s="1595"/>
      <c r="H2577" s="1596">
        <v>1</v>
      </c>
      <c r="I2577" s="1595"/>
      <c r="J2577" s="1595"/>
      <c r="K2577" s="1599">
        <v>68</v>
      </c>
      <c r="L2577" s="1599">
        <v>68</v>
      </c>
      <c r="M2577" s="1599">
        <v>-68</v>
      </c>
      <c r="N2577" s="1598"/>
      <c r="O2577" s="1598"/>
      <c r="P2577" s="1599">
        <v>68</v>
      </c>
      <c r="Q2577" s="1599">
        <v>-68</v>
      </c>
      <c r="R2577" s="1598"/>
      <c r="S2577" s="1592"/>
    </row>
    <row r="2578" spans="2:19" s="1593" customFormat="1" ht="11.25" customHeight="1" outlineLevel="1">
      <c r="B2578" s="1594">
        <v>10240</v>
      </c>
      <c r="C2578" s="1595" t="s">
        <v>5403</v>
      </c>
      <c r="D2578" s="1595" t="s">
        <v>10982</v>
      </c>
      <c r="E2578" s="1595"/>
      <c r="F2578" s="1595"/>
      <c r="G2578" s="1595"/>
      <c r="H2578" s="1596">
        <v>1</v>
      </c>
      <c r="I2578" s="1595"/>
      <c r="J2578" s="1595"/>
      <c r="K2578" s="1599">
        <v>70</v>
      </c>
      <c r="L2578" s="1599">
        <v>70</v>
      </c>
      <c r="M2578" s="1599">
        <v>-70</v>
      </c>
      <c r="N2578" s="1598"/>
      <c r="O2578" s="1598"/>
      <c r="P2578" s="1599">
        <v>70</v>
      </c>
      <c r="Q2578" s="1599">
        <v>-70</v>
      </c>
      <c r="R2578" s="1598"/>
      <c r="S2578" s="1592"/>
    </row>
    <row r="2579" spans="2:19" s="1593" customFormat="1" ht="11.25" customHeight="1" outlineLevel="1">
      <c r="B2579" s="1594">
        <v>10243</v>
      </c>
      <c r="C2579" s="1595" t="s">
        <v>5403</v>
      </c>
      <c r="D2579" s="1595" t="s">
        <v>10981</v>
      </c>
      <c r="E2579" s="1595"/>
      <c r="F2579" s="1595"/>
      <c r="G2579" s="1595" t="s">
        <v>10980</v>
      </c>
      <c r="H2579" s="1596">
        <v>1</v>
      </c>
      <c r="I2579" s="1595"/>
      <c r="J2579" s="1595"/>
      <c r="K2579" s="1597">
        <v>2124</v>
      </c>
      <c r="L2579" s="1597">
        <v>2124</v>
      </c>
      <c r="M2579" s="1598"/>
      <c r="N2579" s="1597">
        <v>2124</v>
      </c>
      <c r="O2579" s="1599">
        <v>309.33999999999997</v>
      </c>
      <c r="P2579" s="1597">
        <v>1752.74</v>
      </c>
      <c r="Q2579" s="1599">
        <v>61.92</v>
      </c>
      <c r="R2579" s="1597">
        <v>1814.66</v>
      </c>
      <c r="S2579" s="1592"/>
    </row>
    <row r="2580" spans="2:19" s="1593" customFormat="1" ht="11.25" customHeight="1" outlineLevel="1">
      <c r="B2580" s="1594">
        <v>10246</v>
      </c>
      <c r="C2580" s="1595" t="s">
        <v>5403</v>
      </c>
      <c r="D2580" s="1595" t="s">
        <v>10979</v>
      </c>
      <c r="E2580" s="1595"/>
      <c r="F2580" s="1595"/>
      <c r="G2580" s="1595"/>
      <c r="H2580" s="1596">
        <v>1</v>
      </c>
      <c r="I2580" s="1595"/>
      <c r="J2580" s="1595"/>
      <c r="K2580" s="1599">
        <v>134</v>
      </c>
      <c r="L2580" s="1599">
        <v>134</v>
      </c>
      <c r="M2580" s="1599">
        <v>-134</v>
      </c>
      <c r="N2580" s="1598"/>
      <c r="O2580" s="1598"/>
      <c r="P2580" s="1599">
        <v>134</v>
      </c>
      <c r="Q2580" s="1599">
        <v>-134</v>
      </c>
      <c r="R2580" s="1598"/>
      <c r="S2580" s="1592"/>
    </row>
    <row r="2581" spans="2:19" s="1593" customFormat="1" ht="11.25" customHeight="1" outlineLevel="1">
      <c r="B2581" s="1594">
        <v>10248</v>
      </c>
      <c r="C2581" s="1595" t="s">
        <v>5403</v>
      </c>
      <c r="D2581" s="1595" t="s">
        <v>10978</v>
      </c>
      <c r="E2581" s="1595"/>
      <c r="F2581" s="1595"/>
      <c r="G2581" s="1595"/>
      <c r="H2581" s="1596">
        <v>1</v>
      </c>
      <c r="I2581" s="1595"/>
      <c r="J2581" s="1595"/>
      <c r="K2581" s="1599">
        <v>142</v>
      </c>
      <c r="L2581" s="1599">
        <v>142</v>
      </c>
      <c r="M2581" s="1599">
        <v>-142</v>
      </c>
      <c r="N2581" s="1598"/>
      <c r="O2581" s="1598"/>
      <c r="P2581" s="1599">
        <v>142</v>
      </c>
      <c r="Q2581" s="1599">
        <v>-142</v>
      </c>
      <c r="R2581" s="1598"/>
      <c r="S2581" s="1592"/>
    </row>
    <row r="2582" spans="2:19" s="1593" customFormat="1" ht="11.25" customHeight="1" outlineLevel="1">
      <c r="B2582" s="1594">
        <v>10251</v>
      </c>
      <c r="C2582" s="1595" t="s">
        <v>5403</v>
      </c>
      <c r="D2582" s="1595" t="s">
        <v>10977</v>
      </c>
      <c r="E2582" s="1595"/>
      <c r="F2582" s="1595"/>
      <c r="G2582" s="1595" t="s">
        <v>3734</v>
      </c>
      <c r="H2582" s="1596">
        <v>1</v>
      </c>
      <c r="I2582" s="1595"/>
      <c r="J2582" s="1595"/>
      <c r="K2582" s="1597">
        <v>21742</v>
      </c>
      <c r="L2582" s="1597">
        <v>21742</v>
      </c>
      <c r="M2582" s="1598"/>
      <c r="N2582" s="1597">
        <v>21742</v>
      </c>
      <c r="O2582" s="1597">
        <v>3159.84</v>
      </c>
      <c r="P2582" s="1597">
        <v>17950.240000000002</v>
      </c>
      <c r="Q2582" s="1599">
        <v>631.91999999999996</v>
      </c>
      <c r="R2582" s="1597">
        <v>18582.16</v>
      </c>
      <c r="S2582" s="1592"/>
    </row>
    <row r="2583" spans="2:19" s="1593" customFormat="1" ht="11.25" customHeight="1" outlineLevel="1">
      <c r="B2583" s="1594">
        <v>10252</v>
      </c>
      <c r="C2583" s="1595" t="s">
        <v>5403</v>
      </c>
      <c r="D2583" s="1595" t="s">
        <v>10976</v>
      </c>
      <c r="E2583" s="1595"/>
      <c r="F2583" s="1595"/>
      <c r="G2583" s="1595"/>
      <c r="H2583" s="1596">
        <v>1</v>
      </c>
      <c r="I2583" s="1595"/>
      <c r="J2583" s="1595"/>
      <c r="K2583" s="1599">
        <v>68</v>
      </c>
      <c r="L2583" s="1599">
        <v>68</v>
      </c>
      <c r="M2583" s="1599">
        <v>-68</v>
      </c>
      <c r="N2583" s="1598"/>
      <c r="O2583" s="1598"/>
      <c r="P2583" s="1599">
        <v>68</v>
      </c>
      <c r="Q2583" s="1599">
        <v>-68</v>
      </c>
      <c r="R2583" s="1598"/>
      <c r="S2583" s="1592"/>
    </row>
    <row r="2584" spans="2:19" s="1593" customFormat="1" ht="11.25" customHeight="1" outlineLevel="1">
      <c r="B2584" s="1594">
        <v>10253</v>
      </c>
      <c r="C2584" s="1595" t="s">
        <v>5403</v>
      </c>
      <c r="D2584" s="1595" t="s">
        <v>10975</v>
      </c>
      <c r="E2584" s="1595"/>
      <c r="F2584" s="1595"/>
      <c r="G2584" s="1595"/>
      <c r="H2584" s="1596">
        <v>1</v>
      </c>
      <c r="I2584" s="1595"/>
      <c r="J2584" s="1595"/>
      <c r="K2584" s="1599">
        <v>122</v>
      </c>
      <c r="L2584" s="1599">
        <v>122</v>
      </c>
      <c r="M2584" s="1599">
        <v>-122</v>
      </c>
      <c r="N2584" s="1598"/>
      <c r="O2584" s="1598"/>
      <c r="P2584" s="1599">
        <v>122</v>
      </c>
      <c r="Q2584" s="1599">
        <v>-122</v>
      </c>
      <c r="R2584" s="1598"/>
      <c r="S2584" s="1592"/>
    </row>
    <row r="2585" spans="2:19" s="1593" customFormat="1" ht="11.25" customHeight="1" outlineLevel="1">
      <c r="B2585" s="1594">
        <v>10255</v>
      </c>
      <c r="C2585" s="1595" t="s">
        <v>5403</v>
      </c>
      <c r="D2585" s="1595" t="s">
        <v>10974</v>
      </c>
      <c r="E2585" s="1595"/>
      <c r="F2585" s="1595"/>
      <c r="G2585" s="1595" t="s">
        <v>3734</v>
      </c>
      <c r="H2585" s="1596">
        <v>1</v>
      </c>
      <c r="I2585" s="1595"/>
      <c r="J2585" s="1595"/>
      <c r="K2585" s="1597">
        <v>21742</v>
      </c>
      <c r="L2585" s="1597">
        <v>21742</v>
      </c>
      <c r="M2585" s="1598"/>
      <c r="N2585" s="1597">
        <v>21742</v>
      </c>
      <c r="O2585" s="1597">
        <v>3159.84</v>
      </c>
      <c r="P2585" s="1597">
        <v>17950.240000000002</v>
      </c>
      <c r="Q2585" s="1599">
        <v>631.91999999999996</v>
      </c>
      <c r="R2585" s="1597">
        <v>18582.16</v>
      </c>
      <c r="S2585" s="1592"/>
    </row>
    <row r="2586" spans="2:19" s="1593" customFormat="1" ht="11.25" customHeight="1" outlineLevel="1">
      <c r="B2586" s="1594">
        <v>10256</v>
      </c>
      <c r="C2586" s="1595" t="s">
        <v>5403</v>
      </c>
      <c r="D2586" s="1595" t="s">
        <v>10973</v>
      </c>
      <c r="E2586" s="1595"/>
      <c r="F2586" s="1595"/>
      <c r="G2586" s="1595"/>
      <c r="H2586" s="1596">
        <v>1</v>
      </c>
      <c r="I2586" s="1595"/>
      <c r="J2586" s="1595"/>
      <c r="K2586" s="1599">
        <v>68</v>
      </c>
      <c r="L2586" s="1599">
        <v>68</v>
      </c>
      <c r="M2586" s="1599">
        <v>-68</v>
      </c>
      <c r="N2586" s="1598"/>
      <c r="O2586" s="1598"/>
      <c r="P2586" s="1599">
        <v>68</v>
      </c>
      <c r="Q2586" s="1599">
        <v>-68</v>
      </c>
      <c r="R2586" s="1598"/>
      <c r="S2586" s="1592"/>
    </row>
    <row r="2587" spans="2:19" s="1593" customFormat="1" ht="11.25" customHeight="1" outlineLevel="1">
      <c r="B2587" s="1594">
        <v>10257</v>
      </c>
      <c r="C2587" s="1595" t="s">
        <v>5403</v>
      </c>
      <c r="D2587" s="1595" t="s">
        <v>10972</v>
      </c>
      <c r="E2587" s="1595"/>
      <c r="F2587" s="1595"/>
      <c r="G2587" s="1595"/>
      <c r="H2587" s="1596">
        <v>1</v>
      </c>
      <c r="I2587" s="1595"/>
      <c r="J2587" s="1595"/>
      <c r="K2587" s="1599">
        <v>122</v>
      </c>
      <c r="L2587" s="1599">
        <v>122</v>
      </c>
      <c r="M2587" s="1599">
        <v>-122</v>
      </c>
      <c r="N2587" s="1598"/>
      <c r="O2587" s="1598"/>
      <c r="P2587" s="1599">
        <v>122</v>
      </c>
      <c r="Q2587" s="1599">
        <v>-122</v>
      </c>
      <c r="R2587" s="1598"/>
      <c r="S2587" s="1592"/>
    </row>
    <row r="2588" spans="2:19" s="1593" customFormat="1" ht="11.25" customHeight="1" outlineLevel="1">
      <c r="B2588" s="1594">
        <v>10260</v>
      </c>
      <c r="C2588" s="1595" t="s">
        <v>5403</v>
      </c>
      <c r="D2588" s="1595" t="s">
        <v>10971</v>
      </c>
      <c r="E2588" s="1595"/>
      <c r="F2588" s="1595"/>
      <c r="G2588" s="1595" t="s">
        <v>3734</v>
      </c>
      <c r="H2588" s="1596">
        <v>1</v>
      </c>
      <c r="I2588" s="1595"/>
      <c r="J2588" s="1595"/>
      <c r="K2588" s="1597">
        <v>21742</v>
      </c>
      <c r="L2588" s="1597">
        <v>21742</v>
      </c>
      <c r="M2588" s="1598"/>
      <c r="N2588" s="1597">
        <v>21742</v>
      </c>
      <c r="O2588" s="1597">
        <v>3159.84</v>
      </c>
      <c r="P2588" s="1597">
        <v>17950.240000000002</v>
      </c>
      <c r="Q2588" s="1599">
        <v>631.91999999999996</v>
      </c>
      <c r="R2588" s="1597">
        <v>18582.16</v>
      </c>
      <c r="S2588" s="1592"/>
    </row>
    <row r="2589" spans="2:19" s="1593" customFormat="1" ht="11.25" customHeight="1" outlineLevel="1">
      <c r="B2589" s="1594">
        <v>10265</v>
      </c>
      <c r="C2589" s="1595" t="s">
        <v>5403</v>
      </c>
      <c r="D2589" s="1595" t="s">
        <v>10970</v>
      </c>
      <c r="E2589" s="1595"/>
      <c r="F2589" s="1595"/>
      <c r="G2589" s="1595"/>
      <c r="H2589" s="1596">
        <v>1</v>
      </c>
      <c r="I2589" s="1595"/>
      <c r="J2589" s="1595"/>
      <c r="K2589" s="1597">
        <v>12145</v>
      </c>
      <c r="L2589" s="1597">
        <v>12145</v>
      </c>
      <c r="M2589" s="1597">
        <v>-12145</v>
      </c>
      <c r="N2589" s="1598"/>
      <c r="O2589" s="1598"/>
      <c r="P2589" s="1597">
        <v>12145</v>
      </c>
      <c r="Q2589" s="1597">
        <v>-12145</v>
      </c>
      <c r="R2589" s="1598"/>
      <c r="S2589" s="1592"/>
    </row>
    <row r="2590" spans="2:19" s="1593" customFormat="1" ht="11.25" customHeight="1" outlineLevel="1">
      <c r="B2590" s="1594">
        <v>10266</v>
      </c>
      <c r="C2590" s="1595" t="s">
        <v>5403</v>
      </c>
      <c r="D2590" s="1595" t="s">
        <v>10969</v>
      </c>
      <c r="E2590" s="1595"/>
      <c r="F2590" s="1595"/>
      <c r="G2590" s="1595" t="s">
        <v>3734</v>
      </c>
      <c r="H2590" s="1596">
        <v>1</v>
      </c>
      <c r="I2590" s="1595"/>
      <c r="J2590" s="1595"/>
      <c r="K2590" s="1597">
        <v>14794</v>
      </c>
      <c r="L2590" s="1597">
        <v>14794</v>
      </c>
      <c r="M2590" s="1598"/>
      <c r="N2590" s="1597">
        <v>14794</v>
      </c>
      <c r="O2590" s="1597">
        <v>2149.5</v>
      </c>
      <c r="P2590" s="1597">
        <v>12214.62</v>
      </c>
      <c r="Q2590" s="1599">
        <v>429.88</v>
      </c>
      <c r="R2590" s="1597">
        <v>12644.5</v>
      </c>
      <c r="S2590" s="1592"/>
    </row>
    <row r="2591" spans="2:19" s="1593" customFormat="1" ht="11.25" customHeight="1" outlineLevel="1">
      <c r="B2591" s="1594">
        <v>10267</v>
      </c>
      <c r="C2591" s="1595" t="s">
        <v>5403</v>
      </c>
      <c r="D2591" s="1595" t="s">
        <v>10968</v>
      </c>
      <c r="E2591" s="1595"/>
      <c r="F2591" s="1595"/>
      <c r="G2591" s="1595"/>
      <c r="H2591" s="1596">
        <v>1</v>
      </c>
      <c r="I2591" s="1595"/>
      <c r="J2591" s="1595"/>
      <c r="K2591" s="1599">
        <v>68</v>
      </c>
      <c r="L2591" s="1599">
        <v>68</v>
      </c>
      <c r="M2591" s="1599">
        <v>-68</v>
      </c>
      <c r="N2591" s="1598"/>
      <c r="O2591" s="1598"/>
      <c r="P2591" s="1599">
        <v>68</v>
      </c>
      <c r="Q2591" s="1599">
        <v>-68</v>
      </c>
      <c r="R2591" s="1598"/>
      <c r="S2591" s="1592"/>
    </row>
    <row r="2592" spans="2:19" s="1593" customFormat="1" ht="11.25" customHeight="1" outlineLevel="1">
      <c r="B2592" s="1594">
        <v>10268</v>
      </c>
      <c r="C2592" s="1595" t="s">
        <v>5403</v>
      </c>
      <c r="D2592" s="1595" t="s">
        <v>10967</v>
      </c>
      <c r="E2592" s="1595"/>
      <c r="F2592" s="1595"/>
      <c r="G2592" s="1595"/>
      <c r="H2592" s="1596">
        <v>1</v>
      </c>
      <c r="I2592" s="1595"/>
      <c r="J2592" s="1595"/>
      <c r="K2592" s="1599">
        <v>122</v>
      </c>
      <c r="L2592" s="1599">
        <v>122</v>
      </c>
      <c r="M2592" s="1599">
        <v>-122</v>
      </c>
      <c r="N2592" s="1598"/>
      <c r="O2592" s="1598"/>
      <c r="P2592" s="1599">
        <v>122</v>
      </c>
      <c r="Q2592" s="1599">
        <v>-122</v>
      </c>
      <c r="R2592" s="1598"/>
      <c r="S2592" s="1592"/>
    </row>
    <row r="2593" spans="2:19" s="1593" customFormat="1" ht="11.25" customHeight="1" outlineLevel="1">
      <c r="B2593" s="1594">
        <v>10270</v>
      </c>
      <c r="C2593" s="1595" t="s">
        <v>5403</v>
      </c>
      <c r="D2593" s="1595" t="s">
        <v>10966</v>
      </c>
      <c r="E2593" s="1595"/>
      <c r="F2593" s="1595"/>
      <c r="G2593" s="1595"/>
      <c r="H2593" s="1596">
        <v>1</v>
      </c>
      <c r="I2593" s="1595"/>
      <c r="J2593" s="1595"/>
      <c r="K2593" s="1599">
        <v>68</v>
      </c>
      <c r="L2593" s="1599">
        <v>68</v>
      </c>
      <c r="M2593" s="1599">
        <v>-68</v>
      </c>
      <c r="N2593" s="1598"/>
      <c r="O2593" s="1598"/>
      <c r="P2593" s="1599">
        <v>68</v>
      </c>
      <c r="Q2593" s="1599">
        <v>-68</v>
      </c>
      <c r="R2593" s="1598"/>
      <c r="S2593" s="1592"/>
    </row>
    <row r="2594" spans="2:19" s="1593" customFormat="1" ht="11.25" customHeight="1" outlineLevel="1">
      <c r="B2594" s="1594">
        <v>10271</v>
      </c>
      <c r="C2594" s="1595" t="s">
        <v>5403</v>
      </c>
      <c r="D2594" s="1595" t="s">
        <v>10965</v>
      </c>
      <c r="E2594" s="1595"/>
      <c r="F2594" s="1595"/>
      <c r="G2594" s="1595"/>
      <c r="H2594" s="1596">
        <v>1</v>
      </c>
      <c r="I2594" s="1595"/>
      <c r="J2594" s="1595"/>
      <c r="K2594" s="1599">
        <v>122</v>
      </c>
      <c r="L2594" s="1599">
        <v>122</v>
      </c>
      <c r="M2594" s="1599">
        <v>-122</v>
      </c>
      <c r="N2594" s="1598"/>
      <c r="O2594" s="1598"/>
      <c r="P2594" s="1599">
        <v>122</v>
      </c>
      <c r="Q2594" s="1599">
        <v>-122</v>
      </c>
      <c r="R2594" s="1598"/>
      <c r="S2594" s="1592"/>
    </row>
    <row r="2595" spans="2:19" s="1593" customFormat="1" ht="11.25" customHeight="1" outlineLevel="1">
      <c r="B2595" s="1594">
        <v>10277</v>
      </c>
      <c r="C2595" s="1595" t="s">
        <v>5403</v>
      </c>
      <c r="D2595" s="1595" t="s">
        <v>10964</v>
      </c>
      <c r="E2595" s="1595"/>
      <c r="F2595" s="1595"/>
      <c r="G2595" s="1595"/>
      <c r="H2595" s="1596">
        <v>1</v>
      </c>
      <c r="I2595" s="1595"/>
      <c r="J2595" s="1595"/>
      <c r="K2595" s="1599">
        <v>113</v>
      </c>
      <c r="L2595" s="1599">
        <v>113</v>
      </c>
      <c r="M2595" s="1599">
        <v>-113</v>
      </c>
      <c r="N2595" s="1598"/>
      <c r="O2595" s="1598"/>
      <c r="P2595" s="1599">
        <v>113</v>
      </c>
      <c r="Q2595" s="1599">
        <v>-113</v>
      </c>
      <c r="R2595" s="1598"/>
      <c r="S2595" s="1592"/>
    </row>
    <row r="2596" spans="2:19" s="1593" customFormat="1" ht="11.25" customHeight="1" outlineLevel="1">
      <c r="B2596" s="1594">
        <v>10278</v>
      </c>
      <c r="C2596" s="1595" t="s">
        <v>5403</v>
      </c>
      <c r="D2596" s="1595" t="s">
        <v>10963</v>
      </c>
      <c r="E2596" s="1595"/>
      <c r="F2596" s="1595"/>
      <c r="G2596" s="1595" t="s">
        <v>10962</v>
      </c>
      <c r="H2596" s="1596">
        <v>1</v>
      </c>
      <c r="I2596" s="1595"/>
      <c r="J2596" s="1595"/>
      <c r="K2596" s="1597">
        <v>694454</v>
      </c>
      <c r="L2596" s="1597">
        <v>479775</v>
      </c>
      <c r="M2596" s="1598"/>
      <c r="N2596" s="1597">
        <v>479775</v>
      </c>
      <c r="O2596" s="1597">
        <v>69701.72</v>
      </c>
      <c r="P2596" s="1597">
        <v>396132.88</v>
      </c>
      <c r="Q2596" s="1597">
        <v>13940.4</v>
      </c>
      <c r="R2596" s="1597">
        <v>410073.28</v>
      </c>
      <c r="S2596" s="1592"/>
    </row>
    <row r="2597" spans="2:19" s="1593" customFormat="1" ht="11.25" customHeight="1" outlineLevel="1">
      <c r="B2597" s="1594">
        <v>10279</v>
      </c>
      <c r="C2597" s="1595" t="s">
        <v>5403</v>
      </c>
      <c r="D2597" s="1595" t="s">
        <v>10961</v>
      </c>
      <c r="E2597" s="1595"/>
      <c r="F2597" s="1595"/>
      <c r="G2597" s="1595"/>
      <c r="H2597" s="1596">
        <v>1</v>
      </c>
      <c r="I2597" s="1595"/>
      <c r="J2597" s="1595"/>
      <c r="K2597" s="1599">
        <v>730</v>
      </c>
      <c r="L2597" s="1599">
        <v>729.74</v>
      </c>
      <c r="M2597" s="1599">
        <v>-729.74</v>
      </c>
      <c r="N2597" s="1598"/>
      <c r="O2597" s="1598"/>
      <c r="P2597" s="1599">
        <v>729.74</v>
      </c>
      <c r="Q2597" s="1599">
        <v>-729.74</v>
      </c>
      <c r="R2597" s="1598"/>
      <c r="S2597" s="1592"/>
    </row>
    <row r="2598" spans="2:19" s="1593" customFormat="1" ht="11.25" customHeight="1" outlineLevel="1">
      <c r="B2598" s="1594">
        <v>10287</v>
      </c>
      <c r="C2598" s="1595" t="s">
        <v>5403</v>
      </c>
      <c r="D2598" s="1595" t="s">
        <v>10960</v>
      </c>
      <c r="E2598" s="1595"/>
      <c r="F2598" s="1595"/>
      <c r="G2598" s="1595"/>
      <c r="H2598" s="1596">
        <v>1</v>
      </c>
      <c r="I2598" s="1595"/>
      <c r="J2598" s="1595"/>
      <c r="K2598" s="1599">
        <v>118</v>
      </c>
      <c r="L2598" s="1599">
        <v>118</v>
      </c>
      <c r="M2598" s="1599">
        <v>-118</v>
      </c>
      <c r="N2598" s="1598"/>
      <c r="O2598" s="1598"/>
      <c r="P2598" s="1599">
        <v>118</v>
      </c>
      <c r="Q2598" s="1599">
        <v>-118</v>
      </c>
      <c r="R2598" s="1598"/>
      <c r="S2598" s="1592"/>
    </row>
    <row r="2599" spans="2:19" s="1593" customFormat="1" ht="11.25" customHeight="1" outlineLevel="1">
      <c r="B2599" s="1594">
        <v>10288</v>
      </c>
      <c r="C2599" s="1595" t="s">
        <v>5403</v>
      </c>
      <c r="D2599" s="1595" t="s">
        <v>10959</v>
      </c>
      <c r="E2599" s="1595"/>
      <c r="F2599" s="1595"/>
      <c r="G2599" s="1595"/>
      <c r="H2599" s="1596">
        <v>1</v>
      </c>
      <c r="I2599" s="1595"/>
      <c r="J2599" s="1595"/>
      <c r="K2599" s="1599">
        <v>72</v>
      </c>
      <c r="L2599" s="1599">
        <v>72</v>
      </c>
      <c r="M2599" s="1599">
        <v>-72</v>
      </c>
      <c r="N2599" s="1598"/>
      <c r="O2599" s="1598"/>
      <c r="P2599" s="1599">
        <v>72</v>
      </c>
      <c r="Q2599" s="1599">
        <v>-72</v>
      </c>
      <c r="R2599" s="1598"/>
      <c r="S2599" s="1592"/>
    </row>
    <row r="2600" spans="2:19" s="1593" customFormat="1" ht="11.25" customHeight="1" outlineLevel="1">
      <c r="B2600" s="1594">
        <v>10289</v>
      </c>
      <c r="C2600" s="1595" t="s">
        <v>5403</v>
      </c>
      <c r="D2600" s="1595" t="s">
        <v>10958</v>
      </c>
      <c r="E2600" s="1595"/>
      <c r="F2600" s="1595"/>
      <c r="G2600" s="1595"/>
      <c r="H2600" s="1596">
        <v>1</v>
      </c>
      <c r="I2600" s="1595"/>
      <c r="J2600" s="1595"/>
      <c r="K2600" s="1599">
        <v>361</v>
      </c>
      <c r="L2600" s="1599">
        <v>361</v>
      </c>
      <c r="M2600" s="1599">
        <v>-361</v>
      </c>
      <c r="N2600" s="1598"/>
      <c r="O2600" s="1598"/>
      <c r="P2600" s="1599">
        <v>361</v>
      </c>
      <c r="Q2600" s="1599">
        <v>-361</v>
      </c>
      <c r="R2600" s="1598"/>
      <c r="S2600" s="1592"/>
    </row>
    <row r="2601" spans="2:19" s="1593" customFormat="1" ht="11.25" customHeight="1" outlineLevel="1">
      <c r="B2601" s="1594">
        <v>10290</v>
      </c>
      <c r="C2601" s="1595" t="s">
        <v>5403</v>
      </c>
      <c r="D2601" s="1595" t="s">
        <v>10957</v>
      </c>
      <c r="E2601" s="1595"/>
      <c r="F2601" s="1595"/>
      <c r="G2601" s="1595"/>
      <c r="H2601" s="1596">
        <v>1</v>
      </c>
      <c r="I2601" s="1595"/>
      <c r="J2601" s="1595"/>
      <c r="K2601" s="1597">
        <v>13459</v>
      </c>
      <c r="L2601" s="1597">
        <v>13458.5</v>
      </c>
      <c r="M2601" s="1597">
        <v>-13458.5</v>
      </c>
      <c r="N2601" s="1598"/>
      <c r="O2601" s="1598"/>
      <c r="P2601" s="1597">
        <v>13458.5</v>
      </c>
      <c r="Q2601" s="1597">
        <v>-13458.5</v>
      </c>
      <c r="R2601" s="1598"/>
      <c r="S2601" s="1592"/>
    </row>
    <row r="2602" spans="2:19" s="1593" customFormat="1" ht="11.25" customHeight="1" outlineLevel="1">
      <c r="B2602" s="1594">
        <v>10291</v>
      </c>
      <c r="C2602" s="1595" t="s">
        <v>5403</v>
      </c>
      <c r="D2602" s="1595" t="s">
        <v>10956</v>
      </c>
      <c r="E2602" s="1595"/>
      <c r="F2602" s="1595"/>
      <c r="G2602" s="1595"/>
      <c r="H2602" s="1596">
        <v>1</v>
      </c>
      <c r="I2602" s="1595"/>
      <c r="J2602" s="1595"/>
      <c r="K2602" s="1597">
        <v>11441</v>
      </c>
      <c r="L2602" s="1597">
        <v>11441</v>
      </c>
      <c r="M2602" s="1597">
        <v>-11441</v>
      </c>
      <c r="N2602" s="1598"/>
      <c r="O2602" s="1598"/>
      <c r="P2602" s="1597">
        <v>11441</v>
      </c>
      <c r="Q2602" s="1597">
        <v>-11441</v>
      </c>
      <c r="R2602" s="1598"/>
      <c r="S2602" s="1592"/>
    </row>
    <row r="2603" spans="2:19" s="1593" customFormat="1" ht="11.25" customHeight="1" outlineLevel="1">
      <c r="B2603" s="1594">
        <v>10295</v>
      </c>
      <c r="C2603" s="1595" t="s">
        <v>5403</v>
      </c>
      <c r="D2603" s="1595" t="s">
        <v>10955</v>
      </c>
      <c r="E2603" s="1595"/>
      <c r="F2603" s="1595"/>
      <c r="G2603" s="1595" t="s">
        <v>10954</v>
      </c>
      <c r="H2603" s="1596">
        <v>1</v>
      </c>
      <c r="I2603" s="1595"/>
      <c r="J2603" s="1595"/>
      <c r="K2603" s="1597">
        <v>41228</v>
      </c>
      <c r="L2603" s="1597">
        <v>41228</v>
      </c>
      <c r="M2603" s="1598"/>
      <c r="N2603" s="1597">
        <v>41228</v>
      </c>
      <c r="O2603" s="1597">
        <v>5988.3</v>
      </c>
      <c r="P2603" s="1597">
        <v>34042.03</v>
      </c>
      <c r="Q2603" s="1597">
        <v>1197.67</v>
      </c>
      <c r="R2603" s="1597">
        <v>35239.699999999997</v>
      </c>
      <c r="S2603" s="1592"/>
    </row>
    <row r="2604" spans="2:19" s="1593" customFormat="1" ht="11.25" customHeight="1" outlineLevel="1">
      <c r="B2604" s="1594">
        <v>10296</v>
      </c>
      <c r="C2604" s="1595" t="s">
        <v>5403</v>
      </c>
      <c r="D2604" s="1595" t="s">
        <v>10953</v>
      </c>
      <c r="E2604" s="1595"/>
      <c r="F2604" s="1595"/>
      <c r="G2604" s="1595" t="s">
        <v>3734</v>
      </c>
      <c r="H2604" s="1596">
        <v>3</v>
      </c>
      <c r="I2604" s="1595"/>
      <c r="J2604" s="1595"/>
      <c r="K2604" s="1597">
        <v>1793.5</v>
      </c>
      <c r="L2604" s="1597">
        <v>1793.5</v>
      </c>
      <c r="M2604" s="1598"/>
      <c r="N2604" s="1597">
        <v>1793.5</v>
      </c>
      <c r="O2604" s="1599">
        <v>113.58</v>
      </c>
      <c r="P2604" s="1597">
        <v>1623.16</v>
      </c>
      <c r="Q2604" s="1599">
        <v>56.76</v>
      </c>
      <c r="R2604" s="1597">
        <v>1679.92</v>
      </c>
      <c r="S2604" s="1592"/>
    </row>
    <row r="2605" spans="2:19" s="1593" customFormat="1" ht="11.25" customHeight="1" outlineLevel="1">
      <c r="B2605" s="1594">
        <v>10297</v>
      </c>
      <c r="C2605" s="1595" t="s">
        <v>5403</v>
      </c>
      <c r="D2605" s="1595" t="s">
        <v>10952</v>
      </c>
      <c r="E2605" s="1595"/>
      <c r="F2605" s="1595"/>
      <c r="G2605" s="1595" t="s">
        <v>3664</v>
      </c>
      <c r="H2605" s="1596">
        <v>2</v>
      </c>
      <c r="I2605" s="1595"/>
      <c r="J2605" s="1595"/>
      <c r="K2605" s="1597">
        <v>9024</v>
      </c>
      <c r="L2605" s="1597">
        <v>9024</v>
      </c>
      <c r="M2605" s="1598"/>
      <c r="N2605" s="1597">
        <v>9024</v>
      </c>
      <c r="O2605" s="1597">
        <v>1734.55</v>
      </c>
      <c r="P2605" s="1597">
        <v>7041.65</v>
      </c>
      <c r="Q2605" s="1599">
        <v>247.8</v>
      </c>
      <c r="R2605" s="1597">
        <v>7289.45</v>
      </c>
      <c r="S2605" s="1592"/>
    </row>
    <row r="2606" spans="2:19" s="1593" customFormat="1" ht="11.25" customHeight="1" outlineLevel="1">
      <c r="B2606" s="1594">
        <v>10555</v>
      </c>
      <c r="C2606" s="1595" t="s">
        <v>5403</v>
      </c>
      <c r="D2606" s="1595" t="s">
        <v>10951</v>
      </c>
      <c r="E2606" s="1595"/>
      <c r="F2606" s="1595"/>
      <c r="G2606" s="1595"/>
      <c r="H2606" s="1596">
        <v>1</v>
      </c>
      <c r="I2606" s="1595"/>
      <c r="J2606" s="1595"/>
      <c r="K2606" s="1597">
        <v>62356</v>
      </c>
      <c r="L2606" s="1597">
        <v>62356</v>
      </c>
      <c r="M2606" s="1598"/>
      <c r="N2606" s="1597">
        <v>62356</v>
      </c>
      <c r="O2606" s="1597">
        <v>10563.84</v>
      </c>
      <c r="P2606" s="1597">
        <v>50031.519999999997</v>
      </c>
      <c r="Q2606" s="1597">
        <v>1760.64</v>
      </c>
      <c r="R2606" s="1597">
        <v>51792.160000000003</v>
      </c>
      <c r="S2606" s="1592"/>
    </row>
    <row r="2607" spans="2:19" s="1593" customFormat="1" ht="21.75" customHeight="1" outlineLevel="1">
      <c r="B2607" s="1594">
        <v>10582</v>
      </c>
      <c r="C2607" s="1595" t="s">
        <v>5403</v>
      </c>
      <c r="D2607" s="1595" t="s">
        <v>10950</v>
      </c>
      <c r="E2607" s="1595"/>
      <c r="F2607" s="1595"/>
      <c r="G2607" s="1595" t="s">
        <v>10933</v>
      </c>
      <c r="H2607" s="1596">
        <v>1</v>
      </c>
      <c r="I2607" s="1595"/>
      <c r="J2607" s="1595"/>
      <c r="K2607" s="1597">
        <v>173960</v>
      </c>
      <c r="L2607" s="1597">
        <v>173960</v>
      </c>
      <c r="M2607" s="1598"/>
      <c r="N2607" s="1597">
        <v>173960</v>
      </c>
      <c r="O2607" s="1597">
        <v>33437.879999999997</v>
      </c>
      <c r="P2607" s="1597">
        <v>135745.28</v>
      </c>
      <c r="Q2607" s="1597">
        <v>4776.84</v>
      </c>
      <c r="R2607" s="1597">
        <v>140522.12</v>
      </c>
      <c r="S2607" s="1592"/>
    </row>
    <row r="2608" spans="2:19" s="1593" customFormat="1" ht="21.75" customHeight="1" outlineLevel="1">
      <c r="B2608" s="1594">
        <v>10583</v>
      </c>
      <c r="C2608" s="1595" t="s">
        <v>5403</v>
      </c>
      <c r="D2608" s="1595" t="s">
        <v>10949</v>
      </c>
      <c r="E2608" s="1595"/>
      <c r="F2608" s="1595"/>
      <c r="G2608" s="1595" t="s">
        <v>10948</v>
      </c>
      <c r="H2608" s="1596">
        <v>1</v>
      </c>
      <c r="I2608" s="1595"/>
      <c r="J2608" s="1595"/>
      <c r="K2608" s="1597">
        <v>66088</v>
      </c>
      <c r="L2608" s="1597">
        <v>66088</v>
      </c>
      <c r="M2608" s="1598"/>
      <c r="N2608" s="1597">
        <v>66088</v>
      </c>
      <c r="O2608" s="1597">
        <v>12703.74</v>
      </c>
      <c r="P2608" s="1597">
        <v>51569.43</v>
      </c>
      <c r="Q2608" s="1597">
        <v>1814.83</v>
      </c>
      <c r="R2608" s="1597">
        <v>53384.26</v>
      </c>
      <c r="S2608" s="1592"/>
    </row>
    <row r="2609" spans="2:19" s="1593" customFormat="1" ht="21.75" customHeight="1" outlineLevel="1">
      <c r="B2609" s="1594">
        <v>10584</v>
      </c>
      <c r="C2609" s="1595" t="s">
        <v>5403</v>
      </c>
      <c r="D2609" s="1595" t="s">
        <v>10947</v>
      </c>
      <c r="E2609" s="1595"/>
      <c r="F2609" s="1595"/>
      <c r="G2609" s="1595" t="s">
        <v>10946</v>
      </c>
      <c r="H2609" s="1596">
        <v>1</v>
      </c>
      <c r="I2609" s="1595"/>
      <c r="J2609" s="1595"/>
      <c r="K2609" s="1597">
        <v>49566</v>
      </c>
      <c r="L2609" s="1597">
        <v>49566</v>
      </c>
      <c r="M2609" s="1598"/>
      <c r="N2609" s="1597">
        <v>49566</v>
      </c>
      <c r="O2609" s="1597">
        <v>9528.5400000000009</v>
      </c>
      <c r="P2609" s="1597">
        <v>38676.22</v>
      </c>
      <c r="Q2609" s="1597">
        <v>1361.24</v>
      </c>
      <c r="R2609" s="1597">
        <v>40037.46</v>
      </c>
      <c r="S2609" s="1592"/>
    </row>
    <row r="2610" spans="2:19" s="1593" customFormat="1" ht="21.75" customHeight="1" outlineLevel="1">
      <c r="B2610" s="1594">
        <v>10585</v>
      </c>
      <c r="C2610" s="1595" t="s">
        <v>5403</v>
      </c>
      <c r="D2610" s="1595" t="s">
        <v>10945</v>
      </c>
      <c r="E2610" s="1595"/>
      <c r="F2610" s="1595"/>
      <c r="G2610" s="1595" t="s">
        <v>10944</v>
      </c>
      <c r="H2610" s="1596">
        <v>1</v>
      </c>
      <c r="I2610" s="1595"/>
      <c r="J2610" s="1595"/>
      <c r="K2610" s="1597">
        <v>49566</v>
      </c>
      <c r="L2610" s="1597">
        <v>49566</v>
      </c>
      <c r="M2610" s="1598"/>
      <c r="N2610" s="1597">
        <v>49566</v>
      </c>
      <c r="O2610" s="1597">
        <v>9528.5400000000009</v>
      </c>
      <c r="P2610" s="1597">
        <v>38676.22</v>
      </c>
      <c r="Q2610" s="1597">
        <v>1361.24</v>
      </c>
      <c r="R2610" s="1597">
        <v>40037.46</v>
      </c>
      <c r="S2610" s="1592"/>
    </row>
    <row r="2611" spans="2:19" s="1593" customFormat="1" ht="21.75" customHeight="1" outlineLevel="1">
      <c r="B2611" s="1594">
        <v>10587</v>
      </c>
      <c r="C2611" s="1595" t="s">
        <v>5403</v>
      </c>
      <c r="D2611" s="1595" t="s">
        <v>10943</v>
      </c>
      <c r="E2611" s="1595"/>
      <c r="F2611" s="1595"/>
      <c r="G2611" s="1595" t="s">
        <v>10933</v>
      </c>
      <c r="H2611" s="1596">
        <v>1</v>
      </c>
      <c r="I2611" s="1595"/>
      <c r="J2611" s="1595"/>
      <c r="K2611" s="1597">
        <v>33044</v>
      </c>
      <c r="L2611" s="1597">
        <v>33044</v>
      </c>
      <c r="M2611" s="1598"/>
      <c r="N2611" s="1597">
        <v>33044</v>
      </c>
      <c r="O2611" s="1597">
        <v>6350.38</v>
      </c>
      <c r="P2611" s="1597">
        <v>25786.42</v>
      </c>
      <c r="Q2611" s="1599">
        <v>907.2</v>
      </c>
      <c r="R2611" s="1597">
        <v>26693.62</v>
      </c>
      <c r="S2611" s="1592"/>
    </row>
    <row r="2612" spans="2:19" s="1593" customFormat="1" ht="21.75" customHeight="1" outlineLevel="1">
      <c r="B2612" s="1594">
        <v>10589</v>
      </c>
      <c r="C2612" s="1595" t="s">
        <v>5403</v>
      </c>
      <c r="D2612" s="1595" t="s">
        <v>10942</v>
      </c>
      <c r="E2612" s="1595"/>
      <c r="F2612" s="1595"/>
      <c r="G2612" s="1595" t="s">
        <v>10768</v>
      </c>
      <c r="H2612" s="1596">
        <v>1</v>
      </c>
      <c r="I2612" s="1595"/>
      <c r="J2612" s="1595"/>
      <c r="K2612" s="1597">
        <v>49566</v>
      </c>
      <c r="L2612" s="1597">
        <v>49566</v>
      </c>
      <c r="M2612" s="1598"/>
      <c r="N2612" s="1597">
        <v>49566</v>
      </c>
      <c r="O2612" s="1597">
        <v>9528.5400000000009</v>
      </c>
      <c r="P2612" s="1597">
        <v>38676.22</v>
      </c>
      <c r="Q2612" s="1597">
        <v>1361.24</v>
      </c>
      <c r="R2612" s="1597">
        <v>40037.46</v>
      </c>
      <c r="S2612" s="1592"/>
    </row>
    <row r="2613" spans="2:19" s="1593" customFormat="1" ht="21.75" customHeight="1" outlineLevel="1">
      <c r="B2613" s="1594">
        <v>10590</v>
      </c>
      <c r="C2613" s="1595" t="s">
        <v>5403</v>
      </c>
      <c r="D2613" s="1595" t="s">
        <v>10941</v>
      </c>
      <c r="E2613" s="1595"/>
      <c r="F2613" s="1595"/>
      <c r="G2613" s="1595" t="s">
        <v>10765</v>
      </c>
      <c r="H2613" s="1596">
        <v>1</v>
      </c>
      <c r="I2613" s="1595"/>
      <c r="J2613" s="1595"/>
      <c r="K2613" s="1597">
        <v>33044</v>
      </c>
      <c r="L2613" s="1597">
        <v>33044</v>
      </c>
      <c r="M2613" s="1598"/>
      <c r="N2613" s="1597">
        <v>33044</v>
      </c>
      <c r="O2613" s="1597">
        <v>6350.38</v>
      </c>
      <c r="P2613" s="1597">
        <v>25786.42</v>
      </c>
      <c r="Q2613" s="1599">
        <v>907.2</v>
      </c>
      <c r="R2613" s="1597">
        <v>26693.62</v>
      </c>
      <c r="S2613" s="1592"/>
    </row>
    <row r="2614" spans="2:19" s="1593" customFormat="1" ht="21.75" customHeight="1" outlineLevel="1">
      <c r="B2614" s="1594">
        <v>10591</v>
      </c>
      <c r="C2614" s="1595" t="s">
        <v>5403</v>
      </c>
      <c r="D2614" s="1595" t="s">
        <v>10940</v>
      </c>
      <c r="E2614" s="1595"/>
      <c r="F2614" s="1595"/>
      <c r="G2614" s="1595" t="s">
        <v>10768</v>
      </c>
      <c r="H2614" s="1596">
        <v>1</v>
      </c>
      <c r="I2614" s="1595"/>
      <c r="J2614" s="1595"/>
      <c r="K2614" s="1597">
        <v>33044</v>
      </c>
      <c r="L2614" s="1597">
        <v>33044</v>
      </c>
      <c r="M2614" s="1598"/>
      <c r="N2614" s="1597">
        <v>33044</v>
      </c>
      <c r="O2614" s="1597">
        <v>6350.38</v>
      </c>
      <c r="P2614" s="1597">
        <v>25786.42</v>
      </c>
      <c r="Q2614" s="1599">
        <v>907.2</v>
      </c>
      <c r="R2614" s="1597">
        <v>26693.62</v>
      </c>
      <c r="S2614" s="1592"/>
    </row>
    <row r="2615" spans="2:19" s="1593" customFormat="1" ht="21.75" customHeight="1" outlineLevel="1">
      <c r="B2615" s="1594">
        <v>10592</v>
      </c>
      <c r="C2615" s="1595" t="s">
        <v>5403</v>
      </c>
      <c r="D2615" s="1595" t="s">
        <v>10939</v>
      </c>
      <c r="E2615" s="1595"/>
      <c r="F2615" s="1595"/>
      <c r="G2615" s="1595" t="s">
        <v>10930</v>
      </c>
      <c r="H2615" s="1596">
        <v>1</v>
      </c>
      <c r="I2615" s="1595"/>
      <c r="J2615" s="1595"/>
      <c r="K2615" s="1597">
        <v>79306</v>
      </c>
      <c r="L2615" s="1597">
        <v>79306</v>
      </c>
      <c r="M2615" s="1598"/>
      <c r="N2615" s="1597">
        <v>79306</v>
      </c>
      <c r="O2615" s="1597">
        <v>15243.68</v>
      </c>
      <c r="P2615" s="1597">
        <v>61884.68</v>
      </c>
      <c r="Q2615" s="1597">
        <v>2177.64</v>
      </c>
      <c r="R2615" s="1597">
        <v>64062.32</v>
      </c>
      <c r="S2615" s="1592"/>
    </row>
    <row r="2616" spans="2:19" s="1593" customFormat="1" ht="21.75" customHeight="1" outlineLevel="1">
      <c r="B2616" s="1594">
        <v>10594</v>
      </c>
      <c r="C2616" s="1595" t="s">
        <v>5403</v>
      </c>
      <c r="D2616" s="1595" t="s">
        <v>10938</v>
      </c>
      <c r="E2616" s="1595"/>
      <c r="F2616" s="1595"/>
      <c r="G2616" s="1595" t="s">
        <v>10768</v>
      </c>
      <c r="H2616" s="1596">
        <v>1</v>
      </c>
      <c r="I2616" s="1595"/>
      <c r="J2616" s="1595"/>
      <c r="K2616" s="1597">
        <v>126183</v>
      </c>
      <c r="L2616" s="1597">
        <v>1064392</v>
      </c>
      <c r="M2616" s="1598"/>
      <c r="N2616" s="1597">
        <v>1064392</v>
      </c>
      <c r="O2616" s="1597">
        <v>30395.97</v>
      </c>
      <c r="P2616" s="1597">
        <v>879001.65</v>
      </c>
      <c r="Q2616" s="1597">
        <v>154994.38</v>
      </c>
      <c r="R2616" s="1597">
        <v>1033996.03</v>
      </c>
      <c r="S2616" s="1592"/>
    </row>
    <row r="2617" spans="2:19" s="1593" customFormat="1" ht="11.25" customHeight="1" outlineLevel="1">
      <c r="B2617" s="1594">
        <v>10595</v>
      </c>
      <c r="C2617" s="1595" t="s">
        <v>5403</v>
      </c>
      <c r="D2617" s="1595" t="s">
        <v>10937</v>
      </c>
      <c r="E2617" s="1595"/>
      <c r="F2617" s="1595"/>
      <c r="G2617" s="1595" t="s">
        <v>4658</v>
      </c>
      <c r="H2617" s="1596">
        <v>1</v>
      </c>
      <c r="I2617" s="1595"/>
      <c r="J2617" s="1595"/>
      <c r="K2617" s="1597">
        <v>33044</v>
      </c>
      <c r="L2617" s="1597">
        <v>33044</v>
      </c>
      <c r="M2617" s="1598"/>
      <c r="N2617" s="1597">
        <v>33044</v>
      </c>
      <c r="O2617" s="1597">
        <v>6350.38</v>
      </c>
      <c r="P2617" s="1597">
        <v>25786.42</v>
      </c>
      <c r="Q2617" s="1599">
        <v>907.2</v>
      </c>
      <c r="R2617" s="1597">
        <v>26693.62</v>
      </c>
      <c r="S2617" s="1592"/>
    </row>
    <row r="2618" spans="2:19" s="1593" customFormat="1" ht="21.75" customHeight="1" outlineLevel="1">
      <c r="B2618" s="1594">
        <v>10596</v>
      </c>
      <c r="C2618" s="1595" t="s">
        <v>5403</v>
      </c>
      <c r="D2618" s="1595" t="s">
        <v>10936</v>
      </c>
      <c r="E2618" s="1595"/>
      <c r="F2618" s="1595"/>
      <c r="G2618" s="1595" t="s">
        <v>10768</v>
      </c>
      <c r="H2618" s="1596">
        <v>1</v>
      </c>
      <c r="I2618" s="1595"/>
      <c r="J2618" s="1595"/>
      <c r="K2618" s="1597">
        <v>33044</v>
      </c>
      <c r="L2618" s="1597">
        <v>33044</v>
      </c>
      <c r="M2618" s="1598"/>
      <c r="N2618" s="1597">
        <v>33044</v>
      </c>
      <c r="O2618" s="1597">
        <v>6350.38</v>
      </c>
      <c r="P2618" s="1597">
        <v>25786.42</v>
      </c>
      <c r="Q2618" s="1599">
        <v>907.2</v>
      </c>
      <c r="R2618" s="1597">
        <v>26693.62</v>
      </c>
      <c r="S2618" s="1592"/>
    </row>
    <row r="2619" spans="2:19" s="1593" customFormat="1" ht="21.75" customHeight="1" outlineLevel="1">
      <c r="B2619" s="1594">
        <v>10597</v>
      </c>
      <c r="C2619" s="1595" t="s">
        <v>5403</v>
      </c>
      <c r="D2619" s="1595" t="s">
        <v>10935</v>
      </c>
      <c r="E2619" s="1595"/>
      <c r="F2619" s="1595"/>
      <c r="G2619" s="1595" t="s">
        <v>10765</v>
      </c>
      <c r="H2619" s="1596">
        <v>1</v>
      </c>
      <c r="I2619" s="1595"/>
      <c r="J2619" s="1595"/>
      <c r="K2619" s="1597">
        <v>33044</v>
      </c>
      <c r="L2619" s="1597">
        <v>33044</v>
      </c>
      <c r="M2619" s="1598"/>
      <c r="N2619" s="1597">
        <v>33044</v>
      </c>
      <c r="O2619" s="1597">
        <v>6350.38</v>
      </c>
      <c r="P2619" s="1597">
        <v>25786.42</v>
      </c>
      <c r="Q2619" s="1599">
        <v>907.2</v>
      </c>
      <c r="R2619" s="1597">
        <v>26693.62</v>
      </c>
      <c r="S2619" s="1592"/>
    </row>
    <row r="2620" spans="2:19" s="1593" customFormat="1" ht="21.75" customHeight="1" outlineLevel="1">
      <c r="B2620" s="1594">
        <v>10598</v>
      </c>
      <c r="C2620" s="1595" t="s">
        <v>5403</v>
      </c>
      <c r="D2620" s="1595" t="s">
        <v>10934</v>
      </c>
      <c r="E2620" s="1595"/>
      <c r="F2620" s="1595"/>
      <c r="G2620" s="1595" t="s">
        <v>10933</v>
      </c>
      <c r="H2620" s="1596">
        <v>1</v>
      </c>
      <c r="I2620" s="1595"/>
      <c r="J2620" s="1595"/>
      <c r="K2620" s="1597">
        <v>33044</v>
      </c>
      <c r="L2620" s="1597">
        <v>33044</v>
      </c>
      <c r="M2620" s="1598"/>
      <c r="N2620" s="1597">
        <v>33044</v>
      </c>
      <c r="O2620" s="1597">
        <v>6350.38</v>
      </c>
      <c r="P2620" s="1597">
        <v>25786.42</v>
      </c>
      <c r="Q2620" s="1599">
        <v>907.2</v>
      </c>
      <c r="R2620" s="1597">
        <v>26693.62</v>
      </c>
      <c r="S2620" s="1592"/>
    </row>
    <row r="2621" spans="2:19" s="1593" customFormat="1" ht="21.75" customHeight="1" outlineLevel="1">
      <c r="B2621" s="1594">
        <v>10599</v>
      </c>
      <c r="C2621" s="1595" t="s">
        <v>5403</v>
      </c>
      <c r="D2621" s="1595" t="s">
        <v>10932</v>
      </c>
      <c r="E2621" s="1595"/>
      <c r="F2621" s="1595"/>
      <c r="G2621" s="1595" t="s">
        <v>10765</v>
      </c>
      <c r="H2621" s="1596">
        <v>1</v>
      </c>
      <c r="I2621" s="1595"/>
      <c r="J2621" s="1595"/>
      <c r="K2621" s="1597">
        <v>33044</v>
      </c>
      <c r="L2621" s="1597">
        <v>33044</v>
      </c>
      <c r="M2621" s="1598"/>
      <c r="N2621" s="1597">
        <v>33044</v>
      </c>
      <c r="O2621" s="1597">
        <v>6350.38</v>
      </c>
      <c r="P2621" s="1597">
        <v>25786.42</v>
      </c>
      <c r="Q2621" s="1599">
        <v>907.2</v>
      </c>
      <c r="R2621" s="1597">
        <v>26693.62</v>
      </c>
      <c r="S2621" s="1592"/>
    </row>
    <row r="2622" spans="2:19" s="1593" customFormat="1" ht="21.75" customHeight="1" outlineLevel="1">
      <c r="B2622" s="1594">
        <v>10602</v>
      </c>
      <c r="C2622" s="1595" t="s">
        <v>5403</v>
      </c>
      <c r="D2622" s="1595" t="s">
        <v>10931</v>
      </c>
      <c r="E2622" s="1595"/>
      <c r="F2622" s="1595"/>
      <c r="G2622" s="1595" t="s">
        <v>10930</v>
      </c>
      <c r="H2622" s="1596">
        <v>1</v>
      </c>
      <c r="I2622" s="1595"/>
      <c r="J2622" s="1595"/>
      <c r="K2622" s="1597">
        <v>122924</v>
      </c>
      <c r="L2622" s="1597">
        <v>122924</v>
      </c>
      <c r="M2622" s="1598"/>
      <c r="N2622" s="1597">
        <v>122924</v>
      </c>
      <c r="O2622" s="1597">
        <v>23628.63</v>
      </c>
      <c r="P2622" s="1597">
        <v>95919.89</v>
      </c>
      <c r="Q2622" s="1597">
        <v>3375.48</v>
      </c>
      <c r="R2622" s="1597">
        <v>99295.37</v>
      </c>
      <c r="S2622" s="1592"/>
    </row>
    <row r="2623" spans="2:19" s="1593" customFormat="1" ht="21.75" customHeight="1" outlineLevel="1">
      <c r="B2623" s="1594">
        <v>10603</v>
      </c>
      <c r="C2623" s="1595" t="s">
        <v>5403</v>
      </c>
      <c r="D2623" s="1595" t="s">
        <v>10929</v>
      </c>
      <c r="E2623" s="1595"/>
      <c r="F2623" s="1595"/>
      <c r="G2623" s="1595" t="s">
        <v>10768</v>
      </c>
      <c r="H2623" s="1596">
        <v>1</v>
      </c>
      <c r="I2623" s="1595"/>
      <c r="J2623" s="1595"/>
      <c r="K2623" s="1597">
        <v>124906</v>
      </c>
      <c r="L2623" s="1597">
        <v>124906</v>
      </c>
      <c r="M2623" s="1598"/>
      <c r="N2623" s="1597">
        <v>124906</v>
      </c>
      <c r="O2623" s="1597">
        <v>24008.25</v>
      </c>
      <c r="P2623" s="1597">
        <v>97468.03</v>
      </c>
      <c r="Q2623" s="1597">
        <v>3429.72</v>
      </c>
      <c r="R2623" s="1597">
        <v>100897.75</v>
      </c>
      <c r="S2623" s="1592"/>
    </row>
    <row r="2624" spans="2:19" s="1593" customFormat="1" ht="21.75" customHeight="1" outlineLevel="1">
      <c r="B2624" s="1594">
        <v>11028</v>
      </c>
      <c r="C2624" s="1595" t="s">
        <v>5403</v>
      </c>
      <c r="D2624" s="1595" t="s">
        <v>10928</v>
      </c>
      <c r="E2624" s="1595"/>
      <c r="F2624" s="1595"/>
      <c r="G2624" s="1595" t="s">
        <v>10927</v>
      </c>
      <c r="H2624" s="1596">
        <v>1</v>
      </c>
      <c r="I2624" s="1595"/>
      <c r="J2624" s="1595"/>
      <c r="K2624" s="1597">
        <v>97668</v>
      </c>
      <c r="L2624" s="1597">
        <v>97668</v>
      </c>
      <c r="M2624" s="1598"/>
      <c r="N2624" s="1597">
        <v>97668</v>
      </c>
      <c r="O2624" s="1597">
        <v>18772.740000000002</v>
      </c>
      <c r="P2624" s="1597">
        <v>76213.5</v>
      </c>
      <c r="Q2624" s="1597">
        <v>2681.76</v>
      </c>
      <c r="R2624" s="1597">
        <v>78895.259999999995</v>
      </c>
      <c r="S2624" s="1592"/>
    </row>
    <row r="2625" spans="2:19" s="1593" customFormat="1" ht="11.25" customHeight="1" outlineLevel="1">
      <c r="B2625" s="1594">
        <v>11163</v>
      </c>
      <c r="C2625" s="1595" t="s">
        <v>5403</v>
      </c>
      <c r="D2625" s="1595" t="s">
        <v>10926</v>
      </c>
      <c r="E2625" s="1595"/>
      <c r="F2625" s="1595"/>
      <c r="G2625" s="1595"/>
      <c r="H2625" s="1596">
        <v>1</v>
      </c>
      <c r="I2625" s="1595"/>
      <c r="J2625" s="1595"/>
      <c r="K2625" s="1597">
        <v>186553</v>
      </c>
      <c r="L2625" s="1597">
        <v>186553</v>
      </c>
      <c r="M2625" s="1598"/>
      <c r="N2625" s="1597">
        <v>186553</v>
      </c>
      <c r="O2625" s="1597">
        <v>11875.08</v>
      </c>
      <c r="P2625" s="1597">
        <v>168740.44</v>
      </c>
      <c r="Q2625" s="1597">
        <v>5937.48</v>
      </c>
      <c r="R2625" s="1597">
        <v>174677.92</v>
      </c>
      <c r="S2625" s="1592"/>
    </row>
    <row r="2626" spans="2:19" s="1593" customFormat="1" ht="11.25" customHeight="1" outlineLevel="1">
      <c r="B2626" s="1594">
        <v>11164</v>
      </c>
      <c r="C2626" s="1595" t="s">
        <v>5403</v>
      </c>
      <c r="D2626" s="1595" t="s">
        <v>10925</v>
      </c>
      <c r="E2626" s="1595"/>
      <c r="F2626" s="1595"/>
      <c r="G2626" s="1595" t="s">
        <v>3734</v>
      </c>
      <c r="H2626" s="1596">
        <v>1</v>
      </c>
      <c r="I2626" s="1595"/>
      <c r="J2626" s="1595"/>
      <c r="K2626" s="1597">
        <v>21742</v>
      </c>
      <c r="L2626" s="1597">
        <v>21742</v>
      </c>
      <c r="M2626" s="1598"/>
      <c r="N2626" s="1597">
        <v>21742</v>
      </c>
      <c r="O2626" s="1597">
        <v>3159.84</v>
      </c>
      <c r="P2626" s="1597">
        <v>17950.240000000002</v>
      </c>
      <c r="Q2626" s="1599">
        <v>631.91999999999996</v>
      </c>
      <c r="R2626" s="1597">
        <v>18582.16</v>
      </c>
      <c r="S2626" s="1592"/>
    </row>
    <row r="2627" spans="2:19" s="1593" customFormat="1" ht="11.25" customHeight="1" outlineLevel="1">
      <c r="B2627" s="1594">
        <v>11165</v>
      </c>
      <c r="C2627" s="1595" t="s">
        <v>5403</v>
      </c>
      <c r="D2627" s="1595" t="s">
        <v>10924</v>
      </c>
      <c r="E2627" s="1595"/>
      <c r="F2627" s="1595"/>
      <c r="G2627" s="1595"/>
      <c r="H2627" s="1596">
        <v>1</v>
      </c>
      <c r="I2627" s="1595"/>
      <c r="J2627" s="1595"/>
      <c r="K2627" s="1599">
        <v>106</v>
      </c>
      <c r="L2627" s="1599">
        <v>106</v>
      </c>
      <c r="M2627" s="1599">
        <v>-106</v>
      </c>
      <c r="N2627" s="1598"/>
      <c r="O2627" s="1598"/>
      <c r="P2627" s="1599">
        <v>106</v>
      </c>
      <c r="Q2627" s="1599">
        <v>-106</v>
      </c>
      <c r="R2627" s="1598"/>
      <c r="S2627" s="1592"/>
    </row>
    <row r="2628" spans="2:19" s="1593" customFormat="1" ht="11.25" customHeight="1" outlineLevel="1">
      <c r="B2628" s="1594">
        <v>11166</v>
      </c>
      <c r="C2628" s="1595" t="s">
        <v>5403</v>
      </c>
      <c r="D2628" s="1595" t="s">
        <v>10923</v>
      </c>
      <c r="E2628" s="1595"/>
      <c r="F2628" s="1595"/>
      <c r="G2628" s="1595"/>
      <c r="H2628" s="1596">
        <v>1</v>
      </c>
      <c r="I2628" s="1595"/>
      <c r="J2628" s="1595"/>
      <c r="K2628" s="1599">
        <v>91</v>
      </c>
      <c r="L2628" s="1599">
        <v>91</v>
      </c>
      <c r="M2628" s="1599">
        <v>-91</v>
      </c>
      <c r="N2628" s="1598"/>
      <c r="O2628" s="1598"/>
      <c r="P2628" s="1599">
        <v>91</v>
      </c>
      <c r="Q2628" s="1599">
        <v>-91</v>
      </c>
      <c r="R2628" s="1598"/>
      <c r="S2628" s="1592"/>
    </row>
    <row r="2629" spans="2:19" s="1593" customFormat="1" ht="21.75" customHeight="1" outlineLevel="1">
      <c r="B2629" s="1594">
        <v>11168</v>
      </c>
      <c r="C2629" s="1595" t="s">
        <v>5403</v>
      </c>
      <c r="D2629" s="1595" t="s">
        <v>10922</v>
      </c>
      <c r="E2629" s="1595"/>
      <c r="F2629" s="1595"/>
      <c r="G2629" s="1595" t="s">
        <v>10765</v>
      </c>
      <c r="H2629" s="1596">
        <v>1</v>
      </c>
      <c r="I2629" s="1595"/>
      <c r="J2629" s="1595"/>
      <c r="K2629" s="1597">
        <v>23898</v>
      </c>
      <c r="L2629" s="1597">
        <v>23898</v>
      </c>
      <c r="M2629" s="1598"/>
      <c r="N2629" s="1597">
        <v>23898</v>
      </c>
      <c r="O2629" s="1597">
        <v>4592.67</v>
      </c>
      <c r="P2629" s="1597">
        <v>18649.29</v>
      </c>
      <c r="Q2629" s="1599">
        <v>656.04</v>
      </c>
      <c r="R2629" s="1597">
        <v>19305.330000000002</v>
      </c>
      <c r="S2629" s="1592"/>
    </row>
    <row r="2630" spans="2:19" s="1593" customFormat="1" ht="11.25" customHeight="1" outlineLevel="1">
      <c r="B2630" s="1594">
        <v>11169</v>
      </c>
      <c r="C2630" s="1595" t="s">
        <v>5403</v>
      </c>
      <c r="D2630" s="1595" t="s">
        <v>10921</v>
      </c>
      <c r="E2630" s="1595"/>
      <c r="F2630" s="1595"/>
      <c r="G2630" s="1595"/>
      <c r="H2630" s="1596">
        <v>1</v>
      </c>
      <c r="I2630" s="1595"/>
      <c r="J2630" s="1595"/>
      <c r="K2630" s="1599">
        <v>68</v>
      </c>
      <c r="L2630" s="1599">
        <v>68</v>
      </c>
      <c r="M2630" s="1599">
        <v>-68</v>
      </c>
      <c r="N2630" s="1598"/>
      <c r="O2630" s="1598"/>
      <c r="P2630" s="1599">
        <v>68</v>
      </c>
      <c r="Q2630" s="1599">
        <v>-68</v>
      </c>
      <c r="R2630" s="1598"/>
      <c r="S2630" s="1592"/>
    </row>
    <row r="2631" spans="2:19" s="1593" customFormat="1" ht="21.75" customHeight="1" outlineLevel="1">
      <c r="B2631" s="1594">
        <v>11171</v>
      </c>
      <c r="C2631" s="1595" t="s">
        <v>5403</v>
      </c>
      <c r="D2631" s="1595" t="s">
        <v>10920</v>
      </c>
      <c r="E2631" s="1595"/>
      <c r="F2631" s="1595"/>
      <c r="G2631" s="1595" t="s">
        <v>10919</v>
      </c>
      <c r="H2631" s="1596">
        <v>1</v>
      </c>
      <c r="I2631" s="1595"/>
      <c r="J2631" s="1595"/>
      <c r="K2631" s="1597">
        <v>1775</v>
      </c>
      <c r="L2631" s="1597">
        <v>1775</v>
      </c>
      <c r="M2631" s="1598"/>
      <c r="N2631" s="1597">
        <v>1775</v>
      </c>
      <c r="O2631" s="1599">
        <v>299.7</v>
      </c>
      <c r="P2631" s="1597">
        <v>1425.38</v>
      </c>
      <c r="Q2631" s="1599">
        <v>49.92</v>
      </c>
      <c r="R2631" s="1597">
        <v>1475.3</v>
      </c>
      <c r="S2631" s="1592"/>
    </row>
    <row r="2632" spans="2:19" s="1593" customFormat="1" ht="11.25" customHeight="1" outlineLevel="1">
      <c r="B2632" s="1594">
        <v>11173</v>
      </c>
      <c r="C2632" s="1595" t="s">
        <v>5403</v>
      </c>
      <c r="D2632" s="1595" t="s">
        <v>10918</v>
      </c>
      <c r="E2632" s="1595"/>
      <c r="F2632" s="1595"/>
      <c r="G2632" s="1595" t="s">
        <v>3734</v>
      </c>
      <c r="H2632" s="1596">
        <v>1</v>
      </c>
      <c r="I2632" s="1595"/>
      <c r="J2632" s="1595"/>
      <c r="K2632" s="1599">
        <v>862</v>
      </c>
      <c r="L2632" s="1597">
        <v>9514398.6600000001</v>
      </c>
      <c r="M2632" s="1598"/>
      <c r="N2632" s="1597">
        <v>9514398.6600000001</v>
      </c>
      <c r="O2632" s="1597">
        <v>4757197.8099999996</v>
      </c>
      <c r="P2632" s="1597">
        <v>4595483.09</v>
      </c>
      <c r="Q2632" s="1597">
        <v>161717.76000000001</v>
      </c>
      <c r="R2632" s="1597">
        <v>4757200.8499999996</v>
      </c>
      <c r="S2632" s="1592"/>
    </row>
    <row r="2633" spans="2:19" s="1593" customFormat="1" ht="11.25" customHeight="1" outlineLevel="1">
      <c r="B2633" s="1594">
        <v>11174</v>
      </c>
      <c r="C2633" s="1595" t="s">
        <v>5403</v>
      </c>
      <c r="D2633" s="1595" t="s">
        <v>10917</v>
      </c>
      <c r="E2633" s="1595"/>
      <c r="F2633" s="1595"/>
      <c r="G2633" s="1595" t="s">
        <v>3734</v>
      </c>
      <c r="H2633" s="1596">
        <v>1</v>
      </c>
      <c r="I2633" s="1595"/>
      <c r="J2633" s="1595"/>
      <c r="K2633" s="1599">
        <v>241</v>
      </c>
      <c r="L2633" s="1597">
        <v>441495</v>
      </c>
      <c r="M2633" s="1598"/>
      <c r="N2633" s="1597">
        <v>441495</v>
      </c>
      <c r="O2633" s="1597">
        <v>64138.36</v>
      </c>
      <c r="P2633" s="1597">
        <v>364529</v>
      </c>
      <c r="Q2633" s="1597">
        <v>12827.64</v>
      </c>
      <c r="R2633" s="1597">
        <v>377356.64</v>
      </c>
      <c r="S2633" s="1592"/>
    </row>
    <row r="2634" spans="2:19" s="1593" customFormat="1" ht="11.25" customHeight="1" outlineLevel="1">
      <c r="B2634" s="1594">
        <v>11175</v>
      </c>
      <c r="C2634" s="1595" t="s">
        <v>5403</v>
      </c>
      <c r="D2634" s="1595" t="s">
        <v>10916</v>
      </c>
      <c r="E2634" s="1595"/>
      <c r="F2634" s="1595"/>
      <c r="G2634" s="1595" t="s">
        <v>3734</v>
      </c>
      <c r="H2634" s="1596">
        <v>1</v>
      </c>
      <c r="I2634" s="1595"/>
      <c r="J2634" s="1595"/>
      <c r="K2634" s="1597">
        <v>9948</v>
      </c>
      <c r="L2634" s="1597">
        <v>3581304</v>
      </c>
      <c r="M2634" s="1598"/>
      <c r="N2634" s="1597">
        <v>3581304</v>
      </c>
      <c r="O2634" s="1597">
        <v>1790651.49</v>
      </c>
      <c r="P2634" s="1597">
        <v>1729780.47</v>
      </c>
      <c r="Q2634" s="1597">
        <v>60872.04</v>
      </c>
      <c r="R2634" s="1597">
        <v>1790652.51</v>
      </c>
      <c r="S2634" s="1592"/>
    </row>
    <row r="2635" spans="2:19" s="1593" customFormat="1" ht="11.25" customHeight="1" outlineLevel="1">
      <c r="B2635" s="1594">
        <v>22811</v>
      </c>
      <c r="C2635" s="1595" t="s">
        <v>5403</v>
      </c>
      <c r="D2635" s="1595" t="s">
        <v>10915</v>
      </c>
      <c r="E2635" s="1595"/>
      <c r="F2635" s="1595"/>
      <c r="G2635" s="1595"/>
      <c r="H2635" s="1596">
        <v>1</v>
      </c>
      <c r="I2635" s="1595"/>
      <c r="J2635" s="1595"/>
      <c r="K2635" s="1597">
        <v>2896</v>
      </c>
      <c r="L2635" s="1597">
        <v>2896.5</v>
      </c>
      <c r="M2635" s="1597">
        <v>-2896.5</v>
      </c>
      <c r="N2635" s="1598"/>
      <c r="O2635" s="1598"/>
      <c r="P2635" s="1597">
        <v>2896.5</v>
      </c>
      <c r="Q2635" s="1597">
        <v>-2896.5</v>
      </c>
      <c r="R2635" s="1598"/>
      <c r="S2635" s="1592"/>
    </row>
    <row r="2636" spans="2:19" s="1593" customFormat="1" ht="11.25" customHeight="1" outlineLevel="1">
      <c r="B2636" s="1594">
        <v>22993</v>
      </c>
      <c r="C2636" s="1595" t="s">
        <v>5403</v>
      </c>
      <c r="D2636" s="1595" t="s">
        <v>10914</v>
      </c>
      <c r="E2636" s="1595"/>
      <c r="F2636" s="1595"/>
      <c r="G2636" s="1595"/>
      <c r="H2636" s="1596">
        <v>1</v>
      </c>
      <c r="I2636" s="1595"/>
      <c r="J2636" s="1595"/>
      <c r="K2636" s="1597">
        <v>2117</v>
      </c>
      <c r="L2636" s="1597">
        <v>2115.66</v>
      </c>
      <c r="M2636" s="1597">
        <v>-2115.66</v>
      </c>
      <c r="N2636" s="1598"/>
      <c r="O2636" s="1598"/>
      <c r="P2636" s="1597">
        <v>2115.66</v>
      </c>
      <c r="Q2636" s="1597">
        <v>-2115.66</v>
      </c>
      <c r="R2636" s="1598"/>
      <c r="S2636" s="1592"/>
    </row>
    <row r="2637" spans="2:19" s="1593" customFormat="1" ht="11.25" customHeight="1" outlineLevel="1">
      <c r="B2637" s="1594">
        <v>23046</v>
      </c>
      <c r="C2637" s="1595" t="s">
        <v>5403</v>
      </c>
      <c r="D2637" s="1595" t="s">
        <v>10913</v>
      </c>
      <c r="E2637" s="1595"/>
      <c r="F2637" s="1595"/>
      <c r="G2637" s="1595"/>
      <c r="H2637" s="1596">
        <v>1</v>
      </c>
      <c r="I2637" s="1595"/>
      <c r="J2637" s="1595"/>
      <c r="K2637" s="1597">
        <v>5075</v>
      </c>
      <c r="L2637" s="1597">
        <v>5075</v>
      </c>
      <c r="M2637" s="1597">
        <v>-5075</v>
      </c>
      <c r="N2637" s="1598"/>
      <c r="O2637" s="1598"/>
      <c r="P2637" s="1597">
        <v>5075</v>
      </c>
      <c r="Q2637" s="1597">
        <v>-5075</v>
      </c>
      <c r="R2637" s="1598"/>
      <c r="S2637" s="1592"/>
    </row>
    <row r="2638" spans="2:19" s="1593" customFormat="1" ht="11.25" customHeight="1" outlineLevel="1">
      <c r="B2638" s="1594">
        <v>33504</v>
      </c>
      <c r="C2638" s="1595" t="s">
        <v>5403</v>
      </c>
      <c r="D2638" s="1595" t="s">
        <v>10912</v>
      </c>
      <c r="E2638" s="1595"/>
      <c r="F2638" s="1595"/>
      <c r="G2638" s="1595"/>
      <c r="H2638" s="1596">
        <v>1</v>
      </c>
      <c r="I2638" s="1595"/>
      <c r="J2638" s="1595"/>
      <c r="K2638" s="1599">
        <v>122</v>
      </c>
      <c r="L2638" s="1599">
        <v>122.5</v>
      </c>
      <c r="M2638" s="1599">
        <v>-122.5</v>
      </c>
      <c r="N2638" s="1598"/>
      <c r="O2638" s="1598"/>
      <c r="P2638" s="1599">
        <v>122.5</v>
      </c>
      <c r="Q2638" s="1599">
        <v>-122.5</v>
      </c>
      <c r="R2638" s="1598"/>
      <c r="S2638" s="1592"/>
    </row>
    <row r="2639" spans="2:19" s="1593" customFormat="1" ht="11.25" customHeight="1" outlineLevel="1">
      <c r="B2639" s="1594">
        <v>34184</v>
      </c>
      <c r="C2639" s="1595" t="s">
        <v>5403</v>
      </c>
      <c r="D2639" s="1595" t="s">
        <v>10911</v>
      </c>
      <c r="E2639" s="1595"/>
      <c r="F2639" s="1595"/>
      <c r="G2639" s="1595"/>
      <c r="H2639" s="1596">
        <v>1</v>
      </c>
      <c r="I2639" s="1595"/>
      <c r="J2639" s="1595"/>
      <c r="K2639" s="1599">
        <v>552</v>
      </c>
      <c r="L2639" s="1599">
        <v>552.5</v>
      </c>
      <c r="M2639" s="1599">
        <v>-552.5</v>
      </c>
      <c r="N2639" s="1598"/>
      <c r="O2639" s="1598"/>
      <c r="P2639" s="1599">
        <v>552.5</v>
      </c>
      <c r="Q2639" s="1599">
        <v>-552.5</v>
      </c>
      <c r="R2639" s="1598"/>
      <c r="S2639" s="1592"/>
    </row>
    <row r="2640" spans="2:19" s="1593" customFormat="1" ht="11.25" customHeight="1" outlineLevel="1">
      <c r="B2640" s="1594">
        <v>34185</v>
      </c>
      <c r="C2640" s="1595" t="s">
        <v>5403</v>
      </c>
      <c r="D2640" s="1595" t="s">
        <v>10910</v>
      </c>
      <c r="E2640" s="1595"/>
      <c r="F2640" s="1595"/>
      <c r="G2640" s="1595"/>
      <c r="H2640" s="1596">
        <v>1</v>
      </c>
      <c r="I2640" s="1595"/>
      <c r="J2640" s="1595"/>
      <c r="K2640" s="1599">
        <v>552</v>
      </c>
      <c r="L2640" s="1599">
        <v>552.5</v>
      </c>
      <c r="M2640" s="1599">
        <v>-552.5</v>
      </c>
      <c r="N2640" s="1598"/>
      <c r="O2640" s="1598"/>
      <c r="P2640" s="1599">
        <v>552.5</v>
      </c>
      <c r="Q2640" s="1599">
        <v>-552.5</v>
      </c>
      <c r="R2640" s="1598"/>
      <c r="S2640" s="1592"/>
    </row>
    <row r="2641" spans="2:19" s="1593" customFormat="1" ht="11.25" customHeight="1" outlineLevel="1">
      <c r="B2641" s="1594">
        <v>34186</v>
      </c>
      <c r="C2641" s="1595" t="s">
        <v>5403</v>
      </c>
      <c r="D2641" s="1595" t="s">
        <v>10909</v>
      </c>
      <c r="E2641" s="1595"/>
      <c r="F2641" s="1595"/>
      <c r="G2641" s="1595"/>
      <c r="H2641" s="1596">
        <v>1</v>
      </c>
      <c r="I2641" s="1595"/>
      <c r="J2641" s="1595"/>
      <c r="K2641" s="1599">
        <v>552</v>
      </c>
      <c r="L2641" s="1599">
        <v>552.5</v>
      </c>
      <c r="M2641" s="1599">
        <v>-552.5</v>
      </c>
      <c r="N2641" s="1598"/>
      <c r="O2641" s="1598"/>
      <c r="P2641" s="1599">
        <v>552.5</v>
      </c>
      <c r="Q2641" s="1599">
        <v>-552.5</v>
      </c>
      <c r="R2641" s="1598"/>
      <c r="S2641" s="1592"/>
    </row>
    <row r="2642" spans="2:19" s="1593" customFormat="1" ht="11.25" customHeight="1" outlineLevel="1">
      <c r="B2642" s="1594">
        <v>34187</v>
      </c>
      <c r="C2642" s="1595" t="s">
        <v>5403</v>
      </c>
      <c r="D2642" s="1595" t="s">
        <v>10908</v>
      </c>
      <c r="E2642" s="1595"/>
      <c r="F2642" s="1595"/>
      <c r="G2642" s="1595"/>
      <c r="H2642" s="1596">
        <v>1</v>
      </c>
      <c r="I2642" s="1595"/>
      <c r="J2642" s="1595"/>
      <c r="K2642" s="1599">
        <v>552</v>
      </c>
      <c r="L2642" s="1599">
        <v>552.5</v>
      </c>
      <c r="M2642" s="1599">
        <v>-552.5</v>
      </c>
      <c r="N2642" s="1598"/>
      <c r="O2642" s="1598"/>
      <c r="P2642" s="1599">
        <v>552.5</v>
      </c>
      <c r="Q2642" s="1599">
        <v>-552.5</v>
      </c>
      <c r="R2642" s="1598"/>
      <c r="S2642" s="1592"/>
    </row>
    <row r="2643" spans="2:19" s="1593" customFormat="1" ht="11.25" customHeight="1" outlineLevel="1">
      <c r="B2643" s="1594">
        <v>34188</v>
      </c>
      <c r="C2643" s="1595" t="s">
        <v>5403</v>
      </c>
      <c r="D2643" s="1595" t="s">
        <v>10907</v>
      </c>
      <c r="E2643" s="1595"/>
      <c r="F2643" s="1595"/>
      <c r="G2643" s="1595"/>
      <c r="H2643" s="1596">
        <v>1</v>
      </c>
      <c r="I2643" s="1595"/>
      <c r="J2643" s="1595"/>
      <c r="K2643" s="1599">
        <v>552</v>
      </c>
      <c r="L2643" s="1599">
        <v>552.5</v>
      </c>
      <c r="M2643" s="1599">
        <v>-552.5</v>
      </c>
      <c r="N2643" s="1598"/>
      <c r="O2643" s="1598"/>
      <c r="P2643" s="1599">
        <v>552.5</v>
      </c>
      <c r="Q2643" s="1599">
        <v>-552.5</v>
      </c>
      <c r="R2643" s="1598"/>
      <c r="S2643" s="1592"/>
    </row>
    <row r="2644" spans="2:19" s="1593" customFormat="1" ht="11.25" customHeight="1" outlineLevel="1">
      <c r="B2644" s="1594">
        <v>34189</v>
      </c>
      <c r="C2644" s="1595" t="s">
        <v>5403</v>
      </c>
      <c r="D2644" s="1595" t="s">
        <v>10906</v>
      </c>
      <c r="E2644" s="1595"/>
      <c r="F2644" s="1595"/>
      <c r="G2644" s="1595"/>
      <c r="H2644" s="1596">
        <v>1</v>
      </c>
      <c r="I2644" s="1595"/>
      <c r="J2644" s="1595"/>
      <c r="K2644" s="1599">
        <v>552</v>
      </c>
      <c r="L2644" s="1599">
        <v>552.5</v>
      </c>
      <c r="M2644" s="1599">
        <v>-552.5</v>
      </c>
      <c r="N2644" s="1598"/>
      <c r="O2644" s="1598"/>
      <c r="P2644" s="1599">
        <v>552.5</v>
      </c>
      <c r="Q2644" s="1599">
        <v>-552.5</v>
      </c>
      <c r="R2644" s="1598"/>
      <c r="S2644" s="1592"/>
    </row>
    <row r="2645" spans="2:19" s="1593" customFormat="1" ht="11.25" customHeight="1" outlineLevel="1">
      <c r="B2645" s="1594">
        <v>34190</v>
      </c>
      <c r="C2645" s="1595" t="s">
        <v>5403</v>
      </c>
      <c r="D2645" s="1595" t="s">
        <v>10905</v>
      </c>
      <c r="E2645" s="1595"/>
      <c r="F2645" s="1595"/>
      <c r="G2645" s="1595"/>
      <c r="H2645" s="1596">
        <v>1</v>
      </c>
      <c r="I2645" s="1595"/>
      <c r="J2645" s="1595"/>
      <c r="K2645" s="1599">
        <v>552</v>
      </c>
      <c r="L2645" s="1599">
        <v>552.5</v>
      </c>
      <c r="M2645" s="1599">
        <v>-552.5</v>
      </c>
      <c r="N2645" s="1598"/>
      <c r="O2645" s="1598"/>
      <c r="P2645" s="1599">
        <v>552.5</v>
      </c>
      <c r="Q2645" s="1599">
        <v>-552.5</v>
      </c>
      <c r="R2645" s="1598"/>
      <c r="S2645" s="1592"/>
    </row>
    <row r="2646" spans="2:19" s="1593" customFormat="1" ht="11.25" customHeight="1" outlineLevel="1">
      <c r="B2646" s="1594">
        <v>34191</v>
      </c>
      <c r="C2646" s="1595" t="s">
        <v>5403</v>
      </c>
      <c r="D2646" s="1595" t="s">
        <v>10904</v>
      </c>
      <c r="E2646" s="1595"/>
      <c r="F2646" s="1595"/>
      <c r="G2646" s="1595"/>
      <c r="H2646" s="1596">
        <v>1</v>
      </c>
      <c r="I2646" s="1595"/>
      <c r="J2646" s="1595"/>
      <c r="K2646" s="1599">
        <v>552</v>
      </c>
      <c r="L2646" s="1599">
        <v>552.5</v>
      </c>
      <c r="M2646" s="1599">
        <v>-552.5</v>
      </c>
      <c r="N2646" s="1598"/>
      <c r="O2646" s="1598"/>
      <c r="P2646" s="1599">
        <v>552.5</v>
      </c>
      <c r="Q2646" s="1599">
        <v>-552.5</v>
      </c>
      <c r="R2646" s="1598"/>
      <c r="S2646" s="1592"/>
    </row>
    <row r="2647" spans="2:19" s="1593" customFormat="1" ht="11.25" customHeight="1" outlineLevel="1">
      <c r="B2647" s="1594">
        <v>34192</v>
      </c>
      <c r="C2647" s="1595" t="s">
        <v>5403</v>
      </c>
      <c r="D2647" s="1595" t="s">
        <v>10903</v>
      </c>
      <c r="E2647" s="1595"/>
      <c r="F2647" s="1595"/>
      <c r="G2647" s="1595"/>
      <c r="H2647" s="1596">
        <v>1</v>
      </c>
      <c r="I2647" s="1595"/>
      <c r="J2647" s="1595"/>
      <c r="K2647" s="1599">
        <v>552</v>
      </c>
      <c r="L2647" s="1599">
        <v>552.5</v>
      </c>
      <c r="M2647" s="1599">
        <v>-552.5</v>
      </c>
      <c r="N2647" s="1598"/>
      <c r="O2647" s="1598"/>
      <c r="P2647" s="1599">
        <v>552.5</v>
      </c>
      <c r="Q2647" s="1599">
        <v>-552.5</v>
      </c>
      <c r="R2647" s="1598"/>
      <c r="S2647" s="1592"/>
    </row>
    <row r="2648" spans="2:19" s="1593" customFormat="1" ht="11.25" customHeight="1" outlineLevel="1">
      <c r="B2648" s="1594">
        <v>34193</v>
      </c>
      <c r="C2648" s="1595" t="s">
        <v>5403</v>
      </c>
      <c r="D2648" s="1595" t="s">
        <v>10902</v>
      </c>
      <c r="E2648" s="1595"/>
      <c r="F2648" s="1595"/>
      <c r="G2648" s="1595"/>
      <c r="H2648" s="1596">
        <v>1</v>
      </c>
      <c r="I2648" s="1595"/>
      <c r="J2648" s="1595"/>
      <c r="K2648" s="1599">
        <v>552</v>
      </c>
      <c r="L2648" s="1599">
        <v>552.5</v>
      </c>
      <c r="M2648" s="1599">
        <v>-552.5</v>
      </c>
      <c r="N2648" s="1598"/>
      <c r="O2648" s="1598"/>
      <c r="P2648" s="1599">
        <v>552.5</v>
      </c>
      <c r="Q2648" s="1599">
        <v>-552.5</v>
      </c>
      <c r="R2648" s="1598"/>
      <c r="S2648" s="1592"/>
    </row>
    <row r="2649" spans="2:19" s="1593" customFormat="1" ht="11.25" customHeight="1" outlineLevel="1">
      <c r="B2649" s="1594">
        <v>34194</v>
      </c>
      <c r="C2649" s="1595" t="s">
        <v>5403</v>
      </c>
      <c r="D2649" s="1595" t="s">
        <v>10901</v>
      </c>
      <c r="E2649" s="1595"/>
      <c r="F2649" s="1595"/>
      <c r="G2649" s="1595"/>
      <c r="H2649" s="1596">
        <v>1</v>
      </c>
      <c r="I2649" s="1595"/>
      <c r="J2649" s="1595"/>
      <c r="K2649" s="1599">
        <v>552</v>
      </c>
      <c r="L2649" s="1599">
        <v>552.5</v>
      </c>
      <c r="M2649" s="1599">
        <v>-552.5</v>
      </c>
      <c r="N2649" s="1598"/>
      <c r="O2649" s="1598"/>
      <c r="P2649" s="1599">
        <v>552.5</v>
      </c>
      <c r="Q2649" s="1599">
        <v>-552.5</v>
      </c>
      <c r="R2649" s="1598"/>
      <c r="S2649" s="1592"/>
    </row>
    <row r="2650" spans="2:19" s="1593" customFormat="1" ht="11.25" customHeight="1" outlineLevel="1">
      <c r="B2650" s="1594">
        <v>34195</v>
      </c>
      <c r="C2650" s="1595" t="s">
        <v>5403</v>
      </c>
      <c r="D2650" s="1595" t="s">
        <v>10900</v>
      </c>
      <c r="E2650" s="1595"/>
      <c r="F2650" s="1595"/>
      <c r="G2650" s="1595"/>
      <c r="H2650" s="1596">
        <v>1</v>
      </c>
      <c r="I2650" s="1595"/>
      <c r="J2650" s="1595"/>
      <c r="K2650" s="1599">
        <v>70</v>
      </c>
      <c r="L2650" s="1599">
        <v>70</v>
      </c>
      <c r="M2650" s="1599">
        <v>-70</v>
      </c>
      <c r="N2650" s="1598"/>
      <c r="O2650" s="1598"/>
      <c r="P2650" s="1599">
        <v>70</v>
      </c>
      <c r="Q2650" s="1599">
        <v>-70</v>
      </c>
      <c r="R2650" s="1598"/>
      <c r="S2650" s="1592"/>
    </row>
    <row r="2651" spans="2:19" s="1593" customFormat="1" ht="11.25" customHeight="1" outlineLevel="1">
      <c r="B2651" s="1594">
        <v>34196</v>
      </c>
      <c r="C2651" s="1595" t="s">
        <v>5403</v>
      </c>
      <c r="D2651" s="1595" t="s">
        <v>10899</v>
      </c>
      <c r="E2651" s="1595"/>
      <c r="F2651" s="1595"/>
      <c r="G2651" s="1595"/>
      <c r="H2651" s="1596">
        <v>1</v>
      </c>
      <c r="I2651" s="1595"/>
      <c r="J2651" s="1595"/>
      <c r="K2651" s="1599">
        <v>134</v>
      </c>
      <c r="L2651" s="1599">
        <v>134</v>
      </c>
      <c r="M2651" s="1599">
        <v>-134</v>
      </c>
      <c r="N2651" s="1598"/>
      <c r="O2651" s="1598"/>
      <c r="P2651" s="1599">
        <v>134</v>
      </c>
      <c r="Q2651" s="1599">
        <v>-134</v>
      </c>
      <c r="R2651" s="1598"/>
      <c r="S2651" s="1592"/>
    </row>
    <row r="2652" spans="2:19" s="1593" customFormat="1" ht="11.25" customHeight="1" outlineLevel="1">
      <c r="B2652" s="1594">
        <v>34205</v>
      </c>
      <c r="C2652" s="1595" t="s">
        <v>5403</v>
      </c>
      <c r="D2652" s="1595" t="s">
        <v>10898</v>
      </c>
      <c r="E2652" s="1595"/>
      <c r="F2652" s="1595"/>
      <c r="G2652" s="1595"/>
      <c r="H2652" s="1596">
        <v>1</v>
      </c>
      <c r="I2652" s="1595"/>
      <c r="J2652" s="1595"/>
      <c r="K2652" s="1599">
        <v>122</v>
      </c>
      <c r="L2652" s="1599">
        <v>122.5</v>
      </c>
      <c r="M2652" s="1599">
        <v>-122.5</v>
      </c>
      <c r="N2652" s="1598"/>
      <c r="O2652" s="1598"/>
      <c r="P2652" s="1599">
        <v>122.5</v>
      </c>
      <c r="Q2652" s="1599">
        <v>-122.5</v>
      </c>
      <c r="R2652" s="1598"/>
      <c r="S2652" s="1592"/>
    </row>
    <row r="2653" spans="2:19" s="1593" customFormat="1" ht="11.25" customHeight="1" outlineLevel="1">
      <c r="B2653" s="1594">
        <v>34206</v>
      </c>
      <c r="C2653" s="1595" t="s">
        <v>5403</v>
      </c>
      <c r="D2653" s="1595" t="s">
        <v>10897</v>
      </c>
      <c r="E2653" s="1595"/>
      <c r="F2653" s="1595"/>
      <c r="G2653" s="1595"/>
      <c r="H2653" s="1596">
        <v>1</v>
      </c>
      <c r="I2653" s="1595"/>
      <c r="J2653" s="1595"/>
      <c r="K2653" s="1599">
        <v>122</v>
      </c>
      <c r="L2653" s="1599">
        <v>122.33</v>
      </c>
      <c r="M2653" s="1599">
        <v>-122.33</v>
      </c>
      <c r="N2653" s="1598"/>
      <c r="O2653" s="1598"/>
      <c r="P2653" s="1599">
        <v>122.33</v>
      </c>
      <c r="Q2653" s="1599">
        <v>-122.33</v>
      </c>
      <c r="R2653" s="1598"/>
      <c r="S2653" s="1592"/>
    </row>
    <row r="2654" spans="2:19" s="1593" customFormat="1" ht="11.25" customHeight="1" outlineLevel="1">
      <c r="B2654" s="1594">
        <v>34207</v>
      </c>
      <c r="C2654" s="1595" t="s">
        <v>5403</v>
      </c>
      <c r="D2654" s="1595" t="s">
        <v>10896</v>
      </c>
      <c r="E2654" s="1595"/>
      <c r="F2654" s="1595"/>
      <c r="G2654" s="1595"/>
      <c r="H2654" s="1596">
        <v>1</v>
      </c>
      <c r="I2654" s="1595"/>
      <c r="J2654" s="1595"/>
      <c r="K2654" s="1599">
        <v>122</v>
      </c>
      <c r="L2654" s="1599">
        <v>122.33</v>
      </c>
      <c r="M2654" s="1599">
        <v>-122.33</v>
      </c>
      <c r="N2654" s="1598"/>
      <c r="O2654" s="1598"/>
      <c r="P2654" s="1599">
        <v>122.33</v>
      </c>
      <c r="Q2654" s="1599">
        <v>-122.33</v>
      </c>
      <c r="R2654" s="1598"/>
      <c r="S2654" s="1592"/>
    </row>
    <row r="2655" spans="2:19" s="1593" customFormat="1" ht="11.25" customHeight="1" outlineLevel="1">
      <c r="B2655" s="1594">
        <v>34208</v>
      </c>
      <c r="C2655" s="1595" t="s">
        <v>5403</v>
      </c>
      <c r="D2655" s="1595" t="s">
        <v>10895</v>
      </c>
      <c r="E2655" s="1595"/>
      <c r="F2655" s="1595"/>
      <c r="G2655" s="1595"/>
      <c r="H2655" s="1596">
        <v>1</v>
      </c>
      <c r="I2655" s="1595"/>
      <c r="J2655" s="1595"/>
      <c r="K2655" s="1599">
        <v>122</v>
      </c>
      <c r="L2655" s="1599">
        <v>122.33</v>
      </c>
      <c r="M2655" s="1599">
        <v>-122.33</v>
      </c>
      <c r="N2655" s="1598"/>
      <c r="O2655" s="1598"/>
      <c r="P2655" s="1599">
        <v>122.33</v>
      </c>
      <c r="Q2655" s="1599">
        <v>-122.33</v>
      </c>
      <c r="R2655" s="1598"/>
      <c r="S2655" s="1592"/>
    </row>
    <row r="2656" spans="2:19" s="1593" customFormat="1" ht="11.25" customHeight="1" outlineLevel="1">
      <c r="B2656" s="1594">
        <v>34209</v>
      </c>
      <c r="C2656" s="1595" t="s">
        <v>5403</v>
      </c>
      <c r="D2656" s="1595" t="s">
        <v>10894</v>
      </c>
      <c r="E2656" s="1595"/>
      <c r="F2656" s="1595"/>
      <c r="G2656" s="1595"/>
      <c r="H2656" s="1596">
        <v>1</v>
      </c>
      <c r="I2656" s="1595"/>
      <c r="J2656" s="1595"/>
      <c r="K2656" s="1599">
        <v>122</v>
      </c>
      <c r="L2656" s="1599">
        <v>122.33</v>
      </c>
      <c r="M2656" s="1599">
        <v>-122.33</v>
      </c>
      <c r="N2656" s="1598"/>
      <c r="O2656" s="1598"/>
      <c r="P2656" s="1599">
        <v>122.33</v>
      </c>
      <c r="Q2656" s="1599">
        <v>-122.33</v>
      </c>
      <c r="R2656" s="1598"/>
      <c r="S2656" s="1592"/>
    </row>
    <row r="2657" spans="2:19" s="1593" customFormat="1" ht="11.25" customHeight="1" outlineLevel="1">
      <c r="B2657" s="1594">
        <v>34210</v>
      </c>
      <c r="C2657" s="1595" t="s">
        <v>5403</v>
      </c>
      <c r="D2657" s="1595" t="s">
        <v>10893</v>
      </c>
      <c r="E2657" s="1595"/>
      <c r="F2657" s="1595"/>
      <c r="G2657" s="1595"/>
      <c r="H2657" s="1596">
        <v>1</v>
      </c>
      <c r="I2657" s="1595"/>
      <c r="J2657" s="1595"/>
      <c r="K2657" s="1599">
        <v>122</v>
      </c>
      <c r="L2657" s="1599">
        <v>122.33</v>
      </c>
      <c r="M2657" s="1599">
        <v>-122.33</v>
      </c>
      <c r="N2657" s="1598"/>
      <c r="O2657" s="1598"/>
      <c r="P2657" s="1599">
        <v>122.33</v>
      </c>
      <c r="Q2657" s="1599">
        <v>-122.33</v>
      </c>
      <c r="R2657" s="1598"/>
      <c r="S2657" s="1592"/>
    </row>
    <row r="2658" spans="2:19" s="1593" customFormat="1" ht="11.25" customHeight="1" outlineLevel="1">
      <c r="B2658" s="1594">
        <v>34211</v>
      </c>
      <c r="C2658" s="1595" t="s">
        <v>5403</v>
      </c>
      <c r="D2658" s="1595" t="s">
        <v>10892</v>
      </c>
      <c r="E2658" s="1595"/>
      <c r="F2658" s="1595"/>
      <c r="G2658" s="1595"/>
      <c r="H2658" s="1596">
        <v>1</v>
      </c>
      <c r="I2658" s="1595"/>
      <c r="J2658" s="1595"/>
      <c r="K2658" s="1599">
        <v>122</v>
      </c>
      <c r="L2658" s="1599">
        <v>122</v>
      </c>
      <c r="M2658" s="1599">
        <v>-122</v>
      </c>
      <c r="N2658" s="1598"/>
      <c r="O2658" s="1598"/>
      <c r="P2658" s="1599">
        <v>122</v>
      </c>
      <c r="Q2658" s="1599">
        <v>-122</v>
      </c>
      <c r="R2658" s="1598"/>
      <c r="S2658" s="1592"/>
    </row>
    <row r="2659" spans="2:19" s="1593" customFormat="1" ht="11.25" customHeight="1" outlineLevel="1">
      <c r="B2659" s="1594">
        <v>34212</v>
      </c>
      <c r="C2659" s="1595" t="s">
        <v>5403</v>
      </c>
      <c r="D2659" s="1595" t="s">
        <v>10891</v>
      </c>
      <c r="E2659" s="1595"/>
      <c r="F2659" s="1595"/>
      <c r="G2659" s="1595"/>
      <c r="H2659" s="1596">
        <v>1</v>
      </c>
      <c r="I2659" s="1595"/>
      <c r="J2659" s="1595"/>
      <c r="K2659" s="1599">
        <v>68</v>
      </c>
      <c r="L2659" s="1599">
        <v>67.88</v>
      </c>
      <c r="M2659" s="1599">
        <v>-67.88</v>
      </c>
      <c r="N2659" s="1598"/>
      <c r="O2659" s="1598"/>
      <c r="P2659" s="1599">
        <v>67.88</v>
      </c>
      <c r="Q2659" s="1599">
        <v>-67.88</v>
      </c>
      <c r="R2659" s="1598"/>
      <c r="S2659" s="1592"/>
    </row>
    <row r="2660" spans="2:19" s="1593" customFormat="1" ht="11.25" customHeight="1" outlineLevel="1">
      <c r="B2660" s="1594">
        <v>34213</v>
      </c>
      <c r="C2660" s="1595" t="s">
        <v>5403</v>
      </c>
      <c r="D2660" s="1595" t="s">
        <v>10890</v>
      </c>
      <c r="E2660" s="1595"/>
      <c r="F2660" s="1595"/>
      <c r="G2660" s="1595"/>
      <c r="H2660" s="1596">
        <v>1</v>
      </c>
      <c r="I2660" s="1595"/>
      <c r="J2660" s="1595"/>
      <c r="K2660" s="1599">
        <v>68</v>
      </c>
      <c r="L2660" s="1599">
        <v>67.88</v>
      </c>
      <c r="M2660" s="1599">
        <v>-67.88</v>
      </c>
      <c r="N2660" s="1598"/>
      <c r="O2660" s="1598"/>
      <c r="P2660" s="1599">
        <v>67.88</v>
      </c>
      <c r="Q2660" s="1599">
        <v>-67.88</v>
      </c>
      <c r="R2660" s="1598"/>
      <c r="S2660" s="1592"/>
    </row>
    <row r="2661" spans="2:19" s="1593" customFormat="1" ht="11.25" customHeight="1" outlineLevel="1">
      <c r="B2661" s="1594">
        <v>34214</v>
      </c>
      <c r="C2661" s="1595" t="s">
        <v>5403</v>
      </c>
      <c r="D2661" s="1595" t="s">
        <v>10889</v>
      </c>
      <c r="E2661" s="1595"/>
      <c r="F2661" s="1595"/>
      <c r="G2661" s="1595"/>
      <c r="H2661" s="1596">
        <v>1</v>
      </c>
      <c r="I2661" s="1595"/>
      <c r="J2661" s="1595"/>
      <c r="K2661" s="1599">
        <v>68</v>
      </c>
      <c r="L2661" s="1599">
        <v>67.88</v>
      </c>
      <c r="M2661" s="1599">
        <v>-67.88</v>
      </c>
      <c r="N2661" s="1598"/>
      <c r="O2661" s="1598"/>
      <c r="P2661" s="1599">
        <v>67.88</v>
      </c>
      <c r="Q2661" s="1599">
        <v>-67.88</v>
      </c>
      <c r="R2661" s="1598"/>
      <c r="S2661" s="1592"/>
    </row>
    <row r="2662" spans="2:19" s="1593" customFormat="1" ht="11.25" customHeight="1" outlineLevel="1">
      <c r="B2662" s="1594">
        <v>34215</v>
      </c>
      <c r="C2662" s="1595" t="s">
        <v>5403</v>
      </c>
      <c r="D2662" s="1595" t="s">
        <v>10888</v>
      </c>
      <c r="E2662" s="1595"/>
      <c r="F2662" s="1595"/>
      <c r="G2662" s="1595"/>
      <c r="H2662" s="1596">
        <v>1</v>
      </c>
      <c r="I2662" s="1595"/>
      <c r="J2662" s="1595"/>
      <c r="K2662" s="1599">
        <v>68</v>
      </c>
      <c r="L2662" s="1599">
        <v>67.88</v>
      </c>
      <c r="M2662" s="1599">
        <v>-67.88</v>
      </c>
      <c r="N2662" s="1598"/>
      <c r="O2662" s="1598"/>
      <c r="P2662" s="1599">
        <v>67.88</v>
      </c>
      <c r="Q2662" s="1599">
        <v>-67.88</v>
      </c>
      <c r="R2662" s="1598"/>
      <c r="S2662" s="1592"/>
    </row>
    <row r="2663" spans="2:19" s="1593" customFormat="1" ht="11.25" customHeight="1" outlineLevel="1">
      <c r="B2663" s="1594">
        <v>34216</v>
      </c>
      <c r="C2663" s="1595" t="s">
        <v>5403</v>
      </c>
      <c r="D2663" s="1595" t="s">
        <v>10887</v>
      </c>
      <c r="E2663" s="1595"/>
      <c r="F2663" s="1595"/>
      <c r="G2663" s="1595"/>
      <c r="H2663" s="1596">
        <v>1</v>
      </c>
      <c r="I2663" s="1595"/>
      <c r="J2663" s="1595"/>
      <c r="K2663" s="1599">
        <v>68</v>
      </c>
      <c r="L2663" s="1599">
        <v>67.88</v>
      </c>
      <c r="M2663" s="1599">
        <v>-67.88</v>
      </c>
      <c r="N2663" s="1598"/>
      <c r="O2663" s="1598"/>
      <c r="P2663" s="1599">
        <v>67.88</v>
      </c>
      <c r="Q2663" s="1599">
        <v>-67.88</v>
      </c>
      <c r="R2663" s="1598"/>
      <c r="S2663" s="1592"/>
    </row>
    <row r="2664" spans="2:19" s="1593" customFormat="1" ht="11.25" customHeight="1" outlineLevel="1">
      <c r="B2664" s="1594">
        <v>34217</v>
      </c>
      <c r="C2664" s="1595" t="s">
        <v>5403</v>
      </c>
      <c r="D2664" s="1595" t="s">
        <v>10886</v>
      </c>
      <c r="E2664" s="1595"/>
      <c r="F2664" s="1595"/>
      <c r="G2664" s="1595"/>
      <c r="H2664" s="1596">
        <v>1</v>
      </c>
      <c r="I2664" s="1595"/>
      <c r="J2664" s="1595"/>
      <c r="K2664" s="1599">
        <v>68</v>
      </c>
      <c r="L2664" s="1599">
        <v>67.88</v>
      </c>
      <c r="M2664" s="1599">
        <v>-67.88</v>
      </c>
      <c r="N2664" s="1598"/>
      <c r="O2664" s="1598"/>
      <c r="P2664" s="1599">
        <v>67.88</v>
      </c>
      <c r="Q2664" s="1599">
        <v>-67.88</v>
      </c>
      <c r="R2664" s="1598"/>
      <c r="S2664" s="1592"/>
    </row>
    <row r="2665" spans="2:19" s="1593" customFormat="1" ht="11.25" customHeight="1" outlineLevel="1">
      <c r="B2665" s="1594">
        <v>34218</v>
      </c>
      <c r="C2665" s="1595" t="s">
        <v>5403</v>
      </c>
      <c r="D2665" s="1595" t="s">
        <v>10885</v>
      </c>
      <c r="E2665" s="1595"/>
      <c r="F2665" s="1595"/>
      <c r="G2665" s="1595"/>
      <c r="H2665" s="1596">
        <v>1</v>
      </c>
      <c r="I2665" s="1595"/>
      <c r="J2665" s="1595"/>
      <c r="K2665" s="1599">
        <v>68</v>
      </c>
      <c r="L2665" s="1599">
        <v>67.88</v>
      </c>
      <c r="M2665" s="1599">
        <v>-67.88</v>
      </c>
      <c r="N2665" s="1598"/>
      <c r="O2665" s="1598"/>
      <c r="P2665" s="1599">
        <v>67.88</v>
      </c>
      <c r="Q2665" s="1599">
        <v>-67.88</v>
      </c>
      <c r="R2665" s="1598"/>
      <c r="S2665" s="1592"/>
    </row>
    <row r="2666" spans="2:19" s="1593" customFormat="1" ht="11.25" customHeight="1" outlineLevel="1">
      <c r="B2666" s="1594">
        <v>34219</v>
      </c>
      <c r="C2666" s="1595" t="s">
        <v>5403</v>
      </c>
      <c r="D2666" s="1595" t="s">
        <v>10884</v>
      </c>
      <c r="E2666" s="1595"/>
      <c r="F2666" s="1595"/>
      <c r="G2666" s="1595"/>
      <c r="H2666" s="1596">
        <v>1</v>
      </c>
      <c r="I2666" s="1595"/>
      <c r="J2666" s="1595"/>
      <c r="K2666" s="1599">
        <v>68</v>
      </c>
      <c r="L2666" s="1599">
        <v>67.88</v>
      </c>
      <c r="M2666" s="1599">
        <v>-67.88</v>
      </c>
      <c r="N2666" s="1598"/>
      <c r="O2666" s="1598"/>
      <c r="P2666" s="1599">
        <v>67.88</v>
      </c>
      <c r="Q2666" s="1599">
        <v>-67.88</v>
      </c>
      <c r="R2666" s="1598"/>
      <c r="S2666" s="1592"/>
    </row>
    <row r="2667" spans="2:19" s="1593" customFormat="1" ht="11.25" customHeight="1" outlineLevel="1">
      <c r="B2667" s="1594">
        <v>34220</v>
      </c>
      <c r="C2667" s="1595" t="s">
        <v>5403</v>
      </c>
      <c r="D2667" s="1595" t="s">
        <v>10883</v>
      </c>
      <c r="E2667" s="1595"/>
      <c r="F2667" s="1595"/>
      <c r="G2667" s="1595"/>
      <c r="H2667" s="1596">
        <v>1</v>
      </c>
      <c r="I2667" s="1595"/>
      <c r="J2667" s="1595"/>
      <c r="K2667" s="1599">
        <v>68</v>
      </c>
      <c r="L2667" s="1599">
        <v>67.88</v>
      </c>
      <c r="M2667" s="1599">
        <v>-67.88</v>
      </c>
      <c r="N2667" s="1598"/>
      <c r="O2667" s="1598"/>
      <c r="P2667" s="1599">
        <v>67.88</v>
      </c>
      <c r="Q2667" s="1599">
        <v>-67.88</v>
      </c>
      <c r="R2667" s="1598"/>
      <c r="S2667" s="1592"/>
    </row>
    <row r="2668" spans="2:19" s="1593" customFormat="1" ht="11.25" customHeight="1" outlineLevel="1">
      <c r="B2668" s="1594">
        <v>34221</v>
      </c>
      <c r="C2668" s="1595" t="s">
        <v>5403</v>
      </c>
      <c r="D2668" s="1595" t="s">
        <v>10882</v>
      </c>
      <c r="E2668" s="1595"/>
      <c r="F2668" s="1595"/>
      <c r="G2668" s="1595"/>
      <c r="H2668" s="1596">
        <v>1</v>
      </c>
      <c r="I2668" s="1595"/>
      <c r="J2668" s="1595"/>
      <c r="K2668" s="1599">
        <v>68</v>
      </c>
      <c r="L2668" s="1599">
        <v>67.88</v>
      </c>
      <c r="M2668" s="1599">
        <v>-67.88</v>
      </c>
      <c r="N2668" s="1598"/>
      <c r="O2668" s="1598"/>
      <c r="P2668" s="1599">
        <v>67.88</v>
      </c>
      <c r="Q2668" s="1599">
        <v>-67.88</v>
      </c>
      <c r="R2668" s="1598"/>
      <c r="S2668" s="1592"/>
    </row>
    <row r="2669" spans="2:19" s="1593" customFormat="1" ht="11.25" customHeight="1" outlineLevel="1">
      <c r="B2669" s="1594">
        <v>34222</v>
      </c>
      <c r="C2669" s="1595" t="s">
        <v>5403</v>
      </c>
      <c r="D2669" s="1595" t="s">
        <v>10881</v>
      </c>
      <c r="E2669" s="1595"/>
      <c r="F2669" s="1595"/>
      <c r="G2669" s="1595"/>
      <c r="H2669" s="1596">
        <v>1</v>
      </c>
      <c r="I2669" s="1595"/>
      <c r="J2669" s="1595"/>
      <c r="K2669" s="1599">
        <v>68</v>
      </c>
      <c r="L2669" s="1599">
        <v>67.88</v>
      </c>
      <c r="M2669" s="1599">
        <v>-67.88</v>
      </c>
      <c r="N2669" s="1598"/>
      <c r="O2669" s="1598"/>
      <c r="P2669" s="1599">
        <v>67.88</v>
      </c>
      <c r="Q2669" s="1599">
        <v>-67.88</v>
      </c>
      <c r="R2669" s="1598"/>
      <c r="S2669" s="1592"/>
    </row>
    <row r="2670" spans="2:19" s="1593" customFormat="1" ht="11.25" customHeight="1" outlineLevel="1">
      <c r="B2670" s="1594">
        <v>34223</v>
      </c>
      <c r="C2670" s="1595" t="s">
        <v>5403</v>
      </c>
      <c r="D2670" s="1595" t="s">
        <v>10880</v>
      </c>
      <c r="E2670" s="1595"/>
      <c r="F2670" s="1595"/>
      <c r="G2670" s="1595"/>
      <c r="H2670" s="1596">
        <v>1</v>
      </c>
      <c r="I2670" s="1595"/>
      <c r="J2670" s="1595"/>
      <c r="K2670" s="1599">
        <v>68</v>
      </c>
      <c r="L2670" s="1599">
        <v>67.88</v>
      </c>
      <c r="M2670" s="1599">
        <v>-67.88</v>
      </c>
      <c r="N2670" s="1598"/>
      <c r="O2670" s="1598"/>
      <c r="P2670" s="1599">
        <v>67.88</v>
      </c>
      <c r="Q2670" s="1599">
        <v>-67.88</v>
      </c>
      <c r="R2670" s="1598"/>
      <c r="S2670" s="1592"/>
    </row>
    <row r="2671" spans="2:19" s="1593" customFormat="1" ht="11.25" customHeight="1" outlineLevel="1">
      <c r="B2671" s="1594">
        <v>34224</v>
      </c>
      <c r="C2671" s="1595" t="s">
        <v>5403</v>
      </c>
      <c r="D2671" s="1595" t="s">
        <v>10879</v>
      </c>
      <c r="E2671" s="1595"/>
      <c r="F2671" s="1595"/>
      <c r="G2671" s="1595"/>
      <c r="H2671" s="1596">
        <v>1</v>
      </c>
      <c r="I2671" s="1595"/>
      <c r="J2671" s="1595"/>
      <c r="K2671" s="1599">
        <v>68</v>
      </c>
      <c r="L2671" s="1599">
        <v>67.88</v>
      </c>
      <c r="M2671" s="1599">
        <v>-67.88</v>
      </c>
      <c r="N2671" s="1598"/>
      <c r="O2671" s="1598"/>
      <c r="P2671" s="1599">
        <v>67.88</v>
      </c>
      <c r="Q2671" s="1599">
        <v>-67.88</v>
      </c>
      <c r="R2671" s="1598"/>
      <c r="S2671" s="1592"/>
    </row>
    <row r="2672" spans="2:19" s="1593" customFormat="1" ht="11.25" customHeight="1" outlineLevel="1">
      <c r="B2672" s="1594">
        <v>34225</v>
      </c>
      <c r="C2672" s="1595" t="s">
        <v>5403</v>
      </c>
      <c r="D2672" s="1595" t="s">
        <v>10878</v>
      </c>
      <c r="E2672" s="1595"/>
      <c r="F2672" s="1595"/>
      <c r="G2672" s="1595"/>
      <c r="H2672" s="1596">
        <v>1</v>
      </c>
      <c r="I2672" s="1595"/>
      <c r="J2672" s="1595"/>
      <c r="K2672" s="1599">
        <v>68</v>
      </c>
      <c r="L2672" s="1599">
        <v>67.88</v>
      </c>
      <c r="M2672" s="1599">
        <v>-67.88</v>
      </c>
      <c r="N2672" s="1598"/>
      <c r="O2672" s="1598"/>
      <c r="P2672" s="1599">
        <v>67.88</v>
      </c>
      <c r="Q2672" s="1599">
        <v>-67.88</v>
      </c>
      <c r="R2672" s="1598"/>
      <c r="S2672" s="1592"/>
    </row>
    <row r="2673" spans="2:19" s="1593" customFormat="1" ht="11.25" customHeight="1" outlineLevel="1">
      <c r="B2673" s="1594">
        <v>34226</v>
      </c>
      <c r="C2673" s="1595" t="s">
        <v>5403</v>
      </c>
      <c r="D2673" s="1595" t="s">
        <v>10877</v>
      </c>
      <c r="E2673" s="1595"/>
      <c r="F2673" s="1595"/>
      <c r="G2673" s="1595"/>
      <c r="H2673" s="1596">
        <v>1</v>
      </c>
      <c r="I2673" s="1595"/>
      <c r="J2673" s="1595"/>
      <c r="K2673" s="1599">
        <v>68</v>
      </c>
      <c r="L2673" s="1599">
        <v>67.88</v>
      </c>
      <c r="M2673" s="1599">
        <v>-67.88</v>
      </c>
      <c r="N2673" s="1598"/>
      <c r="O2673" s="1598"/>
      <c r="P2673" s="1599">
        <v>67.88</v>
      </c>
      <c r="Q2673" s="1599">
        <v>-67.88</v>
      </c>
      <c r="R2673" s="1598"/>
      <c r="S2673" s="1592"/>
    </row>
    <row r="2674" spans="2:19" s="1593" customFormat="1" ht="11.25" customHeight="1" outlineLevel="1">
      <c r="B2674" s="1594">
        <v>34236</v>
      </c>
      <c r="C2674" s="1595" t="s">
        <v>5403</v>
      </c>
      <c r="D2674" s="1595" t="s">
        <v>10876</v>
      </c>
      <c r="E2674" s="1595"/>
      <c r="F2674" s="1595"/>
      <c r="G2674" s="1595"/>
      <c r="H2674" s="1596">
        <v>1</v>
      </c>
      <c r="I2674" s="1595"/>
      <c r="J2674" s="1595"/>
      <c r="K2674" s="1599">
        <v>237</v>
      </c>
      <c r="L2674" s="1599">
        <v>237</v>
      </c>
      <c r="M2674" s="1599">
        <v>-237</v>
      </c>
      <c r="N2674" s="1598"/>
      <c r="O2674" s="1598"/>
      <c r="P2674" s="1599">
        <v>237</v>
      </c>
      <c r="Q2674" s="1599">
        <v>-237</v>
      </c>
      <c r="R2674" s="1598"/>
      <c r="S2674" s="1592"/>
    </row>
    <row r="2675" spans="2:19" s="1593" customFormat="1" ht="11.25" customHeight="1" outlineLevel="1">
      <c r="B2675" s="1594">
        <v>34248</v>
      </c>
      <c r="C2675" s="1595" t="s">
        <v>5403</v>
      </c>
      <c r="D2675" s="1595" t="s">
        <v>10875</v>
      </c>
      <c r="E2675" s="1595"/>
      <c r="F2675" s="1595"/>
      <c r="G2675" s="1595"/>
      <c r="H2675" s="1596">
        <v>1</v>
      </c>
      <c r="I2675" s="1595"/>
      <c r="J2675" s="1595"/>
      <c r="K2675" s="1599">
        <v>622</v>
      </c>
      <c r="L2675" s="1599">
        <v>621.70000000000005</v>
      </c>
      <c r="M2675" s="1599">
        <v>-621.70000000000005</v>
      </c>
      <c r="N2675" s="1598"/>
      <c r="O2675" s="1598"/>
      <c r="P2675" s="1599">
        <v>621.70000000000005</v>
      </c>
      <c r="Q2675" s="1599">
        <v>-621.70000000000005</v>
      </c>
      <c r="R2675" s="1598"/>
      <c r="S2675" s="1592"/>
    </row>
    <row r="2676" spans="2:19" s="1593" customFormat="1" ht="11.25" customHeight="1" outlineLevel="1">
      <c r="B2676" s="1594">
        <v>34249</v>
      </c>
      <c r="C2676" s="1595" t="s">
        <v>5403</v>
      </c>
      <c r="D2676" s="1595" t="s">
        <v>10874</v>
      </c>
      <c r="E2676" s="1595"/>
      <c r="F2676" s="1595"/>
      <c r="G2676" s="1595"/>
      <c r="H2676" s="1596">
        <v>1</v>
      </c>
      <c r="I2676" s="1595"/>
      <c r="J2676" s="1595"/>
      <c r="K2676" s="1599">
        <v>622</v>
      </c>
      <c r="L2676" s="1599">
        <v>621.70000000000005</v>
      </c>
      <c r="M2676" s="1599">
        <v>-621.70000000000005</v>
      </c>
      <c r="N2676" s="1598"/>
      <c r="O2676" s="1598"/>
      <c r="P2676" s="1599">
        <v>621.70000000000005</v>
      </c>
      <c r="Q2676" s="1599">
        <v>-621.70000000000005</v>
      </c>
      <c r="R2676" s="1598"/>
      <c r="S2676" s="1592"/>
    </row>
    <row r="2677" spans="2:19" s="1593" customFormat="1" ht="11.25" customHeight="1" outlineLevel="1">
      <c r="B2677" s="1594">
        <v>34250</v>
      </c>
      <c r="C2677" s="1595" t="s">
        <v>5403</v>
      </c>
      <c r="D2677" s="1595" t="s">
        <v>10873</v>
      </c>
      <c r="E2677" s="1595"/>
      <c r="F2677" s="1595"/>
      <c r="G2677" s="1595"/>
      <c r="H2677" s="1596">
        <v>1</v>
      </c>
      <c r="I2677" s="1595"/>
      <c r="J2677" s="1595"/>
      <c r="K2677" s="1599">
        <v>622</v>
      </c>
      <c r="L2677" s="1599">
        <v>621.70000000000005</v>
      </c>
      <c r="M2677" s="1599">
        <v>-621.70000000000005</v>
      </c>
      <c r="N2677" s="1598"/>
      <c r="O2677" s="1598"/>
      <c r="P2677" s="1599">
        <v>621.70000000000005</v>
      </c>
      <c r="Q2677" s="1599">
        <v>-621.70000000000005</v>
      </c>
      <c r="R2677" s="1598"/>
      <c r="S2677" s="1592"/>
    </row>
    <row r="2678" spans="2:19" s="1593" customFormat="1" ht="11.25" customHeight="1" outlineLevel="1">
      <c r="B2678" s="1594">
        <v>34251</v>
      </c>
      <c r="C2678" s="1595" t="s">
        <v>5403</v>
      </c>
      <c r="D2678" s="1595" t="s">
        <v>10872</v>
      </c>
      <c r="E2678" s="1595"/>
      <c r="F2678" s="1595"/>
      <c r="G2678" s="1595"/>
      <c r="H2678" s="1596">
        <v>1</v>
      </c>
      <c r="I2678" s="1595"/>
      <c r="J2678" s="1595"/>
      <c r="K2678" s="1599">
        <v>622</v>
      </c>
      <c r="L2678" s="1599">
        <v>621.70000000000005</v>
      </c>
      <c r="M2678" s="1599">
        <v>-621.70000000000005</v>
      </c>
      <c r="N2678" s="1598"/>
      <c r="O2678" s="1598"/>
      <c r="P2678" s="1599">
        <v>621.70000000000005</v>
      </c>
      <c r="Q2678" s="1599">
        <v>-621.70000000000005</v>
      </c>
      <c r="R2678" s="1598"/>
      <c r="S2678" s="1592"/>
    </row>
    <row r="2679" spans="2:19" s="1593" customFormat="1" ht="11.25" customHeight="1" outlineLevel="1">
      <c r="B2679" s="1594">
        <v>34252</v>
      </c>
      <c r="C2679" s="1595" t="s">
        <v>5403</v>
      </c>
      <c r="D2679" s="1595" t="s">
        <v>10871</v>
      </c>
      <c r="E2679" s="1595"/>
      <c r="F2679" s="1595"/>
      <c r="G2679" s="1595"/>
      <c r="H2679" s="1596">
        <v>1</v>
      </c>
      <c r="I2679" s="1595"/>
      <c r="J2679" s="1595"/>
      <c r="K2679" s="1599">
        <v>622</v>
      </c>
      <c r="L2679" s="1599">
        <v>621.70000000000005</v>
      </c>
      <c r="M2679" s="1599">
        <v>-621.70000000000005</v>
      </c>
      <c r="N2679" s="1598"/>
      <c r="O2679" s="1598"/>
      <c r="P2679" s="1599">
        <v>621.70000000000005</v>
      </c>
      <c r="Q2679" s="1599">
        <v>-621.70000000000005</v>
      </c>
      <c r="R2679" s="1598"/>
      <c r="S2679" s="1592"/>
    </row>
    <row r="2680" spans="2:19" s="1593" customFormat="1" ht="11.25" customHeight="1" outlineLevel="1">
      <c r="B2680" s="1594">
        <v>34253</v>
      </c>
      <c r="C2680" s="1595" t="s">
        <v>5403</v>
      </c>
      <c r="D2680" s="1595" t="s">
        <v>10870</v>
      </c>
      <c r="E2680" s="1595"/>
      <c r="F2680" s="1595"/>
      <c r="G2680" s="1595"/>
      <c r="H2680" s="1596">
        <v>1</v>
      </c>
      <c r="I2680" s="1595"/>
      <c r="J2680" s="1595"/>
      <c r="K2680" s="1599">
        <v>622</v>
      </c>
      <c r="L2680" s="1599">
        <v>621.70000000000005</v>
      </c>
      <c r="M2680" s="1599">
        <v>-621.70000000000005</v>
      </c>
      <c r="N2680" s="1598"/>
      <c r="O2680" s="1598"/>
      <c r="P2680" s="1599">
        <v>621.70000000000005</v>
      </c>
      <c r="Q2680" s="1599">
        <v>-621.70000000000005</v>
      </c>
      <c r="R2680" s="1598"/>
      <c r="S2680" s="1592"/>
    </row>
    <row r="2681" spans="2:19" s="1593" customFormat="1" ht="11.25" customHeight="1" outlineLevel="1">
      <c r="B2681" s="1594">
        <v>34255</v>
      </c>
      <c r="C2681" s="1595" t="s">
        <v>5403</v>
      </c>
      <c r="D2681" s="1595" t="s">
        <v>10869</v>
      </c>
      <c r="E2681" s="1595"/>
      <c r="F2681" s="1595"/>
      <c r="G2681" s="1595"/>
      <c r="H2681" s="1596">
        <v>1</v>
      </c>
      <c r="I2681" s="1595"/>
      <c r="J2681" s="1595"/>
      <c r="K2681" s="1599">
        <v>622</v>
      </c>
      <c r="L2681" s="1599">
        <v>621.70000000000005</v>
      </c>
      <c r="M2681" s="1599">
        <v>-621.70000000000005</v>
      </c>
      <c r="N2681" s="1598"/>
      <c r="O2681" s="1598"/>
      <c r="P2681" s="1599">
        <v>621.70000000000005</v>
      </c>
      <c r="Q2681" s="1599">
        <v>-621.70000000000005</v>
      </c>
      <c r="R2681" s="1598"/>
      <c r="S2681" s="1592"/>
    </row>
    <row r="2682" spans="2:19" s="1593" customFormat="1" ht="11.25" customHeight="1" outlineLevel="1">
      <c r="B2682" s="1594">
        <v>34256</v>
      </c>
      <c r="C2682" s="1595" t="s">
        <v>5403</v>
      </c>
      <c r="D2682" s="1595" t="s">
        <v>10868</v>
      </c>
      <c r="E2682" s="1595"/>
      <c r="F2682" s="1595"/>
      <c r="G2682" s="1595"/>
      <c r="H2682" s="1596">
        <v>1</v>
      </c>
      <c r="I2682" s="1595"/>
      <c r="J2682" s="1595"/>
      <c r="K2682" s="1599">
        <v>622</v>
      </c>
      <c r="L2682" s="1599">
        <v>621.70000000000005</v>
      </c>
      <c r="M2682" s="1599">
        <v>-621.70000000000005</v>
      </c>
      <c r="N2682" s="1598"/>
      <c r="O2682" s="1598"/>
      <c r="P2682" s="1599">
        <v>621.70000000000005</v>
      </c>
      <c r="Q2682" s="1599">
        <v>-621.70000000000005</v>
      </c>
      <c r="R2682" s="1598"/>
      <c r="S2682" s="1592"/>
    </row>
    <row r="2683" spans="2:19" s="1593" customFormat="1" ht="11.25" customHeight="1" outlineLevel="1">
      <c r="B2683" s="1594">
        <v>34272</v>
      </c>
      <c r="C2683" s="1595" t="s">
        <v>5403</v>
      </c>
      <c r="D2683" s="1595" t="s">
        <v>10867</v>
      </c>
      <c r="E2683" s="1595"/>
      <c r="F2683" s="1595"/>
      <c r="G2683" s="1595"/>
      <c r="H2683" s="1596">
        <v>1</v>
      </c>
      <c r="I2683" s="1595"/>
      <c r="J2683" s="1595"/>
      <c r="K2683" s="1599">
        <v>730</v>
      </c>
      <c r="L2683" s="1599">
        <v>729.6</v>
      </c>
      <c r="M2683" s="1599">
        <v>-729.6</v>
      </c>
      <c r="N2683" s="1598"/>
      <c r="O2683" s="1598"/>
      <c r="P2683" s="1599">
        <v>729.6</v>
      </c>
      <c r="Q2683" s="1599">
        <v>-729.6</v>
      </c>
      <c r="R2683" s="1598"/>
      <c r="S2683" s="1592"/>
    </row>
    <row r="2684" spans="2:19" s="1593" customFormat="1" ht="11.25" customHeight="1" outlineLevel="1">
      <c r="B2684" s="1594">
        <v>34273</v>
      </c>
      <c r="C2684" s="1595" t="s">
        <v>5403</v>
      </c>
      <c r="D2684" s="1595" t="s">
        <v>10866</v>
      </c>
      <c r="E2684" s="1595"/>
      <c r="F2684" s="1595"/>
      <c r="G2684" s="1595"/>
      <c r="H2684" s="1596">
        <v>1</v>
      </c>
      <c r="I2684" s="1595"/>
      <c r="J2684" s="1595"/>
      <c r="K2684" s="1599">
        <v>730</v>
      </c>
      <c r="L2684" s="1599">
        <v>729.6</v>
      </c>
      <c r="M2684" s="1599">
        <v>-729.6</v>
      </c>
      <c r="N2684" s="1598"/>
      <c r="O2684" s="1598"/>
      <c r="P2684" s="1599">
        <v>729.6</v>
      </c>
      <c r="Q2684" s="1599">
        <v>-729.6</v>
      </c>
      <c r="R2684" s="1598"/>
      <c r="S2684" s="1592"/>
    </row>
    <row r="2685" spans="2:19" s="1593" customFormat="1" ht="11.25" customHeight="1" outlineLevel="1">
      <c r="B2685" s="1594">
        <v>34274</v>
      </c>
      <c r="C2685" s="1595" t="s">
        <v>5403</v>
      </c>
      <c r="D2685" s="1595" t="s">
        <v>10865</v>
      </c>
      <c r="E2685" s="1595"/>
      <c r="F2685" s="1595"/>
      <c r="G2685" s="1595"/>
      <c r="H2685" s="1596">
        <v>1</v>
      </c>
      <c r="I2685" s="1595"/>
      <c r="J2685" s="1595"/>
      <c r="K2685" s="1599">
        <v>730</v>
      </c>
      <c r="L2685" s="1599">
        <v>729.6</v>
      </c>
      <c r="M2685" s="1599">
        <v>-729.6</v>
      </c>
      <c r="N2685" s="1598"/>
      <c r="O2685" s="1598"/>
      <c r="P2685" s="1599">
        <v>729.6</v>
      </c>
      <c r="Q2685" s="1599">
        <v>-729.6</v>
      </c>
      <c r="R2685" s="1598"/>
      <c r="S2685" s="1592"/>
    </row>
    <row r="2686" spans="2:19" s="1593" customFormat="1" ht="11.25" customHeight="1" outlineLevel="1">
      <c r="B2686" s="1594">
        <v>34275</v>
      </c>
      <c r="C2686" s="1595" t="s">
        <v>5403</v>
      </c>
      <c r="D2686" s="1595" t="s">
        <v>10864</v>
      </c>
      <c r="E2686" s="1595"/>
      <c r="F2686" s="1595"/>
      <c r="G2686" s="1595"/>
      <c r="H2686" s="1596">
        <v>1</v>
      </c>
      <c r="I2686" s="1595"/>
      <c r="J2686" s="1595"/>
      <c r="K2686" s="1599">
        <v>730</v>
      </c>
      <c r="L2686" s="1599">
        <v>729.6</v>
      </c>
      <c r="M2686" s="1599">
        <v>-729.6</v>
      </c>
      <c r="N2686" s="1598"/>
      <c r="O2686" s="1598"/>
      <c r="P2686" s="1599">
        <v>729.6</v>
      </c>
      <c r="Q2686" s="1599">
        <v>-729.6</v>
      </c>
      <c r="R2686" s="1598"/>
      <c r="S2686" s="1592"/>
    </row>
    <row r="2687" spans="2:19" s="1593" customFormat="1" ht="11.25" customHeight="1" outlineLevel="1">
      <c r="B2687" s="1594">
        <v>34276</v>
      </c>
      <c r="C2687" s="1595" t="s">
        <v>5403</v>
      </c>
      <c r="D2687" s="1595" t="s">
        <v>10863</v>
      </c>
      <c r="E2687" s="1595"/>
      <c r="F2687" s="1595"/>
      <c r="G2687" s="1595"/>
      <c r="H2687" s="1596">
        <v>1</v>
      </c>
      <c r="I2687" s="1595"/>
      <c r="J2687" s="1595"/>
      <c r="K2687" s="1599">
        <v>730</v>
      </c>
      <c r="L2687" s="1599">
        <v>729.67</v>
      </c>
      <c r="M2687" s="1599">
        <v>-729.67</v>
      </c>
      <c r="N2687" s="1598"/>
      <c r="O2687" s="1598"/>
      <c r="P2687" s="1599">
        <v>729.67</v>
      </c>
      <c r="Q2687" s="1599">
        <v>-729.67</v>
      </c>
      <c r="R2687" s="1598"/>
      <c r="S2687" s="1592"/>
    </row>
    <row r="2688" spans="2:19" s="1593" customFormat="1" ht="11.25" customHeight="1" outlineLevel="1">
      <c r="B2688" s="1594">
        <v>34277</v>
      </c>
      <c r="C2688" s="1595" t="s">
        <v>5403</v>
      </c>
      <c r="D2688" s="1595" t="s">
        <v>10862</v>
      </c>
      <c r="E2688" s="1595"/>
      <c r="F2688" s="1595"/>
      <c r="G2688" s="1595"/>
      <c r="H2688" s="1596">
        <v>1</v>
      </c>
      <c r="I2688" s="1595"/>
      <c r="J2688" s="1595"/>
      <c r="K2688" s="1599">
        <v>730</v>
      </c>
      <c r="L2688" s="1599">
        <v>729.67</v>
      </c>
      <c r="M2688" s="1599">
        <v>-729.67</v>
      </c>
      <c r="N2688" s="1598"/>
      <c r="O2688" s="1598"/>
      <c r="P2688" s="1599">
        <v>729.67</v>
      </c>
      <c r="Q2688" s="1599">
        <v>-729.67</v>
      </c>
      <c r="R2688" s="1598"/>
      <c r="S2688" s="1592"/>
    </row>
    <row r="2689" spans="2:19" s="1593" customFormat="1" ht="11.25" customHeight="1" outlineLevel="1">
      <c r="B2689" s="1594">
        <v>34281</v>
      </c>
      <c r="C2689" s="1595" t="s">
        <v>5403</v>
      </c>
      <c r="D2689" s="1595" t="s">
        <v>10861</v>
      </c>
      <c r="E2689" s="1595"/>
      <c r="F2689" s="1595"/>
      <c r="G2689" s="1595"/>
      <c r="H2689" s="1596">
        <v>1</v>
      </c>
      <c r="I2689" s="1595"/>
      <c r="J2689" s="1595"/>
      <c r="K2689" s="1599">
        <v>730</v>
      </c>
      <c r="L2689" s="1599">
        <v>729.71</v>
      </c>
      <c r="M2689" s="1599">
        <v>-729.71</v>
      </c>
      <c r="N2689" s="1598"/>
      <c r="O2689" s="1598"/>
      <c r="P2689" s="1599">
        <v>729.71</v>
      </c>
      <c r="Q2689" s="1599">
        <v>-729.71</v>
      </c>
      <c r="R2689" s="1598"/>
      <c r="S2689" s="1592"/>
    </row>
    <row r="2690" spans="2:19" s="1593" customFormat="1" ht="11.25" customHeight="1" outlineLevel="1">
      <c r="B2690" s="1594">
        <v>34283</v>
      </c>
      <c r="C2690" s="1595" t="s">
        <v>5403</v>
      </c>
      <c r="D2690" s="1595" t="s">
        <v>10860</v>
      </c>
      <c r="E2690" s="1595"/>
      <c r="F2690" s="1595"/>
      <c r="G2690" s="1595"/>
      <c r="H2690" s="1596">
        <v>1</v>
      </c>
      <c r="I2690" s="1595"/>
      <c r="J2690" s="1595"/>
      <c r="K2690" s="1599">
        <v>730</v>
      </c>
      <c r="L2690" s="1599">
        <v>729.71</v>
      </c>
      <c r="M2690" s="1599">
        <v>-729.71</v>
      </c>
      <c r="N2690" s="1598"/>
      <c r="O2690" s="1598"/>
      <c r="P2690" s="1599">
        <v>729.71</v>
      </c>
      <c r="Q2690" s="1599">
        <v>-729.71</v>
      </c>
      <c r="R2690" s="1598"/>
      <c r="S2690" s="1592"/>
    </row>
    <row r="2691" spans="2:19" s="1593" customFormat="1" ht="11.25" customHeight="1" outlineLevel="1">
      <c r="B2691" s="1594">
        <v>34284</v>
      </c>
      <c r="C2691" s="1595" t="s">
        <v>5403</v>
      </c>
      <c r="D2691" s="1595" t="s">
        <v>10859</v>
      </c>
      <c r="E2691" s="1595"/>
      <c r="F2691" s="1595"/>
      <c r="G2691" s="1595"/>
      <c r="H2691" s="1596">
        <v>1</v>
      </c>
      <c r="I2691" s="1595"/>
      <c r="J2691" s="1595"/>
      <c r="K2691" s="1599">
        <v>730</v>
      </c>
      <c r="L2691" s="1599">
        <v>729.71</v>
      </c>
      <c r="M2691" s="1599">
        <v>-729.71</v>
      </c>
      <c r="N2691" s="1598"/>
      <c r="O2691" s="1598"/>
      <c r="P2691" s="1599">
        <v>729.71</v>
      </c>
      <c r="Q2691" s="1599">
        <v>-729.71</v>
      </c>
      <c r="R2691" s="1598"/>
      <c r="S2691" s="1592"/>
    </row>
    <row r="2692" spans="2:19" s="1593" customFormat="1" ht="11.25" customHeight="1" outlineLevel="1">
      <c r="B2692" s="1594">
        <v>34285</v>
      </c>
      <c r="C2692" s="1595" t="s">
        <v>5403</v>
      </c>
      <c r="D2692" s="1595" t="s">
        <v>10858</v>
      </c>
      <c r="E2692" s="1595"/>
      <c r="F2692" s="1595"/>
      <c r="G2692" s="1595"/>
      <c r="H2692" s="1596">
        <v>1</v>
      </c>
      <c r="I2692" s="1595"/>
      <c r="J2692" s="1595"/>
      <c r="K2692" s="1599">
        <v>730</v>
      </c>
      <c r="L2692" s="1599">
        <v>729.71</v>
      </c>
      <c r="M2692" s="1599">
        <v>-729.71</v>
      </c>
      <c r="N2692" s="1598"/>
      <c r="O2692" s="1598"/>
      <c r="P2692" s="1599">
        <v>729.71</v>
      </c>
      <c r="Q2692" s="1599">
        <v>-729.71</v>
      </c>
      <c r="R2692" s="1598"/>
      <c r="S2692" s="1592"/>
    </row>
    <row r="2693" spans="2:19" s="1593" customFormat="1" ht="11.25" customHeight="1" outlineLevel="1">
      <c r="B2693" s="1594">
        <v>34286</v>
      </c>
      <c r="C2693" s="1595" t="s">
        <v>5403</v>
      </c>
      <c r="D2693" s="1595" t="s">
        <v>10857</v>
      </c>
      <c r="E2693" s="1595"/>
      <c r="F2693" s="1595"/>
      <c r="G2693" s="1595"/>
      <c r="H2693" s="1596">
        <v>1</v>
      </c>
      <c r="I2693" s="1595"/>
      <c r="J2693" s="1595"/>
      <c r="K2693" s="1599">
        <v>730</v>
      </c>
      <c r="L2693" s="1599">
        <v>729.71</v>
      </c>
      <c r="M2693" s="1599">
        <v>-729.71</v>
      </c>
      <c r="N2693" s="1598"/>
      <c r="O2693" s="1598"/>
      <c r="P2693" s="1599">
        <v>729.71</v>
      </c>
      <c r="Q2693" s="1599">
        <v>-729.71</v>
      </c>
      <c r="R2693" s="1598"/>
      <c r="S2693" s="1592"/>
    </row>
    <row r="2694" spans="2:19" s="1593" customFormat="1" ht="11.25" customHeight="1" outlineLevel="1">
      <c r="B2694" s="1594">
        <v>34288</v>
      </c>
      <c r="C2694" s="1595" t="s">
        <v>5403</v>
      </c>
      <c r="D2694" s="1595" t="s">
        <v>10856</v>
      </c>
      <c r="E2694" s="1595"/>
      <c r="F2694" s="1595"/>
      <c r="G2694" s="1595"/>
      <c r="H2694" s="1596">
        <v>1</v>
      </c>
      <c r="I2694" s="1595"/>
      <c r="J2694" s="1595"/>
      <c r="K2694" s="1599">
        <v>70</v>
      </c>
      <c r="L2694" s="1599">
        <v>70</v>
      </c>
      <c r="M2694" s="1599">
        <v>-70</v>
      </c>
      <c r="N2694" s="1598"/>
      <c r="O2694" s="1598"/>
      <c r="P2694" s="1599">
        <v>70</v>
      </c>
      <c r="Q2694" s="1599">
        <v>-70</v>
      </c>
      <c r="R2694" s="1598"/>
      <c r="S2694" s="1592"/>
    </row>
    <row r="2695" spans="2:19" s="1593" customFormat="1" ht="11.25" customHeight="1" outlineLevel="1">
      <c r="B2695" s="1594">
        <v>34289</v>
      </c>
      <c r="C2695" s="1595" t="s">
        <v>5403</v>
      </c>
      <c r="D2695" s="1595" t="s">
        <v>10855</v>
      </c>
      <c r="E2695" s="1595"/>
      <c r="F2695" s="1595"/>
      <c r="G2695" s="1595"/>
      <c r="H2695" s="1596">
        <v>1</v>
      </c>
      <c r="I2695" s="1595"/>
      <c r="J2695" s="1595"/>
      <c r="K2695" s="1599">
        <v>70</v>
      </c>
      <c r="L2695" s="1599">
        <v>70</v>
      </c>
      <c r="M2695" s="1599">
        <v>-70</v>
      </c>
      <c r="N2695" s="1598"/>
      <c r="O2695" s="1598"/>
      <c r="P2695" s="1599">
        <v>70</v>
      </c>
      <c r="Q2695" s="1599">
        <v>-70</v>
      </c>
      <c r="R2695" s="1598"/>
      <c r="S2695" s="1592"/>
    </row>
    <row r="2696" spans="2:19" s="1593" customFormat="1" ht="11.25" customHeight="1" outlineLevel="1">
      <c r="B2696" s="1594">
        <v>34290</v>
      </c>
      <c r="C2696" s="1595" t="s">
        <v>5403</v>
      </c>
      <c r="D2696" s="1595" t="s">
        <v>10854</v>
      </c>
      <c r="E2696" s="1595"/>
      <c r="F2696" s="1595"/>
      <c r="G2696" s="1595"/>
      <c r="H2696" s="1596">
        <v>1</v>
      </c>
      <c r="I2696" s="1595"/>
      <c r="J2696" s="1595"/>
      <c r="K2696" s="1599">
        <v>70</v>
      </c>
      <c r="L2696" s="1599">
        <v>70</v>
      </c>
      <c r="M2696" s="1599">
        <v>-70</v>
      </c>
      <c r="N2696" s="1598"/>
      <c r="O2696" s="1598"/>
      <c r="P2696" s="1599">
        <v>70</v>
      </c>
      <c r="Q2696" s="1599">
        <v>-70</v>
      </c>
      <c r="R2696" s="1598"/>
      <c r="S2696" s="1592"/>
    </row>
    <row r="2697" spans="2:19" s="1593" customFormat="1" ht="11.25" customHeight="1" outlineLevel="1">
      <c r="B2697" s="1594">
        <v>34291</v>
      </c>
      <c r="C2697" s="1595" t="s">
        <v>5403</v>
      </c>
      <c r="D2697" s="1595" t="s">
        <v>10853</v>
      </c>
      <c r="E2697" s="1595"/>
      <c r="F2697" s="1595"/>
      <c r="G2697" s="1595"/>
      <c r="H2697" s="1596">
        <v>1</v>
      </c>
      <c r="I2697" s="1595"/>
      <c r="J2697" s="1595"/>
      <c r="K2697" s="1599">
        <v>211</v>
      </c>
      <c r="L2697" s="1599">
        <v>210.8</v>
      </c>
      <c r="M2697" s="1599">
        <v>-210.8</v>
      </c>
      <c r="N2697" s="1598"/>
      <c r="O2697" s="1598"/>
      <c r="P2697" s="1599">
        <v>210.8</v>
      </c>
      <c r="Q2697" s="1599">
        <v>-210.8</v>
      </c>
      <c r="R2697" s="1598"/>
      <c r="S2697" s="1592"/>
    </row>
    <row r="2698" spans="2:19" s="1593" customFormat="1" ht="11.25" customHeight="1" outlineLevel="1">
      <c r="B2698" s="1594">
        <v>34292</v>
      </c>
      <c r="C2698" s="1595" t="s">
        <v>5403</v>
      </c>
      <c r="D2698" s="1595" t="s">
        <v>10852</v>
      </c>
      <c r="E2698" s="1595"/>
      <c r="F2698" s="1595"/>
      <c r="G2698" s="1595"/>
      <c r="H2698" s="1596">
        <v>1</v>
      </c>
      <c r="I2698" s="1595"/>
      <c r="J2698" s="1595"/>
      <c r="K2698" s="1599">
        <v>211</v>
      </c>
      <c r="L2698" s="1599">
        <v>210.8</v>
      </c>
      <c r="M2698" s="1599">
        <v>-210.8</v>
      </c>
      <c r="N2698" s="1598"/>
      <c r="O2698" s="1598"/>
      <c r="P2698" s="1599">
        <v>210.8</v>
      </c>
      <c r="Q2698" s="1599">
        <v>-210.8</v>
      </c>
      <c r="R2698" s="1598"/>
      <c r="S2698" s="1592"/>
    </row>
    <row r="2699" spans="2:19" s="1593" customFormat="1" ht="11.25" customHeight="1" outlineLevel="1">
      <c r="B2699" s="1594">
        <v>34293</v>
      </c>
      <c r="C2699" s="1595" t="s">
        <v>5403</v>
      </c>
      <c r="D2699" s="1595" t="s">
        <v>10851</v>
      </c>
      <c r="E2699" s="1595"/>
      <c r="F2699" s="1595"/>
      <c r="G2699" s="1595"/>
      <c r="H2699" s="1596">
        <v>1</v>
      </c>
      <c r="I2699" s="1595"/>
      <c r="J2699" s="1595"/>
      <c r="K2699" s="1599">
        <v>211</v>
      </c>
      <c r="L2699" s="1599">
        <v>210.8</v>
      </c>
      <c r="M2699" s="1599">
        <v>-210.8</v>
      </c>
      <c r="N2699" s="1598"/>
      <c r="O2699" s="1598"/>
      <c r="P2699" s="1599">
        <v>210.8</v>
      </c>
      <c r="Q2699" s="1599">
        <v>-210.8</v>
      </c>
      <c r="R2699" s="1598"/>
      <c r="S2699" s="1592"/>
    </row>
    <row r="2700" spans="2:19" s="1593" customFormat="1" ht="11.25" customHeight="1" outlineLevel="1">
      <c r="B2700" s="1594">
        <v>34294</v>
      </c>
      <c r="C2700" s="1595" t="s">
        <v>5403</v>
      </c>
      <c r="D2700" s="1595" t="s">
        <v>10850</v>
      </c>
      <c r="E2700" s="1595"/>
      <c r="F2700" s="1595"/>
      <c r="G2700" s="1595"/>
      <c r="H2700" s="1596">
        <v>1</v>
      </c>
      <c r="I2700" s="1595"/>
      <c r="J2700" s="1595"/>
      <c r="K2700" s="1599">
        <v>211</v>
      </c>
      <c r="L2700" s="1599">
        <v>210.8</v>
      </c>
      <c r="M2700" s="1599">
        <v>-210.8</v>
      </c>
      <c r="N2700" s="1598"/>
      <c r="O2700" s="1598"/>
      <c r="P2700" s="1599">
        <v>210.8</v>
      </c>
      <c r="Q2700" s="1599">
        <v>-210.8</v>
      </c>
      <c r="R2700" s="1598"/>
      <c r="S2700" s="1592"/>
    </row>
    <row r="2701" spans="2:19" s="1593" customFormat="1" ht="11.25" customHeight="1" outlineLevel="1">
      <c r="B2701" s="1594">
        <v>34343</v>
      </c>
      <c r="C2701" s="1595" t="s">
        <v>5403</v>
      </c>
      <c r="D2701" s="1595" t="s">
        <v>10849</v>
      </c>
      <c r="E2701" s="1595"/>
      <c r="F2701" s="1595"/>
      <c r="G2701" s="1595"/>
      <c r="H2701" s="1596">
        <v>1</v>
      </c>
      <c r="I2701" s="1595"/>
      <c r="J2701" s="1595"/>
      <c r="K2701" s="1597">
        <v>2896</v>
      </c>
      <c r="L2701" s="1597">
        <v>2896.5</v>
      </c>
      <c r="M2701" s="1597">
        <v>-2896.5</v>
      </c>
      <c r="N2701" s="1598"/>
      <c r="O2701" s="1598"/>
      <c r="P2701" s="1597">
        <v>2896.5</v>
      </c>
      <c r="Q2701" s="1597">
        <v>-2896.5</v>
      </c>
      <c r="R2701" s="1598"/>
      <c r="S2701" s="1592"/>
    </row>
    <row r="2702" spans="2:19" s="1593" customFormat="1" ht="11.25" customHeight="1" outlineLevel="1">
      <c r="B2702" s="1594">
        <v>34905</v>
      </c>
      <c r="C2702" s="1595" t="s">
        <v>5403</v>
      </c>
      <c r="D2702" s="1595" t="s">
        <v>10848</v>
      </c>
      <c r="E2702" s="1595"/>
      <c r="F2702" s="1595"/>
      <c r="G2702" s="1595"/>
      <c r="H2702" s="1596">
        <v>1</v>
      </c>
      <c r="I2702" s="1595"/>
      <c r="J2702" s="1595"/>
      <c r="K2702" s="1599">
        <v>51</v>
      </c>
      <c r="L2702" s="1599">
        <v>51</v>
      </c>
      <c r="M2702" s="1599">
        <v>-51</v>
      </c>
      <c r="N2702" s="1598"/>
      <c r="O2702" s="1598"/>
      <c r="P2702" s="1599">
        <v>51</v>
      </c>
      <c r="Q2702" s="1599">
        <v>-51</v>
      </c>
      <c r="R2702" s="1598"/>
      <c r="S2702" s="1592"/>
    </row>
    <row r="2703" spans="2:19" s="1593" customFormat="1" ht="11.25" customHeight="1" outlineLevel="1">
      <c r="B2703" s="1594">
        <v>34989</v>
      </c>
      <c r="C2703" s="1595" t="s">
        <v>5403</v>
      </c>
      <c r="D2703" s="1595" t="s">
        <v>10847</v>
      </c>
      <c r="E2703" s="1595"/>
      <c r="F2703" s="1595"/>
      <c r="G2703" s="1595" t="s">
        <v>807</v>
      </c>
      <c r="H2703" s="1596">
        <v>3</v>
      </c>
      <c r="I2703" s="1595"/>
      <c r="J2703" s="1595"/>
      <c r="K2703" s="1597">
        <v>3758</v>
      </c>
      <c r="L2703" s="1597">
        <v>3757.5</v>
      </c>
      <c r="M2703" s="1598"/>
      <c r="N2703" s="1597">
        <v>3757.5</v>
      </c>
      <c r="O2703" s="1599">
        <v>238.45</v>
      </c>
      <c r="P2703" s="1597">
        <v>3399.77</v>
      </c>
      <c r="Q2703" s="1599">
        <v>119.28</v>
      </c>
      <c r="R2703" s="1597">
        <v>3519.05</v>
      </c>
      <c r="S2703" s="1592"/>
    </row>
    <row r="2704" spans="2:19" s="1593" customFormat="1" ht="11.25" customHeight="1" outlineLevel="1">
      <c r="B2704" s="1594">
        <v>35472</v>
      </c>
      <c r="C2704" s="1595" t="s">
        <v>5403</v>
      </c>
      <c r="D2704" s="1595" t="s">
        <v>10846</v>
      </c>
      <c r="E2704" s="1595"/>
      <c r="F2704" s="1595"/>
      <c r="G2704" s="1595" t="s">
        <v>10845</v>
      </c>
      <c r="H2704" s="1596">
        <v>1</v>
      </c>
      <c r="I2704" s="1595"/>
      <c r="J2704" s="1595"/>
      <c r="K2704" s="1597">
        <v>799051</v>
      </c>
      <c r="L2704" s="1597">
        <v>799050.5</v>
      </c>
      <c r="M2704" s="1598"/>
      <c r="N2704" s="1597">
        <v>799050.5</v>
      </c>
      <c r="O2704" s="1597">
        <v>116083.99</v>
      </c>
      <c r="P2704" s="1597">
        <v>659749.75</v>
      </c>
      <c r="Q2704" s="1597">
        <v>23216.76</v>
      </c>
      <c r="R2704" s="1597">
        <v>682966.51</v>
      </c>
      <c r="S2704" s="1592"/>
    </row>
    <row r="2705" spans="2:19" s="1593" customFormat="1" ht="11.25" customHeight="1" outlineLevel="1">
      <c r="B2705" s="1594">
        <v>35488</v>
      </c>
      <c r="C2705" s="1595" t="s">
        <v>5403</v>
      </c>
      <c r="D2705" s="1595" t="s">
        <v>10844</v>
      </c>
      <c r="E2705" s="1595"/>
      <c r="F2705" s="1595"/>
      <c r="G2705" s="1595"/>
      <c r="H2705" s="1596">
        <v>1</v>
      </c>
      <c r="I2705" s="1595"/>
      <c r="J2705" s="1595"/>
      <c r="K2705" s="1599">
        <v>361</v>
      </c>
      <c r="L2705" s="1599">
        <v>361</v>
      </c>
      <c r="M2705" s="1599">
        <v>-361</v>
      </c>
      <c r="N2705" s="1598"/>
      <c r="O2705" s="1598"/>
      <c r="P2705" s="1599">
        <v>361</v>
      </c>
      <c r="Q2705" s="1599">
        <v>-361</v>
      </c>
      <c r="R2705" s="1598"/>
      <c r="S2705" s="1592"/>
    </row>
    <row r="2706" spans="2:19" s="1593" customFormat="1" ht="11.25" customHeight="1" outlineLevel="1">
      <c r="B2706" s="1594">
        <v>35489</v>
      </c>
      <c r="C2706" s="1595" t="s">
        <v>5403</v>
      </c>
      <c r="D2706" s="1595" t="s">
        <v>10843</v>
      </c>
      <c r="E2706" s="1595"/>
      <c r="F2706" s="1595"/>
      <c r="G2706" s="1595"/>
      <c r="H2706" s="1596">
        <v>1</v>
      </c>
      <c r="I2706" s="1595"/>
      <c r="J2706" s="1595"/>
      <c r="K2706" s="1599">
        <v>361</v>
      </c>
      <c r="L2706" s="1599">
        <v>361</v>
      </c>
      <c r="M2706" s="1599">
        <v>-361</v>
      </c>
      <c r="N2706" s="1598"/>
      <c r="O2706" s="1598"/>
      <c r="P2706" s="1599">
        <v>361</v>
      </c>
      <c r="Q2706" s="1599">
        <v>-361</v>
      </c>
      <c r="R2706" s="1598"/>
      <c r="S2706" s="1592"/>
    </row>
    <row r="2707" spans="2:19" s="1593" customFormat="1" ht="11.25" customHeight="1" outlineLevel="1">
      <c r="B2707" s="1594">
        <v>35490</v>
      </c>
      <c r="C2707" s="1595" t="s">
        <v>5403</v>
      </c>
      <c r="D2707" s="1595" t="s">
        <v>10842</v>
      </c>
      <c r="E2707" s="1595"/>
      <c r="F2707" s="1595"/>
      <c r="G2707" s="1595"/>
      <c r="H2707" s="1596">
        <v>1</v>
      </c>
      <c r="I2707" s="1595"/>
      <c r="J2707" s="1595"/>
      <c r="K2707" s="1599">
        <v>361</v>
      </c>
      <c r="L2707" s="1599">
        <v>361</v>
      </c>
      <c r="M2707" s="1599">
        <v>-361</v>
      </c>
      <c r="N2707" s="1598"/>
      <c r="O2707" s="1598"/>
      <c r="P2707" s="1599">
        <v>361</v>
      </c>
      <c r="Q2707" s="1599">
        <v>-361</v>
      </c>
      <c r="R2707" s="1598"/>
      <c r="S2707" s="1592"/>
    </row>
    <row r="2708" spans="2:19" s="1593" customFormat="1" ht="11.25" customHeight="1" outlineLevel="1">
      <c r="B2708" s="1594">
        <v>35491</v>
      </c>
      <c r="C2708" s="1595" t="s">
        <v>5403</v>
      </c>
      <c r="D2708" s="1595" t="s">
        <v>10841</v>
      </c>
      <c r="E2708" s="1595"/>
      <c r="F2708" s="1595"/>
      <c r="G2708" s="1595"/>
      <c r="H2708" s="1596">
        <v>1</v>
      </c>
      <c r="I2708" s="1595"/>
      <c r="J2708" s="1595"/>
      <c r="K2708" s="1599">
        <v>361</v>
      </c>
      <c r="L2708" s="1599">
        <v>361</v>
      </c>
      <c r="M2708" s="1599">
        <v>-361</v>
      </c>
      <c r="N2708" s="1598"/>
      <c r="O2708" s="1598"/>
      <c r="P2708" s="1599">
        <v>361</v>
      </c>
      <c r="Q2708" s="1599">
        <v>-361</v>
      </c>
      <c r="R2708" s="1598"/>
      <c r="S2708" s="1592"/>
    </row>
    <row r="2709" spans="2:19" s="1593" customFormat="1" ht="11.25" customHeight="1" outlineLevel="1">
      <c r="B2709" s="1594">
        <v>35492</v>
      </c>
      <c r="C2709" s="1595" t="s">
        <v>5403</v>
      </c>
      <c r="D2709" s="1595" t="s">
        <v>10840</v>
      </c>
      <c r="E2709" s="1595"/>
      <c r="F2709" s="1595"/>
      <c r="G2709" s="1595"/>
      <c r="H2709" s="1596">
        <v>1</v>
      </c>
      <c r="I2709" s="1595"/>
      <c r="J2709" s="1595"/>
      <c r="K2709" s="1599">
        <v>361</v>
      </c>
      <c r="L2709" s="1599">
        <v>361</v>
      </c>
      <c r="M2709" s="1599">
        <v>-361</v>
      </c>
      <c r="N2709" s="1598"/>
      <c r="O2709" s="1598"/>
      <c r="P2709" s="1599">
        <v>361</v>
      </c>
      <c r="Q2709" s="1599">
        <v>-361</v>
      </c>
      <c r="R2709" s="1598"/>
      <c r="S2709" s="1592"/>
    </row>
    <row r="2710" spans="2:19" s="1593" customFormat="1" ht="11.25" customHeight="1" outlineLevel="1">
      <c r="B2710" s="1594">
        <v>35493</v>
      </c>
      <c r="C2710" s="1595" t="s">
        <v>5403</v>
      </c>
      <c r="D2710" s="1595" t="s">
        <v>10839</v>
      </c>
      <c r="E2710" s="1595"/>
      <c r="F2710" s="1595"/>
      <c r="G2710" s="1595"/>
      <c r="H2710" s="1596">
        <v>1</v>
      </c>
      <c r="I2710" s="1595"/>
      <c r="J2710" s="1595"/>
      <c r="K2710" s="1599">
        <v>361</v>
      </c>
      <c r="L2710" s="1599">
        <v>361</v>
      </c>
      <c r="M2710" s="1599">
        <v>-361</v>
      </c>
      <c r="N2710" s="1598"/>
      <c r="O2710" s="1598"/>
      <c r="P2710" s="1599">
        <v>361</v>
      </c>
      <c r="Q2710" s="1599">
        <v>-361</v>
      </c>
      <c r="R2710" s="1598"/>
      <c r="S2710" s="1592"/>
    </row>
    <row r="2711" spans="2:19" s="1593" customFormat="1" ht="11.25" customHeight="1" outlineLevel="1">
      <c r="B2711" s="1594">
        <v>35494</v>
      </c>
      <c r="C2711" s="1595" t="s">
        <v>5403</v>
      </c>
      <c r="D2711" s="1595" t="s">
        <v>10838</v>
      </c>
      <c r="E2711" s="1595"/>
      <c r="F2711" s="1595"/>
      <c r="G2711" s="1595"/>
      <c r="H2711" s="1596">
        <v>1</v>
      </c>
      <c r="I2711" s="1595"/>
      <c r="J2711" s="1595"/>
      <c r="K2711" s="1599">
        <v>361</v>
      </c>
      <c r="L2711" s="1599">
        <v>361</v>
      </c>
      <c r="M2711" s="1599">
        <v>-361</v>
      </c>
      <c r="N2711" s="1598"/>
      <c r="O2711" s="1598"/>
      <c r="P2711" s="1599">
        <v>361</v>
      </c>
      <c r="Q2711" s="1599">
        <v>-361</v>
      </c>
      <c r="R2711" s="1598"/>
      <c r="S2711" s="1592"/>
    </row>
    <row r="2712" spans="2:19" s="1593" customFormat="1" ht="11.25" customHeight="1" outlineLevel="1">
      <c r="B2712" s="1594">
        <v>36797</v>
      </c>
      <c r="C2712" s="1595" t="s">
        <v>5403</v>
      </c>
      <c r="D2712" s="1595" t="s">
        <v>10837</v>
      </c>
      <c r="E2712" s="1595"/>
      <c r="F2712" s="1595"/>
      <c r="G2712" s="1595"/>
      <c r="H2712" s="1596">
        <v>1</v>
      </c>
      <c r="I2712" s="1595"/>
      <c r="J2712" s="1595"/>
      <c r="K2712" s="1597">
        <v>13459</v>
      </c>
      <c r="L2712" s="1597">
        <v>13458.5</v>
      </c>
      <c r="M2712" s="1597">
        <v>-13458.5</v>
      </c>
      <c r="N2712" s="1598"/>
      <c r="O2712" s="1598"/>
      <c r="P2712" s="1597">
        <v>13458.5</v>
      </c>
      <c r="Q2712" s="1597">
        <v>-13458.5</v>
      </c>
      <c r="R2712" s="1598"/>
      <c r="S2712" s="1592"/>
    </row>
    <row r="2713" spans="2:19" s="1593" customFormat="1" ht="11.25" customHeight="1" outlineLevel="1">
      <c r="B2713" s="1594">
        <v>37889</v>
      </c>
      <c r="C2713" s="1595" t="s">
        <v>5403</v>
      </c>
      <c r="D2713" s="1595" t="s">
        <v>10836</v>
      </c>
      <c r="E2713" s="1595"/>
      <c r="F2713" s="1595"/>
      <c r="G2713" s="1595" t="s">
        <v>3734</v>
      </c>
      <c r="H2713" s="1596">
        <v>3</v>
      </c>
      <c r="I2713" s="1595"/>
      <c r="J2713" s="1595"/>
      <c r="K2713" s="1597">
        <v>1964</v>
      </c>
      <c r="L2713" s="1597">
        <v>1964</v>
      </c>
      <c r="M2713" s="1598"/>
      <c r="N2713" s="1597">
        <v>1964</v>
      </c>
      <c r="O2713" s="1599">
        <v>11.16</v>
      </c>
      <c r="P2713" s="1597">
        <v>1895.96</v>
      </c>
      <c r="Q2713" s="1599">
        <v>56.88</v>
      </c>
      <c r="R2713" s="1597">
        <v>1952.84</v>
      </c>
      <c r="S2713" s="1592"/>
    </row>
    <row r="2714" spans="2:19" s="1593" customFormat="1" ht="11.25" customHeight="1" outlineLevel="1">
      <c r="B2714" s="1594">
        <v>22812</v>
      </c>
      <c r="C2714" s="1595" t="s">
        <v>5172</v>
      </c>
      <c r="D2714" s="1595" t="s">
        <v>10835</v>
      </c>
      <c r="E2714" s="1595"/>
      <c r="F2714" s="1595"/>
      <c r="G2714" s="1595"/>
      <c r="H2714" s="1596">
        <v>1</v>
      </c>
      <c r="I2714" s="1595"/>
      <c r="J2714" s="1595"/>
      <c r="K2714" s="1597">
        <v>1034</v>
      </c>
      <c r="L2714" s="1597">
        <v>1034</v>
      </c>
      <c r="M2714" s="1597">
        <v>-1034</v>
      </c>
      <c r="N2714" s="1598"/>
      <c r="O2714" s="1598"/>
      <c r="P2714" s="1597">
        <v>1034</v>
      </c>
      <c r="Q2714" s="1597">
        <v>-1034</v>
      </c>
      <c r="R2714" s="1598"/>
      <c r="S2714" s="1592"/>
    </row>
    <row r="2715" spans="2:19" s="1593" customFormat="1" ht="11.25" customHeight="1" outlineLevel="1">
      <c r="B2715" s="1594">
        <v>24041</v>
      </c>
      <c r="C2715" s="1595" t="s">
        <v>5172</v>
      </c>
      <c r="D2715" s="1595" t="s">
        <v>10834</v>
      </c>
      <c r="E2715" s="1595"/>
      <c r="F2715" s="1595"/>
      <c r="G2715" s="1595"/>
      <c r="H2715" s="1596">
        <v>1</v>
      </c>
      <c r="I2715" s="1595"/>
      <c r="J2715" s="1595"/>
      <c r="K2715" s="1597">
        <v>2846</v>
      </c>
      <c r="L2715" s="1597">
        <v>2846</v>
      </c>
      <c r="M2715" s="1597">
        <v>-2846</v>
      </c>
      <c r="N2715" s="1598"/>
      <c r="O2715" s="1598"/>
      <c r="P2715" s="1597">
        <v>2846</v>
      </c>
      <c r="Q2715" s="1597">
        <v>-2846</v>
      </c>
      <c r="R2715" s="1598"/>
      <c r="S2715" s="1592"/>
    </row>
    <row r="2716" spans="2:19" s="1593" customFormat="1" ht="11.25" customHeight="1" outlineLevel="1">
      <c r="B2716" s="1594">
        <v>24046</v>
      </c>
      <c r="C2716" s="1595" t="s">
        <v>5172</v>
      </c>
      <c r="D2716" s="1595" t="s">
        <v>10833</v>
      </c>
      <c r="E2716" s="1595"/>
      <c r="F2716" s="1595"/>
      <c r="G2716" s="1595"/>
      <c r="H2716" s="1596">
        <v>1</v>
      </c>
      <c r="I2716" s="1595"/>
      <c r="J2716" s="1595"/>
      <c r="K2716" s="1597">
        <v>1385</v>
      </c>
      <c r="L2716" s="1597">
        <v>1385.5</v>
      </c>
      <c r="M2716" s="1597">
        <v>-1385.5</v>
      </c>
      <c r="N2716" s="1598"/>
      <c r="O2716" s="1598"/>
      <c r="P2716" s="1597">
        <v>1385.5</v>
      </c>
      <c r="Q2716" s="1597">
        <v>-1385.5</v>
      </c>
      <c r="R2716" s="1598"/>
      <c r="S2716" s="1592"/>
    </row>
    <row r="2717" spans="2:19" s="1593" customFormat="1" ht="11.25" customHeight="1" outlineLevel="1">
      <c r="B2717" s="1594">
        <v>34344</v>
      </c>
      <c r="C2717" s="1595" t="s">
        <v>5172</v>
      </c>
      <c r="D2717" s="1595" t="s">
        <v>10832</v>
      </c>
      <c r="E2717" s="1595"/>
      <c r="F2717" s="1595"/>
      <c r="G2717" s="1595"/>
      <c r="H2717" s="1596">
        <v>1</v>
      </c>
      <c r="I2717" s="1595"/>
      <c r="J2717" s="1595"/>
      <c r="K2717" s="1597">
        <v>1385</v>
      </c>
      <c r="L2717" s="1597">
        <v>1385.5</v>
      </c>
      <c r="M2717" s="1597">
        <v>-1385.5</v>
      </c>
      <c r="N2717" s="1598"/>
      <c r="O2717" s="1598"/>
      <c r="P2717" s="1597">
        <v>1385.5</v>
      </c>
      <c r="Q2717" s="1597">
        <v>-1385.5</v>
      </c>
      <c r="R2717" s="1598"/>
      <c r="S2717" s="1592"/>
    </row>
    <row r="2718" spans="2:19" s="1593" customFormat="1" ht="11.25" customHeight="1" outlineLevel="1">
      <c r="B2718" s="1594">
        <v>23289</v>
      </c>
      <c r="C2718" s="1595" t="s">
        <v>5135</v>
      </c>
      <c r="D2718" s="1595" t="s">
        <v>10831</v>
      </c>
      <c r="E2718" s="1595"/>
      <c r="F2718" s="1595"/>
      <c r="G2718" s="1595"/>
      <c r="H2718" s="1596">
        <v>1</v>
      </c>
      <c r="I2718" s="1595"/>
      <c r="J2718" s="1595"/>
      <c r="K2718" s="1597">
        <v>2100</v>
      </c>
      <c r="L2718" s="1597">
        <v>2100</v>
      </c>
      <c r="M2718" s="1597">
        <v>-2100</v>
      </c>
      <c r="N2718" s="1598"/>
      <c r="O2718" s="1598"/>
      <c r="P2718" s="1597">
        <v>2100</v>
      </c>
      <c r="Q2718" s="1597">
        <v>-2100</v>
      </c>
      <c r="R2718" s="1598"/>
      <c r="S2718" s="1592"/>
    </row>
    <row r="2719" spans="2:19" s="1593" customFormat="1" ht="11.25" customHeight="1" outlineLevel="1">
      <c r="B2719" s="1594">
        <v>24228</v>
      </c>
      <c r="C2719" s="1595" t="s">
        <v>5128</v>
      </c>
      <c r="D2719" s="1595" t="s">
        <v>10830</v>
      </c>
      <c r="E2719" s="1595"/>
      <c r="F2719" s="1595"/>
      <c r="G2719" s="1595"/>
      <c r="H2719" s="1596">
        <v>1</v>
      </c>
      <c r="I2719" s="1595"/>
      <c r="J2719" s="1595"/>
      <c r="K2719" s="1597">
        <v>3442</v>
      </c>
      <c r="L2719" s="1597">
        <v>3442</v>
      </c>
      <c r="M2719" s="1597">
        <v>-3442</v>
      </c>
      <c r="N2719" s="1598"/>
      <c r="O2719" s="1598"/>
      <c r="P2719" s="1597">
        <v>3442</v>
      </c>
      <c r="Q2719" s="1597">
        <v>-3442</v>
      </c>
      <c r="R2719" s="1598"/>
      <c r="S2719" s="1592"/>
    </row>
    <row r="2720" spans="2:19" s="1593" customFormat="1" ht="11.25" customHeight="1" outlineLevel="1">
      <c r="B2720" s="1594">
        <v>23056</v>
      </c>
      <c r="C2720" s="1595" t="s">
        <v>5115</v>
      </c>
      <c r="D2720" s="1595" t="s">
        <v>10829</v>
      </c>
      <c r="E2720" s="1595"/>
      <c r="F2720" s="1595"/>
      <c r="G2720" s="1595"/>
      <c r="H2720" s="1596">
        <v>1</v>
      </c>
      <c r="I2720" s="1595"/>
      <c r="J2720" s="1595"/>
      <c r="K2720" s="1597">
        <v>2167</v>
      </c>
      <c r="L2720" s="1597">
        <v>2167</v>
      </c>
      <c r="M2720" s="1597">
        <v>-2167</v>
      </c>
      <c r="N2720" s="1598"/>
      <c r="O2720" s="1598"/>
      <c r="P2720" s="1597">
        <v>2167</v>
      </c>
      <c r="Q2720" s="1597">
        <v>-2167</v>
      </c>
      <c r="R2720" s="1598"/>
      <c r="S2720" s="1592"/>
    </row>
    <row r="2721" spans="2:19" s="1593" customFormat="1" ht="11.25" customHeight="1" outlineLevel="1">
      <c r="B2721" s="1594">
        <v>24253</v>
      </c>
      <c r="C2721" s="1595" t="s">
        <v>5115</v>
      </c>
      <c r="D2721" s="1595" t="s">
        <v>10828</v>
      </c>
      <c r="E2721" s="1595"/>
      <c r="F2721" s="1595"/>
      <c r="G2721" s="1595"/>
      <c r="H2721" s="1596">
        <v>1</v>
      </c>
      <c r="I2721" s="1595"/>
      <c r="J2721" s="1595"/>
      <c r="K2721" s="1597">
        <v>2250</v>
      </c>
      <c r="L2721" s="1597">
        <v>2250</v>
      </c>
      <c r="M2721" s="1597">
        <v>-2250</v>
      </c>
      <c r="N2721" s="1598"/>
      <c r="O2721" s="1598"/>
      <c r="P2721" s="1597">
        <v>2250</v>
      </c>
      <c r="Q2721" s="1597">
        <v>-2250</v>
      </c>
      <c r="R2721" s="1598"/>
      <c r="S2721" s="1592"/>
    </row>
    <row r="2722" spans="2:19" s="1593" customFormat="1" ht="11.25" customHeight="1" outlineLevel="1">
      <c r="B2722" s="1594">
        <v>37295</v>
      </c>
      <c r="C2722" s="1595" t="s">
        <v>5115</v>
      </c>
      <c r="D2722" s="1595" t="s">
        <v>10827</v>
      </c>
      <c r="E2722" s="1595"/>
      <c r="F2722" s="1595"/>
      <c r="G2722" s="1595"/>
      <c r="H2722" s="1596">
        <v>1</v>
      </c>
      <c r="I2722" s="1595"/>
      <c r="J2722" s="1595"/>
      <c r="K2722" s="1597">
        <v>2250</v>
      </c>
      <c r="L2722" s="1597">
        <v>2250</v>
      </c>
      <c r="M2722" s="1597">
        <v>-2250</v>
      </c>
      <c r="N2722" s="1598"/>
      <c r="O2722" s="1598"/>
      <c r="P2722" s="1597">
        <v>2250</v>
      </c>
      <c r="Q2722" s="1597">
        <v>-2250</v>
      </c>
      <c r="R2722" s="1598"/>
      <c r="S2722" s="1592"/>
    </row>
    <row r="2723" spans="2:19" s="1593" customFormat="1" ht="11.25" customHeight="1" outlineLevel="1">
      <c r="B2723" s="1594">
        <v>24328</v>
      </c>
      <c r="C2723" s="1595" t="s">
        <v>5087</v>
      </c>
      <c r="D2723" s="1595" t="s">
        <v>10826</v>
      </c>
      <c r="E2723" s="1595"/>
      <c r="F2723" s="1595"/>
      <c r="G2723" s="1595" t="s">
        <v>4576</v>
      </c>
      <c r="H2723" s="1596">
        <v>3</v>
      </c>
      <c r="I2723" s="1595"/>
      <c r="J2723" s="1595"/>
      <c r="K2723" s="1599">
        <v>215</v>
      </c>
      <c r="L2723" s="1597">
        <v>85274</v>
      </c>
      <c r="M2723" s="1598"/>
      <c r="N2723" s="1597">
        <v>85274</v>
      </c>
      <c r="O2723" s="1597">
        <v>18119.39</v>
      </c>
      <c r="P2723" s="1597">
        <v>64596.57</v>
      </c>
      <c r="Q2723" s="1597">
        <v>2558.04</v>
      </c>
      <c r="R2723" s="1597">
        <v>67154.61</v>
      </c>
      <c r="S2723" s="1592"/>
    </row>
    <row r="2724" spans="2:19" s="1593" customFormat="1" ht="11.25" customHeight="1" outlineLevel="1">
      <c r="B2724" s="1594">
        <v>37887</v>
      </c>
      <c r="C2724" s="1595" t="s">
        <v>5087</v>
      </c>
      <c r="D2724" s="1595" t="s">
        <v>10825</v>
      </c>
      <c r="E2724" s="1595"/>
      <c r="F2724" s="1595"/>
      <c r="G2724" s="1595" t="s">
        <v>10824</v>
      </c>
      <c r="H2724" s="1596">
        <v>3</v>
      </c>
      <c r="I2724" s="1595"/>
      <c r="J2724" s="1595"/>
      <c r="K2724" s="1597">
        <v>203310</v>
      </c>
      <c r="L2724" s="1597">
        <v>203310</v>
      </c>
      <c r="M2724" s="1598"/>
      <c r="N2724" s="1597">
        <v>203310</v>
      </c>
      <c r="O2724" s="1597">
        <v>14394.57</v>
      </c>
      <c r="P2724" s="1597">
        <v>181718.19</v>
      </c>
      <c r="Q2724" s="1597">
        <v>7197.24</v>
      </c>
      <c r="R2724" s="1597">
        <v>188915.43</v>
      </c>
      <c r="S2724" s="1592"/>
    </row>
    <row r="2725" spans="2:19" s="1593" customFormat="1" ht="11.25" customHeight="1" outlineLevel="1">
      <c r="B2725" s="1594">
        <v>37888</v>
      </c>
      <c r="C2725" s="1595" t="s">
        <v>5087</v>
      </c>
      <c r="D2725" s="1595" t="s">
        <v>10823</v>
      </c>
      <c r="E2725" s="1595"/>
      <c r="F2725" s="1595"/>
      <c r="G2725" s="1595" t="s">
        <v>10822</v>
      </c>
      <c r="H2725" s="1596">
        <v>3</v>
      </c>
      <c r="I2725" s="1595"/>
      <c r="J2725" s="1595"/>
      <c r="K2725" s="1597">
        <v>237163</v>
      </c>
      <c r="L2725" s="1597">
        <v>237163</v>
      </c>
      <c r="M2725" s="1598"/>
      <c r="N2725" s="1597">
        <v>237163</v>
      </c>
      <c r="O2725" s="1597">
        <v>1481.23</v>
      </c>
      <c r="P2725" s="1597">
        <v>228128.7</v>
      </c>
      <c r="Q2725" s="1597">
        <v>7553.07</v>
      </c>
      <c r="R2725" s="1597">
        <v>235681.77</v>
      </c>
      <c r="S2725" s="1592"/>
    </row>
    <row r="2726" spans="2:19" s="1593" customFormat="1" ht="11.25" customHeight="1" outlineLevel="1">
      <c r="B2726" s="1594">
        <v>25878</v>
      </c>
      <c r="C2726" s="1595" t="s">
        <v>4714</v>
      </c>
      <c r="D2726" s="1595" t="s">
        <v>10821</v>
      </c>
      <c r="E2726" s="1595"/>
      <c r="F2726" s="1595"/>
      <c r="G2726" s="1595" t="s">
        <v>10820</v>
      </c>
      <c r="H2726" s="1596">
        <v>1</v>
      </c>
      <c r="I2726" s="1595"/>
      <c r="J2726" s="1595"/>
      <c r="K2726" s="1597">
        <v>109863</v>
      </c>
      <c r="L2726" s="1597">
        <v>109863</v>
      </c>
      <c r="M2726" s="1598"/>
      <c r="N2726" s="1597">
        <v>109863</v>
      </c>
      <c r="O2726" s="1597">
        <v>41199</v>
      </c>
      <c r="P2726" s="1597">
        <v>65917.440000000002</v>
      </c>
      <c r="Q2726" s="1597">
        <v>2746.56</v>
      </c>
      <c r="R2726" s="1597">
        <v>68664</v>
      </c>
      <c r="S2726" s="1592"/>
    </row>
    <row r="2727" spans="2:19" s="1593" customFormat="1" ht="11.25" customHeight="1" outlineLevel="1">
      <c r="B2727" s="1594">
        <v>26028</v>
      </c>
      <c r="C2727" s="1595" t="s">
        <v>4632</v>
      </c>
      <c r="D2727" s="1595" t="s">
        <v>10819</v>
      </c>
      <c r="E2727" s="1595"/>
      <c r="F2727" s="1595"/>
      <c r="G2727" s="1595" t="s">
        <v>3734</v>
      </c>
      <c r="H2727" s="1596">
        <v>1</v>
      </c>
      <c r="I2727" s="1595"/>
      <c r="J2727" s="1595"/>
      <c r="K2727" s="1597">
        <v>8927</v>
      </c>
      <c r="L2727" s="1597">
        <v>8927</v>
      </c>
      <c r="M2727" s="1598"/>
      <c r="N2727" s="1597">
        <v>8927</v>
      </c>
      <c r="O2727" s="1597">
        <v>5172.8</v>
      </c>
      <c r="P2727" s="1597">
        <v>3602.4</v>
      </c>
      <c r="Q2727" s="1599">
        <v>151.80000000000001</v>
      </c>
      <c r="R2727" s="1597">
        <v>3754.2</v>
      </c>
      <c r="S2727" s="1592"/>
    </row>
    <row r="2728" spans="2:19" s="1593" customFormat="1" ht="11.25" customHeight="1" outlineLevel="1">
      <c r="B2728" s="1594">
        <v>26200</v>
      </c>
      <c r="C2728" s="1595" t="s">
        <v>4598</v>
      </c>
      <c r="D2728" s="1595" t="s">
        <v>10818</v>
      </c>
      <c r="E2728" s="1595"/>
      <c r="F2728" s="1595"/>
      <c r="G2728" s="1595" t="s">
        <v>9575</v>
      </c>
      <c r="H2728" s="1596">
        <v>1</v>
      </c>
      <c r="I2728" s="1595"/>
      <c r="J2728" s="1595"/>
      <c r="K2728" s="1597">
        <v>4308</v>
      </c>
      <c r="L2728" s="1597">
        <v>3877513</v>
      </c>
      <c r="M2728" s="1598"/>
      <c r="N2728" s="1597">
        <v>3877513</v>
      </c>
      <c r="O2728" s="1597">
        <v>1977532.12</v>
      </c>
      <c r="P2728" s="1597">
        <v>1822430.64</v>
      </c>
      <c r="Q2728" s="1597">
        <v>77550.240000000005</v>
      </c>
      <c r="R2728" s="1597">
        <v>1899980.88</v>
      </c>
      <c r="S2728" s="1592"/>
    </row>
    <row r="2729" spans="2:19" s="1593" customFormat="1" ht="11.25" customHeight="1" outlineLevel="1">
      <c r="B2729" s="1594">
        <v>24450</v>
      </c>
      <c r="C2729" s="1595" t="s">
        <v>4456</v>
      </c>
      <c r="D2729" s="1595" t="s">
        <v>10817</v>
      </c>
      <c r="E2729" s="1595"/>
      <c r="F2729" s="1595"/>
      <c r="G2729" s="1595" t="s">
        <v>3596</v>
      </c>
      <c r="H2729" s="1596">
        <v>1</v>
      </c>
      <c r="I2729" s="1595"/>
      <c r="J2729" s="1595"/>
      <c r="K2729" s="1597">
        <v>305000</v>
      </c>
      <c r="L2729" s="1597">
        <v>305000</v>
      </c>
      <c r="M2729" s="1598"/>
      <c r="N2729" s="1597">
        <v>305000</v>
      </c>
      <c r="O2729" s="1597">
        <v>12159.31</v>
      </c>
      <c r="P2729" s="1597">
        <v>280681.33</v>
      </c>
      <c r="Q2729" s="1597">
        <v>12159.36</v>
      </c>
      <c r="R2729" s="1597">
        <v>292840.69</v>
      </c>
      <c r="S2729" s="1592"/>
    </row>
    <row r="2730" spans="2:19" s="1593" customFormat="1" ht="11.25" customHeight="1" outlineLevel="1">
      <c r="B2730" s="1594">
        <v>26533</v>
      </c>
      <c r="C2730" s="1595" t="s">
        <v>4447</v>
      </c>
      <c r="D2730" s="1595" t="s">
        <v>10816</v>
      </c>
      <c r="E2730" s="1595"/>
      <c r="F2730" s="1595"/>
      <c r="G2730" s="1595"/>
      <c r="H2730" s="1596">
        <v>1</v>
      </c>
      <c r="I2730" s="1595"/>
      <c r="J2730" s="1595"/>
      <c r="K2730" s="1597">
        <v>3593</v>
      </c>
      <c r="L2730" s="1597">
        <v>3593</v>
      </c>
      <c r="M2730" s="1597">
        <v>-3593</v>
      </c>
      <c r="N2730" s="1598"/>
      <c r="O2730" s="1598"/>
      <c r="P2730" s="1597">
        <v>3593</v>
      </c>
      <c r="Q2730" s="1597">
        <v>-3593</v>
      </c>
      <c r="R2730" s="1598"/>
      <c r="S2730" s="1592"/>
    </row>
    <row r="2731" spans="2:19" s="1593" customFormat="1" ht="11.25" customHeight="1" outlineLevel="1">
      <c r="B2731" s="1594">
        <v>26869</v>
      </c>
      <c r="C2731" s="1595" t="s">
        <v>4314</v>
      </c>
      <c r="D2731" s="1595" t="s">
        <v>10815</v>
      </c>
      <c r="E2731" s="1595"/>
      <c r="F2731" s="1595"/>
      <c r="G2731" s="1595"/>
      <c r="H2731" s="1596">
        <v>1</v>
      </c>
      <c r="I2731" s="1595"/>
      <c r="J2731" s="1595"/>
      <c r="K2731" s="1597">
        <v>86817</v>
      </c>
      <c r="L2731" s="1597">
        <v>10500</v>
      </c>
      <c r="M2731" s="1597">
        <v>-10500</v>
      </c>
      <c r="N2731" s="1598"/>
      <c r="O2731" s="1598"/>
      <c r="P2731" s="1597">
        <v>10500</v>
      </c>
      <c r="Q2731" s="1597">
        <v>-10500</v>
      </c>
      <c r="R2731" s="1598"/>
      <c r="S2731" s="1592"/>
    </row>
    <row r="2732" spans="2:19" s="1593" customFormat="1" ht="11.25" customHeight="1" outlineLevel="1">
      <c r="B2732" s="1594">
        <v>34859</v>
      </c>
      <c r="C2732" s="1595" t="s">
        <v>4314</v>
      </c>
      <c r="D2732" s="1595" t="s">
        <v>10814</v>
      </c>
      <c r="E2732" s="1595"/>
      <c r="F2732" s="1595"/>
      <c r="G2732" s="1595"/>
      <c r="H2732" s="1596">
        <v>1</v>
      </c>
      <c r="I2732" s="1595"/>
      <c r="J2732" s="1595"/>
      <c r="K2732" s="1597">
        <v>86817</v>
      </c>
      <c r="L2732" s="1597">
        <v>10500</v>
      </c>
      <c r="M2732" s="1597">
        <v>-10500</v>
      </c>
      <c r="N2732" s="1598"/>
      <c r="O2732" s="1598"/>
      <c r="P2732" s="1597">
        <v>10500</v>
      </c>
      <c r="Q2732" s="1597">
        <v>-10500</v>
      </c>
      <c r="R2732" s="1598"/>
      <c r="S2732" s="1592"/>
    </row>
    <row r="2733" spans="2:19" s="1593" customFormat="1" ht="11.25" customHeight="1" outlineLevel="1">
      <c r="B2733" s="1594">
        <v>34860</v>
      </c>
      <c r="C2733" s="1595" t="s">
        <v>4314</v>
      </c>
      <c r="D2733" s="1595" t="s">
        <v>10813</v>
      </c>
      <c r="E2733" s="1595"/>
      <c r="F2733" s="1595"/>
      <c r="G2733" s="1595"/>
      <c r="H2733" s="1596">
        <v>1</v>
      </c>
      <c r="I2733" s="1595"/>
      <c r="J2733" s="1595"/>
      <c r="K2733" s="1597">
        <v>86817</v>
      </c>
      <c r="L2733" s="1597">
        <v>10500</v>
      </c>
      <c r="M2733" s="1597">
        <v>-10500</v>
      </c>
      <c r="N2733" s="1598"/>
      <c r="O2733" s="1598"/>
      <c r="P2733" s="1597">
        <v>10500</v>
      </c>
      <c r="Q2733" s="1597">
        <v>-10500</v>
      </c>
      <c r="R2733" s="1598"/>
      <c r="S2733" s="1592"/>
    </row>
    <row r="2734" spans="2:19" s="1593" customFormat="1" ht="11.25" customHeight="1" outlineLevel="1">
      <c r="B2734" s="1594">
        <v>34861</v>
      </c>
      <c r="C2734" s="1595" t="s">
        <v>4314</v>
      </c>
      <c r="D2734" s="1595" t="s">
        <v>10812</v>
      </c>
      <c r="E2734" s="1595"/>
      <c r="F2734" s="1595"/>
      <c r="G2734" s="1595"/>
      <c r="H2734" s="1596">
        <v>1</v>
      </c>
      <c r="I2734" s="1595"/>
      <c r="J2734" s="1595"/>
      <c r="K2734" s="1597">
        <v>86817</v>
      </c>
      <c r="L2734" s="1597">
        <v>10500</v>
      </c>
      <c r="M2734" s="1597">
        <v>-10500</v>
      </c>
      <c r="N2734" s="1598"/>
      <c r="O2734" s="1598"/>
      <c r="P2734" s="1597">
        <v>10500</v>
      </c>
      <c r="Q2734" s="1597">
        <v>-10500</v>
      </c>
      <c r="R2734" s="1598"/>
      <c r="S2734" s="1592"/>
    </row>
    <row r="2735" spans="2:19" s="1593" customFormat="1" ht="11.25" customHeight="1" outlineLevel="1">
      <c r="B2735" s="1594">
        <v>34862</v>
      </c>
      <c r="C2735" s="1595" t="s">
        <v>4314</v>
      </c>
      <c r="D2735" s="1595" t="s">
        <v>10811</v>
      </c>
      <c r="E2735" s="1595"/>
      <c r="F2735" s="1595"/>
      <c r="G2735" s="1595"/>
      <c r="H2735" s="1596">
        <v>1</v>
      </c>
      <c r="I2735" s="1595"/>
      <c r="J2735" s="1595"/>
      <c r="K2735" s="1597">
        <v>86817</v>
      </c>
      <c r="L2735" s="1597">
        <v>10500</v>
      </c>
      <c r="M2735" s="1597">
        <v>-10500</v>
      </c>
      <c r="N2735" s="1598"/>
      <c r="O2735" s="1598"/>
      <c r="P2735" s="1597">
        <v>10500</v>
      </c>
      <c r="Q2735" s="1597">
        <v>-10500</v>
      </c>
      <c r="R2735" s="1598"/>
      <c r="S2735" s="1592"/>
    </row>
    <row r="2736" spans="2:19" s="1593" customFormat="1" ht="11.25" customHeight="1" outlineLevel="1">
      <c r="B2736" s="1594">
        <v>34863</v>
      </c>
      <c r="C2736" s="1595" t="s">
        <v>4314</v>
      </c>
      <c r="D2736" s="1595" t="s">
        <v>10810</v>
      </c>
      <c r="E2736" s="1595"/>
      <c r="F2736" s="1595"/>
      <c r="G2736" s="1595"/>
      <c r="H2736" s="1596">
        <v>1</v>
      </c>
      <c r="I2736" s="1595"/>
      <c r="J2736" s="1595"/>
      <c r="K2736" s="1597">
        <v>86817</v>
      </c>
      <c r="L2736" s="1597">
        <v>10500</v>
      </c>
      <c r="M2736" s="1597">
        <v>-10500</v>
      </c>
      <c r="N2736" s="1598"/>
      <c r="O2736" s="1598"/>
      <c r="P2736" s="1597">
        <v>10500</v>
      </c>
      <c r="Q2736" s="1597">
        <v>-10500</v>
      </c>
      <c r="R2736" s="1598"/>
      <c r="S2736" s="1592"/>
    </row>
    <row r="2737" spans="2:19" s="1593" customFormat="1" ht="11.25" customHeight="1" outlineLevel="1">
      <c r="B2737" s="1594">
        <v>34864</v>
      </c>
      <c r="C2737" s="1595" t="s">
        <v>4314</v>
      </c>
      <c r="D2737" s="1595" t="s">
        <v>10809</v>
      </c>
      <c r="E2737" s="1595"/>
      <c r="F2737" s="1595"/>
      <c r="G2737" s="1595"/>
      <c r="H2737" s="1596">
        <v>1</v>
      </c>
      <c r="I2737" s="1595"/>
      <c r="J2737" s="1595"/>
      <c r="K2737" s="1597">
        <v>86817</v>
      </c>
      <c r="L2737" s="1597">
        <v>10500</v>
      </c>
      <c r="M2737" s="1597">
        <v>-10500</v>
      </c>
      <c r="N2737" s="1598"/>
      <c r="O2737" s="1598"/>
      <c r="P2737" s="1597">
        <v>10500</v>
      </c>
      <c r="Q2737" s="1597">
        <v>-10500</v>
      </c>
      <c r="R2737" s="1598"/>
      <c r="S2737" s="1592"/>
    </row>
    <row r="2738" spans="2:19" s="1593" customFormat="1" ht="11.25" customHeight="1" outlineLevel="1">
      <c r="B2738" s="1594">
        <v>34865</v>
      </c>
      <c r="C2738" s="1595" t="s">
        <v>4314</v>
      </c>
      <c r="D2738" s="1595" t="s">
        <v>10808</v>
      </c>
      <c r="E2738" s="1595"/>
      <c r="F2738" s="1595"/>
      <c r="G2738" s="1595"/>
      <c r="H2738" s="1596">
        <v>1</v>
      </c>
      <c r="I2738" s="1595"/>
      <c r="J2738" s="1595"/>
      <c r="K2738" s="1597">
        <v>86817</v>
      </c>
      <c r="L2738" s="1597">
        <v>10500</v>
      </c>
      <c r="M2738" s="1597">
        <v>-10500</v>
      </c>
      <c r="N2738" s="1598"/>
      <c r="O2738" s="1598"/>
      <c r="P2738" s="1597">
        <v>10500</v>
      </c>
      <c r="Q2738" s="1597">
        <v>-10500</v>
      </c>
      <c r="R2738" s="1598"/>
      <c r="S2738" s="1592"/>
    </row>
    <row r="2739" spans="2:19" s="1593" customFormat="1" ht="11.25" customHeight="1" outlineLevel="1">
      <c r="B2739" s="1594">
        <v>34866</v>
      </c>
      <c r="C2739" s="1595" t="s">
        <v>4314</v>
      </c>
      <c r="D2739" s="1595" t="s">
        <v>10807</v>
      </c>
      <c r="E2739" s="1595"/>
      <c r="F2739" s="1595"/>
      <c r="G2739" s="1595"/>
      <c r="H2739" s="1596">
        <v>1</v>
      </c>
      <c r="I2739" s="1595"/>
      <c r="J2739" s="1595"/>
      <c r="K2739" s="1597">
        <v>86817</v>
      </c>
      <c r="L2739" s="1597">
        <v>10500</v>
      </c>
      <c r="M2739" s="1597">
        <v>-10500</v>
      </c>
      <c r="N2739" s="1598"/>
      <c r="O2739" s="1598"/>
      <c r="P2739" s="1597">
        <v>10500</v>
      </c>
      <c r="Q2739" s="1597">
        <v>-10500</v>
      </c>
      <c r="R2739" s="1598"/>
      <c r="S2739" s="1592"/>
    </row>
    <row r="2740" spans="2:19" s="1593" customFormat="1" ht="11.25" customHeight="1" outlineLevel="1">
      <c r="B2740" s="1594">
        <v>34867</v>
      </c>
      <c r="C2740" s="1595" t="s">
        <v>4314</v>
      </c>
      <c r="D2740" s="1595" t="s">
        <v>10806</v>
      </c>
      <c r="E2740" s="1595"/>
      <c r="F2740" s="1595"/>
      <c r="G2740" s="1595"/>
      <c r="H2740" s="1596">
        <v>1</v>
      </c>
      <c r="I2740" s="1595"/>
      <c r="J2740" s="1595"/>
      <c r="K2740" s="1597">
        <v>10500</v>
      </c>
      <c r="L2740" s="1597">
        <v>10500</v>
      </c>
      <c r="M2740" s="1597">
        <v>-10500</v>
      </c>
      <c r="N2740" s="1598"/>
      <c r="O2740" s="1598"/>
      <c r="P2740" s="1597">
        <v>10500</v>
      </c>
      <c r="Q2740" s="1597">
        <v>-10500</v>
      </c>
      <c r="R2740" s="1598"/>
      <c r="S2740" s="1592"/>
    </row>
    <row r="2741" spans="2:19" s="1593" customFormat="1" ht="11.25" customHeight="1" outlineLevel="1">
      <c r="B2741" s="1594">
        <v>26855</v>
      </c>
      <c r="C2741" s="1595" t="s">
        <v>4246</v>
      </c>
      <c r="D2741" s="1595" t="s">
        <v>10805</v>
      </c>
      <c r="E2741" s="1595"/>
      <c r="F2741" s="1595"/>
      <c r="G2741" s="1595"/>
      <c r="H2741" s="1596">
        <v>1</v>
      </c>
      <c r="I2741" s="1595"/>
      <c r="J2741" s="1595"/>
      <c r="K2741" s="1597">
        <v>8333</v>
      </c>
      <c r="L2741" s="1597">
        <v>8333</v>
      </c>
      <c r="M2741" s="1597">
        <v>-8333</v>
      </c>
      <c r="N2741" s="1598"/>
      <c r="O2741" s="1598"/>
      <c r="P2741" s="1597">
        <v>8333</v>
      </c>
      <c r="Q2741" s="1597">
        <v>-8333</v>
      </c>
      <c r="R2741" s="1598"/>
      <c r="S2741" s="1592"/>
    </row>
    <row r="2742" spans="2:19" s="1593" customFormat="1" ht="11.25" customHeight="1" outlineLevel="1">
      <c r="B2742" s="1594">
        <v>22969</v>
      </c>
      <c r="C2742" s="1595" t="s">
        <v>4241</v>
      </c>
      <c r="D2742" s="1595" t="s">
        <v>10804</v>
      </c>
      <c r="E2742" s="1595"/>
      <c r="F2742" s="1595"/>
      <c r="G2742" s="1595"/>
      <c r="H2742" s="1596">
        <v>1</v>
      </c>
      <c r="I2742" s="1595"/>
      <c r="J2742" s="1595"/>
      <c r="K2742" s="1597">
        <v>5980</v>
      </c>
      <c r="L2742" s="1597">
        <v>5980</v>
      </c>
      <c r="M2742" s="1597">
        <v>-5980</v>
      </c>
      <c r="N2742" s="1598"/>
      <c r="O2742" s="1598"/>
      <c r="P2742" s="1597">
        <v>5980</v>
      </c>
      <c r="Q2742" s="1597">
        <v>-5980</v>
      </c>
      <c r="R2742" s="1598"/>
      <c r="S2742" s="1592"/>
    </row>
    <row r="2743" spans="2:19" s="1593" customFormat="1" ht="11.25" customHeight="1" outlineLevel="1">
      <c r="B2743" s="1594">
        <v>27677</v>
      </c>
      <c r="C2743" s="1595" t="s">
        <v>4108</v>
      </c>
      <c r="D2743" s="1595" t="s">
        <v>10803</v>
      </c>
      <c r="E2743" s="1595"/>
      <c r="F2743" s="1595"/>
      <c r="G2743" s="1595"/>
      <c r="H2743" s="1596">
        <v>1</v>
      </c>
      <c r="I2743" s="1595"/>
      <c r="J2743" s="1595"/>
      <c r="K2743" s="1597">
        <v>8497</v>
      </c>
      <c r="L2743" s="1597">
        <v>8497</v>
      </c>
      <c r="M2743" s="1597">
        <v>-8497</v>
      </c>
      <c r="N2743" s="1598"/>
      <c r="O2743" s="1598"/>
      <c r="P2743" s="1597">
        <v>8497</v>
      </c>
      <c r="Q2743" s="1597">
        <v>-8497</v>
      </c>
      <c r="R2743" s="1598"/>
      <c r="S2743" s="1592"/>
    </row>
    <row r="2744" spans="2:19" s="1593" customFormat="1" ht="11.25" customHeight="1" outlineLevel="1">
      <c r="B2744" s="1594">
        <v>27936</v>
      </c>
      <c r="C2744" s="1595" t="s">
        <v>4097</v>
      </c>
      <c r="D2744" s="1595" t="s">
        <v>10802</v>
      </c>
      <c r="E2744" s="1595"/>
      <c r="F2744" s="1595"/>
      <c r="G2744" s="1595"/>
      <c r="H2744" s="1596">
        <v>1</v>
      </c>
      <c r="I2744" s="1595"/>
      <c r="J2744" s="1595"/>
      <c r="K2744" s="1597">
        <v>58333</v>
      </c>
      <c r="L2744" s="1597">
        <v>58333</v>
      </c>
      <c r="M2744" s="1597">
        <v>-58333</v>
      </c>
      <c r="N2744" s="1598"/>
      <c r="O2744" s="1598"/>
      <c r="P2744" s="1597">
        <v>38052.300000000003</v>
      </c>
      <c r="Q2744" s="1597">
        <v>-38052.300000000003</v>
      </c>
      <c r="R2744" s="1598"/>
      <c r="S2744" s="1592"/>
    </row>
    <row r="2745" spans="2:19" s="1593" customFormat="1" ht="11.25" customHeight="1" outlineLevel="1">
      <c r="B2745" s="1594">
        <v>33342</v>
      </c>
      <c r="C2745" s="1595" t="s">
        <v>4097</v>
      </c>
      <c r="D2745" s="1595" t="s">
        <v>10801</v>
      </c>
      <c r="E2745" s="1595"/>
      <c r="F2745" s="1595"/>
      <c r="G2745" s="1595"/>
      <c r="H2745" s="1596">
        <v>1</v>
      </c>
      <c r="I2745" s="1595"/>
      <c r="J2745" s="1595"/>
      <c r="K2745" s="1597">
        <v>58333</v>
      </c>
      <c r="L2745" s="1597">
        <v>58333</v>
      </c>
      <c r="M2745" s="1597">
        <v>-58333</v>
      </c>
      <c r="N2745" s="1598"/>
      <c r="O2745" s="1598"/>
      <c r="P2745" s="1597">
        <v>38052.300000000003</v>
      </c>
      <c r="Q2745" s="1597">
        <v>-38052.300000000003</v>
      </c>
      <c r="R2745" s="1598"/>
      <c r="S2745" s="1592"/>
    </row>
    <row r="2746" spans="2:19" s="1593" customFormat="1" ht="11.25" customHeight="1" outlineLevel="1">
      <c r="B2746" s="1594">
        <v>27647</v>
      </c>
      <c r="C2746" s="1595" t="s">
        <v>10800</v>
      </c>
      <c r="D2746" s="1595" t="s">
        <v>10799</v>
      </c>
      <c r="E2746" s="1595"/>
      <c r="F2746" s="1595"/>
      <c r="G2746" s="1595"/>
      <c r="H2746" s="1596">
        <v>1</v>
      </c>
      <c r="I2746" s="1595"/>
      <c r="J2746" s="1595"/>
      <c r="K2746" s="1597">
        <v>3500</v>
      </c>
      <c r="L2746" s="1597">
        <v>3500</v>
      </c>
      <c r="M2746" s="1597">
        <v>-3500</v>
      </c>
      <c r="N2746" s="1598"/>
      <c r="O2746" s="1598"/>
      <c r="P2746" s="1597">
        <v>3500</v>
      </c>
      <c r="Q2746" s="1597">
        <v>-3500</v>
      </c>
      <c r="R2746" s="1598"/>
      <c r="S2746" s="1592"/>
    </row>
    <row r="2747" spans="2:19" s="1593" customFormat="1" ht="11.25" customHeight="1" outlineLevel="1">
      <c r="B2747" s="1594">
        <v>28446</v>
      </c>
      <c r="C2747" s="1595" t="s">
        <v>10798</v>
      </c>
      <c r="D2747" s="1595" t="s">
        <v>10797</v>
      </c>
      <c r="E2747" s="1595"/>
      <c r="F2747" s="1595"/>
      <c r="G2747" s="1595"/>
      <c r="H2747" s="1596">
        <v>1</v>
      </c>
      <c r="I2747" s="1595"/>
      <c r="J2747" s="1595"/>
      <c r="K2747" s="1597">
        <v>86300</v>
      </c>
      <c r="L2747" s="1597">
        <v>86300</v>
      </c>
      <c r="M2747" s="1597">
        <v>-86300</v>
      </c>
      <c r="N2747" s="1598"/>
      <c r="O2747" s="1598"/>
      <c r="P2747" s="1597">
        <v>86300</v>
      </c>
      <c r="Q2747" s="1597">
        <v>-86300</v>
      </c>
      <c r="R2747" s="1598"/>
      <c r="S2747" s="1592"/>
    </row>
    <row r="2748" spans="2:19" s="1593" customFormat="1" ht="11.25" customHeight="1" outlineLevel="1">
      <c r="B2748" s="1594">
        <v>28938</v>
      </c>
      <c r="C2748" s="1595" t="s">
        <v>4016</v>
      </c>
      <c r="D2748" s="1595" t="s">
        <v>10796</v>
      </c>
      <c r="E2748" s="1595"/>
      <c r="F2748" s="1595"/>
      <c r="G2748" s="1595"/>
      <c r="H2748" s="1596">
        <v>1</v>
      </c>
      <c r="I2748" s="1595"/>
      <c r="J2748" s="1595"/>
      <c r="K2748" s="1597">
        <v>11653</v>
      </c>
      <c r="L2748" s="1597">
        <v>11653</v>
      </c>
      <c r="M2748" s="1597">
        <v>-11653</v>
      </c>
      <c r="N2748" s="1598"/>
      <c r="O2748" s="1598"/>
      <c r="P2748" s="1597">
        <v>11653</v>
      </c>
      <c r="Q2748" s="1597">
        <v>-11653</v>
      </c>
      <c r="R2748" s="1598"/>
      <c r="S2748" s="1592"/>
    </row>
    <row r="2749" spans="2:19" s="1593" customFormat="1" ht="11.25" customHeight="1" outlineLevel="1">
      <c r="B2749" s="1594">
        <v>29026</v>
      </c>
      <c r="C2749" s="1595" t="s">
        <v>3768</v>
      </c>
      <c r="D2749" s="1595" t="s">
        <v>10795</v>
      </c>
      <c r="E2749" s="1595"/>
      <c r="F2749" s="1595"/>
      <c r="G2749" s="1595"/>
      <c r="H2749" s="1596">
        <v>1</v>
      </c>
      <c r="I2749" s="1595"/>
      <c r="J2749" s="1595"/>
      <c r="K2749" s="1597">
        <v>3442</v>
      </c>
      <c r="L2749" s="1597">
        <v>3442</v>
      </c>
      <c r="M2749" s="1597">
        <v>-3442</v>
      </c>
      <c r="N2749" s="1598"/>
      <c r="O2749" s="1598"/>
      <c r="P2749" s="1597">
        <v>3047.2</v>
      </c>
      <c r="Q2749" s="1597">
        <v>-3047.2</v>
      </c>
      <c r="R2749" s="1598"/>
      <c r="S2749" s="1592"/>
    </row>
    <row r="2750" spans="2:19" s="1593" customFormat="1" ht="11.25" customHeight="1" outlineLevel="1">
      <c r="B2750" s="1594">
        <v>29027</v>
      </c>
      <c r="C2750" s="1595" t="s">
        <v>3768</v>
      </c>
      <c r="D2750" s="1595" t="s">
        <v>10794</v>
      </c>
      <c r="E2750" s="1595"/>
      <c r="F2750" s="1595"/>
      <c r="G2750" s="1595" t="s">
        <v>3734</v>
      </c>
      <c r="H2750" s="1596">
        <v>1</v>
      </c>
      <c r="I2750" s="1595"/>
      <c r="J2750" s="1595"/>
      <c r="K2750" s="1597">
        <v>14135</v>
      </c>
      <c r="L2750" s="1597">
        <v>14135</v>
      </c>
      <c r="M2750" s="1598"/>
      <c r="N2750" s="1597">
        <v>14135</v>
      </c>
      <c r="O2750" s="1597">
        <v>3160.12</v>
      </c>
      <c r="P2750" s="1597">
        <v>10448.200000000001</v>
      </c>
      <c r="Q2750" s="1599">
        <v>526.67999999999995</v>
      </c>
      <c r="R2750" s="1597">
        <v>10974.88</v>
      </c>
      <c r="S2750" s="1592"/>
    </row>
    <row r="2751" spans="2:19" s="1593" customFormat="1" ht="11.25" customHeight="1" outlineLevel="1">
      <c r="B2751" s="1594">
        <v>29159</v>
      </c>
      <c r="C2751" s="1595" t="s">
        <v>3760</v>
      </c>
      <c r="D2751" s="1595" t="s">
        <v>10793</v>
      </c>
      <c r="E2751" s="1595"/>
      <c r="F2751" s="1595"/>
      <c r="G2751" s="1595"/>
      <c r="H2751" s="1596">
        <v>1</v>
      </c>
      <c r="I2751" s="1595"/>
      <c r="J2751" s="1595"/>
      <c r="K2751" s="1597">
        <v>23340</v>
      </c>
      <c r="L2751" s="1597">
        <v>23340</v>
      </c>
      <c r="M2751" s="1597">
        <v>-23340</v>
      </c>
      <c r="N2751" s="1598"/>
      <c r="O2751" s="1598"/>
      <c r="P2751" s="1597">
        <v>23340</v>
      </c>
      <c r="Q2751" s="1597">
        <v>-23340</v>
      </c>
      <c r="R2751" s="1598"/>
      <c r="S2751" s="1592"/>
    </row>
    <row r="2752" spans="2:19" s="1593" customFormat="1" ht="11.25" customHeight="1" outlineLevel="1">
      <c r="B2752" s="1594">
        <v>29048</v>
      </c>
      <c r="C2752" s="1595" t="s">
        <v>3745</v>
      </c>
      <c r="D2752" s="1595" t="s">
        <v>10792</v>
      </c>
      <c r="E2752" s="1595"/>
      <c r="F2752" s="1595"/>
      <c r="G2752" s="1595" t="s">
        <v>3596</v>
      </c>
      <c r="H2752" s="1596">
        <v>1</v>
      </c>
      <c r="I2752" s="1595"/>
      <c r="J2752" s="1595"/>
      <c r="K2752" s="1597">
        <v>315000</v>
      </c>
      <c r="L2752" s="1597">
        <v>315000</v>
      </c>
      <c r="M2752" s="1598"/>
      <c r="N2752" s="1597">
        <v>315000</v>
      </c>
      <c r="O2752" s="1597">
        <v>14881.62</v>
      </c>
      <c r="P2752" s="1597">
        <v>285236.8</v>
      </c>
      <c r="Q2752" s="1597">
        <v>14881.58</v>
      </c>
      <c r="R2752" s="1597">
        <v>300118.38</v>
      </c>
      <c r="S2752" s="1592"/>
    </row>
    <row r="2753" spans="2:19" s="1593" customFormat="1" ht="11.25" customHeight="1" outlineLevel="1">
      <c r="B2753" s="1594">
        <v>29389</v>
      </c>
      <c r="C2753" s="1595" t="s">
        <v>3745</v>
      </c>
      <c r="D2753" s="1595" t="s">
        <v>10791</v>
      </c>
      <c r="E2753" s="1595"/>
      <c r="F2753" s="1595"/>
      <c r="G2753" s="1595"/>
      <c r="H2753" s="1596">
        <v>1</v>
      </c>
      <c r="I2753" s="1595"/>
      <c r="J2753" s="1595"/>
      <c r="K2753" s="1597">
        <v>15000</v>
      </c>
      <c r="L2753" s="1597">
        <v>15000</v>
      </c>
      <c r="M2753" s="1597">
        <v>-15000</v>
      </c>
      <c r="N2753" s="1598"/>
      <c r="O2753" s="1598"/>
      <c r="P2753" s="1597">
        <v>12644</v>
      </c>
      <c r="Q2753" s="1597">
        <v>-12644</v>
      </c>
      <c r="R2753" s="1598"/>
      <c r="S2753" s="1592"/>
    </row>
    <row r="2754" spans="2:19" s="1593" customFormat="1" ht="11.25" customHeight="1" outlineLevel="1">
      <c r="B2754" s="1594">
        <v>26505</v>
      </c>
      <c r="C2754" s="1595" t="s">
        <v>10790</v>
      </c>
      <c r="D2754" s="1595" t="s">
        <v>10789</v>
      </c>
      <c r="E2754" s="1595"/>
      <c r="F2754" s="1595"/>
      <c r="G2754" s="1595"/>
      <c r="H2754" s="1596">
        <v>1</v>
      </c>
      <c r="I2754" s="1595"/>
      <c r="J2754" s="1595"/>
      <c r="K2754" s="1597">
        <v>104000</v>
      </c>
      <c r="L2754" s="1597">
        <v>104000</v>
      </c>
      <c r="M2754" s="1598"/>
      <c r="N2754" s="1597">
        <v>104000</v>
      </c>
      <c r="O2754" s="1597">
        <v>4932.49</v>
      </c>
      <c r="P2754" s="1597">
        <v>94135.03</v>
      </c>
      <c r="Q2754" s="1597">
        <v>4932.4799999999996</v>
      </c>
      <c r="R2754" s="1597">
        <v>99067.51</v>
      </c>
      <c r="S2754" s="1592"/>
    </row>
    <row r="2755" spans="2:19" s="1593" customFormat="1" ht="11.25" customHeight="1" outlineLevel="1">
      <c r="B2755" s="1594">
        <v>29544</v>
      </c>
      <c r="C2755" s="1595" t="s">
        <v>8226</v>
      </c>
      <c r="D2755" s="1595" t="s">
        <v>10788</v>
      </c>
      <c r="E2755" s="1595"/>
      <c r="F2755" s="1595"/>
      <c r="G2755" s="1595"/>
      <c r="H2755" s="1596">
        <v>1</v>
      </c>
      <c r="I2755" s="1595"/>
      <c r="J2755" s="1595"/>
      <c r="K2755" s="1597">
        <v>33333</v>
      </c>
      <c r="L2755" s="1597">
        <v>33333</v>
      </c>
      <c r="M2755" s="1597">
        <v>-33333</v>
      </c>
      <c r="N2755" s="1598"/>
      <c r="O2755" s="1598"/>
      <c r="P2755" s="1597">
        <v>33333</v>
      </c>
      <c r="Q2755" s="1597">
        <v>-33333</v>
      </c>
      <c r="R2755" s="1598"/>
      <c r="S2755" s="1592"/>
    </row>
    <row r="2756" spans="2:19" s="1593" customFormat="1" ht="11.25" customHeight="1" outlineLevel="1">
      <c r="B2756" s="1594">
        <v>26850</v>
      </c>
      <c r="C2756" s="1595" t="s">
        <v>8222</v>
      </c>
      <c r="D2756" s="1595" t="s">
        <v>10787</v>
      </c>
      <c r="E2756" s="1595"/>
      <c r="F2756" s="1595"/>
      <c r="G2756" s="1595"/>
      <c r="H2756" s="1596">
        <v>1</v>
      </c>
      <c r="I2756" s="1595"/>
      <c r="J2756" s="1595"/>
      <c r="K2756" s="1597">
        <v>12500</v>
      </c>
      <c r="L2756" s="1597">
        <v>12500</v>
      </c>
      <c r="M2756" s="1597">
        <v>-12500</v>
      </c>
      <c r="N2756" s="1598"/>
      <c r="O2756" s="1598"/>
      <c r="P2756" s="1597">
        <v>12500</v>
      </c>
      <c r="Q2756" s="1597">
        <v>-12500</v>
      </c>
      <c r="R2756" s="1598"/>
      <c r="S2756" s="1592"/>
    </row>
    <row r="2757" spans="2:19" s="1593" customFormat="1" ht="11.25" customHeight="1" outlineLevel="1">
      <c r="B2757" s="1594">
        <v>29066</v>
      </c>
      <c r="C2757" s="1595" t="s">
        <v>8222</v>
      </c>
      <c r="D2757" s="1595" t="s">
        <v>10786</v>
      </c>
      <c r="E2757" s="1595"/>
      <c r="F2757" s="1595"/>
      <c r="G2757" s="1595"/>
      <c r="H2757" s="1596">
        <v>1</v>
      </c>
      <c r="I2757" s="1595"/>
      <c r="J2757" s="1595"/>
      <c r="K2757" s="1597">
        <v>14900</v>
      </c>
      <c r="L2757" s="1597">
        <v>14900</v>
      </c>
      <c r="M2757" s="1597">
        <v>-14900</v>
      </c>
      <c r="N2757" s="1598"/>
      <c r="O2757" s="1598"/>
      <c r="P2757" s="1597">
        <v>14900</v>
      </c>
      <c r="Q2757" s="1597">
        <v>-14900</v>
      </c>
      <c r="R2757" s="1598"/>
      <c r="S2757" s="1592"/>
    </row>
    <row r="2758" spans="2:19" s="1593" customFormat="1" ht="11.25" customHeight="1" outlineLevel="1">
      <c r="B2758" s="1594">
        <v>29791</v>
      </c>
      <c r="C2758" s="1595" t="s">
        <v>8222</v>
      </c>
      <c r="D2758" s="1595" t="s">
        <v>10785</v>
      </c>
      <c r="E2758" s="1595"/>
      <c r="F2758" s="1595"/>
      <c r="G2758" s="1595"/>
      <c r="H2758" s="1596">
        <v>1</v>
      </c>
      <c r="I2758" s="1595"/>
      <c r="J2758" s="1595"/>
      <c r="K2758" s="1597">
        <v>12200</v>
      </c>
      <c r="L2758" s="1597">
        <v>12200</v>
      </c>
      <c r="M2758" s="1597">
        <v>-12200</v>
      </c>
      <c r="N2758" s="1598"/>
      <c r="O2758" s="1598"/>
      <c r="P2758" s="1597">
        <v>12200</v>
      </c>
      <c r="Q2758" s="1597">
        <v>-12200</v>
      </c>
      <c r="R2758" s="1598"/>
      <c r="S2758" s="1592"/>
    </row>
    <row r="2759" spans="2:19" s="1593" customFormat="1" ht="11.25" customHeight="1" outlineLevel="1">
      <c r="B2759" s="1594">
        <v>29793</v>
      </c>
      <c r="C2759" s="1595" t="s">
        <v>8222</v>
      </c>
      <c r="D2759" s="1595" t="s">
        <v>10784</v>
      </c>
      <c r="E2759" s="1595"/>
      <c r="F2759" s="1595"/>
      <c r="G2759" s="1595"/>
      <c r="H2759" s="1596">
        <v>1</v>
      </c>
      <c r="I2759" s="1595"/>
      <c r="J2759" s="1595"/>
      <c r="K2759" s="1597">
        <v>2117</v>
      </c>
      <c r="L2759" s="1597">
        <v>2117</v>
      </c>
      <c r="M2759" s="1597">
        <v>-2117</v>
      </c>
      <c r="N2759" s="1598"/>
      <c r="O2759" s="1598"/>
      <c r="P2759" s="1597">
        <v>2117</v>
      </c>
      <c r="Q2759" s="1597">
        <v>-2117</v>
      </c>
      <c r="R2759" s="1598"/>
      <c r="S2759" s="1592"/>
    </row>
    <row r="2760" spans="2:19" s="1593" customFormat="1" ht="11.25" customHeight="1" outlineLevel="1">
      <c r="B2760" s="1594">
        <v>29833</v>
      </c>
      <c r="C2760" s="1595" t="s">
        <v>8215</v>
      </c>
      <c r="D2760" s="1595" t="s">
        <v>10783</v>
      </c>
      <c r="E2760" s="1595"/>
      <c r="F2760" s="1595"/>
      <c r="G2760" s="1595"/>
      <c r="H2760" s="1596">
        <v>1</v>
      </c>
      <c r="I2760" s="1595"/>
      <c r="J2760" s="1595"/>
      <c r="K2760" s="1597">
        <v>126000</v>
      </c>
      <c r="L2760" s="1597">
        <v>126000</v>
      </c>
      <c r="M2760" s="1598"/>
      <c r="N2760" s="1597">
        <v>126000</v>
      </c>
      <c r="O2760" s="1597">
        <v>6170.94</v>
      </c>
      <c r="P2760" s="1597">
        <v>113658.09</v>
      </c>
      <c r="Q2760" s="1597">
        <v>6170.97</v>
      </c>
      <c r="R2760" s="1597">
        <v>119829.06</v>
      </c>
      <c r="S2760" s="1592"/>
    </row>
    <row r="2761" spans="2:19" s="1593" customFormat="1" ht="11.25" customHeight="1" outlineLevel="1">
      <c r="B2761" s="1594">
        <v>29834</v>
      </c>
      <c r="C2761" s="1595" t="s">
        <v>8215</v>
      </c>
      <c r="D2761" s="1595" t="s">
        <v>10782</v>
      </c>
      <c r="E2761" s="1595"/>
      <c r="F2761" s="1595"/>
      <c r="G2761" s="1595"/>
      <c r="H2761" s="1596">
        <v>1</v>
      </c>
      <c r="I2761" s="1595"/>
      <c r="J2761" s="1595"/>
      <c r="K2761" s="1597">
        <v>126000</v>
      </c>
      <c r="L2761" s="1597">
        <v>126000</v>
      </c>
      <c r="M2761" s="1598"/>
      <c r="N2761" s="1597">
        <v>126000</v>
      </c>
      <c r="O2761" s="1597">
        <v>6170.94</v>
      </c>
      <c r="P2761" s="1597">
        <v>113658.09</v>
      </c>
      <c r="Q2761" s="1597">
        <v>6170.97</v>
      </c>
      <c r="R2761" s="1597">
        <v>119829.06</v>
      </c>
      <c r="S2761" s="1592"/>
    </row>
    <row r="2762" spans="2:19" s="1593" customFormat="1" ht="11.25" customHeight="1" outlineLevel="1">
      <c r="B2762" s="1594">
        <v>30413</v>
      </c>
      <c r="C2762" s="1595" t="s">
        <v>8215</v>
      </c>
      <c r="D2762" s="1595" t="s">
        <v>10781</v>
      </c>
      <c r="E2762" s="1595"/>
      <c r="F2762" s="1595"/>
      <c r="G2762" s="1595"/>
      <c r="H2762" s="1596">
        <v>1</v>
      </c>
      <c r="I2762" s="1595"/>
      <c r="J2762" s="1595"/>
      <c r="K2762" s="1597">
        <v>3047.5</v>
      </c>
      <c r="L2762" s="1597">
        <v>3047.5</v>
      </c>
      <c r="M2762" s="1597">
        <v>-3047.5</v>
      </c>
      <c r="N2762" s="1598"/>
      <c r="O2762" s="1598"/>
      <c r="P2762" s="1597">
        <v>3047.5</v>
      </c>
      <c r="Q2762" s="1597">
        <v>-3047.5</v>
      </c>
      <c r="R2762" s="1598"/>
      <c r="S2762" s="1592"/>
    </row>
    <row r="2763" spans="2:19" s="1593" customFormat="1" ht="11.25" customHeight="1" outlineLevel="1">
      <c r="B2763" s="1594">
        <v>30415</v>
      </c>
      <c r="C2763" s="1595" t="s">
        <v>8215</v>
      </c>
      <c r="D2763" s="1595" t="s">
        <v>10780</v>
      </c>
      <c r="E2763" s="1595"/>
      <c r="F2763" s="1595"/>
      <c r="G2763" s="1595"/>
      <c r="H2763" s="1596">
        <v>1</v>
      </c>
      <c r="I2763" s="1595"/>
      <c r="J2763" s="1595"/>
      <c r="K2763" s="1597">
        <v>6352.05</v>
      </c>
      <c r="L2763" s="1597">
        <v>6352.05</v>
      </c>
      <c r="M2763" s="1597">
        <v>-6352.05</v>
      </c>
      <c r="N2763" s="1598"/>
      <c r="O2763" s="1598"/>
      <c r="P2763" s="1597">
        <v>6352.05</v>
      </c>
      <c r="Q2763" s="1597">
        <v>-6352.05</v>
      </c>
      <c r="R2763" s="1598"/>
      <c r="S2763" s="1592"/>
    </row>
    <row r="2764" spans="2:19" s="1593" customFormat="1" ht="11.25" customHeight="1" outlineLevel="1">
      <c r="B2764" s="1594">
        <v>30424</v>
      </c>
      <c r="C2764" s="1595" t="s">
        <v>8215</v>
      </c>
      <c r="D2764" s="1595" t="s">
        <v>10779</v>
      </c>
      <c r="E2764" s="1595"/>
      <c r="F2764" s="1595"/>
      <c r="G2764" s="1595"/>
      <c r="H2764" s="1596">
        <v>1</v>
      </c>
      <c r="I2764" s="1595"/>
      <c r="J2764" s="1595"/>
      <c r="K2764" s="1597">
        <v>3547.5</v>
      </c>
      <c r="L2764" s="1597">
        <v>3547.5</v>
      </c>
      <c r="M2764" s="1597">
        <v>-3547.5</v>
      </c>
      <c r="N2764" s="1598"/>
      <c r="O2764" s="1598"/>
      <c r="P2764" s="1597">
        <v>3547.5</v>
      </c>
      <c r="Q2764" s="1597">
        <v>-3547.5</v>
      </c>
      <c r="R2764" s="1598"/>
      <c r="S2764" s="1592"/>
    </row>
    <row r="2765" spans="2:19" s="1593" customFormat="1" ht="11.25" customHeight="1" outlineLevel="1">
      <c r="B2765" s="1594">
        <v>25644</v>
      </c>
      <c r="C2765" s="1595" t="s">
        <v>8212</v>
      </c>
      <c r="D2765" s="1595" t="s">
        <v>10778</v>
      </c>
      <c r="E2765" s="1595"/>
      <c r="F2765" s="1595"/>
      <c r="G2765" s="1595"/>
      <c r="H2765" s="1596">
        <v>1</v>
      </c>
      <c r="I2765" s="1595"/>
      <c r="J2765" s="1595"/>
      <c r="K2765" s="1597">
        <v>22500</v>
      </c>
      <c r="L2765" s="1597">
        <v>22500</v>
      </c>
      <c r="M2765" s="1597">
        <v>-22500</v>
      </c>
      <c r="N2765" s="1598"/>
      <c r="O2765" s="1598"/>
      <c r="P2765" s="1597">
        <v>22500</v>
      </c>
      <c r="Q2765" s="1597">
        <v>-22500</v>
      </c>
      <c r="R2765" s="1598"/>
      <c r="S2765" s="1592"/>
    </row>
    <row r="2766" spans="2:19" s="1593" customFormat="1" ht="11.25" customHeight="1" outlineLevel="1">
      <c r="B2766" s="1594">
        <v>26509</v>
      </c>
      <c r="C2766" s="1595" t="s">
        <v>8212</v>
      </c>
      <c r="D2766" s="1595" t="s">
        <v>10777</v>
      </c>
      <c r="E2766" s="1595"/>
      <c r="F2766" s="1595"/>
      <c r="G2766" s="1595"/>
      <c r="H2766" s="1596">
        <v>1</v>
      </c>
      <c r="I2766" s="1595"/>
      <c r="J2766" s="1595"/>
      <c r="K2766" s="1597">
        <v>83000</v>
      </c>
      <c r="L2766" s="1597">
        <v>83000</v>
      </c>
      <c r="M2766" s="1597">
        <v>-83000</v>
      </c>
      <c r="N2766" s="1598"/>
      <c r="O2766" s="1598"/>
      <c r="P2766" s="1597">
        <v>66883.600000000006</v>
      </c>
      <c r="Q2766" s="1597">
        <v>-66883.600000000006</v>
      </c>
      <c r="R2766" s="1598"/>
      <c r="S2766" s="1592"/>
    </row>
    <row r="2767" spans="2:19" s="1593" customFormat="1" ht="11.25" customHeight="1" outlineLevel="1">
      <c r="B2767" s="1594">
        <v>29846</v>
      </c>
      <c r="C2767" s="1595" t="s">
        <v>8212</v>
      </c>
      <c r="D2767" s="1595" t="s">
        <v>10776</v>
      </c>
      <c r="E2767" s="1595"/>
      <c r="F2767" s="1595"/>
      <c r="G2767" s="1595"/>
      <c r="H2767" s="1596">
        <v>1</v>
      </c>
      <c r="I2767" s="1595"/>
      <c r="J2767" s="1595"/>
      <c r="K2767" s="1597">
        <v>173333</v>
      </c>
      <c r="L2767" s="1597">
        <v>173333</v>
      </c>
      <c r="M2767" s="1598"/>
      <c r="N2767" s="1597">
        <v>173333</v>
      </c>
      <c r="O2767" s="1597">
        <v>21010.720000000001</v>
      </c>
      <c r="P2767" s="1597">
        <v>144443.20000000001</v>
      </c>
      <c r="Q2767" s="1597">
        <v>7879.08</v>
      </c>
      <c r="R2767" s="1597">
        <v>152322.28</v>
      </c>
      <c r="S2767" s="1592"/>
    </row>
    <row r="2768" spans="2:19" s="1593" customFormat="1" ht="11.25" customHeight="1" outlineLevel="1">
      <c r="B2768" s="1594">
        <v>29869</v>
      </c>
      <c r="C2768" s="1595" t="s">
        <v>8212</v>
      </c>
      <c r="D2768" s="1595" t="s">
        <v>10775</v>
      </c>
      <c r="E2768" s="1595"/>
      <c r="F2768" s="1595"/>
      <c r="G2768" s="1595"/>
      <c r="H2768" s="1596">
        <v>1</v>
      </c>
      <c r="I2768" s="1595"/>
      <c r="J2768" s="1595"/>
      <c r="K2768" s="1597">
        <v>13500</v>
      </c>
      <c r="L2768" s="1597">
        <v>13500</v>
      </c>
      <c r="M2768" s="1597">
        <v>-13500</v>
      </c>
      <c r="N2768" s="1598"/>
      <c r="O2768" s="1598"/>
      <c r="P2768" s="1597">
        <v>13500</v>
      </c>
      <c r="Q2768" s="1597">
        <v>-13500</v>
      </c>
      <c r="R2768" s="1598"/>
      <c r="S2768" s="1592"/>
    </row>
    <row r="2769" spans="2:19" s="1593" customFormat="1" ht="11.25" customHeight="1" outlineLevel="1">
      <c r="B2769" s="1594">
        <v>29947</v>
      </c>
      <c r="C2769" s="1595" t="s">
        <v>10774</v>
      </c>
      <c r="D2769" s="1595" t="s">
        <v>10773</v>
      </c>
      <c r="E2769" s="1595"/>
      <c r="F2769" s="1595"/>
      <c r="G2769" s="1595"/>
      <c r="H2769" s="1596">
        <v>1</v>
      </c>
      <c r="I2769" s="1595"/>
      <c r="J2769" s="1595"/>
      <c r="K2769" s="1597">
        <v>12500</v>
      </c>
      <c r="L2769" s="1597">
        <v>12500</v>
      </c>
      <c r="M2769" s="1597">
        <v>-12500</v>
      </c>
      <c r="N2769" s="1598"/>
      <c r="O2769" s="1598"/>
      <c r="P2769" s="1597">
        <v>12500</v>
      </c>
      <c r="Q2769" s="1597">
        <v>-12500</v>
      </c>
      <c r="R2769" s="1598"/>
      <c r="S2769" s="1592"/>
    </row>
    <row r="2770" spans="2:19" s="1593" customFormat="1" ht="11.25" customHeight="1" outlineLevel="1">
      <c r="B2770" s="1594">
        <v>31016</v>
      </c>
      <c r="C2770" s="1595" t="s">
        <v>3737</v>
      </c>
      <c r="D2770" s="1595" t="s">
        <v>10772</v>
      </c>
      <c r="E2770" s="1595"/>
      <c r="F2770" s="1595"/>
      <c r="G2770" s="1595"/>
      <c r="H2770" s="1596">
        <v>1</v>
      </c>
      <c r="I2770" s="1595"/>
      <c r="J2770" s="1595"/>
      <c r="K2770" s="1597">
        <v>95294</v>
      </c>
      <c r="L2770" s="1597">
        <v>95294</v>
      </c>
      <c r="M2770" s="1597">
        <v>-95294</v>
      </c>
      <c r="N2770" s="1598"/>
      <c r="O2770" s="1598"/>
      <c r="P2770" s="1597">
        <v>95294</v>
      </c>
      <c r="Q2770" s="1597">
        <v>-95294</v>
      </c>
      <c r="R2770" s="1598"/>
      <c r="S2770" s="1592"/>
    </row>
    <row r="2771" spans="2:19" s="1593" customFormat="1" ht="11.25" customHeight="1" outlineLevel="1">
      <c r="B2771" s="1594">
        <v>31130</v>
      </c>
      <c r="C2771" s="1595" t="s">
        <v>3721</v>
      </c>
      <c r="D2771" s="1595" t="s">
        <v>10771</v>
      </c>
      <c r="E2771" s="1595"/>
      <c r="F2771" s="1595"/>
      <c r="G2771" s="1595" t="s">
        <v>3664</v>
      </c>
      <c r="H2771" s="1596">
        <v>1</v>
      </c>
      <c r="I2771" s="1595"/>
      <c r="J2771" s="1595"/>
      <c r="K2771" s="1597">
        <v>49308</v>
      </c>
      <c r="L2771" s="1597">
        <v>49308</v>
      </c>
      <c r="M2771" s="1598"/>
      <c r="N2771" s="1597">
        <v>49308</v>
      </c>
      <c r="O2771" s="1597">
        <v>2465.4</v>
      </c>
      <c r="P2771" s="1597">
        <v>44377.2</v>
      </c>
      <c r="Q2771" s="1597">
        <v>2465.4</v>
      </c>
      <c r="R2771" s="1597">
        <v>46842.6</v>
      </c>
      <c r="S2771" s="1592"/>
    </row>
    <row r="2772" spans="2:19" s="1593" customFormat="1" ht="11.25" customHeight="1" outlineLevel="1">
      <c r="B2772" s="1594">
        <v>31131</v>
      </c>
      <c r="C2772" s="1595" t="s">
        <v>3721</v>
      </c>
      <c r="D2772" s="1595" t="s">
        <v>10770</v>
      </c>
      <c r="E2772" s="1595"/>
      <c r="F2772" s="1595"/>
      <c r="G2772" s="1595" t="s">
        <v>3734</v>
      </c>
      <c r="H2772" s="1596">
        <v>1</v>
      </c>
      <c r="I2772" s="1595"/>
      <c r="J2772" s="1595"/>
      <c r="K2772" s="1597">
        <v>232053</v>
      </c>
      <c r="L2772" s="1597">
        <v>232053</v>
      </c>
      <c r="M2772" s="1598"/>
      <c r="N2772" s="1597">
        <v>232053</v>
      </c>
      <c r="O2772" s="1597">
        <v>143871.84</v>
      </c>
      <c r="P2772" s="1597">
        <v>83540.160000000003</v>
      </c>
      <c r="Q2772" s="1597">
        <v>4641</v>
      </c>
      <c r="R2772" s="1597">
        <v>88181.16</v>
      </c>
      <c r="S2772" s="1592"/>
    </row>
    <row r="2773" spans="2:19" s="1593" customFormat="1" ht="21.75" customHeight="1" outlineLevel="1">
      <c r="B2773" s="1594">
        <v>31146</v>
      </c>
      <c r="C2773" s="1595" t="s">
        <v>3721</v>
      </c>
      <c r="D2773" s="1595" t="s">
        <v>10769</v>
      </c>
      <c r="E2773" s="1595"/>
      <c r="F2773" s="1595"/>
      <c r="G2773" s="1595" t="s">
        <v>10768</v>
      </c>
      <c r="H2773" s="1596">
        <v>1</v>
      </c>
      <c r="I2773" s="1595"/>
      <c r="J2773" s="1595"/>
      <c r="K2773" s="1597">
        <v>266451</v>
      </c>
      <c r="L2773" s="1597">
        <v>266451</v>
      </c>
      <c r="M2773" s="1598"/>
      <c r="N2773" s="1597">
        <v>266451</v>
      </c>
      <c r="O2773" s="1597">
        <v>71736.72</v>
      </c>
      <c r="P2773" s="1597">
        <v>184466.16</v>
      </c>
      <c r="Q2773" s="1597">
        <v>10248.120000000001</v>
      </c>
      <c r="R2773" s="1597">
        <v>194714.28</v>
      </c>
      <c r="S2773" s="1592"/>
    </row>
    <row r="2774" spans="2:19" s="1593" customFormat="1" ht="11.25" customHeight="1" outlineLevel="1">
      <c r="B2774" s="1594">
        <v>31149</v>
      </c>
      <c r="C2774" s="1595" t="s">
        <v>3721</v>
      </c>
      <c r="D2774" s="1595" t="s">
        <v>10767</v>
      </c>
      <c r="E2774" s="1595"/>
      <c r="F2774" s="1595"/>
      <c r="G2774" s="1595" t="s">
        <v>3734</v>
      </c>
      <c r="H2774" s="1596">
        <v>1</v>
      </c>
      <c r="I2774" s="1595"/>
      <c r="J2774" s="1595"/>
      <c r="K2774" s="1597">
        <v>872331</v>
      </c>
      <c r="L2774" s="1597">
        <v>872331</v>
      </c>
      <c r="M2774" s="1598"/>
      <c r="N2774" s="1597">
        <v>872331</v>
      </c>
      <c r="O2774" s="1597">
        <v>43616.82</v>
      </c>
      <c r="P2774" s="1597">
        <v>785097.36</v>
      </c>
      <c r="Q2774" s="1597">
        <v>43616.82</v>
      </c>
      <c r="R2774" s="1597">
        <v>828714.18</v>
      </c>
      <c r="S2774" s="1592"/>
    </row>
    <row r="2775" spans="2:19" s="1593" customFormat="1" ht="21.75" customHeight="1" outlineLevel="1">
      <c r="B2775" s="1594">
        <v>31174</v>
      </c>
      <c r="C2775" s="1595" t="s">
        <v>3721</v>
      </c>
      <c r="D2775" s="1595" t="s">
        <v>10766</v>
      </c>
      <c r="E2775" s="1595"/>
      <c r="F2775" s="1595"/>
      <c r="G2775" s="1595" t="s">
        <v>10765</v>
      </c>
      <c r="H2775" s="1596">
        <v>1</v>
      </c>
      <c r="I2775" s="1595"/>
      <c r="J2775" s="1595"/>
      <c r="K2775" s="1597">
        <v>423741</v>
      </c>
      <c r="L2775" s="1597">
        <v>423741</v>
      </c>
      <c r="M2775" s="1598"/>
      <c r="N2775" s="1597">
        <v>423741</v>
      </c>
      <c r="O2775" s="1597">
        <v>114084.96</v>
      </c>
      <c r="P2775" s="1597">
        <v>293358.24</v>
      </c>
      <c r="Q2775" s="1597">
        <v>16297.8</v>
      </c>
      <c r="R2775" s="1597">
        <v>309656.03999999998</v>
      </c>
      <c r="S2775" s="1592"/>
    </row>
    <row r="2776" spans="2:19" s="1593" customFormat="1" ht="11.25" customHeight="1" outlineLevel="1">
      <c r="B2776" s="1594">
        <v>29978</v>
      </c>
      <c r="C2776" s="1595" t="s">
        <v>3713</v>
      </c>
      <c r="D2776" s="1595" t="s">
        <v>10764</v>
      </c>
      <c r="E2776" s="1595"/>
      <c r="F2776" s="1595"/>
      <c r="G2776" s="1595"/>
      <c r="H2776" s="1596">
        <v>1</v>
      </c>
      <c r="I2776" s="1595"/>
      <c r="J2776" s="1595"/>
      <c r="K2776" s="1597">
        <v>11600</v>
      </c>
      <c r="L2776" s="1597">
        <v>11600</v>
      </c>
      <c r="M2776" s="1597">
        <v>-11600</v>
      </c>
      <c r="N2776" s="1598"/>
      <c r="O2776" s="1598"/>
      <c r="P2776" s="1597">
        <v>11600</v>
      </c>
      <c r="Q2776" s="1597">
        <v>-11600</v>
      </c>
      <c r="R2776" s="1598"/>
      <c r="S2776" s="1592"/>
    </row>
    <row r="2777" spans="2:19" s="1593" customFormat="1" ht="11.25" customHeight="1" outlineLevel="1">
      <c r="B2777" s="1594">
        <v>29979</v>
      </c>
      <c r="C2777" s="1595" t="s">
        <v>3713</v>
      </c>
      <c r="D2777" s="1595" t="s">
        <v>10763</v>
      </c>
      <c r="E2777" s="1595"/>
      <c r="F2777" s="1595"/>
      <c r="G2777" s="1595"/>
      <c r="H2777" s="1596">
        <v>1</v>
      </c>
      <c r="I2777" s="1595"/>
      <c r="J2777" s="1595"/>
      <c r="K2777" s="1597">
        <v>18800</v>
      </c>
      <c r="L2777" s="1597">
        <v>18800</v>
      </c>
      <c r="M2777" s="1597">
        <v>-18800</v>
      </c>
      <c r="N2777" s="1598"/>
      <c r="O2777" s="1598"/>
      <c r="P2777" s="1597">
        <v>18800</v>
      </c>
      <c r="Q2777" s="1597">
        <v>-18800</v>
      </c>
      <c r="R2777" s="1598"/>
      <c r="S2777" s="1592"/>
    </row>
    <row r="2778" spans="2:19" s="1593" customFormat="1" ht="11.25" customHeight="1" outlineLevel="1">
      <c r="B2778" s="1594">
        <v>37566</v>
      </c>
      <c r="C2778" s="1595" t="s">
        <v>10762</v>
      </c>
      <c r="D2778" s="1595" t="s">
        <v>10761</v>
      </c>
      <c r="E2778" s="1595"/>
      <c r="F2778" s="1595"/>
      <c r="G2778" s="1595"/>
      <c r="H2778" s="1596">
        <v>1</v>
      </c>
      <c r="I2778" s="1595"/>
      <c r="J2778" s="1595"/>
      <c r="K2778" s="1597">
        <v>13728</v>
      </c>
      <c r="L2778" s="1597">
        <v>13728</v>
      </c>
      <c r="M2778" s="1597">
        <v>-13728</v>
      </c>
      <c r="N2778" s="1598"/>
      <c r="O2778" s="1598"/>
      <c r="P2778" s="1597">
        <v>12818</v>
      </c>
      <c r="Q2778" s="1597">
        <v>-12818</v>
      </c>
      <c r="R2778" s="1598"/>
      <c r="S2778" s="1592"/>
    </row>
    <row r="2779" spans="2:19" s="1593" customFormat="1" ht="11.25" customHeight="1" outlineLevel="1">
      <c r="B2779" s="1594">
        <v>31557</v>
      </c>
      <c r="C2779" s="1595" t="s">
        <v>8138</v>
      </c>
      <c r="D2779" s="1595" t="s">
        <v>10760</v>
      </c>
      <c r="E2779" s="1595"/>
      <c r="F2779" s="1595"/>
      <c r="G2779" s="1595" t="s">
        <v>3734</v>
      </c>
      <c r="H2779" s="1596">
        <v>1</v>
      </c>
      <c r="I2779" s="1595"/>
      <c r="J2779" s="1595"/>
      <c r="K2779" s="1597">
        <v>357809</v>
      </c>
      <c r="L2779" s="1597">
        <v>357809</v>
      </c>
      <c r="M2779" s="1598"/>
      <c r="N2779" s="1597">
        <v>357809</v>
      </c>
      <c r="O2779" s="1597">
        <v>3107.33</v>
      </c>
      <c r="P2779" s="1597">
        <v>338553.72</v>
      </c>
      <c r="Q2779" s="1597">
        <v>16147.95</v>
      </c>
      <c r="R2779" s="1597">
        <v>354701.67</v>
      </c>
      <c r="S2779" s="1592"/>
    </row>
    <row r="2780" spans="2:19" s="1593" customFormat="1" ht="11.25" customHeight="1" outlineLevel="1">
      <c r="B2780" s="1594">
        <v>31527</v>
      </c>
      <c r="C2780" s="1595" t="s">
        <v>3708</v>
      </c>
      <c r="D2780" s="1595" t="s">
        <v>10759</v>
      </c>
      <c r="E2780" s="1595"/>
      <c r="F2780" s="1595"/>
      <c r="G2780" s="1595" t="s">
        <v>3734</v>
      </c>
      <c r="H2780" s="1596">
        <v>2</v>
      </c>
      <c r="I2780" s="1595"/>
      <c r="J2780" s="1595"/>
      <c r="K2780" s="1597">
        <v>214679</v>
      </c>
      <c r="L2780" s="1597">
        <v>214679</v>
      </c>
      <c r="M2780" s="1598"/>
      <c r="N2780" s="1597">
        <v>214679</v>
      </c>
      <c r="O2780" s="1597">
        <v>20858.91</v>
      </c>
      <c r="P2780" s="1597">
        <v>183390.65</v>
      </c>
      <c r="Q2780" s="1597">
        <v>10429.44</v>
      </c>
      <c r="R2780" s="1597">
        <v>193820.09</v>
      </c>
      <c r="S2780" s="1592"/>
    </row>
    <row r="2781" spans="2:19" s="1593" customFormat="1" ht="11.25" customHeight="1" outlineLevel="1">
      <c r="B2781" s="1594">
        <v>29324</v>
      </c>
      <c r="C2781" s="1595" t="s">
        <v>8097</v>
      </c>
      <c r="D2781" s="1595" t="s">
        <v>10758</v>
      </c>
      <c r="E2781" s="1595"/>
      <c r="F2781" s="1595"/>
      <c r="G2781" s="1595"/>
      <c r="H2781" s="1596">
        <v>1</v>
      </c>
      <c r="I2781" s="1595"/>
      <c r="J2781" s="1595"/>
      <c r="K2781" s="1597">
        <v>60540</v>
      </c>
      <c r="L2781" s="1597">
        <v>60540</v>
      </c>
      <c r="M2781" s="1597">
        <v>-60540</v>
      </c>
      <c r="N2781" s="1598"/>
      <c r="O2781" s="1598"/>
      <c r="P2781" s="1597">
        <v>60540</v>
      </c>
      <c r="Q2781" s="1597">
        <v>-60540</v>
      </c>
      <c r="R2781" s="1598"/>
      <c r="S2781" s="1592"/>
    </row>
    <row r="2782" spans="2:19" s="1593" customFormat="1" ht="11.25" customHeight="1" outlineLevel="1">
      <c r="B2782" s="1594">
        <v>33130</v>
      </c>
      <c r="C2782" s="1595" t="s">
        <v>8063</v>
      </c>
      <c r="D2782" s="1595" t="s">
        <v>10757</v>
      </c>
      <c r="E2782" s="1595"/>
      <c r="F2782" s="1595"/>
      <c r="G2782" s="1595" t="s">
        <v>3664</v>
      </c>
      <c r="H2782" s="1596">
        <v>1</v>
      </c>
      <c r="I2782" s="1595"/>
      <c r="J2782" s="1595"/>
      <c r="K2782" s="1597">
        <v>1218520</v>
      </c>
      <c r="L2782" s="1597">
        <v>1218520</v>
      </c>
      <c r="M2782" s="1598"/>
      <c r="N2782" s="1597">
        <v>1218520</v>
      </c>
      <c r="O2782" s="1597">
        <v>779852.16</v>
      </c>
      <c r="P2782" s="1597">
        <v>414297.48</v>
      </c>
      <c r="Q2782" s="1597">
        <v>24370.36</v>
      </c>
      <c r="R2782" s="1597">
        <v>438667.84</v>
      </c>
      <c r="S2782" s="1592"/>
    </row>
    <row r="2783" spans="2:19" s="1593" customFormat="1" ht="11.25" customHeight="1" outlineLevel="1">
      <c r="B2783" s="1594">
        <v>33190</v>
      </c>
      <c r="C2783" s="1595" t="s">
        <v>8055</v>
      </c>
      <c r="D2783" s="1595" t="s">
        <v>10756</v>
      </c>
      <c r="E2783" s="1595"/>
      <c r="F2783" s="1595"/>
      <c r="G2783" s="1595" t="s">
        <v>10755</v>
      </c>
      <c r="H2783" s="1596">
        <v>1</v>
      </c>
      <c r="I2783" s="1595"/>
      <c r="J2783" s="1595"/>
      <c r="K2783" s="1597">
        <v>205994</v>
      </c>
      <c r="L2783" s="1599">
        <v>0.01</v>
      </c>
      <c r="M2783" s="1599">
        <v>-0.01</v>
      </c>
      <c r="N2783" s="1598"/>
      <c r="O2783" s="1598"/>
      <c r="P2783" s="1599">
        <v>0.01</v>
      </c>
      <c r="Q2783" s="1599">
        <v>-0.01</v>
      </c>
      <c r="R2783" s="1598"/>
      <c r="S2783" s="1592"/>
    </row>
    <row r="2784" spans="2:19" s="1593" customFormat="1" ht="11.25" customHeight="1" outlineLevel="1">
      <c r="B2784" s="1594">
        <v>33195</v>
      </c>
      <c r="C2784" s="1595" t="s">
        <v>8055</v>
      </c>
      <c r="D2784" s="1595" t="s">
        <v>10754</v>
      </c>
      <c r="E2784" s="1595"/>
      <c r="F2784" s="1595"/>
      <c r="G2784" s="1595"/>
      <c r="H2784" s="1596">
        <v>1</v>
      </c>
      <c r="I2784" s="1595"/>
      <c r="J2784" s="1595"/>
      <c r="K2784" s="1597">
        <v>65058</v>
      </c>
      <c r="L2784" s="1597">
        <v>65058</v>
      </c>
      <c r="M2784" s="1597">
        <v>-65058</v>
      </c>
      <c r="N2784" s="1598"/>
      <c r="O2784" s="1598"/>
      <c r="P2784" s="1597">
        <v>34968.6</v>
      </c>
      <c r="Q2784" s="1597">
        <v>-34968.6</v>
      </c>
      <c r="R2784" s="1598"/>
      <c r="S2784" s="1592"/>
    </row>
    <row r="2785" spans="2:19" s="1593" customFormat="1" ht="11.25" customHeight="1" outlineLevel="1">
      <c r="B2785" s="1594">
        <v>33197</v>
      </c>
      <c r="C2785" s="1595" t="s">
        <v>8055</v>
      </c>
      <c r="D2785" s="1595" t="s">
        <v>10753</v>
      </c>
      <c r="E2785" s="1595"/>
      <c r="F2785" s="1595"/>
      <c r="G2785" s="1595" t="s">
        <v>3664</v>
      </c>
      <c r="H2785" s="1596">
        <v>1</v>
      </c>
      <c r="I2785" s="1595"/>
      <c r="J2785" s="1595"/>
      <c r="K2785" s="1597">
        <v>160242</v>
      </c>
      <c r="L2785" s="1597">
        <v>160242</v>
      </c>
      <c r="M2785" s="1598"/>
      <c r="N2785" s="1597">
        <v>160242</v>
      </c>
      <c r="O2785" s="1597">
        <v>102821.95</v>
      </c>
      <c r="P2785" s="1597">
        <v>54215.21</v>
      </c>
      <c r="Q2785" s="1597">
        <v>3204.84</v>
      </c>
      <c r="R2785" s="1597">
        <v>57420.05</v>
      </c>
      <c r="S2785" s="1592"/>
    </row>
    <row r="2786" spans="2:19" s="1593" customFormat="1" ht="11.25" customHeight="1" outlineLevel="1">
      <c r="B2786" s="1594">
        <v>33198</v>
      </c>
      <c r="C2786" s="1595" t="s">
        <v>8055</v>
      </c>
      <c r="D2786" s="1595" t="s">
        <v>10752</v>
      </c>
      <c r="E2786" s="1595"/>
      <c r="F2786" s="1595"/>
      <c r="G2786" s="1595" t="s">
        <v>3664</v>
      </c>
      <c r="H2786" s="1596">
        <v>1</v>
      </c>
      <c r="I2786" s="1595"/>
      <c r="J2786" s="1595"/>
      <c r="K2786" s="1597">
        <v>160242</v>
      </c>
      <c r="L2786" s="1597">
        <v>859531</v>
      </c>
      <c r="M2786" s="1598"/>
      <c r="N2786" s="1597">
        <v>859531</v>
      </c>
      <c r="O2786" s="1597">
        <v>551532.75</v>
      </c>
      <c r="P2786" s="1597">
        <v>290807.65000000002</v>
      </c>
      <c r="Q2786" s="1597">
        <v>17190.599999999999</v>
      </c>
      <c r="R2786" s="1597">
        <v>307998.25</v>
      </c>
      <c r="S2786" s="1592"/>
    </row>
    <row r="2787" spans="2:19" s="1593" customFormat="1" ht="11.25" customHeight="1" outlineLevel="1">
      <c r="B2787" s="1594">
        <v>37384</v>
      </c>
      <c r="C2787" s="1595" t="s">
        <v>8055</v>
      </c>
      <c r="D2787" s="1595" t="s">
        <v>10751</v>
      </c>
      <c r="E2787" s="1595"/>
      <c r="F2787" s="1595"/>
      <c r="G2787" s="1595"/>
      <c r="H2787" s="1596">
        <v>1</v>
      </c>
      <c r="I2787" s="1595"/>
      <c r="J2787" s="1595"/>
      <c r="K2787" s="1597">
        <v>72265</v>
      </c>
      <c r="L2787" s="1597">
        <v>72265</v>
      </c>
      <c r="M2787" s="1597">
        <v>-72265</v>
      </c>
      <c r="N2787" s="1598"/>
      <c r="O2787" s="1598"/>
      <c r="P2787" s="1597">
        <v>61115</v>
      </c>
      <c r="Q2787" s="1597">
        <v>-61115</v>
      </c>
      <c r="R2787" s="1598"/>
      <c r="S2787" s="1592"/>
    </row>
    <row r="2788" spans="2:19" s="1593" customFormat="1" ht="11.25" customHeight="1" outlineLevel="1">
      <c r="B2788" s="1594">
        <v>37828</v>
      </c>
      <c r="C2788" s="1595" t="s">
        <v>10749</v>
      </c>
      <c r="D2788" s="1595" t="s">
        <v>10750</v>
      </c>
      <c r="E2788" s="1595"/>
      <c r="F2788" s="1595"/>
      <c r="G2788" s="1595"/>
      <c r="H2788" s="1596">
        <v>1</v>
      </c>
      <c r="I2788" s="1595"/>
      <c r="J2788" s="1595"/>
      <c r="K2788" s="1597">
        <v>1542.37</v>
      </c>
      <c r="L2788" s="1597">
        <v>1542.37</v>
      </c>
      <c r="M2788" s="1597">
        <v>-1542.37</v>
      </c>
      <c r="N2788" s="1598"/>
      <c r="O2788" s="1598"/>
      <c r="P2788" s="1597">
        <v>1542.37</v>
      </c>
      <c r="Q2788" s="1597">
        <v>-1542.37</v>
      </c>
      <c r="R2788" s="1598"/>
      <c r="S2788" s="1592"/>
    </row>
    <row r="2789" spans="2:19" s="1593" customFormat="1" ht="11.25" customHeight="1" outlineLevel="1">
      <c r="B2789" s="1594">
        <v>37829</v>
      </c>
      <c r="C2789" s="1595" t="s">
        <v>10749</v>
      </c>
      <c r="D2789" s="1595" t="s">
        <v>10748</v>
      </c>
      <c r="E2789" s="1595"/>
      <c r="F2789" s="1595"/>
      <c r="G2789" s="1595"/>
      <c r="H2789" s="1596">
        <v>1</v>
      </c>
      <c r="I2789" s="1595"/>
      <c r="J2789" s="1595"/>
      <c r="K2789" s="1597">
        <v>1542.37</v>
      </c>
      <c r="L2789" s="1597">
        <v>1542.37</v>
      </c>
      <c r="M2789" s="1597">
        <v>-1542.37</v>
      </c>
      <c r="N2789" s="1598"/>
      <c r="O2789" s="1598"/>
      <c r="P2789" s="1597">
        <v>1542.37</v>
      </c>
      <c r="Q2789" s="1597">
        <v>-1542.37</v>
      </c>
      <c r="R2789" s="1598"/>
      <c r="S2789" s="1592"/>
    </row>
    <row r="2790" spans="2:19" s="1593" customFormat="1" ht="11.25" customHeight="1" outlineLevel="1">
      <c r="B2790" s="1594">
        <v>10166</v>
      </c>
      <c r="C2790" s="1595" t="s">
        <v>10747</v>
      </c>
      <c r="D2790" s="1595" t="s">
        <v>10746</v>
      </c>
      <c r="E2790" s="1595"/>
      <c r="F2790" s="1595"/>
      <c r="G2790" s="1595" t="s">
        <v>10745</v>
      </c>
      <c r="H2790" s="1596">
        <v>1</v>
      </c>
      <c r="I2790" s="1595"/>
      <c r="J2790" s="1595"/>
      <c r="K2790" s="1597">
        <v>1423854.15</v>
      </c>
      <c r="L2790" s="1597">
        <v>6066430.1699999999</v>
      </c>
      <c r="M2790" s="1598"/>
      <c r="N2790" s="1597">
        <v>6066430.1699999999</v>
      </c>
      <c r="O2790" s="1597">
        <v>1063264.3600000001</v>
      </c>
      <c r="P2790" s="1597">
        <v>4880481.41</v>
      </c>
      <c r="Q2790" s="1597">
        <v>122684.4</v>
      </c>
      <c r="R2790" s="1597">
        <v>5003165.8099999996</v>
      </c>
      <c r="S2790" s="1592"/>
    </row>
    <row r="2791" spans="2:19" s="1593" customFormat="1" ht="11.25" customHeight="1" outlineLevel="1">
      <c r="B2791" s="1594">
        <v>39497</v>
      </c>
      <c r="C2791" s="1595" t="s">
        <v>7958</v>
      </c>
      <c r="D2791" s="1595" t="s">
        <v>10744</v>
      </c>
      <c r="E2791" s="1595"/>
      <c r="F2791" s="1595"/>
      <c r="G2791" s="1595" t="s">
        <v>3596</v>
      </c>
      <c r="H2791" s="1596">
        <v>1</v>
      </c>
      <c r="I2791" s="1595"/>
      <c r="J2791" s="1595"/>
      <c r="K2791" s="1597">
        <v>263813.56</v>
      </c>
      <c r="L2791" s="1597">
        <v>263813.56</v>
      </c>
      <c r="M2791" s="1598"/>
      <c r="N2791" s="1597">
        <v>263813.56</v>
      </c>
      <c r="O2791" s="1597">
        <v>21683.46</v>
      </c>
      <c r="P2791" s="1597">
        <v>220446.68</v>
      </c>
      <c r="Q2791" s="1597">
        <v>21683.42</v>
      </c>
      <c r="R2791" s="1597">
        <v>242130.1</v>
      </c>
      <c r="S2791" s="1592"/>
    </row>
    <row r="2792" spans="2:19" s="1593" customFormat="1" ht="11.25" customHeight="1" outlineLevel="1">
      <c r="B2792" s="1594">
        <v>39508</v>
      </c>
      <c r="C2792" s="1595" t="s">
        <v>7958</v>
      </c>
      <c r="D2792" s="1595" t="s">
        <v>10743</v>
      </c>
      <c r="E2792" s="1595"/>
      <c r="F2792" s="1595"/>
      <c r="G2792" s="1595"/>
      <c r="H2792" s="1595"/>
      <c r="I2792" s="1595"/>
      <c r="J2792" s="1595"/>
      <c r="K2792" s="1597">
        <v>7372.88</v>
      </c>
      <c r="L2792" s="1597">
        <v>7372.88</v>
      </c>
      <c r="M2792" s="1597">
        <v>-7372.88</v>
      </c>
      <c r="N2792" s="1598"/>
      <c r="O2792" s="1598"/>
      <c r="P2792" s="1597">
        <v>7372.88</v>
      </c>
      <c r="Q2792" s="1597">
        <v>-7372.88</v>
      </c>
      <c r="R2792" s="1598"/>
      <c r="S2792" s="1592"/>
    </row>
    <row r="2793" spans="2:19" s="1593" customFormat="1" ht="11.25" customHeight="1" outlineLevel="1">
      <c r="B2793" s="1594">
        <v>39509</v>
      </c>
      <c r="C2793" s="1595" t="s">
        <v>7958</v>
      </c>
      <c r="D2793" s="1595" t="s">
        <v>10742</v>
      </c>
      <c r="E2793" s="1595"/>
      <c r="F2793" s="1595"/>
      <c r="G2793" s="1595"/>
      <c r="H2793" s="1595"/>
      <c r="I2793" s="1595"/>
      <c r="J2793" s="1595"/>
      <c r="K2793" s="1597">
        <v>7372.88</v>
      </c>
      <c r="L2793" s="1597">
        <v>7372.88</v>
      </c>
      <c r="M2793" s="1597">
        <v>-7372.88</v>
      </c>
      <c r="N2793" s="1598"/>
      <c r="O2793" s="1598"/>
      <c r="P2793" s="1597">
        <v>7372.88</v>
      </c>
      <c r="Q2793" s="1597">
        <v>-7372.88</v>
      </c>
      <c r="R2793" s="1598"/>
      <c r="S2793" s="1592"/>
    </row>
    <row r="2794" spans="2:19" s="1593" customFormat="1" ht="21.75" customHeight="1" outlineLevel="1">
      <c r="B2794" s="1600" t="s">
        <v>10741</v>
      </c>
      <c r="C2794" s="1595" t="s">
        <v>7927</v>
      </c>
      <c r="D2794" s="1595" t="s">
        <v>10740</v>
      </c>
      <c r="E2794" s="1595"/>
      <c r="F2794" s="1595"/>
      <c r="G2794" s="1595" t="s">
        <v>3596</v>
      </c>
      <c r="H2794" s="1596">
        <v>1</v>
      </c>
      <c r="I2794" s="1595"/>
      <c r="J2794" s="1595"/>
      <c r="K2794" s="1597">
        <v>1364562.21</v>
      </c>
      <c r="L2794" s="1597">
        <v>1364562.21</v>
      </c>
      <c r="M2794" s="1598"/>
      <c r="N2794" s="1597">
        <v>1364562.21</v>
      </c>
      <c r="O2794" s="1597">
        <v>21139.85</v>
      </c>
      <c r="P2794" s="1597">
        <v>1233564.5</v>
      </c>
      <c r="Q2794" s="1597">
        <v>109857.86</v>
      </c>
      <c r="R2794" s="1597">
        <v>1343422.36</v>
      </c>
      <c r="S2794" s="1592"/>
    </row>
    <row r="2795" spans="2:19" s="1593" customFormat="1" ht="21.75" customHeight="1" outlineLevel="1">
      <c r="B2795" s="1600" t="s">
        <v>10739</v>
      </c>
      <c r="C2795" s="1595" t="s">
        <v>7927</v>
      </c>
      <c r="D2795" s="1595" t="s">
        <v>10738</v>
      </c>
      <c r="E2795" s="1595"/>
      <c r="F2795" s="1595"/>
      <c r="G2795" s="1595" t="s">
        <v>3596</v>
      </c>
      <c r="H2795" s="1596">
        <v>1</v>
      </c>
      <c r="I2795" s="1595"/>
      <c r="J2795" s="1595"/>
      <c r="K2795" s="1597">
        <v>1483442.78</v>
      </c>
      <c r="L2795" s="1597">
        <v>1483442.78</v>
      </c>
      <c r="M2795" s="1598"/>
      <c r="N2795" s="1597">
        <v>1483442.78</v>
      </c>
      <c r="O2795" s="1597">
        <v>411591.41</v>
      </c>
      <c r="P2795" s="1597">
        <v>968953.53</v>
      </c>
      <c r="Q2795" s="1597">
        <v>102897.84</v>
      </c>
      <c r="R2795" s="1597">
        <v>1071851.3700000001</v>
      </c>
      <c r="S2795" s="1592"/>
    </row>
    <row r="2796" spans="2:19" s="1593" customFormat="1" ht="11.25" customHeight="1" outlineLevel="1">
      <c r="B2796" s="1600" t="s">
        <v>10737</v>
      </c>
      <c r="C2796" s="1595" t="s">
        <v>7927</v>
      </c>
      <c r="D2796" s="1595" t="s">
        <v>10736</v>
      </c>
      <c r="E2796" s="1595"/>
      <c r="F2796" s="1595"/>
      <c r="G2796" s="1595"/>
      <c r="H2796" s="1596">
        <v>1</v>
      </c>
      <c r="I2796" s="1595"/>
      <c r="J2796" s="1595"/>
      <c r="K2796" s="1597">
        <v>80019.520000000004</v>
      </c>
      <c r="L2796" s="1597">
        <v>80019.520000000004</v>
      </c>
      <c r="M2796" s="1597">
        <v>-80019.520000000004</v>
      </c>
      <c r="N2796" s="1598"/>
      <c r="O2796" s="1598"/>
      <c r="P2796" s="1597">
        <v>65523.05</v>
      </c>
      <c r="Q2796" s="1597">
        <v>-65523.05</v>
      </c>
      <c r="R2796" s="1598"/>
      <c r="S2796" s="1592"/>
    </row>
    <row r="2797" spans="2:19" s="1593" customFormat="1" ht="11.25" customHeight="1" outlineLevel="1">
      <c r="B2797" s="1600" t="s">
        <v>10735</v>
      </c>
      <c r="C2797" s="1595" t="s">
        <v>7927</v>
      </c>
      <c r="D2797" s="1595" t="s">
        <v>10734</v>
      </c>
      <c r="E2797" s="1595"/>
      <c r="F2797" s="1595"/>
      <c r="G2797" s="1595"/>
      <c r="H2797" s="1596">
        <v>1</v>
      </c>
      <c r="I2797" s="1595"/>
      <c r="J2797" s="1595"/>
      <c r="K2797" s="1597">
        <v>112390.65</v>
      </c>
      <c r="L2797" s="1597">
        <v>112390.65</v>
      </c>
      <c r="M2797" s="1598"/>
      <c r="N2797" s="1597">
        <v>112390.65</v>
      </c>
      <c r="O2797" s="1597">
        <v>1741.08</v>
      </c>
      <c r="P2797" s="1597">
        <v>101601.69</v>
      </c>
      <c r="Q2797" s="1597">
        <v>9047.8799999999992</v>
      </c>
      <c r="R2797" s="1597">
        <v>110649.57</v>
      </c>
      <c r="S2797" s="1592"/>
    </row>
    <row r="2798" spans="2:19" s="1593" customFormat="1" ht="11.25" customHeight="1" outlineLevel="1">
      <c r="B2798" s="1600" t="s">
        <v>10733</v>
      </c>
      <c r="C2798" s="1595" t="s">
        <v>7927</v>
      </c>
      <c r="D2798" s="1595" t="s">
        <v>10732</v>
      </c>
      <c r="E2798" s="1595"/>
      <c r="F2798" s="1595"/>
      <c r="G2798" s="1595"/>
      <c r="H2798" s="1596">
        <v>1</v>
      </c>
      <c r="I2798" s="1595"/>
      <c r="J2798" s="1595"/>
      <c r="K2798" s="1597">
        <v>112390.66</v>
      </c>
      <c r="L2798" s="1597">
        <v>112390.66</v>
      </c>
      <c r="M2798" s="1598"/>
      <c r="N2798" s="1597">
        <v>112390.66</v>
      </c>
      <c r="O2798" s="1597">
        <v>1741.09</v>
      </c>
      <c r="P2798" s="1597">
        <v>101601.69</v>
      </c>
      <c r="Q2798" s="1597">
        <v>9047.8799999999992</v>
      </c>
      <c r="R2798" s="1597">
        <v>110649.57</v>
      </c>
      <c r="S2798" s="1592"/>
    </row>
    <row r="2799" spans="2:19" s="1593" customFormat="1" ht="11.25" customHeight="1" outlineLevel="1">
      <c r="B2799" s="1600" t="s">
        <v>10731</v>
      </c>
      <c r="C2799" s="1595" t="s">
        <v>7927</v>
      </c>
      <c r="D2799" s="1595" t="s">
        <v>10730</v>
      </c>
      <c r="E2799" s="1595"/>
      <c r="F2799" s="1595"/>
      <c r="G2799" s="1595" t="s">
        <v>3596</v>
      </c>
      <c r="H2799" s="1596">
        <v>1</v>
      </c>
      <c r="I2799" s="1595"/>
      <c r="J2799" s="1595"/>
      <c r="K2799" s="1597">
        <v>317817.68</v>
      </c>
      <c r="L2799" s="1597">
        <v>317817.68</v>
      </c>
      <c r="M2799" s="1598"/>
      <c r="N2799" s="1597">
        <v>317817.68</v>
      </c>
      <c r="O2799" s="1597">
        <v>93370.18</v>
      </c>
      <c r="P2799" s="1597">
        <v>202900.54</v>
      </c>
      <c r="Q2799" s="1597">
        <v>21546.959999999999</v>
      </c>
      <c r="R2799" s="1597">
        <v>224447.5</v>
      </c>
      <c r="S2799" s="1592"/>
    </row>
    <row r="2800" spans="2:19" s="1593" customFormat="1" ht="21.75" customHeight="1" outlineLevel="1">
      <c r="B2800" s="1600" t="s">
        <v>10729</v>
      </c>
      <c r="C2800" s="1595" t="s">
        <v>7927</v>
      </c>
      <c r="D2800" s="1595" t="s">
        <v>10728</v>
      </c>
      <c r="E2800" s="1595"/>
      <c r="F2800" s="1595"/>
      <c r="G2800" s="1595" t="s">
        <v>3596</v>
      </c>
      <c r="H2800" s="1596">
        <v>1</v>
      </c>
      <c r="I2800" s="1595"/>
      <c r="J2800" s="1595"/>
      <c r="K2800" s="1597">
        <v>838158.95</v>
      </c>
      <c r="L2800" s="1597">
        <v>838158.95</v>
      </c>
      <c r="M2800" s="1598"/>
      <c r="N2800" s="1597">
        <v>838158.95</v>
      </c>
      <c r="O2800" s="1597">
        <v>157835.20000000001</v>
      </c>
      <c r="P2800" s="1597">
        <v>615012.67000000004</v>
      </c>
      <c r="Q2800" s="1597">
        <v>65311.08</v>
      </c>
      <c r="R2800" s="1597">
        <v>680323.75</v>
      </c>
      <c r="S2800" s="1592"/>
    </row>
    <row r="2801" spans="2:19" s="1593" customFormat="1" ht="11.25" customHeight="1" outlineLevel="1">
      <c r="B2801" s="1600" t="s">
        <v>10727</v>
      </c>
      <c r="C2801" s="1595" t="s">
        <v>7927</v>
      </c>
      <c r="D2801" s="1595" t="s">
        <v>10726</v>
      </c>
      <c r="E2801" s="1595"/>
      <c r="F2801" s="1595"/>
      <c r="G2801" s="1595"/>
      <c r="H2801" s="1596">
        <v>1</v>
      </c>
      <c r="I2801" s="1595"/>
      <c r="J2801" s="1595"/>
      <c r="K2801" s="1597">
        <v>53348.14</v>
      </c>
      <c r="L2801" s="1597">
        <v>53348.14</v>
      </c>
      <c r="M2801" s="1597">
        <v>-53348.14</v>
      </c>
      <c r="N2801" s="1598"/>
      <c r="O2801" s="1598"/>
      <c r="P2801" s="1597">
        <v>53348.14</v>
      </c>
      <c r="Q2801" s="1597">
        <v>-53348.14</v>
      </c>
      <c r="R2801" s="1598"/>
      <c r="S2801" s="1592"/>
    </row>
    <row r="2802" spans="2:19" s="1593" customFormat="1" ht="11.25" customHeight="1" outlineLevel="1">
      <c r="B2802" s="1600" t="s">
        <v>10725</v>
      </c>
      <c r="C2802" s="1595" t="s">
        <v>7927</v>
      </c>
      <c r="D2802" s="1595" t="s">
        <v>10724</v>
      </c>
      <c r="E2802" s="1595"/>
      <c r="F2802" s="1595"/>
      <c r="G2802" s="1595"/>
      <c r="H2802" s="1596">
        <v>1</v>
      </c>
      <c r="I2802" s="1595"/>
      <c r="J2802" s="1595"/>
      <c r="K2802" s="1597">
        <v>52514.62</v>
      </c>
      <c r="L2802" s="1597">
        <v>52514.62</v>
      </c>
      <c r="M2802" s="1597">
        <v>-52514.62</v>
      </c>
      <c r="N2802" s="1598"/>
      <c r="O2802" s="1598"/>
      <c r="P2802" s="1597">
        <v>52514.62</v>
      </c>
      <c r="Q2802" s="1597">
        <v>-52514.62</v>
      </c>
      <c r="R2802" s="1598"/>
      <c r="S2802" s="1592"/>
    </row>
    <row r="2803" spans="2:19" s="1593" customFormat="1" ht="11.25" customHeight="1" outlineLevel="1">
      <c r="B2803" s="1600" t="s">
        <v>10723</v>
      </c>
      <c r="C2803" s="1595" t="s">
        <v>7927</v>
      </c>
      <c r="D2803" s="1595" t="s">
        <v>10722</v>
      </c>
      <c r="E2803" s="1595"/>
      <c r="F2803" s="1595"/>
      <c r="G2803" s="1595"/>
      <c r="H2803" s="1596">
        <v>1</v>
      </c>
      <c r="I2803" s="1595"/>
      <c r="J2803" s="1595"/>
      <c r="K2803" s="1597">
        <v>109988.84</v>
      </c>
      <c r="L2803" s="1597">
        <v>109988.84</v>
      </c>
      <c r="M2803" s="1598"/>
      <c r="N2803" s="1597">
        <v>109988.84</v>
      </c>
      <c r="O2803" s="1597">
        <v>9633.9599999999991</v>
      </c>
      <c r="P2803" s="1597">
        <v>90720.92</v>
      </c>
      <c r="Q2803" s="1597">
        <v>9633.9599999999991</v>
      </c>
      <c r="R2803" s="1597">
        <v>100354.88</v>
      </c>
      <c r="S2803" s="1592"/>
    </row>
    <row r="2804" spans="2:19" s="1593" customFormat="1" ht="11.25" customHeight="1" outlineLevel="1">
      <c r="B2804" s="1600" t="s">
        <v>10721</v>
      </c>
      <c r="C2804" s="1595" t="s">
        <v>10720</v>
      </c>
      <c r="D2804" s="1595" t="s">
        <v>10719</v>
      </c>
      <c r="E2804" s="1595"/>
      <c r="F2804" s="1595"/>
      <c r="G2804" s="1595"/>
      <c r="H2804" s="1596">
        <v>1</v>
      </c>
      <c r="I2804" s="1595"/>
      <c r="J2804" s="1595"/>
      <c r="K2804" s="1597">
        <v>62881.36</v>
      </c>
      <c r="L2804" s="1597">
        <v>62881.36</v>
      </c>
      <c r="M2804" s="1597">
        <v>-62881.36</v>
      </c>
      <c r="N2804" s="1598"/>
      <c r="O2804" s="1598"/>
      <c r="P2804" s="1597">
        <v>62881.36</v>
      </c>
      <c r="Q2804" s="1597">
        <v>-62881.36</v>
      </c>
      <c r="R2804" s="1598"/>
      <c r="S2804" s="1592"/>
    </row>
    <row r="2805" spans="2:19" s="1593" customFormat="1" ht="21.75" customHeight="1" outlineLevel="1">
      <c r="B2805" s="1600" t="s">
        <v>10718</v>
      </c>
      <c r="C2805" s="1595" t="s">
        <v>10717</v>
      </c>
      <c r="D2805" s="1595" t="s">
        <v>10716</v>
      </c>
      <c r="E2805" s="1595"/>
      <c r="F2805" s="1595"/>
      <c r="G2805" s="1595"/>
      <c r="H2805" s="1596">
        <v>1</v>
      </c>
      <c r="I2805" s="1595"/>
      <c r="J2805" s="1595"/>
      <c r="K2805" s="1597">
        <v>44904.83</v>
      </c>
      <c r="L2805" s="1597">
        <v>44904.83</v>
      </c>
      <c r="M2805" s="1597">
        <v>-44904.83</v>
      </c>
      <c r="N2805" s="1598"/>
      <c r="O2805" s="1598"/>
      <c r="P2805" s="1597">
        <v>44904.83</v>
      </c>
      <c r="Q2805" s="1597">
        <v>-44904.83</v>
      </c>
      <c r="R2805" s="1598"/>
      <c r="S2805" s="1592"/>
    </row>
    <row r="2806" spans="2:19" s="1593" customFormat="1" ht="11.25" customHeight="1" outlineLevel="1">
      <c r="B2806" s="1600" t="s">
        <v>10715</v>
      </c>
      <c r="C2806" s="1595" t="s">
        <v>10714</v>
      </c>
      <c r="D2806" s="1595" t="s">
        <v>10713</v>
      </c>
      <c r="E2806" s="1595"/>
      <c r="F2806" s="1595"/>
      <c r="G2806" s="1595"/>
      <c r="H2806" s="1596">
        <v>1</v>
      </c>
      <c r="I2806" s="1595"/>
      <c r="J2806" s="1595"/>
      <c r="K2806" s="1597">
        <v>310132.2</v>
      </c>
      <c r="L2806" s="1597">
        <v>310132.2</v>
      </c>
      <c r="M2806" s="1598"/>
      <c r="N2806" s="1597">
        <v>310132.2</v>
      </c>
      <c r="O2806" s="1597">
        <v>5830.83</v>
      </c>
      <c r="P2806" s="1597">
        <v>274000.09000000003</v>
      </c>
      <c r="Q2806" s="1597">
        <v>30301.279999999999</v>
      </c>
      <c r="R2806" s="1597">
        <v>304301.37</v>
      </c>
      <c r="S2806" s="1592"/>
    </row>
    <row r="2807" spans="2:19" s="1593" customFormat="1" ht="11.25" customHeight="1" outlineLevel="1">
      <c r="B2807" s="1600" t="s">
        <v>10712</v>
      </c>
      <c r="C2807" s="1595" t="s">
        <v>10705</v>
      </c>
      <c r="D2807" s="1595" t="s">
        <v>10711</v>
      </c>
      <c r="E2807" s="1595"/>
      <c r="F2807" s="1595"/>
      <c r="G2807" s="1595"/>
      <c r="H2807" s="1596">
        <v>1</v>
      </c>
      <c r="I2807" s="1595"/>
      <c r="J2807" s="1595"/>
      <c r="K2807" s="1597">
        <v>293541.53000000003</v>
      </c>
      <c r="L2807" s="1597">
        <v>293541.53000000003</v>
      </c>
      <c r="M2807" s="1598"/>
      <c r="N2807" s="1597">
        <v>293541.53000000003</v>
      </c>
      <c r="O2807" s="1597">
        <v>5518.87</v>
      </c>
      <c r="P2807" s="1597">
        <v>259342.72</v>
      </c>
      <c r="Q2807" s="1597">
        <v>28679.94</v>
      </c>
      <c r="R2807" s="1597">
        <v>288022.65999999997</v>
      </c>
      <c r="S2807" s="1592"/>
    </row>
    <row r="2808" spans="2:19" s="1593" customFormat="1" ht="11.25" customHeight="1" outlineLevel="1">
      <c r="B2808" s="1600" t="s">
        <v>10710</v>
      </c>
      <c r="C2808" s="1595" t="s">
        <v>10705</v>
      </c>
      <c r="D2808" s="1595" t="s">
        <v>10709</v>
      </c>
      <c r="E2808" s="1595"/>
      <c r="F2808" s="1595"/>
      <c r="G2808" s="1595"/>
      <c r="H2808" s="1596">
        <v>1</v>
      </c>
      <c r="I2808" s="1595"/>
      <c r="J2808" s="1595"/>
      <c r="K2808" s="1597">
        <v>293541.53000000003</v>
      </c>
      <c r="L2808" s="1597">
        <v>293541.53000000003</v>
      </c>
      <c r="M2808" s="1598"/>
      <c r="N2808" s="1597">
        <v>293541.53000000003</v>
      </c>
      <c r="O2808" s="1597">
        <v>5518.87</v>
      </c>
      <c r="P2808" s="1597">
        <v>259342.72</v>
      </c>
      <c r="Q2808" s="1597">
        <v>28679.94</v>
      </c>
      <c r="R2808" s="1597">
        <v>288022.65999999997</v>
      </c>
      <c r="S2808" s="1592"/>
    </row>
    <row r="2809" spans="2:19" s="1593" customFormat="1" ht="11.25" customHeight="1" outlineLevel="1">
      <c r="B2809" s="1600" t="s">
        <v>10708</v>
      </c>
      <c r="C2809" s="1595" t="s">
        <v>10705</v>
      </c>
      <c r="D2809" s="1595" t="s">
        <v>10707</v>
      </c>
      <c r="E2809" s="1595"/>
      <c r="F2809" s="1595"/>
      <c r="G2809" s="1595"/>
      <c r="H2809" s="1596">
        <v>1</v>
      </c>
      <c r="I2809" s="1595"/>
      <c r="J2809" s="1595"/>
      <c r="K2809" s="1597">
        <v>293541.52</v>
      </c>
      <c r="L2809" s="1597">
        <v>293541.52</v>
      </c>
      <c r="M2809" s="1598"/>
      <c r="N2809" s="1597">
        <v>293541.52</v>
      </c>
      <c r="O2809" s="1597">
        <v>5518.86</v>
      </c>
      <c r="P2809" s="1597">
        <v>259342.72</v>
      </c>
      <c r="Q2809" s="1597">
        <v>28679.94</v>
      </c>
      <c r="R2809" s="1597">
        <v>288022.65999999997</v>
      </c>
      <c r="S2809" s="1592"/>
    </row>
    <row r="2810" spans="2:19" s="1593" customFormat="1" ht="11.25" customHeight="1" outlineLevel="1">
      <c r="B2810" s="1600" t="s">
        <v>10706</v>
      </c>
      <c r="C2810" s="1595" t="s">
        <v>10705</v>
      </c>
      <c r="D2810" s="1595" t="s">
        <v>10704</v>
      </c>
      <c r="E2810" s="1595"/>
      <c r="F2810" s="1595"/>
      <c r="G2810" s="1595"/>
      <c r="H2810" s="1596">
        <v>1</v>
      </c>
      <c r="I2810" s="1595"/>
      <c r="J2810" s="1595"/>
      <c r="K2810" s="1597">
        <v>273632.21000000002</v>
      </c>
      <c r="L2810" s="1597">
        <v>273632.21000000002</v>
      </c>
      <c r="M2810" s="1598"/>
      <c r="N2810" s="1597">
        <v>273632.21000000002</v>
      </c>
      <c r="O2810" s="1597">
        <v>5144.6099999999997</v>
      </c>
      <c r="P2810" s="1597">
        <v>241752.42</v>
      </c>
      <c r="Q2810" s="1597">
        <v>26735.18</v>
      </c>
      <c r="R2810" s="1597">
        <v>268487.59999999998</v>
      </c>
      <c r="S2810" s="1592"/>
    </row>
    <row r="2811" spans="2:19" s="1593" customFormat="1" ht="11.25" customHeight="1" outlineLevel="1">
      <c r="B2811" s="1600" t="s">
        <v>10703</v>
      </c>
      <c r="C2811" s="1595" t="s">
        <v>10702</v>
      </c>
      <c r="D2811" s="1595" t="s">
        <v>10701</v>
      </c>
      <c r="E2811" s="1595"/>
      <c r="F2811" s="1595"/>
      <c r="G2811" s="1595"/>
      <c r="H2811" s="1596">
        <v>1</v>
      </c>
      <c r="I2811" s="1595"/>
      <c r="J2811" s="1595"/>
      <c r="K2811" s="1597">
        <v>62800</v>
      </c>
      <c r="L2811" s="1597">
        <v>62800</v>
      </c>
      <c r="M2811" s="1597">
        <v>-62800</v>
      </c>
      <c r="N2811" s="1598"/>
      <c r="O2811" s="1598"/>
      <c r="P2811" s="1597">
        <v>62800</v>
      </c>
      <c r="Q2811" s="1597">
        <v>-62800</v>
      </c>
      <c r="R2811" s="1598"/>
      <c r="S2811" s="1592"/>
    </row>
    <row r="2812" spans="2:19" s="1593" customFormat="1" ht="21.75" customHeight="1" outlineLevel="1">
      <c r="B2812" s="1600" t="s">
        <v>10700</v>
      </c>
      <c r="C2812" s="1595" t="s">
        <v>10699</v>
      </c>
      <c r="D2812" s="1595" t="s">
        <v>10698</v>
      </c>
      <c r="E2812" s="1595"/>
      <c r="F2812" s="1595"/>
      <c r="G2812" s="1595"/>
      <c r="H2812" s="1596">
        <v>1</v>
      </c>
      <c r="I2812" s="1595"/>
      <c r="J2812" s="1595"/>
      <c r="K2812" s="1597">
        <v>322017.21000000002</v>
      </c>
      <c r="L2812" s="1597">
        <v>322017.21000000002</v>
      </c>
      <c r="M2812" s="1598"/>
      <c r="N2812" s="1597">
        <v>322017.21000000002</v>
      </c>
      <c r="O2812" s="1597">
        <v>49541.31</v>
      </c>
      <c r="P2812" s="1597">
        <v>239448.36</v>
      </c>
      <c r="Q2812" s="1597">
        <v>33027.54</v>
      </c>
      <c r="R2812" s="1597">
        <v>272475.90000000002</v>
      </c>
      <c r="S2812" s="1592"/>
    </row>
    <row r="2813" spans="2:19" s="1593" customFormat="1" ht="11.25" customHeight="1" outlineLevel="1">
      <c r="B2813" s="1600" t="s">
        <v>10697</v>
      </c>
      <c r="C2813" s="1595" t="s">
        <v>10694</v>
      </c>
      <c r="D2813" s="1595" t="s">
        <v>10696</v>
      </c>
      <c r="E2813" s="1595"/>
      <c r="F2813" s="1595"/>
      <c r="G2813" s="1595"/>
      <c r="H2813" s="1596">
        <v>1</v>
      </c>
      <c r="I2813" s="1595"/>
      <c r="J2813" s="1595"/>
      <c r="K2813" s="1597">
        <v>42846.05</v>
      </c>
      <c r="L2813" s="1597">
        <v>42846.05</v>
      </c>
      <c r="M2813" s="1597">
        <v>-42846.05</v>
      </c>
      <c r="N2813" s="1598"/>
      <c r="O2813" s="1598"/>
      <c r="P2813" s="1597">
        <v>42846.05</v>
      </c>
      <c r="Q2813" s="1597">
        <v>-42846.05</v>
      </c>
      <c r="R2813" s="1598"/>
      <c r="S2813" s="1592"/>
    </row>
    <row r="2814" spans="2:19" s="1593" customFormat="1" ht="11.25" customHeight="1" outlineLevel="1">
      <c r="B2814" s="1600" t="s">
        <v>10695</v>
      </c>
      <c r="C2814" s="1595" t="s">
        <v>10694</v>
      </c>
      <c r="D2814" s="1595" t="s">
        <v>10693</v>
      </c>
      <c r="E2814" s="1595"/>
      <c r="F2814" s="1595"/>
      <c r="G2814" s="1595"/>
      <c r="H2814" s="1596">
        <v>1</v>
      </c>
      <c r="I2814" s="1595"/>
      <c r="J2814" s="1595"/>
      <c r="K2814" s="1597">
        <v>60392.5</v>
      </c>
      <c r="L2814" s="1597">
        <v>60392.5</v>
      </c>
      <c r="M2814" s="1597">
        <v>-60392.5</v>
      </c>
      <c r="N2814" s="1598"/>
      <c r="O2814" s="1598"/>
      <c r="P2814" s="1597">
        <v>60392.5</v>
      </c>
      <c r="Q2814" s="1597">
        <v>-60392.5</v>
      </c>
      <c r="R2814" s="1598"/>
      <c r="S2814" s="1592"/>
    </row>
    <row r="2815" spans="2:19" s="1593" customFormat="1" ht="11.25" customHeight="1" outlineLevel="1">
      <c r="B2815" s="1600" t="s">
        <v>10692</v>
      </c>
      <c r="C2815" s="1595" t="s">
        <v>10691</v>
      </c>
      <c r="D2815" s="1595" t="s">
        <v>10690</v>
      </c>
      <c r="E2815" s="1595"/>
      <c r="F2815" s="1595"/>
      <c r="G2815" s="1595"/>
      <c r="H2815" s="1596">
        <v>1</v>
      </c>
      <c r="I2815" s="1595"/>
      <c r="J2815" s="1595"/>
      <c r="K2815" s="1597">
        <v>163163.56</v>
      </c>
      <c r="L2815" s="1597">
        <v>163163.56</v>
      </c>
      <c r="M2815" s="1598"/>
      <c r="N2815" s="1597">
        <v>163163.56</v>
      </c>
      <c r="O2815" s="1597">
        <v>3291.33</v>
      </c>
      <c r="P2815" s="1597">
        <v>142768.07999999999</v>
      </c>
      <c r="Q2815" s="1597">
        <v>17104.150000000001</v>
      </c>
      <c r="R2815" s="1597">
        <v>159872.23000000001</v>
      </c>
      <c r="S2815" s="1592"/>
    </row>
    <row r="2816" spans="2:19" s="1593" customFormat="1" ht="11.25" customHeight="1" outlineLevel="1">
      <c r="B2816" s="1600" t="s">
        <v>10689</v>
      </c>
      <c r="C2816" s="1595" t="s">
        <v>3460</v>
      </c>
      <c r="D2816" s="1595" t="s">
        <v>10688</v>
      </c>
      <c r="E2816" s="1595" t="s">
        <v>2219</v>
      </c>
      <c r="F2816" s="1595" t="s">
        <v>3507</v>
      </c>
      <c r="G2816" s="1595" t="s">
        <v>10687</v>
      </c>
      <c r="H2816" s="1596">
        <v>1</v>
      </c>
      <c r="I2816" s="1595"/>
      <c r="J2816" s="1595"/>
      <c r="K2816" s="1597">
        <v>528268.47</v>
      </c>
      <c r="L2816" s="1597">
        <v>528268.47</v>
      </c>
      <c r="M2816" s="1598"/>
      <c r="N2816" s="1597">
        <v>528268.47</v>
      </c>
      <c r="O2816" s="1597">
        <v>33719.19</v>
      </c>
      <c r="P2816" s="1597">
        <v>427110.88</v>
      </c>
      <c r="Q2816" s="1597">
        <v>67438.399999999994</v>
      </c>
      <c r="R2816" s="1597">
        <v>494549.28</v>
      </c>
      <c r="S2816" s="1592"/>
    </row>
    <row r="2817" spans="2:19" s="1593" customFormat="1" ht="21.75" customHeight="1" outlineLevel="1">
      <c r="B2817" s="1600" t="s">
        <v>10686</v>
      </c>
      <c r="C2817" s="1595" t="s">
        <v>7682</v>
      </c>
      <c r="D2817" s="1595" t="s">
        <v>10685</v>
      </c>
      <c r="E2817" s="1595"/>
      <c r="F2817" s="1595"/>
      <c r="G2817" s="1595"/>
      <c r="H2817" s="1596">
        <v>2</v>
      </c>
      <c r="I2817" s="1595"/>
      <c r="J2817" s="1595"/>
      <c r="K2817" s="1597">
        <v>84737.29</v>
      </c>
      <c r="L2817" s="1597">
        <v>84737.29</v>
      </c>
      <c r="M2817" s="1597">
        <v>-84737.29</v>
      </c>
      <c r="N2817" s="1598"/>
      <c r="O2817" s="1598"/>
      <c r="P2817" s="1597">
        <v>84737.29</v>
      </c>
      <c r="Q2817" s="1597">
        <v>-84737.29</v>
      </c>
      <c r="R2817" s="1598"/>
      <c r="S2817" s="1592"/>
    </row>
    <row r="2818" spans="2:19" s="1593" customFormat="1" ht="11.25" customHeight="1" outlineLevel="1">
      <c r="B2818" s="1600" t="s">
        <v>10684</v>
      </c>
      <c r="C2818" s="1595" t="s">
        <v>10683</v>
      </c>
      <c r="D2818" s="1595" t="s">
        <v>10682</v>
      </c>
      <c r="E2818" s="1595"/>
      <c r="F2818" s="1595"/>
      <c r="G2818" s="1595"/>
      <c r="H2818" s="1596">
        <v>1</v>
      </c>
      <c r="I2818" s="1595"/>
      <c r="J2818" s="1595"/>
      <c r="K2818" s="1597">
        <v>64710</v>
      </c>
      <c r="L2818" s="1597">
        <v>64710</v>
      </c>
      <c r="M2818" s="1597">
        <v>-64710</v>
      </c>
      <c r="N2818" s="1598"/>
      <c r="O2818" s="1598"/>
      <c r="P2818" s="1597">
        <v>64710</v>
      </c>
      <c r="Q2818" s="1597">
        <v>-64710</v>
      </c>
      <c r="R2818" s="1598"/>
      <c r="S2818" s="1592"/>
    </row>
    <row r="2819" spans="2:19" s="1593" customFormat="1" ht="11.25" customHeight="1" outlineLevel="1">
      <c r="B2819" s="1600" t="s">
        <v>10681</v>
      </c>
      <c r="C2819" s="1595" t="s">
        <v>10680</v>
      </c>
      <c r="D2819" s="1595" t="s">
        <v>10679</v>
      </c>
      <c r="E2819" s="1595"/>
      <c r="F2819" s="1595"/>
      <c r="G2819" s="1595"/>
      <c r="H2819" s="1596">
        <v>1</v>
      </c>
      <c r="I2819" s="1595"/>
      <c r="J2819" s="1595"/>
      <c r="K2819" s="1597">
        <v>274833</v>
      </c>
      <c r="L2819" s="1597">
        <v>274833</v>
      </c>
      <c r="M2819" s="1598"/>
      <c r="N2819" s="1597">
        <v>274833</v>
      </c>
      <c r="O2819" s="1597">
        <v>34354.26</v>
      </c>
      <c r="P2819" s="1597">
        <v>206124.48</v>
      </c>
      <c r="Q2819" s="1597">
        <v>34354.26</v>
      </c>
      <c r="R2819" s="1597">
        <v>240478.74</v>
      </c>
      <c r="S2819" s="1592"/>
    </row>
    <row r="2820" spans="2:19" s="1593" customFormat="1" ht="21.75" customHeight="1" outlineLevel="1">
      <c r="B2820" s="1600" t="s">
        <v>10678</v>
      </c>
      <c r="C2820" s="1595" t="s">
        <v>3443</v>
      </c>
      <c r="D2820" s="1595" t="s">
        <v>10677</v>
      </c>
      <c r="E2820" s="1595"/>
      <c r="F2820" s="1595"/>
      <c r="G2820" s="1595"/>
      <c r="H2820" s="1596">
        <v>1</v>
      </c>
      <c r="I2820" s="1595"/>
      <c r="J2820" s="1595"/>
      <c r="K2820" s="1597">
        <v>100023.34</v>
      </c>
      <c r="L2820" s="1597">
        <v>100023.34</v>
      </c>
      <c r="M2820" s="1598"/>
      <c r="N2820" s="1597">
        <v>100023.34</v>
      </c>
      <c r="O2820" s="1597">
        <v>12634.42</v>
      </c>
      <c r="P2820" s="1597">
        <v>74754.48</v>
      </c>
      <c r="Q2820" s="1597">
        <v>12634.44</v>
      </c>
      <c r="R2820" s="1597">
        <v>87388.92</v>
      </c>
      <c r="S2820" s="1592"/>
    </row>
    <row r="2821" spans="2:19" s="1593" customFormat="1" ht="11.25" customHeight="1" outlineLevel="1">
      <c r="B2821" s="1600" t="s">
        <v>10676</v>
      </c>
      <c r="C2821" s="1595" t="s">
        <v>10675</v>
      </c>
      <c r="D2821" s="1595" t="s">
        <v>10674</v>
      </c>
      <c r="E2821" s="1595"/>
      <c r="F2821" s="1595"/>
      <c r="G2821" s="1595"/>
      <c r="H2821" s="1596">
        <v>1</v>
      </c>
      <c r="I2821" s="1595"/>
      <c r="J2821" s="1595"/>
      <c r="K2821" s="1597">
        <v>41735.96</v>
      </c>
      <c r="L2821" s="1597">
        <v>41735.96</v>
      </c>
      <c r="M2821" s="1597">
        <v>-41735.96</v>
      </c>
      <c r="N2821" s="1598"/>
      <c r="O2821" s="1598"/>
      <c r="P2821" s="1597">
        <v>41735.96</v>
      </c>
      <c r="Q2821" s="1597">
        <v>-41735.96</v>
      </c>
      <c r="R2821" s="1598"/>
      <c r="S2821" s="1592"/>
    </row>
    <row r="2822" spans="2:19" s="1593" customFormat="1" ht="11.25" customHeight="1" outlineLevel="1">
      <c r="B2822" s="1600" t="s">
        <v>10673</v>
      </c>
      <c r="C2822" s="1595" t="s">
        <v>7601</v>
      </c>
      <c r="D2822" s="1595" t="s">
        <v>10672</v>
      </c>
      <c r="E2822" s="1595"/>
      <c r="F2822" s="1595"/>
      <c r="G2822" s="1595"/>
      <c r="H2822" s="1596">
        <v>1</v>
      </c>
      <c r="I2822" s="1595"/>
      <c r="J2822" s="1595"/>
      <c r="K2822" s="1597">
        <v>64206.21</v>
      </c>
      <c r="L2822" s="1597">
        <v>64206.21</v>
      </c>
      <c r="M2822" s="1597">
        <v>-64206.21</v>
      </c>
      <c r="N2822" s="1598"/>
      <c r="O2822" s="1598"/>
      <c r="P2822" s="1597">
        <v>64206.21</v>
      </c>
      <c r="Q2822" s="1597">
        <v>-64206.21</v>
      </c>
      <c r="R2822" s="1598"/>
      <c r="S2822" s="1592"/>
    </row>
    <row r="2823" spans="2:19" s="1593" customFormat="1" ht="11.25" customHeight="1" outlineLevel="1">
      <c r="B2823" s="1600" t="s">
        <v>10671</v>
      </c>
      <c r="C2823" s="1595" t="s">
        <v>10666</v>
      </c>
      <c r="D2823" s="1595" t="s">
        <v>10670</v>
      </c>
      <c r="E2823" s="1595"/>
      <c r="F2823" s="1595"/>
      <c r="G2823" s="1595"/>
      <c r="H2823" s="1596">
        <v>1</v>
      </c>
      <c r="I2823" s="1595"/>
      <c r="J2823" s="1595"/>
      <c r="K2823" s="1597">
        <v>94621.18</v>
      </c>
      <c r="L2823" s="1597">
        <v>94621.18</v>
      </c>
      <c r="M2823" s="1597">
        <v>-94621.18</v>
      </c>
      <c r="N2823" s="1598"/>
      <c r="O2823" s="1598"/>
      <c r="P2823" s="1597">
        <v>67740.12</v>
      </c>
      <c r="Q2823" s="1597">
        <v>-67740.12</v>
      </c>
      <c r="R2823" s="1598"/>
      <c r="S2823" s="1592"/>
    </row>
    <row r="2824" spans="2:19" s="1593" customFormat="1" ht="21.75" customHeight="1" outlineLevel="1">
      <c r="B2824" s="1600" t="s">
        <v>10669</v>
      </c>
      <c r="C2824" s="1595" t="s">
        <v>10666</v>
      </c>
      <c r="D2824" s="1595" t="s">
        <v>10668</v>
      </c>
      <c r="E2824" s="1595"/>
      <c r="F2824" s="1595"/>
      <c r="G2824" s="1595"/>
      <c r="H2824" s="1596">
        <v>3</v>
      </c>
      <c r="I2824" s="1595"/>
      <c r="J2824" s="1595"/>
      <c r="K2824" s="1597">
        <v>99000</v>
      </c>
      <c r="L2824" s="1597">
        <v>99000</v>
      </c>
      <c r="M2824" s="1597">
        <v>-99000</v>
      </c>
      <c r="N2824" s="1598"/>
      <c r="O2824" s="1598"/>
      <c r="P2824" s="1597">
        <v>99000</v>
      </c>
      <c r="Q2824" s="1597">
        <v>-99000</v>
      </c>
      <c r="R2824" s="1598"/>
      <c r="S2824" s="1592"/>
    </row>
    <row r="2825" spans="2:19" s="1593" customFormat="1" ht="21.75" customHeight="1" outlineLevel="1">
      <c r="B2825" s="1600" t="s">
        <v>10667</v>
      </c>
      <c r="C2825" s="1595" t="s">
        <v>10666</v>
      </c>
      <c r="D2825" s="1595" t="s">
        <v>10665</v>
      </c>
      <c r="E2825" s="1595"/>
      <c r="F2825" s="1595"/>
      <c r="G2825" s="1595"/>
      <c r="H2825" s="1596">
        <v>3</v>
      </c>
      <c r="I2825" s="1595"/>
      <c r="J2825" s="1595"/>
      <c r="K2825" s="1597">
        <v>46048</v>
      </c>
      <c r="L2825" s="1597">
        <v>46048</v>
      </c>
      <c r="M2825" s="1597">
        <v>-46048</v>
      </c>
      <c r="N2825" s="1598"/>
      <c r="O2825" s="1598"/>
      <c r="P2825" s="1597">
        <v>46048</v>
      </c>
      <c r="Q2825" s="1597">
        <v>-46048</v>
      </c>
      <c r="R2825" s="1598"/>
      <c r="S2825" s="1592"/>
    </row>
    <row r="2826" spans="2:19" s="1593" customFormat="1" ht="11.25" customHeight="1" outlineLevel="1">
      <c r="B2826" s="1600" t="s">
        <v>10664</v>
      </c>
      <c r="C2826" s="1595" t="s">
        <v>3421</v>
      </c>
      <c r="D2826" s="1595" t="s">
        <v>10663</v>
      </c>
      <c r="E2826" s="1595"/>
      <c r="F2826" s="1595"/>
      <c r="G2826" s="1595"/>
      <c r="H2826" s="1596">
        <v>1</v>
      </c>
      <c r="I2826" s="1595"/>
      <c r="J2826" s="1595"/>
      <c r="K2826" s="1597">
        <v>65930</v>
      </c>
      <c r="L2826" s="1597">
        <v>65930</v>
      </c>
      <c r="M2826" s="1597">
        <v>-65930</v>
      </c>
      <c r="N2826" s="1598"/>
      <c r="O2826" s="1598"/>
      <c r="P2826" s="1597">
        <v>65930</v>
      </c>
      <c r="Q2826" s="1597">
        <v>-65930</v>
      </c>
      <c r="R2826" s="1598"/>
      <c r="S2826" s="1592"/>
    </row>
    <row r="2827" spans="2:19" s="1593" customFormat="1" ht="11.25" customHeight="1" outlineLevel="1">
      <c r="B2827" s="1600" t="s">
        <v>10662</v>
      </c>
      <c r="C2827" s="1595" t="s">
        <v>10661</v>
      </c>
      <c r="D2827" s="1595" t="s">
        <v>10660</v>
      </c>
      <c r="E2827" s="1595" t="s">
        <v>2288</v>
      </c>
      <c r="F2827" s="1595" t="s">
        <v>10659</v>
      </c>
      <c r="G2827" s="1595"/>
      <c r="H2827" s="1596">
        <v>1</v>
      </c>
      <c r="I2827" s="1595"/>
      <c r="J2827" s="1595"/>
      <c r="K2827" s="1597">
        <v>211864.41</v>
      </c>
      <c r="L2827" s="1597">
        <v>211864.41</v>
      </c>
      <c r="M2827" s="1598"/>
      <c r="N2827" s="1597">
        <v>211864.41</v>
      </c>
      <c r="O2827" s="1597">
        <v>31387.32</v>
      </c>
      <c r="P2827" s="1597">
        <v>149089.76999999999</v>
      </c>
      <c r="Q2827" s="1597">
        <v>31387.32</v>
      </c>
      <c r="R2827" s="1597">
        <v>180477.09</v>
      </c>
      <c r="S2827" s="1592"/>
    </row>
    <row r="2828" spans="2:19" s="1593" customFormat="1" ht="11.25" customHeight="1" outlineLevel="1">
      <c r="B2828" s="1600" t="s">
        <v>10658</v>
      </c>
      <c r="C2828" s="1595" t="s">
        <v>10657</v>
      </c>
      <c r="D2828" s="1595" t="s">
        <v>10656</v>
      </c>
      <c r="E2828" s="1595"/>
      <c r="F2828" s="1595"/>
      <c r="G2828" s="1595"/>
      <c r="H2828" s="1596">
        <v>1</v>
      </c>
      <c r="I2828" s="1595"/>
      <c r="J2828" s="1595"/>
      <c r="K2828" s="1597">
        <v>117000</v>
      </c>
      <c r="L2828" s="1597">
        <v>117000</v>
      </c>
      <c r="M2828" s="1598"/>
      <c r="N2828" s="1597">
        <v>117000</v>
      </c>
      <c r="O2828" s="1597">
        <v>73690.53</v>
      </c>
      <c r="P2828" s="1597">
        <v>35552.550000000003</v>
      </c>
      <c r="Q2828" s="1597">
        <v>7756.92</v>
      </c>
      <c r="R2828" s="1597">
        <v>43309.47</v>
      </c>
      <c r="S2828" s="1592"/>
    </row>
    <row r="2829" spans="2:19" s="1593" customFormat="1" ht="21.75" customHeight="1" outlineLevel="1">
      <c r="B2829" s="1600" t="s">
        <v>10655</v>
      </c>
      <c r="C2829" s="1595" t="s">
        <v>10654</v>
      </c>
      <c r="D2829" s="1595" t="s">
        <v>10653</v>
      </c>
      <c r="E2829" s="1595"/>
      <c r="F2829" s="1595"/>
      <c r="G2829" s="1595"/>
      <c r="H2829" s="1596">
        <v>3</v>
      </c>
      <c r="I2829" s="1595"/>
      <c r="J2829" s="1595"/>
      <c r="K2829" s="1597">
        <v>127029.8</v>
      </c>
      <c r="L2829" s="1597">
        <v>127029.8</v>
      </c>
      <c r="M2829" s="1598"/>
      <c r="N2829" s="1597">
        <v>127029.8</v>
      </c>
      <c r="O2829" s="1597">
        <v>34644.519999999997</v>
      </c>
      <c r="P2829" s="1597">
        <v>75063.039999999994</v>
      </c>
      <c r="Q2829" s="1597">
        <v>17322.240000000002</v>
      </c>
      <c r="R2829" s="1597">
        <v>92385.279999999999</v>
      </c>
      <c r="S2829" s="1592"/>
    </row>
    <row r="2830" spans="2:19" s="1593" customFormat="1" ht="21.75" customHeight="1" outlineLevel="1">
      <c r="B2830" s="1600" t="s">
        <v>10652</v>
      </c>
      <c r="C2830" s="1595" t="s">
        <v>7383</v>
      </c>
      <c r="D2830" s="1595" t="s">
        <v>10651</v>
      </c>
      <c r="E2830" s="1595"/>
      <c r="F2830" s="1595" t="s">
        <v>7381</v>
      </c>
      <c r="G2830" s="1595"/>
      <c r="H2830" s="1596">
        <v>1</v>
      </c>
      <c r="I2830" s="1595"/>
      <c r="J2830" s="1595"/>
      <c r="K2830" s="1597">
        <v>156817.79999999999</v>
      </c>
      <c r="L2830" s="1597">
        <v>156817.79999999999</v>
      </c>
      <c r="M2830" s="1598"/>
      <c r="N2830" s="1597">
        <v>156817.79999999999</v>
      </c>
      <c r="O2830" s="1597">
        <v>4978.37</v>
      </c>
      <c r="P2830" s="1597">
        <v>125968.22</v>
      </c>
      <c r="Q2830" s="1597">
        <v>25871.21</v>
      </c>
      <c r="R2830" s="1597">
        <v>151839.43</v>
      </c>
      <c r="S2830" s="1592"/>
    </row>
    <row r="2831" spans="2:19" s="1593" customFormat="1" ht="11.25" customHeight="1" outlineLevel="1">
      <c r="B2831" s="1600" t="s">
        <v>10650</v>
      </c>
      <c r="C2831" s="1595" t="s">
        <v>10649</v>
      </c>
      <c r="D2831" s="1595" t="s">
        <v>10648</v>
      </c>
      <c r="E2831" s="1595"/>
      <c r="F2831" s="1595"/>
      <c r="G2831" s="1595"/>
      <c r="H2831" s="1595"/>
      <c r="I2831" s="1595"/>
      <c r="J2831" s="1595"/>
      <c r="K2831" s="1597">
        <v>43761</v>
      </c>
      <c r="L2831" s="1597">
        <v>43761</v>
      </c>
      <c r="M2831" s="1597">
        <v>-43761</v>
      </c>
      <c r="N2831" s="1598"/>
      <c r="O2831" s="1598"/>
      <c r="P2831" s="1597">
        <v>43761</v>
      </c>
      <c r="Q2831" s="1597">
        <v>-43761</v>
      </c>
      <c r="R2831" s="1598"/>
      <c r="S2831" s="1592"/>
    </row>
    <row r="2832" spans="2:19" s="1593" customFormat="1" ht="11.25" customHeight="1" outlineLevel="1">
      <c r="B2832" s="1600" t="s">
        <v>10647</v>
      </c>
      <c r="C2832" s="1595" t="s">
        <v>10646</v>
      </c>
      <c r="D2832" s="1595" t="s">
        <v>10645</v>
      </c>
      <c r="E2832" s="1595"/>
      <c r="F2832" s="1595"/>
      <c r="G2832" s="1595"/>
      <c r="H2832" s="1595"/>
      <c r="I2832" s="1595"/>
      <c r="J2832" s="1595"/>
      <c r="K2832" s="1597">
        <v>57516.95</v>
      </c>
      <c r="L2832" s="1597">
        <v>57516.95</v>
      </c>
      <c r="M2832" s="1597">
        <v>-57516.95</v>
      </c>
      <c r="N2832" s="1598"/>
      <c r="O2832" s="1598"/>
      <c r="P2832" s="1597">
        <v>35830.199999999997</v>
      </c>
      <c r="Q2832" s="1597">
        <v>-35830.199999999997</v>
      </c>
      <c r="R2832" s="1598"/>
      <c r="S2832" s="1592"/>
    </row>
    <row r="2833" spans="2:19" s="1593" customFormat="1" ht="21.75" customHeight="1" outlineLevel="1">
      <c r="B2833" s="1600" t="s">
        <v>10644</v>
      </c>
      <c r="C2833" s="1595" t="s">
        <v>10643</v>
      </c>
      <c r="D2833" s="1595" t="s">
        <v>10642</v>
      </c>
      <c r="E2833" s="1595" t="s">
        <v>2288</v>
      </c>
      <c r="F2833" s="1595" t="s">
        <v>10641</v>
      </c>
      <c r="G2833" s="1595"/>
      <c r="H2833" s="1596">
        <v>1</v>
      </c>
      <c r="I2833" s="1595"/>
      <c r="J2833" s="1595"/>
      <c r="K2833" s="1597">
        <v>53603.39</v>
      </c>
      <c r="L2833" s="1597">
        <v>53603.39</v>
      </c>
      <c r="M2833" s="1597">
        <v>-53603.39</v>
      </c>
      <c r="N2833" s="1598"/>
      <c r="O2833" s="1598"/>
      <c r="P2833" s="1597">
        <v>31634.639999999999</v>
      </c>
      <c r="Q2833" s="1597">
        <v>-31634.639999999999</v>
      </c>
      <c r="R2833" s="1598"/>
      <c r="S2833" s="1592"/>
    </row>
    <row r="2834" spans="2:19" s="1593" customFormat="1" ht="11.25" customHeight="1" outlineLevel="1">
      <c r="B2834" s="1600" t="s">
        <v>10640</v>
      </c>
      <c r="C2834" s="1595" t="s">
        <v>10639</v>
      </c>
      <c r="D2834" s="1595" t="s">
        <v>10638</v>
      </c>
      <c r="E2834" s="1595" t="s">
        <v>2288</v>
      </c>
      <c r="F2834" s="1595" t="s">
        <v>10637</v>
      </c>
      <c r="G2834" s="1595"/>
      <c r="H2834" s="1596">
        <v>1</v>
      </c>
      <c r="I2834" s="1595"/>
      <c r="J2834" s="1595"/>
      <c r="K2834" s="1597">
        <v>44921.61</v>
      </c>
      <c r="L2834" s="1597">
        <v>44921.61</v>
      </c>
      <c r="M2834" s="1597">
        <v>-44921.61</v>
      </c>
      <c r="N2834" s="1598"/>
      <c r="O2834" s="1598"/>
      <c r="P2834" s="1597">
        <v>44921.61</v>
      </c>
      <c r="Q2834" s="1597">
        <v>-44921.61</v>
      </c>
      <c r="R2834" s="1598"/>
      <c r="S2834" s="1592"/>
    </row>
    <row r="2835" spans="2:19" s="1593" customFormat="1" ht="11.25" customHeight="1" outlineLevel="1">
      <c r="B2835" s="1600" t="s">
        <v>10636</v>
      </c>
      <c r="C2835" s="1595" t="s">
        <v>10635</v>
      </c>
      <c r="D2835" s="1595" t="s">
        <v>10634</v>
      </c>
      <c r="E2835" s="1595" t="s">
        <v>2288</v>
      </c>
      <c r="F2835" s="1595" t="s">
        <v>10633</v>
      </c>
      <c r="G2835" s="1595"/>
      <c r="H2835" s="1596">
        <v>1</v>
      </c>
      <c r="I2835" s="1595"/>
      <c r="J2835" s="1595"/>
      <c r="K2835" s="1597">
        <v>173300</v>
      </c>
      <c r="L2835" s="1597">
        <v>173300</v>
      </c>
      <c r="M2835" s="1598"/>
      <c r="N2835" s="1597">
        <v>173300</v>
      </c>
      <c r="O2835" s="1597">
        <v>7457.71</v>
      </c>
      <c r="P2835" s="1597">
        <v>127086.63</v>
      </c>
      <c r="Q2835" s="1597">
        <v>38755.660000000003</v>
      </c>
      <c r="R2835" s="1597">
        <v>165842.29</v>
      </c>
      <c r="S2835" s="1592"/>
    </row>
    <row r="2836" spans="2:19" s="1593" customFormat="1" ht="11.25" customHeight="1" outlineLevel="1">
      <c r="B2836" s="1600" t="s">
        <v>10632</v>
      </c>
      <c r="C2836" s="1595" t="s">
        <v>10624</v>
      </c>
      <c r="D2836" s="1595" t="s">
        <v>10631</v>
      </c>
      <c r="E2836" s="1595" t="s">
        <v>2288</v>
      </c>
      <c r="F2836" s="1595" t="s">
        <v>10626</v>
      </c>
      <c r="G2836" s="1595"/>
      <c r="H2836" s="1596">
        <v>1</v>
      </c>
      <c r="I2836" s="1595"/>
      <c r="J2836" s="1595"/>
      <c r="K2836" s="1597">
        <v>41175</v>
      </c>
      <c r="L2836" s="1597">
        <v>41175</v>
      </c>
      <c r="M2836" s="1597">
        <v>-41175</v>
      </c>
      <c r="N2836" s="1598"/>
      <c r="O2836" s="1598"/>
      <c r="P2836" s="1597">
        <v>41175</v>
      </c>
      <c r="Q2836" s="1597">
        <v>-41175</v>
      </c>
      <c r="R2836" s="1598"/>
      <c r="S2836" s="1592"/>
    </row>
    <row r="2837" spans="2:19" s="1593" customFormat="1" ht="11.25" customHeight="1" outlineLevel="1">
      <c r="B2837" s="1600" t="s">
        <v>10630</v>
      </c>
      <c r="C2837" s="1595" t="s">
        <v>10624</v>
      </c>
      <c r="D2837" s="1595" t="s">
        <v>10629</v>
      </c>
      <c r="E2837" s="1595" t="s">
        <v>2288</v>
      </c>
      <c r="F2837" s="1595" t="s">
        <v>10626</v>
      </c>
      <c r="G2837" s="1595"/>
      <c r="H2837" s="1596">
        <v>1</v>
      </c>
      <c r="I2837" s="1595"/>
      <c r="J2837" s="1595"/>
      <c r="K2837" s="1597">
        <v>74520</v>
      </c>
      <c r="L2837" s="1597">
        <v>74520</v>
      </c>
      <c r="M2837" s="1597">
        <v>-74520</v>
      </c>
      <c r="N2837" s="1598"/>
      <c r="O2837" s="1598"/>
      <c r="P2837" s="1597">
        <v>74520</v>
      </c>
      <c r="Q2837" s="1597">
        <v>-74520</v>
      </c>
      <c r="R2837" s="1598"/>
      <c r="S2837" s="1592"/>
    </row>
    <row r="2838" spans="2:19" s="1593" customFormat="1" ht="11.25" customHeight="1" outlineLevel="1">
      <c r="B2838" s="1600" t="s">
        <v>10628</v>
      </c>
      <c r="C2838" s="1595" t="s">
        <v>10624</v>
      </c>
      <c r="D2838" s="1595" t="s">
        <v>10627</v>
      </c>
      <c r="E2838" s="1595" t="s">
        <v>2288</v>
      </c>
      <c r="F2838" s="1595" t="s">
        <v>10626</v>
      </c>
      <c r="G2838" s="1595"/>
      <c r="H2838" s="1596">
        <v>1</v>
      </c>
      <c r="I2838" s="1595"/>
      <c r="J2838" s="1595"/>
      <c r="K2838" s="1597">
        <v>74520</v>
      </c>
      <c r="L2838" s="1597">
        <v>74520</v>
      </c>
      <c r="M2838" s="1597">
        <v>-74520</v>
      </c>
      <c r="N2838" s="1598"/>
      <c r="O2838" s="1598"/>
      <c r="P2838" s="1597">
        <v>74520</v>
      </c>
      <c r="Q2838" s="1597">
        <v>-74520</v>
      </c>
      <c r="R2838" s="1598"/>
      <c r="S2838" s="1592"/>
    </row>
    <row r="2839" spans="2:19" s="1593" customFormat="1" ht="11.25" customHeight="1" outlineLevel="1">
      <c r="B2839" s="1600" t="s">
        <v>10625</v>
      </c>
      <c r="C2839" s="1595" t="s">
        <v>10624</v>
      </c>
      <c r="D2839" s="1595" t="s">
        <v>10623</v>
      </c>
      <c r="E2839" s="1595" t="s">
        <v>2288</v>
      </c>
      <c r="F2839" s="1595" t="s">
        <v>10622</v>
      </c>
      <c r="G2839" s="1595"/>
      <c r="H2839" s="1596">
        <v>1</v>
      </c>
      <c r="I2839" s="1595"/>
      <c r="J2839" s="1595"/>
      <c r="K2839" s="1597">
        <v>74520</v>
      </c>
      <c r="L2839" s="1597">
        <v>74520</v>
      </c>
      <c r="M2839" s="1597">
        <v>-74520</v>
      </c>
      <c r="N2839" s="1598"/>
      <c r="O2839" s="1598"/>
      <c r="P2839" s="1597">
        <v>74520</v>
      </c>
      <c r="Q2839" s="1597">
        <v>-74520</v>
      </c>
      <c r="R2839" s="1598"/>
      <c r="S2839" s="1592"/>
    </row>
    <row r="2840" spans="2:19" s="1593" customFormat="1" ht="11.25" customHeight="1" outlineLevel="1">
      <c r="B2840" s="1600" t="s">
        <v>10621</v>
      </c>
      <c r="C2840" s="1595" t="s">
        <v>10620</v>
      </c>
      <c r="D2840" s="1595" t="s">
        <v>10619</v>
      </c>
      <c r="E2840" s="1595" t="s">
        <v>2288</v>
      </c>
      <c r="F2840" s="1595" t="s">
        <v>10618</v>
      </c>
      <c r="G2840" s="1595"/>
      <c r="H2840" s="1596">
        <v>1</v>
      </c>
      <c r="I2840" s="1595"/>
      <c r="J2840" s="1595"/>
      <c r="K2840" s="1597">
        <v>74740</v>
      </c>
      <c r="L2840" s="1597">
        <v>74740</v>
      </c>
      <c r="M2840" s="1597">
        <v>-74740</v>
      </c>
      <c r="N2840" s="1598"/>
      <c r="O2840" s="1598"/>
      <c r="P2840" s="1597">
        <v>71750.399999999994</v>
      </c>
      <c r="Q2840" s="1597">
        <v>-71750.399999999994</v>
      </c>
      <c r="R2840" s="1598"/>
      <c r="S2840" s="1592"/>
    </row>
    <row r="2841" spans="2:19" s="1593" customFormat="1" ht="11.25" customHeight="1" outlineLevel="1">
      <c r="B2841" s="1600" t="s">
        <v>10617</v>
      </c>
      <c r="C2841" s="1595" t="s">
        <v>10616</v>
      </c>
      <c r="D2841" s="1595" t="s">
        <v>10615</v>
      </c>
      <c r="E2841" s="1595" t="s">
        <v>2288</v>
      </c>
      <c r="F2841" s="1595" t="s">
        <v>10614</v>
      </c>
      <c r="G2841" s="1595"/>
      <c r="H2841" s="1596">
        <v>1</v>
      </c>
      <c r="I2841" s="1595"/>
      <c r="J2841" s="1595"/>
      <c r="K2841" s="1597">
        <v>140000</v>
      </c>
      <c r="L2841" s="1597">
        <v>140000</v>
      </c>
      <c r="M2841" s="1598"/>
      <c r="N2841" s="1597">
        <v>140000</v>
      </c>
      <c r="O2841" s="1597">
        <v>8472.2199999999993</v>
      </c>
      <c r="P2841" s="1597">
        <v>87500</v>
      </c>
      <c r="Q2841" s="1597">
        <v>44027.78</v>
      </c>
      <c r="R2841" s="1597">
        <v>131527.78</v>
      </c>
      <c r="S2841" s="1592"/>
    </row>
    <row r="2842" spans="2:19" s="1593" customFormat="1" ht="21.75" customHeight="1" outlineLevel="1">
      <c r="B2842" s="1600" t="s">
        <v>10613</v>
      </c>
      <c r="C2842" s="1595" t="s">
        <v>10607</v>
      </c>
      <c r="D2842" s="1595" t="s">
        <v>10612</v>
      </c>
      <c r="E2842" s="1595" t="s">
        <v>2288</v>
      </c>
      <c r="F2842" s="1595" t="s">
        <v>10609</v>
      </c>
      <c r="G2842" s="1595"/>
      <c r="H2842" s="1596">
        <v>1</v>
      </c>
      <c r="I2842" s="1595"/>
      <c r="J2842" s="1595"/>
      <c r="K2842" s="1597">
        <v>1625044</v>
      </c>
      <c r="L2842" s="1597">
        <v>1625044</v>
      </c>
      <c r="M2842" s="1598"/>
      <c r="N2842" s="1597">
        <v>1625044</v>
      </c>
      <c r="O2842" s="1597">
        <v>104897.03</v>
      </c>
      <c r="P2842" s="1597">
        <v>975026.34</v>
      </c>
      <c r="Q2842" s="1597">
        <v>545120.63</v>
      </c>
      <c r="R2842" s="1597">
        <v>1520146.97</v>
      </c>
      <c r="S2842" s="1592"/>
    </row>
    <row r="2843" spans="2:19" s="1593" customFormat="1" ht="21.75" customHeight="1" outlineLevel="1">
      <c r="B2843" s="1600" t="s">
        <v>10611</v>
      </c>
      <c r="C2843" s="1595" t="s">
        <v>10607</v>
      </c>
      <c r="D2843" s="1595" t="s">
        <v>10610</v>
      </c>
      <c r="E2843" s="1595" t="s">
        <v>2288</v>
      </c>
      <c r="F2843" s="1595" t="s">
        <v>10609</v>
      </c>
      <c r="G2843" s="1595"/>
      <c r="H2843" s="1595"/>
      <c r="I2843" s="1595"/>
      <c r="J2843" s="1595"/>
      <c r="K2843" s="1597">
        <v>1625044</v>
      </c>
      <c r="L2843" s="1597">
        <v>1625044</v>
      </c>
      <c r="M2843" s="1598"/>
      <c r="N2843" s="1597">
        <v>1625044</v>
      </c>
      <c r="O2843" s="1597">
        <v>104897.03</v>
      </c>
      <c r="P2843" s="1597">
        <v>975026.34</v>
      </c>
      <c r="Q2843" s="1597">
        <v>545120.63</v>
      </c>
      <c r="R2843" s="1597">
        <v>1520146.97</v>
      </c>
      <c r="S2843" s="1592"/>
    </row>
    <row r="2844" spans="2:19" s="1593" customFormat="1" ht="21.75" customHeight="1" outlineLevel="1">
      <c r="B2844" s="1600" t="s">
        <v>10608</v>
      </c>
      <c r="C2844" s="1595" t="s">
        <v>10607</v>
      </c>
      <c r="D2844" s="1595" t="s">
        <v>10606</v>
      </c>
      <c r="E2844" s="1595" t="s">
        <v>2288</v>
      </c>
      <c r="F2844" s="1595" t="s">
        <v>10605</v>
      </c>
      <c r="G2844" s="1595"/>
      <c r="H2844" s="1596">
        <v>1</v>
      </c>
      <c r="I2844" s="1595"/>
      <c r="J2844" s="1595"/>
      <c r="K2844" s="1597">
        <v>2547860.25</v>
      </c>
      <c r="L2844" s="1597">
        <v>2547860.25</v>
      </c>
      <c r="M2844" s="1598"/>
      <c r="N2844" s="1597">
        <v>2547860.25</v>
      </c>
      <c r="O2844" s="1597">
        <v>482027.59</v>
      </c>
      <c r="P2844" s="1597">
        <v>1239499.6200000001</v>
      </c>
      <c r="Q2844" s="1597">
        <v>826333.04</v>
      </c>
      <c r="R2844" s="1597">
        <v>2065832.66</v>
      </c>
      <c r="S2844" s="1592"/>
    </row>
    <row r="2845" spans="2:19" s="1593" customFormat="1" ht="21.75" customHeight="1" outlineLevel="1">
      <c r="B2845" s="1600" t="s">
        <v>10604</v>
      </c>
      <c r="C2845" s="1595" t="s">
        <v>10603</v>
      </c>
      <c r="D2845" s="1595" t="s">
        <v>10602</v>
      </c>
      <c r="E2845" s="1595" t="s">
        <v>2288</v>
      </c>
      <c r="F2845" s="1595" t="s">
        <v>10601</v>
      </c>
      <c r="G2845" s="1595"/>
      <c r="H2845" s="1596">
        <v>3</v>
      </c>
      <c r="I2845" s="1595"/>
      <c r="J2845" s="1595"/>
      <c r="K2845" s="1597">
        <v>77083.33</v>
      </c>
      <c r="L2845" s="1597">
        <v>77083.33</v>
      </c>
      <c r="M2845" s="1597">
        <v>-77083.33</v>
      </c>
      <c r="N2845" s="1598"/>
      <c r="O2845" s="1598"/>
      <c r="P2845" s="1597">
        <v>17691.240000000002</v>
      </c>
      <c r="Q2845" s="1597">
        <v>-17691.240000000002</v>
      </c>
      <c r="R2845" s="1598"/>
      <c r="S2845" s="1592"/>
    </row>
    <row r="2846" spans="2:19" s="1593" customFormat="1" ht="11.25" customHeight="1" outlineLevel="1">
      <c r="B2846" s="1600" t="s">
        <v>10600</v>
      </c>
      <c r="C2846" s="1595" t="s">
        <v>10596</v>
      </c>
      <c r="D2846" s="1595" t="s">
        <v>10599</v>
      </c>
      <c r="E2846" s="1595" t="s">
        <v>2288</v>
      </c>
      <c r="F2846" s="1595" t="s">
        <v>10598</v>
      </c>
      <c r="G2846" s="1595"/>
      <c r="H2846" s="1595"/>
      <c r="I2846" s="1595"/>
      <c r="J2846" s="1595"/>
      <c r="K2846" s="1597">
        <v>54315</v>
      </c>
      <c r="L2846" s="1597">
        <v>54315</v>
      </c>
      <c r="M2846" s="1597">
        <v>-54315</v>
      </c>
      <c r="N2846" s="1598"/>
      <c r="O2846" s="1598"/>
      <c r="P2846" s="1597">
        <v>30416.400000000001</v>
      </c>
      <c r="Q2846" s="1597">
        <v>-30416.400000000001</v>
      </c>
      <c r="R2846" s="1598"/>
      <c r="S2846" s="1592"/>
    </row>
    <row r="2847" spans="2:19" s="1593" customFormat="1" ht="11.25" customHeight="1" outlineLevel="1">
      <c r="B2847" s="1600" t="s">
        <v>10597</v>
      </c>
      <c r="C2847" s="1595" t="s">
        <v>10596</v>
      </c>
      <c r="D2847" s="1595" t="s">
        <v>10595</v>
      </c>
      <c r="E2847" s="1595" t="s">
        <v>2288</v>
      </c>
      <c r="F2847" s="1595" t="s">
        <v>10594</v>
      </c>
      <c r="G2847" s="1595"/>
      <c r="H2847" s="1595"/>
      <c r="I2847" s="1595"/>
      <c r="J2847" s="1595"/>
      <c r="K2847" s="1597">
        <v>54315</v>
      </c>
      <c r="L2847" s="1597">
        <v>54315</v>
      </c>
      <c r="M2847" s="1597">
        <v>-54315</v>
      </c>
      <c r="N2847" s="1598"/>
      <c r="O2847" s="1598"/>
      <c r="P2847" s="1597">
        <v>30416.400000000001</v>
      </c>
      <c r="Q2847" s="1597">
        <v>-30416.400000000001</v>
      </c>
      <c r="R2847" s="1598"/>
      <c r="S2847" s="1592"/>
    </row>
    <row r="2848" spans="2:19" s="1593" customFormat="1" ht="11.25" customHeight="1" outlineLevel="1">
      <c r="B2848" s="1600" t="s">
        <v>10593</v>
      </c>
      <c r="C2848" s="1595" t="s">
        <v>10592</v>
      </c>
      <c r="D2848" s="1595" t="s">
        <v>10591</v>
      </c>
      <c r="E2848" s="1595" t="s">
        <v>2288</v>
      </c>
      <c r="F2848" s="1595" t="s">
        <v>10590</v>
      </c>
      <c r="G2848" s="1595"/>
      <c r="H2848" s="1596">
        <v>1</v>
      </c>
      <c r="I2848" s="1595"/>
      <c r="J2848" s="1595"/>
      <c r="K2848" s="1597">
        <v>53000</v>
      </c>
      <c r="L2848" s="1597">
        <v>53000</v>
      </c>
      <c r="M2848" s="1597">
        <v>-53000</v>
      </c>
      <c r="N2848" s="1598"/>
      <c r="O2848" s="1598"/>
      <c r="P2848" s="1597">
        <v>20054.02</v>
      </c>
      <c r="Q2848" s="1597">
        <v>-20054.02</v>
      </c>
      <c r="R2848" s="1598"/>
      <c r="S2848" s="1592"/>
    </row>
    <row r="2849" spans="2:19" s="1593" customFormat="1" ht="11.25" customHeight="1" outlineLevel="1">
      <c r="B2849" s="1600" t="s">
        <v>10589</v>
      </c>
      <c r="C2849" s="1595" t="s">
        <v>10588</v>
      </c>
      <c r="D2849" s="1595" t="s">
        <v>10587</v>
      </c>
      <c r="E2849" s="1595" t="s">
        <v>2219</v>
      </c>
      <c r="F2849" s="1595" t="s">
        <v>10586</v>
      </c>
      <c r="G2849" s="1595" t="s">
        <v>10376</v>
      </c>
      <c r="H2849" s="1596">
        <v>1</v>
      </c>
      <c r="I2849" s="1595"/>
      <c r="J2849" s="1595"/>
      <c r="K2849" s="1597">
        <v>195350.23</v>
      </c>
      <c r="L2849" s="1597">
        <v>195350.23</v>
      </c>
      <c r="M2849" s="1598"/>
      <c r="N2849" s="1597">
        <v>195350.23</v>
      </c>
      <c r="O2849" s="1597">
        <v>148753.01</v>
      </c>
      <c r="P2849" s="1597">
        <v>25090.799999999999</v>
      </c>
      <c r="Q2849" s="1597">
        <v>21506.42</v>
      </c>
      <c r="R2849" s="1597">
        <v>46597.22</v>
      </c>
      <c r="S2849" s="1592"/>
    </row>
    <row r="2850" spans="2:19" s="1593" customFormat="1" ht="11.25" customHeight="1" outlineLevel="1">
      <c r="B2850" s="1600" t="s">
        <v>10585</v>
      </c>
      <c r="C2850" s="1595" t="s">
        <v>10584</v>
      </c>
      <c r="D2850" s="1595" t="s">
        <v>10583</v>
      </c>
      <c r="E2850" s="1595" t="s">
        <v>2288</v>
      </c>
      <c r="F2850" s="1595" t="s">
        <v>10582</v>
      </c>
      <c r="G2850" s="1595"/>
      <c r="H2850" s="1596">
        <v>1</v>
      </c>
      <c r="I2850" s="1595"/>
      <c r="J2850" s="1595"/>
      <c r="K2850" s="1597">
        <v>61946</v>
      </c>
      <c r="L2850" s="1597">
        <v>61946</v>
      </c>
      <c r="M2850" s="1597">
        <v>-61946</v>
      </c>
      <c r="N2850" s="1598"/>
      <c r="O2850" s="1598"/>
      <c r="P2850" s="1597">
        <v>29734.080000000002</v>
      </c>
      <c r="Q2850" s="1597">
        <v>-29734.080000000002</v>
      </c>
      <c r="R2850" s="1598"/>
      <c r="S2850" s="1592"/>
    </row>
    <row r="2851" spans="2:19" s="1593" customFormat="1" ht="11.25" customHeight="1" outlineLevel="1">
      <c r="B2851" s="1600" t="s">
        <v>10581</v>
      </c>
      <c r="C2851" s="1595" t="s">
        <v>10580</v>
      </c>
      <c r="D2851" s="1595" t="s">
        <v>10579</v>
      </c>
      <c r="E2851" s="1595" t="s">
        <v>2288</v>
      </c>
      <c r="F2851" s="1595" t="s">
        <v>10578</v>
      </c>
      <c r="G2851" s="1595"/>
      <c r="H2851" s="1596">
        <v>1</v>
      </c>
      <c r="I2851" s="1595"/>
      <c r="J2851" s="1595"/>
      <c r="K2851" s="1597">
        <v>95637.5</v>
      </c>
      <c r="L2851" s="1597">
        <v>95637.5</v>
      </c>
      <c r="M2851" s="1597">
        <v>-95637.5</v>
      </c>
      <c r="N2851" s="1598"/>
      <c r="O2851" s="1598"/>
      <c r="P2851" s="1597">
        <v>45906</v>
      </c>
      <c r="Q2851" s="1597">
        <v>-45906</v>
      </c>
      <c r="R2851" s="1598"/>
      <c r="S2851" s="1592"/>
    </row>
    <row r="2852" spans="2:19" s="1593" customFormat="1" ht="21.75" customHeight="1" outlineLevel="1">
      <c r="B2852" s="1600" t="s">
        <v>10577</v>
      </c>
      <c r="C2852" s="1595" t="s">
        <v>10532</v>
      </c>
      <c r="D2852" s="1595" t="s">
        <v>10576</v>
      </c>
      <c r="E2852" s="1595" t="s">
        <v>2288</v>
      </c>
      <c r="F2852" s="1595" t="s">
        <v>10464</v>
      </c>
      <c r="G2852" s="1595"/>
      <c r="H2852" s="1596">
        <v>1</v>
      </c>
      <c r="I2852" s="1595"/>
      <c r="J2852" s="1595"/>
      <c r="K2852" s="1597">
        <v>702547.77</v>
      </c>
      <c r="L2852" s="1597">
        <v>702547.77</v>
      </c>
      <c r="M2852" s="1598"/>
      <c r="N2852" s="1597">
        <v>702547.77</v>
      </c>
      <c r="O2852" s="1597">
        <v>303804.40000000002</v>
      </c>
      <c r="P2852" s="1597">
        <v>170890.02</v>
      </c>
      <c r="Q2852" s="1597">
        <v>227853.35</v>
      </c>
      <c r="R2852" s="1597">
        <v>398743.37</v>
      </c>
      <c r="S2852" s="1592"/>
    </row>
    <row r="2853" spans="2:19" s="1593" customFormat="1" ht="21.75" customHeight="1" outlineLevel="1">
      <c r="B2853" s="1600" t="s">
        <v>10575</v>
      </c>
      <c r="C2853" s="1595" t="s">
        <v>10532</v>
      </c>
      <c r="D2853" s="1595" t="s">
        <v>10574</v>
      </c>
      <c r="E2853" s="1595" t="s">
        <v>2288</v>
      </c>
      <c r="F2853" s="1595" t="s">
        <v>10464</v>
      </c>
      <c r="G2853" s="1595"/>
      <c r="H2853" s="1596">
        <v>1</v>
      </c>
      <c r="I2853" s="1595"/>
      <c r="J2853" s="1595"/>
      <c r="K2853" s="1597">
        <v>562446.78</v>
      </c>
      <c r="L2853" s="1597">
        <v>562446.78</v>
      </c>
      <c r="M2853" s="1598"/>
      <c r="N2853" s="1597">
        <v>562446.78</v>
      </c>
      <c r="O2853" s="1597">
        <v>243220.24</v>
      </c>
      <c r="P2853" s="1597">
        <v>136811.34</v>
      </c>
      <c r="Q2853" s="1597">
        <v>182415.2</v>
      </c>
      <c r="R2853" s="1597">
        <v>319226.53999999998</v>
      </c>
      <c r="S2853" s="1592"/>
    </row>
    <row r="2854" spans="2:19" s="1593" customFormat="1" ht="21.75" customHeight="1" outlineLevel="1">
      <c r="B2854" s="1600" t="s">
        <v>10573</v>
      </c>
      <c r="C2854" s="1595" t="s">
        <v>10532</v>
      </c>
      <c r="D2854" s="1595" t="s">
        <v>10572</v>
      </c>
      <c r="E2854" s="1595" t="s">
        <v>2288</v>
      </c>
      <c r="F2854" s="1595" t="s">
        <v>10464</v>
      </c>
      <c r="G2854" s="1595"/>
      <c r="H2854" s="1596">
        <v>1</v>
      </c>
      <c r="I2854" s="1595"/>
      <c r="J2854" s="1595"/>
      <c r="K2854" s="1597">
        <v>621350.97</v>
      </c>
      <c r="L2854" s="1597">
        <v>621350.97</v>
      </c>
      <c r="M2854" s="1598"/>
      <c r="N2854" s="1597">
        <v>621350.97</v>
      </c>
      <c r="O2854" s="1597">
        <v>268692.3</v>
      </c>
      <c r="P2854" s="1597">
        <v>151139.43</v>
      </c>
      <c r="Q2854" s="1597">
        <v>201519.24</v>
      </c>
      <c r="R2854" s="1597">
        <v>352658.67</v>
      </c>
      <c r="S2854" s="1592"/>
    </row>
    <row r="2855" spans="2:19" s="1593" customFormat="1" ht="21.75" customHeight="1" outlineLevel="1">
      <c r="B2855" s="1600" t="s">
        <v>10571</v>
      </c>
      <c r="C2855" s="1595" t="s">
        <v>10532</v>
      </c>
      <c r="D2855" s="1595" t="s">
        <v>10570</v>
      </c>
      <c r="E2855" s="1595" t="s">
        <v>2288</v>
      </c>
      <c r="F2855" s="1595" t="s">
        <v>10464</v>
      </c>
      <c r="G2855" s="1595"/>
      <c r="H2855" s="1596">
        <v>1</v>
      </c>
      <c r="I2855" s="1595"/>
      <c r="J2855" s="1595"/>
      <c r="K2855" s="1597">
        <v>614897.46</v>
      </c>
      <c r="L2855" s="1597">
        <v>614897.46</v>
      </c>
      <c r="M2855" s="1598"/>
      <c r="N2855" s="1597">
        <v>614897.46</v>
      </c>
      <c r="O2855" s="1597">
        <v>265901.61</v>
      </c>
      <c r="P2855" s="1597">
        <v>149569.65</v>
      </c>
      <c r="Q2855" s="1597">
        <v>199426.2</v>
      </c>
      <c r="R2855" s="1597">
        <v>348995.85</v>
      </c>
      <c r="S2855" s="1592"/>
    </row>
    <row r="2856" spans="2:19" s="1593" customFormat="1" ht="21.75" customHeight="1" outlineLevel="1">
      <c r="B2856" s="1600" t="s">
        <v>10569</v>
      </c>
      <c r="C2856" s="1595" t="s">
        <v>10532</v>
      </c>
      <c r="D2856" s="1595" t="s">
        <v>10568</v>
      </c>
      <c r="E2856" s="1595"/>
      <c r="F2856" s="1595" t="s">
        <v>10464</v>
      </c>
      <c r="G2856" s="1595"/>
      <c r="H2856" s="1596">
        <v>1</v>
      </c>
      <c r="I2856" s="1595"/>
      <c r="J2856" s="1595"/>
      <c r="K2856" s="1597">
        <v>636914.63</v>
      </c>
      <c r="L2856" s="1597">
        <v>636914.63</v>
      </c>
      <c r="M2856" s="1598"/>
      <c r="N2856" s="1597">
        <v>636914.63</v>
      </c>
      <c r="O2856" s="1597">
        <v>275422.52</v>
      </c>
      <c r="P2856" s="1597">
        <v>154925.19</v>
      </c>
      <c r="Q2856" s="1597">
        <v>206566.92</v>
      </c>
      <c r="R2856" s="1597">
        <v>361492.11</v>
      </c>
      <c r="S2856" s="1592"/>
    </row>
    <row r="2857" spans="2:19" s="1593" customFormat="1" ht="21.75" customHeight="1" outlineLevel="1">
      <c r="B2857" s="1600" t="s">
        <v>10567</v>
      </c>
      <c r="C2857" s="1595" t="s">
        <v>10532</v>
      </c>
      <c r="D2857" s="1595" t="s">
        <v>10566</v>
      </c>
      <c r="E2857" s="1595"/>
      <c r="F2857" s="1595" t="s">
        <v>10464</v>
      </c>
      <c r="G2857" s="1595"/>
      <c r="H2857" s="1596">
        <v>1</v>
      </c>
      <c r="I2857" s="1595"/>
      <c r="J2857" s="1595"/>
      <c r="K2857" s="1597">
        <v>626739.29</v>
      </c>
      <c r="L2857" s="1597">
        <v>626739.29</v>
      </c>
      <c r="M2857" s="1598"/>
      <c r="N2857" s="1597">
        <v>626739.29</v>
      </c>
      <c r="O2857" s="1597">
        <v>271022.39</v>
      </c>
      <c r="P2857" s="1597">
        <v>152450.1</v>
      </c>
      <c r="Q2857" s="1597">
        <v>203266.8</v>
      </c>
      <c r="R2857" s="1597">
        <v>355716.9</v>
      </c>
      <c r="S2857" s="1592"/>
    </row>
    <row r="2858" spans="2:19" s="1593" customFormat="1" ht="21.75" customHeight="1" outlineLevel="1">
      <c r="B2858" s="1600" t="s">
        <v>10565</v>
      </c>
      <c r="C2858" s="1595" t="s">
        <v>10532</v>
      </c>
      <c r="D2858" s="1595" t="s">
        <v>10564</v>
      </c>
      <c r="E2858" s="1595" t="s">
        <v>2288</v>
      </c>
      <c r="F2858" s="1595" t="s">
        <v>10464</v>
      </c>
      <c r="G2858" s="1595"/>
      <c r="H2858" s="1596">
        <v>1</v>
      </c>
      <c r="I2858" s="1595"/>
      <c r="J2858" s="1595"/>
      <c r="K2858" s="1597">
        <v>541118.44999999995</v>
      </c>
      <c r="L2858" s="1597">
        <v>541118.44999999995</v>
      </c>
      <c r="M2858" s="1598"/>
      <c r="N2858" s="1597">
        <v>541118.44999999995</v>
      </c>
      <c r="O2858" s="1597">
        <v>233997.2</v>
      </c>
      <c r="P2858" s="1597">
        <v>131623.38</v>
      </c>
      <c r="Q2858" s="1597">
        <v>175497.87</v>
      </c>
      <c r="R2858" s="1597">
        <v>307121.25</v>
      </c>
      <c r="S2858" s="1592"/>
    </row>
    <row r="2859" spans="2:19" s="1593" customFormat="1" ht="21.75" customHeight="1" outlineLevel="1">
      <c r="B2859" s="1600" t="s">
        <v>10563</v>
      </c>
      <c r="C2859" s="1595" t="s">
        <v>10532</v>
      </c>
      <c r="D2859" s="1595" t="s">
        <v>10562</v>
      </c>
      <c r="E2859" s="1595" t="s">
        <v>2288</v>
      </c>
      <c r="F2859" s="1595" t="s">
        <v>10464</v>
      </c>
      <c r="G2859" s="1595"/>
      <c r="H2859" s="1596">
        <v>1</v>
      </c>
      <c r="I2859" s="1595"/>
      <c r="J2859" s="1595"/>
      <c r="K2859" s="1597">
        <v>610486.63</v>
      </c>
      <c r="L2859" s="1597">
        <v>610486.63</v>
      </c>
      <c r="M2859" s="1598"/>
      <c r="N2859" s="1597">
        <v>610486.63</v>
      </c>
      <c r="O2859" s="1597">
        <v>263994.19</v>
      </c>
      <c r="P2859" s="1597">
        <v>148496.76</v>
      </c>
      <c r="Q2859" s="1597">
        <v>197995.68</v>
      </c>
      <c r="R2859" s="1597">
        <v>346492.44</v>
      </c>
      <c r="S2859" s="1592"/>
    </row>
    <row r="2860" spans="2:19" s="1593" customFormat="1" ht="21.75" customHeight="1" outlineLevel="1">
      <c r="B2860" s="1600" t="s">
        <v>10561</v>
      </c>
      <c r="C2860" s="1595" t="s">
        <v>10532</v>
      </c>
      <c r="D2860" s="1595" t="s">
        <v>10560</v>
      </c>
      <c r="E2860" s="1595" t="s">
        <v>2288</v>
      </c>
      <c r="F2860" s="1595" t="s">
        <v>10464</v>
      </c>
      <c r="G2860" s="1595"/>
      <c r="H2860" s="1596">
        <v>1</v>
      </c>
      <c r="I2860" s="1595"/>
      <c r="J2860" s="1595"/>
      <c r="K2860" s="1597">
        <v>643936.04</v>
      </c>
      <c r="L2860" s="1597">
        <v>643936.04</v>
      </c>
      <c r="M2860" s="1598"/>
      <c r="N2860" s="1597">
        <v>643936.04</v>
      </c>
      <c r="O2860" s="1597">
        <v>278458.8</v>
      </c>
      <c r="P2860" s="1597">
        <v>156633.12</v>
      </c>
      <c r="Q2860" s="1597">
        <v>208844.12</v>
      </c>
      <c r="R2860" s="1597">
        <v>365477.24</v>
      </c>
      <c r="S2860" s="1592"/>
    </row>
    <row r="2861" spans="2:19" s="1593" customFormat="1" ht="21.75" customHeight="1" outlineLevel="1">
      <c r="B2861" s="1600" t="s">
        <v>10559</v>
      </c>
      <c r="C2861" s="1595" t="s">
        <v>10532</v>
      </c>
      <c r="D2861" s="1595" t="s">
        <v>10558</v>
      </c>
      <c r="E2861" s="1595" t="s">
        <v>2288</v>
      </c>
      <c r="F2861" s="1595" t="s">
        <v>10464</v>
      </c>
      <c r="G2861" s="1595"/>
      <c r="H2861" s="1596">
        <v>1</v>
      </c>
      <c r="I2861" s="1595"/>
      <c r="J2861" s="1595"/>
      <c r="K2861" s="1597">
        <v>621039.03</v>
      </c>
      <c r="L2861" s="1597">
        <v>621039.03</v>
      </c>
      <c r="M2861" s="1598"/>
      <c r="N2861" s="1597">
        <v>621039.03</v>
      </c>
      <c r="O2861" s="1597">
        <v>268557.39</v>
      </c>
      <c r="P2861" s="1597">
        <v>151063.56</v>
      </c>
      <c r="Q2861" s="1597">
        <v>201418.08</v>
      </c>
      <c r="R2861" s="1597">
        <v>352481.64</v>
      </c>
      <c r="S2861" s="1592"/>
    </row>
    <row r="2862" spans="2:19" s="1593" customFormat="1" ht="21.75" customHeight="1" outlineLevel="1">
      <c r="B2862" s="1600" t="s">
        <v>10557</v>
      </c>
      <c r="C2862" s="1595" t="s">
        <v>10532</v>
      </c>
      <c r="D2862" s="1595" t="s">
        <v>10556</v>
      </c>
      <c r="E2862" s="1595"/>
      <c r="F2862" s="1595" t="s">
        <v>10464</v>
      </c>
      <c r="G2862" s="1595"/>
      <c r="H2862" s="1596">
        <v>1</v>
      </c>
      <c r="I2862" s="1595"/>
      <c r="J2862" s="1595"/>
      <c r="K2862" s="1597">
        <v>666837.67000000004</v>
      </c>
      <c r="L2862" s="1597">
        <v>666837.67000000004</v>
      </c>
      <c r="M2862" s="1598"/>
      <c r="N2862" s="1597">
        <v>666837.67000000004</v>
      </c>
      <c r="O2862" s="1597">
        <v>288362.23</v>
      </c>
      <c r="P2862" s="1597">
        <v>162203.76</v>
      </c>
      <c r="Q2862" s="1597">
        <v>216271.68</v>
      </c>
      <c r="R2862" s="1597">
        <v>378475.44</v>
      </c>
      <c r="S2862" s="1592"/>
    </row>
    <row r="2863" spans="2:19" s="1593" customFormat="1" ht="21.75" customHeight="1" outlineLevel="1">
      <c r="B2863" s="1600" t="s">
        <v>10555</v>
      </c>
      <c r="C2863" s="1595" t="s">
        <v>10532</v>
      </c>
      <c r="D2863" s="1595" t="s">
        <v>10554</v>
      </c>
      <c r="E2863" s="1595" t="s">
        <v>2288</v>
      </c>
      <c r="F2863" s="1595" t="s">
        <v>10464</v>
      </c>
      <c r="G2863" s="1595"/>
      <c r="H2863" s="1596">
        <v>1</v>
      </c>
      <c r="I2863" s="1595"/>
      <c r="J2863" s="1595"/>
      <c r="K2863" s="1597">
        <v>760719.74</v>
      </c>
      <c r="L2863" s="1597">
        <v>760719.74</v>
      </c>
      <c r="M2863" s="1598"/>
      <c r="N2863" s="1597">
        <v>760719.74</v>
      </c>
      <c r="O2863" s="1597">
        <v>328959.92</v>
      </c>
      <c r="P2863" s="1597">
        <v>185039.91</v>
      </c>
      <c r="Q2863" s="1597">
        <v>246719.91</v>
      </c>
      <c r="R2863" s="1597">
        <v>431759.82</v>
      </c>
      <c r="S2863" s="1592"/>
    </row>
    <row r="2864" spans="2:19" s="1593" customFormat="1" ht="21.75" customHeight="1" outlineLevel="1">
      <c r="B2864" s="1600" t="s">
        <v>10553</v>
      </c>
      <c r="C2864" s="1595" t="s">
        <v>10532</v>
      </c>
      <c r="D2864" s="1595" t="s">
        <v>10552</v>
      </c>
      <c r="E2864" s="1595" t="s">
        <v>2288</v>
      </c>
      <c r="F2864" s="1595" t="s">
        <v>10464</v>
      </c>
      <c r="G2864" s="1595"/>
      <c r="H2864" s="1596">
        <v>1</v>
      </c>
      <c r="I2864" s="1595"/>
      <c r="J2864" s="1595"/>
      <c r="K2864" s="1597">
        <v>518443.19</v>
      </c>
      <c r="L2864" s="1597">
        <v>518443.19</v>
      </c>
      <c r="M2864" s="1598"/>
      <c r="N2864" s="1597">
        <v>518443.19</v>
      </c>
      <c r="O2864" s="1597">
        <v>224191.61</v>
      </c>
      <c r="P2864" s="1597">
        <v>126107.82</v>
      </c>
      <c r="Q2864" s="1597">
        <v>168143.76</v>
      </c>
      <c r="R2864" s="1597">
        <v>294251.58</v>
      </c>
      <c r="S2864" s="1592"/>
    </row>
    <row r="2865" spans="2:19" s="1593" customFormat="1" ht="21.75" customHeight="1" outlineLevel="1">
      <c r="B2865" s="1600" t="s">
        <v>10551</v>
      </c>
      <c r="C2865" s="1595" t="s">
        <v>10532</v>
      </c>
      <c r="D2865" s="1595" t="s">
        <v>10550</v>
      </c>
      <c r="E2865" s="1595" t="s">
        <v>2288</v>
      </c>
      <c r="F2865" s="1595" t="s">
        <v>10464</v>
      </c>
      <c r="G2865" s="1595"/>
      <c r="H2865" s="1596">
        <v>1</v>
      </c>
      <c r="I2865" s="1595"/>
      <c r="J2865" s="1595"/>
      <c r="K2865" s="1597">
        <v>689005.69</v>
      </c>
      <c r="L2865" s="1597">
        <v>689005.69</v>
      </c>
      <c r="M2865" s="1598"/>
      <c r="N2865" s="1597">
        <v>689005.69</v>
      </c>
      <c r="O2865" s="1597">
        <v>297948.40000000002</v>
      </c>
      <c r="P2865" s="1597">
        <v>167596.01999999999</v>
      </c>
      <c r="Q2865" s="1597">
        <v>223461.27</v>
      </c>
      <c r="R2865" s="1597">
        <v>391057.29</v>
      </c>
      <c r="S2865" s="1592"/>
    </row>
    <row r="2866" spans="2:19" s="1593" customFormat="1" ht="21.75" customHeight="1" outlineLevel="1">
      <c r="B2866" s="1600" t="s">
        <v>10549</v>
      </c>
      <c r="C2866" s="1595" t="s">
        <v>10532</v>
      </c>
      <c r="D2866" s="1595" t="s">
        <v>10548</v>
      </c>
      <c r="E2866" s="1595" t="s">
        <v>2288</v>
      </c>
      <c r="F2866" s="1595" t="s">
        <v>10464</v>
      </c>
      <c r="G2866" s="1595"/>
      <c r="H2866" s="1596">
        <v>1</v>
      </c>
      <c r="I2866" s="1595"/>
      <c r="J2866" s="1595"/>
      <c r="K2866" s="1597">
        <v>599606.56000000006</v>
      </c>
      <c r="L2866" s="1597">
        <v>599606.56000000006</v>
      </c>
      <c r="M2866" s="1598"/>
      <c r="N2866" s="1597">
        <v>599606.56000000006</v>
      </c>
      <c r="O2866" s="1597">
        <v>259289.36</v>
      </c>
      <c r="P2866" s="1597">
        <v>145850.22</v>
      </c>
      <c r="Q2866" s="1597">
        <v>194466.98</v>
      </c>
      <c r="R2866" s="1597">
        <v>340317.2</v>
      </c>
      <c r="S2866" s="1592"/>
    </row>
    <row r="2867" spans="2:19" s="1593" customFormat="1" ht="21.75" customHeight="1" outlineLevel="1">
      <c r="B2867" s="1600" t="s">
        <v>10547</v>
      </c>
      <c r="C2867" s="1595" t="s">
        <v>10532</v>
      </c>
      <c r="D2867" s="1595" t="s">
        <v>10546</v>
      </c>
      <c r="E2867" s="1595" t="s">
        <v>2288</v>
      </c>
      <c r="F2867" s="1595" t="s">
        <v>10464</v>
      </c>
      <c r="G2867" s="1595"/>
      <c r="H2867" s="1596">
        <v>1</v>
      </c>
      <c r="I2867" s="1595"/>
      <c r="J2867" s="1595"/>
      <c r="K2867" s="1597">
        <v>600400.69999999995</v>
      </c>
      <c r="L2867" s="1597">
        <v>600400.69999999995</v>
      </c>
      <c r="M2867" s="1598"/>
      <c r="N2867" s="1597">
        <v>600400.69999999995</v>
      </c>
      <c r="O2867" s="1597">
        <v>259632.72</v>
      </c>
      <c r="P2867" s="1597">
        <v>146043.45000000001</v>
      </c>
      <c r="Q2867" s="1597">
        <v>194724.53</v>
      </c>
      <c r="R2867" s="1597">
        <v>340767.98</v>
      </c>
      <c r="S2867" s="1592"/>
    </row>
    <row r="2868" spans="2:19" s="1593" customFormat="1" ht="21.75" customHeight="1" outlineLevel="1">
      <c r="B2868" s="1600" t="s">
        <v>10545</v>
      </c>
      <c r="C2868" s="1595" t="s">
        <v>10532</v>
      </c>
      <c r="D2868" s="1595" t="s">
        <v>10544</v>
      </c>
      <c r="E2868" s="1595" t="s">
        <v>2288</v>
      </c>
      <c r="F2868" s="1595" t="s">
        <v>10464</v>
      </c>
      <c r="G2868" s="1595"/>
      <c r="H2868" s="1596">
        <v>1</v>
      </c>
      <c r="I2868" s="1595"/>
      <c r="J2868" s="1595"/>
      <c r="K2868" s="1597">
        <v>517840.85</v>
      </c>
      <c r="L2868" s="1597">
        <v>517840.85</v>
      </c>
      <c r="M2868" s="1598"/>
      <c r="N2868" s="1597">
        <v>517840.85</v>
      </c>
      <c r="O2868" s="1597">
        <v>223931.15</v>
      </c>
      <c r="P2868" s="1597">
        <v>125961.3</v>
      </c>
      <c r="Q2868" s="1597">
        <v>167948.4</v>
      </c>
      <c r="R2868" s="1597">
        <v>293909.7</v>
      </c>
      <c r="S2868" s="1592"/>
    </row>
    <row r="2869" spans="2:19" s="1593" customFormat="1" ht="21.75" customHeight="1" outlineLevel="1">
      <c r="B2869" s="1600" t="s">
        <v>10543</v>
      </c>
      <c r="C2869" s="1595" t="s">
        <v>10532</v>
      </c>
      <c r="D2869" s="1595" t="s">
        <v>10542</v>
      </c>
      <c r="E2869" s="1595" t="s">
        <v>2288</v>
      </c>
      <c r="F2869" s="1595" t="s">
        <v>10464</v>
      </c>
      <c r="G2869" s="1595"/>
      <c r="H2869" s="1596">
        <v>1</v>
      </c>
      <c r="I2869" s="1595"/>
      <c r="J2869" s="1595"/>
      <c r="K2869" s="1597">
        <v>639496.64</v>
      </c>
      <c r="L2869" s="1597">
        <v>639496.64</v>
      </c>
      <c r="M2869" s="1598"/>
      <c r="N2869" s="1597">
        <v>639496.64</v>
      </c>
      <c r="O2869" s="1597">
        <v>276539.12</v>
      </c>
      <c r="P2869" s="1597">
        <v>155553.21</v>
      </c>
      <c r="Q2869" s="1597">
        <v>207404.31</v>
      </c>
      <c r="R2869" s="1597">
        <v>362957.52</v>
      </c>
      <c r="S2869" s="1592"/>
    </row>
    <row r="2870" spans="2:19" s="1593" customFormat="1" ht="21.75" customHeight="1" outlineLevel="1">
      <c r="B2870" s="1600" t="s">
        <v>10541</v>
      </c>
      <c r="C2870" s="1595" t="s">
        <v>10532</v>
      </c>
      <c r="D2870" s="1595" t="s">
        <v>10540</v>
      </c>
      <c r="E2870" s="1595" t="s">
        <v>2288</v>
      </c>
      <c r="F2870" s="1595" t="s">
        <v>10464</v>
      </c>
      <c r="G2870" s="1595"/>
      <c r="H2870" s="1596">
        <v>1</v>
      </c>
      <c r="I2870" s="1595"/>
      <c r="J2870" s="1595"/>
      <c r="K2870" s="1597">
        <v>613726.67000000004</v>
      </c>
      <c r="L2870" s="1597">
        <v>613726.67000000004</v>
      </c>
      <c r="M2870" s="1598"/>
      <c r="N2870" s="1597">
        <v>613726.67000000004</v>
      </c>
      <c r="O2870" s="1597">
        <v>265395.28000000003</v>
      </c>
      <c r="P2870" s="1597">
        <v>149284.89000000001</v>
      </c>
      <c r="Q2870" s="1597">
        <v>199046.5</v>
      </c>
      <c r="R2870" s="1597">
        <v>348331.39</v>
      </c>
      <c r="S2870" s="1592"/>
    </row>
    <row r="2871" spans="2:19" s="1593" customFormat="1" ht="21.75" customHeight="1" outlineLevel="1">
      <c r="B2871" s="1600" t="s">
        <v>10539</v>
      </c>
      <c r="C2871" s="1595" t="s">
        <v>10532</v>
      </c>
      <c r="D2871" s="1595" t="s">
        <v>10538</v>
      </c>
      <c r="E2871" s="1595" t="s">
        <v>2288</v>
      </c>
      <c r="F2871" s="1595" t="s">
        <v>10464</v>
      </c>
      <c r="G2871" s="1595"/>
      <c r="H2871" s="1596">
        <v>1</v>
      </c>
      <c r="I2871" s="1595"/>
      <c r="J2871" s="1595"/>
      <c r="K2871" s="1597">
        <v>555158.92000000004</v>
      </c>
      <c r="L2871" s="1597">
        <v>555158.92000000004</v>
      </c>
      <c r="M2871" s="1598"/>
      <c r="N2871" s="1597">
        <v>555158.92000000004</v>
      </c>
      <c r="O2871" s="1597">
        <v>240068.72</v>
      </c>
      <c r="P2871" s="1597">
        <v>135038.70000000001</v>
      </c>
      <c r="Q2871" s="1597">
        <v>180051.5</v>
      </c>
      <c r="R2871" s="1597">
        <v>315090.2</v>
      </c>
      <c r="S2871" s="1592"/>
    </row>
    <row r="2872" spans="2:19" s="1593" customFormat="1" ht="21.75" customHeight="1" outlineLevel="1">
      <c r="B2872" s="1600" t="s">
        <v>10537</v>
      </c>
      <c r="C2872" s="1595" t="s">
        <v>10532</v>
      </c>
      <c r="D2872" s="1595" t="s">
        <v>10536</v>
      </c>
      <c r="E2872" s="1595" t="s">
        <v>2288</v>
      </c>
      <c r="F2872" s="1595" t="s">
        <v>10464</v>
      </c>
      <c r="G2872" s="1595"/>
      <c r="H2872" s="1596">
        <v>1</v>
      </c>
      <c r="I2872" s="1595"/>
      <c r="J2872" s="1595"/>
      <c r="K2872" s="1597">
        <v>611634.32999999996</v>
      </c>
      <c r="L2872" s="1597">
        <v>611634.32999999996</v>
      </c>
      <c r="M2872" s="1598"/>
      <c r="N2872" s="1597">
        <v>611634.32999999996</v>
      </c>
      <c r="O2872" s="1597">
        <v>264490.48</v>
      </c>
      <c r="P2872" s="1597">
        <v>148775.94</v>
      </c>
      <c r="Q2872" s="1597">
        <v>198367.91</v>
      </c>
      <c r="R2872" s="1597">
        <v>347143.85</v>
      </c>
      <c r="S2872" s="1592"/>
    </row>
    <row r="2873" spans="2:19" s="1593" customFormat="1" ht="21.75" customHeight="1" outlineLevel="1">
      <c r="B2873" s="1600" t="s">
        <v>10535</v>
      </c>
      <c r="C2873" s="1595" t="s">
        <v>10532</v>
      </c>
      <c r="D2873" s="1595" t="s">
        <v>10534</v>
      </c>
      <c r="E2873" s="1595" t="s">
        <v>2288</v>
      </c>
      <c r="F2873" s="1595" t="s">
        <v>10464</v>
      </c>
      <c r="G2873" s="1595"/>
      <c r="H2873" s="1596">
        <v>1</v>
      </c>
      <c r="I2873" s="1595"/>
      <c r="J2873" s="1595"/>
      <c r="K2873" s="1597">
        <v>572221.32999999996</v>
      </c>
      <c r="L2873" s="1597">
        <v>572221.32999999996</v>
      </c>
      <c r="M2873" s="1598"/>
      <c r="N2873" s="1597">
        <v>572221.32999999996</v>
      </c>
      <c r="O2873" s="1597">
        <v>247447.09</v>
      </c>
      <c r="P2873" s="1597">
        <v>139188.96</v>
      </c>
      <c r="Q2873" s="1597">
        <v>185585.28</v>
      </c>
      <c r="R2873" s="1597">
        <v>324774.24</v>
      </c>
      <c r="S2873" s="1592"/>
    </row>
    <row r="2874" spans="2:19" s="1593" customFormat="1" ht="21.75" customHeight="1" outlineLevel="1">
      <c r="B2874" s="1600" t="s">
        <v>10533</v>
      </c>
      <c r="C2874" s="1595" t="s">
        <v>10532</v>
      </c>
      <c r="D2874" s="1595" t="s">
        <v>10531</v>
      </c>
      <c r="E2874" s="1595" t="s">
        <v>2288</v>
      </c>
      <c r="F2874" s="1595" t="s">
        <v>10464</v>
      </c>
      <c r="G2874" s="1595"/>
      <c r="H2874" s="1596">
        <v>1</v>
      </c>
      <c r="I2874" s="1595"/>
      <c r="J2874" s="1595"/>
      <c r="K2874" s="1597">
        <v>589595.01</v>
      </c>
      <c r="L2874" s="1597">
        <v>589595.01</v>
      </c>
      <c r="M2874" s="1598"/>
      <c r="N2874" s="1597">
        <v>589595.01</v>
      </c>
      <c r="O2874" s="1597">
        <v>254960.01</v>
      </c>
      <c r="P2874" s="1597">
        <v>143415</v>
      </c>
      <c r="Q2874" s="1597">
        <v>191220</v>
      </c>
      <c r="R2874" s="1597">
        <v>334635</v>
      </c>
      <c r="S2874" s="1592"/>
    </row>
    <row r="2875" spans="2:19" s="1593" customFormat="1" ht="11.25" customHeight="1" outlineLevel="1">
      <c r="B2875" s="1600" t="s">
        <v>10530</v>
      </c>
      <c r="C2875" s="1595" t="s">
        <v>3165</v>
      </c>
      <c r="D2875" s="1595" t="s">
        <v>10529</v>
      </c>
      <c r="E2875" s="1595"/>
      <c r="F2875" s="1595"/>
      <c r="G2875" s="1595"/>
      <c r="H2875" s="1595"/>
      <c r="I2875" s="1595"/>
      <c r="J2875" s="1595"/>
      <c r="K2875" s="1597">
        <v>358067.33</v>
      </c>
      <c r="L2875" s="1597">
        <v>358067.33</v>
      </c>
      <c r="M2875" s="1598"/>
      <c r="N2875" s="1597">
        <v>358067.33</v>
      </c>
      <c r="O2875" s="1597">
        <v>164517.41</v>
      </c>
      <c r="P2875" s="1597">
        <v>77420</v>
      </c>
      <c r="Q2875" s="1597">
        <v>116129.92</v>
      </c>
      <c r="R2875" s="1597">
        <v>193549.92</v>
      </c>
      <c r="S2875" s="1592"/>
    </row>
    <row r="2876" spans="2:19" s="1593" customFormat="1" ht="11.25" customHeight="1" outlineLevel="1">
      <c r="B2876" s="1600" t="s">
        <v>10528</v>
      </c>
      <c r="C2876" s="1595" t="s">
        <v>3165</v>
      </c>
      <c r="D2876" s="1595" t="s">
        <v>10527</v>
      </c>
      <c r="E2876" s="1595"/>
      <c r="F2876" s="1595"/>
      <c r="G2876" s="1595"/>
      <c r="H2876" s="1595"/>
      <c r="I2876" s="1595"/>
      <c r="J2876" s="1595"/>
      <c r="K2876" s="1597">
        <v>642669.78</v>
      </c>
      <c r="L2876" s="1597">
        <v>642669.78</v>
      </c>
      <c r="M2876" s="1598"/>
      <c r="N2876" s="1597">
        <v>642669.78</v>
      </c>
      <c r="O2876" s="1597">
        <v>295280.73</v>
      </c>
      <c r="P2876" s="1597">
        <v>138955.6</v>
      </c>
      <c r="Q2876" s="1597">
        <v>208433.45</v>
      </c>
      <c r="R2876" s="1597">
        <v>347389.05</v>
      </c>
      <c r="S2876" s="1592"/>
    </row>
    <row r="2877" spans="2:19" s="1593" customFormat="1" ht="11.25" customHeight="1" outlineLevel="1">
      <c r="B2877" s="1600" t="s">
        <v>10526</v>
      </c>
      <c r="C2877" s="1595" t="s">
        <v>3165</v>
      </c>
      <c r="D2877" s="1595" t="s">
        <v>10525</v>
      </c>
      <c r="E2877" s="1595"/>
      <c r="F2877" s="1595"/>
      <c r="G2877" s="1595"/>
      <c r="H2877" s="1595"/>
      <c r="I2877" s="1595"/>
      <c r="J2877" s="1595"/>
      <c r="K2877" s="1597">
        <v>399190.88</v>
      </c>
      <c r="L2877" s="1597">
        <v>399190.88</v>
      </c>
      <c r="M2877" s="1598"/>
      <c r="N2877" s="1597">
        <v>399190.88</v>
      </c>
      <c r="O2877" s="1597">
        <v>183412.06</v>
      </c>
      <c r="P2877" s="1597">
        <v>86311.52</v>
      </c>
      <c r="Q2877" s="1597">
        <v>129467.3</v>
      </c>
      <c r="R2877" s="1597">
        <v>215778.82</v>
      </c>
      <c r="S2877" s="1592"/>
    </row>
    <row r="2878" spans="2:19" s="1593" customFormat="1" ht="21.75" customHeight="1" outlineLevel="1">
      <c r="B2878" s="1600" t="s">
        <v>10524</v>
      </c>
      <c r="C2878" s="1595" t="s">
        <v>3165</v>
      </c>
      <c r="D2878" s="1595" t="s">
        <v>10523</v>
      </c>
      <c r="E2878" s="1595"/>
      <c r="F2878" s="1595"/>
      <c r="G2878" s="1595"/>
      <c r="H2878" s="1595"/>
      <c r="I2878" s="1595"/>
      <c r="J2878" s="1595"/>
      <c r="K2878" s="1597">
        <v>537973.91</v>
      </c>
      <c r="L2878" s="1597">
        <v>537973.91</v>
      </c>
      <c r="M2878" s="1598"/>
      <c r="N2878" s="1597">
        <v>537973.91</v>
      </c>
      <c r="O2878" s="1597">
        <v>247177.19</v>
      </c>
      <c r="P2878" s="1597">
        <v>116318.72</v>
      </c>
      <c r="Q2878" s="1597">
        <v>174478</v>
      </c>
      <c r="R2878" s="1597">
        <v>290796.71999999997</v>
      </c>
      <c r="S2878" s="1592"/>
    </row>
    <row r="2879" spans="2:19" s="1593" customFormat="1" ht="11.25" customHeight="1" outlineLevel="1">
      <c r="B2879" s="1600" t="s">
        <v>10522</v>
      </c>
      <c r="C2879" s="1595" t="s">
        <v>3165</v>
      </c>
      <c r="D2879" s="1595" t="s">
        <v>10521</v>
      </c>
      <c r="E2879" s="1595"/>
      <c r="F2879" s="1595"/>
      <c r="G2879" s="1595"/>
      <c r="H2879" s="1595"/>
      <c r="I2879" s="1595"/>
      <c r="J2879" s="1595"/>
      <c r="K2879" s="1597">
        <v>399190.88</v>
      </c>
      <c r="L2879" s="1597">
        <v>399190.88</v>
      </c>
      <c r="M2879" s="1598"/>
      <c r="N2879" s="1597">
        <v>399190.88</v>
      </c>
      <c r="O2879" s="1597">
        <v>183412.06</v>
      </c>
      <c r="P2879" s="1597">
        <v>86311.52</v>
      </c>
      <c r="Q2879" s="1597">
        <v>129467.3</v>
      </c>
      <c r="R2879" s="1597">
        <v>215778.82</v>
      </c>
      <c r="S2879" s="1592"/>
    </row>
    <row r="2880" spans="2:19" s="1593" customFormat="1" ht="21.75" customHeight="1" outlineLevel="1">
      <c r="B2880" s="1600" t="s">
        <v>10520</v>
      </c>
      <c r="C2880" s="1595" t="s">
        <v>3165</v>
      </c>
      <c r="D2880" s="1595" t="s">
        <v>10519</v>
      </c>
      <c r="E2880" s="1595"/>
      <c r="F2880" s="1595"/>
      <c r="G2880" s="1595"/>
      <c r="H2880" s="1595"/>
      <c r="I2880" s="1595"/>
      <c r="J2880" s="1595"/>
      <c r="K2880" s="1597">
        <v>537691.72</v>
      </c>
      <c r="L2880" s="1597">
        <v>537691.72</v>
      </c>
      <c r="M2880" s="1598"/>
      <c r="N2880" s="1597">
        <v>537691.72</v>
      </c>
      <c r="O2880" s="1597">
        <v>247047.52</v>
      </c>
      <c r="P2880" s="1597">
        <v>116257.68</v>
      </c>
      <c r="Q2880" s="1597">
        <v>174386.52</v>
      </c>
      <c r="R2880" s="1597">
        <v>290644.2</v>
      </c>
      <c r="S2880" s="1592"/>
    </row>
    <row r="2881" spans="2:19" s="1593" customFormat="1" ht="11.25" customHeight="1" outlineLevel="1">
      <c r="B2881" s="1600" t="s">
        <v>10518</v>
      </c>
      <c r="C2881" s="1595" t="s">
        <v>3165</v>
      </c>
      <c r="D2881" s="1595" t="s">
        <v>10517</v>
      </c>
      <c r="E2881" s="1595"/>
      <c r="F2881" s="1595"/>
      <c r="G2881" s="1595"/>
      <c r="H2881" s="1595"/>
      <c r="I2881" s="1595"/>
      <c r="J2881" s="1595"/>
      <c r="K2881" s="1597">
        <v>399190.88</v>
      </c>
      <c r="L2881" s="1597">
        <v>399190.88</v>
      </c>
      <c r="M2881" s="1598"/>
      <c r="N2881" s="1597">
        <v>399190.88</v>
      </c>
      <c r="O2881" s="1597">
        <v>183412.06</v>
      </c>
      <c r="P2881" s="1597">
        <v>86311.52</v>
      </c>
      <c r="Q2881" s="1597">
        <v>129467.3</v>
      </c>
      <c r="R2881" s="1597">
        <v>215778.82</v>
      </c>
      <c r="S2881" s="1592"/>
    </row>
    <row r="2882" spans="2:19" s="1593" customFormat="1" ht="21.75" customHeight="1" outlineLevel="1">
      <c r="B2882" s="1600" t="s">
        <v>10516</v>
      </c>
      <c r="C2882" s="1595" t="s">
        <v>3165</v>
      </c>
      <c r="D2882" s="1595" t="s">
        <v>10515</v>
      </c>
      <c r="E2882" s="1595"/>
      <c r="F2882" s="1595"/>
      <c r="G2882" s="1595"/>
      <c r="H2882" s="1595"/>
      <c r="I2882" s="1595"/>
      <c r="J2882" s="1595"/>
      <c r="K2882" s="1597">
        <v>494750.89</v>
      </c>
      <c r="L2882" s="1597">
        <v>494750.89</v>
      </c>
      <c r="M2882" s="1598"/>
      <c r="N2882" s="1597">
        <v>494750.89</v>
      </c>
      <c r="O2882" s="1597">
        <v>227317.96</v>
      </c>
      <c r="P2882" s="1597">
        <v>106973.2</v>
      </c>
      <c r="Q2882" s="1597">
        <v>160459.73000000001</v>
      </c>
      <c r="R2882" s="1597">
        <v>267432.93</v>
      </c>
      <c r="S2882" s="1592"/>
    </row>
    <row r="2883" spans="2:19" s="1593" customFormat="1" ht="11.25" customHeight="1" outlineLevel="1">
      <c r="B2883" s="1600" t="s">
        <v>10514</v>
      </c>
      <c r="C2883" s="1595" t="s">
        <v>3165</v>
      </c>
      <c r="D2883" s="1595" t="s">
        <v>10513</v>
      </c>
      <c r="E2883" s="1595"/>
      <c r="F2883" s="1595"/>
      <c r="G2883" s="1595"/>
      <c r="H2883" s="1595"/>
      <c r="I2883" s="1595"/>
      <c r="J2883" s="1595"/>
      <c r="K2883" s="1597">
        <v>399190.88</v>
      </c>
      <c r="L2883" s="1597">
        <v>399190.88</v>
      </c>
      <c r="M2883" s="1598"/>
      <c r="N2883" s="1597">
        <v>399190.88</v>
      </c>
      <c r="O2883" s="1597">
        <v>183412.06</v>
      </c>
      <c r="P2883" s="1597">
        <v>86311.52</v>
      </c>
      <c r="Q2883" s="1597">
        <v>129467.3</v>
      </c>
      <c r="R2883" s="1597">
        <v>215778.82</v>
      </c>
      <c r="S2883" s="1592"/>
    </row>
    <row r="2884" spans="2:19" s="1593" customFormat="1" ht="21.75" customHeight="1" outlineLevel="1">
      <c r="B2884" s="1600" t="s">
        <v>10512</v>
      </c>
      <c r="C2884" s="1595" t="s">
        <v>3165</v>
      </c>
      <c r="D2884" s="1595" t="s">
        <v>10511</v>
      </c>
      <c r="E2884" s="1595"/>
      <c r="F2884" s="1595"/>
      <c r="G2884" s="1595"/>
      <c r="H2884" s="1595"/>
      <c r="I2884" s="1595"/>
      <c r="J2884" s="1595"/>
      <c r="K2884" s="1597">
        <v>505361.72</v>
      </c>
      <c r="L2884" s="1597">
        <v>505361.72</v>
      </c>
      <c r="M2884" s="1598"/>
      <c r="N2884" s="1597">
        <v>505361.72</v>
      </c>
      <c r="O2884" s="1597">
        <v>232193.22</v>
      </c>
      <c r="P2884" s="1597">
        <v>109267.36</v>
      </c>
      <c r="Q2884" s="1597">
        <v>163901.14000000001</v>
      </c>
      <c r="R2884" s="1597">
        <v>273168.5</v>
      </c>
      <c r="S2884" s="1592"/>
    </row>
    <row r="2885" spans="2:19" s="1593" customFormat="1" ht="11.25" customHeight="1" outlineLevel="1">
      <c r="B2885" s="1600" t="s">
        <v>10510</v>
      </c>
      <c r="C2885" s="1595" t="s">
        <v>3165</v>
      </c>
      <c r="D2885" s="1595" t="s">
        <v>10509</v>
      </c>
      <c r="E2885" s="1595"/>
      <c r="F2885" s="1595"/>
      <c r="G2885" s="1595"/>
      <c r="H2885" s="1595"/>
      <c r="I2885" s="1595"/>
      <c r="J2885" s="1595"/>
      <c r="K2885" s="1597">
        <v>399190.88</v>
      </c>
      <c r="L2885" s="1597">
        <v>399190.88</v>
      </c>
      <c r="M2885" s="1598"/>
      <c r="N2885" s="1597">
        <v>399190.88</v>
      </c>
      <c r="O2885" s="1597">
        <v>183412.06</v>
      </c>
      <c r="P2885" s="1597">
        <v>86311.52</v>
      </c>
      <c r="Q2885" s="1597">
        <v>129467.3</v>
      </c>
      <c r="R2885" s="1597">
        <v>215778.82</v>
      </c>
      <c r="S2885" s="1592"/>
    </row>
    <row r="2886" spans="2:19" s="1593" customFormat="1" ht="21.75" customHeight="1" outlineLevel="1">
      <c r="B2886" s="1600" t="s">
        <v>10508</v>
      </c>
      <c r="C2886" s="1595" t="s">
        <v>3165</v>
      </c>
      <c r="D2886" s="1595" t="s">
        <v>10507</v>
      </c>
      <c r="E2886" s="1595"/>
      <c r="F2886" s="1595"/>
      <c r="G2886" s="1595"/>
      <c r="H2886" s="1595"/>
      <c r="I2886" s="1595"/>
      <c r="J2886" s="1595"/>
      <c r="K2886" s="1597">
        <v>505361.72</v>
      </c>
      <c r="L2886" s="1597">
        <v>505361.72</v>
      </c>
      <c r="M2886" s="1598"/>
      <c r="N2886" s="1597">
        <v>505361.72</v>
      </c>
      <c r="O2886" s="1597">
        <v>232193.22</v>
      </c>
      <c r="P2886" s="1597">
        <v>109267.36</v>
      </c>
      <c r="Q2886" s="1597">
        <v>163901.14000000001</v>
      </c>
      <c r="R2886" s="1597">
        <v>273168.5</v>
      </c>
      <c r="S2886" s="1592"/>
    </row>
    <row r="2887" spans="2:19" s="1593" customFormat="1" ht="11.25" customHeight="1" outlineLevel="1">
      <c r="B2887" s="1600" t="s">
        <v>10506</v>
      </c>
      <c r="C2887" s="1595" t="s">
        <v>3165</v>
      </c>
      <c r="D2887" s="1595" t="s">
        <v>10505</v>
      </c>
      <c r="E2887" s="1595"/>
      <c r="F2887" s="1595"/>
      <c r="G2887" s="1595"/>
      <c r="H2887" s="1595"/>
      <c r="I2887" s="1595"/>
      <c r="J2887" s="1595"/>
      <c r="K2887" s="1597">
        <v>279203.84999999998</v>
      </c>
      <c r="L2887" s="1597">
        <v>279203.84999999998</v>
      </c>
      <c r="M2887" s="1598"/>
      <c r="N2887" s="1597">
        <v>279203.84999999998</v>
      </c>
      <c r="O2887" s="1597">
        <v>128282.85</v>
      </c>
      <c r="P2887" s="1597">
        <v>60368.4</v>
      </c>
      <c r="Q2887" s="1597">
        <v>90552.6</v>
      </c>
      <c r="R2887" s="1597">
        <v>150921</v>
      </c>
      <c r="S2887" s="1592"/>
    </row>
    <row r="2888" spans="2:19" s="1593" customFormat="1" ht="11.25" customHeight="1" outlineLevel="1">
      <c r="B2888" s="1600" t="s">
        <v>10504</v>
      </c>
      <c r="C2888" s="1595" t="s">
        <v>3165</v>
      </c>
      <c r="D2888" s="1595" t="s">
        <v>10503</v>
      </c>
      <c r="E2888" s="1595"/>
      <c r="F2888" s="1595"/>
      <c r="G2888" s="1595"/>
      <c r="H2888" s="1595"/>
      <c r="I2888" s="1595"/>
      <c r="J2888" s="1595"/>
      <c r="K2888" s="1597">
        <v>277761.42</v>
      </c>
      <c r="L2888" s="1597">
        <v>277761.42</v>
      </c>
      <c r="M2888" s="1598"/>
      <c r="N2888" s="1597">
        <v>277761.42</v>
      </c>
      <c r="O2888" s="1597">
        <v>127620.1</v>
      </c>
      <c r="P2888" s="1597">
        <v>60056.56</v>
      </c>
      <c r="Q2888" s="1597">
        <v>90084.76</v>
      </c>
      <c r="R2888" s="1597">
        <v>150141.32</v>
      </c>
      <c r="S2888" s="1592"/>
    </row>
    <row r="2889" spans="2:19" s="1593" customFormat="1" ht="11.25" customHeight="1" outlineLevel="1">
      <c r="B2889" s="1600" t="s">
        <v>10502</v>
      </c>
      <c r="C2889" s="1595" t="s">
        <v>3165</v>
      </c>
      <c r="D2889" s="1595" t="s">
        <v>10501</v>
      </c>
      <c r="E2889" s="1595"/>
      <c r="F2889" s="1595"/>
      <c r="G2889" s="1595"/>
      <c r="H2889" s="1595"/>
      <c r="I2889" s="1595"/>
      <c r="J2889" s="1595"/>
      <c r="K2889" s="1597">
        <v>277761.42</v>
      </c>
      <c r="L2889" s="1597">
        <v>277761.42</v>
      </c>
      <c r="M2889" s="1598"/>
      <c r="N2889" s="1597">
        <v>277761.42</v>
      </c>
      <c r="O2889" s="1597">
        <v>127620.1</v>
      </c>
      <c r="P2889" s="1597">
        <v>60056.56</v>
      </c>
      <c r="Q2889" s="1597">
        <v>90084.76</v>
      </c>
      <c r="R2889" s="1597">
        <v>150141.32</v>
      </c>
      <c r="S2889" s="1592"/>
    </row>
    <row r="2890" spans="2:19" s="1593" customFormat="1" ht="11.25" customHeight="1" outlineLevel="1">
      <c r="B2890" s="1600" t="s">
        <v>10500</v>
      </c>
      <c r="C2890" s="1595" t="s">
        <v>3165</v>
      </c>
      <c r="D2890" s="1595" t="s">
        <v>10499</v>
      </c>
      <c r="E2890" s="1595"/>
      <c r="F2890" s="1595"/>
      <c r="G2890" s="1595"/>
      <c r="H2890" s="1595"/>
      <c r="I2890" s="1595"/>
      <c r="J2890" s="1595"/>
      <c r="K2890" s="1597">
        <v>277761.42</v>
      </c>
      <c r="L2890" s="1597">
        <v>277761.42</v>
      </c>
      <c r="M2890" s="1598"/>
      <c r="N2890" s="1597">
        <v>277761.42</v>
      </c>
      <c r="O2890" s="1597">
        <v>127620.1</v>
      </c>
      <c r="P2890" s="1597">
        <v>60056.56</v>
      </c>
      <c r="Q2890" s="1597">
        <v>90084.76</v>
      </c>
      <c r="R2890" s="1597">
        <v>150141.32</v>
      </c>
      <c r="S2890" s="1592"/>
    </row>
    <row r="2891" spans="2:19" s="1593" customFormat="1" ht="11.25" customHeight="1" outlineLevel="1">
      <c r="B2891" s="1600" t="s">
        <v>10498</v>
      </c>
      <c r="C2891" s="1595" t="s">
        <v>3165</v>
      </c>
      <c r="D2891" s="1595" t="s">
        <v>10497</v>
      </c>
      <c r="E2891" s="1595"/>
      <c r="F2891" s="1595"/>
      <c r="G2891" s="1595"/>
      <c r="H2891" s="1595"/>
      <c r="I2891" s="1595"/>
      <c r="J2891" s="1595"/>
      <c r="K2891" s="1597">
        <v>277761.42</v>
      </c>
      <c r="L2891" s="1597">
        <v>277761.42</v>
      </c>
      <c r="M2891" s="1598"/>
      <c r="N2891" s="1597">
        <v>277761.42</v>
      </c>
      <c r="O2891" s="1597">
        <v>127620.1</v>
      </c>
      <c r="P2891" s="1597">
        <v>60056.56</v>
      </c>
      <c r="Q2891" s="1597">
        <v>90084.76</v>
      </c>
      <c r="R2891" s="1597">
        <v>150141.32</v>
      </c>
      <c r="S2891" s="1592"/>
    </row>
    <row r="2892" spans="2:19" s="1593" customFormat="1" ht="11.25" customHeight="1" outlineLevel="1">
      <c r="B2892" s="1600" t="s">
        <v>10496</v>
      </c>
      <c r="C2892" s="1595" t="s">
        <v>3165</v>
      </c>
      <c r="D2892" s="1595" t="s">
        <v>10495</v>
      </c>
      <c r="E2892" s="1595"/>
      <c r="F2892" s="1595"/>
      <c r="G2892" s="1595"/>
      <c r="H2892" s="1595"/>
      <c r="I2892" s="1595"/>
      <c r="J2892" s="1595"/>
      <c r="K2892" s="1597">
        <v>277761.42</v>
      </c>
      <c r="L2892" s="1597">
        <v>277761.42</v>
      </c>
      <c r="M2892" s="1598"/>
      <c r="N2892" s="1597">
        <v>277761.42</v>
      </c>
      <c r="O2892" s="1597">
        <v>127620.1</v>
      </c>
      <c r="P2892" s="1597">
        <v>60056.56</v>
      </c>
      <c r="Q2892" s="1597">
        <v>90084.76</v>
      </c>
      <c r="R2892" s="1597">
        <v>150141.32</v>
      </c>
      <c r="S2892" s="1592"/>
    </row>
    <row r="2893" spans="2:19" s="1593" customFormat="1" ht="11.25" customHeight="1" outlineLevel="1">
      <c r="B2893" s="1600" t="s">
        <v>10494</v>
      </c>
      <c r="C2893" s="1595" t="s">
        <v>3165</v>
      </c>
      <c r="D2893" s="1595" t="s">
        <v>10493</v>
      </c>
      <c r="E2893" s="1595"/>
      <c r="F2893" s="1595"/>
      <c r="G2893" s="1595"/>
      <c r="H2893" s="1595"/>
      <c r="I2893" s="1595"/>
      <c r="J2893" s="1595"/>
      <c r="K2893" s="1597">
        <v>253777.55</v>
      </c>
      <c r="L2893" s="1597">
        <v>253777.55</v>
      </c>
      <c r="M2893" s="1598"/>
      <c r="N2893" s="1597">
        <v>253777.55</v>
      </c>
      <c r="O2893" s="1597">
        <v>116600.53</v>
      </c>
      <c r="P2893" s="1597">
        <v>54870.8</v>
      </c>
      <c r="Q2893" s="1597">
        <v>82306.22</v>
      </c>
      <c r="R2893" s="1597">
        <v>137177.01999999999</v>
      </c>
      <c r="S2893" s="1592"/>
    </row>
    <row r="2894" spans="2:19" s="1593" customFormat="1" ht="11.25" customHeight="1" outlineLevel="1">
      <c r="B2894" s="1600" t="s">
        <v>10492</v>
      </c>
      <c r="C2894" s="1595" t="s">
        <v>3165</v>
      </c>
      <c r="D2894" s="1595" t="s">
        <v>10491</v>
      </c>
      <c r="E2894" s="1595"/>
      <c r="F2894" s="1595"/>
      <c r="G2894" s="1595"/>
      <c r="H2894" s="1595"/>
      <c r="I2894" s="1595"/>
      <c r="J2894" s="1595"/>
      <c r="K2894" s="1597">
        <v>518385.87</v>
      </c>
      <c r="L2894" s="1597">
        <v>518385.87</v>
      </c>
      <c r="M2894" s="1598"/>
      <c r="N2894" s="1597">
        <v>518385.87</v>
      </c>
      <c r="O2894" s="1597">
        <v>238177.27</v>
      </c>
      <c r="P2894" s="1597">
        <v>112083.44</v>
      </c>
      <c r="Q2894" s="1597">
        <v>168125.16</v>
      </c>
      <c r="R2894" s="1597">
        <v>280208.59999999998</v>
      </c>
      <c r="S2894" s="1592"/>
    </row>
    <row r="2895" spans="2:19" s="1593" customFormat="1" ht="11.25" customHeight="1" outlineLevel="1">
      <c r="B2895" s="1600" t="s">
        <v>10490</v>
      </c>
      <c r="C2895" s="1595" t="s">
        <v>3165</v>
      </c>
      <c r="D2895" s="1595" t="s">
        <v>10489</v>
      </c>
      <c r="E2895" s="1595"/>
      <c r="F2895" s="1595"/>
      <c r="G2895" s="1595"/>
      <c r="H2895" s="1595"/>
      <c r="I2895" s="1595"/>
      <c r="J2895" s="1595"/>
      <c r="K2895" s="1597">
        <v>805032.1</v>
      </c>
      <c r="L2895" s="1597">
        <v>805032.1</v>
      </c>
      <c r="M2895" s="1598"/>
      <c r="N2895" s="1597">
        <v>805032.1</v>
      </c>
      <c r="O2895" s="1597">
        <v>369879.62</v>
      </c>
      <c r="P2895" s="1597">
        <v>174060.96</v>
      </c>
      <c r="Q2895" s="1597">
        <v>261091.52</v>
      </c>
      <c r="R2895" s="1597">
        <v>435152.48</v>
      </c>
      <c r="S2895" s="1592"/>
    </row>
    <row r="2896" spans="2:19" s="1593" customFormat="1" ht="21.75" customHeight="1" outlineLevel="1">
      <c r="B2896" s="1600" t="s">
        <v>10488</v>
      </c>
      <c r="C2896" s="1595" t="s">
        <v>3165</v>
      </c>
      <c r="D2896" s="1595" t="s">
        <v>10487</v>
      </c>
      <c r="E2896" s="1595"/>
      <c r="F2896" s="1595"/>
      <c r="G2896" s="1595"/>
      <c r="H2896" s="1595"/>
      <c r="I2896" s="1595"/>
      <c r="J2896" s="1595"/>
      <c r="K2896" s="1597">
        <v>613142.81999999995</v>
      </c>
      <c r="L2896" s="1597">
        <v>613142.81999999995</v>
      </c>
      <c r="M2896" s="1598"/>
      <c r="N2896" s="1597">
        <v>613142.81999999995</v>
      </c>
      <c r="O2896" s="1597">
        <v>281714.21999999997</v>
      </c>
      <c r="P2896" s="1597">
        <v>132571.44</v>
      </c>
      <c r="Q2896" s="1597">
        <v>198857.16</v>
      </c>
      <c r="R2896" s="1597">
        <v>331428.59999999998</v>
      </c>
      <c r="S2896" s="1592"/>
    </row>
    <row r="2897" spans="2:19" s="1593" customFormat="1" ht="21.75" customHeight="1" outlineLevel="1">
      <c r="B2897" s="1600" t="s">
        <v>10486</v>
      </c>
      <c r="C2897" s="1595" t="s">
        <v>10485</v>
      </c>
      <c r="D2897" s="1595" t="s">
        <v>10484</v>
      </c>
      <c r="E2897" s="1595"/>
      <c r="F2897" s="1595"/>
      <c r="G2897" s="1595"/>
      <c r="H2897" s="1595"/>
      <c r="I2897" s="1595"/>
      <c r="J2897" s="1595"/>
      <c r="K2897" s="1597">
        <v>595354.39</v>
      </c>
      <c r="L2897" s="1597">
        <v>595354.39</v>
      </c>
      <c r="M2897" s="1598"/>
      <c r="N2897" s="1597">
        <v>595354.39</v>
      </c>
      <c r="O2897" s="1597">
        <v>289631.84999999998</v>
      </c>
      <c r="P2897" s="1597">
        <v>112634.62</v>
      </c>
      <c r="Q2897" s="1597">
        <v>193087.92</v>
      </c>
      <c r="R2897" s="1597">
        <v>305722.53999999998</v>
      </c>
      <c r="S2897" s="1592"/>
    </row>
    <row r="2898" spans="2:19" s="1593" customFormat="1" ht="21.75" customHeight="1" outlineLevel="1">
      <c r="B2898" s="1600" t="s">
        <v>10483</v>
      </c>
      <c r="C2898" s="1595" t="s">
        <v>10480</v>
      </c>
      <c r="D2898" s="1595" t="s">
        <v>10482</v>
      </c>
      <c r="E2898" s="1595" t="s">
        <v>2288</v>
      </c>
      <c r="F2898" s="1595" t="s">
        <v>10478</v>
      </c>
      <c r="G2898" s="1595"/>
      <c r="H2898" s="1595"/>
      <c r="I2898" s="1595"/>
      <c r="J2898" s="1595"/>
      <c r="K2898" s="1597">
        <v>287300</v>
      </c>
      <c r="L2898" s="1597">
        <v>287300</v>
      </c>
      <c r="M2898" s="1598"/>
      <c r="N2898" s="1597">
        <v>287300</v>
      </c>
      <c r="O2898" s="1597">
        <v>257141.49</v>
      </c>
      <c r="P2898" s="1597">
        <v>11111.03</v>
      </c>
      <c r="Q2898" s="1597">
        <v>19047.48</v>
      </c>
      <c r="R2898" s="1597">
        <v>30158.51</v>
      </c>
      <c r="S2898" s="1592"/>
    </row>
    <row r="2899" spans="2:19" s="1593" customFormat="1" ht="21.75" customHeight="1" outlineLevel="1">
      <c r="B2899" s="1600" t="s">
        <v>10481</v>
      </c>
      <c r="C2899" s="1595" t="s">
        <v>10480</v>
      </c>
      <c r="D2899" s="1595" t="s">
        <v>10479</v>
      </c>
      <c r="E2899" s="1595" t="s">
        <v>2288</v>
      </c>
      <c r="F2899" s="1595" t="s">
        <v>10478</v>
      </c>
      <c r="G2899" s="1595"/>
      <c r="H2899" s="1595"/>
      <c r="I2899" s="1595"/>
      <c r="J2899" s="1595"/>
      <c r="K2899" s="1597">
        <v>287300</v>
      </c>
      <c r="L2899" s="1597">
        <v>287300</v>
      </c>
      <c r="M2899" s="1598"/>
      <c r="N2899" s="1597">
        <v>287300</v>
      </c>
      <c r="O2899" s="1597">
        <v>257141.49</v>
      </c>
      <c r="P2899" s="1597">
        <v>11111.03</v>
      </c>
      <c r="Q2899" s="1597">
        <v>19047.48</v>
      </c>
      <c r="R2899" s="1597">
        <v>30158.51</v>
      </c>
      <c r="S2899" s="1592"/>
    </row>
    <row r="2900" spans="2:19" s="1593" customFormat="1" ht="11.25" customHeight="1" outlineLevel="1">
      <c r="B2900" s="1600" t="s">
        <v>10477</v>
      </c>
      <c r="C2900" s="1595" t="s">
        <v>3152</v>
      </c>
      <c r="D2900" s="1595" t="s">
        <v>10476</v>
      </c>
      <c r="E2900" s="1595" t="s">
        <v>2288</v>
      </c>
      <c r="F2900" s="1595" t="s">
        <v>10475</v>
      </c>
      <c r="G2900" s="1595"/>
      <c r="H2900" s="1596">
        <v>1</v>
      </c>
      <c r="I2900" s="1595"/>
      <c r="J2900" s="1595"/>
      <c r="K2900" s="1597">
        <v>95833.33</v>
      </c>
      <c r="L2900" s="1597">
        <v>95833.33</v>
      </c>
      <c r="M2900" s="1597">
        <v>-95833.33</v>
      </c>
      <c r="N2900" s="1598"/>
      <c r="O2900" s="1598"/>
      <c r="P2900" s="1597">
        <v>4752.0600000000004</v>
      </c>
      <c r="Q2900" s="1597">
        <v>-4752.0600000000004</v>
      </c>
      <c r="R2900" s="1598"/>
      <c r="S2900" s="1592"/>
    </row>
    <row r="2901" spans="2:19" s="1593" customFormat="1" ht="21.75" customHeight="1" outlineLevel="1">
      <c r="B2901" s="1600" t="s">
        <v>10474</v>
      </c>
      <c r="C2901" s="1595" t="s">
        <v>10466</v>
      </c>
      <c r="D2901" s="1595" t="s">
        <v>10473</v>
      </c>
      <c r="E2901" s="1595" t="s">
        <v>2288</v>
      </c>
      <c r="F2901" s="1595" t="s">
        <v>10472</v>
      </c>
      <c r="G2901" s="1595"/>
      <c r="H2901" s="1595"/>
      <c r="I2901" s="1595"/>
      <c r="J2901" s="1595"/>
      <c r="K2901" s="1597">
        <v>297015.83</v>
      </c>
      <c r="L2901" s="1597">
        <v>297015.83</v>
      </c>
      <c r="M2901" s="1598"/>
      <c r="N2901" s="1597">
        <v>297015.83</v>
      </c>
      <c r="O2901" s="1597">
        <v>214240.96</v>
      </c>
      <c r="P2901" s="1597">
        <v>24345.55</v>
      </c>
      <c r="Q2901" s="1597">
        <v>58429.32</v>
      </c>
      <c r="R2901" s="1597">
        <v>82774.87</v>
      </c>
      <c r="S2901" s="1592"/>
    </row>
    <row r="2902" spans="2:19" s="1593" customFormat="1" ht="21.75" customHeight="1" outlineLevel="1">
      <c r="B2902" s="1600" t="s">
        <v>10471</v>
      </c>
      <c r="C2902" s="1595" t="s">
        <v>10466</v>
      </c>
      <c r="D2902" s="1595" t="s">
        <v>10470</v>
      </c>
      <c r="E2902" s="1595"/>
      <c r="F2902" s="1595" t="s">
        <v>10464</v>
      </c>
      <c r="G2902" s="1595"/>
      <c r="H2902" s="1596">
        <v>1</v>
      </c>
      <c r="I2902" s="1595"/>
      <c r="J2902" s="1595"/>
      <c r="K2902" s="1597">
        <v>573299.57999999996</v>
      </c>
      <c r="L2902" s="1597">
        <v>573299.57999999996</v>
      </c>
      <c r="M2902" s="1598"/>
      <c r="N2902" s="1597">
        <v>573299.57999999996</v>
      </c>
      <c r="O2902" s="1597">
        <v>309891.7</v>
      </c>
      <c r="P2902" s="1597">
        <v>77472.899999999994</v>
      </c>
      <c r="Q2902" s="1597">
        <v>185934.98</v>
      </c>
      <c r="R2902" s="1597">
        <v>263407.88</v>
      </c>
      <c r="S2902" s="1592"/>
    </row>
    <row r="2903" spans="2:19" s="1593" customFormat="1" ht="11.25" customHeight="1" outlineLevel="1">
      <c r="B2903" s="1600" t="s">
        <v>10469</v>
      </c>
      <c r="C2903" s="1595" t="s">
        <v>10466</v>
      </c>
      <c r="D2903" s="1595" t="s">
        <v>10468</v>
      </c>
      <c r="E2903" s="1595" t="s">
        <v>2288</v>
      </c>
      <c r="F2903" s="1595" t="s">
        <v>10464</v>
      </c>
      <c r="G2903" s="1595"/>
      <c r="H2903" s="1596">
        <v>1</v>
      </c>
      <c r="I2903" s="1595"/>
      <c r="J2903" s="1595"/>
      <c r="K2903" s="1597">
        <v>375979.4</v>
      </c>
      <c r="L2903" s="1597">
        <v>375979.4</v>
      </c>
      <c r="M2903" s="1598"/>
      <c r="N2903" s="1597">
        <v>375979.4</v>
      </c>
      <c r="O2903" s="1597">
        <v>203232.1</v>
      </c>
      <c r="P2903" s="1597">
        <v>50808.05</v>
      </c>
      <c r="Q2903" s="1597">
        <v>121939.25</v>
      </c>
      <c r="R2903" s="1597">
        <v>172747.3</v>
      </c>
      <c r="S2903" s="1592"/>
    </row>
    <row r="2904" spans="2:19" s="1593" customFormat="1" ht="21.75" customHeight="1" outlineLevel="1">
      <c r="B2904" s="1600" t="s">
        <v>10467</v>
      </c>
      <c r="C2904" s="1595" t="s">
        <v>10466</v>
      </c>
      <c r="D2904" s="1595" t="s">
        <v>10465</v>
      </c>
      <c r="E2904" s="1595" t="s">
        <v>2288</v>
      </c>
      <c r="F2904" s="1595" t="s">
        <v>10464</v>
      </c>
      <c r="G2904" s="1595"/>
      <c r="H2904" s="1596">
        <v>1</v>
      </c>
      <c r="I2904" s="1595"/>
      <c r="J2904" s="1595"/>
      <c r="K2904" s="1597">
        <v>487594.04</v>
      </c>
      <c r="L2904" s="1597">
        <v>487594.04</v>
      </c>
      <c r="M2904" s="1598"/>
      <c r="N2904" s="1597">
        <v>487594.04</v>
      </c>
      <c r="O2904" s="1597">
        <v>263564.3</v>
      </c>
      <c r="P2904" s="1597">
        <v>65891.100000000006</v>
      </c>
      <c r="Q2904" s="1597">
        <v>158138.64000000001</v>
      </c>
      <c r="R2904" s="1597">
        <v>224029.74</v>
      </c>
      <c r="S2904" s="1592"/>
    </row>
    <row r="2905" spans="2:19" s="1593" customFormat="1" ht="21.75" customHeight="1" outlineLevel="1">
      <c r="B2905" s="1600" t="s">
        <v>10463</v>
      </c>
      <c r="C2905" s="1595" t="s">
        <v>10462</v>
      </c>
      <c r="D2905" s="1595" t="s">
        <v>10461</v>
      </c>
      <c r="E2905" s="1595" t="s">
        <v>2288</v>
      </c>
      <c r="F2905" s="1595" t="s">
        <v>10460</v>
      </c>
      <c r="G2905" s="1595"/>
      <c r="H2905" s="1596">
        <v>1</v>
      </c>
      <c r="I2905" s="1595"/>
      <c r="J2905" s="1595"/>
      <c r="K2905" s="1597">
        <v>62450</v>
      </c>
      <c r="L2905" s="1597">
        <v>62450</v>
      </c>
      <c r="M2905" s="1597">
        <v>-62450</v>
      </c>
      <c r="N2905" s="1598"/>
      <c r="O2905" s="1598"/>
      <c r="P2905" s="1597">
        <v>8439.2000000000007</v>
      </c>
      <c r="Q2905" s="1597">
        <v>-8439.2000000000007</v>
      </c>
      <c r="R2905" s="1598"/>
      <c r="S2905" s="1592"/>
    </row>
    <row r="2906" spans="2:19" s="1593" customFormat="1" ht="21.75" customHeight="1" outlineLevel="1">
      <c r="B2906" s="1600" t="s">
        <v>10459</v>
      </c>
      <c r="C2906" s="1595" t="s">
        <v>3141</v>
      </c>
      <c r="D2906" s="1595" t="s">
        <v>10458</v>
      </c>
      <c r="E2906" s="1595" t="s">
        <v>2208</v>
      </c>
      <c r="F2906" s="1595"/>
      <c r="G2906" s="1595"/>
      <c r="H2906" s="1596">
        <v>1</v>
      </c>
      <c r="I2906" s="1595"/>
      <c r="J2906" s="1595"/>
      <c r="K2906" s="1597">
        <v>263777.40000000002</v>
      </c>
      <c r="L2906" s="1597">
        <v>263777.40000000002</v>
      </c>
      <c r="M2906" s="1598"/>
      <c r="N2906" s="1597">
        <v>263777.40000000002</v>
      </c>
      <c r="O2906" s="1597">
        <v>226717.74</v>
      </c>
      <c r="P2906" s="1597">
        <v>10899.9</v>
      </c>
      <c r="Q2906" s="1597">
        <v>26159.759999999998</v>
      </c>
      <c r="R2906" s="1597">
        <v>37059.660000000003</v>
      </c>
      <c r="S2906" s="1592"/>
    </row>
    <row r="2907" spans="2:19" s="1593" customFormat="1" ht="21.75" customHeight="1" outlineLevel="1">
      <c r="B2907" s="1600" t="s">
        <v>10457</v>
      </c>
      <c r="C2907" s="1595" t="s">
        <v>3141</v>
      </c>
      <c r="D2907" s="1595" t="s">
        <v>10456</v>
      </c>
      <c r="E2907" s="1595" t="s">
        <v>2208</v>
      </c>
      <c r="F2907" s="1595"/>
      <c r="G2907" s="1595"/>
      <c r="H2907" s="1596">
        <v>1</v>
      </c>
      <c r="I2907" s="1595"/>
      <c r="J2907" s="1595"/>
      <c r="K2907" s="1597">
        <v>344375.57</v>
      </c>
      <c r="L2907" s="1597">
        <v>344375.57</v>
      </c>
      <c r="M2907" s="1598"/>
      <c r="N2907" s="1597">
        <v>344375.57</v>
      </c>
      <c r="O2907" s="1597">
        <v>295992.21000000002</v>
      </c>
      <c r="P2907" s="1597">
        <v>14230.4</v>
      </c>
      <c r="Q2907" s="1597">
        <v>34152.959999999999</v>
      </c>
      <c r="R2907" s="1597">
        <v>48383.360000000001</v>
      </c>
      <c r="S2907" s="1592"/>
    </row>
    <row r="2908" spans="2:19" s="1593" customFormat="1" ht="21.75" customHeight="1" outlineLevel="1">
      <c r="B2908" s="1600" t="s">
        <v>10455</v>
      </c>
      <c r="C2908" s="1595" t="s">
        <v>3141</v>
      </c>
      <c r="D2908" s="1595" t="s">
        <v>10454</v>
      </c>
      <c r="E2908" s="1595" t="s">
        <v>2208</v>
      </c>
      <c r="F2908" s="1595"/>
      <c r="G2908" s="1595"/>
      <c r="H2908" s="1596">
        <v>1</v>
      </c>
      <c r="I2908" s="1595"/>
      <c r="J2908" s="1595"/>
      <c r="K2908" s="1597">
        <v>885807.42</v>
      </c>
      <c r="L2908" s="1597">
        <v>885807.42</v>
      </c>
      <c r="M2908" s="1598"/>
      <c r="N2908" s="1597">
        <v>885807.42</v>
      </c>
      <c r="O2908" s="1597">
        <v>283458.36</v>
      </c>
      <c r="P2908" s="1597">
        <v>177161.5</v>
      </c>
      <c r="Q2908" s="1597">
        <v>425187.56</v>
      </c>
      <c r="R2908" s="1597">
        <v>602349.06000000006</v>
      </c>
      <c r="S2908" s="1592"/>
    </row>
    <row r="2909" spans="2:19" s="1593" customFormat="1" ht="21.75" customHeight="1" outlineLevel="1">
      <c r="B2909" s="1600" t="s">
        <v>10453</v>
      </c>
      <c r="C2909" s="1595" t="s">
        <v>3141</v>
      </c>
      <c r="D2909" s="1595" t="s">
        <v>10452</v>
      </c>
      <c r="E2909" s="1595" t="s">
        <v>2208</v>
      </c>
      <c r="F2909" s="1595"/>
      <c r="G2909" s="1595"/>
      <c r="H2909" s="1596">
        <v>1</v>
      </c>
      <c r="I2909" s="1595"/>
      <c r="J2909" s="1595"/>
      <c r="K2909" s="1597">
        <v>228128.09</v>
      </c>
      <c r="L2909" s="1597">
        <v>228128.09</v>
      </c>
      <c r="M2909" s="1598"/>
      <c r="N2909" s="1597">
        <v>228128.09</v>
      </c>
      <c r="O2909" s="1597">
        <v>164551.42000000001</v>
      </c>
      <c r="P2909" s="1597">
        <v>18699</v>
      </c>
      <c r="Q2909" s="1597">
        <v>44877.67</v>
      </c>
      <c r="R2909" s="1597">
        <v>63576.67</v>
      </c>
      <c r="S2909" s="1592"/>
    </row>
    <row r="2910" spans="2:19" s="1593" customFormat="1" ht="21.75" customHeight="1" outlineLevel="1">
      <c r="B2910" s="1600" t="s">
        <v>10451</v>
      </c>
      <c r="C2910" s="1595" t="s">
        <v>3141</v>
      </c>
      <c r="D2910" s="1595" t="s">
        <v>10450</v>
      </c>
      <c r="E2910" s="1595" t="s">
        <v>2208</v>
      </c>
      <c r="F2910" s="1595"/>
      <c r="G2910" s="1595"/>
      <c r="H2910" s="1596">
        <v>1</v>
      </c>
      <c r="I2910" s="1595"/>
      <c r="J2910" s="1595"/>
      <c r="K2910" s="1597">
        <v>24529.11</v>
      </c>
      <c r="L2910" s="1597">
        <v>24529.11</v>
      </c>
      <c r="M2910" s="1598"/>
      <c r="N2910" s="1597">
        <v>24529.11</v>
      </c>
      <c r="O2910" s="1597">
        <v>23373.96</v>
      </c>
      <c r="P2910" s="1599">
        <v>339.75</v>
      </c>
      <c r="Q2910" s="1599">
        <v>815.4</v>
      </c>
      <c r="R2910" s="1597">
        <v>1155.1500000000001</v>
      </c>
      <c r="S2910" s="1592"/>
    </row>
    <row r="2911" spans="2:19" s="1593" customFormat="1" ht="21.75" customHeight="1" outlineLevel="1">
      <c r="B2911" s="1600" t="s">
        <v>10449</v>
      </c>
      <c r="C2911" s="1595" t="s">
        <v>3141</v>
      </c>
      <c r="D2911" s="1595" t="s">
        <v>10448</v>
      </c>
      <c r="E2911" s="1595" t="s">
        <v>2208</v>
      </c>
      <c r="F2911" s="1595"/>
      <c r="G2911" s="1595"/>
      <c r="H2911" s="1596">
        <v>2</v>
      </c>
      <c r="I2911" s="1595"/>
      <c r="J2911" s="1595"/>
      <c r="K2911" s="1597">
        <v>14908.29</v>
      </c>
      <c r="L2911" s="1597">
        <v>14908.29</v>
      </c>
      <c r="M2911" s="1598"/>
      <c r="N2911" s="1597">
        <v>14908.29</v>
      </c>
      <c r="O2911" s="1597">
        <v>14066.28</v>
      </c>
      <c r="P2911" s="1599">
        <v>247.65</v>
      </c>
      <c r="Q2911" s="1599">
        <v>594.36</v>
      </c>
      <c r="R2911" s="1599">
        <v>842.01</v>
      </c>
      <c r="S2911" s="1592"/>
    </row>
    <row r="2912" spans="2:19" s="1593" customFormat="1" ht="11.25" customHeight="1" outlineLevel="1">
      <c r="B2912" s="1600" t="s">
        <v>10447</v>
      </c>
      <c r="C2912" s="1595" t="s">
        <v>10446</v>
      </c>
      <c r="D2912" s="1595" t="s">
        <v>10445</v>
      </c>
      <c r="E2912" s="1595" t="s">
        <v>2288</v>
      </c>
      <c r="F2912" s="1595" t="s">
        <v>10444</v>
      </c>
      <c r="G2912" s="1595"/>
      <c r="H2912" s="1596">
        <v>1</v>
      </c>
      <c r="I2912" s="1595"/>
      <c r="J2912" s="1595"/>
      <c r="K2912" s="1597">
        <v>45700</v>
      </c>
      <c r="L2912" s="1597">
        <v>45700</v>
      </c>
      <c r="M2912" s="1597">
        <v>-45700</v>
      </c>
      <c r="N2912" s="1598"/>
      <c r="O2912" s="1598"/>
      <c r="P2912" s="1597">
        <v>7312</v>
      </c>
      <c r="Q2912" s="1597">
        <v>-7312</v>
      </c>
      <c r="R2912" s="1598"/>
      <c r="S2912" s="1592"/>
    </row>
    <row r="2913" spans="2:19" s="1593" customFormat="1" ht="11.25" customHeight="1" outlineLevel="1">
      <c r="B2913" s="1600" t="s">
        <v>10443</v>
      </c>
      <c r="C2913" s="1595" t="s">
        <v>10440</v>
      </c>
      <c r="D2913" s="1595" t="s">
        <v>10442</v>
      </c>
      <c r="E2913" s="1595" t="s">
        <v>2288</v>
      </c>
      <c r="F2913" s="1595" t="s">
        <v>10438</v>
      </c>
      <c r="G2913" s="1595"/>
      <c r="H2913" s="1596">
        <v>2</v>
      </c>
      <c r="I2913" s="1595"/>
      <c r="J2913" s="1595"/>
      <c r="K2913" s="1597">
        <v>100753.34</v>
      </c>
      <c r="L2913" s="1597">
        <v>100753.34</v>
      </c>
      <c r="M2913" s="1598"/>
      <c r="N2913" s="1597">
        <v>100753.34</v>
      </c>
      <c r="O2913" s="1597">
        <v>40301.35</v>
      </c>
      <c r="P2913" s="1597">
        <v>12090.39</v>
      </c>
      <c r="Q2913" s="1597">
        <v>48361.599999999999</v>
      </c>
      <c r="R2913" s="1597">
        <v>60451.99</v>
      </c>
      <c r="S2913" s="1592"/>
    </row>
    <row r="2914" spans="2:19" s="1593" customFormat="1" ht="11.25" customHeight="1" outlineLevel="1">
      <c r="B2914" s="1600" t="s">
        <v>10441</v>
      </c>
      <c r="C2914" s="1595" t="s">
        <v>10440</v>
      </c>
      <c r="D2914" s="1595" t="s">
        <v>10439</v>
      </c>
      <c r="E2914" s="1595" t="s">
        <v>2288</v>
      </c>
      <c r="F2914" s="1595" t="s">
        <v>10438</v>
      </c>
      <c r="G2914" s="1595"/>
      <c r="H2914" s="1596">
        <v>2</v>
      </c>
      <c r="I2914" s="1595"/>
      <c r="J2914" s="1595"/>
      <c r="K2914" s="1597">
        <v>100753.33</v>
      </c>
      <c r="L2914" s="1597">
        <v>100753.33</v>
      </c>
      <c r="M2914" s="1598"/>
      <c r="N2914" s="1597">
        <v>100753.33</v>
      </c>
      <c r="O2914" s="1597">
        <v>40301.35</v>
      </c>
      <c r="P2914" s="1597">
        <v>12090.39</v>
      </c>
      <c r="Q2914" s="1597">
        <v>48361.59</v>
      </c>
      <c r="R2914" s="1597">
        <v>60451.98</v>
      </c>
      <c r="S2914" s="1592"/>
    </row>
    <row r="2915" spans="2:19" s="1593" customFormat="1" ht="11.25" customHeight="1" outlineLevel="1">
      <c r="B2915" s="1600" t="s">
        <v>10437</v>
      </c>
      <c r="C2915" s="1595" t="s">
        <v>10434</v>
      </c>
      <c r="D2915" s="1595" t="s">
        <v>10436</v>
      </c>
      <c r="E2915" s="1595"/>
      <c r="F2915" s="1595"/>
      <c r="G2915" s="1595"/>
      <c r="H2915" s="1595"/>
      <c r="I2915" s="1595"/>
      <c r="J2915" s="1595"/>
      <c r="K2915" s="1597">
        <v>156597.5</v>
      </c>
      <c r="L2915" s="1597">
        <v>156597.5</v>
      </c>
      <c r="M2915" s="1598"/>
      <c r="N2915" s="1597">
        <v>156597.5</v>
      </c>
      <c r="O2915" s="1597">
        <v>75166.8</v>
      </c>
      <c r="P2915" s="1597">
        <v>6263.9</v>
      </c>
      <c r="Q2915" s="1597">
        <v>75166.8</v>
      </c>
      <c r="R2915" s="1597">
        <v>81430.7</v>
      </c>
      <c r="S2915" s="1592"/>
    </row>
    <row r="2916" spans="2:19" s="1593" customFormat="1" ht="11.25" customHeight="1" outlineLevel="1">
      <c r="B2916" s="1600" t="s">
        <v>10435</v>
      </c>
      <c r="C2916" s="1595" t="s">
        <v>10434</v>
      </c>
      <c r="D2916" s="1595" t="s">
        <v>10433</v>
      </c>
      <c r="E2916" s="1595"/>
      <c r="F2916" s="1595"/>
      <c r="G2916" s="1595"/>
      <c r="H2916" s="1595"/>
      <c r="I2916" s="1595"/>
      <c r="J2916" s="1595"/>
      <c r="K2916" s="1597">
        <v>182200</v>
      </c>
      <c r="L2916" s="1597">
        <v>182200</v>
      </c>
      <c r="M2916" s="1598"/>
      <c r="N2916" s="1597">
        <v>182200</v>
      </c>
      <c r="O2916" s="1597">
        <v>87456</v>
      </c>
      <c r="P2916" s="1597">
        <v>7288</v>
      </c>
      <c r="Q2916" s="1597">
        <v>87456</v>
      </c>
      <c r="R2916" s="1597">
        <v>94744</v>
      </c>
      <c r="S2916" s="1592"/>
    </row>
    <row r="2917" spans="2:19" s="1593" customFormat="1" ht="11.25" customHeight="1" outlineLevel="1">
      <c r="B2917" s="1600" t="s">
        <v>10432</v>
      </c>
      <c r="C2917" s="1595" t="s">
        <v>10431</v>
      </c>
      <c r="D2917" s="1595" t="s">
        <v>10430</v>
      </c>
      <c r="E2917" s="1595" t="s">
        <v>2288</v>
      </c>
      <c r="F2917" s="1595" t="s">
        <v>10429</v>
      </c>
      <c r="G2917" s="1595"/>
      <c r="H2917" s="1596">
        <v>1</v>
      </c>
      <c r="I2917" s="1595"/>
      <c r="J2917" s="1595"/>
      <c r="K2917" s="1597">
        <v>1491853.33</v>
      </c>
      <c r="L2917" s="1597">
        <v>1491853.33</v>
      </c>
      <c r="M2917" s="1598"/>
      <c r="N2917" s="1597">
        <v>1491853.33</v>
      </c>
      <c r="O2917" s="1597">
        <v>1173917.3999999999</v>
      </c>
      <c r="P2917" s="1597">
        <v>24456.61</v>
      </c>
      <c r="Q2917" s="1597">
        <v>293479.32</v>
      </c>
      <c r="R2917" s="1597">
        <v>317935.93</v>
      </c>
      <c r="S2917" s="1592"/>
    </row>
    <row r="2918" spans="2:19" s="1593" customFormat="1" ht="11.25" customHeight="1" outlineLevel="1">
      <c r="B2918" s="1600" t="s">
        <v>10428</v>
      </c>
      <c r="C2918" s="1595" t="s">
        <v>6843</v>
      </c>
      <c r="D2918" s="1595" t="s">
        <v>10427</v>
      </c>
      <c r="E2918" s="1595" t="s">
        <v>2208</v>
      </c>
      <c r="F2918" s="1595"/>
      <c r="G2918" s="1595"/>
      <c r="H2918" s="1596">
        <v>1</v>
      </c>
      <c r="I2918" s="1595"/>
      <c r="J2918" s="1595"/>
      <c r="K2918" s="1597">
        <v>402906.41</v>
      </c>
      <c r="L2918" s="1597">
        <v>402906.41</v>
      </c>
      <c r="M2918" s="1598"/>
      <c r="N2918" s="1597">
        <v>402906.41</v>
      </c>
      <c r="O2918" s="1597">
        <v>359618.94</v>
      </c>
      <c r="P2918" s="1597">
        <v>3329.81</v>
      </c>
      <c r="Q2918" s="1597">
        <v>39957.660000000003</v>
      </c>
      <c r="R2918" s="1597">
        <v>43287.47</v>
      </c>
      <c r="S2918" s="1592"/>
    </row>
    <row r="2919" spans="2:19" s="1593" customFormat="1" ht="11.25" customHeight="1" outlineLevel="1">
      <c r="B2919" s="1600" t="s">
        <v>10426</v>
      </c>
      <c r="C2919" s="1595" t="s">
        <v>6843</v>
      </c>
      <c r="D2919" s="1595" t="s">
        <v>10425</v>
      </c>
      <c r="E2919" s="1595" t="s">
        <v>2266</v>
      </c>
      <c r="F2919" s="1595"/>
      <c r="G2919" s="1595"/>
      <c r="H2919" s="1596">
        <v>1</v>
      </c>
      <c r="I2919" s="1595"/>
      <c r="J2919" s="1595"/>
      <c r="K2919" s="1597">
        <v>4416212.37</v>
      </c>
      <c r="L2919" s="1597">
        <v>4416212.37</v>
      </c>
      <c r="M2919" s="1598"/>
      <c r="N2919" s="1597">
        <v>4416212.37</v>
      </c>
      <c r="O2919" s="1597">
        <v>3941743.31</v>
      </c>
      <c r="P2919" s="1597">
        <v>36497.620000000003</v>
      </c>
      <c r="Q2919" s="1597">
        <v>437971.44</v>
      </c>
      <c r="R2919" s="1597">
        <v>474469.06</v>
      </c>
      <c r="S2919" s="1592"/>
    </row>
    <row r="2920" spans="2:19" s="1593" customFormat="1" ht="21.75" customHeight="1" outlineLevel="1">
      <c r="B2920" s="1600" t="s">
        <v>10424</v>
      </c>
      <c r="C2920" s="1595" t="s">
        <v>6843</v>
      </c>
      <c r="D2920" s="1595" t="s">
        <v>10423</v>
      </c>
      <c r="E2920" s="1595" t="s">
        <v>2208</v>
      </c>
      <c r="F2920" s="1595"/>
      <c r="G2920" s="1595"/>
      <c r="H2920" s="1596">
        <v>1</v>
      </c>
      <c r="I2920" s="1601">
        <v>26</v>
      </c>
      <c r="J2920" s="1595"/>
      <c r="K2920" s="1597">
        <v>18513.07</v>
      </c>
      <c r="L2920" s="1597">
        <v>18513.07</v>
      </c>
      <c r="M2920" s="1598"/>
      <c r="N2920" s="1597">
        <v>18513.07</v>
      </c>
      <c r="O2920" s="1597">
        <v>17846.43</v>
      </c>
      <c r="P2920" s="1599">
        <v>51.28</v>
      </c>
      <c r="Q2920" s="1599">
        <v>615.36</v>
      </c>
      <c r="R2920" s="1599">
        <v>666.64</v>
      </c>
      <c r="S2920" s="1592"/>
    </row>
    <row r="2921" spans="2:19" s="1593" customFormat="1" ht="11.25" customHeight="1" outlineLevel="1">
      <c r="B2921" s="1600" t="s">
        <v>10422</v>
      </c>
      <c r="C2921" s="1595" t="s">
        <v>10421</v>
      </c>
      <c r="D2921" s="1595" t="s">
        <v>10420</v>
      </c>
      <c r="E2921" s="1595" t="s">
        <v>2288</v>
      </c>
      <c r="F2921" s="1595" t="s">
        <v>10419</v>
      </c>
      <c r="G2921" s="1595"/>
      <c r="H2921" s="1596">
        <v>1</v>
      </c>
      <c r="I2921" s="1595"/>
      <c r="J2921" s="1595"/>
      <c r="K2921" s="1597">
        <v>908333.33</v>
      </c>
      <c r="L2921" s="1597">
        <v>908333.33</v>
      </c>
      <c r="M2921" s="1598"/>
      <c r="N2921" s="1597">
        <v>908333.33</v>
      </c>
      <c r="O2921" s="1597">
        <v>848112.29</v>
      </c>
      <c r="P2921" s="1598"/>
      <c r="Q2921" s="1597">
        <v>60221.04</v>
      </c>
      <c r="R2921" s="1597">
        <v>60221.04</v>
      </c>
      <c r="S2921" s="1592"/>
    </row>
    <row r="2922" spans="2:19" s="1593" customFormat="1" ht="21.75" customHeight="1" outlineLevel="1">
      <c r="B2922" s="1600" t="s">
        <v>10418</v>
      </c>
      <c r="C2922" s="1595" t="s">
        <v>2414</v>
      </c>
      <c r="D2922" s="1595" t="s">
        <v>10417</v>
      </c>
      <c r="E2922" s="1595"/>
      <c r="F2922" s="1595"/>
      <c r="G2922" s="1595"/>
      <c r="H2922" s="1595"/>
      <c r="I2922" s="1595"/>
      <c r="J2922" s="1595"/>
      <c r="K2922" s="1597">
        <v>193659.59</v>
      </c>
      <c r="L2922" s="1597">
        <v>193659.59</v>
      </c>
      <c r="M2922" s="1598"/>
      <c r="N2922" s="1597">
        <v>193659.59</v>
      </c>
      <c r="O2922" s="1597">
        <v>174611.15</v>
      </c>
      <c r="P2922" s="1598"/>
      <c r="Q2922" s="1597">
        <v>19048.439999999999</v>
      </c>
      <c r="R2922" s="1597">
        <v>19048.439999999999</v>
      </c>
      <c r="S2922" s="1592"/>
    </row>
    <row r="2923" spans="2:19" s="1593" customFormat="1" ht="21.75" customHeight="1" outlineLevel="1">
      <c r="B2923" s="1600" t="s">
        <v>10416</v>
      </c>
      <c r="C2923" s="1595" t="s">
        <v>2414</v>
      </c>
      <c r="D2923" s="1595" t="s">
        <v>10415</v>
      </c>
      <c r="E2923" s="1595"/>
      <c r="F2923" s="1595"/>
      <c r="G2923" s="1595"/>
      <c r="H2923" s="1595"/>
      <c r="I2923" s="1595"/>
      <c r="J2923" s="1595"/>
      <c r="K2923" s="1597">
        <v>32239.45</v>
      </c>
      <c r="L2923" s="1597">
        <v>32239.45</v>
      </c>
      <c r="M2923" s="1598"/>
      <c r="N2923" s="1597">
        <v>32239.45</v>
      </c>
      <c r="O2923" s="1597">
        <v>29068.33</v>
      </c>
      <c r="P2923" s="1598"/>
      <c r="Q2923" s="1597">
        <v>3171.12</v>
      </c>
      <c r="R2923" s="1597">
        <v>3171.12</v>
      </c>
      <c r="S2923" s="1592"/>
    </row>
    <row r="2924" spans="2:19" s="1593" customFormat="1" ht="21.75" customHeight="1" outlineLevel="1">
      <c r="B2924" s="1600" t="s">
        <v>10414</v>
      </c>
      <c r="C2924" s="1595" t="s">
        <v>2414</v>
      </c>
      <c r="D2924" s="1595" t="s">
        <v>10413</v>
      </c>
      <c r="E2924" s="1595"/>
      <c r="F2924" s="1595"/>
      <c r="G2924" s="1595"/>
      <c r="H2924" s="1595"/>
      <c r="I2924" s="1595"/>
      <c r="J2924" s="1595"/>
      <c r="K2924" s="1597">
        <v>42417</v>
      </c>
      <c r="L2924" s="1597">
        <v>42417</v>
      </c>
      <c r="M2924" s="1598"/>
      <c r="N2924" s="1597">
        <v>42417</v>
      </c>
      <c r="O2924" s="1597">
        <v>38244.839999999997</v>
      </c>
      <c r="P2924" s="1598"/>
      <c r="Q2924" s="1597">
        <v>4172.16</v>
      </c>
      <c r="R2924" s="1597">
        <v>4172.16</v>
      </c>
      <c r="S2924" s="1592"/>
    </row>
    <row r="2925" spans="2:19" s="1593" customFormat="1" ht="21.75" customHeight="1" outlineLevel="1">
      <c r="B2925" s="1600" t="s">
        <v>10412</v>
      </c>
      <c r="C2925" s="1595" t="s">
        <v>2414</v>
      </c>
      <c r="D2925" s="1595" t="s">
        <v>10411</v>
      </c>
      <c r="E2925" s="1595"/>
      <c r="F2925" s="1595"/>
      <c r="G2925" s="1595"/>
      <c r="H2925" s="1595"/>
      <c r="I2925" s="1595"/>
      <c r="J2925" s="1595"/>
      <c r="K2925" s="1597">
        <v>34691.4</v>
      </c>
      <c r="L2925" s="1597">
        <v>34691.4</v>
      </c>
      <c r="M2925" s="1598"/>
      <c r="N2925" s="1597">
        <v>34691.4</v>
      </c>
      <c r="O2925" s="1597">
        <v>31279.08</v>
      </c>
      <c r="P2925" s="1598"/>
      <c r="Q2925" s="1597">
        <v>3412.32</v>
      </c>
      <c r="R2925" s="1597">
        <v>3412.32</v>
      </c>
      <c r="S2925" s="1592"/>
    </row>
    <row r="2926" spans="2:19" s="1593" customFormat="1" ht="21.75" customHeight="1" outlineLevel="1">
      <c r="B2926" s="1600" t="s">
        <v>10410</v>
      </c>
      <c r="C2926" s="1595" t="s">
        <v>2414</v>
      </c>
      <c r="D2926" s="1595" t="s">
        <v>10409</v>
      </c>
      <c r="E2926" s="1595"/>
      <c r="F2926" s="1595"/>
      <c r="G2926" s="1595"/>
      <c r="H2926" s="1595"/>
      <c r="I2926" s="1595"/>
      <c r="J2926" s="1595"/>
      <c r="K2926" s="1597">
        <v>27755.48</v>
      </c>
      <c r="L2926" s="1597">
        <v>27755.48</v>
      </c>
      <c r="M2926" s="1598"/>
      <c r="N2926" s="1597">
        <v>27755.48</v>
      </c>
      <c r="O2926" s="1597">
        <v>25025.48</v>
      </c>
      <c r="P2926" s="1598"/>
      <c r="Q2926" s="1597">
        <v>2730</v>
      </c>
      <c r="R2926" s="1597">
        <v>2730</v>
      </c>
      <c r="S2926" s="1592"/>
    </row>
    <row r="2927" spans="2:19" s="1593" customFormat="1" ht="21.75" customHeight="1" outlineLevel="1">
      <c r="B2927" s="1600" t="s">
        <v>10408</v>
      </c>
      <c r="C2927" s="1595" t="s">
        <v>2414</v>
      </c>
      <c r="D2927" s="1595" t="s">
        <v>10407</v>
      </c>
      <c r="E2927" s="1595"/>
      <c r="F2927" s="1595"/>
      <c r="G2927" s="1595"/>
      <c r="H2927" s="1595"/>
      <c r="I2927" s="1595"/>
      <c r="J2927" s="1595"/>
      <c r="K2927" s="1597">
        <v>197226.72</v>
      </c>
      <c r="L2927" s="1597">
        <v>197226.72</v>
      </c>
      <c r="M2927" s="1598"/>
      <c r="N2927" s="1597">
        <v>197226.72</v>
      </c>
      <c r="O2927" s="1597">
        <v>177827.4</v>
      </c>
      <c r="P2927" s="1598"/>
      <c r="Q2927" s="1597">
        <v>19399.32</v>
      </c>
      <c r="R2927" s="1597">
        <v>19399.32</v>
      </c>
      <c r="S2927" s="1592"/>
    </row>
    <row r="2928" spans="2:19" s="1593" customFormat="1" ht="21.75" customHeight="1" outlineLevel="1">
      <c r="B2928" s="1600" t="s">
        <v>10406</v>
      </c>
      <c r="C2928" s="1595" t="s">
        <v>2414</v>
      </c>
      <c r="D2928" s="1595" t="s">
        <v>10405</v>
      </c>
      <c r="E2928" s="1595"/>
      <c r="F2928" s="1595"/>
      <c r="G2928" s="1595"/>
      <c r="H2928" s="1595"/>
      <c r="I2928" s="1595"/>
      <c r="J2928" s="1595"/>
      <c r="K2928" s="1597">
        <v>484968.43</v>
      </c>
      <c r="L2928" s="1597">
        <v>484968.43</v>
      </c>
      <c r="M2928" s="1598"/>
      <c r="N2928" s="1597">
        <v>484968.43</v>
      </c>
      <c r="O2928" s="1597">
        <v>437266.63</v>
      </c>
      <c r="P2928" s="1598"/>
      <c r="Q2928" s="1597">
        <v>47701.8</v>
      </c>
      <c r="R2928" s="1597">
        <v>47701.8</v>
      </c>
      <c r="S2928" s="1592"/>
    </row>
    <row r="2929" spans="2:19" s="1593" customFormat="1" ht="21.75" customHeight="1" outlineLevel="1">
      <c r="B2929" s="1600" t="s">
        <v>10404</v>
      </c>
      <c r="C2929" s="1595" t="s">
        <v>2414</v>
      </c>
      <c r="D2929" s="1595" t="s">
        <v>10403</v>
      </c>
      <c r="E2929" s="1595"/>
      <c r="F2929" s="1595"/>
      <c r="G2929" s="1595"/>
      <c r="H2929" s="1595"/>
      <c r="I2929" s="1595"/>
      <c r="J2929" s="1595"/>
      <c r="K2929" s="1597">
        <v>909092.86</v>
      </c>
      <c r="L2929" s="1597">
        <v>909092.86</v>
      </c>
      <c r="M2929" s="1598"/>
      <c r="N2929" s="1597">
        <v>909092.86</v>
      </c>
      <c r="O2929" s="1597">
        <v>819673.9</v>
      </c>
      <c r="P2929" s="1598"/>
      <c r="Q2929" s="1597">
        <v>89418.96</v>
      </c>
      <c r="R2929" s="1597">
        <v>89418.96</v>
      </c>
      <c r="S2929" s="1592"/>
    </row>
    <row r="2930" spans="2:19" s="1593" customFormat="1" ht="21.75" customHeight="1" outlineLevel="1">
      <c r="B2930" s="1600" t="s">
        <v>10402</v>
      </c>
      <c r="C2930" s="1595" t="s">
        <v>2414</v>
      </c>
      <c r="D2930" s="1595" t="s">
        <v>10401</v>
      </c>
      <c r="E2930" s="1595"/>
      <c r="F2930" s="1595"/>
      <c r="G2930" s="1595"/>
      <c r="H2930" s="1595"/>
      <c r="I2930" s="1595"/>
      <c r="J2930" s="1595"/>
      <c r="K2930" s="1597">
        <v>25353.15</v>
      </c>
      <c r="L2930" s="1597">
        <v>25353.15</v>
      </c>
      <c r="M2930" s="1598"/>
      <c r="N2930" s="1597">
        <v>25353.15</v>
      </c>
      <c r="O2930" s="1597">
        <v>22859.43</v>
      </c>
      <c r="P2930" s="1598"/>
      <c r="Q2930" s="1597">
        <v>2493.7199999999998</v>
      </c>
      <c r="R2930" s="1597">
        <v>2493.7199999999998</v>
      </c>
      <c r="S2930" s="1592"/>
    </row>
    <row r="2931" spans="2:19" s="1593" customFormat="1" ht="21.75" customHeight="1" outlineLevel="1">
      <c r="B2931" s="1600" t="s">
        <v>10400</v>
      </c>
      <c r="C2931" s="1595" t="s">
        <v>2414</v>
      </c>
      <c r="D2931" s="1595" t="s">
        <v>10399</v>
      </c>
      <c r="E2931" s="1595"/>
      <c r="F2931" s="1595"/>
      <c r="G2931" s="1595"/>
      <c r="H2931" s="1595"/>
      <c r="I2931" s="1595"/>
      <c r="J2931" s="1595"/>
      <c r="K2931" s="1597">
        <v>33926.379999999997</v>
      </c>
      <c r="L2931" s="1597">
        <v>33926.379999999997</v>
      </c>
      <c r="M2931" s="1598"/>
      <c r="N2931" s="1597">
        <v>33926.379999999997</v>
      </c>
      <c r="O2931" s="1597">
        <v>30589.35</v>
      </c>
      <c r="P2931" s="1598"/>
      <c r="Q2931" s="1597">
        <v>3337.03</v>
      </c>
      <c r="R2931" s="1597">
        <v>3337.03</v>
      </c>
      <c r="S2931" s="1592"/>
    </row>
    <row r="2932" spans="2:19" s="1593" customFormat="1" ht="21.75" customHeight="1" outlineLevel="1">
      <c r="B2932" s="1600" t="s">
        <v>10398</v>
      </c>
      <c r="C2932" s="1595" t="s">
        <v>2414</v>
      </c>
      <c r="D2932" s="1595" t="s">
        <v>10397</v>
      </c>
      <c r="E2932" s="1595"/>
      <c r="F2932" s="1595"/>
      <c r="G2932" s="1595"/>
      <c r="H2932" s="1595"/>
      <c r="I2932" s="1595"/>
      <c r="J2932" s="1595"/>
      <c r="K2932" s="1597">
        <v>19114.53</v>
      </c>
      <c r="L2932" s="1597">
        <v>19114.53</v>
      </c>
      <c r="M2932" s="1597">
        <v>-19114.53</v>
      </c>
      <c r="N2932" s="1598"/>
      <c r="O2932" s="1598"/>
      <c r="P2932" s="1598"/>
      <c r="Q2932" s="1598"/>
      <c r="R2932" s="1598"/>
      <c r="S2932" s="1592"/>
    </row>
    <row r="2933" spans="2:19" s="1593" customFormat="1" ht="21.75" customHeight="1" outlineLevel="1">
      <c r="B2933" s="1600" t="s">
        <v>10396</v>
      </c>
      <c r="C2933" s="1595" t="s">
        <v>2414</v>
      </c>
      <c r="D2933" s="1595" t="s">
        <v>10395</v>
      </c>
      <c r="E2933" s="1595"/>
      <c r="F2933" s="1595"/>
      <c r="G2933" s="1595"/>
      <c r="H2933" s="1595"/>
      <c r="I2933" s="1595"/>
      <c r="J2933" s="1595"/>
      <c r="K2933" s="1597">
        <v>5912.9</v>
      </c>
      <c r="L2933" s="1597">
        <v>5912.9</v>
      </c>
      <c r="M2933" s="1597">
        <v>-5912.9</v>
      </c>
      <c r="N2933" s="1598"/>
      <c r="O2933" s="1598"/>
      <c r="P2933" s="1598"/>
      <c r="Q2933" s="1598"/>
      <c r="R2933" s="1598"/>
      <c r="S2933" s="1592"/>
    </row>
    <row r="2934" spans="2:19" s="1593" customFormat="1" ht="21.75" customHeight="1" outlineLevel="1">
      <c r="B2934" s="1600" t="s">
        <v>10394</v>
      </c>
      <c r="C2934" s="1595" t="s">
        <v>2414</v>
      </c>
      <c r="D2934" s="1595" t="s">
        <v>10393</v>
      </c>
      <c r="E2934" s="1595"/>
      <c r="F2934" s="1595"/>
      <c r="G2934" s="1595"/>
      <c r="H2934" s="1595"/>
      <c r="I2934" s="1595"/>
      <c r="J2934" s="1595"/>
      <c r="K2934" s="1597">
        <v>6540.86</v>
      </c>
      <c r="L2934" s="1597">
        <v>6540.86</v>
      </c>
      <c r="M2934" s="1597">
        <v>-6540.86</v>
      </c>
      <c r="N2934" s="1598"/>
      <c r="O2934" s="1598"/>
      <c r="P2934" s="1598"/>
      <c r="Q2934" s="1598"/>
      <c r="R2934" s="1598"/>
      <c r="S2934" s="1592"/>
    </row>
    <row r="2935" spans="2:19" s="1593" customFormat="1" ht="21.75" customHeight="1" outlineLevel="1">
      <c r="B2935" s="1600" t="s">
        <v>10392</v>
      </c>
      <c r="C2935" s="1595" t="s">
        <v>2414</v>
      </c>
      <c r="D2935" s="1595" t="s">
        <v>10391</v>
      </c>
      <c r="E2935" s="1595"/>
      <c r="F2935" s="1595"/>
      <c r="G2935" s="1595"/>
      <c r="H2935" s="1595"/>
      <c r="I2935" s="1595"/>
      <c r="J2935" s="1595"/>
      <c r="K2935" s="1597">
        <v>6982.08</v>
      </c>
      <c r="L2935" s="1597">
        <v>6982.08</v>
      </c>
      <c r="M2935" s="1597">
        <v>-6982.08</v>
      </c>
      <c r="N2935" s="1598"/>
      <c r="O2935" s="1598"/>
      <c r="P2935" s="1598"/>
      <c r="Q2935" s="1598"/>
      <c r="R2935" s="1598"/>
      <c r="S2935" s="1592"/>
    </row>
    <row r="2936" spans="2:19" s="1593" customFormat="1" ht="21.75" customHeight="1" outlineLevel="1">
      <c r="B2936" s="1600" t="s">
        <v>10390</v>
      </c>
      <c r="C2936" s="1595" t="s">
        <v>2414</v>
      </c>
      <c r="D2936" s="1595" t="s">
        <v>10389</v>
      </c>
      <c r="E2936" s="1595"/>
      <c r="F2936" s="1595"/>
      <c r="G2936" s="1595"/>
      <c r="H2936" s="1595"/>
      <c r="I2936" s="1595"/>
      <c r="J2936" s="1595"/>
      <c r="K2936" s="1597">
        <v>6732.9</v>
      </c>
      <c r="L2936" s="1597">
        <v>6732.9</v>
      </c>
      <c r="M2936" s="1597">
        <v>-6732.9</v>
      </c>
      <c r="N2936" s="1598"/>
      <c r="O2936" s="1598"/>
      <c r="P2936" s="1598"/>
      <c r="Q2936" s="1598"/>
      <c r="R2936" s="1598"/>
      <c r="S2936" s="1592"/>
    </row>
    <row r="2937" spans="2:19" s="1593" customFormat="1" ht="21.75" customHeight="1" outlineLevel="1">
      <c r="B2937" s="1600" t="s">
        <v>10388</v>
      </c>
      <c r="C2937" s="1595" t="s">
        <v>2414</v>
      </c>
      <c r="D2937" s="1595" t="s">
        <v>10387</v>
      </c>
      <c r="E2937" s="1595"/>
      <c r="F2937" s="1595"/>
      <c r="G2937" s="1595" t="s">
        <v>10386</v>
      </c>
      <c r="H2937" s="1596">
        <v>1</v>
      </c>
      <c r="I2937" s="1595"/>
      <c r="J2937" s="1595"/>
      <c r="K2937" s="1597">
        <v>1179901.4399999999</v>
      </c>
      <c r="L2937" s="1597">
        <v>1179901.4399999999</v>
      </c>
      <c r="M2937" s="1598"/>
      <c r="N2937" s="1597">
        <v>1179901.4399999999</v>
      </c>
      <c r="O2937" s="1597">
        <v>1061911.32</v>
      </c>
      <c r="P2937" s="1598"/>
      <c r="Q2937" s="1597">
        <v>117990.12</v>
      </c>
      <c r="R2937" s="1597">
        <v>117990.12</v>
      </c>
      <c r="S2937" s="1592"/>
    </row>
    <row r="2938" spans="2:19" s="1593" customFormat="1" ht="21.75" customHeight="1" outlineLevel="1">
      <c r="B2938" s="1600" t="s">
        <v>10385</v>
      </c>
      <c r="C2938" s="1595" t="s">
        <v>2414</v>
      </c>
      <c r="D2938" s="1595" t="s">
        <v>10384</v>
      </c>
      <c r="E2938" s="1595" t="s">
        <v>10383</v>
      </c>
      <c r="F2938" s="1595"/>
      <c r="G2938" s="1595"/>
      <c r="H2938" s="1596">
        <v>1</v>
      </c>
      <c r="I2938" s="1595"/>
      <c r="J2938" s="1595"/>
      <c r="K2938" s="1597">
        <v>1843596</v>
      </c>
      <c r="L2938" s="1597">
        <v>1843596</v>
      </c>
      <c r="M2938" s="1598"/>
      <c r="N2938" s="1597">
        <v>1843596</v>
      </c>
      <c r="O2938" s="1597">
        <v>1613146.5</v>
      </c>
      <c r="P2938" s="1598"/>
      <c r="Q2938" s="1597">
        <v>230449.5</v>
      </c>
      <c r="R2938" s="1597">
        <v>230449.5</v>
      </c>
      <c r="S2938" s="1592"/>
    </row>
    <row r="2939" spans="2:19" s="1593" customFormat="1" ht="21.75" customHeight="1" outlineLevel="1">
      <c r="B2939" s="1600" t="s">
        <v>10382</v>
      </c>
      <c r="C2939" s="1595" t="s">
        <v>2414</v>
      </c>
      <c r="D2939" s="1595" t="s">
        <v>10381</v>
      </c>
      <c r="E2939" s="1595" t="s">
        <v>2219</v>
      </c>
      <c r="F2939" s="1595" t="s">
        <v>2607</v>
      </c>
      <c r="G2939" s="1595" t="s">
        <v>10380</v>
      </c>
      <c r="H2939" s="1596">
        <v>1</v>
      </c>
      <c r="I2939" s="1595"/>
      <c r="J2939" s="1595"/>
      <c r="K2939" s="1597">
        <v>73743.839999999997</v>
      </c>
      <c r="L2939" s="1597">
        <v>73743.839999999997</v>
      </c>
      <c r="M2939" s="1598"/>
      <c r="N2939" s="1597">
        <v>73743.839999999997</v>
      </c>
      <c r="O2939" s="1597">
        <v>66369.48</v>
      </c>
      <c r="P2939" s="1598"/>
      <c r="Q2939" s="1597">
        <v>7374.36</v>
      </c>
      <c r="R2939" s="1597">
        <v>7374.36</v>
      </c>
      <c r="S2939" s="1592"/>
    </row>
    <row r="2940" spans="2:19" s="1593" customFormat="1" ht="11.25" customHeight="1" outlineLevel="1">
      <c r="B2940" s="1600" t="s">
        <v>10379</v>
      </c>
      <c r="C2940" s="1595" t="s">
        <v>2414</v>
      </c>
      <c r="D2940" s="1595" t="s">
        <v>10378</v>
      </c>
      <c r="E2940" s="1595" t="s">
        <v>2219</v>
      </c>
      <c r="F2940" s="1595" t="s">
        <v>10377</v>
      </c>
      <c r="G2940" s="1595" t="s">
        <v>10376</v>
      </c>
      <c r="H2940" s="1596">
        <v>1</v>
      </c>
      <c r="I2940" s="1595"/>
      <c r="J2940" s="1595"/>
      <c r="K2940" s="1597">
        <v>36354</v>
      </c>
      <c r="L2940" s="1597">
        <v>36354</v>
      </c>
      <c r="M2940" s="1598"/>
      <c r="N2940" s="1597">
        <v>36354</v>
      </c>
      <c r="O2940" s="1597">
        <v>31809.72</v>
      </c>
      <c r="P2940" s="1598"/>
      <c r="Q2940" s="1597">
        <v>4544.28</v>
      </c>
      <c r="R2940" s="1597">
        <v>4544.28</v>
      </c>
      <c r="S2940" s="1592"/>
    </row>
    <row r="2941" spans="2:19" s="1593" customFormat="1" ht="11.25" customHeight="1" outlineLevel="1">
      <c r="B2941" s="1600" t="s">
        <v>10375</v>
      </c>
      <c r="C2941" s="1595" t="s">
        <v>2414</v>
      </c>
      <c r="D2941" s="1595" t="s">
        <v>10374</v>
      </c>
      <c r="E2941" s="1595" t="s">
        <v>2219</v>
      </c>
      <c r="F2941" s="1595" t="s">
        <v>2563</v>
      </c>
      <c r="G2941" s="1595" t="s">
        <v>10373</v>
      </c>
      <c r="H2941" s="1596">
        <v>1</v>
      </c>
      <c r="I2941" s="1595"/>
      <c r="J2941" s="1595"/>
      <c r="K2941" s="1597">
        <v>719002.44</v>
      </c>
      <c r="L2941" s="1597">
        <v>719002.44</v>
      </c>
      <c r="M2941" s="1598"/>
      <c r="N2941" s="1597">
        <v>719002.44</v>
      </c>
      <c r="O2941" s="1597">
        <v>647102.16</v>
      </c>
      <c r="P2941" s="1598"/>
      <c r="Q2941" s="1597">
        <v>71900.28</v>
      </c>
      <c r="R2941" s="1597">
        <v>71900.28</v>
      </c>
      <c r="S2941" s="1592"/>
    </row>
    <row r="2942" spans="2:19" s="1593" customFormat="1" ht="21.75" customHeight="1" outlineLevel="1">
      <c r="B2942" s="1600" t="s">
        <v>10372</v>
      </c>
      <c r="C2942" s="1595" t="s">
        <v>2414</v>
      </c>
      <c r="D2942" s="1595" t="s">
        <v>10371</v>
      </c>
      <c r="E2942" s="1595" t="s">
        <v>2219</v>
      </c>
      <c r="F2942" s="1595"/>
      <c r="G2942" s="1595"/>
      <c r="H2942" s="1595"/>
      <c r="I2942" s="1595"/>
      <c r="J2942" s="1595"/>
      <c r="K2942" s="1597">
        <v>106638.39999999999</v>
      </c>
      <c r="L2942" s="1597">
        <v>106638.39999999999</v>
      </c>
      <c r="M2942" s="1598"/>
      <c r="N2942" s="1597">
        <v>106638.39999999999</v>
      </c>
      <c r="O2942" s="1597">
        <v>99973.48</v>
      </c>
      <c r="P2942" s="1598"/>
      <c r="Q2942" s="1597">
        <v>6664.92</v>
      </c>
      <c r="R2942" s="1597">
        <v>6664.92</v>
      </c>
      <c r="S2942" s="1592"/>
    </row>
    <row r="2943" spans="2:19" s="1593" customFormat="1" ht="21.75" customHeight="1" outlineLevel="1">
      <c r="B2943" s="1600" t="s">
        <v>10370</v>
      </c>
      <c r="C2943" s="1595" t="s">
        <v>2414</v>
      </c>
      <c r="D2943" s="1595" t="s">
        <v>10369</v>
      </c>
      <c r="E2943" s="1595" t="s">
        <v>2219</v>
      </c>
      <c r="F2943" s="1595"/>
      <c r="G2943" s="1595"/>
      <c r="H2943" s="1595"/>
      <c r="I2943" s="1595"/>
      <c r="J2943" s="1595"/>
      <c r="K2943" s="1597">
        <v>121180</v>
      </c>
      <c r="L2943" s="1597">
        <v>121180</v>
      </c>
      <c r="M2943" s="1598"/>
      <c r="N2943" s="1597">
        <v>121180</v>
      </c>
      <c r="O2943" s="1597">
        <v>114912.04</v>
      </c>
      <c r="P2943" s="1598"/>
      <c r="Q2943" s="1597">
        <v>6267.96</v>
      </c>
      <c r="R2943" s="1597">
        <v>6267.96</v>
      </c>
      <c r="S2943" s="1592"/>
    </row>
    <row r="2944" spans="2:19" s="1593" customFormat="1" ht="11.25" customHeight="1" outlineLevel="1">
      <c r="B2944" s="1600" t="s">
        <v>10368</v>
      </c>
      <c r="C2944" s="1595" t="s">
        <v>2414</v>
      </c>
      <c r="D2944" s="1595" t="s">
        <v>10367</v>
      </c>
      <c r="E2944" s="1595"/>
      <c r="F2944" s="1595"/>
      <c r="G2944" s="1595"/>
      <c r="H2944" s="1595"/>
      <c r="I2944" s="1595"/>
      <c r="J2944" s="1595"/>
      <c r="K2944" s="1597">
        <v>2408.73</v>
      </c>
      <c r="L2944" s="1597">
        <v>2408.73</v>
      </c>
      <c r="M2944" s="1598"/>
      <c r="N2944" s="1597">
        <v>2408.73</v>
      </c>
      <c r="O2944" s="1597">
        <v>2284.17</v>
      </c>
      <c r="P2944" s="1598"/>
      <c r="Q2944" s="1599">
        <v>124.56</v>
      </c>
      <c r="R2944" s="1599">
        <v>124.56</v>
      </c>
      <c r="S2944" s="1592"/>
    </row>
    <row r="2945" spans="2:19" s="1593" customFormat="1" ht="11.25" customHeight="1" outlineLevel="1">
      <c r="B2945" s="1600" t="s">
        <v>10366</v>
      </c>
      <c r="C2945" s="1595" t="s">
        <v>2414</v>
      </c>
      <c r="D2945" s="1595" t="s">
        <v>10365</v>
      </c>
      <c r="E2945" s="1595"/>
      <c r="F2945" s="1595"/>
      <c r="G2945" s="1595"/>
      <c r="H2945" s="1595"/>
      <c r="I2945" s="1595"/>
      <c r="J2945" s="1595"/>
      <c r="K2945" s="1597">
        <v>1047.28</v>
      </c>
      <c r="L2945" s="1597">
        <v>1047.28</v>
      </c>
      <c r="M2945" s="1598"/>
      <c r="N2945" s="1597">
        <v>1047.28</v>
      </c>
      <c r="O2945" s="1599">
        <v>981.88</v>
      </c>
      <c r="P2945" s="1598"/>
      <c r="Q2945" s="1599">
        <v>65.400000000000006</v>
      </c>
      <c r="R2945" s="1599">
        <v>65.400000000000006</v>
      </c>
      <c r="S2945" s="1592"/>
    </row>
    <row r="2946" spans="2:19" s="1593" customFormat="1" ht="11.25" customHeight="1" outlineLevel="1">
      <c r="B2946" s="1600" t="s">
        <v>10364</v>
      </c>
      <c r="C2946" s="1595" t="s">
        <v>2414</v>
      </c>
      <c r="D2946" s="1595" t="s">
        <v>10363</v>
      </c>
      <c r="E2946" s="1595"/>
      <c r="F2946" s="1595"/>
      <c r="G2946" s="1595"/>
      <c r="H2946" s="1595"/>
      <c r="I2946" s="1595"/>
      <c r="J2946" s="1595"/>
      <c r="K2946" s="1597">
        <v>7330.93</v>
      </c>
      <c r="L2946" s="1597">
        <v>7330.93</v>
      </c>
      <c r="M2946" s="1598"/>
      <c r="N2946" s="1597">
        <v>7330.93</v>
      </c>
      <c r="O2946" s="1597">
        <v>6951.73</v>
      </c>
      <c r="P2946" s="1598"/>
      <c r="Q2946" s="1599">
        <v>379.2</v>
      </c>
      <c r="R2946" s="1599">
        <v>379.2</v>
      </c>
      <c r="S2946" s="1592"/>
    </row>
    <row r="2947" spans="2:19" s="1593" customFormat="1" ht="11.25" customHeight="1" outlineLevel="1">
      <c r="B2947" s="1600" t="s">
        <v>10362</v>
      </c>
      <c r="C2947" s="1595" t="s">
        <v>2414</v>
      </c>
      <c r="D2947" s="1595" t="s">
        <v>10361</v>
      </c>
      <c r="E2947" s="1595" t="s">
        <v>2219</v>
      </c>
      <c r="F2947" s="1595"/>
      <c r="G2947" s="1595"/>
      <c r="H2947" s="1595"/>
      <c r="I2947" s="1595"/>
      <c r="J2947" s="1595"/>
      <c r="K2947" s="1597">
        <v>101791.2</v>
      </c>
      <c r="L2947" s="1597">
        <v>101791.2</v>
      </c>
      <c r="M2947" s="1598"/>
      <c r="N2947" s="1597">
        <v>101791.2</v>
      </c>
      <c r="O2947" s="1597">
        <v>96526.1</v>
      </c>
      <c r="P2947" s="1598"/>
      <c r="Q2947" s="1597">
        <v>5265.1</v>
      </c>
      <c r="R2947" s="1597">
        <v>5265.1</v>
      </c>
      <c r="S2947" s="1592"/>
    </row>
    <row r="2948" spans="2:19" s="1593" customFormat="1" ht="11.25" customHeight="1" outlineLevel="1">
      <c r="B2948" s="1600" t="s">
        <v>10360</v>
      </c>
      <c r="C2948" s="1595" t="s">
        <v>2414</v>
      </c>
      <c r="D2948" s="1595" t="s">
        <v>10359</v>
      </c>
      <c r="E2948" s="1595" t="s">
        <v>2219</v>
      </c>
      <c r="F2948" s="1595"/>
      <c r="G2948" s="1595"/>
      <c r="H2948" s="1595"/>
      <c r="I2948" s="1595"/>
      <c r="J2948" s="1595"/>
      <c r="K2948" s="1597">
        <v>737438.4</v>
      </c>
      <c r="L2948" s="1597">
        <v>737438.4</v>
      </c>
      <c r="M2948" s="1598"/>
      <c r="N2948" s="1597">
        <v>737438.4</v>
      </c>
      <c r="O2948" s="1597">
        <v>699295.08</v>
      </c>
      <c r="P2948" s="1598"/>
      <c r="Q2948" s="1597">
        <v>38143.32</v>
      </c>
      <c r="R2948" s="1597">
        <v>38143.32</v>
      </c>
      <c r="S2948" s="1592"/>
    </row>
    <row r="2949" spans="2:19" s="1593" customFormat="1" ht="11.25" customHeight="1" outlineLevel="1">
      <c r="B2949" s="1600" t="s">
        <v>10358</v>
      </c>
      <c r="C2949" s="1595" t="s">
        <v>2406</v>
      </c>
      <c r="D2949" s="1595" t="s">
        <v>10357</v>
      </c>
      <c r="E2949" s="1595" t="s">
        <v>2288</v>
      </c>
      <c r="F2949" s="1595"/>
      <c r="G2949" s="1595"/>
      <c r="H2949" s="1596">
        <v>1</v>
      </c>
      <c r="I2949" s="1595"/>
      <c r="J2949" s="1595"/>
      <c r="K2949" s="1597">
        <v>54895.34</v>
      </c>
      <c r="L2949" s="1598"/>
      <c r="M2949" s="1597">
        <v>54895.34</v>
      </c>
      <c r="N2949" s="1597">
        <v>54895.34</v>
      </c>
      <c r="O2949" s="1597">
        <v>44831.22</v>
      </c>
      <c r="P2949" s="1598"/>
      <c r="Q2949" s="1597">
        <v>10064.120000000001</v>
      </c>
      <c r="R2949" s="1597">
        <v>10064.120000000001</v>
      </c>
      <c r="S2949" s="1592"/>
    </row>
    <row r="2950" spans="2:19" s="1593" customFormat="1" ht="11.25" customHeight="1" outlineLevel="1">
      <c r="B2950" s="1600" t="s">
        <v>10356</v>
      </c>
      <c r="C2950" s="1595" t="s">
        <v>2400</v>
      </c>
      <c r="D2950" s="1595" t="s">
        <v>10355</v>
      </c>
      <c r="E2950" s="1595" t="s">
        <v>2288</v>
      </c>
      <c r="F2950" s="1595"/>
      <c r="G2950" s="1595"/>
      <c r="H2950" s="1596">
        <v>1</v>
      </c>
      <c r="I2950" s="1595"/>
      <c r="J2950" s="1595"/>
      <c r="K2950" s="1597">
        <v>41392.5</v>
      </c>
      <c r="L2950" s="1598"/>
      <c r="M2950" s="1597">
        <v>41392.5</v>
      </c>
      <c r="N2950" s="1597">
        <v>41392.5</v>
      </c>
      <c r="O2950" s="1597">
        <v>34493.75</v>
      </c>
      <c r="P2950" s="1598"/>
      <c r="Q2950" s="1597">
        <v>6898.75</v>
      </c>
      <c r="R2950" s="1597">
        <v>6898.75</v>
      </c>
      <c r="S2950" s="1592"/>
    </row>
    <row r="2951" spans="2:19" s="1593" customFormat="1" ht="21.75" customHeight="1" outlineLevel="1">
      <c r="B2951" s="1600" t="s">
        <v>10354</v>
      </c>
      <c r="C2951" s="1595" t="s">
        <v>10353</v>
      </c>
      <c r="D2951" s="1595" t="s">
        <v>10352</v>
      </c>
      <c r="E2951" s="1595"/>
      <c r="F2951" s="1595"/>
      <c r="G2951" s="1595"/>
      <c r="H2951" s="1595"/>
      <c r="I2951" s="1595"/>
      <c r="J2951" s="1595"/>
      <c r="K2951" s="1597">
        <v>15121.78</v>
      </c>
      <c r="L2951" s="1598"/>
      <c r="M2951" s="1597">
        <v>15121.78</v>
      </c>
      <c r="N2951" s="1597">
        <v>15121.78</v>
      </c>
      <c r="O2951" s="1597">
        <v>14568.55</v>
      </c>
      <c r="P2951" s="1598"/>
      <c r="Q2951" s="1599">
        <v>553.23</v>
      </c>
      <c r="R2951" s="1599">
        <v>553.23</v>
      </c>
      <c r="S2951" s="1592"/>
    </row>
    <row r="2952" spans="2:19" s="1593" customFormat="1" ht="21.75" customHeight="1" outlineLevel="1">
      <c r="B2952" s="1600" t="s">
        <v>10351</v>
      </c>
      <c r="C2952" s="1595" t="s">
        <v>2278</v>
      </c>
      <c r="D2952" s="1595" t="s">
        <v>10350</v>
      </c>
      <c r="E2952" s="1595" t="s">
        <v>2208</v>
      </c>
      <c r="F2952" s="1595"/>
      <c r="G2952" s="1595"/>
      <c r="H2952" s="1596">
        <v>1</v>
      </c>
      <c r="I2952" s="1595"/>
      <c r="J2952" s="1595"/>
      <c r="K2952" s="1597">
        <v>304484.15999999997</v>
      </c>
      <c r="L2952" s="1598"/>
      <c r="M2952" s="1597">
        <v>304484.15999999997</v>
      </c>
      <c r="N2952" s="1597">
        <v>304484.15999999997</v>
      </c>
      <c r="O2952" s="1597">
        <v>301101</v>
      </c>
      <c r="P2952" s="1598"/>
      <c r="Q2952" s="1597">
        <v>3383.16</v>
      </c>
      <c r="R2952" s="1597">
        <v>3383.16</v>
      </c>
      <c r="S2952" s="1592"/>
    </row>
    <row r="2953" spans="2:19" s="1593" customFormat="1" ht="21.75" customHeight="1" outlineLevel="1">
      <c r="B2953" s="1600" t="s">
        <v>10349</v>
      </c>
      <c r="C2953" s="1595" t="s">
        <v>2278</v>
      </c>
      <c r="D2953" s="1595" t="s">
        <v>10348</v>
      </c>
      <c r="E2953" s="1595" t="s">
        <v>2266</v>
      </c>
      <c r="F2953" s="1595"/>
      <c r="G2953" s="1595"/>
      <c r="H2953" s="1596">
        <v>1</v>
      </c>
      <c r="I2953" s="1595"/>
      <c r="J2953" s="1595"/>
      <c r="K2953" s="1597">
        <v>454525.81</v>
      </c>
      <c r="L2953" s="1598"/>
      <c r="M2953" s="1597">
        <v>454525.81</v>
      </c>
      <c r="N2953" s="1597">
        <v>454525.81</v>
      </c>
      <c r="O2953" s="1597">
        <v>449475.53</v>
      </c>
      <c r="P2953" s="1598"/>
      <c r="Q2953" s="1597">
        <v>5050.28</v>
      </c>
      <c r="R2953" s="1597">
        <v>5050.28</v>
      </c>
      <c r="S2953" s="1592"/>
    </row>
    <row r="2954" spans="2:19" s="1593" customFormat="1" ht="21.75" customHeight="1" outlineLevel="1">
      <c r="B2954" s="1600" t="s">
        <v>10347</v>
      </c>
      <c r="C2954" s="1595" t="s">
        <v>2278</v>
      </c>
      <c r="D2954" s="1595" t="s">
        <v>10346</v>
      </c>
      <c r="E2954" s="1595" t="s">
        <v>2266</v>
      </c>
      <c r="F2954" s="1595"/>
      <c r="G2954" s="1595"/>
      <c r="H2954" s="1596">
        <v>1</v>
      </c>
      <c r="I2954" s="1595"/>
      <c r="J2954" s="1595"/>
      <c r="K2954" s="1597">
        <v>874531.24</v>
      </c>
      <c r="L2954" s="1598"/>
      <c r="M2954" s="1597">
        <v>874531.24</v>
      </c>
      <c r="N2954" s="1597">
        <v>874531.24</v>
      </c>
      <c r="O2954" s="1597">
        <v>864814.22</v>
      </c>
      <c r="P2954" s="1598"/>
      <c r="Q2954" s="1597">
        <v>9717.02</v>
      </c>
      <c r="R2954" s="1597">
        <v>9717.02</v>
      </c>
      <c r="S2954" s="1592"/>
    </row>
    <row r="2955" spans="2:19" s="1593" customFormat="1" ht="21.75" customHeight="1" outlineLevel="1">
      <c r="B2955" s="1600" t="s">
        <v>10345</v>
      </c>
      <c r="C2955" s="1595" t="s">
        <v>2278</v>
      </c>
      <c r="D2955" s="1595" t="s">
        <v>10344</v>
      </c>
      <c r="E2955" s="1595" t="s">
        <v>2266</v>
      </c>
      <c r="F2955" s="1595"/>
      <c r="G2955" s="1595"/>
      <c r="H2955" s="1596">
        <v>1</v>
      </c>
      <c r="I2955" s="1595"/>
      <c r="J2955" s="1595"/>
      <c r="K2955" s="1597">
        <v>193856.61</v>
      </c>
      <c r="L2955" s="1598"/>
      <c r="M2955" s="1597">
        <v>193856.61</v>
      </c>
      <c r="N2955" s="1597">
        <v>193856.61</v>
      </c>
      <c r="O2955" s="1597">
        <v>189240.97</v>
      </c>
      <c r="P2955" s="1598"/>
      <c r="Q2955" s="1597">
        <v>4615.6400000000003</v>
      </c>
      <c r="R2955" s="1597">
        <v>4615.6400000000003</v>
      </c>
      <c r="S2955" s="1592"/>
    </row>
    <row r="2956" spans="2:19" s="1593" customFormat="1" ht="21.75" customHeight="1" outlineLevel="1">
      <c r="B2956" s="1600" t="s">
        <v>10343</v>
      </c>
      <c r="C2956" s="1595" t="s">
        <v>2278</v>
      </c>
      <c r="D2956" s="1595" t="s">
        <v>10342</v>
      </c>
      <c r="E2956" s="1595" t="s">
        <v>2208</v>
      </c>
      <c r="F2956" s="1595"/>
      <c r="G2956" s="1595"/>
      <c r="H2956" s="1596">
        <v>1</v>
      </c>
      <c r="I2956" s="1601">
        <v>34</v>
      </c>
      <c r="J2956" s="1595"/>
      <c r="K2956" s="1597">
        <v>154956.82</v>
      </c>
      <c r="L2956" s="1598"/>
      <c r="M2956" s="1597">
        <v>154956.82</v>
      </c>
      <c r="N2956" s="1597">
        <v>154956.82</v>
      </c>
      <c r="O2956" s="1597">
        <v>154098.34</v>
      </c>
      <c r="P2956" s="1598"/>
      <c r="Q2956" s="1599">
        <v>858.48</v>
      </c>
      <c r="R2956" s="1599">
        <v>858.48</v>
      </c>
      <c r="S2956" s="1592"/>
    </row>
    <row r="2957" spans="2:19" s="1593" customFormat="1" ht="21.75" customHeight="1" outlineLevel="1">
      <c r="B2957" s="1600" t="s">
        <v>10341</v>
      </c>
      <c r="C2957" s="1595" t="s">
        <v>2278</v>
      </c>
      <c r="D2957" s="1595" t="s">
        <v>10340</v>
      </c>
      <c r="E2957" s="1595" t="s">
        <v>2208</v>
      </c>
      <c r="F2957" s="1595"/>
      <c r="G2957" s="1595"/>
      <c r="H2957" s="1596">
        <v>2</v>
      </c>
      <c r="I2957" s="1601">
        <v>6</v>
      </c>
      <c r="J2957" s="1595"/>
      <c r="K2957" s="1597">
        <v>15690.86</v>
      </c>
      <c r="L2957" s="1598"/>
      <c r="M2957" s="1597">
        <v>15690.86</v>
      </c>
      <c r="N2957" s="1597">
        <v>15690.86</v>
      </c>
      <c r="O2957" s="1597">
        <v>15603.68</v>
      </c>
      <c r="P2957" s="1598"/>
      <c r="Q2957" s="1599">
        <v>87.18</v>
      </c>
      <c r="R2957" s="1599">
        <v>87.18</v>
      </c>
      <c r="S2957" s="1592"/>
    </row>
    <row r="2958" spans="2:19" s="1593" customFormat="1" ht="21.75" customHeight="1" outlineLevel="1">
      <c r="B2958" s="1600" t="s">
        <v>10339</v>
      </c>
      <c r="C2958" s="1595" t="s">
        <v>2278</v>
      </c>
      <c r="D2958" s="1595" t="s">
        <v>10338</v>
      </c>
      <c r="E2958" s="1595" t="s">
        <v>2288</v>
      </c>
      <c r="F2958" s="1595"/>
      <c r="G2958" s="1595"/>
      <c r="H2958" s="1596">
        <v>1</v>
      </c>
      <c r="I2958" s="1595"/>
      <c r="J2958" s="1595"/>
      <c r="K2958" s="1597">
        <v>133437.60999999999</v>
      </c>
      <c r="L2958" s="1598"/>
      <c r="M2958" s="1597">
        <v>133437.60999999999</v>
      </c>
      <c r="N2958" s="1597">
        <v>133437.60999999999</v>
      </c>
      <c r="O2958" s="1597">
        <v>128989.69</v>
      </c>
      <c r="P2958" s="1598"/>
      <c r="Q2958" s="1597">
        <v>4447.92</v>
      </c>
      <c r="R2958" s="1597">
        <v>4447.92</v>
      </c>
      <c r="S2958" s="1592"/>
    </row>
    <row r="2959" spans="2:19" s="1593" customFormat="1" ht="21.75" customHeight="1" outlineLevel="1">
      <c r="B2959" s="1600" t="s">
        <v>10337</v>
      </c>
      <c r="C2959" s="1595" t="s">
        <v>2210</v>
      </c>
      <c r="D2959" s="1595" t="s">
        <v>10336</v>
      </c>
      <c r="E2959" s="1595" t="s">
        <v>2214</v>
      </c>
      <c r="F2959" s="1595"/>
      <c r="G2959" s="1595"/>
      <c r="H2959" s="1596">
        <v>1</v>
      </c>
      <c r="I2959" s="1595"/>
      <c r="J2959" s="1595"/>
      <c r="K2959" s="1597">
        <v>206891.93</v>
      </c>
      <c r="L2959" s="1598"/>
      <c r="M2959" s="1597">
        <v>206891.93</v>
      </c>
      <c r="N2959" s="1597">
        <v>206891.93</v>
      </c>
      <c r="O2959" s="1597">
        <v>206891.93</v>
      </c>
      <c r="P2959" s="1598"/>
      <c r="Q2959" s="1598"/>
      <c r="R2959" s="1598"/>
      <c r="S2959" s="1592"/>
    </row>
    <row r="2960" spans="2:19" s="1593" customFormat="1" ht="21.75" customHeight="1" outlineLevel="1">
      <c r="B2960" s="1600" t="s">
        <v>10335</v>
      </c>
      <c r="C2960" s="1595" t="s">
        <v>2210</v>
      </c>
      <c r="D2960" s="1595" t="s">
        <v>10334</v>
      </c>
      <c r="E2960" s="1595" t="s">
        <v>2208</v>
      </c>
      <c r="F2960" s="1595"/>
      <c r="G2960" s="1595"/>
      <c r="H2960" s="1596">
        <v>1</v>
      </c>
      <c r="I2960" s="1601">
        <v>100</v>
      </c>
      <c r="J2960" s="1595"/>
      <c r="K2960" s="1597">
        <v>182936.19</v>
      </c>
      <c r="L2960" s="1598"/>
      <c r="M2960" s="1597">
        <v>182936.19</v>
      </c>
      <c r="N2960" s="1597">
        <v>182936.19</v>
      </c>
      <c r="O2960" s="1597">
        <v>182936.19</v>
      </c>
      <c r="P2960" s="1598"/>
      <c r="Q2960" s="1598"/>
      <c r="R2960" s="1598"/>
      <c r="S2960" s="1592"/>
    </row>
    <row r="2961" spans="2:19" s="1593" customFormat="1" ht="5.0999999999999996" customHeight="1">
      <c r="S2961" s="1592"/>
    </row>
    <row r="2962" spans="2:19" ht="21.75" customHeight="1">
      <c r="B2962" s="1575" t="s">
        <v>10333</v>
      </c>
      <c r="C2962" s="1575"/>
      <c r="D2962" s="1575" t="s">
        <v>10332</v>
      </c>
      <c r="E2962" s="1575"/>
      <c r="F2962" s="1575"/>
      <c r="G2962" s="1575"/>
      <c r="H2962" s="1575">
        <v>1</v>
      </c>
      <c r="I2962" s="1575"/>
      <c r="J2962" s="1575"/>
      <c r="K2962" s="1574">
        <v>653630992.25</v>
      </c>
      <c r="L2962" s="1574">
        <v>926561248.58000004</v>
      </c>
      <c r="M2962" s="1574">
        <v>105322447.56999999</v>
      </c>
      <c r="N2962" s="1574">
        <v>1031883696.15</v>
      </c>
      <c r="O2962" s="1574">
        <v>787457546.38</v>
      </c>
      <c r="P2962" s="1574">
        <v>208635260.41999999</v>
      </c>
      <c r="Q2962" s="1574">
        <v>35790889.350000001</v>
      </c>
      <c r="R2962" s="1574">
        <v>244426149.77000001</v>
      </c>
      <c r="S2962" s="1562">
        <f>R2962/N2962</f>
        <v>0.23687373943591114</v>
      </c>
    </row>
    <row r="2963" spans="2:19" ht="11.25" customHeight="1" outlineLevel="1">
      <c r="B2963" s="1573">
        <v>10179</v>
      </c>
      <c r="C2963" s="1566" t="s">
        <v>5403</v>
      </c>
      <c r="D2963" s="1566" t="s">
        <v>10331</v>
      </c>
      <c r="E2963" s="1566"/>
      <c r="F2963" s="1566"/>
      <c r="G2963" s="1566"/>
      <c r="H2963" s="1568">
        <v>1</v>
      </c>
      <c r="I2963" s="1566"/>
      <c r="J2963" s="1566"/>
      <c r="K2963" s="1572">
        <v>237</v>
      </c>
      <c r="L2963" s="1572">
        <v>237.04</v>
      </c>
      <c r="M2963" s="1572">
        <v>-237.04</v>
      </c>
      <c r="N2963" s="1564"/>
      <c r="O2963" s="1564"/>
      <c r="P2963" s="1572">
        <v>237.04</v>
      </c>
      <c r="Q2963" s="1572">
        <v>-237.04</v>
      </c>
      <c r="R2963" s="1564"/>
      <c r="S2963" s="1562"/>
    </row>
    <row r="2964" spans="2:19" ht="11.25" customHeight="1" outlineLevel="1">
      <c r="B2964" s="1573">
        <v>10299</v>
      </c>
      <c r="C2964" s="1566" t="s">
        <v>5403</v>
      </c>
      <c r="D2964" s="1566" t="s">
        <v>10330</v>
      </c>
      <c r="E2964" s="1566"/>
      <c r="F2964" s="1566"/>
      <c r="G2964" s="1566"/>
      <c r="H2964" s="1568">
        <v>1</v>
      </c>
      <c r="I2964" s="1566"/>
      <c r="J2964" s="1566"/>
      <c r="K2964" s="1572">
        <v>63</v>
      </c>
      <c r="L2964" s="1565">
        <v>5114</v>
      </c>
      <c r="M2964" s="1565">
        <v>-5114</v>
      </c>
      <c r="N2964" s="1564"/>
      <c r="O2964" s="1564"/>
      <c r="P2964" s="1565">
        <v>5114</v>
      </c>
      <c r="Q2964" s="1565">
        <v>-5114</v>
      </c>
      <c r="R2964" s="1564"/>
      <c r="S2964" s="1562"/>
    </row>
    <row r="2965" spans="2:19" ht="11.25" customHeight="1" outlineLevel="1">
      <c r="B2965" s="1573">
        <v>10300</v>
      </c>
      <c r="C2965" s="1566" t="s">
        <v>5403</v>
      </c>
      <c r="D2965" s="1566" t="s">
        <v>10329</v>
      </c>
      <c r="E2965" s="1566"/>
      <c r="F2965" s="1566"/>
      <c r="G2965" s="1566"/>
      <c r="H2965" s="1568">
        <v>1</v>
      </c>
      <c r="I2965" s="1566"/>
      <c r="J2965" s="1566"/>
      <c r="K2965" s="1572">
        <v>121</v>
      </c>
      <c r="L2965" s="1572">
        <v>121.06</v>
      </c>
      <c r="M2965" s="1572">
        <v>-121.06</v>
      </c>
      <c r="N2965" s="1564"/>
      <c r="O2965" s="1564"/>
      <c r="P2965" s="1572">
        <v>121.06</v>
      </c>
      <c r="Q2965" s="1572">
        <v>-121.06</v>
      </c>
      <c r="R2965" s="1564"/>
      <c r="S2965" s="1562"/>
    </row>
    <row r="2966" spans="2:19" ht="11.25" customHeight="1" outlineLevel="1">
      <c r="B2966" s="1573">
        <v>10301</v>
      </c>
      <c r="C2966" s="1566" t="s">
        <v>5403</v>
      </c>
      <c r="D2966" s="1566" t="s">
        <v>10328</v>
      </c>
      <c r="E2966" s="1566"/>
      <c r="F2966" s="1566"/>
      <c r="G2966" s="1566"/>
      <c r="H2966" s="1568">
        <v>1</v>
      </c>
      <c r="I2966" s="1566"/>
      <c r="J2966" s="1566"/>
      <c r="K2966" s="1572">
        <v>62</v>
      </c>
      <c r="L2966" s="1572">
        <v>62</v>
      </c>
      <c r="M2966" s="1572">
        <v>-62</v>
      </c>
      <c r="N2966" s="1564"/>
      <c r="O2966" s="1564"/>
      <c r="P2966" s="1572">
        <v>62</v>
      </c>
      <c r="Q2966" s="1572">
        <v>-62</v>
      </c>
      <c r="R2966" s="1564"/>
      <c r="S2966" s="1562"/>
    </row>
    <row r="2967" spans="2:19" ht="11.25" customHeight="1" outlineLevel="1">
      <c r="B2967" s="1573">
        <v>10302</v>
      </c>
      <c r="C2967" s="1566" t="s">
        <v>5403</v>
      </c>
      <c r="D2967" s="1566" t="s">
        <v>10327</v>
      </c>
      <c r="E2967" s="1566"/>
      <c r="F2967" s="1566"/>
      <c r="G2967" s="1566"/>
      <c r="H2967" s="1568">
        <v>1</v>
      </c>
      <c r="I2967" s="1566"/>
      <c r="J2967" s="1566"/>
      <c r="K2967" s="1572">
        <v>182</v>
      </c>
      <c r="L2967" s="1572">
        <v>181.8</v>
      </c>
      <c r="M2967" s="1572">
        <v>-181.8</v>
      </c>
      <c r="N2967" s="1564"/>
      <c r="O2967" s="1564"/>
      <c r="P2967" s="1572">
        <v>181.8</v>
      </c>
      <c r="Q2967" s="1572">
        <v>-181.8</v>
      </c>
      <c r="R2967" s="1564"/>
      <c r="S2967" s="1562"/>
    </row>
    <row r="2968" spans="2:19" ht="11.25" customHeight="1" outlineLevel="1">
      <c r="B2968" s="1573">
        <v>10303</v>
      </c>
      <c r="C2968" s="1566" t="s">
        <v>5403</v>
      </c>
      <c r="D2968" s="1566" t="s">
        <v>10326</v>
      </c>
      <c r="E2968" s="1566"/>
      <c r="F2968" s="1566"/>
      <c r="G2968" s="1566"/>
      <c r="H2968" s="1568">
        <v>1</v>
      </c>
      <c r="I2968" s="1566"/>
      <c r="J2968" s="1566"/>
      <c r="K2968" s="1572">
        <v>503</v>
      </c>
      <c r="L2968" s="1572">
        <v>502.75</v>
      </c>
      <c r="M2968" s="1572">
        <v>-502.75</v>
      </c>
      <c r="N2968" s="1564"/>
      <c r="O2968" s="1564"/>
      <c r="P2968" s="1572">
        <v>502.75</v>
      </c>
      <c r="Q2968" s="1572">
        <v>-502.75</v>
      </c>
      <c r="R2968" s="1564"/>
      <c r="S2968" s="1562"/>
    </row>
    <row r="2969" spans="2:19" ht="11.25" customHeight="1" outlineLevel="1">
      <c r="B2969" s="1573">
        <v>10304</v>
      </c>
      <c r="C2969" s="1566" t="s">
        <v>5403</v>
      </c>
      <c r="D2969" s="1566" t="s">
        <v>10325</v>
      </c>
      <c r="E2969" s="1566"/>
      <c r="F2969" s="1566"/>
      <c r="G2969" s="1566"/>
      <c r="H2969" s="1568">
        <v>1</v>
      </c>
      <c r="I2969" s="1566"/>
      <c r="J2969" s="1566"/>
      <c r="K2969" s="1572">
        <v>511</v>
      </c>
      <c r="L2969" s="1572">
        <v>511</v>
      </c>
      <c r="M2969" s="1572">
        <v>-511</v>
      </c>
      <c r="N2969" s="1564"/>
      <c r="O2969" s="1564"/>
      <c r="P2969" s="1572">
        <v>511</v>
      </c>
      <c r="Q2969" s="1572">
        <v>-511</v>
      </c>
      <c r="R2969" s="1564"/>
      <c r="S2969" s="1562"/>
    </row>
    <row r="2970" spans="2:19" ht="11.25" customHeight="1" outlineLevel="1">
      <c r="B2970" s="1573">
        <v>10305</v>
      </c>
      <c r="C2970" s="1566" t="s">
        <v>5403</v>
      </c>
      <c r="D2970" s="1566" t="s">
        <v>10324</v>
      </c>
      <c r="E2970" s="1566"/>
      <c r="F2970" s="1566"/>
      <c r="G2970" s="1566"/>
      <c r="H2970" s="1568">
        <v>1</v>
      </c>
      <c r="I2970" s="1566"/>
      <c r="J2970" s="1566"/>
      <c r="K2970" s="1572">
        <v>632</v>
      </c>
      <c r="L2970" s="1572">
        <v>632</v>
      </c>
      <c r="M2970" s="1572">
        <v>-632</v>
      </c>
      <c r="N2970" s="1564"/>
      <c r="O2970" s="1564"/>
      <c r="P2970" s="1572">
        <v>632</v>
      </c>
      <c r="Q2970" s="1572">
        <v>-632</v>
      </c>
      <c r="R2970" s="1564"/>
      <c r="S2970" s="1562"/>
    </row>
    <row r="2971" spans="2:19" ht="11.25" customHeight="1" outlineLevel="1">
      <c r="B2971" s="1573">
        <v>10306</v>
      </c>
      <c r="C2971" s="1566" t="s">
        <v>5403</v>
      </c>
      <c r="D2971" s="1566" t="s">
        <v>10323</v>
      </c>
      <c r="E2971" s="1566"/>
      <c r="F2971" s="1566"/>
      <c r="G2971" s="1566"/>
      <c r="H2971" s="1568">
        <v>1</v>
      </c>
      <c r="I2971" s="1566"/>
      <c r="J2971" s="1566"/>
      <c r="K2971" s="1565">
        <v>1476</v>
      </c>
      <c r="L2971" s="1565">
        <v>1475.5</v>
      </c>
      <c r="M2971" s="1565">
        <v>-1475.5</v>
      </c>
      <c r="N2971" s="1564"/>
      <c r="O2971" s="1564"/>
      <c r="P2971" s="1565">
        <v>1475.5</v>
      </c>
      <c r="Q2971" s="1565">
        <v>-1475.5</v>
      </c>
      <c r="R2971" s="1564"/>
      <c r="S2971" s="1562"/>
    </row>
    <row r="2972" spans="2:19" ht="11.25" customHeight="1" outlineLevel="1">
      <c r="B2972" s="1573">
        <v>10307</v>
      </c>
      <c r="C2972" s="1566" t="s">
        <v>5403</v>
      </c>
      <c r="D2972" s="1566" t="s">
        <v>10322</v>
      </c>
      <c r="E2972" s="1566"/>
      <c r="F2972" s="1566"/>
      <c r="G2972" s="1566"/>
      <c r="H2972" s="1568">
        <v>1</v>
      </c>
      <c r="I2972" s="1566"/>
      <c r="J2972" s="1566"/>
      <c r="K2972" s="1572">
        <v>64</v>
      </c>
      <c r="L2972" s="1565">
        <v>9967</v>
      </c>
      <c r="M2972" s="1565">
        <v>-9967</v>
      </c>
      <c r="N2972" s="1564"/>
      <c r="O2972" s="1564"/>
      <c r="P2972" s="1565">
        <v>9967</v>
      </c>
      <c r="Q2972" s="1565">
        <v>-9967</v>
      </c>
      <c r="R2972" s="1564"/>
      <c r="S2972" s="1562"/>
    </row>
    <row r="2973" spans="2:19" ht="11.25" customHeight="1" outlineLevel="1">
      <c r="B2973" s="1573">
        <v>10308</v>
      </c>
      <c r="C2973" s="1566" t="s">
        <v>5403</v>
      </c>
      <c r="D2973" s="1566" t="s">
        <v>10321</v>
      </c>
      <c r="E2973" s="1566"/>
      <c r="F2973" s="1566"/>
      <c r="G2973" s="1566"/>
      <c r="H2973" s="1568">
        <v>1</v>
      </c>
      <c r="I2973" s="1566"/>
      <c r="J2973" s="1566"/>
      <c r="K2973" s="1572">
        <v>112</v>
      </c>
      <c r="L2973" s="1565">
        <v>8843</v>
      </c>
      <c r="M2973" s="1565">
        <v>-8843</v>
      </c>
      <c r="N2973" s="1564"/>
      <c r="O2973" s="1564"/>
      <c r="P2973" s="1565">
        <v>8843</v>
      </c>
      <c r="Q2973" s="1565">
        <v>-8843</v>
      </c>
      <c r="R2973" s="1564"/>
      <c r="S2973" s="1562"/>
    </row>
    <row r="2974" spans="2:19" ht="11.25" customHeight="1" outlineLevel="1">
      <c r="B2974" s="1573">
        <v>10309</v>
      </c>
      <c r="C2974" s="1566" t="s">
        <v>5403</v>
      </c>
      <c r="D2974" s="1566" t="s">
        <v>10320</v>
      </c>
      <c r="E2974" s="1566"/>
      <c r="F2974" s="1566"/>
      <c r="G2974" s="1566"/>
      <c r="H2974" s="1568">
        <v>1</v>
      </c>
      <c r="I2974" s="1566"/>
      <c r="J2974" s="1566"/>
      <c r="K2974" s="1572">
        <v>62</v>
      </c>
      <c r="L2974" s="1565">
        <v>3328</v>
      </c>
      <c r="M2974" s="1565">
        <v>-3328</v>
      </c>
      <c r="N2974" s="1564"/>
      <c r="O2974" s="1564"/>
      <c r="P2974" s="1565">
        <v>3328</v>
      </c>
      <c r="Q2974" s="1565">
        <v>-3328</v>
      </c>
      <c r="R2974" s="1564"/>
      <c r="S2974" s="1562"/>
    </row>
    <row r="2975" spans="2:19" ht="11.25" customHeight="1" outlineLevel="1">
      <c r="B2975" s="1573">
        <v>10310</v>
      </c>
      <c r="C2975" s="1566" t="s">
        <v>5403</v>
      </c>
      <c r="D2975" s="1566" t="s">
        <v>10319</v>
      </c>
      <c r="E2975" s="1566"/>
      <c r="F2975" s="1566"/>
      <c r="G2975" s="1566"/>
      <c r="H2975" s="1568">
        <v>1</v>
      </c>
      <c r="I2975" s="1566"/>
      <c r="J2975" s="1566"/>
      <c r="K2975" s="1572">
        <v>215</v>
      </c>
      <c r="L2975" s="1572">
        <v>215</v>
      </c>
      <c r="M2975" s="1572">
        <v>-215</v>
      </c>
      <c r="N2975" s="1564"/>
      <c r="O2975" s="1564"/>
      <c r="P2975" s="1572">
        <v>215</v>
      </c>
      <c r="Q2975" s="1572">
        <v>-215</v>
      </c>
      <c r="R2975" s="1564"/>
      <c r="S2975" s="1562"/>
    </row>
    <row r="2976" spans="2:19" ht="11.25" customHeight="1" outlineLevel="1">
      <c r="B2976" s="1573">
        <v>10311</v>
      </c>
      <c r="C2976" s="1566" t="s">
        <v>5403</v>
      </c>
      <c r="D2976" s="1566" t="s">
        <v>10318</v>
      </c>
      <c r="E2976" s="1566"/>
      <c r="F2976" s="1566"/>
      <c r="G2976" s="1566"/>
      <c r="H2976" s="1568">
        <v>1</v>
      </c>
      <c r="I2976" s="1566"/>
      <c r="J2976" s="1566"/>
      <c r="K2976" s="1572">
        <v>551</v>
      </c>
      <c r="L2976" s="1572">
        <v>550.63</v>
      </c>
      <c r="M2976" s="1572">
        <v>-550.63</v>
      </c>
      <c r="N2976" s="1564"/>
      <c r="O2976" s="1564"/>
      <c r="P2976" s="1572">
        <v>550.63</v>
      </c>
      <c r="Q2976" s="1572">
        <v>-550.63</v>
      </c>
      <c r="R2976" s="1564"/>
      <c r="S2976" s="1562"/>
    </row>
    <row r="2977" spans="2:19" ht="11.25" customHeight="1" outlineLevel="1">
      <c r="B2977" s="1573">
        <v>10312</v>
      </c>
      <c r="C2977" s="1566" t="s">
        <v>5403</v>
      </c>
      <c r="D2977" s="1566" t="s">
        <v>10317</v>
      </c>
      <c r="E2977" s="1566"/>
      <c r="F2977" s="1566"/>
      <c r="G2977" s="1566"/>
      <c r="H2977" s="1568">
        <v>1</v>
      </c>
      <c r="I2977" s="1566"/>
      <c r="J2977" s="1566"/>
      <c r="K2977" s="1572">
        <v>624</v>
      </c>
      <c r="L2977" s="1572">
        <v>624.25</v>
      </c>
      <c r="M2977" s="1572">
        <v>-624.25</v>
      </c>
      <c r="N2977" s="1564"/>
      <c r="O2977" s="1564"/>
      <c r="P2977" s="1572">
        <v>624.25</v>
      </c>
      <c r="Q2977" s="1572">
        <v>-624.25</v>
      </c>
      <c r="R2977" s="1564"/>
      <c r="S2977" s="1562"/>
    </row>
    <row r="2978" spans="2:19" ht="11.25" customHeight="1" outlineLevel="1">
      <c r="B2978" s="1573">
        <v>10313</v>
      </c>
      <c r="C2978" s="1566" t="s">
        <v>5403</v>
      </c>
      <c r="D2978" s="1566" t="s">
        <v>10316</v>
      </c>
      <c r="E2978" s="1566"/>
      <c r="F2978" s="1566"/>
      <c r="G2978" s="1566"/>
      <c r="H2978" s="1568">
        <v>1</v>
      </c>
      <c r="I2978" s="1566"/>
      <c r="J2978" s="1566"/>
      <c r="K2978" s="1572">
        <v>749</v>
      </c>
      <c r="L2978" s="1572">
        <v>748.58</v>
      </c>
      <c r="M2978" s="1572">
        <v>-748.58</v>
      </c>
      <c r="N2978" s="1564"/>
      <c r="O2978" s="1564"/>
      <c r="P2978" s="1572">
        <v>748.58</v>
      </c>
      <c r="Q2978" s="1572">
        <v>-748.58</v>
      </c>
      <c r="R2978" s="1564"/>
      <c r="S2978" s="1562"/>
    </row>
    <row r="2979" spans="2:19" ht="11.25" customHeight="1" outlineLevel="1">
      <c r="B2979" s="1573">
        <v>10314</v>
      </c>
      <c r="C2979" s="1566" t="s">
        <v>5403</v>
      </c>
      <c r="D2979" s="1566" t="s">
        <v>10315</v>
      </c>
      <c r="E2979" s="1566"/>
      <c r="F2979" s="1566"/>
      <c r="G2979" s="1566"/>
      <c r="H2979" s="1568">
        <v>1</v>
      </c>
      <c r="I2979" s="1566"/>
      <c r="J2979" s="1566"/>
      <c r="K2979" s="1565">
        <v>2009</v>
      </c>
      <c r="L2979" s="1565">
        <v>2009.34</v>
      </c>
      <c r="M2979" s="1565">
        <v>-2009.34</v>
      </c>
      <c r="N2979" s="1564"/>
      <c r="O2979" s="1564"/>
      <c r="P2979" s="1565">
        <v>2009.34</v>
      </c>
      <c r="Q2979" s="1565">
        <v>-2009.34</v>
      </c>
      <c r="R2979" s="1564"/>
      <c r="S2979" s="1562"/>
    </row>
    <row r="2980" spans="2:19" ht="11.25" customHeight="1" outlineLevel="1">
      <c r="B2980" s="1573">
        <v>10315</v>
      </c>
      <c r="C2980" s="1566" t="s">
        <v>5403</v>
      </c>
      <c r="D2980" s="1566" t="s">
        <v>10314</v>
      </c>
      <c r="E2980" s="1566"/>
      <c r="F2980" s="1566"/>
      <c r="G2980" s="1566" t="s">
        <v>8536</v>
      </c>
      <c r="H2980" s="1568">
        <v>1</v>
      </c>
      <c r="I2980" s="1566"/>
      <c r="J2980" s="1566"/>
      <c r="K2980" s="1572">
        <v>4</v>
      </c>
      <c r="L2980" s="1565">
        <v>7510</v>
      </c>
      <c r="M2980" s="1564"/>
      <c r="N2980" s="1565">
        <v>7510</v>
      </c>
      <c r="O2980" s="1565">
        <v>1272.49</v>
      </c>
      <c r="P2980" s="1565">
        <v>6025.47</v>
      </c>
      <c r="Q2980" s="1572">
        <v>212.04</v>
      </c>
      <c r="R2980" s="1565">
        <v>6237.51</v>
      </c>
      <c r="S2980" s="1562"/>
    </row>
    <row r="2981" spans="2:19" ht="11.25" customHeight="1" outlineLevel="1">
      <c r="B2981" s="1573">
        <v>10316</v>
      </c>
      <c r="C2981" s="1566" t="s">
        <v>5403</v>
      </c>
      <c r="D2981" s="1566" t="s">
        <v>10313</v>
      </c>
      <c r="E2981" s="1566"/>
      <c r="F2981" s="1566"/>
      <c r="G2981" s="1566" t="s">
        <v>3664</v>
      </c>
      <c r="H2981" s="1568">
        <v>1</v>
      </c>
      <c r="I2981" s="1566"/>
      <c r="J2981" s="1566"/>
      <c r="K2981" s="1565">
        <v>1051</v>
      </c>
      <c r="L2981" s="1565">
        <v>2128729</v>
      </c>
      <c r="M2981" s="1564"/>
      <c r="N2981" s="1565">
        <v>2128729</v>
      </c>
      <c r="O2981" s="1565">
        <v>360632.95</v>
      </c>
      <c r="P2981" s="1565">
        <v>1707990.57</v>
      </c>
      <c r="Q2981" s="1565">
        <v>60105.48</v>
      </c>
      <c r="R2981" s="1565">
        <v>1768096.05</v>
      </c>
      <c r="S2981" s="1562"/>
    </row>
    <row r="2982" spans="2:19" ht="11.25" customHeight="1" outlineLevel="1">
      <c r="B2982" s="1573">
        <v>10317</v>
      </c>
      <c r="C2982" s="1566" t="s">
        <v>5403</v>
      </c>
      <c r="D2982" s="1566" t="s">
        <v>10312</v>
      </c>
      <c r="E2982" s="1566"/>
      <c r="F2982" s="1566"/>
      <c r="G2982" s="1566"/>
      <c r="H2982" s="1568">
        <v>1</v>
      </c>
      <c r="I2982" s="1566"/>
      <c r="J2982" s="1566"/>
      <c r="K2982" s="1565">
        <v>1476</v>
      </c>
      <c r="L2982" s="1565">
        <v>1475.65</v>
      </c>
      <c r="M2982" s="1565">
        <v>-1475.65</v>
      </c>
      <c r="N2982" s="1564"/>
      <c r="O2982" s="1564"/>
      <c r="P2982" s="1565">
        <v>1475.65</v>
      </c>
      <c r="Q2982" s="1565">
        <v>-1475.65</v>
      </c>
      <c r="R2982" s="1564"/>
      <c r="S2982" s="1562"/>
    </row>
    <row r="2983" spans="2:19" ht="11.25" customHeight="1" outlineLevel="1">
      <c r="B2983" s="1573">
        <v>10318</v>
      </c>
      <c r="C2983" s="1566" t="s">
        <v>5403</v>
      </c>
      <c r="D2983" s="1566" t="s">
        <v>10311</v>
      </c>
      <c r="E2983" s="1566"/>
      <c r="F2983" s="1566"/>
      <c r="G2983" s="1566" t="s">
        <v>3664</v>
      </c>
      <c r="H2983" s="1568">
        <v>1</v>
      </c>
      <c r="I2983" s="1566"/>
      <c r="J2983" s="1566"/>
      <c r="K2983" s="1572">
        <v>99</v>
      </c>
      <c r="L2983" s="1565">
        <v>1029436</v>
      </c>
      <c r="M2983" s="1564"/>
      <c r="N2983" s="1565">
        <v>1029436</v>
      </c>
      <c r="O2983" s="1565">
        <v>174399.28</v>
      </c>
      <c r="P2983" s="1565">
        <v>825970.2</v>
      </c>
      <c r="Q2983" s="1565">
        <v>29066.52</v>
      </c>
      <c r="R2983" s="1565">
        <v>855036.72</v>
      </c>
      <c r="S2983" s="1562"/>
    </row>
    <row r="2984" spans="2:19" ht="11.25" customHeight="1" outlineLevel="1">
      <c r="B2984" s="1573">
        <v>10319</v>
      </c>
      <c r="C2984" s="1566" t="s">
        <v>5403</v>
      </c>
      <c r="D2984" s="1566" t="s">
        <v>10310</v>
      </c>
      <c r="E2984" s="1566"/>
      <c r="F2984" s="1566"/>
      <c r="G2984" s="1566" t="s">
        <v>3664</v>
      </c>
      <c r="H2984" s="1568">
        <v>1</v>
      </c>
      <c r="I2984" s="1570">
        <v>8850.5</v>
      </c>
      <c r="J2984" s="1566"/>
      <c r="K2984" s="1572">
        <v>317</v>
      </c>
      <c r="L2984" s="1565">
        <v>2802080</v>
      </c>
      <c r="M2984" s="1564"/>
      <c r="N2984" s="1565">
        <v>2802080</v>
      </c>
      <c r="O2984" s="1565">
        <v>1401040.65</v>
      </c>
      <c r="P2984" s="1565">
        <v>1353411.95</v>
      </c>
      <c r="Q2984" s="1565">
        <v>47627.4</v>
      </c>
      <c r="R2984" s="1565">
        <v>1401039.35</v>
      </c>
      <c r="S2984" s="1562"/>
    </row>
    <row r="2985" spans="2:19" ht="11.25" customHeight="1" outlineLevel="1">
      <c r="B2985" s="1573">
        <v>10320</v>
      </c>
      <c r="C2985" s="1566" t="s">
        <v>5403</v>
      </c>
      <c r="D2985" s="1566" t="s">
        <v>10309</v>
      </c>
      <c r="E2985" s="1566"/>
      <c r="F2985" s="1566"/>
      <c r="G2985" s="1566" t="s">
        <v>3734</v>
      </c>
      <c r="H2985" s="1568">
        <v>1</v>
      </c>
      <c r="I2985" s="1566"/>
      <c r="J2985" s="1566"/>
      <c r="K2985" s="1572">
        <v>35</v>
      </c>
      <c r="L2985" s="1565">
        <v>2357276</v>
      </c>
      <c r="M2985" s="1564"/>
      <c r="N2985" s="1565">
        <v>2357276</v>
      </c>
      <c r="O2985" s="1565">
        <v>342461.43</v>
      </c>
      <c r="P2985" s="1565">
        <v>1946322.29</v>
      </c>
      <c r="Q2985" s="1565">
        <v>68492.28</v>
      </c>
      <c r="R2985" s="1565">
        <v>2014814.57</v>
      </c>
      <c r="S2985" s="1562"/>
    </row>
    <row r="2986" spans="2:19" ht="11.25" customHeight="1" outlineLevel="1">
      <c r="B2986" s="1573">
        <v>10321</v>
      </c>
      <c r="C2986" s="1566" t="s">
        <v>5403</v>
      </c>
      <c r="D2986" s="1566" t="s">
        <v>10308</v>
      </c>
      <c r="E2986" s="1566"/>
      <c r="F2986" s="1566"/>
      <c r="G2986" s="1566" t="s">
        <v>3664</v>
      </c>
      <c r="H2986" s="1568">
        <v>1</v>
      </c>
      <c r="I2986" s="1566"/>
      <c r="J2986" s="1566"/>
      <c r="K2986" s="1572">
        <v>361</v>
      </c>
      <c r="L2986" s="1565">
        <v>4975451</v>
      </c>
      <c r="M2986" s="1564"/>
      <c r="N2986" s="1565">
        <v>4975451</v>
      </c>
      <c r="O2986" s="1565">
        <v>842900.94</v>
      </c>
      <c r="P2986" s="1565">
        <v>3992066.54</v>
      </c>
      <c r="Q2986" s="1565">
        <v>140483.51999999999</v>
      </c>
      <c r="R2986" s="1565">
        <v>4132550.06</v>
      </c>
      <c r="S2986" s="1562"/>
    </row>
    <row r="2987" spans="2:19" ht="11.25" customHeight="1" outlineLevel="1">
      <c r="B2987" s="1573">
        <v>10430</v>
      </c>
      <c r="C2987" s="1566" t="s">
        <v>5403</v>
      </c>
      <c r="D2987" s="1566" t="s">
        <v>10307</v>
      </c>
      <c r="E2987" s="1566"/>
      <c r="F2987" s="1566"/>
      <c r="G2987" s="1566" t="s">
        <v>3664</v>
      </c>
      <c r="H2987" s="1568">
        <v>1</v>
      </c>
      <c r="I2987" s="1566"/>
      <c r="J2987" s="1566"/>
      <c r="K2987" s="1565">
        <v>37141</v>
      </c>
      <c r="L2987" s="1565">
        <v>37141</v>
      </c>
      <c r="M2987" s="1564"/>
      <c r="N2987" s="1565">
        <v>37141</v>
      </c>
      <c r="O2987" s="1565">
        <v>18569.669999999998</v>
      </c>
      <c r="P2987" s="1565">
        <v>17940.009999999998</v>
      </c>
      <c r="Q2987" s="1572">
        <v>631.32000000000005</v>
      </c>
      <c r="R2987" s="1565">
        <v>18571.330000000002</v>
      </c>
      <c r="S2987" s="1562"/>
    </row>
    <row r="2988" spans="2:19" ht="11.25" customHeight="1" outlineLevel="1">
      <c r="B2988" s="1573">
        <v>10431</v>
      </c>
      <c r="C2988" s="1566" t="s">
        <v>5403</v>
      </c>
      <c r="D2988" s="1566" t="s">
        <v>10306</v>
      </c>
      <c r="E2988" s="1566"/>
      <c r="F2988" s="1566"/>
      <c r="G2988" s="1566" t="s">
        <v>3664</v>
      </c>
      <c r="H2988" s="1568">
        <v>1</v>
      </c>
      <c r="I2988" s="1566"/>
      <c r="J2988" s="1566"/>
      <c r="K2988" s="1565">
        <v>1130</v>
      </c>
      <c r="L2988" s="1565">
        <v>1130</v>
      </c>
      <c r="M2988" s="1564"/>
      <c r="N2988" s="1565">
        <v>1130</v>
      </c>
      <c r="O2988" s="1572">
        <v>565.20000000000005</v>
      </c>
      <c r="P2988" s="1572">
        <v>545.6</v>
      </c>
      <c r="Q2988" s="1572">
        <v>19.2</v>
      </c>
      <c r="R2988" s="1572">
        <v>564.79999999999995</v>
      </c>
      <c r="S2988" s="1562"/>
    </row>
    <row r="2989" spans="2:19" ht="11.25" customHeight="1" outlineLevel="1">
      <c r="B2989" s="1573">
        <v>10432</v>
      </c>
      <c r="C2989" s="1566" t="s">
        <v>5403</v>
      </c>
      <c r="D2989" s="1566" t="s">
        <v>10305</v>
      </c>
      <c r="E2989" s="1566"/>
      <c r="F2989" s="1566"/>
      <c r="G2989" s="1566" t="s">
        <v>3664</v>
      </c>
      <c r="H2989" s="1568">
        <v>1</v>
      </c>
      <c r="I2989" s="1566"/>
      <c r="J2989" s="1566"/>
      <c r="K2989" s="1565">
        <v>19974</v>
      </c>
      <c r="L2989" s="1565">
        <v>19974</v>
      </c>
      <c r="M2989" s="1564"/>
      <c r="N2989" s="1565">
        <v>19974</v>
      </c>
      <c r="O2989" s="1565">
        <v>9987.6299999999992</v>
      </c>
      <c r="P2989" s="1565">
        <v>9646.89</v>
      </c>
      <c r="Q2989" s="1572">
        <v>339.48</v>
      </c>
      <c r="R2989" s="1565">
        <v>9986.3700000000008</v>
      </c>
      <c r="S2989" s="1562"/>
    </row>
    <row r="2990" spans="2:19" ht="11.25" customHeight="1" outlineLevel="1">
      <c r="B2990" s="1573">
        <v>10433</v>
      </c>
      <c r="C2990" s="1566" t="s">
        <v>5403</v>
      </c>
      <c r="D2990" s="1566" t="s">
        <v>10304</v>
      </c>
      <c r="E2990" s="1566"/>
      <c r="F2990" s="1566"/>
      <c r="G2990" s="1566" t="s">
        <v>3664</v>
      </c>
      <c r="H2990" s="1568">
        <v>1</v>
      </c>
      <c r="I2990" s="1566"/>
      <c r="J2990" s="1566"/>
      <c r="K2990" s="1565">
        <v>284237</v>
      </c>
      <c r="L2990" s="1565">
        <v>284237</v>
      </c>
      <c r="M2990" s="1564"/>
      <c r="N2990" s="1565">
        <v>284237</v>
      </c>
      <c r="O2990" s="1565">
        <v>142119.20000000001</v>
      </c>
      <c r="P2990" s="1565">
        <v>137286.6</v>
      </c>
      <c r="Q2990" s="1565">
        <v>4831.2</v>
      </c>
      <c r="R2990" s="1565">
        <v>142117.79999999999</v>
      </c>
      <c r="S2990" s="1562"/>
    </row>
    <row r="2991" spans="2:19" ht="11.25" customHeight="1" outlineLevel="1">
      <c r="B2991" s="1573">
        <v>10438</v>
      </c>
      <c r="C2991" s="1566" t="s">
        <v>5403</v>
      </c>
      <c r="D2991" s="1566" t="s">
        <v>10303</v>
      </c>
      <c r="E2991" s="1566"/>
      <c r="F2991" s="1566"/>
      <c r="G2991" s="1566" t="s">
        <v>3664</v>
      </c>
      <c r="H2991" s="1568">
        <v>1</v>
      </c>
      <c r="I2991" s="1566"/>
      <c r="J2991" s="1566"/>
      <c r="K2991" s="1565">
        <v>53715</v>
      </c>
      <c r="L2991" s="1565">
        <v>53715</v>
      </c>
      <c r="M2991" s="1564"/>
      <c r="N2991" s="1565">
        <v>53715</v>
      </c>
      <c r="O2991" s="1565">
        <v>26858.639999999999</v>
      </c>
      <c r="P2991" s="1565">
        <v>25943.279999999999</v>
      </c>
      <c r="Q2991" s="1572">
        <v>913.08</v>
      </c>
      <c r="R2991" s="1565">
        <v>26856.36</v>
      </c>
      <c r="S2991" s="1562"/>
    </row>
    <row r="2992" spans="2:19" ht="11.25" customHeight="1" outlineLevel="1">
      <c r="B2992" s="1573">
        <v>10500</v>
      </c>
      <c r="C2992" s="1566" t="s">
        <v>5403</v>
      </c>
      <c r="D2992" s="1566" t="s">
        <v>10302</v>
      </c>
      <c r="E2992" s="1566"/>
      <c r="F2992" s="1566"/>
      <c r="G2992" s="1566" t="s">
        <v>10301</v>
      </c>
      <c r="H2992" s="1568">
        <v>1</v>
      </c>
      <c r="I2992" s="1571">
        <v>704</v>
      </c>
      <c r="J2992" s="1566"/>
      <c r="K2992" s="1572">
        <v>278</v>
      </c>
      <c r="L2992" s="1565">
        <v>35381845.409999996</v>
      </c>
      <c r="M2992" s="1564"/>
      <c r="N2992" s="1565">
        <v>35381845.409999996</v>
      </c>
      <c r="O2992" s="1565">
        <v>22919985.370000001</v>
      </c>
      <c r="P2992" s="1565">
        <v>11876668.880000001</v>
      </c>
      <c r="Q2992" s="1565">
        <v>585191.16</v>
      </c>
      <c r="R2992" s="1565">
        <v>12461860.039999999</v>
      </c>
      <c r="S2992" s="1562"/>
    </row>
    <row r="2993" spans="2:19" ht="11.25" customHeight="1" outlineLevel="1">
      <c r="B2993" s="1573">
        <v>10501</v>
      </c>
      <c r="C2993" s="1566" t="s">
        <v>5403</v>
      </c>
      <c r="D2993" s="1566" t="s">
        <v>10300</v>
      </c>
      <c r="E2993" s="1566"/>
      <c r="F2993" s="1566"/>
      <c r="G2993" s="1566" t="s">
        <v>10299</v>
      </c>
      <c r="H2993" s="1568">
        <v>1</v>
      </c>
      <c r="I2993" s="1571">
        <v>841</v>
      </c>
      <c r="J2993" s="1566"/>
      <c r="K2993" s="1572">
        <v>35</v>
      </c>
      <c r="L2993" s="1565">
        <v>14947430.49</v>
      </c>
      <c r="M2993" s="1564"/>
      <c r="N2993" s="1565">
        <v>14947430.49</v>
      </c>
      <c r="O2993" s="1565">
        <v>10952371.85</v>
      </c>
      <c r="P2993" s="1565">
        <v>3781005.76</v>
      </c>
      <c r="Q2993" s="1565">
        <v>214052.88</v>
      </c>
      <c r="R2993" s="1565">
        <v>3995058.64</v>
      </c>
      <c r="S2993" s="1562"/>
    </row>
    <row r="2994" spans="2:19" ht="11.25" customHeight="1" outlineLevel="1">
      <c r="B2994" s="1573">
        <v>10502</v>
      </c>
      <c r="C2994" s="1566" t="s">
        <v>5403</v>
      </c>
      <c r="D2994" s="1566" t="s">
        <v>10298</v>
      </c>
      <c r="E2994" s="1566"/>
      <c r="F2994" s="1566"/>
      <c r="G2994" s="1566" t="s">
        <v>10297</v>
      </c>
      <c r="H2994" s="1568">
        <v>1</v>
      </c>
      <c r="I2994" s="1566"/>
      <c r="J2994" s="1566"/>
      <c r="K2994" s="1572">
        <v>127</v>
      </c>
      <c r="L2994" s="1565">
        <v>46434</v>
      </c>
      <c r="M2994" s="1564"/>
      <c r="N2994" s="1565">
        <v>46434</v>
      </c>
      <c r="O2994" s="1565">
        <v>7865.46</v>
      </c>
      <c r="P2994" s="1565">
        <v>37257.660000000003</v>
      </c>
      <c r="Q2994" s="1565">
        <v>1310.88</v>
      </c>
      <c r="R2994" s="1565">
        <v>38568.54</v>
      </c>
      <c r="S2994" s="1562"/>
    </row>
    <row r="2995" spans="2:19" s="1588" customFormat="1" ht="11.25" customHeight="1" outlineLevel="1">
      <c r="B2995" s="1581">
        <v>10503</v>
      </c>
      <c r="C2995" s="1582" t="s">
        <v>5403</v>
      </c>
      <c r="D2995" s="1582" t="s">
        <v>10296</v>
      </c>
      <c r="E2995" s="1582"/>
      <c r="F2995" s="1582"/>
      <c r="G2995" s="1582" t="s">
        <v>10295</v>
      </c>
      <c r="H2995" s="1583">
        <v>1</v>
      </c>
      <c r="I2995" s="1582"/>
      <c r="J2995" s="1582"/>
      <c r="K2995" s="1584">
        <v>847</v>
      </c>
      <c r="L2995" s="1585">
        <v>2415823</v>
      </c>
      <c r="M2995" s="1586"/>
      <c r="N2995" s="1585">
        <v>2415823</v>
      </c>
      <c r="O2995" s="1585">
        <v>1207910.07</v>
      </c>
      <c r="P2995" s="1585">
        <v>1166850.8500000001</v>
      </c>
      <c r="Q2995" s="1585">
        <v>41062.080000000002</v>
      </c>
      <c r="R2995" s="1585">
        <v>1207912.93</v>
      </c>
      <c r="S2995" s="1587" t="str">
        <f>Мероприятия_и_источники!B112</f>
        <v>Реконструкция существующего участка чугунного водовода Ду=500 мм на ПЭ Д=560 SDR 17 от точки в районе границ земельного участка до камеры, протяженностью 185 м.</v>
      </c>
    </row>
    <row r="2996" spans="2:19" ht="11.25" customHeight="1" outlineLevel="1">
      <c r="B2996" s="1573">
        <v>10504</v>
      </c>
      <c r="C2996" s="1566" t="s">
        <v>5403</v>
      </c>
      <c r="D2996" s="1566" t="s">
        <v>10294</v>
      </c>
      <c r="E2996" s="1566"/>
      <c r="F2996" s="1566"/>
      <c r="G2996" s="1566" t="s">
        <v>10293</v>
      </c>
      <c r="H2996" s="1568">
        <v>1</v>
      </c>
      <c r="I2996" s="1566"/>
      <c r="J2996" s="1566"/>
      <c r="K2996" s="1572">
        <v>36</v>
      </c>
      <c r="L2996" s="1565">
        <v>122911</v>
      </c>
      <c r="M2996" s="1564"/>
      <c r="N2996" s="1565">
        <v>122911</v>
      </c>
      <c r="O2996" s="1565">
        <v>61457.11</v>
      </c>
      <c r="P2996" s="1565">
        <v>59364.69</v>
      </c>
      <c r="Q2996" s="1565">
        <v>2089.1999999999998</v>
      </c>
      <c r="R2996" s="1565">
        <v>61453.89</v>
      </c>
      <c r="S2996" s="1562"/>
    </row>
    <row r="2997" spans="2:19" ht="11.25" customHeight="1" outlineLevel="1">
      <c r="B2997" s="1573">
        <v>10505</v>
      </c>
      <c r="C2997" s="1566" t="s">
        <v>5403</v>
      </c>
      <c r="D2997" s="1566" t="s">
        <v>10292</v>
      </c>
      <c r="E2997" s="1566"/>
      <c r="F2997" s="1566"/>
      <c r="G2997" s="1566"/>
      <c r="H2997" s="1568">
        <v>1</v>
      </c>
      <c r="I2997" s="1566"/>
      <c r="J2997" s="1566"/>
      <c r="K2997" s="1572">
        <v>669</v>
      </c>
      <c r="L2997" s="1572">
        <v>669</v>
      </c>
      <c r="M2997" s="1572">
        <v>-669</v>
      </c>
      <c r="N2997" s="1564"/>
      <c r="O2997" s="1564"/>
      <c r="P2997" s="1572">
        <v>669</v>
      </c>
      <c r="Q2997" s="1572">
        <v>-669</v>
      </c>
      <c r="R2997" s="1564"/>
      <c r="S2997" s="1562"/>
    </row>
    <row r="2998" spans="2:19" ht="11.25" customHeight="1" outlineLevel="1">
      <c r="B2998" s="1573">
        <v>10506</v>
      </c>
      <c r="C2998" s="1566" t="s">
        <v>5403</v>
      </c>
      <c r="D2998" s="1566" t="s">
        <v>10291</v>
      </c>
      <c r="E2998" s="1566"/>
      <c r="F2998" s="1566"/>
      <c r="G2998" s="1566"/>
      <c r="H2998" s="1568">
        <v>1</v>
      </c>
      <c r="I2998" s="1566"/>
      <c r="J2998" s="1566"/>
      <c r="K2998" s="1572">
        <v>379</v>
      </c>
      <c r="L2998" s="1572">
        <v>379.5</v>
      </c>
      <c r="M2998" s="1572">
        <v>-379.5</v>
      </c>
      <c r="N2998" s="1564"/>
      <c r="O2998" s="1564"/>
      <c r="P2998" s="1572">
        <v>379.5</v>
      </c>
      <c r="Q2998" s="1572">
        <v>-379.5</v>
      </c>
      <c r="R2998" s="1564"/>
      <c r="S2998" s="1562"/>
    </row>
    <row r="2999" spans="2:19" ht="11.25" customHeight="1" outlineLevel="1">
      <c r="B2999" s="1573">
        <v>10507</v>
      </c>
      <c r="C2999" s="1566" t="s">
        <v>5403</v>
      </c>
      <c r="D2999" s="1566" t="s">
        <v>10290</v>
      </c>
      <c r="E2999" s="1566"/>
      <c r="F2999" s="1566"/>
      <c r="G2999" s="1566"/>
      <c r="H2999" s="1568">
        <v>1</v>
      </c>
      <c r="I2999" s="1566"/>
      <c r="J2999" s="1566"/>
      <c r="K2999" s="1572">
        <v>453</v>
      </c>
      <c r="L2999" s="1572">
        <v>453</v>
      </c>
      <c r="M2999" s="1572">
        <v>-453</v>
      </c>
      <c r="N2999" s="1564"/>
      <c r="O2999" s="1564"/>
      <c r="P2999" s="1572">
        <v>453</v>
      </c>
      <c r="Q2999" s="1572">
        <v>-453</v>
      </c>
      <c r="R2999" s="1564"/>
      <c r="S2999" s="1562"/>
    </row>
    <row r="3000" spans="2:19" ht="11.25" customHeight="1" outlineLevel="1">
      <c r="B3000" s="1573">
        <v>10541</v>
      </c>
      <c r="C3000" s="1566" t="s">
        <v>5403</v>
      </c>
      <c r="D3000" s="1566" t="s">
        <v>10289</v>
      </c>
      <c r="E3000" s="1566"/>
      <c r="F3000" s="1566"/>
      <c r="G3000" s="1566"/>
      <c r="H3000" s="1568">
        <v>1</v>
      </c>
      <c r="I3000" s="1566"/>
      <c r="J3000" s="1566"/>
      <c r="K3000" s="1572">
        <v>173</v>
      </c>
      <c r="L3000" s="1572">
        <v>173</v>
      </c>
      <c r="M3000" s="1572">
        <v>-173</v>
      </c>
      <c r="N3000" s="1564"/>
      <c r="O3000" s="1564"/>
      <c r="P3000" s="1572">
        <v>173</v>
      </c>
      <c r="Q3000" s="1572">
        <v>-173</v>
      </c>
      <c r="R3000" s="1564"/>
      <c r="S3000" s="1562"/>
    </row>
    <row r="3001" spans="2:19" ht="11.25" customHeight="1" outlineLevel="1">
      <c r="B3001" s="1573">
        <v>10543</v>
      </c>
      <c r="C3001" s="1566" t="s">
        <v>5403</v>
      </c>
      <c r="D3001" s="1566" t="s">
        <v>10288</v>
      </c>
      <c r="E3001" s="1566"/>
      <c r="F3001" s="1566"/>
      <c r="G3001" s="1566"/>
      <c r="H3001" s="1568">
        <v>1</v>
      </c>
      <c r="I3001" s="1566"/>
      <c r="J3001" s="1566"/>
      <c r="K3001" s="1572">
        <v>73</v>
      </c>
      <c r="L3001" s="1572">
        <v>73.5</v>
      </c>
      <c r="M3001" s="1572">
        <v>-73.5</v>
      </c>
      <c r="N3001" s="1564"/>
      <c r="O3001" s="1564"/>
      <c r="P3001" s="1572">
        <v>73.5</v>
      </c>
      <c r="Q3001" s="1572">
        <v>-73.5</v>
      </c>
      <c r="R3001" s="1564"/>
      <c r="S3001" s="1562"/>
    </row>
    <row r="3002" spans="2:19" ht="11.25" customHeight="1" outlineLevel="1">
      <c r="B3002" s="1573">
        <v>10546</v>
      </c>
      <c r="C3002" s="1566" t="s">
        <v>5403</v>
      </c>
      <c r="D3002" s="1566" t="s">
        <v>10287</v>
      </c>
      <c r="E3002" s="1566"/>
      <c r="F3002" s="1566"/>
      <c r="G3002" s="1566"/>
      <c r="H3002" s="1568">
        <v>1</v>
      </c>
      <c r="I3002" s="1566"/>
      <c r="J3002" s="1566"/>
      <c r="K3002" s="1572">
        <v>171</v>
      </c>
      <c r="L3002" s="1572">
        <v>171.2</v>
      </c>
      <c r="M3002" s="1572">
        <v>-171.2</v>
      </c>
      <c r="N3002" s="1564"/>
      <c r="O3002" s="1564"/>
      <c r="P3002" s="1572">
        <v>171.2</v>
      </c>
      <c r="Q3002" s="1572">
        <v>-171.2</v>
      </c>
      <c r="R3002" s="1564"/>
      <c r="S3002" s="1562"/>
    </row>
    <row r="3003" spans="2:19" ht="11.25" customHeight="1" outlineLevel="1">
      <c r="B3003" s="1573">
        <v>10550</v>
      </c>
      <c r="C3003" s="1566" t="s">
        <v>5403</v>
      </c>
      <c r="D3003" s="1566" t="s">
        <v>10286</v>
      </c>
      <c r="E3003" s="1566"/>
      <c r="F3003" s="1566"/>
      <c r="G3003" s="1566"/>
      <c r="H3003" s="1568">
        <v>1</v>
      </c>
      <c r="I3003" s="1566"/>
      <c r="J3003" s="1566"/>
      <c r="K3003" s="1565">
        <v>1310</v>
      </c>
      <c r="L3003" s="1565">
        <v>1310</v>
      </c>
      <c r="M3003" s="1565">
        <v>-1310</v>
      </c>
      <c r="N3003" s="1564"/>
      <c r="O3003" s="1564"/>
      <c r="P3003" s="1565">
        <v>1310</v>
      </c>
      <c r="Q3003" s="1565">
        <v>-1310</v>
      </c>
      <c r="R3003" s="1564"/>
      <c r="S3003" s="1562"/>
    </row>
    <row r="3004" spans="2:19" ht="11.25" customHeight="1" outlineLevel="1">
      <c r="B3004" s="1573">
        <v>10551</v>
      </c>
      <c r="C3004" s="1566" t="s">
        <v>5403</v>
      </c>
      <c r="D3004" s="1566" t="s">
        <v>10285</v>
      </c>
      <c r="E3004" s="1566"/>
      <c r="F3004" s="1566"/>
      <c r="G3004" s="1566" t="s">
        <v>3664</v>
      </c>
      <c r="H3004" s="1568">
        <v>1</v>
      </c>
      <c r="I3004" s="1566"/>
      <c r="J3004" s="1566"/>
      <c r="K3004" s="1565">
        <v>16135</v>
      </c>
      <c r="L3004" s="1565">
        <v>16135</v>
      </c>
      <c r="M3004" s="1564"/>
      <c r="N3004" s="1565">
        <v>16135</v>
      </c>
      <c r="O3004" s="1565">
        <v>2343.41</v>
      </c>
      <c r="P3004" s="1565">
        <v>13322.87</v>
      </c>
      <c r="Q3004" s="1572">
        <v>468.72</v>
      </c>
      <c r="R3004" s="1565">
        <v>13791.59</v>
      </c>
      <c r="S3004" s="1562"/>
    </row>
    <row r="3005" spans="2:19" ht="11.25" customHeight="1" outlineLevel="1">
      <c r="B3005" s="1573">
        <v>10553</v>
      </c>
      <c r="C3005" s="1566" t="s">
        <v>5403</v>
      </c>
      <c r="D3005" s="1566" t="s">
        <v>10284</v>
      </c>
      <c r="E3005" s="1566"/>
      <c r="F3005" s="1566"/>
      <c r="G3005" s="1566" t="s">
        <v>3734</v>
      </c>
      <c r="H3005" s="1568">
        <v>1</v>
      </c>
      <c r="I3005" s="1566"/>
      <c r="J3005" s="1566"/>
      <c r="K3005" s="1565">
        <v>59478</v>
      </c>
      <c r="L3005" s="1565">
        <v>59478</v>
      </c>
      <c r="M3005" s="1564"/>
      <c r="N3005" s="1565">
        <v>59478</v>
      </c>
      <c r="O3005" s="1565">
        <v>29737.87</v>
      </c>
      <c r="P3005" s="1565">
        <v>28729.25</v>
      </c>
      <c r="Q3005" s="1565">
        <v>1010.88</v>
      </c>
      <c r="R3005" s="1565">
        <v>29740.13</v>
      </c>
      <c r="S3005" s="1562"/>
    </row>
    <row r="3006" spans="2:19" ht="11.25" customHeight="1" outlineLevel="1">
      <c r="B3006" s="1573">
        <v>10556</v>
      </c>
      <c r="C3006" s="1566" t="s">
        <v>5403</v>
      </c>
      <c r="D3006" s="1566" t="s">
        <v>10283</v>
      </c>
      <c r="E3006" s="1566"/>
      <c r="F3006" s="1566"/>
      <c r="G3006" s="1566" t="s">
        <v>3664</v>
      </c>
      <c r="H3006" s="1568">
        <v>1</v>
      </c>
      <c r="I3006" s="1566"/>
      <c r="J3006" s="1566"/>
      <c r="K3006" s="1565">
        <v>400539</v>
      </c>
      <c r="L3006" s="1565">
        <v>10813159.42</v>
      </c>
      <c r="M3006" s="1564"/>
      <c r="N3006" s="1565">
        <v>10813159.42</v>
      </c>
      <c r="O3006" s="1565">
        <v>10105701.939999999</v>
      </c>
      <c r="P3006" s="1565">
        <v>388330.08</v>
      </c>
      <c r="Q3006" s="1565">
        <v>319127.40000000002</v>
      </c>
      <c r="R3006" s="1565">
        <v>707457.48</v>
      </c>
      <c r="S3006" s="1562"/>
    </row>
    <row r="3007" spans="2:19" ht="11.25" customHeight="1" outlineLevel="1">
      <c r="B3007" s="1573">
        <v>10557</v>
      </c>
      <c r="C3007" s="1566" t="s">
        <v>5403</v>
      </c>
      <c r="D3007" s="1566" t="s">
        <v>10282</v>
      </c>
      <c r="E3007" s="1566"/>
      <c r="F3007" s="1566"/>
      <c r="G3007" s="1566" t="s">
        <v>3734</v>
      </c>
      <c r="H3007" s="1568">
        <v>1</v>
      </c>
      <c r="I3007" s="1566"/>
      <c r="J3007" s="1566"/>
      <c r="K3007" s="1565">
        <v>23471</v>
      </c>
      <c r="L3007" s="1565">
        <v>23471</v>
      </c>
      <c r="M3007" s="1564"/>
      <c r="N3007" s="1565">
        <v>23471</v>
      </c>
      <c r="O3007" s="1565">
        <v>11733.87</v>
      </c>
      <c r="P3007" s="1565">
        <v>11338.25</v>
      </c>
      <c r="Q3007" s="1572">
        <v>398.88</v>
      </c>
      <c r="R3007" s="1565">
        <v>11737.13</v>
      </c>
      <c r="S3007" s="1562"/>
    </row>
    <row r="3008" spans="2:19" ht="11.25" customHeight="1" outlineLevel="1">
      <c r="B3008" s="1573">
        <v>10559</v>
      </c>
      <c r="C3008" s="1566" t="s">
        <v>5403</v>
      </c>
      <c r="D3008" s="1566" t="s">
        <v>10281</v>
      </c>
      <c r="E3008" s="1566"/>
      <c r="F3008" s="1566"/>
      <c r="G3008" s="1566"/>
      <c r="H3008" s="1568">
        <v>1</v>
      </c>
      <c r="I3008" s="1566"/>
      <c r="J3008" s="1566"/>
      <c r="K3008" s="1565">
        <v>1617</v>
      </c>
      <c r="L3008" s="1565">
        <v>1617</v>
      </c>
      <c r="M3008" s="1565">
        <v>-1617</v>
      </c>
      <c r="N3008" s="1564"/>
      <c r="O3008" s="1564"/>
      <c r="P3008" s="1565">
        <v>1617</v>
      </c>
      <c r="Q3008" s="1565">
        <v>-1617</v>
      </c>
      <c r="R3008" s="1564"/>
      <c r="S3008" s="1562"/>
    </row>
    <row r="3009" spans="2:19" s="1704" customFormat="1" ht="11.25" customHeight="1" outlineLevel="1">
      <c r="B3009" s="1697">
        <v>10563</v>
      </c>
      <c r="C3009" s="1698" t="s">
        <v>5403</v>
      </c>
      <c r="D3009" s="1698" t="s">
        <v>10280</v>
      </c>
      <c r="E3009" s="1698"/>
      <c r="F3009" s="1698"/>
      <c r="G3009" s="1698" t="s">
        <v>3664</v>
      </c>
      <c r="H3009" s="1699">
        <v>1</v>
      </c>
      <c r="I3009" s="1698"/>
      <c r="J3009" s="1698"/>
      <c r="K3009" s="1701">
        <v>10394</v>
      </c>
      <c r="L3009" s="1701">
        <v>7061540</v>
      </c>
      <c r="M3009" s="1702"/>
      <c r="N3009" s="1701">
        <v>7061540</v>
      </c>
      <c r="O3009" s="1701">
        <v>1025889.52</v>
      </c>
      <c r="P3009" s="1701">
        <v>5830472.5599999996</v>
      </c>
      <c r="Q3009" s="1701">
        <v>205177.92</v>
      </c>
      <c r="R3009" s="1701">
        <v>6035650.4800000004</v>
      </c>
      <c r="S3009" s="1703"/>
    </row>
    <row r="3010" spans="2:19" ht="11.25" customHeight="1" outlineLevel="1">
      <c r="B3010" s="1573">
        <v>10564</v>
      </c>
      <c r="C3010" s="1566" t="s">
        <v>5403</v>
      </c>
      <c r="D3010" s="1566" t="s">
        <v>10279</v>
      </c>
      <c r="E3010" s="1566"/>
      <c r="F3010" s="1566"/>
      <c r="G3010" s="1566" t="s">
        <v>3734</v>
      </c>
      <c r="H3010" s="1568">
        <v>1</v>
      </c>
      <c r="I3010" s="1566"/>
      <c r="J3010" s="1566"/>
      <c r="K3010" s="1565">
        <v>15485302</v>
      </c>
      <c r="L3010" s="1565">
        <v>15485302</v>
      </c>
      <c r="M3010" s="1564"/>
      <c r="N3010" s="1565">
        <v>15485302</v>
      </c>
      <c r="O3010" s="1565">
        <v>7742649.54</v>
      </c>
      <c r="P3010" s="1565">
        <v>7479446.2599999998</v>
      </c>
      <c r="Q3010" s="1565">
        <v>263206.2</v>
      </c>
      <c r="R3010" s="1565">
        <v>7742652.46</v>
      </c>
      <c r="S3010" s="1562"/>
    </row>
    <row r="3011" spans="2:19" ht="11.25" customHeight="1" outlineLevel="1">
      <c r="B3011" s="1573">
        <v>10565</v>
      </c>
      <c r="C3011" s="1566" t="s">
        <v>5403</v>
      </c>
      <c r="D3011" s="1566" t="s">
        <v>10278</v>
      </c>
      <c r="E3011" s="1566"/>
      <c r="F3011" s="1566"/>
      <c r="G3011" s="1566"/>
      <c r="H3011" s="1568">
        <v>1</v>
      </c>
      <c r="I3011" s="1566"/>
      <c r="J3011" s="1566"/>
      <c r="K3011" s="1565">
        <v>2510</v>
      </c>
      <c r="L3011" s="1565">
        <v>2510</v>
      </c>
      <c r="M3011" s="1565">
        <v>-2510</v>
      </c>
      <c r="N3011" s="1564"/>
      <c r="O3011" s="1564"/>
      <c r="P3011" s="1565">
        <v>2510</v>
      </c>
      <c r="Q3011" s="1565">
        <v>-2510</v>
      </c>
      <c r="R3011" s="1564"/>
      <c r="S3011" s="1562"/>
    </row>
    <row r="3012" spans="2:19" ht="11.25" customHeight="1" outlineLevel="1">
      <c r="B3012" s="1573">
        <v>10566</v>
      </c>
      <c r="C3012" s="1566" t="s">
        <v>5403</v>
      </c>
      <c r="D3012" s="1566" t="s">
        <v>10277</v>
      </c>
      <c r="E3012" s="1566"/>
      <c r="F3012" s="1566"/>
      <c r="G3012" s="1566"/>
      <c r="H3012" s="1568">
        <v>1</v>
      </c>
      <c r="I3012" s="1566"/>
      <c r="J3012" s="1566"/>
      <c r="K3012" s="1565">
        <v>1476</v>
      </c>
      <c r="L3012" s="1565">
        <v>1475.59</v>
      </c>
      <c r="M3012" s="1565">
        <v>-1475.59</v>
      </c>
      <c r="N3012" s="1564"/>
      <c r="O3012" s="1564"/>
      <c r="P3012" s="1565">
        <v>1475.59</v>
      </c>
      <c r="Q3012" s="1565">
        <v>-1475.59</v>
      </c>
      <c r="R3012" s="1564"/>
      <c r="S3012" s="1562"/>
    </row>
    <row r="3013" spans="2:19" ht="11.25" customHeight="1" outlineLevel="1">
      <c r="B3013" s="1573">
        <v>10568</v>
      </c>
      <c r="C3013" s="1566" t="s">
        <v>5403</v>
      </c>
      <c r="D3013" s="1566" t="s">
        <v>10276</v>
      </c>
      <c r="E3013" s="1566"/>
      <c r="F3013" s="1566"/>
      <c r="G3013" s="1566"/>
      <c r="H3013" s="1568">
        <v>1</v>
      </c>
      <c r="I3013" s="1566"/>
      <c r="J3013" s="1566"/>
      <c r="K3013" s="1572">
        <v>665</v>
      </c>
      <c r="L3013" s="1572">
        <v>665.29</v>
      </c>
      <c r="M3013" s="1572">
        <v>-665.29</v>
      </c>
      <c r="N3013" s="1564"/>
      <c r="O3013" s="1564"/>
      <c r="P3013" s="1572">
        <v>665.29</v>
      </c>
      <c r="Q3013" s="1572">
        <v>-665.29</v>
      </c>
      <c r="R3013" s="1564"/>
      <c r="S3013" s="1562"/>
    </row>
    <row r="3014" spans="2:19" ht="11.25" customHeight="1" outlineLevel="1">
      <c r="B3014" s="1573">
        <v>10569</v>
      </c>
      <c r="C3014" s="1566" t="s">
        <v>5403</v>
      </c>
      <c r="D3014" s="1566" t="s">
        <v>10275</v>
      </c>
      <c r="E3014" s="1566"/>
      <c r="F3014" s="1566"/>
      <c r="G3014" s="1566"/>
      <c r="H3014" s="1568">
        <v>1</v>
      </c>
      <c r="I3014" s="1566"/>
      <c r="J3014" s="1566"/>
      <c r="K3014" s="1572">
        <v>622</v>
      </c>
      <c r="L3014" s="1572">
        <v>621.70000000000005</v>
      </c>
      <c r="M3014" s="1572">
        <v>-621.70000000000005</v>
      </c>
      <c r="N3014" s="1564"/>
      <c r="O3014" s="1564"/>
      <c r="P3014" s="1572">
        <v>621.70000000000005</v>
      </c>
      <c r="Q3014" s="1572">
        <v>-621.70000000000005</v>
      </c>
      <c r="R3014" s="1564"/>
      <c r="S3014" s="1562"/>
    </row>
    <row r="3015" spans="2:19" ht="11.25" customHeight="1" outlineLevel="1">
      <c r="B3015" s="1573">
        <v>10570</v>
      </c>
      <c r="C3015" s="1566" t="s">
        <v>5403</v>
      </c>
      <c r="D3015" s="1566" t="s">
        <v>10274</v>
      </c>
      <c r="E3015" s="1566"/>
      <c r="F3015" s="1566"/>
      <c r="G3015" s="1566"/>
      <c r="H3015" s="1568">
        <v>1</v>
      </c>
      <c r="I3015" s="1566"/>
      <c r="J3015" s="1566"/>
      <c r="K3015" s="1572">
        <v>503</v>
      </c>
      <c r="L3015" s="1572">
        <v>502.7</v>
      </c>
      <c r="M3015" s="1572">
        <v>-502.7</v>
      </c>
      <c r="N3015" s="1564"/>
      <c r="O3015" s="1564"/>
      <c r="P3015" s="1572">
        <v>502.7</v>
      </c>
      <c r="Q3015" s="1572">
        <v>-502.7</v>
      </c>
      <c r="R3015" s="1564"/>
      <c r="S3015" s="1562"/>
    </row>
    <row r="3016" spans="2:19" ht="11.25" customHeight="1" outlineLevel="1">
      <c r="B3016" s="1573">
        <v>10572</v>
      </c>
      <c r="C3016" s="1566" t="s">
        <v>5403</v>
      </c>
      <c r="D3016" s="1566" t="s">
        <v>10273</v>
      </c>
      <c r="E3016" s="1566"/>
      <c r="F3016" s="1566"/>
      <c r="G3016" s="1566"/>
      <c r="H3016" s="1568">
        <v>1</v>
      </c>
      <c r="I3016" s="1566"/>
      <c r="J3016" s="1566"/>
      <c r="K3016" s="1572">
        <v>237</v>
      </c>
      <c r="L3016" s="1572">
        <v>237</v>
      </c>
      <c r="M3016" s="1572">
        <v>-237</v>
      </c>
      <c r="N3016" s="1564"/>
      <c r="O3016" s="1564"/>
      <c r="P3016" s="1572">
        <v>237</v>
      </c>
      <c r="Q3016" s="1572">
        <v>-237</v>
      </c>
      <c r="R3016" s="1564"/>
      <c r="S3016" s="1562"/>
    </row>
    <row r="3017" spans="2:19" ht="11.25" customHeight="1" outlineLevel="1">
      <c r="B3017" s="1573">
        <v>10573</v>
      </c>
      <c r="C3017" s="1566" t="s">
        <v>5403</v>
      </c>
      <c r="D3017" s="1566" t="s">
        <v>10272</v>
      </c>
      <c r="E3017" s="1566"/>
      <c r="F3017" s="1566"/>
      <c r="G3017" s="1566"/>
      <c r="H3017" s="1568">
        <v>1</v>
      </c>
      <c r="I3017" s="1566"/>
      <c r="J3017" s="1566"/>
      <c r="K3017" s="1572">
        <v>237</v>
      </c>
      <c r="L3017" s="1572">
        <v>237.15</v>
      </c>
      <c r="M3017" s="1572">
        <v>-237.15</v>
      </c>
      <c r="N3017" s="1564"/>
      <c r="O3017" s="1564"/>
      <c r="P3017" s="1572">
        <v>237.15</v>
      </c>
      <c r="Q3017" s="1572">
        <v>-237.15</v>
      </c>
      <c r="R3017" s="1564"/>
      <c r="S3017" s="1562"/>
    </row>
    <row r="3018" spans="2:19" ht="11.25" customHeight="1" outlineLevel="1">
      <c r="B3018" s="1573">
        <v>10574</v>
      </c>
      <c r="C3018" s="1566" t="s">
        <v>5403</v>
      </c>
      <c r="D3018" s="1566" t="s">
        <v>10271</v>
      </c>
      <c r="E3018" s="1566"/>
      <c r="F3018" s="1566"/>
      <c r="G3018" s="1566"/>
      <c r="H3018" s="1568">
        <v>1</v>
      </c>
      <c r="I3018" s="1566"/>
      <c r="J3018" s="1566"/>
      <c r="K3018" s="1572">
        <v>112</v>
      </c>
      <c r="L3018" s="1572">
        <v>111.6</v>
      </c>
      <c r="M3018" s="1572">
        <v>-111.6</v>
      </c>
      <c r="N3018" s="1564"/>
      <c r="O3018" s="1564"/>
      <c r="P3018" s="1572">
        <v>111.6</v>
      </c>
      <c r="Q3018" s="1572">
        <v>-111.6</v>
      </c>
      <c r="R3018" s="1564"/>
      <c r="S3018" s="1562"/>
    </row>
    <row r="3019" spans="2:19" ht="11.25" customHeight="1" outlineLevel="1">
      <c r="B3019" s="1573">
        <v>10575</v>
      </c>
      <c r="C3019" s="1566" t="s">
        <v>5403</v>
      </c>
      <c r="D3019" s="1566" t="s">
        <v>10270</v>
      </c>
      <c r="E3019" s="1566"/>
      <c r="F3019" s="1566"/>
      <c r="G3019" s="1566"/>
      <c r="H3019" s="1568">
        <v>1</v>
      </c>
      <c r="I3019" s="1566"/>
      <c r="J3019" s="1566"/>
      <c r="K3019" s="1572">
        <v>622</v>
      </c>
      <c r="L3019" s="1572">
        <v>621.66</v>
      </c>
      <c r="M3019" s="1572">
        <v>-621.66</v>
      </c>
      <c r="N3019" s="1564"/>
      <c r="O3019" s="1564"/>
      <c r="P3019" s="1572">
        <v>621.66</v>
      </c>
      <c r="Q3019" s="1572">
        <v>-621.66</v>
      </c>
      <c r="R3019" s="1564"/>
      <c r="S3019" s="1562"/>
    </row>
    <row r="3020" spans="2:19" ht="11.25" customHeight="1" outlineLevel="1">
      <c r="B3020" s="1573">
        <v>10576</v>
      </c>
      <c r="C3020" s="1566" t="s">
        <v>5403</v>
      </c>
      <c r="D3020" s="1566" t="s">
        <v>10269</v>
      </c>
      <c r="E3020" s="1566"/>
      <c r="F3020" s="1566"/>
      <c r="G3020" s="1566"/>
      <c r="H3020" s="1568">
        <v>1</v>
      </c>
      <c r="I3020" s="1566"/>
      <c r="J3020" s="1566"/>
      <c r="K3020" s="1572">
        <v>551</v>
      </c>
      <c r="L3020" s="1572">
        <v>550.52</v>
      </c>
      <c r="M3020" s="1572">
        <v>-550.52</v>
      </c>
      <c r="N3020" s="1564"/>
      <c r="O3020" s="1564"/>
      <c r="P3020" s="1572">
        <v>550.52</v>
      </c>
      <c r="Q3020" s="1572">
        <v>-550.52</v>
      </c>
      <c r="R3020" s="1564"/>
      <c r="S3020" s="1562"/>
    </row>
    <row r="3021" spans="2:19" ht="11.25" customHeight="1" outlineLevel="1">
      <c r="B3021" s="1573">
        <v>10577</v>
      </c>
      <c r="C3021" s="1566" t="s">
        <v>5403</v>
      </c>
      <c r="D3021" s="1566" t="s">
        <v>10268</v>
      </c>
      <c r="E3021" s="1566"/>
      <c r="F3021" s="1566"/>
      <c r="G3021" s="1566"/>
      <c r="H3021" s="1568">
        <v>1</v>
      </c>
      <c r="I3021" s="1566"/>
      <c r="J3021" s="1566"/>
      <c r="K3021" s="1572">
        <v>216</v>
      </c>
      <c r="L3021" s="1572">
        <v>216.6</v>
      </c>
      <c r="M3021" s="1572">
        <v>-216.6</v>
      </c>
      <c r="N3021" s="1564"/>
      <c r="O3021" s="1564"/>
      <c r="P3021" s="1572">
        <v>216.6</v>
      </c>
      <c r="Q3021" s="1572">
        <v>-216.6</v>
      </c>
      <c r="R3021" s="1564"/>
      <c r="S3021" s="1562"/>
    </row>
    <row r="3022" spans="2:19" ht="11.25" customHeight="1" outlineLevel="1">
      <c r="B3022" s="1573">
        <v>10578</v>
      </c>
      <c r="C3022" s="1566" t="s">
        <v>5403</v>
      </c>
      <c r="D3022" s="1566" t="s">
        <v>10267</v>
      </c>
      <c r="E3022" s="1566"/>
      <c r="F3022" s="1566"/>
      <c r="G3022" s="1566"/>
      <c r="H3022" s="1568">
        <v>1</v>
      </c>
      <c r="I3022" s="1566"/>
      <c r="J3022" s="1566"/>
      <c r="K3022" s="1572">
        <v>216</v>
      </c>
      <c r="L3022" s="1565">
        <v>14721</v>
      </c>
      <c r="M3022" s="1565">
        <v>-14721</v>
      </c>
      <c r="N3022" s="1564"/>
      <c r="O3022" s="1564"/>
      <c r="P3022" s="1565">
        <v>14721</v>
      </c>
      <c r="Q3022" s="1565">
        <v>-14721</v>
      </c>
      <c r="R3022" s="1564"/>
      <c r="S3022" s="1562"/>
    </row>
    <row r="3023" spans="2:19" ht="11.25" customHeight="1" outlineLevel="1">
      <c r="B3023" s="1573">
        <v>10579</v>
      </c>
      <c r="C3023" s="1566" t="s">
        <v>5403</v>
      </c>
      <c r="D3023" s="1566" t="s">
        <v>10266</v>
      </c>
      <c r="E3023" s="1566"/>
      <c r="F3023" s="1566"/>
      <c r="G3023" s="1566"/>
      <c r="H3023" s="1568">
        <v>1</v>
      </c>
      <c r="I3023" s="1566"/>
      <c r="J3023" s="1566"/>
      <c r="K3023" s="1572">
        <v>62</v>
      </c>
      <c r="L3023" s="1572">
        <v>61.9</v>
      </c>
      <c r="M3023" s="1572">
        <v>-61.9</v>
      </c>
      <c r="N3023" s="1564"/>
      <c r="O3023" s="1564"/>
      <c r="P3023" s="1572">
        <v>61.9</v>
      </c>
      <c r="Q3023" s="1572">
        <v>-61.9</v>
      </c>
      <c r="R3023" s="1564"/>
      <c r="S3023" s="1562"/>
    </row>
    <row r="3024" spans="2:19" ht="11.25" customHeight="1" outlineLevel="1">
      <c r="B3024" s="1573">
        <v>10580</v>
      </c>
      <c r="C3024" s="1566" t="s">
        <v>5403</v>
      </c>
      <c r="D3024" s="1566" t="s">
        <v>10265</v>
      </c>
      <c r="E3024" s="1566"/>
      <c r="F3024" s="1566"/>
      <c r="G3024" s="1566"/>
      <c r="H3024" s="1568">
        <v>1</v>
      </c>
      <c r="I3024" s="1566"/>
      <c r="J3024" s="1566"/>
      <c r="K3024" s="1572">
        <v>112</v>
      </c>
      <c r="L3024" s="1565">
        <v>13845</v>
      </c>
      <c r="M3024" s="1565">
        <v>-13845</v>
      </c>
      <c r="N3024" s="1564"/>
      <c r="O3024" s="1564"/>
      <c r="P3024" s="1565">
        <v>13845</v>
      </c>
      <c r="Q3024" s="1565">
        <v>-13845</v>
      </c>
      <c r="R3024" s="1564"/>
      <c r="S3024" s="1562"/>
    </row>
    <row r="3025" spans="2:19" ht="11.25" customHeight="1" outlineLevel="1">
      <c r="B3025" s="1573">
        <v>10581</v>
      </c>
      <c r="C3025" s="1566" t="s">
        <v>5403</v>
      </c>
      <c r="D3025" s="1566" t="s">
        <v>10264</v>
      </c>
      <c r="E3025" s="1566"/>
      <c r="F3025" s="1566"/>
      <c r="G3025" s="1566"/>
      <c r="H3025" s="1568">
        <v>1</v>
      </c>
      <c r="I3025" s="1566"/>
      <c r="J3025" s="1566"/>
      <c r="K3025" s="1572">
        <v>64</v>
      </c>
      <c r="L3025" s="1565">
        <v>124414</v>
      </c>
      <c r="M3025" s="1564"/>
      <c r="N3025" s="1565">
        <v>124414</v>
      </c>
      <c r="O3025" s="1565">
        <v>4090.38</v>
      </c>
      <c r="P3025" s="1565">
        <v>116233.26</v>
      </c>
      <c r="Q3025" s="1565">
        <v>4090.36</v>
      </c>
      <c r="R3025" s="1565">
        <v>120323.62</v>
      </c>
      <c r="S3025" s="1562"/>
    </row>
    <row r="3026" spans="2:19" ht="11.25" customHeight="1" outlineLevel="1">
      <c r="B3026" s="1573">
        <v>10927</v>
      </c>
      <c r="C3026" s="1566" t="s">
        <v>5403</v>
      </c>
      <c r="D3026" s="1566" t="s">
        <v>10263</v>
      </c>
      <c r="E3026" s="1566"/>
      <c r="F3026" s="1566"/>
      <c r="G3026" s="1566" t="s">
        <v>3734</v>
      </c>
      <c r="H3026" s="1568">
        <v>1</v>
      </c>
      <c r="I3026" s="1566"/>
      <c r="J3026" s="1566"/>
      <c r="K3026" s="1565">
        <v>20510</v>
      </c>
      <c r="L3026" s="1565">
        <v>20510</v>
      </c>
      <c r="M3026" s="1565">
        <v>7615948.9800000004</v>
      </c>
      <c r="N3026" s="1565">
        <v>7636458.9800000004</v>
      </c>
      <c r="O3026" s="1565">
        <v>7597873.3499999996</v>
      </c>
      <c r="P3026" s="1565">
        <v>16934.060000000001</v>
      </c>
      <c r="Q3026" s="1565">
        <v>21651.57</v>
      </c>
      <c r="R3026" s="1565">
        <v>38585.629999999997</v>
      </c>
      <c r="S3026" s="1562"/>
    </row>
    <row r="3027" spans="2:19" ht="11.25" customHeight="1" outlineLevel="1">
      <c r="B3027" s="1573">
        <v>11034</v>
      </c>
      <c r="C3027" s="1566" t="s">
        <v>5403</v>
      </c>
      <c r="D3027" s="1566" t="s">
        <v>10262</v>
      </c>
      <c r="E3027" s="1566"/>
      <c r="F3027" s="1566"/>
      <c r="G3027" s="1566" t="s">
        <v>3734</v>
      </c>
      <c r="H3027" s="1568">
        <v>1</v>
      </c>
      <c r="I3027" s="1566"/>
      <c r="J3027" s="1566"/>
      <c r="K3027" s="1565">
        <v>106832</v>
      </c>
      <c r="L3027" s="1565">
        <v>106832</v>
      </c>
      <c r="M3027" s="1564"/>
      <c r="N3027" s="1565">
        <v>106832</v>
      </c>
      <c r="O3027" s="1565">
        <v>6801.91</v>
      </c>
      <c r="P3027" s="1565">
        <v>96629.17</v>
      </c>
      <c r="Q3027" s="1565">
        <v>3400.92</v>
      </c>
      <c r="R3027" s="1565">
        <v>100030.09</v>
      </c>
      <c r="S3027" s="1562"/>
    </row>
    <row r="3028" spans="2:19" ht="11.25" customHeight="1" outlineLevel="1">
      <c r="B3028" s="1573">
        <v>11035</v>
      </c>
      <c r="C3028" s="1566" t="s">
        <v>5403</v>
      </c>
      <c r="D3028" s="1566" t="s">
        <v>10261</v>
      </c>
      <c r="E3028" s="1566"/>
      <c r="F3028" s="1566"/>
      <c r="G3028" s="1566" t="s">
        <v>3734</v>
      </c>
      <c r="H3028" s="1568">
        <v>1</v>
      </c>
      <c r="I3028" s="1566"/>
      <c r="J3028" s="1566"/>
      <c r="K3028" s="1565">
        <v>287892</v>
      </c>
      <c r="L3028" s="1565">
        <v>287892</v>
      </c>
      <c r="M3028" s="1564"/>
      <c r="N3028" s="1565">
        <v>287892</v>
      </c>
      <c r="O3028" s="1565">
        <v>18327.2</v>
      </c>
      <c r="P3028" s="1565">
        <v>260401.24</v>
      </c>
      <c r="Q3028" s="1565">
        <v>9163.56</v>
      </c>
      <c r="R3028" s="1565">
        <v>269564.79999999999</v>
      </c>
      <c r="S3028" s="1562"/>
    </row>
    <row r="3029" spans="2:19" ht="11.25" customHeight="1" outlineLevel="1">
      <c r="B3029" s="1573">
        <v>11183</v>
      </c>
      <c r="C3029" s="1566" t="s">
        <v>5403</v>
      </c>
      <c r="D3029" s="1566" t="s">
        <v>10260</v>
      </c>
      <c r="E3029" s="1566"/>
      <c r="F3029" s="1566"/>
      <c r="G3029" s="1566" t="s">
        <v>10259</v>
      </c>
      <c r="H3029" s="1568">
        <v>1</v>
      </c>
      <c r="I3029" s="1566"/>
      <c r="J3029" s="1566"/>
      <c r="K3029" s="1572">
        <v>36</v>
      </c>
      <c r="L3029" s="1565">
        <v>20265</v>
      </c>
      <c r="M3029" s="1564"/>
      <c r="N3029" s="1565">
        <v>20265</v>
      </c>
      <c r="O3029" s="1565">
        <v>2943.41</v>
      </c>
      <c r="P3029" s="1565">
        <v>16732.87</v>
      </c>
      <c r="Q3029" s="1572">
        <v>588.72</v>
      </c>
      <c r="R3029" s="1565">
        <v>17321.59</v>
      </c>
      <c r="S3029" s="1562"/>
    </row>
    <row r="3030" spans="2:19" ht="11.25" customHeight="1" outlineLevel="1">
      <c r="B3030" s="1573">
        <v>11195</v>
      </c>
      <c r="C3030" s="1566" t="s">
        <v>5403</v>
      </c>
      <c r="D3030" s="1566" t="s">
        <v>10258</v>
      </c>
      <c r="E3030" s="1566"/>
      <c r="F3030" s="1566"/>
      <c r="G3030" s="1566" t="s">
        <v>5458</v>
      </c>
      <c r="H3030" s="1568">
        <v>1</v>
      </c>
      <c r="I3030" s="1566"/>
      <c r="J3030" s="1566"/>
      <c r="K3030" s="1572">
        <v>83</v>
      </c>
      <c r="L3030" s="1565">
        <v>62880</v>
      </c>
      <c r="M3030" s="1564"/>
      <c r="N3030" s="1565">
        <v>62880</v>
      </c>
      <c r="O3030" s="1565">
        <v>31438.41</v>
      </c>
      <c r="P3030" s="1565">
        <v>30372.87</v>
      </c>
      <c r="Q3030" s="1565">
        <v>1068.72</v>
      </c>
      <c r="R3030" s="1565">
        <v>31441.59</v>
      </c>
      <c r="S3030" s="1562"/>
    </row>
    <row r="3031" spans="2:19" ht="11.25" customHeight="1" outlineLevel="1">
      <c r="B3031" s="1573">
        <v>11199</v>
      </c>
      <c r="C3031" s="1566" t="s">
        <v>5403</v>
      </c>
      <c r="D3031" s="1566" t="s">
        <v>10257</v>
      </c>
      <c r="E3031" s="1566"/>
      <c r="F3031" s="1566"/>
      <c r="G3031" s="1566"/>
      <c r="H3031" s="1568">
        <v>1</v>
      </c>
      <c r="I3031" s="1566"/>
      <c r="J3031" s="1566"/>
      <c r="K3031" s="1565">
        <v>1313</v>
      </c>
      <c r="L3031" s="1565">
        <v>1313</v>
      </c>
      <c r="M3031" s="1565">
        <v>-1313</v>
      </c>
      <c r="N3031" s="1564"/>
      <c r="O3031" s="1564"/>
      <c r="P3031" s="1565">
        <v>1313</v>
      </c>
      <c r="Q3031" s="1565">
        <v>-1313</v>
      </c>
      <c r="R3031" s="1564"/>
      <c r="S3031" s="1562"/>
    </row>
    <row r="3032" spans="2:19" ht="11.25" customHeight="1" outlineLevel="1">
      <c r="B3032" s="1573">
        <v>11205</v>
      </c>
      <c r="C3032" s="1566" t="s">
        <v>5403</v>
      </c>
      <c r="D3032" s="1566" t="s">
        <v>10256</v>
      </c>
      <c r="E3032" s="1566"/>
      <c r="F3032" s="1566"/>
      <c r="G3032" s="1566" t="s">
        <v>3664</v>
      </c>
      <c r="H3032" s="1568">
        <v>1</v>
      </c>
      <c r="I3032" s="1566"/>
      <c r="J3032" s="1566"/>
      <c r="K3032" s="1565">
        <v>11382</v>
      </c>
      <c r="L3032" s="1565">
        <v>11382</v>
      </c>
      <c r="M3032" s="1564"/>
      <c r="N3032" s="1565">
        <v>11382</v>
      </c>
      <c r="O3032" s="1565">
        <v>5691.64</v>
      </c>
      <c r="P3032" s="1565">
        <v>5496.92</v>
      </c>
      <c r="Q3032" s="1572">
        <v>193.44</v>
      </c>
      <c r="R3032" s="1565">
        <v>5690.36</v>
      </c>
      <c r="S3032" s="1562"/>
    </row>
    <row r="3033" spans="2:19" ht="11.25" customHeight="1" outlineLevel="1">
      <c r="B3033" s="1573">
        <v>11206</v>
      </c>
      <c r="C3033" s="1566" t="s">
        <v>5403</v>
      </c>
      <c r="D3033" s="1566" t="s">
        <v>10255</v>
      </c>
      <c r="E3033" s="1566"/>
      <c r="F3033" s="1566"/>
      <c r="G3033" s="1566" t="s">
        <v>10254</v>
      </c>
      <c r="H3033" s="1568">
        <v>1</v>
      </c>
      <c r="I3033" s="1566"/>
      <c r="J3033" s="1566"/>
      <c r="K3033" s="1565">
        <v>6949</v>
      </c>
      <c r="L3033" s="1565">
        <v>6949</v>
      </c>
      <c r="M3033" s="1564"/>
      <c r="N3033" s="1565">
        <v>6949</v>
      </c>
      <c r="O3033" s="1565">
        <v>3475.36</v>
      </c>
      <c r="P3033" s="1565">
        <v>3355.44</v>
      </c>
      <c r="Q3033" s="1572">
        <v>118.2</v>
      </c>
      <c r="R3033" s="1565">
        <v>3473.64</v>
      </c>
      <c r="S3033" s="1562"/>
    </row>
    <row r="3034" spans="2:19" ht="11.25" customHeight="1" outlineLevel="1">
      <c r="B3034" s="1573">
        <v>11207</v>
      </c>
      <c r="C3034" s="1566" t="s">
        <v>5403</v>
      </c>
      <c r="D3034" s="1566" t="s">
        <v>10253</v>
      </c>
      <c r="E3034" s="1566"/>
      <c r="F3034" s="1566"/>
      <c r="G3034" s="1566" t="s">
        <v>10252</v>
      </c>
      <c r="H3034" s="1568">
        <v>1</v>
      </c>
      <c r="I3034" s="1566"/>
      <c r="J3034" s="1566"/>
      <c r="K3034" s="1572">
        <v>1</v>
      </c>
      <c r="L3034" s="1565">
        <v>4151173.92</v>
      </c>
      <c r="M3034" s="1564"/>
      <c r="N3034" s="1565">
        <v>4151173.92</v>
      </c>
      <c r="O3034" s="1565">
        <v>4012781.52</v>
      </c>
      <c r="P3034" s="1565">
        <v>1593</v>
      </c>
      <c r="Q3034" s="1565">
        <v>136799.4</v>
      </c>
      <c r="R3034" s="1565">
        <v>138392.4</v>
      </c>
      <c r="S3034" s="1562"/>
    </row>
    <row r="3035" spans="2:19" ht="11.25" customHeight="1" outlineLevel="1">
      <c r="B3035" s="1573">
        <v>11233</v>
      </c>
      <c r="C3035" s="1566" t="s">
        <v>5403</v>
      </c>
      <c r="D3035" s="1566" t="s">
        <v>10251</v>
      </c>
      <c r="E3035" s="1566"/>
      <c r="F3035" s="1566"/>
      <c r="G3035" s="1566" t="s">
        <v>3664</v>
      </c>
      <c r="H3035" s="1568">
        <v>1</v>
      </c>
      <c r="I3035" s="1566"/>
      <c r="J3035" s="1566"/>
      <c r="K3035" s="1565">
        <v>2351</v>
      </c>
      <c r="L3035" s="1565">
        <v>12395300.779999999</v>
      </c>
      <c r="M3035" s="1564"/>
      <c r="N3035" s="1565">
        <v>12395300.779999999</v>
      </c>
      <c r="O3035" s="1565">
        <v>11603191.42</v>
      </c>
      <c r="P3035" s="1565">
        <v>397666.6</v>
      </c>
      <c r="Q3035" s="1565">
        <v>394442.76</v>
      </c>
      <c r="R3035" s="1565">
        <v>792109.36</v>
      </c>
      <c r="S3035" s="1562"/>
    </row>
    <row r="3036" spans="2:19" ht="11.25" customHeight="1" outlineLevel="1">
      <c r="B3036" s="1573">
        <v>11234</v>
      </c>
      <c r="C3036" s="1566" t="s">
        <v>5403</v>
      </c>
      <c r="D3036" s="1566" t="s">
        <v>10250</v>
      </c>
      <c r="E3036" s="1566"/>
      <c r="F3036" s="1566"/>
      <c r="G3036" s="1566" t="s">
        <v>10246</v>
      </c>
      <c r="H3036" s="1568">
        <v>1</v>
      </c>
      <c r="I3036" s="1566"/>
      <c r="J3036" s="1566"/>
      <c r="K3036" s="1565">
        <v>28169</v>
      </c>
      <c r="L3036" s="1565">
        <v>28169</v>
      </c>
      <c r="M3036" s="1564"/>
      <c r="N3036" s="1565">
        <v>28169</v>
      </c>
      <c r="O3036" s="1565">
        <v>14084.3</v>
      </c>
      <c r="P3036" s="1565">
        <v>13605.9</v>
      </c>
      <c r="Q3036" s="1572">
        <v>478.8</v>
      </c>
      <c r="R3036" s="1565">
        <v>14084.7</v>
      </c>
      <c r="S3036" s="1562"/>
    </row>
    <row r="3037" spans="2:19" ht="11.25" customHeight="1" outlineLevel="1">
      <c r="B3037" s="1573">
        <v>11237</v>
      </c>
      <c r="C3037" s="1566" t="s">
        <v>5403</v>
      </c>
      <c r="D3037" s="1566" t="s">
        <v>10249</v>
      </c>
      <c r="E3037" s="1566"/>
      <c r="F3037" s="1566"/>
      <c r="G3037" s="1566" t="s">
        <v>3638</v>
      </c>
      <c r="H3037" s="1568">
        <v>1</v>
      </c>
      <c r="I3037" s="1566"/>
      <c r="J3037" s="1566"/>
      <c r="K3037" s="1565">
        <v>102322</v>
      </c>
      <c r="L3037" s="1565">
        <v>102322</v>
      </c>
      <c r="M3037" s="1564"/>
      <c r="N3037" s="1565">
        <v>102322</v>
      </c>
      <c r="O3037" s="1565">
        <v>19667.29</v>
      </c>
      <c r="P3037" s="1565">
        <v>79845.149999999994</v>
      </c>
      <c r="Q3037" s="1565">
        <v>2809.56</v>
      </c>
      <c r="R3037" s="1565">
        <v>82654.710000000006</v>
      </c>
      <c r="S3037" s="1562"/>
    </row>
    <row r="3038" spans="2:19" ht="11.25" customHeight="1" outlineLevel="1">
      <c r="B3038" s="1573">
        <v>11244</v>
      </c>
      <c r="C3038" s="1566" t="s">
        <v>5403</v>
      </c>
      <c r="D3038" s="1566" t="s">
        <v>10248</v>
      </c>
      <c r="E3038" s="1566"/>
      <c r="F3038" s="1566"/>
      <c r="G3038" s="1566" t="s">
        <v>3734</v>
      </c>
      <c r="H3038" s="1568">
        <v>1</v>
      </c>
      <c r="I3038" s="1566"/>
      <c r="J3038" s="1566"/>
      <c r="K3038" s="1572">
        <v>7</v>
      </c>
      <c r="L3038" s="1572">
        <v>7</v>
      </c>
      <c r="M3038" s="1564"/>
      <c r="N3038" s="1572">
        <v>7</v>
      </c>
      <c r="O3038" s="1572">
        <v>3.47</v>
      </c>
      <c r="P3038" s="1572">
        <v>3.41</v>
      </c>
      <c r="Q3038" s="1572">
        <v>0.12</v>
      </c>
      <c r="R3038" s="1572">
        <v>3.53</v>
      </c>
      <c r="S3038" s="1562"/>
    </row>
    <row r="3039" spans="2:19" ht="11.25" customHeight="1" outlineLevel="1">
      <c r="B3039" s="1573">
        <v>11245</v>
      </c>
      <c r="C3039" s="1566" t="s">
        <v>5403</v>
      </c>
      <c r="D3039" s="1566" t="s">
        <v>10247</v>
      </c>
      <c r="E3039" s="1566"/>
      <c r="F3039" s="1566"/>
      <c r="G3039" s="1566" t="s">
        <v>10246</v>
      </c>
      <c r="H3039" s="1568">
        <v>1</v>
      </c>
      <c r="I3039" s="1566"/>
      <c r="J3039" s="1566"/>
      <c r="K3039" s="1572">
        <v>126</v>
      </c>
      <c r="L3039" s="1572">
        <v>126</v>
      </c>
      <c r="M3039" s="1564"/>
      <c r="N3039" s="1572">
        <v>126</v>
      </c>
      <c r="O3039" s="1572">
        <v>62.46</v>
      </c>
      <c r="P3039" s="1572">
        <v>61.38</v>
      </c>
      <c r="Q3039" s="1572">
        <v>2.16</v>
      </c>
      <c r="R3039" s="1572">
        <v>63.54</v>
      </c>
      <c r="S3039" s="1562"/>
    </row>
    <row r="3040" spans="2:19" ht="11.25" customHeight="1" outlineLevel="1">
      <c r="B3040" s="1573">
        <v>11246</v>
      </c>
      <c r="C3040" s="1566" t="s">
        <v>5403</v>
      </c>
      <c r="D3040" s="1566" t="s">
        <v>10245</v>
      </c>
      <c r="E3040" s="1566"/>
      <c r="F3040" s="1566"/>
      <c r="G3040" s="1566" t="s">
        <v>9114</v>
      </c>
      <c r="H3040" s="1568">
        <v>1</v>
      </c>
      <c r="I3040" s="1566"/>
      <c r="J3040" s="1566"/>
      <c r="K3040" s="1572">
        <v>11</v>
      </c>
      <c r="L3040" s="1565">
        <v>17600</v>
      </c>
      <c r="M3040" s="1564"/>
      <c r="N3040" s="1565">
        <v>17600</v>
      </c>
      <c r="O3040" s="1565">
        <v>8799.7099999999991</v>
      </c>
      <c r="P3040" s="1565">
        <v>8501.1299999999992</v>
      </c>
      <c r="Q3040" s="1572">
        <v>299.16000000000003</v>
      </c>
      <c r="R3040" s="1565">
        <v>8800.2900000000009</v>
      </c>
      <c r="S3040" s="1562"/>
    </row>
    <row r="3041" spans="2:19" ht="11.25" customHeight="1" outlineLevel="1">
      <c r="B3041" s="1573">
        <v>11248</v>
      </c>
      <c r="C3041" s="1566" t="s">
        <v>5403</v>
      </c>
      <c r="D3041" s="1566" t="s">
        <v>10244</v>
      </c>
      <c r="E3041" s="1566"/>
      <c r="F3041" s="1566"/>
      <c r="G3041" s="1566" t="s">
        <v>5450</v>
      </c>
      <c r="H3041" s="1568">
        <v>1</v>
      </c>
      <c r="I3041" s="1566"/>
      <c r="J3041" s="1566"/>
      <c r="K3041" s="1572">
        <v>17</v>
      </c>
      <c r="L3041" s="1572">
        <v>17</v>
      </c>
      <c r="M3041" s="1564"/>
      <c r="N3041" s="1572">
        <v>17</v>
      </c>
      <c r="O3041" s="1572">
        <v>9.82</v>
      </c>
      <c r="P3041" s="1572">
        <v>6.82</v>
      </c>
      <c r="Q3041" s="1572">
        <v>0.36</v>
      </c>
      <c r="R3041" s="1572">
        <v>7.18</v>
      </c>
      <c r="S3041" s="1562"/>
    </row>
    <row r="3042" spans="2:19" ht="11.25" customHeight="1" outlineLevel="1">
      <c r="B3042" s="1573">
        <v>11249</v>
      </c>
      <c r="C3042" s="1566" t="s">
        <v>5403</v>
      </c>
      <c r="D3042" s="1566" t="s">
        <v>10243</v>
      </c>
      <c r="E3042" s="1566"/>
      <c r="F3042" s="1566"/>
      <c r="G3042" s="1566" t="s">
        <v>10242</v>
      </c>
      <c r="H3042" s="1568">
        <v>1</v>
      </c>
      <c r="I3042" s="1566"/>
      <c r="J3042" s="1566"/>
      <c r="K3042" s="1572">
        <v>6</v>
      </c>
      <c r="L3042" s="1572">
        <v>6</v>
      </c>
      <c r="M3042" s="1564"/>
      <c r="N3042" s="1572">
        <v>6</v>
      </c>
      <c r="O3042" s="1572">
        <v>2.4700000000000002</v>
      </c>
      <c r="P3042" s="1572">
        <v>3.41</v>
      </c>
      <c r="Q3042" s="1572">
        <v>0.12</v>
      </c>
      <c r="R3042" s="1572">
        <v>3.53</v>
      </c>
      <c r="S3042" s="1562"/>
    </row>
    <row r="3043" spans="2:19" ht="11.25" customHeight="1" outlineLevel="1">
      <c r="B3043" s="1573">
        <v>11250</v>
      </c>
      <c r="C3043" s="1566" t="s">
        <v>5403</v>
      </c>
      <c r="D3043" s="1566" t="s">
        <v>10241</v>
      </c>
      <c r="E3043" s="1566"/>
      <c r="F3043" s="1566"/>
      <c r="G3043" s="1566" t="s">
        <v>5444</v>
      </c>
      <c r="H3043" s="1568">
        <v>1</v>
      </c>
      <c r="I3043" s="1566"/>
      <c r="J3043" s="1566"/>
      <c r="K3043" s="1572">
        <v>19</v>
      </c>
      <c r="L3043" s="1572">
        <v>19</v>
      </c>
      <c r="M3043" s="1564"/>
      <c r="N3043" s="1572">
        <v>19</v>
      </c>
      <c r="O3043" s="1572">
        <v>8.5299999999999994</v>
      </c>
      <c r="P3043" s="1572">
        <v>10.23</v>
      </c>
      <c r="Q3043" s="1572">
        <v>0.24</v>
      </c>
      <c r="R3043" s="1572">
        <v>10.47</v>
      </c>
      <c r="S3043" s="1562"/>
    </row>
    <row r="3044" spans="2:19" ht="11.25" customHeight="1" outlineLevel="1">
      <c r="B3044" s="1573">
        <v>11251</v>
      </c>
      <c r="C3044" s="1566" t="s">
        <v>5403</v>
      </c>
      <c r="D3044" s="1566" t="s">
        <v>10240</v>
      </c>
      <c r="E3044" s="1566"/>
      <c r="F3044" s="1566"/>
      <c r="G3044" s="1566" t="s">
        <v>5450</v>
      </c>
      <c r="H3044" s="1568">
        <v>1</v>
      </c>
      <c r="I3044" s="1566"/>
      <c r="J3044" s="1566"/>
      <c r="K3044" s="1572">
        <v>2</v>
      </c>
      <c r="L3044" s="1572">
        <v>109</v>
      </c>
      <c r="M3044" s="1564"/>
      <c r="N3044" s="1572">
        <v>109</v>
      </c>
      <c r="O3044" s="1572">
        <v>55.93</v>
      </c>
      <c r="P3044" s="1572">
        <v>51.15</v>
      </c>
      <c r="Q3044" s="1572">
        <v>1.92</v>
      </c>
      <c r="R3044" s="1572">
        <v>53.07</v>
      </c>
      <c r="S3044" s="1562"/>
    </row>
    <row r="3045" spans="2:19" ht="11.25" customHeight="1" outlineLevel="1">
      <c r="B3045" s="1573">
        <v>11469</v>
      </c>
      <c r="C3045" s="1566" t="s">
        <v>5403</v>
      </c>
      <c r="D3045" s="1566" t="s">
        <v>10239</v>
      </c>
      <c r="E3045" s="1566"/>
      <c r="F3045" s="1566"/>
      <c r="G3045" s="1566" t="s">
        <v>10238</v>
      </c>
      <c r="H3045" s="1568">
        <v>1</v>
      </c>
      <c r="I3045" s="1566"/>
      <c r="J3045" s="1566"/>
      <c r="K3045" s="1565">
        <v>2899924</v>
      </c>
      <c r="L3045" s="1565">
        <v>2899924</v>
      </c>
      <c r="M3045" s="1564"/>
      <c r="N3045" s="1565">
        <v>2899924</v>
      </c>
      <c r="O3045" s="1565">
        <v>1449962.38</v>
      </c>
      <c r="P3045" s="1565">
        <v>1400671.14</v>
      </c>
      <c r="Q3045" s="1565">
        <v>49290.48</v>
      </c>
      <c r="R3045" s="1565">
        <v>1449961.62</v>
      </c>
      <c r="S3045" s="1562"/>
    </row>
    <row r="3046" spans="2:19" ht="11.25" customHeight="1" outlineLevel="1">
      <c r="B3046" s="1573">
        <v>11470</v>
      </c>
      <c r="C3046" s="1566" t="s">
        <v>5403</v>
      </c>
      <c r="D3046" s="1566" t="s">
        <v>10237</v>
      </c>
      <c r="E3046" s="1566"/>
      <c r="F3046" s="1566"/>
      <c r="G3046" s="1566" t="s">
        <v>3734</v>
      </c>
      <c r="H3046" s="1568">
        <v>1</v>
      </c>
      <c r="I3046" s="1566"/>
      <c r="J3046" s="1566"/>
      <c r="K3046" s="1565">
        <v>1739955</v>
      </c>
      <c r="L3046" s="1565">
        <v>1739955</v>
      </c>
      <c r="M3046" s="1564"/>
      <c r="N3046" s="1565">
        <v>1739955</v>
      </c>
      <c r="O3046" s="1565">
        <v>869976.03</v>
      </c>
      <c r="P3046" s="1565">
        <v>840404.73</v>
      </c>
      <c r="Q3046" s="1565">
        <v>29574.240000000002</v>
      </c>
      <c r="R3046" s="1565">
        <v>869978.97</v>
      </c>
      <c r="S3046" s="1562"/>
    </row>
    <row r="3047" spans="2:19" ht="11.25" customHeight="1" outlineLevel="1">
      <c r="B3047" s="1573">
        <v>11472</v>
      </c>
      <c r="C3047" s="1566" t="s">
        <v>5403</v>
      </c>
      <c r="D3047" s="1566" t="s">
        <v>10236</v>
      </c>
      <c r="E3047" s="1566"/>
      <c r="F3047" s="1566"/>
      <c r="G3047" s="1566" t="s">
        <v>10235</v>
      </c>
      <c r="H3047" s="1568">
        <v>1</v>
      </c>
      <c r="I3047" s="1566"/>
      <c r="J3047" s="1566"/>
      <c r="K3047" s="1572">
        <v>2</v>
      </c>
      <c r="L3047" s="1565">
        <v>5066</v>
      </c>
      <c r="M3047" s="1564"/>
      <c r="N3047" s="1565">
        <v>5066</v>
      </c>
      <c r="O3047" s="1572">
        <v>858.24</v>
      </c>
      <c r="P3047" s="1565">
        <v>4064.72</v>
      </c>
      <c r="Q3047" s="1572">
        <v>143.04</v>
      </c>
      <c r="R3047" s="1565">
        <v>4207.76</v>
      </c>
      <c r="S3047" s="1562"/>
    </row>
    <row r="3048" spans="2:19" ht="11.25" customHeight="1" outlineLevel="1">
      <c r="B3048" s="1573">
        <v>11474</v>
      </c>
      <c r="C3048" s="1566" t="s">
        <v>5403</v>
      </c>
      <c r="D3048" s="1566" t="s">
        <v>10234</v>
      </c>
      <c r="E3048" s="1566"/>
      <c r="F3048" s="1566"/>
      <c r="G3048" s="1566" t="s">
        <v>4828</v>
      </c>
      <c r="H3048" s="1568">
        <v>1</v>
      </c>
      <c r="I3048" s="1566"/>
      <c r="J3048" s="1566"/>
      <c r="K3048" s="1565">
        <v>4981630</v>
      </c>
      <c r="L3048" s="1565">
        <v>4981630</v>
      </c>
      <c r="M3048" s="1564"/>
      <c r="N3048" s="1565">
        <v>4981630</v>
      </c>
      <c r="O3048" s="1565">
        <v>723722.94</v>
      </c>
      <c r="P3048" s="1565">
        <v>4113162.46</v>
      </c>
      <c r="Q3048" s="1565">
        <v>144744.6</v>
      </c>
      <c r="R3048" s="1565">
        <v>4257907.0599999996</v>
      </c>
      <c r="S3048" s="1562"/>
    </row>
    <row r="3049" spans="2:19" ht="11.25" customHeight="1" outlineLevel="1">
      <c r="B3049" s="1573">
        <v>11475</v>
      </c>
      <c r="C3049" s="1566" t="s">
        <v>5403</v>
      </c>
      <c r="D3049" s="1566" t="s">
        <v>10233</v>
      </c>
      <c r="E3049" s="1566"/>
      <c r="F3049" s="1566"/>
      <c r="G3049" s="1566" t="s">
        <v>10232</v>
      </c>
      <c r="H3049" s="1568">
        <v>1</v>
      </c>
      <c r="I3049" s="1566"/>
      <c r="J3049" s="1566"/>
      <c r="K3049" s="1565">
        <v>11729167.66</v>
      </c>
      <c r="L3049" s="1565">
        <v>12285194</v>
      </c>
      <c r="M3049" s="1565">
        <v>4546529.93</v>
      </c>
      <c r="N3049" s="1565">
        <v>16831723.93</v>
      </c>
      <c r="O3049" s="1565">
        <v>6331304.6200000001</v>
      </c>
      <c r="P3049" s="1565">
        <v>10143464.43</v>
      </c>
      <c r="Q3049" s="1565">
        <v>356954.88</v>
      </c>
      <c r="R3049" s="1565">
        <v>10500419.310000001</v>
      </c>
      <c r="S3049" s="1562"/>
    </row>
    <row r="3050" spans="2:19" ht="11.25" customHeight="1" outlineLevel="1">
      <c r="B3050" s="1573">
        <v>11476</v>
      </c>
      <c r="C3050" s="1566" t="s">
        <v>5403</v>
      </c>
      <c r="D3050" s="1566" t="s">
        <v>10231</v>
      </c>
      <c r="E3050" s="1566"/>
      <c r="F3050" s="1566"/>
      <c r="G3050" s="1566" t="s">
        <v>10230</v>
      </c>
      <c r="H3050" s="1568">
        <v>1</v>
      </c>
      <c r="I3050" s="1566"/>
      <c r="J3050" s="1566"/>
      <c r="K3050" s="1565">
        <v>7742651</v>
      </c>
      <c r="L3050" s="1565">
        <v>7742651</v>
      </c>
      <c r="M3050" s="1564"/>
      <c r="N3050" s="1565">
        <v>7742651</v>
      </c>
      <c r="O3050" s="1565">
        <v>3871324.71</v>
      </c>
      <c r="P3050" s="1565">
        <v>3739723.13</v>
      </c>
      <c r="Q3050" s="1565">
        <v>131603.16</v>
      </c>
      <c r="R3050" s="1565">
        <v>3871326.29</v>
      </c>
      <c r="S3050" s="1562"/>
    </row>
    <row r="3051" spans="2:19" ht="11.25" customHeight="1" outlineLevel="1">
      <c r="B3051" s="1573">
        <v>11477</v>
      </c>
      <c r="C3051" s="1566" t="s">
        <v>5403</v>
      </c>
      <c r="D3051" s="1566" t="s">
        <v>10229</v>
      </c>
      <c r="E3051" s="1566"/>
      <c r="F3051" s="1566"/>
      <c r="G3051" s="1566" t="s">
        <v>10228</v>
      </c>
      <c r="H3051" s="1568">
        <v>1</v>
      </c>
      <c r="I3051" s="1566"/>
      <c r="J3051" s="1566"/>
      <c r="K3051" s="1565">
        <v>13485302</v>
      </c>
      <c r="L3051" s="1565">
        <v>13485302</v>
      </c>
      <c r="M3051" s="1564"/>
      <c r="N3051" s="1565">
        <v>13485302</v>
      </c>
      <c r="O3051" s="1565">
        <v>6742652.4100000001</v>
      </c>
      <c r="P3051" s="1565">
        <v>6513437.5899999999</v>
      </c>
      <c r="Q3051" s="1565">
        <v>229212</v>
      </c>
      <c r="R3051" s="1565">
        <v>6742649.5899999999</v>
      </c>
      <c r="S3051" s="1562"/>
    </row>
    <row r="3052" spans="2:19" ht="11.25" customHeight="1" outlineLevel="1">
      <c r="B3052" s="1573">
        <v>11497</v>
      </c>
      <c r="C3052" s="1566" t="s">
        <v>5403</v>
      </c>
      <c r="D3052" s="1566" t="s">
        <v>10227</v>
      </c>
      <c r="E3052" s="1566"/>
      <c r="F3052" s="1566"/>
      <c r="G3052" s="1566"/>
      <c r="H3052" s="1568">
        <v>1</v>
      </c>
      <c r="I3052" s="1566"/>
      <c r="J3052" s="1566"/>
      <c r="K3052" s="1572">
        <v>64</v>
      </c>
      <c r="L3052" s="1565">
        <v>5114</v>
      </c>
      <c r="M3052" s="1565">
        <v>-5114</v>
      </c>
      <c r="N3052" s="1564"/>
      <c r="O3052" s="1564"/>
      <c r="P3052" s="1565">
        <v>5114</v>
      </c>
      <c r="Q3052" s="1565">
        <v>-5114</v>
      </c>
      <c r="R3052" s="1564"/>
      <c r="S3052" s="1562"/>
    </row>
    <row r="3053" spans="2:19" ht="11.25" customHeight="1" outlineLevel="1">
      <c r="B3053" s="1573">
        <v>11498</v>
      </c>
      <c r="C3053" s="1566" t="s">
        <v>5403</v>
      </c>
      <c r="D3053" s="1566" t="s">
        <v>10226</v>
      </c>
      <c r="E3053" s="1566"/>
      <c r="F3053" s="1566"/>
      <c r="G3053" s="1566"/>
      <c r="H3053" s="1568">
        <v>1</v>
      </c>
      <c r="I3053" s="1566"/>
      <c r="J3053" s="1566"/>
      <c r="K3053" s="1572">
        <v>70</v>
      </c>
      <c r="L3053" s="1565">
        <v>9802</v>
      </c>
      <c r="M3053" s="1565">
        <v>-9802</v>
      </c>
      <c r="N3053" s="1564"/>
      <c r="O3053" s="1564"/>
      <c r="P3053" s="1565">
        <v>9802</v>
      </c>
      <c r="Q3053" s="1565">
        <v>-9802</v>
      </c>
      <c r="R3053" s="1564"/>
      <c r="S3053" s="1562"/>
    </row>
    <row r="3054" spans="2:19" ht="11.25" customHeight="1" outlineLevel="1">
      <c r="B3054" s="1573">
        <v>11499</v>
      </c>
      <c r="C3054" s="1566" t="s">
        <v>5403</v>
      </c>
      <c r="D3054" s="1566" t="s">
        <v>10225</v>
      </c>
      <c r="E3054" s="1566"/>
      <c r="F3054" s="1566"/>
      <c r="G3054" s="1566"/>
      <c r="H3054" s="1568">
        <v>1</v>
      </c>
      <c r="I3054" s="1566"/>
      <c r="J3054" s="1566"/>
      <c r="K3054" s="1572">
        <v>70</v>
      </c>
      <c r="L3054" s="1565">
        <v>7002</v>
      </c>
      <c r="M3054" s="1565">
        <v>-7002</v>
      </c>
      <c r="N3054" s="1564"/>
      <c r="O3054" s="1564"/>
      <c r="P3054" s="1565">
        <v>7002</v>
      </c>
      <c r="Q3054" s="1565">
        <v>-7002</v>
      </c>
      <c r="R3054" s="1564"/>
      <c r="S3054" s="1562"/>
    </row>
    <row r="3055" spans="2:19" ht="11.25" customHeight="1" outlineLevel="1">
      <c r="B3055" s="1573">
        <v>11500</v>
      </c>
      <c r="C3055" s="1566" t="s">
        <v>5403</v>
      </c>
      <c r="D3055" s="1566" t="s">
        <v>10224</v>
      </c>
      <c r="E3055" s="1566"/>
      <c r="F3055" s="1566"/>
      <c r="G3055" s="1566"/>
      <c r="H3055" s="1568">
        <v>1</v>
      </c>
      <c r="I3055" s="1566"/>
      <c r="J3055" s="1566"/>
      <c r="K3055" s="1572">
        <v>123</v>
      </c>
      <c r="L3055" s="1565">
        <v>17426</v>
      </c>
      <c r="M3055" s="1565">
        <v>-17426</v>
      </c>
      <c r="N3055" s="1564"/>
      <c r="O3055" s="1564"/>
      <c r="P3055" s="1565">
        <v>17426</v>
      </c>
      <c r="Q3055" s="1565">
        <v>-17426</v>
      </c>
      <c r="R3055" s="1564"/>
      <c r="S3055" s="1562"/>
    </row>
    <row r="3056" spans="2:19" ht="11.25" customHeight="1" outlineLevel="1">
      <c r="B3056" s="1573">
        <v>11501</v>
      </c>
      <c r="C3056" s="1566" t="s">
        <v>5403</v>
      </c>
      <c r="D3056" s="1566" t="s">
        <v>10223</v>
      </c>
      <c r="E3056" s="1566"/>
      <c r="F3056" s="1566"/>
      <c r="G3056" s="1566"/>
      <c r="H3056" s="1568">
        <v>1</v>
      </c>
      <c r="I3056" s="1566"/>
      <c r="J3056" s="1566"/>
      <c r="K3056" s="1572">
        <v>62</v>
      </c>
      <c r="L3056" s="1572">
        <v>62</v>
      </c>
      <c r="M3056" s="1572">
        <v>-62</v>
      </c>
      <c r="N3056" s="1564"/>
      <c r="O3056" s="1564"/>
      <c r="P3056" s="1572">
        <v>62</v>
      </c>
      <c r="Q3056" s="1572">
        <v>-62</v>
      </c>
      <c r="R3056" s="1564"/>
      <c r="S3056" s="1562"/>
    </row>
    <row r="3057" spans="2:19" ht="11.25" customHeight="1" outlineLevel="1">
      <c r="B3057" s="1573">
        <v>11502</v>
      </c>
      <c r="C3057" s="1566" t="s">
        <v>5403</v>
      </c>
      <c r="D3057" s="1566" t="s">
        <v>10222</v>
      </c>
      <c r="E3057" s="1566"/>
      <c r="F3057" s="1566"/>
      <c r="G3057" s="1566"/>
      <c r="H3057" s="1568">
        <v>1</v>
      </c>
      <c r="I3057" s="1566"/>
      <c r="J3057" s="1566"/>
      <c r="K3057" s="1572">
        <v>227</v>
      </c>
      <c r="L3057" s="1572">
        <v>227.25</v>
      </c>
      <c r="M3057" s="1572">
        <v>-227.25</v>
      </c>
      <c r="N3057" s="1564"/>
      <c r="O3057" s="1564"/>
      <c r="P3057" s="1572">
        <v>227.25</v>
      </c>
      <c r="Q3057" s="1572">
        <v>-227.25</v>
      </c>
      <c r="R3057" s="1564"/>
      <c r="S3057" s="1562"/>
    </row>
    <row r="3058" spans="2:19" ht="11.25" customHeight="1" outlineLevel="1">
      <c r="B3058" s="1573">
        <v>11503</v>
      </c>
      <c r="C3058" s="1566" t="s">
        <v>5403</v>
      </c>
      <c r="D3058" s="1566" t="s">
        <v>10221</v>
      </c>
      <c r="E3058" s="1566"/>
      <c r="F3058" s="1566"/>
      <c r="G3058" s="1566"/>
      <c r="H3058" s="1568">
        <v>1</v>
      </c>
      <c r="I3058" s="1566"/>
      <c r="J3058" s="1566"/>
      <c r="K3058" s="1572">
        <v>249</v>
      </c>
      <c r="L3058" s="1572">
        <v>249</v>
      </c>
      <c r="M3058" s="1572">
        <v>-249</v>
      </c>
      <c r="N3058" s="1564"/>
      <c r="O3058" s="1564"/>
      <c r="P3058" s="1572">
        <v>249</v>
      </c>
      <c r="Q3058" s="1572">
        <v>-249</v>
      </c>
      <c r="R3058" s="1564"/>
      <c r="S3058" s="1562"/>
    </row>
    <row r="3059" spans="2:19" ht="11.25" customHeight="1" outlineLevel="1">
      <c r="B3059" s="1573">
        <v>11504</v>
      </c>
      <c r="C3059" s="1566" t="s">
        <v>5403</v>
      </c>
      <c r="D3059" s="1566" t="s">
        <v>10220</v>
      </c>
      <c r="E3059" s="1566"/>
      <c r="F3059" s="1566"/>
      <c r="G3059" s="1566"/>
      <c r="H3059" s="1568">
        <v>1</v>
      </c>
      <c r="I3059" s="1566"/>
      <c r="J3059" s="1566"/>
      <c r="K3059" s="1572">
        <v>551</v>
      </c>
      <c r="L3059" s="1572">
        <v>550.5</v>
      </c>
      <c r="M3059" s="1572">
        <v>-550.5</v>
      </c>
      <c r="N3059" s="1564"/>
      <c r="O3059" s="1564"/>
      <c r="P3059" s="1572">
        <v>550.5</v>
      </c>
      <c r="Q3059" s="1572">
        <v>-550.5</v>
      </c>
      <c r="R3059" s="1564"/>
      <c r="S3059" s="1562"/>
    </row>
    <row r="3060" spans="2:19" ht="11.25" customHeight="1" outlineLevel="1">
      <c r="B3060" s="1573">
        <v>11505</v>
      </c>
      <c r="C3060" s="1566" t="s">
        <v>5403</v>
      </c>
      <c r="D3060" s="1566" t="s">
        <v>10219</v>
      </c>
      <c r="E3060" s="1566"/>
      <c r="F3060" s="1566"/>
      <c r="G3060" s="1566"/>
      <c r="H3060" s="1568">
        <v>1</v>
      </c>
      <c r="I3060" s="1566"/>
      <c r="J3060" s="1566"/>
      <c r="K3060" s="1572">
        <v>551</v>
      </c>
      <c r="L3060" s="1572">
        <v>550.5</v>
      </c>
      <c r="M3060" s="1572">
        <v>-550.5</v>
      </c>
      <c r="N3060" s="1564"/>
      <c r="O3060" s="1564"/>
      <c r="P3060" s="1572">
        <v>550.5</v>
      </c>
      <c r="Q3060" s="1572">
        <v>-550.5</v>
      </c>
      <c r="R3060" s="1564"/>
      <c r="S3060" s="1562"/>
    </row>
    <row r="3061" spans="2:19" ht="11.25" customHeight="1" outlineLevel="1">
      <c r="B3061" s="1573">
        <v>11506</v>
      </c>
      <c r="C3061" s="1566" t="s">
        <v>5403</v>
      </c>
      <c r="D3061" s="1566" t="s">
        <v>10218</v>
      </c>
      <c r="E3061" s="1566"/>
      <c r="F3061" s="1566"/>
      <c r="G3061" s="1566"/>
      <c r="H3061" s="1568">
        <v>1</v>
      </c>
      <c r="I3061" s="1566"/>
      <c r="J3061" s="1566"/>
      <c r="K3061" s="1572">
        <v>746</v>
      </c>
      <c r="L3061" s="1572">
        <v>746</v>
      </c>
      <c r="M3061" s="1572">
        <v>-746</v>
      </c>
      <c r="N3061" s="1564"/>
      <c r="O3061" s="1564"/>
      <c r="P3061" s="1572">
        <v>746</v>
      </c>
      <c r="Q3061" s="1572">
        <v>-746</v>
      </c>
      <c r="R3061" s="1564"/>
      <c r="S3061" s="1562"/>
    </row>
    <row r="3062" spans="2:19" ht="11.25" customHeight="1" outlineLevel="1">
      <c r="B3062" s="1573">
        <v>11507</v>
      </c>
      <c r="C3062" s="1566" t="s">
        <v>5403</v>
      </c>
      <c r="D3062" s="1566" t="s">
        <v>10217</v>
      </c>
      <c r="E3062" s="1566"/>
      <c r="F3062" s="1566"/>
      <c r="G3062" s="1566"/>
      <c r="H3062" s="1568">
        <v>1</v>
      </c>
      <c r="I3062" s="1566"/>
      <c r="J3062" s="1566"/>
      <c r="K3062" s="1572">
        <v>560</v>
      </c>
      <c r="L3062" s="1572">
        <v>559.5</v>
      </c>
      <c r="M3062" s="1572">
        <v>-559.5</v>
      </c>
      <c r="N3062" s="1564"/>
      <c r="O3062" s="1564"/>
      <c r="P3062" s="1572">
        <v>559.5</v>
      </c>
      <c r="Q3062" s="1572">
        <v>-559.5</v>
      </c>
      <c r="R3062" s="1564"/>
      <c r="S3062" s="1562"/>
    </row>
    <row r="3063" spans="2:19" ht="11.25" customHeight="1" outlineLevel="1">
      <c r="B3063" s="1573">
        <v>11508</v>
      </c>
      <c r="C3063" s="1566" t="s">
        <v>5403</v>
      </c>
      <c r="D3063" s="1566" t="s">
        <v>10216</v>
      </c>
      <c r="E3063" s="1566"/>
      <c r="F3063" s="1566"/>
      <c r="G3063" s="1566"/>
      <c r="H3063" s="1568">
        <v>1</v>
      </c>
      <c r="I3063" s="1566"/>
      <c r="J3063" s="1566"/>
      <c r="K3063" s="1572">
        <v>692</v>
      </c>
      <c r="L3063" s="1572">
        <v>692.25</v>
      </c>
      <c r="M3063" s="1572">
        <v>-692.25</v>
      </c>
      <c r="N3063" s="1564"/>
      <c r="O3063" s="1564"/>
      <c r="P3063" s="1572">
        <v>692.25</v>
      </c>
      <c r="Q3063" s="1572">
        <v>-692.25</v>
      </c>
      <c r="R3063" s="1564"/>
      <c r="S3063" s="1562"/>
    </row>
    <row r="3064" spans="2:19" ht="11.25" customHeight="1" outlineLevel="1">
      <c r="B3064" s="1573">
        <v>11509</v>
      </c>
      <c r="C3064" s="1566" t="s">
        <v>5403</v>
      </c>
      <c r="D3064" s="1566" t="s">
        <v>10215</v>
      </c>
      <c r="E3064" s="1566"/>
      <c r="F3064" s="1566"/>
      <c r="G3064" s="1566"/>
      <c r="H3064" s="1568">
        <v>1</v>
      </c>
      <c r="I3064" s="1566"/>
      <c r="J3064" s="1566"/>
      <c r="K3064" s="1572">
        <v>831</v>
      </c>
      <c r="L3064" s="1572">
        <v>830.8</v>
      </c>
      <c r="M3064" s="1572">
        <v>-830.8</v>
      </c>
      <c r="N3064" s="1564"/>
      <c r="O3064" s="1564"/>
      <c r="P3064" s="1572">
        <v>830.8</v>
      </c>
      <c r="Q3064" s="1572">
        <v>-830.8</v>
      </c>
      <c r="R3064" s="1564"/>
      <c r="S3064" s="1562"/>
    </row>
    <row r="3065" spans="2:19" ht="11.25" customHeight="1" outlineLevel="1">
      <c r="B3065" s="1573">
        <v>11510</v>
      </c>
      <c r="C3065" s="1566" t="s">
        <v>5403</v>
      </c>
      <c r="D3065" s="1566" t="s">
        <v>10214</v>
      </c>
      <c r="E3065" s="1566"/>
      <c r="F3065" s="1566"/>
      <c r="G3065" s="1566"/>
      <c r="H3065" s="1568">
        <v>1</v>
      </c>
      <c r="I3065" s="1566"/>
      <c r="J3065" s="1566"/>
      <c r="K3065" s="1572">
        <v>64</v>
      </c>
      <c r="L3065" s="1565">
        <v>3322</v>
      </c>
      <c r="M3065" s="1565">
        <v>-3322</v>
      </c>
      <c r="N3065" s="1564"/>
      <c r="O3065" s="1564"/>
      <c r="P3065" s="1565">
        <v>3322</v>
      </c>
      <c r="Q3065" s="1565">
        <v>-3322</v>
      </c>
      <c r="R3065" s="1564"/>
      <c r="S3065" s="1562"/>
    </row>
    <row r="3066" spans="2:19" ht="11.25" customHeight="1" outlineLevel="1">
      <c r="B3066" s="1573">
        <v>11511</v>
      </c>
      <c r="C3066" s="1566" t="s">
        <v>5403</v>
      </c>
      <c r="D3066" s="1566" t="s">
        <v>10213</v>
      </c>
      <c r="E3066" s="1566"/>
      <c r="F3066" s="1566"/>
      <c r="G3066" s="1566"/>
      <c r="H3066" s="1568">
        <v>1</v>
      </c>
      <c r="I3066" s="1566"/>
      <c r="J3066" s="1566"/>
      <c r="K3066" s="1572">
        <v>70</v>
      </c>
      <c r="L3066" s="1565">
        <v>21833</v>
      </c>
      <c r="M3066" s="1565">
        <v>-21833</v>
      </c>
      <c r="N3066" s="1564"/>
      <c r="O3066" s="1564"/>
      <c r="P3066" s="1565">
        <v>21833</v>
      </c>
      <c r="Q3066" s="1565">
        <v>-21833</v>
      </c>
      <c r="R3066" s="1564"/>
      <c r="S3066" s="1562"/>
    </row>
    <row r="3067" spans="2:19" ht="11.25" customHeight="1" outlineLevel="1">
      <c r="B3067" s="1573">
        <v>11512</v>
      </c>
      <c r="C3067" s="1566" t="s">
        <v>5403</v>
      </c>
      <c r="D3067" s="1566" t="s">
        <v>10212</v>
      </c>
      <c r="E3067" s="1566"/>
      <c r="F3067" s="1566"/>
      <c r="G3067" s="1566"/>
      <c r="H3067" s="1568">
        <v>1</v>
      </c>
      <c r="I3067" s="1566"/>
      <c r="J3067" s="1566"/>
      <c r="K3067" s="1572">
        <v>109</v>
      </c>
      <c r="L3067" s="1572">
        <v>109.06</v>
      </c>
      <c r="M3067" s="1572">
        <v>-109.06</v>
      </c>
      <c r="N3067" s="1564"/>
      <c r="O3067" s="1564"/>
      <c r="P3067" s="1572">
        <v>109.06</v>
      </c>
      <c r="Q3067" s="1572">
        <v>-109.06</v>
      </c>
      <c r="R3067" s="1564"/>
      <c r="S3067" s="1562"/>
    </row>
    <row r="3068" spans="2:19" ht="11.25" customHeight="1" outlineLevel="1">
      <c r="B3068" s="1573">
        <v>11513</v>
      </c>
      <c r="C3068" s="1566" t="s">
        <v>5403</v>
      </c>
      <c r="D3068" s="1566" t="s">
        <v>10211</v>
      </c>
      <c r="E3068" s="1566"/>
      <c r="F3068" s="1566"/>
      <c r="G3068" s="1566"/>
      <c r="H3068" s="1568">
        <v>1</v>
      </c>
      <c r="I3068" s="1566"/>
      <c r="J3068" s="1566"/>
      <c r="K3068" s="1572">
        <v>123</v>
      </c>
      <c r="L3068" s="1565">
        <v>19370</v>
      </c>
      <c r="M3068" s="1565">
        <v>-19370</v>
      </c>
      <c r="N3068" s="1564"/>
      <c r="O3068" s="1564"/>
      <c r="P3068" s="1565">
        <v>19370</v>
      </c>
      <c r="Q3068" s="1565">
        <v>-19370</v>
      </c>
      <c r="R3068" s="1564"/>
      <c r="S3068" s="1562"/>
    </row>
    <row r="3069" spans="2:19" ht="11.25" customHeight="1" outlineLevel="1">
      <c r="B3069" s="1573">
        <v>11514</v>
      </c>
      <c r="C3069" s="1566" t="s">
        <v>5403</v>
      </c>
      <c r="D3069" s="1566" t="s">
        <v>10210</v>
      </c>
      <c r="E3069" s="1566"/>
      <c r="F3069" s="1566"/>
      <c r="G3069" s="1566"/>
      <c r="H3069" s="1568">
        <v>1</v>
      </c>
      <c r="I3069" s="1566"/>
      <c r="J3069" s="1566"/>
      <c r="K3069" s="1572">
        <v>68</v>
      </c>
      <c r="L3069" s="1565">
        <v>7290</v>
      </c>
      <c r="M3069" s="1565">
        <v>-7290</v>
      </c>
      <c r="N3069" s="1564"/>
      <c r="O3069" s="1564"/>
      <c r="P3069" s="1565">
        <v>7290</v>
      </c>
      <c r="Q3069" s="1565">
        <v>-7290</v>
      </c>
      <c r="R3069" s="1564"/>
      <c r="S3069" s="1562"/>
    </row>
    <row r="3070" spans="2:19" ht="11.25" customHeight="1" outlineLevel="1">
      <c r="B3070" s="1573">
        <v>11515</v>
      </c>
      <c r="C3070" s="1566" t="s">
        <v>5403</v>
      </c>
      <c r="D3070" s="1566" t="s">
        <v>10209</v>
      </c>
      <c r="E3070" s="1566"/>
      <c r="F3070" s="1566"/>
      <c r="G3070" s="1566"/>
      <c r="H3070" s="1568">
        <v>1</v>
      </c>
      <c r="I3070" s="1566"/>
      <c r="J3070" s="1566"/>
      <c r="K3070" s="1572">
        <v>62</v>
      </c>
      <c r="L3070" s="1572">
        <v>61.63</v>
      </c>
      <c r="M3070" s="1572">
        <v>-61.63</v>
      </c>
      <c r="N3070" s="1564"/>
      <c r="O3070" s="1564"/>
      <c r="P3070" s="1572">
        <v>61.63</v>
      </c>
      <c r="Q3070" s="1572">
        <v>-61.63</v>
      </c>
      <c r="R3070" s="1564"/>
      <c r="S3070" s="1562"/>
    </row>
    <row r="3071" spans="2:19" ht="11.25" customHeight="1" outlineLevel="1">
      <c r="B3071" s="1573">
        <v>11516</v>
      </c>
      <c r="C3071" s="1566" t="s">
        <v>5403</v>
      </c>
      <c r="D3071" s="1566" t="s">
        <v>10208</v>
      </c>
      <c r="E3071" s="1566"/>
      <c r="F3071" s="1566"/>
      <c r="G3071" s="1566"/>
      <c r="H3071" s="1568">
        <v>1</v>
      </c>
      <c r="I3071" s="1566"/>
      <c r="J3071" s="1566"/>
      <c r="K3071" s="1572">
        <v>208</v>
      </c>
      <c r="L3071" s="1572">
        <v>207.8</v>
      </c>
      <c r="M3071" s="1572">
        <v>-207.8</v>
      </c>
      <c r="N3071" s="1564"/>
      <c r="O3071" s="1564"/>
      <c r="P3071" s="1572">
        <v>207.8</v>
      </c>
      <c r="Q3071" s="1572">
        <v>-207.8</v>
      </c>
      <c r="R3071" s="1564"/>
      <c r="S3071" s="1562"/>
    </row>
    <row r="3072" spans="2:19" ht="11.25" customHeight="1" outlineLevel="1">
      <c r="B3072" s="1573">
        <v>11517</v>
      </c>
      <c r="C3072" s="1566" t="s">
        <v>5403</v>
      </c>
      <c r="D3072" s="1566" t="s">
        <v>10207</v>
      </c>
      <c r="E3072" s="1566"/>
      <c r="F3072" s="1566"/>
      <c r="G3072" s="1566"/>
      <c r="H3072" s="1568">
        <v>1</v>
      </c>
      <c r="I3072" s="1566"/>
      <c r="J3072" s="1566"/>
      <c r="K3072" s="1572">
        <v>240</v>
      </c>
      <c r="L3072" s="1565">
        <v>13657</v>
      </c>
      <c r="M3072" s="1565">
        <v>-13657</v>
      </c>
      <c r="N3072" s="1564"/>
      <c r="O3072" s="1564"/>
      <c r="P3072" s="1565">
        <v>13657</v>
      </c>
      <c r="Q3072" s="1565">
        <v>-13657</v>
      </c>
      <c r="R3072" s="1564"/>
      <c r="S3072" s="1562"/>
    </row>
    <row r="3073" spans="2:19" ht="11.25" customHeight="1" outlineLevel="1">
      <c r="B3073" s="1573">
        <v>11518</v>
      </c>
      <c r="C3073" s="1566" t="s">
        <v>5403</v>
      </c>
      <c r="D3073" s="1566" t="s">
        <v>10206</v>
      </c>
      <c r="E3073" s="1566"/>
      <c r="F3073" s="1566"/>
      <c r="G3073" s="1566"/>
      <c r="H3073" s="1568">
        <v>1</v>
      </c>
      <c r="I3073" s="1566"/>
      <c r="J3073" s="1566"/>
      <c r="K3073" s="1572">
        <v>586</v>
      </c>
      <c r="L3073" s="1572">
        <v>586.16</v>
      </c>
      <c r="M3073" s="1572">
        <v>-586.16</v>
      </c>
      <c r="N3073" s="1564"/>
      <c r="O3073" s="1564"/>
      <c r="P3073" s="1572">
        <v>586.16</v>
      </c>
      <c r="Q3073" s="1572">
        <v>-586.16</v>
      </c>
      <c r="R3073" s="1564"/>
      <c r="S3073" s="1562"/>
    </row>
    <row r="3074" spans="2:19" ht="11.25" customHeight="1" outlineLevel="1">
      <c r="B3074" s="1573">
        <v>11519</v>
      </c>
      <c r="C3074" s="1566" t="s">
        <v>5403</v>
      </c>
      <c r="D3074" s="1566" t="s">
        <v>10205</v>
      </c>
      <c r="E3074" s="1566"/>
      <c r="F3074" s="1566"/>
      <c r="G3074" s="1566"/>
      <c r="H3074" s="1568">
        <v>1</v>
      </c>
      <c r="I3074" s="1566"/>
      <c r="J3074" s="1566"/>
      <c r="K3074" s="1572">
        <v>716</v>
      </c>
      <c r="L3074" s="1572">
        <v>716.1</v>
      </c>
      <c r="M3074" s="1572">
        <v>-716.1</v>
      </c>
      <c r="N3074" s="1564"/>
      <c r="O3074" s="1564"/>
      <c r="P3074" s="1572">
        <v>716.1</v>
      </c>
      <c r="Q3074" s="1572">
        <v>-716.1</v>
      </c>
      <c r="R3074" s="1564"/>
      <c r="S3074" s="1562"/>
    </row>
    <row r="3075" spans="2:19" ht="11.25" customHeight="1" outlineLevel="1">
      <c r="B3075" s="1573">
        <v>20996</v>
      </c>
      <c r="C3075" s="1566" t="s">
        <v>5403</v>
      </c>
      <c r="D3075" s="1566" t="s">
        <v>10204</v>
      </c>
      <c r="E3075" s="1566"/>
      <c r="F3075" s="1566"/>
      <c r="G3075" s="1566" t="s">
        <v>3734</v>
      </c>
      <c r="H3075" s="1568">
        <v>1</v>
      </c>
      <c r="I3075" s="1566"/>
      <c r="J3075" s="1566"/>
      <c r="K3075" s="1565">
        <v>38927</v>
      </c>
      <c r="L3075" s="1565">
        <v>8469505.0899999999</v>
      </c>
      <c r="M3075" s="1564"/>
      <c r="N3075" s="1565">
        <v>8469505.0899999999</v>
      </c>
      <c r="O3075" s="1565">
        <v>7903354.0099999998</v>
      </c>
      <c r="P3075" s="1565">
        <v>297481.88</v>
      </c>
      <c r="Q3075" s="1565">
        <v>268669.2</v>
      </c>
      <c r="R3075" s="1565">
        <v>566151.07999999996</v>
      </c>
      <c r="S3075" s="1562"/>
    </row>
    <row r="3076" spans="2:19" ht="11.25" customHeight="1" outlineLevel="1">
      <c r="B3076" s="1573">
        <v>26894</v>
      </c>
      <c r="C3076" s="1566" t="s">
        <v>5403</v>
      </c>
      <c r="D3076" s="1566" t="s">
        <v>10203</v>
      </c>
      <c r="E3076" s="1566"/>
      <c r="F3076" s="1566"/>
      <c r="G3076" s="1566" t="s">
        <v>4310</v>
      </c>
      <c r="H3076" s="1568">
        <v>1</v>
      </c>
      <c r="I3076" s="1566"/>
      <c r="J3076" s="1566"/>
      <c r="K3076" s="1572">
        <v>131</v>
      </c>
      <c r="L3076" s="1565">
        <v>8383</v>
      </c>
      <c r="M3076" s="1564"/>
      <c r="N3076" s="1565">
        <v>8383</v>
      </c>
      <c r="O3076" s="1565">
        <v>1217.22</v>
      </c>
      <c r="P3076" s="1565">
        <v>6922.3</v>
      </c>
      <c r="Q3076" s="1572">
        <v>243.48</v>
      </c>
      <c r="R3076" s="1565">
        <v>7165.78</v>
      </c>
      <c r="S3076" s="1562"/>
    </row>
    <row r="3077" spans="2:19" ht="11.25" customHeight="1" outlineLevel="1">
      <c r="B3077" s="1573">
        <v>31402</v>
      </c>
      <c r="C3077" s="1566" t="s">
        <v>5403</v>
      </c>
      <c r="D3077" s="1566" t="s">
        <v>10202</v>
      </c>
      <c r="E3077" s="1566"/>
      <c r="F3077" s="1566"/>
      <c r="G3077" s="1566"/>
      <c r="H3077" s="1568">
        <v>1</v>
      </c>
      <c r="I3077" s="1566"/>
      <c r="J3077" s="1566"/>
      <c r="K3077" s="1572">
        <v>665</v>
      </c>
      <c r="L3077" s="1572">
        <v>665.3</v>
      </c>
      <c r="M3077" s="1572">
        <v>-665.3</v>
      </c>
      <c r="N3077" s="1564"/>
      <c r="O3077" s="1564"/>
      <c r="P3077" s="1572">
        <v>665.3</v>
      </c>
      <c r="Q3077" s="1572">
        <v>-665.3</v>
      </c>
      <c r="R3077" s="1564"/>
      <c r="S3077" s="1562"/>
    </row>
    <row r="3078" spans="2:19" ht="11.25" customHeight="1" outlineLevel="1">
      <c r="B3078" s="1573">
        <v>31403</v>
      </c>
      <c r="C3078" s="1566" t="s">
        <v>5403</v>
      </c>
      <c r="D3078" s="1566" t="s">
        <v>10201</v>
      </c>
      <c r="E3078" s="1566"/>
      <c r="F3078" s="1566"/>
      <c r="G3078" s="1566"/>
      <c r="H3078" s="1568">
        <v>1</v>
      </c>
      <c r="I3078" s="1566"/>
      <c r="J3078" s="1566"/>
      <c r="K3078" s="1572">
        <v>622</v>
      </c>
      <c r="L3078" s="1572">
        <v>621.70000000000005</v>
      </c>
      <c r="M3078" s="1572">
        <v>-621.70000000000005</v>
      </c>
      <c r="N3078" s="1564"/>
      <c r="O3078" s="1564"/>
      <c r="P3078" s="1572">
        <v>621.70000000000005</v>
      </c>
      <c r="Q3078" s="1572">
        <v>-621.70000000000005</v>
      </c>
      <c r="R3078" s="1564"/>
      <c r="S3078" s="1562"/>
    </row>
    <row r="3079" spans="2:19" ht="11.25" customHeight="1" outlineLevel="1">
      <c r="B3079" s="1573">
        <v>31404</v>
      </c>
      <c r="C3079" s="1566" t="s">
        <v>5403</v>
      </c>
      <c r="D3079" s="1566" t="s">
        <v>10200</v>
      </c>
      <c r="E3079" s="1566"/>
      <c r="F3079" s="1566"/>
      <c r="G3079" s="1566"/>
      <c r="H3079" s="1568">
        <v>1</v>
      </c>
      <c r="I3079" s="1566"/>
      <c r="J3079" s="1566"/>
      <c r="K3079" s="1572">
        <v>503</v>
      </c>
      <c r="L3079" s="1572">
        <v>502.7</v>
      </c>
      <c r="M3079" s="1572">
        <v>-502.7</v>
      </c>
      <c r="N3079" s="1564"/>
      <c r="O3079" s="1564"/>
      <c r="P3079" s="1572">
        <v>502.7</v>
      </c>
      <c r="Q3079" s="1572">
        <v>-502.7</v>
      </c>
      <c r="R3079" s="1564"/>
      <c r="S3079" s="1562"/>
    </row>
    <row r="3080" spans="2:19" ht="11.25" customHeight="1" outlineLevel="1">
      <c r="B3080" s="1573">
        <v>33383</v>
      </c>
      <c r="C3080" s="1566" t="s">
        <v>5403</v>
      </c>
      <c r="D3080" s="1566" t="s">
        <v>10199</v>
      </c>
      <c r="E3080" s="1566"/>
      <c r="F3080" s="1566"/>
      <c r="G3080" s="1566"/>
      <c r="H3080" s="1568">
        <v>1</v>
      </c>
      <c r="I3080" s="1566"/>
      <c r="J3080" s="1566"/>
      <c r="K3080" s="1572">
        <v>121</v>
      </c>
      <c r="L3080" s="1572">
        <v>121.02</v>
      </c>
      <c r="M3080" s="1572">
        <v>-121.02</v>
      </c>
      <c r="N3080" s="1564"/>
      <c r="O3080" s="1564"/>
      <c r="P3080" s="1572">
        <v>121.02</v>
      </c>
      <c r="Q3080" s="1572">
        <v>-121.02</v>
      </c>
      <c r="R3080" s="1564"/>
      <c r="S3080" s="1562"/>
    </row>
    <row r="3081" spans="2:19" ht="11.25" customHeight="1" outlineLevel="1">
      <c r="B3081" s="1573">
        <v>33384</v>
      </c>
      <c r="C3081" s="1566" t="s">
        <v>5403</v>
      </c>
      <c r="D3081" s="1566" t="s">
        <v>10198</v>
      </c>
      <c r="E3081" s="1566"/>
      <c r="F3081" s="1566"/>
      <c r="G3081" s="1566"/>
      <c r="H3081" s="1568">
        <v>1</v>
      </c>
      <c r="I3081" s="1566"/>
      <c r="J3081" s="1566"/>
      <c r="K3081" s="1572">
        <v>121</v>
      </c>
      <c r="L3081" s="1572">
        <v>121.02</v>
      </c>
      <c r="M3081" s="1572">
        <v>-121.02</v>
      </c>
      <c r="N3081" s="1564"/>
      <c r="O3081" s="1564"/>
      <c r="P3081" s="1572">
        <v>121.02</v>
      </c>
      <c r="Q3081" s="1572">
        <v>-121.02</v>
      </c>
      <c r="R3081" s="1564"/>
      <c r="S3081" s="1562"/>
    </row>
    <row r="3082" spans="2:19" ht="11.25" customHeight="1" outlineLevel="1">
      <c r="B3082" s="1573">
        <v>33385</v>
      </c>
      <c r="C3082" s="1566" t="s">
        <v>5403</v>
      </c>
      <c r="D3082" s="1566" t="s">
        <v>10197</v>
      </c>
      <c r="E3082" s="1566"/>
      <c r="F3082" s="1566"/>
      <c r="G3082" s="1566"/>
      <c r="H3082" s="1568">
        <v>1</v>
      </c>
      <c r="I3082" s="1566"/>
      <c r="J3082" s="1566"/>
      <c r="K3082" s="1572">
        <v>121</v>
      </c>
      <c r="L3082" s="1572">
        <v>121.02</v>
      </c>
      <c r="M3082" s="1572">
        <v>-121.02</v>
      </c>
      <c r="N3082" s="1564"/>
      <c r="O3082" s="1564"/>
      <c r="P3082" s="1572">
        <v>121.02</v>
      </c>
      <c r="Q3082" s="1572">
        <v>-121.02</v>
      </c>
      <c r="R3082" s="1564"/>
      <c r="S3082" s="1562"/>
    </row>
    <row r="3083" spans="2:19" ht="11.25" customHeight="1" outlineLevel="1">
      <c r="B3083" s="1573">
        <v>33386</v>
      </c>
      <c r="C3083" s="1566" t="s">
        <v>5403</v>
      </c>
      <c r="D3083" s="1566" t="s">
        <v>10196</v>
      </c>
      <c r="E3083" s="1566"/>
      <c r="F3083" s="1566"/>
      <c r="G3083" s="1566"/>
      <c r="H3083" s="1568">
        <v>1</v>
      </c>
      <c r="I3083" s="1566"/>
      <c r="J3083" s="1566"/>
      <c r="K3083" s="1572">
        <v>121</v>
      </c>
      <c r="L3083" s="1572">
        <v>121.02</v>
      </c>
      <c r="M3083" s="1572">
        <v>-121.02</v>
      </c>
      <c r="N3083" s="1564"/>
      <c r="O3083" s="1564"/>
      <c r="P3083" s="1572">
        <v>121.02</v>
      </c>
      <c r="Q3083" s="1572">
        <v>-121.02</v>
      </c>
      <c r="R3083" s="1564"/>
      <c r="S3083" s="1562"/>
    </row>
    <row r="3084" spans="2:19" ht="11.25" customHeight="1" outlineLevel="1">
      <c r="B3084" s="1573">
        <v>33387</v>
      </c>
      <c r="C3084" s="1566" t="s">
        <v>5403</v>
      </c>
      <c r="D3084" s="1566" t="s">
        <v>10195</v>
      </c>
      <c r="E3084" s="1566"/>
      <c r="F3084" s="1566"/>
      <c r="G3084" s="1566"/>
      <c r="H3084" s="1568">
        <v>1</v>
      </c>
      <c r="I3084" s="1566"/>
      <c r="J3084" s="1566"/>
      <c r="K3084" s="1572">
        <v>121</v>
      </c>
      <c r="L3084" s="1572">
        <v>121.02</v>
      </c>
      <c r="M3084" s="1572">
        <v>-121.02</v>
      </c>
      <c r="N3084" s="1564"/>
      <c r="O3084" s="1564"/>
      <c r="P3084" s="1572">
        <v>121.02</v>
      </c>
      <c r="Q3084" s="1572">
        <v>-121.02</v>
      </c>
      <c r="R3084" s="1564"/>
      <c r="S3084" s="1562"/>
    </row>
    <row r="3085" spans="2:19" ht="11.25" customHeight="1" outlineLevel="1">
      <c r="B3085" s="1573">
        <v>33388</v>
      </c>
      <c r="C3085" s="1566" t="s">
        <v>5403</v>
      </c>
      <c r="D3085" s="1566" t="s">
        <v>10194</v>
      </c>
      <c r="E3085" s="1566"/>
      <c r="F3085" s="1566"/>
      <c r="G3085" s="1566"/>
      <c r="H3085" s="1568">
        <v>1</v>
      </c>
      <c r="I3085" s="1566"/>
      <c r="J3085" s="1566"/>
      <c r="K3085" s="1572">
        <v>121</v>
      </c>
      <c r="L3085" s="1572">
        <v>121.02</v>
      </c>
      <c r="M3085" s="1572">
        <v>-121.02</v>
      </c>
      <c r="N3085" s="1564"/>
      <c r="O3085" s="1564"/>
      <c r="P3085" s="1572">
        <v>121.02</v>
      </c>
      <c r="Q3085" s="1572">
        <v>-121.02</v>
      </c>
      <c r="R3085" s="1564"/>
      <c r="S3085" s="1562"/>
    </row>
    <row r="3086" spans="2:19" ht="11.25" customHeight="1" outlineLevel="1">
      <c r="B3086" s="1573">
        <v>33389</v>
      </c>
      <c r="C3086" s="1566" t="s">
        <v>5403</v>
      </c>
      <c r="D3086" s="1566" t="s">
        <v>10193</v>
      </c>
      <c r="E3086" s="1566"/>
      <c r="F3086" s="1566"/>
      <c r="G3086" s="1566"/>
      <c r="H3086" s="1568">
        <v>1</v>
      </c>
      <c r="I3086" s="1566"/>
      <c r="J3086" s="1566"/>
      <c r="K3086" s="1572">
        <v>121</v>
      </c>
      <c r="L3086" s="1572">
        <v>121.02</v>
      </c>
      <c r="M3086" s="1572">
        <v>-121.02</v>
      </c>
      <c r="N3086" s="1564"/>
      <c r="O3086" s="1564"/>
      <c r="P3086" s="1572">
        <v>121.02</v>
      </c>
      <c r="Q3086" s="1572">
        <v>-121.02</v>
      </c>
      <c r="R3086" s="1564"/>
      <c r="S3086" s="1562"/>
    </row>
    <row r="3087" spans="2:19" ht="11.25" customHeight="1" outlineLevel="1">
      <c r="B3087" s="1573">
        <v>33390</v>
      </c>
      <c r="C3087" s="1566" t="s">
        <v>5403</v>
      </c>
      <c r="D3087" s="1566" t="s">
        <v>10192</v>
      </c>
      <c r="E3087" s="1566"/>
      <c r="F3087" s="1566"/>
      <c r="G3087" s="1566"/>
      <c r="H3087" s="1568">
        <v>1</v>
      </c>
      <c r="I3087" s="1566"/>
      <c r="J3087" s="1566"/>
      <c r="K3087" s="1572">
        <v>121</v>
      </c>
      <c r="L3087" s="1572">
        <v>121.02</v>
      </c>
      <c r="M3087" s="1572">
        <v>-121.02</v>
      </c>
      <c r="N3087" s="1564"/>
      <c r="O3087" s="1564"/>
      <c r="P3087" s="1572">
        <v>121.02</v>
      </c>
      <c r="Q3087" s="1572">
        <v>-121.02</v>
      </c>
      <c r="R3087" s="1564"/>
      <c r="S3087" s="1562"/>
    </row>
    <row r="3088" spans="2:19" ht="11.25" customHeight="1" outlineLevel="1">
      <c r="B3088" s="1573">
        <v>33391</v>
      </c>
      <c r="C3088" s="1566" t="s">
        <v>5403</v>
      </c>
      <c r="D3088" s="1566" t="s">
        <v>10191</v>
      </c>
      <c r="E3088" s="1566"/>
      <c r="F3088" s="1566"/>
      <c r="G3088" s="1566"/>
      <c r="H3088" s="1568">
        <v>1</v>
      </c>
      <c r="I3088" s="1566"/>
      <c r="J3088" s="1566"/>
      <c r="K3088" s="1572">
        <v>121</v>
      </c>
      <c r="L3088" s="1572">
        <v>121.02</v>
      </c>
      <c r="M3088" s="1572">
        <v>-121.02</v>
      </c>
      <c r="N3088" s="1564"/>
      <c r="O3088" s="1564"/>
      <c r="P3088" s="1572">
        <v>121.02</v>
      </c>
      <c r="Q3088" s="1572">
        <v>-121.02</v>
      </c>
      <c r="R3088" s="1564"/>
      <c r="S3088" s="1562"/>
    </row>
    <row r="3089" spans="2:19" ht="11.25" customHeight="1" outlineLevel="1">
      <c r="B3089" s="1573">
        <v>33392</v>
      </c>
      <c r="C3089" s="1566" t="s">
        <v>5403</v>
      </c>
      <c r="D3089" s="1566" t="s">
        <v>10190</v>
      </c>
      <c r="E3089" s="1566"/>
      <c r="F3089" s="1566"/>
      <c r="G3089" s="1566"/>
      <c r="H3089" s="1568">
        <v>1</v>
      </c>
      <c r="I3089" s="1566"/>
      <c r="J3089" s="1566"/>
      <c r="K3089" s="1572">
        <v>121</v>
      </c>
      <c r="L3089" s="1572">
        <v>121.02</v>
      </c>
      <c r="M3089" s="1572">
        <v>-121.02</v>
      </c>
      <c r="N3089" s="1564"/>
      <c r="O3089" s="1564"/>
      <c r="P3089" s="1572">
        <v>121.02</v>
      </c>
      <c r="Q3089" s="1572">
        <v>-121.02</v>
      </c>
      <c r="R3089" s="1564"/>
      <c r="S3089" s="1562"/>
    </row>
    <row r="3090" spans="2:19" ht="11.25" customHeight="1" outlineLevel="1">
      <c r="B3090" s="1573">
        <v>33393</v>
      </c>
      <c r="C3090" s="1566" t="s">
        <v>5403</v>
      </c>
      <c r="D3090" s="1566" t="s">
        <v>10189</v>
      </c>
      <c r="E3090" s="1566"/>
      <c r="F3090" s="1566"/>
      <c r="G3090" s="1566"/>
      <c r="H3090" s="1568">
        <v>1</v>
      </c>
      <c r="I3090" s="1566"/>
      <c r="J3090" s="1566"/>
      <c r="K3090" s="1572">
        <v>121</v>
      </c>
      <c r="L3090" s="1572">
        <v>121.02</v>
      </c>
      <c r="M3090" s="1572">
        <v>-121.02</v>
      </c>
      <c r="N3090" s="1564"/>
      <c r="O3090" s="1564"/>
      <c r="P3090" s="1572">
        <v>121.02</v>
      </c>
      <c r="Q3090" s="1572">
        <v>-121.02</v>
      </c>
      <c r="R3090" s="1564"/>
      <c r="S3090" s="1562"/>
    </row>
    <row r="3091" spans="2:19" ht="11.25" customHeight="1" outlineLevel="1">
      <c r="B3091" s="1573">
        <v>33394</v>
      </c>
      <c r="C3091" s="1566" t="s">
        <v>5403</v>
      </c>
      <c r="D3091" s="1566" t="s">
        <v>10188</v>
      </c>
      <c r="E3091" s="1566"/>
      <c r="F3091" s="1566"/>
      <c r="G3091" s="1566"/>
      <c r="H3091" s="1568">
        <v>1</v>
      </c>
      <c r="I3091" s="1566"/>
      <c r="J3091" s="1566"/>
      <c r="K3091" s="1572">
        <v>121</v>
      </c>
      <c r="L3091" s="1572">
        <v>121.02</v>
      </c>
      <c r="M3091" s="1572">
        <v>-121.02</v>
      </c>
      <c r="N3091" s="1564"/>
      <c r="O3091" s="1564"/>
      <c r="P3091" s="1572">
        <v>121.02</v>
      </c>
      <c r="Q3091" s="1572">
        <v>-121.02</v>
      </c>
      <c r="R3091" s="1564"/>
      <c r="S3091" s="1562"/>
    </row>
    <row r="3092" spans="2:19" ht="11.25" customHeight="1" outlineLevel="1">
      <c r="B3092" s="1573">
        <v>33395</v>
      </c>
      <c r="C3092" s="1566" t="s">
        <v>5403</v>
      </c>
      <c r="D3092" s="1566" t="s">
        <v>10187</v>
      </c>
      <c r="E3092" s="1566"/>
      <c r="F3092" s="1566"/>
      <c r="G3092" s="1566"/>
      <c r="H3092" s="1568">
        <v>1</v>
      </c>
      <c r="I3092" s="1566"/>
      <c r="J3092" s="1566"/>
      <c r="K3092" s="1572">
        <v>121</v>
      </c>
      <c r="L3092" s="1572">
        <v>121.02</v>
      </c>
      <c r="M3092" s="1572">
        <v>-121.02</v>
      </c>
      <c r="N3092" s="1564"/>
      <c r="O3092" s="1564"/>
      <c r="P3092" s="1572">
        <v>121.02</v>
      </c>
      <c r="Q3092" s="1572">
        <v>-121.02</v>
      </c>
      <c r="R3092" s="1564"/>
      <c r="S3092" s="1562"/>
    </row>
    <row r="3093" spans="2:19" ht="11.25" customHeight="1" outlineLevel="1">
      <c r="B3093" s="1573">
        <v>33396</v>
      </c>
      <c r="C3093" s="1566" t="s">
        <v>5403</v>
      </c>
      <c r="D3093" s="1566" t="s">
        <v>10186</v>
      </c>
      <c r="E3093" s="1566"/>
      <c r="F3093" s="1566"/>
      <c r="G3093" s="1566"/>
      <c r="H3093" s="1568">
        <v>1</v>
      </c>
      <c r="I3093" s="1566"/>
      <c r="J3093" s="1566"/>
      <c r="K3093" s="1572">
        <v>121</v>
      </c>
      <c r="L3093" s="1572">
        <v>121.02</v>
      </c>
      <c r="M3093" s="1572">
        <v>-121.02</v>
      </c>
      <c r="N3093" s="1564"/>
      <c r="O3093" s="1564"/>
      <c r="P3093" s="1572">
        <v>121.02</v>
      </c>
      <c r="Q3093" s="1572">
        <v>-121.02</v>
      </c>
      <c r="R3093" s="1564"/>
      <c r="S3093" s="1562"/>
    </row>
    <row r="3094" spans="2:19" ht="11.25" customHeight="1" outlineLevel="1">
      <c r="B3094" s="1573">
        <v>33397</v>
      </c>
      <c r="C3094" s="1566" t="s">
        <v>5403</v>
      </c>
      <c r="D3094" s="1566" t="s">
        <v>10185</v>
      </c>
      <c r="E3094" s="1566"/>
      <c r="F3094" s="1566"/>
      <c r="G3094" s="1566"/>
      <c r="H3094" s="1568">
        <v>1</v>
      </c>
      <c r="I3094" s="1566"/>
      <c r="J3094" s="1566"/>
      <c r="K3094" s="1572">
        <v>121</v>
      </c>
      <c r="L3094" s="1572">
        <v>121.02</v>
      </c>
      <c r="M3094" s="1572">
        <v>-121.02</v>
      </c>
      <c r="N3094" s="1564"/>
      <c r="O3094" s="1564"/>
      <c r="P3094" s="1572">
        <v>121.02</v>
      </c>
      <c r="Q3094" s="1572">
        <v>-121.02</v>
      </c>
      <c r="R3094" s="1564"/>
      <c r="S3094" s="1562"/>
    </row>
    <row r="3095" spans="2:19" ht="11.25" customHeight="1" outlineLevel="1">
      <c r="B3095" s="1573">
        <v>33398</v>
      </c>
      <c r="C3095" s="1566" t="s">
        <v>5403</v>
      </c>
      <c r="D3095" s="1566" t="s">
        <v>10184</v>
      </c>
      <c r="E3095" s="1566"/>
      <c r="F3095" s="1566"/>
      <c r="G3095" s="1566"/>
      <c r="H3095" s="1568">
        <v>1</v>
      </c>
      <c r="I3095" s="1566"/>
      <c r="J3095" s="1566"/>
      <c r="K3095" s="1572">
        <v>121</v>
      </c>
      <c r="L3095" s="1572">
        <v>121.02</v>
      </c>
      <c r="M3095" s="1572">
        <v>-121.02</v>
      </c>
      <c r="N3095" s="1564"/>
      <c r="O3095" s="1564"/>
      <c r="P3095" s="1572">
        <v>121.02</v>
      </c>
      <c r="Q3095" s="1572">
        <v>-121.02</v>
      </c>
      <c r="R3095" s="1564"/>
      <c r="S3095" s="1562"/>
    </row>
    <row r="3096" spans="2:19" ht="11.25" customHeight="1" outlineLevel="1">
      <c r="B3096" s="1573">
        <v>33399</v>
      </c>
      <c r="C3096" s="1566" t="s">
        <v>5403</v>
      </c>
      <c r="D3096" s="1566" t="s">
        <v>10183</v>
      </c>
      <c r="E3096" s="1566"/>
      <c r="F3096" s="1566"/>
      <c r="G3096" s="1566"/>
      <c r="H3096" s="1568">
        <v>1</v>
      </c>
      <c r="I3096" s="1566"/>
      <c r="J3096" s="1566"/>
      <c r="K3096" s="1572">
        <v>121</v>
      </c>
      <c r="L3096" s="1572">
        <v>121.02</v>
      </c>
      <c r="M3096" s="1572">
        <v>-121.02</v>
      </c>
      <c r="N3096" s="1564"/>
      <c r="O3096" s="1564"/>
      <c r="P3096" s="1572">
        <v>121.02</v>
      </c>
      <c r="Q3096" s="1572">
        <v>-121.02</v>
      </c>
      <c r="R3096" s="1564"/>
      <c r="S3096" s="1562"/>
    </row>
    <row r="3097" spans="2:19" ht="11.25" customHeight="1" outlineLevel="1">
      <c r="B3097" s="1573">
        <v>33400</v>
      </c>
      <c r="C3097" s="1566" t="s">
        <v>5403</v>
      </c>
      <c r="D3097" s="1566" t="s">
        <v>10182</v>
      </c>
      <c r="E3097" s="1566"/>
      <c r="F3097" s="1566"/>
      <c r="G3097" s="1566"/>
      <c r="H3097" s="1568">
        <v>1</v>
      </c>
      <c r="I3097" s="1566"/>
      <c r="J3097" s="1566"/>
      <c r="K3097" s="1572">
        <v>121</v>
      </c>
      <c r="L3097" s="1572">
        <v>121.02</v>
      </c>
      <c r="M3097" s="1572">
        <v>-121.02</v>
      </c>
      <c r="N3097" s="1564"/>
      <c r="O3097" s="1564"/>
      <c r="P3097" s="1572">
        <v>121.02</v>
      </c>
      <c r="Q3097" s="1572">
        <v>-121.02</v>
      </c>
      <c r="R3097" s="1564"/>
      <c r="S3097" s="1562"/>
    </row>
    <row r="3098" spans="2:19" ht="11.25" customHeight="1" outlineLevel="1">
      <c r="B3098" s="1573">
        <v>33401</v>
      </c>
      <c r="C3098" s="1566" t="s">
        <v>5403</v>
      </c>
      <c r="D3098" s="1566" t="s">
        <v>10181</v>
      </c>
      <c r="E3098" s="1566"/>
      <c r="F3098" s="1566"/>
      <c r="G3098" s="1566"/>
      <c r="H3098" s="1568">
        <v>1</v>
      </c>
      <c r="I3098" s="1566"/>
      <c r="J3098" s="1566"/>
      <c r="K3098" s="1572">
        <v>121</v>
      </c>
      <c r="L3098" s="1572">
        <v>121.02</v>
      </c>
      <c r="M3098" s="1572">
        <v>-121.02</v>
      </c>
      <c r="N3098" s="1564"/>
      <c r="O3098" s="1564"/>
      <c r="P3098" s="1572">
        <v>121.02</v>
      </c>
      <c r="Q3098" s="1572">
        <v>-121.02</v>
      </c>
      <c r="R3098" s="1564"/>
      <c r="S3098" s="1562"/>
    </row>
    <row r="3099" spans="2:19" ht="11.25" customHeight="1" outlineLevel="1">
      <c r="B3099" s="1573">
        <v>33402</v>
      </c>
      <c r="C3099" s="1566" t="s">
        <v>5403</v>
      </c>
      <c r="D3099" s="1566" t="s">
        <v>10180</v>
      </c>
      <c r="E3099" s="1566"/>
      <c r="F3099" s="1566"/>
      <c r="G3099" s="1566"/>
      <c r="H3099" s="1568">
        <v>1</v>
      </c>
      <c r="I3099" s="1566"/>
      <c r="J3099" s="1566"/>
      <c r="K3099" s="1572">
        <v>121</v>
      </c>
      <c r="L3099" s="1572">
        <v>121.02</v>
      </c>
      <c r="M3099" s="1572">
        <v>-121.02</v>
      </c>
      <c r="N3099" s="1564"/>
      <c r="O3099" s="1564"/>
      <c r="P3099" s="1572">
        <v>121.02</v>
      </c>
      <c r="Q3099" s="1572">
        <v>-121.02</v>
      </c>
      <c r="R3099" s="1564"/>
      <c r="S3099" s="1562"/>
    </row>
    <row r="3100" spans="2:19" ht="11.25" customHeight="1" outlineLevel="1">
      <c r="B3100" s="1573">
        <v>33403</v>
      </c>
      <c r="C3100" s="1566" t="s">
        <v>5403</v>
      </c>
      <c r="D3100" s="1566" t="s">
        <v>10179</v>
      </c>
      <c r="E3100" s="1566"/>
      <c r="F3100" s="1566"/>
      <c r="G3100" s="1566"/>
      <c r="H3100" s="1568">
        <v>1</v>
      </c>
      <c r="I3100" s="1566"/>
      <c r="J3100" s="1566"/>
      <c r="K3100" s="1572">
        <v>121</v>
      </c>
      <c r="L3100" s="1572">
        <v>121.02</v>
      </c>
      <c r="M3100" s="1572">
        <v>-121.02</v>
      </c>
      <c r="N3100" s="1564"/>
      <c r="O3100" s="1564"/>
      <c r="P3100" s="1572">
        <v>121.02</v>
      </c>
      <c r="Q3100" s="1572">
        <v>-121.02</v>
      </c>
      <c r="R3100" s="1564"/>
      <c r="S3100" s="1562"/>
    </row>
    <row r="3101" spans="2:19" ht="11.25" customHeight="1" outlineLevel="1">
      <c r="B3101" s="1573">
        <v>33404</v>
      </c>
      <c r="C3101" s="1566" t="s">
        <v>5403</v>
      </c>
      <c r="D3101" s="1566" t="s">
        <v>10178</v>
      </c>
      <c r="E3101" s="1566"/>
      <c r="F3101" s="1566"/>
      <c r="G3101" s="1566"/>
      <c r="H3101" s="1568">
        <v>1</v>
      </c>
      <c r="I3101" s="1566"/>
      <c r="J3101" s="1566"/>
      <c r="K3101" s="1572">
        <v>121</v>
      </c>
      <c r="L3101" s="1572">
        <v>121.02</v>
      </c>
      <c r="M3101" s="1572">
        <v>-121.02</v>
      </c>
      <c r="N3101" s="1564"/>
      <c r="O3101" s="1564"/>
      <c r="P3101" s="1572">
        <v>121.02</v>
      </c>
      <c r="Q3101" s="1572">
        <v>-121.02</v>
      </c>
      <c r="R3101" s="1564"/>
      <c r="S3101" s="1562"/>
    </row>
    <row r="3102" spans="2:19" ht="11.25" customHeight="1" outlineLevel="1">
      <c r="B3102" s="1573">
        <v>33405</v>
      </c>
      <c r="C3102" s="1566" t="s">
        <v>5403</v>
      </c>
      <c r="D3102" s="1566" t="s">
        <v>10177</v>
      </c>
      <c r="E3102" s="1566"/>
      <c r="F3102" s="1566"/>
      <c r="G3102" s="1566"/>
      <c r="H3102" s="1568">
        <v>1</v>
      </c>
      <c r="I3102" s="1566"/>
      <c r="J3102" s="1566"/>
      <c r="K3102" s="1572">
        <v>121</v>
      </c>
      <c r="L3102" s="1572">
        <v>121.02</v>
      </c>
      <c r="M3102" s="1572">
        <v>-121.02</v>
      </c>
      <c r="N3102" s="1564"/>
      <c r="O3102" s="1564"/>
      <c r="P3102" s="1572">
        <v>121.02</v>
      </c>
      <c r="Q3102" s="1572">
        <v>-121.02</v>
      </c>
      <c r="R3102" s="1564"/>
      <c r="S3102" s="1562"/>
    </row>
    <row r="3103" spans="2:19" ht="11.25" customHeight="1" outlineLevel="1">
      <c r="B3103" s="1573">
        <v>33406</v>
      </c>
      <c r="C3103" s="1566" t="s">
        <v>5403</v>
      </c>
      <c r="D3103" s="1566" t="s">
        <v>10176</v>
      </c>
      <c r="E3103" s="1566"/>
      <c r="F3103" s="1566"/>
      <c r="G3103" s="1566"/>
      <c r="H3103" s="1568">
        <v>1</v>
      </c>
      <c r="I3103" s="1566"/>
      <c r="J3103" s="1566"/>
      <c r="K3103" s="1572">
        <v>121</v>
      </c>
      <c r="L3103" s="1572">
        <v>121.02</v>
      </c>
      <c r="M3103" s="1572">
        <v>-121.02</v>
      </c>
      <c r="N3103" s="1564"/>
      <c r="O3103" s="1564"/>
      <c r="P3103" s="1572">
        <v>121.02</v>
      </c>
      <c r="Q3103" s="1572">
        <v>-121.02</v>
      </c>
      <c r="R3103" s="1564"/>
      <c r="S3103" s="1562"/>
    </row>
    <row r="3104" spans="2:19" ht="11.25" customHeight="1" outlineLevel="1">
      <c r="B3104" s="1573">
        <v>33407</v>
      </c>
      <c r="C3104" s="1566" t="s">
        <v>5403</v>
      </c>
      <c r="D3104" s="1566" t="s">
        <v>10175</v>
      </c>
      <c r="E3104" s="1566"/>
      <c r="F3104" s="1566"/>
      <c r="G3104" s="1566"/>
      <c r="H3104" s="1568">
        <v>1</v>
      </c>
      <c r="I3104" s="1566"/>
      <c r="J3104" s="1566"/>
      <c r="K3104" s="1572">
        <v>121</v>
      </c>
      <c r="L3104" s="1572">
        <v>121.02</v>
      </c>
      <c r="M3104" s="1572">
        <v>-121.02</v>
      </c>
      <c r="N3104" s="1564"/>
      <c r="O3104" s="1564"/>
      <c r="P3104" s="1572">
        <v>121.02</v>
      </c>
      <c r="Q3104" s="1572">
        <v>-121.02</v>
      </c>
      <c r="R3104" s="1564"/>
      <c r="S3104" s="1562"/>
    </row>
    <row r="3105" spans="2:19" ht="11.25" customHeight="1" outlineLevel="1">
      <c r="B3105" s="1573">
        <v>33408</v>
      </c>
      <c r="C3105" s="1566" t="s">
        <v>5403</v>
      </c>
      <c r="D3105" s="1566" t="s">
        <v>10174</v>
      </c>
      <c r="E3105" s="1566"/>
      <c r="F3105" s="1566"/>
      <c r="G3105" s="1566"/>
      <c r="H3105" s="1568">
        <v>1</v>
      </c>
      <c r="I3105" s="1566"/>
      <c r="J3105" s="1566"/>
      <c r="K3105" s="1572">
        <v>121</v>
      </c>
      <c r="L3105" s="1572">
        <v>121.02</v>
      </c>
      <c r="M3105" s="1572">
        <v>-121.02</v>
      </c>
      <c r="N3105" s="1564"/>
      <c r="O3105" s="1564"/>
      <c r="P3105" s="1572">
        <v>121.02</v>
      </c>
      <c r="Q3105" s="1572">
        <v>-121.02</v>
      </c>
      <c r="R3105" s="1564"/>
      <c r="S3105" s="1562"/>
    </row>
    <row r="3106" spans="2:19" ht="11.25" customHeight="1" outlineLevel="1">
      <c r="B3106" s="1573">
        <v>33409</v>
      </c>
      <c r="C3106" s="1566" t="s">
        <v>5403</v>
      </c>
      <c r="D3106" s="1566" t="s">
        <v>10173</v>
      </c>
      <c r="E3106" s="1566"/>
      <c r="F3106" s="1566"/>
      <c r="G3106" s="1566"/>
      <c r="H3106" s="1568">
        <v>1</v>
      </c>
      <c r="I3106" s="1566"/>
      <c r="J3106" s="1566"/>
      <c r="K3106" s="1572">
        <v>121</v>
      </c>
      <c r="L3106" s="1572">
        <v>121.02</v>
      </c>
      <c r="M3106" s="1572">
        <v>-121.02</v>
      </c>
      <c r="N3106" s="1564"/>
      <c r="O3106" s="1564"/>
      <c r="P3106" s="1572">
        <v>121.02</v>
      </c>
      <c r="Q3106" s="1572">
        <v>-121.02</v>
      </c>
      <c r="R3106" s="1564"/>
      <c r="S3106" s="1562"/>
    </row>
    <row r="3107" spans="2:19" ht="11.25" customHeight="1" outlineLevel="1">
      <c r="B3107" s="1573">
        <v>33410</v>
      </c>
      <c r="C3107" s="1566" t="s">
        <v>5403</v>
      </c>
      <c r="D3107" s="1566" t="s">
        <v>10172</v>
      </c>
      <c r="E3107" s="1566"/>
      <c r="F3107" s="1566"/>
      <c r="G3107" s="1566"/>
      <c r="H3107" s="1568">
        <v>1</v>
      </c>
      <c r="I3107" s="1566"/>
      <c r="J3107" s="1566"/>
      <c r="K3107" s="1572">
        <v>121</v>
      </c>
      <c r="L3107" s="1572">
        <v>121.02</v>
      </c>
      <c r="M3107" s="1572">
        <v>-121.02</v>
      </c>
      <c r="N3107" s="1564"/>
      <c r="O3107" s="1564"/>
      <c r="P3107" s="1572">
        <v>121.02</v>
      </c>
      <c r="Q3107" s="1572">
        <v>-121.02</v>
      </c>
      <c r="R3107" s="1564"/>
      <c r="S3107" s="1562"/>
    </row>
    <row r="3108" spans="2:19" ht="11.25" customHeight="1" outlineLevel="1">
      <c r="B3108" s="1573">
        <v>33411</v>
      </c>
      <c r="C3108" s="1566" t="s">
        <v>5403</v>
      </c>
      <c r="D3108" s="1566" t="s">
        <v>10171</v>
      </c>
      <c r="E3108" s="1566"/>
      <c r="F3108" s="1566"/>
      <c r="G3108" s="1566"/>
      <c r="H3108" s="1568">
        <v>1</v>
      </c>
      <c r="I3108" s="1566"/>
      <c r="J3108" s="1566"/>
      <c r="K3108" s="1572">
        <v>121</v>
      </c>
      <c r="L3108" s="1572">
        <v>121.02</v>
      </c>
      <c r="M3108" s="1572">
        <v>-121.02</v>
      </c>
      <c r="N3108" s="1564"/>
      <c r="O3108" s="1564"/>
      <c r="P3108" s="1572">
        <v>121.02</v>
      </c>
      <c r="Q3108" s="1572">
        <v>-121.02</v>
      </c>
      <c r="R3108" s="1564"/>
      <c r="S3108" s="1562"/>
    </row>
    <row r="3109" spans="2:19" ht="11.25" customHeight="1" outlineLevel="1">
      <c r="B3109" s="1573">
        <v>33412</v>
      </c>
      <c r="C3109" s="1566" t="s">
        <v>5403</v>
      </c>
      <c r="D3109" s="1566" t="s">
        <v>10170</v>
      </c>
      <c r="E3109" s="1566"/>
      <c r="F3109" s="1566"/>
      <c r="G3109" s="1566"/>
      <c r="H3109" s="1568">
        <v>1</v>
      </c>
      <c r="I3109" s="1566"/>
      <c r="J3109" s="1566"/>
      <c r="K3109" s="1572">
        <v>121</v>
      </c>
      <c r="L3109" s="1572">
        <v>121.02</v>
      </c>
      <c r="M3109" s="1572">
        <v>-121.02</v>
      </c>
      <c r="N3109" s="1564"/>
      <c r="O3109" s="1564"/>
      <c r="P3109" s="1572">
        <v>121.02</v>
      </c>
      <c r="Q3109" s="1572">
        <v>-121.02</v>
      </c>
      <c r="R3109" s="1564"/>
      <c r="S3109" s="1562"/>
    </row>
    <row r="3110" spans="2:19" ht="11.25" customHeight="1" outlineLevel="1">
      <c r="B3110" s="1573">
        <v>33413</v>
      </c>
      <c r="C3110" s="1566" t="s">
        <v>5403</v>
      </c>
      <c r="D3110" s="1566" t="s">
        <v>10169</v>
      </c>
      <c r="E3110" s="1566"/>
      <c r="F3110" s="1566"/>
      <c r="G3110" s="1566"/>
      <c r="H3110" s="1568">
        <v>1</v>
      </c>
      <c r="I3110" s="1566"/>
      <c r="J3110" s="1566"/>
      <c r="K3110" s="1572">
        <v>121</v>
      </c>
      <c r="L3110" s="1572">
        <v>121.02</v>
      </c>
      <c r="M3110" s="1572">
        <v>-121.02</v>
      </c>
      <c r="N3110" s="1564"/>
      <c r="O3110" s="1564"/>
      <c r="P3110" s="1572">
        <v>121.02</v>
      </c>
      <c r="Q3110" s="1572">
        <v>-121.02</v>
      </c>
      <c r="R3110" s="1564"/>
      <c r="S3110" s="1562"/>
    </row>
    <row r="3111" spans="2:19" ht="11.25" customHeight="1" outlineLevel="1">
      <c r="B3111" s="1573">
        <v>33414</v>
      </c>
      <c r="C3111" s="1566" t="s">
        <v>5403</v>
      </c>
      <c r="D3111" s="1566" t="s">
        <v>10168</v>
      </c>
      <c r="E3111" s="1566"/>
      <c r="F3111" s="1566"/>
      <c r="G3111" s="1566"/>
      <c r="H3111" s="1568">
        <v>1</v>
      </c>
      <c r="I3111" s="1566"/>
      <c r="J3111" s="1566"/>
      <c r="K3111" s="1572">
        <v>121</v>
      </c>
      <c r="L3111" s="1572">
        <v>121.02</v>
      </c>
      <c r="M3111" s="1572">
        <v>-121.02</v>
      </c>
      <c r="N3111" s="1564"/>
      <c r="O3111" s="1564"/>
      <c r="P3111" s="1572">
        <v>121.02</v>
      </c>
      <c r="Q3111" s="1572">
        <v>-121.02</v>
      </c>
      <c r="R3111" s="1564"/>
      <c r="S3111" s="1562"/>
    </row>
    <row r="3112" spans="2:19" ht="11.25" customHeight="1" outlineLevel="1">
      <c r="B3112" s="1573">
        <v>33415</v>
      </c>
      <c r="C3112" s="1566" t="s">
        <v>5403</v>
      </c>
      <c r="D3112" s="1566" t="s">
        <v>10167</v>
      </c>
      <c r="E3112" s="1566"/>
      <c r="F3112" s="1566"/>
      <c r="G3112" s="1566"/>
      <c r="H3112" s="1568">
        <v>1</v>
      </c>
      <c r="I3112" s="1566"/>
      <c r="J3112" s="1566"/>
      <c r="K3112" s="1572">
        <v>121</v>
      </c>
      <c r="L3112" s="1572">
        <v>121.02</v>
      </c>
      <c r="M3112" s="1572">
        <v>-121.02</v>
      </c>
      <c r="N3112" s="1564"/>
      <c r="O3112" s="1564"/>
      <c r="P3112" s="1572">
        <v>121.02</v>
      </c>
      <c r="Q3112" s="1572">
        <v>-121.02</v>
      </c>
      <c r="R3112" s="1564"/>
      <c r="S3112" s="1562"/>
    </row>
    <row r="3113" spans="2:19" ht="11.25" customHeight="1" outlineLevel="1">
      <c r="B3113" s="1573">
        <v>33416</v>
      </c>
      <c r="C3113" s="1566" t="s">
        <v>5403</v>
      </c>
      <c r="D3113" s="1566" t="s">
        <v>10166</v>
      </c>
      <c r="E3113" s="1566"/>
      <c r="F3113" s="1566"/>
      <c r="G3113" s="1566"/>
      <c r="H3113" s="1568">
        <v>1</v>
      </c>
      <c r="I3113" s="1566"/>
      <c r="J3113" s="1566"/>
      <c r="K3113" s="1572">
        <v>121</v>
      </c>
      <c r="L3113" s="1572">
        <v>121.02</v>
      </c>
      <c r="M3113" s="1572">
        <v>-121.02</v>
      </c>
      <c r="N3113" s="1564"/>
      <c r="O3113" s="1564"/>
      <c r="P3113" s="1572">
        <v>121.02</v>
      </c>
      <c r="Q3113" s="1572">
        <v>-121.02</v>
      </c>
      <c r="R3113" s="1564"/>
      <c r="S3113" s="1562"/>
    </row>
    <row r="3114" spans="2:19" ht="11.25" customHeight="1" outlineLevel="1">
      <c r="B3114" s="1573">
        <v>33417</v>
      </c>
      <c r="C3114" s="1566" t="s">
        <v>5403</v>
      </c>
      <c r="D3114" s="1566" t="s">
        <v>10165</v>
      </c>
      <c r="E3114" s="1566"/>
      <c r="F3114" s="1566"/>
      <c r="G3114" s="1566"/>
      <c r="H3114" s="1568">
        <v>1</v>
      </c>
      <c r="I3114" s="1566"/>
      <c r="J3114" s="1566"/>
      <c r="K3114" s="1572">
        <v>121</v>
      </c>
      <c r="L3114" s="1572">
        <v>121.02</v>
      </c>
      <c r="M3114" s="1572">
        <v>-121.02</v>
      </c>
      <c r="N3114" s="1564"/>
      <c r="O3114" s="1564"/>
      <c r="P3114" s="1572">
        <v>121.02</v>
      </c>
      <c r="Q3114" s="1572">
        <v>-121.02</v>
      </c>
      <c r="R3114" s="1564"/>
      <c r="S3114" s="1562"/>
    </row>
    <row r="3115" spans="2:19" ht="11.25" customHeight="1" outlineLevel="1">
      <c r="B3115" s="1573">
        <v>33418</v>
      </c>
      <c r="C3115" s="1566" t="s">
        <v>5403</v>
      </c>
      <c r="D3115" s="1566" t="s">
        <v>10164</v>
      </c>
      <c r="E3115" s="1566"/>
      <c r="F3115" s="1566"/>
      <c r="G3115" s="1566"/>
      <c r="H3115" s="1568">
        <v>1</v>
      </c>
      <c r="I3115" s="1566"/>
      <c r="J3115" s="1566"/>
      <c r="K3115" s="1572">
        <v>121</v>
      </c>
      <c r="L3115" s="1572">
        <v>121.02</v>
      </c>
      <c r="M3115" s="1572">
        <v>-121.02</v>
      </c>
      <c r="N3115" s="1564"/>
      <c r="O3115" s="1564"/>
      <c r="P3115" s="1572">
        <v>121.02</v>
      </c>
      <c r="Q3115" s="1572">
        <v>-121.02</v>
      </c>
      <c r="R3115" s="1564"/>
      <c r="S3115" s="1562"/>
    </row>
    <row r="3116" spans="2:19" ht="11.25" customHeight="1" outlineLevel="1">
      <c r="B3116" s="1573">
        <v>33419</v>
      </c>
      <c r="C3116" s="1566" t="s">
        <v>5403</v>
      </c>
      <c r="D3116" s="1566" t="s">
        <v>10163</v>
      </c>
      <c r="E3116" s="1566"/>
      <c r="F3116" s="1566"/>
      <c r="G3116" s="1566"/>
      <c r="H3116" s="1568">
        <v>1</v>
      </c>
      <c r="I3116" s="1566"/>
      <c r="J3116" s="1566"/>
      <c r="K3116" s="1572">
        <v>121</v>
      </c>
      <c r="L3116" s="1572">
        <v>121.02</v>
      </c>
      <c r="M3116" s="1572">
        <v>-121.02</v>
      </c>
      <c r="N3116" s="1564"/>
      <c r="O3116" s="1564"/>
      <c r="P3116" s="1572">
        <v>121.02</v>
      </c>
      <c r="Q3116" s="1572">
        <v>-121.02</v>
      </c>
      <c r="R3116" s="1564"/>
      <c r="S3116" s="1562"/>
    </row>
    <row r="3117" spans="2:19" ht="11.25" customHeight="1" outlineLevel="1">
      <c r="B3117" s="1573">
        <v>33420</v>
      </c>
      <c r="C3117" s="1566" t="s">
        <v>5403</v>
      </c>
      <c r="D3117" s="1566" t="s">
        <v>10162</v>
      </c>
      <c r="E3117" s="1566"/>
      <c r="F3117" s="1566"/>
      <c r="G3117" s="1566"/>
      <c r="H3117" s="1568">
        <v>1</v>
      </c>
      <c r="I3117" s="1566"/>
      <c r="J3117" s="1566"/>
      <c r="K3117" s="1572">
        <v>121</v>
      </c>
      <c r="L3117" s="1572">
        <v>121.02</v>
      </c>
      <c r="M3117" s="1572">
        <v>-121.02</v>
      </c>
      <c r="N3117" s="1564"/>
      <c r="O3117" s="1564"/>
      <c r="P3117" s="1572">
        <v>121.02</v>
      </c>
      <c r="Q3117" s="1572">
        <v>-121.02</v>
      </c>
      <c r="R3117" s="1564"/>
      <c r="S3117" s="1562"/>
    </row>
    <row r="3118" spans="2:19" ht="11.25" customHeight="1" outlineLevel="1">
      <c r="B3118" s="1573">
        <v>33421</v>
      </c>
      <c r="C3118" s="1566" t="s">
        <v>5403</v>
      </c>
      <c r="D3118" s="1566" t="s">
        <v>10161</v>
      </c>
      <c r="E3118" s="1566"/>
      <c r="F3118" s="1566"/>
      <c r="G3118" s="1566"/>
      <c r="H3118" s="1568">
        <v>1</v>
      </c>
      <c r="I3118" s="1566"/>
      <c r="J3118" s="1566"/>
      <c r="K3118" s="1572">
        <v>121</v>
      </c>
      <c r="L3118" s="1572">
        <v>121.02</v>
      </c>
      <c r="M3118" s="1572">
        <v>-121.02</v>
      </c>
      <c r="N3118" s="1564"/>
      <c r="O3118" s="1564"/>
      <c r="P3118" s="1572">
        <v>121.02</v>
      </c>
      <c r="Q3118" s="1572">
        <v>-121.02</v>
      </c>
      <c r="R3118" s="1564"/>
      <c r="S3118" s="1562"/>
    </row>
    <row r="3119" spans="2:19" ht="11.25" customHeight="1" outlineLevel="1">
      <c r="B3119" s="1573">
        <v>33422</v>
      </c>
      <c r="C3119" s="1566" t="s">
        <v>5403</v>
      </c>
      <c r="D3119" s="1566" t="s">
        <v>10160</v>
      </c>
      <c r="E3119" s="1566"/>
      <c r="F3119" s="1566"/>
      <c r="G3119" s="1566"/>
      <c r="H3119" s="1568">
        <v>1</v>
      </c>
      <c r="I3119" s="1566"/>
      <c r="J3119" s="1566"/>
      <c r="K3119" s="1572">
        <v>121</v>
      </c>
      <c r="L3119" s="1572">
        <v>121.02</v>
      </c>
      <c r="M3119" s="1572">
        <v>-121.02</v>
      </c>
      <c r="N3119" s="1564"/>
      <c r="O3119" s="1564"/>
      <c r="P3119" s="1572">
        <v>121.02</v>
      </c>
      <c r="Q3119" s="1572">
        <v>-121.02</v>
      </c>
      <c r="R3119" s="1564"/>
      <c r="S3119" s="1562"/>
    </row>
    <row r="3120" spans="2:19" ht="11.25" customHeight="1" outlineLevel="1">
      <c r="B3120" s="1573">
        <v>33423</v>
      </c>
      <c r="C3120" s="1566" t="s">
        <v>5403</v>
      </c>
      <c r="D3120" s="1566" t="s">
        <v>10159</v>
      </c>
      <c r="E3120" s="1566"/>
      <c r="F3120" s="1566"/>
      <c r="G3120" s="1566"/>
      <c r="H3120" s="1568">
        <v>1</v>
      </c>
      <c r="I3120" s="1566"/>
      <c r="J3120" s="1566"/>
      <c r="K3120" s="1572">
        <v>121</v>
      </c>
      <c r="L3120" s="1572">
        <v>121.02</v>
      </c>
      <c r="M3120" s="1572">
        <v>-121.02</v>
      </c>
      <c r="N3120" s="1564"/>
      <c r="O3120" s="1564"/>
      <c r="P3120" s="1572">
        <v>121.02</v>
      </c>
      <c r="Q3120" s="1572">
        <v>-121.02</v>
      </c>
      <c r="R3120" s="1564"/>
      <c r="S3120" s="1562"/>
    </row>
    <row r="3121" spans="2:19" ht="11.25" customHeight="1" outlineLevel="1">
      <c r="B3121" s="1573">
        <v>33424</v>
      </c>
      <c r="C3121" s="1566" t="s">
        <v>5403</v>
      </c>
      <c r="D3121" s="1566" t="s">
        <v>10158</v>
      </c>
      <c r="E3121" s="1566"/>
      <c r="F3121" s="1566"/>
      <c r="G3121" s="1566"/>
      <c r="H3121" s="1568">
        <v>1</v>
      </c>
      <c r="I3121" s="1566"/>
      <c r="J3121" s="1566"/>
      <c r="K3121" s="1572">
        <v>121</v>
      </c>
      <c r="L3121" s="1572">
        <v>121.02</v>
      </c>
      <c r="M3121" s="1572">
        <v>-121.02</v>
      </c>
      <c r="N3121" s="1564"/>
      <c r="O3121" s="1564"/>
      <c r="P3121" s="1572">
        <v>121.02</v>
      </c>
      <c r="Q3121" s="1572">
        <v>-121.02</v>
      </c>
      <c r="R3121" s="1564"/>
      <c r="S3121" s="1562"/>
    </row>
    <row r="3122" spans="2:19" ht="11.25" customHeight="1" outlineLevel="1">
      <c r="B3122" s="1573">
        <v>33425</v>
      </c>
      <c r="C3122" s="1566" t="s">
        <v>5403</v>
      </c>
      <c r="D3122" s="1566" t="s">
        <v>10157</v>
      </c>
      <c r="E3122" s="1566"/>
      <c r="F3122" s="1566"/>
      <c r="G3122" s="1566"/>
      <c r="H3122" s="1568">
        <v>1</v>
      </c>
      <c r="I3122" s="1566"/>
      <c r="J3122" s="1566"/>
      <c r="K3122" s="1572">
        <v>121</v>
      </c>
      <c r="L3122" s="1572">
        <v>121.02</v>
      </c>
      <c r="M3122" s="1572">
        <v>-121.02</v>
      </c>
      <c r="N3122" s="1564"/>
      <c r="O3122" s="1564"/>
      <c r="P3122" s="1572">
        <v>121.02</v>
      </c>
      <c r="Q3122" s="1572">
        <v>-121.02</v>
      </c>
      <c r="R3122" s="1564"/>
      <c r="S3122" s="1562"/>
    </row>
    <row r="3123" spans="2:19" ht="11.25" customHeight="1" outlineLevel="1">
      <c r="B3123" s="1573">
        <v>33426</v>
      </c>
      <c r="C3123" s="1566" t="s">
        <v>5403</v>
      </c>
      <c r="D3123" s="1566" t="s">
        <v>10156</v>
      </c>
      <c r="E3123" s="1566"/>
      <c r="F3123" s="1566"/>
      <c r="G3123" s="1566"/>
      <c r="H3123" s="1568">
        <v>1</v>
      </c>
      <c r="I3123" s="1566"/>
      <c r="J3123" s="1566"/>
      <c r="K3123" s="1572">
        <v>121</v>
      </c>
      <c r="L3123" s="1572">
        <v>121.02</v>
      </c>
      <c r="M3123" s="1572">
        <v>-121.02</v>
      </c>
      <c r="N3123" s="1564"/>
      <c r="O3123" s="1564"/>
      <c r="P3123" s="1572">
        <v>121.02</v>
      </c>
      <c r="Q3123" s="1572">
        <v>-121.02</v>
      </c>
      <c r="R3123" s="1564"/>
      <c r="S3123" s="1562"/>
    </row>
    <row r="3124" spans="2:19" ht="11.25" customHeight="1" outlineLevel="1">
      <c r="B3124" s="1573">
        <v>33427</v>
      </c>
      <c r="C3124" s="1566" t="s">
        <v>5403</v>
      </c>
      <c r="D3124" s="1566" t="s">
        <v>10155</v>
      </c>
      <c r="E3124" s="1566"/>
      <c r="F3124" s="1566"/>
      <c r="G3124" s="1566"/>
      <c r="H3124" s="1568">
        <v>1</v>
      </c>
      <c r="I3124" s="1566"/>
      <c r="J3124" s="1566"/>
      <c r="K3124" s="1572">
        <v>121</v>
      </c>
      <c r="L3124" s="1572">
        <v>121.02</v>
      </c>
      <c r="M3124" s="1572">
        <v>-121.02</v>
      </c>
      <c r="N3124" s="1564"/>
      <c r="O3124" s="1564"/>
      <c r="P3124" s="1572">
        <v>121.02</v>
      </c>
      <c r="Q3124" s="1572">
        <v>-121.02</v>
      </c>
      <c r="R3124" s="1564"/>
      <c r="S3124" s="1562"/>
    </row>
    <row r="3125" spans="2:19" ht="11.25" customHeight="1" outlineLevel="1">
      <c r="B3125" s="1573">
        <v>33428</v>
      </c>
      <c r="C3125" s="1566" t="s">
        <v>5403</v>
      </c>
      <c r="D3125" s="1566" t="s">
        <v>10154</v>
      </c>
      <c r="E3125" s="1566"/>
      <c r="F3125" s="1566"/>
      <c r="G3125" s="1566"/>
      <c r="H3125" s="1568">
        <v>1</v>
      </c>
      <c r="I3125" s="1566"/>
      <c r="J3125" s="1566"/>
      <c r="K3125" s="1572">
        <v>121</v>
      </c>
      <c r="L3125" s="1572">
        <v>121.02</v>
      </c>
      <c r="M3125" s="1572">
        <v>-121.02</v>
      </c>
      <c r="N3125" s="1564"/>
      <c r="O3125" s="1564"/>
      <c r="P3125" s="1572">
        <v>121.02</v>
      </c>
      <c r="Q3125" s="1572">
        <v>-121.02</v>
      </c>
      <c r="R3125" s="1564"/>
      <c r="S3125" s="1562"/>
    </row>
    <row r="3126" spans="2:19" ht="11.25" customHeight="1" outlineLevel="1">
      <c r="B3126" s="1573">
        <v>33429</v>
      </c>
      <c r="C3126" s="1566" t="s">
        <v>5403</v>
      </c>
      <c r="D3126" s="1566" t="s">
        <v>10153</v>
      </c>
      <c r="E3126" s="1566"/>
      <c r="F3126" s="1566"/>
      <c r="G3126" s="1566"/>
      <c r="H3126" s="1568">
        <v>1</v>
      </c>
      <c r="I3126" s="1566"/>
      <c r="J3126" s="1566"/>
      <c r="K3126" s="1572">
        <v>121</v>
      </c>
      <c r="L3126" s="1572">
        <v>121.02</v>
      </c>
      <c r="M3126" s="1572">
        <v>-121.02</v>
      </c>
      <c r="N3126" s="1564"/>
      <c r="O3126" s="1564"/>
      <c r="P3126" s="1572">
        <v>121.02</v>
      </c>
      <c r="Q3126" s="1572">
        <v>-121.02</v>
      </c>
      <c r="R3126" s="1564"/>
      <c r="S3126" s="1562"/>
    </row>
    <row r="3127" spans="2:19" ht="11.25" customHeight="1" outlineLevel="1">
      <c r="B3127" s="1573">
        <v>33505</v>
      </c>
      <c r="C3127" s="1566" t="s">
        <v>5403</v>
      </c>
      <c r="D3127" s="1566" t="s">
        <v>10152</v>
      </c>
      <c r="E3127" s="1566"/>
      <c r="F3127" s="1566"/>
      <c r="G3127" s="1566"/>
      <c r="H3127" s="1568">
        <v>1</v>
      </c>
      <c r="I3127" s="1566"/>
      <c r="J3127" s="1566"/>
      <c r="K3127" s="1572">
        <v>112</v>
      </c>
      <c r="L3127" s="1572">
        <v>111.6</v>
      </c>
      <c r="M3127" s="1572">
        <v>-111.6</v>
      </c>
      <c r="N3127" s="1564"/>
      <c r="O3127" s="1564"/>
      <c r="P3127" s="1572">
        <v>111.6</v>
      </c>
      <c r="Q3127" s="1572">
        <v>-111.6</v>
      </c>
      <c r="R3127" s="1564"/>
      <c r="S3127" s="1562"/>
    </row>
    <row r="3128" spans="2:19" ht="11.25" customHeight="1" outlineLevel="1">
      <c r="B3128" s="1573">
        <v>33506</v>
      </c>
      <c r="C3128" s="1566" t="s">
        <v>5403</v>
      </c>
      <c r="D3128" s="1566" t="s">
        <v>10151</v>
      </c>
      <c r="E3128" s="1566"/>
      <c r="F3128" s="1566"/>
      <c r="G3128" s="1566"/>
      <c r="H3128" s="1568">
        <v>1</v>
      </c>
      <c r="I3128" s="1566"/>
      <c r="J3128" s="1566"/>
      <c r="K3128" s="1572">
        <v>112</v>
      </c>
      <c r="L3128" s="1572">
        <v>111.6</v>
      </c>
      <c r="M3128" s="1572">
        <v>-111.6</v>
      </c>
      <c r="N3128" s="1564"/>
      <c r="O3128" s="1564"/>
      <c r="P3128" s="1572">
        <v>111.6</v>
      </c>
      <c r="Q3128" s="1572">
        <v>-111.6</v>
      </c>
      <c r="R3128" s="1564"/>
      <c r="S3128" s="1562"/>
    </row>
    <row r="3129" spans="2:19" ht="11.25" customHeight="1" outlineLevel="1">
      <c r="B3129" s="1573">
        <v>33507</v>
      </c>
      <c r="C3129" s="1566" t="s">
        <v>5403</v>
      </c>
      <c r="D3129" s="1566" t="s">
        <v>10150</v>
      </c>
      <c r="E3129" s="1566"/>
      <c r="F3129" s="1566"/>
      <c r="G3129" s="1566"/>
      <c r="H3129" s="1568">
        <v>1</v>
      </c>
      <c r="I3129" s="1566"/>
      <c r="J3129" s="1566"/>
      <c r="K3129" s="1572">
        <v>112</v>
      </c>
      <c r="L3129" s="1572">
        <v>111.6</v>
      </c>
      <c r="M3129" s="1572">
        <v>-111.6</v>
      </c>
      <c r="N3129" s="1564"/>
      <c r="O3129" s="1564"/>
      <c r="P3129" s="1572">
        <v>111.6</v>
      </c>
      <c r="Q3129" s="1572">
        <v>-111.6</v>
      </c>
      <c r="R3129" s="1564"/>
      <c r="S3129" s="1562"/>
    </row>
    <row r="3130" spans="2:19" ht="11.25" customHeight="1" outlineLevel="1">
      <c r="B3130" s="1573">
        <v>33508</v>
      </c>
      <c r="C3130" s="1566" t="s">
        <v>5403</v>
      </c>
      <c r="D3130" s="1566" t="s">
        <v>10149</v>
      </c>
      <c r="E3130" s="1566"/>
      <c r="F3130" s="1566"/>
      <c r="G3130" s="1566"/>
      <c r="H3130" s="1568">
        <v>1</v>
      </c>
      <c r="I3130" s="1566"/>
      <c r="J3130" s="1566"/>
      <c r="K3130" s="1572">
        <v>112</v>
      </c>
      <c r="L3130" s="1572">
        <v>111.6</v>
      </c>
      <c r="M3130" s="1572">
        <v>-111.6</v>
      </c>
      <c r="N3130" s="1564"/>
      <c r="O3130" s="1564"/>
      <c r="P3130" s="1572">
        <v>111.6</v>
      </c>
      <c r="Q3130" s="1572">
        <v>-111.6</v>
      </c>
      <c r="R3130" s="1564"/>
      <c r="S3130" s="1562"/>
    </row>
    <row r="3131" spans="2:19" ht="11.25" customHeight="1" outlineLevel="1">
      <c r="B3131" s="1573">
        <v>33545</v>
      </c>
      <c r="C3131" s="1566" t="s">
        <v>5403</v>
      </c>
      <c r="D3131" s="1566" t="s">
        <v>10148</v>
      </c>
      <c r="E3131" s="1566"/>
      <c r="F3131" s="1566"/>
      <c r="G3131" s="1566"/>
      <c r="H3131" s="1568">
        <v>1</v>
      </c>
      <c r="I3131" s="1566"/>
      <c r="J3131" s="1566"/>
      <c r="K3131" s="1572">
        <v>237</v>
      </c>
      <c r="L3131" s="1572">
        <v>237.17</v>
      </c>
      <c r="M3131" s="1572">
        <v>-237.17</v>
      </c>
      <c r="N3131" s="1564"/>
      <c r="O3131" s="1564"/>
      <c r="P3131" s="1572">
        <v>237.17</v>
      </c>
      <c r="Q3131" s="1572">
        <v>-237.17</v>
      </c>
      <c r="R3131" s="1564"/>
      <c r="S3131" s="1562"/>
    </row>
    <row r="3132" spans="2:19" ht="11.25" customHeight="1" outlineLevel="1">
      <c r="B3132" s="1573">
        <v>33546</v>
      </c>
      <c r="C3132" s="1566" t="s">
        <v>5403</v>
      </c>
      <c r="D3132" s="1566" t="s">
        <v>10147</v>
      </c>
      <c r="E3132" s="1566"/>
      <c r="F3132" s="1566"/>
      <c r="G3132" s="1566"/>
      <c r="H3132" s="1568">
        <v>1</v>
      </c>
      <c r="I3132" s="1566"/>
      <c r="J3132" s="1566"/>
      <c r="K3132" s="1572">
        <v>237</v>
      </c>
      <c r="L3132" s="1572">
        <v>237.17</v>
      </c>
      <c r="M3132" s="1572">
        <v>-237.17</v>
      </c>
      <c r="N3132" s="1564"/>
      <c r="O3132" s="1564"/>
      <c r="P3132" s="1572">
        <v>237.17</v>
      </c>
      <c r="Q3132" s="1572">
        <v>-237.17</v>
      </c>
      <c r="R3132" s="1564"/>
      <c r="S3132" s="1562"/>
    </row>
    <row r="3133" spans="2:19" ht="11.25" customHeight="1" outlineLevel="1">
      <c r="B3133" s="1573">
        <v>33547</v>
      </c>
      <c r="C3133" s="1566" t="s">
        <v>5403</v>
      </c>
      <c r="D3133" s="1566" t="s">
        <v>10146</v>
      </c>
      <c r="E3133" s="1566"/>
      <c r="F3133" s="1566"/>
      <c r="G3133" s="1566"/>
      <c r="H3133" s="1568">
        <v>1</v>
      </c>
      <c r="I3133" s="1566"/>
      <c r="J3133" s="1566"/>
      <c r="K3133" s="1572">
        <v>237</v>
      </c>
      <c r="L3133" s="1572">
        <v>237.17</v>
      </c>
      <c r="M3133" s="1572">
        <v>-237.17</v>
      </c>
      <c r="N3133" s="1564"/>
      <c r="O3133" s="1564"/>
      <c r="P3133" s="1572">
        <v>237.17</v>
      </c>
      <c r="Q3133" s="1572">
        <v>-237.17</v>
      </c>
      <c r="R3133" s="1564"/>
      <c r="S3133" s="1562"/>
    </row>
    <row r="3134" spans="2:19" ht="11.25" customHeight="1" outlineLevel="1">
      <c r="B3134" s="1573">
        <v>33548</v>
      </c>
      <c r="C3134" s="1566" t="s">
        <v>5403</v>
      </c>
      <c r="D3134" s="1566" t="s">
        <v>10145</v>
      </c>
      <c r="E3134" s="1566"/>
      <c r="F3134" s="1566"/>
      <c r="G3134" s="1566"/>
      <c r="H3134" s="1568">
        <v>1</v>
      </c>
      <c r="I3134" s="1566"/>
      <c r="J3134" s="1566"/>
      <c r="K3134" s="1572">
        <v>237</v>
      </c>
      <c r="L3134" s="1572">
        <v>237.17</v>
      </c>
      <c r="M3134" s="1572">
        <v>-237.17</v>
      </c>
      <c r="N3134" s="1564"/>
      <c r="O3134" s="1564"/>
      <c r="P3134" s="1572">
        <v>237.17</v>
      </c>
      <c r="Q3134" s="1572">
        <v>-237.17</v>
      </c>
      <c r="R3134" s="1564"/>
      <c r="S3134" s="1562"/>
    </row>
    <row r="3135" spans="2:19" ht="11.25" customHeight="1" outlineLevel="1">
      <c r="B3135" s="1573">
        <v>33549</v>
      </c>
      <c r="C3135" s="1566" t="s">
        <v>5403</v>
      </c>
      <c r="D3135" s="1566" t="s">
        <v>10144</v>
      </c>
      <c r="E3135" s="1566"/>
      <c r="F3135" s="1566"/>
      <c r="G3135" s="1566"/>
      <c r="H3135" s="1568">
        <v>1</v>
      </c>
      <c r="I3135" s="1566"/>
      <c r="J3135" s="1566"/>
      <c r="K3135" s="1572">
        <v>237</v>
      </c>
      <c r="L3135" s="1572">
        <v>237.17</v>
      </c>
      <c r="M3135" s="1572">
        <v>-237.17</v>
      </c>
      <c r="N3135" s="1564"/>
      <c r="O3135" s="1564"/>
      <c r="P3135" s="1572">
        <v>237.17</v>
      </c>
      <c r="Q3135" s="1572">
        <v>-237.17</v>
      </c>
      <c r="R3135" s="1564"/>
      <c r="S3135" s="1562"/>
    </row>
    <row r="3136" spans="2:19" ht="11.25" customHeight="1" outlineLevel="1">
      <c r="B3136" s="1573">
        <v>33558</v>
      </c>
      <c r="C3136" s="1566" t="s">
        <v>5403</v>
      </c>
      <c r="D3136" s="1566" t="s">
        <v>10143</v>
      </c>
      <c r="E3136" s="1566"/>
      <c r="F3136" s="1566"/>
      <c r="G3136" s="1566"/>
      <c r="H3136" s="1568">
        <v>1</v>
      </c>
      <c r="I3136" s="1566"/>
      <c r="J3136" s="1566"/>
      <c r="K3136" s="1572">
        <v>237</v>
      </c>
      <c r="L3136" s="1572">
        <v>237</v>
      </c>
      <c r="M3136" s="1572">
        <v>-237</v>
      </c>
      <c r="N3136" s="1564"/>
      <c r="O3136" s="1564"/>
      <c r="P3136" s="1572">
        <v>237</v>
      </c>
      <c r="Q3136" s="1572">
        <v>-237</v>
      </c>
      <c r="R3136" s="1564"/>
      <c r="S3136" s="1562"/>
    </row>
    <row r="3137" spans="2:19" ht="11.25" customHeight="1" outlineLevel="1">
      <c r="B3137" s="1573">
        <v>33559</v>
      </c>
      <c r="C3137" s="1566" t="s">
        <v>5403</v>
      </c>
      <c r="D3137" s="1566" t="s">
        <v>10142</v>
      </c>
      <c r="E3137" s="1566"/>
      <c r="F3137" s="1566"/>
      <c r="G3137" s="1566"/>
      <c r="H3137" s="1568">
        <v>1</v>
      </c>
      <c r="I3137" s="1566"/>
      <c r="J3137" s="1566"/>
      <c r="K3137" s="1572">
        <v>237</v>
      </c>
      <c r="L3137" s="1572">
        <v>237</v>
      </c>
      <c r="M3137" s="1572">
        <v>-237</v>
      </c>
      <c r="N3137" s="1564"/>
      <c r="O3137" s="1564"/>
      <c r="P3137" s="1572">
        <v>237</v>
      </c>
      <c r="Q3137" s="1572">
        <v>-237</v>
      </c>
      <c r="R3137" s="1564"/>
      <c r="S3137" s="1562"/>
    </row>
    <row r="3138" spans="2:19" ht="11.25" customHeight="1" outlineLevel="1">
      <c r="B3138" s="1573">
        <v>33560</v>
      </c>
      <c r="C3138" s="1566" t="s">
        <v>5403</v>
      </c>
      <c r="D3138" s="1566" t="s">
        <v>10141</v>
      </c>
      <c r="E3138" s="1566"/>
      <c r="F3138" s="1566"/>
      <c r="G3138" s="1566"/>
      <c r="H3138" s="1568">
        <v>1</v>
      </c>
      <c r="I3138" s="1566"/>
      <c r="J3138" s="1566"/>
      <c r="K3138" s="1572">
        <v>237</v>
      </c>
      <c r="L3138" s="1572">
        <v>237</v>
      </c>
      <c r="M3138" s="1572">
        <v>-237</v>
      </c>
      <c r="N3138" s="1564"/>
      <c r="O3138" s="1564"/>
      <c r="P3138" s="1572">
        <v>237</v>
      </c>
      <c r="Q3138" s="1572">
        <v>-237</v>
      </c>
      <c r="R3138" s="1564"/>
      <c r="S3138" s="1562"/>
    </row>
    <row r="3139" spans="2:19" ht="11.25" customHeight="1" outlineLevel="1">
      <c r="B3139" s="1573">
        <v>33561</v>
      </c>
      <c r="C3139" s="1566" t="s">
        <v>5403</v>
      </c>
      <c r="D3139" s="1566" t="s">
        <v>10140</v>
      </c>
      <c r="E3139" s="1566"/>
      <c r="F3139" s="1566"/>
      <c r="G3139" s="1566"/>
      <c r="H3139" s="1568">
        <v>1</v>
      </c>
      <c r="I3139" s="1566"/>
      <c r="J3139" s="1566"/>
      <c r="K3139" s="1572">
        <v>237</v>
      </c>
      <c r="L3139" s="1572">
        <v>237</v>
      </c>
      <c r="M3139" s="1572">
        <v>-237</v>
      </c>
      <c r="N3139" s="1564"/>
      <c r="O3139" s="1564"/>
      <c r="P3139" s="1572">
        <v>237</v>
      </c>
      <c r="Q3139" s="1572">
        <v>-237</v>
      </c>
      <c r="R3139" s="1564"/>
      <c r="S3139" s="1562"/>
    </row>
    <row r="3140" spans="2:19" ht="11.25" customHeight="1" outlineLevel="1">
      <c r="B3140" s="1573">
        <v>33567</v>
      </c>
      <c r="C3140" s="1566" t="s">
        <v>5403</v>
      </c>
      <c r="D3140" s="1566" t="s">
        <v>10139</v>
      </c>
      <c r="E3140" s="1566"/>
      <c r="F3140" s="1566"/>
      <c r="G3140" s="1566"/>
      <c r="H3140" s="1568">
        <v>1</v>
      </c>
      <c r="I3140" s="1566"/>
      <c r="J3140" s="1566"/>
      <c r="K3140" s="1572">
        <v>503</v>
      </c>
      <c r="L3140" s="1572">
        <v>502.7</v>
      </c>
      <c r="M3140" s="1572">
        <v>-502.7</v>
      </c>
      <c r="N3140" s="1564"/>
      <c r="O3140" s="1564"/>
      <c r="P3140" s="1572">
        <v>502.7</v>
      </c>
      <c r="Q3140" s="1572">
        <v>-502.7</v>
      </c>
      <c r="R3140" s="1564"/>
      <c r="S3140" s="1562"/>
    </row>
    <row r="3141" spans="2:19" ht="11.25" customHeight="1" outlineLevel="1">
      <c r="B3141" s="1573">
        <v>33568</v>
      </c>
      <c r="C3141" s="1566" t="s">
        <v>5403</v>
      </c>
      <c r="D3141" s="1566" t="s">
        <v>10138</v>
      </c>
      <c r="E3141" s="1566"/>
      <c r="F3141" s="1566"/>
      <c r="G3141" s="1566"/>
      <c r="H3141" s="1568">
        <v>1</v>
      </c>
      <c r="I3141" s="1566"/>
      <c r="J3141" s="1566"/>
      <c r="K3141" s="1572">
        <v>503</v>
      </c>
      <c r="L3141" s="1572">
        <v>502.7</v>
      </c>
      <c r="M3141" s="1572">
        <v>-502.7</v>
      </c>
      <c r="N3141" s="1564"/>
      <c r="O3141" s="1564"/>
      <c r="P3141" s="1572">
        <v>502.7</v>
      </c>
      <c r="Q3141" s="1572">
        <v>-502.7</v>
      </c>
      <c r="R3141" s="1564"/>
      <c r="S3141" s="1562"/>
    </row>
    <row r="3142" spans="2:19" ht="11.25" customHeight="1" outlineLevel="1">
      <c r="B3142" s="1573">
        <v>33569</v>
      </c>
      <c r="C3142" s="1566" t="s">
        <v>5403</v>
      </c>
      <c r="D3142" s="1566" t="s">
        <v>10137</v>
      </c>
      <c r="E3142" s="1566"/>
      <c r="F3142" s="1566"/>
      <c r="G3142" s="1566"/>
      <c r="H3142" s="1568">
        <v>1</v>
      </c>
      <c r="I3142" s="1566"/>
      <c r="J3142" s="1566"/>
      <c r="K3142" s="1572">
        <v>503</v>
      </c>
      <c r="L3142" s="1572">
        <v>502.7</v>
      </c>
      <c r="M3142" s="1572">
        <v>-502.7</v>
      </c>
      <c r="N3142" s="1564"/>
      <c r="O3142" s="1564"/>
      <c r="P3142" s="1572">
        <v>502.7</v>
      </c>
      <c r="Q3142" s="1572">
        <v>-502.7</v>
      </c>
      <c r="R3142" s="1564"/>
      <c r="S3142" s="1562"/>
    </row>
    <row r="3143" spans="2:19" ht="11.25" customHeight="1" outlineLevel="1">
      <c r="B3143" s="1573">
        <v>33570</v>
      </c>
      <c r="C3143" s="1566" t="s">
        <v>5403</v>
      </c>
      <c r="D3143" s="1566" t="s">
        <v>10136</v>
      </c>
      <c r="E3143" s="1566"/>
      <c r="F3143" s="1566"/>
      <c r="G3143" s="1566"/>
      <c r="H3143" s="1568">
        <v>1</v>
      </c>
      <c r="I3143" s="1566"/>
      <c r="J3143" s="1566"/>
      <c r="K3143" s="1572">
        <v>503</v>
      </c>
      <c r="L3143" s="1572">
        <v>502.7</v>
      </c>
      <c r="M3143" s="1572">
        <v>-502.7</v>
      </c>
      <c r="N3143" s="1564"/>
      <c r="O3143" s="1564"/>
      <c r="P3143" s="1572">
        <v>502.7</v>
      </c>
      <c r="Q3143" s="1572">
        <v>-502.7</v>
      </c>
      <c r="R3143" s="1564"/>
      <c r="S3143" s="1562"/>
    </row>
    <row r="3144" spans="2:19" ht="11.25" customHeight="1" outlineLevel="1">
      <c r="B3144" s="1573">
        <v>33598</v>
      </c>
      <c r="C3144" s="1566" t="s">
        <v>5403</v>
      </c>
      <c r="D3144" s="1566" t="s">
        <v>10135</v>
      </c>
      <c r="E3144" s="1566"/>
      <c r="F3144" s="1566"/>
      <c r="G3144" s="1566"/>
      <c r="H3144" s="1568">
        <v>1</v>
      </c>
      <c r="I3144" s="1566"/>
      <c r="J3144" s="1566"/>
      <c r="K3144" s="1572">
        <v>503</v>
      </c>
      <c r="L3144" s="1572">
        <v>502.7</v>
      </c>
      <c r="M3144" s="1572">
        <v>-502.7</v>
      </c>
      <c r="N3144" s="1564"/>
      <c r="O3144" s="1564"/>
      <c r="P3144" s="1572">
        <v>502.7</v>
      </c>
      <c r="Q3144" s="1572">
        <v>-502.7</v>
      </c>
      <c r="R3144" s="1564"/>
      <c r="S3144" s="1562"/>
    </row>
    <row r="3145" spans="2:19" ht="11.25" customHeight="1" outlineLevel="1">
      <c r="B3145" s="1573">
        <v>33599</v>
      </c>
      <c r="C3145" s="1566" t="s">
        <v>5403</v>
      </c>
      <c r="D3145" s="1566" t="s">
        <v>10134</v>
      </c>
      <c r="E3145" s="1566"/>
      <c r="F3145" s="1566"/>
      <c r="G3145" s="1566"/>
      <c r="H3145" s="1568">
        <v>1</v>
      </c>
      <c r="I3145" s="1566"/>
      <c r="J3145" s="1566"/>
      <c r="K3145" s="1572">
        <v>503</v>
      </c>
      <c r="L3145" s="1572">
        <v>502.7</v>
      </c>
      <c r="M3145" s="1572">
        <v>-502.7</v>
      </c>
      <c r="N3145" s="1564"/>
      <c r="O3145" s="1564"/>
      <c r="P3145" s="1572">
        <v>502.7</v>
      </c>
      <c r="Q3145" s="1572">
        <v>-502.7</v>
      </c>
      <c r="R3145" s="1564"/>
      <c r="S3145" s="1562"/>
    </row>
    <row r="3146" spans="2:19" ht="11.25" customHeight="1" outlineLevel="1">
      <c r="B3146" s="1573">
        <v>33600</v>
      </c>
      <c r="C3146" s="1566" t="s">
        <v>5403</v>
      </c>
      <c r="D3146" s="1566" t="s">
        <v>10133</v>
      </c>
      <c r="E3146" s="1566"/>
      <c r="F3146" s="1566"/>
      <c r="G3146" s="1566"/>
      <c r="H3146" s="1568">
        <v>1</v>
      </c>
      <c r="I3146" s="1566"/>
      <c r="J3146" s="1566"/>
      <c r="K3146" s="1572">
        <v>503</v>
      </c>
      <c r="L3146" s="1572">
        <v>502.7</v>
      </c>
      <c r="M3146" s="1572">
        <v>-502.7</v>
      </c>
      <c r="N3146" s="1564"/>
      <c r="O3146" s="1564"/>
      <c r="P3146" s="1572">
        <v>502.7</v>
      </c>
      <c r="Q3146" s="1572">
        <v>-502.7</v>
      </c>
      <c r="R3146" s="1564"/>
      <c r="S3146" s="1562"/>
    </row>
    <row r="3147" spans="2:19" ht="11.25" customHeight="1" outlineLevel="1">
      <c r="B3147" s="1573">
        <v>33601</v>
      </c>
      <c r="C3147" s="1566" t="s">
        <v>5403</v>
      </c>
      <c r="D3147" s="1566" t="s">
        <v>10132</v>
      </c>
      <c r="E3147" s="1566"/>
      <c r="F3147" s="1566"/>
      <c r="G3147" s="1566"/>
      <c r="H3147" s="1568">
        <v>1</v>
      </c>
      <c r="I3147" s="1566"/>
      <c r="J3147" s="1566"/>
      <c r="K3147" s="1572">
        <v>503</v>
      </c>
      <c r="L3147" s="1572">
        <v>502.7</v>
      </c>
      <c r="M3147" s="1572">
        <v>-502.7</v>
      </c>
      <c r="N3147" s="1564"/>
      <c r="O3147" s="1564"/>
      <c r="P3147" s="1572">
        <v>502.7</v>
      </c>
      <c r="Q3147" s="1572">
        <v>-502.7</v>
      </c>
      <c r="R3147" s="1564"/>
      <c r="S3147" s="1562"/>
    </row>
    <row r="3148" spans="2:19" ht="11.25" customHeight="1" outlineLevel="1">
      <c r="B3148" s="1573">
        <v>33639</v>
      </c>
      <c r="C3148" s="1566" t="s">
        <v>5403</v>
      </c>
      <c r="D3148" s="1566" t="s">
        <v>10131</v>
      </c>
      <c r="E3148" s="1566"/>
      <c r="F3148" s="1566"/>
      <c r="G3148" s="1566"/>
      <c r="H3148" s="1568">
        <v>1</v>
      </c>
      <c r="I3148" s="1566"/>
      <c r="J3148" s="1566"/>
      <c r="K3148" s="1572">
        <v>622</v>
      </c>
      <c r="L3148" s="1572">
        <v>621.70000000000005</v>
      </c>
      <c r="M3148" s="1572">
        <v>-621.70000000000005</v>
      </c>
      <c r="N3148" s="1564"/>
      <c r="O3148" s="1564"/>
      <c r="P3148" s="1572">
        <v>621.70000000000005</v>
      </c>
      <c r="Q3148" s="1572">
        <v>-621.70000000000005</v>
      </c>
      <c r="R3148" s="1564"/>
      <c r="S3148" s="1562"/>
    </row>
    <row r="3149" spans="2:19" ht="11.25" customHeight="1" outlineLevel="1">
      <c r="B3149" s="1573">
        <v>33640</v>
      </c>
      <c r="C3149" s="1566" t="s">
        <v>5403</v>
      </c>
      <c r="D3149" s="1566" t="s">
        <v>10130</v>
      </c>
      <c r="E3149" s="1566"/>
      <c r="F3149" s="1566"/>
      <c r="G3149" s="1566"/>
      <c r="H3149" s="1568">
        <v>1</v>
      </c>
      <c r="I3149" s="1566"/>
      <c r="J3149" s="1566"/>
      <c r="K3149" s="1572">
        <v>622</v>
      </c>
      <c r="L3149" s="1572">
        <v>621.70000000000005</v>
      </c>
      <c r="M3149" s="1572">
        <v>-621.70000000000005</v>
      </c>
      <c r="N3149" s="1564"/>
      <c r="O3149" s="1564"/>
      <c r="P3149" s="1572">
        <v>621.70000000000005</v>
      </c>
      <c r="Q3149" s="1572">
        <v>-621.70000000000005</v>
      </c>
      <c r="R3149" s="1564"/>
      <c r="S3149" s="1562"/>
    </row>
    <row r="3150" spans="2:19" ht="11.25" customHeight="1" outlineLevel="1">
      <c r="B3150" s="1573">
        <v>33641</v>
      </c>
      <c r="C3150" s="1566" t="s">
        <v>5403</v>
      </c>
      <c r="D3150" s="1566" t="s">
        <v>10129</v>
      </c>
      <c r="E3150" s="1566"/>
      <c r="F3150" s="1566"/>
      <c r="G3150" s="1566"/>
      <c r="H3150" s="1568">
        <v>1</v>
      </c>
      <c r="I3150" s="1566"/>
      <c r="J3150" s="1566"/>
      <c r="K3150" s="1572">
        <v>622</v>
      </c>
      <c r="L3150" s="1572">
        <v>621.70000000000005</v>
      </c>
      <c r="M3150" s="1572">
        <v>-621.70000000000005</v>
      </c>
      <c r="N3150" s="1564"/>
      <c r="O3150" s="1564"/>
      <c r="P3150" s="1572">
        <v>621.70000000000005</v>
      </c>
      <c r="Q3150" s="1572">
        <v>-621.70000000000005</v>
      </c>
      <c r="R3150" s="1564"/>
      <c r="S3150" s="1562"/>
    </row>
    <row r="3151" spans="2:19" ht="11.25" customHeight="1" outlineLevel="1">
      <c r="B3151" s="1573">
        <v>33642</v>
      </c>
      <c r="C3151" s="1566" t="s">
        <v>5403</v>
      </c>
      <c r="D3151" s="1566" t="s">
        <v>10128</v>
      </c>
      <c r="E3151" s="1566"/>
      <c r="F3151" s="1566"/>
      <c r="G3151" s="1566"/>
      <c r="H3151" s="1568">
        <v>1</v>
      </c>
      <c r="I3151" s="1566"/>
      <c r="J3151" s="1566"/>
      <c r="K3151" s="1572">
        <v>622</v>
      </c>
      <c r="L3151" s="1572">
        <v>621.70000000000005</v>
      </c>
      <c r="M3151" s="1572">
        <v>-621.70000000000005</v>
      </c>
      <c r="N3151" s="1564"/>
      <c r="O3151" s="1564"/>
      <c r="P3151" s="1572">
        <v>621.70000000000005</v>
      </c>
      <c r="Q3151" s="1572">
        <v>-621.70000000000005</v>
      </c>
      <c r="R3151" s="1564"/>
      <c r="S3151" s="1562"/>
    </row>
    <row r="3152" spans="2:19" ht="11.25" customHeight="1" outlineLevel="1">
      <c r="B3152" s="1573">
        <v>33643</v>
      </c>
      <c r="C3152" s="1566" t="s">
        <v>5403</v>
      </c>
      <c r="D3152" s="1566" t="s">
        <v>10127</v>
      </c>
      <c r="E3152" s="1566"/>
      <c r="F3152" s="1566"/>
      <c r="G3152" s="1566"/>
      <c r="H3152" s="1568">
        <v>1</v>
      </c>
      <c r="I3152" s="1566"/>
      <c r="J3152" s="1566"/>
      <c r="K3152" s="1572">
        <v>622</v>
      </c>
      <c r="L3152" s="1572">
        <v>621.70000000000005</v>
      </c>
      <c r="M3152" s="1572">
        <v>-621.70000000000005</v>
      </c>
      <c r="N3152" s="1564"/>
      <c r="O3152" s="1564"/>
      <c r="P3152" s="1572">
        <v>621.70000000000005</v>
      </c>
      <c r="Q3152" s="1572">
        <v>-621.70000000000005</v>
      </c>
      <c r="R3152" s="1564"/>
      <c r="S3152" s="1562"/>
    </row>
    <row r="3153" spans="2:19" ht="11.25" customHeight="1" outlineLevel="1">
      <c r="B3153" s="1573">
        <v>33644</v>
      </c>
      <c r="C3153" s="1566" t="s">
        <v>5403</v>
      </c>
      <c r="D3153" s="1566" t="s">
        <v>10126</v>
      </c>
      <c r="E3153" s="1566"/>
      <c r="F3153" s="1566"/>
      <c r="G3153" s="1566"/>
      <c r="H3153" s="1568">
        <v>1</v>
      </c>
      <c r="I3153" s="1566"/>
      <c r="J3153" s="1566"/>
      <c r="K3153" s="1572">
        <v>622</v>
      </c>
      <c r="L3153" s="1572">
        <v>621.70000000000005</v>
      </c>
      <c r="M3153" s="1572">
        <v>-621.70000000000005</v>
      </c>
      <c r="N3153" s="1564"/>
      <c r="O3153" s="1564"/>
      <c r="P3153" s="1572">
        <v>621.70000000000005</v>
      </c>
      <c r="Q3153" s="1572">
        <v>-621.70000000000005</v>
      </c>
      <c r="R3153" s="1564"/>
      <c r="S3153" s="1562"/>
    </row>
    <row r="3154" spans="2:19" ht="11.25" customHeight="1" outlineLevel="1">
      <c r="B3154" s="1573">
        <v>33645</v>
      </c>
      <c r="C3154" s="1566" t="s">
        <v>5403</v>
      </c>
      <c r="D3154" s="1566" t="s">
        <v>10125</v>
      </c>
      <c r="E3154" s="1566"/>
      <c r="F3154" s="1566"/>
      <c r="G3154" s="1566"/>
      <c r="H3154" s="1568">
        <v>1</v>
      </c>
      <c r="I3154" s="1566"/>
      <c r="J3154" s="1566"/>
      <c r="K3154" s="1572">
        <v>622</v>
      </c>
      <c r="L3154" s="1572">
        <v>621.70000000000005</v>
      </c>
      <c r="M3154" s="1572">
        <v>-621.70000000000005</v>
      </c>
      <c r="N3154" s="1564"/>
      <c r="O3154" s="1564"/>
      <c r="P3154" s="1572">
        <v>621.70000000000005</v>
      </c>
      <c r="Q3154" s="1572">
        <v>-621.70000000000005</v>
      </c>
      <c r="R3154" s="1564"/>
      <c r="S3154" s="1562"/>
    </row>
    <row r="3155" spans="2:19" ht="11.25" customHeight="1" outlineLevel="1">
      <c r="B3155" s="1573">
        <v>33646</v>
      </c>
      <c r="C3155" s="1566" t="s">
        <v>5403</v>
      </c>
      <c r="D3155" s="1566" t="s">
        <v>10124</v>
      </c>
      <c r="E3155" s="1566"/>
      <c r="F3155" s="1566"/>
      <c r="G3155" s="1566"/>
      <c r="H3155" s="1568">
        <v>1</v>
      </c>
      <c r="I3155" s="1566"/>
      <c r="J3155" s="1566"/>
      <c r="K3155" s="1572">
        <v>622</v>
      </c>
      <c r="L3155" s="1572">
        <v>621.70000000000005</v>
      </c>
      <c r="M3155" s="1572">
        <v>-621.70000000000005</v>
      </c>
      <c r="N3155" s="1564"/>
      <c r="O3155" s="1564"/>
      <c r="P3155" s="1572">
        <v>621.70000000000005</v>
      </c>
      <c r="Q3155" s="1572">
        <v>-621.70000000000005</v>
      </c>
      <c r="R3155" s="1564"/>
      <c r="S3155" s="1562"/>
    </row>
    <row r="3156" spans="2:19" ht="11.25" customHeight="1" outlineLevel="1">
      <c r="B3156" s="1573">
        <v>33649</v>
      </c>
      <c r="C3156" s="1566" t="s">
        <v>5403</v>
      </c>
      <c r="D3156" s="1566" t="s">
        <v>10123</v>
      </c>
      <c r="E3156" s="1566"/>
      <c r="F3156" s="1566"/>
      <c r="G3156" s="1566"/>
      <c r="H3156" s="1568">
        <v>1</v>
      </c>
      <c r="I3156" s="1566"/>
      <c r="J3156" s="1566"/>
      <c r="K3156" s="1572">
        <v>73</v>
      </c>
      <c r="L3156" s="1572">
        <v>73.5</v>
      </c>
      <c r="M3156" s="1572">
        <v>-73.5</v>
      </c>
      <c r="N3156" s="1564"/>
      <c r="O3156" s="1564"/>
      <c r="P3156" s="1572">
        <v>73.5</v>
      </c>
      <c r="Q3156" s="1572">
        <v>-73.5</v>
      </c>
      <c r="R3156" s="1564"/>
      <c r="S3156" s="1562"/>
    </row>
    <row r="3157" spans="2:19" ht="11.25" customHeight="1" outlineLevel="1">
      <c r="B3157" s="1573">
        <v>33654</v>
      </c>
      <c r="C3157" s="1566" t="s">
        <v>5403</v>
      </c>
      <c r="D3157" s="1566" t="s">
        <v>10122</v>
      </c>
      <c r="E3157" s="1566"/>
      <c r="F3157" s="1566"/>
      <c r="G3157" s="1566"/>
      <c r="H3157" s="1568">
        <v>1</v>
      </c>
      <c r="I3157" s="1566"/>
      <c r="J3157" s="1566"/>
      <c r="K3157" s="1572">
        <v>665</v>
      </c>
      <c r="L3157" s="1572">
        <v>665.31</v>
      </c>
      <c r="M3157" s="1572">
        <v>-665.31</v>
      </c>
      <c r="N3157" s="1564"/>
      <c r="O3157" s="1564"/>
      <c r="P3157" s="1572">
        <v>665.31</v>
      </c>
      <c r="Q3157" s="1572">
        <v>-665.31</v>
      </c>
      <c r="R3157" s="1564"/>
      <c r="S3157" s="1562"/>
    </row>
    <row r="3158" spans="2:19" ht="11.25" customHeight="1" outlineLevel="1">
      <c r="B3158" s="1573">
        <v>33655</v>
      </c>
      <c r="C3158" s="1566" t="s">
        <v>5403</v>
      </c>
      <c r="D3158" s="1566" t="s">
        <v>10121</v>
      </c>
      <c r="E3158" s="1566"/>
      <c r="F3158" s="1566"/>
      <c r="G3158" s="1566"/>
      <c r="H3158" s="1568">
        <v>1</v>
      </c>
      <c r="I3158" s="1566"/>
      <c r="J3158" s="1566"/>
      <c r="K3158" s="1572">
        <v>665</v>
      </c>
      <c r="L3158" s="1572">
        <v>665.31</v>
      </c>
      <c r="M3158" s="1572">
        <v>-665.31</v>
      </c>
      <c r="N3158" s="1564"/>
      <c r="O3158" s="1564"/>
      <c r="P3158" s="1572">
        <v>665.31</v>
      </c>
      <c r="Q3158" s="1572">
        <v>-665.31</v>
      </c>
      <c r="R3158" s="1564"/>
      <c r="S3158" s="1562"/>
    </row>
    <row r="3159" spans="2:19" ht="11.25" customHeight="1" outlineLevel="1">
      <c r="B3159" s="1573">
        <v>33656</v>
      </c>
      <c r="C3159" s="1566" t="s">
        <v>5403</v>
      </c>
      <c r="D3159" s="1566" t="s">
        <v>10120</v>
      </c>
      <c r="E3159" s="1566"/>
      <c r="F3159" s="1566"/>
      <c r="G3159" s="1566"/>
      <c r="H3159" s="1568">
        <v>1</v>
      </c>
      <c r="I3159" s="1566"/>
      <c r="J3159" s="1566"/>
      <c r="K3159" s="1572">
        <v>665</v>
      </c>
      <c r="L3159" s="1572">
        <v>665.31</v>
      </c>
      <c r="M3159" s="1572">
        <v>-665.31</v>
      </c>
      <c r="N3159" s="1564"/>
      <c r="O3159" s="1564"/>
      <c r="P3159" s="1572">
        <v>665.31</v>
      </c>
      <c r="Q3159" s="1572">
        <v>-665.31</v>
      </c>
      <c r="R3159" s="1564"/>
      <c r="S3159" s="1562"/>
    </row>
    <row r="3160" spans="2:19" ht="11.25" customHeight="1" outlineLevel="1">
      <c r="B3160" s="1573">
        <v>33657</v>
      </c>
      <c r="C3160" s="1566" t="s">
        <v>5403</v>
      </c>
      <c r="D3160" s="1566" t="s">
        <v>10119</v>
      </c>
      <c r="E3160" s="1566"/>
      <c r="F3160" s="1566"/>
      <c r="G3160" s="1566"/>
      <c r="H3160" s="1568">
        <v>1</v>
      </c>
      <c r="I3160" s="1566"/>
      <c r="J3160" s="1566"/>
      <c r="K3160" s="1572">
        <v>665</v>
      </c>
      <c r="L3160" s="1572">
        <v>665.31</v>
      </c>
      <c r="M3160" s="1572">
        <v>-665.31</v>
      </c>
      <c r="N3160" s="1564"/>
      <c r="O3160" s="1564"/>
      <c r="P3160" s="1572">
        <v>665.31</v>
      </c>
      <c r="Q3160" s="1572">
        <v>-665.31</v>
      </c>
      <c r="R3160" s="1564"/>
      <c r="S3160" s="1562"/>
    </row>
    <row r="3161" spans="2:19" ht="11.25" customHeight="1" outlineLevel="1">
      <c r="B3161" s="1573">
        <v>33658</v>
      </c>
      <c r="C3161" s="1566" t="s">
        <v>5403</v>
      </c>
      <c r="D3161" s="1566" t="s">
        <v>10118</v>
      </c>
      <c r="E3161" s="1566"/>
      <c r="F3161" s="1566"/>
      <c r="G3161" s="1566"/>
      <c r="H3161" s="1568">
        <v>1</v>
      </c>
      <c r="I3161" s="1566"/>
      <c r="J3161" s="1566"/>
      <c r="K3161" s="1572">
        <v>665</v>
      </c>
      <c r="L3161" s="1572">
        <v>665.31</v>
      </c>
      <c r="M3161" s="1572">
        <v>-665.31</v>
      </c>
      <c r="N3161" s="1564"/>
      <c r="O3161" s="1564"/>
      <c r="P3161" s="1572">
        <v>665.31</v>
      </c>
      <c r="Q3161" s="1572">
        <v>-665.31</v>
      </c>
      <c r="R3161" s="1564"/>
      <c r="S3161" s="1562"/>
    </row>
    <row r="3162" spans="2:19" ht="11.25" customHeight="1" outlineLevel="1">
      <c r="B3162" s="1573">
        <v>33659</v>
      </c>
      <c r="C3162" s="1566" t="s">
        <v>5403</v>
      </c>
      <c r="D3162" s="1566" t="s">
        <v>10117</v>
      </c>
      <c r="E3162" s="1566"/>
      <c r="F3162" s="1566"/>
      <c r="G3162" s="1566"/>
      <c r="H3162" s="1568">
        <v>1</v>
      </c>
      <c r="I3162" s="1566"/>
      <c r="J3162" s="1566"/>
      <c r="K3162" s="1572">
        <v>665</v>
      </c>
      <c r="L3162" s="1572">
        <v>665.31</v>
      </c>
      <c r="M3162" s="1572">
        <v>-665.31</v>
      </c>
      <c r="N3162" s="1564"/>
      <c r="O3162" s="1564"/>
      <c r="P3162" s="1572">
        <v>665.31</v>
      </c>
      <c r="Q3162" s="1572">
        <v>-665.31</v>
      </c>
      <c r="R3162" s="1564"/>
      <c r="S3162" s="1562"/>
    </row>
    <row r="3163" spans="2:19" ht="11.25" customHeight="1" outlineLevel="1">
      <c r="B3163" s="1573">
        <v>33660</v>
      </c>
      <c r="C3163" s="1566" t="s">
        <v>5403</v>
      </c>
      <c r="D3163" s="1566" t="s">
        <v>10116</v>
      </c>
      <c r="E3163" s="1566"/>
      <c r="F3163" s="1566"/>
      <c r="G3163" s="1566"/>
      <c r="H3163" s="1568">
        <v>1</v>
      </c>
      <c r="I3163" s="1566"/>
      <c r="J3163" s="1566"/>
      <c r="K3163" s="1572">
        <v>665</v>
      </c>
      <c r="L3163" s="1572">
        <v>665.31</v>
      </c>
      <c r="M3163" s="1572">
        <v>-665.31</v>
      </c>
      <c r="N3163" s="1564"/>
      <c r="O3163" s="1564"/>
      <c r="P3163" s="1572">
        <v>665.31</v>
      </c>
      <c r="Q3163" s="1572">
        <v>-665.31</v>
      </c>
      <c r="R3163" s="1564"/>
      <c r="S3163" s="1562"/>
    </row>
    <row r="3164" spans="2:19" ht="11.25" customHeight="1" outlineLevel="1">
      <c r="B3164" s="1573">
        <v>33661</v>
      </c>
      <c r="C3164" s="1566" t="s">
        <v>5403</v>
      </c>
      <c r="D3164" s="1566" t="s">
        <v>10115</v>
      </c>
      <c r="E3164" s="1566"/>
      <c r="F3164" s="1566"/>
      <c r="G3164" s="1566"/>
      <c r="H3164" s="1568">
        <v>1</v>
      </c>
      <c r="I3164" s="1566"/>
      <c r="J3164" s="1566"/>
      <c r="K3164" s="1572">
        <v>665</v>
      </c>
      <c r="L3164" s="1572">
        <v>665.31</v>
      </c>
      <c r="M3164" s="1572">
        <v>-665.31</v>
      </c>
      <c r="N3164" s="1564"/>
      <c r="O3164" s="1564"/>
      <c r="P3164" s="1572">
        <v>665.31</v>
      </c>
      <c r="Q3164" s="1572">
        <v>-665.31</v>
      </c>
      <c r="R3164" s="1564"/>
      <c r="S3164" s="1562"/>
    </row>
    <row r="3165" spans="2:19" ht="11.25" customHeight="1" outlineLevel="1">
      <c r="B3165" s="1573">
        <v>33662</v>
      </c>
      <c r="C3165" s="1566" t="s">
        <v>5403</v>
      </c>
      <c r="D3165" s="1566" t="s">
        <v>10114</v>
      </c>
      <c r="E3165" s="1566"/>
      <c r="F3165" s="1566"/>
      <c r="G3165" s="1566"/>
      <c r="H3165" s="1568">
        <v>1</v>
      </c>
      <c r="I3165" s="1566"/>
      <c r="J3165" s="1566"/>
      <c r="K3165" s="1572">
        <v>665</v>
      </c>
      <c r="L3165" s="1572">
        <v>665.31</v>
      </c>
      <c r="M3165" s="1572">
        <v>-665.31</v>
      </c>
      <c r="N3165" s="1564"/>
      <c r="O3165" s="1564"/>
      <c r="P3165" s="1572">
        <v>665.31</v>
      </c>
      <c r="Q3165" s="1572">
        <v>-665.31</v>
      </c>
      <c r="R3165" s="1564"/>
      <c r="S3165" s="1562"/>
    </row>
    <row r="3166" spans="2:19" ht="11.25" customHeight="1" outlineLevel="1">
      <c r="B3166" s="1573">
        <v>33663</v>
      </c>
      <c r="C3166" s="1566" t="s">
        <v>5403</v>
      </c>
      <c r="D3166" s="1566" t="s">
        <v>10113</v>
      </c>
      <c r="E3166" s="1566"/>
      <c r="F3166" s="1566"/>
      <c r="G3166" s="1566"/>
      <c r="H3166" s="1568">
        <v>1</v>
      </c>
      <c r="I3166" s="1566"/>
      <c r="J3166" s="1566"/>
      <c r="K3166" s="1572">
        <v>665</v>
      </c>
      <c r="L3166" s="1572">
        <v>665.31</v>
      </c>
      <c r="M3166" s="1572">
        <v>-665.31</v>
      </c>
      <c r="N3166" s="1564"/>
      <c r="O3166" s="1564"/>
      <c r="P3166" s="1572">
        <v>665.31</v>
      </c>
      <c r="Q3166" s="1572">
        <v>-665.31</v>
      </c>
      <c r="R3166" s="1564"/>
      <c r="S3166" s="1562"/>
    </row>
    <row r="3167" spans="2:19" ht="11.25" customHeight="1" outlineLevel="1">
      <c r="B3167" s="1573">
        <v>33664</v>
      </c>
      <c r="C3167" s="1566" t="s">
        <v>5403</v>
      </c>
      <c r="D3167" s="1566" t="s">
        <v>10112</v>
      </c>
      <c r="E3167" s="1566"/>
      <c r="F3167" s="1566"/>
      <c r="G3167" s="1566"/>
      <c r="H3167" s="1568">
        <v>1</v>
      </c>
      <c r="I3167" s="1566"/>
      <c r="J3167" s="1566"/>
      <c r="K3167" s="1572">
        <v>665</v>
      </c>
      <c r="L3167" s="1572">
        <v>665.31</v>
      </c>
      <c r="M3167" s="1572">
        <v>-665.31</v>
      </c>
      <c r="N3167" s="1564"/>
      <c r="O3167" s="1564"/>
      <c r="P3167" s="1572">
        <v>665.31</v>
      </c>
      <c r="Q3167" s="1572">
        <v>-665.31</v>
      </c>
      <c r="R3167" s="1564"/>
      <c r="S3167" s="1562"/>
    </row>
    <row r="3168" spans="2:19" ht="11.25" customHeight="1" outlineLevel="1">
      <c r="B3168" s="1573">
        <v>33666</v>
      </c>
      <c r="C3168" s="1566" t="s">
        <v>5403</v>
      </c>
      <c r="D3168" s="1566" t="s">
        <v>10111</v>
      </c>
      <c r="E3168" s="1566"/>
      <c r="F3168" s="1566"/>
      <c r="G3168" s="1566"/>
      <c r="H3168" s="1568">
        <v>1</v>
      </c>
      <c r="I3168" s="1566"/>
      <c r="J3168" s="1566"/>
      <c r="K3168" s="1572">
        <v>120</v>
      </c>
      <c r="L3168" s="1572">
        <v>120.5</v>
      </c>
      <c r="M3168" s="1572">
        <v>-120.5</v>
      </c>
      <c r="N3168" s="1564"/>
      <c r="O3168" s="1564"/>
      <c r="P3168" s="1572">
        <v>120.5</v>
      </c>
      <c r="Q3168" s="1572">
        <v>-120.5</v>
      </c>
      <c r="R3168" s="1564"/>
      <c r="S3168" s="1562"/>
    </row>
    <row r="3169" spans="2:19" ht="11.25" customHeight="1" outlineLevel="1">
      <c r="B3169" s="1573">
        <v>33789</v>
      </c>
      <c r="C3169" s="1566" t="s">
        <v>5403</v>
      </c>
      <c r="D3169" s="1566" t="s">
        <v>10110</v>
      </c>
      <c r="E3169" s="1566"/>
      <c r="F3169" s="1566"/>
      <c r="G3169" s="1566"/>
      <c r="H3169" s="1568">
        <v>1</v>
      </c>
      <c r="I3169" s="1566"/>
      <c r="J3169" s="1566"/>
      <c r="K3169" s="1572">
        <v>379</v>
      </c>
      <c r="L3169" s="1572">
        <v>379.5</v>
      </c>
      <c r="M3169" s="1572">
        <v>-379.5</v>
      </c>
      <c r="N3169" s="1564"/>
      <c r="O3169" s="1564"/>
      <c r="P3169" s="1572">
        <v>379.5</v>
      </c>
      <c r="Q3169" s="1572">
        <v>-379.5</v>
      </c>
      <c r="R3169" s="1564"/>
      <c r="S3169" s="1562"/>
    </row>
    <row r="3170" spans="2:19" ht="11.25" customHeight="1" outlineLevel="1">
      <c r="B3170" s="1573">
        <v>33801</v>
      </c>
      <c r="C3170" s="1566" t="s">
        <v>5403</v>
      </c>
      <c r="D3170" s="1566" t="s">
        <v>10109</v>
      </c>
      <c r="E3170" s="1566"/>
      <c r="F3170" s="1566"/>
      <c r="G3170" s="1566"/>
      <c r="H3170" s="1568">
        <v>1</v>
      </c>
      <c r="I3170" s="1566"/>
      <c r="J3170" s="1566"/>
      <c r="K3170" s="1572">
        <v>109</v>
      </c>
      <c r="L3170" s="1572">
        <v>109.19</v>
      </c>
      <c r="M3170" s="1572">
        <v>-109.19</v>
      </c>
      <c r="N3170" s="1564"/>
      <c r="O3170" s="1564"/>
      <c r="P3170" s="1572">
        <v>109.19</v>
      </c>
      <c r="Q3170" s="1572">
        <v>-109.19</v>
      </c>
      <c r="R3170" s="1564"/>
      <c r="S3170" s="1562"/>
    </row>
    <row r="3171" spans="2:19" ht="11.25" customHeight="1" outlineLevel="1">
      <c r="B3171" s="1573">
        <v>33802</v>
      </c>
      <c r="C3171" s="1566" t="s">
        <v>5403</v>
      </c>
      <c r="D3171" s="1566" t="s">
        <v>10108</v>
      </c>
      <c r="E3171" s="1566"/>
      <c r="F3171" s="1566"/>
      <c r="G3171" s="1566"/>
      <c r="H3171" s="1568">
        <v>1</v>
      </c>
      <c r="I3171" s="1566"/>
      <c r="J3171" s="1566"/>
      <c r="K3171" s="1572">
        <v>109</v>
      </c>
      <c r="L3171" s="1572">
        <v>109.19</v>
      </c>
      <c r="M3171" s="1572">
        <v>-109.19</v>
      </c>
      <c r="N3171" s="1564"/>
      <c r="O3171" s="1564"/>
      <c r="P3171" s="1572">
        <v>109.19</v>
      </c>
      <c r="Q3171" s="1572">
        <v>-109.19</v>
      </c>
      <c r="R3171" s="1564"/>
      <c r="S3171" s="1562"/>
    </row>
    <row r="3172" spans="2:19" ht="11.25" customHeight="1" outlineLevel="1">
      <c r="B3172" s="1573">
        <v>33803</v>
      </c>
      <c r="C3172" s="1566" t="s">
        <v>5403</v>
      </c>
      <c r="D3172" s="1566" t="s">
        <v>10107</v>
      </c>
      <c r="E3172" s="1566"/>
      <c r="F3172" s="1566"/>
      <c r="G3172" s="1566"/>
      <c r="H3172" s="1568">
        <v>1</v>
      </c>
      <c r="I3172" s="1566"/>
      <c r="J3172" s="1566"/>
      <c r="K3172" s="1572">
        <v>109</v>
      </c>
      <c r="L3172" s="1572">
        <v>109.19</v>
      </c>
      <c r="M3172" s="1572">
        <v>-109.19</v>
      </c>
      <c r="N3172" s="1564"/>
      <c r="O3172" s="1564"/>
      <c r="P3172" s="1572">
        <v>109.19</v>
      </c>
      <c r="Q3172" s="1572">
        <v>-109.19</v>
      </c>
      <c r="R3172" s="1564"/>
      <c r="S3172" s="1562"/>
    </row>
    <row r="3173" spans="2:19" ht="11.25" customHeight="1" outlineLevel="1">
      <c r="B3173" s="1573">
        <v>33804</v>
      </c>
      <c r="C3173" s="1566" t="s">
        <v>5403</v>
      </c>
      <c r="D3173" s="1566" t="s">
        <v>10106</v>
      </c>
      <c r="E3173" s="1566"/>
      <c r="F3173" s="1566"/>
      <c r="G3173" s="1566"/>
      <c r="H3173" s="1568">
        <v>1</v>
      </c>
      <c r="I3173" s="1566"/>
      <c r="J3173" s="1566"/>
      <c r="K3173" s="1572">
        <v>109</v>
      </c>
      <c r="L3173" s="1572">
        <v>109.19</v>
      </c>
      <c r="M3173" s="1572">
        <v>-109.19</v>
      </c>
      <c r="N3173" s="1564"/>
      <c r="O3173" s="1564"/>
      <c r="P3173" s="1572">
        <v>109.19</v>
      </c>
      <c r="Q3173" s="1572">
        <v>-109.19</v>
      </c>
      <c r="R3173" s="1564"/>
      <c r="S3173" s="1562"/>
    </row>
    <row r="3174" spans="2:19" ht="11.25" customHeight="1" outlineLevel="1">
      <c r="B3174" s="1573">
        <v>33805</v>
      </c>
      <c r="C3174" s="1566" t="s">
        <v>5403</v>
      </c>
      <c r="D3174" s="1566" t="s">
        <v>10105</v>
      </c>
      <c r="E3174" s="1566"/>
      <c r="F3174" s="1566"/>
      <c r="G3174" s="1566"/>
      <c r="H3174" s="1568">
        <v>1</v>
      </c>
      <c r="I3174" s="1566"/>
      <c r="J3174" s="1566"/>
      <c r="K3174" s="1572">
        <v>109</v>
      </c>
      <c r="L3174" s="1572">
        <v>109.19</v>
      </c>
      <c r="M3174" s="1572">
        <v>-109.19</v>
      </c>
      <c r="N3174" s="1564"/>
      <c r="O3174" s="1564"/>
      <c r="P3174" s="1572">
        <v>109.19</v>
      </c>
      <c r="Q3174" s="1572">
        <v>-109.19</v>
      </c>
      <c r="R3174" s="1564"/>
      <c r="S3174" s="1562"/>
    </row>
    <row r="3175" spans="2:19" ht="11.25" customHeight="1" outlineLevel="1">
      <c r="B3175" s="1573">
        <v>33806</v>
      </c>
      <c r="C3175" s="1566" t="s">
        <v>5403</v>
      </c>
      <c r="D3175" s="1566" t="s">
        <v>10104</v>
      </c>
      <c r="E3175" s="1566"/>
      <c r="F3175" s="1566"/>
      <c r="G3175" s="1566"/>
      <c r="H3175" s="1568">
        <v>1</v>
      </c>
      <c r="I3175" s="1566"/>
      <c r="J3175" s="1566"/>
      <c r="K3175" s="1572">
        <v>109</v>
      </c>
      <c r="L3175" s="1572">
        <v>109.19</v>
      </c>
      <c r="M3175" s="1572">
        <v>-109.19</v>
      </c>
      <c r="N3175" s="1564"/>
      <c r="O3175" s="1564"/>
      <c r="P3175" s="1572">
        <v>109.19</v>
      </c>
      <c r="Q3175" s="1572">
        <v>-109.19</v>
      </c>
      <c r="R3175" s="1564"/>
      <c r="S3175" s="1562"/>
    </row>
    <row r="3176" spans="2:19" ht="11.25" customHeight="1" outlineLevel="1">
      <c r="B3176" s="1573">
        <v>33807</v>
      </c>
      <c r="C3176" s="1566" t="s">
        <v>5403</v>
      </c>
      <c r="D3176" s="1566" t="s">
        <v>10103</v>
      </c>
      <c r="E3176" s="1566"/>
      <c r="F3176" s="1566"/>
      <c r="G3176" s="1566"/>
      <c r="H3176" s="1568">
        <v>1</v>
      </c>
      <c r="I3176" s="1566"/>
      <c r="J3176" s="1566"/>
      <c r="K3176" s="1572">
        <v>109</v>
      </c>
      <c r="L3176" s="1572">
        <v>109.19</v>
      </c>
      <c r="M3176" s="1572">
        <v>-109.19</v>
      </c>
      <c r="N3176" s="1564"/>
      <c r="O3176" s="1564"/>
      <c r="P3176" s="1572">
        <v>109.19</v>
      </c>
      <c r="Q3176" s="1572">
        <v>-109.19</v>
      </c>
      <c r="R3176" s="1564"/>
      <c r="S3176" s="1562"/>
    </row>
    <row r="3177" spans="2:19" ht="11.25" customHeight="1" outlineLevel="1">
      <c r="B3177" s="1573">
        <v>33808</v>
      </c>
      <c r="C3177" s="1566" t="s">
        <v>5403</v>
      </c>
      <c r="D3177" s="1566" t="s">
        <v>10102</v>
      </c>
      <c r="E3177" s="1566"/>
      <c r="F3177" s="1566"/>
      <c r="G3177" s="1566"/>
      <c r="H3177" s="1568">
        <v>1</v>
      </c>
      <c r="I3177" s="1566"/>
      <c r="J3177" s="1566"/>
      <c r="K3177" s="1572">
        <v>109</v>
      </c>
      <c r="L3177" s="1572">
        <v>109.19</v>
      </c>
      <c r="M3177" s="1572">
        <v>-109.19</v>
      </c>
      <c r="N3177" s="1564"/>
      <c r="O3177" s="1564"/>
      <c r="P3177" s="1572">
        <v>109.19</v>
      </c>
      <c r="Q3177" s="1572">
        <v>-109.19</v>
      </c>
      <c r="R3177" s="1564"/>
      <c r="S3177" s="1562"/>
    </row>
    <row r="3178" spans="2:19" ht="11.25" customHeight="1" outlineLevel="1">
      <c r="B3178" s="1573">
        <v>33809</v>
      </c>
      <c r="C3178" s="1566" t="s">
        <v>5403</v>
      </c>
      <c r="D3178" s="1566" t="s">
        <v>10101</v>
      </c>
      <c r="E3178" s="1566"/>
      <c r="F3178" s="1566"/>
      <c r="G3178" s="1566"/>
      <c r="H3178" s="1568">
        <v>1</v>
      </c>
      <c r="I3178" s="1566"/>
      <c r="J3178" s="1566"/>
      <c r="K3178" s="1572">
        <v>109</v>
      </c>
      <c r="L3178" s="1572">
        <v>109.19</v>
      </c>
      <c r="M3178" s="1572">
        <v>-109.19</v>
      </c>
      <c r="N3178" s="1564"/>
      <c r="O3178" s="1564"/>
      <c r="P3178" s="1572">
        <v>109.19</v>
      </c>
      <c r="Q3178" s="1572">
        <v>-109.19</v>
      </c>
      <c r="R3178" s="1564"/>
      <c r="S3178" s="1562"/>
    </row>
    <row r="3179" spans="2:19" ht="11.25" customHeight="1" outlineLevel="1">
      <c r="B3179" s="1573">
        <v>33810</v>
      </c>
      <c r="C3179" s="1566" t="s">
        <v>5403</v>
      </c>
      <c r="D3179" s="1566" t="s">
        <v>10100</v>
      </c>
      <c r="E3179" s="1566"/>
      <c r="F3179" s="1566"/>
      <c r="G3179" s="1566"/>
      <c r="H3179" s="1568">
        <v>1</v>
      </c>
      <c r="I3179" s="1566"/>
      <c r="J3179" s="1566"/>
      <c r="K3179" s="1572">
        <v>109</v>
      </c>
      <c r="L3179" s="1572">
        <v>109.19</v>
      </c>
      <c r="M3179" s="1572">
        <v>-109.19</v>
      </c>
      <c r="N3179" s="1564"/>
      <c r="O3179" s="1564"/>
      <c r="P3179" s="1572">
        <v>109.19</v>
      </c>
      <c r="Q3179" s="1572">
        <v>-109.19</v>
      </c>
      <c r="R3179" s="1564"/>
      <c r="S3179" s="1562"/>
    </row>
    <row r="3180" spans="2:19" ht="11.25" customHeight="1" outlineLevel="1">
      <c r="B3180" s="1573">
        <v>33811</v>
      </c>
      <c r="C3180" s="1566" t="s">
        <v>5403</v>
      </c>
      <c r="D3180" s="1566" t="s">
        <v>10099</v>
      </c>
      <c r="E3180" s="1566"/>
      <c r="F3180" s="1566"/>
      <c r="G3180" s="1566"/>
      <c r="H3180" s="1568">
        <v>1</v>
      </c>
      <c r="I3180" s="1566"/>
      <c r="J3180" s="1566"/>
      <c r="K3180" s="1572">
        <v>109</v>
      </c>
      <c r="L3180" s="1572">
        <v>109.19</v>
      </c>
      <c r="M3180" s="1572">
        <v>-109.19</v>
      </c>
      <c r="N3180" s="1564"/>
      <c r="O3180" s="1564"/>
      <c r="P3180" s="1572">
        <v>109.19</v>
      </c>
      <c r="Q3180" s="1572">
        <v>-109.19</v>
      </c>
      <c r="R3180" s="1564"/>
      <c r="S3180" s="1562"/>
    </row>
    <row r="3181" spans="2:19" ht="11.25" customHeight="1" outlineLevel="1">
      <c r="B3181" s="1573">
        <v>33812</v>
      </c>
      <c r="C3181" s="1566" t="s">
        <v>5403</v>
      </c>
      <c r="D3181" s="1566" t="s">
        <v>10098</v>
      </c>
      <c r="E3181" s="1566"/>
      <c r="F3181" s="1566"/>
      <c r="G3181" s="1566"/>
      <c r="H3181" s="1568">
        <v>1</v>
      </c>
      <c r="I3181" s="1566"/>
      <c r="J3181" s="1566"/>
      <c r="K3181" s="1572">
        <v>109</v>
      </c>
      <c r="L3181" s="1572">
        <v>109.19</v>
      </c>
      <c r="M3181" s="1572">
        <v>-109.19</v>
      </c>
      <c r="N3181" s="1564"/>
      <c r="O3181" s="1564"/>
      <c r="P3181" s="1572">
        <v>109.19</v>
      </c>
      <c r="Q3181" s="1572">
        <v>-109.19</v>
      </c>
      <c r="R3181" s="1564"/>
      <c r="S3181" s="1562"/>
    </row>
    <row r="3182" spans="2:19" ht="11.25" customHeight="1" outlineLevel="1">
      <c r="B3182" s="1573">
        <v>33813</v>
      </c>
      <c r="C3182" s="1566" t="s">
        <v>5403</v>
      </c>
      <c r="D3182" s="1566" t="s">
        <v>10097</v>
      </c>
      <c r="E3182" s="1566"/>
      <c r="F3182" s="1566"/>
      <c r="G3182" s="1566"/>
      <c r="H3182" s="1568">
        <v>1</v>
      </c>
      <c r="I3182" s="1566"/>
      <c r="J3182" s="1566"/>
      <c r="K3182" s="1572">
        <v>109</v>
      </c>
      <c r="L3182" s="1572">
        <v>109.19</v>
      </c>
      <c r="M3182" s="1572">
        <v>-109.19</v>
      </c>
      <c r="N3182" s="1564"/>
      <c r="O3182" s="1564"/>
      <c r="P3182" s="1572">
        <v>109.19</v>
      </c>
      <c r="Q3182" s="1572">
        <v>-109.19</v>
      </c>
      <c r="R3182" s="1564"/>
      <c r="S3182" s="1562"/>
    </row>
    <row r="3183" spans="2:19" ht="11.25" customHeight="1" outlineLevel="1">
      <c r="B3183" s="1573">
        <v>33814</v>
      </c>
      <c r="C3183" s="1566" t="s">
        <v>5403</v>
      </c>
      <c r="D3183" s="1566" t="s">
        <v>10096</v>
      </c>
      <c r="E3183" s="1566"/>
      <c r="F3183" s="1566"/>
      <c r="G3183" s="1566"/>
      <c r="H3183" s="1568">
        <v>1</v>
      </c>
      <c r="I3183" s="1566"/>
      <c r="J3183" s="1566"/>
      <c r="K3183" s="1572">
        <v>109</v>
      </c>
      <c r="L3183" s="1572">
        <v>109.19</v>
      </c>
      <c r="M3183" s="1572">
        <v>-109.19</v>
      </c>
      <c r="N3183" s="1564"/>
      <c r="O3183" s="1564"/>
      <c r="P3183" s="1572">
        <v>109.19</v>
      </c>
      <c r="Q3183" s="1572">
        <v>-109.19</v>
      </c>
      <c r="R3183" s="1564"/>
      <c r="S3183" s="1562"/>
    </row>
    <row r="3184" spans="2:19" ht="11.25" customHeight="1" outlineLevel="1">
      <c r="B3184" s="1573">
        <v>33815</v>
      </c>
      <c r="C3184" s="1566" t="s">
        <v>5403</v>
      </c>
      <c r="D3184" s="1566" t="s">
        <v>10095</v>
      </c>
      <c r="E3184" s="1566"/>
      <c r="F3184" s="1566"/>
      <c r="G3184" s="1566"/>
      <c r="H3184" s="1568">
        <v>1</v>
      </c>
      <c r="I3184" s="1566"/>
      <c r="J3184" s="1566"/>
      <c r="K3184" s="1572">
        <v>109</v>
      </c>
      <c r="L3184" s="1572">
        <v>109.19</v>
      </c>
      <c r="M3184" s="1572">
        <v>-109.19</v>
      </c>
      <c r="N3184" s="1564"/>
      <c r="O3184" s="1564"/>
      <c r="P3184" s="1572">
        <v>109.19</v>
      </c>
      <c r="Q3184" s="1572">
        <v>-109.19</v>
      </c>
      <c r="R3184" s="1564"/>
      <c r="S3184" s="1562"/>
    </row>
    <row r="3185" spans="2:19" ht="11.25" customHeight="1" outlineLevel="1">
      <c r="B3185" s="1573">
        <v>33816</v>
      </c>
      <c r="C3185" s="1566" t="s">
        <v>5403</v>
      </c>
      <c r="D3185" s="1566" t="s">
        <v>10094</v>
      </c>
      <c r="E3185" s="1566"/>
      <c r="F3185" s="1566"/>
      <c r="G3185" s="1566"/>
      <c r="H3185" s="1568">
        <v>1</v>
      </c>
      <c r="I3185" s="1566"/>
      <c r="J3185" s="1566"/>
      <c r="K3185" s="1572">
        <v>109</v>
      </c>
      <c r="L3185" s="1572">
        <v>109.19</v>
      </c>
      <c r="M3185" s="1572">
        <v>-109.19</v>
      </c>
      <c r="N3185" s="1564"/>
      <c r="O3185" s="1564"/>
      <c r="P3185" s="1572">
        <v>109.19</v>
      </c>
      <c r="Q3185" s="1572">
        <v>-109.19</v>
      </c>
      <c r="R3185" s="1564"/>
      <c r="S3185" s="1562"/>
    </row>
    <row r="3186" spans="2:19" ht="11.25" customHeight="1" outlineLevel="1">
      <c r="B3186" s="1573">
        <v>33817</v>
      </c>
      <c r="C3186" s="1566" t="s">
        <v>5403</v>
      </c>
      <c r="D3186" s="1566" t="s">
        <v>10093</v>
      </c>
      <c r="E3186" s="1566"/>
      <c r="F3186" s="1566"/>
      <c r="G3186" s="1566"/>
      <c r="H3186" s="1568">
        <v>1</v>
      </c>
      <c r="I3186" s="1566"/>
      <c r="J3186" s="1566"/>
      <c r="K3186" s="1572">
        <v>109</v>
      </c>
      <c r="L3186" s="1572">
        <v>109.19</v>
      </c>
      <c r="M3186" s="1572">
        <v>-109.19</v>
      </c>
      <c r="N3186" s="1564"/>
      <c r="O3186" s="1564"/>
      <c r="P3186" s="1572">
        <v>109.19</v>
      </c>
      <c r="Q3186" s="1572">
        <v>-109.19</v>
      </c>
      <c r="R3186" s="1564"/>
      <c r="S3186" s="1562"/>
    </row>
    <row r="3187" spans="2:19" ht="11.25" customHeight="1" outlineLevel="1">
      <c r="B3187" s="1573">
        <v>33818</v>
      </c>
      <c r="C3187" s="1566" t="s">
        <v>5403</v>
      </c>
      <c r="D3187" s="1566" t="s">
        <v>10092</v>
      </c>
      <c r="E3187" s="1566"/>
      <c r="F3187" s="1566"/>
      <c r="G3187" s="1566"/>
      <c r="H3187" s="1568">
        <v>1</v>
      </c>
      <c r="I3187" s="1566"/>
      <c r="J3187" s="1566"/>
      <c r="K3187" s="1572">
        <v>109</v>
      </c>
      <c r="L3187" s="1572">
        <v>109.19</v>
      </c>
      <c r="M3187" s="1572">
        <v>-109.19</v>
      </c>
      <c r="N3187" s="1564"/>
      <c r="O3187" s="1564"/>
      <c r="P3187" s="1572">
        <v>109.19</v>
      </c>
      <c r="Q3187" s="1572">
        <v>-109.19</v>
      </c>
      <c r="R3187" s="1564"/>
      <c r="S3187" s="1562"/>
    </row>
    <row r="3188" spans="2:19" ht="11.25" customHeight="1" outlineLevel="1">
      <c r="B3188" s="1573">
        <v>33819</v>
      </c>
      <c r="C3188" s="1566" t="s">
        <v>5403</v>
      </c>
      <c r="D3188" s="1566" t="s">
        <v>10091</v>
      </c>
      <c r="E3188" s="1566"/>
      <c r="F3188" s="1566"/>
      <c r="G3188" s="1566"/>
      <c r="H3188" s="1568">
        <v>1</v>
      </c>
      <c r="I3188" s="1566"/>
      <c r="J3188" s="1566"/>
      <c r="K3188" s="1572">
        <v>109</v>
      </c>
      <c r="L3188" s="1572">
        <v>109.19</v>
      </c>
      <c r="M3188" s="1572">
        <v>-109.19</v>
      </c>
      <c r="N3188" s="1564"/>
      <c r="O3188" s="1564"/>
      <c r="P3188" s="1572">
        <v>109.19</v>
      </c>
      <c r="Q3188" s="1572">
        <v>-109.19</v>
      </c>
      <c r="R3188" s="1564"/>
      <c r="S3188" s="1562"/>
    </row>
    <row r="3189" spans="2:19" ht="11.25" customHeight="1" outlineLevel="1">
      <c r="B3189" s="1573">
        <v>33820</v>
      </c>
      <c r="C3189" s="1566" t="s">
        <v>5403</v>
      </c>
      <c r="D3189" s="1566" t="s">
        <v>10090</v>
      </c>
      <c r="E3189" s="1566"/>
      <c r="F3189" s="1566"/>
      <c r="G3189" s="1566"/>
      <c r="H3189" s="1568">
        <v>1</v>
      </c>
      <c r="I3189" s="1566"/>
      <c r="J3189" s="1566"/>
      <c r="K3189" s="1572">
        <v>109</v>
      </c>
      <c r="L3189" s="1572">
        <v>109.19</v>
      </c>
      <c r="M3189" s="1572">
        <v>-109.19</v>
      </c>
      <c r="N3189" s="1564"/>
      <c r="O3189" s="1564"/>
      <c r="P3189" s="1572">
        <v>109.19</v>
      </c>
      <c r="Q3189" s="1572">
        <v>-109.19</v>
      </c>
      <c r="R3189" s="1564"/>
      <c r="S3189" s="1562"/>
    </row>
    <row r="3190" spans="2:19" ht="11.25" customHeight="1" outlineLevel="1">
      <c r="B3190" s="1573">
        <v>33821</v>
      </c>
      <c r="C3190" s="1566" t="s">
        <v>5403</v>
      </c>
      <c r="D3190" s="1566" t="s">
        <v>10089</v>
      </c>
      <c r="E3190" s="1566"/>
      <c r="F3190" s="1566"/>
      <c r="G3190" s="1566"/>
      <c r="H3190" s="1568">
        <v>1</v>
      </c>
      <c r="I3190" s="1566"/>
      <c r="J3190" s="1566"/>
      <c r="K3190" s="1572">
        <v>109</v>
      </c>
      <c r="L3190" s="1572">
        <v>109.19</v>
      </c>
      <c r="M3190" s="1572">
        <v>-109.19</v>
      </c>
      <c r="N3190" s="1564"/>
      <c r="O3190" s="1564"/>
      <c r="P3190" s="1572">
        <v>109.19</v>
      </c>
      <c r="Q3190" s="1572">
        <v>-109.19</v>
      </c>
      <c r="R3190" s="1564"/>
      <c r="S3190" s="1562"/>
    </row>
    <row r="3191" spans="2:19" ht="11.25" customHeight="1" outlineLevel="1">
      <c r="B3191" s="1573">
        <v>33822</v>
      </c>
      <c r="C3191" s="1566" t="s">
        <v>5403</v>
      </c>
      <c r="D3191" s="1566" t="s">
        <v>10088</v>
      </c>
      <c r="E3191" s="1566"/>
      <c r="F3191" s="1566"/>
      <c r="G3191" s="1566"/>
      <c r="H3191" s="1568">
        <v>1</v>
      </c>
      <c r="I3191" s="1566"/>
      <c r="J3191" s="1566"/>
      <c r="K3191" s="1572">
        <v>109</v>
      </c>
      <c r="L3191" s="1572">
        <v>109.19</v>
      </c>
      <c r="M3191" s="1572">
        <v>-109.19</v>
      </c>
      <c r="N3191" s="1564"/>
      <c r="O3191" s="1564"/>
      <c r="P3191" s="1572">
        <v>109.19</v>
      </c>
      <c r="Q3191" s="1572">
        <v>-109.19</v>
      </c>
      <c r="R3191" s="1564"/>
      <c r="S3191" s="1562"/>
    </row>
    <row r="3192" spans="2:19" ht="11.25" customHeight="1" outlineLevel="1">
      <c r="B3192" s="1573">
        <v>33823</v>
      </c>
      <c r="C3192" s="1566" t="s">
        <v>5403</v>
      </c>
      <c r="D3192" s="1566" t="s">
        <v>10087</v>
      </c>
      <c r="E3192" s="1566"/>
      <c r="F3192" s="1566"/>
      <c r="G3192" s="1566"/>
      <c r="H3192" s="1568">
        <v>1</v>
      </c>
      <c r="I3192" s="1566"/>
      <c r="J3192" s="1566"/>
      <c r="K3192" s="1572">
        <v>109</v>
      </c>
      <c r="L3192" s="1572">
        <v>109.19</v>
      </c>
      <c r="M3192" s="1572">
        <v>-109.19</v>
      </c>
      <c r="N3192" s="1564"/>
      <c r="O3192" s="1564"/>
      <c r="P3192" s="1572">
        <v>109.19</v>
      </c>
      <c r="Q3192" s="1572">
        <v>-109.19</v>
      </c>
      <c r="R3192" s="1564"/>
      <c r="S3192" s="1562"/>
    </row>
    <row r="3193" spans="2:19" ht="11.25" customHeight="1" outlineLevel="1">
      <c r="B3193" s="1573">
        <v>33824</v>
      </c>
      <c r="C3193" s="1566" t="s">
        <v>5403</v>
      </c>
      <c r="D3193" s="1566" t="s">
        <v>10086</v>
      </c>
      <c r="E3193" s="1566"/>
      <c r="F3193" s="1566"/>
      <c r="G3193" s="1566"/>
      <c r="H3193" s="1568">
        <v>1</v>
      </c>
      <c r="I3193" s="1566"/>
      <c r="J3193" s="1566"/>
      <c r="K3193" s="1572">
        <v>109</v>
      </c>
      <c r="L3193" s="1572">
        <v>109.19</v>
      </c>
      <c r="M3193" s="1572">
        <v>-109.19</v>
      </c>
      <c r="N3193" s="1564"/>
      <c r="O3193" s="1564"/>
      <c r="P3193" s="1572">
        <v>109.19</v>
      </c>
      <c r="Q3193" s="1572">
        <v>-109.19</v>
      </c>
      <c r="R3193" s="1564"/>
      <c r="S3193" s="1562"/>
    </row>
    <row r="3194" spans="2:19" ht="11.25" customHeight="1" outlineLevel="1">
      <c r="B3194" s="1573">
        <v>33825</v>
      </c>
      <c r="C3194" s="1566" t="s">
        <v>5403</v>
      </c>
      <c r="D3194" s="1566" t="s">
        <v>10085</v>
      </c>
      <c r="E3194" s="1566"/>
      <c r="F3194" s="1566"/>
      <c r="G3194" s="1566"/>
      <c r="H3194" s="1568">
        <v>1</v>
      </c>
      <c r="I3194" s="1566"/>
      <c r="J3194" s="1566"/>
      <c r="K3194" s="1572">
        <v>109</v>
      </c>
      <c r="L3194" s="1572">
        <v>109.19</v>
      </c>
      <c r="M3194" s="1572">
        <v>-109.19</v>
      </c>
      <c r="N3194" s="1564"/>
      <c r="O3194" s="1564"/>
      <c r="P3194" s="1572">
        <v>109.19</v>
      </c>
      <c r="Q3194" s="1572">
        <v>-109.19</v>
      </c>
      <c r="R3194" s="1564"/>
      <c r="S3194" s="1562"/>
    </row>
    <row r="3195" spans="2:19" ht="11.25" customHeight="1" outlineLevel="1">
      <c r="B3195" s="1573">
        <v>33826</v>
      </c>
      <c r="C3195" s="1566" t="s">
        <v>5403</v>
      </c>
      <c r="D3195" s="1566" t="s">
        <v>10084</v>
      </c>
      <c r="E3195" s="1566"/>
      <c r="F3195" s="1566"/>
      <c r="G3195" s="1566"/>
      <c r="H3195" s="1568">
        <v>1</v>
      </c>
      <c r="I3195" s="1566"/>
      <c r="J3195" s="1566"/>
      <c r="K3195" s="1572">
        <v>109</v>
      </c>
      <c r="L3195" s="1572">
        <v>109.19</v>
      </c>
      <c r="M3195" s="1572">
        <v>-109.19</v>
      </c>
      <c r="N3195" s="1564"/>
      <c r="O3195" s="1564"/>
      <c r="P3195" s="1572">
        <v>109.19</v>
      </c>
      <c r="Q3195" s="1572">
        <v>-109.19</v>
      </c>
      <c r="R3195" s="1564"/>
      <c r="S3195" s="1562"/>
    </row>
    <row r="3196" spans="2:19" ht="11.25" customHeight="1" outlineLevel="1">
      <c r="B3196" s="1573">
        <v>33827</v>
      </c>
      <c r="C3196" s="1566" t="s">
        <v>5403</v>
      </c>
      <c r="D3196" s="1566" t="s">
        <v>10083</v>
      </c>
      <c r="E3196" s="1566"/>
      <c r="F3196" s="1566"/>
      <c r="G3196" s="1566"/>
      <c r="H3196" s="1568">
        <v>1</v>
      </c>
      <c r="I3196" s="1566"/>
      <c r="J3196" s="1566"/>
      <c r="K3196" s="1572">
        <v>62</v>
      </c>
      <c r="L3196" s="1572">
        <v>61.96</v>
      </c>
      <c r="M3196" s="1572">
        <v>-61.96</v>
      </c>
      <c r="N3196" s="1564"/>
      <c r="O3196" s="1564"/>
      <c r="P3196" s="1572">
        <v>61.96</v>
      </c>
      <c r="Q3196" s="1572">
        <v>-61.96</v>
      </c>
      <c r="R3196" s="1564"/>
      <c r="S3196" s="1562"/>
    </row>
    <row r="3197" spans="2:19" ht="11.25" customHeight="1" outlineLevel="1">
      <c r="B3197" s="1573">
        <v>33828</v>
      </c>
      <c r="C3197" s="1566" t="s">
        <v>5403</v>
      </c>
      <c r="D3197" s="1566" t="s">
        <v>10082</v>
      </c>
      <c r="E3197" s="1566"/>
      <c r="F3197" s="1566"/>
      <c r="G3197" s="1566"/>
      <c r="H3197" s="1568">
        <v>1</v>
      </c>
      <c r="I3197" s="1566"/>
      <c r="J3197" s="1566"/>
      <c r="K3197" s="1572">
        <v>62</v>
      </c>
      <c r="L3197" s="1572">
        <v>61.96</v>
      </c>
      <c r="M3197" s="1572">
        <v>-61.96</v>
      </c>
      <c r="N3197" s="1564"/>
      <c r="O3197" s="1564"/>
      <c r="P3197" s="1572">
        <v>61.96</v>
      </c>
      <c r="Q3197" s="1572">
        <v>-61.96</v>
      </c>
      <c r="R3197" s="1564"/>
      <c r="S3197" s="1562"/>
    </row>
    <row r="3198" spans="2:19" ht="11.25" customHeight="1" outlineLevel="1">
      <c r="B3198" s="1573">
        <v>33829</v>
      </c>
      <c r="C3198" s="1566" t="s">
        <v>5403</v>
      </c>
      <c r="D3198" s="1566" t="s">
        <v>10081</v>
      </c>
      <c r="E3198" s="1566"/>
      <c r="F3198" s="1566"/>
      <c r="G3198" s="1566"/>
      <c r="H3198" s="1568">
        <v>1</v>
      </c>
      <c r="I3198" s="1566"/>
      <c r="J3198" s="1566"/>
      <c r="K3198" s="1572">
        <v>62</v>
      </c>
      <c r="L3198" s="1572">
        <v>61.96</v>
      </c>
      <c r="M3198" s="1572">
        <v>-61.96</v>
      </c>
      <c r="N3198" s="1564"/>
      <c r="O3198" s="1564"/>
      <c r="P3198" s="1572">
        <v>61.96</v>
      </c>
      <c r="Q3198" s="1572">
        <v>-61.96</v>
      </c>
      <c r="R3198" s="1564"/>
      <c r="S3198" s="1562"/>
    </row>
    <row r="3199" spans="2:19" ht="11.25" customHeight="1" outlineLevel="1">
      <c r="B3199" s="1573">
        <v>33830</v>
      </c>
      <c r="C3199" s="1566" t="s">
        <v>5403</v>
      </c>
      <c r="D3199" s="1566" t="s">
        <v>10080</v>
      </c>
      <c r="E3199" s="1566"/>
      <c r="F3199" s="1566"/>
      <c r="G3199" s="1566"/>
      <c r="H3199" s="1568">
        <v>1</v>
      </c>
      <c r="I3199" s="1566"/>
      <c r="J3199" s="1566"/>
      <c r="K3199" s="1572">
        <v>62</v>
      </c>
      <c r="L3199" s="1572">
        <v>61.96</v>
      </c>
      <c r="M3199" s="1572">
        <v>-61.96</v>
      </c>
      <c r="N3199" s="1564"/>
      <c r="O3199" s="1564"/>
      <c r="P3199" s="1572">
        <v>61.96</v>
      </c>
      <c r="Q3199" s="1572">
        <v>-61.96</v>
      </c>
      <c r="R3199" s="1564"/>
      <c r="S3199" s="1562"/>
    </row>
    <row r="3200" spans="2:19" ht="11.25" customHeight="1" outlineLevel="1">
      <c r="B3200" s="1573">
        <v>33831</v>
      </c>
      <c r="C3200" s="1566" t="s">
        <v>5403</v>
      </c>
      <c r="D3200" s="1566" t="s">
        <v>10079</v>
      </c>
      <c r="E3200" s="1566"/>
      <c r="F3200" s="1566"/>
      <c r="G3200" s="1566"/>
      <c r="H3200" s="1568">
        <v>1</v>
      </c>
      <c r="I3200" s="1566"/>
      <c r="J3200" s="1566"/>
      <c r="K3200" s="1572">
        <v>62</v>
      </c>
      <c r="L3200" s="1572">
        <v>61.96</v>
      </c>
      <c r="M3200" s="1572">
        <v>-61.96</v>
      </c>
      <c r="N3200" s="1564"/>
      <c r="O3200" s="1564"/>
      <c r="P3200" s="1572">
        <v>61.96</v>
      </c>
      <c r="Q3200" s="1572">
        <v>-61.96</v>
      </c>
      <c r="R3200" s="1564"/>
      <c r="S3200" s="1562"/>
    </row>
    <row r="3201" spans="2:19" ht="11.25" customHeight="1" outlineLevel="1">
      <c r="B3201" s="1573">
        <v>33832</v>
      </c>
      <c r="C3201" s="1566" t="s">
        <v>5403</v>
      </c>
      <c r="D3201" s="1566" t="s">
        <v>10078</v>
      </c>
      <c r="E3201" s="1566"/>
      <c r="F3201" s="1566"/>
      <c r="G3201" s="1566"/>
      <c r="H3201" s="1568">
        <v>1</v>
      </c>
      <c r="I3201" s="1566"/>
      <c r="J3201" s="1566"/>
      <c r="K3201" s="1572">
        <v>62</v>
      </c>
      <c r="L3201" s="1572">
        <v>61.96</v>
      </c>
      <c r="M3201" s="1572">
        <v>-61.96</v>
      </c>
      <c r="N3201" s="1564"/>
      <c r="O3201" s="1564"/>
      <c r="P3201" s="1572">
        <v>61.96</v>
      </c>
      <c r="Q3201" s="1572">
        <v>-61.96</v>
      </c>
      <c r="R3201" s="1564"/>
      <c r="S3201" s="1562"/>
    </row>
    <row r="3202" spans="2:19" ht="11.25" customHeight="1" outlineLevel="1">
      <c r="B3202" s="1573">
        <v>33833</v>
      </c>
      <c r="C3202" s="1566" t="s">
        <v>5403</v>
      </c>
      <c r="D3202" s="1566" t="s">
        <v>10077</v>
      </c>
      <c r="E3202" s="1566"/>
      <c r="F3202" s="1566"/>
      <c r="G3202" s="1566"/>
      <c r="H3202" s="1568">
        <v>1</v>
      </c>
      <c r="I3202" s="1566"/>
      <c r="J3202" s="1566"/>
      <c r="K3202" s="1572">
        <v>62</v>
      </c>
      <c r="L3202" s="1572">
        <v>61.96</v>
      </c>
      <c r="M3202" s="1572">
        <v>-61.96</v>
      </c>
      <c r="N3202" s="1564"/>
      <c r="O3202" s="1564"/>
      <c r="P3202" s="1572">
        <v>61.96</v>
      </c>
      <c r="Q3202" s="1572">
        <v>-61.96</v>
      </c>
      <c r="R3202" s="1564"/>
      <c r="S3202" s="1562"/>
    </row>
    <row r="3203" spans="2:19" ht="11.25" customHeight="1" outlineLevel="1">
      <c r="B3203" s="1573">
        <v>33834</v>
      </c>
      <c r="C3203" s="1566" t="s">
        <v>5403</v>
      </c>
      <c r="D3203" s="1566" t="s">
        <v>10076</v>
      </c>
      <c r="E3203" s="1566"/>
      <c r="F3203" s="1566"/>
      <c r="G3203" s="1566"/>
      <c r="H3203" s="1568">
        <v>1</v>
      </c>
      <c r="I3203" s="1566"/>
      <c r="J3203" s="1566"/>
      <c r="K3203" s="1572">
        <v>62</v>
      </c>
      <c r="L3203" s="1572">
        <v>61.96</v>
      </c>
      <c r="M3203" s="1572">
        <v>-61.96</v>
      </c>
      <c r="N3203" s="1564"/>
      <c r="O3203" s="1564"/>
      <c r="P3203" s="1572">
        <v>61.96</v>
      </c>
      <c r="Q3203" s="1572">
        <v>-61.96</v>
      </c>
      <c r="R3203" s="1564"/>
      <c r="S3203" s="1562"/>
    </row>
    <row r="3204" spans="2:19" ht="11.25" customHeight="1" outlineLevel="1">
      <c r="B3204" s="1573">
        <v>33835</v>
      </c>
      <c r="C3204" s="1566" t="s">
        <v>5403</v>
      </c>
      <c r="D3204" s="1566" t="s">
        <v>10075</v>
      </c>
      <c r="E3204" s="1566"/>
      <c r="F3204" s="1566"/>
      <c r="G3204" s="1566"/>
      <c r="H3204" s="1568">
        <v>1</v>
      </c>
      <c r="I3204" s="1566"/>
      <c r="J3204" s="1566"/>
      <c r="K3204" s="1572">
        <v>62</v>
      </c>
      <c r="L3204" s="1572">
        <v>61.96</v>
      </c>
      <c r="M3204" s="1572">
        <v>-61.96</v>
      </c>
      <c r="N3204" s="1564"/>
      <c r="O3204" s="1564"/>
      <c r="P3204" s="1572">
        <v>61.96</v>
      </c>
      <c r="Q3204" s="1572">
        <v>-61.96</v>
      </c>
      <c r="R3204" s="1564"/>
      <c r="S3204" s="1562"/>
    </row>
    <row r="3205" spans="2:19" ht="11.25" customHeight="1" outlineLevel="1">
      <c r="B3205" s="1573">
        <v>33836</v>
      </c>
      <c r="C3205" s="1566" t="s">
        <v>5403</v>
      </c>
      <c r="D3205" s="1566" t="s">
        <v>10074</v>
      </c>
      <c r="E3205" s="1566"/>
      <c r="F3205" s="1566"/>
      <c r="G3205" s="1566"/>
      <c r="H3205" s="1568">
        <v>1</v>
      </c>
      <c r="I3205" s="1566"/>
      <c r="J3205" s="1566"/>
      <c r="K3205" s="1572">
        <v>62</v>
      </c>
      <c r="L3205" s="1572">
        <v>61.96</v>
      </c>
      <c r="M3205" s="1572">
        <v>-61.96</v>
      </c>
      <c r="N3205" s="1564"/>
      <c r="O3205" s="1564"/>
      <c r="P3205" s="1572">
        <v>61.96</v>
      </c>
      <c r="Q3205" s="1572">
        <v>-61.96</v>
      </c>
      <c r="R3205" s="1564"/>
      <c r="S3205" s="1562"/>
    </row>
    <row r="3206" spans="2:19" ht="11.25" customHeight="1" outlineLevel="1">
      <c r="B3206" s="1573">
        <v>33837</v>
      </c>
      <c r="C3206" s="1566" t="s">
        <v>5403</v>
      </c>
      <c r="D3206" s="1566" t="s">
        <v>10073</v>
      </c>
      <c r="E3206" s="1566"/>
      <c r="F3206" s="1566"/>
      <c r="G3206" s="1566"/>
      <c r="H3206" s="1568">
        <v>1</v>
      </c>
      <c r="I3206" s="1566"/>
      <c r="J3206" s="1566"/>
      <c r="K3206" s="1572">
        <v>62</v>
      </c>
      <c r="L3206" s="1572">
        <v>61.96</v>
      </c>
      <c r="M3206" s="1572">
        <v>-61.96</v>
      </c>
      <c r="N3206" s="1564"/>
      <c r="O3206" s="1564"/>
      <c r="P3206" s="1572">
        <v>61.96</v>
      </c>
      <c r="Q3206" s="1572">
        <v>-61.96</v>
      </c>
      <c r="R3206" s="1564"/>
      <c r="S3206" s="1562"/>
    </row>
    <row r="3207" spans="2:19" ht="11.25" customHeight="1" outlineLevel="1">
      <c r="B3207" s="1573">
        <v>33838</v>
      </c>
      <c r="C3207" s="1566" t="s">
        <v>5403</v>
      </c>
      <c r="D3207" s="1566" t="s">
        <v>10072</v>
      </c>
      <c r="E3207" s="1566"/>
      <c r="F3207" s="1566"/>
      <c r="G3207" s="1566"/>
      <c r="H3207" s="1568">
        <v>1</v>
      </c>
      <c r="I3207" s="1566"/>
      <c r="J3207" s="1566"/>
      <c r="K3207" s="1572">
        <v>62</v>
      </c>
      <c r="L3207" s="1572">
        <v>61.96</v>
      </c>
      <c r="M3207" s="1572">
        <v>-61.96</v>
      </c>
      <c r="N3207" s="1564"/>
      <c r="O3207" s="1564"/>
      <c r="P3207" s="1572">
        <v>61.96</v>
      </c>
      <c r="Q3207" s="1572">
        <v>-61.96</v>
      </c>
      <c r="R3207" s="1564"/>
      <c r="S3207" s="1562"/>
    </row>
    <row r="3208" spans="2:19" ht="11.25" customHeight="1" outlineLevel="1">
      <c r="B3208" s="1573">
        <v>33839</v>
      </c>
      <c r="C3208" s="1566" t="s">
        <v>5403</v>
      </c>
      <c r="D3208" s="1566" t="s">
        <v>10071</v>
      </c>
      <c r="E3208" s="1566"/>
      <c r="F3208" s="1566"/>
      <c r="G3208" s="1566"/>
      <c r="H3208" s="1568">
        <v>1</v>
      </c>
      <c r="I3208" s="1566"/>
      <c r="J3208" s="1566"/>
      <c r="K3208" s="1572">
        <v>62</v>
      </c>
      <c r="L3208" s="1572">
        <v>61.96</v>
      </c>
      <c r="M3208" s="1572">
        <v>-61.96</v>
      </c>
      <c r="N3208" s="1564"/>
      <c r="O3208" s="1564"/>
      <c r="P3208" s="1572">
        <v>61.96</v>
      </c>
      <c r="Q3208" s="1572">
        <v>-61.96</v>
      </c>
      <c r="R3208" s="1564"/>
      <c r="S3208" s="1562"/>
    </row>
    <row r="3209" spans="2:19" ht="11.25" customHeight="1" outlineLevel="1">
      <c r="B3209" s="1573">
        <v>33840</v>
      </c>
      <c r="C3209" s="1566" t="s">
        <v>5403</v>
      </c>
      <c r="D3209" s="1566" t="s">
        <v>10070</v>
      </c>
      <c r="E3209" s="1566"/>
      <c r="F3209" s="1566"/>
      <c r="G3209" s="1566"/>
      <c r="H3209" s="1568">
        <v>1</v>
      </c>
      <c r="I3209" s="1566"/>
      <c r="J3209" s="1566"/>
      <c r="K3209" s="1572">
        <v>62</v>
      </c>
      <c r="L3209" s="1572">
        <v>61.96</v>
      </c>
      <c r="M3209" s="1572">
        <v>-61.96</v>
      </c>
      <c r="N3209" s="1564"/>
      <c r="O3209" s="1564"/>
      <c r="P3209" s="1572">
        <v>61.96</v>
      </c>
      <c r="Q3209" s="1572">
        <v>-61.96</v>
      </c>
      <c r="R3209" s="1564"/>
      <c r="S3209" s="1562"/>
    </row>
    <row r="3210" spans="2:19" ht="11.25" customHeight="1" outlineLevel="1">
      <c r="B3210" s="1573">
        <v>33841</v>
      </c>
      <c r="C3210" s="1566" t="s">
        <v>5403</v>
      </c>
      <c r="D3210" s="1566" t="s">
        <v>10069</v>
      </c>
      <c r="E3210" s="1566"/>
      <c r="F3210" s="1566"/>
      <c r="G3210" s="1566"/>
      <c r="H3210" s="1568">
        <v>1</v>
      </c>
      <c r="I3210" s="1566"/>
      <c r="J3210" s="1566"/>
      <c r="K3210" s="1572">
        <v>62</v>
      </c>
      <c r="L3210" s="1572">
        <v>61.96</v>
      </c>
      <c r="M3210" s="1572">
        <v>-61.96</v>
      </c>
      <c r="N3210" s="1564"/>
      <c r="O3210" s="1564"/>
      <c r="P3210" s="1572">
        <v>61.96</v>
      </c>
      <c r="Q3210" s="1572">
        <v>-61.96</v>
      </c>
      <c r="R3210" s="1564"/>
      <c r="S3210" s="1562"/>
    </row>
    <row r="3211" spans="2:19" ht="11.25" customHeight="1" outlineLevel="1">
      <c r="B3211" s="1573">
        <v>33842</v>
      </c>
      <c r="C3211" s="1566" t="s">
        <v>5403</v>
      </c>
      <c r="D3211" s="1566" t="s">
        <v>10068</v>
      </c>
      <c r="E3211" s="1566"/>
      <c r="F3211" s="1566"/>
      <c r="G3211" s="1566"/>
      <c r="H3211" s="1568">
        <v>1</v>
      </c>
      <c r="I3211" s="1566"/>
      <c r="J3211" s="1566"/>
      <c r="K3211" s="1572">
        <v>62</v>
      </c>
      <c r="L3211" s="1572">
        <v>61.96</v>
      </c>
      <c r="M3211" s="1572">
        <v>-61.96</v>
      </c>
      <c r="N3211" s="1564"/>
      <c r="O3211" s="1564"/>
      <c r="P3211" s="1572">
        <v>61.96</v>
      </c>
      <c r="Q3211" s="1572">
        <v>-61.96</v>
      </c>
      <c r="R3211" s="1564"/>
      <c r="S3211" s="1562"/>
    </row>
    <row r="3212" spans="2:19" ht="11.25" customHeight="1" outlineLevel="1">
      <c r="B3212" s="1573">
        <v>33843</v>
      </c>
      <c r="C3212" s="1566" t="s">
        <v>5403</v>
      </c>
      <c r="D3212" s="1566" t="s">
        <v>10067</v>
      </c>
      <c r="E3212" s="1566"/>
      <c r="F3212" s="1566"/>
      <c r="G3212" s="1566"/>
      <c r="H3212" s="1568">
        <v>1</v>
      </c>
      <c r="I3212" s="1566"/>
      <c r="J3212" s="1566"/>
      <c r="K3212" s="1572">
        <v>62</v>
      </c>
      <c r="L3212" s="1572">
        <v>61.96</v>
      </c>
      <c r="M3212" s="1572">
        <v>-61.96</v>
      </c>
      <c r="N3212" s="1564"/>
      <c r="O3212" s="1564"/>
      <c r="P3212" s="1572">
        <v>61.96</v>
      </c>
      <c r="Q3212" s="1572">
        <v>-61.96</v>
      </c>
      <c r="R3212" s="1564"/>
      <c r="S3212" s="1562"/>
    </row>
    <row r="3213" spans="2:19" ht="11.25" customHeight="1" outlineLevel="1">
      <c r="B3213" s="1573">
        <v>33844</v>
      </c>
      <c r="C3213" s="1566" t="s">
        <v>5403</v>
      </c>
      <c r="D3213" s="1566" t="s">
        <v>10066</v>
      </c>
      <c r="E3213" s="1566"/>
      <c r="F3213" s="1566"/>
      <c r="G3213" s="1566"/>
      <c r="H3213" s="1568">
        <v>1</v>
      </c>
      <c r="I3213" s="1566"/>
      <c r="J3213" s="1566"/>
      <c r="K3213" s="1572">
        <v>62</v>
      </c>
      <c r="L3213" s="1572">
        <v>61.96</v>
      </c>
      <c r="M3213" s="1572">
        <v>-61.96</v>
      </c>
      <c r="N3213" s="1564"/>
      <c r="O3213" s="1564"/>
      <c r="P3213" s="1572">
        <v>61.96</v>
      </c>
      <c r="Q3213" s="1572">
        <v>-61.96</v>
      </c>
      <c r="R3213" s="1564"/>
      <c r="S3213" s="1562"/>
    </row>
    <row r="3214" spans="2:19" ht="11.25" customHeight="1" outlineLevel="1">
      <c r="B3214" s="1573">
        <v>33845</v>
      </c>
      <c r="C3214" s="1566" t="s">
        <v>5403</v>
      </c>
      <c r="D3214" s="1566" t="s">
        <v>10065</v>
      </c>
      <c r="E3214" s="1566"/>
      <c r="F3214" s="1566"/>
      <c r="G3214" s="1566"/>
      <c r="H3214" s="1568">
        <v>1</v>
      </c>
      <c r="I3214" s="1566"/>
      <c r="J3214" s="1566"/>
      <c r="K3214" s="1572">
        <v>62</v>
      </c>
      <c r="L3214" s="1572">
        <v>61.96</v>
      </c>
      <c r="M3214" s="1572">
        <v>-61.96</v>
      </c>
      <c r="N3214" s="1564"/>
      <c r="O3214" s="1564"/>
      <c r="P3214" s="1572">
        <v>61.96</v>
      </c>
      <c r="Q3214" s="1572">
        <v>-61.96</v>
      </c>
      <c r="R3214" s="1564"/>
      <c r="S3214" s="1562"/>
    </row>
    <row r="3215" spans="2:19" ht="11.25" customHeight="1" outlineLevel="1">
      <c r="B3215" s="1573">
        <v>33846</v>
      </c>
      <c r="C3215" s="1566" t="s">
        <v>5403</v>
      </c>
      <c r="D3215" s="1566" t="s">
        <v>10064</v>
      </c>
      <c r="E3215" s="1566"/>
      <c r="F3215" s="1566"/>
      <c r="G3215" s="1566"/>
      <c r="H3215" s="1568">
        <v>1</v>
      </c>
      <c r="I3215" s="1566"/>
      <c r="J3215" s="1566"/>
      <c r="K3215" s="1572">
        <v>62</v>
      </c>
      <c r="L3215" s="1572">
        <v>61.96</v>
      </c>
      <c r="M3215" s="1572">
        <v>-61.96</v>
      </c>
      <c r="N3215" s="1564"/>
      <c r="O3215" s="1564"/>
      <c r="P3215" s="1572">
        <v>61.96</v>
      </c>
      <c r="Q3215" s="1572">
        <v>-61.96</v>
      </c>
      <c r="R3215" s="1564"/>
      <c r="S3215" s="1562"/>
    </row>
    <row r="3216" spans="2:19" ht="11.25" customHeight="1" outlineLevel="1">
      <c r="B3216" s="1573">
        <v>33847</v>
      </c>
      <c r="C3216" s="1566" t="s">
        <v>5403</v>
      </c>
      <c r="D3216" s="1566" t="s">
        <v>10063</v>
      </c>
      <c r="E3216" s="1566"/>
      <c r="F3216" s="1566"/>
      <c r="G3216" s="1566"/>
      <c r="H3216" s="1568">
        <v>1</v>
      </c>
      <c r="I3216" s="1566"/>
      <c r="J3216" s="1566"/>
      <c r="K3216" s="1572">
        <v>62</v>
      </c>
      <c r="L3216" s="1572">
        <v>61.96</v>
      </c>
      <c r="M3216" s="1572">
        <v>-61.96</v>
      </c>
      <c r="N3216" s="1564"/>
      <c r="O3216" s="1564"/>
      <c r="P3216" s="1572">
        <v>61.96</v>
      </c>
      <c r="Q3216" s="1572">
        <v>-61.96</v>
      </c>
      <c r="R3216" s="1564"/>
      <c r="S3216" s="1562"/>
    </row>
    <row r="3217" spans="2:19" ht="11.25" customHeight="1" outlineLevel="1">
      <c r="B3217" s="1573">
        <v>33848</v>
      </c>
      <c r="C3217" s="1566" t="s">
        <v>5403</v>
      </c>
      <c r="D3217" s="1566" t="s">
        <v>10062</v>
      </c>
      <c r="E3217" s="1566"/>
      <c r="F3217" s="1566"/>
      <c r="G3217" s="1566"/>
      <c r="H3217" s="1568">
        <v>1</v>
      </c>
      <c r="I3217" s="1566"/>
      <c r="J3217" s="1566"/>
      <c r="K3217" s="1572">
        <v>62</v>
      </c>
      <c r="L3217" s="1572">
        <v>61.96</v>
      </c>
      <c r="M3217" s="1572">
        <v>-61.96</v>
      </c>
      <c r="N3217" s="1564"/>
      <c r="O3217" s="1564"/>
      <c r="P3217" s="1572">
        <v>61.96</v>
      </c>
      <c r="Q3217" s="1572">
        <v>-61.96</v>
      </c>
      <c r="R3217" s="1564"/>
      <c r="S3217" s="1562"/>
    </row>
    <row r="3218" spans="2:19" ht="11.25" customHeight="1" outlineLevel="1">
      <c r="B3218" s="1573">
        <v>33849</v>
      </c>
      <c r="C3218" s="1566" t="s">
        <v>5403</v>
      </c>
      <c r="D3218" s="1566" t="s">
        <v>10061</v>
      </c>
      <c r="E3218" s="1566"/>
      <c r="F3218" s="1566"/>
      <c r="G3218" s="1566"/>
      <c r="H3218" s="1568">
        <v>1</v>
      </c>
      <c r="I3218" s="1566"/>
      <c r="J3218" s="1566"/>
      <c r="K3218" s="1572">
        <v>62</v>
      </c>
      <c r="L3218" s="1572">
        <v>61.96</v>
      </c>
      <c r="M3218" s="1572">
        <v>-61.96</v>
      </c>
      <c r="N3218" s="1564"/>
      <c r="O3218" s="1564"/>
      <c r="P3218" s="1572">
        <v>61.96</v>
      </c>
      <c r="Q3218" s="1572">
        <v>-61.96</v>
      </c>
      <c r="R3218" s="1564"/>
      <c r="S3218" s="1562"/>
    </row>
    <row r="3219" spans="2:19" ht="11.25" customHeight="1" outlineLevel="1">
      <c r="B3219" s="1573">
        <v>33850</v>
      </c>
      <c r="C3219" s="1566" t="s">
        <v>5403</v>
      </c>
      <c r="D3219" s="1566" t="s">
        <v>10060</v>
      </c>
      <c r="E3219" s="1566"/>
      <c r="F3219" s="1566"/>
      <c r="G3219" s="1566"/>
      <c r="H3219" s="1568">
        <v>1</v>
      </c>
      <c r="I3219" s="1566"/>
      <c r="J3219" s="1566"/>
      <c r="K3219" s="1572">
        <v>62</v>
      </c>
      <c r="L3219" s="1572">
        <v>61.96</v>
      </c>
      <c r="M3219" s="1572">
        <v>-61.96</v>
      </c>
      <c r="N3219" s="1564"/>
      <c r="O3219" s="1564"/>
      <c r="P3219" s="1572">
        <v>61.96</v>
      </c>
      <c r="Q3219" s="1572">
        <v>-61.96</v>
      </c>
      <c r="R3219" s="1564"/>
      <c r="S3219" s="1562"/>
    </row>
    <row r="3220" spans="2:19" ht="11.25" customHeight="1" outlineLevel="1">
      <c r="B3220" s="1573">
        <v>33851</v>
      </c>
      <c r="C3220" s="1566" t="s">
        <v>5403</v>
      </c>
      <c r="D3220" s="1566" t="s">
        <v>10059</v>
      </c>
      <c r="E3220" s="1566"/>
      <c r="F3220" s="1566"/>
      <c r="G3220" s="1566"/>
      <c r="H3220" s="1568">
        <v>1</v>
      </c>
      <c r="I3220" s="1566"/>
      <c r="J3220" s="1566"/>
      <c r="K3220" s="1572">
        <v>62</v>
      </c>
      <c r="L3220" s="1572">
        <v>61.96</v>
      </c>
      <c r="M3220" s="1572">
        <v>-61.96</v>
      </c>
      <c r="N3220" s="1564"/>
      <c r="O3220" s="1564"/>
      <c r="P3220" s="1572">
        <v>61.96</v>
      </c>
      <c r="Q3220" s="1572">
        <v>-61.96</v>
      </c>
      <c r="R3220" s="1564"/>
      <c r="S3220" s="1562"/>
    </row>
    <row r="3221" spans="2:19" ht="11.25" customHeight="1" outlineLevel="1">
      <c r="B3221" s="1573">
        <v>33886</v>
      </c>
      <c r="C3221" s="1566" t="s">
        <v>5403</v>
      </c>
      <c r="D3221" s="1566" t="s">
        <v>10058</v>
      </c>
      <c r="E3221" s="1566"/>
      <c r="F3221" s="1566"/>
      <c r="G3221" s="1566"/>
      <c r="H3221" s="1568">
        <v>1</v>
      </c>
      <c r="I3221" s="1566"/>
      <c r="J3221" s="1566"/>
      <c r="K3221" s="1572">
        <v>62</v>
      </c>
      <c r="L3221" s="1572">
        <v>61.96</v>
      </c>
      <c r="M3221" s="1572">
        <v>-61.96</v>
      </c>
      <c r="N3221" s="1564"/>
      <c r="O3221" s="1564"/>
      <c r="P3221" s="1572">
        <v>61.96</v>
      </c>
      <c r="Q3221" s="1572">
        <v>-61.96</v>
      </c>
      <c r="R3221" s="1564"/>
      <c r="S3221" s="1562"/>
    </row>
    <row r="3222" spans="2:19" ht="11.25" customHeight="1" outlineLevel="1">
      <c r="B3222" s="1573">
        <v>33887</v>
      </c>
      <c r="C3222" s="1566" t="s">
        <v>5403</v>
      </c>
      <c r="D3222" s="1566" t="s">
        <v>10057</v>
      </c>
      <c r="E3222" s="1566"/>
      <c r="F3222" s="1566"/>
      <c r="G3222" s="1566"/>
      <c r="H3222" s="1568">
        <v>1</v>
      </c>
      <c r="I3222" s="1566"/>
      <c r="J3222" s="1566"/>
      <c r="K3222" s="1572">
        <v>62</v>
      </c>
      <c r="L3222" s="1572">
        <v>61.96</v>
      </c>
      <c r="M3222" s="1572">
        <v>-61.96</v>
      </c>
      <c r="N3222" s="1564"/>
      <c r="O3222" s="1564"/>
      <c r="P3222" s="1572">
        <v>61.96</v>
      </c>
      <c r="Q3222" s="1572">
        <v>-61.96</v>
      </c>
      <c r="R3222" s="1564"/>
      <c r="S3222" s="1562"/>
    </row>
    <row r="3223" spans="2:19" ht="11.25" customHeight="1" outlineLevel="1">
      <c r="B3223" s="1573">
        <v>33888</v>
      </c>
      <c r="C3223" s="1566" t="s">
        <v>5403</v>
      </c>
      <c r="D3223" s="1566" t="s">
        <v>10056</v>
      </c>
      <c r="E3223" s="1566"/>
      <c r="F3223" s="1566"/>
      <c r="G3223" s="1566"/>
      <c r="H3223" s="1568">
        <v>1</v>
      </c>
      <c r="I3223" s="1566"/>
      <c r="J3223" s="1566"/>
      <c r="K3223" s="1572">
        <v>62</v>
      </c>
      <c r="L3223" s="1572">
        <v>61.96</v>
      </c>
      <c r="M3223" s="1572">
        <v>-61.96</v>
      </c>
      <c r="N3223" s="1564"/>
      <c r="O3223" s="1564"/>
      <c r="P3223" s="1572">
        <v>61.96</v>
      </c>
      <c r="Q3223" s="1572">
        <v>-61.96</v>
      </c>
      <c r="R3223" s="1564"/>
      <c r="S3223" s="1562"/>
    </row>
    <row r="3224" spans="2:19" ht="11.25" customHeight="1" outlineLevel="1">
      <c r="B3224" s="1573">
        <v>33889</v>
      </c>
      <c r="C3224" s="1566" t="s">
        <v>5403</v>
      </c>
      <c r="D3224" s="1566" t="s">
        <v>10055</v>
      </c>
      <c r="E3224" s="1566"/>
      <c r="F3224" s="1566"/>
      <c r="G3224" s="1566"/>
      <c r="H3224" s="1568">
        <v>1</v>
      </c>
      <c r="I3224" s="1566"/>
      <c r="J3224" s="1566"/>
      <c r="K3224" s="1572">
        <v>62</v>
      </c>
      <c r="L3224" s="1572">
        <v>61.96</v>
      </c>
      <c r="M3224" s="1572">
        <v>-61.96</v>
      </c>
      <c r="N3224" s="1564"/>
      <c r="O3224" s="1564"/>
      <c r="P3224" s="1572">
        <v>61.96</v>
      </c>
      <c r="Q3224" s="1572">
        <v>-61.96</v>
      </c>
      <c r="R3224" s="1564"/>
      <c r="S3224" s="1562"/>
    </row>
    <row r="3225" spans="2:19" ht="11.25" customHeight="1" outlineLevel="1">
      <c r="B3225" s="1573">
        <v>33890</v>
      </c>
      <c r="C3225" s="1566" t="s">
        <v>5403</v>
      </c>
      <c r="D3225" s="1566" t="s">
        <v>10054</v>
      </c>
      <c r="E3225" s="1566"/>
      <c r="F3225" s="1566"/>
      <c r="G3225" s="1566"/>
      <c r="H3225" s="1568">
        <v>1</v>
      </c>
      <c r="I3225" s="1566"/>
      <c r="J3225" s="1566"/>
      <c r="K3225" s="1572">
        <v>62</v>
      </c>
      <c r="L3225" s="1572">
        <v>61.96</v>
      </c>
      <c r="M3225" s="1572">
        <v>-61.96</v>
      </c>
      <c r="N3225" s="1564"/>
      <c r="O3225" s="1564"/>
      <c r="P3225" s="1572">
        <v>61.96</v>
      </c>
      <c r="Q3225" s="1572">
        <v>-61.96</v>
      </c>
      <c r="R3225" s="1564"/>
      <c r="S3225" s="1562"/>
    </row>
    <row r="3226" spans="2:19" ht="11.25" customHeight="1" outlineLevel="1">
      <c r="B3226" s="1573">
        <v>33891</v>
      </c>
      <c r="C3226" s="1566" t="s">
        <v>5403</v>
      </c>
      <c r="D3226" s="1566" t="s">
        <v>10053</v>
      </c>
      <c r="E3226" s="1566"/>
      <c r="F3226" s="1566"/>
      <c r="G3226" s="1566"/>
      <c r="H3226" s="1568">
        <v>1</v>
      </c>
      <c r="I3226" s="1566"/>
      <c r="J3226" s="1566"/>
      <c r="K3226" s="1572">
        <v>62</v>
      </c>
      <c r="L3226" s="1572">
        <v>61.96</v>
      </c>
      <c r="M3226" s="1572">
        <v>-61.96</v>
      </c>
      <c r="N3226" s="1564"/>
      <c r="O3226" s="1564"/>
      <c r="P3226" s="1572">
        <v>61.96</v>
      </c>
      <c r="Q3226" s="1572">
        <v>-61.96</v>
      </c>
      <c r="R3226" s="1564"/>
      <c r="S3226" s="1562"/>
    </row>
    <row r="3227" spans="2:19" ht="11.25" customHeight="1" outlineLevel="1">
      <c r="B3227" s="1573">
        <v>33892</v>
      </c>
      <c r="C3227" s="1566" t="s">
        <v>5403</v>
      </c>
      <c r="D3227" s="1566" t="s">
        <v>10052</v>
      </c>
      <c r="E3227" s="1566"/>
      <c r="F3227" s="1566"/>
      <c r="G3227" s="1566"/>
      <c r="H3227" s="1568">
        <v>1</v>
      </c>
      <c r="I3227" s="1566"/>
      <c r="J3227" s="1566"/>
      <c r="K3227" s="1572">
        <v>62</v>
      </c>
      <c r="L3227" s="1572">
        <v>61.96</v>
      </c>
      <c r="M3227" s="1572">
        <v>-61.96</v>
      </c>
      <c r="N3227" s="1564"/>
      <c r="O3227" s="1564"/>
      <c r="P3227" s="1572">
        <v>61.96</v>
      </c>
      <c r="Q3227" s="1572">
        <v>-61.96</v>
      </c>
      <c r="R3227" s="1564"/>
      <c r="S3227" s="1562"/>
    </row>
    <row r="3228" spans="2:19" ht="11.25" customHeight="1" outlineLevel="1">
      <c r="B3228" s="1573">
        <v>33893</v>
      </c>
      <c r="C3228" s="1566" t="s">
        <v>5403</v>
      </c>
      <c r="D3228" s="1566" t="s">
        <v>10051</v>
      </c>
      <c r="E3228" s="1566"/>
      <c r="F3228" s="1566"/>
      <c r="G3228" s="1566"/>
      <c r="H3228" s="1568">
        <v>1</v>
      </c>
      <c r="I3228" s="1566"/>
      <c r="J3228" s="1566"/>
      <c r="K3228" s="1572">
        <v>62</v>
      </c>
      <c r="L3228" s="1572">
        <v>61.96</v>
      </c>
      <c r="M3228" s="1572">
        <v>-61.96</v>
      </c>
      <c r="N3228" s="1564"/>
      <c r="O3228" s="1564"/>
      <c r="P3228" s="1572">
        <v>61.96</v>
      </c>
      <c r="Q3228" s="1572">
        <v>-61.96</v>
      </c>
      <c r="R3228" s="1564"/>
      <c r="S3228" s="1562"/>
    </row>
    <row r="3229" spans="2:19" ht="11.25" customHeight="1" outlineLevel="1">
      <c r="B3229" s="1573">
        <v>33894</v>
      </c>
      <c r="C3229" s="1566" t="s">
        <v>5403</v>
      </c>
      <c r="D3229" s="1566" t="s">
        <v>10050</v>
      </c>
      <c r="E3229" s="1566"/>
      <c r="F3229" s="1566"/>
      <c r="G3229" s="1566"/>
      <c r="H3229" s="1568">
        <v>1</v>
      </c>
      <c r="I3229" s="1566"/>
      <c r="J3229" s="1566"/>
      <c r="K3229" s="1572">
        <v>62</v>
      </c>
      <c r="L3229" s="1572">
        <v>61.96</v>
      </c>
      <c r="M3229" s="1572">
        <v>-61.96</v>
      </c>
      <c r="N3229" s="1564"/>
      <c r="O3229" s="1564"/>
      <c r="P3229" s="1572">
        <v>61.96</v>
      </c>
      <c r="Q3229" s="1572">
        <v>-61.96</v>
      </c>
      <c r="R3229" s="1564"/>
      <c r="S3229" s="1562"/>
    </row>
    <row r="3230" spans="2:19" ht="11.25" customHeight="1" outlineLevel="1">
      <c r="B3230" s="1573">
        <v>33895</v>
      </c>
      <c r="C3230" s="1566" t="s">
        <v>5403</v>
      </c>
      <c r="D3230" s="1566" t="s">
        <v>10049</v>
      </c>
      <c r="E3230" s="1566"/>
      <c r="F3230" s="1566"/>
      <c r="G3230" s="1566"/>
      <c r="H3230" s="1568">
        <v>1</v>
      </c>
      <c r="I3230" s="1566"/>
      <c r="J3230" s="1566"/>
      <c r="K3230" s="1572">
        <v>62</v>
      </c>
      <c r="L3230" s="1572">
        <v>61.96</v>
      </c>
      <c r="M3230" s="1572">
        <v>-61.96</v>
      </c>
      <c r="N3230" s="1564"/>
      <c r="O3230" s="1564"/>
      <c r="P3230" s="1572">
        <v>61.96</v>
      </c>
      <c r="Q3230" s="1572">
        <v>-61.96</v>
      </c>
      <c r="R3230" s="1564"/>
      <c r="S3230" s="1562"/>
    </row>
    <row r="3231" spans="2:19" ht="11.25" customHeight="1" outlineLevel="1">
      <c r="B3231" s="1573">
        <v>33896</v>
      </c>
      <c r="C3231" s="1566" t="s">
        <v>5403</v>
      </c>
      <c r="D3231" s="1566" t="s">
        <v>10048</v>
      </c>
      <c r="E3231" s="1566"/>
      <c r="F3231" s="1566"/>
      <c r="G3231" s="1566"/>
      <c r="H3231" s="1568">
        <v>1</v>
      </c>
      <c r="I3231" s="1566"/>
      <c r="J3231" s="1566"/>
      <c r="K3231" s="1572">
        <v>62</v>
      </c>
      <c r="L3231" s="1572">
        <v>61.96</v>
      </c>
      <c r="M3231" s="1572">
        <v>-61.96</v>
      </c>
      <c r="N3231" s="1564"/>
      <c r="O3231" s="1564"/>
      <c r="P3231" s="1572">
        <v>61.96</v>
      </c>
      <c r="Q3231" s="1572">
        <v>-61.96</v>
      </c>
      <c r="R3231" s="1564"/>
      <c r="S3231" s="1562"/>
    </row>
    <row r="3232" spans="2:19" ht="11.25" customHeight="1" outlineLevel="1">
      <c r="B3232" s="1573">
        <v>33897</v>
      </c>
      <c r="C3232" s="1566" t="s">
        <v>5403</v>
      </c>
      <c r="D3232" s="1566" t="s">
        <v>10047</v>
      </c>
      <c r="E3232" s="1566"/>
      <c r="F3232" s="1566"/>
      <c r="G3232" s="1566"/>
      <c r="H3232" s="1568">
        <v>1</v>
      </c>
      <c r="I3232" s="1566"/>
      <c r="J3232" s="1566"/>
      <c r="K3232" s="1572">
        <v>62</v>
      </c>
      <c r="L3232" s="1572">
        <v>61.96</v>
      </c>
      <c r="M3232" s="1572">
        <v>-61.96</v>
      </c>
      <c r="N3232" s="1564"/>
      <c r="O3232" s="1564"/>
      <c r="P3232" s="1572">
        <v>61.96</v>
      </c>
      <c r="Q3232" s="1572">
        <v>-61.96</v>
      </c>
      <c r="R3232" s="1564"/>
      <c r="S3232" s="1562"/>
    </row>
    <row r="3233" spans="2:19" ht="11.25" customHeight="1" outlineLevel="1">
      <c r="B3233" s="1573">
        <v>33898</v>
      </c>
      <c r="C3233" s="1566" t="s">
        <v>5403</v>
      </c>
      <c r="D3233" s="1566" t="s">
        <v>10046</v>
      </c>
      <c r="E3233" s="1566"/>
      <c r="F3233" s="1566"/>
      <c r="G3233" s="1566"/>
      <c r="H3233" s="1568">
        <v>1</v>
      </c>
      <c r="I3233" s="1566"/>
      <c r="J3233" s="1566"/>
      <c r="K3233" s="1572">
        <v>62</v>
      </c>
      <c r="L3233" s="1572">
        <v>61.96</v>
      </c>
      <c r="M3233" s="1572">
        <v>-61.96</v>
      </c>
      <c r="N3233" s="1564"/>
      <c r="O3233" s="1564"/>
      <c r="P3233" s="1572">
        <v>61.96</v>
      </c>
      <c r="Q3233" s="1572">
        <v>-61.96</v>
      </c>
      <c r="R3233" s="1564"/>
      <c r="S3233" s="1562"/>
    </row>
    <row r="3234" spans="2:19" ht="11.25" customHeight="1" outlineLevel="1">
      <c r="B3234" s="1573">
        <v>33899</v>
      </c>
      <c r="C3234" s="1566" t="s">
        <v>5403</v>
      </c>
      <c r="D3234" s="1566" t="s">
        <v>10045</v>
      </c>
      <c r="E3234" s="1566"/>
      <c r="F3234" s="1566"/>
      <c r="G3234" s="1566"/>
      <c r="H3234" s="1568">
        <v>1</v>
      </c>
      <c r="I3234" s="1566"/>
      <c r="J3234" s="1566"/>
      <c r="K3234" s="1572">
        <v>62</v>
      </c>
      <c r="L3234" s="1572">
        <v>61.96</v>
      </c>
      <c r="M3234" s="1572">
        <v>-61.96</v>
      </c>
      <c r="N3234" s="1564"/>
      <c r="O3234" s="1564"/>
      <c r="P3234" s="1572">
        <v>61.96</v>
      </c>
      <c r="Q3234" s="1572">
        <v>-61.96</v>
      </c>
      <c r="R3234" s="1564"/>
      <c r="S3234" s="1562"/>
    </row>
    <row r="3235" spans="2:19" ht="11.25" customHeight="1" outlineLevel="1">
      <c r="B3235" s="1573">
        <v>33900</v>
      </c>
      <c r="C3235" s="1566" t="s">
        <v>5403</v>
      </c>
      <c r="D3235" s="1566" t="s">
        <v>10044</v>
      </c>
      <c r="E3235" s="1566"/>
      <c r="F3235" s="1566"/>
      <c r="G3235" s="1566"/>
      <c r="H3235" s="1568">
        <v>1</v>
      </c>
      <c r="I3235" s="1566"/>
      <c r="J3235" s="1566"/>
      <c r="K3235" s="1572">
        <v>62</v>
      </c>
      <c r="L3235" s="1572">
        <v>61.96</v>
      </c>
      <c r="M3235" s="1572">
        <v>-61.96</v>
      </c>
      <c r="N3235" s="1564"/>
      <c r="O3235" s="1564"/>
      <c r="P3235" s="1572">
        <v>61.96</v>
      </c>
      <c r="Q3235" s="1572">
        <v>-61.96</v>
      </c>
      <c r="R3235" s="1564"/>
      <c r="S3235" s="1562"/>
    </row>
    <row r="3236" spans="2:19" ht="11.25" customHeight="1" outlineLevel="1">
      <c r="B3236" s="1573">
        <v>33901</v>
      </c>
      <c r="C3236" s="1566" t="s">
        <v>5403</v>
      </c>
      <c r="D3236" s="1566" t="s">
        <v>10043</v>
      </c>
      <c r="E3236" s="1566"/>
      <c r="F3236" s="1566"/>
      <c r="G3236" s="1566"/>
      <c r="H3236" s="1568">
        <v>1</v>
      </c>
      <c r="I3236" s="1566"/>
      <c r="J3236" s="1566"/>
      <c r="K3236" s="1572">
        <v>62</v>
      </c>
      <c r="L3236" s="1572">
        <v>61.96</v>
      </c>
      <c r="M3236" s="1572">
        <v>-61.96</v>
      </c>
      <c r="N3236" s="1564"/>
      <c r="O3236" s="1564"/>
      <c r="P3236" s="1572">
        <v>61.96</v>
      </c>
      <c r="Q3236" s="1572">
        <v>-61.96</v>
      </c>
      <c r="R3236" s="1564"/>
      <c r="S3236" s="1562"/>
    </row>
    <row r="3237" spans="2:19" ht="11.25" customHeight="1" outlineLevel="1">
      <c r="B3237" s="1573">
        <v>33902</v>
      </c>
      <c r="C3237" s="1566" t="s">
        <v>5403</v>
      </c>
      <c r="D3237" s="1566" t="s">
        <v>10042</v>
      </c>
      <c r="E3237" s="1566"/>
      <c r="F3237" s="1566"/>
      <c r="G3237" s="1566"/>
      <c r="H3237" s="1568">
        <v>1</v>
      </c>
      <c r="I3237" s="1566"/>
      <c r="J3237" s="1566"/>
      <c r="K3237" s="1572">
        <v>62</v>
      </c>
      <c r="L3237" s="1572">
        <v>61.96</v>
      </c>
      <c r="M3237" s="1572">
        <v>-61.96</v>
      </c>
      <c r="N3237" s="1564"/>
      <c r="O3237" s="1564"/>
      <c r="P3237" s="1572">
        <v>61.96</v>
      </c>
      <c r="Q3237" s="1572">
        <v>-61.96</v>
      </c>
      <c r="R3237" s="1564"/>
      <c r="S3237" s="1562"/>
    </row>
    <row r="3238" spans="2:19" ht="11.25" customHeight="1" outlineLevel="1">
      <c r="B3238" s="1573">
        <v>33903</v>
      </c>
      <c r="C3238" s="1566" t="s">
        <v>5403</v>
      </c>
      <c r="D3238" s="1566" t="s">
        <v>10041</v>
      </c>
      <c r="E3238" s="1566"/>
      <c r="F3238" s="1566"/>
      <c r="G3238" s="1566"/>
      <c r="H3238" s="1568">
        <v>1</v>
      </c>
      <c r="I3238" s="1566"/>
      <c r="J3238" s="1566"/>
      <c r="K3238" s="1572">
        <v>62</v>
      </c>
      <c r="L3238" s="1572">
        <v>61.96</v>
      </c>
      <c r="M3238" s="1572">
        <v>-61.96</v>
      </c>
      <c r="N3238" s="1564"/>
      <c r="O3238" s="1564"/>
      <c r="P3238" s="1572">
        <v>61.96</v>
      </c>
      <c r="Q3238" s="1572">
        <v>-61.96</v>
      </c>
      <c r="R3238" s="1564"/>
      <c r="S3238" s="1562"/>
    </row>
    <row r="3239" spans="2:19" ht="11.25" customHeight="1" outlineLevel="1">
      <c r="B3239" s="1573">
        <v>33904</v>
      </c>
      <c r="C3239" s="1566" t="s">
        <v>5403</v>
      </c>
      <c r="D3239" s="1566" t="s">
        <v>10040</v>
      </c>
      <c r="E3239" s="1566"/>
      <c r="F3239" s="1566"/>
      <c r="G3239" s="1566"/>
      <c r="H3239" s="1568">
        <v>1</v>
      </c>
      <c r="I3239" s="1566"/>
      <c r="J3239" s="1566"/>
      <c r="K3239" s="1572">
        <v>62</v>
      </c>
      <c r="L3239" s="1572">
        <v>61.96</v>
      </c>
      <c r="M3239" s="1572">
        <v>-61.96</v>
      </c>
      <c r="N3239" s="1564"/>
      <c r="O3239" s="1564"/>
      <c r="P3239" s="1572">
        <v>61.96</v>
      </c>
      <c r="Q3239" s="1572">
        <v>-61.96</v>
      </c>
      <c r="R3239" s="1564"/>
      <c r="S3239" s="1562"/>
    </row>
    <row r="3240" spans="2:19" ht="11.25" customHeight="1" outlineLevel="1">
      <c r="B3240" s="1573">
        <v>33905</v>
      </c>
      <c r="C3240" s="1566" t="s">
        <v>5403</v>
      </c>
      <c r="D3240" s="1566" t="s">
        <v>10039</v>
      </c>
      <c r="E3240" s="1566"/>
      <c r="F3240" s="1566"/>
      <c r="G3240" s="1566"/>
      <c r="H3240" s="1568">
        <v>1</v>
      </c>
      <c r="I3240" s="1566"/>
      <c r="J3240" s="1566"/>
      <c r="K3240" s="1572">
        <v>62</v>
      </c>
      <c r="L3240" s="1572">
        <v>61.96</v>
      </c>
      <c r="M3240" s="1572">
        <v>-61.96</v>
      </c>
      <c r="N3240" s="1564"/>
      <c r="O3240" s="1564"/>
      <c r="P3240" s="1572">
        <v>61.96</v>
      </c>
      <c r="Q3240" s="1572">
        <v>-61.96</v>
      </c>
      <c r="R3240" s="1564"/>
      <c r="S3240" s="1562"/>
    </row>
    <row r="3241" spans="2:19" ht="11.25" customHeight="1" outlineLevel="1">
      <c r="B3241" s="1573">
        <v>33906</v>
      </c>
      <c r="C3241" s="1566" t="s">
        <v>5403</v>
      </c>
      <c r="D3241" s="1566" t="s">
        <v>10038</v>
      </c>
      <c r="E3241" s="1566"/>
      <c r="F3241" s="1566"/>
      <c r="G3241" s="1566"/>
      <c r="H3241" s="1568">
        <v>1</v>
      </c>
      <c r="I3241" s="1566"/>
      <c r="J3241" s="1566"/>
      <c r="K3241" s="1572">
        <v>62</v>
      </c>
      <c r="L3241" s="1572">
        <v>61.96</v>
      </c>
      <c r="M3241" s="1572">
        <v>-61.96</v>
      </c>
      <c r="N3241" s="1564"/>
      <c r="O3241" s="1564"/>
      <c r="P3241" s="1572">
        <v>61.96</v>
      </c>
      <c r="Q3241" s="1572">
        <v>-61.96</v>
      </c>
      <c r="R3241" s="1564"/>
      <c r="S3241" s="1562"/>
    </row>
    <row r="3242" spans="2:19" ht="11.25" customHeight="1" outlineLevel="1">
      <c r="B3242" s="1573">
        <v>33907</v>
      </c>
      <c r="C3242" s="1566" t="s">
        <v>5403</v>
      </c>
      <c r="D3242" s="1566" t="s">
        <v>10037</v>
      </c>
      <c r="E3242" s="1566"/>
      <c r="F3242" s="1566"/>
      <c r="G3242" s="1566"/>
      <c r="H3242" s="1568">
        <v>1</v>
      </c>
      <c r="I3242" s="1566"/>
      <c r="J3242" s="1566"/>
      <c r="K3242" s="1572">
        <v>62</v>
      </c>
      <c r="L3242" s="1572">
        <v>61.96</v>
      </c>
      <c r="M3242" s="1572">
        <v>-61.96</v>
      </c>
      <c r="N3242" s="1564"/>
      <c r="O3242" s="1564"/>
      <c r="P3242" s="1572">
        <v>61.96</v>
      </c>
      <c r="Q3242" s="1572">
        <v>-61.96</v>
      </c>
      <c r="R3242" s="1564"/>
      <c r="S3242" s="1562"/>
    </row>
    <row r="3243" spans="2:19" ht="11.25" customHeight="1" outlineLevel="1">
      <c r="B3243" s="1573">
        <v>33908</v>
      </c>
      <c r="C3243" s="1566" t="s">
        <v>5403</v>
      </c>
      <c r="D3243" s="1566" t="s">
        <v>10036</v>
      </c>
      <c r="E3243" s="1566"/>
      <c r="F3243" s="1566"/>
      <c r="G3243" s="1566"/>
      <c r="H3243" s="1568">
        <v>1</v>
      </c>
      <c r="I3243" s="1566"/>
      <c r="J3243" s="1566"/>
      <c r="K3243" s="1572">
        <v>62</v>
      </c>
      <c r="L3243" s="1572">
        <v>61.96</v>
      </c>
      <c r="M3243" s="1572">
        <v>-61.96</v>
      </c>
      <c r="N3243" s="1564"/>
      <c r="O3243" s="1564"/>
      <c r="P3243" s="1572">
        <v>61.96</v>
      </c>
      <c r="Q3243" s="1572">
        <v>-61.96</v>
      </c>
      <c r="R3243" s="1564"/>
      <c r="S3243" s="1562"/>
    </row>
    <row r="3244" spans="2:19" ht="11.25" customHeight="1" outlineLevel="1">
      <c r="B3244" s="1573">
        <v>33909</v>
      </c>
      <c r="C3244" s="1566" t="s">
        <v>5403</v>
      </c>
      <c r="D3244" s="1566" t="s">
        <v>10035</v>
      </c>
      <c r="E3244" s="1566"/>
      <c r="F3244" s="1566"/>
      <c r="G3244" s="1566"/>
      <c r="H3244" s="1568">
        <v>1</v>
      </c>
      <c r="I3244" s="1566"/>
      <c r="J3244" s="1566"/>
      <c r="K3244" s="1572">
        <v>62</v>
      </c>
      <c r="L3244" s="1572">
        <v>61.96</v>
      </c>
      <c r="M3244" s="1572">
        <v>-61.96</v>
      </c>
      <c r="N3244" s="1564"/>
      <c r="O3244" s="1564"/>
      <c r="P3244" s="1572">
        <v>61.96</v>
      </c>
      <c r="Q3244" s="1572">
        <v>-61.96</v>
      </c>
      <c r="R3244" s="1564"/>
      <c r="S3244" s="1562"/>
    </row>
    <row r="3245" spans="2:19" ht="11.25" customHeight="1" outlineLevel="1">
      <c r="B3245" s="1573">
        <v>33910</v>
      </c>
      <c r="C3245" s="1566" t="s">
        <v>5403</v>
      </c>
      <c r="D3245" s="1566" t="s">
        <v>10034</v>
      </c>
      <c r="E3245" s="1566"/>
      <c r="F3245" s="1566"/>
      <c r="G3245" s="1566"/>
      <c r="H3245" s="1568">
        <v>1</v>
      </c>
      <c r="I3245" s="1566"/>
      <c r="J3245" s="1566"/>
      <c r="K3245" s="1572">
        <v>62</v>
      </c>
      <c r="L3245" s="1572">
        <v>61.96</v>
      </c>
      <c r="M3245" s="1572">
        <v>-61.96</v>
      </c>
      <c r="N3245" s="1564"/>
      <c r="O3245" s="1564"/>
      <c r="P3245" s="1572">
        <v>61.96</v>
      </c>
      <c r="Q3245" s="1572">
        <v>-61.96</v>
      </c>
      <c r="R3245" s="1564"/>
      <c r="S3245" s="1562"/>
    </row>
    <row r="3246" spans="2:19" ht="11.25" customHeight="1" outlineLevel="1">
      <c r="B3246" s="1573">
        <v>33911</v>
      </c>
      <c r="C3246" s="1566" t="s">
        <v>5403</v>
      </c>
      <c r="D3246" s="1566" t="s">
        <v>10033</v>
      </c>
      <c r="E3246" s="1566"/>
      <c r="F3246" s="1566"/>
      <c r="G3246" s="1566"/>
      <c r="H3246" s="1568">
        <v>1</v>
      </c>
      <c r="I3246" s="1566"/>
      <c r="J3246" s="1566"/>
      <c r="K3246" s="1572">
        <v>62</v>
      </c>
      <c r="L3246" s="1572">
        <v>61.61</v>
      </c>
      <c r="M3246" s="1572">
        <v>-61.61</v>
      </c>
      <c r="N3246" s="1564"/>
      <c r="O3246" s="1564"/>
      <c r="P3246" s="1572">
        <v>61.61</v>
      </c>
      <c r="Q3246" s="1572">
        <v>-61.61</v>
      </c>
      <c r="R3246" s="1564"/>
      <c r="S3246" s="1562"/>
    </row>
    <row r="3247" spans="2:19" ht="11.25" customHeight="1" outlineLevel="1">
      <c r="B3247" s="1573">
        <v>33912</v>
      </c>
      <c r="C3247" s="1566" t="s">
        <v>5403</v>
      </c>
      <c r="D3247" s="1566" t="s">
        <v>10032</v>
      </c>
      <c r="E3247" s="1566"/>
      <c r="F3247" s="1566"/>
      <c r="G3247" s="1566"/>
      <c r="H3247" s="1568">
        <v>1</v>
      </c>
      <c r="I3247" s="1566"/>
      <c r="J3247" s="1566"/>
      <c r="K3247" s="1572">
        <v>62</v>
      </c>
      <c r="L3247" s="1572">
        <v>61.61</v>
      </c>
      <c r="M3247" s="1572">
        <v>-61.61</v>
      </c>
      <c r="N3247" s="1564"/>
      <c r="O3247" s="1564"/>
      <c r="P3247" s="1572">
        <v>61.61</v>
      </c>
      <c r="Q3247" s="1572">
        <v>-61.61</v>
      </c>
      <c r="R3247" s="1564"/>
      <c r="S3247" s="1562"/>
    </row>
    <row r="3248" spans="2:19" ht="11.25" customHeight="1" outlineLevel="1">
      <c r="B3248" s="1573">
        <v>33913</v>
      </c>
      <c r="C3248" s="1566" t="s">
        <v>5403</v>
      </c>
      <c r="D3248" s="1566" t="s">
        <v>10031</v>
      </c>
      <c r="E3248" s="1566"/>
      <c r="F3248" s="1566"/>
      <c r="G3248" s="1566"/>
      <c r="H3248" s="1568">
        <v>1</v>
      </c>
      <c r="I3248" s="1566"/>
      <c r="J3248" s="1566"/>
      <c r="K3248" s="1572">
        <v>62</v>
      </c>
      <c r="L3248" s="1572">
        <v>61.61</v>
      </c>
      <c r="M3248" s="1572">
        <v>-61.61</v>
      </c>
      <c r="N3248" s="1564"/>
      <c r="O3248" s="1564"/>
      <c r="P3248" s="1572">
        <v>61.61</v>
      </c>
      <c r="Q3248" s="1572">
        <v>-61.61</v>
      </c>
      <c r="R3248" s="1564"/>
      <c r="S3248" s="1562"/>
    </row>
    <row r="3249" spans="2:19" ht="11.25" customHeight="1" outlineLevel="1">
      <c r="B3249" s="1573">
        <v>33914</v>
      </c>
      <c r="C3249" s="1566" t="s">
        <v>5403</v>
      </c>
      <c r="D3249" s="1566" t="s">
        <v>10030</v>
      </c>
      <c r="E3249" s="1566"/>
      <c r="F3249" s="1566"/>
      <c r="G3249" s="1566"/>
      <c r="H3249" s="1568">
        <v>1</v>
      </c>
      <c r="I3249" s="1566"/>
      <c r="J3249" s="1566"/>
      <c r="K3249" s="1572">
        <v>62</v>
      </c>
      <c r="L3249" s="1572">
        <v>61.61</v>
      </c>
      <c r="M3249" s="1572">
        <v>-61.61</v>
      </c>
      <c r="N3249" s="1564"/>
      <c r="O3249" s="1564"/>
      <c r="P3249" s="1572">
        <v>61.61</v>
      </c>
      <c r="Q3249" s="1572">
        <v>-61.61</v>
      </c>
      <c r="R3249" s="1564"/>
      <c r="S3249" s="1562"/>
    </row>
    <row r="3250" spans="2:19" ht="11.25" customHeight="1" outlineLevel="1">
      <c r="B3250" s="1573">
        <v>33915</v>
      </c>
      <c r="C3250" s="1566" t="s">
        <v>5403</v>
      </c>
      <c r="D3250" s="1566" t="s">
        <v>10029</v>
      </c>
      <c r="E3250" s="1566"/>
      <c r="F3250" s="1566"/>
      <c r="G3250" s="1566"/>
      <c r="H3250" s="1568">
        <v>1</v>
      </c>
      <c r="I3250" s="1566"/>
      <c r="J3250" s="1566"/>
      <c r="K3250" s="1572">
        <v>62</v>
      </c>
      <c r="L3250" s="1572">
        <v>61.61</v>
      </c>
      <c r="M3250" s="1572">
        <v>-61.61</v>
      </c>
      <c r="N3250" s="1564"/>
      <c r="O3250" s="1564"/>
      <c r="P3250" s="1572">
        <v>61.61</v>
      </c>
      <c r="Q3250" s="1572">
        <v>-61.61</v>
      </c>
      <c r="R3250" s="1564"/>
      <c r="S3250" s="1562"/>
    </row>
    <row r="3251" spans="2:19" ht="11.25" customHeight="1" outlineLevel="1">
      <c r="B3251" s="1573">
        <v>33916</v>
      </c>
      <c r="C3251" s="1566" t="s">
        <v>5403</v>
      </c>
      <c r="D3251" s="1566" t="s">
        <v>10028</v>
      </c>
      <c r="E3251" s="1566"/>
      <c r="F3251" s="1566"/>
      <c r="G3251" s="1566"/>
      <c r="H3251" s="1568">
        <v>1</v>
      </c>
      <c r="I3251" s="1566"/>
      <c r="J3251" s="1566"/>
      <c r="K3251" s="1572">
        <v>62</v>
      </c>
      <c r="L3251" s="1572">
        <v>61.61</v>
      </c>
      <c r="M3251" s="1572">
        <v>-61.61</v>
      </c>
      <c r="N3251" s="1564"/>
      <c r="O3251" s="1564"/>
      <c r="P3251" s="1572">
        <v>61.61</v>
      </c>
      <c r="Q3251" s="1572">
        <v>-61.61</v>
      </c>
      <c r="R3251" s="1564"/>
      <c r="S3251" s="1562"/>
    </row>
    <row r="3252" spans="2:19" ht="11.25" customHeight="1" outlineLevel="1">
      <c r="B3252" s="1573">
        <v>33917</v>
      </c>
      <c r="C3252" s="1566" t="s">
        <v>5403</v>
      </c>
      <c r="D3252" s="1566" t="s">
        <v>10027</v>
      </c>
      <c r="E3252" s="1566"/>
      <c r="F3252" s="1566"/>
      <c r="G3252" s="1566"/>
      <c r="H3252" s="1568">
        <v>1</v>
      </c>
      <c r="I3252" s="1566"/>
      <c r="J3252" s="1566"/>
      <c r="K3252" s="1572">
        <v>62</v>
      </c>
      <c r="L3252" s="1572">
        <v>61.61</v>
      </c>
      <c r="M3252" s="1572">
        <v>-61.61</v>
      </c>
      <c r="N3252" s="1564"/>
      <c r="O3252" s="1564"/>
      <c r="P3252" s="1572">
        <v>61.61</v>
      </c>
      <c r="Q3252" s="1572">
        <v>-61.61</v>
      </c>
      <c r="R3252" s="1564"/>
      <c r="S3252" s="1562"/>
    </row>
    <row r="3253" spans="2:19" ht="11.25" customHeight="1" outlineLevel="1">
      <c r="B3253" s="1573">
        <v>33918</v>
      </c>
      <c r="C3253" s="1566" t="s">
        <v>5403</v>
      </c>
      <c r="D3253" s="1566" t="s">
        <v>10026</v>
      </c>
      <c r="E3253" s="1566"/>
      <c r="F3253" s="1566"/>
      <c r="G3253" s="1566"/>
      <c r="H3253" s="1568">
        <v>1</v>
      </c>
      <c r="I3253" s="1566"/>
      <c r="J3253" s="1566"/>
      <c r="K3253" s="1572">
        <v>62</v>
      </c>
      <c r="L3253" s="1572">
        <v>61.61</v>
      </c>
      <c r="M3253" s="1572">
        <v>-61.61</v>
      </c>
      <c r="N3253" s="1564"/>
      <c r="O3253" s="1564"/>
      <c r="P3253" s="1572">
        <v>61.61</v>
      </c>
      <c r="Q3253" s="1572">
        <v>-61.61</v>
      </c>
      <c r="R3253" s="1564"/>
      <c r="S3253" s="1562"/>
    </row>
    <row r="3254" spans="2:19" ht="11.25" customHeight="1" outlineLevel="1">
      <c r="B3254" s="1573">
        <v>33919</v>
      </c>
      <c r="C3254" s="1566" t="s">
        <v>5403</v>
      </c>
      <c r="D3254" s="1566" t="s">
        <v>10025</v>
      </c>
      <c r="E3254" s="1566"/>
      <c r="F3254" s="1566"/>
      <c r="G3254" s="1566"/>
      <c r="H3254" s="1568">
        <v>1</v>
      </c>
      <c r="I3254" s="1566"/>
      <c r="J3254" s="1566"/>
      <c r="K3254" s="1572">
        <v>62</v>
      </c>
      <c r="L3254" s="1572">
        <v>61.61</v>
      </c>
      <c r="M3254" s="1572">
        <v>-61.61</v>
      </c>
      <c r="N3254" s="1564"/>
      <c r="O3254" s="1564"/>
      <c r="P3254" s="1572">
        <v>61.61</v>
      </c>
      <c r="Q3254" s="1572">
        <v>-61.61</v>
      </c>
      <c r="R3254" s="1564"/>
      <c r="S3254" s="1562"/>
    </row>
    <row r="3255" spans="2:19" ht="11.25" customHeight="1" outlineLevel="1">
      <c r="B3255" s="1573">
        <v>33920</v>
      </c>
      <c r="C3255" s="1566" t="s">
        <v>5403</v>
      </c>
      <c r="D3255" s="1566" t="s">
        <v>10024</v>
      </c>
      <c r="E3255" s="1566"/>
      <c r="F3255" s="1566"/>
      <c r="G3255" s="1566"/>
      <c r="H3255" s="1568">
        <v>1</v>
      </c>
      <c r="I3255" s="1566"/>
      <c r="J3255" s="1566"/>
      <c r="K3255" s="1572">
        <v>62</v>
      </c>
      <c r="L3255" s="1572">
        <v>61.61</v>
      </c>
      <c r="M3255" s="1572">
        <v>-61.61</v>
      </c>
      <c r="N3255" s="1564"/>
      <c r="O3255" s="1564"/>
      <c r="P3255" s="1572">
        <v>61.61</v>
      </c>
      <c r="Q3255" s="1572">
        <v>-61.61</v>
      </c>
      <c r="R3255" s="1564"/>
      <c r="S3255" s="1562"/>
    </row>
    <row r="3256" spans="2:19" ht="11.25" customHeight="1" outlineLevel="1">
      <c r="B3256" s="1573">
        <v>33921</v>
      </c>
      <c r="C3256" s="1566" t="s">
        <v>5403</v>
      </c>
      <c r="D3256" s="1566" t="s">
        <v>10023</v>
      </c>
      <c r="E3256" s="1566"/>
      <c r="F3256" s="1566"/>
      <c r="G3256" s="1566"/>
      <c r="H3256" s="1568">
        <v>1</v>
      </c>
      <c r="I3256" s="1566"/>
      <c r="J3256" s="1566"/>
      <c r="K3256" s="1572">
        <v>62</v>
      </c>
      <c r="L3256" s="1572">
        <v>61.61</v>
      </c>
      <c r="M3256" s="1572">
        <v>-61.61</v>
      </c>
      <c r="N3256" s="1564"/>
      <c r="O3256" s="1564"/>
      <c r="P3256" s="1572">
        <v>61.61</v>
      </c>
      <c r="Q3256" s="1572">
        <v>-61.61</v>
      </c>
      <c r="R3256" s="1564"/>
      <c r="S3256" s="1562"/>
    </row>
    <row r="3257" spans="2:19" ht="11.25" customHeight="1" outlineLevel="1">
      <c r="B3257" s="1573">
        <v>33922</v>
      </c>
      <c r="C3257" s="1566" t="s">
        <v>5403</v>
      </c>
      <c r="D3257" s="1566" t="s">
        <v>10022</v>
      </c>
      <c r="E3257" s="1566"/>
      <c r="F3257" s="1566"/>
      <c r="G3257" s="1566"/>
      <c r="H3257" s="1568">
        <v>1</v>
      </c>
      <c r="I3257" s="1566"/>
      <c r="J3257" s="1566"/>
      <c r="K3257" s="1572">
        <v>62</v>
      </c>
      <c r="L3257" s="1572">
        <v>61.61</v>
      </c>
      <c r="M3257" s="1572">
        <v>-61.61</v>
      </c>
      <c r="N3257" s="1564"/>
      <c r="O3257" s="1564"/>
      <c r="P3257" s="1572">
        <v>61.61</v>
      </c>
      <c r="Q3257" s="1572">
        <v>-61.61</v>
      </c>
      <c r="R3257" s="1564"/>
      <c r="S3257" s="1562"/>
    </row>
    <row r="3258" spans="2:19" ht="11.25" customHeight="1" outlineLevel="1">
      <c r="B3258" s="1573">
        <v>33923</v>
      </c>
      <c r="C3258" s="1566" t="s">
        <v>5403</v>
      </c>
      <c r="D3258" s="1566" t="s">
        <v>10021</v>
      </c>
      <c r="E3258" s="1566"/>
      <c r="F3258" s="1566"/>
      <c r="G3258" s="1566"/>
      <c r="H3258" s="1568">
        <v>1</v>
      </c>
      <c r="I3258" s="1566"/>
      <c r="J3258" s="1566"/>
      <c r="K3258" s="1572">
        <v>62</v>
      </c>
      <c r="L3258" s="1572">
        <v>61.61</v>
      </c>
      <c r="M3258" s="1572">
        <v>-61.61</v>
      </c>
      <c r="N3258" s="1564"/>
      <c r="O3258" s="1564"/>
      <c r="P3258" s="1572">
        <v>61.61</v>
      </c>
      <c r="Q3258" s="1572">
        <v>-61.61</v>
      </c>
      <c r="R3258" s="1564"/>
      <c r="S3258" s="1562"/>
    </row>
    <row r="3259" spans="2:19" ht="11.25" customHeight="1" outlineLevel="1">
      <c r="B3259" s="1573">
        <v>33924</v>
      </c>
      <c r="C3259" s="1566" t="s">
        <v>5403</v>
      </c>
      <c r="D3259" s="1566" t="s">
        <v>10020</v>
      </c>
      <c r="E3259" s="1566"/>
      <c r="F3259" s="1566"/>
      <c r="G3259" s="1566"/>
      <c r="H3259" s="1568">
        <v>1</v>
      </c>
      <c r="I3259" s="1566"/>
      <c r="J3259" s="1566"/>
      <c r="K3259" s="1572">
        <v>62</v>
      </c>
      <c r="L3259" s="1572">
        <v>61.61</v>
      </c>
      <c r="M3259" s="1572">
        <v>-61.61</v>
      </c>
      <c r="N3259" s="1564"/>
      <c r="O3259" s="1564"/>
      <c r="P3259" s="1572">
        <v>61.61</v>
      </c>
      <c r="Q3259" s="1572">
        <v>-61.61</v>
      </c>
      <c r="R3259" s="1564"/>
      <c r="S3259" s="1562"/>
    </row>
    <row r="3260" spans="2:19" ht="11.25" customHeight="1" outlineLevel="1">
      <c r="B3260" s="1573">
        <v>33925</v>
      </c>
      <c r="C3260" s="1566" t="s">
        <v>5403</v>
      </c>
      <c r="D3260" s="1566" t="s">
        <v>10019</v>
      </c>
      <c r="E3260" s="1566"/>
      <c r="F3260" s="1566"/>
      <c r="G3260" s="1566"/>
      <c r="H3260" s="1568">
        <v>1</v>
      </c>
      <c r="I3260" s="1566"/>
      <c r="J3260" s="1566"/>
      <c r="K3260" s="1572">
        <v>62</v>
      </c>
      <c r="L3260" s="1572">
        <v>61.61</v>
      </c>
      <c r="M3260" s="1572">
        <v>-61.61</v>
      </c>
      <c r="N3260" s="1564"/>
      <c r="O3260" s="1564"/>
      <c r="P3260" s="1572">
        <v>61.61</v>
      </c>
      <c r="Q3260" s="1572">
        <v>-61.61</v>
      </c>
      <c r="R3260" s="1564"/>
      <c r="S3260" s="1562"/>
    </row>
    <row r="3261" spans="2:19" ht="11.25" customHeight="1" outlineLevel="1">
      <c r="B3261" s="1573">
        <v>33926</v>
      </c>
      <c r="C3261" s="1566" t="s">
        <v>5403</v>
      </c>
      <c r="D3261" s="1566" t="s">
        <v>10018</v>
      </c>
      <c r="E3261" s="1566"/>
      <c r="F3261" s="1566"/>
      <c r="G3261" s="1566"/>
      <c r="H3261" s="1568">
        <v>1</v>
      </c>
      <c r="I3261" s="1566"/>
      <c r="J3261" s="1566"/>
      <c r="K3261" s="1572">
        <v>62</v>
      </c>
      <c r="L3261" s="1572">
        <v>61.61</v>
      </c>
      <c r="M3261" s="1572">
        <v>-61.61</v>
      </c>
      <c r="N3261" s="1564"/>
      <c r="O3261" s="1564"/>
      <c r="P3261" s="1572">
        <v>61.61</v>
      </c>
      <c r="Q3261" s="1572">
        <v>-61.61</v>
      </c>
      <c r="R3261" s="1564"/>
      <c r="S3261" s="1562"/>
    </row>
    <row r="3262" spans="2:19" ht="11.25" customHeight="1" outlineLevel="1">
      <c r="B3262" s="1573">
        <v>33927</v>
      </c>
      <c r="C3262" s="1566" t="s">
        <v>5403</v>
      </c>
      <c r="D3262" s="1566" t="s">
        <v>10017</v>
      </c>
      <c r="E3262" s="1566"/>
      <c r="F3262" s="1566"/>
      <c r="G3262" s="1566"/>
      <c r="H3262" s="1568">
        <v>1</v>
      </c>
      <c r="I3262" s="1566"/>
      <c r="J3262" s="1566"/>
      <c r="K3262" s="1572">
        <v>62</v>
      </c>
      <c r="L3262" s="1572">
        <v>61.61</v>
      </c>
      <c r="M3262" s="1572">
        <v>-61.61</v>
      </c>
      <c r="N3262" s="1564"/>
      <c r="O3262" s="1564"/>
      <c r="P3262" s="1572">
        <v>61.61</v>
      </c>
      <c r="Q3262" s="1572">
        <v>-61.61</v>
      </c>
      <c r="R3262" s="1564"/>
      <c r="S3262" s="1562"/>
    </row>
    <row r="3263" spans="2:19" ht="11.25" customHeight="1" outlineLevel="1">
      <c r="B3263" s="1573">
        <v>33928</v>
      </c>
      <c r="C3263" s="1566" t="s">
        <v>5403</v>
      </c>
      <c r="D3263" s="1566" t="s">
        <v>10016</v>
      </c>
      <c r="E3263" s="1566"/>
      <c r="F3263" s="1566"/>
      <c r="G3263" s="1566"/>
      <c r="H3263" s="1568">
        <v>1</v>
      </c>
      <c r="I3263" s="1566"/>
      <c r="J3263" s="1566"/>
      <c r="K3263" s="1572">
        <v>182</v>
      </c>
      <c r="L3263" s="1572">
        <v>181.8</v>
      </c>
      <c r="M3263" s="1572">
        <v>-181.8</v>
      </c>
      <c r="N3263" s="1564"/>
      <c r="O3263" s="1564"/>
      <c r="P3263" s="1572">
        <v>181.8</v>
      </c>
      <c r="Q3263" s="1572">
        <v>-181.8</v>
      </c>
      <c r="R3263" s="1564"/>
      <c r="S3263" s="1562"/>
    </row>
    <row r="3264" spans="2:19" ht="11.25" customHeight="1" outlineLevel="1">
      <c r="B3264" s="1573">
        <v>33929</v>
      </c>
      <c r="C3264" s="1566" t="s">
        <v>5403</v>
      </c>
      <c r="D3264" s="1566" t="s">
        <v>10015</v>
      </c>
      <c r="E3264" s="1566"/>
      <c r="F3264" s="1566"/>
      <c r="G3264" s="1566"/>
      <c r="H3264" s="1568">
        <v>1</v>
      </c>
      <c r="I3264" s="1566"/>
      <c r="J3264" s="1566"/>
      <c r="K3264" s="1572">
        <v>182</v>
      </c>
      <c r="L3264" s="1572">
        <v>181.8</v>
      </c>
      <c r="M3264" s="1572">
        <v>-181.8</v>
      </c>
      <c r="N3264" s="1564"/>
      <c r="O3264" s="1564"/>
      <c r="P3264" s="1572">
        <v>181.8</v>
      </c>
      <c r="Q3264" s="1572">
        <v>-181.8</v>
      </c>
      <c r="R3264" s="1564"/>
      <c r="S3264" s="1562"/>
    </row>
    <row r="3265" spans="2:19" ht="11.25" customHeight="1" outlineLevel="1">
      <c r="B3265" s="1573">
        <v>33930</v>
      </c>
      <c r="C3265" s="1566" t="s">
        <v>5403</v>
      </c>
      <c r="D3265" s="1566" t="s">
        <v>10014</v>
      </c>
      <c r="E3265" s="1566"/>
      <c r="F3265" s="1566"/>
      <c r="G3265" s="1566"/>
      <c r="H3265" s="1568">
        <v>1</v>
      </c>
      <c r="I3265" s="1566"/>
      <c r="J3265" s="1566"/>
      <c r="K3265" s="1572">
        <v>182</v>
      </c>
      <c r="L3265" s="1572">
        <v>181.8</v>
      </c>
      <c r="M3265" s="1572">
        <v>-181.8</v>
      </c>
      <c r="N3265" s="1564"/>
      <c r="O3265" s="1564"/>
      <c r="P3265" s="1572">
        <v>181.8</v>
      </c>
      <c r="Q3265" s="1572">
        <v>-181.8</v>
      </c>
      <c r="R3265" s="1564"/>
      <c r="S3265" s="1562"/>
    </row>
    <row r="3266" spans="2:19" ht="11.25" customHeight="1" outlineLevel="1">
      <c r="B3266" s="1573">
        <v>33931</v>
      </c>
      <c r="C3266" s="1566" t="s">
        <v>5403</v>
      </c>
      <c r="D3266" s="1566" t="s">
        <v>10013</v>
      </c>
      <c r="E3266" s="1566"/>
      <c r="F3266" s="1566"/>
      <c r="G3266" s="1566"/>
      <c r="H3266" s="1568">
        <v>1</v>
      </c>
      <c r="I3266" s="1566"/>
      <c r="J3266" s="1566"/>
      <c r="K3266" s="1572">
        <v>182</v>
      </c>
      <c r="L3266" s="1572">
        <v>181.8</v>
      </c>
      <c r="M3266" s="1572">
        <v>-181.8</v>
      </c>
      <c r="N3266" s="1564"/>
      <c r="O3266" s="1564"/>
      <c r="P3266" s="1572">
        <v>181.8</v>
      </c>
      <c r="Q3266" s="1572">
        <v>-181.8</v>
      </c>
      <c r="R3266" s="1564"/>
      <c r="S3266" s="1562"/>
    </row>
    <row r="3267" spans="2:19" ht="11.25" customHeight="1" outlineLevel="1">
      <c r="B3267" s="1573">
        <v>33946</v>
      </c>
      <c r="C3267" s="1566" t="s">
        <v>5403</v>
      </c>
      <c r="D3267" s="1566" t="s">
        <v>10012</v>
      </c>
      <c r="E3267" s="1566"/>
      <c r="F3267" s="1566"/>
      <c r="G3267" s="1566"/>
      <c r="H3267" s="1568">
        <v>1</v>
      </c>
      <c r="I3267" s="1566"/>
      <c r="J3267" s="1566"/>
      <c r="K3267" s="1572">
        <v>227</v>
      </c>
      <c r="L3267" s="1572">
        <v>227.25</v>
      </c>
      <c r="M3267" s="1572">
        <v>-227.25</v>
      </c>
      <c r="N3267" s="1564"/>
      <c r="O3267" s="1564"/>
      <c r="P3267" s="1572">
        <v>227.25</v>
      </c>
      <c r="Q3267" s="1572">
        <v>-227.25</v>
      </c>
      <c r="R3267" s="1564"/>
      <c r="S3267" s="1562"/>
    </row>
    <row r="3268" spans="2:19" ht="11.25" customHeight="1" outlineLevel="1">
      <c r="B3268" s="1573">
        <v>33947</v>
      </c>
      <c r="C3268" s="1566" t="s">
        <v>5403</v>
      </c>
      <c r="D3268" s="1566" t="s">
        <v>10011</v>
      </c>
      <c r="E3268" s="1566"/>
      <c r="F3268" s="1566"/>
      <c r="G3268" s="1566"/>
      <c r="H3268" s="1568">
        <v>1</v>
      </c>
      <c r="I3268" s="1566"/>
      <c r="J3268" s="1566"/>
      <c r="K3268" s="1572">
        <v>227</v>
      </c>
      <c r="L3268" s="1572">
        <v>227.25</v>
      </c>
      <c r="M3268" s="1572">
        <v>-227.25</v>
      </c>
      <c r="N3268" s="1564"/>
      <c r="O3268" s="1564"/>
      <c r="P3268" s="1572">
        <v>227.25</v>
      </c>
      <c r="Q3268" s="1572">
        <v>-227.25</v>
      </c>
      <c r="R3268" s="1564"/>
      <c r="S3268" s="1562"/>
    </row>
    <row r="3269" spans="2:19" ht="11.25" customHeight="1" outlineLevel="1">
      <c r="B3269" s="1573">
        <v>33948</v>
      </c>
      <c r="C3269" s="1566" t="s">
        <v>5403</v>
      </c>
      <c r="D3269" s="1566" t="s">
        <v>10010</v>
      </c>
      <c r="E3269" s="1566"/>
      <c r="F3269" s="1566"/>
      <c r="G3269" s="1566"/>
      <c r="H3269" s="1568">
        <v>1</v>
      </c>
      <c r="I3269" s="1566"/>
      <c r="J3269" s="1566"/>
      <c r="K3269" s="1572">
        <v>227</v>
      </c>
      <c r="L3269" s="1572">
        <v>227.25</v>
      </c>
      <c r="M3269" s="1572">
        <v>-227.25</v>
      </c>
      <c r="N3269" s="1564"/>
      <c r="O3269" s="1564"/>
      <c r="P3269" s="1572">
        <v>227.25</v>
      </c>
      <c r="Q3269" s="1572">
        <v>-227.25</v>
      </c>
      <c r="R3269" s="1564"/>
      <c r="S3269" s="1562"/>
    </row>
    <row r="3270" spans="2:19" ht="11.25" customHeight="1" outlineLevel="1">
      <c r="B3270" s="1573">
        <v>33949</v>
      </c>
      <c r="C3270" s="1566" t="s">
        <v>5403</v>
      </c>
      <c r="D3270" s="1566" t="s">
        <v>10009</v>
      </c>
      <c r="E3270" s="1566"/>
      <c r="F3270" s="1566"/>
      <c r="G3270" s="1566"/>
      <c r="H3270" s="1568">
        <v>1</v>
      </c>
      <c r="I3270" s="1566"/>
      <c r="J3270" s="1566"/>
      <c r="K3270" s="1572">
        <v>227</v>
      </c>
      <c r="L3270" s="1572">
        <v>227.25</v>
      </c>
      <c r="M3270" s="1572">
        <v>-227.25</v>
      </c>
      <c r="N3270" s="1564"/>
      <c r="O3270" s="1564"/>
      <c r="P3270" s="1572">
        <v>227.25</v>
      </c>
      <c r="Q3270" s="1572">
        <v>-227.25</v>
      </c>
      <c r="R3270" s="1564"/>
      <c r="S3270" s="1562"/>
    </row>
    <row r="3271" spans="2:19" ht="11.25" customHeight="1" outlineLevel="1">
      <c r="B3271" s="1573">
        <v>33950</v>
      </c>
      <c r="C3271" s="1566" t="s">
        <v>5403</v>
      </c>
      <c r="D3271" s="1566" t="s">
        <v>10008</v>
      </c>
      <c r="E3271" s="1566"/>
      <c r="F3271" s="1566"/>
      <c r="G3271" s="1566"/>
      <c r="H3271" s="1568">
        <v>1</v>
      </c>
      <c r="I3271" s="1566"/>
      <c r="J3271" s="1566"/>
      <c r="K3271" s="1572">
        <v>227</v>
      </c>
      <c r="L3271" s="1572">
        <v>227.25</v>
      </c>
      <c r="M3271" s="1572">
        <v>-227.25</v>
      </c>
      <c r="N3271" s="1564"/>
      <c r="O3271" s="1564"/>
      <c r="P3271" s="1572">
        <v>227.25</v>
      </c>
      <c r="Q3271" s="1572">
        <v>-227.25</v>
      </c>
      <c r="R3271" s="1564"/>
      <c r="S3271" s="1562"/>
    </row>
    <row r="3272" spans="2:19" ht="11.25" customHeight="1" outlineLevel="1">
      <c r="B3272" s="1573">
        <v>33951</v>
      </c>
      <c r="C3272" s="1566" t="s">
        <v>5403</v>
      </c>
      <c r="D3272" s="1566" t="s">
        <v>10007</v>
      </c>
      <c r="E3272" s="1566"/>
      <c r="F3272" s="1566"/>
      <c r="G3272" s="1566"/>
      <c r="H3272" s="1568">
        <v>1</v>
      </c>
      <c r="I3272" s="1566"/>
      <c r="J3272" s="1566"/>
      <c r="K3272" s="1572">
        <v>227</v>
      </c>
      <c r="L3272" s="1572">
        <v>227.25</v>
      </c>
      <c r="M3272" s="1572">
        <v>-227.25</v>
      </c>
      <c r="N3272" s="1564"/>
      <c r="O3272" s="1564"/>
      <c r="P3272" s="1572">
        <v>227.25</v>
      </c>
      <c r="Q3272" s="1572">
        <v>-227.25</v>
      </c>
      <c r="R3272" s="1564"/>
      <c r="S3272" s="1562"/>
    </row>
    <row r="3273" spans="2:19" ht="11.25" customHeight="1" outlineLevel="1">
      <c r="B3273" s="1573">
        <v>33952</v>
      </c>
      <c r="C3273" s="1566" t="s">
        <v>5403</v>
      </c>
      <c r="D3273" s="1566" t="s">
        <v>10006</v>
      </c>
      <c r="E3273" s="1566"/>
      <c r="F3273" s="1566"/>
      <c r="G3273" s="1566"/>
      <c r="H3273" s="1568">
        <v>1</v>
      </c>
      <c r="I3273" s="1566"/>
      <c r="J3273" s="1566"/>
      <c r="K3273" s="1572">
        <v>227</v>
      </c>
      <c r="L3273" s="1572">
        <v>227.25</v>
      </c>
      <c r="M3273" s="1572">
        <v>-227.25</v>
      </c>
      <c r="N3273" s="1564"/>
      <c r="O3273" s="1564"/>
      <c r="P3273" s="1572">
        <v>227.25</v>
      </c>
      <c r="Q3273" s="1572">
        <v>-227.25</v>
      </c>
      <c r="R3273" s="1564"/>
      <c r="S3273" s="1562"/>
    </row>
    <row r="3274" spans="2:19" ht="11.25" customHeight="1" outlineLevel="1">
      <c r="B3274" s="1573">
        <v>33953</v>
      </c>
      <c r="C3274" s="1566" t="s">
        <v>5403</v>
      </c>
      <c r="D3274" s="1566" t="s">
        <v>10005</v>
      </c>
      <c r="E3274" s="1566"/>
      <c r="F3274" s="1566"/>
      <c r="G3274" s="1566"/>
      <c r="H3274" s="1568">
        <v>1</v>
      </c>
      <c r="I3274" s="1566"/>
      <c r="J3274" s="1566"/>
      <c r="K3274" s="1572">
        <v>249</v>
      </c>
      <c r="L3274" s="1572">
        <v>249</v>
      </c>
      <c r="M3274" s="1572">
        <v>-249</v>
      </c>
      <c r="N3274" s="1564"/>
      <c r="O3274" s="1564"/>
      <c r="P3274" s="1572">
        <v>249</v>
      </c>
      <c r="Q3274" s="1572">
        <v>-249</v>
      </c>
      <c r="R3274" s="1564"/>
      <c r="S3274" s="1562"/>
    </row>
    <row r="3275" spans="2:19" ht="11.25" customHeight="1" outlineLevel="1">
      <c r="B3275" s="1573">
        <v>33954</v>
      </c>
      <c r="C3275" s="1566" t="s">
        <v>5403</v>
      </c>
      <c r="D3275" s="1566" t="s">
        <v>10004</v>
      </c>
      <c r="E3275" s="1566"/>
      <c r="F3275" s="1566"/>
      <c r="G3275" s="1566"/>
      <c r="H3275" s="1568">
        <v>1</v>
      </c>
      <c r="I3275" s="1566"/>
      <c r="J3275" s="1566"/>
      <c r="K3275" s="1572">
        <v>249</v>
      </c>
      <c r="L3275" s="1572">
        <v>249</v>
      </c>
      <c r="M3275" s="1572">
        <v>-249</v>
      </c>
      <c r="N3275" s="1564"/>
      <c r="O3275" s="1564"/>
      <c r="P3275" s="1572">
        <v>249</v>
      </c>
      <c r="Q3275" s="1572">
        <v>-249</v>
      </c>
      <c r="R3275" s="1564"/>
      <c r="S3275" s="1562"/>
    </row>
    <row r="3276" spans="2:19" ht="11.25" customHeight="1" outlineLevel="1">
      <c r="B3276" s="1573">
        <v>33955</v>
      </c>
      <c r="C3276" s="1566" t="s">
        <v>5403</v>
      </c>
      <c r="D3276" s="1566" t="s">
        <v>10003</v>
      </c>
      <c r="E3276" s="1566"/>
      <c r="F3276" s="1566"/>
      <c r="G3276" s="1566"/>
      <c r="H3276" s="1568">
        <v>1</v>
      </c>
      <c r="I3276" s="1566"/>
      <c r="J3276" s="1566"/>
      <c r="K3276" s="1572">
        <v>249</v>
      </c>
      <c r="L3276" s="1572">
        <v>249</v>
      </c>
      <c r="M3276" s="1572">
        <v>-249</v>
      </c>
      <c r="N3276" s="1564"/>
      <c r="O3276" s="1564"/>
      <c r="P3276" s="1572">
        <v>249</v>
      </c>
      <c r="Q3276" s="1572">
        <v>-249</v>
      </c>
      <c r="R3276" s="1564"/>
      <c r="S3276" s="1562"/>
    </row>
    <row r="3277" spans="2:19" ht="11.25" customHeight="1" outlineLevel="1">
      <c r="B3277" s="1573">
        <v>33956</v>
      </c>
      <c r="C3277" s="1566" t="s">
        <v>5403</v>
      </c>
      <c r="D3277" s="1566" t="s">
        <v>10002</v>
      </c>
      <c r="E3277" s="1566"/>
      <c r="F3277" s="1566"/>
      <c r="G3277" s="1566"/>
      <c r="H3277" s="1568">
        <v>1</v>
      </c>
      <c r="I3277" s="1566"/>
      <c r="J3277" s="1566"/>
      <c r="K3277" s="1572">
        <v>249</v>
      </c>
      <c r="L3277" s="1572">
        <v>249</v>
      </c>
      <c r="M3277" s="1572">
        <v>-249</v>
      </c>
      <c r="N3277" s="1564"/>
      <c r="O3277" s="1564"/>
      <c r="P3277" s="1572">
        <v>249</v>
      </c>
      <c r="Q3277" s="1572">
        <v>-249</v>
      </c>
      <c r="R3277" s="1564"/>
      <c r="S3277" s="1562"/>
    </row>
    <row r="3278" spans="2:19" ht="11.25" customHeight="1" outlineLevel="1">
      <c r="B3278" s="1573">
        <v>33957</v>
      </c>
      <c r="C3278" s="1566" t="s">
        <v>5403</v>
      </c>
      <c r="D3278" s="1566" t="s">
        <v>10001</v>
      </c>
      <c r="E3278" s="1566"/>
      <c r="F3278" s="1566"/>
      <c r="G3278" s="1566"/>
      <c r="H3278" s="1568">
        <v>1</v>
      </c>
      <c r="I3278" s="1566"/>
      <c r="J3278" s="1566"/>
      <c r="K3278" s="1572">
        <v>249</v>
      </c>
      <c r="L3278" s="1572">
        <v>249</v>
      </c>
      <c r="M3278" s="1572">
        <v>-249</v>
      </c>
      <c r="N3278" s="1564"/>
      <c r="O3278" s="1564"/>
      <c r="P3278" s="1572">
        <v>249</v>
      </c>
      <c r="Q3278" s="1572">
        <v>-249</v>
      </c>
      <c r="R3278" s="1564"/>
      <c r="S3278" s="1562"/>
    </row>
    <row r="3279" spans="2:19" ht="11.25" customHeight="1" outlineLevel="1">
      <c r="B3279" s="1573">
        <v>33958</v>
      </c>
      <c r="C3279" s="1566" t="s">
        <v>5403</v>
      </c>
      <c r="D3279" s="1566" t="s">
        <v>10000</v>
      </c>
      <c r="E3279" s="1566"/>
      <c r="F3279" s="1566"/>
      <c r="G3279" s="1566"/>
      <c r="H3279" s="1568">
        <v>1</v>
      </c>
      <c r="I3279" s="1566"/>
      <c r="J3279" s="1566"/>
      <c r="K3279" s="1572">
        <v>249</v>
      </c>
      <c r="L3279" s="1572">
        <v>249</v>
      </c>
      <c r="M3279" s="1572">
        <v>-249</v>
      </c>
      <c r="N3279" s="1564"/>
      <c r="O3279" s="1564"/>
      <c r="P3279" s="1572">
        <v>249</v>
      </c>
      <c r="Q3279" s="1572">
        <v>-249</v>
      </c>
      <c r="R3279" s="1564"/>
      <c r="S3279" s="1562"/>
    </row>
    <row r="3280" spans="2:19" ht="11.25" customHeight="1" outlineLevel="1">
      <c r="B3280" s="1573">
        <v>33959</v>
      </c>
      <c r="C3280" s="1566" t="s">
        <v>5403</v>
      </c>
      <c r="D3280" s="1566" t="s">
        <v>9999</v>
      </c>
      <c r="E3280" s="1566"/>
      <c r="F3280" s="1566"/>
      <c r="G3280" s="1566"/>
      <c r="H3280" s="1568">
        <v>1</v>
      </c>
      <c r="I3280" s="1566"/>
      <c r="J3280" s="1566"/>
      <c r="K3280" s="1572">
        <v>249</v>
      </c>
      <c r="L3280" s="1572">
        <v>249</v>
      </c>
      <c r="M3280" s="1572">
        <v>-249</v>
      </c>
      <c r="N3280" s="1564"/>
      <c r="O3280" s="1564"/>
      <c r="P3280" s="1572">
        <v>249</v>
      </c>
      <c r="Q3280" s="1572">
        <v>-249</v>
      </c>
      <c r="R3280" s="1564"/>
      <c r="S3280" s="1562"/>
    </row>
    <row r="3281" spans="2:19" ht="11.25" customHeight="1" outlineLevel="1">
      <c r="B3281" s="1573">
        <v>33960</v>
      </c>
      <c r="C3281" s="1566" t="s">
        <v>5403</v>
      </c>
      <c r="D3281" s="1566" t="s">
        <v>9998</v>
      </c>
      <c r="E3281" s="1566"/>
      <c r="F3281" s="1566"/>
      <c r="G3281" s="1566"/>
      <c r="H3281" s="1568">
        <v>1</v>
      </c>
      <c r="I3281" s="1566"/>
      <c r="J3281" s="1566"/>
      <c r="K3281" s="1572">
        <v>208</v>
      </c>
      <c r="L3281" s="1572">
        <v>207.8</v>
      </c>
      <c r="M3281" s="1572">
        <v>-207.8</v>
      </c>
      <c r="N3281" s="1564"/>
      <c r="O3281" s="1564"/>
      <c r="P3281" s="1572">
        <v>207.8</v>
      </c>
      <c r="Q3281" s="1572">
        <v>-207.8</v>
      </c>
      <c r="R3281" s="1564"/>
      <c r="S3281" s="1562"/>
    </row>
    <row r="3282" spans="2:19" ht="11.25" customHeight="1" outlineLevel="1">
      <c r="B3282" s="1573">
        <v>33961</v>
      </c>
      <c r="C3282" s="1566" t="s">
        <v>5403</v>
      </c>
      <c r="D3282" s="1566" t="s">
        <v>9997</v>
      </c>
      <c r="E3282" s="1566"/>
      <c r="F3282" s="1566"/>
      <c r="G3282" s="1566"/>
      <c r="H3282" s="1568">
        <v>1</v>
      </c>
      <c r="I3282" s="1566"/>
      <c r="J3282" s="1566"/>
      <c r="K3282" s="1572">
        <v>208</v>
      </c>
      <c r="L3282" s="1572">
        <v>207.8</v>
      </c>
      <c r="M3282" s="1572">
        <v>-207.8</v>
      </c>
      <c r="N3282" s="1564"/>
      <c r="O3282" s="1564"/>
      <c r="P3282" s="1572">
        <v>207.8</v>
      </c>
      <c r="Q3282" s="1572">
        <v>-207.8</v>
      </c>
      <c r="R3282" s="1564"/>
      <c r="S3282" s="1562"/>
    </row>
    <row r="3283" spans="2:19" ht="11.25" customHeight="1" outlineLevel="1">
      <c r="B3283" s="1573">
        <v>33962</v>
      </c>
      <c r="C3283" s="1566" t="s">
        <v>5403</v>
      </c>
      <c r="D3283" s="1566" t="s">
        <v>9996</v>
      </c>
      <c r="E3283" s="1566"/>
      <c r="F3283" s="1566"/>
      <c r="G3283" s="1566"/>
      <c r="H3283" s="1568">
        <v>1</v>
      </c>
      <c r="I3283" s="1566"/>
      <c r="J3283" s="1566"/>
      <c r="K3283" s="1572">
        <v>208</v>
      </c>
      <c r="L3283" s="1572">
        <v>207.8</v>
      </c>
      <c r="M3283" s="1572">
        <v>-207.8</v>
      </c>
      <c r="N3283" s="1564"/>
      <c r="O3283" s="1564"/>
      <c r="P3283" s="1572">
        <v>207.8</v>
      </c>
      <c r="Q3283" s="1572">
        <v>-207.8</v>
      </c>
      <c r="R3283" s="1564"/>
      <c r="S3283" s="1562"/>
    </row>
    <row r="3284" spans="2:19" ht="11.25" customHeight="1" outlineLevel="1">
      <c r="B3284" s="1573">
        <v>33963</v>
      </c>
      <c r="C3284" s="1566" t="s">
        <v>5403</v>
      </c>
      <c r="D3284" s="1566" t="s">
        <v>9995</v>
      </c>
      <c r="E3284" s="1566"/>
      <c r="F3284" s="1566"/>
      <c r="G3284" s="1566"/>
      <c r="H3284" s="1568">
        <v>1</v>
      </c>
      <c r="I3284" s="1566"/>
      <c r="J3284" s="1566"/>
      <c r="K3284" s="1572">
        <v>208</v>
      </c>
      <c r="L3284" s="1572">
        <v>207.8</v>
      </c>
      <c r="M3284" s="1572">
        <v>-207.8</v>
      </c>
      <c r="N3284" s="1564"/>
      <c r="O3284" s="1564"/>
      <c r="P3284" s="1572">
        <v>207.8</v>
      </c>
      <c r="Q3284" s="1572">
        <v>-207.8</v>
      </c>
      <c r="R3284" s="1564"/>
      <c r="S3284" s="1562"/>
    </row>
    <row r="3285" spans="2:19" ht="11.25" customHeight="1" outlineLevel="1">
      <c r="B3285" s="1573">
        <v>33964</v>
      </c>
      <c r="C3285" s="1566" t="s">
        <v>5403</v>
      </c>
      <c r="D3285" s="1566" t="s">
        <v>9994</v>
      </c>
      <c r="E3285" s="1566"/>
      <c r="F3285" s="1566"/>
      <c r="G3285" s="1566"/>
      <c r="H3285" s="1568">
        <v>1</v>
      </c>
      <c r="I3285" s="1566"/>
      <c r="J3285" s="1566"/>
      <c r="K3285" s="1572">
        <v>208</v>
      </c>
      <c r="L3285" s="1572">
        <v>207.8</v>
      </c>
      <c r="M3285" s="1572">
        <v>-207.8</v>
      </c>
      <c r="N3285" s="1564"/>
      <c r="O3285" s="1564"/>
      <c r="P3285" s="1572">
        <v>207.8</v>
      </c>
      <c r="Q3285" s="1572">
        <v>-207.8</v>
      </c>
      <c r="R3285" s="1564"/>
      <c r="S3285" s="1562"/>
    </row>
    <row r="3286" spans="2:19" ht="11.25" customHeight="1" outlineLevel="1">
      <c r="B3286" s="1573">
        <v>33965</v>
      </c>
      <c r="C3286" s="1566" t="s">
        <v>5403</v>
      </c>
      <c r="D3286" s="1566" t="s">
        <v>9993</v>
      </c>
      <c r="E3286" s="1566"/>
      <c r="F3286" s="1566"/>
      <c r="G3286" s="1566"/>
      <c r="H3286" s="1568">
        <v>1</v>
      </c>
      <c r="I3286" s="1566"/>
      <c r="J3286" s="1566"/>
      <c r="K3286" s="1572">
        <v>208</v>
      </c>
      <c r="L3286" s="1572">
        <v>207.8</v>
      </c>
      <c r="M3286" s="1572">
        <v>-207.8</v>
      </c>
      <c r="N3286" s="1564"/>
      <c r="O3286" s="1564"/>
      <c r="P3286" s="1572">
        <v>207.8</v>
      </c>
      <c r="Q3286" s="1572">
        <v>-207.8</v>
      </c>
      <c r="R3286" s="1564"/>
      <c r="S3286" s="1562"/>
    </row>
    <row r="3287" spans="2:19" ht="11.25" customHeight="1" outlineLevel="1">
      <c r="B3287" s="1573">
        <v>33966</v>
      </c>
      <c r="C3287" s="1566" t="s">
        <v>5403</v>
      </c>
      <c r="D3287" s="1566" t="s">
        <v>9992</v>
      </c>
      <c r="E3287" s="1566"/>
      <c r="F3287" s="1566"/>
      <c r="G3287" s="1566"/>
      <c r="H3287" s="1568">
        <v>1</v>
      </c>
      <c r="I3287" s="1566"/>
      <c r="J3287" s="1566"/>
      <c r="K3287" s="1572">
        <v>208</v>
      </c>
      <c r="L3287" s="1572">
        <v>207.8</v>
      </c>
      <c r="M3287" s="1572">
        <v>-207.8</v>
      </c>
      <c r="N3287" s="1564"/>
      <c r="O3287" s="1564"/>
      <c r="P3287" s="1572">
        <v>207.8</v>
      </c>
      <c r="Q3287" s="1572">
        <v>-207.8</v>
      </c>
      <c r="R3287" s="1564"/>
      <c r="S3287" s="1562"/>
    </row>
    <row r="3288" spans="2:19" ht="11.25" customHeight="1" outlineLevel="1">
      <c r="B3288" s="1573">
        <v>33967</v>
      </c>
      <c r="C3288" s="1566" t="s">
        <v>5403</v>
      </c>
      <c r="D3288" s="1566" t="s">
        <v>9991</v>
      </c>
      <c r="E3288" s="1566"/>
      <c r="F3288" s="1566"/>
      <c r="G3288" s="1566"/>
      <c r="H3288" s="1568">
        <v>1</v>
      </c>
      <c r="I3288" s="1566"/>
      <c r="J3288" s="1566"/>
      <c r="K3288" s="1572">
        <v>208</v>
      </c>
      <c r="L3288" s="1572">
        <v>207.8</v>
      </c>
      <c r="M3288" s="1572">
        <v>-207.8</v>
      </c>
      <c r="N3288" s="1564"/>
      <c r="O3288" s="1564"/>
      <c r="P3288" s="1572">
        <v>207.8</v>
      </c>
      <c r="Q3288" s="1572">
        <v>-207.8</v>
      </c>
      <c r="R3288" s="1564"/>
      <c r="S3288" s="1562"/>
    </row>
    <row r="3289" spans="2:19" ht="11.25" customHeight="1" outlineLevel="1">
      <c r="B3289" s="1573">
        <v>33968</v>
      </c>
      <c r="C3289" s="1566" t="s">
        <v>5403</v>
      </c>
      <c r="D3289" s="1566" t="s">
        <v>9990</v>
      </c>
      <c r="E3289" s="1566"/>
      <c r="F3289" s="1566"/>
      <c r="G3289" s="1566"/>
      <c r="H3289" s="1568">
        <v>1</v>
      </c>
      <c r="I3289" s="1566"/>
      <c r="J3289" s="1566"/>
      <c r="K3289" s="1572">
        <v>208</v>
      </c>
      <c r="L3289" s="1572">
        <v>207.8</v>
      </c>
      <c r="M3289" s="1572">
        <v>-207.8</v>
      </c>
      <c r="N3289" s="1564"/>
      <c r="O3289" s="1564"/>
      <c r="P3289" s="1572">
        <v>207.8</v>
      </c>
      <c r="Q3289" s="1572">
        <v>-207.8</v>
      </c>
      <c r="R3289" s="1564"/>
      <c r="S3289" s="1562"/>
    </row>
    <row r="3290" spans="2:19" ht="11.25" customHeight="1" outlineLevel="1">
      <c r="B3290" s="1573">
        <v>33969</v>
      </c>
      <c r="C3290" s="1566" t="s">
        <v>5403</v>
      </c>
      <c r="D3290" s="1566" t="s">
        <v>9989</v>
      </c>
      <c r="E3290" s="1566"/>
      <c r="F3290" s="1566"/>
      <c r="G3290" s="1566"/>
      <c r="H3290" s="1568">
        <v>1</v>
      </c>
      <c r="I3290" s="1566"/>
      <c r="J3290" s="1566"/>
      <c r="K3290" s="1572">
        <v>503</v>
      </c>
      <c r="L3290" s="1572">
        <v>502.75</v>
      </c>
      <c r="M3290" s="1572">
        <v>-502.75</v>
      </c>
      <c r="N3290" s="1564"/>
      <c r="O3290" s="1564"/>
      <c r="P3290" s="1572">
        <v>502.75</v>
      </c>
      <c r="Q3290" s="1572">
        <v>-502.75</v>
      </c>
      <c r="R3290" s="1564"/>
      <c r="S3290" s="1562"/>
    </row>
    <row r="3291" spans="2:19" ht="11.25" customHeight="1" outlineLevel="1">
      <c r="B3291" s="1573">
        <v>33970</v>
      </c>
      <c r="C3291" s="1566" t="s">
        <v>5403</v>
      </c>
      <c r="D3291" s="1566" t="s">
        <v>9988</v>
      </c>
      <c r="E3291" s="1566"/>
      <c r="F3291" s="1566"/>
      <c r="G3291" s="1566"/>
      <c r="H3291" s="1568">
        <v>1</v>
      </c>
      <c r="I3291" s="1566"/>
      <c r="J3291" s="1566"/>
      <c r="K3291" s="1572">
        <v>503</v>
      </c>
      <c r="L3291" s="1572">
        <v>502.75</v>
      </c>
      <c r="M3291" s="1572">
        <v>-502.75</v>
      </c>
      <c r="N3291" s="1564"/>
      <c r="O3291" s="1564"/>
      <c r="P3291" s="1572">
        <v>502.75</v>
      </c>
      <c r="Q3291" s="1572">
        <v>-502.75</v>
      </c>
      <c r="R3291" s="1564"/>
      <c r="S3291" s="1562"/>
    </row>
    <row r="3292" spans="2:19" ht="11.25" customHeight="1" outlineLevel="1">
      <c r="B3292" s="1573">
        <v>33971</v>
      </c>
      <c r="C3292" s="1566" t="s">
        <v>5403</v>
      </c>
      <c r="D3292" s="1566" t="s">
        <v>9987</v>
      </c>
      <c r="E3292" s="1566"/>
      <c r="F3292" s="1566"/>
      <c r="G3292" s="1566"/>
      <c r="H3292" s="1568">
        <v>1</v>
      </c>
      <c r="I3292" s="1566"/>
      <c r="J3292" s="1566"/>
      <c r="K3292" s="1572">
        <v>503</v>
      </c>
      <c r="L3292" s="1572">
        <v>502.75</v>
      </c>
      <c r="M3292" s="1572">
        <v>-502.75</v>
      </c>
      <c r="N3292" s="1564"/>
      <c r="O3292" s="1564"/>
      <c r="P3292" s="1572">
        <v>502.75</v>
      </c>
      <c r="Q3292" s="1572">
        <v>-502.75</v>
      </c>
      <c r="R3292" s="1564"/>
      <c r="S3292" s="1562"/>
    </row>
    <row r="3293" spans="2:19" ht="11.25" customHeight="1" outlineLevel="1">
      <c r="B3293" s="1573">
        <v>33972</v>
      </c>
      <c r="C3293" s="1566" t="s">
        <v>5403</v>
      </c>
      <c r="D3293" s="1566" t="s">
        <v>9986</v>
      </c>
      <c r="E3293" s="1566"/>
      <c r="F3293" s="1566"/>
      <c r="G3293" s="1566"/>
      <c r="H3293" s="1568">
        <v>1</v>
      </c>
      <c r="I3293" s="1566"/>
      <c r="J3293" s="1566"/>
      <c r="K3293" s="1572">
        <v>551</v>
      </c>
      <c r="L3293" s="1572">
        <v>550.53</v>
      </c>
      <c r="M3293" s="1572">
        <v>-550.53</v>
      </c>
      <c r="N3293" s="1564"/>
      <c r="O3293" s="1564"/>
      <c r="P3293" s="1572">
        <v>550.53</v>
      </c>
      <c r="Q3293" s="1572">
        <v>-550.53</v>
      </c>
      <c r="R3293" s="1564"/>
      <c r="S3293" s="1562"/>
    </row>
    <row r="3294" spans="2:19" ht="11.25" customHeight="1" outlineLevel="1">
      <c r="B3294" s="1573">
        <v>33973</v>
      </c>
      <c r="C3294" s="1566" t="s">
        <v>5403</v>
      </c>
      <c r="D3294" s="1566" t="s">
        <v>9985</v>
      </c>
      <c r="E3294" s="1566"/>
      <c r="F3294" s="1566"/>
      <c r="G3294" s="1566"/>
      <c r="H3294" s="1568">
        <v>1</v>
      </c>
      <c r="I3294" s="1566"/>
      <c r="J3294" s="1566"/>
      <c r="K3294" s="1572">
        <v>551</v>
      </c>
      <c r="L3294" s="1572">
        <v>550.53</v>
      </c>
      <c r="M3294" s="1572">
        <v>-550.53</v>
      </c>
      <c r="N3294" s="1564"/>
      <c r="O3294" s="1564"/>
      <c r="P3294" s="1572">
        <v>550.53</v>
      </c>
      <c r="Q3294" s="1572">
        <v>-550.53</v>
      </c>
      <c r="R3294" s="1564"/>
      <c r="S3294" s="1562"/>
    </row>
    <row r="3295" spans="2:19" ht="11.25" customHeight="1" outlineLevel="1">
      <c r="B3295" s="1573">
        <v>33974</v>
      </c>
      <c r="C3295" s="1566" t="s">
        <v>5403</v>
      </c>
      <c r="D3295" s="1566" t="s">
        <v>9984</v>
      </c>
      <c r="E3295" s="1566"/>
      <c r="F3295" s="1566"/>
      <c r="G3295" s="1566"/>
      <c r="H3295" s="1568">
        <v>1</v>
      </c>
      <c r="I3295" s="1566"/>
      <c r="J3295" s="1566"/>
      <c r="K3295" s="1572">
        <v>551</v>
      </c>
      <c r="L3295" s="1572">
        <v>550.53</v>
      </c>
      <c r="M3295" s="1572">
        <v>-550.53</v>
      </c>
      <c r="N3295" s="1564"/>
      <c r="O3295" s="1564"/>
      <c r="P3295" s="1572">
        <v>550.53</v>
      </c>
      <c r="Q3295" s="1572">
        <v>-550.53</v>
      </c>
      <c r="R3295" s="1564"/>
      <c r="S3295" s="1562"/>
    </row>
    <row r="3296" spans="2:19" ht="11.25" customHeight="1" outlineLevel="1">
      <c r="B3296" s="1573">
        <v>33975</v>
      </c>
      <c r="C3296" s="1566" t="s">
        <v>5403</v>
      </c>
      <c r="D3296" s="1566" t="s">
        <v>9983</v>
      </c>
      <c r="E3296" s="1566"/>
      <c r="F3296" s="1566"/>
      <c r="G3296" s="1566"/>
      <c r="H3296" s="1568">
        <v>1</v>
      </c>
      <c r="I3296" s="1566"/>
      <c r="J3296" s="1566"/>
      <c r="K3296" s="1572">
        <v>551</v>
      </c>
      <c r="L3296" s="1572">
        <v>550.53</v>
      </c>
      <c r="M3296" s="1572">
        <v>-550.53</v>
      </c>
      <c r="N3296" s="1564"/>
      <c r="O3296" s="1564"/>
      <c r="P3296" s="1572">
        <v>550.53</v>
      </c>
      <c r="Q3296" s="1572">
        <v>-550.53</v>
      </c>
      <c r="R3296" s="1564"/>
      <c r="S3296" s="1562"/>
    </row>
    <row r="3297" spans="2:19" ht="11.25" customHeight="1" outlineLevel="1">
      <c r="B3297" s="1573">
        <v>33976</v>
      </c>
      <c r="C3297" s="1566" t="s">
        <v>5403</v>
      </c>
      <c r="D3297" s="1566" t="s">
        <v>9982</v>
      </c>
      <c r="E3297" s="1566"/>
      <c r="F3297" s="1566"/>
      <c r="G3297" s="1566"/>
      <c r="H3297" s="1568">
        <v>1</v>
      </c>
      <c r="I3297" s="1566"/>
      <c r="J3297" s="1566"/>
      <c r="K3297" s="1572">
        <v>551</v>
      </c>
      <c r="L3297" s="1572">
        <v>550.53</v>
      </c>
      <c r="M3297" s="1572">
        <v>-550.53</v>
      </c>
      <c r="N3297" s="1564"/>
      <c r="O3297" s="1564"/>
      <c r="P3297" s="1572">
        <v>550.53</v>
      </c>
      <c r="Q3297" s="1572">
        <v>-550.53</v>
      </c>
      <c r="R3297" s="1564"/>
      <c r="S3297" s="1562"/>
    </row>
    <row r="3298" spans="2:19" ht="11.25" customHeight="1" outlineLevel="1">
      <c r="B3298" s="1573">
        <v>33977</v>
      </c>
      <c r="C3298" s="1566" t="s">
        <v>5403</v>
      </c>
      <c r="D3298" s="1566" t="s">
        <v>9981</v>
      </c>
      <c r="E3298" s="1566"/>
      <c r="F3298" s="1566"/>
      <c r="G3298" s="1566"/>
      <c r="H3298" s="1568">
        <v>1</v>
      </c>
      <c r="I3298" s="1566"/>
      <c r="J3298" s="1566"/>
      <c r="K3298" s="1572">
        <v>551</v>
      </c>
      <c r="L3298" s="1572">
        <v>550.53</v>
      </c>
      <c r="M3298" s="1572">
        <v>-550.53</v>
      </c>
      <c r="N3298" s="1564"/>
      <c r="O3298" s="1564"/>
      <c r="P3298" s="1572">
        <v>550.53</v>
      </c>
      <c r="Q3298" s="1572">
        <v>-550.53</v>
      </c>
      <c r="R3298" s="1564"/>
      <c r="S3298" s="1562"/>
    </row>
    <row r="3299" spans="2:19" ht="11.25" customHeight="1" outlineLevel="1">
      <c r="B3299" s="1573">
        <v>33978</v>
      </c>
      <c r="C3299" s="1566" t="s">
        <v>5403</v>
      </c>
      <c r="D3299" s="1566" t="s">
        <v>9980</v>
      </c>
      <c r="E3299" s="1566"/>
      <c r="F3299" s="1566"/>
      <c r="G3299" s="1566"/>
      <c r="H3299" s="1568">
        <v>1</v>
      </c>
      <c r="I3299" s="1566"/>
      <c r="J3299" s="1566"/>
      <c r="K3299" s="1572">
        <v>551</v>
      </c>
      <c r="L3299" s="1572">
        <v>550.53</v>
      </c>
      <c r="M3299" s="1572">
        <v>-550.53</v>
      </c>
      <c r="N3299" s="1564"/>
      <c r="O3299" s="1564"/>
      <c r="P3299" s="1572">
        <v>550.53</v>
      </c>
      <c r="Q3299" s="1572">
        <v>-550.53</v>
      </c>
      <c r="R3299" s="1564"/>
      <c r="S3299" s="1562"/>
    </row>
    <row r="3300" spans="2:19" ht="11.25" customHeight="1" outlineLevel="1">
      <c r="B3300" s="1573">
        <v>33979</v>
      </c>
      <c r="C3300" s="1566" t="s">
        <v>5403</v>
      </c>
      <c r="D3300" s="1566" t="s">
        <v>9979</v>
      </c>
      <c r="E3300" s="1566"/>
      <c r="F3300" s="1566"/>
      <c r="G3300" s="1566"/>
      <c r="H3300" s="1568">
        <v>1</v>
      </c>
      <c r="I3300" s="1566"/>
      <c r="J3300" s="1566"/>
      <c r="K3300" s="1572">
        <v>551</v>
      </c>
      <c r="L3300" s="1572">
        <v>550.53</v>
      </c>
      <c r="M3300" s="1572">
        <v>-550.53</v>
      </c>
      <c r="N3300" s="1564"/>
      <c r="O3300" s="1564"/>
      <c r="P3300" s="1572">
        <v>550.53</v>
      </c>
      <c r="Q3300" s="1572">
        <v>-550.53</v>
      </c>
      <c r="R3300" s="1564"/>
      <c r="S3300" s="1562"/>
    </row>
    <row r="3301" spans="2:19" ht="11.25" customHeight="1" outlineLevel="1">
      <c r="B3301" s="1573">
        <v>33980</v>
      </c>
      <c r="C3301" s="1566" t="s">
        <v>5403</v>
      </c>
      <c r="D3301" s="1566" t="s">
        <v>9978</v>
      </c>
      <c r="E3301" s="1566"/>
      <c r="F3301" s="1566"/>
      <c r="G3301" s="1566"/>
      <c r="H3301" s="1568">
        <v>1</v>
      </c>
      <c r="I3301" s="1566"/>
      <c r="J3301" s="1566"/>
      <c r="K3301" s="1572">
        <v>551</v>
      </c>
      <c r="L3301" s="1572">
        <v>550.53</v>
      </c>
      <c r="M3301" s="1572">
        <v>-550.53</v>
      </c>
      <c r="N3301" s="1564"/>
      <c r="O3301" s="1564"/>
      <c r="P3301" s="1572">
        <v>550.53</v>
      </c>
      <c r="Q3301" s="1572">
        <v>-550.53</v>
      </c>
      <c r="R3301" s="1564"/>
      <c r="S3301" s="1562"/>
    </row>
    <row r="3302" spans="2:19" ht="11.25" customHeight="1" outlineLevel="1">
      <c r="B3302" s="1573">
        <v>33981</v>
      </c>
      <c r="C3302" s="1566" t="s">
        <v>5403</v>
      </c>
      <c r="D3302" s="1566" t="s">
        <v>9977</v>
      </c>
      <c r="E3302" s="1566"/>
      <c r="F3302" s="1566"/>
      <c r="G3302" s="1566"/>
      <c r="H3302" s="1568">
        <v>1</v>
      </c>
      <c r="I3302" s="1566"/>
      <c r="J3302" s="1566"/>
      <c r="K3302" s="1572">
        <v>551</v>
      </c>
      <c r="L3302" s="1572">
        <v>550.53</v>
      </c>
      <c r="M3302" s="1572">
        <v>-550.53</v>
      </c>
      <c r="N3302" s="1564"/>
      <c r="O3302" s="1564"/>
      <c r="P3302" s="1572">
        <v>550.53</v>
      </c>
      <c r="Q3302" s="1572">
        <v>-550.53</v>
      </c>
      <c r="R3302" s="1564"/>
      <c r="S3302" s="1562"/>
    </row>
    <row r="3303" spans="2:19" ht="11.25" customHeight="1" outlineLevel="1">
      <c r="B3303" s="1573">
        <v>33982</v>
      </c>
      <c r="C3303" s="1566" t="s">
        <v>5403</v>
      </c>
      <c r="D3303" s="1566" t="s">
        <v>9976</v>
      </c>
      <c r="E3303" s="1566"/>
      <c r="F3303" s="1566"/>
      <c r="G3303" s="1566"/>
      <c r="H3303" s="1568">
        <v>1</v>
      </c>
      <c r="I3303" s="1566"/>
      <c r="J3303" s="1566"/>
      <c r="K3303" s="1572">
        <v>551</v>
      </c>
      <c r="L3303" s="1572">
        <v>550.53</v>
      </c>
      <c r="M3303" s="1572">
        <v>-550.53</v>
      </c>
      <c r="N3303" s="1564"/>
      <c r="O3303" s="1564"/>
      <c r="P3303" s="1572">
        <v>550.53</v>
      </c>
      <c r="Q3303" s="1572">
        <v>-550.53</v>
      </c>
      <c r="R3303" s="1564"/>
      <c r="S3303" s="1562"/>
    </row>
    <row r="3304" spans="2:19" ht="11.25" customHeight="1" outlineLevel="1">
      <c r="B3304" s="1573">
        <v>33983</v>
      </c>
      <c r="C3304" s="1566" t="s">
        <v>5403</v>
      </c>
      <c r="D3304" s="1566" t="s">
        <v>9975</v>
      </c>
      <c r="E3304" s="1566"/>
      <c r="F3304" s="1566"/>
      <c r="G3304" s="1566"/>
      <c r="H3304" s="1568">
        <v>1</v>
      </c>
      <c r="I3304" s="1566"/>
      <c r="J3304" s="1566"/>
      <c r="K3304" s="1572">
        <v>551</v>
      </c>
      <c r="L3304" s="1572">
        <v>550.53</v>
      </c>
      <c r="M3304" s="1572">
        <v>-550.53</v>
      </c>
      <c r="N3304" s="1564"/>
      <c r="O3304" s="1564"/>
      <c r="P3304" s="1572">
        <v>550.53</v>
      </c>
      <c r="Q3304" s="1572">
        <v>-550.53</v>
      </c>
      <c r="R3304" s="1564"/>
      <c r="S3304" s="1562"/>
    </row>
    <row r="3305" spans="2:19" ht="11.25" customHeight="1" outlineLevel="1">
      <c r="B3305" s="1573">
        <v>33984</v>
      </c>
      <c r="C3305" s="1566" t="s">
        <v>5403</v>
      </c>
      <c r="D3305" s="1566" t="s">
        <v>9974</v>
      </c>
      <c r="E3305" s="1566"/>
      <c r="F3305" s="1566"/>
      <c r="G3305" s="1566"/>
      <c r="H3305" s="1568">
        <v>1</v>
      </c>
      <c r="I3305" s="1566"/>
      <c r="J3305" s="1566"/>
      <c r="K3305" s="1572">
        <v>551</v>
      </c>
      <c r="L3305" s="1572">
        <v>550.53</v>
      </c>
      <c r="M3305" s="1572">
        <v>-550.53</v>
      </c>
      <c r="N3305" s="1564"/>
      <c r="O3305" s="1564"/>
      <c r="P3305" s="1572">
        <v>550.53</v>
      </c>
      <c r="Q3305" s="1572">
        <v>-550.53</v>
      </c>
      <c r="R3305" s="1564"/>
      <c r="S3305" s="1562"/>
    </row>
    <row r="3306" spans="2:19" ht="11.25" customHeight="1" outlineLevel="1">
      <c r="B3306" s="1573">
        <v>33985</v>
      </c>
      <c r="C3306" s="1566" t="s">
        <v>5403</v>
      </c>
      <c r="D3306" s="1566" t="s">
        <v>9973</v>
      </c>
      <c r="E3306" s="1566"/>
      <c r="F3306" s="1566"/>
      <c r="G3306" s="1566"/>
      <c r="H3306" s="1568">
        <v>1</v>
      </c>
      <c r="I3306" s="1566"/>
      <c r="J3306" s="1566"/>
      <c r="K3306" s="1572">
        <v>551</v>
      </c>
      <c r="L3306" s="1572">
        <v>550.53</v>
      </c>
      <c r="M3306" s="1572">
        <v>-550.53</v>
      </c>
      <c r="N3306" s="1564"/>
      <c r="O3306" s="1564"/>
      <c r="P3306" s="1572">
        <v>550.53</v>
      </c>
      <c r="Q3306" s="1572">
        <v>-550.53</v>
      </c>
      <c r="R3306" s="1564"/>
      <c r="S3306" s="1562"/>
    </row>
    <row r="3307" spans="2:19" ht="11.25" customHeight="1" outlineLevel="1">
      <c r="B3307" s="1573">
        <v>33986</v>
      </c>
      <c r="C3307" s="1566" t="s">
        <v>5403</v>
      </c>
      <c r="D3307" s="1566" t="s">
        <v>9972</v>
      </c>
      <c r="E3307" s="1566"/>
      <c r="F3307" s="1566"/>
      <c r="G3307" s="1566"/>
      <c r="H3307" s="1568">
        <v>1</v>
      </c>
      <c r="I3307" s="1566"/>
      <c r="J3307" s="1566"/>
      <c r="K3307" s="1572">
        <v>551</v>
      </c>
      <c r="L3307" s="1572">
        <v>550.53</v>
      </c>
      <c r="M3307" s="1572">
        <v>-550.53</v>
      </c>
      <c r="N3307" s="1564"/>
      <c r="O3307" s="1564"/>
      <c r="P3307" s="1572">
        <v>550.53</v>
      </c>
      <c r="Q3307" s="1572">
        <v>-550.53</v>
      </c>
      <c r="R3307" s="1564"/>
      <c r="S3307" s="1562"/>
    </row>
    <row r="3308" spans="2:19" ht="11.25" customHeight="1" outlineLevel="1">
      <c r="B3308" s="1573">
        <v>33987</v>
      </c>
      <c r="C3308" s="1566" t="s">
        <v>5403</v>
      </c>
      <c r="D3308" s="1566" t="s">
        <v>9971</v>
      </c>
      <c r="E3308" s="1566"/>
      <c r="F3308" s="1566"/>
      <c r="G3308" s="1566"/>
      <c r="H3308" s="1568">
        <v>1</v>
      </c>
      <c r="I3308" s="1566"/>
      <c r="J3308" s="1566"/>
      <c r="K3308" s="1572">
        <v>551</v>
      </c>
      <c r="L3308" s="1572">
        <v>550.53</v>
      </c>
      <c r="M3308" s="1572">
        <v>-550.53</v>
      </c>
      <c r="N3308" s="1564"/>
      <c r="O3308" s="1564"/>
      <c r="P3308" s="1572">
        <v>550.53</v>
      </c>
      <c r="Q3308" s="1572">
        <v>-550.53</v>
      </c>
      <c r="R3308" s="1564"/>
      <c r="S3308" s="1562"/>
    </row>
    <row r="3309" spans="2:19" ht="11.25" customHeight="1" outlineLevel="1">
      <c r="B3309" s="1573">
        <v>33988</v>
      </c>
      <c r="C3309" s="1566" t="s">
        <v>5403</v>
      </c>
      <c r="D3309" s="1566" t="s">
        <v>9970</v>
      </c>
      <c r="E3309" s="1566"/>
      <c r="F3309" s="1566"/>
      <c r="G3309" s="1566"/>
      <c r="H3309" s="1568">
        <v>1</v>
      </c>
      <c r="I3309" s="1566"/>
      <c r="J3309" s="1566"/>
      <c r="K3309" s="1572">
        <v>551</v>
      </c>
      <c r="L3309" s="1572">
        <v>550.53</v>
      </c>
      <c r="M3309" s="1572">
        <v>-550.53</v>
      </c>
      <c r="N3309" s="1564"/>
      <c r="O3309" s="1564"/>
      <c r="P3309" s="1572">
        <v>550.53</v>
      </c>
      <c r="Q3309" s="1572">
        <v>-550.53</v>
      </c>
      <c r="R3309" s="1564"/>
      <c r="S3309" s="1562"/>
    </row>
    <row r="3310" spans="2:19" ht="11.25" customHeight="1" outlineLevel="1">
      <c r="B3310" s="1573">
        <v>33989</v>
      </c>
      <c r="C3310" s="1566" t="s">
        <v>5403</v>
      </c>
      <c r="D3310" s="1566" t="s">
        <v>9969</v>
      </c>
      <c r="E3310" s="1566"/>
      <c r="F3310" s="1566"/>
      <c r="G3310" s="1566"/>
      <c r="H3310" s="1568">
        <v>1</v>
      </c>
      <c r="I3310" s="1566"/>
      <c r="J3310" s="1566"/>
      <c r="K3310" s="1572">
        <v>551</v>
      </c>
      <c r="L3310" s="1572">
        <v>550.53</v>
      </c>
      <c r="M3310" s="1572">
        <v>-550.53</v>
      </c>
      <c r="N3310" s="1564"/>
      <c r="O3310" s="1564"/>
      <c r="P3310" s="1572">
        <v>550.53</v>
      </c>
      <c r="Q3310" s="1572">
        <v>-550.53</v>
      </c>
      <c r="R3310" s="1564"/>
      <c r="S3310" s="1562"/>
    </row>
    <row r="3311" spans="2:19" ht="11.25" customHeight="1" outlineLevel="1">
      <c r="B3311" s="1573">
        <v>33990</v>
      </c>
      <c r="C3311" s="1566" t="s">
        <v>5403</v>
      </c>
      <c r="D3311" s="1566" t="s">
        <v>9968</v>
      </c>
      <c r="E3311" s="1566"/>
      <c r="F3311" s="1566"/>
      <c r="G3311" s="1566"/>
      <c r="H3311" s="1568">
        <v>1</v>
      </c>
      <c r="I3311" s="1566"/>
      <c r="J3311" s="1566"/>
      <c r="K3311" s="1572">
        <v>551</v>
      </c>
      <c r="L3311" s="1572">
        <v>550.53</v>
      </c>
      <c r="M3311" s="1572">
        <v>-550.53</v>
      </c>
      <c r="N3311" s="1564"/>
      <c r="O3311" s="1564"/>
      <c r="P3311" s="1572">
        <v>550.53</v>
      </c>
      <c r="Q3311" s="1572">
        <v>-550.53</v>
      </c>
      <c r="R3311" s="1564"/>
      <c r="S3311" s="1562"/>
    </row>
    <row r="3312" spans="2:19" ht="11.25" customHeight="1" outlineLevel="1">
      <c r="B3312" s="1573">
        <v>33991</v>
      </c>
      <c r="C3312" s="1566" t="s">
        <v>5403</v>
      </c>
      <c r="D3312" s="1566" t="s">
        <v>9967</v>
      </c>
      <c r="E3312" s="1566"/>
      <c r="F3312" s="1566"/>
      <c r="G3312" s="1566"/>
      <c r="H3312" s="1568">
        <v>1</v>
      </c>
      <c r="I3312" s="1566"/>
      <c r="J3312" s="1566"/>
      <c r="K3312" s="1572">
        <v>551</v>
      </c>
      <c r="L3312" s="1572">
        <v>550.53</v>
      </c>
      <c r="M3312" s="1572">
        <v>-550.53</v>
      </c>
      <c r="N3312" s="1564"/>
      <c r="O3312" s="1564"/>
      <c r="P3312" s="1572">
        <v>550.53</v>
      </c>
      <c r="Q3312" s="1572">
        <v>-550.53</v>
      </c>
      <c r="R3312" s="1564"/>
      <c r="S3312" s="1562"/>
    </row>
    <row r="3313" spans="2:19" ht="11.25" customHeight="1" outlineLevel="1">
      <c r="B3313" s="1573">
        <v>33992</v>
      </c>
      <c r="C3313" s="1566" t="s">
        <v>5403</v>
      </c>
      <c r="D3313" s="1566" t="s">
        <v>9966</v>
      </c>
      <c r="E3313" s="1566"/>
      <c r="F3313" s="1566"/>
      <c r="G3313" s="1566"/>
      <c r="H3313" s="1568">
        <v>1</v>
      </c>
      <c r="I3313" s="1566"/>
      <c r="J3313" s="1566"/>
      <c r="K3313" s="1572">
        <v>551</v>
      </c>
      <c r="L3313" s="1572">
        <v>550.53</v>
      </c>
      <c r="M3313" s="1572">
        <v>-550.53</v>
      </c>
      <c r="N3313" s="1564"/>
      <c r="O3313" s="1564"/>
      <c r="P3313" s="1572">
        <v>550.53</v>
      </c>
      <c r="Q3313" s="1572">
        <v>-550.53</v>
      </c>
      <c r="R3313" s="1564"/>
      <c r="S3313" s="1562"/>
    </row>
    <row r="3314" spans="2:19" ht="11.25" customHeight="1" outlineLevel="1">
      <c r="B3314" s="1573">
        <v>33993</v>
      </c>
      <c r="C3314" s="1566" t="s">
        <v>5403</v>
      </c>
      <c r="D3314" s="1566" t="s">
        <v>9965</v>
      </c>
      <c r="E3314" s="1566"/>
      <c r="F3314" s="1566"/>
      <c r="G3314" s="1566"/>
      <c r="H3314" s="1568">
        <v>1</v>
      </c>
      <c r="I3314" s="1566"/>
      <c r="J3314" s="1566"/>
      <c r="K3314" s="1572">
        <v>551</v>
      </c>
      <c r="L3314" s="1572">
        <v>550.53</v>
      </c>
      <c r="M3314" s="1572">
        <v>-550.53</v>
      </c>
      <c r="N3314" s="1564"/>
      <c r="O3314" s="1564"/>
      <c r="P3314" s="1572">
        <v>550.53</v>
      </c>
      <c r="Q3314" s="1572">
        <v>-550.53</v>
      </c>
      <c r="R3314" s="1564"/>
      <c r="S3314" s="1562"/>
    </row>
    <row r="3315" spans="2:19" ht="11.25" customHeight="1" outlineLevel="1">
      <c r="B3315" s="1573">
        <v>33994</v>
      </c>
      <c r="C3315" s="1566" t="s">
        <v>5403</v>
      </c>
      <c r="D3315" s="1566" t="s">
        <v>9964</v>
      </c>
      <c r="E3315" s="1566"/>
      <c r="F3315" s="1566"/>
      <c r="G3315" s="1566"/>
      <c r="H3315" s="1568">
        <v>1</v>
      </c>
      <c r="I3315" s="1566"/>
      <c r="J3315" s="1566"/>
      <c r="K3315" s="1572">
        <v>551</v>
      </c>
      <c r="L3315" s="1572">
        <v>550.53</v>
      </c>
      <c r="M3315" s="1572">
        <v>-550.53</v>
      </c>
      <c r="N3315" s="1564"/>
      <c r="O3315" s="1564"/>
      <c r="P3315" s="1572">
        <v>550.53</v>
      </c>
      <c r="Q3315" s="1572">
        <v>-550.53</v>
      </c>
      <c r="R3315" s="1564"/>
      <c r="S3315" s="1562"/>
    </row>
    <row r="3316" spans="2:19" ht="11.25" customHeight="1" outlineLevel="1">
      <c r="B3316" s="1573">
        <v>33995</v>
      </c>
      <c r="C3316" s="1566" t="s">
        <v>5403</v>
      </c>
      <c r="D3316" s="1566" t="s">
        <v>9963</v>
      </c>
      <c r="E3316" s="1566"/>
      <c r="F3316" s="1566"/>
      <c r="G3316" s="1566"/>
      <c r="H3316" s="1568">
        <v>1</v>
      </c>
      <c r="I3316" s="1566"/>
      <c r="J3316" s="1566"/>
      <c r="K3316" s="1572">
        <v>551</v>
      </c>
      <c r="L3316" s="1572">
        <v>550.53</v>
      </c>
      <c r="M3316" s="1572">
        <v>-550.53</v>
      </c>
      <c r="N3316" s="1564"/>
      <c r="O3316" s="1564"/>
      <c r="P3316" s="1572">
        <v>550.53</v>
      </c>
      <c r="Q3316" s="1572">
        <v>-550.53</v>
      </c>
      <c r="R3316" s="1564"/>
      <c r="S3316" s="1562"/>
    </row>
    <row r="3317" spans="2:19" ht="11.25" customHeight="1" outlineLevel="1">
      <c r="B3317" s="1573">
        <v>33996</v>
      </c>
      <c r="C3317" s="1566" t="s">
        <v>5403</v>
      </c>
      <c r="D3317" s="1566" t="s">
        <v>9962</v>
      </c>
      <c r="E3317" s="1566"/>
      <c r="F3317" s="1566"/>
      <c r="G3317" s="1566"/>
      <c r="H3317" s="1568">
        <v>1</v>
      </c>
      <c r="I3317" s="1566"/>
      <c r="J3317" s="1566"/>
      <c r="K3317" s="1572">
        <v>551</v>
      </c>
      <c r="L3317" s="1572">
        <v>550.53</v>
      </c>
      <c r="M3317" s="1572">
        <v>-550.53</v>
      </c>
      <c r="N3317" s="1564"/>
      <c r="O3317" s="1564"/>
      <c r="P3317" s="1572">
        <v>550.53</v>
      </c>
      <c r="Q3317" s="1572">
        <v>-550.53</v>
      </c>
      <c r="R3317" s="1564"/>
      <c r="S3317" s="1562"/>
    </row>
    <row r="3318" spans="2:19" ht="11.25" customHeight="1" outlineLevel="1">
      <c r="B3318" s="1573">
        <v>33997</v>
      </c>
      <c r="C3318" s="1566" t="s">
        <v>5403</v>
      </c>
      <c r="D3318" s="1566" t="s">
        <v>9961</v>
      </c>
      <c r="E3318" s="1566"/>
      <c r="F3318" s="1566"/>
      <c r="G3318" s="1566"/>
      <c r="H3318" s="1568">
        <v>1</v>
      </c>
      <c r="I3318" s="1566"/>
      <c r="J3318" s="1566"/>
      <c r="K3318" s="1572">
        <v>551</v>
      </c>
      <c r="L3318" s="1572">
        <v>550.53</v>
      </c>
      <c r="M3318" s="1572">
        <v>-550.53</v>
      </c>
      <c r="N3318" s="1564"/>
      <c r="O3318" s="1564"/>
      <c r="P3318" s="1572">
        <v>550.53</v>
      </c>
      <c r="Q3318" s="1572">
        <v>-550.53</v>
      </c>
      <c r="R3318" s="1564"/>
      <c r="S3318" s="1562"/>
    </row>
    <row r="3319" spans="2:19" ht="11.25" customHeight="1" outlineLevel="1">
      <c r="B3319" s="1573">
        <v>33998</v>
      </c>
      <c r="C3319" s="1566" t="s">
        <v>5403</v>
      </c>
      <c r="D3319" s="1566" t="s">
        <v>9960</v>
      </c>
      <c r="E3319" s="1566"/>
      <c r="F3319" s="1566"/>
      <c r="G3319" s="1566"/>
      <c r="H3319" s="1568">
        <v>1</v>
      </c>
      <c r="I3319" s="1566"/>
      <c r="J3319" s="1566"/>
      <c r="K3319" s="1572">
        <v>551</v>
      </c>
      <c r="L3319" s="1572">
        <v>550.53</v>
      </c>
      <c r="M3319" s="1572">
        <v>-550.53</v>
      </c>
      <c r="N3319" s="1564"/>
      <c r="O3319" s="1564"/>
      <c r="P3319" s="1572">
        <v>550.53</v>
      </c>
      <c r="Q3319" s="1572">
        <v>-550.53</v>
      </c>
      <c r="R3319" s="1564"/>
      <c r="S3319" s="1562"/>
    </row>
    <row r="3320" spans="2:19" ht="11.25" customHeight="1" outlineLevel="1">
      <c r="B3320" s="1573">
        <v>33999</v>
      </c>
      <c r="C3320" s="1566" t="s">
        <v>5403</v>
      </c>
      <c r="D3320" s="1566" t="s">
        <v>9959</v>
      </c>
      <c r="E3320" s="1566"/>
      <c r="F3320" s="1566"/>
      <c r="G3320" s="1566"/>
      <c r="H3320" s="1568">
        <v>1</v>
      </c>
      <c r="I3320" s="1566"/>
      <c r="J3320" s="1566"/>
      <c r="K3320" s="1572">
        <v>551</v>
      </c>
      <c r="L3320" s="1572">
        <v>550.53</v>
      </c>
      <c r="M3320" s="1572">
        <v>-550.53</v>
      </c>
      <c r="N3320" s="1564"/>
      <c r="O3320" s="1564"/>
      <c r="P3320" s="1572">
        <v>550.53</v>
      </c>
      <c r="Q3320" s="1572">
        <v>-550.53</v>
      </c>
      <c r="R3320" s="1564"/>
      <c r="S3320" s="1562"/>
    </row>
    <row r="3321" spans="2:19" ht="11.25" customHeight="1" outlineLevel="1">
      <c r="B3321" s="1573">
        <v>34000</v>
      </c>
      <c r="C3321" s="1566" t="s">
        <v>5403</v>
      </c>
      <c r="D3321" s="1566" t="s">
        <v>9958</v>
      </c>
      <c r="E3321" s="1566"/>
      <c r="F3321" s="1566"/>
      <c r="G3321" s="1566"/>
      <c r="H3321" s="1568">
        <v>1</v>
      </c>
      <c r="I3321" s="1566"/>
      <c r="J3321" s="1566"/>
      <c r="K3321" s="1572">
        <v>551</v>
      </c>
      <c r="L3321" s="1572">
        <v>550.53</v>
      </c>
      <c r="M3321" s="1572">
        <v>-550.53</v>
      </c>
      <c r="N3321" s="1564"/>
      <c r="O3321" s="1564"/>
      <c r="P3321" s="1572">
        <v>550.53</v>
      </c>
      <c r="Q3321" s="1572">
        <v>-550.53</v>
      </c>
      <c r="R3321" s="1564"/>
      <c r="S3321" s="1562"/>
    </row>
    <row r="3322" spans="2:19" ht="11.25" customHeight="1" outlineLevel="1">
      <c r="B3322" s="1573">
        <v>34015</v>
      </c>
      <c r="C3322" s="1566" t="s">
        <v>5403</v>
      </c>
      <c r="D3322" s="1566" t="s">
        <v>9957</v>
      </c>
      <c r="E3322" s="1566"/>
      <c r="F3322" s="1566"/>
      <c r="G3322" s="1566"/>
      <c r="H3322" s="1568">
        <v>1</v>
      </c>
      <c r="I3322" s="1566"/>
      <c r="J3322" s="1566"/>
      <c r="K3322" s="1572">
        <v>551</v>
      </c>
      <c r="L3322" s="1572">
        <v>550.5</v>
      </c>
      <c r="M3322" s="1572">
        <v>-550.5</v>
      </c>
      <c r="N3322" s="1564"/>
      <c r="O3322" s="1564"/>
      <c r="P3322" s="1572">
        <v>550.5</v>
      </c>
      <c r="Q3322" s="1572">
        <v>-550.5</v>
      </c>
      <c r="R3322" s="1564"/>
      <c r="S3322" s="1562"/>
    </row>
    <row r="3323" spans="2:19" ht="11.25" customHeight="1" outlineLevel="1">
      <c r="B3323" s="1573">
        <v>34016</v>
      </c>
      <c r="C3323" s="1566" t="s">
        <v>5403</v>
      </c>
      <c r="D3323" s="1566" t="s">
        <v>9956</v>
      </c>
      <c r="E3323" s="1566"/>
      <c r="F3323" s="1566"/>
      <c r="G3323" s="1566"/>
      <c r="H3323" s="1568">
        <v>1</v>
      </c>
      <c r="I3323" s="1566"/>
      <c r="J3323" s="1566"/>
      <c r="K3323" s="1572">
        <v>551</v>
      </c>
      <c r="L3323" s="1572">
        <v>550.5</v>
      </c>
      <c r="M3323" s="1572">
        <v>-550.5</v>
      </c>
      <c r="N3323" s="1564"/>
      <c r="O3323" s="1564"/>
      <c r="P3323" s="1572">
        <v>550.5</v>
      </c>
      <c r="Q3323" s="1572">
        <v>-550.5</v>
      </c>
      <c r="R3323" s="1564"/>
      <c r="S3323" s="1562"/>
    </row>
    <row r="3324" spans="2:19" ht="11.25" customHeight="1" outlineLevel="1">
      <c r="B3324" s="1573">
        <v>34017</v>
      </c>
      <c r="C3324" s="1566" t="s">
        <v>5403</v>
      </c>
      <c r="D3324" s="1566" t="s">
        <v>9955</v>
      </c>
      <c r="E3324" s="1566"/>
      <c r="F3324" s="1566"/>
      <c r="G3324" s="1566"/>
      <c r="H3324" s="1568">
        <v>1</v>
      </c>
      <c r="I3324" s="1566"/>
      <c r="J3324" s="1566"/>
      <c r="K3324" s="1572">
        <v>551</v>
      </c>
      <c r="L3324" s="1572">
        <v>550.5</v>
      </c>
      <c r="M3324" s="1572">
        <v>-550.5</v>
      </c>
      <c r="N3324" s="1564"/>
      <c r="O3324" s="1564"/>
      <c r="P3324" s="1572">
        <v>550.5</v>
      </c>
      <c r="Q3324" s="1572">
        <v>-550.5</v>
      </c>
      <c r="R3324" s="1564"/>
      <c r="S3324" s="1562"/>
    </row>
    <row r="3325" spans="2:19" ht="11.25" customHeight="1" outlineLevel="1">
      <c r="B3325" s="1573">
        <v>34018</v>
      </c>
      <c r="C3325" s="1566" t="s">
        <v>5403</v>
      </c>
      <c r="D3325" s="1566" t="s">
        <v>9954</v>
      </c>
      <c r="E3325" s="1566"/>
      <c r="F3325" s="1566"/>
      <c r="G3325" s="1566"/>
      <c r="H3325" s="1568">
        <v>1</v>
      </c>
      <c r="I3325" s="1566"/>
      <c r="J3325" s="1566"/>
      <c r="K3325" s="1572">
        <v>551</v>
      </c>
      <c r="L3325" s="1572">
        <v>550.5</v>
      </c>
      <c r="M3325" s="1572">
        <v>-550.5</v>
      </c>
      <c r="N3325" s="1564"/>
      <c r="O3325" s="1564"/>
      <c r="P3325" s="1572">
        <v>550.5</v>
      </c>
      <c r="Q3325" s="1572">
        <v>-550.5</v>
      </c>
      <c r="R3325" s="1564"/>
      <c r="S3325" s="1562"/>
    </row>
    <row r="3326" spans="2:19" ht="11.25" customHeight="1" outlineLevel="1">
      <c r="B3326" s="1573">
        <v>34019</v>
      </c>
      <c r="C3326" s="1566" t="s">
        <v>5403</v>
      </c>
      <c r="D3326" s="1566" t="s">
        <v>9953</v>
      </c>
      <c r="E3326" s="1566"/>
      <c r="F3326" s="1566"/>
      <c r="G3326" s="1566"/>
      <c r="H3326" s="1568">
        <v>1</v>
      </c>
      <c r="I3326" s="1566"/>
      <c r="J3326" s="1566"/>
      <c r="K3326" s="1572">
        <v>551</v>
      </c>
      <c r="L3326" s="1572">
        <v>550.5</v>
      </c>
      <c r="M3326" s="1572">
        <v>-550.5</v>
      </c>
      <c r="N3326" s="1564"/>
      <c r="O3326" s="1564"/>
      <c r="P3326" s="1572">
        <v>550.5</v>
      </c>
      <c r="Q3326" s="1572">
        <v>-550.5</v>
      </c>
      <c r="R3326" s="1564"/>
      <c r="S3326" s="1562"/>
    </row>
    <row r="3327" spans="2:19" ht="11.25" customHeight="1" outlineLevel="1">
      <c r="B3327" s="1573">
        <v>34020</v>
      </c>
      <c r="C3327" s="1566" t="s">
        <v>5403</v>
      </c>
      <c r="D3327" s="1566" t="s">
        <v>9952</v>
      </c>
      <c r="E3327" s="1566"/>
      <c r="F3327" s="1566"/>
      <c r="G3327" s="1566"/>
      <c r="H3327" s="1568">
        <v>1</v>
      </c>
      <c r="I3327" s="1566"/>
      <c r="J3327" s="1566"/>
      <c r="K3327" s="1572">
        <v>551</v>
      </c>
      <c r="L3327" s="1572">
        <v>550.5</v>
      </c>
      <c r="M3327" s="1572">
        <v>-550.5</v>
      </c>
      <c r="N3327" s="1564"/>
      <c r="O3327" s="1564"/>
      <c r="P3327" s="1572">
        <v>550.5</v>
      </c>
      <c r="Q3327" s="1572">
        <v>-550.5</v>
      </c>
      <c r="R3327" s="1564"/>
      <c r="S3327" s="1562"/>
    </row>
    <row r="3328" spans="2:19" ht="11.25" customHeight="1" outlineLevel="1">
      <c r="B3328" s="1573">
        <v>34021</v>
      </c>
      <c r="C3328" s="1566" t="s">
        <v>5403</v>
      </c>
      <c r="D3328" s="1566" t="s">
        <v>9951</v>
      </c>
      <c r="E3328" s="1566"/>
      <c r="F3328" s="1566"/>
      <c r="G3328" s="1566"/>
      <c r="H3328" s="1568">
        <v>1</v>
      </c>
      <c r="I3328" s="1566"/>
      <c r="J3328" s="1566"/>
      <c r="K3328" s="1572">
        <v>551</v>
      </c>
      <c r="L3328" s="1572">
        <v>550.5</v>
      </c>
      <c r="M3328" s="1572">
        <v>-550.5</v>
      </c>
      <c r="N3328" s="1564"/>
      <c r="O3328" s="1564"/>
      <c r="P3328" s="1572">
        <v>550.5</v>
      </c>
      <c r="Q3328" s="1572">
        <v>-550.5</v>
      </c>
      <c r="R3328" s="1564"/>
      <c r="S3328" s="1562"/>
    </row>
    <row r="3329" spans="2:19" ht="11.25" customHeight="1" outlineLevel="1">
      <c r="B3329" s="1573">
        <v>34022</v>
      </c>
      <c r="C3329" s="1566" t="s">
        <v>5403</v>
      </c>
      <c r="D3329" s="1566" t="s">
        <v>9950</v>
      </c>
      <c r="E3329" s="1566"/>
      <c r="F3329" s="1566"/>
      <c r="G3329" s="1566"/>
      <c r="H3329" s="1568">
        <v>1</v>
      </c>
      <c r="I3329" s="1566"/>
      <c r="J3329" s="1566"/>
      <c r="K3329" s="1572">
        <v>551</v>
      </c>
      <c r="L3329" s="1572">
        <v>550.5</v>
      </c>
      <c r="M3329" s="1572">
        <v>-550.5</v>
      </c>
      <c r="N3329" s="1564"/>
      <c r="O3329" s="1564"/>
      <c r="P3329" s="1572">
        <v>550.5</v>
      </c>
      <c r="Q3329" s="1572">
        <v>-550.5</v>
      </c>
      <c r="R3329" s="1564"/>
      <c r="S3329" s="1562"/>
    </row>
    <row r="3330" spans="2:19" ht="11.25" customHeight="1" outlineLevel="1">
      <c r="B3330" s="1573">
        <v>34023</v>
      </c>
      <c r="C3330" s="1566" t="s">
        <v>5403</v>
      </c>
      <c r="D3330" s="1566" t="s">
        <v>9949</v>
      </c>
      <c r="E3330" s="1566"/>
      <c r="F3330" s="1566"/>
      <c r="G3330" s="1566"/>
      <c r="H3330" s="1568">
        <v>1</v>
      </c>
      <c r="I3330" s="1566"/>
      <c r="J3330" s="1566"/>
      <c r="K3330" s="1572">
        <v>551</v>
      </c>
      <c r="L3330" s="1572">
        <v>550.5</v>
      </c>
      <c r="M3330" s="1572">
        <v>-550.5</v>
      </c>
      <c r="N3330" s="1564"/>
      <c r="O3330" s="1564"/>
      <c r="P3330" s="1572">
        <v>550.5</v>
      </c>
      <c r="Q3330" s="1572">
        <v>-550.5</v>
      </c>
      <c r="R3330" s="1564"/>
      <c r="S3330" s="1562"/>
    </row>
    <row r="3331" spans="2:19" ht="11.25" customHeight="1" outlineLevel="1">
      <c r="B3331" s="1573">
        <v>34024</v>
      </c>
      <c r="C3331" s="1566" t="s">
        <v>5403</v>
      </c>
      <c r="D3331" s="1566" t="s">
        <v>9948</v>
      </c>
      <c r="E3331" s="1566"/>
      <c r="F3331" s="1566"/>
      <c r="G3331" s="1566"/>
      <c r="H3331" s="1568">
        <v>1</v>
      </c>
      <c r="I3331" s="1566"/>
      <c r="J3331" s="1566"/>
      <c r="K3331" s="1572">
        <v>551</v>
      </c>
      <c r="L3331" s="1572">
        <v>550.5</v>
      </c>
      <c r="M3331" s="1572">
        <v>-550.5</v>
      </c>
      <c r="N3331" s="1564"/>
      <c r="O3331" s="1564"/>
      <c r="P3331" s="1572">
        <v>550.5</v>
      </c>
      <c r="Q3331" s="1572">
        <v>-550.5</v>
      </c>
      <c r="R3331" s="1564"/>
      <c r="S3331" s="1562"/>
    </row>
    <row r="3332" spans="2:19" ht="11.25" customHeight="1" outlineLevel="1">
      <c r="B3332" s="1573">
        <v>34025</v>
      </c>
      <c r="C3332" s="1566" t="s">
        <v>5403</v>
      </c>
      <c r="D3332" s="1566" t="s">
        <v>9947</v>
      </c>
      <c r="E3332" s="1566"/>
      <c r="F3332" s="1566"/>
      <c r="G3332" s="1566"/>
      <c r="H3332" s="1568">
        <v>1</v>
      </c>
      <c r="I3332" s="1566"/>
      <c r="J3332" s="1566"/>
      <c r="K3332" s="1572">
        <v>551</v>
      </c>
      <c r="L3332" s="1572">
        <v>550.5</v>
      </c>
      <c r="M3332" s="1572">
        <v>-550.5</v>
      </c>
      <c r="N3332" s="1564"/>
      <c r="O3332" s="1564"/>
      <c r="P3332" s="1572">
        <v>550.5</v>
      </c>
      <c r="Q3332" s="1572">
        <v>-550.5</v>
      </c>
      <c r="R3332" s="1564"/>
      <c r="S3332" s="1562"/>
    </row>
    <row r="3333" spans="2:19" ht="11.25" customHeight="1" outlineLevel="1">
      <c r="B3333" s="1573">
        <v>34026</v>
      </c>
      <c r="C3333" s="1566" t="s">
        <v>5403</v>
      </c>
      <c r="D3333" s="1566" t="s">
        <v>9946</v>
      </c>
      <c r="E3333" s="1566"/>
      <c r="F3333" s="1566"/>
      <c r="G3333" s="1566"/>
      <c r="H3333" s="1568">
        <v>1</v>
      </c>
      <c r="I3333" s="1566"/>
      <c r="J3333" s="1566"/>
      <c r="K3333" s="1572">
        <v>551</v>
      </c>
      <c r="L3333" s="1572">
        <v>550.5</v>
      </c>
      <c r="M3333" s="1572">
        <v>-550.5</v>
      </c>
      <c r="N3333" s="1564"/>
      <c r="O3333" s="1564"/>
      <c r="P3333" s="1572">
        <v>550.5</v>
      </c>
      <c r="Q3333" s="1572">
        <v>-550.5</v>
      </c>
      <c r="R3333" s="1564"/>
      <c r="S3333" s="1562"/>
    </row>
    <row r="3334" spans="2:19" ht="11.25" customHeight="1" outlineLevel="1">
      <c r="B3334" s="1573">
        <v>34027</v>
      </c>
      <c r="C3334" s="1566" t="s">
        <v>5403</v>
      </c>
      <c r="D3334" s="1566" t="s">
        <v>9945</v>
      </c>
      <c r="E3334" s="1566"/>
      <c r="F3334" s="1566"/>
      <c r="G3334" s="1566"/>
      <c r="H3334" s="1568">
        <v>1</v>
      </c>
      <c r="I3334" s="1566"/>
      <c r="J3334" s="1566"/>
      <c r="K3334" s="1572">
        <v>551</v>
      </c>
      <c r="L3334" s="1572">
        <v>550.5</v>
      </c>
      <c r="M3334" s="1572">
        <v>-550.5</v>
      </c>
      <c r="N3334" s="1564"/>
      <c r="O3334" s="1564"/>
      <c r="P3334" s="1572">
        <v>550.5</v>
      </c>
      <c r="Q3334" s="1572">
        <v>-550.5</v>
      </c>
      <c r="R3334" s="1564"/>
      <c r="S3334" s="1562"/>
    </row>
    <row r="3335" spans="2:19" ht="11.25" customHeight="1" outlineLevel="1">
      <c r="B3335" s="1573">
        <v>34028</v>
      </c>
      <c r="C3335" s="1566" t="s">
        <v>5403</v>
      </c>
      <c r="D3335" s="1566" t="s">
        <v>9944</v>
      </c>
      <c r="E3335" s="1566"/>
      <c r="F3335" s="1566"/>
      <c r="G3335" s="1566"/>
      <c r="H3335" s="1568">
        <v>1</v>
      </c>
      <c r="I3335" s="1566"/>
      <c r="J3335" s="1566"/>
      <c r="K3335" s="1572">
        <v>551</v>
      </c>
      <c r="L3335" s="1572">
        <v>550.5</v>
      </c>
      <c r="M3335" s="1572">
        <v>-550.5</v>
      </c>
      <c r="N3335" s="1564"/>
      <c r="O3335" s="1564"/>
      <c r="P3335" s="1572">
        <v>550.5</v>
      </c>
      <c r="Q3335" s="1572">
        <v>-550.5</v>
      </c>
      <c r="R3335" s="1564"/>
      <c r="S3335" s="1562"/>
    </row>
    <row r="3336" spans="2:19" ht="11.25" customHeight="1" outlineLevel="1">
      <c r="B3336" s="1573">
        <v>34030</v>
      </c>
      <c r="C3336" s="1566" t="s">
        <v>5403</v>
      </c>
      <c r="D3336" s="1566" t="s">
        <v>9943</v>
      </c>
      <c r="E3336" s="1566"/>
      <c r="F3336" s="1566"/>
      <c r="G3336" s="1566"/>
      <c r="H3336" s="1568">
        <v>1</v>
      </c>
      <c r="I3336" s="1566"/>
      <c r="J3336" s="1566"/>
      <c r="K3336" s="1572">
        <v>511</v>
      </c>
      <c r="L3336" s="1572">
        <v>511</v>
      </c>
      <c r="M3336" s="1572">
        <v>-511</v>
      </c>
      <c r="N3336" s="1564"/>
      <c r="O3336" s="1564"/>
      <c r="P3336" s="1572">
        <v>511</v>
      </c>
      <c r="Q3336" s="1572">
        <v>-511</v>
      </c>
      <c r="R3336" s="1564"/>
      <c r="S3336" s="1562"/>
    </row>
    <row r="3337" spans="2:19" ht="11.25" customHeight="1" outlineLevel="1">
      <c r="B3337" s="1573">
        <v>34031</v>
      </c>
      <c r="C3337" s="1566" t="s">
        <v>5403</v>
      </c>
      <c r="D3337" s="1566" t="s">
        <v>9942</v>
      </c>
      <c r="E3337" s="1566"/>
      <c r="F3337" s="1566"/>
      <c r="G3337" s="1566"/>
      <c r="H3337" s="1568">
        <v>1</v>
      </c>
      <c r="I3337" s="1566"/>
      <c r="J3337" s="1566"/>
      <c r="K3337" s="1572">
        <v>624</v>
      </c>
      <c r="L3337" s="1572">
        <v>624.25</v>
      </c>
      <c r="M3337" s="1572">
        <v>-624.25</v>
      </c>
      <c r="N3337" s="1564"/>
      <c r="O3337" s="1564"/>
      <c r="P3337" s="1572">
        <v>624.25</v>
      </c>
      <c r="Q3337" s="1572">
        <v>-624.25</v>
      </c>
      <c r="R3337" s="1564"/>
      <c r="S3337" s="1562"/>
    </row>
    <row r="3338" spans="2:19" ht="11.25" customHeight="1" outlineLevel="1">
      <c r="B3338" s="1573">
        <v>34032</v>
      </c>
      <c r="C3338" s="1566" t="s">
        <v>5403</v>
      </c>
      <c r="D3338" s="1566" t="s">
        <v>9941</v>
      </c>
      <c r="E3338" s="1566"/>
      <c r="F3338" s="1566"/>
      <c r="G3338" s="1566"/>
      <c r="H3338" s="1568">
        <v>1</v>
      </c>
      <c r="I3338" s="1566"/>
      <c r="J3338" s="1566"/>
      <c r="K3338" s="1572">
        <v>624</v>
      </c>
      <c r="L3338" s="1572">
        <v>624.25</v>
      </c>
      <c r="M3338" s="1572">
        <v>-624.25</v>
      </c>
      <c r="N3338" s="1564"/>
      <c r="O3338" s="1564"/>
      <c r="P3338" s="1572">
        <v>624.25</v>
      </c>
      <c r="Q3338" s="1572">
        <v>-624.25</v>
      </c>
      <c r="R3338" s="1564"/>
      <c r="S3338" s="1562"/>
    </row>
    <row r="3339" spans="2:19" ht="11.25" customHeight="1" outlineLevel="1">
      <c r="B3339" s="1573">
        <v>34065</v>
      </c>
      <c r="C3339" s="1566" t="s">
        <v>5403</v>
      </c>
      <c r="D3339" s="1566" t="s">
        <v>9940</v>
      </c>
      <c r="E3339" s="1566"/>
      <c r="F3339" s="1566"/>
      <c r="G3339" s="1566"/>
      <c r="H3339" s="1568">
        <v>1</v>
      </c>
      <c r="I3339" s="1566"/>
      <c r="J3339" s="1566"/>
      <c r="K3339" s="1572">
        <v>746</v>
      </c>
      <c r="L3339" s="1572">
        <v>746</v>
      </c>
      <c r="M3339" s="1572">
        <v>-746</v>
      </c>
      <c r="N3339" s="1564"/>
      <c r="O3339" s="1564"/>
      <c r="P3339" s="1572">
        <v>746</v>
      </c>
      <c r="Q3339" s="1572">
        <v>-746</v>
      </c>
      <c r="R3339" s="1564"/>
      <c r="S3339" s="1562"/>
    </row>
    <row r="3340" spans="2:19" ht="11.25" customHeight="1" outlineLevel="1">
      <c r="B3340" s="1573">
        <v>34066</v>
      </c>
      <c r="C3340" s="1566" t="s">
        <v>5403</v>
      </c>
      <c r="D3340" s="1566" t="s">
        <v>9939</v>
      </c>
      <c r="E3340" s="1566"/>
      <c r="F3340" s="1566"/>
      <c r="G3340" s="1566"/>
      <c r="H3340" s="1568">
        <v>1</v>
      </c>
      <c r="I3340" s="1566"/>
      <c r="J3340" s="1566"/>
      <c r="K3340" s="1572">
        <v>560</v>
      </c>
      <c r="L3340" s="1572">
        <v>559.5</v>
      </c>
      <c r="M3340" s="1572">
        <v>-559.5</v>
      </c>
      <c r="N3340" s="1564"/>
      <c r="O3340" s="1564"/>
      <c r="P3340" s="1572">
        <v>559.5</v>
      </c>
      <c r="Q3340" s="1572">
        <v>-559.5</v>
      </c>
      <c r="R3340" s="1564"/>
      <c r="S3340" s="1562"/>
    </row>
    <row r="3341" spans="2:19" ht="11.25" customHeight="1" outlineLevel="1">
      <c r="B3341" s="1573">
        <v>34067</v>
      </c>
      <c r="C3341" s="1566" t="s">
        <v>5403</v>
      </c>
      <c r="D3341" s="1566" t="s">
        <v>9938</v>
      </c>
      <c r="E3341" s="1566"/>
      <c r="F3341" s="1566"/>
      <c r="G3341" s="1566"/>
      <c r="H3341" s="1568">
        <v>1</v>
      </c>
      <c r="I3341" s="1566"/>
      <c r="J3341" s="1566"/>
      <c r="K3341" s="1572">
        <v>586</v>
      </c>
      <c r="L3341" s="1572">
        <v>586.14</v>
      </c>
      <c r="M3341" s="1572">
        <v>-586.14</v>
      </c>
      <c r="N3341" s="1564"/>
      <c r="O3341" s="1564"/>
      <c r="P3341" s="1572">
        <v>586.14</v>
      </c>
      <c r="Q3341" s="1572">
        <v>-586.14</v>
      </c>
      <c r="R3341" s="1564"/>
      <c r="S3341" s="1562"/>
    </row>
    <row r="3342" spans="2:19" ht="11.25" customHeight="1" outlineLevel="1">
      <c r="B3342" s="1573">
        <v>34068</v>
      </c>
      <c r="C3342" s="1566" t="s">
        <v>5403</v>
      </c>
      <c r="D3342" s="1566" t="s">
        <v>9937</v>
      </c>
      <c r="E3342" s="1566"/>
      <c r="F3342" s="1566"/>
      <c r="G3342" s="1566"/>
      <c r="H3342" s="1568">
        <v>1</v>
      </c>
      <c r="I3342" s="1566"/>
      <c r="J3342" s="1566"/>
      <c r="K3342" s="1572">
        <v>586</v>
      </c>
      <c r="L3342" s="1572">
        <v>586.14</v>
      </c>
      <c r="M3342" s="1572">
        <v>-586.14</v>
      </c>
      <c r="N3342" s="1564"/>
      <c r="O3342" s="1564"/>
      <c r="P3342" s="1572">
        <v>586.14</v>
      </c>
      <c r="Q3342" s="1572">
        <v>-586.14</v>
      </c>
      <c r="R3342" s="1564"/>
      <c r="S3342" s="1562"/>
    </row>
    <row r="3343" spans="2:19" ht="11.25" customHeight="1" outlineLevel="1">
      <c r="B3343" s="1573">
        <v>34069</v>
      </c>
      <c r="C3343" s="1566" t="s">
        <v>5403</v>
      </c>
      <c r="D3343" s="1566" t="s">
        <v>9936</v>
      </c>
      <c r="E3343" s="1566"/>
      <c r="F3343" s="1566"/>
      <c r="G3343" s="1566"/>
      <c r="H3343" s="1568">
        <v>1</v>
      </c>
      <c r="I3343" s="1566"/>
      <c r="J3343" s="1566"/>
      <c r="K3343" s="1572">
        <v>586</v>
      </c>
      <c r="L3343" s="1572">
        <v>586.14</v>
      </c>
      <c r="M3343" s="1572">
        <v>-586.14</v>
      </c>
      <c r="N3343" s="1564"/>
      <c r="O3343" s="1564"/>
      <c r="P3343" s="1572">
        <v>586.14</v>
      </c>
      <c r="Q3343" s="1572">
        <v>-586.14</v>
      </c>
      <c r="R3343" s="1564"/>
      <c r="S3343" s="1562"/>
    </row>
    <row r="3344" spans="2:19" ht="11.25" customHeight="1" outlineLevel="1">
      <c r="B3344" s="1573">
        <v>34070</v>
      </c>
      <c r="C3344" s="1566" t="s">
        <v>5403</v>
      </c>
      <c r="D3344" s="1566" t="s">
        <v>9935</v>
      </c>
      <c r="E3344" s="1566"/>
      <c r="F3344" s="1566"/>
      <c r="G3344" s="1566"/>
      <c r="H3344" s="1568">
        <v>1</v>
      </c>
      <c r="I3344" s="1566"/>
      <c r="J3344" s="1566"/>
      <c r="K3344" s="1572">
        <v>586</v>
      </c>
      <c r="L3344" s="1572">
        <v>586.14</v>
      </c>
      <c r="M3344" s="1572">
        <v>-586.14</v>
      </c>
      <c r="N3344" s="1564"/>
      <c r="O3344" s="1564"/>
      <c r="P3344" s="1572">
        <v>586.14</v>
      </c>
      <c r="Q3344" s="1572">
        <v>-586.14</v>
      </c>
      <c r="R3344" s="1564"/>
      <c r="S3344" s="1562"/>
    </row>
    <row r="3345" spans="2:19" ht="11.25" customHeight="1" outlineLevel="1">
      <c r="B3345" s="1573">
        <v>34071</v>
      </c>
      <c r="C3345" s="1566" t="s">
        <v>5403</v>
      </c>
      <c r="D3345" s="1566" t="s">
        <v>9934</v>
      </c>
      <c r="E3345" s="1566"/>
      <c r="F3345" s="1566"/>
      <c r="G3345" s="1566"/>
      <c r="H3345" s="1568">
        <v>1</v>
      </c>
      <c r="I3345" s="1566"/>
      <c r="J3345" s="1566"/>
      <c r="K3345" s="1572">
        <v>586</v>
      </c>
      <c r="L3345" s="1572">
        <v>586.14</v>
      </c>
      <c r="M3345" s="1572">
        <v>-586.14</v>
      </c>
      <c r="N3345" s="1564"/>
      <c r="O3345" s="1564"/>
      <c r="P3345" s="1572">
        <v>586.14</v>
      </c>
      <c r="Q3345" s="1572">
        <v>-586.14</v>
      </c>
      <c r="R3345" s="1564"/>
      <c r="S3345" s="1562"/>
    </row>
    <row r="3346" spans="2:19" ht="11.25" customHeight="1" outlineLevel="1">
      <c r="B3346" s="1573">
        <v>34072</v>
      </c>
      <c r="C3346" s="1566" t="s">
        <v>5403</v>
      </c>
      <c r="D3346" s="1566" t="s">
        <v>9933</v>
      </c>
      <c r="E3346" s="1566"/>
      <c r="F3346" s="1566"/>
      <c r="G3346" s="1566"/>
      <c r="H3346" s="1568">
        <v>1</v>
      </c>
      <c r="I3346" s="1566"/>
      <c r="J3346" s="1566"/>
      <c r="K3346" s="1572">
        <v>586</v>
      </c>
      <c r="L3346" s="1572">
        <v>586.14</v>
      </c>
      <c r="M3346" s="1572">
        <v>-586.14</v>
      </c>
      <c r="N3346" s="1564"/>
      <c r="O3346" s="1564"/>
      <c r="P3346" s="1572">
        <v>586.14</v>
      </c>
      <c r="Q3346" s="1572">
        <v>-586.14</v>
      </c>
      <c r="R3346" s="1564"/>
      <c r="S3346" s="1562"/>
    </row>
    <row r="3347" spans="2:19" ht="11.25" customHeight="1" outlineLevel="1">
      <c r="B3347" s="1573">
        <v>34073</v>
      </c>
      <c r="C3347" s="1566" t="s">
        <v>5403</v>
      </c>
      <c r="D3347" s="1566" t="s">
        <v>9932</v>
      </c>
      <c r="E3347" s="1566"/>
      <c r="F3347" s="1566"/>
      <c r="G3347" s="1566"/>
      <c r="H3347" s="1568">
        <v>1</v>
      </c>
      <c r="I3347" s="1566"/>
      <c r="J3347" s="1566"/>
      <c r="K3347" s="1572">
        <v>632</v>
      </c>
      <c r="L3347" s="1572">
        <v>632</v>
      </c>
      <c r="M3347" s="1572">
        <v>-632</v>
      </c>
      <c r="N3347" s="1564"/>
      <c r="O3347" s="1564"/>
      <c r="P3347" s="1572">
        <v>632</v>
      </c>
      <c r="Q3347" s="1572">
        <v>-632</v>
      </c>
      <c r="R3347" s="1564"/>
      <c r="S3347" s="1562"/>
    </row>
    <row r="3348" spans="2:19" ht="11.25" customHeight="1" outlineLevel="1">
      <c r="B3348" s="1573">
        <v>34074</v>
      </c>
      <c r="C3348" s="1566" t="s">
        <v>5403</v>
      </c>
      <c r="D3348" s="1566" t="s">
        <v>9931</v>
      </c>
      <c r="E3348" s="1566"/>
      <c r="F3348" s="1566"/>
      <c r="G3348" s="1566"/>
      <c r="H3348" s="1568">
        <v>1</v>
      </c>
      <c r="I3348" s="1566"/>
      <c r="J3348" s="1566"/>
      <c r="K3348" s="1572">
        <v>632</v>
      </c>
      <c r="L3348" s="1572">
        <v>632</v>
      </c>
      <c r="M3348" s="1572">
        <v>-632</v>
      </c>
      <c r="N3348" s="1564"/>
      <c r="O3348" s="1564"/>
      <c r="P3348" s="1572">
        <v>632</v>
      </c>
      <c r="Q3348" s="1572">
        <v>-632</v>
      </c>
      <c r="R3348" s="1564"/>
      <c r="S3348" s="1562"/>
    </row>
    <row r="3349" spans="2:19" ht="11.25" customHeight="1" outlineLevel="1">
      <c r="B3349" s="1573">
        <v>34075</v>
      </c>
      <c r="C3349" s="1566" t="s">
        <v>5403</v>
      </c>
      <c r="D3349" s="1566" t="s">
        <v>9930</v>
      </c>
      <c r="E3349" s="1566"/>
      <c r="F3349" s="1566"/>
      <c r="G3349" s="1566"/>
      <c r="H3349" s="1568">
        <v>1</v>
      </c>
      <c r="I3349" s="1566"/>
      <c r="J3349" s="1566"/>
      <c r="K3349" s="1572">
        <v>632</v>
      </c>
      <c r="L3349" s="1572">
        <v>632</v>
      </c>
      <c r="M3349" s="1572">
        <v>-632</v>
      </c>
      <c r="N3349" s="1564"/>
      <c r="O3349" s="1564"/>
      <c r="P3349" s="1572">
        <v>632</v>
      </c>
      <c r="Q3349" s="1572">
        <v>-632</v>
      </c>
      <c r="R3349" s="1564"/>
      <c r="S3349" s="1562"/>
    </row>
    <row r="3350" spans="2:19" ht="11.25" customHeight="1" outlineLevel="1">
      <c r="B3350" s="1573">
        <v>34076</v>
      </c>
      <c r="C3350" s="1566" t="s">
        <v>5403</v>
      </c>
      <c r="D3350" s="1566" t="s">
        <v>9929</v>
      </c>
      <c r="E3350" s="1566"/>
      <c r="F3350" s="1566"/>
      <c r="G3350" s="1566"/>
      <c r="H3350" s="1568">
        <v>1</v>
      </c>
      <c r="I3350" s="1566"/>
      <c r="J3350" s="1566"/>
      <c r="K3350" s="1572">
        <v>632</v>
      </c>
      <c r="L3350" s="1572">
        <v>632</v>
      </c>
      <c r="M3350" s="1572">
        <v>-632</v>
      </c>
      <c r="N3350" s="1564"/>
      <c r="O3350" s="1564"/>
      <c r="P3350" s="1572">
        <v>632</v>
      </c>
      <c r="Q3350" s="1572">
        <v>-632</v>
      </c>
      <c r="R3350" s="1564"/>
      <c r="S3350" s="1562"/>
    </row>
    <row r="3351" spans="2:19" ht="11.25" customHeight="1" outlineLevel="1">
      <c r="B3351" s="1573">
        <v>34077</v>
      </c>
      <c r="C3351" s="1566" t="s">
        <v>5403</v>
      </c>
      <c r="D3351" s="1566" t="s">
        <v>9928</v>
      </c>
      <c r="E3351" s="1566"/>
      <c r="F3351" s="1566"/>
      <c r="G3351" s="1566"/>
      <c r="H3351" s="1568">
        <v>1</v>
      </c>
      <c r="I3351" s="1566"/>
      <c r="J3351" s="1566"/>
      <c r="K3351" s="1572">
        <v>632</v>
      </c>
      <c r="L3351" s="1572">
        <v>632</v>
      </c>
      <c r="M3351" s="1572">
        <v>-632</v>
      </c>
      <c r="N3351" s="1564"/>
      <c r="O3351" s="1564"/>
      <c r="P3351" s="1572">
        <v>632</v>
      </c>
      <c r="Q3351" s="1572">
        <v>-632</v>
      </c>
      <c r="R3351" s="1564"/>
      <c r="S3351" s="1562"/>
    </row>
    <row r="3352" spans="2:19" ht="11.25" customHeight="1" outlineLevel="1">
      <c r="B3352" s="1573">
        <v>34078</v>
      </c>
      <c r="C3352" s="1566" t="s">
        <v>5403</v>
      </c>
      <c r="D3352" s="1566" t="s">
        <v>9927</v>
      </c>
      <c r="E3352" s="1566"/>
      <c r="F3352" s="1566"/>
      <c r="G3352" s="1566"/>
      <c r="H3352" s="1568">
        <v>1</v>
      </c>
      <c r="I3352" s="1566"/>
      <c r="J3352" s="1566"/>
      <c r="K3352" s="1572">
        <v>749</v>
      </c>
      <c r="L3352" s="1572">
        <v>748.57</v>
      </c>
      <c r="M3352" s="1572">
        <v>-748.57</v>
      </c>
      <c r="N3352" s="1564"/>
      <c r="O3352" s="1564"/>
      <c r="P3352" s="1572">
        <v>748.57</v>
      </c>
      <c r="Q3352" s="1572">
        <v>-748.57</v>
      </c>
      <c r="R3352" s="1564"/>
      <c r="S3352" s="1562"/>
    </row>
    <row r="3353" spans="2:19" ht="11.25" customHeight="1" outlineLevel="1">
      <c r="B3353" s="1573">
        <v>34079</v>
      </c>
      <c r="C3353" s="1566" t="s">
        <v>5403</v>
      </c>
      <c r="D3353" s="1566" t="s">
        <v>9926</v>
      </c>
      <c r="E3353" s="1566"/>
      <c r="F3353" s="1566"/>
      <c r="G3353" s="1566"/>
      <c r="H3353" s="1568">
        <v>1</v>
      </c>
      <c r="I3353" s="1566"/>
      <c r="J3353" s="1566"/>
      <c r="K3353" s="1572">
        <v>749</v>
      </c>
      <c r="L3353" s="1572">
        <v>748.57</v>
      </c>
      <c r="M3353" s="1572">
        <v>-748.57</v>
      </c>
      <c r="N3353" s="1564"/>
      <c r="O3353" s="1564"/>
      <c r="P3353" s="1572">
        <v>748.57</v>
      </c>
      <c r="Q3353" s="1572">
        <v>-748.57</v>
      </c>
      <c r="R3353" s="1564"/>
      <c r="S3353" s="1562"/>
    </row>
    <row r="3354" spans="2:19" ht="11.25" customHeight="1" outlineLevel="1">
      <c r="B3354" s="1573">
        <v>34080</v>
      </c>
      <c r="C3354" s="1566" t="s">
        <v>5403</v>
      </c>
      <c r="D3354" s="1566" t="s">
        <v>9925</v>
      </c>
      <c r="E3354" s="1566"/>
      <c r="F3354" s="1566"/>
      <c r="G3354" s="1566"/>
      <c r="H3354" s="1568">
        <v>1</v>
      </c>
      <c r="I3354" s="1566"/>
      <c r="J3354" s="1566"/>
      <c r="K3354" s="1572">
        <v>749</v>
      </c>
      <c r="L3354" s="1572">
        <v>748.57</v>
      </c>
      <c r="M3354" s="1572">
        <v>-748.57</v>
      </c>
      <c r="N3354" s="1564"/>
      <c r="O3354" s="1564"/>
      <c r="P3354" s="1572">
        <v>748.57</v>
      </c>
      <c r="Q3354" s="1572">
        <v>-748.57</v>
      </c>
      <c r="R3354" s="1564"/>
      <c r="S3354" s="1562"/>
    </row>
    <row r="3355" spans="2:19" ht="11.25" customHeight="1" outlineLevel="1">
      <c r="B3355" s="1573">
        <v>34081</v>
      </c>
      <c r="C3355" s="1566" t="s">
        <v>5403</v>
      </c>
      <c r="D3355" s="1566" t="s">
        <v>9924</v>
      </c>
      <c r="E3355" s="1566"/>
      <c r="F3355" s="1566"/>
      <c r="G3355" s="1566"/>
      <c r="H3355" s="1568">
        <v>1</v>
      </c>
      <c r="I3355" s="1566"/>
      <c r="J3355" s="1566"/>
      <c r="K3355" s="1572">
        <v>749</v>
      </c>
      <c r="L3355" s="1572">
        <v>748.57</v>
      </c>
      <c r="M3355" s="1572">
        <v>-748.57</v>
      </c>
      <c r="N3355" s="1564"/>
      <c r="O3355" s="1564"/>
      <c r="P3355" s="1572">
        <v>748.57</v>
      </c>
      <c r="Q3355" s="1572">
        <v>-748.57</v>
      </c>
      <c r="R3355" s="1564"/>
      <c r="S3355" s="1562"/>
    </row>
    <row r="3356" spans="2:19" ht="11.25" customHeight="1" outlineLevel="1">
      <c r="B3356" s="1573">
        <v>34082</v>
      </c>
      <c r="C3356" s="1566" t="s">
        <v>5403</v>
      </c>
      <c r="D3356" s="1566" t="s">
        <v>9923</v>
      </c>
      <c r="E3356" s="1566"/>
      <c r="F3356" s="1566"/>
      <c r="G3356" s="1566"/>
      <c r="H3356" s="1568">
        <v>1</v>
      </c>
      <c r="I3356" s="1566"/>
      <c r="J3356" s="1566"/>
      <c r="K3356" s="1572">
        <v>749</v>
      </c>
      <c r="L3356" s="1572">
        <v>748.57</v>
      </c>
      <c r="M3356" s="1572">
        <v>-748.57</v>
      </c>
      <c r="N3356" s="1564"/>
      <c r="O3356" s="1564"/>
      <c r="P3356" s="1572">
        <v>748.57</v>
      </c>
      <c r="Q3356" s="1572">
        <v>-748.57</v>
      </c>
      <c r="R3356" s="1564"/>
      <c r="S3356" s="1562"/>
    </row>
    <row r="3357" spans="2:19" ht="11.25" customHeight="1" outlineLevel="1">
      <c r="B3357" s="1573">
        <v>34083</v>
      </c>
      <c r="C3357" s="1566" t="s">
        <v>5403</v>
      </c>
      <c r="D3357" s="1566" t="s">
        <v>9922</v>
      </c>
      <c r="E3357" s="1566"/>
      <c r="F3357" s="1566"/>
      <c r="G3357" s="1566"/>
      <c r="H3357" s="1568">
        <v>1</v>
      </c>
      <c r="I3357" s="1566"/>
      <c r="J3357" s="1566"/>
      <c r="K3357" s="1572">
        <v>749</v>
      </c>
      <c r="L3357" s="1572">
        <v>748.57</v>
      </c>
      <c r="M3357" s="1572">
        <v>-748.57</v>
      </c>
      <c r="N3357" s="1564"/>
      <c r="O3357" s="1564"/>
      <c r="P3357" s="1572">
        <v>748.57</v>
      </c>
      <c r="Q3357" s="1572">
        <v>-748.57</v>
      </c>
      <c r="R3357" s="1564"/>
      <c r="S3357" s="1562"/>
    </row>
    <row r="3358" spans="2:19" ht="11.25" customHeight="1" outlineLevel="1">
      <c r="B3358" s="1573">
        <v>34096</v>
      </c>
      <c r="C3358" s="1566" t="s">
        <v>5403</v>
      </c>
      <c r="D3358" s="1566" t="s">
        <v>9921</v>
      </c>
      <c r="E3358" s="1566"/>
      <c r="F3358" s="1566"/>
      <c r="G3358" s="1566"/>
      <c r="H3358" s="1568">
        <v>1</v>
      </c>
      <c r="I3358" s="1566"/>
      <c r="J3358" s="1566"/>
      <c r="K3358" s="1572">
        <v>692</v>
      </c>
      <c r="L3358" s="1572">
        <v>692.25</v>
      </c>
      <c r="M3358" s="1572">
        <v>-692.25</v>
      </c>
      <c r="N3358" s="1564"/>
      <c r="O3358" s="1564"/>
      <c r="P3358" s="1572">
        <v>692.25</v>
      </c>
      <c r="Q3358" s="1572">
        <v>-692.25</v>
      </c>
      <c r="R3358" s="1564"/>
      <c r="S3358" s="1562"/>
    </row>
    <row r="3359" spans="2:19" ht="11.25" customHeight="1" outlineLevel="1">
      <c r="B3359" s="1573">
        <v>34097</v>
      </c>
      <c r="C3359" s="1566" t="s">
        <v>5403</v>
      </c>
      <c r="D3359" s="1566" t="s">
        <v>9920</v>
      </c>
      <c r="E3359" s="1566"/>
      <c r="F3359" s="1566"/>
      <c r="G3359" s="1566"/>
      <c r="H3359" s="1568">
        <v>1</v>
      </c>
      <c r="I3359" s="1566"/>
      <c r="J3359" s="1566"/>
      <c r="K3359" s="1572">
        <v>692</v>
      </c>
      <c r="L3359" s="1572">
        <v>692.25</v>
      </c>
      <c r="M3359" s="1572">
        <v>-692.25</v>
      </c>
      <c r="N3359" s="1564"/>
      <c r="O3359" s="1564"/>
      <c r="P3359" s="1572">
        <v>692.25</v>
      </c>
      <c r="Q3359" s="1572">
        <v>-692.25</v>
      </c>
      <c r="R3359" s="1564"/>
      <c r="S3359" s="1562"/>
    </row>
    <row r="3360" spans="2:19" ht="11.25" customHeight="1" outlineLevel="1">
      <c r="B3360" s="1573">
        <v>34098</v>
      </c>
      <c r="C3360" s="1566" t="s">
        <v>5403</v>
      </c>
      <c r="D3360" s="1566" t="s">
        <v>9919</v>
      </c>
      <c r="E3360" s="1566"/>
      <c r="F3360" s="1566"/>
      <c r="G3360" s="1566"/>
      <c r="H3360" s="1568">
        <v>1</v>
      </c>
      <c r="I3360" s="1566"/>
      <c r="J3360" s="1566"/>
      <c r="K3360" s="1572">
        <v>692</v>
      </c>
      <c r="L3360" s="1572">
        <v>692.25</v>
      </c>
      <c r="M3360" s="1572">
        <v>-692.25</v>
      </c>
      <c r="N3360" s="1564"/>
      <c r="O3360" s="1564"/>
      <c r="P3360" s="1572">
        <v>692.25</v>
      </c>
      <c r="Q3360" s="1572">
        <v>-692.25</v>
      </c>
      <c r="R3360" s="1564"/>
      <c r="S3360" s="1562"/>
    </row>
    <row r="3361" spans="2:19" ht="11.25" customHeight="1" outlineLevel="1">
      <c r="B3361" s="1573">
        <v>34099</v>
      </c>
      <c r="C3361" s="1566" t="s">
        <v>5403</v>
      </c>
      <c r="D3361" s="1566" t="s">
        <v>9918</v>
      </c>
      <c r="E3361" s="1566"/>
      <c r="F3361" s="1566"/>
      <c r="G3361" s="1566"/>
      <c r="H3361" s="1568">
        <v>1</v>
      </c>
      <c r="I3361" s="1566"/>
      <c r="J3361" s="1566"/>
      <c r="K3361" s="1572">
        <v>692</v>
      </c>
      <c r="L3361" s="1572">
        <v>692.25</v>
      </c>
      <c r="M3361" s="1572">
        <v>-692.25</v>
      </c>
      <c r="N3361" s="1564"/>
      <c r="O3361" s="1564"/>
      <c r="P3361" s="1572">
        <v>692.25</v>
      </c>
      <c r="Q3361" s="1572">
        <v>-692.25</v>
      </c>
      <c r="R3361" s="1564"/>
      <c r="S3361" s="1562"/>
    </row>
    <row r="3362" spans="2:19" ht="11.25" customHeight="1" outlineLevel="1">
      <c r="B3362" s="1573">
        <v>34100</v>
      </c>
      <c r="C3362" s="1566" t="s">
        <v>5403</v>
      </c>
      <c r="D3362" s="1566" t="s">
        <v>9917</v>
      </c>
      <c r="E3362" s="1566"/>
      <c r="F3362" s="1566"/>
      <c r="G3362" s="1566"/>
      <c r="H3362" s="1568">
        <v>1</v>
      </c>
      <c r="I3362" s="1566"/>
      <c r="J3362" s="1566"/>
      <c r="K3362" s="1572">
        <v>692</v>
      </c>
      <c r="L3362" s="1572">
        <v>692.25</v>
      </c>
      <c r="M3362" s="1572">
        <v>-692.25</v>
      </c>
      <c r="N3362" s="1564"/>
      <c r="O3362" s="1564"/>
      <c r="P3362" s="1572">
        <v>692.25</v>
      </c>
      <c r="Q3362" s="1572">
        <v>-692.25</v>
      </c>
      <c r="R3362" s="1564"/>
      <c r="S3362" s="1562"/>
    </row>
    <row r="3363" spans="2:19" ht="11.25" customHeight="1" outlineLevel="1">
      <c r="B3363" s="1573">
        <v>34101</v>
      </c>
      <c r="C3363" s="1566" t="s">
        <v>5403</v>
      </c>
      <c r="D3363" s="1566" t="s">
        <v>9916</v>
      </c>
      <c r="E3363" s="1566"/>
      <c r="F3363" s="1566"/>
      <c r="G3363" s="1566"/>
      <c r="H3363" s="1568">
        <v>1</v>
      </c>
      <c r="I3363" s="1566"/>
      <c r="J3363" s="1566"/>
      <c r="K3363" s="1572">
        <v>692</v>
      </c>
      <c r="L3363" s="1572">
        <v>692.25</v>
      </c>
      <c r="M3363" s="1572">
        <v>-692.25</v>
      </c>
      <c r="N3363" s="1564"/>
      <c r="O3363" s="1564"/>
      <c r="P3363" s="1572">
        <v>692.25</v>
      </c>
      <c r="Q3363" s="1572">
        <v>-692.25</v>
      </c>
      <c r="R3363" s="1564"/>
      <c r="S3363" s="1562"/>
    </row>
    <row r="3364" spans="2:19" ht="11.25" customHeight="1" outlineLevel="1">
      <c r="B3364" s="1573">
        <v>34102</v>
      </c>
      <c r="C3364" s="1566" t="s">
        <v>5403</v>
      </c>
      <c r="D3364" s="1566" t="s">
        <v>9915</v>
      </c>
      <c r="E3364" s="1566"/>
      <c r="F3364" s="1566"/>
      <c r="G3364" s="1566"/>
      <c r="H3364" s="1568">
        <v>1</v>
      </c>
      <c r="I3364" s="1566"/>
      <c r="J3364" s="1566"/>
      <c r="K3364" s="1572">
        <v>692</v>
      </c>
      <c r="L3364" s="1572">
        <v>692.25</v>
      </c>
      <c r="M3364" s="1572">
        <v>-692.25</v>
      </c>
      <c r="N3364" s="1564"/>
      <c r="O3364" s="1564"/>
      <c r="P3364" s="1572">
        <v>692.25</v>
      </c>
      <c r="Q3364" s="1572">
        <v>-692.25</v>
      </c>
      <c r="R3364" s="1564"/>
      <c r="S3364" s="1562"/>
    </row>
    <row r="3365" spans="2:19" ht="11.25" customHeight="1" outlineLevel="1">
      <c r="B3365" s="1573">
        <v>34103</v>
      </c>
      <c r="C3365" s="1566" t="s">
        <v>5403</v>
      </c>
      <c r="D3365" s="1566" t="s">
        <v>9914</v>
      </c>
      <c r="E3365" s="1566"/>
      <c r="F3365" s="1566"/>
      <c r="G3365" s="1566"/>
      <c r="H3365" s="1568">
        <v>1</v>
      </c>
      <c r="I3365" s="1566"/>
      <c r="J3365" s="1566"/>
      <c r="K3365" s="1572">
        <v>831</v>
      </c>
      <c r="L3365" s="1572">
        <v>830.8</v>
      </c>
      <c r="M3365" s="1572">
        <v>-830.8</v>
      </c>
      <c r="N3365" s="1564"/>
      <c r="O3365" s="1564"/>
      <c r="P3365" s="1572">
        <v>830.8</v>
      </c>
      <c r="Q3365" s="1572">
        <v>-830.8</v>
      </c>
      <c r="R3365" s="1564"/>
      <c r="S3365" s="1562"/>
    </row>
    <row r="3366" spans="2:19" ht="11.25" customHeight="1" outlineLevel="1">
      <c r="B3366" s="1573">
        <v>34104</v>
      </c>
      <c r="C3366" s="1566" t="s">
        <v>5403</v>
      </c>
      <c r="D3366" s="1566" t="s">
        <v>9913</v>
      </c>
      <c r="E3366" s="1566"/>
      <c r="F3366" s="1566"/>
      <c r="G3366" s="1566"/>
      <c r="H3366" s="1568">
        <v>1</v>
      </c>
      <c r="I3366" s="1566"/>
      <c r="J3366" s="1566"/>
      <c r="K3366" s="1572">
        <v>831</v>
      </c>
      <c r="L3366" s="1572">
        <v>830.8</v>
      </c>
      <c r="M3366" s="1572">
        <v>-830.8</v>
      </c>
      <c r="N3366" s="1564"/>
      <c r="O3366" s="1564"/>
      <c r="P3366" s="1572">
        <v>830.8</v>
      </c>
      <c r="Q3366" s="1572">
        <v>-830.8</v>
      </c>
      <c r="R3366" s="1564"/>
      <c r="S3366" s="1562"/>
    </row>
    <row r="3367" spans="2:19" ht="11.25" customHeight="1" outlineLevel="1">
      <c r="B3367" s="1573">
        <v>34105</v>
      </c>
      <c r="C3367" s="1566" t="s">
        <v>5403</v>
      </c>
      <c r="D3367" s="1566" t="s">
        <v>9912</v>
      </c>
      <c r="E3367" s="1566"/>
      <c r="F3367" s="1566"/>
      <c r="G3367" s="1566"/>
      <c r="H3367" s="1568">
        <v>1</v>
      </c>
      <c r="I3367" s="1566"/>
      <c r="J3367" s="1566"/>
      <c r="K3367" s="1572">
        <v>831</v>
      </c>
      <c r="L3367" s="1572">
        <v>830.8</v>
      </c>
      <c r="M3367" s="1572">
        <v>-830.8</v>
      </c>
      <c r="N3367" s="1564"/>
      <c r="O3367" s="1564"/>
      <c r="P3367" s="1572">
        <v>830.8</v>
      </c>
      <c r="Q3367" s="1572">
        <v>-830.8</v>
      </c>
      <c r="R3367" s="1564"/>
      <c r="S3367" s="1562"/>
    </row>
    <row r="3368" spans="2:19" ht="11.25" customHeight="1" outlineLevel="1">
      <c r="B3368" s="1573">
        <v>34106</v>
      </c>
      <c r="C3368" s="1566" t="s">
        <v>5403</v>
      </c>
      <c r="D3368" s="1566" t="s">
        <v>9911</v>
      </c>
      <c r="E3368" s="1566"/>
      <c r="F3368" s="1566"/>
      <c r="G3368" s="1566"/>
      <c r="H3368" s="1568">
        <v>1</v>
      </c>
      <c r="I3368" s="1566"/>
      <c r="J3368" s="1566"/>
      <c r="K3368" s="1572">
        <v>831</v>
      </c>
      <c r="L3368" s="1572">
        <v>830.8</v>
      </c>
      <c r="M3368" s="1572">
        <v>-830.8</v>
      </c>
      <c r="N3368" s="1564"/>
      <c r="O3368" s="1564"/>
      <c r="P3368" s="1572">
        <v>830.8</v>
      </c>
      <c r="Q3368" s="1572">
        <v>-830.8</v>
      </c>
      <c r="R3368" s="1564"/>
      <c r="S3368" s="1562"/>
    </row>
    <row r="3369" spans="2:19" ht="11.25" customHeight="1" outlineLevel="1">
      <c r="B3369" s="1573">
        <v>34107</v>
      </c>
      <c r="C3369" s="1566" t="s">
        <v>5403</v>
      </c>
      <c r="D3369" s="1566" t="s">
        <v>9910</v>
      </c>
      <c r="E3369" s="1566"/>
      <c r="F3369" s="1566"/>
      <c r="G3369" s="1566"/>
      <c r="H3369" s="1568">
        <v>1</v>
      </c>
      <c r="I3369" s="1566"/>
      <c r="J3369" s="1566"/>
      <c r="K3369" s="1572">
        <v>716</v>
      </c>
      <c r="L3369" s="1572">
        <v>716.09</v>
      </c>
      <c r="M3369" s="1572">
        <v>-716.09</v>
      </c>
      <c r="N3369" s="1564"/>
      <c r="O3369" s="1564"/>
      <c r="P3369" s="1572">
        <v>716.09</v>
      </c>
      <c r="Q3369" s="1572">
        <v>-716.09</v>
      </c>
      <c r="R3369" s="1564"/>
      <c r="S3369" s="1562"/>
    </row>
    <row r="3370" spans="2:19" ht="11.25" customHeight="1" outlineLevel="1">
      <c r="B3370" s="1573">
        <v>34108</v>
      </c>
      <c r="C3370" s="1566" t="s">
        <v>5403</v>
      </c>
      <c r="D3370" s="1566" t="s">
        <v>9909</v>
      </c>
      <c r="E3370" s="1566"/>
      <c r="F3370" s="1566"/>
      <c r="G3370" s="1566"/>
      <c r="H3370" s="1568">
        <v>1</v>
      </c>
      <c r="I3370" s="1566"/>
      <c r="J3370" s="1566"/>
      <c r="K3370" s="1572">
        <v>716</v>
      </c>
      <c r="L3370" s="1572">
        <v>716.09</v>
      </c>
      <c r="M3370" s="1572">
        <v>-716.09</v>
      </c>
      <c r="N3370" s="1564"/>
      <c r="O3370" s="1564"/>
      <c r="P3370" s="1572">
        <v>716.09</v>
      </c>
      <c r="Q3370" s="1572">
        <v>-716.09</v>
      </c>
      <c r="R3370" s="1564"/>
      <c r="S3370" s="1562"/>
    </row>
    <row r="3371" spans="2:19" ht="11.25" customHeight="1" outlineLevel="1">
      <c r="B3371" s="1573">
        <v>34109</v>
      </c>
      <c r="C3371" s="1566" t="s">
        <v>5403</v>
      </c>
      <c r="D3371" s="1566" t="s">
        <v>9908</v>
      </c>
      <c r="E3371" s="1566"/>
      <c r="F3371" s="1566"/>
      <c r="G3371" s="1566"/>
      <c r="H3371" s="1568">
        <v>1</v>
      </c>
      <c r="I3371" s="1566"/>
      <c r="J3371" s="1566"/>
      <c r="K3371" s="1572">
        <v>716</v>
      </c>
      <c r="L3371" s="1572">
        <v>716.09</v>
      </c>
      <c r="M3371" s="1572">
        <v>-716.09</v>
      </c>
      <c r="N3371" s="1564"/>
      <c r="O3371" s="1564"/>
      <c r="P3371" s="1572">
        <v>716.09</v>
      </c>
      <c r="Q3371" s="1572">
        <v>-716.09</v>
      </c>
      <c r="R3371" s="1564"/>
      <c r="S3371" s="1562"/>
    </row>
    <row r="3372" spans="2:19" ht="11.25" customHeight="1" outlineLevel="1">
      <c r="B3372" s="1573">
        <v>34110</v>
      </c>
      <c r="C3372" s="1566" t="s">
        <v>5403</v>
      </c>
      <c r="D3372" s="1566" t="s">
        <v>9907</v>
      </c>
      <c r="E3372" s="1566"/>
      <c r="F3372" s="1566"/>
      <c r="G3372" s="1566"/>
      <c r="H3372" s="1568">
        <v>1</v>
      </c>
      <c r="I3372" s="1566"/>
      <c r="J3372" s="1566"/>
      <c r="K3372" s="1572">
        <v>716</v>
      </c>
      <c r="L3372" s="1572">
        <v>716.09</v>
      </c>
      <c r="M3372" s="1572">
        <v>-716.09</v>
      </c>
      <c r="N3372" s="1564"/>
      <c r="O3372" s="1564"/>
      <c r="P3372" s="1572">
        <v>716.09</v>
      </c>
      <c r="Q3372" s="1572">
        <v>-716.09</v>
      </c>
      <c r="R3372" s="1564"/>
      <c r="S3372" s="1562"/>
    </row>
    <row r="3373" spans="2:19" ht="11.25" customHeight="1" outlineLevel="1">
      <c r="B3373" s="1573">
        <v>34111</v>
      </c>
      <c r="C3373" s="1566" t="s">
        <v>5403</v>
      </c>
      <c r="D3373" s="1566" t="s">
        <v>9906</v>
      </c>
      <c r="E3373" s="1566"/>
      <c r="F3373" s="1566"/>
      <c r="G3373" s="1566"/>
      <c r="H3373" s="1568">
        <v>1</v>
      </c>
      <c r="I3373" s="1566"/>
      <c r="J3373" s="1566"/>
      <c r="K3373" s="1572">
        <v>716</v>
      </c>
      <c r="L3373" s="1572">
        <v>716.09</v>
      </c>
      <c r="M3373" s="1572">
        <v>-716.09</v>
      </c>
      <c r="N3373" s="1564"/>
      <c r="O3373" s="1564"/>
      <c r="P3373" s="1572">
        <v>716.09</v>
      </c>
      <c r="Q3373" s="1572">
        <v>-716.09</v>
      </c>
      <c r="R3373" s="1564"/>
      <c r="S3373" s="1562"/>
    </row>
    <row r="3374" spans="2:19" ht="11.25" customHeight="1" outlineLevel="1">
      <c r="B3374" s="1573">
        <v>34112</v>
      </c>
      <c r="C3374" s="1566" t="s">
        <v>5403</v>
      </c>
      <c r="D3374" s="1566" t="s">
        <v>9905</v>
      </c>
      <c r="E3374" s="1566"/>
      <c r="F3374" s="1566"/>
      <c r="G3374" s="1566"/>
      <c r="H3374" s="1568">
        <v>1</v>
      </c>
      <c r="I3374" s="1566"/>
      <c r="J3374" s="1566"/>
      <c r="K3374" s="1572">
        <v>716</v>
      </c>
      <c r="L3374" s="1572">
        <v>716.09</v>
      </c>
      <c r="M3374" s="1572">
        <v>-716.09</v>
      </c>
      <c r="N3374" s="1564"/>
      <c r="O3374" s="1564"/>
      <c r="P3374" s="1572">
        <v>716.09</v>
      </c>
      <c r="Q3374" s="1572">
        <v>-716.09</v>
      </c>
      <c r="R3374" s="1564"/>
      <c r="S3374" s="1562"/>
    </row>
    <row r="3375" spans="2:19" ht="11.25" customHeight="1" outlineLevel="1">
      <c r="B3375" s="1573">
        <v>34113</v>
      </c>
      <c r="C3375" s="1566" t="s">
        <v>5403</v>
      </c>
      <c r="D3375" s="1566" t="s">
        <v>9904</v>
      </c>
      <c r="E3375" s="1566"/>
      <c r="F3375" s="1566"/>
      <c r="G3375" s="1566"/>
      <c r="H3375" s="1568">
        <v>1</v>
      </c>
      <c r="I3375" s="1566"/>
      <c r="J3375" s="1566"/>
      <c r="K3375" s="1572">
        <v>716</v>
      </c>
      <c r="L3375" s="1572">
        <v>716.09</v>
      </c>
      <c r="M3375" s="1572">
        <v>-716.09</v>
      </c>
      <c r="N3375" s="1564"/>
      <c r="O3375" s="1564"/>
      <c r="P3375" s="1572">
        <v>716.09</v>
      </c>
      <c r="Q3375" s="1572">
        <v>-716.09</v>
      </c>
      <c r="R3375" s="1564"/>
      <c r="S3375" s="1562"/>
    </row>
    <row r="3376" spans="2:19" ht="11.25" customHeight="1" outlineLevel="1">
      <c r="B3376" s="1573">
        <v>34114</v>
      </c>
      <c r="C3376" s="1566" t="s">
        <v>5403</v>
      </c>
      <c r="D3376" s="1566" t="s">
        <v>9903</v>
      </c>
      <c r="E3376" s="1566"/>
      <c r="F3376" s="1566"/>
      <c r="G3376" s="1566"/>
      <c r="H3376" s="1568">
        <v>1</v>
      </c>
      <c r="I3376" s="1566"/>
      <c r="J3376" s="1566"/>
      <c r="K3376" s="1572">
        <v>716</v>
      </c>
      <c r="L3376" s="1572">
        <v>716.09</v>
      </c>
      <c r="M3376" s="1572">
        <v>-716.09</v>
      </c>
      <c r="N3376" s="1564"/>
      <c r="O3376" s="1564"/>
      <c r="P3376" s="1572">
        <v>716.09</v>
      </c>
      <c r="Q3376" s="1572">
        <v>-716.09</v>
      </c>
      <c r="R3376" s="1564"/>
      <c r="S3376" s="1562"/>
    </row>
    <row r="3377" spans="2:19" ht="11.25" customHeight="1" outlineLevel="1">
      <c r="B3377" s="1573">
        <v>34115</v>
      </c>
      <c r="C3377" s="1566" t="s">
        <v>5403</v>
      </c>
      <c r="D3377" s="1566" t="s">
        <v>9902</v>
      </c>
      <c r="E3377" s="1566"/>
      <c r="F3377" s="1566"/>
      <c r="G3377" s="1566"/>
      <c r="H3377" s="1568">
        <v>1</v>
      </c>
      <c r="I3377" s="1566"/>
      <c r="J3377" s="1566"/>
      <c r="K3377" s="1572">
        <v>716</v>
      </c>
      <c r="L3377" s="1572">
        <v>716.09</v>
      </c>
      <c r="M3377" s="1572">
        <v>-716.09</v>
      </c>
      <c r="N3377" s="1564"/>
      <c r="O3377" s="1564"/>
      <c r="P3377" s="1572">
        <v>716.09</v>
      </c>
      <c r="Q3377" s="1572">
        <v>-716.09</v>
      </c>
      <c r="R3377" s="1564"/>
      <c r="S3377" s="1562"/>
    </row>
    <row r="3378" spans="2:19" ht="11.25" customHeight="1" outlineLevel="1">
      <c r="B3378" s="1573">
        <v>34116</v>
      </c>
      <c r="C3378" s="1566" t="s">
        <v>5403</v>
      </c>
      <c r="D3378" s="1566" t="s">
        <v>9901</v>
      </c>
      <c r="E3378" s="1566"/>
      <c r="F3378" s="1566"/>
      <c r="G3378" s="1566"/>
      <c r="H3378" s="1568">
        <v>1</v>
      </c>
      <c r="I3378" s="1566"/>
      <c r="J3378" s="1566"/>
      <c r="K3378" s="1572">
        <v>716</v>
      </c>
      <c r="L3378" s="1572">
        <v>716.09</v>
      </c>
      <c r="M3378" s="1572">
        <v>-716.09</v>
      </c>
      <c r="N3378" s="1564"/>
      <c r="O3378" s="1564"/>
      <c r="P3378" s="1572">
        <v>716.09</v>
      </c>
      <c r="Q3378" s="1572">
        <v>-716.09</v>
      </c>
      <c r="R3378" s="1564"/>
      <c r="S3378" s="1562"/>
    </row>
    <row r="3379" spans="2:19" ht="11.25" customHeight="1" outlineLevel="1">
      <c r="B3379" s="1573">
        <v>34124</v>
      </c>
      <c r="C3379" s="1566" t="s">
        <v>5403</v>
      </c>
      <c r="D3379" s="1566" t="s">
        <v>9900</v>
      </c>
      <c r="E3379" s="1566"/>
      <c r="F3379" s="1566"/>
      <c r="G3379" s="1566"/>
      <c r="H3379" s="1568">
        <v>1</v>
      </c>
      <c r="I3379" s="1566"/>
      <c r="J3379" s="1566"/>
      <c r="K3379" s="1565">
        <v>1476</v>
      </c>
      <c r="L3379" s="1565">
        <v>1475.5</v>
      </c>
      <c r="M3379" s="1565">
        <v>-1475.5</v>
      </c>
      <c r="N3379" s="1564"/>
      <c r="O3379" s="1564"/>
      <c r="P3379" s="1565">
        <v>1475.5</v>
      </c>
      <c r="Q3379" s="1565">
        <v>-1475.5</v>
      </c>
      <c r="R3379" s="1564"/>
      <c r="S3379" s="1562"/>
    </row>
    <row r="3380" spans="2:19" ht="11.25" customHeight="1" outlineLevel="1">
      <c r="B3380" s="1573">
        <v>34125</v>
      </c>
      <c r="C3380" s="1566" t="s">
        <v>5403</v>
      </c>
      <c r="D3380" s="1566" t="s">
        <v>9899</v>
      </c>
      <c r="E3380" s="1566"/>
      <c r="F3380" s="1566"/>
      <c r="G3380" s="1566"/>
      <c r="H3380" s="1568">
        <v>1</v>
      </c>
      <c r="I3380" s="1566"/>
      <c r="J3380" s="1566"/>
      <c r="K3380" s="1565">
        <v>2009</v>
      </c>
      <c r="L3380" s="1565">
        <v>2009.33</v>
      </c>
      <c r="M3380" s="1565">
        <v>-2009.33</v>
      </c>
      <c r="N3380" s="1564"/>
      <c r="O3380" s="1564"/>
      <c r="P3380" s="1565">
        <v>2009.33</v>
      </c>
      <c r="Q3380" s="1565">
        <v>-2009.33</v>
      </c>
      <c r="R3380" s="1564"/>
      <c r="S3380" s="1562"/>
    </row>
    <row r="3381" spans="2:19" ht="11.25" customHeight="1" outlineLevel="1">
      <c r="B3381" s="1573">
        <v>34126</v>
      </c>
      <c r="C3381" s="1566" t="s">
        <v>5403</v>
      </c>
      <c r="D3381" s="1566" t="s">
        <v>9898</v>
      </c>
      <c r="E3381" s="1566"/>
      <c r="F3381" s="1566"/>
      <c r="G3381" s="1566"/>
      <c r="H3381" s="1568">
        <v>1</v>
      </c>
      <c r="I3381" s="1566"/>
      <c r="J3381" s="1566"/>
      <c r="K3381" s="1565">
        <v>2009</v>
      </c>
      <c r="L3381" s="1565">
        <v>2009.33</v>
      </c>
      <c r="M3381" s="1565">
        <v>-2009.33</v>
      </c>
      <c r="N3381" s="1564"/>
      <c r="O3381" s="1564"/>
      <c r="P3381" s="1565">
        <v>2009.33</v>
      </c>
      <c r="Q3381" s="1565">
        <v>-2009.33</v>
      </c>
      <c r="R3381" s="1564"/>
      <c r="S3381" s="1562"/>
    </row>
    <row r="3382" spans="2:19" ht="11.25" customHeight="1" outlineLevel="1">
      <c r="B3382" s="1573">
        <v>34127</v>
      </c>
      <c r="C3382" s="1566" t="s">
        <v>5403</v>
      </c>
      <c r="D3382" s="1566" t="s">
        <v>9897</v>
      </c>
      <c r="E3382" s="1566"/>
      <c r="F3382" s="1566"/>
      <c r="G3382" s="1566"/>
      <c r="H3382" s="1568">
        <v>1</v>
      </c>
      <c r="I3382" s="1566"/>
      <c r="J3382" s="1566"/>
      <c r="K3382" s="1565">
        <v>1476</v>
      </c>
      <c r="L3382" s="1565">
        <v>1475.67</v>
      </c>
      <c r="M3382" s="1565">
        <v>-1475.67</v>
      </c>
      <c r="N3382" s="1564"/>
      <c r="O3382" s="1564"/>
      <c r="P3382" s="1565">
        <v>1475.67</v>
      </c>
      <c r="Q3382" s="1565">
        <v>-1475.67</v>
      </c>
      <c r="R3382" s="1564"/>
      <c r="S3382" s="1562"/>
    </row>
    <row r="3383" spans="2:19" ht="11.25" customHeight="1" outlineLevel="1">
      <c r="B3383" s="1573">
        <v>34128</v>
      </c>
      <c r="C3383" s="1566" t="s">
        <v>5403</v>
      </c>
      <c r="D3383" s="1566" t="s">
        <v>9896</v>
      </c>
      <c r="E3383" s="1566"/>
      <c r="F3383" s="1566"/>
      <c r="G3383" s="1566"/>
      <c r="H3383" s="1568">
        <v>1</v>
      </c>
      <c r="I3383" s="1566"/>
      <c r="J3383" s="1566"/>
      <c r="K3383" s="1565">
        <v>1476</v>
      </c>
      <c r="L3383" s="1565">
        <v>1475.67</v>
      </c>
      <c r="M3383" s="1565">
        <v>-1475.67</v>
      </c>
      <c r="N3383" s="1564"/>
      <c r="O3383" s="1564"/>
      <c r="P3383" s="1565">
        <v>1475.67</v>
      </c>
      <c r="Q3383" s="1565">
        <v>-1475.67</v>
      </c>
      <c r="R3383" s="1564"/>
      <c r="S3383" s="1562"/>
    </row>
    <row r="3384" spans="2:19" ht="11.25" customHeight="1" outlineLevel="1">
      <c r="B3384" s="1573">
        <v>34129</v>
      </c>
      <c r="C3384" s="1566" t="s">
        <v>5403</v>
      </c>
      <c r="D3384" s="1566" t="s">
        <v>9895</v>
      </c>
      <c r="E3384" s="1566"/>
      <c r="F3384" s="1566"/>
      <c r="G3384" s="1566"/>
      <c r="H3384" s="1568">
        <v>1</v>
      </c>
      <c r="I3384" s="1566"/>
      <c r="J3384" s="1566"/>
      <c r="K3384" s="1565">
        <v>1476</v>
      </c>
      <c r="L3384" s="1565">
        <v>1475.67</v>
      </c>
      <c r="M3384" s="1565">
        <v>-1475.67</v>
      </c>
      <c r="N3384" s="1564"/>
      <c r="O3384" s="1564"/>
      <c r="P3384" s="1565">
        <v>1475.67</v>
      </c>
      <c r="Q3384" s="1565">
        <v>-1475.67</v>
      </c>
      <c r="R3384" s="1564"/>
      <c r="S3384" s="1562"/>
    </row>
    <row r="3385" spans="2:19" ht="11.25" customHeight="1" outlineLevel="1">
      <c r="B3385" s="1573">
        <v>34130</v>
      </c>
      <c r="C3385" s="1566" t="s">
        <v>5403</v>
      </c>
      <c r="D3385" s="1566" t="s">
        <v>9894</v>
      </c>
      <c r="E3385" s="1566"/>
      <c r="F3385" s="1566"/>
      <c r="G3385" s="1566"/>
      <c r="H3385" s="1568">
        <v>1</v>
      </c>
      <c r="I3385" s="1566"/>
      <c r="J3385" s="1566"/>
      <c r="K3385" s="1565">
        <v>1476</v>
      </c>
      <c r="L3385" s="1565">
        <v>1475.67</v>
      </c>
      <c r="M3385" s="1565">
        <v>-1475.67</v>
      </c>
      <c r="N3385" s="1564"/>
      <c r="O3385" s="1564"/>
      <c r="P3385" s="1565">
        <v>1475.67</v>
      </c>
      <c r="Q3385" s="1565">
        <v>-1475.67</v>
      </c>
      <c r="R3385" s="1564"/>
      <c r="S3385" s="1562"/>
    </row>
    <row r="3386" spans="2:19" ht="11.25" customHeight="1" outlineLevel="1">
      <c r="B3386" s="1573">
        <v>34131</v>
      </c>
      <c r="C3386" s="1566" t="s">
        <v>5403</v>
      </c>
      <c r="D3386" s="1566" t="s">
        <v>9893</v>
      </c>
      <c r="E3386" s="1566"/>
      <c r="F3386" s="1566"/>
      <c r="G3386" s="1566"/>
      <c r="H3386" s="1568">
        <v>1</v>
      </c>
      <c r="I3386" s="1566"/>
      <c r="J3386" s="1566"/>
      <c r="K3386" s="1565">
        <v>1476</v>
      </c>
      <c r="L3386" s="1565">
        <v>1475.67</v>
      </c>
      <c r="M3386" s="1565">
        <v>-1475.67</v>
      </c>
      <c r="N3386" s="1564"/>
      <c r="O3386" s="1564"/>
      <c r="P3386" s="1565">
        <v>1475.67</v>
      </c>
      <c r="Q3386" s="1565">
        <v>-1475.67</v>
      </c>
      <c r="R3386" s="1564"/>
      <c r="S3386" s="1562"/>
    </row>
    <row r="3387" spans="2:19" ht="11.25" customHeight="1" outlineLevel="1">
      <c r="B3387" s="1573">
        <v>34227</v>
      </c>
      <c r="C3387" s="1566" t="s">
        <v>5403</v>
      </c>
      <c r="D3387" s="1566" t="s">
        <v>9892</v>
      </c>
      <c r="E3387" s="1566"/>
      <c r="F3387" s="1566"/>
      <c r="G3387" s="1566"/>
      <c r="H3387" s="1568">
        <v>1</v>
      </c>
      <c r="I3387" s="1566"/>
      <c r="J3387" s="1566"/>
      <c r="K3387" s="1572">
        <v>171</v>
      </c>
      <c r="L3387" s="1572">
        <v>171.2</v>
      </c>
      <c r="M3387" s="1572">
        <v>-171.2</v>
      </c>
      <c r="N3387" s="1564"/>
      <c r="O3387" s="1564"/>
      <c r="P3387" s="1572">
        <v>171.2</v>
      </c>
      <c r="Q3387" s="1572">
        <v>-171.2</v>
      </c>
      <c r="R3387" s="1564"/>
      <c r="S3387" s="1562"/>
    </row>
    <row r="3388" spans="2:19" ht="11.25" customHeight="1" outlineLevel="1">
      <c r="B3388" s="1573">
        <v>34228</v>
      </c>
      <c r="C3388" s="1566" t="s">
        <v>5403</v>
      </c>
      <c r="D3388" s="1566" t="s">
        <v>9891</v>
      </c>
      <c r="E3388" s="1566"/>
      <c r="F3388" s="1566"/>
      <c r="G3388" s="1566"/>
      <c r="H3388" s="1568">
        <v>1</v>
      </c>
      <c r="I3388" s="1566"/>
      <c r="J3388" s="1566"/>
      <c r="K3388" s="1572">
        <v>171</v>
      </c>
      <c r="L3388" s="1572">
        <v>171.2</v>
      </c>
      <c r="M3388" s="1572">
        <v>-171.2</v>
      </c>
      <c r="N3388" s="1564"/>
      <c r="O3388" s="1564"/>
      <c r="P3388" s="1572">
        <v>171.2</v>
      </c>
      <c r="Q3388" s="1572">
        <v>-171.2</v>
      </c>
      <c r="R3388" s="1564"/>
      <c r="S3388" s="1562"/>
    </row>
    <row r="3389" spans="2:19" ht="11.25" customHeight="1" outlineLevel="1">
      <c r="B3389" s="1573">
        <v>34229</v>
      </c>
      <c r="C3389" s="1566" t="s">
        <v>5403</v>
      </c>
      <c r="D3389" s="1566" t="s">
        <v>9890</v>
      </c>
      <c r="E3389" s="1566"/>
      <c r="F3389" s="1566"/>
      <c r="G3389" s="1566"/>
      <c r="H3389" s="1568">
        <v>1</v>
      </c>
      <c r="I3389" s="1566"/>
      <c r="J3389" s="1566"/>
      <c r="K3389" s="1572">
        <v>171</v>
      </c>
      <c r="L3389" s="1572">
        <v>171.2</v>
      </c>
      <c r="M3389" s="1572">
        <v>-171.2</v>
      </c>
      <c r="N3389" s="1564"/>
      <c r="O3389" s="1564"/>
      <c r="P3389" s="1572">
        <v>171.2</v>
      </c>
      <c r="Q3389" s="1572">
        <v>-171.2</v>
      </c>
      <c r="R3389" s="1564"/>
      <c r="S3389" s="1562"/>
    </row>
    <row r="3390" spans="2:19" ht="11.25" customHeight="1" outlineLevel="1">
      <c r="B3390" s="1573">
        <v>34230</v>
      </c>
      <c r="C3390" s="1566" t="s">
        <v>5403</v>
      </c>
      <c r="D3390" s="1566" t="s">
        <v>9889</v>
      </c>
      <c r="E3390" s="1566"/>
      <c r="F3390" s="1566"/>
      <c r="G3390" s="1566"/>
      <c r="H3390" s="1568">
        <v>1</v>
      </c>
      <c r="I3390" s="1566"/>
      <c r="J3390" s="1566"/>
      <c r="K3390" s="1572">
        <v>171</v>
      </c>
      <c r="L3390" s="1572">
        <v>171.2</v>
      </c>
      <c r="M3390" s="1572">
        <v>-171.2</v>
      </c>
      <c r="N3390" s="1564"/>
      <c r="O3390" s="1564"/>
      <c r="P3390" s="1572">
        <v>171.2</v>
      </c>
      <c r="Q3390" s="1572">
        <v>-171.2</v>
      </c>
      <c r="R3390" s="1564"/>
      <c r="S3390" s="1562"/>
    </row>
    <row r="3391" spans="2:19" ht="11.25" customHeight="1" outlineLevel="1">
      <c r="B3391" s="1573">
        <v>34231</v>
      </c>
      <c r="C3391" s="1566" t="s">
        <v>5403</v>
      </c>
      <c r="D3391" s="1566" t="s">
        <v>9888</v>
      </c>
      <c r="E3391" s="1566"/>
      <c r="F3391" s="1566"/>
      <c r="G3391" s="1566"/>
      <c r="H3391" s="1568">
        <v>1</v>
      </c>
      <c r="I3391" s="1566"/>
      <c r="J3391" s="1566"/>
      <c r="K3391" s="1572">
        <v>171</v>
      </c>
      <c r="L3391" s="1572">
        <v>171.2</v>
      </c>
      <c r="M3391" s="1572">
        <v>-171.2</v>
      </c>
      <c r="N3391" s="1564"/>
      <c r="O3391" s="1564"/>
      <c r="P3391" s="1572">
        <v>171.2</v>
      </c>
      <c r="Q3391" s="1572">
        <v>-171.2</v>
      </c>
      <c r="R3391" s="1564"/>
      <c r="S3391" s="1562"/>
    </row>
    <row r="3392" spans="2:19" ht="11.25" customHeight="1" outlineLevel="1">
      <c r="B3392" s="1573">
        <v>34232</v>
      </c>
      <c r="C3392" s="1566" t="s">
        <v>5403</v>
      </c>
      <c r="D3392" s="1566" t="s">
        <v>9887</v>
      </c>
      <c r="E3392" s="1566"/>
      <c r="F3392" s="1566"/>
      <c r="G3392" s="1566"/>
      <c r="H3392" s="1568">
        <v>1</v>
      </c>
      <c r="I3392" s="1566"/>
      <c r="J3392" s="1566"/>
      <c r="K3392" s="1572">
        <v>171</v>
      </c>
      <c r="L3392" s="1572">
        <v>171.2</v>
      </c>
      <c r="M3392" s="1572">
        <v>-171.2</v>
      </c>
      <c r="N3392" s="1564"/>
      <c r="O3392" s="1564"/>
      <c r="P3392" s="1572">
        <v>171.2</v>
      </c>
      <c r="Q3392" s="1572">
        <v>-171.2</v>
      </c>
      <c r="R3392" s="1564"/>
      <c r="S3392" s="1562"/>
    </row>
    <row r="3393" spans="2:19" ht="11.25" customHeight="1" outlineLevel="1">
      <c r="B3393" s="1573">
        <v>34233</v>
      </c>
      <c r="C3393" s="1566" t="s">
        <v>5403</v>
      </c>
      <c r="D3393" s="1566" t="s">
        <v>9886</v>
      </c>
      <c r="E3393" s="1566"/>
      <c r="F3393" s="1566"/>
      <c r="G3393" s="1566"/>
      <c r="H3393" s="1568">
        <v>1</v>
      </c>
      <c r="I3393" s="1566"/>
      <c r="J3393" s="1566"/>
      <c r="K3393" s="1572">
        <v>171</v>
      </c>
      <c r="L3393" s="1572">
        <v>171.2</v>
      </c>
      <c r="M3393" s="1572">
        <v>-171.2</v>
      </c>
      <c r="N3393" s="1564"/>
      <c r="O3393" s="1564"/>
      <c r="P3393" s="1572">
        <v>171.2</v>
      </c>
      <c r="Q3393" s="1572">
        <v>-171.2</v>
      </c>
      <c r="R3393" s="1564"/>
      <c r="S3393" s="1562"/>
    </row>
    <row r="3394" spans="2:19" ht="11.25" customHeight="1" outlineLevel="1">
      <c r="B3394" s="1573">
        <v>34234</v>
      </c>
      <c r="C3394" s="1566" t="s">
        <v>5403</v>
      </c>
      <c r="D3394" s="1566" t="s">
        <v>9885</v>
      </c>
      <c r="E3394" s="1566"/>
      <c r="F3394" s="1566"/>
      <c r="G3394" s="1566"/>
      <c r="H3394" s="1568">
        <v>1</v>
      </c>
      <c r="I3394" s="1566"/>
      <c r="J3394" s="1566"/>
      <c r="K3394" s="1572">
        <v>171</v>
      </c>
      <c r="L3394" s="1572">
        <v>171.2</v>
      </c>
      <c r="M3394" s="1572">
        <v>-171.2</v>
      </c>
      <c r="N3394" s="1564"/>
      <c r="O3394" s="1564"/>
      <c r="P3394" s="1572">
        <v>171.2</v>
      </c>
      <c r="Q3394" s="1572">
        <v>-171.2</v>
      </c>
      <c r="R3394" s="1564"/>
      <c r="S3394" s="1562"/>
    </row>
    <row r="3395" spans="2:19" ht="11.25" customHeight="1" outlineLevel="1">
      <c r="B3395" s="1573">
        <v>34235</v>
      </c>
      <c r="C3395" s="1566" t="s">
        <v>5403</v>
      </c>
      <c r="D3395" s="1566" t="s">
        <v>9884</v>
      </c>
      <c r="E3395" s="1566"/>
      <c r="F3395" s="1566"/>
      <c r="G3395" s="1566"/>
      <c r="H3395" s="1568">
        <v>1</v>
      </c>
      <c r="I3395" s="1566"/>
      <c r="J3395" s="1566"/>
      <c r="K3395" s="1572">
        <v>171</v>
      </c>
      <c r="L3395" s="1572">
        <v>171.2</v>
      </c>
      <c r="M3395" s="1572">
        <v>-171.2</v>
      </c>
      <c r="N3395" s="1564"/>
      <c r="O3395" s="1564"/>
      <c r="P3395" s="1572">
        <v>171.2</v>
      </c>
      <c r="Q3395" s="1572">
        <v>-171.2</v>
      </c>
      <c r="R3395" s="1564"/>
      <c r="S3395" s="1562"/>
    </row>
    <row r="3396" spans="2:19" ht="11.25" customHeight="1" outlineLevel="1">
      <c r="B3396" s="1573">
        <v>34302</v>
      </c>
      <c r="C3396" s="1566" t="s">
        <v>5403</v>
      </c>
      <c r="D3396" s="1566" t="s">
        <v>9883</v>
      </c>
      <c r="E3396" s="1566"/>
      <c r="F3396" s="1566"/>
      <c r="G3396" s="1566"/>
      <c r="H3396" s="1568">
        <v>1</v>
      </c>
      <c r="I3396" s="1566"/>
      <c r="J3396" s="1566"/>
      <c r="K3396" s="1572">
        <v>237</v>
      </c>
      <c r="L3396" s="1572">
        <v>237.08</v>
      </c>
      <c r="M3396" s="1572">
        <v>-237.08</v>
      </c>
      <c r="N3396" s="1564"/>
      <c r="O3396" s="1564"/>
      <c r="P3396" s="1572">
        <v>237.08</v>
      </c>
      <c r="Q3396" s="1572">
        <v>-237.08</v>
      </c>
      <c r="R3396" s="1564"/>
      <c r="S3396" s="1562"/>
    </row>
    <row r="3397" spans="2:19" ht="11.25" customHeight="1" outlineLevel="1">
      <c r="B3397" s="1573">
        <v>34303</v>
      </c>
      <c r="C3397" s="1566" t="s">
        <v>5403</v>
      </c>
      <c r="D3397" s="1566" t="s">
        <v>9882</v>
      </c>
      <c r="E3397" s="1566"/>
      <c r="F3397" s="1566"/>
      <c r="G3397" s="1566"/>
      <c r="H3397" s="1568">
        <v>1</v>
      </c>
      <c r="I3397" s="1566"/>
      <c r="J3397" s="1566"/>
      <c r="K3397" s="1572">
        <v>237</v>
      </c>
      <c r="L3397" s="1572">
        <v>237.08</v>
      </c>
      <c r="M3397" s="1572">
        <v>-237.08</v>
      </c>
      <c r="N3397" s="1564"/>
      <c r="O3397" s="1564"/>
      <c r="P3397" s="1572">
        <v>237.08</v>
      </c>
      <c r="Q3397" s="1572">
        <v>-237.08</v>
      </c>
      <c r="R3397" s="1564"/>
      <c r="S3397" s="1562"/>
    </row>
    <row r="3398" spans="2:19" ht="11.25" customHeight="1" outlineLevel="1">
      <c r="B3398" s="1573">
        <v>34304</v>
      </c>
      <c r="C3398" s="1566" t="s">
        <v>5403</v>
      </c>
      <c r="D3398" s="1566" t="s">
        <v>9881</v>
      </c>
      <c r="E3398" s="1566"/>
      <c r="F3398" s="1566"/>
      <c r="G3398" s="1566"/>
      <c r="H3398" s="1568">
        <v>1</v>
      </c>
      <c r="I3398" s="1566"/>
      <c r="J3398" s="1566"/>
      <c r="K3398" s="1572">
        <v>237</v>
      </c>
      <c r="L3398" s="1572">
        <v>237.08</v>
      </c>
      <c r="M3398" s="1572">
        <v>-237.08</v>
      </c>
      <c r="N3398" s="1564"/>
      <c r="O3398" s="1564"/>
      <c r="P3398" s="1572">
        <v>237.08</v>
      </c>
      <c r="Q3398" s="1572">
        <v>-237.08</v>
      </c>
      <c r="R3398" s="1564"/>
      <c r="S3398" s="1562"/>
    </row>
    <row r="3399" spans="2:19" ht="11.25" customHeight="1" outlineLevel="1">
      <c r="B3399" s="1573">
        <v>34305</v>
      </c>
      <c r="C3399" s="1566" t="s">
        <v>5403</v>
      </c>
      <c r="D3399" s="1566" t="s">
        <v>9880</v>
      </c>
      <c r="E3399" s="1566"/>
      <c r="F3399" s="1566"/>
      <c r="G3399" s="1566"/>
      <c r="H3399" s="1568">
        <v>1</v>
      </c>
      <c r="I3399" s="1566"/>
      <c r="J3399" s="1566"/>
      <c r="K3399" s="1572">
        <v>237</v>
      </c>
      <c r="L3399" s="1572">
        <v>237.08</v>
      </c>
      <c r="M3399" s="1572">
        <v>-237.08</v>
      </c>
      <c r="N3399" s="1564"/>
      <c r="O3399" s="1564"/>
      <c r="P3399" s="1572">
        <v>237.08</v>
      </c>
      <c r="Q3399" s="1572">
        <v>-237.08</v>
      </c>
      <c r="R3399" s="1564"/>
      <c r="S3399" s="1562"/>
    </row>
    <row r="3400" spans="2:19" ht="11.25" customHeight="1" outlineLevel="1">
      <c r="B3400" s="1573">
        <v>34306</v>
      </c>
      <c r="C3400" s="1566" t="s">
        <v>5403</v>
      </c>
      <c r="D3400" s="1566" t="s">
        <v>9879</v>
      </c>
      <c r="E3400" s="1566"/>
      <c r="F3400" s="1566"/>
      <c r="G3400" s="1566"/>
      <c r="H3400" s="1568">
        <v>1</v>
      </c>
      <c r="I3400" s="1566"/>
      <c r="J3400" s="1566"/>
      <c r="K3400" s="1572">
        <v>237</v>
      </c>
      <c r="L3400" s="1572">
        <v>237.08</v>
      </c>
      <c r="M3400" s="1572">
        <v>-237.08</v>
      </c>
      <c r="N3400" s="1564"/>
      <c r="O3400" s="1564"/>
      <c r="P3400" s="1572">
        <v>237.08</v>
      </c>
      <c r="Q3400" s="1572">
        <v>-237.08</v>
      </c>
      <c r="R3400" s="1564"/>
      <c r="S3400" s="1562"/>
    </row>
    <row r="3401" spans="2:19" ht="11.25" customHeight="1" outlineLevel="1">
      <c r="B3401" s="1573">
        <v>34307</v>
      </c>
      <c r="C3401" s="1566" t="s">
        <v>5403</v>
      </c>
      <c r="D3401" s="1566" t="s">
        <v>9878</v>
      </c>
      <c r="E3401" s="1566"/>
      <c r="F3401" s="1566"/>
      <c r="G3401" s="1566"/>
      <c r="H3401" s="1568">
        <v>1</v>
      </c>
      <c r="I3401" s="1566"/>
      <c r="J3401" s="1566"/>
      <c r="K3401" s="1572">
        <v>237</v>
      </c>
      <c r="L3401" s="1572">
        <v>237.08</v>
      </c>
      <c r="M3401" s="1572">
        <v>-237.08</v>
      </c>
      <c r="N3401" s="1564"/>
      <c r="O3401" s="1564"/>
      <c r="P3401" s="1572">
        <v>237.08</v>
      </c>
      <c r="Q3401" s="1572">
        <v>-237.08</v>
      </c>
      <c r="R3401" s="1564"/>
      <c r="S3401" s="1562"/>
    </row>
    <row r="3402" spans="2:19" ht="11.25" customHeight="1" outlineLevel="1">
      <c r="B3402" s="1573">
        <v>34308</v>
      </c>
      <c r="C3402" s="1566" t="s">
        <v>5403</v>
      </c>
      <c r="D3402" s="1566" t="s">
        <v>9877</v>
      </c>
      <c r="E3402" s="1566"/>
      <c r="F3402" s="1566"/>
      <c r="G3402" s="1566"/>
      <c r="H3402" s="1568">
        <v>1</v>
      </c>
      <c r="I3402" s="1566"/>
      <c r="J3402" s="1566"/>
      <c r="K3402" s="1572">
        <v>237</v>
      </c>
      <c r="L3402" s="1572">
        <v>237.08</v>
      </c>
      <c r="M3402" s="1572">
        <v>-237.08</v>
      </c>
      <c r="N3402" s="1564"/>
      <c r="O3402" s="1564"/>
      <c r="P3402" s="1572">
        <v>237.08</v>
      </c>
      <c r="Q3402" s="1572">
        <v>-237.08</v>
      </c>
      <c r="R3402" s="1564"/>
      <c r="S3402" s="1562"/>
    </row>
    <row r="3403" spans="2:19" ht="11.25" customHeight="1" outlineLevel="1">
      <c r="B3403" s="1573">
        <v>34309</v>
      </c>
      <c r="C3403" s="1566" t="s">
        <v>5403</v>
      </c>
      <c r="D3403" s="1566" t="s">
        <v>9876</v>
      </c>
      <c r="E3403" s="1566"/>
      <c r="F3403" s="1566"/>
      <c r="G3403" s="1566"/>
      <c r="H3403" s="1568">
        <v>1</v>
      </c>
      <c r="I3403" s="1566"/>
      <c r="J3403" s="1566"/>
      <c r="K3403" s="1572">
        <v>237</v>
      </c>
      <c r="L3403" s="1572">
        <v>237.08</v>
      </c>
      <c r="M3403" s="1572">
        <v>-237.08</v>
      </c>
      <c r="N3403" s="1564"/>
      <c r="O3403" s="1564"/>
      <c r="P3403" s="1572">
        <v>237.08</v>
      </c>
      <c r="Q3403" s="1572">
        <v>-237.08</v>
      </c>
      <c r="R3403" s="1564"/>
      <c r="S3403" s="1562"/>
    </row>
    <row r="3404" spans="2:19" ht="11.25" customHeight="1" outlineLevel="1">
      <c r="B3404" s="1573">
        <v>34310</v>
      </c>
      <c r="C3404" s="1566" t="s">
        <v>5403</v>
      </c>
      <c r="D3404" s="1566" t="s">
        <v>9875</v>
      </c>
      <c r="E3404" s="1566"/>
      <c r="F3404" s="1566"/>
      <c r="G3404" s="1566"/>
      <c r="H3404" s="1568">
        <v>1</v>
      </c>
      <c r="I3404" s="1566"/>
      <c r="J3404" s="1566"/>
      <c r="K3404" s="1572">
        <v>237</v>
      </c>
      <c r="L3404" s="1572">
        <v>237.08</v>
      </c>
      <c r="M3404" s="1572">
        <v>-237.08</v>
      </c>
      <c r="N3404" s="1564"/>
      <c r="O3404" s="1564"/>
      <c r="P3404" s="1572">
        <v>237.08</v>
      </c>
      <c r="Q3404" s="1572">
        <v>-237.08</v>
      </c>
      <c r="R3404" s="1564"/>
      <c r="S3404" s="1562"/>
    </row>
    <row r="3405" spans="2:19" ht="11.25" customHeight="1" outlineLevel="1">
      <c r="B3405" s="1573">
        <v>34311</v>
      </c>
      <c r="C3405" s="1566" t="s">
        <v>5403</v>
      </c>
      <c r="D3405" s="1566" t="s">
        <v>9874</v>
      </c>
      <c r="E3405" s="1566"/>
      <c r="F3405" s="1566"/>
      <c r="G3405" s="1566"/>
      <c r="H3405" s="1568">
        <v>1</v>
      </c>
      <c r="I3405" s="1566"/>
      <c r="J3405" s="1566"/>
      <c r="K3405" s="1572">
        <v>237</v>
      </c>
      <c r="L3405" s="1572">
        <v>237.08</v>
      </c>
      <c r="M3405" s="1572">
        <v>-237.08</v>
      </c>
      <c r="N3405" s="1564"/>
      <c r="O3405" s="1564"/>
      <c r="P3405" s="1572">
        <v>237.08</v>
      </c>
      <c r="Q3405" s="1572">
        <v>-237.08</v>
      </c>
      <c r="R3405" s="1564"/>
      <c r="S3405" s="1562"/>
    </row>
    <row r="3406" spans="2:19" ht="11.25" customHeight="1" outlineLevel="1">
      <c r="B3406" s="1573">
        <v>34312</v>
      </c>
      <c r="C3406" s="1566" t="s">
        <v>5403</v>
      </c>
      <c r="D3406" s="1566" t="s">
        <v>9873</v>
      </c>
      <c r="E3406" s="1566"/>
      <c r="F3406" s="1566"/>
      <c r="G3406" s="1566"/>
      <c r="H3406" s="1568">
        <v>1</v>
      </c>
      <c r="I3406" s="1566"/>
      <c r="J3406" s="1566"/>
      <c r="K3406" s="1572">
        <v>237</v>
      </c>
      <c r="L3406" s="1572">
        <v>237.08</v>
      </c>
      <c r="M3406" s="1572">
        <v>-237.08</v>
      </c>
      <c r="N3406" s="1564"/>
      <c r="O3406" s="1564"/>
      <c r="P3406" s="1572">
        <v>237.08</v>
      </c>
      <c r="Q3406" s="1572">
        <v>-237.08</v>
      </c>
      <c r="R3406" s="1564"/>
      <c r="S3406" s="1562"/>
    </row>
    <row r="3407" spans="2:19" ht="11.25" customHeight="1" outlineLevel="1">
      <c r="B3407" s="1573">
        <v>34313</v>
      </c>
      <c r="C3407" s="1566" t="s">
        <v>5403</v>
      </c>
      <c r="D3407" s="1566" t="s">
        <v>9872</v>
      </c>
      <c r="E3407" s="1566"/>
      <c r="F3407" s="1566"/>
      <c r="G3407" s="1566"/>
      <c r="H3407" s="1568">
        <v>1</v>
      </c>
      <c r="I3407" s="1566"/>
      <c r="J3407" s="1566"/>
      <c r="K3407" s="1572">
        <v>237</v>
      </c>
      <c r="L3407" s="1572">
        <v>237.08</v>
      </c>
      <c r="M3407" s="1572">
        <v>-237.08</v>
      </c>
      <c r="N3407" s="1564"/>
      <c r="O3407" s="1564"/>
      <c r="P3407" s="1572">
        <v>237.08</v>
      </c>
      <c r="Q3407" s="1572">
        <v>-237.08</v>
      </c>
      <c r="R3407" s="1564"/>
      <c r="S3407" s="1562"/>
    </row>
    <row r="3408" spans="2:19" ht="11.25" customHeight="1" outlineLevel="1">
      <c r="B3408" s="1573">
        <v>34314</v>
      </c>
      <c r="C3408" s="1566" t="s">
        <v>5403</v>
      </c>
      <c r="D3408" s="1566" t="s">
        <v>9871</v>
      </c>
      <c r="E3408" s="1566"/>
      <c r="F3408" s="1566"/>
      <c r="G3408" s="1566"/>
      <c r="H3408" s="1568">
        <v>1</v>
      </c>
      <c r="I3408" s="1566"/>
      <c r="J3408" s="1566"/>
      <c r="K3408" s="1572">
        <v>215</v>
      </c>
      <c r="L3408" s="1572">
        <v>215</v>
      </c>
      <c r="M3408" s="1572">
        <v>-215</v>
      </c>
      <c r="N3408" s="1564"/>
      <c r="O3408" s="1564"/>
      <c r="P3408" s="1572">
        <v>215</v>
      </c>
      <c r="Q3408" s="1572">
        <v>-215</v>
      </c>
      <c r="R3408" s="1564"/>
      <c r="S3408" s="1562"/>
    </row>
    <row r="3409" spans="2:19" ht="11.25" customHeight="1" outlineLevel="1">
      <c r="B3409" s="1573">
        <v>34315</v>
      </c>
      <c r="C3409" s="1566" t="s">
        <v>5403</v>
      </c>
      <c r="D3409" s="1566" t="s">
        <v>9870</v>
      </c>
      <c r="E3409" s="1566"/>
      <c r="F3409" s="1566"/>
      <c r="G3409" s="1566"/>
      <c r="H3409" s="1568">
        <v>1</v>
      </c>
      <c r="I3409" s="1566"/>
      <c r="J3409" s="1566"/>
      <c r="K3409" s="1572">
        <v>215</v>
      </c>
      <c r="L3409" s="1572">
        <v>215</v>
      </c>
      <c r="M3409" s="1572">
        <v>-215</v>
      </c>
      <c r="N3409" s="1564"/>
      <c r="O3409" s="1564"/>
      <c r="P3409" s="1572">
        <v>215</v>
      </c>
      <c r="Q3409" s="1572">
        <v>-215</v>
      </c>
      <c r="R3409" s="1564"/>
      <c r="S3409" s="1562"/>
    </row>
    <row r="3410" spans="2:19" ht="11.25" customHeight="1" outlineLevel="1">
      <c r="B3410" s="1573">
        <v>34316</v>
      </c>
      <c r="C3410" s="1566" t="s">
        <v>5403</v>
      </c>
      <c r="D3410" s="1566" t="s">
        <v>9869</v>
      </c>
      <c r="E3410" s="1566"/>
      <c r="F3410" s="1566"/>
      <c r="G3410" s="1566"/>
      <c r="H3410" s="1568">
        <v>1</v>
      </c>
      <c r="I3410" s="1566"/>
      <c r="J3410" s="1566"/>
      <c r="K3410" s="1572">
        <v>215</v>
      </c>
      <c r="L3410" s="1572">
        <v>215</v>
      </c>
      <c r="M3410" s="1572">
        <v>-215</v>
      </c>
      <c r="N3410" s="1564"/>
      <c r="O3410" s="1564"/>
      <c r="P3410" s="1572">
        <v>215</v>
      </c>
      <c r="Q3410" s="1572">
        <v>-215</v>
      </c>
      <c r="R3410" s="1564"/>
      <c r="S3410" s="1562"/>
    </row>
    <row r="3411" spans="2:19" ht="11.25" customHeight="1" outlineLevel="1">
      <c r="B3411" s="1573">
        <v>34317</v>
      </c>
      <c r="C3411" s="1566" t="s">
        <v>5403</v>
      </c>
      <c r="D3411" s="1566" t="s">
        <v>9868</v>
      </c>
      <c r="E3411" s="1566"/>
      <c r="F3411" s="1566"/>
      <c r="G3411" s="1566"/>
      <c r="H3411" s="1568">
        <v>1</v>
      </c>
      <c r="I3411" s="1566"/>
      <c r="J3411" s="1566"/>
      <c r="K3411" s="1572">
        <v>215</v>
      </c>
      <c r="L3411" s="1572">
        <v>215</v>
      </c>
      <c r="M3411" s="1572">
        <v>-215</v>
      </c>
      <c r="N3411" s="1564"/>
      <c r="O3411" s="1564"/>
      <c r="P3411" s="1572">
        <v>215</v>
      </c>
      <c r="Q3411" s="1572">
        <v>-215</v>
      </c>
      <c r="R3411" s="1564"/>
      <c r="S3411" s="1562"/>
    </row>
    <row r="3412" spans="2:19" ht="11.25" customHeight="1" outlineLevel="1">
      <c r="B3412" s="1573">
        <v>34318</v>
      </c>
      <c r="C3412" s="1566" t="s">
        <v>5403</v>
      </c>
      <c r="D3412" s="1566" t="s">
        <v>9867</v>
      </c>
      <c r="E3412" s="1566"/>
      <c r="F3412" s="1566"/>
      <c r="G3412" s="1566"/>
      <c r="H3412" s="1568">
        <v>1</v>
      </c>
      <c r="I3412" s="1566"/>
      <c r="J3412" s="1566"/>
      <c r="K3412" s="1572">
        <v>215</v>
      </c>
      <c r="L3412" s="1572">
        <v>215</v>
      </c>
      <c r="M3412" s="1572">
        <v>-215</v>
      </c>
      <c r="N3412" s="1564"/>
      <c r="O3412" s="1564"/>
      <c r="P3412" s="1572">
        <v>215</v>
      </c>
      <c r="Q3412" s="1572">
        <v>-215</v>
      </c>
      <c r="R3412" s="1564"/>
      <c r="S3412" s="1562"/>
    </row>
    <row r="3413" spans="2:19" ht="11.25" customHeight="1" outlineLevel="1">
      <c r="B3413" s="1573">
        <v>34319</v>
      </c>
      <c r="C3413" s="1566" t="s">
        <v>5403</v>
      </c>
      <c r="D3413" s="1566" t="s">
        <v>9866</v>
      </c>
      <c r="E3413" s="1566"/>
      <c r="F3413" s="1566"/>
      <c r="G3413" s="1566"/>
      <c r="H3413" s="1568">
        <v>1</v>
      </c>
      <c r="I3413" s="1566"/>
      <c r="J3413" s="1566"/>
      <c r="K3413" s="1572">
        <v>215</v>
      </c>
      <c r="L3413" s="1572">
        <v>215</v>
      </c>
      <c r="M3413" s="1572">
        <v>-215</v>
      </c>
      <c r="N3413" s="1564"/>
      <c r="O3413" s="1564"/>
      <c r="P3413" s="1572">
        <v>215</v>
      </c>
      <c r="Q3413" s="1572">
        <v>-215</v>
      </c>
      <c r="R3413" s="1564"/>
      <c r="S3413" s="1562"/>
    </row>
    <row r="3414" spans="2:19" ht="11.25" customHeight="1" outlineLevel="1">
      <c r="B3414" s="1573">
        <v>34320</v>
      </c>
      <c r="C3414" s="1566" t="s">
        <v>5403</v>
      </c>
      <c r="D3414" s="1566" t="s">
        <v>9865</v>
      </c>
      <c r="E3414" s="1566"/>
      <c r="F3414" s="1566"/>
      <c r="G3414" s="1566"/>
      <c r="H3414" s="1568">
        <v>1</v>
      </c>
      <c r="I3414" s="1566"/>
      <c r="J3414" s="1566"/>
      <c r="K3414" s="1572">
        <v>215</v>
      </c>
      <c r="L3414" s="1572">
        <v>215</v>
      </c>
      <c r="M3414" s="1572">
        <v>-215</v>
      </c>
      <c r="N3414" s="1564"/>
      <c r="O3414" s="1564"/>
      <c r="P3414" s="1572">
        <v>215</v>
      </c>
      <c r="Q3414" s="1572">
        <v>-215</v>
      </c>
      <c r="R3414" s="1564"/>
      <c r="S3414" s="1562"/>
    </row>
    <row r="3415" spans="2:19" ht="11.25" customHeight="1" outlineLevel="1">
      <c r="B3415" s="1573">
        <v>34321</v>
      </c>
      <c r="C3415" s="1566" t="s">
        <v>5403</v>
      </c>
      <c r="D3415" s="1566" t="s">
        <v>9864</v>
      </c>
      <c r="E3415" s="1566"/>
      <c r="F3415" s="1566"/>
      <c r="G3415" s="1566"/>
      <c r="H3415" s="1568">
        <v>1</v>
      </c>
      <c r="I3415" s="1566"/>
      <c r="J3415" s="1566"/>
      <c r="K3415" s="1572">
        <v>215</v>
      </c>
      <c r="L3415" s="1572">
        <v>215</v>
      </c>
      <c r="M3415" s="1572">
        <v>-215</v>
      </c>
      <c r="N3415" s="1564"/>
      <c r="O3415" s="1564"/>
      <c r="P3415" s="1572">
        <v>215</v>
      </c>
      <c r="Q3415" s="1572">
        <v>-215</v>
      </c>
      <c r="R3415" s="1564"/>
      <c r="S3415" s="1562"/>
    </row>
    <row r="3416" spans="2:19" ht="11.25" customHeight="1" outlineLevel="1">
      <c r="B3416" s="1573">
        <v>34322</v>
      </c>
      <c r="C3416" s="1566" t="s">
        <v>5403</v>
      </c>
      <c r="D3416" s="1566" t="s">
        <v>9863</v>
      </c>
      <c r="E3416" s="1566"/>
      <c r="F3416" s="1566"/>
      <c r="G3416" s="1566"/>
      <c r="H3416" s="1568">
        <v>1</v>
      </c>
      <c r="I3416" s="1566"/>
      <c r="J3416" s="1566"/>
      <c r="K3416" s="1572">
        <v>215</v>
      </c>
      <c r="L3416" s="1572">
        <v>215</v>
      </c>
      <c r="M3416" s="1572">
        <v>-215</v>
      </c>
      <c r="N3416" s="1564"/>
      <c r="O3416" s="1564"/>
      <c r="P3416" s="1572">
        <v>215</v>
      </c>
      <c r="Q3416" s="1572">
        <v>-215</v>
      </c>
      <c r="R3416" s="1564"/>
      <c r="S3416" s="1562"/>
    </row>
    <row r="3417" spans="2:19" ht="11.25" customHeight="1" outlineLevel="1">
      <c r="B3417" s="1573">
        <v>34323</v>
      </c>
      <c r="C3417" s="1566" t="s">
        <v>5403</v>
      </c>
      <c r="D3417" s="1566" t="s">
        <v>9862</v>
      </c>
      <c r="E3417" s="1566"/>
      <c r="F3417" s="1566"/>
      <c r="G3417" s="1566"/>
      <c r="H3417" s="1568">
        <v>1</v>
      </c>
      <c r="I3417" s="1566"/>
      <c r="J3417" s="1566"/>
      <c r="K3417" s="1572">
        <v>215</v>
      </c>
      <c r="L3417" s="1572">
        <v>215</v>
      </c>
      <c r="M3417" s="1572">
        <v>-215</v>
      </c>
      <c r="N3417" s="1564"/>
      <c r="O3417" s="1564"/>
      <c r="P3417" s="1572">
        <v>215</v>
      </c>
      <c r="Q3417" s="1572">
        <v>-215</v>
      </c>
      <c r="R3417" s="1564"/>
      <c r="S3417" s="1562"/>
    </row>
    <row r="3418" spans="2:19" ht="11.25" customHeight="1" outlineLevel="1">
      <c r="B3418" s="1573">
        <v>34324</v>
      </c>
      <c r="C3418" s="1566" t="s">
        <v>5403</v>
      </c>
      <c r="D3418" s="1566" t="s">
        <v>9861</v>
      </c>
      <c r="E3418" s="1566"/>
      <c r="F3418" s="1566"/>
      <c r="G3418" s="1566"/>
      <c r="H3418" s="1568">
        <v>1</v>
      </c>
      <c r="I3418" s="1566"/>
      <c r="J3418" s="1566"/>
      <c r="K3418" s="1572">
        <v>215</v>
      </c>
      <c r="L3418" s="1572">
        <v>215</v>
      </c>
      <c r="M3418" s="1572">
        <v>-215</v>
      </c>
      <c r="N3418" s="1564"/>
      <c r="O3418" s="1564"/>
      <c r="P3418" s="1572">
        <v>215</v>
      </c>
      <c r="Q3418" s="1572">
        <v>-215</v>
      </c>
      <c r="R3418" s="1564"/>
      <c r="S3418" s="1562"/>
    </row>
    <row r="3419" spans="2:19" ht="11.25" customHeight="1" outlineLevel="1">
      <c r="B3419" s="1573">
        <v>34325</v>
      </c>
      <c r="C3419" s="1566" t="s">
        <v>5403</v>
      </c>
      <c r="D3419" s="1566" t="s">
        <v>9860</v>
      </c>
      <c r="E3419" s="1566"/>
      <c r="F3419" s="1566"/>
      <c r="G3419" s="1566"/>
      <c r="H3419" s="1568">
        <v>1</v>
      </c>
      <c r="I3419" s="1566"/>
      <c r="J3419" s="1566"/>
      <c r="K3419" s="1572">
        <v>215</v>
      </c>
      <c r="L3419" s="1572">
        <v>215</v>
      </c>
      <c r="M3419" s="1572">
        <v>-215</v>
      </c>
      <c r="N3419" s="1564"/>
      <c r="O3419" s="1564"/>
      <c r="P3419" s="1572">
        <v>215</v>
      </c>
      <c r="Q3419" s="1572">
        <v>-215</v>
      </c>
      <c r="R3419" s="1564"/>
      <c r="S3419" s="1562"/>
    </row>
    <row r="3420" spans="2:19" ht="11.25" customHeight="1" outlineLevel="1">
      <c r="B3420" s="1573">
        <v>34326</v>
      </c>
      <c r="C3420" s="1566" t="s">
        <v>5403</v>
      </c>
      <c r="D3420" s="1566" t="s">
        <v>9859</v>
      </c>
      <c r="E3420" s="1566"/>
      <c r="F3420" s="1566"/>
      <c r="G3420" s="1566"/>
      <c r="H3420" s="1568">
        <v>1</v>
      </c>
      <c r="I3420" s="1566"/>
      <c r="J3420" s="1566"/>
      <c r="K3420" s="1572">
        <v>215</v>
      </c>
      <c r="L3420" s="1572">
        <v>215</v>
      </c>
      <c r="M3420" s="1572">
        <v>-215</v>
      </c>
      <c r="N3420" s="1564"/>
      <c r="O3420" s="1564"/>
      <c r="P3420" s="1572">
        <v>215</v>
      </c>
      <c r="Q3420" s="1572">
        <v>-215</v>
      </c>
      <c r="R3420" s="1564"/>
      <c r="S3420" s="1562"/>
    </row>
    <row r="3421" spans="2:19" ht="11.25" customHeight="1" outlineLevel="1">
      <c r="B3421" s="1573">
        <v>34327</v>
      </c>
      <c r="C3421" s="1566" t="s">
        <v>5403</v>
      </c>
      <c r="D3421" s="1566" t="s">
        <v>9858</v>
      </c>
      <c r="E3421" s="1566"/>
      <c r="F3421" s="1566"/>
      <c r="G3421" s="1566"/>
      <c r="H3421" s="1568">
        <v>1</v>
      </c>
      <c r="I3421" s="1566"/>
      <c r="J3421" s="1566"/>
      <c r="K3421" s="1572">
        <v>215</v>
      </c>
      <c r="L3421" s="1572">
        <v>215</v>
      </c>
      <c r="M3421" s="1572">
        <v>-215</v>
      </c>
      <c r="N3421" s="1564"/>
      <c r="O3421" s="1564"/>
      <c r="P3421" s="1572">
        <v>215</v>
      </c>
      <c r="Q3421" s="1572">
        <v>-215</v>
      </c>
      <c r="R3421" s="1564"/>
      <c r="S3421" s="1562"/>
    </row>
    <row r="3422" spans="2:19" ht="11.25" customHeight="1" outlineLevel="1">
      <c r="B3422" s="1573">
        <v>34328</v>
      </c>
      <c r="C3422" s="1566" t="s">
        <v>5403</v>
      </c>
      <c r="D3422" s="1566" t="s">
        <v>9857</v>
      </c>
      <c r="E3422" s="1566"/>
      <c r="F3422" s="1566"/>
      <c r="G3422" s="1566"/>
      <c r="H3422" s="1568">
        <v>1</v>
      </c>
      <c r="I3422" s="1566"/>
      <c r="J3422" s="1566"/>
      <c r="K3422" s="1572">
        <v>215</v>
      </c>
      <c r="L3422" s="1572">
        <v>215</v>
      </c>
      <c r="M3422" s="1572">
        <v>-215</v>
      </c>
      <c r="N3422" s="1564"/>
      <c r="O3422" s="1564"/>
      <c r="P3422" s="1572">
        <v>215</v>
      </c>
      <c r="Q3422" s="1572">
        <v>-215</v>
      </c>
      <c r="R3422" s="1564"/>
      <c r="S3422" s="1562"/>
    </row>
    <row r="3423" spans="2:19" ht="11.25" customHeight="1" outlineLevel="1">
      <c r="B3423" s="1573">
        <v>34329</v>
      </c>
      <c r="C3423" s="1566" t="s">
        <v>5403</v>
      </c>
      <c r="D3423" s="1566" t="s">
        <v>9856</v>
      </c>
      <c r="E3423" s="1566"/>
      <c r="F3423" s="1566"/>
      <c r="G3423" s="1566"/>
      <c r="H3423" s="1568">
        <v>1</v>
      </c>
      <c r="I3423" s="1566"/>
      <c r="J3423" s="1566"/>
      <c r="K3423" s="1572">
        <v>215</v>
      </c>
      <c r="L3423" s="1572">
        <v>215</v>
      </c>
      <c r="M3423" s="1572">
        <v>-215</v>
      </c>
      <c r="N3423" s="1564"/>
      <c r="O3423" s="1564"/>
      <c r="P3423" s="1572">
        <v>215</v>
      </c>
      <c r="Q3423" s="1572">
        <v>-215</v>
      </c>
      <c r="R3423" s="1564"/>
      <c r="S3423" s="1562"/>
    </row>
    <row r="3424" spans="2:19" ht="11.25" customHeight="1" outlineLevel="1">
      <c r="B3424" s="1573">
        <v>34330</v>
      </c>
      <c r="C3424" s="1566" t="s">
        <v>5403</v>
      </c>
      <c r="D3424" s="1566" t="s">
        <v>9855</v>
      </c>
      <c r="E3424" s="1566"/>
      <c r="F3424" s="1566"/>
      <c r="G3424" s="1566"/>
      <c r="H3424" s="1568">
        <v>1</v>
      </c>
      <c r="I3424" s="1566"/>
      <c r="J3424" s="1566"/>
      <c r="K3424" s="1572">
        <v>215</v>
      </c>
      <c r="L3424" s="1572">
        <v>215</v>
      </c>
      <c r="M3424" s="1572">
        <v>-215</v>
      </c>
      <c r="N3424" s="1564"/>
      <c r="O3424" s="1564"/>
      <c r="P3424" s="1572">
        <v>215</v>
      </c>
      <c r="Q3424" s="1572">
        <v>-215</v>
      </c>
      <c r="R3424" s="1564"/>
      <c r="S3424" s="1562"/>
    </row>
    <row r="3425" spans="2:19" ht="11.25" customHeight="1" outlineLevel="1">
      <c r="B3425" s="1573">
        <v>34331</v>
      </c>
      <c r="C3425" s="1566" t="s">
        <v>5403</v>
      </c>
      <c r="D3425" s="1566" t="s">
        <v>9854</v>
      </c>
      <c r="E3425" s="1566"/>
      <c r="F3425" s="1566"/>
      <c r="G3425" s="1566"/>
      <c r="H3425" s="1568">
        <v>1</v>
      </c>
      <c r="I3425" s="1566"/>
      <c r="J3425" s="1566"/>
      <c r="K3425" s="1572">
        <v>215</v>
      </c>
      <c r="L3425" s="1572">
        <v>215</v>
      </c>
      <c r="M3425" s="1572">
        <v>-215</v>
      </c>
      <c r="N3425" s="1564"/>
      <c r="O3425" s="1564"/>
      <c r="P3425" s="1572">
        <v>215</v>
      </c>
      <c r="Q3425" s="1572">
        <v>-215</v>
      </c>
      <c r="R3425" s="1564"/>
      <c r="S3425" s="1562"/>
    </row>
    <row r="3426" spans="2:19" ht="11.25" customHeight="1" outlineLevel="1">
      <c r="B3426" s="1573">
        <v>34332</v>
      </c>
      <c r="C3426" s="1566" t="s">
        <v>5403</v>
      </c>
      <c r="D3426" s="1566" t="s">
        <v>9853</v>
      </c>
      <c r="E3426" s="1566"/>
      <c r="F3426" s="1566"/>
      <c r="G3426" s="1566"/>
      <c r="H3426" s="1568">
        <v>1</v>
      </c>
      <c r="I3426" s="1566"/>
      <c r="J3426" s="1566"/>
      <c r="K3426" s="1572">
        <v>215</v>
      </c>
      <c r="L3426" s="1572">
        <v>215</v>
      </c>
      <c r="M3426" s="1572">
        <v>-215</v>
      </c>
      <c r="N3426" s="1564"/>
      <c r="O3426" s="1564"/>
      <c r="P3426" s="1572">
        <v>215</v>
      </c>
      <c r="Q3426" s="1572">
        <v>-215</v>
      </c>
      <c r="R3426" s="1564"/>
      <c r="S3426" s="1562"/>
    </row>
    <row r="3427" spans="2:19" ht="11.25" customHeight="1" outlineLevel="1">
      <c r="B3427" s="1573">
        <v>34333</v>
      </c>
      <c r="C3427" s="1566" t="s">
        <v>5403</v>
      </c>
      <c r="D3427" s="1566" t="s">
        <v>9852</v>
      </c>
      <c r="E3427" s="1566"/>
      <c r="F3427" s="1566"/>
      <c r="G3427" s="1566"/>
      <c r="H3427" s="1568">
        <v>1</v>
      </c>
      <c r="I3427" s="1566"/>
      <c r="J3427" s="1566"/>
      <c r="K3427" s="1572">
        <v>215</v>
      </c>
      <c r="L3427" s="1572">
        <v>215</v>
      </c>
      <c r="M3427" s="1572">
        <v>-215</v>
      </c>
      <c r="N3427" s="1564"/>
      <c r="O3427" s="1564"/>
      <c r="P3427" s="1572">
        <v>215</v>
      </c>
      <c r="Q3427" s="1572">
        <v>-215</v>
      </c>
      <c r="R3427" s="1564"/>
      <c r="S3427" s="1562"/>
    </row>
    <row r="3428" spans="2:19" ht="11.25" customHeight="1" outlineLevel="1">
      <c r="B3428" s="1573">
        <v>34334</v>
      </c>
      <c r="C3428" s="1566" t="s">
        <v>5403</v>
      </c>
      <c r="D3428" s="1566" t="s">
        <v>9851</v>
      </c>
      <c r="E3428" s="1566"/>
      <c r="F3428" s="1566"/>
      <c r="G3428" s="1566"/>
      <c r="H3428" s="1568">
        <v>1</v>
      </c>
      <c r="I3428" s="1566"/>
      <c r="J3428" s="1566"/>
      <c r="K3428" s="1572">
        <v>215</v>
      </c>
      <c r="L3428" s="1572">
        <v>215</v>
      </c>
      <c r="M3428" s="1572">
        <v>-215</v>
      </c>
      <c r="N3428" s="1564"/>
      <c r="O3428" s="1564"/>
      <c r="P3428" s="1572">
        <v>215</v>
      </c>
      <c r="Q3428" s="1572">
        <v>-215</v>
      </c>
      <c r="R3428" s="1564"/>
      <c r="S3428" s="1562"/>
    </row>
    <row r="3429" spans="2:19" ht="11.25" customHeight="1" outlineLevel="1">
      <c r="B3429" s="1573">
        <v>34335</v>
      </c>
      <c r="C3429" s="1566" t="s">
        <v>5403</v>
      </c>
      <c r="D3429" s="1566" t="s">
        <v>9850</v>
      </c>
      <c r="E3429" s="1566"/>
      <c r="F3429" s="1566"/>
      <c r="G3429" s="1566"/>
      <c r="H3429" s="1568">
        <v>1</v>
      </c>
      <c r="I3429" s="1566"/>
      <c r="J3429" s="1566"/>
      <c r="K3429" s="1572">
        <v>215</v>
      </c>
      <c r="L3429" s="1572">
        <v>215</v>
      </c>
      <c r="M3429" s="1572">
        <v>-215</v>
      </c>
      <c r="N3429" s="1564"/>
      <c r="O3429" s="1564"/>
      <c r="P3429" s="1572">
        <v>215</v>
      </c>
      <c r="Q3429" s="1572">
        <v>-215</v>
      </c>
      <c r="R3429" s="1564"/>
      <c r="S3429" s="1562"/>
    </row>
    <row r="3430" spans="2:19" ht="11.25" customHeight="1" outlineLevel="1">
      <c r="B3430" s="1573">
        <v>34336</v>
      </c>
      <c r="C3430" s="1566" t="s">
        <v>5403</v>
      </c>
      <c r="D3430" s="1566" t="s">
        <v>9849</v>
      </c>
      <c r="E3430" s="1566"/>
      <c r="F3430" s="1566"/>
      <c r="G3430" s="1566"/>
      <c r="H3430" s="1568">
        <v>1</v>
      </c>
      <c r="I3430" s="1566"/>
      <c r="J3430" s="1566"/>
      <c r="K3430" s="1572">
        <v>215</v>
      </c>
      <c r="L3430" s="1572">
        <v>215</v>
      </c>
      <c r="M3430" s="1572">
        <v>-215</v>
      </c>
      <c r="N3430" s="1564"/>
      <c r="O3430" s="1564"/>
      <c r="P3430" s="1572">
        <v>215</v>
      </c>
      <c r="Q3430" s="1572">
        <v>-215</v>
      </c>
      <c r="R3430" s="1564"/>
      <c r="S3430" s="1562"/>
    </row>
    <row r="3431" spans="2:19" ht="11.25" customHeight="1" outlineLevel="1">
      <c r="B3431" s="1573">
        <v>34337</v>
      </c>
      <c r="C3431" s="1566" t="s">
        <v>5403</v>
      </c>
      <c r="D3431" s="1566" t="s">
        <v>9848</v>
      </c>
      <c r="E3431" s="1566"/>
      <c r="F3431" s="1566"/>
      <c r="G3431" s="1566"/>
      <c r="H3431" s="1568">
        <v>1</v>
      </c>
      <c r="I3431" s="1566"/>
      <c r="J3431" s="1566"/>
      <c r="K3431" s="1572">
        <v>215</v>
      </c>
      <c r="L3431" s="1572">
        <v>215</v>
      </c>
      <c r="M3431" s="1572">
        <v>-215</v>
      </c>
      <c r="N3431" s="1564"/>
      <c r="O3431" s="1564"/>
      <c r="P3431" s="1572">
        <v>215</v>
      </c>
      <c r="Q3431" s="1572">
        <v>-215</v>
      </c>
      <c r="R3431" s="1564"/>
      <c r="S3431" s="1562"/>
    </row>
    <row r="3432" spans="2:19" ht="11.25" customHeight="1" outlineLevel="1">
      <c r="B3432" s="1573">
        <v>34338</v>
      </c>
      <c r="C3432" s="1566" t="s">
        <v>5403</v>
      </c>
      <c r="D3432" s="1566" t="s">
        <v>9847</v>
      </c>
      <c r="E3432" s="1566"/>
      <c r="F3432" s="1566"/>
      <c r="G3432" s="1566"/>
      <c r="H3432" s="1568">
        <v>1</v>
      </c>
      <c r="I3432" s="1566"/>
      <c r="J3432" s="1566"/>
      <c r="K3432" s="1572">
        <v>215</v>
      </c>
      <c r="L3432" s="1572">
        <v>215</v>
      </c>
      <c r="M3432" s="1572">
        <v>-215</v>
      </c>
      <c r="N3432" s="1564"/>
      <c r="O3432" s="1564"/>
      <c r="P3432" s="1572">
        <v>215</v>
      </c>
      <c r="Q3432" s="1572">
        <v>-215</v>
      </c>
      <c r="R3432" s="1564"/>
      <c r="S3432" s="1562"/>
    </row>
    <row r="3433" spans="2:19" ht="11.25" customHeight="1" outlineLevel="1">
      <c r="B3433" s="1573">
        <v>34339</v>
      </c>
      <c r="C3433" s="1566" t="s">
        <v>5403</v>
      </c>
      <c r="D3433" s="1566" t="s">
        <v>9846</v>
      </c>
      <c r="E3433" s="1566"/>
      <c r="F3433" s="1566"/>
      <c r="G3433" s="1566"/>
      <c r="H3433" s="1568">
        <v>1</v>
      </c>
      <c r="I3433" s="1566"/>
      <c r="J3433" s="1566"/>
      <c r="K3433" s="1572">
        <v>215</v>
      </c>
      <c r="L3433" s="1572">
        <v>215</v>
      </c>
      <c r="M3433" s="1572">
        <v>-215</v>
      </c>
      <c r="N3433" s="1564"/>
      <c r="O3433" s="1564"/>
      <c r="P3433" s="1572">
        <v>215</v>
      </c>
      <c r="Q3433" s="1572">
        <v>-215</v>
      </c>
      <c r="R3433" s="1564"/>
      <c r="S3433" s="1562"/>
    </row>
    <row r="3434" spans="2:19" ht="11.25" customHeight="1" outlineLevel="1">
      <c r="B3434" s="1573">
        <v>34340</v>
      </c>
      <c r="C3434" s="1566" t="s">
        <v>5403</v>
      </c>
      <c r="D3434" s="1566" t="s">
        <v>9845</v>
      </c>
      <c r="E3434" s="1566"/>
      <c r="F3434" s="1566"/>
      <c r="G3434" s="1566"/>
      <c r="H3434" s="1568">
        <v>1</v>
      </c>
      <c r="I3434" s="1566"/>
      <c r="J3434" s="1566"/>
      <c r="K3434" s="1572">
        <v>215</v>
      </c>
      <c r="L3434" s="1572">
        <v>215</v>
      </c>
      <c r="M3434" s="1572">
        <v>-215</v>
      </c>
      <c r="N3434" s="1564"/>
      <c r="O3434" s="1564"/>
      <c r="P3434" s="1572">
        <v>215</v>
      </c>
      <c r="Q3434" s="1572">
        <v>-215</v>
      </c>
      <c r="R3434" s="1564"/>
      <c r="S3434" s="1562"/>
    </row>
    <row r="3435" spans="2:19" ht="11.25" customHeight="1" outlineLevel="1">
      <c r="B3435" s="1573">
        <v>34341</v>
      </c>
      <c r="C3435" s="1566" t="s">
        <v>5403</v>
      </c>
      <c r="D3435" s="1566" t="s">
        <v>9844</v>
      </c>
      <c r="E3435" s="1566"/>
      <c r="F3435" s="1566"/>
      <c r="G3435" s="1566"/>
      <c r="H3435" s="1568">
        <v>1</v>
      </c>
      <c r="I3435" s="1566"/>
      <c r="J3435" s="1566"/>
      <c r="K3435" s="1572">
        <v>215</v>
      </c>
      <c r="L3435" s="1572">
        <v>215</v>
      </c>
      <c r="M3435" s="1572">
        <v>-215</v>
      </c>
      <c r="N3435" s="1564"/>
      <c r="O3435" s="1564"/>
      <c r="P3435" s="1572">
        <v>215</v>
      </c>
      <c r="Q3435" s="1572">
        <v>-215</v>
      </c>
      <c r="R3435" s="1564"/>
      <c r="S3435" s="1562"/>
    </row>
    <row r="3436" spans="2:19" ht="11.25" customHeight="1" outlineLevel="1">
      <c r="B3436" s="1573">
        <v>34345</v>
      </c>
      <c r="C3436" s="1566" t="s">
        <v>5403</v>
      </c>
      <c r="D3436" s="1566" t="s">
        <v>9843</v>
      </c>
      <c r="E3436" s="1566"/>
      <c r="F3436" s="1566"/>
      <c r="G3436" s="1566"/>
      <c r="H3436" s="1568">
        <v>1</v>
      </c>
      <c r="I3436" s="1566"/>
      <c r="J3436" s="1566"/>
      <c r="K3436" s="1565">
        <v>1476</v>
      </c>
      <c r="L3436" s="1565">
        <v>1475.63</v>
      </c>
      <c r="M3436" s="1565">
        <v>-1475.63</v>
      </c>
      <c r="N3436" s="1564"/>
      <c r="O3436" s="1564"/>
      <c r="P3436" s="1565">
        <v>1475.63</v>
      </c>
      <c r="Q3436" s="1565">
        <v>-1475.63</v>
      </c>
      <c r="R3436" s="1564"/>
      <c r="S3436" s="1562"/>
    </row>
    <row r="3437" spans="2:19" ht="11.25" customHeight="1" outlineLevel="1">
      <c r="B3437" s="1573">
        <v>34346</v>
      </c>
      <c r="C3437" s="1566" t="s">
        <v>5403</v>
      </c>
      <c r="D3437" s="1566" t="s">
        <v>9842</v>
      </c>
      <c r="E3437" s="1566"/>
      <c r="F3437" s="1566"/>
      <c r="G3437" s="1566"/>
      <c r="H3437" s="1568">
        <v>1</v>
      </c>
      <c r="I3437" s="1566"/>
      <c r="J3437" s="1566"/>
      <c r="K3437" s="1565">
        <v>1476</v>
      </c>
      <c r="L3437" s="1565">
        <v>1475.63</v>
      </c>
      <c r="M3437" s="1565">
        <v>-1475.63</v>
      </c>
      <c r="N3437" s="1564"/>
      <c r="O3437" s="1564"/>
      <c r="P3437" s="1565">
        <v>1475.63</v>
      </c>
      <c r="Q3437" s="1565">
        <v>-1475.63</v>
      </c>
      <c r="R3437" s="1564"/>
      <c r="S3437" s="1562"/>
    </row>
    <row r="3438" spans="2:19" ht="11.25" customHeight="1" outlineLevel="1">
      <c r="B3438" s="1573">
        <v>34347</v>
      </c>
      <c r="C3438" s="1566" t="s">
        <v>5403</v>
      </c>
      <c r="D3438" s="1566" t="s">
        <v>9841</v>
      </c>
      <c r="E3438" s="1566"/>
      <c r="F3438" s="1566"/>
      <c r="G3438" s="1566"/>
      <c r="H3438" s="1568">
        <v>1</v>
      </c>
      <c r="I3438" s="1566"/>
      <c r="J3438" s="1566"/>
      <c r="K3438" s="1565">
        <v>1476</v>
      </c>
      <c r="L3438" s="1565">
        <v>1475.63</v>
      </c>
      <c r="M3438" s="1565">
        <v>-1475.63</v>
      </c>
      <c r="N3438" s="1564"/>
      <c r="O3438" s="1564"/>
      <c r="P3438" s="1565">
        <v>1475.63</v>
      </c>
      <c r="Q3438" s="1565">
        <v>-1475.63</v>
      </c>
      <c r="R3438" s="1564"/>
      <c r="S3438" s="1562"/>
    </row>
    <row r="3439" spans="2:19" ht="11.25" customHeight="1" outlineLevel="1">
      <c r="B3439" s="1573">
        <v>34348</v>
      </c>
      <c r="C3439" s="1566" t="s">
        <v>5403</v>
      </c>
      <c r="D3439" s="1566" t="s">
        <v>9840</v>
      </c>
      <c r="E3439" s="1566"/>
      <c r="F3439" s="1566"/>
      <c r="G3439" s="1566"/>
      <c r="H3439" s="1568">
        <v>1</v>
      </c>
      <c r="I3439" s="1566"/>
      <c r="J3439" s="1566"/>
      <c r="K3439" s="1565">
        <v>1476</v>
      </c>
      <c r="L3439" s="1565">
        <v>1475.63</v>
      </c>
      <c r="M3439" s="1565">
        <v>-1475.63</v>
      </c>
      <c r="N3439" s="1564"/>
      <c r="O3439" s="1564"/>
      <c r="P3439" s="1565">
        <v>1475.63</v>
      </c>
      <c r="Q3439" s="1565">
        <v>-1475.63</v>
      </c>
      <c r="R3439" s="1564"/>
      <c r="S3439" s="1562"/>
    </row>
    <row r="3440" spans="2:19" ht="11.25" customHeight="1" outlineLevel="1">
      <c r="B3440" s="1573">
        <v>34349</v>
      </c>
      <c r="C3440" s="1566" t="s">
        <v>5403</v>
      </c>
      <c r="D3440" s="1566" t="s">
        <v>9839</v>
      </c>
      <c r="E3440" s="1566"/>
      <c r="F3440" s="1566"/>
      <c r="G3440" s="1566"/>
      <c r="H3440" s="1568">
        <v>1</v>
      </c>
      <c r="I3440" s="1566"/>
      <c r="J3440" s="1566"/>
      <c r="K3440" s="1565">
        <v>1476</v>
      </c>
      <c r="L3440" s="1565">
        <v>1475.63</v>
      </c>
      <c r="M3440" s="1565">
        <v>-1475.63</v>
      </c>
      <c r="N3440" s="1564"/>
      <c r="O3440" s="1564"/>
      <c r="P3440" s="1565">
        <v>1475.63</v>
      </c>
      <c r="Q3440" s="1565">
        <v>-1475.63</v>
      </c>
      <c r="R3440" s="1564"/>
      <c r="S3440" s="1562"/>
    </row>
    <row r="3441" spans="2:19" ht="11.25" customHeight="1" outlineLevel="1">
      <c r="B3441" s="1573">
        <v>34350</v>
      </c>
      <c r="C3441" s="1566" t="s">
        <v>5403</v>
      </c>
      <c r="D3441" s="1566" t="s">
        <v>9838</v>
      </c>
      <c r="E3441" s="1566"/>
      <c r="F3441" s="1566"/>
      <c r="G3441" s="1566"/>
      <c r="H3441" s="1568">
        <v>1</v>
      </c>
      <c r="I3441" s="1566"/>
      <c r="J3441" s="1566"/>
      <c r="K3441" s="1565">
        <v>1476</v>
      </c>
      <c r="L3441" s="1565">
        <v>1475.63</v>
      </c>
      <c r="M3441" s="1565">
        <v>-1475.63</v>
      </c>
      <c r="N3441" s="1564"/>
      <c r="O3441" s="1564"/>
      <c r="P3441" s="1565">
        <v>1475.63</v>
      </c>
      <c r="Q3441" s="1565">
        <v>-1475.63</v>
      </c>
      <c r="R3441" s="1564"/>
      <c r="S3441" s="1562"/>
    </row>
    <row r="3442" spans="2:19" ht="11.25" customHeight="1" outlineLevel="1">
      <c r="B3442" s="1573">
        <v>34351</v>
      </c>
      <c r="C3442" s="1566" t="s">
        <v>5403</v>
      </c>
      <c r="D3442" s="1566" t="s">
        <v>9837</v>
      </c>
      <c r="E3442" s="1566"/>
      <c r="F3442" s="1566"/>
      <c r="G3442" s="1566"/>
      <c r="H3442" s="1568">
        <v>1</v>
      </c>
      <c r="I3442" s="1566"/>
      <c r="J3442" s="1566"/>
      <c r="K3442" s="1565">
        <v>1476</v>
      </c>
      <c r="L3442" s="1565">
        <v>1475.63</v>
      </c>
      <c r="M3442" s="1565">
        <v>-1475.63</v>
      </c>
      <c r="N3442" s="1564"/>
      <c r="O3442" s="1564"/>
      <c r="P3442" s="1565">
        <v>1475.63</v>
      </c>
      <c r="Q3442" s="1565">
        <v>-1475.63</v>
      </c>
      <c r="R3442" s="1564"/>
      <c r="S3442" s="1562"/>
    </row>
    <row r="3443" spans="2:19" ht="11.25" customHeight="1" outlineLevel="1">
      <c r="B3443" s="1573">
        <v>34354</v>
      </c>
      <c r="C3443" s="1566" t="s">
        <v>5403</v>
      </c>
      <c r="D3443" s="1566" t="s">
        <v>9836</v>
      </c>
      <c r="E3443" s="1566"/>
      <c r="F3443" s="1566"/>
      <c r="G3443" s="1566"/>
      <c r="H3443" s="1568">
        <v>1</v>
      </c>
      <c r="I3443" s="1566"/>
      <c r="J3443" s="1566"/>
      <c r="K3443" s="1572">
        <v>622</v>
      </c>
      <c r="L3443" s="1572">
        <v>621.66999999999996</v>
      </c>
      <c r="M3443" s="1572">
        <v>-621.66999999999996</v>
      </c>
      <c r="N3443" s="1564"/>
      <c r="O3443" s="1564"/>
      <c r="P3443" s="1572">
        <v>621.66999999999996</v>
      </c>
      <c r="Q3443" s="1572">
        <v>-621.66999999999996</v>
      </c>
      <c r="R3443" s="1564"/>
      <c r="S3443" s="1562"/>
    </row>
    <row r="3444" spans="2:19" ht="11.25" customHeight="1" outlineLevel="1">
      <c r="B3444" s="1573">
        <v>34355</v>
      </c>
      <c r="C3444" s="1566" t="s">
        <v>5403</v>
      </c>
      <c r="D3444" s="1566" t="s">
        <v>9835</v>
      </c>
      <c r="E3444" s="1566"/>
      <c r="F3444" s="1566"/>
      <c r="G3444" s="1566"/>
      <c r="H3444" s="1568">
        <v>1</v>
      </c>
      <c r="I3444" s="1566"/>
      <c r="J3444" s="1566"/>
      <c r="K3444" s="1572">
        <v>622</v>
      </c>
      <c r="L3444" s="1572">
        <v>621.66999999999996</v>
      </c>
      <c r="M3444" s="1572">
        <v>-621.66999999999996</v>
      </c>
      <c r="N3444" s="1564"/>
      <c r="O3444" s="1564"/>
      <c r="P3444" s="1572">
        <v>621.66999999999996</v>
      </c>
      <c r="Q3444" s="1572">
        <v>-621.66999999999996</v>
      </c>
      <c r="R3444" s="1564"/>
      <c r="S3444" s="1562"/>
    </row>
    <row r="3445" spans="2:19" ht="11.25" customHeight="1" outlineLevel="1">
      <c r="B3445" s="1573">
        <v>34359</v>
      </c>
      <c r="C3445" s="1566" t="s">
        <v>5403</v>
      </c>
      <c r="D3445" s="1566" t="s">
        <v>9834</v>
      </c>
      <c r="E3445" s="1566"/>
      <c r="F3445" s="1566"/>
      <c r="G3445" s="1566"/>
      <c r="H3445" s="1568">
        <v>1</v>
      </c>
      <c r="I3445" s="1566"/>
      <c r="J3445" s="1566"/>
      <c r="K3445" s="1565">
        <v>2510</v>
      </c>
      <c r="L3445" s="1565">
        <v>2510</v>
      </c>
      <c r="M3445" s="1565">
        <v>-2510</v>
      </c>
      <c r="N3445" s="1564"/>
      <c r="O3445" s="1564"/>
      <c r="P3445" s="1565">
        <v>2510</v>
      </c>
      <c r="Q3445" s="1565">
        <v>-2510</v>
      </c>
      <c r="R3445" s="1564"/>
      <c r="S3445" s="1562"/>
    </row>
    <row r="3446" spans="2:19" ht="11.25" customHeight="1" outlineLevel="1">
      <c r="B3446" s="1573">
        <v>34371</v>
      </c>
      <c r="C3446" s="1566" t="s">
        <v>5403</v>
      </c>
      <c r="D3446" s="1566" t="s">
        <v>9833</v>
      </c>
      <c r="E3446" s="1566"/>
      <c r="F3446" s="1566"/>
      <c r="G3446" s="1566"/>
      <c r="H3446" s="1568">
        <v>1</v>
      </c>
      <c r="I3446" s="1566"/>
      <c r="J3446" s="1566"/>
      <c r="K3446" s="1565">
        <v>2510</v>
      </c>
      <c r="L3446" s="1565">
        <v>2510</v>
      </c>
      <c r="M3446" s="1565">
        <v>-2510</v>
      </c>
      <c r="N3446" s="1564"/>
      <c r="O3446" s="1564"/>
      <c r="P3446" s="1565">
        <v>2510</v>
      </c>
      <c r="Q3446" s="1565">
        <v>-2510</v>
      </c>
      <c r="R3446" s="1564"/>
      <c r="S3446" s="1562"/>
    </row>
    <row r="3447" spans="2:19" ht="11.25" customHeight="1" outlineLevel="1">
      <c r="B3447" s="1573">
        <v>34372</v>
      </c>
      <c r="C3447" s="1566" t="s">
        <v>5403</v>
      </c>
      <c r="D3447" s="1566" t="s">
        <v>9832</v>
      </c>
      <c r="E3447" s="1566"/>
      <c r="F3447" s="1566"/>
      <c r="G3447" s="1566"/>
      <c r="H3447" s="1568">
        <v>1</v>
      </c>
      <c r="I3447" s="1566"/>
      <c r="J3447" s="1566"/>
      <c r="K3447" s="1572">
        <v>62</v>
      </c>
      <c r="L3447" s="1572">
        <v>61.98</v>
      </c>
      <c r="M3447" s="1572">
        <v>-61.98</v>
      </c>
      <c r="N3447" s="1564"/>
      <c r="O3447" s="1564"/>
      <c r="P3447" s="1572">
        <v>61.98</v>
      </c>
      <c r="Q3447" s="1572">
        <v>-61.98</v>
      </c>
      <c r="R3447" s="1564"/>
      <c r="S3447" s="1562"/>
    </row>
    <row r="3448" spans="2:19" ht="11.25" customHeight="1" outlineLevel="1">
      <c r="B3448" s="1573">
        <v>34373</v>
      </c>
      <c r="C3448" s="1566" t="s">
        <v>5403</v>
      </c>
      <c r="D3448" s="1566" t="s">
        <v>9831</v>
      </c>
      <c r="E3448" s="1566"/>
      <c r="F3448" s="1566"/>
      <c r="G3448" s="1566"/>
      <c r="H3448" s="1568">
        <v>1</v>
      </c>
      <c r="I3448" s="1566"/>
      <c r="J3448" s="1566"/>
      <c r="K3448" s="1572">
        <v>62</v>
      </c>
      <c r="L3448" s="1572">
        <v>61.98</v>
      </c>
      <c r="M3448" s="1572">
        <v>-61.98</v>
      </c>
      <c r="N3448" s="1564"/>
      <c r="O3448" s="1564"/>
      <c r="P3448" s="1572">
        <v>61.98</v>
      </c>
      <c r="Q3448" s="1572">
        <v>-61.98</v>
      </c>
      <c r="R3448" s="1564"/>
      <c r="S3448" s="1562"/>
    </row>
    <row r="3449" spans="2:19" ht="11.25" customHeight="1" outlineLevel="1">
      <c r="B3449" s="1573">
        <v>34374</v>
      </c>
      <c r="C3449" s="1566" t="s">
        <v>5403</v>
      </c>
      <c r="D3449" s="1566" t="s">
        <v>9830</v>
      </c>
      <c r="E3449" s="1566"/>
      <c r="F3449" s="1566"/>
      <c r="G3449" s="1566"/>
      <c r="H3449" s="1568">
        <v>1</v>
      </c>
      <c r="I3449" s="1566"/>
      <c r="J3449" s="1566"/>
      <c r="K3449" s="1572">
        <v>62</v>
      </c>
      <c r="L3449" s="1572">
        <v>61.98</v>
      </c>
      <c r="M3449" s="1572">
        <v>-61.98</v>
      </c>
      <c r="N3449" s="1564"/>
      <c r="O3449" s="1564"/>
      <c r="P3449" s="1572">
        <v>61.98</v>
      </c>
      <c r="Q3449" s="1572">
        <v>-61.98</v>
      </c>
      <c r="R3449" s="1564"/>
      <c r="S3449" s="1562"/>
    </row>
    <row r="3450" spans="2:19" ht="11.25" customHeight="1" outlineLevel="1">
      <c r="B3450" s="1573">
        <v>34375</v>
      </c>
      <c r="C3450" s="1566" t="s">
        <v>5403</v>
      </c>
      <c r="D3450" s="1566" t="s">
        <v>9829</v>
      </c>
      <c r="E3450" s="1566"/>
      <c r="F3450" s="1566"/>
      <c r="G3450" s="1566"/>
      <c r="H3450" s="1568">
        <v>1</v>
      </c>
      <c r="I3450" s="1566"/>
      <c r="J3450" s="1566"/>
      <c r="K3450" s="1572">
        <v>62</v>
      </c>
      <c r="L3450" s="1572">
        <v>61.98</v>
      </c>
      <c r="M3450" s="1572">
        <v>-61.98</v>
      </c>
      <c r="N3450" s="1564"/>
      <c r="O3450" s="1564"/>
      <c r="P3450" s="1572">
        <v>61.98</v>
      </c>
      <c r="Q3450" s="1572">
        <v>-61.98</v>
      </c>
      <c r="R3450" s="1564"/>
      <c r="S3450" s="1562"/>
    </row>
    <row r="3451" spans="2:19" ht="11.25" customHeight="1" outlineLevel="1">
      <c r="B3451" s="1573">
        <v>34376</v>
      </c>
      <c r="C3451" s="1566" t="s">
        <v>5403</v>
      </c>
      <c r="D3451" s="1566" t="s">
        <v>9828</v>
      </c>
      <c r="E3451" s="1566"/>
      <c r="F3451" s="1566"/>
      <c r="G3451" s="1566"/>
      <c r="H3451" s="1568">
        <v>1</v>
      </c>
      <c r="I3451" s="1566"/>
      <c r="J3451" s="1566"/>
      <c r="K3451" s="1572">
        <v>62</v>
      </c>
      <c r="L3451" s="1572">
        <v>61.98</v>
      </c>
      <c r="M3451" s="1572">
        <v>-61.98</v>
      </c>
      <c r="N3451" s="1564"/>
      <c r="O3451" s="1564"/>
      <c r="P3451" s="1572">
        <v>61.98</v>
      </c>
      <c r="Q3451" s="1572">
        <v>-61.98</v>
      </c>
      <c r="R3451" s="1564"/>
      <c r="S3451" s="1562"/>
    </row>
    <row r="3452" spans="2:19" ht="11.25" customHeight="1" outlineLevel="1">
      <c r="B3452" s="1573">
        <v>34377</v>
      </c>
      <c r="C3452" s="1566" t="s">
        <v>5403</v>
      </c>
      <c r="D3452" s="1566" t="s">
        <v>9827</v>
      </c>
      <c r="E3452" s="1566"/>
      <c r="F3452" s="1566"/>
      <c r="G3452" s="1566"/>
      <c r="H3452" s="1568">
        <v>1</v>
      </c>
      <c r="I3452" s="1566"/>
      <c r="J3452" s="1566"/>
      <c r="K3452" s="1572">
        <v>62</v>
      </c>
      <c r="L3452" s="1572">
        <v>61.98</v>
      </c>
      <c r="M3452" s="1572">
        <v>-61.98</v>
      </c>
      <c r="N3452" s="1564"/>
      <c r="O3452" s="1564"/>
      <c r="P3452" s="1572">
        <v>61.98</v>
      </c>
      <c r="Q3452" s="1572">
        <v>-61.98</v>
      </c>
      <c r="R3452" s="1564"/>
      <c r="S3452" s="1562"/>
    </row>
    <row r="3453" spans="2:19" ht="11.25" customHeight="1" outlineLevel="1">
      <c r="B3453" s="1573">
        <v>34378</v>
      </c>
      <c r="C3453" s="1566" t="s">
        <v>5403</v>
      </c>
      <c r="D3453" s="1566" t="s">
        <v>9826</v>
      </c>
      <c r="E3453" s="1566"/>
      <c r="F3453" s="1566"/>
      <c r="G3453" s="1566"/>
      <c r="H3453" s="1568">
        <v>1</v>
      </c>
      <c r="I3453" s="1566"/>
      <c r="J3453" s="1566"/>
      <c r="K3453" s="1572">
        <v>62</v>
      </c>
      <c r="L3453" s="1572">
        <v>61.98</v>
      </c>
      <c r="M3453" s="1572">
        <v>-61.98</v>
      </c>
      <c r="N3453" s="1564"/>
      <c r="O3453" s="1564"/>
      <c r="P3453" s="1572">
        <v>61.98</v>
      </c>
      <c r="Q3453" s="1572">
        <v>-61.98</v>
      </c>
      <c r="R3453" s="1564"/>
      <c r="S3453" s="1562"/>
    </row>
    <row r="3454" spans="2:19" ht="11.25" customHeight="1" outlineLevel="1">
      <c r="B3454" s="1573">
        <v>34379</v>
      </c>
      <c r="C3454" s="1566" t="s">
        <v>5403</v>
      </c>
      <c r="D3454" s="1566" t="s">
        <v>9825</v>
      </c>
      <c r="E3454" s="1566"/>
      <c r="F3454" s="1566"/>
      <c r="G3454" s="1566"/>
      <c r="H3454" s="1568">
        <v>1</v>
      </c>
      <c r="I3454" s="1566"/>
      <c r="J3454" s="1566"/>
      <c r="K3454" s="1572">
        <v>62</v>
      </c>
      <c r="L3454" s="1572">
        <v>61.98</v>
      </c>
      <c r="M3454" s="1572">
        <v>-61.98</v>
      </c>
      <c r="N3454" s="1564"/>
      <c r="O3454" s="1564"/>
      <c r="P3454" s="1572">
        <v>61.98</v>
      </c>
      <c r="Q3454" s="1572">
        <v>-61.98</v>
      </c>
      <c r="R3454" s="1564"/>
      <c r="S3454" s="1562"/>
    </row>
    <row r="3455" spans="2:19" ht="11.25" customHeight="1" outlineLevel="1">
      <c r="B3455" s="1573">
        <v>34380</v>
      </c>
      <c r="C3455" s="1566" t="s">
        <v>5403</v>
      </c>
      <c r="D3455" s="1566" t="s">
        <v>9824</v>
      </c>
      <c r="E3455" s="1566"/>
      <c r="F3455" s="1566"/>
      <c r="G3455" s="1566"/>
      <c r="H3455" s="1568">
        <v>1</v>
      </c>
      <c r="I3455" s="1566"/>
      <c r="J3455" s="1566"/>
      <c r="K3455" s="1572">
        <v>62</v>
      </c>
      <c r="L3455" s="1572">
        <v>61.98</v>
      </c>
      <c r="M3455" s="1572">
        <v>-61.98</v>
      </c>
      <c r="N3455" s="1564"/>
      <c r="O3455" s="1564"/>
      <c r="P3455" s="1572">
        <v>61.98</v>
      </c>
      <c r="Q3455" s="1572">
        <v>-61.98</v>
      </c>
      <c r="R3455" s="1564"/>
      <c r="S3455" s="1562"/>
    </row>
    <row r="3456" spans="2:19" ht="11.25" customHeight="1" outlineLevel="1">
      <c r="B3456" s="1573">
        <v>34381</v>
      </c>
      <c r="C3456" s="1566" t="s">
        <v>5403</v>
      </c>
      <c r="D3456" s="1566" t="s">
        <v>9823</v>
      </c>
      <c r="E3456" s="1566"/>
      <c r="F3456" s="1566"/>
      <c r="G3456" s="1566"/>
      <c r="H3456" s="1568">
        <v>1</v>
      </c>
      <c r="I3456" s="1566"/>
      <c r="J3456" s="1566"/>
      <c r="K3456" s="1572">
        <v>62</v>
      </c>
      <c r="L3456" s="1572">
        <v>61.98</v>
      </c>
      <c r="M3456" s="1572">
        <v>-61.98</v>
      </c>
      <c r="N3456" s="1564"/>
      <c r="O3456" s="1564"/>
      <c r="P3456" s="1572">
        <v>61.98</v>
      </c>
      <c r="Q3456" s="1572">
        <v>-61.98</v>
      </c>
      <c r="R3456" s="1564"/>
      <c r="S3456" s="1562"/>
    </row>
    <row r="3457" spans="2:19" ht="11.25" customHeight="1" outlineLevel="1">
      <c r="B3457" s="1573">
        <v>34382</v>
      </c>
      <c r="C3457" s="1566" t="s">
        <v>5403</v>
      </c>
      <c r="D3457" s="1566" t="s">
        <v>9822</v>
      </c>
      <c r="E3457" s="1566"/>
      <c r="F3457" s="1566"/>
      <c r="G3457" s="1566"/>
      <c r="H3457" s="1568">
        <v>1</v>
      </c>
      <c r="I3457" s="1566"/>
      <c r="J3457" s="1566"/>
      <c r="K3457" s="1572">
        <v>62</v>
      </c>
      <c r="L3457" s="1572">
        <v>61.98</v>
      </c>
      <c r="M3457" s="1572">
        <v>-61.98</v>
      </c>
      <c r="N3457" s="1564"/>
      <c r="O3457" s="1564"/>
      <c r="P3457" s="1572">
        <v>61.98</v>
      </c>
      <c r="Q3457" s="1572">
        <v>-61.98</v>
      </c>
      <c r="R3457" s="1564"/>
      <c r="S3457" s="1562"/>
    </row>
    <row r="3458" spans="2:19" ht="11.25" customHeight="1" outlineLevel="1">
      <c r="B3458" s="1573">
        <v>34383</v>
      </c>
      <c r="C3458" s="1566" t="s">
        <v>5403</v>
      </c>
      <c r="D3458" s="1566" t="s">
        <v>9821</v>
      </c>
      <c r="E3458" s="1566"/>
      <c r="F3458" s="1566"/>
      <c r="G3458" s="1566"/>
      <c r="H3458" s="1568">
        <v>1</v>
      </c>
      <c r="I3458" s="1566"/>
      <c r="J3458" s="1566"/>
      <c r="K3458" s="1572">
        <v>62</v>
      </c>
      <c r="L3458" s="1572">
        <v>61.98</v>
      </c>
      <c r="M3458" s="1572">
        <v>-61.98</v>
      </c>
      <c r="N3458" s="1564"/>
      <c r="O3458" s="1564"/>
      <c r="P3458" s="1572">
        <v>61.98</v>
      </c>
      <c r="Q3458" s="1572">
        <v>-61.98</v>
      </c>
      <c r="R3458" s="1564"/>
      <c r="S3458" s="1562"/>
    </row>
    <row r="3459" spans="2:19" ht="11.25" customHeight="1" outlineLevel="1">
      <c r="B3459" s="1573">
        <v>34384</v>
      </c>
      <c r="C3459" s="1566" t="s">
        <v>5403</v>
      </c>
      <c r="D3459" s="1566" t="s">
        <v>9820</v>
      </c>
      <c r="E3459" s="1566"/>
      <c r="F3459" s="1566"/>
      <c r="G3459" s="1566"/>
      <c r="H3459" s="1568">
        <v>1</v>
      </c>
      <c r="I3459" s="1566"/>
      <c r="J3459" s="1566"/>
      <c r="K3459" s="1572">
        <v>62</v>
      </c>
      <c r="L3459" s="1572">
        <v>61.98</v>
      </c>
      <c r="M3459" s="1572">
        <v>-61.98</v>
      </c>
      <c r="N3459" s="1564"/>
      <c r="O3459" s="1564"/>
      <c r="P3459" s="1572">
        <v>61.98</v>
      </c>
      <c r="Q3459" s="1572">
        <v>-61.98</v>
      </c>
      <c r="R3459" s="1564"/>
      <c r="S3459" s="1562"/>
    </row>
    <row r="3460" spans="2:19" ht="11.25" customHeight="1" outlineLevel="1">
      <c r="B3460" s="1573">
        <v>34385</v>
      </c>
      <c r="C3460" s="1566" t="s">
        <v>5403</v>
      </c>
      <c r="D3460" s="1566" t="s">
        <v>9819</v>
      </c>
      <c r="E3460" s="1566"/>
      <c r="F3460" s="1566"/>
      <c r="G3460" s="1566"/>
      <c r="H3460" s="1568">
        <v>1</v>
      </c>
      <c r="I3460" s="1566"/>
      <c r="J3460" s="1566"/>
      <c r="K3460" s="1572">
        <v>62</v>
      </c>
      <c r="L3460" s="1572">
        <v>61.98</v>
      </c>
      <c r="M3460" s="1572">
        <v>-61.98</v>
      </c>
      <c r="N3460" s="1564"/>
      <c r="O3460" s="1564"/>
      <c r="P3460" s="1572">
        <v>61.98</v>
      </c>
      <c r="Q3460" s="1572">
        <v>-61.98</v>
      </c>
      <c r="R3460" s="1564"/>
      <c r="S3460" s="1562"/>
    </row>
    <row r="3461" spans="2:19" ht="11.25" customHeight="1" outlineLevel="1">
      <c r="B3461" s="1573">
        <v>34386</v>
      </c>
      <c r="C3461" s="1566" t="s">
        <v>5403</v>
      </c>
      <c r="D3461" s="1566" t="s">
        <v>9818</v>
      </c>
      <c r="E3461" s="1566"/>
      <c r="F3461" s="1566"/>
      <c r="G3461" s="1566"/>
      <c r="H3461" s="1568">
        <v>1</v>
      </c>
      <c r="I3461" s="1566"/>
      <c r="J3461" s="1566"/>
      <c r="K3461" s="1572">
        <v>62</v>
      </c>
      <c r="L3461" s="1572">
        <v>61.98</v>
      </c>
      <c r="M3461" s="1572">
        <v>-61.98</v>
      </c>
      <c r="N3461" s="1564"/>
      <c r="O3461" s="1564"/>
      <c r="P3461" s="1572">
        <v>61.98</v>
      </c>
      <c r="Q3461" s="1572">
        <v>-61.98</v>
      </c>
      <c r="R3461" s="1564"/>
      <c r="S3461" s="1562"/>
    </row>
    <row r="3462" spans="2:19" ht="11.25" customHeight="1" outlineLevel="1">
      <c r="B3462" s="1573">
        <v>34387</v>
      </c>
      <c r="C3462" s="1566" t="s">
        <v>5403</v>
      </c>
      <c r="D3462" s="1566" t="s">
        <v>9817</v>
      </c>
      <c r="E3462" s="1566"/>
      <c r="F3462" s="1566"/>
      <c r="G3462" s="1566"/>
      <c r="H3462" s="1568">
        <v>1</v>
      </c>
      <c r="I3462" s="1566"/>
      <c r="J3462" s="1566"/>
      <c r="K3462" s="1572">
        <v>62</v>
      </c>
      <c r="L3462" s="1572">
        <v>61.98</v>
      </c>
      <c r="M3462" s="1572">
        <v>-61.98</v>
      </c>
      <c r="N3462" s="1564"/>
      <c r="O3462" s="1564"/>
      <c r="P3462" s="1572">
        <v>61.98</v>
      </c>
      <c r="Q3462" s="1572">
        <v>-61.98</v>
      </c>
      <c r="R3462" s="1564"/>
      <c r="S3462" s="1562"/>
    </row>
    <row r="3463" spans="2:19" ht="11.25" customHeight="1" outlineLevel="1">
      <c r="B3463" s="1573">
        <v>34388</v>
      </c>
      <c r="C3463" s="1566" t="s">
        <v>5403</v>
      </c>
      <c r="D3463" s="1566" t="s">
        <v>9816</v>
      </c>
      <c r="E3463" s="1566"/>
      <c r="F3463" s="1566"/>
      <c r="G3463" s="1566"/>
      <c r="H3463" s="1568">
        <v>1</v>
      </c>
      <c r="I3463" s="1566"/>
      <c r="J3463" s="1566"/>
      <c r="K3463" s="1572">
        <v>62</v>
      </c>
      <c r="L3463" s="1572">
        <v>61.98</v>
      </c>
      <c r="M3463" s="1572">
        <v>-61.98</v>
      </c>
      <c r="N3463" s="1564"/>
      <c r="O3463" s="1564"/>
      <c r="P3463" s="1572">
        <v>61.98</v>
      </c>
      <c r="Q3463" s="1572">
        <v>-61.98</v>
      </c>
      <c r="R3463" s="1564"/>
      <c r="S3463" s="1562"/>
    </row>
    <row r="3464" spans="2:19" ht="11.25" customHeight="1" outlineLevel="1">
      <c r="B3464" s="1573">
        <v>34389</v>
      </c>
      <c r="C3464" s="1566" t="s">
        <v>5403</v>
      </c>
      <c r="D3464" s="1566" t="s">
        <v>9815</v>
      </c>
      <c r="E3464" s="1566"/>
      <c r="F3464" s="1566"/>
      <c r="G3464" s="1566"/>
      <c r="H3464" s="1568">
        <v>1</v>
      </c>
      <c r="I3464" s="1566"/>
      <c r="J3464" s="1566"/>
      <c r="K3464" s="1572">
        <v>62</v>
      </c>
      <c r="L3464" s="1572">
        <v>61.98</v>
      </c>
      <c r="M3464" s="1572">
        <v>-61.98</v>
      </c>
      <c r="N3464" s="1564"/>
      <c r="O3464" s="1564"/>
      <c r="P3464" s="1572">
        <v>61.98</v>
      </c>
      <c r="Q3464" s="1572">
        <v>-61.98</v>
      </c>
      <c r="R3464" s="1564"/>
      <c r="S3464" s="1562"/>
    </row>
    <row r="3465" spans="2:19" ht="11.25" customHeight="1" outlineLevel="1">
      <c r="B3465" s="1573">
        <v>34390</v>
      </c>
      <c r="C3465" s="1566" t="s">
        <v>5403</v>
      </c>
      <c r="D3465" s="1566" t="s">
        <v>9814</v>
      </c>
      <c r="E3465" s="1566"/>
      <c r="F3465" s="1566"/>
      <c r="G3465" s="1566"/>
      <c r="H3465" s="1568">
        <v>1</v>
      </c>
      <c r="I3465" s="1566"/>
      <c r="J3465" s="1566"/>
      <c r="K3465" s="1572">
        <v>62</v>
      </c>
      <c r="L3465" s="1572">
        <v>61.98</v>
      </c>
      <c r="M3465" s="1572">
        <v>-61.98</v>
      </c>
      <c r="N3465" s="1564"/>
      <c r="O3465" s="1564"/>
      <c r="P3465" s="1572">
        <v>61.98</v>
      </c>
      <c r="Q3465" s="1572">
        <v>-61.98</v>
      </c>
      <c r="R3465" s="1564"/>
      <c r="S3465" s="1562"/>
    </row>
    <row r="3466" spans="2:19" ht="11.25" customHeight="1" outlineLevel="1">
      <c r="B3466" s="1573">
        <v>34391</v>
      </c>
      <c r="C3466" s="1566" t="s">
        <v>5403</v>
      </c>
      <c r="D3466" s="1566" t="s">
        <v>9813</v>
      </c>
      <c r="E3466" s="1566"/>
      <c r="F3466" s="1566"/>
      <c r="G3466" s="1566"/>
      <c r="H3466" s="1568">
        <v>1</v>
      </c>
      <c r="I3466" s="1566"/>
      <c r="J3466" s="1566"/>
      <c r="K3466" s="1572">
        <v>62</v>
      </c>
      <c r="L3466" s="1572">
        <v>61.98</v>
      </c>
      <c r="M3466" s="1572">
        <v>-61.98</v>
      </c>
      <c r="N3466" s="1564"/>
      <c r="O3466" s="1564"/>
      <c r="P3466" s="1572">
        <v>61.98</v>
      </c>
      <c r="Q3466" s="1572">
        <v>-61.98</v>
      </c>
      <c r="R3466" s="1564"/>
      <c r="S3466" s="1562"/>
    </row>
    <row r="3467" spans="2:19" ht="11.25" customHeight="1" outlineLevel="1">
      <c r="B3467" s="1573">
        <v>34392</v>
      </c>
      <c r="C3467" s="1566" t="s">
        <v>5403</v>
      </c>
      <c r="D3467" s="1566" t="s">
        <v>9812</v>
      </c>
      <c r="E3467" s="1566"/>
      <c r="F3467" s="1566"/>
      <c r="G3467" s="1566"/>
      <c r="H3467" s="1568">
        <v>1</v>
      </c>
      <c r="I3467" s="1566"/>
      <c r="J3467" s="1566"/>
      <c r="K3467" s="1572">
        <v>62</v>
      </c>
      <c r="L3467" s="1572">
        <v>61.98</v>
      </c>
      <c r="M3467" s="1572">
        <v>-61.98</v>
      </c>
      <c r="N3467" s="1564"/>
      <c r="O3467" s="1564"/>
      <c r="P3467" s="1572">
        <v>61.98</v>
      </c>
      <c r="Q3467" s="1572">
        <v>-61.98</v>
      </c>
      <c r="R3467" s="1564"/>
      <c r="S3467" s="1562"/>
    </row>
    <row r="3468" spans="2:19" ht="11.25" customHeight="1" outlineLevel="1">
      <c r="B3468" s="1573">
        <v>34393</v>
      </c>
      <c r="C3468" s="1566" t="s">
        <v>5403</v>
      </c>
      <c r="D3468" s="1566" t="s">
        <v>9811</v>
      </c>
      <c r="E3468" s="1566"/>
      <c r="F3468" s="1566"/>
      <c r="G3468" s="1566"/>
      <c r="H3468" s="1568">
        <v>1</v>
      </c>
      <c r="I3468" s="1566"/>
      <c r="J3468" s="1566"/>
      <c r="K3468" s="1572">
        <v>62</v>
      </c>
      <c r="L3468" s="1572">
        <v>61.98</v>
      </c>
      <c r="M3468" s="1572">
        <v>-61.98</v>
      </c>
      <c r="N3468" s="1564"/>
      <c r="O3468" s="1564"/>
      <c r="P3468" s="1572">
        <v>61.98</v>
      </c>
      <c r="Q3468" s="1572">
        <v>-61.98</v>
      </c>
      <c r="R3468" s="1564"/>
      <c r="S3468" s="1562"/>
    </row>
    <row r="3469" spans="2:19" ht="11.25" customHeight="1" outlineLevel="1">
      <c r="B3469" s="1573">
        <v>34394</v>
      </c>
      <c r="C3469" s="1566" t="s">
        <v>5403</v>
      </c>
      <c r="D3469" s="1566" t="s">
        <v>9810</v>
      </c>
      <c r="E3469" s="1566"/>
      <c r="F3469" s="1566"/>
      <c r="G3469" s="1566"/>
      <c r="H3469" s="1568">
        <v>1</v>
      </c>
      <c r="I3469" s="1566"/>
      <c r="J3469" s="1566"/>
      <c r="K3469" s="1572">
        <v>62</v>
      </c>
      <c r="L3469" s="1572">
        <v>61.98</v>
      </c>
      <c r="M3469" s="1572">
        <v>-61.98</v>
      </c>
      <c r="N3469" s="1564"/>
      <c r="O3469" s="1564"/>
      <c r="P3469" s="1572">
        <v>61.98</v>
      </c>
      <c r="Q3469" s="1572">
        <v>-61.98</v>
      </c>
      <c r="R3469" s="1564"/>
      <c r="S3469" s="1562"/>
    </row>
    <row r="3470" spans="2:19" ht="11.25" customHeight="1" outlineLevel="1">
      <c r="B3470" s="1573">
        <v>34395</v>
      </c>
      <c r="C3470" s="1566" t="s">
        <v>5403</v>
      </c>
      <c r="D3470" s="1566" t="s">
        <v>9809</v>
      </c>
      <c r="E3470" s="1566"/>
      <c r="F3470" s="1566"/>
      <c r="G3470" s="1566"/>
      <c r="H3470" s="1568">
        <v>1</v>
      </c>
      <c r="I3470" s="1566"/>
      <c r="J3470" s="1566"/>
      <c r="K3470" s="1572">
        <v>62</v>
      </c>
      <c r="L3470" s="1572">
        <v>61.98</v>
      </c>
      <c r="M3470" s="1572">
        <v>-61.98</v>
      </c>
      <c r="N3470" s="1564"/>
      <c r="O3470" s="1564"/>
      <c r="P3470" s="1572">
        <v>61.98</v>
      </c>
      <c r="Q3470" s="1572">
        <v>-61.98</v>
      </c>
      <c r="R3470" s="1564"/>
      <c r="S3470" s="1562"/>
    </row>
    <row r="3471" spans="2:19" ht="11.25" customHeight="1" outlineLevel="1">
      <c r="B3471" s="1573">
        <v>34396</v>
      </c>
      <c r="C3471" s="1566" t="s">
        <v>5403</v>
      </c>
      <c r="D3471" s="1566" t="s">
        <v>9808</v>
      </c>
      <c r="E3471" s="1566"/>
      <c r="F3471" s="1566"/>
      <c r="G3471" s="1566"/>
      <c r="H3471" s="1568">
        <v>1</v>
      </c>
      <c r="I3471" s="1566"/>
      <c r="J3471" s="1566"/>
      <c r="K3471" s="1572">
        <v>62</v>
      </c>
      <c r="L3471" s="1572">
        <v>61.98</v>
      </c>
      <c r="M3471" s="1572">
        <v>-61.98</v>
      </c>
      <c r="N3471" s="1564"/>
      <c r="O3471" s="1564"/>
      <c r="P3471" s="1572">
        <v>61.98</v>
      </c>
      <c r="Q3471" s="1572">
        <v>-61.98</v>
      </c>
      <c r="R3471" s="1564"/>
      <c r="S3471" s="1562"/>
    </row>
    <row r="3472" spans="2:19" ht="11.25" customHeight="1" outlineLevel="1">
      <c r="B3472" s="1573">
        <v>34397</v>
      </c>
      <c r="C3472" s="1566" t="s">
        <v>5403</v>
      </c>
      <c r="D3472" s="1566" t="s">
        <v>9807</v>
      </c>
      <c r="E3472" s="1566"/>
      <c r="F3472" s="1566"/>
      <c r="G3472" s="1566"/>
      <c r="H3472" s="1568">
        <v>1</v>
      </c>
      <c r="I3472" s="1566"/>
      <c r="J3472" s="1566"/>
      <c r="K3472" s="1572">
        <v>62</v>
      </c>
      <c r="L3472" s="1572">
        <v>61.98</v>
      </c>
      <c r="M3472" s="1572">
        <v>-61.98</v>
      </c>
      <c r="N3472" s="1564"/>
      <c r="O3472" s="1564"/>
      <c r="P3472" s="1572">
        <v>61.98</v>
      </c>
      <c r="Q3472" s="1572">
        <v>-61.98</v>
      </c>
      <c r="R3472" s="1564"/>
      <c r="S3472" s="1562"/>
    </row>
    <row r="3473" spans="2:19" ht="11.25" customHeight="1" outlineLevel="1">
      <c r="B3473" s="1573">
        <v>34398</v>
      </c>
      <c r="C3473" s="1566" t="s">
        <v>5403</v>
      </c>
      <c r="D3473" s="1566" t="s">
        <v>9806</v>
      </c>
      <c r="E3473" s="1566"/>
      <c r="F3473" s="1566"/>
      <c r="G3473" s="1566"/>
      <c r="H3473" s="1568">
        <v>1</v>
      </c>
      <c r="I3473" s="1566"/>
      <c r="J3473" s="1566"/>
      <c r="K3473" s="1572">
        <v>62</v>
      </c>
      <c r="L3473" s="1572">
        <v>61.98</v>
      </c>
      <c r="M3473" s="1572">
        <v>-61.98</v>
      </c>
      <c r="N3473" s="1564"/>
      <c r="O3473" s="1564"/>
      <c r="P3473" s="1572">
        <v>61.98</v>
      </c>
      <c r="Q3473" s="1572">
        <v>-61.98</v>
      </c>
      <c r="R3473" s="1564"/>
      <c r="S3473" s="1562"/>
    </row>
    <row r="3474" spans="2:19" ht="11.25" customHeight="1" outlineLevel="1">
      <c r="B3474" s="1573">
        <v>34399</v>
      </c>
      <c r="C3474" s="1566" t="s">
        <v>5403</v>
      </c>
      <c r="D3474" s="1566" t="s">
        <v>9805</v>
      </c>
      <c r="E3474" s="1566"/>
      <c r="F3474" s="1566"/>
      <c r="G3474" s="1566"/>
      <c r="H3474" s="1568">
        <v>1</v>
      </c>
      <c r="I3474" s="1566"/>
      <c r="J3474" s="1566"/>
      <c r="K3474" s="1572">
        <v>62</v>
      </c>
      <c r="L3474" s="1572">
        <v>61.98</v>
      </c>
      <c r="M3474" s="1572">
        <v>-61.98</v>
      </c>
      <c r="N3474" s="1564"/>
      <c r="O3474" s="1564"/>
      <c r="P3474" s="1572">
        <v>61.98</v>
      </c>
      <c r="Q3474" s="1572">
        <v>-61.98</v>
      </c>
      <c r="R3474" s="1564"/>
      <c r="S3474" s="1562"/>
    </row>
    <row r="3475" spans="2:19" ht="11.25" customHeight="1" outlineLevel="1">
      <c r="B3475" s="1573">
        <v>34400</v>
      </c>
      <c r="C3475" s="1566" t="s">
        <v>5403</v>
      </c>
      <c r="D3475" s="1566" t="s">
        <v>9804</v>
      </c>
      <c r="E3475" s="1566"/>
      <c r="F3475" s="1566"/>
      <c r="G3475" s="1566"/>
      <c r="H3475" s="1568">
        <v>1</v>
      </c>
      <c r="I3475" s="1566"/>
      <c r="J3475" s="1566"/>
      <c r="K3475" s="1572">
        <v>62</v>
      </c>
      <c r="L3475" s="1572">
        <v>61.98</v>
      </c>
      <c r="M3475" s="1572">
        <v>-61.98</v>
      </c>
      <c r="N3475" s="1564"/>
      <c r="O3475" s="1564"/>
      <c r="P3475" s="1572">
        <v>61.98</v>
      </c>
      <c r="Q3475" s="1572">
        <v>-61.98</v>
      </c>
      <c r="R3475" s="1564"/>
      <c r="S3475" s="1562"/>
    </row>
    <row r="3476" spans="2:19" ht="11.25" customHeight="1" outlineLevel="1">
      <c r="B3476" s="1573">
        <v>34401</v>
      </c>
      <c r="C3476" s="1566" t="s">
        <v>5403</v>
      </c>
      <c r="D3476" s="1566" t="s">
        <v>9803</v>
      </c>
      <c r="E3476" s="1566"/>
      <c r="F3476" s="1566"/>
      <c r="G3476" s="1566"/>
      <c r="H3476" s="1568">
        <v>1</v>
      </c>
      <c r="I3476" s="1566"/>
      <c r="J3476" s="1566"/>
      <c r="K3476" s="1572">
        <v>62</v>
      </c>
      <c r="L3476" s="1572">
        <v>61.98</v>
      </c>
      <c r="M3476" s="1572">
        <v>-61.98</v>
      </c>
      <c r="N3476" s="1564"/>
      <c r="O3476" s="1564"/>
      <c r="P3476" s="1572">
        <v>61.98</v>
      </c>
      <c r="Q3476" s="1572">
        <v>-61.98</v>
      </c>
      <c r="R3476" s="1564"/>
      <c r="S3476" s="1562"/>
    </row>
    <row r="3477" spans="2:19" ht="11.25" customHeight="1" outlineLevel="1">
      <c r="B3477" s="1573">
        <v>34402</v>
      </c>
      <c r="C3477" s="1566" t="s">
        <v>5403</v>
      </c>
      <c r="D3477" s="1566" t="s">
        <v>9802</v>
      </c>
      <c r="E3477" s="1566"/>
      <c r="F3477" s="1566"/>
      <c r="G3477" s="1566"/>
      <c r="H3477" s="1568">
        <v>1</v>
      </c>
      <c r="I3477" s="1566"/>
      <c r="J3477" s="1566"/>
      <c r="K3477" s="1572">
        <v>62</v>
      </c>
      <c r="L3477" s="1572">
        <v>61.98</v>
      </c>
      <c r="M3477" s="1572">
        <v>-61.98</v>
      </c>
      <c r="N3477" s="1564"/>
      <c r="O3477" s="1564"/>
      <c r="P3477" s="1572">
        <v>61.98</v>
      </c>
      <c r="Q3477" s="1572">
        <v>-61.98</v>
      </c>
      <c r="R3477" s="1564"/>
      <c r="S3477" s="1562"/>
    </row>
    <row r="3478" spans="2:19" ht="11.25" customHeight="1" outlineLevel="1">
      <c r="B3478" s="1573">
        <v>34403</v>
      </c>
      <c r="C3478" s="1566" t="s">
        <v>5403</v>
      </c>
      <c r="D3478" s="1566" t="s">
        <v>9801</v>
      </c>
      <c r="E3478" s="1566"/>
      <c r="F3478" s="1566"/>
      <c r="G3478" s="1566"/>
      <c r="H3478" s="1568">
        <v>1</v>
      </c>
      <c r="I3478" s="1566"/>
      <c r="J3478" s="1566"/>
      <c r="K3478" s="1572">
        <v>62</v>
      </c>
      <c r="L3478" s="1572">
        <v>61.98</v>
      </c>
      <c r="M3478" s="1572">
        <v>-61.98</v>
      </c>
      <c r="N3478" s="1564"/>
      <c r="O3478" s="1564"/>
      <c r="P3478" s="1572">
        <v>61.98</v>
      </c>
      <c r="Q3478" s="1572">
        <v>-61.98</v>
      </c>
      <c r="R3478" s="1564"/>
      <c r="S3478" s="1562"/>
    </row>
    <row r="3479" spans="2:19" ht="11.25" customHeight="1" outlineLevel="1">
      <c r="B3479" s="1573">
        <v>34404</v>
      </c>
      <c r="C3479" s="1566" t="s">
        <v>5403</v>
      </c>
      <c r="D3479" s="1566" t="s">
        <v>9800</v>
      </c>
      <c r="E3479" s="1566"/>
      <c r="F3479" s="1566"/>
      <c r="G3479" s="1566"/>
      <c r="H3479" s="1568">
        <v>1</v>
      </c>
      <c r="I3479" s="1566"/>
      <c r="J3479" s="1566"/>
      <c r="K3479" s="1572">
        <v>62</v>
      </c>
      <c r="L3479" s="1572">
        <v>61.98</v>
      </c>
      <c r="M3479" s="1572">
        <v>-61.98</v>
      </c>
      <c r="N3479" s="1564"/>
      <c r="O3479" s="1564"/>
      <c r="P3479" s="1572">
        <v>61.98</v>
      </c>
      <c r="Q3479" s="1572">
        <v>-61.98</v>
      </c>
      <c r="R3479" s="1564"/>
      <c r="S3479" s="1562"/>
    </row>
    <row r="3480" spans="2:19" ht="11.25" customHeight="1" outlineLevel="1">
      <c r="B3480" s="1573">
        <v>34405</v>
      </c>
      <c r="C3480" s="1566" t="s">
        <v>5403</v>
      </c>
      <c r="D3480" s="1566" t="s">
        <v>9799</v>
      </c>
      <c r="E3480" s="1566"/>
      <c r="F3480" s="1566"/>
      <c r="G3480" s="1566"/>
      <c r="H3480" s="1568">
        <v>1</v>
      </c>
      <c r="I3480" s="1566"/>
      <c r="J3480" s="1566"/>
      <c r="K3480" s="1572">
        <v>62</v>
      </c>
      <c r="L3480" s="1572">
        <v>61.98</v>
      </c>
      <c r="M3480" s="1572">
        <v>-61.98</v>
      </c>
      <c r="N3480" s="1564"/>
      <c r="O3480" s="1564"/>
      <c r="P3480" s="1572">
        <v>61.98</v>
      </c>
      <c r="Q3480" s="1572">
        <v>-61.98</v>
      </c>
      <c r="R3480" s="1564"/>
      <c r="S3480" s="1562"/>
    </row>
    <row r="3481" spans="2:19" ht="11.25" customHeight="1" outlineLevel="1">
      <c r="B3481" s="1573">
        <v>34406</v>
      </c>
      <c r="C3481" s="1566" t="s">
        <v>5403</v>
      </c>
      <c r="D3481" s="1566" t="s">
        <v>9798</v>
      </c>
      <c r="E3481" s="1566"/>
      <c r="F3481" s="1566"/>
      <c r="G3481" s="1566"/>
      <c r="H3481" s="1568">
        <v>1</v>
      </c>
      <c r="I3481" s="1566"/>
      <c r="J3481" s="1566"/>
      <c r="K3481" s="1572">
        <v>62</v>
      </c>
      <c r="L3481" s="1572">
        <v>61.98</v>
      </c>
      <c r="M3481" s="1572">
        <v>-61.98</v>
      </c>
      <c r="N3481" s="1564"/>
      <c r="O3481" s="1564"/>
      <c r="P3481" s="1572">
        <v>61.98</v>
      </c>
      <c r="Q3481" s="1572">
        <v>-61.98</v>
      </c>
      <c r="R3481" s="1564"/>
      <c r="S3481" s="1562"/>
    </row>
    <row r="3482" spans="2:19" ht="11.25" customHeight="1" outlineLevel="1">
      <c r="B3482" s="1573">
        <v>34407</v>
      </c>
      <c r="C3482" s="1566" t="s">
        <v>5403</v>
      </c>
      <c r="D3482" s="1566" t="s">
        <v>9797</v>
      </c>
      <c r="E3482" s="1566"/>
      <c r="F3482" s="1566"/>
      <c r="G3482" s="1566"/>
      <c r="H3482" s="1568">
        <v>1</v>
      </c>
      <c r="I3482" s="1566"/>
      <c r="J3482" s="1566"/>
      <c r="K3482" s="1572">
        <v>62</v>
      </c>
      <c r="L3482" s="1572">
        <v>61.98</v>
      </c>
      <c r="M3482" s="1572">
        <v>-61.98</v>
      </c>
      <c r="N3482" s="1564"/>
      <c r="O3482" s="1564"/>
      <c r="P3482" s="1572">
        <v>61.98</v>
      </c>
      <c r="Q3482" s="1572">
        <v>-61.98</v>
      </c>
      <c r="R3482" s="1564"/>
      <c r="S3482" s="1562"/>
    </row>
    <row r="3483" spans="2:19" ht="11.25" customHeight="1" outlineLevel="1">
      <c r="B3483" s="1573">
        <v>34408</v>
      </c>
      <c r="C3483" s="1566" t="s">
        <v>5403</v>
      </c>
      <c r="D3483" s="1566" t="s">
        <v>9796</v>
      </c>
      <c r="E3483" s="1566"/>
      <c r="F3483" s="1566"/>
      <c r="G3483" s="1566"/>
      <c r="H3483" s="1568">
        <v>1</v>
      </c>
      <c r="I3483" s="1566"/>
      <c r="J3483" s="1566"/>
      <c r="K3483" s="1572">
        <v>62</v>
      </c>
      <c r="L3483" s="1572">
        <v>61.98</v>
      </c>
      <c r="M3483" s="1572">
        <v>-61.98</v>
      </c>
      <c r="N3483" s="1564"/>
      <c r="O3483" s="1564"/>
      <c r="P3483" s="1572">
        <v>61.98</v>
      </c>
      <c r="Q3483" s="1572">
        <v>-61.98</v>
      </c>
      <c r="R3483" s="1564"/>
      <c r="S3483" s="1562"/>
    </row>
    <row r="3484" spans="2:19" ht="11.25" customHeight="1" outlineLevel="1">
      <c r="B3484" s="1573">
        <v>34409</v>
      </c>
      <c r="C3484" s="1566" t="s">
        <v>5403</v>
      </c>
      <c r="D3484" s="1566" t="s">
        <v>9795</v>
      </c>
      <c r="E3484" s="1566"/>
      <c r="F3484" s="1566"/>
      <c r="G3484" s="1566"/>
      <c r="H3484" s="1568">
        <v>1</v>
      </c>
      <c r="I3484" s="1566"/>
      <c r="J3484" s="1566"/>
      <c r="K3484" s="1572">
        <v>62</v>
      </c>
      <c r="L3484" s="1572">
        <v>61.98</v>
      </c>
      <c r="M3484" s="1572">
        <v>-61.98</v>
      </c>
      <c r="N3484" s="1564"/>
      <c r="O3484" s="1564"/>
      <c r="P3484" s="1572">
        <v>61.98</v>
      </c>
      <c r="Q3484" s="1572">
        <v>-61.98</v>
      </c>
      <c r="R3484" s="1564"/>
      <c r="S3484" s="1562"/>
    </row>
    <row r="3485" spans="2:19" ht="11.25" customHeight="1" outlineLevel="1">
      <c r="B3485" s="1573">
        <v>34410</v>
      </c>
      <c r="C3485" s="1566" t="s">
        <v>5403</v>
      </c>
      <c r="D3485" s="1566" t="s">
        <v>9794</v>
      </c>
      <c r="E3485" s="1566"/>
      <c r="F3485" s="1566"/>
      <c r="G3485" s="1566"/>
      <c r="H3485" s="1568">
        <v>1</v>
      </c>
      <c r="I3485" s="1566"/>
      <c r="J3485" s="1566"/>
      <c r="K3485" s="1572">
        <v>62</v>
      </c>
      <c r="L3485" s="1572">
        <v>61.98</v>
      </c>
      <c r="M3485" s="1572">
        <v>-61.98</v>
      </c>
      <c r="N3485" s="1564"/>
      <c r="O3485" s="1564"/>
      <c r="P3485" s="1572">
        <v>61.98</v>
      </c>
      <c r="Q3485" s="1572">
        <v>-61.98</v>
      </c>
      <c r="R3485" s="1564"/>
      <c r="S3485" s="1562"/>
    </row>
    <row r="3486" spans="2:19" ht="11.25" customHeight="1" outlineLevel="1">
      <c r="B3486" s="1573">
        <v>34411</v>
      </c>
      <c r="C3486" s="1566" t="s">
        <v>5403</v>
      </c>
      <c r="D3486" s="1566" t="s">
        <v>9793</v>
      </c>
      <c r="E3486" s="1566"/>
      <c r="F3486" s="1566"/>
      <c r="G3486" s="1566"/>
      <c r="H3486" s="1568">
        <v>1</v>
      </c>
      <c r="I3486" s="1566"/>
      <c r="J3486" s="1566"/>
      <c r="K3486" s="1572">
        <v>62</v>
      </c>
      <c r="L3486" s="1572">
        <v>61.98</v>
      </c>
      <c r="M3486" s="1572">
        <v>-61.98</v>
      </c>
      <c r="N3486" s="1564"/>
      <c r="O3486" s="1564"/>
      <c r="P3486" s="1572">
        <v>61.98</v>
      </c>
      <c r="Q3486" s="1572">
        <v>-61.98</v>
      </c>
      <c r="R3486" s="1564"/>
      <c r="S3486" s="1562"/>
    </row>
    <row r="3487" spans="2:19" ht="11.25" customHeight="1" outlineLevel="1">
      <c r="B3487" s="1573">
        <v>34412</v>
      </c>
      <c r="C3487" s="1566" t="s">
        <v>5403</v>
      </c>
      <c r="D3487" s="1566" t="s">
        <v>9792</v>
      </c>
      <c r="E3487" s="1566"/>
      <c r="F3487" s="1566"/>
      <c r="G3487" s="1566"/>
      <c r="H3487" s="1568">
        <v>1</v>
      </c>
      <c r="I3487" s="1566"/>
      <c r="J3487" s="1566"/>
      <c r="K3487" s="1572">
        <v>62</v>
      </c>
      <c r="L3487" s="1572">
        <v>61.98</v>
      </c>
      <c r="M3487" s="1572">
        <v>-61.98</v>
      </c>
      <c r="N3487" s="1564"/>
      <c r="O3487" s="1564"/>
      <c r="P3487" s="1572">
        <v>61.98</v>
      </c>
      <c r="Q3487" s="1572">
        <v>-61.98</v>
      </c>
      <c r="R3487" s="1564"/>
      <c r="S3487" s="1562"/>
    </row>
    <row r="3488" spans="2:19" ht="11.25" customHeight="1" outlineLevel="1">
      <c r="B3488" s="1573">
        <v>34413</v>
      </c>
      <c r="C3488" s="1566" t="s">
        <v>5403</v>
      </c>
      <c r="D3488" s="1566" t="s">
        <v>9791</v>
      </c>
      <c r="E3488" s="1566"/>
      <c r="F3488" s="1566"/>
      <c r="G3488" s="1566"/>
      <c r="H3488" s="1568">
        <v>1</v>
      </c>
      <c r="I3488" s="1566"/>
      <c r="J3488" s="1566"/>
      <c r="K3488" s="1572">
        <v>62</v>
      </c>
      <c r="L3488" s="1572">
        <v>61.98</v>
      </c>
      <c r="M3488" s="1572">
        <v>-61.98</v>
      </c>
      <c r="N3488" s="1564"/>
      <c r="O3488" s="1564"/>
      <c r="P3488" s="1572">
        <v>61.98</v>
      </c>
      <c r="Q3488" s="1572">
        <v>-61.98</v>
      </c>
      <c r="R3488" s="1564"/>
      <c r="S3488" s="1562"/>
    </row>
    <row r="3489" spans="2:19" ht="11.25" customHeight="1" outlineLevel="1">
      <c r="B3489" s="1573">
        <v>34414</v>
      </c>
      <c r="C3489" s="1566" t="s">
        <v>5403</v>
      </c>
      <c r="D3489" s="1566" t="s">
        <v>9790</v>
      </c>
      <c r="E3489" s="1566"/>
      <c r="F3489" s="1566"/>
      <c r="G3489" s="1566"/>
      <c r="H3489" s="1568">
        <v>1</v>
      </c>
      <c r="I3489" s="1566"/>
      <c r="J3489" s="1566"/>
      <c r="K3489" s="1572">
        <v>62</v>
      </c>
      <c r="L3489" s="1572">
        <v>61.98</v>
      </c>
      <c r="M3489" s="1572">
        <v>-61.98</v>
      </c>
      <c r="N3489" s="1564"/>
      <c r="O3489" s="1564"/>
      <c r="P3489" s="1572">
        <v>61.98</v>
      </c>
      <c r="Q3489" s="1572">
        <v>-61.98</v>
      </c>
      <c r="R3489" s="1564"/>
      <c r="S3489" s="1562"/>
    </row>
    <row r="3490" spans="2:19" ht="11.25" customHeight="1" outlineLevel="1">
      <c r="B3490" s="1573">
        <v>34415</v>
      </c>
      <c r="C3490" s="1566" t="s">
        <v>5403</v>
      </c>
      <c r="D3490" s="1566" t="s">
        <v>9789</v>
      </c>
      <c r="E3490" s="1566"/>
      <c r="F3490" s="1566"/>
      <c r="G3490" s="1566"/>
      <c r="H3490" s="1568">
        <v>1</v>
      </c>
      <c r="I3490" s="1566"/>
      <c r="J3490" s="1566"/>
      <c r="K3490" s="1572">
        <v>62</v>
      </c>
      <c r="L3490" s="1572">
        <v>61.98</v>
      </c>
      <c r="M3490" s="1572">
        <v>-61.98</v>
      </c>
      <c r="N3490" s="1564"/>
      <c r="O3490" s="1564"/>
      <c r="P3490" s="1572">
        <v>61.98</v>
      </c>
      <c r="Q3490" s="1572">
        <v>-61.98</v>
      </c>
      <c r="R3490" s="1564"/>
      <c r="S3490" s="1562"/>
    </row>
    <row r="3491" spans="2:19" ht="11.25" customHeight="1" outlineLevel="1">
      <c r="B3491" s="1573">
        <v>34416</v>
      </c>
      <c r="C3491" s="1566" t="s">
        <v>5403</v>
      </c>
      <c r="D3491" s="1566" t="s">
        <v>9788</v>
      </c>
      <c r="E3491" s="1566"/>
      <c r="F3491" s="1566"/>
      <c r="G3491" s="1566"/>
      <c r="H3491" s="1568">
        <v>1</v>
      </c>
      <c r="I3491" s="1566"/>
      <c r="J3491" s="1566"/>
      <c r="K3491" s="1572">
        <v>62</v>
      </c>
      <c r="L3491" s="1572">
        <v>61.98</v>
      </c>
      <c r="M3491" s="1572">
        <v>-61.98</v>
      </c>
      <c r="N3491" s="1564"/>
      <c r="O3491" s="1564"/>
      <c r="P3491" s="1572">
        <v>61.98</v>
      </c>
      <c r="Q3491" s="1572">
        <v>-61.98</v>
      </c>
      <c r="R3491" s="1564"/>
      <c r="S3491" s="1562"/>
    </row>
    <row r="3492" spans="2:19" ht="11.25" customHeight="1" outlineLevel="1">
      <c r="B3492" s="1573">
        <v>34417</v>
      </c>
      <c r="C3492" s="1566" t="s">
        <v>5403</v>
      </c>
      <c r="D3492" s="1566" t="s">
        <v>9787</v>
      </c>
      <c r="E3492" s="1566"/>
      <c r="F3492" s="1566"/>
      <c r="G3492" s="1566"/>
      <c r="H3492" s="1568">
        <v>1</v>
      </c>
      <c r="I3492" s="1566"/>
      <c r="J3492" s="1566"/>
      <c r="K3492" s="1572">
        <v>216</v>
      </c>
      <c r="L3492" s="1572">
        <v>216.48</v>
      </c>
      <c r="M3492" s="1572">
        <v>-216.48</v>
      </c>
      <c r="N3492" s="1564"/>
      <c r="O3492" s="1564"/>
      <c r="P3492" s="1572">
        <v>216.48</v>
      </c>
      <c r="Q3492" s="1572">
        <v>-216.48</v>
      </c>
      <c r="R3492" s="1564"/>
      <c r="S3492" s="1562"/>
    </row>
    <row r="3493" spans="2:19" ht="11.25" customHeight="1" outlineLevel="1">
      <c r="B3493" s="1573">
        <v>34418</v>
      </c>
      <c r="C3493" s="1566" t="s">
        <v>5403</v>
      </c>
      <c r="D3493" s="1566" t="s">
        <v>9786</v>
      </c>
      <c r="E3493" s="1566"/>
      <c r="F3493" s="1566"/>
      <c r="G3493" s="1566"/>
      <c r="H3493" s="1568">
        <v>1</v>
      </c>
      <c r="I3493" s="1566"/>
      <c r="J3493" s="1566"/>
      <c r="K3493" s="1572">
        <v>216</v>
      </c>
      <c r="L3493" s="1572">
        <v>216.48</v>
      </c>
      <c r="M3493" s="1572">
        <v>-216.48</v>
      </c>
      <c r="N3493" s="1564"/>
      <c r="O3493" s="1564"/>
      <c r="P3493" s="1572">
        <v>216.48</v>
      </c>
      <c r="Q3493" s="1572">
        <v>-216.48</v>
      </c>
      <c r="R3493" s="1564"/>
      <c r="S3493" s="1562"/>
    </row>
    <row r="3494" spans="2:19" ht="11.25" customHeight="1" outlineLevel="1">
      <c r="B3494" s="1573">
        <v>34419</v>
      </c>
      <c r="C3494" s="1566" t="s">
        <v>5403</v>
      </c>
      <c r="D3494" s="1566" t="s">
        <v>9785</v>
      </c>
      <c r="E3494" s="1566"/>
      <c r="F3494" s="1566"/>
      <c r="G3494" s="1566"/>
      <c r="H3494" s="1568">
        <v>1</v>
      </c>
      <c r="I3494" s="1566"/>
      <c r="J3494" s="1566"/>
      <c r="K3494" s="1572">
        <v>216</v>
      </c>
      <c r="L3494" s="1572">
        <v>216.48</v>
      </c>
      <c r="M3494" s="1572">
        <v>-216.48</v>
      </c>
      <c r="N3494" s="1564"/>
      <c r="O3494" s="1564"/>
      <c r="P3494" s="1572">
        <v>216.48</v>
      </c>
      <c r="Q3494" s="1572">
        <v>-216.48</v>
      </c>
      <c r="R3494" s="1564"/>
      <c r="S3494" s="1562"/>
    </row>
    <row r="3495" spans="2:19" ht="11.25" customHeight="1" outlineLevel="1">
      <c r="B3495" s="1573">
        <v>34420</v>
      </c>
      <c r="C3495" s="1566" t="s">
        <v>5403</v>
      </c>
      <c r="D3495" s="1566" t="s">
        <v>9784</v>
      </c>
      <c r="E3495" s="1566"/>
      <c r="F3495" s="1566"/>
      <c r="G3495" s="1566"/>
      <c r="H3495" s="1568">
        <v>1</v>
      </c>
      <c r="I3495" s="1566"/>
      <c r="J3495" s="1566"/>
      <c r="K3495" s="1572">
        <v>216</v>
      </c>
      <c r="L3495" s="1572">
        <v>216.48</v>
      </c>
      <c r="M3495" s="1572">
        <v>-216.48</v>
      </c>
      <c r="N3495" s="1564"/>
      <c r="O3495" s="1564"/>
      <c r="P3495" s="1572">
        <v>216.48</v>
      </c>
      <c r="Q3495" s="1572">
        <v>-216.48</v>
      </c>
      <c r="R3495" s="1564"/>
      <c r="S3495" s="1562"/>
    </row>
    <row r="3496" spans="2:19" ht="11.25" customHeight="1" outlineLevel="1">
      <c r="B3496" s="1573">
        <v>34421</v>
      </c>
      <c r="C3496" s="1566" t="s">
        <v>5403</v>
      </c>
      <c r="D3496" s="1566" t="s">
        <v>9783</v>
      </c>
      <c r="E3496" s="1566"/>
      <c r="F3496" s="1566"/>
      <c r="G3496" s="1566"/>
      <c r="H3496" s="1568">
        <v>1</v>
      </c>
      <c r="I3496" s="1566"/>
      <c r="J3496" s="1566"/>
      <c r="K3496" s="1572">
        <v>216</v>
      </c>
      <c r="L3496" s="1572">
        <v>216.48</v>
      </c>
      <c r="M3496" s="1572">
        <v>-216.48</v>
      </c>
      <c r="N3496" s="1564"/>
      <c r="O3496" s="1564"/>
      <c r="P3496" s="1572">
        <v>216.48</v>
      </c>
      <c r="Q3496" s="1572">
        <v>-216.48</v>
      </c>
      <c r="R3496" s="1564"/>
      <c r="S3496" s="1562"/>
    </row>
    <row r="3497" spans="2:19" ht="11.25" customHeight="1" outlineLevel="1">
      <c r="B3497" s="1573">
        <v>34422</v>
      </c>
      <c r="C3497" s="1566" t="s">
        <v>5403</v>
      </c>
      <c r="D3497" s="1566" t="s">
        <v>9782</v>
      </c>
      <c r="E3497" s="1566"/>
      <c r="F3497" s="1566"/>
      <c r="G3497" s="1566"/>
      <c r="H3497" s="1568">
        <v>1</v>
      </c>
      <c r="I3497" s="1566"/>
      <c r="J3497" s="1566"/>
      <c r="K3497" s="1572">
        <v>216</v>
      </c>
      <c r="L3497" s="1572">
        <v>216.48</v>
      </c>
      <c r="M3497" s="1572">
        <v>-216.48</v>
      </c>
      <c r="N3497" s="1564"/>
      <c r="O3497" s="1564"/>
      <c r="P3497" s="1572">
        <v>216.48</v>
      </c>
      <c r="Q3497" s="1572">
        <v>-216.48</v>
      </c>
      <c r="R3497" s="1564"/>
      <c r="S3497" s="1562"/>
    </row>
    <row r="3498" spans="2:19" ht="11.25" customHeight="1" outlineLevel="1">
      <c r="B3498" s="1573">
        <v>34423</v>
      </c>
      <c r="C3498" s="1566" t="s">
        <v>5403</v>
      </c>
      <c r="D3498" s="1566" t="s">
        <v>9781</v>
      </c>
      <c r="E3498" s="1566"/>
      <c r="F3498" s="1566"/>
      <c r="G3498" s="1566"/>
      <c r="H3498" s="1568">
        <v>1</v>
      </c>
      <c r="I3498" s="1566"/>
      <c r="J3498" s="1566"/>
      <c r="K3498" s="1572">
        <v>216</v>
      </c>
      <c r="L3498" s="1572">
        <v>216.48</v>
      </c>
      <c r="M3498" s="1572">
        <v>-216.48</v>
      </c>
      <c r="N3498" s="1564"/>
      <c r="O3498" s="1564"/>
      <c r="P3498" s="1572">
        <v>216.48</v>
      </c>
      <c r="Q3498" s="1572">
        <v>-216.48</v>
      </c>
      <c r="R3498" s="1564"/>
      <c r="S3498" s="1562"/>
    </row>
    <row r="3499" spans="2:19" ht="11.25" customHeight="1" outlineLevel="1">
      <c r="B3499" s="1573">
        <v>34424</v>
      </c>
      <c r="C3499" s="1566" t="s">
        <v>5403</v>
      </c>
      <c r="D3499" s="1566" t="s">
        <v>9780</v>
      </c>
      <c r="E3499" s="1566"/>
      <c r="F3499" s="1566"/>
      <c r="G3499" s="1566"/>
      <c r="H3499" s="1568">
        <v>1</v>
      </c>
      <c r="I3499" s="1566"/>
      <c r="J3499" s="1566"/>
      <c r="K3499" s="1572">
        <v>216</v>
      </c>
      <c r="L3499" s="1572">
        <v>216.48</v>
      </c>
      <c r="M3499" s="1572">
        <v>-216.48</v>
      </c>
      <c r="N3499" s="1564"/>
      <c r="O3499" s="1564"/>
      <c r="P3499" s="1572">
        <v>216.48</v>
      </c>
      <c r="Q3499" s="1572">
        <v>-216.48</v>
      </c>
      <c r="R3499" s="1564"/>
      <c r="S3499" s="1562"/>
    </row>
    <row r="3500" spans="2:19" ht="11.25" customHeight="1" outlineLevel="1">
      <c r="B3500" s="1573">
        <v>34425</v>
      </c>
      <c r="C3500" s="1566" t="s">
        <v>5403</v>
      </c>
      <c r="D3500" s="1566" t="s">
        <v>9779</v>
      </c>
      <c r="E3500" s="1566"/>
      <c r="F3500" s="1566"/>
      <c r="G3500" s="1566"/>
      <c r="H3500" s="1568">
        <v>1</v>
      </c>
      <c r="I3500" s="1566"/>
      <c r="J3500" s="1566"/>
      <c r="K3500" s="1572">
        <v>216</v>
      </c>
      <c r="L3500" s="1572">
        <v>216.48</v>
      </c>
      <c r="M3500" s="1572">
        <v>-216.48</v>
      </c>
      <c r="N3500" s="1564"/>
      <c r="O3500" s="1564"/>
      <c r="P3500" s="1572">
        <v>216.48</v>
      </c>
      <c r="Q3500" s="1572">
        <v>-216.48</v>
      </c>
      <c r="R3500" s="1564"/>
      <c r="S3500" s="1562"/>
    </row>
    <row r="3501" spans="2:19" ht="11.25" customHeight="1" outlineLevel="1">
      <c r="B3501" s="1573">
        <v>34426</v>
      </c>
      <c r="C3501" s="1566" t="s">
        <v>5403</v>
      </c>
      <c r="D3501" s="1566" t="s">
        <v>9778</v>
      </c>
      <c r="E3501" s="1566"/>
      <c r="F3501" s="1566"/>
      <c r="G3501" s="1566"/>
      <c r="H3501" s="1568">
        <v>1</v>
      </c>
      <c r="I3501" s="1566"/>
      <c r="J3501" s="1566"/>
      <c r="K3501" s="1572">
        <v>216</v>
      </c>
      <c r="L3501" s="1572">
        <v>216.48</v>
      </c>
      <c r="M3501" s="1572">
        <v>-216.48</v>
      </c>
      <c r="N3501" s="1564"/>
      <c r="O3501" s="1564"/>
      <c r="P3501" s="1572">
        <v>216.48</v>
      </c>
      <c r="Q3501" s="1572">
        <v>-216.48</v>
      </c>
      <c r="R3501" s="1564"/>
      <c r="S3501" s="1562"/>
    </row>
    <row r="3502" spans="2:19" ht="11.25" customHeight="1" outlineLevel="1">
      <c r="B3502" s="1573">
        <v>34427</v>
      </c>
      <c r="C3502" s="1566" t="s">
        <v>5403</v>
      </c>
      <c r="D3502" s="1566" t="s">
        <v>9777</v>
      </c>
      <c r="E3502" s="1566"/>
      <c r="F3502" s="1566"/>
      <c r="G3502" s="1566"/>
      <c r="H3502" s="1568">
        <v>1</v>
      </c>
      <c r="I3502" s="1566"/>
      <c r="J3502" s="1566"/>
      <c r="K3502" s="1572">
        <v>216</v>
      </c>
      <c r="L3502" s="1572">
        <v>216.48</v>
      </c>
      <c r="M3502" s="1572">
        <v>-216.48</v>
      </c>
      <c r="N3502" s="1564"/>
      <c r="O3502" s="1564"/>
      <c r="P3502" s="1572">
        <v>216.48</v>
      </c>
      <c r="Q3502" s="1572">
        <v>-216.48</v>
      </c>
      <c r="R3502" s="1564"/>
      <c r="S3502" s="1562"/>
    </row>
    <row r="3503" spans="2:19" ht="11.25" customHeight="1" outlineLevel="1">
      <c r="B3503" s="1573">
        <v>34428</v>
      </c>
      <c r="C3503" s="1566" t="s">
        <v>5403</v>
      </c>
      <c r="D3503" s="1566" t="s">
        <v>9776</v>
      </c>
      <c r="E3503" s="1566"/>
      <c r="F3503" s="1566"/>
      <c r="G3503" s="1566"/>
      <c r="H3503" s="1568">
        <v>1</v>
      </c>
      <c r="I3503" s="1566"/>
      <c r="J3503" s="1566"/>
      <c r="K3503" s="1572">
        <v>216</v>
      </c>
      <c r="L3503" s="1572">
        <v>216.48</v>
      </c>
      <c r="M3503" s="1572">
        <v>-216.48</v>
      </c>
      <c r="N3503" s="1564"/>
      <c r="O3503" s="1564"/>
      <c r="P3503" s="1572">
        <v>216.48</v>
      </c>
      <c r="Q3503" s="1572">
        <v>-216.48</v>
      </c>
      <c r="R3503" s="1564"/>
      <c r="S3503" s="1562"/>
    </row>
    <row r="3504" spans="2:19" ht="11.25" customHeight="1" outlineLevel="1">
      <c r="B3504" s="1573">
        <v>34429</v>
      </c>
      <c r="C3504" s="1566" t="s">
        <v>5403</v>
      </c>
      <c r="D3504" s="1566" t="s">
        <v>9775</v>
      </c>
      <c r="E3504" s="1566"/>
      <c r="F3504" s="1566"/>
      <c r="G3504" s="1566"/>
      <c r="H3504" s="1568">
        <v>1</v>
      </c>
      <c r="I3504" s="1566"/>
      <c r="J3504" s="1566"/>
      <c r="K3504" s="1572">
        <v>216</v>
      </c>
      <c r="L3504" s="1572">
        <v>216.48</v>
      </c>
      <c r="M3504" s="1572">
        <v>-216.48</v>
      </c>
      <c r="N3504" s="1564"/>
      <c r="O3504" s="1564"/>
      <c r="P3504" s="1572">
        <v>216.48</v>
      </c>
      <c r="Q3504" s="1572">
        <v>-216.48</v>
      </c>
      <c r="R3504" s="1564"/>
      <c r="S3504" s="1562"/>
    </row>
    <row r="3505" spans="2:19" ht="11.25" customHeight="1" outlineLevel="1">
      <c r="B3505" s="1573">
        <v>34430</v>
      </c>
      <c r="C3505" s="1566" t="s">
        <v>5403</v>
      </c>
      <c r="D3505" s="1566" t="s">
        <v>9774</v>
      </c>
      <c r="E3505" s="1566"/>
      <c r="F3505" s="1566"/>
      <c r="G3505" s="1566"/>
      <c r="H3505" s="1568">
        <v>1</v>
      </c>
      <c r="I3505" s="1566"/>
      <c r="J3505" s="1566"/>
      <c r="K3505" s="1572">
        <v>216</v>
      </c>
      <c r="L3505" s="1572">
        <v>216.48</v>
      </c>
      <c r="M3505" s="1572">
        <v>-216.48</v>
      </c>
      <c r="N3505" s="1564"/>
      <c r="O3505" s="1564"/>
      <c r="P3505" s="1572">
        <v>216.48</v>
      </c>
      <c r="Q3505" s="1572">
        <v>-216.48</v>
      </c>
      <c r="R3505" s="1564"/>
      <c r="S3505" s="1562"/>
    </row>
    <row r="3506" spans="2:19" ht="11.25" customHeight="1" outlineLevel="1">
      <c r="B3506" s="1573">
        <v>34431</v>
      </c>
      <c r="C3506" s="1566" t="s">
        <v>5403</v>
      </c>
      <c r="D3506" s="1566" t="s">
        <v>9773</v>
      </c>
      <c r="E3506" s="1566"/>
      <c r="F3506" s="1566"/>
      <c r="G3506" s="1566"/>
      <c r="H3506" s="1568">
        <v>1</v>
      </c>
      <c r="I3506" s="1566"/>
      <c r="J3506" s="1566"/>
      <c r="K3506" s="1572">
        <v>216</v>
      </c>
      <c r="L3506" s="1572">
        <v>216.48</v>
      </c>
      <c r="M3506" s="1572">
        <v>-216.48</v>
      </c>
      <c r="N3506" s="1564"/>
      <c r="O3506" s="1564"/>
      <c r="P3506" s="1572">
        <v>216.48</v>
      </c>
      <c r="Q3506" s="1572">
        <v>-216.48</v>
      </c>
      <c r="R3506" s="1564"/>
      <c r="S3506" s="1562"/>
    </row>
    <row r="3507" spans="2:19" ht="11.25" customHeight="1" outlineLevel="1">
      <c r="B3507" s="1573">
        <v>34432</v>
      </c>
      <c r="C3507" s="1566" t="s">
        <v>5403</v>
      </c>
      <c r="D3507" s="1566" t="s">
        <v>9772</v>
      </c>
      <c r="E3507" s="1566"/>
      <c r="F3507" s="1566"/>
      <c r="G3507" s="1566"/>
      <c r="H3507" s="1568">
        <v>1</v>
      </c>
      <c r="I3507" s="1566"/>
      <c r="J3507" s="1566"/>
      <c r="K3507" s="1572">
        <v>216</v>
      </c>
      <c r="L3507" s="1572">
        <v>216.48</v>
      </c>
      <c r="M3507" s="1572">
        <v>-216.48</v>
      </c>
      <c r="N3507" s="1564"/>
      <c r="O3507" s="1564"/>
      <c r="P3507" s="1572">
        <v>216.48</v>
      </c>
      <c r="Q3507" s="1572">
        <v>-216.48</v>
      </c>
      <c r="R3507" s="1564"/>
      <c r="S3507" s="1562"/>
    </row>
    <row r="3508" spans="2:19" ht="11.25" customHeight="1" outlineLevel="1">
      <c r="B3508" s="1573">
        <v>34433</v>
      </c>
      <c r="C3508" s="1566" t="s">
        <v>5403</v>
      </c>
      <c r="D3508" s="1566" t="s">
        <v>9771</v>
      </c>
      <c r="E3508" s="1566"/>
      <c r="F3508" s="1566"/>
      <c r="G3508" s="1566"/>
      <c r="H3508" s="1568">
        <v>1</v>
      </c>
      <c r="I3508" s="1566"/>
      <c r="J3508" s="1566"/>
      <c r="K3508" s="1572">
        <v>216</v>
      </c>
      <c r="L3508" s="1572">
        <v>216.48</v>
      </c>
      <c r="M3508" s="1572">
        <v>-216.48</v>
      </c>
      <c r="N3508" s="1564"/>
      <c r="O3508" s="1564"/>
      <c r="P3508" s="1572">
        <v>216.48</v>
      </c>
      <c r="Q3508" s="1572">
        <v>-216.48</v>
      </c>
      <c r="R3508" s="1564"/>
      <c r="S3508" s="1562"/>
    </row>
    <row r="3509" spans="2:19" ht="11.25" customHeight="1" outlineLevel="1">
      <c r="B3509" s="1573">
        <v>34434</v>
      </c>
      <c r="C3509" s="1566" t="s">
        <v>5403</v>
      </c>
      <c r="D3509" s="1566" t="s">
        <v>9770</v>
      </c>
      <c r="E3509" s="1566"/>
      <c r="F3509" s="1566"/>
      <c r="G3509" s="1566"/>
      <c r="H3509" s="1568">
        <v>1</v>
      </c>
      <c r="I3509" s="1566"/>
      <c r="J3509" s="1566"/>
      <c r="K3509" s="1572">
        <v>216</v>
      </c>
      <c r="L3509" s="1572">
        <v>216.48</v>
      </c>
      <c r="M3509" s="1572">
        <v>-216.48</v>
      </c>
      <c r="N3509" s="1564"/>
      <c r="O3509" s="1564"/>
      <c r="P3509" s="1572">
        <v>216.48</v>
      </c>
      <c r="Q3509" s="1572">
        <v>-216.48</v>
      </c>
      <c r="R3509" s="1564"/>
      <c r="S3509" s="1562"/>
    </row>
    <row r="3510" spans="2:19" ht="11.25" customHeight="1" outlineLevel="1">
      <c r="B3510" s="1573">
        <v>34435</v>
      </c>
      <c r="C3510" s="1566" t="s">
        <v>5403</v>
      </c>
      <c r="D3510" s="1566" t="s">
        <v>9769</v>
      </c>
      <c r="E3510" s="1566"/>
      <c r="F3510" s="1566"/>
      <c r="G3510" s="1566"/>
      <c r="H3510" s="1568">
        <v>1</v>
      </c>
      <c r="I3510" s="1566"/>
      <c r="J3510" s="1566"/>
      <c r="K3510" s="1572">
        <v>216</v>
      </c>
      <c r="L3510" s="1572">
        <v>216.48</v>
      </c>
      <c r="M3510" s="1572">
        <v>-216.48</v>
      </c>
      <c r="N3510" s="1564"/>
      <c r="O3510" s="1564"/>
      <c r="P3510" s="1572">
        <v>216.48</v>
      </c>
      <c r="Q3510" s="1572">
        <v>-216.48</v>
      </c>
      <c r="R3510" s="1564"/>
      <c r="S3510" s="1562"/>
    </row>
    <row r="3511" spans="2:19" ht="11.25" customHeight="1" outlineLevel="1">
      <c r="B3511" s="1573">
        <v>34436</v>
      </c>
      <c r="C3511" s="1566" t="s">
        <v>5403</v>
      </c>
      <c r="D3511" s="1566" t="s">
        <v>9768</v>
      </c>
      <c r="E3511" s="1566"/>
      <c r="F3511" s="1566"/>
      <c r="G3511" s="1566"/>
      <c r="H3511" s="1568">
        <v>1</v>
      </c>
      <c r="I3511" s="1566"/>
      <c r="J3511" s="1566"/>
      <c r="K3511" s="1572">
        <v>216</v>
      </c>
      <c r="L3511" s="1572">
        <v>216.48</v>
      </c>
      <c r="M3511" s="1572">
        <v>-216.48</v>
      </c>
      <c r="N3511" s="1564"/>
      <c r="O3511" s="1564"/>
      <c r="P3511" s="1572">
        <v>216.48</v>
      </c>
      <c r="Q3511" s="1572">
        <v>-216.48</v>
      </c>
      <c r="R3511" s="1564"/>
      <c r="S3511" s="1562"/>
    </row>
    <row r="3512" spans="2:19" ht="11.25" customHeight="1" outlineLevel="1">
      <c r="B3512" s="1573">
        <v>34437</v>
      </c>
      <c r="C3512" s="1566" t="s">
        <v>5403</v>
      </c>
      <c r="D3512" s="1566" t="s">
        <v>9767</v>
      </c>
      <c r="E3512" s="1566"/>
      <c r="F3512" s="1566"/>
      <c r="G3512" s="1566"/>
      <c r="H3512" s="1568">
        <v>1</v>
      </c>
      <c r="I3512" s="1566"/>
      <c r="J3512" s="1566"/>
      <c r="K3512" s="1572">
        <v>216</v>
      </c>
      <c r="L3512" s="1572">
        <v>216.48</v>
      </c>
      <c r="M3512" s="1572">
        <v>-216.48</v>
      </c>
      <c r="N3512" s="1564"/>
      <c r="O3512" s="1564"/>
      <c r="P3512" s="1572">
        <v>216.48</v>
      </c>
      <c r="Q3512" s="1572">
        <v>-216.48</v>
      </c>
      <c r="R3512" s="1564"/>
      <c r="S3512" s="1562"/>
    </row>
    <row r="3513" spans="2:19" ht="11.25" customHeight="1" outlineLevel="1">
      <c r="B3513" s="1573">
        <v>34438</v>
      </c>
      <c r="C3513" s="1566" t="s">
        <v>5403</v>
      </c>
      <c r="D3513" s="1566" t="s">
        <v>9766</v>
      </c>
      <c r="E3513" s="1566"/>
      <c r="F3513" s="1566"/>
      <c r="G3513" s="1566"/>
      <c r="H3513" s="1568">
        <v>1</v>
      </c>
      <c r="I3513" s="1566"/>
      <c r="J3513" s="1566"/>
      <c r="K3513" s="1572">
        <v>216</v>
      </c>
      <c r="L3513" s="1572">
        <v>216.48</v>
      </c>
      <c r="M3513" s="1572">
        <v>-216.48</v>
      </c>
      <c r="N3513" s="1564"/>
      <c r="O3513" s="1564"/>
      <c r="P3513" s="1572">
        <v>216.48</v>
      </c>
      <c r="Q3513" s="1572">
        <v>-216.48</v>
      </c>
      <c r="R3513" s="1564"/>
      <c r="S3513" s="1562"/>
    </row>
    <row r="3514" spans="2:19" ht="11.25" customHeight="1" outlineLevel="1">
      <c r="B3514" s="1573">
        <v>34439</v>
      </c>
      <c r="C3514" s="1566" t="s">
        <v>5403</v>
      </c>
      <c r="D3514" s="1566" t="s">
        <v>9765</v>
      </c>
      <c r="E3514" s="1566"/>
      <c r="F3514" s="1566"/>
      <c r="G3514" s="1566"/>
      <c r="H3514" s="1568">
        <v>1</v>
      </c>
      <c r="I3514" s="1566"/>
      <c r="J3514" s="1566"/>
      <c r="K3514" s="1572">
        <v>216</v>
      </c>
      <c r="L3514" s="1572">
        <v>216.48</v>
      </c>
      <c r="M3514" s="1572">
        <v>-216.48</v>
      </c>
      <c r="N3514" s="1564"/>
      <c r="O3514" s="1564"/>
      <c r="P3514" s="1572">
        <v>216.48</v>
      </c>
      <c r="Q3514" s="1572">
        <v>-216.48</v>
      </c>
      <c r="R3514" s="1564"/>
      <c r="S3514" s="1562"/>
    </row>
    <row r="3515" spans="2:19" ht="11.25" customHeight="1" outlineLevel="1">
      <c r="B3515" s="1573">
        <v>34440</v>
      </c>
      <c r="C3515" s="1566" t="s">
        <v>5403</v>
      </c>
      <c r="D3515" s="1566" t="s">
        <v>9764</v>
      </c>
      <c r="E3515" s="1566"/>
      <c r="F3515" s="1566"/>
      <c r="G3515" s="1566"/>
      <c r="H3515" s="1568">
        <v>1</v>
      </c>
      <c r="I3515" s="1566"/>
      <c r="J3515" s="1566"/>
      <c r="K3515" s="1572">
        <v>216</v>
      </c>
      <c r="L3515" s="1572">
        <v>216.48</v>
      </c>
      <c r="M3515" s="1572">
        <v>-216.48</v>
      </c>
      <c r="N3515" s="1564"/>
      <c r="O3515" s="1564"/>
      <c r="P3515" s="1572">
        <v>216.48</v>
      </c>
      <c r="Q3515" s="1572">
        <v>-216.48</v>
      </c>
      <c r="R3515" s="1564"/>
      <c r="S3515" s="1562"/>
    </row>
    <row r="3516" spans="2:19" ht="11.25" customHeight="1" outlineLevel="1">
      <c r="B3516" s="1573">
        <v>34441</v>
      </c>
      <c r="C3516" s="1566" t="s">
        <v>5403</v>
      </c>
      <c r="D3516" s="1566" t="s">
        <v>9763</v>
      </c>
      <c r="E3516" s="1566"/>
      <c r="F3516" s="1566"/>
      <c r="G3516" s="1566"/>
      <c r="H3516" s="1568">
        <v>1</v>
      </c>
      <c r="I3516" s="1566"/>
      <c r="J3516" s="1566"/>
      <c r="K3516" s="1572">
        <v>216</v>
      </c>
      <c r="L3516" s="1572">
        <v>216.48</v>
      </c>
      <c r="M3516" s="1572">
        <v>-216.48</v>
      </c>
      <c r="N3516" s="1564"/>
      <c r="O3516" s="1564"/>
      <c r="P3516" s="1572">
        <v>216.48</v>
      </c>
      <c r="Q3516" s="1572">
        <v>-216.48</v>
      </c>
      <c r="R3516" s="1564"/>
      <c r="S3516" s="1562"/>
    </row>
    <row r="3517" spans="2:19" ht="11.25" customHeight="1" outlineLevel="1">
      <c r="B3517" s="1573">
        <v>34442</v>
      </c>
      <c r="C3517" s="1566" t="s">
        <v>5403</v>
      </c>
      <c r="D3517" s="1566" t="s">
        <v>9762</v>
      </c>
      <c r="E3517" s="1566"/>
      <c r="F3517" s="1566"/>
      <c r="G3517" s="1566"/>
      <c r="H3517" s="1568">
        <v>1</v>
      </c>
      <c r="I3517" s="1566"/>
      <c r="J3517" s="1566"/>
      <c r="K3517" s="1572">
        <v>216</v>
      </c>
      <c r="L3517" s="1572">
        <v>216.48</v>
      </c>
      <c r="M3517" s="1572">
        <v>-216.48</v>
      </c>
      <c r="N3517" s="1564"/>
      <c r="O3517" s="1564"/>
      <c r="P3517" s="1572">
        <v>216.48</v>
      </c>
      <c r="Q3517" s="1572">
        <v>-216.48</v>
      </c>
      <c r="R3517" s="1564"/>
      <c r="S3517" s="1562"/>
    </row>
    <row r="3518" spans="2:19" ht="11.25" customHeight="1" outlineLevel="1">
      <c r="B3518" s="1573">
        <v>34443</v>
      </c>
      <c r="C3518" s="1566" t="s">
        <v>5403</v>
      </c>
      <c r="D3518" s="1566" t="s">
        <v>9761</v>
      </c>
      <c r="E3518" s="1566"/>
      <c r="F3518" s="1566"/>
      <c r="G3518" s="1566"/>
      <c r="H3518" s="1568">
        <v>1</v>
      </c>
      <c r="I3518" s="1566"/>
      <c r="J3518" s="1566"/>
      <c r="K3518" s="1572">
        <v>216</v>
      </c>
      <c r="L3518" s="1572">
        <v>216.48</v>
      </c>
      <c r="M3518" s="1572">
        <v>-216.48</v>
      </c>
      <c r="N3518" s="1564"/>
      <c r="O3518" s="1564"/>
      <c r="P3518" s="1572">
        <v>216.48</v>
      </c>
      <c r="Q3518" s="1572">
        <v>-216.48</v>
      </c>
      <c r="R3518" s="1564"/>
      <c r="S3518" s="1562"/>
    </row>
    <row r="3519" spans="2:19" ht="11.25" customHeight="1" outlineLevel="1">
      <c r="B3519" s="1573">
        <v>34444</v>
      </c>
      <c r="C3519" s="1566" t="s">
        <v>5403</v>
      </c>
      <c r="D3519" s="1566" t="s">
        <v>9760</v>
      </c>
      <c r="E3519" s="1566"/>
      <c r="F3519" s="1566"/>
      <c r="G3519" s="1566"/>
      <c r="H3519" s="1568">
        <v>1</v>
      </c>
      <c r="I3519" s="1566"/>
      <c r="J3519" s="1566"/>
      <c r="K3519" s="1572">
        <v>216</v>
      </c>
      <c r="L3519" s="1572">
        <v>216.48</v>
      </c>
      <c r="M3519" s="1572">
        <v>-216.48</v>
      </c>
      <c r="N3519" s="1564"/>
      <c r="O3519" s="1564"/>
      <c r="P3519" s="1572">
        <v>216.48</v>
      </c>
      <c r="Q3519" s="1572">
        <v>-216.48</v>
      </c>
      <c r="R3519" s="1564"/>
      <c r="S3519" s="1562"/>
    </row>
    <row r="3520" spans="2:19" ht="11.25" customHeight="1" outlineLevel="1">
      <c r="B3520" s="1573">
        <v>34445</v>
      </c>
      <c r="C3520" s="1566" t="s">
        <v>5403</v>
      </c>
      <c r="D3520" s="1566" t="s">
        <v>9759</v>
      </c>
      <c r="E3520" s="1566"/>
      <c r="F3520" s="1566"/>
      <c r="G3520" s="1566"/>
      <c r="H3520" s="1568">
        <v>1</v>
      </c>
      <c r="I3520" s="1566"/>
      <c r="J3520" s="1566"/>
      <c r="K3520" s="1572">
        <v>216</v>
      </c>
      <c r="L3520" s="1572">
        <v>216.48</v>
      </c>
      <c r="M3520" s="1572">
        <v>-216.48</v>
      </c>
      <c r="N3520" s="1564"/>
      <c r="O3520" s="1564"/>
      <c r="P3520" s="1572">
        <v>216.48</v>
      </c>
      <c r="Q3520" s="1572">
        <v>-216.48</v>
      </c>
      <c r="R3520" s="1564"/>
      <c r="S3520" s="1562"/>
    </row>
    <row r="3521" spans="2:19" ht="11.25" customHeight="1" outlineLevel="1">
      <c r="B3521" s="1573">
        <v>34446</v>
      </c>
      <c r="C3521" s="1566" t="s">
        <v>5403</v>
      </c>
      <c r="D3521" s="1566" t="s">
        <v>9758</v>
      </c>
      <c r="E3521" s="1566"/>
      <c r="F3521" s="1566"/>
      <c r="G3521" s="1566"/>
      <c r="H3521" s="1568">
        <v>1</v>
      </c>
      <c r="I3521" s="1566"/>
      <c r="J3521" s="1566"/>
      <c r="K3521" s="1572">
        <v>216</v>
      </c>
      <c r="L3521" s="1572">
        <v>216.48</v>
      </c>
      <c r="M3521" s="1572">
        <v>-216.48</v>
      </c>
      <c r="N3521" s="1564"/>
      <c r="O3521" s="1564"/>
      <c r="P3521" s="1572">
        <v>216.48</v>
      </c>
      <c r="Q3521" s="1572">
        <v>-216.48</v>
      </c>
      <c r="R3521" s="1564"/>
      <c r="S3521" s="1562"/>
    </row>
    <row r="3522" spans="2:19" ht="11.25" customHeight="1" outlineLevel="1">
      <c r="B3522" s="1573">
        <v>34447</v>
      </c>
      <c r="C3522" s="1566" t="s">
        <v>5403</v>
      </c>
      <c r="D3522" s="1566" t="s">
        <v>9757</v>
      </c>
      <c r="E3522" s="1566"/>
      <c r="F3522" s="1566"/>
      <c r="G3522" s="1566"/>
      <c r="H3522" s="1568">
        <v>1</v>
      </c>
      <c r="I3522" s="1566"/>
      <c r="J3522" s="1566"/>
      <c r="K3522" s="1572">
        <v>551</v>
      </c>
      <c r="L3522" s="1572">
        <v>550.54</v>
      </c>
      <c r="M3522" s="1572">
        <v>-550.54</v>
      </c>
      <c r="N3522" s="1564"/>
      <c r="O3522" s="1564"/>
      <c r="P3522" s="1572">
        <v>550.54</v>
      </c>
      <c r="Q3522" s="1572">
        <v>-550.54</v>
      </c>
      <c r="R3522" s="1564"/>
      <c r="S3522" s="1562"/>
    </row>
    <row r="3523" spans="2:19" ht="11.25" customHeight="1" outlineLevel="1">
      <c r="B3523" s="1573">
        <v>34448</v>
      </c>
      <c r="C3523" s="1566" t="s">
        <v>5403</v>
      </c>
      <c r="D3523" s="1566" t="s">
        <v>9756</v>
      </c>
      <c r="E3523" s="1566"/>
      <c r="F3523" s="1566"/>
      <c r="G3523" s="1566"/>
      <c r="H3523" s="1568">
        <v>1</v>
      </c>
      <c r="I3523" s="1566"/>
      <c r="J3523" s="1566"/>
      <c r="K3523" s="1572">
        <v>551</v>
      </c>
      <c r="L3523" s="1572">
        <v>550.54</v>
      </c>
      <c r="M3523" s="1572">
        <v>-550.54</v>
      </c>
      <c r="N3523" s="1564"/>
      <c r="O3523" s="1564"/>
      <c r="P3523" s="1572">
        <v>550.54</v>
      </c>
      <c r="Q3523" s="1572">
        <v>-550.54</v>
      </c>
      <c r="R3523" s="1564"/>
      <c r="S3523" s="1562"/>
    </row>
    <row r="3524" spans="2:19" ht="11.25" customHeight="1" outlineLevel="1">
      <c r="B3524" s="1573">
        <v>34449</v>
      </c>
      <c r="C3524" s="1566" t="s">
        <v>5403</v>
      </c>
      <c r="D3524" s="1566" t="s">
        <v>9755</v>
      </c>
      <c r="E3524" s="1566"/>
      <c r="F3524" s="1566"/>
      <c r="G3524" s="1566"/>
      <c r="H3524" s="1568">
        <v>1</v>
      </c>
      <c r="I3524" s="1566"/>
      <c r="J3524" s="1566"/>
      <c r="K3524" s="1572">
        <v>551</v>
      </c>
      <c r="L3524" s="1572">
        <v>550.54</v>
      </c>
      <c r="M3524" s="1572">
        <v>-550.54</v>
      </c>
      <c r="N3524" s="1564"/>
      <c r="O3524" s="1564"/>
      <c r="P3524" s="1572">
        <v>550.54</v>
      </c>
      <c r="Q3524" s="1572">
        <v>-550.54</v>
      </c>
      <c r="R3524" s="1564"/>
      <c r="S3524" s="1562"/>
    </row>
    <row r="3525" spans="2:19" ht="11.25" customHeight="1" outlineLevel="1">
      <c r="B3525" s="1573">
        <v>34450</v>
      </c>
      <c r="C3525" s="1566" t="s">
        <v>5403</v>
      </c>
      <c r="D3525" s="1566" t="s">
        <v>9754</v>
      </c>
      <c r="E3525" s="1566"/>
      <c r="F3525" s="1566"/>
      <c r="G3525" s="1566"/>
      <c r="H3525" s="1568">
        <v>1</v>
      </c>
      <c r="I3525" s="1566"/>
      <c r="J3525" s="1566"/>
      <c r="K3525" s="1572">
        <v>551</v>
      </c>
      <c r="L3525" s="1572">
        <v>550.54</v>
      </c>
      <c r="M3525" s="1572">
        <v>-550.54</v>
      </c>
      <c r="N3525" s="1564"/>
      <c r="O3525" s="1564"/>
      <c r="P3525" s="1572">
        <v>550.54</v>
      </c>
      <c r="Q3525" s="1572">
        <v>-550.54</v>
      </c>
      <c r="R3525" s="1564"/>
      <c r="S3525" s="1562"/>
    </row>
    <row r="3526" spans="2:19" ht="11.25" customHeight="1" outlineLevel="1">
      <c r="B3526" s="1573">
        <v>34451</v>
      </c>
      <c r="C3526" s="1566" t="s">
        <v>5403</v>
      </c>
      <c r="D3526" s="1566" t="s">
        <v>9753</v>
      </c>
      <c r="E3526" s="1566"/>
      <c r="F3526" s="1566"/>
      <c r="G3526" s="1566"/>
      <c r="H3526" s="1568">
        <v>1</v>
      </c>
      <c r="I3526" s="1566"/>
      <c r="J3526" s="1566"/>
      <c r="K3526" s="1572">
        <v>551</v>
      </c>
      <c r="L3526" s="1572">
        <v>550.54</v>
      </c>
      <c r="M3526" s="1572">
        <v>-550.54</v>
      </c>
      <c r="N3526" s="1564"/>
      <c r="O3526" s="1564"/>
      <c r="P3526" s="1572">
        <v>550.54</v>
      </c>
      <c r="Q3526" s="1572">
        <v>-550.54</v>
      </c>
      <c r="R3526" s="1564"/>
      <c r="S3526" s="1562"/>
    </row>
    <row r="3527" spans="2:19" ht="11.25" customHeight="1" outlineLevel="1">
      <c r="B3527" s="1573">
        <v>34452</v>
      </c>
      <c r="C3527" s="1566" t="s">
        <v>5403</v>
      </c>
      <c r="D3527" s="1566" t="s">
        <v>9752</v>
      </c>
      <c r="E3527" s="1566"/>
      <c r="F3527" s="1566"/>
      <c r="G3527" s="1566"/>
      <c r="H3527" s="1568">
        <v>1</v>
      </c>
      <c r="I3527" s="1566"/>
      <c r="J3527" s="1566"/>
      <c r="K3527" s="1572">
        <v>551</v>
      </c>
      <c r="L3527" s="1572">
        <v>550.54</v>
      </c>
      <c r="M3527" s="1572">
        <v>-550.54</v>
      </c>
      <c r="N3527" s="1564"/>
      <c r="O3527" s="1564"/>
      <c r="P3527" s="1572">
        <v>550.54</v>
      </c>
      <c r="Q3527" s="1572">
        <v>-550.54</v>
      </c>
      <c r="R3527" s="1564"/>
      <c r="S3527" s="1562"/>
    </row>
    <row r="3528" spans="2:19" ht="11.25" customHeight="1" outlineLevel="1">
      <c r="B3528" s="1573">
        <v>34453</v>
      </c>
      <c r="C3528" s="1566" t="s">
        <v>5403</v>
      </c>
      <c r="D3528" s="1566" t="s">
        <v>9751</v>
      </c>
      <c r="E3528" s="1566"/>
      <c r="F3528" s="1566"/>
      <c r="G3528" s="1566"/>
      <c r="H3528" s="1568">
        <v>1</v>
      </c>
      <c r="I3528" s="1566"/>
      <c r="J3528" s="1566"/>
      <c r="K3528" s="1572">
        <v>551</v>
      </c>
      <c r="L3528" s="1572">
        <v>550.54</v>
      </c>
      <c r="M3528" s="1572">
        <v>-550.54</v>
      </c>
      <c r="N3528" s="1564"/>
      <c r="O3528" s="1564"/>
      <c r="P3528" s="1572">
        <v>550.54</v>
      </c>
      <c r="Q3528" s="1572">
        <v>-550.54</v>
      </c>
      <c r="R3528" s="1564"/>
      <c r="S3528" s="1562"/>
    </row>
    <row r="3529" spans="2:19" ht="11.25" customHeight="1" outlineLevel="1">
      <c r="B3529" s="1573">
        <v>34454</v>
      </c>
      <c r="C3529" s="1566" t="s">
        <v>5403</v>
      </c>
      <c r="D3529" s="1566" t="s">
        <v>9750</v>
      </c>
      <c r="E3529" s="1566"/>
      <c r="F3529" s="1566"/>
      <c r="G3529" s="1566"/>
      <c r="H3529" s="1568">
        <v>1</v>
      </c>
      <c r="I3529" s="1566"/>
      <c r="J3529" s="1566"/>
      <c r="K3529" s="1572">
        <v>551</v>
      </c>
      <c r="L3529" s="1572">
        <v>550.54</v>
      </c>
      <c r="M3529" s="1572">
        <v>-550.54</v>
      </c>
      <c r="N3529" s="1564"/>
      <c r="O3529" s="1564"/>
      <c r="P3529" s="1572">
        <v>550.54</v>
      </c>
      <c r="Q3529" s="1572">
        <v>-550.54</v>
      </c>
      <c r="R3529" s="1564"/>
      <c r="S3529" s="1562"/>
    </row>
    <row r="3530" spans="2:19" ht="11.25" customHeight="1" outlineLevel="1">
      <c r="B3530" s="1573">
        <v>34455</v>
      </c>
      <c r="C3530" s="1566" t="s">
        <v>5403</v>
      </c>
      <c r="D3530" s="1566" t="s">
        <v>9749</v>
      </c>
      <c r="E3530" s="1566"/>
      <c r="F3530" s="1566"/>
      <c r="G3530" s="1566"/>
      <c r="H3530" s="1568">
        <v>1</v>
      </c>
      <c r="I3530" s="1566"/>
      <c r="J3530" s="1566"/>
      <c r="K3530" s="1572">
        <v>551</v>
      </c>
      <c r="L3530" s="1572">
        <v>550.54</v>
      </c>
      <c r="M3530" s="1572">
        <v>-550.54</v>
      </c>
      <c r="N3530" s="1564"/>
      <c r="O3530" s="1564"/>
      <c r="P3530" s="1572">
        <v>550.54</v>
      </c>
      <c r="Q3530" s="1572">
        <v>-550.54</v>
      </c>
      <c r="R3530" s="1564"/>
      <c r="S3530" s="1562"/>
    </row>
    <row r="3531" spans="2:19" ht="11.25" customHeight="1" outlineLevel="1">
      <c r="B3531" s="1573">
        <v>34456</v>
      </c>
      <c r="C3531" s="1566" t="s">
        <v>5403</v>
      </c>
      <c r="D3531" s="1566" t="s">
        <v>9748</v>
      </c>
      <c r="E3531" s="1566"/>
      <c r="F3531" s="1566"/>
      <c r="G3531" s="1566"/>
      <c r="H3531" s="1568">
        <v>1</v>
      </c>
      <c r="I3531" s="1566"/>
      <c r="J3531" s="1566"/>
      <c r="K3531" s="1572">
        <v>551</v>
      </c>
      <c r="L3531" s="1572">
        <v>550.54</v>
      </c>
      <c r="M3531" s="1572">
        <v>-550.54</v>
      </c>
      <c r="N3531" s="1564"/>
      <c r="O3531" s="1564"/>
      <c r="P3531" s="1572">
        <v>550.54</v>
      </c>
      <c r="Q3531" s="1572">
        <v>-550.54</v>
      </c>
      <c r="R3531" s="1564"/>
      <c r="S3531" s="1562"/>
    </row>
    <row r="3532" spans="2:19" ht="11.25" customHeight="1" outlineLevel="1">
      <c r="B3532" s="1573">
        <v>34457</v>
      </c>
      <c r="C3532" s="1566" t="s">
        <v>5403</v>
      </c>
      <c r="D3532" s="1566" t="s">
        <v>9747</v>
      </c>
      <c r="E3532" s="1566"/>
      <c r="F3532" s="1566"/>
      <c r="G3532" s="1566"/>
      <c r="H3532" s="1568">
        <v>1</v>
      </c>
      <c r="I3532" s="1566"/>
      <c r="J3532" s="1566"/>
      <c r="K3532" s="1572">
        <v>551</v>
      </c>
      <c r="L3532" s="1572">
        <v>550.54</v>
      </c>
      <c r="M3532" s="1572">
        <v>-550.54</v>
      </c>
      <c r="N3532" s="1564"/>
      <c r="O3532" s="1564"/>
      <c r="P3532" s="1572">
        <v>550.54</v>
      </c>
      <c r="Q3532" s="1572">
        <v>-550.54</v>
      </c>
      <c r="R3532" s="1564"/>
      <c r="S3532" s="1562"/>
    </row>
    <row r="3533" spans="2:19" ht="11.25" customHeight="1" outlineLevel="1">
      <c r="B3533" s="1573">
        <v>34458</v>
      </c>
      <c r="C3533" s="1566" t="s">
        <v>5403</v>
      </c>
      <c r="D3533" s="1566" t="s">
        <v>9746</v>
      </c>
      <c r="E3533" s="1566"/>
      <c r="F3533" s="1566"/>
      <c r="G3533" s="1566"/>
      <c r="H3533" s="1568">
        <v>1</v>
      </c>
      <c r="I3533" s="1566"/>
      <c r="J3533" s="1566"/>
      <c r="K3533" s="1572">
        <v>551</v>
      </c>
      <c r="L3533" s="1572">
        <v>550.54</v>
      </c>
      <c r="M3533" s="1572">
        <v>-550.54</v>
      </c>
      <c r="N3533" s="1564"/>
      <c r="O3533" s="1564"/>
      <c r="P3533" s="1572">
        <v>550.54</v>
      </c>
      <c r="Q3533" s="1572">
        <v>-550.54</v>
      </c>
      <c r="R3533" s="1564"/>
      <c r="S3533" s="1562"/>
    </row>
    <row r="3534" spans="2:19" ht="11.25" customHeight="1" outlineLevel="1">
      <c r="B3534" s="1573">
        <v>11260</v>
      </c>
      <c r="C3534" s="1566" t="s">
        <v>5398</v>
      </c>
      <c r="D3534" s="1566" t="s">
        <v>9745</v>
      </c>
      <c r="E3534" s="1566"/>
      <c r="F3534" s="1566"/>
      <c r="G3534" s="1566"/>
      <c r="H3534" s="1568">
        <v>1</v>
      </c>
      <c r="I3534" s="1566"/>
      <c r="J3534" s="1566"/>
      <c r="K3534" s="1572">
        <v>16</v>
      </c>
      <c r="L3534" s="1572">
        <v>15.85</v>
      </c>
      <c r="M3534" s="1572">
        <v>-15.85</v>
      </c>
      <c r="N3534" s="1564"/>
      <c r="O3534" s="1564"/>
      <c r="P3534" s="1572">
        <v>15.85</v>
      </c>
      <c r="Q3534" s="1572">
        <v>-15.85</v>
      </c>
      <c r="R3534" s="1564"/>
      <c r="S3534" s="1562"/>
    </row>
    <row r="3535" spans="2:19" ht="11.25" customHeight="1" outlineLevel="1">
      <c r="B3535" s="1573">
        <v>11261</v>
      </c>
      <c r="C3535" s="1566" t="s">
        <v>5398</v>
      </c>
      <c r="D3535" s="1566" t="s">
        <v>9744</v>
      </c>
      <c r="E3535" s="1566"/>
      <c r="F3535" s="1566"/>
      <c r="G3535" s="1566" t="s">
        <v>9734</v>
      </c>
      <c r="H3535" s="1568">
        <v>1</v>
      </c>
      <c r="I3535" s="1566"/>
      <c r="J3535" s="1566"/>
      <c r="K3535" s="1565">
        <v>18158</v>
      </c>
      <c r="L3535" s="1565">
        <v>18158</v>
      </c>
      <c r="M3535" s="1564"/>
      <c r="N3535" s="1565">
        <v>18158</v>
      </c>
      <c r="O3535" s="1565">
        <v>9104.56</v>
      </c>
      <c r="P3535" s="1565">
        <v>8744.7999999999993</v>
      </c>
      <c r="Q3535" s="1572">
        <v>308.64</v>
      </c>
      <c r="R3535" s="1565">
        <v>9053.44</v>
      </c>
      <c r="S3535" s="1562"/>
    </row>
    <row r="3536" spans="2:19" ht="11.25" customHeight="1" outlineLevel="1">
      <c r="B3536" s="1573">
        <v>11262</v>
      </c>
      <c r="C3536" s="1566" t="s">
        <v>5398</v>
      </c>
      <c r="D3536" s="1566" t="s">
        <v>9743</v>
      </c>
      <c r="E3536" s="1566"/>
      <c r="F3536" s="1566"/>
      <c r="G3536" s="1566"/>
      <c r="H3536" s="1568">
        <v>1</v>
      </c>
      <c r="I3536" s="1566"/>
      <c r="J3536" s="1566"/>
      <c r="K3536" s="1572">
        <v>102</v>
      </c>
      <c r="L3536" s="1572">
        <v>102.22</v>
      </c>
      <c r="M3536" s="1572">
        <v>-102.22</v>
      </c>
      <c r="N3536" s="1564"/>
      <c r="O3536" s="1564"/>
      <c r="P3536" s="1572">
        <v>102.22</v>
      </c>
      <c r="Q3536" s="1572">
        <v>-102.22</v>
      </c>
      <c r="R3536" s="1564"/>
      <c r="S3536" s="1562"/>
    </row>
    <row r="3537" spans="2:19" ht="11.25" customHeight="1" outlineLevel="1">
      <c r="B3537" s="1573">
        <v>11263</v>
      </c>
      <c r="C3537" s="1566" t="s">
        <v>5398</v>
      </c>
      <c r="D3537" s="1566" t="s">
        <v>9742</v>
      </c>
      <c r="E3537" s="1566"/>
      <c r="F3537" s="1566"/>
      <c r="G3537" s="1566"/>
      <c r="H3537" s="1568">
        <v>1</v>
      </c>
      <c r="I3537" s="1566"/>
      <c r="J3537" s="1566"/>
      <c r="K3537" s="1572">
        <v>60</v>
      </c>
      <c r="L3537" s="1572">
        <v>60.2</v>
      </c>
      <c r="M3537" s="1572">
        <v>-60.2</v>
      </c>
      <c r="N3537" s="1564"/>
      <c r="O3537" s="1564"/>
      <c r="P3537" s="1572">
        <v>60.2</v>
      </c>
      <c r="Q3537" s="1572">
        <v>-60.2</v>
      </c>
      <c r="R3537" s="1564"/>
      <c r="S3537" s="1562"/>
    </row>
    <row r="3538" spans="2:19" ht="11.25" customHeight="1" outlineLevel="1">
      <c r="B3538" s="1573">
        <v>11264</v>
      </c>
      <c r="C3538" s="1566" t="s">
        <v>5398</v>
      </c>
      <c r="D3538" s="1566" t="s">
        <v>9741</v>
      </c>
      <c r="E3538" s="1566"/>
      <c r="F3538" s="1566"/>
      <c r="G3538" s="1566"/>
      <c r="H3538" s="1568">
        <v>1</v>
      </c>
      <c r="I3538" s="1566"/>
      <c r="J3538" s="1566"/>
      <c r="K3538" s="1572">
        <v>86</v>
      </c>
      <c r="L3538" s="1572">
        <v>85.87</v>
      </c>
      <c r="M3538" s="1572">
        <v>-85.87</v>
      </c>
      <c r="N3538" s="1564"/>
      <c r="O3538" s="1564"/>
      <c r="P3538" s="1572">
        <v>85.87</v>
      </c>
      <c r="Q3538" s="1572">
        <v>-85.87</v>
      </c>
      <c r="R3538" s="1564"/>
      <c r="S3538" s="1562"/>
    </row>
    <row r="3539" spans="2:19" ht="11.25" customHeight="1" outlineLevel="1">
      <c r="B3539" s="1573">
        <v>11265</v>
      </c>
      <c r="C3539" s="1566" t="s">
        <v>5398</v>
      </c>
      <c r="D3539" s="1566" t="s">
        <v>9740</v>
      </c>
      <c r="E3539" s="1566"/>
      <c r="F3539" s="1566"/>
      <c r="G3539" s="1566"/>
      <c r="H3539" s="1568">
        <v>1</v>
      </c>
      <c r="I3539" s="1566"/>
      <c r="J3539" s="1566"/>
      <c r="K3539" s="1572">
        <v>173</v>
      </c>
      <c r="L3539" s="1572">
        <v>172.6</v>
      </c>
      <c r="M3539" s="1572">
        <v>-172.6</v>
      </c>
      <c r="N3539" s="1564"/>
      <c r="O3539" s="1564"/>
      <c r="P3539" s="1572">
        <v>172.6</v>
      </c>
      <c r="Q3539" s="1572">
        <v>-172.6</v>
      </c>
      <c r="R3539" s="1564"/>
      <c r="S3539" s="1562"/>
    </row>
    <row r="3540" spans="2:19" ht="11.25" customHeight="1" outlineLevel="1">
      <c r="B3540" s="1573">
        <v>11266</v>
      </c>
      <c r="C3540" s="1566" t="s">
        <v>5398</v>
      </c>
      <c r="D3540" s="1566" t="s">
        <v>9739</v>
      </c>
      <c r="E3540" s="1566"/>
      <c r="F3540" s="1566"/>
      <c r="G3540" s="1566"/>
      <c r="H3540" s="1568">
        <v>1</v>
      </c>
      <c r="I3540" s="1566"/>
      <c r="J3540" s="1566"/>
      <c r="K3540" s="1572">
        <v>235</v>
      </c>
      <c r="L3540" s="1572">
        <v>235.38</v>
      </c>
      <c r="M3540" s="1572">
        <v>-235.38</v>
      </c>
      <c r="N3540" s="1564"/>
      <c r="O3540" s="1564"/>
      <c r="P3540" s="1572">
        <v>235.38</v>
      </c>
      <c r="Q3540" s="1572">
        <v>-235.38</v>
      </c>
      <c r="R3540" s="1564"/>
      <c r="S3540" s="1562"/>
    </row>
    <row r="3541" spans="2:19" ht="11.25" customHeight="1" outlineLevel="1">
      <c r="B3541" s="1573">
        <v>11267</v>
      </c>
      <c r="C3541" s="1566" t="s">
        <v>5398</v>
      </c>
      <c r="D3541" s="1566" t="s">
        <v>9738</v>
      </c>
      <c r="E3541" s="1566"/>
      <c r="F3541" s="1566"/>
      <c r="G3541" s="1566"/>
      <c r="H3541" s="1568">
        <v>1</v>
      </c>
      <c r="I3541" s="1566"/>
      <c r="J3541" s="1566"/>
      <c r="K3541" s="1572">
        <v>534</v>
      </c>
      <c r="L3541" s="1572">
        <v>533.92999999999995</v>
      </c>
      <c r="M3541" s="1572">
        <v>-533.92999999999995</v>
      </c>
      <c r="N3541" s="1564"/>
      <c r="O3541" s="1564"/>
      <c r="P3541" s="1572">
        <v>533.92999999999995</v>
      </c>
      <c r="Q3541" s="1572">
        <v>-533.92999999999995</v>
      </c>
      <c r="R3541" s="1564"/>
      <c r="S3541" s="1562"/>
    </row>
    <row r="3542" spans="2:19" ht="11.25" customHeight="1" outlineLevel="1">
      <c r="B3542" s="1573">
        <v>11268</v>
      </c>
      <c r="C3542" s="1566" t="s">
        <v>5398</v>
      </c>
      <c r="D3542" s="1566" t="s">
        <v>9737</v>
      </c>
      <c r="E3542" s="1566"/>
      <c r="F3542" s="1566"/>
      <c r="G3542" s="1566"/>
      <c r="H3542" s="1568">
        <v>1</v>
      </c>
      <c r="I3542" s="1566"/>
      <c r="J3542" s="1566"/>
      <c r="K3542" s="1572">
        <v>501</v>
      </c>
      <c r="L3542" s="1572">
        <v>500.52</v>
      </c>
      <c r="M3542" s="1572">
        <v>-500.52</v>
      </c>
      <c r="N3542" s="1564"/>
      <c r="O3542" s="1564"/>
      <c r="P3542" s="1572">
        <v>500.52</v>
      </c>
      <c r="Q3542" s="1572">
        <v>-500.52</v>
      </c>
      <c r="R3542" s="1564"/>
      <c r="S3542" s="1562"/>
    </row>
    <row r="3543" spans="2:19" ht="11.25" customHeight="1" outlineLevel="1">
      <c r="B3543" s="1573">
        <v>11269</v>
      </c>
      <c r="C3543" s="1566" t="s">
        <v>5398</v>
      </c>
      <c r="D3543" s="1566" t="s">
        <v>9736</v>
      </c>
      <c r="E3543" s="1566"/>
      <c r="F3543" s="1566"/>
      <c r="G3543" s="1566"/>
      <c r="H3543" s="1568">
        <v>1</v>
      </c>
      <c r="I3543" s="1566"/>
      <c r="J3543" s="1566"/>
      <c r="K3543" s="1565">
        <v>1267</v>
      </c>
      <c r="L3543" s="1565">
        <v>1266.75</v>
      </c>
      <c r="M3543" s="1565">
        <v>-1266.75</v>
      </c>
      <c r="N3543" s="1564"/>
      <c r="O3543" s="1564"/>
      <c r="P3543" s="1565">
        <v>1266.75</v>
      </c>
      <c r="Q3543" s="1565">
        <v>-1266.75</v>
      </c>
      <c r="R3543" s="1564"/>
      <c r="S3543" s="1562"/>
    </row>
    <row r="3544" spans="2:19" ht="11.25" customHeight="1" outlineLevel="1">
      <c r="B3544" s="1573">
        <v>11270</v>
      </c>
      <c r="C3544" s="1566" t="s">
        <v>5398</v>
      </c>
      <c r="D3544" s="1566" t="s">
        <v>9735</v>
      </c>
      <c r="E3544" s="1566"/>
      <c r="F3544" s="1566"/>
      <c r="G3544" s="1566" t="s">
        <v>9734</v>
      </c>
      <c r="H3544" s="1568">
        <v>1</v>
      </c>
      <c r="I3544" s="1566"/>
      <c r="J3544" s="1566"/>
      <c r="K3544" s="1565">
        <v>5578</v>
      </c>
      <c r="L3544" s="1565">
        <v>5578</v>
      </c>
      <c r="M3544" s="1564"/>
      <c r="N3544" s="1565">
        <v>5578</v>
      </c>
      <c r="O3544" s="1565">
        <v>1487.76</v>
      </c>
      <c r="P3544" s="1565">
        <v>3950.8</v>
      </c>
      <c r="Q3544" s="1572">
        <v>139.44</v>
      </c>
      <c r="R3544" s="1565">
        <v>4090.24</v>
      </c>
      <c r="S3544" s="1562"/>
    </row>
    <row r="3545" spans="2:19" ht="11.25" customHeight="1" outlineLevel="1">
      <c r="B3545" s="1573">
        <v>11271</v>
      </c>
      <c r="C3545" s="1566" t="s">
        <v>5398</v>
      </c>
      <c r="D3545" s="1566" t="s">
        <v>9733</v>
      </c>
      <c r="E3545" s="1566"/>
      <c r="F3545" s="1566"/>
      <c r="G3545" s="1566" t="s">
        <v>5399</v>
      </c>
      <c r="H3545" s="1568">
        <v>1</v>
      </c>
      <c r="I3545" s="1566"/>
      <c r="J3545" s="1566"/>
      <c r="K3545" s="1572">
        <v>224</v>
      </c>
      <c r="L3545" s="1572">
        <v>224</v>
      </c>
      <c r="M3545" s="1564"/>
      <c r="N3545" s="1572">
        <v>224</v>
      </c>
      <c r="O3545" s="1572">
        <v>111.48</v>
      </c>
      <c r="P3545" s="1572">
        <v>108.8</v>
      </c>
      <c r="Q3545" s="1572">
        <v>3.72</v>
      </c>
      <c r="R3545" s="1572">
        <v>112.52</v>
      </c>
      <c r="S3545" s="1562"/>
    </row>
    <row r="3546" spans="2:19" ht="11.25" customHeight="1" outlineLevel="1">
      <c r="B3546" s="1573">
        <v>11274</v>
      </c>
      <c r="C3546" s="1566" t="s">
        <v>5398</v>
      </c>
      <c r="D3546" s="1566" t="s">
        <v>9732</v>
      </c>
      <c r="E3546" s="1566"/>
      <c r="F3546" s="1566"/>
      <c r="G3546" s="1566" t="s">
        <v>3734</v>
      </c>
      <c r="H3546" s="1568">
        <v>1</v>
      </c>
      <c r="I3546" s="1566"/>
      <c r="J3546" s="1566"/>
      <c r="K3546" s="1572">
        <v>117</v>
      </c>
      <c r="L3546" s="1565">
        <v>662719.41</v>
      </c>
      <c r="M3546" s="1564"/>
      <c r="N3546" s="1565">
        <v>662719.41</v>
      </c>
      <c r="O3546" s="1565">
        <v>620616.44999999995</v>
      </c>
      <c r="P3546" s="1565">
        <v>21065.16</v>
      </c>
      <c r="Q3546" s="1565">
        <v>21037.8</v>
      </c>
      <c r="R3546" s="1565">
        <v>42102.96</v>
      </c>
      <c r="S3546" s="1562"/>
    </row>
    <row r="3547" spans="2:19" ht="11.25" customHeight="1" outlineLevel="1">
      <c r="B3547" s="1573">
        <v>33767</v>
      </c>
      <c r="C3547" s="1566" t="s">
        <v>5398</v>
      </c>
      <c r="D3547" s="1566" t="s">
        <v>9731</v>
      </c>
      <c r="E3547" s="1566"/>
      <c r="F3547" s="1566"/>
      <c r="G3547" s="1566"/>
      <c r="H3547" s="1568">
        <v>1</v>
      </c>
      <c r="I3547" s="1566"/>
      <c r="J3547" s="1566"/>
      <c r="K3547" s="1572">
        <v>60</v>
      </c>
      <c r="L3547" s="1572">
        <v>60.15</v>
      </c>
      <c r="M3547" s="1572">
        <v>-60.15</v>
      </c>
      <c r="N3547" s="1564"/>
      <c r="O3547" s="1564"/>
      <c r="P3547" s="1572">
        <v>60.15</v>
      </c>
      <c r="Q3547" s="1572">
        <v>-60.15</v>
      </c>
      <c r="R3547" s="1564"/>
      <c r="S3547" s="1562"/>
    </row>
    <row r="3548" spans="2:19" ht="11.25" customHeight="1" outlineLevel="1">
      <c r="B3548" s="1573">
        <v>33768</v>
      </c>
      <c r="C3548" s="1566" t="s">
        <v>5398</v>
      </c>
      <c r="D3548" s="1566" t="s">
        <v>9730</v>
      </c>
      <c r="E3548" s="1566"/>
      <c r="F3548" s="1566"/>
      <c r="G3548" s="1566"/>
      <c r="H3548" s="1568">
        <v>1</v>
      </c>
      <c r="I3548" s="1566"/>
      <c r="J3548" s="1566"/>
      <c r="K3548" s="1572">
        <v>60</v>
      </c>
      <c r="L3548" s="1572">
        <v>60.15</v>
      </c>
      <c r="M3548" s="1572">
        <v>-60.15</v>
      </c>
      <c r="N3548" s="1564"/>
      <c r="O3548" s="1564"/>
      <c r="P3548" s="1572">
        <v>60.15</v>
      </c>
      <c r="Q3548" s="1572">
        <v>-60.15</v>
      </c>
      <c r="R3548" s="1564"/>
      <c r="S3548" s="1562"/>
    </row>
    <row r="3549" spans="2:19" ht="11.25" customHeight="1" outlineLevel="1">
      <c r="B3549" s="1573">
        <v>33769</v>
      </c>
      <c r="C3549" s="1566" t="s">
        <v>5398</v>
      </c>
      <c r="D3549" s="1566" t="s">
        <v>9729</v>
      </c>
      <c r="E3549" s="1566"/>
      <c r="F3549" s="1566"/>
      <c r="G3549" s="1566"/>
      <c r="H3549" s="1568">
        <v>1</v>
      </c>
      <c r="I3549" s="1566"/>
      <c r="J3549" s="1566"/>
      <c r="K3549" s="1572">
        <v>60</v>
      </c>
      <c r="L3549" s="1572">
        <v>60.15</v>
      </c>
      <c r="M3549" s="1572">
        <v>-60.15</v>
      </c>
      <c r="N3549" s="1564"/>
      <c r="O3549" s="1564"/>
      <c r="P3549" s="1572">
        <v>60.15</v>
      </c>
      <c r="Q3549" s="1572">
        <v>-60.15</v>
      </c>
      <c r="R3549" s="1564"/>
      <c r="S3549" s="1562"/>
    </row>
    <row r="3550" spans="2:19" ht="11.25" customHeight="1" outlineLevel="1">
      <c r="B3550" s="1573">
        <v>33770</v>
      </c>
      <c r="C3550" s="1566" t="s">
        <v>5398</v>
      </c>
      <c r="D3550" s="1566" t="s">
        <v>9728</v>
      </c>
      <c r="E3550" s="1566"/>
      <c r="F3550" s="1566"/>
      <c r="G3550" s="1566"/>
      <c r="H3550" s="1568">
        <v>1</v>
      </c>
      <c r="I3550" s="1566"/>
      <c r="J3550" s="1566"/>
      <c r="K3550" s="1572">
        <v>60</v>
      </c>
      <c r="L3550" s="1572">
        <v>60.15</v>
      </c>
      <c r="M3550" s="1572">
        <v>-60.15</v>
      </c>
      <c r="N3550" s="1564"/>
      <c r="O3550" s="1564"/>
      <c r="P3550" s="1572">
        <v>60.15</v>
      </c>
      <c r="Q3550" s="1572">
        <v>-60.15</v>
      </c>
      <c r="R3550" s="1564"/>
      <c r="S3550" s="1562"/>
    </row>
    <row r="3551" spans="2:19" ht="11.25" customHeight="1" outlineLevel="1">
      <c r="B3551" s="1573">
        <v>33771</v>
      </c>
      <c r="C3551" s="1566" t="s">
        <v>5398</v>
      </c>
      <c r="D3551" s="1566" t="s">
        <v>9727</v>
      </c>
      <c r="E3551" s="1566"/>
      <c r="F3551" s="1566"/>
      <c r="G3551" s="1566"/>
      <c r="H3551" s="1568">
        <v>1</v>
      </c>
      <c r="I3551" s="1566"/>
      <c r="J3551" s="1566"/>
      <c r="K3551" s="1572">
        <v>60</v>
      </c>
      <c r="L3551" s="1572">
        <v>60.15</v>
      </c>
      <c r="M3551" s="1572">
        <v>-60.15</v>
      </c>
      <c r="N3551" s="1564"/>
      <c r="O3551" s="1564"/>
      <c r="P3551" s="1572">
        <v>60.15</v>
      </c>
      <c r="Q3551" s="1572">
        <v>-60.15</v>
      </c>
      <c r="R3551" s="1564"/>
      <c r="S3551" s="1562"/>
    </row>
    <row r="3552" spans="2:19" ht="11.25" customHeight="1" outlineLevel="1">
      <c r="B3552" s="1573">
        <v>33772</v>
      </c>
      <c r="C3552" s="1566" t="s">
        <v>5398</v>
      </c>
      <c r="D3552" s="1566" t="s">
        <v>9726</v>
      </c>
      <c r="E3552" s="1566"/>
      <c r="F3552" s="1566"/>
      <c r="G3552" s="1566"/>
      <c r="H3552" s="1568">
        <v>1</v>
      </c>
      <c r="I3552" s="1566"/>
      <c r="J3552" s="1566"/>
      <c r="K3552" s="1572">
        <v>60</v>
      </c>
      <c r="L3552" s="1572">
        <v>60.15</v>
      </c>
      <c r="M3552" s="1572">
        <v>-60.15</v>
      </c>
      <c r="N3552" s="1564"/>
      <c r="O3552" s="1564"/>
      <c r="P3552" s="1572">
        <v>60.15</v>
      </c>
      <c r="Q3552" s="1572">
        <v>-60.15</v>
      </c>
      <c r="R3552" s="1564"/>
      <c r="S3552" s="1562"/>
    </row>
    <row r="3553" spans="2:19" ht="11.25" customHeight="1" outlineLevel="1">
      <c r="B3553" s="1573">
        <v>33773</v>
      </c>
      <c r="C3553" s="1566" t="s">
        <v>5398</v>
      </c>
      <c r="D3553" s="1566" t="s">
        <v>9725</v>
      </c>
      <c r="E3553" s="1566"/>
      <c r="F3553" s="1566"/>
      <c r="G3553" s="1566"/>
      <c r="H3553" s="1568">
        <v>1</v>
      </c>
      <c r="I3553" s="1566"/>
      <c r="J3553" s="1566"/>
      <c r="K3553" s="1572">
        <v>60</v>
      </c>
      <c r="L3553" s="1572">
        <v>60.15</v>
      </c>
      <c r="M3553" s="1572">
        <v>-60.15</v>
      </c>
      <c r="N3553" s="1564"/>
      <c r="O3553" s="1564"/>
      <c r="P3553" s="1572">
        <v>60.15</v>
      </c>
      <c r="Q3553" s="1572">
        <v>-60.15</v>
      </c>
      <c r="R3553" s="1564"/>
      <c r="S3553" s="1562"/>
    </row>
    <row r="3554" spans="2:19" ht="11.25" customHeight="1" outlineLevel="1">
      <c r="B3554" s="1573">
        <v>33774</v>
      </c>
      <c r="C3554" s="1566" t="s">
        <v>5398</v>
      </c>
      <c r="D3554" s="1566" t="s">
        <v>9724</v>
      </c>
      <c r="E3554" s="1566"/>
      <c r="F3554" s="1566"/>
      <c r="G3554" s="1566"/>
      <c r="H3554" s="1568">
        <v>1</v>
      </c>
      <c r="I3554" s="1566"/>
      <c r="J3554" s="1566"/>
      <c r="K3554" s="1572">
        <v>60</v>
      </c>
      <c r="L3554" s="1572">
        <v>60.15</v>
      </c>
      <c r="M3554" s="1572">
        <v>-60.15</v>
      </c>
      <c r="N3554" s="1564"/>
      <c r="O3554" s="1564"/>
      <c r="P3554" s="1572">
        <v>60.15</v>
      </c>
      <c r="Q3554" s="1572">
        <v>-60.15</v>
      </c>
      <c r="R3554" s="1564"/>
      <c r="S3554" s="1562"/>
    </row>
    <row r="3555" spans="2:19" ht="11.25" customHeight="1" outlineLevel="1">
      <c r="B3555" s="1573">
        <v>33775</v>
      </c>
      <c r="C3555" s="1566" t="s">
        <v>5398</v>
      </c>
      <c r="D3555" s="1566" t="s">
        <v>9723</v>
      </c>
      <c r="E3555" s="1566"/>
      <c r="F3555" s="1566"/>
      <c r="G3555" s="1566"/>
      <c r="H3555" s="1568">
        <v>1</v>
      </c>
      <c r="I3555" s="1566"/>
      <c r="J3555" s="1566"/>
      <c r="K3555" s="1572">
        <v>60</v>
      </c>
      <c r="L3555" s="1572">
        <v>60.15</v>
      </c>
      <c r="M3555" s="1572">
        <v>-60.15</v>
      </c>
      <c r="N3555" s="1564"/>
      <c r="O3555" s="1564"/>
      <c r="P3555" s="1572">
        <v>60.15</v>
      </c>
      <c r="Q3555" s="1572">
        <v>-60.15</v>
      </c>
      <c r="R3555" s="1564"/>
      <c r="S3555" s="1562"/>
    </row>
    <row r="3556" spans="2:19" ht="11.25" customHeight="1" outlineLevel="1">
      <c r="B3556" s="1573">
        <v>33776</v>
      </c>
      <c r="C3556" s="1566" t="s">
        <v>5398</v>
      </c>
      <c r="D3556" s="1566" t="s">
        <v>9722</v>
      </c>
      <c r="E3556" s="1566"/>
      <c r="F3556" s="1566"/>
      <c r="G3556" s="1566"/>
      <c r="H3556" s="1568">
        <v>1</v>
      </c>
      <c r="I3556" s="1566"/>
      <c r="J3556" s="1566"/>
      <c r="K3556" s="1572">
        <v>60</v>
      </c>
      <c r="L3556" s="1572">
        <v>60.15</v>
      </c>
      <c r="M3556" s="1572">
        <v>-60.15</v>
      </c>
      <c r="N3556" s="1564"/>
      <c r="O3556" s="1564"/>
      <c r="P3556" s="1572">
        <v>60.15</v>
      </c>
      <c r="Q3556" s="1572">
        <v>-60.15</v>
      </c>
      <c r="R3556" s="1564"/>
      <c r="S3556" s="1562"/>
    </row>
    <row r="3557" spans="2:19" ht="11.25" customHeight="1" outlineLevel="1">
      <c r="B3557" s="1573">
        <v>33777</v>
      </c>
      <c r="C3557" s="1566" t="s">
        <v>5398</v>
      </c>
      <c r="D3557" s="1566" t="s">
        <v>9721</v>
      </c>
      <c r="E3557" s="1566"/>
      <c r="F3557" s="1566"/>
      <c r="G3557" s="1566"/>
      <c r="H3557" s="1568">
        <v>1</v>
      </c>
      <c r="I3557" s="1566"/>
      <c r="J3557" s="1566"/>
      <c r="K3557" s="1572">
        <v>60</v>
      </c>
      <c r="L3557" s="1572">
        <v>60.15</v>
      </c>
      <c r="M3557" s="1572">
        <v>-60.15</v>
      </c>
      <c r="N3557" s="1564"/>
      <c r="O3557" s="1564"/>
      <c r="P3557" s="1572">
        <v>60.15</v>
      </c>
      <c r="Q3557" s="1572">
        <v>-60.15</v>
      </c>
      <c r="R3557" s="1564"/>
      <c r="S3557" s="1562"/>
    </row>
    <row r="3558" spans="2:19" ht="11.25" customHeight="1" outlineLevel="1">
      <c r="B3558" s="1573">
        <v>33778</v>
      </c>
      <c r="C3558" s="1566" t="s">
        <v>5398</v>
      </c>
      <c r="D3558" s="1566" t="s">
        <v>9720</v>
      </c>
      <c r="E3558" s="1566"/>
      <c r="F3558" s="1566"/>
      <c r="G3558" s="1566"/>
      <c r="H3558" s="1568">
        <v>1</v>
      </c>
      <c r="I3558" s="1566"/>
      <c r="J3558" s="1566"/>
      <c r="K3558" s="1572">
        <v>60</v>
      </c>
      <c r="L3558" s="1572">
        <v>60.15</v>
      </c>
      <c r="M3558" s="1572">
        <v>-60.15</v>
      </c>
      <c r="N3558" s="1564"/>
      <c r="O3558" s="1564"/>
      <c r="P3558" s="1572">
        <v>60.15</v>
      </c>
      <c r="Q3558" s="1572">
        <v>-60.15</v>
      </c>
      <c r="R3558" s="1564"/>
      <c r="S3558" s="1562"/>
    </row>
    <row r="3559" spans="2:19" ht="11.25" customHeight="1" outlineLevel="1">
      <c r="B3559" s="1573">
        <v>33790</v>
      </c>
      <c r="C3559" s="1566" t="s">
        <v>5398</v>
      </c>
      <c r="D3559" s="1566" t="s">
        <v>9719</v>
      </c>
      <c r="E3559" s="1566"/>
      <c r="F3559" s="1566"/>
      <c r="G3559" s="1566"/>
      <c r="H3559" s="1568">
        <v>1</v>
      </c>
      <c r="I3559" s="1566"/>
      <c r="J3559" s="1566"/>
      <c r="K3559" s="1572">
        <v>86</v>
      </c>
      <c r="L3559" s="1572">
        <v>85.83</v>
      </c>
      <c r="M3559" s="1572">
        <v>-85.83</v>
      </c>
      <c r="N3559" s="1564"/>
      <c r="O3559" s="1564"/>
      <c r="P3559" s="1572">
        <v>85.83</v>
      </c>
      <c r="Q3559" s="1572">
        <v>-85.83</v>
      </c>
      <c r="R3559" s="1564"/>
      <c r="S3559" s="1562"/>
    </row>
    <row r="3560" spans="2:19" ht="11.25" customHeight="1" outlineLevel="1">
      <c r="B3560" s="1573">
        <v>33791</v>
      </c>
      <c r="C3560" s="1566" t="s">
        <v>5398</v>
      </c>
      <c r="D3560" s="1566" t="s">
        <v>9718</v>
      </c>
      <c r="E3560" s="1566"/>
      <c r="F3560" s="1566"/>
      <c r="G3560" s="1566"/>
      <c r="H3560" s="1568">
        <v>1</v>
      </c>
      <c r="I3560" s="1566"/>
      <c r="J3560" s="1566"/>
      <c r="K3560" s="1572">
        <v>86</v>
      </c>
      <c r="L3560" s="1572">
        <v>85.83</v>
      </c>
      <c r="M3560" s="1572">
        <v>-85.83</v>
      </c>
      <c r="N3560" s="1564"/>
      <c r="O3560" s="1564"/>
      <c r="P3560" s="1572">
        <v>85.83</v>
      </c>
      <c r="Q3560" s="1572">
        <v>-85.83</v>
      </c>
      <c r="R3560" s="1564"/>
      <c r="S3560" s="1562"/>
    </row>
    <row r="3561" spans="2:19" ht="11.25" customHeight="1" outlineLevel="1">
      <c r="B3561" s="1573">
        <v>33792</v>
      </c>
      <c r="C3561" s="1566" t="s">
        <v>5398</v>
      </c>
      <c r="D3561" s="1566" t="s">
        <v>9717</v>
      </c>
      <c r="E3561" s="1566"/>
      <c r="F3561" s="1566"/>
      <c r="G3561" s="1566"/>
      <c r="H3561" s="1568">
        <v>1</v>
      </c>
      <c r="I3561" s="1566"/>
      <c r="J3561" s="1566"/>
      <c r="K3561" s="1572">
        <v>86</v>
      </c>
      <c r="L3561" s="1572">
        <v>85.83</v>
      </c>
      <c r="M3561" s="1572">
        <v>-85.83</v>
      </c>
      <c r="N3561" s="1564"/>
      <c r="O3561" s="1564"/>
      <c r="P3561" s="1572">
        <v>85.83</v>
      </c>
      <c r="Q3561" s="1572">
        <v>-85.83</v>
      </c>
      <c r="R3561" s="1564"/>
      <c r="S3561" s="1562"/>
    </row>
    <row r="3562" spans="2:19" ht="11.25" customHeight="1" outlineLevel="1">
      <c r="B3562" s="1573">
        <v>33793</v>
      </c>
      <c r="C3562" s="1566" t="s">
        <v>5398</v>
      </c>
      <c r="D3562" s="1566" t="s">
        <v>9716</v>
      </c>
      <c r="E3562" s="1566"/>
      <c r="F3562" s="1566"/>
      <c r="G3562" s="1566"/>
      <c r="H3562" s="1568">
        <v>1</v>
      </c>
      <c r="I3562" s="1566"/>
      <c r="J3562" s="1566"/>
      <c r="K3562" s="1572">
        <v>86</v>
      </c>
      <c r="L3562" s="1572">
        <v>85.83</v>
      </c>
      <c r="M3562" s="1572">
        <v>-85.83</v>
      </c>
      <c r="N3562" s="1564"/>
      <c r="O3562" s="1564"/>
      <c r="P3562" s="1572">
        <v>85.83</v>
      </c>
      <c r="Q3562" s="1572">
        <v>-85.83</v>
      </c>
      <c r="R3562" s="1564"/>
      <c r="S3562" s="1562"/>
    </row>
    <row r="3563" spans="2:19" ht="11.25" customHeight="1" outlineLevel="1">
      <c r="B3563" s="1573">
        <v>33794</v>
      </c>
      <c r="C3563" s="1566" t="s">
        <v>5398</v>
      </c>
      <c r="D3563" s="1566" t="s">
        <v>9715</v>
      </c>
      <c r="E3563" s="1566"/>
      <c r="F3563" s="1566"/>
      <c r="G3563" s="1566"/>
      <c r="H3563" s="1568">
        <v>1</v>
      </c>
      <c r="I3563" s="1566"/>
      <c r="J3563" s="1566"/>
      <c r="K3563" s="1572">
        <v>86</v>
      </c>
      <c r="L3563" s="1572">
        <v>85.83</v>
      </c>
      <c r="M3563" s="1572">
        <v>-85.83</v>
      </c>
      <c r="N3563" s="1564"/>
      <c r="O3563" s="1564"/>
      <c r="P3563" s="1572">
        <v>85.83</v>
      </c>
      <c r="Q3563" s="1572">
        <v>-85.83</v>
      </c>
      <c r="R3563" s="1564"/>
      <c r="S3563" s="1562"/>
    </row>
    <row r="3564" spans="2:19" ht="11.25" customHeight="1" outlineLevel="1">
      <c r="B3564" s="1573">
        <v>33795</v>
      </c>
      <c r="C3564" s="1566" t="s">
        <v>5398</v>
      </c>
      <c r="D3564" s="1566" t="s">
        <v>9714</v>
      </c>
      <c r="E3564" s="1566"/>
      <c r="F3564" s="1566"/>
      <c r="G3564" s="1566"/>
      <c r="H3564" s="1568">
        <v>1</v>
      </c>
      <c r="I3564" s="1566"/>
      <c r="J3564" s="1566"/>
      <c r="K3564" s="1572">
        <v>86</v>
      </c>
      <c r="L3564" s="1572">
        <v>85.83</v>
      </c>
      <c r="M3564" s="1572">
        <v>-85.83</v>
      </c>
      <c r="N3564" s="1564"/>
      <c r="O3564" s="1564"/>
      <c r="P3564" s="1572">
        <v>85.83</v>
      </c>
      <c r="Q3564" s="1572">
        <v>-85.83</v>
      </c>
      <c r="R3564" s="1564"/>
      <c r="S3564" s="1562"/>
    </row>
    <row r="3565" spans="2:19" ht="11.25" customHeight="1" outlineLevel="1">
      <c r="B3565" s="1573">
        <v>33796</v>
      </c>
      <c r="C3565" s="1566" t="s">
        <v>5398</v>
      </c>
      <c r="D3565" s="1566" t="s">
        <v>9713</v>
      </c>
      <c r="E3565" s="1566"/>
      <c r="F3565" s="1566"/>
      <c r="G3565" s="1566"/>
      <c r="H3565" s="1568">
        <v>1</v>
      </c>
      <c r="I3565" s="1566"/>
      <c r="J3565" s="1566"/>
      <c r="K3565" s="1572">
        <v>86</v>
      </c>
      <c r="L3565" s="1572">
        <v>85.83</v>
      </c>
      <c r="M3565" s="1572">
        <v>-85.83</v>
      </c>
      <c r="N3565" s="1564"/>
      <c r="O3565" s="1564"/>
      <c r="P3565" s="1572">
        <v>85.83</v>
      </c>
      <c r="Q3565" s="1572">
        <v>-85.83</v>
      </c>
      <c r="R3565" s="1564"/>
      <c r="S3565" s="1562"/>
    </row>
    <row r="3566" spans="2:19" ht="11.25" customHeight="1" outlineLevel="1">
      <c r="B3566" s="1573">
        <v>33797</v>
      </c>
      <c r="C3566" s="1566" t="s">
        <v>5398</v>
      </c>
      <c r="D3566" s="1566" t="s">
        <v>9712</v>
      </c>
      <c r="E3566" s="1566"/>
      <c r="F3566" s="1566"/>
      <c r="G3566" s="1566"/>
      <c r="H3566" s="1568">
        <v>1</v>
      </c>
      <c r="I3566" s="1566"/>
      <c r="J3566" s="1566"/>
      <c r="K3566" s="1572">
        <v>86</v>
      </c>
      <c r="L3566" s="1572">
        <v>85.83</v>
      </c>
      <c r="M3566" s="1572">
        <v>-85.83</v>
      </c>
      <c r="N3566" s="1564"/>
      <c r="O3566" s="1564"/>
      <c r="P3566" s="1572">
        <v>85.83</v>
      </c>
      <c r="Q3566" s="1572">
        <v>-85.83</v>
      </c>
      <c r="R3566" s="1564"/>
      <c r="S3566" s="1562"/>
    </row>
    <row r="3567" spans="2:19" ht="11.25" customHeight="1" outlineLevel="1">
      <c r="B3567" s="1573">
        <v>33798</v>
      </c>
      <c r="C3567" s="1566" t="s">
        <v>5398</v>
      </c>
      <c r="D3567" s="1566" t="s">
        <v>9711</v>
      </c>
      <c r="E3567" s="1566"/>
      <c r="F3567" s="1566"/>
      <c r="G3567" s="1566"/>
      <c r="H3567" s="1568">
        <v>1</v>
      </c>
      <c r="I3567" s="1566"/>
      <c r="J3567" s="1566"/>
      <c r="K3567" s="1572">
        <v>86</v>
      </c>
      <c r="L3567" s="1572">
        <v>85.83</v>
      </c>
      <c r="M3567" s="1572">
        <v>-85.83</v>
      </c>
      <c r="N3567" s="1564"/>
      <c r="O3567" s="1564"/>
      <c r="P3567" s="1572">
        <v>85.83</v>
      </c>
      <c r="Q3567" s="1572">
        <v>-85.83</v>
      </c>
      <c r="R3567" s="1564"/>
      <c r="S3567" s="1562"/>
    </row>
    <row r="3568" spans="2:19" ht="11.25" customHeight="1" outlineLevel="1">
      <c r="B3568" s="1573">
        <v>33799</v>
      </c>
      <c r="C3568" s="1566" t="s">
        <v>5398</v>
      </c>
      <c r="D3568" s="1566" t="s">
        <v>9710</v>
      </c>
      <c r="E3568" s="1566"/>
      <c r="F3568" s="1566"/>
      <c r="G3568" s="1566"/>
      <c r="H3568" s="1568">
        <v>1</v>
      </c>
      <c r="I3568" s="1566"/>
      <c r="J3568" s="1566"/>
      <c r="K3568" s="1572">
        <v>86</v>
      </c>
      <c r="L3568" s="1572">
        <v>85.83</v>
      </c>
      <c r="M3568" s="1572">
        <v>-85.83</v>
      </c>
      <c r="N3568" s="1564"/>
      <c r="O3568" s="1564"/>
      <c r="P3568" s="1572">
        <v>85.83</v>
      </c>
      <c r="Q3568" s="1572">
        <v>-85.83</v>
      </c>
      <c r="R3568" s="1564"/>
      <c r="S3568" s="1562"/>
    </row>
    <row r="3569" spans="2:19" ht="11.25" customHeight="1" outlineLevel="1">
      <c r="B3569" s="1573">
        <v>33800</v>
      </c>
      <c r="C3569" s="1566" t="s">
        <v>5398</v>
      </c>
      <c r="D3569" s="1566" t="s">
        <v>9709</v>
      </c>
      <c r="E3569" s="1566"/>
      <c r="F3569" s="1566"/>
      <c r="G3569" s="1566"/>
      <c r="H3569" s="1568">
        <v>1</v>
      </c>
      <c r="I3569" s="1566"/>
      <c r="J3569" s="1566"/>
      <c r="K3569" s="1572">
        <v>86</v>
      </c>
      <c r="L3569" s="1572">
        <v>85.83</v>
      </c>
      <c r="M3569" s="1572">
        <v>-85.83</v>
      </c>
      <c r="N3569" s="1564"/>
      <c r="O3569" s="1564"/>
      <c r="P3569" s="1572">
        <v>85.83</v>
      </c>
      <c r="Q3569" s="1572">
        <v>-85.83</v>
      </c>
      <c r="R3569" s="1564"/>
      <c r="S3569" s="1562"/>
    </row>
    <row r="3570" spans="2:19" ht="11.25" customHeight="1" outlineLevel="1">
      <c r="B3570" s="1573">
        <v>33852</v>
      </c>
      <c r="C3570" s="1566" t="s">
        <v>5398</v>
      </c>
      <c r="D3570" s="1566" t="s">
        <v>9708</v>
      </c>
      <c r="E3570" s="1566"/>
      <c r="F3570" s="1566"/>
      <c r="G3570" s="1566"/>
      <c r="H3570" s="1568">
        <v>1</v>
      </c>
      <c r="I3570" s="1566"/>
      <c r="J3570" s="1566"/>
      <c r="K3570" s="1572">
        <v>173</v>
      </c>
      <c r="L3570" s="1572">
        <v>172.6</v>
      </c>
      <c r="M3570" s="1572">
        <v>-172.6</v>
      </c>
      <c r="N3570" s="1564"/>
      <c r="O3570" s="1564"/>
      <c r="P3570" s="1572">
        <v>172.6</v>
      </c>
      <c r="Q3570" s="1572">
        <v>-172.6</v>
      </c>
      <c r="R3570" s="1564"/>
      <c r="S3570" s="1562"/>
    </row>
    <row r="3571" spans="2:19" ht="11.25" customHeight="1" outlineLevel="1">
      <c r="B3571" s="1573">
        <v>33853</v>
      </c>
      <c r="C3571" s="1566" t="s">
        <v>5398</v>
      </c>
      <c r="D3571" s="1566" t="s">
        <v>9707</v>
      </c>
      <c r="E3571" s="1566"/>
      <c r="F3571" s="1566"/>
      <c r="G3571" s="1566"/>
      <c r="H3571" s="1568">
        <v>1</v>
      </c>
      <c r="I3571" s="1566"/>
      <c r="J3571" s="1566"/>
      <c r="K3571" s="1572">
        <v>173</v>
      </c>
      <c r="L3571" s="1572">
        <v>172.6</v>
      </c>
      <c r="M3571" s="1572">
        <v>-172.6</v>
      </c>
      <c r="N3571" s="1564"/>
      <c r="O3571" s="1564"/>
      <c r="P3571" s="1572">
        <v>172.6</v>
      </c>
      <c r="Q3571" s="1572">
        <v>-172.6</v>
      </c>
      <c r="R3571" s="1564"/>
      <c r="S3571" s="1562"/>
    </row>
    <row r="3572" spans="2:19" ht="11.25" customHeight="1" outlineLevel="1">
      <c r="B3572" s="1573">
        <v>33854</v>
      </c>
      <c r="C3572" s="1566" t="s">
        <v>5398</v>
      </c>
      <c r="D3572" s="1566" t="s">
        <v>9706</v>
      </c>
      <c r="E3572" s="1566"/>
      <c r="F3572" s="1566"/>
      <c r="G3572" s="1566"/>
      <c r="H3572" s="1568">
        <v>1</v>
      </c>
      <c r="I3572" s="1566"/>
      <c r="J3572" s="1566"/>
      <c r="K3572" s="1572">
        <v>173</v>
      </c>
      <c r="L3572" s="1572">
        <v>172.6</v>
      </c>
      <c r="M3572" s="1572">
        <v>-172.6</v>
      </c>
      <c r="N3572" s="1564"/>
      <c r="O3572" s="1564"/>
      <c r="P3572" s="1572">
        <v>172.6</v>
      </c>
      <c r="Q3572" s="1572">
        <v>-172.6</v>
      </c>
      <c r="R3572" s="1564"/>
      <c r="S3572" s="1562"/>
    </row>
    <row r="3573" spans="2:19" ht="11.25" customHeight="1" outlineLevel="1">
      <c r="B3573" s="1573">
        <v>33855</v>
      </c>
      <c r="C3573" s="1566" t="s">
        <v>5398</v>
      </c>
      <c r="D3573" s="1566" t="s">
        <v>9705</v>
      </c>
      <c r="E3573" s="1566"/>
      <c r="F3573" s="1566"/>
      <c r="G3573" s="1566"/>
      <c r="H3573" s="1568">
        <v>1</v>
      </c>
      <c r="I3573" s="1566"/>
      <c r="J3573" s="1566"/>
      <c r="K3573" s="1572">
        <v>173</v>
      </c>
      <c r="L3573" s="1572">
        <v>172.6</v>
      </c>
      <c r="M3573" s="1572">
        <v>-172.6</v>
      </c>
      <c r="N3573" s="1564"/>
      <c r="O3573" s="1564"/>
      <c r="P3573" s="1572">
        <v>172.6</v>
      </c>
      <c r="Q3573" s="1572">
        <v>-172.6</v>
      </c>
      <c r="R3573" s="1564"/>
      <c r="S3573" s="1562"/>
    </row>
    <row r="3574" spans="2:19" ht="11.25" customHeight="1" outlineLevel="1">
      <c r="B3574" s="1573">
        <v>33856</v>
      </c>
      <c r="C3574" s="1566" t="s">
        <v>5398</v>
      </c>
      <c r="D3574" s="1566" t="s">
        <v>9704</v>
      </c>
      <c r="E3574" s="1566"/>
      <c r="F3574" s="1566"/>
      <c r="G3574" s="1566"/>
      <c r="H3574" s="1568">
        <v>1</v>
      </c>
      <c r="I3574" s="1566"/>
      <c r="J3574" s="1566"/>
      <c r="K3574" s="1572">
        <v>173</v>
      </c>
      <c r="L3574" s="1572">
        <v>172.6</v>
      </c>
      <c r="M3574" s="1572">
        <v>-172.6</v>
      </c>
      <c r="N3574" s="1564"/>
      <c r="O3574" s="1564"/>
      <c r="P3574" s="1572">
        <v>172.6</v>
      </c>
      <c r="Q3574" s="1572">
        <v>-172.6</v>
      </c>
      <c r="R3574" s="1564"/>
      <c r="S3574" s="1562"/>
    </row>
    <row r="3575" spans="2:19" ht="11.25" customHeight="1" outlineLevel="1">
      <c r="B3575" s="1573">
        <v>33857</v>
      </c>
      <c r="C3575" s="1566" t="s">
        <v>5398</v>
      </c>
      <c r="D3575" s="1566" t="s">
        <v>9703</v>
      </c>
      <c r="E3575" s="1566"/>
      <c r="F3575" s="1566"/>
      <c r="G3575" s="1566"/>
      <c r="H3575" s="1568">
        <v>1</v>
      </c>
      <c r="I3575" s="1566"/>
      <c r="J3575" s="1566"/>
      <c r="K3575" s="1572">
        <v>173</v>
      </c>
      <c r="L3575" s="1572">
        <v>172.6</v>
      </c>
      <c r="M3575" s="1572">
        <v>-172.6</v>
      </c>
      <c r="N3575" s="1564"/>
      <c r="O3575" s="1564"/>
      <c r="P3575" s="1572">
        <v>172.6</v>
      </c>
      <c r="Q3575" s="1572">
        <v>-172.6</v>
      </c>
      <c r="R3575" s="1564"/>
      <c r="S3575" s="1562"/>
    </row>
    <row r="3576" spans="2:19" ht="11.25" customHeight="1" outlineLevel="1">
      <c r="B3576" s="1573">
        <v>33858</v>
      </c>
      <c r="C3576" s="1566" t="s">
        <v>5398</v>
      </c>
      <c r="D3576" s="1566" t="s">
        <v>9702</v>
      </c>
      <c r="E3576" s="1566"/>
      <c r="F3576" s="1566"/>
      <c r="G3576" s="1566"/>
      <c r="H3576" s="1568">
        <v>1</v>
      </c>
      <c r="I3576" s="1566"/>
      <c r="J3576" s="1566"/>
      <c r="K3576" s="1572">
        <v>173</v>
      </c>
      <c r="L3576" s="1572">
        <v>172.6</v>
      </c>
      <c r="M3576" s="1572">
        <v>-172.6</v>
      </c>
      <c r="N3576" s="1564"/>
      <c r="O3576" s="1564"/>
      <c r="P3576" s="1572">
        <v>172.6</v>
      </c>
      <c r="Q3576" s="1572">
        <v>-172.6</v>
      </c>
      <c r="R3576" s="1564"/>
      <c r="S3576" s="1562"/>
    </row>
    <row r="3577" spans="2:19" ht="11.25" customHeight="1" outlineLevel="1">
      <c r="B3577" s="1573">
        <v>33859</v>
      </c>
      <c r="C3577" s="1566" t="s">
        <v>5398</v>
      </c>
      <c r="D3577" s="1566" t="s">
        <v>9701</v>
      </c>
      <c r="E3577" s="1566"/>
      <c r="F3577" s="1566"/>
      <c r="G3577" s="1566"/>
      <c r="H3577" s="1568">
        <v>1</v>
      </c>
      <c r="I3577" s="1566"/>
      <c r="J3577" s="1566"/>
      <c r="K3577" s="1572">
        <v>173</v>
      </c>
      <c r="L3577" s="1572">
        <v>172.6</v>
      </c>
      <c r="M3577" s="1572">
        <v>-172.6</v>
      </c>
      <c r="N3577" s="1564"/>
      <c r="O3577" s="1564"/>
      <c r="P3577" s="1572">
        <v>172.6</v>
      </c>
      <c r="Q3577" s="1572">
        <v>-172.6</v>
      </c>
      <c r="R3577" s="1564"/>
      <c r="S3577" s="1562"/>
    </row>
    <row r="3578" spans="2:19" ht="11.25" customHeight="1" outlineLevel="1">
      <c r="B3578" s="1573">
        <v>33860</v>
      </c>
      <c r="C3578" s="1566" t="s">
        <v>5398</v>
      </c>
      <c r="D3578" s="1566" t="s">
        <v>9700</v>
      </c>
      <c r="E3578" s="1566"/>
      <c r="F3578" s="1566"/>
      <c r="G3578" s="1566"/>
      <c r="H3578" s="1568">
        <v>1</v>
      </c>
      <c r="I3578" s="1566"/>
      <c r="J3578" s="1566"/>
      <c r="K3578" s="1572">
        <v>173</v>
      </c>
      <c r="L3578" s="1572">
        <v>172.6</v>
      </c>
      <c r="M3578" s="1572">
        <v>-172.6</v>
      </c>
      <c r="N3578" s="1564"/>
      <c r="O3578" s="1564"/>
      <c r="P3578" s="1572">
        <v>172.6</v>
      </c>
      <c r="Q3578" s="1572">
        <v>-172.6</v>
      </c>
      <c r="R3578" s="1564"/>
      <c r="S3578" s="1562"/>
    </row>
    <row r="3579" spans="2:19" ht="11.25" customHeight="1" outlineLevel="1">
      <c r="B3579" s="1573">
        <v>33861</v>
      </c>
      <c r="C3579" s="1566" t="s">
        <v>5398</v>
      </c>
      <c r="D3579" s="1566" t="s">
        <v>9699</v>
      </c>
      <c r="E3579" s="1566"/>
      <c r="F3579" s="1566"/>
      <c r="G3579" s="1566"/>
      <c r="H3579" s="1568">
        <v>1</v>
      </c>
      <c r="I3579" s="1566"/>
      <c r="J3579" s="1566"/>
      <c r="K3579" s="1572">
        <v>173</v>
      </c>
      <c r="L3579" s="1572">
        <v>172.6</v>
      </c>
      <c r="M3579" s="1572">
        <v>-172.6</v>
      </c>
      <c r="N3579" s="1564"/>
      <c r="O3579" s="1564"/>
      <c r="P3579" s="1572">
        <v>172.6</v>
      </c>
      <c r="Q3579" s="1572">
        <v>-172.6</v>
      </c>
      <c r="R3579" s="1564"/>
      <c r="S3579" s="1562"/>
    </row>
    <row r="3580" spans="2:19" ht="11.25" customHeight="1" outlineLevel="1">
      <c r="B3580" s="1573">
        <v>33862</v>
      </c>
      <c r="C3580" s="1566" t="s">
        <v>5398</v>
      </c>
      <c r="D3580" s="1566" t="s">
        <v>9698</v>
      </c>
      <c r="E3580" s="1566"/>
      <c r="F3580" s="1566"/>
      <c r="G3580" s="1566"/>
      <c r="H3580" s="1568">
        <v>1</v>
      </c>
      <c r="I3580" s="1566"/>
      <c r="J3580" s="1566"/>
      <c r="K3580" s="1572">
        <v>173</v>
      </c>
      <c r="L3580" s="1572">
        <v>172.6</v>
      </c>
      <c r="M3580" s="1572">
        <v>-172.6</v>
      </c>
      <c r="N3580" s="1564"/>
      <c r="O3580" s="1564"/>
      <c r="P3580" s="1572">
        <v>172.6</v>
      </c>
      <c r="Q3580" s="1572">
        <v>-172.6</v>
      </c>
      <c r="R3580" s="1564"/>
      <c r="S3580" s="1562"/>
    </row>
    <row r="3581" spans="2:19" ht="11.25" customHeight="1" outlineLevel="1">
      <c r="B3581" s="1573">
        <v>33863</v>
      </c>
      <c r="C3581" s="1566" t="s">
        <v>5398</v>
      </c>
      <c r="D3581" s="1566" t="s">
        <v>9697</v>
      </c>
      <c r="E3581" s="1566"/>
      <c r="F3581" s="1566"/>
      <c r="G3581" s="1566"/>
      <c r="H3581" s="1568">
        <v>1</v>
      </c>
      <c r="I3581" s="1566"/>
      <c r="J3581" s="1566"/>
      <c r="K3581" s="1572">
        <v>173</v>
      </c>
      <c r="L3581" s="1572">
        <v>172.6</v>
      </c>
      <c r="M3581" s="1572">
        <v>-172.6</v>
      </c>
      <c r="N3581" s="1564"/>
      <c r="O3581" s="1564"/>
      <c r="P3581" s="1572">
        <v>172.6</v>
      </c>
      <c r="Q3581" s="1572">
        <v>-172.6</v>
      </c>
      <c r="R3581" s="1564"/>
      <c r="S3581" s="1562"/>
    </row>
    <row r="3582" spans="2:19" ht="11.25" customHeight="1" outlineLevel="1">
      <c r="B3582" s="1573">
        <v>33864</v>
      </c>
      <c r="C3582" s="1566" t="s">
        <v>5398</v>
      </c>
      <c r="D3582" s="1566" t="s">
        <v>9696</v>
      </c>
      <c r="E3582" s="1566"/>
      <c r="F3582" s="1566"/>
      <c r="G3582" s="1566"/>
      <c r="H3582" s="1568">
        <v>1</v>
      </c>
      <c r="I3582" s="1566"/>
      <c r="J3582" s="1566"/>
      <c r="K3582" s="1572">
        <v>173</v>
      </c>
      <c r="L3582" s="1572">
        <v>172.6</v>
      </c>
      <c r="M3582" s="1572">
        <v>-172.6</v>
      </c>
      <c r="N3582" s="1564"/>
      <c r="O3582" s="1564"/>
      <c r="P3582" s="1572">
        <v>172.6</v>
      </c>
      <c r="Q3582" s="1572">
        <v>-172.6</v>
      </c>
      <c r="R3582" s="1564"/>
      <c r="S3582" s="1562"/>
    </row>
    <row r="3583" spans="2:19" ht="11.25" customHeight="1" outlineLevel="1">
      <c r="B3583" s="1573">
        <v>33865</v>
      </c>
      <c r="C3583" s="1566" t="s">
        <v>5398</v>
      </c>
      <c r="D3583" s="1566" t="s">
        <v>9695</v>
      </c>
      <c r="E3583" s="1566"/>
      <c r="F3583" s="1566"/>
      <c r="G3583" s="1566"/>
      <c r="H3583" s="1568">
        <v>1</v>
      </c>
      <c r="I3583" s="1566"/>
      <c r="J3583" s="1566"/>
      <c r="K3583" s="1572">
        <v>173</v>
      </c>
      <c r="L3583" s="1572">
        <v>172.6</v>
      </c>
      <c r="M3583" s="1572">
        <v>-172.6</v>
      </c>
      <c r="N3583" s="1564"/>
      <c r="O3583" s="1564"/>
      <c r="P3583" s="1572">
        <v>172.6</v>
      </c>
      <c r="Q3583" s="1572">
        <v>-172.6</v>
      </c>
      <c r="R3583" s="1564"/>
      <c r="S3583" s="1562"/>
    </row>
    <row r="3584" spans="2:19" ht="11.25" customHeight="1" outlineLevel="1">
      <c r="B3584" s="1573">
        <v>33866</v>
      </c>
      <c r="C3584" s="1566" t="s">
        <v>5398</v>
      </c>
      <c r="D3584" s="1566" t="s">
        <v>9694</v>
      </c>
      <c r="E3584" s="1566"/>
      <c r="F3584" s="1566"/>
      <c r="G3584" s="1566"/>
      <c r="H3584" s="1568">
        <v>1</v>
      </c>
      <c r="I3584" s="1566"/>
      <c r="J3584" s="1566"/>
      <c r="K3584" s="1572">
        <v>173</v>
      </c>
      <c r="L3584" s="1572">
        <v>172.6</v>
      </c>
      <c r="M3584" s="1572">
        <v>-172.6</v>
      </c>
      <c r="N3584" s="1564"/>
      <c r="O3584" s="1564"/>
      <c r="P3584" s="1572">
        <v>172.6</v>
      </c>
      <c r="Q3584" s="1572">
        <v>-172.6</v>
      </c>
      <c r="R3584" s="1564"/>
      <c r="S3584" s="1562"/>
    </row>
    <row r="3585" spans="2:19" ht="11.25" customHeight="1" outlineLevel="1">
      <c r="B3585" s="1573">
        <v>33867</v>
      </c>
      <c r="C3585" s="1566" t="s">
        <v>5398</v>
      </c>
      <c r="D3585" s="1566" t="s">
        <v>9693</v>
      </c>
      <c r="E3585" s="1566"/>
      <c r="F3585" s="1566"/>
      <c r="G3585" s="1566"/>
      <c r="H3585" s="1568">
        <v>1</v>
      </c>
      <c r="I3585" s="1566"/>
      <c r="J3585" s="1566"/>
      <c r="K3585" s="1572">
        <v>173</v>
      </c>
      <c r="L3585" s="1572">
        <v>172.6</v>
      </c>
      <c r="M3585" s="1572">
        <v>-172.6</v>
      </c>
      <c r="N3585" s="1564"/>
      <c r="O3585" s="1564"/>
      <c r="P3585" s="1572">
        <v>172.6</v>
      </c>
      <c r="Q3585" s="1572">
        <v>-172.6</v>
      </c>
      <c r="R3585" s="1564"/>
      <c r="S3585" s="1562"/>
    </row>
    <row r="3586" spans="2:19" ht="11.25" customHeight="1" outlineLevel="1">
      <c r="B3586" s="1573">
        <v>33868</v>
      </c>
      <c r="C3586" s="1566" t="s">
        <v>5398</v>
      </c>
      <c r="D3586" s="1566" t="s">
        <v>9692</v>
      </c>
      <c r="E3586" s="1566"/>
      <c r="F3586" s="1566"/>
      <c r="G3586" s="1566"/>
      <c r="H3586" s="1568">
        <v>1</v>
      </c>
      <c r="I3586" s="1566"/>
      <c r="J3586" s="1566"/>
      <c r="K3586" s="1572">
        <v>173</v>
      </c>
      <c r="L3586" s="1572">
        <v>172.6</v>
      </c>
      <c r="M3586" s="1572">
        <v>-172.6</v>
      </c>
      <c r="N3586" s="1564"/>
      <c r="O3586" s="1564"/>
      <c r="P3586" s="1572">
        <v>172.6</v>
      </c>
      <c r="Q3586" s="1572">
        <v>-172.6</v>
      </c>
      <c r="R3586" s="1564"/>
      <c r="S3586" s="1562"/>
    </row>
    <row r="3587" spans="2:19" ht="11.25" customHeight="1" outlineLevel="1">
      <c r="B3587" s="1573">
        <v>33869</v>
      </c>
      <c r="C3587" s="1566" t="s">
        <v>5398</v>
      </c>
      <c r="D3587" s="1566" t="s">
        <v>9691</v>
      </c>
      <c r="E3587" s="1566"/>
      <c r="F3587" s="1566"/>
      <c r="G3587" s="1566"/>
      <c r="H3587" s="1568">
        <v>1</v>
      </c>
      <c r="I3587" s="1566"/>
      <c r="J3587" s="1566"/>
      <c r="K3587" s="1572">
        <v>173</v>
      </c>
      <c r="L3587" s="1572">
        <v>172.6</v>
      </c>
      <c r="M3587" s="1572">
        <v>-172.6</v>
      </c>
      <c r="N3587" s="1564"/>
      <c r="O3587" s="1564"/>
      <c r="P3587" s="1572">
        <v>172.6</v>
      </c>
      <c r="Q3587" s="1572">
        <v>-172.6</v>
      </c>
      <c r="R3587" s="1564"/>
      <c r="S3587" s="1562"/>
    </row>
    <row r="3588" spans="2:19" ht="11.25" customHeight="1" outlineLevel="1">
      <c r="B3588" s="1573">
        <v>33870</v>
      </c>
      <c r="C3588" s="1566" t="s">
        <v>5398</v>
      </c>
      <c r="D3588" s="1566" t="s">
        <v>9690</v>
      </c>
      <c r="E3588" s="1566"/>
      <c r="F3588" s="1566"/>
      <c r="G3588" s="1566"/>
      <c r="H3588" s="1568">
        <v>1</v>
      </c>
      <c r="I3588" s="1566"/>
      <c r="J3588" s="1566"/>
      <c r="K3588" s="1572">
        <v>173</v>
      </c>
      <c r="L3588" s="1572">
        <v>172.6</v>
      </c>
      <c r="M3588" s="1572">
        <v>-172.6</v>
      </c>
      <c r="N3588" s="1564"/>
      <c r="O3588" s="1564"/>
      <c r="P3588" s="1572">
        <v>172.6</v>
      </c>
      <c r="Q3588" s="1572">
        <v>-172.6</v>
      </c>
      <c r="R3588" s="1564"/>
      <c r="S3588" s="1562"/>
    </row>
    <row r="3589" spans="2:19" ht="11.25" customHeight="1" outlineLevel="1">
      <c r="B3589" s="1573">
        <v>33871</v>
      </c>
      <c r="C3589" s="1566" t="s">
        <v>5398</v>
      </c>
      <c r="D3589" s="1566" t="s">
        <v>9689</v>
      </c>
      <c r="E3589" s="1566"/>
      <c r="F3589" s="1566"/>
      <c r="G3589" s="1566"/>
      <c r="H3589" s="1568">
        <v>1</v>
      </c>
      <c r="I3589" s="1566"/>
      <c r="J3589" s="1566"/>
      <c r="K3589" s="1572">
        <v>173</v>
      </c>
      <c r="L3589" s="1572">
        <v>172.6</v>
      </c>
      <c r="M3589" s="1572">
        <v>-172.6</v>
      </c>
      <c r="N3589" s="1564"/>
      <c r="O3589" s="1564"/>
      <c r="P3589" s="1572">
        <v>172.6</v>
      </c>
      <c r="Q3589" s="1572">
        <v>-172.6</v>
      </c>
      <c r="R3589" s="1564"/>
      <c r="S3589" s="1562"/>
    </row>
    <row r="3590" spans="2:19" ht="11.25" customHeight="1" outlineLevel="1">
      <c r="B3590" s="1573">
        <v>33872</v>
      </c>
      <c r="C3590" s="1566" t="s">
        <v>5398</v>
      </c>
      <c r="D3590" s="1566" t="s">
        <v>9688</v>
      </c>
      <c r="E3590" s="1566"/>
      <c r="F3590" s="1566"/>
      <c r="G3590" s="1566"/>
      <c r="H3590" s="1568">
        <v>1</v>
      </c>
      <c r="I3590" s="1566"/>
      <c r="J3590" s="1566"/>
      <c r="K3590" s="1572">
        <v>173</v>
      </c>
      <c r="L3590" s="1572">
        <v>172.6</v>
      </c>
      <c r="M3590" s="1572">
        <v>-172.6</v>
      </c>
      <c r="N3590" s="1564"/>
      <c r="O3590" s="1564"/>
      <c r="P3590" s="1572">
        <v>172.6</v>
      </c>
      <c r="Q3590" s="1572">
        <v>-172.6</v>
      </c>
      <c r="R3590" s="1564"/>
      <c r="S3590" s="1562"/>
    </row>
    <row r="3591" spans="2:19" ht="11.25" customHeight="1" outlineLevel="1">
      <c r="B3591" s="1573">
        <v>33873</v>
      </c>
      <c r="C3591" s="1566" t="s">
        <v>5398</v>
      </c>
      <c r="D3591" s="1566" t="s">
        <v>9687</v>
      </c>
      <c r="E3591" s="1566"/>
      <c r="F3591" s="1566"/>
      <c r="G3591" s="1566"/>
      <c r="H3591" s="1568">
        <v>1</v>
      </c>
      <c r="I3591" s="1566"/>
      <c r="J3591" s="1566"/>
      <c r="K3591" s="1572">
        <v>173</v>
      </c>
      <c r="L3591" s="1572">
        <v>172.6</v>
      </c>
      <c r="M3591" s="1572">
        <v>-172.6</v>
      </c>
      <c r="N3591" s="1564"/>
      <c r="O3591" s="1564"/>
      <c r="P3591" s="1572">
        <v>172.6</v>
      </c>
      <c r="Q3591" s="1572">
        <v>-172.6</v>
      </c>
      <c r="R3591" s="1564"/>
      <c r="S3591" s="1562"/>
    </row>
    <row r="3592" spans="2:19" ht="11.25" customHeight="1" outlineLevel="1">
      <c r="B3592" s="1573">
        <v>33874</v>
      </c>
      <c r="C3592" s="1566" t="s">
        <v>5398</v>
      </c>
      <c r="D3592" s="1566" t="s">
        <v>9686</v>
      </c>
      <c r="E3592" s="1566"/>
      <c r="F3592" s="1566"/>
      <c r="G3592" s="1566"/>
      <c r="H3592" s="1568">
        <v>1</v>
      </c>
      <c r="I3592" s="1566"/>
      <c r="J3592" s="1566"/>
      <c r="K3592" s="1572">
        <v>173</v>
      </c>
      <c r="L3592" s="1572">
        <v>172.6</v>
      </c>
      <c r="M3592" s="1572">
        <v>-172.6</v>
      </c>
      <c r="N3592" s="1564"/>
      <c r="O3592" s="1564"/>
      <c r="P3592" s="1572">
        <v>172.6</v>
      </c>
      <c r="Q3592" s="1572">
        <v>-172.6</v>
      </c>
      <c r="R3592" s="1564"/>
      <c r="S3592" s="1562"/>
    </row>
    <row r="3593" spans="2:19" ht="11.25" customHeight="1" outlineLevel="1">
      <c r="B3593" s="1573">
        <v>33875</v>
      </c>
      <c r="C3593" s="1566" t="s">
        <v>5398</v>
      </c>
      <c r="D3593" s="1566" t="s">
        <v>9685</v>
      </c>
      <c r="E3593" s="1566"/>
      <c r="F3593" s="1566"/>
      <c r="G3593" s="1566"/>
      <c r="H3593" s="1568">
        <v>1</v>
      </c>
      <c r="I3593" s="1566"/>
      <c r="J3593" s="1566"/>
      <c r="K3593" s="1572">
        <v>173</v>
      </c>
      <c r="L3593" s="1572">
        <v>172.6</v>
      </c>
      <c r="M3593" s="1572">
        <v>-172.6</v>
      </c>
      <c r="N3593" s="1564"/>
      <c r="O3593" s="1564"/>
      <c r="P3593" s="1572">
        <v>172.6</v>
      </c>
      <c r="Q3593" s="1572">
        <v>-172.6</v>
      </c>
      <c r="R3593" s="1564"/>
      <c r="S3593" s="1562"/>
    </row>
    <row r="3594" spans="2:19" ht="11.25" customHeight="1" outlineLevel="1">
      <c r="B3594" s="1573">
        <v>33876</v>
      </c>
      <c r="C3594" s="1566" t="s">
        <v>5398</v>
      </c>
      <c r="D3594" s="1566" t="s">
        <v>9684</v>
      </c>
      <c r="E3594" s="1566"/>
      <c r="F3594" s="1566"/>
      <c r="G3594" s="1566"/>
      <c r="H3594" s="1568">
        <v>1</v>
      </c>
      <c r="I3594" s="1566"/>
      <c r="J3594" s="1566"/>
      <c r="K3594" s="1572">
        <v>173</v>
      </c>
      <c r="L3594" s="1572">
        <v>172.6</v>
      </c>
      <c r="M3594" s="1572">
        <v>-172.6</v>
      </c>
      <c r="N3594" s="1564"/>
      <c r="O3594" s="1564"/>
      <c r="P3594" s="1572">
        <v>172.6</v>
      </c>
      <c r="Q3594" s="1572">
        <v>-172.6</v>
      </c>
      <c r="R3594" s="1564"/>
      <c r="S3594" s="1562"/>
    </row>
    <row r="3595" spans="2:19" ht="11.25" customHeight="1" outlineLevel="1">
      <c r="B3595" s="1573">
        <v>33877</v>
      </c>
      <c r="C3595" s="1566" t="s">
        <v>5398</v>
      </c>
      <c r="D3595" s="1566" t="s">
        <v>9683</v>
      </c>
      <c r="E3595" s="1566"/>
      <c r="F3595" s="1566"/>
      <c r="G3595" s="1566"/>
      <c r="H3595" s="1568">
        <v>1</v>
      </c>
      <c r="I3595" s="1566"/>
      <c r="J3595" s="1566"/>
      <c r="K3595" s="1572">
        <v>173</v>
      </c>
      <c r="L3595" s="1572">
        <v>172.6</v>
      </c>
      <c r="M3595" s="1572">
        <v>-172.6</v>
      </c>
      <c r="N3595" s="1564"/>
      <c r="O3595" s="1564"/>
      <c r="P3595" s="1572">
        <v>172.6</v>
      </c>
      <c r="Q3595" s="1572">
        <v>-172.6</v>
      </c>
      <c r="R3595" s="1564"/>
      <c r="S3595" s="1562"/>
    </row>
    <row r="3596" spans="2:19" ht="11.25" customHeight="1" outlineLevel="1">
      <c r="B3596" s="1573">
        <v>33878</v>
      </c>
      <c r="C3596" s="1566" t="s">
        <v>5398</v>
      </c>
      <c r="D3596" s="1566" t="s">
        <v>9682</v>
      </c>
      <c r="E3596" s="1566"/>
      <c r="F3596" s="1566"/>
      <c r="G3596" s="1566"/>
      <c r="H3596" s="1568">
        <v>1</v>
      </c>
      <c r="I3596" s="1566"/>
      <c r="J3596" s="1566"/>
      <c r="K3596" s="1572">
        <v>173</v>
      </c>
      <c r="L3596" s="1572">
        <v>172.6</v>
      </c>
      <c r="M3596" s="1572">
        <v>-172.6</v>
      </c>
      <c r="N3596" s="1564"/>
      <c r="O3596" s="1564"/>
      <c r="P3596" s="1572">
        <v>172.6</v>
      </c>
      <c r="Q3596" s="1572">
        <v>-172.6</v>
      </c>
      <c r="R3596" s="1564"/>
      <c r="S3596" s="1562"/>
    </row>
    <row r="3597" spans="2:19" ht="11.25" customHeight="1" outlineLevel="1">
      <c r="B3597" s="1573">
        <v>33879</v>
      </c>
      <c r="C3597" s="1566" t="s">
        <v>5398</v>
      </c>
      <c r="D3597" s="1566" t="s">
        <v>9681</v>
      </c>
      <c r="E3597" s="1566"/>
      <c r="F3597" s="1566"/>
      <c r="G3597" s="1566"/>
      <c r="H3597" s="1568">
        <v>1</v>
      </c>
      <c r="I3597" s="1566"/>
      <c r="J3597" s="1566"/>
      <c r="K3597" s="1572">
        <v>173</v>
      </c>
      <c r="L3597" s="1572">
        <v>172.6</v>
      </c>
      <c r="M3597" s="1572">
        <v>-172.6</v>
      </c>
      <c r="N3597" s="1564"/>
      <c r="O3597" s="1564"/>
      <c r="P3597" s="1572">
        <v>172.6</v>
      </c>
      <c r="Q3597" s="1572">
        <v>-172.6</v>
      </c>
      <c r="R3597" s="1564"/>
      <c r="S3597" s="1562"/>
    </row>
    <row r="3598" spans="2:19" ht="11.25" customHeight="1" outlineLevel="1">
      <c r="B3598" s="1573">
        <v>33880</v>
      </c>
      <c r="C3598" s="1566" t="s">
        <v>5398</v>
      </c>
      <c r="D3598" s="1566" t="s">
        <v>9680</v>
      </c>
      <c r="E3598" s="1566"/>
      <c r="F3598" s="1566"/>
      <c r="G3598" s="1566"/>
      <c r="H3598" s="1568">
        <v>1</v>
      </c>
      <c r="I3598" s="1566"/>
      <c r="J3598" s="1566"/>
      <c r="K3598" s="1572">
        <v>173</v>
      </c>
      <c r="L3598" s="1572">
        <v>172.6</v>
      </c>
      <c r="M3598" s="1572">
        <v>-172.6</v>
      </c>
      <c r="N3598" s="1564"/>
      <c r="O3598" s="1564"/>
      <c r="P3598" s="1572">
        <v>172.6</v>
      </c>
      <c r="Q3598" s="1572">
        <v>-172.6</v>
      </c>
      <c r="R3598" s="1564"/>
      <c r="S3598" s="1562"/>
    </row>
    <row r="3599" spans="2:19" ht="11.25" customHeight="1" outlineLevel="1">
      <c r="B3599" s="1573">
        <v>33881</v>
      </c>
      <c r="C3599" s="1566" t="s">
        <v>5398</v>
      </c>
      <c r="D3599" s="1566" t="s">
        <v>9679</v>
      </c>
      <c r="E3599" s="1566"/>
      <c r="F3599" s="1566"/>
      <c r="G3599" s="1566"/>
      <c r="H3599" s="1568">
        <v>1</v>
      </c>
      <c r="I3599" s="1566"/>
      <c r="J3599" s="1566"/>
      <c r="K3599" s="1572">
        <v>173</v>
      </c>
      <c r="L3599" s="1572">
        <v>172.6</v>
      </c>
      <c r="M3599" s="1572">
        <v>-172.6</v>
      </c>
      <c r="N3599" s="1564"/>
      <c r="O3599" s="1564"/>
      <c r="P3599" s="1572">
        <v>172.6</v>
      </c>
      <c r="Q3599" s="1572">
        <v>-172.6</v>
      </c>
      <c r="R3599" s="1564"/>
      <c r="S3599" s="1562"/>
    </row>
    <row r="3600" spans="2:19" ht="11.25" customHeight="1" outlineLevel="1">
      <c r="B3600" s="1573">
        <v>33882</v>
      </c>
      <c r="C3600" s="1566" t="s">
        <v>5398</v>
      </c>
      <c r="D3600" s="1566" t="s">
        <v>9678</v>
      </c>
      <c r="E3600" s="1566"/>
      <c r="F3600" s="1566"/>
      <c r="G3600" s="1566"/>
      <c r="H3600" s="1568">
        <v>1</v>
      </c>
      <c r="I3600" s="1566"/>
      <c r="J3600" s="1566"/>
      <c r="K3600" s="1572">
        <v>173</v>
      </c>
      <c r="L3600" s="1572">
        <v>172.6</v>
      </c>
      <c r="M3600" s="1572">
        <v>-172.6</v>
      </c>
      <c r="N3600" s="1564"/>
      <c r="O3600" s="1564"/>
      <c r="P3600" s="1572">
        <v>172.6</v>
      </c>
      <c r="Q3600" s="1572">
        <v>-172.6</v>
      </c>
      <c r="R3600" s="1564"/>
      <c r="S3600" s="1562"/>
    </row>
    <row r="3601" spans="2:19" ht="11.25" customHeight="1" outlineLevel="1">
      <c r="B3601" s="1573">
        <v>33883</v>
      </c>
      <c r="C3601" s="1566" t="s">
        <v>5398</v>
      </c>
      <c r="D3601" s="1566" t="s">
        <v>9677</v>
      </c>
      <c r="E3601" s="1566"/>
      <c r="F3601" s="1566"/>
      <c r="G3601" s="1566"/>
      <c r="H3601" s="1568">
        <v>1</v>
      </c>
      <c r="I3601" s="1566"/>
      <c r="J3601" s="1566"/>
      <c r="K3601" s="1572">
        <v>173</v>
      </c>
      <c r="L3601" s="1572">
        <v>172.6</v>
      </c>
      <c r="M3601" s="1572">
        <v>-172.6</v>
      </c>
      <c r="N3601" s="1564"/>
      <c r="O3601" s="1564"/>
      <c r="P3601" s="1572">
        <v>172.6</v>
      </c>
      <c r="Q3601" s="1572">
        <v>-172.6</v>
      </c>
      <c r="R3601" s="1564"/>
      <c r="S3601" s="1562"/>
    </row>
    <row r="3602" spans="2:19" ht="11.25" customHeight="1" outlineLevel="1">
      <c r="B3602" s="1573">
        <v>33884</v>
      </c>
      <c r="C3602" s="1566" t="s">
        <v>5398</v>
      </c>
      <c r="D3602" s="1566" t="s">
        <v>9676</v>
      </c>
      <c r="E3602" s="1566"/>
      <c r="F3602" s="1566"/>
      <c r="G3602" s="1566"/>
      <c r="H3602" s="1568">
        <v>1</v>
      </c>
      <c r="I3602" s="1566"/>
      <c r="J3602" s="1566"/>
      <c r="K3602" s="1572">
        <v>173</v>
      </c>
      <c r="L3602" s="1572">
        <v>172.6</v>
      </c>
      <c r="M3602" s="1572">
        <v>-172.6</v>
      </c>
      <c r="N3602" s="1564"/>
      <c r="O3602" s="1564"/>
      <c r="P3602" s="1572">
        <v>172.6</v>
      </c>
      <c r="Q3602" s="1572">
        <v>-172.6</v>
      </c>
      <c r="R3602" s="1564"/>
      <c r="S3602" s="1562"/>
    </row>
    <row r="3603" spans="2:19" ht="11.25" customHeight="1" outlineLevel="1">
      <c r="B3603" s="1573">
        <v>33885</v>
      </c>
      <c r="C3603" s="1566" t="s">
        <v>5398</v>
      </c>
      <c r="D3603" s="1566" t="s">
        <v>9675</v>
      </c>
      <c r="E3603" s="1566"/>
      <c r="F3603" s="1566"/>
      <c r="G3603" s="1566"/>
      <c r="H3603" s="1568">
        <v>1</v>
      </c>
      <c r="I3603" s="1566"/>
      <c r="J3603" s="1566"/>
      <c r="K3603" s="1572">
        <v>173</v>
      </c>
      <c r="L3603" s="1572">
        <v>172.6</v>
      </c>
      <c r="M3603" s="1572">
        <v>-172.6</v>
      </c>
      <c r="N3603" s="1564"/>
      <c r="O3603" s="1564"/>
      <c r="P3603" s="1572">
        <v>172.6</v>
      </c>
      <c r="Q3603" s="1572">
        <v>-172.6</v>
      </c>
      <c r="R3603" s="1564"/>
      <c r="S3603" s="1562"/>
    </row>
    <row r="3604" spans="2:19" ht="11.25" customHeight="1" outlineLevel="1">
      <c r="B3604" s="1573">
        <v>33932</v>
      </c>
      <c r="C3604" s="1566" t="s">
        <v>5398</v>
      </c>
      <c r="D3604" s="1566" t="s">
        <v>9674</v>
      </c>
      <c r="E3604" s="1566"/>
      <c r="F3604" s="1566"/>
      <c r="G3604" s="1566"/>
      <c r="H3604" s="1568">
        <v>1</v>
      </c>
      <c r="I3604" s="1566"/>
      <c r="J3604" s="1566"/>
      <c r="K3604" s="1572">
        <v>102</v>
      </c>
      <c r="L3604" s="1572">
        <v>102.27</v>
      </c>
      <c r="M3604" s="1572">
        <v>-102.27</v>
      </c>
      <c r="N3604" s="1564"/>
      <c r="O3604" s="1564"/>
      <c r="P3604" s="1572">
        <v>102.27</v>
      </c>
      <c r="Q3604" s="1572">
        <v>-102.27</v>
      </c>
      <c r="R3604" s="1564"/>
      <c r="S3604" s="1562"/>
    </row>
    <row r="3605" spans="2:19" ht="11.25" customHeight="1" outlineLevel="1">
      <c r="B3605" s="1573">
        <v>33933</v>
      </c>
      <c r="C3605" s="1566" t="s">
        <v>5398</v>
      </c>
      <c r="D3605" s="1566" t="s">
        <v>9673</v>
      </c>
      <c r="E3605" s="1566"/>
      <c r="F3605" s="1566"/>
      <c r="G3605" s="1566"/>
      <c r="H3605" s="1568">
        <v>1</v>
      </c>
      <c r="I3605" s="1566"/>
      <c r="J3605" s="1566"/>
      <c r="K3605" s="1572">
        <v>102</v>
      </c>
      <c r="L3605" s="1572">
        <v>102.27</v>
      </c>
      <c r="M3605" s="1572">
        <v>-102.27</v>
      </c>
      <c r="N3605" s="1564"/>
      <c r="O3605" s="1564"/>
      <c r="P3605" s="1572">
        <v>102.27</v>
      </c>
      <c r="Q3605" s="1572">
        <v>-102.27</v>
      </c>
      <c r="R3605" s="1564"/>
      <c r="S3605" s="1562"/>
    </row>
    <row r="3606" spans="2:19" ht="11.25" customHeight="1" outlineLevel="1">
      <c r="B3606" s="1573">
        <v>33934</v>
      </c>
      <c r="C3606" s="1566" t="s">
        <v>5398</v>
      </c>
      <c r="D3606" s="1566" t="s">
        <v>9672</v>
      </c>
      <c r="E3606" s="1566"/>
      <c r="F3606" s="1566"/>
      <c r="G3606" s="1566"/>
      <c r="H3606" s="1568">
        <v>1</v>
      </c>
      <c r="I3606" s="1566"/>
      <c r="J3606" s="1566"/>
      <c r="K3606" s="1572">
        <v>102</v>
      </c>
      <c r="L3606" s="1572">
        <v>102.27</v>
      </c>
      <c r="M3606" s="1572">
        <v>-102.27</v>
      </c>
      <c r="N3606" s="1564"/>
      <c r="O3606" s="1564"/>
      <c r="P3606" s="1572">
        <v>102.27</v>
      </c>
      <c r="Q3606" s="1572">
        <v>-102.27</v>
      </c>
      <c r="R3606" s="1564"/>
      <c r="S3606" s="1562"/>
    </row>
    <row r="3607" spans="2:19" ht="11.25" customHeight="1" outlineLevel="1">
      <c r="B3607" s="1573">
        <v>33935</v>
      </c>
      <c r="C3607" s="1566" t="s">
        <v>5398</v>
      </c>
      <c r="D3607" s="1566" t="s">
        <v>9671</v>
      </c>
      <c r="E3607" s="1566"/>
      <c r="F3607" s="1566"/>
      <c r="G3607" s="1566"/>
      <c r="H3607" s="1568">
        <v>1</v>
      </c>
      <c r="I3607" s="1566"/>
      <c r="J3607" s="1566"/>
      <c r="K3607" s="1572">
        <v>102</v>
      </c>
      <c r="L3607" s="1572">
        <v>102.27</v>
      </c>
      <c r="M3607" s="1572">
        <v>-102.27</v>
      </c>
      <c r="N3607" s="1564"/>
      <c r="O3607" s="1564"/>
      <c r="P3607" s="1572">
        <v>102.27</v>
      </c>
      <c r="Q3607" s="1572">
        <v>-102.27</v>
      </c>
      <c r="R3607" s="1564"/>
      <c r="S3607" s="1562"/>
    </row>
    <row r="3608" spans="2:19" ht="11.25" customHeight="1" outlineLevel="1">
      <c r="B3608" s="1573">
        <v>33936</v>
      </c>
      <c r="C3608" s="1566" t="s">
        <v>5398</v>
      </c>
      <c r="D3608" s="1566" t="s">
        <v>9670</v>
      </c>
      <c r="E3608" s="1566"/>
      <c r="F3608" s="1566"/>
      <c r="G3608" s="1566"/>
      <c r="H3608" s="1568">
        <v>1</v>
      </c>
      <c r="I3608" s="1566"/>
      <c r="J3608" s="1566"/>
      <c r="K3608" s="1572">
        <v>102</v>
      </c>
      <c r="L3608" s="1572">
        <v>102.27</v>
      </c>
      <c r="M3608" s="1572">
        <v>-102.27</v>
      </c>
      <c r="N3608" s="1564"/>
      <c r="O3608" s="1564"/>
      <c r="P3608" s="1572">
        <v>102.27</v>
      </c>
      <c r="Q3608" s="1572">
        <v>-102.27</v>
      </c>
      <c r="R3608" s="1564"/>
      <c r="S3608" s="1562"/>
    </row>
    <row r="3609" spans="2:19" ht="11.25" customHeight="1" outlineLevel="1">
      <c r="B3609" s="1573">
        <v>33937</v>
      </c>
      <c r="C3609" s="1566" t="s">
        <v>5398</v>
      </c>
      <c r="D3609" s="1566" t="s">
        <v>9669</v>
      </c>
      <c r="E3609" s="1566"/>
      <c r="F3609" s="1566"/>
      <c r="G3609" s="1566"/>
      <c r="H3609" s="1568">
        <v>1</v>
      </c>
      <c r="I3609" s="1566"/>
      <c r="J3609" s="1566"/>
      <c r="K3609" s="1572">
        <v>102</v>
      </c>
      <c r="L3609" s="1572">
        <v>102.27</v>
      </c>
      <c r="M3609" s="1572">
        <v>-102.27</v>
      </c>
      <c r="N3609" s="1564"/>
      <c r="O3609" s="1564"/>
      <c r="P3609" s="1572">
        <v>102.27</v>
      </c>
      <c r="Q3609" s="1572">
        <v>-102.27</v>
      </c>
      <c r="R3609" s="1564"/>
      <c r="S3609" s="1562"/>
    </row>
    <row r="3610" spans="2:19" ht="11.25" customHeight="1" outlineLevel="1">
      <c r="B3610" s="1573">
        <v>33938</v>
      </c>
      <c r="C3610" s="1566" t="s">
        <v>5398</v>
      </c>
      <c r="D3610" s="1566" t="s">
        <v>9668</v>
      </c>
      <c r="E3610" s="1566"/>
      <c r="F3610" s="1566"/>
      <c r="G3610" s="1566"/>
      <c r="H3610" s="1568">
        <v>1</v>
      </c>
      <c r="I3610" s="1566"/>
      <c r="J3610" s="1566"/>
      <c r="K3610" s="1572">
        <v>102</v>
      </c>
      <c r="L3610" s="1572">
        <v>102.27</v>
      </c>
      <c r="M3610" s="1572">
        <v>-102.27</v>
      </c>
      <c r="N3610" s="1564"/>
      <c r="O3610" s="1564"/>
      <c r="P3610" s="1572">
        <v>102.27</v>
      </c>
      <c r="Q3610" s="1572">
        <v>-102.27</v>
      </c>
      <c r="R3610" s="1564"/>
      <c r="S3610" s="1562"/>
    </row>
    <row r="3611" spans="2:19" ht="11.25" customHeight="1" outlineLevel="1">
      <c r="B3611" s="1573">
        <v>33939</v>
      </c>
      <c r="C3611" s="1566" t="s">
        <v>5398</v>
      </c>
      <c r="D3611" s="1566" t="s">
        <v>9667</v>
      </c>
      <c r="E3611" s="1566"/>
      <c r="F3611" s="1566"/>
      <c r="G3611" s="1566"/>
      <c r="H3611" s="1568">
        <v>1</v>
      </c>
      <c r="I3611" s="1566"/>
      <c r="J3611" s="1566"/>
      <c r="K3611" s="1572">
        <v>102</v>
      </c>
      <c r="L3611" s="1572">
        <v>102.27</v>
      </c>
      <c r="M3611" s="1572">
        <v>-102.27</v>
      </c>
      <c r="N3611" s="1564"/>
      <c r="O3611" s="1564"/>
      <c r="P3611" s="1572">
        <v>102.27</v>
      </c>
      <c r="Q3611" s="1572">
        <v>-102.27</v>
      </c>
      <c r="R3611" s="1564"/>
      <c r="S3611" s="1562"/>
    </row>
    <row r="3612" spans="2:19" ht="11.25" customHeight="1" outlineLevel="1">
      <c r="B3612" s="1573">
        <v>33940</v>
      </c>
      <c r="C3612" s="1566" t="s">
        <v>5398</v>
      </c>
      <c r="D3612" s="1566" t="s">
        <v>9666</v>
      </c>
      <c r="E3612" s="1566"/>
      <c r="F3612" s="1566"/>
      <c r="G3612" s="1566"/>
      <c r="H3612" s="1568">
        <v>1</v>
      </c>
      <c r="I3612" s="1566"/>
      <c r="J3612" s="1566"/>
      <c r="K3612" s="1572">
        <v>102</v>
      </c>
      <c r="L3612" s="1572">
        <v>102.27</v>
      </c>
      <c r="M3612" s="1572">
        <v>-102.27</v>
      </c>
      <c r="N3612" s="1564"/>
      <c r="O3612" s="1564"/>
      <c r="P3612" s="1572">
        <v>102.27</v>
      </c>
      <c r="Q3612" s="1572">
        <v>-102.27</v>
      </c>
      <c r="R3612" s="1564"/>
      <c r="S3612" s="1562"/>
    </row>
    <row r="3613" spans="2:19" ht="11.25" customHeight="1" outlineLevel="1">
      <c r="B3613" s="1573">
        <v>33941</v>
      </c>
      <c r="C3613" s="1566" t="s">
        <v>5398</v>
      </c>
      <c r="D3613" s="1566" t="s">
        <v>9665</v>
      </c>
      <c r="E3613" s="1566"/>
      <c r="F3613" s="1566"/>
      <c r="G3613" s="1566"/>
      <c r="H3613" s="1568">
        <v>1</v>
      </c>
      <c r="I3613" s="1566"/>
      <c r="J3613" s="1566"/>
      <c r="K3613" s="1572">
        <v>102</v>
      </c>
      <c r="L3613" s="1572">
        <v>102.27</v>
      </c>
      <c r="M3613" s="1572">
        <v>-102.27</v>
      </c>
      <c r="N3613" s="1564"/>
      <c r="O3613" s="1564"/>
      <c r="P3613" s="1572">
        <v>102.27</v>
      </c>
      <c r="Q3613" s="1572">
        <v>-102.27</v>
      </c>
      <c r="R3613" s="1564"/>
      <c r="S3613" s="1562"/>
    </row>
    <row r="3614" spans="2:19" ht="11.25" customHeight="1" outlineLevel="1">
      <c r="B3614" s="1573">
        <v>33942</v>
      </c>
      <c r="C3614" s="1566" t="s">
        <v>5398</v>
      </c>
      <c r="D3614" s="1566" t="s">
        <v>9664</v>
      </c>
      <c r="E3614" s="1566"/>
      <c r="F3614" s="1566"/>
      <c r="G3614" s="1566"/>
      <c r="H3614" s="1568">
        <v>1</v>
      </c>
      <c r="I3614" s="1566"/>
      <c r="J3614" s="1566"/>
      <c r="K3614" s="1572">
        <v>102</v>
      </c>
      <c r="L3614" s="1572">
        <v>102.27</v>
      </c>
      <c r="M3614" s="1572">
        <v>-102.27</v>
      </c>
      <c r="N3614" s="1564"/>
      <c r="O3614" s="1564"/>
      <c r="P3614" s="1572">
        <v>102.27</v>
      </c>
      <c r="Q3614" s="1572">
        <v>-102.27</v>
      </c>
      <c r="R3614" s="1564"/>
      <c r="S3614" s="1562"/>
    </row>
    <row r="3615" spans="2:19" ht="11.25" customHeight="1" outlineLevel="1">
      <c r="B3615" s="1573">
        <v>33943</v>
      </c>
      <c r="C3615" s="1566" t="s">
        <v>5398</v>
      </c>
      <c r="D3615" s="1566" t="s">
        <v>9663</v>
      </c>
      <c r="E3615" s="1566"/>
      <c r="F3615" s="1566"/>
      <c r="G3615" s="1566"/>
      <c r="H3615" s="1568">
        <v>1</v>
      </c>
      <c r="I3615" s="1566"/>
      <c r="J3615" s="1566"/>
      <c r="K3615" s="1572">
        <v>102</v>
      </c>
      <c r="L3615" s="1572">
        <v>102.27</v>
      </c>
      <c r="M3615" s="1572">
        <v>-102.27</v>
      </c>
      <c r="N3615" s="1564"/>
      <c r="O3615" s="1564"/>
      <c r="P3615" s="1572">
        <v>102.27</v>
      </c>
      <c r="Q3615" s="1572">
        <v>-102.27</v>
      </c>
      <c r="R3615" s="1564"/>
      <c r="S3615" s="1562"/>
    </row>
    <row r="3616" spans="2:19" ht="11.25" customHeight="1" outlineLevel="1">
      <c r="B3616" s="1573">
        <v>33944</v>
      </c>
      <c r="C3616" s="1566" t="s">
        <v>5398</v>
      </c>
      <c r="D3616" s="1566" t="s">
        <v>9662</v>
      </c>
      <c r="E3616" s="1566"/>
      <c r="F3616" s="1566"/>
      <c r="G3616" s="1566"/>
      <c r="H3616" s="1568">
        <v>1</v>
      </c>
      <c r="I3616" s="1566"/>
      <c r="J3616" s="1566"/>
      <c r="K3616" s="1572">
        <v>102</v>
      </c>
      <c r="L3616" s="1572">
        <v>102.27</v>
      </c>
      <c r="M3616" s="1572">
        <v>-102.27</v>
      </c>
      <c r="N3616" s="1564"/>
      <c r="O3616" s="1564"/>
      <c r="P3616" s="1572">
        <v>102.27</v>
      </c>
      <c r="Q3616" s="1572">
        <v>-102.27</v>
      </c>
      <c r="R3616" s="1564"/>
      <c r="S3616" s="1562"/>
    </row>
    <row r="3617" spans="2:19" ht="11.25" customHeight="1" outlineLevel="1">
      <c r="B3617" s="1573">
        <v>33945</v>
      </c>
      <c r="C3617" s="1566" t="s">
        <v>5398</v>
      </c>
      <c r="D3617" s="1566" t="s">
        <v>9661</v>
      </c>
      <c r="E3617" s="1566"/>
      <c r="F3617" s="1566"/>
      <c r="G3617" s="1566"/>
      <c r="H3617" s="1568">
        <v>1</v>
      </c>
      <c r="I3617" s="1566"/>
      <c r="J3617" s="1566"/>
      <c r="K3617" s="1572">
        <v>102</v>
      </c>
      <c r="L3617" s="1572">
        <v>102.27</v>
      </c>
      <c r="M3617" s="1572">
        <v>-102.27</v>
      </c>
      <c r="N3617" s="1564"/>
      <c r="O3617" s="1564"/>
      <c r="P3617" s="1572">
        <v>102.27</v>
      </c>
      <c r="Q3617" s="1572">
        <v>-102.27</v>
      </c>
      <c r="R3617" s="1564"/>
      <c r="S3617" s="1562"/>
    </row>
    <row r="3618" spans="2:19" ht="11.25" customHeight="1" outlineLevel="1">
      <c r="B3618" s="1573">
        <v>34001</v>
      </c>
      <c r="C3618" s="1566" t="s">
        <v>5398</v>
      </c>
      <c r="D3618" s="1566" t="s">
        <v>9660</v>
      </c>
      <c r="E3618" s="1566"/>
      <c r="F3618" s="1566"/>
      <c r="G3618" s="1566"/>
      <c r="H3618" s="1568">
        <v>1</v>
      </c>
      <c r="I3618" s="1566"/>
      <c r="J3618" s="1566"/>
      <c r="K3618" s="1572">
        <v>235</v>
      </c>
      <c r="L3618" s="1572">
        <v>235.33</v>
      </c>
      <c r="M3618" s="1572">
        <v>-235.33</v>
      </c>
      <c r="N3618" s="1564"/>
      <c r="O3618" s="1564"/>
      <c r="P3618" s="1572">
        <v>235.33</v>
      </c>
      <c r="Q3618" s="1572">
        <v>-235.33</v>
      </c>
      <c r="R3618" s="1564"/>
      <c r="S3618" s="1562"/>
    </row>
    <row r="3619" spans="2:19" ht="11.25" customHeight="1" outlineLevel="1">
      <c r="B3619" s="1573">
        <v>34002</v>
      </c>
      <c r="C3619" s="1566" t="s">
        <v>5398</v>
      </c>
      <c r="D3619" s="1566" t="s">
        <v>9659</v>
      </c>
      <c r="E3619" s="1566"/>
      <c r="F3619" s="1566"/>
      <c r="G3619" s="1566"/>
      <c r="H3619" s="1568">
        <v>1</v>
      </c>
      <c r="I3619" s="1566"/>
      <c r="J3619" s="1566"/>
      <c r="K3619" s="1572">
        <v>235</v>
      </c>
      <c r="L3619" s="1572">
        <v>235.33</v>
      </c>
      <c r="M3619" s="1572">
        <v>-235.33</v>
      </c>
      <c r="N3619" s="1564"/>
      <c r="O3619" s="1564"/>
      <c r="P3619" s="1572">
        <v>235.33</v>
      </c>
      <c r="Q3619" s="1572">
        <v>-235.33</v>
      </c>
      <c r="R3619" s="1564"/>
      <c r="S3619" s="1562"/>
    </row>
    <row r="3620" spans="2:19" ht="11.25" customHeight="1" outlineLevel="1">
      <c r="B3620" s="1573">
        <v>34003</v>
      </c>
      <c r="C3620" s="1566" t="s">
        <v>5398</v>
      </c>
      <c r="D3620" s="1566" t="s">
        <v>9658</v>
      </c>
      <c r="E3620" s="1566"/>
      <c r="F3620" s="1566"/>
      <c r="G3620" s="1566"/>
      <c r="H3620" s="1568">
        <v>1</v>
      </c>
      <c r="I3620" s="1566"/>
      <c r="J3620" s="1566"/>
      <c r="K3620" s="1572">
        <v>235</v>
      </c>
      <c r="L3620" s="1572">
        <v>235.33</v>
      </c>
      <c r="M3620" s="1572">
        <v>-235.33</v>
      </c>
      <c r="N3620" s="1564"/>
      <c r="O3620" s="1564"/>
      <c r="P3620" s="1572">
        <v>235.33</v>
      </c>
      <c r="Q3620" s="1572">
        <v>-235.33</v>
      </c>
      <c r="R3620" s="1564"/>
      <c r="S3620" s="1562"/>
    </row>
    <row r="3621" spans="2:19" ht="11.25" customHeight="1" outlineLevel="1">
      <c r="B3621" s="1573">
        <v>34004</v>
      </c>
      <c r="C3621" s="1566" t="s">
        <v>5398</v>
      </c>
      <c r="D3621" s="1566" t="s">
        <v>9657</v>
      </c>
      <c r="E3621" s="1566"/>
      <c r="F3621" s="1566"/>
      <c r="G3621" s="1566"/>
      <c r="H3621" s="1568">
        <v>1</v>
      </c>
      <c r="I3621" s="1566"/>
      <c r="J3621" s="1566"/>
      <c r="K3621" s="1572">
        <v>235</v>
      </c>
      <c r="L3621" s="1572">
        <v>235.33</v>
      </c>
      <c r="M3621" s="1572">
        <v>-235.33</v>
      </c>
      <c r="N3621" s="1564"/>
      <c r="O3621" s="1564"/>
      <c r="P3621" s="1572">
        <v>235.33</v>
      </c>
      <c r="Q3621" s="1572">
        <v>-235.33</v>
      </c>
      <c r="R3621" s="1564"/>
      <c r="S3621" s="1562"/>
    </row>
    <row r="3622" spans="2:19" ht="11.25" customHeight="1" outlineLevel="1">
      <c r="B3622" s="1573">
        <v>34005</v>
      </c>
      <c r="C3622" s="1566" t="s">
        <v>5398</v>
      </c>
      <c r="D3622" s="1566" t="s">
        <v>9656</v>
      </c>
      <c r="E3622" s="1566"/>
      <c r="F3622" s="1566"/>
      <c r="G3622" s="1566"/>
      <c r="H3622" s="1568">
        <v>1</v>
      </c>
      <c r="I3622" s="1566"/>
      <c r="J3622" s="1566"/>
      <c r="K3622" s="1572">
        <v>235</v>
      </c>
      <c r="L3622" s="1572">
        <v>235.33</v>
      </c>
      <c r="M3622" s="1572">
        <v>-235.33</v>
      </c>
      <c r="N3622" s="1564"/>
      <c r="O3622" s="1564"/>
      <c r="P3622" s="1572">
        <v>235.33</v>
      </c>
      <c r="Q3622" s="1572">
        <v>-235.33</v>
      </c>
      <c r="R3622" s="1564"/>
      <c r="S3622" s="1562"/>
    </row>
    <row r="3623" spans="2:19" ht="11.25" customHeight="1" outlineLevel="1">
      <c r="B3623" s="1573">
        <v>34006</v>
      </c>
      <c r="C3623" s="1566" t="s">
        <v>5398</v>
      </c>
      <c r="D3623" s="1566" t="s">
        <v>9655</v>
      </c>
      <c r="E3623" s="1566"/>
      <c r="F3623" s="1566"/>
      <c r="G3623" s="1566"/>
      <c r="H3623" s="1568">
        <v>1</v>
      </c>
      <c r="I3623" s="1566"/>
      <c r="J3623" s="1566"/>
      <c r="K3623" s="1572">
        <v>235</v>
      </c>
      <c r="L3623" s="1572">
        <v>235.33</v>
      </c>
      <c r="M3623" s="1572">
        <v>-235.33</v>
      </c>
      <c r="N3623" s="1564"/>
      <c r="O3623" s="1564"/>
      <c r="P3623" s="1572">
        <v>235.33</v>
      </c>
      <c r="Q3623" s="1572">
        <v>-235.33</v>
      </c>
      <c r="R3623" s="1564"/>
      <c r="S3623" s="1562"/>
    </row>
    <row r="3624" spans="2:19" ht="11.25" customHeight="1" outlineLevel="1">
      <c r="B3624" s="1573">
        <v>34007</v>
      </c>
      <c r="C3624" s="1566" t="s">
        <v>5398</v>
      </c>
      <c r="D3624" s="1566" t="s">
        <v>9654</v>
      </c>
      <c r="E3624" s="1566"/>
      <c r="F3624" s="1566"/>
      <c r="G3624" s="1566"/>
      <c r="H3624" s="1568">
        <v>1</v>
      </c>
      <c r="I3624" s="1566"/>
      <c r="J3624" s="1566"/>
      <c r="K3624" s="1572">
        <v>235</v>
      </c>
      <c r="L3624" s="1572">
        <v>235.33</v>
      </c>
      <c r="M3624" s="1572">
        <v>-235.33</v>
      </c>
      <c r="N3624" s="1564"/>
      <c r="O3624" s="1564"/>
      <c r="P3624" s="1572">
        <v>235.33</v>
      </c>
      <c r="Q3624" s="1572">
        <v>-235.33</v>
      </c>
      <c r="R3624" s="1564"/>
      <c r="S3624" s="1562"/>
    </row>
    <row r="3625" spans="2:19" ht="11.25" customHeight="1" outlineLevel="1">
      <c r="B3625" s="1573">
        <v>34008</v>
      </c>
      <c r="C3625" s="1566" t="s">
        <v>5398</v>
      </c>
      <c r="D3625" s="1566" t="s">
        <v>9653</v>
      </c>
      <c r="E3625" s="1566"/>
      <c r="F3625" s="1566"/>
      <c r="G3625" s="1566"/>
      <c r="H3625" s="1568">
        <v>1</v>
      </c>
      <c r="I3625" s="1566"/>
      <c r="J3625" s="1566"/>
      <c r="K3625" s="1572">
        <v>235</v>
      </c>
      <c r="L3625" s="1572">
        <v>235.33</v>
      </c>
      <c r="M3625" s="1572">
        <v>-235.33</v>
      </c>
      <c r="N3625" s="1564"/>
      <c r="O3625" s="1564"/>
      <c r="P3625" s="1572">
        <v>235.33</v>
      </c>
      <c r="Q3625" s="1572">
        <v>-235.33</v>
      </c>
      <c r="R3625" s="1564"/>
      <c r="S3625" s="1562"/>
    </row>
    <row r="3626" spans="2:19" ht="11.25" customHeight="1" outlineLevel="1">
      <c r="B3626" s="1573">
        <v>34009</v>
      </c>
      <c r="C3626" s="1566" t="s">
        <v>5398</v>
      </c>
      <c r="D3626" s="1566" t="s">
        <v>9652</v>
      </c>
      <c r="E3626" s="1566"/>
      <c r="F3626" s="1566"/>
      <c r="G3626" s="1566"/>
      <c r="H3626" s="1568">
        <v>1</v>
      </c>
      <c r="I3626" s="1566"/>
      <c r="J3626" s="1566"/>
      <c r="K3626" s="1572">
        <v>235</v>
      </c>
      <c r="L3626" s="1572">
        <v>235.33</v>
      </c>
      <c r="M3626" s="1572">
        <v>-235.33</v>
      </c>
      <c r="N3626" s="1564"/>
      <c r="O3626" s="1564"/>
      <c r="P3626" s="1572">
        <v>235.33</v>
      </c>
      <c r="Q3626" s="1572">
        <v>-235.33</v>
      </c>
      <c r="R3626" s="1564"/>
      <c r="S3626" s="1562"/>
    </row>
    <row r="3627" spans="2:19" ht="11.25" customHeight="1" outlineLevel="1">
      <c r="B3627" s="1573">
        <v>34010</v>
      </c>
      <c r="C3627" s="1566" t="s">
        <v>5398</v>
      </c>
      <c r="D3627" s="1566" t="s">
        <v>9651</v>
      </c>
      <c r="E3627" s="1566"/>
      <c r="F3627" s="1566"/>
      <c r="G3627" s="1566"/>
      <c r="H3627" s="1568">
        <v>1</v>
      </c>
      <c r="I3627" s="1566"/>
      <c r="J3627" s="1566"/>
      <c r="K3627" s="1572">
        <v>235</v>
      </c>
      <c r="L3627" s="1572">
        <v>235.33</v>
      </c>
      <c r="M3627" s="1572">
        <v>-235.33</v>
      </c>
      <c r="N3627" s="1564"/>
      <c r="O3627" s="1564"/>
      <c r="P3627" s="1572">
        <v>235.33</v>
      </c>
      <c r="Q3627" s="1572">
        <v>-235.33</v>
      </c>
      <c r="R3627" s="1564"/>
      <c r="S3627" s="1562"/>
    </row>
    <row r="3628" spans="2:19" ht="11.25" customHeight="1" outlineLevel="1">
      <c r="B3628" s="1573">
        <v>34011</v>
      </c>
      <c r="C3628" s="1566" t="s">
        <v>5398</v>
      </c>
      <c r="D3628" s="1566" t="s">
        <v>9650</v>
      </c>
      <c r="E3628" s="1566"/>
      <c r="F3628" s="1566"/>
      <c r="G3628" s="1566"/>
      <c r="H3628" s="1568">
        <v>1</v>
      </c>
      <c r="I3628" s="1566"/>
      <c r="J3628" s="1566"/>
      <c r="K3628" s="1572">
        <v>235</v>
      </c>
      <c r="L3628" s="1572">
        <v>235.33</v>
      </c>
      <c r="M3628" s="1572">
        <v>-235.33</v>
      </c>
      <c r="N3628" s="1564"/>
      <c r="O3628" s="1564"/>
      <c r="P3628" s="1572">
        <v>235.33</v>
      </c>
      <c r="Q3628" s="1572">
        <v>-235.33</v>
      </c>
      <c r="R3628" s="1564"/>
      <c r="S3628" s="1562"/>
    </row>
    <row r="3629" spans="2:19" ht="11.25" customHeight="1" outlineLevel="1">
      <c r="B3629" s="1573">
        <v>34012</v>
      </c>
      <c r="C3629" s="1566" t="s">
        <v>5398</v>
      </c>
      <c r="D3629" s="1566" t="s">
        <v>9649</v>
      </c>
      <c r="E3629" s="1566"/>
      <c r="F3629" s="1566"/>
      <c r="G3629" s="1566"/>
      <c r="H3629" s="1568">
        <v>1</v>
      </c>
      <c r="I3629" s="1566"/>
      <c r="J3629" s="1566"/>
      <c r="K3629" s="1572">
        <v>235</v>
      </c>
      <c r="L3629" s="1572">
        <v>235.33</v>
      </c>
      <c r="M3629" s="1572">
        <v>-235.33</v>
      </c>
      <c r="N3629" s="1564"/>
      <c r="O3629" s="1564"/>
      <c r="P3629" s="1572">
        <v>235.33</v>
      </c>
      <c r="Q3629" s="1572">
        <v>-235.33</v>
      </c>
      <c r="R3629" s="1564"/>
      <c r="S3629" s="1562"/>
    </row>
    <row r="3630" spans="2:19" ht="11.25" customHeight="1" outlineLevel="1">
      <c r="B3630" s="1573">
        <v>34013</v>
      </c>
      <c r="C3630" s="1566" t="s">
        <v>5398</v>
      </c>
      <c r="D3630" s="1566" t="s">
        <v>9648</v>
      </c>
      <c r="E3630" s="1566"/>
      <c r="F3630" s="1566"/>
      <c r="G3630" s="1566"/>
      <c r="H3630" s="1568">
        <v>1</v>
      </c>
      <c r="I3630" s="1566"/>
      <c r="J3630" s="1566"/>
      <c r="K3630" s="1572">
        <v>235</v>
      </c>
      <c r="L3630" s="1572">
        <v>235.33</v>
      </c>
      <c r="M3630" s="1572">
        <v>-235.33</v>
      </c>
      <c r="N3630" s="1564"/>
      <c r="O3630" s="1564"/>
      <c r="P3630" s="1572">
        <v>235.33</v>
      </c>
      <c r="Q3630" s="1572">
        <v>-235.33</v>
      </c>
      <c r="R3630" s="1564"/>
      <c r="S3630" s="1562"/>
    </row>
    <row r="3631" spans="2:19" ht="11.25" customHeight="1" outlineLevel="1">
      <c r="B3631" s="1573">
        <v>34014</v>
      </c>
      <c r="C3631" s="1566" t="s">
        <v>5398</v>
      </c>
      <c r="D3631" s="1566" t="s">
        <v>9647</v>
      </c>
      <c r="E3631" s="1566"/>
      <c r="F3631" s="1566"/>
      <c r="G3631" s="1566"/>
      <c r="H3631" s="1568">
        <v>1</v>
      </c>
      <c r="I3631" s="1566"/>
      <c r="J3631" s="1566"/>
      <c r="K3631" s="1572">
        <v>235</v>
      </c>
      <c r="L3631" s="1572">
        <v>235.33</v>
      </c>
      <c r="M3631" s="1572">
        <v>-235.33</v>
      </c>
      <c r="N3631" s="1564"/>
      <c r="O3631" s="1564"/>
      <c r="P3631" s="1572">
        <v>235.33</v>
      </c>
      <c r="Q3631" s="1572">
        <v>-235.33</v>
      </c>
      <c r="R3631" s="1564"/>
      <c r="S3631" s="1562"/>
    </row>
    <row r="3632" spans="2:19" ht="11.25" customHeight="1" outlineLevel="1">
      <c r="B3632" s="1573">
        <v>34034</v>
      </c>
      <c r="C3632" s="1566" t="s">
        <v>5398</v>
      </c>
      <c r="D3632" s="1566" t="s">
        <v>9646</v>
      </c>
      <c r="E3632" s="1566"/>
      <c r="F3632" s="1566"/>
      <c r="G3632" s="1566"/>
      <c r="H3632" s="1568">
        <v>1</v>
      </c>
      <c r="I3632" s="1566"/>
      <c r="J3632" s="1566"/>
      <c r="K3632" s="1572">
        <v>534</v>
      </c>
      <c r="L3632" s="1572">
        <v>533.97</v>
      </c>
      <c r="M3632" s="1572">
        <v>-533.97</v>
      </c>
      <c r="N3632" s="1564"/>
      <c r="O3632" s="1564"/>
      <c r="P3632" s="1572">
        <v>533.97</v>
      </c>
      <c r="Q3632" s="1572">
        <v>-533.97</v>
      </c>
      <c r="R3632" s="1564"/>
      <c r="S3632" s="1562"/>
    </row>
    <row r="3633" spans="2:19" ht="11.25" customHeight="1" outlineLevel="1">
      <c r="B3633" s="1573">
        <v>34035</v>
      </c>
      <c r="C3633" s="1566" t="s">
        <v>5398</v>
      </c>
      <c r="D3633" s="1566" t="s">
        <v>9645</v>
      </c>
      <c r="E3633" s="1566"/>
      <c r="F3633" s="1566"/>
      <c r="G3633" s="1566"/>
      <c r="H3633" s="1568">
        <v>1</v>
      </c>
      <c r="I3633" s="1566"/>
      <c r="J3633" s="1566"/>
      <c r="K3633" s="1572">
        <v>534</v>
      </c>
      <c r="L3633" s="1572">
        <v>533.97</v>
      </c>
      <c r="M3633" s="1572">
        <v>-533.97</v>
      </c>
      <c r="N3633" s="1564"/>
      <c r="O3633" s="1564"/>
      <c r="P3633" s="1572">
        <v>533.97</v>
      </c>
      <c r="Q3633" s="1572">
        <v>-533.97</v>
      </c>
      <c r="R3633" s="1564"/>
      <c r="S3633" s="1562"/>
    </row>
    <row r="3634" spans="2:19" ht="11.25" customHeight="1" outlineLevel="1">
      <c r="B3634" s="1573">
        <v>34036</v>
      </c>
      <c r="C3634" s="1566" t="s">
        <v>5398</v>
      </c>
      <c r="D3634" s="1566" t="s">
        <v>9644</v>
      </c>
      <c r="E3634" s="1566"/>
      <c r="F3634" s="1566"/>
      <c r="G3634" s="1566"/>
      <c r="H3634" s="1568">
        <v>1</v>
      </c>
      <c r="I3634" s="1566"/>
      <c r="J3634" s="1566"/>
      <c r="K3634" s="1572">
        <v>534</v>
      </c>
      <c r="L3634" s="1572">
        <v>533.97</v>
      </c>
      <c r="M3634" s="1572">
        <v>-533.97</v>
      </c>
      <c r="N3634" s="1564"/>
      <c r="O3634" s="1564"/>
      <c r="P3634" s="1572">
        <v>533.97</v>
      </c>
      <c r="Q3634" s="1572">
        <v>-533.97</v>
      </c>
      <c r="R3634" s="1564"/>
      <c r="S3634" s="1562"/>
    </row>
    <row r="3635" spans="2:19" ht="11.25" customHeight="1" outlineLevel="1">
      <c r="B3635" s="1573">
        <v>34037</v>
      </c>
      <c r="C3635" s="1566" t="s">
        <v>5398</v>
      </c>
      <c r="D3635" s="1566" t="s">
        <v>9643</v>
      </c>
      <c r="E3635" s="1566"/>
      <c r="F3635" s="1566"/>
      <c r="G3635" s="1566"/>
      <c r="H3635" s="1568">
        <v>1</v>
      </c>
      <c r="I3635" s="1566"/>
      <c r="J3635" s="1566"/>
      <c r="K3635" s="1572">
        <v>534</v>
      </c>
      <c r="L3635" s="1572">
        <v>533.97</v>
      </c>
      <c r="M3635" s="1572">
        <v>-533.97</v>
      </c>
      <c r="N3635" s="1564"/>
      <c r="O3635" s="1564"/>
      <c r="P3635" s="1572">
        <v>533.97</v>
      </c>
      <c r="Q3635" s="1572">
        <v>-533.97</v>
      </c>
      <c r="R3635" s="1564"/>
      <c r="S3635" s="1562"/>
    </row>
    <row r="3636" spans="2:19" ht="11.25" customHeight="1" outlineLevel="1">
      <c r="B3636" s="1573">
        <v>34038</v>
      </c>
      <c r="C3636" s="1566" t="s">
        <v>5398</v>
      </c>
      <c r="D3636" s="1566" t="s">
        <v>9642</v>
      </c>
      <c r="E3636" s="1566"/>
      <c r="F3636" s="1566"/>
      <c r="G3636" s="1566"/>
      <c r="H3636" s="1568">
        <v>1</v>
      </c>
      <c r="I3636" s="1566"/>
      <c r="J3636" s="1566"/>
      <c r="K3636" s="1572">
        <v>534</v>
      </c>
      <c r="L3636" s="1572">
        <v>533.97</v>
      </c>
      <c r="M3636" s="1572">
        <v>-533.97</v>
      </c>
      <c r="N3636" s="1564"/>
      <c r="O3636" s="1564"/>
      <c r="P3636" s="1572">
        <v>533.97</v>
      </c>
      <c r="Q3636" s="1572">
        <v>-533.97</v>
      </c>
      <c r="R3636" s="1564"/>
      <c r="S3636" s="1562"/>
    </row>
    <row r="3637" spans="2:19" ht="11.25" customHeight="1" outlineLevel="1">
      <c r="B3637" s="1573">
        <v>34039</v>
      </c>
      <c r="C3637" s="1566" t="s">
        <v>5398</v>
      </c>
      <c r="D3637" s="1566" t="s">
        <v>9641</v>
      </c>
      <c r="E3637" s="1566"/>
      <c r="F3637" s="1566"/>
      <c r="G3637" s="1566"/>
      <c r="H3637" s="1568">
        <v>1</v>
      </c>
      <c r="I3637" s="1566"/>
      <c r="J3637" s="1566"/>
      <c r="K3637" s="1572">
        <v>534</v>
      </c>
      <c r="L3637" s="1572">
        <v>533.97</v>
      </c>
      <c r="M3637" s="1572">
        <v>-533.97</v>
      </c>
      <c r="N3637" s="1564"/>
      <c r="O3637" s="1564"/>
      <c r="P3637" s="1572">
        <v>533.97</v>
      </c>
      <c r="Q3637" s="1572">
        <v>-533.97</v>
      </c>
      <c r="R3637" s="1564"/>
      <c r="S3637" s="1562"/>
    </row>
    <row r="3638" spans="2:19" ht="11.25" customHeight="1" outlineLevel="1">
      <c r="B3638" s="1573">
        <v>34040</v>
      </c>
      <c r="C3638" s="1566" t="s">
        <v>5398</v>
      </c>
      <c r="D3638" s="1566" t="s">
        <v>9640</v>
      </c>
      <c r="E3638" s="1566"/>
      <c r="F3638" s="1566"/>
      <c r="G3638" s="1566"/>
      <c r="H3638" s="1568">
        <v>1</v>
      </c>
      <c r="I3638" s="1566"/>
      <c r="J3638" s="1566"/>
      <c r="K3638" s="1572">
        <v>534</v>
      </c>
      <c r="L3638" s="1572">
        <v>533.97</v>
      </c>
      <c r="M3638" s="1572">
        <v>-533.97</v>
      </c>
      <c r="N3638" s="1564"/>
      <c r="O3638" s="1564"/>
      <c r="P3638" s="1572">
        <v>533.97</v>
      </c>
      <c r="Q3638" s="1572">
        <v>-533.97</v>
      </c>
      <c r="R3638" s="1564"/>
      <c r="S3638" s="1562"/>
    </row>
    <row r="3639" spans="2:19" ht="11.25" customHeight="1" outlineLevel="1">
      <c r="B3639" s="1573">
        <v>34041</v>
      </c>
      <c r="C3639" s="1566" t="s">
        <v>5398</v>
      </c>
      <c r="D3639" s="1566" t="s">
        <v>9639</v>
      </c>
      <c r="E3639" s="1566"/>
      <c r="F3639" s="1566"/>
      <c r="G3639" s="1566"/>
      <c r="H3639" s="1568">
        <v>1</v>
      </c>
      <c r="I3639" s="1566"/>
      <c r="J3639" s="1566"/>
      <c r="K3639" s="1572">
        <v>534</v>
      </c>
      <c r="L3639" s="1572">
        <v>533.97</v>
      </c>
      <c r="M3639" s="1572">
        <v>-533.97</v>
      </c>
      <c r="N3639" s="1564"/>
      <c r="O3639" s="1564"/>
      <c r="P3639" s="1572">
        <v>533.97</v>
      </c>
      <c r="Q3639" s="1572">
        <v>-533.97</v>
      </c>
      <c r="R3639" s="1564"/>
      <c r="S3639" s="1562"/>
    </row>
    <row r="3640" spans="2:19" ht="11.25" customHeight="1" outlineLevel="1">
      <c r="B3640" s="1573">
        <v>34042</v>
      </c>
      <c r="C3640" s="1566" t="s">
        <v>5398</v>
      </c>
      <c r="D3640" s="1566" t="s">
        <v>9638</v>
      </c>
      <c r="E3640" s="1566"/>
      <c r="F3640" s="1566"/>
      <c r="G3640" s="1566"/>
      <c r="H3640" s="1568">
        <v>1</v>
      </c>
      <c r="I3640" s="1566"/>
      <c r="J3640" s="1566"/>
      <c r="K3640" s="1572">
        <v>534</v>
      </c>
      <c r="L3640" s="1572">
        <v>533.97</v>
      </c>
      <c r="M3640" s="1572">
        <v>-533.97</v>
      </c>
      <c r="N3640" s="1564"/>
      <c r="O3640" s="1564"/>
      <c r="P3640" s="1572">
        <v>533.97</v>
      </c>
      <c r="Q3640" s="1572">
        <v>-533.97</v>
      </c>
      <c r="R3640" s="1564"/>
      <c r="S3640" s="1562"/>
    </row>
    <row r="3641" spans="2:19" ht="11.25" customHeight="1" outlineLevel="1">
      <c r="B3641" s="1573">
        <v>34043</v>
      </c>
      <c r="C3641" s="1566" t="s">
        <v>5398</v>
      </c>
      <c r="D3641" s="1566" t="s">
        <v>9637</v>
      </c>
      <c r="E3641" s="1566"/>
      <c r="F3641" s="1566"/>
      <c r="G3641" s="1566"/>
      <c r="H3641" s="1568">
        <v>1</v>
      </c>
      <c r="I3641" s="1566"/>
      <c r="J3641" s="1566"/>
      <c r="K3641" s="1572">
        <v>534</v>
      </c>
      <c r="L3641" s="1572">
        <v>533.97</v>
      </c>
      <c r="M3641" s="1572">
        <v>-533.97</v>
      </c>
      <c r="N3641" s="1564"/>
      <c r="O3641" s="1564"/>
      <c r="P3641" s="1572">
        <v>533.97</v>
      </c>
      <c r="Q3641" s="1572">
        <v>-533.97</v>
      </c>
      <c r="R3641" s="1564"/>
      <c r="S3641" s="1562"/>
    </row>
    <row r="3642" spans="2:19" ht="11.25" customHeight="1" outlineLevel="1">
      <c r="B3642" s="1573">
        <v>34044</v>
      </c>
      <c r="C3642" s="1566" t="s">
        <v>5398</v>
      </c>
      <c r="D3642" s="1566" t="s">
        <v>9636</v>
      </c>
      <c r="E3642" s="1566"/>
      <c r="F3642" s="1566"/>
      <c r="G3642" s="1566"/>
      <c r="H3642" s="1568">
        <v>1</v>
      </c>
      <c r="I3642" s="1566"/>
      <c r="J3642" s="1566"/>
      <c r="K3642" s="1572">
        <v>534</v>
      </c>
      <c r="L3642" s="1572">
        <v>533.97</v>
      </c>
      <c r="M3642" s="1572">
        <v>-533.97</v>
      </c>
      <c r="N3642" s="1564"/>
      <c r="O3642" s="1564"/>
      <c r="P3642" s="1572">
        <v>533.97</v>
      </c>
      <c r="Q3642" s="1572">
        <v>-533.97</v>
      </c>
      <c r="R3642" s="1564"/>
      <c r="S3642" s="1562"/>
    </row>
    <row r="3643" spans="2:19" ht="11.25" customHeight="1" outlineLevel="1">
      <c r="B3643" s="1573">
        <v>34045</v>
      </c>
      <c r="C3643" s="1566" t="s">
        <v>5398</v>
      </c>
      <c r="D3643" s="1566" t="s">
        <v>9635</v>
      </c>
      <c r="E3643" s="1566"/>
      <c r="F3643" s="1566"/>
      <c r="G3643" s="1566"/>
      <c r="H3643" s="1568">
        <v>1</v>
      </c>
      <c r="I3643" s="1566"/>
      <c r="J3643" s="1566"/>
      <c r="K3643" s="1572">
        <v>534</v>
      </c>
      <c r="L3643" s="1572">
        <v>533.97</v>
      </c>
      <c r="M3643" s="1572">
        <v>-533.97</v>
      </c>
      <c r="N3643" s="1564"/>
      <c r="O3643" s="1564"/>
      <c r="P3643" s="1572">
        <v>533.97</v>
      </c>
      <c r="Q3643" s="1572">
        <v>-533.97</v>
      </c>
      <c r="R3643" s="1564"/>
      <c r="S3643" s="1562"/>
    </row>
    <row r="3644" spans="2:19" ht="11.25" customHeight="1" outlineLevel="1">
      <c r="B3644" s="1573">
        <v>34046</v>
      </c>
      <c r="C3644" s="1566" t="s">
        <v>5398</v>
      </c>
      <c r="D3644" s="1566" t="s">
        <v>9634</v>
      </c>
      <c r="E3644" s="1566"/>
      <c r="F3644" s="1566"/>
      <c r="G3644" s="1566"/>
      <c r="H3644" s="1568">
        <v>1</v>
      </c>
      <c r="I3644" s="1566"/>
      <c r="J3644" s="1566"/>
      <c r="K3644" s="1572">
        <v>534</v>
      </c>
      <c r="L3644" s="1572">
        <v>533.97</v>
      </c>
      <c r="M3644" s="1572">
        <v>-533.97</v>
      </c>
      <c r="N3644" s="1564"/>
      <c r="O3644" s="1564"/>
      <c r="P3644" s="1572">
        <v>533.97</v>
      </c>
      <c r="Q3644" s="1572">
        <v>-533.97</v>
      </c>
      <c r="R3644" s="1564"/>
      <c r="S3644" s="1562"/>
    </row>
    <row r="3645" spans="2:19" ht="11.25" customHeight="1" outlineLevel="1">
      <c r="B3645" s="1573">
        <v>34047</v>
      </c>
      <c r="C3645" s="1566" t="s">
        <v>5398</v>
      </c>
      <c r="D3645" s="1566" t="s">
        <v>9633</v>
      </c>
      <c r="E3645" s="1566"/>
      <c r="F3645" s="1566"/>
      <c r="G3645" s="1566"/>
      <c r="H3645" s="1568">
        <v>1</v>
      </c>
      <c r="I3645" s="1566"/>
      <c r="J3645" s="1566"/>
      <c r="K3645" s="1572">
        <v>534</v>
      </c>
      <c r="L3645" s="1572">
        <v>533.97</v>
      </c>
      <c r="M3645" s="1572">
        <v>-533.97</v>
      </c>
      <c r="N3645" s="1564"/>
      <c r="O3645" s="1564"/>
      <c r="P3645" s="1572">
        <v>533.97</v>
      </c>
      <c r="Q3645" s="1572">
        <v>-533.97</v>
      </c>
      <c r="R3645" s="1564"/>
      <c r="S3645" s="1562"/>
    </row>
    <row r="3646" spans="2:19" ht="11.25" customHeight="1" outlineLevel="1">
      <c r="B3646" s="1573">
        <v>34048</v>
      </c>
      <c r="C3646" s="1566" t="s">
        <v>5398</v>
      </c>
      <c r="D3646" s="1566" t="s">
        <v>9632</v>
      </c>
      <c r="E3646" s="1566"/>
      <c r="F3646" s="1566"/>
      <c r="G3646" s="1566"/>
      <c r="H3646" s="1568">
        <v>1</v>
      </c>
      <c r="I3646" s="1566"/>
      <c r="J3646" s="1566"/>
      <c r="K3646" s="1572">
        <v>534</v>
      </c>
      <c r="L3646" s="1572">
        <v>533.97</v>
      </c>
      <c r="M3646" s="1572">
        <v>-533.97</v>
      </c>
      <c r="N3646" s="1564"/>
      <c r="O3646" s="1564"/>
      <c r="P3646" s="1572">
        <v>533.97</v>
      </c>
      <c r="Q3646" s="1572">
        <v>-533.97</v>
      </c>
      <c r="R3646" s="1564"/>
      <c r="S3646" s="1562"/>
    </row>
    <row r="3647" spans="2:19" ht="11.25" customHeight="1" outlineLevel="1">
      <c r="B3647" s="1573">
        <v>34049</v>
      </c>
      <c r="C3647" s="1566" t="s">
        <v>5398</v>
      </c>
      <c r="D3647" s="1566" t="s">
        <v>9631</v>
      </c>
      <c r="E3647" s="1566"/>
      <c r="F3647" s="1566"/>
      <c r="G3647" s="1566"/>
      <c r="H3647" s="1568">
        <v>1</v>
      </c>
      <c r="I3647" s="1566"/>
      <c r="J3647" s="1566"/>
      <c r="K3647" s="1572">
        <v>534</v>
      </c>
      <c r="L3647" s="1572">
        <v>533.97</v>
      </c>
      <c r="M3647" s="1572">
        <v>-533.97</v>
      </c>
      <c r="N3647" s="1564"/>
      <c r="O3647" s="1564"/>
      <c r="P3647" s="1572">
        <v>533.97</v>
      </c>
      <c r="Q3647" s="1572">
        <v>-533.97</v>
      </c>
      <c r="R3647" s="1564"/>
      <c r="S3647" s="1562"/>
    </row>
    <row r="3648" spans="2:19" ht="11.25" customHeight="1" outlineLevel="1">
      <c r="B3648" s="1573">
        <v>34050</v>
      </c>
      <c r="C3648" s="1566" t="s">
        <v>5398</v>
      </c>
      <c r="D3648" s="1566" t="s">
        <v>9630</v>
      </c>
      <c r="E3648" s="1566"/>
      <c r="F3648" s="1566"/>
      <c r="G3648" s="1566"/>
      <c r="H3648" s="1568">
        <v>1</v>
      </c>
      <c r="I3648" s="1566"/>
      <c r="J3648" s="1566"/>
      <c r="K3648" s="1572">
        <v>534</v>
      </c>
      <c r="L3648" s="1572">
        <v>533.97</v>
      </c>
      <c r="M3648" s="1572">
        <v>-533.97</v>
      </c>
      <c r="N3648" s="1564"/>
      <c r="O3648" s="1564"/>
      <c r="P3648" s="1572">
        <v>533.97</v>
      </c>
      <c r="Q3648" s="1572">
        <v>-533.97</v>
      </c>
      <c r="R3648" s="1564"/>
      <c r="S3648" s="1562"/>
    </row>
    <row r="3649" spans="2:19" ht="11.25" customHeight="1" outlineLevel="1">
      <c r="B3649" s="1573">
        <v>34051</v>
      </c>
      <c r="C3649" s="1566" t="s">
        <v>5398</v>
      </c>
      <c r="D3649" s="1566" t="s">
        <v>9629</v>
      </c>
      <c r="E3649" s="1566"/>
      <c r="F3649" s="1566"/>
      <c r="G3649" s="1566"/>
      <c r="H3649" s="1568">
        <v>1</v>
      </c>
      <c r="I3649" s="1566"/>
      <c r="J3649" s="1566"/>
      <c r="K3649" s="1572">
        <v>534</v>
      </c>
      <c r="L3649" s="1572">
        <v>533.97</v>
      </c>
      <c r="M3649" s="1572">
        <v>-533.97</v>
      </c>
      <c r="N3649" s="1564"/>
      <c r="O3649" s="1564"/>
      <c r="P3649" s="1572">
        <v>533.97</v>
      </c>
      <c r="Q3649" s="1572">
        <v>-533.97</v>
      </c>
      <c r="R3649" s="1564"/>
      <c r="S3649" s="1562"/>
    </row>
    <row r="3650" spans="2:19" ht="11.25" customHeight="1" outlineLevel="1">
      <c r="B3650" s="1573">
        <v>34052</v>
      </c>
      <c r="C3650" s="1566" t="s">
        <v>5398</v>
      </c>
      <c r="D3650" s="1566" t="s">
        <v>9628</v>
      </c>
      <c r="E3650" s="1566"/>
      <c r="F3650" s="1566"/>
      <c r="G3650" s="1566"/>
      <c r="H3650" s="1568">
        <v>1</v>
      </c>
      <c r="I3650" s="1566"/>
      <c r="J3650" s="1566"/>
      <c r="K3650" s="1572">
        <v>534</v>
      </c>
      <c r="L3650" s="1572">
        <v>533.97</v>
      </c>
      <c r="M3650" s="1572">
        <v>-533.97</v>
      </c>
      <c r="N3650" s="1564"/>
      <c r="O3650" s="1564"/>
      <c r="P3650" s="1572">
        <v>533.97</v>
      </c>
      <c r="Q3650" s="1572">
        <v>-533.97</v>
      </c>
      <c r="R3650" s="1564"/>
      <c r="S3650" s="1562"/>
    </row>
    <row r="3651" spans="2:19" ht="11.25" customHeight="1" outlineLevel="1">
      <c r="B3651" s="1573">
        <v>34053</v>
      </c>
      <c r="C3651" s="1566" t="s">
        <v>5398</v>
      </c>
      <c r="D3651" s="1566" t="s">
        <v>9627</v>
      </c>
      <c r="E3651" s="1566"/>
      <c r="F3651" s="1566"/>
      <c r="G3651" s="1566"/>
      <c r="H3651" s="1568">
        <v>1</v>
      </c>
      <c r="I3651" s="1566"/>
      <c r="J3651" s="1566"/>
      <c r="K3651" s="1572">
        <v>534</v>
      </c>
      <c r="L3651" s="1572">
        <v>533.97</v>
      </c>
      <c r="M3651" s="1572">
        <v>-533.97</v>
      </c>
      <c r="N3651" s="1564"/>
      <c r="O3651" s="1564"/>
      <c r="P3651" s="1572">
        <v>533.97</v>
      </c>
      <c r="Q3651" s="1572">
        <v>-533.97</v>
      </c>
      <c r="R3651" s="1564"/>
      <c r="S3651" s="1562"/>
    </row>
    <row r="3652" spans="2:19" ht="11.25" customHeight="1" outlineLevel="1">
      <c r="B3652" s="1573">
        <v>34054</v>
      </c>
      <c r="C3652" s="1566" t="s">
        <v>5398</v>
      </c>
      <c r="D3652" s="1566" t="s">
        <v>9626</v>
      </c>
      <c r="E3652" s="1566"/>
      <c r="F3652" s="1566"/>
      <c r="G3652" s="1566"/>
      <c r="H3652" s="1568">
        <v>1</v>
      </c>
      <c r="I3652" s="1566"/>
      <c r="J3652" s="1566"/>
      <c r="K3652" s="1572">
        <v>534</v>
      </c>
      <c r="L3652" s="1572">
        <v>533.97</v>
      </c>
      <c r="M3652" s="1572">
        <v>-533.97</v>
      </c>
      <c r="N3652" s="1564"/>
      <c r="O3652" s="1564"/>
      <c r="P3652" s="1572">
        <v>533.97</v>
      </c>
      <c r="Q3652" s="1572">
        <v>-533.97</v>
      </c>
      <c r="R3652" s="1564"/>
      <c r="S3652" s="1562"/>
    </row>
    <row r="3653" spans="2:19" ht="11.25" customHeight="1" outlineLevel="1">
      <c r="B3653" s="1573">
        <v>34055</v>
      </c>
      <c r="C3653" s="1566" t="s">
        <v>5398</v>
      </c>
      <c r="D3653" s="1566" t="s">
        <v>9625</v>
      </c>
      <c r="E3653" s="1566"/>
      <c r="F3653" s="1566"/>
      <c r="G3653" s="1566"/>
      <c r="H3653" s="1568">
        <v>1</v>
      </c>
      <c r="I3653" s="1566"/>
      <c r="J3653" s="1566"/>
      <c r="K3653" s="1572">
        <v>534</v>
      </c>
      <c r="L3653" s="1572">
        <v>533.97</v>
      </c>
      <c r="M3653" s="1572">
        <v>-533.97</v>
      </c>
      <c r="N3653" s="1564"/>
      <c r="O3653" s="1564"/>
      <c r="P3653" s="1572">
        <v>533.97</v>
      </c>
      <c r="Q3653" s="1572">
        <v>-533.97</v>
      </c>
      <c r="R3653" s="1564"/>
      <c r="S3653" s="1562"/>
    </row>
    <row r="3654" spans="2:19" ht="11.25" customHeight="1" outlineLevel="1">
      <c r="B3654" s="1573">
        <v>34056</v>
      </c>
      <c r="C3654" s="1566" t="s">
        <v>5398</v>
      </c>
      <c r="D3654" s="1566" t="s">
        <v>9624</v>
      </c>
      <c r="E3654" s="1566"/>
      <c r="F3654" s="1566"/>
      <c r="G3654" s="1566"/>
      <c r="H3654" s="1568">
        <v>1</v>
      </c>
      <c r="I3654" s="1566"/>
      <c r="J3654" s="1566"/>
      <c r="K3654" s="1572">
        <v>534</v>
      </c>
      <c r="L3654" s="1572">
        <v>533.97</v>
      </c>
      <c r="M3654" s="1572">
        <v>-533.97</v>
      </c>
      <c r="N3654" s="1564"/>
      <c r="O3654" s="1564"/>
      <c r="P3654" s="1572">
        <v>533.97</v>
      </c>
      <c r="Q3654" s="1572">
        <v>-533.97</v>
      </c>
      <c r="R3654" s="1564"/>
      <c r="S3654" s="1562"/>
    </row>
    <row r="3655" spans="2:19" ht="11.25" customHeight="1" outlineLevel="1">
      <c r="B3655" s="1573">
        <v>34057</v>
      </c>
      <c r="C3655" s="1566" t="s">
        <v>5398</v>
      </c>
      <c r="D3655" s="1566" t="s">
        <v>9623</v>
      </c>
      <c r="E3655" s="1566"/>
      <c r="F3655" s="1566"/>
      <c r="G3655" s="1566"/>
      <c r="H3655" s="1568">
        <v>1</v>
      </c>
      <c r="I3655" s="1566"/>
      <c r="J3655" s="1566"/>
      <c r="K3655" s="1572">
        <v>534</v>
      </c>
      <c r="L3655" s="1572">
        <v>533.97</v>
      </c>
      <c r="M3655" s="1572">
        <v>-533.97</v>
      </c>
      <c r="N3655" s="1564"/>
      <c r="O3655" s="1564"/>
      <c r="P3655" s="1572">
        <v>533.97</v>
      </c>
      <c r="Q3655" s="1572">
        <v>-533.97</v>
      </c>
      <c r="R3655" s="1564"/>
      <c r="S3655" s="1562"/>
    </row>
    <row r="3656" spans="2:19" ht="11.25" customHeight="1" outlineLevel="1">
      <c r="B3656" s="1573">
        <v>34058</v>
      </c>
      <c r="C3656" s="1566" t="s">
        <v>5398</v>
      </c>
      <c r="D3656" s="1566" t="s">
        <v>9622</v>
      </c>
      <c r="E3656" s="1566"/>
      <c r="F3656" s="1566"/>
      <c r="G3656" s="1566"/>
      <c r="H3656" s="1568">
        <v>1</v>
      </c>
      <c r="I3656" s="1566"/>
      <c r="J3656" s="1566"/>
      <c r="K3656" s="1572">
        <v>534</v>
      </c>
      <c r="L3656" s="1572">
        <v>533.97</v>
      </c>
      <c r="M3656" s="1572">
        <v>-533.97</v>
      </c>
      <c r="N3656" s="1564"/>
      <c r="O3656" s="1564"/>
      <c r="P3656" s="1572">
        <v>533.97</v>
      </c>
      <c r="Q3656" s="1572">
        <v>-533.97</v>
      </c>
      <c r="R3656" s="1564"/>
      <c r="S3656" s="1562"/>
    </row>
    <row r="3657" spans="2:19" ht="11.25" customHeight="1" outlineLevel="1">
      <c r="B3657" s="1573">
        <v>34059</v>
      </c>
      <c r="C3657" s="1566" t="s">
        <v>5398</v>
      </c>
      <c r="D3657" s="1566" t="s">
        <v>9621</v>
      </c>
      <c r="E3657" s="1566"/>
      <c r="F3657" s="1566"/>
      <c r="G3657" s="1566"/>
      <c r="H3657" s="1568">
        <v>1</v>
      </c>
      <c r="I3657" s="1566"/>
      <c r="J3657" s="1566"/>
      <c r="K3657" s="1572">
        <v>534</v>
      </c>
      <c r="L3657" s="1572">
        <v>533.97</v>
      </c>
      <c r="M3657" s="1572">
        <v>-533.97</v>
      </c>
      <c r="N3657" s="1564"/>
      <c r="O3657" s="1564"/>
      <c r="P3657" s="1572">
        <v>533.97</v>
      </c>
      <c r="Q3657" s="1572">
        <v>-533.97</v>
      </c>
      <c r="R3657" s="1564"/>
      <c r="S3657" s="1562"/>
    </row>
    <row r="3658" spans="2:19" ht="11.25" customHeight="1" outlineLevel="1">
      <c r="B3658" s="1573">
        <v>34060</v>
      </c>
      <c r="C3658" s="1566" t="s">
        <v>5398</v>
      </c>
      <c r="D3658" s="1566" t="s">
        <v>9620</v>
      </c>
      <c r="E3658" s="1566"/>
      <c r="F3658" s="1566"/>
      <c r="G3658" s="1566"/>
      <c r="H3658" s="1568">
        <v>1</v>
      </c>
      <c r="I3658" s="1566"/>
      <c r="J3658" s="1566"/>
      <c r="K3658" s="1572">
        <v>534</v>
      </c>
      <c r="L3658" s="1572">
        <v>533.97</v>
      </c>
      <c r="M3658" s="1572">
        <v>-533.97</v>
      </c>
      <c r="N3658" s="1564"/>
      <c r="O3658" s="1564"/>
      <c r="P3658" s="1572">
        <v>533.97</v>
      </c>
      <c r="Q3658" s="1572">
        <v>-533.97</v>
      </c>
      <c r="R3658" s="1564"/>
      <c r="S3658" s="1562"/>
    </row>
    <row r="3659" spans="2:19" ht="11.25" customHeight="1" outlineLevel="1">
      <c r="B3659" s="1573">
        <v>34061</v>
      </c>
      <c r="C3659" s="1566" t="s">
        <v>5398</v>
      </c>
      <c r="D3659" s="1566" t="s">
        <v>9619</v>
      </c>
      <c r="E3659" s="1566"/>
      <c r="F3659" s="1566"/>
      <c r="G3659" s="1566"/>
      <c r="H3659" s="1568">
        <v>1</v>
      </c>
      <c r="I3659" s="1566"/>
      <c r="J3659" s="1566"/>
      <c r="K3659" s="1572">
        <v>534</v>
      </c>
      <c r="L3659" s="1572">
        <v>533.97</v>
      </c>
      <c r="M3659" s="1572">
        <v>-533.97</v>
      </c>
      <c r="N3659" s="1564"/>
      <c r="O3659" s="1564"/>
      <c r="P3659" s="1572">
        <v>533.97</v>
      </c>
      <c r="Q3659" s="1572">
        <v>-533.97</v>
      </c>
      <c r="R3659" s="1564"/>
      <c r="S3659" s="1562"/>
    </row>
    <row r="3660" spans="2:19" ht="11.25" customHeight="1" outlineLevel="1">
      <c r="B3660" s="1573">
        <v>34062</v>
      </c>
      <c r="C3660" s="1566" t="s">
        <v>5398</v>
      </c>
      <c r="D3660" s="1566" t="s">
        <v>9618</v>
      </c>
      <c r="E3660" s="1566"/>
      <c r="F3660" s="1566"/>
      <c r="G3660" s="1566"/>
      <c r="H3660" s="1568">
        <v>1</v>
      </c>
      <c r="I3660" s="1566"/>
      <c r="J3660" s="1566"/>
      <c r="K3660" s="1572">
        <v>534</v>
      </c>
      <c r="L3660" s="1572">
        <v>533.97</v>
      </c>
      <c r="M3660" s="1572">
        <v>-533.97</v>
      </c>
      <c r="N3660" s="1564"/>
      <c r="O3660" s="1564"/>
      <c r="P3660" s="1572">
        <v>533.97</v>
      </c>
      <c r="Q3660" s="1572">
        <v>-533.97</v>
      </c>
      <c r="R3660" s="1564"/>
      <c r="S3660" s="1562"/>
    </row>
    <row r="3661" spans="2:19" ht="11.25" customHeight="1" outlineLevel="1">
      <c r="B3661" s="1573">
        <v>34063</v>
      </c>
      <c r="C3661" s="1566" t="s">
        <v>5398</v>
      </c>
      <c r="D3661" s="1566" t="s">
        <v>9617</v>
      </c>
      <c r="E3661" s="1566"/>
      <c r="F3661" s="1566"/>
      <c r="G3661" s="1566"/>
      <c r="H3661" s="1568">
        <v>1</v>
      </c>
      <c r="I3661" s="1566"/>
      <c r="J3661" s="1566"/>
      <c r="K3661" s="1572">
        <v>534</v>
      </c>
      <c r="L3661" s="1572">
        <v>533.97</v>
      </c>
      <c r="M3661" s="1572">
        <v>-533.97</v>
      </c>
      <c r="N3661" s="1564"/>
      <c r="O3661" s="1564"/>
      <c r="P3661" s="1572">
        <v>533.97</v>
      </c>
      <c r="Q3661" s="1572">
        <v>-533.97</v>
      </c>
      <c r="R3661" s="1564"/>
      <c r="S3661" s="1562"/>
    </row>
    <row r="3662" spans="2:19" ht="11.25" customHeight="1" outlineLevel="1">
      <c r="B3662" s="1573">
        <v>34064</v>
      </c>
      <c r="C3662" s="1566" t="s">
        <v>5398</v>
      </c>
      <c r="D3662" s="1566" t="s">
        <v>9616</v>
      </c>
      <c r="E3662" s="1566"/>
      <c r="F3662" s="1566"/>
      <c r="G3662" s="1566"/>
      <c r="H3662" s="1568">
        <v>1</v>
      </c>
      <c r="I3662" s="1566"/>
      <c r="J3662" s="1566"/>
      <c r="K3662" s="1572">
        <v>534</v>
      </c>
      <c r="L3662" s="1572">
        <v>533.97</v>
      </c>
      <c r="M3662" s="1572">
        <v>-533.97</v>
      </c>
      <c r="N3662" s="1564"/>
      <c r="O3662" s="1564"/>
      <c r="P3662" s="1572">
        <v>533.97</v>
      </c>
      <c r="Q3662" s="1572">
        <v>-533.97</v>
      </c>
      <c r="R3662" s="1564"/>
      <c r="S3662" s="1562"/>
    </row>
    <row r="3663" spans="2:19" ht="11.25" customHeight="1" outlineLevel="1">
      <c r="B3663" s="1573">
        <v>34084</v>
      </c>
      <c r="C3663" s="1566" t="s">
        <v>5398</v>
      </c>
      <c r="D3663" s="1566" t="s">
        <v>9615</v>
      </c>
      <c r="E3663" s="1566"/>
      <c r="F3663" s="1566"/>
      <c r="G3663" s="1566"/>
      <c r="H3663" s="1568">
        <v>1</v>
      </c>
      <c r="I3663" s="1566"/>
      <c r="J3663" s="1566"/>
      <c r="K3663" s="1572">
        <v>501</v>
      </c>
      <c r="L3663" s="1572">
        <v>500.54</v>
      </c>
      <c r="M3663" s="1572">
        <v>-500.54</v>
      </c>
      <c r="N3663" s="1564"/>
      <c r="O3663" s="1564"/>
      <c r="P3663" s="1572">
        <v>500.54</v>
      </c>
      <c r="Q3663" s="1572">
        <v>-500.54</v>
      </c>
      <c r="R3663" s="1564"/>
      <c r="S3663" s="1562"/>
    </row>
    <row r="3664" spans="2:19" ht="11.25" customHeight="1" outlineLevel="1">
      <c r="B3664" s="1573">
        <v>34085</v>
      </c>
      <c r="C3664" s="1566" t="s">
        <v>5398</v>
      </c>
      <c r="D3664" s="1566" t="s">
        <v>9614</v>
      </c>
      <c r="E3664" s="1566"/>
      <c r="F3664" s="1566"/>
      <c r="G3664" s="1566"/>
      <c r="H3664" s="1568">
        <v>1</v>
      </c>
      <c r="I3664" s="1566"/>
      <c r="J3664" s="1566"/>
      <c r="K3664" s="1572">
        <v>501</v>
      </c>
      <c r="L3664" s="1572">
        <v>500.54</v>
      </c>
      <c r="M3664" s="1572">
        <v>-500.54</v>
      </c>
      <c r="N3664" s="1564"/>
      <c r="O3664" s="1564"/>
      <c r="P3664" s="1572">
        <v>500.54</v>
      </c>
      <c r="Q3664" s="1572">
        <v>-500.54</v>
      </c>
      <c r="R3664" s="1564"/>
      <c r="S3664" s="1562"/>
    </row>
    <row r="3665" spans="2:19" ht="11.25" customHeight="1" outlineLevel="1">
      <c r="B3665" s="1573">
        <v>34086</v>
      </c>
      <c r="C3665" s="1566" t="s">
        <v>5398</v>
      </c>
      <c r="D3665" s="1566" t="s">
        <v>9613</v>
      </c>
      <c r="E3665" s="1566"/>
      <c r="F3665" s="1566"/>
      <c r="G3665" s="1566"/>
      <c r="H3665" s="1568">
        <v>1</v>
      </c>
      <c r="I3665" s="1566"/>
      <c r="J3665" s="1566"/>
      <c r="K3665" s="1572">
        <v>501</v>
      </c>
      <c r="L3665" s="1572">
        <v>500.54</v>
      </c>
      <c r="M3665" s="1572">
        <v>-500.54</v>
      </c>
      <c r="N3665" s="1564"/>
      <c r="O3665" s="1564"/>
      <c r="P3665" s="1572">
        <v>500.54</v>
      </c>
      <c r="Q3665" s="1572">
        <v>-500.54</v>
      </c>
      <c r="R3665" s="1564"/>
      <c r="S3665" s="1562"/>
    </row>
    <row r="3666" spans="2:19" ht="11.25" customHeight="1" outlineLevel="1">
      <c r="B3666" s="1573">
        <v>34087</v>
      </c>
      <c r="C3666" s="1566" t="s">
        <v>5398</v>
      </c>
      <c r="D3666" s="1566" t="s">
        <v>9612</v>
      </c>
      <c r="E3666" s="1566"/>
      <c r="F3666" s="1566"/>
      <c r="G3666" s="1566"/>
      <c r="H3666" s="1568">
        <v>1</v>
      </c>
      <c r="I3666" s="1566"/>
      <c r="J3666" s="1566"/>
      <c r="K3666" s="1572">
        <v>501</v>
      </c>
      <c r="L3666" s="1572">
        <v>500.54</v>
      </c>
      <c r="M3666" s="1572">
        <v>-500.54</v>
      </c>
      <c r="N3666" s="1564"/>
      <c r="O3666" s="1564"/>
      <c r="P3666" s="1572">
        <v>500.54</v>
      </c>
      <c r="Q3666" s="1572">
        <v>-500.54</v>
      </c>
      <c r="R3666" s="1564"/>
      <c r="S3666" s="1562"/>
    </row>
    <row r="3667" spans="2:19" ht="11.25" customHeight="1" outlineLevel="1">
      <c r="B3667" s="1573">
        <v>34088</v>
      </c>
      <c r="C3667" s="1566" t="s">
        <v>5398</v>
      </c>
      <c r="D3667" s="1566" t="s">
        <v>9611</v>
      </c>
      <c r="E3667" s="1566"/>
      <c r="F3667" s="1566"/>
      <c r="G3667" s="1566"/>
      <c r="H3667" s="1568">
        <v>1</v>
      </c>
      <c r="I3667" s="1566"/>
      <c r="J3667" s="1566"/>
      <c r="K3667" s="1572">
        <v>501</v>
      </c>
      <c r="L3667" s="1572">
        <v>500.54</v>
      </c>
      <c r="M3667" s="1572">
        <v>-500.54</v>
      </c>
      <c r="N3667" s="1564"/>
      <c r="O3667" s="1564"/>
      <c r="P3667" s="1572">
        <v>500.54</v>
      </c>
      <c r="Q3667" s="1572">
        <v>-500.54</v>
      </c>
      <c r="R3667" s="1564"/>
      <c r="S3667" s="1562"/>
    </row>
    <row r="3668" spans="2:19" ht="11.25" customHeight="1" outlineLevel="1">
      <c r="B3668" s="1573">
        <v>34089</v>
      </c>
      <c r="C3668" s="1566" t="s">
        <v>5398</v>
      </c>
      <c r="D3668" s="1566" t="s">
        <v>9610</v>
      </c>
      <c r="E3668" s="1566"/>
      <c r="F3668" s="1566"/>
      <c r="G3668" s="1566"/>
      <c r="H3668" s="1568">
        <v>1</v>
      </c>
      <c r="I3668" s="1566"/>
      <c r="J3668" s="1566"/>
      <c r="K3668" s="1572">
        <v>501</v>
      </c>
      <c r="L3668" s="1572">
        <v>500.54</v>
      </c>
      <c r="M3668" s="1572">
        <v>-500.54</v>
      </c>
      <c r="N3668" s="1564"/>
      <c r="O3668" s="1564"/>
      <c r="P3668" s="1572">
        <v>500.54</v>
      </c>
      <c r="Q3668" s="1572">
        <v>-500.54</v>
      </c>
      <c r="R3668" s="1564"/>
      <c r="S3668" s="1562"/>
    </row>
    <row r="3669" spans="2:19" ht="11.25" customHeight="1" outlineLevel="1">
      <c r="B3669" s="1573">
        <v>34090</v>
      </c>
      <c r="C3669" s="1566" t="s">
        <v>5398</v>
      </c>
      <c r="D3669" s="1566" t="s">
        <v>9609</v>
      </c>
      <c r="E3669" s="1566"/>
      <c r="F3669" s="1566"/>
      <c r="G3669" s="1566"/>
      <c r="H3669" s="1568">
        <v>1</v>
      </c>
      <c r="I3669" s="1566"/>
      <c r="J3669" s="1566"/>
      <c r="K3669" s="1572">
        <v>501</v>
      </c>
      <c r="L3669" s="1572">
        <v>500.54</v>
      </c>
      <c r="M3669" s="1572">
        <v>-500.54</v>
      </c>
      <c r="N3669" s="1564"/>
      <c r="O3669" s="1564"/>
      <c r="P3669" s="1572">
        <v>500.54</v>
      </c>
      <c r="Q3669" s="1572">
        <v>-500.54</v>
      </c>
      <c r="R3669" s="1564"/>
      <c r="S3669" s="1562"/>
    </row>
    <row r="3670" spans="2:19" ht="11.25" customHeight="1" outlineLevel="1">
      <c r="B3670" s="1573">
        <v>34091</v>
      </c>
      <c r="C3670" s="1566" t="s">
        <v>5398</v>
      </c>
      <c r="D3670" s="1566" t="s">
        <v>9608</v>
      </c>
      <c r="E3670" s="1566"/>
      <c r="F3670" s="1566"/>
      <c r="G3670" s="1566"/>
      <c r="H3670" s="1568">
        <v>1</v>
      </c>
      <c r="I3670" s="1566"/>
      <c r="J3670" s="1566"/>
      <c r="K3670" s="1572">
        <v>501</v>
      </c>
      <c r="L3670" s="1572">
        <v>500.54</v>
      </c>
      <c r="M3670" s="1572">
        <v>-500.54</v>
      </c>
      <c r="N3670" s="1564"/>
      <c r="O3670" s="1564"/>
      <c r="P3670" s="1572">
        <v>500.54</v>
      </c>
      <c r="Q3670" s="1572">
        <v>-500.54</v>
      </c>
      <c r="R3670" s="1564"/>
      <c r="S3670" s="1562"/>
    </row>
    <row r="3671" spans="2:19" ht="11.25" customHeight="1" outlineLevel="1">
      <c r="B3671" s="1573">
        <v>34092</v>
      </c>
      <c r="C3671" s="1566" t="s">
        <v>5398</v>
      </c>
      <c r="D3671" s="1566" t="s">
        <v>9607</v>
      </c>
      <c r="E3671" s="1566"/>
      <c r="F3671" s="1566"/>
      <c r="G3671" s="1566"/>
      <c r="H3671" s="1568">
        <v>1</v>
      </c>
      <c r="I3671" s="1566"/>
      <c r="J3671" s="1566"/>
      <c r="K3671" s="1572">
        <v>501</v>
      </c>
      <c r="L3671" s="1572">
        <v>500.54</v>
      </c>
      <c r="M3671" s="1572">
        <v>-500.54</v>
      </c>
      <c r="N3671" s="1564"/>
      <c r="O3671" s="1564"/>
      <c r="P3671" s="1572">
        <v>500.54</v>
      </c>
      <c r="Q3671" s="1572">
        <v>-500.54</v>
      </c>
      <c r="R3671" s="1564"/>
      <c r="S3671" s="1562"/>
    </row>
    <row r="3672" spans="2:19" ht="11.25" customHeight="1" outlineLevel="1">
      <c r="B3672" s="1573">
        <v>34093</v>
      </c>
      <c r="C3672" s="1566" t="s">
        <v>5398</v>
      </c>
      <c r="D3672" s="1566" t="s">
        <v>9606</v>
      </c>
      <c r="E3672" s="1566"/>
      <c r="F3672" s="1566"/>
      <c r="G3672" s="1566"/>
      <c r="H3672" s="1568">
        <v>1</v>
      </c>
      <c r="I3672" s="1566"/>
      <c r="J3672" s="1566"/>
      <c r="K3672" s="1572">
        <v>501</v>
      </c>
      <c r="L3672" s="1572">
        <v>500.54</v>
      </c>
      <c r="M3672" s="1572">
        <v>-500.54</v>
      </c>
      <c r="N3672" s="1564"/>
      <c r="O3672" s="1564"/>
      <c r="P3672" s="1572">
        <v>500.54</v>
      </c>
      <c r="Q3672" s="1572">
        <v>-500.54</v>
      </c>
      <c r="R3672" s="1564"/>
      <c r="S3672" s="1562"/>
    </row>
    <row r="3673" spans="2:19" ht="11.25" customHeight="1" outlineLevel="1">
      <c r="B3673" s="1573">
        <v>34094</v>
      </c>
      <c r="C3673" s="1566" t="s">
        <v>5398</v>
      </c>
      <c r="D3673" s="1566" t="s">
        <v>9605</v>
      </c>
      <c r="E3673" s="1566"/>
      <c r="F3673" s="1566"/>
      <c r="G3673" s="1566"/>
      <c r="H3673" s="1568">
        <v>1</v>
      </c>
      <c r="I3673" s="1566"/>
      <c r="J3673" s="1566"/>
      <c r="K3673" s="1572">
        <v>501</v>
      </c>
      <c r="L3673" s="1572">
        <v>500.54</v>
      </c>
      <c r="M3673" s="1572">
        <v>-500.54</v>
      </c>
      <c r="N3673" s="1564"/>
      <c r="O3673" s="1564"/>
      <c r="P3673" s="1572">
        <v>500.54</v>
      </c>
      <c r="Q3673" s="1572">
        <v>-500.54</v>
      </c>
      <c r="R3673" s="1564"/>
      <c r="S3673" s="1562"/>
    </row>
    <row r="3674" spans="2:19" ht="11.25" customHeight="1" outlineLevel="1">
      <c r="B3674" s="1573">
        <v>34095</v>
      </c>
      <c r="C3674" s="1566" t="s">
        <v>5398</v>
      </c>
      <c r="D3674" s="1566" t="s">
        <v>9604</v>
      </c>
      <c r="E3674" s="1566"/>
      <c r="F3674" s="1566"/>
      <c r="G3674" s="1566"/>
      <c r="H3674" s="1568">
        <v>1</v>
      </c>
      <c r="I3674" s="1566"/>
      <c r="J3674" s="1566"/>
      <c r="K3674" s="1572">
        <v>501</v>
      </c>
      <c r="L3674" s="1572">
        <v>500.54</v>
      </c>
      <c r="M3674" s="1572">
        <v>-500.54</v>
      </c>
      <c r="N3674" s="1564"/>
      <c r="O3674" s="1564"/>
      <c r="P3674" s="1572">
        <v>500.54</v>
      </c>
      <c r="Q3674" s="1572">
        <v>-500.54</v>
      </c>
      <c r="R3674" s="1564"/>
      <c r="S3674" s="1562"/>
    </row>
    <row r="3675" spans="2:19" ht="11.25" customHeight="1" outlineLevel="1">
      <c r="B3675" s="1573">
        <v>34132</v>
      </c>
      <c r="C3675" s="1566" t="s">
        <v>5398</v>
      </c>
      <c r="D3675" s="1566" t="s">
        <v>9603</v>
      </c>
      <c r="E3675" s="1566"/>
      <c r="F3675" s="1566"/>
      <c r="G3675" s="1566"/>
      <c r="H3675" s="1568">
        <v>1</v>
      </c>
      <c r="I3675" s="1566"/>
      <c r="J3675" s="1566"/>
      <c r="K3675" s="1565">
        <v>1267</v>
      </c>
      <c r="L3675" s="1565">
        <v>1266.75</v>
      </c>
      <c r="M3675" s="1565">
        <v>-1266.75</v>
      </c>
      <c r="N3675" s="1564"/>
      <c r="O3675" s="1564"/>
      <c r="P3675" s="1565">
        <v>1266.75</v>
      </c>
      <c r="Q3675" s="1565">
        <v>-1266.75</v>
      </c>
      <c r="R3675" s="1564"/>
      <c r="S3675" s="1562"/>
    </row>
    <row r="3676" spans="2:19" ht="11.25" customHeight="1" outlineLevel="1">
      <c r="B3676" s="1573">
        <v>34133</v>
      </c>
      <c r="C3676" s="1566" t="s">
        <v>5398</v>
      </c>
      <c r="D3676" s="1566" t="s">
        <v>9602</v>
      </c>
      <c r="E3676" s="1566"/>
      <c r="F3676" s="1566"/>
      <c r="G3676" s="1566"/>
      <c r="H3676" s="1568">
        <v>1</v>
      </c>
      <c r="I3676" s="1566"/>
      <c r="J3676" s="1566"/>
      <c r="K3676" s="1565">
        <v>1267</v>
      </c>
      <c r="L3676" s="1565">
        <v>1266.75</v>
      </c>
      <c r="M3676" s="1565">
        <v>-1266.75</v>
      </c>
      <c r="N3676" s="1564"/>
      <c r="O3676" s="1564"/>
      <c r="P3676" s="1565">
        <v>1266.75</v>
      </c>
      <c r="Q3676" s="1565">
        <v>-1266.75</v>
      </c>
      <c r="R3676" s="1564"/>
      <c r="S3676" s="1562"/>
    </row>
    <row r="3677" spans="2:19" ht="11.25" customHeight="1" outlineLevel="1">
      <c r="B3677" s="1573">
        <v>34134</v>
      </c>
      <c r="C3677" s="1566" t="s">
        <v>5398</v>
      </c>
      <c r="D3677" s="1566" t="s">
        <v>9601</v>
      </c>
      <c r="E3677" s="1566"/>
      <c r="F3677" s="1566"/>
      <c r="G3677" s="1566"/>
      <c r="H3677" s="1568">
        <v>1</v>
      </c>
      <c r="I3677" s="1566"/>
      <c r="J3677" s="1566"/>
      <c r="K3677" s="1565">
        <v>1267</v>
      </c>
      <c r="L3677" s="1565">
        <v>1266.75</v>
      </c>
      <c r="M3677" s="1565">
        <v>-1266.75</v>
      </c>
      <c r="N3677" s="1564"/>
      <c r="O3677" s="1564"/>
      <c r="P3677" s="1565">
        <v>1266.75</v>
      </c>
      <c r="Q3677" s="1565">
        <v>-1266.75</v>
      </c>
      <c r="R3677" s="1564"/>
      <c r="S3677" s="1562"/>
    </row>
    <row r="3678" spans="2:19" ht="11.25" customHeight="1" outlineLevel="1">
      <c r="B3678" s="1573">
        <v>34297</v>
      </c>
      <c r="C3678" s="1566" t="s">
        <v>5398</v>
      </c>
      <c r="D3678" s="1566" t="s">
        <v>9600</v>
      </c>
      <c r="E3678" s="1566"/>
      <c r="F3678" s="1566"/>
      <c r="G3678" s="1566"/>
      <c r="H3678" s="1568">
        <v>1</v>
      </c>
      <c r="I3678" s="1566"/>
      <c r="J3678" s="1566"/>
      <c r="K3678" s="1572">
        <v>16</v>
      </c>
      <c r="L3678" s="1572">
        <v>15.83</v>
      </c>
      <c r="M3678" s="1572">
        <v>-15.83</v>
      </c>
      <c r="N3678" s="1564"/>
      <c r="O3678" s="1564"/>
      <c r="P3678" s="1572">
        <v>15.83</v>
      </c>
      <c r="Q3678" s="1572">
        <v>-15.83</v>
      </c>
      <c r="R3678" s="1564"/>
      <c r="S3678" s="1562"/>
    </row>
    <row r="3679" spans="2:19" ht="11.25" customHeight="1" outlineLevel="1">
      <c r="B3679" s="1573">
        <v>34298</v>
      </c>
      <c r="C3679" s="1566" t="s">
        <v>5398</v>
      </c>
      <c r="D3679" s="1566" t="s">
        <v>9599</v>
      </c>
      <c r="E3679" s="1566"/>
      <c r="F3679" s="1566"/>
      <c r="G3679" s="1566"/>
      <c r="H3679" s="1568">
        <v>1</v>
      </c>
      <c r="I3679" s="1566"/>
      <c r="J3679" s="1566"/>
      <c r="K3679" s="1572">
        <v>16</v>
      </c>
      <c r="L3679" s="1572">
        <v>15.83</v>
      </c>
      <c r="M3679" s="1572">
        <v>-15.83</v>
      </c>
      <c r="N3679" s="1564"/>
      <c r="O3679" s="1564"/>
      <c r="P3679" s="1572">
        <v>15.83</v>
      </c>
      <c r="Q3679" s="1572">
        <v>-15.83</v>
      </c>
      <c r="R3679" s="1564"/>
      <c r="S3679" s="1562"/>
    </row>
    <row r="3680" spans="2:19" ht="11.25" customHeight="1" outlineLevel="1">
      <c r="B3680" s="1573">
        <v>34299</v>
      </c>
      <c r="C3680" s="1566" t="s">
        <v>5398</v>
      </c>
      <c r="D3680" s="1566" t="s">
        <v>9598</v>
      </c>
      <c r="E3680" s="1566"/>
      <c r="F3680" s="1566"/>
      <c r="G3680" s="1566"/>
      <c r="H3680" s="1568">
        <v>1</v>
      </c>
      <c r="I3680" s="1566"/>
      <c r="J3680" s="1566"/>
      <c r="K3680" s="1572">
        <v>16</v>
      </c>
      <c r="L3680" s="1572">
        <v>15.83</v>
      </c>
      <c r="M3680" s="1572">
        <v>-15.83</v>
      </c>
      <c r="N3680" s="1564"/>
      <c r="O3680" s="1564"/>
      <c r="P3680" s="1572">
        <v>15.83</v>
      </c>
      <c r="Q3680" s="1572">
        <v>-15.83</v>
      </c>
      <c r="R3680" s="1564"/>
      <c r="S3680" s="1562"/>
    </row>
    <row r="3681" spans="2:19" ht="11.25" customHeight="1" outlineLevel="1">
      <c r="B3681" s="1573">
        <v>34300</v>
      </c>
      <c r="C3681" s="1566" t="s">
        <v>5398</v>
      </c>
      <c r="D3681" s="1566" t="s">
        <v>9597</v>
      </c>
      <c r="E3681" s="1566"/>
      <c r="F3681" s="1566"/>
      <c r="G3681" s="1566"/>
      <c r="H3681" s="1568">
        <v>1</v>
      </c>
      <c r="I3681" s="1566"/>
      <c r="J3681" s="1566"/>
      <c r="K3681" s="1572">
        <v>16</v>
      </c>
      <c r="L3681" s="1572">
        <v>15.83</v>
      </c>
      <c r="M3681" s="1572">
        <v>-15.83</v>
      </c>
      <c r="N3681" s="1564"/>
      <c r="O3681" s="1564"/>
      <c r="P3681" s="1572">
        <v>15.83</v>
      </c>
      <c r="Q3681" s="1572">
        <v>-15.83</v>
      </c>
      <c r="R3681" s="1564"/>
      <c r="S3681" s="1562"/>
    </row>
    <row r="3682" spans="2:19" ht="11.25" customHeight="1" outlineLevel="1">
      <c r="B3682" s="1573">
        <v>34301</v>
      </c>
      <c r="C3682" s="1566" t="s">
        <v>5398</v>
      </c>
      <c r="D3682" s="1566" t="s">
        <v>9596</v>
      </c>
      <c r="E3682" s="1566"/>
      <c r="F3682" s="1566"/>
      <c r="G3682" s="1566"/>
      <c r="H3682" s="1568">
        <v>1</v>
      </c>
      <c r="I3682" s="1566"/>
      <c r="J3682" s="1566"/>
      <c r="K3682" s="1572">
        <v>16</v>
      </c>
      <c r="L3682" s="1572">
        <v>15.83</v>
      </c>
      <c r="M3682" s="1572">
        <v>-15.83</v>
      </c>
      <c r="N3682" s="1564"/>
      <c r="O3682" s="1564"/>
      <c r="P3682" s="1572">
        <v>15.83</v>
      </c>
      <c r="Q3682" s="1572">
        <v>-15.83</v>
      </c>
      <c r="R3682" s="1564"/>
      <c r="S3682" s="1562"/>
    </row>
    <row r="3683" spans="2:19" ht="11.25" customHeight="1" outlineLevel="1">
      <c r="B3683" s="1573">
        <v>11280</v>
      </c>
      <c r="C3683" s="1566" t="s">
        <v>5395</v>
      </c>
      <c r="D3683" s="1566" t="s">
        <v>9595</v>
      </c>
      <c r="E3683" s="1566"/>
      <c r="F3683" s="1566"/>
      <c r="G3683" s="1566" t="s">
        <v>3734</v>
      </c>
      <c r="H3683" s="1568">
        <v>1</v>
      </c>
      <c r="I3683" s="1566"/>
      <c r="J3683" s="1566"/>
      <c r="K3683" s="1565">
        <v>65182</v>
      </c>
      <c r="L3683" s="1565">
        <v>65182</v>
      </c>
      <c r="M3683" s="1564"/>
      <c r="N3683" s="1565">
        <v>65182</v>
      </c>
      <c r="O3683" s="1565">
        <v>32774.29</v>
      </c>
      <c r="P3683" s="1565">
        <v>31299.87</v>
      </c>
      <c r="Q3683" s="1565">
        <v>1107.8399999999999</v>
      </c>
      <c r="R3683" s="1565">
        <v>32407.71</v>
      </c>
      <c r="S3683" s="1562"/>
    </row>
    <row r="3684" spans="2:19" ht="11.25" customHeight="1" outlineLevel="1">
      <c r="B3684" s="1573">
        <v>11286</v>
      </c>
      <c r="C3684" s="1566" t="s">
        <v>5393</v>
      </c>
      <c r="D3684" s="1566" t="s">
        <v>9594</v>
      </c>
      <c r="E3684" s="1566"/>
      <c r="F3684" s="1566"/>
      <c r="G3684" s="1566" t="s">
        <v>3664</v>
      </c>
      <c r="H3684" s="1568">
        <v>1</v>
      </c>
      <c r="I3684" s="1566"/>
      <c r="J3684" s="1566"/>
      <c r="K3684" s="1572">
        <v>275</v>
      </c>
      <c r="L3684" s="1572">
        <v>275</v>
      </c>
      <c r="M3684" s="1564"/>
      <c r="N3684" s="1572">
        <v>275</v>
      </c>
      <c r="O3684" s="1572">
        <v>138.5</v>
      </c>
      <c r="P3684" s="1572">
        <v>131.82</v>
      </c>
      <c r="Q3684" s="1572">
        <v>4.68</v>
      </c>
      <c r="R3684" s="1572">
        <v>136.5</v>
      </c>
      <c r="S3684" s="1562"/>
    </row>
    <row r="3685" spans="2:19" ht="11.25" customHeight="1" outlineLevel="1">
      <c r="B3685" s="1573">
        <v>11295</v>
      </c>
      <c r="C3685" s="1566" t="s">
        <v>5390</v>
      </c>
      <c r="D3685" s="1566" t="s">
        <v>9593</v>
      </c>
      <c r="E3685" s="1566"/>
      <c r="F3685" s="1566"/>
      <c r="G3685" s="1566" t="s">
        <v>9585</v>
      </c>
      <c r="H3685" s="1568">
        <v>1</v>
      </c>
      <c r="I3685" s="1566"/>
      <c r="J3685" s="1566"/>
      <c r="K3685" s="1572">
        <v>696</v>
      </c>
      <c r="L3685" s="1572">
        <v>696</v>
      </c>
      <c r="M3685" s="1564"/>
      <c r="N3685" s="1572">
        <v>696</v>
      </c>
      <c r="O3685" s="1572">
        <v>135.66</v>
      </c>
      <c r="P3685" s="1572">
        <v>540.96</v>
      </c>
      <c r="Q3685" s="1572">
        <v>19.38</v>
      </c>
      <c r="R3685" s="1572">
        <v>560.34</v>
      </c>
      <c r="S3685" s="1562"/>
    </row>
    <row r="3686" spans="2:19" ht="11.25" customHeight="1" outlineLevel="1">
      <c r="B3686" s="1573">
        <v>11296</v>
      </c>
      <c r="C3686" s="1566" t="s">
        <v>5390</v>
      </c>
      <c r="D3686" s="1566" t="s">
        <v>9592</v>
      </c>
      <c r="E3686" s="1566"/>
      <c r="F3686" s="1566"/>
      <c r="G3686" s="1566" t="s">
        <v>9579</v>
      </c>
      <c r="H3686" s="1568">
        <v>1</v>
      </c>
      <c r="I3686" s="1566"/>
      <c r="J3686" s="1566"/>
      <c r="K3686" s="1572">
        <v>83</v>
      </c>
      <c r="L3686" s="1565">
        <v>151940</v>
      </c>
      <c r="M3686" s="1564"/>
      <c r="N3686" s="1565">
        <v>151940</v>
      </c>
      <c r="O3686" s="1565">
        <v>29544.799999999999</v>
      </c>
      <c r="P3686" s="1565">
        <v>118174.56</v>
      </c>
      <c r="Q3686" s="1565">
        <v>4220.6400000000003</v>
      </c>
      <c r="R3686" s="1565">
        <v>122395.2</v>
      </c>
      <c r="S3686" s="1562"/>
    </row>
    <row r="3687" spans="2:19" ht="11.25" customHeight="1" outlineLevel="1">
      <c r="B3687" s="1573">
        <v>11297</v>
      </c>
      <c r="C3687" s="1566" t="s">
        <v>5390</v>
      </c>
      <c r="D3687" s="1566" t="s">
        <v>9591</v>
      </c>
      <c r="E3687" s="1566"/>
      <c r="F3687" s="1566"/>
      <c r="G3687" s="1566" t="s">
        <v>9590</v>
      </c>
      <c r="H3687" s="1568">
        <v>1</v>
      </c>
      <c r="I3687" s="1566"/>
      <c r="J3687" s="1566"/>
      <c r="K3687" s="1572">
        <v>32</v>
      </c>
      <c r="L3687" s="1572">
        <v>32</v>
      </c>
      <c r="M3687" s="1564"/>
      <c r="N3687" s="1572">
        <v>32</v>
      </c>
      <c r="O3687" s="1572">
        <v>14.72</v>
      </c>
      <c r="P3687" s="1572">
        <v>16.8</v>
      </c>
      <c r="Q3687" s="1572">
        <v>0.48</v>
      </c>
      <c r="R3687" s="1572">
        <v>17.28</v>
      </c>
      <c r="S3687" s="1562"/>
    </row>
    <row r="3688" spans="2:19" ht="11.25" customHeight="1" outlineLevel="1">
      <c r="B3688" s="1573">
        <v>11311</v>
      </c>
      <c r="C3688" s="1566" t="s">
        <v>5384</v>
      </c>
      <c r="D3688" s="1566" t="s">
        <v>9589</v>
      </c>
      <c r="E3688" s="1566"/>
      <c r="F3688" s="1566"/>
      <c r="G3688" s="1566" t="s">
        <v>9588</v>
      </c>
      <c r="H3688" s="1568">
        <v>1</v>
      </c>
      <c r="I3688" s="1566"/>
      <c r="J3688" s="1566"/>
      <c r="K3688" s="1572">
        <v>10</v>
      </c>
      <c r="L3688" s="1572">
        <v>153</v>
      </c>
      <c r="M3688" s="1564"/>
      <c r="N3688" s="1572">
        <v>153</v>
      </c>
      <c r="O3688" s="1572">
        <v>77</v>
      </c>
      <c r="P3688" s="1572">
        <v>73.48</v>
      </c>
      <c r="Q3688" s="1572">
        <v>2.52</v>
      </c>
      <c r="R3688" s="1572">
        <v>76</v>
      </c>
      <c r="S3688" s="1562"/>
    </row>
    <row r="3689" spans="2:19" ht="11.25" customHeight="1" outlineLevel="1">
      <c r="B3689" s="1573">
        <v>11313</v>
      </c>
      <c r="C3689" s="1566" t="s">
        <v>5384</v>
      </c>
      <c r="D3689" s="1566" t="s">
        <v>9587</v>
      </c>
      <c r="E3689" s="1566"/>
      <c r="F3689" s="1566"/>
      <c r="G3689" s="1566" t="s">
        <v>5385</v>
      </c>
      <c r="H3689" s="1568">
        <v>1</v>
      </c>
      <c r="I3689" s="1566"/>
      <c r="J3689" s="1566"/>
      <c r="K3689" s="1572">
        <v>10</v>
      </c>
      <c r="L3689" s="1572">
        <v>10</v>
      </c>
      <c r="M3689" s="1564"/>
      <c r="N3689" s="1572">
        <v>10</v>
      </c>
      <c r="O3689" s="1572">
        <v>6.42</v>
      </c>
      <c r="P3689" s="1572">
        <v>3.34</v>
      </c>
      <c r="Q3689" s="1572">
        <v>0.24</v>
      </c>
      <c r="R3689" s="1572">
        <v>3.58</v>
      </c>
      <c r="S3689" s="1562"/>
    </row>
    <row r="3690" spans="2:19" s="1766" customFormat="1" ht="11.25" customHeight="1" outlineLevel="1">
      <c r="B3690" s="1767">
        <v>11315</v>
      </c>
      <c r="C3690" s="1760" t="s">
        <v>5384</v>
      </c>
      <c r="D3690" s="1760" t="s">
        <v>9586</v>
      </c>
      <c r="E3690" s="1760"/>
      <c r="F3690" s="1760"/>
      <c r="G3690" s="1760" t="s">
        <v>9585</v>
      </c>
      <c r="H3690" s="1761">
        <v>1</v>
      </c>
      <c r="I3690" s="1760"/>
      <c r="J3690" s="1760"/>
      <c r="K3690" s="1763">
        <v>7843</v>
      </c>
      <c r="L3690" s="1763">
        <v>7843</v>
      </c>
      <c r="M3690" s="1764"/>
      <c r="N3690" s="1763">
        <v>7843</v>
      </c>
      <c r="O3690" s="1763">
        <v>1531.96</v>
      </c>
      <c r="P3690" s="1763">
        <v>6092.16</v>
      </c>
      <c r="Q3690" s="1768">
        <v>218.88</v>
      </c>
      <c r="R3690" s="1763">
        <v>6311.04</v>
      </c>
      <c r="S3690" s="1765"/>
    </row>
    <row r="3691" spans="2:19" ht="11.25" customHeight="1" outlineLevel="1">
      <c r="B3691" s="1573">
        <v>11316</v>
      </c>
      <c r="C3691" s="1566" t="s">
        <v>5384</v>
      </c>
      <c r="D3691" s="1566" t="s">
        <v>9584</v>
      </c>
      <c r="E3691" s="1566"/>
      <c r="F3691" s="1566"/>
      <c r="G3691" s="1566"/>
      <c r="H3691" s="1568">
        <v>1</v>
      </c>
      <c r="I3691" s="1566"/>
      <c r="J3691" s="1566"/>
      <c r="K3691" s="1572">
        <v>138</v>
      </c>
      <c r="L3691" s="1572">
        <v>138</v>
      </c>
      <c r="M3691" s="1572">
        <v>-138</v>
      </c>
      <c r="N3691" s="1564"/>
      <c r="O3691" s="1564"/>
      <c r="P3691" s="1572">
        <v>138</v>
      </c>
      <c r="Q3691" s="1572">
        <v>-138</v>
      </c>
      <c r="R3691" s="1564"/>
      <c r="S3691" s="1562"/>
    </row>
    <row r="3692" spans="2:19" ht="11.25" customHeight="1" outlineLevel="1">
      <c r="B3692" s="1573">
        <v>11325</v>
      </c>
      <c r="C3692" s="1566" t="s">
        <v>5381</v>
      </c>
      <c r="D3692" s="1566" t="s">
        <v>9583</v>
      </c>
      <c r="E3692" s="1566"/>
      <c r="F3692" s="1566"/>
      <c r="G3692" s="1566"/>
      <c r="H3692" s="1568">
        <v>1</v>
      </c>
      <c r="I3692" s="1566"/>
      <c r="J3692" s="1566"/>
      <c r="K3692" s="1565">
        <v>2100</v>
      </c>
      <c r="L3692" s="1565">
        <v>2100</v>
      </c>
      <c r="M3692" s="1565">
        <v>-2100</v>
      </c>
      <c r="N3692" s="1564"/>
      <c r="O3692" s="1564"/>
      <c r="P3692" s="1565">
        <v>2100</v>
      </c>
      <c r="Q3692" s="1565">
        <v>-2100</v>
      </c>
      <c r="R3692" s="1564"/>
      <c r="S3692" s="1562"/>
    </row>
    <row r="3693" spans="2:19" ht="11.25" customHeight="1" outlineLevel="1">
      <c r="B3693" s="1573">
        <v>11331</v>
      </c>
      <c r="C3693" s="1566" t="s">
        <v>5381</v>
      </c>
      <c r="D3693" s="1566" t="s">
        <v>9582</v>
      </c>
      <c r="E3693" s="1566"/>
      <c r="F3693" s="1566"/>
      <c r="G3693" s="1566" t="s">
        <v>9581</v>
      </c>
      <c r="H3693" s="1568">
        <v>1</v>
      </c>
      <c r="I3693" s="1566"/>
      <c r="J3693" s="1566"/>
      <c r="K3693" s="1565">
        <v>22833</v>
      </c>
      <c r="L3693" s="1565">
        <v>22833</v>
      </c>
      <c r="M3693" s="1564"/>
      <c r="N3693" s="1565">
        <v>22833</v>
      </c>
      <c r="O3693" s="1565">
        <v>11675.7</v>
      </c>
      <c r="P3693" s="1565">
        <v>10769.22</v>
      </c>
      <c r="Q3693" s="1572">
        <v>388.08</v>
      </c>
      <c r="R3693" s="1565">
        <v>11157.3</v>
      </c>
      <c r="S3693" s="1562"/>
    </row>
    <row r="3694" spans="2:19" ht="11.25" customHeight="1" outlineLevel="1">
      <c r="B3694" s="1573">
        <v>11338</v>
      </c>
      <c r="C3694" s="1566" t="s">
        <v>5381</v>
      </c>
      <c r="D3694" s="1566" t="s">
        <v>9580</v>
      </c>
      <c r="E3694" s="1566"/>
      <c r="F3694" s="1566"/>
      <c r="G3694" s="1566" t="s">
        <v>9579</v>
      </c>
      <c r="H3694" s="1568">
        <v>1</v>
      </c>
      <c r="I3694" s="1566"/>
      <c r="J3694" s="1566"/>
      <c r="K3694" s="1565">
        <v>2454</v>
      </c>
      <c r="L3694" s="1565">
        <v>2454</v>
      </c>
      <c r="M3694" s="1564"/>
      <c r="N3694" s="1565">
        <v>2454</v>
      </c>
      <c r="O3694" s="1572">
        <v>480.6</v>
      </c>
      <c r="P3694" s="1565">
        <v>1904.76</v>
      </c>
      <c r="Q3694" s="1572">
        <v>68.64</v>
      </c>
      <c r="R3694" s="1565">
        <v>1973.4</v>
      </c>
      <c r="S3694" s="1562"/>
    </row>
    <row r="3695" spans="2:19" ht="11.25" customHeight="1" outlineLevel="1">
      <c r="B3695" s="1573">
        <v>11336</v>
      </c>
      <c r="C3695" s="1566" t="s">
        <v>5378</v>
      </c>
      <c r="D3695" s="1566" t="s">
        <v>9578</v>
      </c>
      <c r="E3695" s="1566"/>
      <c r="F3695" s="1566"/>
      <c r="G3695" s="1566" t="s">
        <v>3734</v>
      </c>
      <c r="H3695" s="1568">
        <v>1</v>
      </c>
      <c r="I3695" s="1566"/>
      <c r="J3695" s="1566"/>
      <c r="K3695" s="1565">
        <v>11461</v>
      </c>
      <c r="L3695" s="1565">
        <v>11461</v>
      </c>
      <c r="M3695" s="1564"/>
      <c r="N3695" s="1565">
        <v>11461</v>
      </c>
      <c r="O3695" s="1565">
        <v>5877.76</v>
      </c>
      <c r="P3695" s="1565">
        <v>5388.36</v>
      </c>
      <c r="Q3695" s="1572">
        <v>194.88</v>
      </c>
      <c r="R3695" s="1565">
        <v>5583.24</v>
      </c>
      <c r="S3695" s="1562"/>
    </row>
    <row r="3696" spans="2:19" ht="11.25" customHeight="1" outlineLevel="1">
      <c r="B3696" s="1573">
        <v>11342</v>
      </c>
      <c r="C3696" s="1566" t="s">
        <v>9577</v>
      </c>
      <c r="D3696" s="1566" t="s">
        <v>9576</v>
      </c>
      <c r="E3696" s="1566"/>
      <c r="F3696" s="1566"/>
      <c r="G3696" s="1566" t="s">
        <v>9575</v>
      </c>
      <c r="H3696" s="1568">
        <v>1</v>
      </c>
      <c r="I3696" s="1566"/>
      <c r="J3696" s="1566"/>
      <c r="K3696" s="1572">
        <v>4</v>
      </c>
      <c r="L3696" s="1565">
        <v>9139</v>
      </c>
      <c r="M3696" s="1564"/>
      <c r="N3696" s="1565">
        <v>9139</v>
      </c>
      <c r="O3696" s="1565">
        <v>4713.3999999999996</v>
      </c>
      <c r="P3696" s="1565">
        <v>4270.2</v>
      </c>
      <c r="Q3696" s="1572">
        <v>155.4</v>
      </c>
      <c r="R3696" s="1565">
        <v>4425.6000000000004</v>
      </c>
      <c r="S3696" s="1562"/>
    </row>
    <row r="3697" spans="2:19" ht="11.25" customHeight="1" outlineLevel="1">
      <c r="B3697" s="1573">
        <v>11345</v>
      </c>
      <c r="C3697" s="1566" t="s">
        <v>9574</v>
      </c>
      <c r="D3697" s="1566" t="s">
        <v>9573</v>
      </c>
      <c r="E3697" s="1566"/>
      <c r="F3697" s="1566"/>
      <c r="G3697" s="1566" t="s">
        <v>9415</v>
      </c>
      <c r="H3697" s="1568">
        <v>1</v>
      </c>
      <c r="I3697" s="1566"/>
      <c r="J3697" s="1566"/>
      <c r="K3697" s="1565">
        <v>122628</v>
      </c>
      <c r="L3697" s="1565">
        <v>12549065.970000001</v>
      </c>
      <c r="M3697" s="1564"/>
      <c r="N3697" s="1565">
        <v>12549065.970000001</v>
      </c>
      <c r="O3697" s="1565">
        <v>11722949.85</v>
      </c>
      <c r="P3697" s="1565">
        <v>440704.08</v>
      </c>
      <c r="Q3697" s="1565">
        <v>385412.04</v>
      </c>
      <c r="R3697" s="1565">
        <v>826116.12</v>
      </c>
      <c r="S3697" s="1562"/>
    </row>
    <row r="3698" spans="2:19" ht="11.25" customHeight="1" outlineLevel="1">
      <c r="B3698" s="1573">
        <v>11346</v>
      </c>
      <c r="C3698" s="1566" t="s">
        <v>5374</v>
      </c>
      <c r="D3698" s="1566" t="s">
        <v>9572</v>
      </c>
      <c r="E3698" s="1566"/>
      <c r="F3698" s="1566"/>
      <c r="G3698" s="1566" t="s">
        <v>3664</v>
      </c>
      <c r="H3698" s="1568">
        <v>1</v>
      </c>
      <c r="I3698" s="1566"/>
      <c r="J3698" s="1566"/>
      <c r="K3698" s="1565">
        <v>20618</v>
      </c>
      <c r="L3698" s="1565">
        <v>6116560.2199999997</v>
      </c>
      <c r="M3698" s="1564"/>
      <c r="N3698" s="1565">
        <v>6116560.2199999997</v>
      </c>
      <c r="O3698" s="1565">
        <v>5731500.46</v>
      </c>
      <c r="P3698" s="1565">
        <v>197141.68</v>
      </c>
      <c r="Q3698" s="1565">
        <v>187918.07999999999</v>
      </c>
      <c r="R3698" s="1565">
        <v>385059.76</v>
      </c>
      <c r="S3698" s="1562"/>
    </row>
    <row r="3699" spans="2:19" ht="11.25" customHeight="1" outlineLevel="1">
      <c r="B3699" s="1573">
        <v>11347</v>
      </c>
      <c r="C3699" s="1566" t="s">
        <v>5374</v>
      </c>
      <c r="D3699" s="1566" t="s">
        <v>9571</v>
      </c>
      <c r="E3699" s="1566"/>
      <c r="F3699" s="1566"/>
      <c r="G3699" s="1566" t="s">
        <v>9570</v>
      </c>
      <c r="H3699" s="1568">
        <v>1</v>
      </c>
      <c r="I3699" s="1566"/>
      <c r="J3699" s="1566"/>
      <c r="K3699" s="1565">
        <v>15484</v>
      </c>
      <c r="L3699" s="1565">
        <v>15484</v>
      </c>
      <c r="M3699" s="1564"/>
      <c r="N3699" s="1565">
        <v>15484</v>
      </c>
      <c r="O3699" s="1565">
        <v>3067.26</v>
      </c>
      <c r="P3699" s="1565">
        <v>11978.56</v>
      </c>
      <c r="Q3699" s="1572">
        <v>438.18</v>
      </c>
      <c r="R3699" s="1565">
        <v>12416.74</v>
      </c>
      <c r="S3699" s="1562"/>
    </row>
    <row r="3700" spans="2:19" ht="11.25" customHeight="1" outlineLevel="1">
      <c r="B3700" s="1573">
        <v>11348</v>
      </c>
      <c r="C3700" s="1566" t="s">
        <v>5374</v>
      </c>
      <c r="D3700" s="1566" t="s">
        <v>9569</v>
      </c>
      <c r="E3700" s="1566"/>
      <c r="F3700" s="1566"/>
      <c r="G3700" s="1566" t="s">
        <v>9568</v>
      </c>
      <c r="H3700" s="1568">
        <v>1</v>
      </c>
      <c r="I3700" s="1566"/>
      <c r="J3700" s="1566"/>
      <c r="K3700" s="1565">
        <v>22090</v>
      </c>
      <c r="L3700" s="1565">
        <v>22090</v>
      </c>
      <c r="M3700" s="1564"/>
      <c r="N3700" s="1565">
        <v>22090</v>
      </c>
      <c r="O3700" s="1565">
        <v>11451.4</v>
      </c>
      <c r="P3700" s="1565">
        <v>10263.120000000001</v>
      </c>
      <c r="Q3700" s="1572">
        <v>375.48</v>
      </c>
      <c r="R3700" s="1565">
        <v>10638.6</v>
      </c>
      <c r="S3700" s="1562"/>
    </row>
    <row r="3701" spans="2:19" ht="11.25" customHeight="1" outlineLevel="1">
      <c r="B3701" s="1573">
        <v>11351</v>
      </c>
      <c r="C3701" s="1566" t="s">
        <v>5374</v>
      </c>
      <c r="D3701" s="1566" t="s">
        <v>9567</v>
      </c>
      <c r="E3701" s="1566"/>
      <c r="F3701" s="1566"/>
      <c r="G3701" s="1566" t="s">
        <v>3664</v>
      </c>
      <c r="H3701" s="1568">
        <v>1</v>
      </c>
      <c r="I3701" s="1566"/>
      <c r="J3701" s="1566"/>
      <c r="K3701" s="1565">
        <v>1780</v>
      </c>
      <c r="L3701" s="1565">
        <v>1780</v>
      </c>
      <c r="M3701" s="1564"/>
      <c r="N3701" s="1565">
        <v>1780</v>
      </c>
      <c r="O3701" s="1572">
        <v>923.2</v>
      </c>
      <c r="P3701" s="1572">
        <v>826.56</v>
      </c>
      <c r="Q3701" s="1572">
        <v>30.24</v>
      </c>
      <c r="R3701" s="1572">
        <v>856.8</v>
      </c>
      <c r="S3701" s="1562"/>
    </row>
    <row r="3702" spans="2:19" ht="11.25" customHeight="1" outlineLevel="1">
      <c r="B3702" s="1573">
        <v>11352</v>
      </c>
      <c r="C3702" s="1566" t="s">
        <v>5374</v>
      </c>
      <c r="D3702" s="1566" t="s">
        <v>9566</v>
      </c>
      <c r="E3702" s="1566"/>
      <c r="F3702" s="1566"/>
      <c r="G3702" s="1566" t="s">
        <v>3734</v>
      </c>
      <c r="H3702" s="1568">
        <v>1</v>
      </c>
      <c r="I3702" s="1566"/>
      <c r="J3702" s="1566"/>
      <c r="K3702" s="1565">
        <v>25958</v>
      </c>
      <c r="L3702" s="1565">
        <v>25958</v>
      </c>
      <c r="M3702" s="1564"/>
      <c r="N3702" s="1565">
        <v>25958</v>
      </c>
      <c r="O3702" s="1565">
        <v>5143.08</v>
      </c>
      <c r="P3702" s="1565">
        <v>20080.16</v>
      </c>
      <c r="Q3702" s="1572">
        <v>734.76</v>
      </c>
      <c r="R3702" s="1565">
        <v>20814.919999999998</v>
      </c>
      <c r="S3702" s="1562"/>
    </row>
    <row r="3703" spans="2:19" ht="11.25" customHeight="1" outlineLevel="1">
      <c r="B3703" s="1573">
        <v>11367</v>
      </c>
      <c r="C3703" s="1566" t="s">
        <v>5372</v>
      </c>
      <c r="D3703" s="1566" t="s">
        <v>9565</v>
      </c>
      <c r="E3703" s="1566"/>
      <c r="F3703" s="1566"/>
      <c r="G3703" s="1566" t="s">
        <v>9564</v>
      </c>
      <c r="H3703" s="1568">
        <v>1</v>
      </c>
      <c r="I3703" s="1566"/>
      <c r="J3703" s="1566"/>
      <c r="K3703" s="1572">
        <v>936</v>
      </c>
      <c r="L3703" s="1565">
        <v>50035950.289999999</v>
      </c>
      <c r="M3703" s="1564"/>
      <c r="N3703" s="1565">
        <v>50035950.289999999</v>
      </c>
      <c r="O3703" s="1565">
        <v>46964347.649999999</v>
      </c>
      <c r="P3703" s="1565">
        <v>1535983.64</v>
      </c>
      <c r="Q3703" s="1565">
        <v>1535619</v>
      </c>
      <c r="R3703" s="1565">
        <v>3071602.64</v>
      </c>
      <c r="S3703" s="1562"/>
    </row>
    <row r="3704" spans="2:19" ht="11.25" customHeight="1" outlineLevel="1">
      <c r="B3704" s="1573">
        <v>11368</v>
      </c>
      <c r="C3704" s="1566" t="s">
        <v>5372</v>
      </c>
      <c r="D3704" s="1566" t="s">
        <v>9563</v>
      </c>
      <c r="E3704" s="1566"/>
      <c r="F3704" s="1566"/>
      <c r="G3704" s="1566" t="s">
        <v>4017</v>
      </c>
      <c r="H3704" s="1568">
        <v>1</v>
      </c>
      <c r="I3704" s="1566"/>
      <c r="J3704" s="1566"/>
      <c r="K3704" s="1565">
        <v>3258</v>
      </c>
      <c r="L3704" s="1565">
        <v>3258</v>
      </c>
      <c r="M3704" s="1564"/>
      <c r="N3704" s="1565">
        <v>3258</v>
      </c>
      <c r="O3704" s="1565">
        <v>1695.09</v>
      </c>
      <c r="P3704" s="1565">
        <v>1507.47</v>
      </c>
      <c r="Q3704" s="1572">
        <v>55.44</v>
      </c>
      <c r="R3704" s="1565">
        <v>1562.91</v>
      </c>
      <c r="S3704" s="1562"/>
    </row>
    <row r="3705" spans="2:19" ht="11.25" customHeight="1" outlineLevel="1">
      <c r="B3705" s="1573">
        <v>11381</v>
      </c>
      <c r="C3705" s="1566" t="s">
        <v>5364</v>
      </c>
      <c r="D3705" s="1566" t="s">
        <v>9562</v>
      </c>
      <c r="E3705" s="1566"/>
      <c r="F3705" s="1566"/>
      <c r="G3705" s="1566" t="s">
        <v>9561</v>
      </c>
      <c r="H3705" s="1568">
        <v>1</v>
      </c>
      <c r="I3705" s="1566"/>
      <c r="J3705" s="1566"/>
      <c r="K3705" s="1572">
        <v>199</v>
      </c>
      <c r="L3705" s="1572">
        <v>199</v>
      </c>
      <c r="M3705" s="1564"/>
      <c r="N3705" s="1572">
        <v>199</v>
      </c>
      <c r="O3705" s="1572">
        <v>104.64</v>
      </c>
      <c r="P3705" s="1572">
        <v>91</v>
      </c>
      <c r="Q3705" s="1572">
        <v>3.36</v>
      </c>
      <c r="R3705" s="1572">
        <v>94.36</v>
      </c>
      <c r="S3705" s="1562"/>
    </row>
    <row r="3706" spans="2:19" ht="11.25" customHeight="1" outlineLevel="1">
      <c r="B3706" s="1573">
        <v>11382</v>
      </c>
      <c r="C3706" s="1566" t="s">
        <v>5364</v>
      </c>
      <c r="D3706" s="1566" t="s">
        <v>9560</v>
      </c>
      <c r="E3706" s="1566"/>
      <c r="F3706" s="1566"/>
      <c r="G3706" s="1566" t="s">
        <v>9559</v>
      </c>
      <c r="H3706" s="1568">
        <v>1</v>
      </c>
      <c r="I3706" s="1566"/>
      <c r="J3706" s="1566"/>
      <c r="K3706" s="1572">
        <v>149</v>
      </c>
      <c r="L3706" s="1572">
        <v>149</v>
      </c>
      <c r="M3706" s="1564"/>
      <c r="N3706" s="1572">
        <v>149</v>
      </c>
      <c r="O3706" s="1572">
        <v>78.23</v>
      </c>
      <c r="P3706" s="1572">
        <v>68.25</v>
      </c>
      <c r="Q3706" s="1572">
        <v>2.52</v>
      </c>
      <c r="R3706" s="1572">
        <v>70.77</v>
      </c>
      <c r="S3706" s="1562"/>
    </row>
    <row r="3707" spans="2:19" ht="11.25" customHeight="1" outlineLevel="1">
      <c r="B3707" s="1573">
        <v>11384</v>
      </c>
      <c r="C3707" s="1566" t="s">
        <v>5364</v>
      </c>
      <c r="D3707" s="1566" t="s">
        <v>9558</v>
      </c>
      <c r="E3707" s="1566"/>
      <c r="F3707" s="1566"/>
      <c r="G3707" s="1566" t="s">
        <v>5367</v>
      </c>
      <c r="H3707" s="1568">
        <v>1</v>
      </c>
      <c r="I3707" s="1566"/>
      <c r="J3707" s="1566"/>
      <c r="K3707" s="1565">
        <v>19276</v>
      </c>
      <c r="L3707" s="1565">
        <v>19276</v>
      </c>
      <c r="M3707" s="1564"/>
      <c r="N3707" s="1565">
        <v>19276</v>
      </c>
      <c r="O3707" s="1565">
        <v>10075.780000000001</v>
      </c>
      <c r="P3707" s="1565">
        <v>8872.5</v>
      </c>
      <c r="Q3707" s="1572">
        <v>327.72</v>
      </c>
      <c r="R3707" s="1565">
        <v>9200.2199999999993</v>
      </c>
      <c r="S3707" s="1562"/>
    </row>
    <row r="3708" spans="2:19" ht="11.25" customHeight="1" outlineLevel="1">
      <c r="B3708" s="1573">
        <v>11387</v>
      </c>
      <c r="C3708" s="1566" t="s">
        <v>5364</v>
      </c>
      <c r="D3708" s="1566" t="s">
        <v>9557</v>
      </c>
      <c r="E3708" s="1566"/>
      <c r="F3708" s="1566"/>
      <c r="G3708" s="1566" t="s">
        <v>9556</v>
      </c>
      <c r="H3708" s="1568">
        <v>1</v>
      </c>
      <c r="I3708" s="1566"/>
      <c r="J3708" s="1566"/>
      <c r="K3708" s="1565">
        <v>4233</v>
      </c>
      <c r="L3708" s="1565">
        <v>4233</v>
      </c>
      <c r="M3708" s="1564"/>
      <c r="N3708" s="1565">
        <v>4233</v>
      </c>
      <c r="O3708" s="1565">
        <v>2211.12</v>
      </c>
      <c r="P3708" s="1565">
        <v>1950</v>
      </c>
      <c r="Q3708" s="1572">
        <v>71.88</v>
      </c>
      <c r="R3708" s="1565">
        <v>2021.88</v>
      </c>
      <c r="S3708" s="1562"/>
    </row>
    <row r="3709" spans="2:19" ht="11.25" customHeight="1" outlineLevel="1">
      <c r="B3709" s="1573">
        <v>11398</v>
      </c>
      <c r="C3709" s="1566" t="s">
        <v>5358</v>
      </c>
      <c r="D3709" s="1566" t="s">
        <v>9555</v>
      </c>
      <c r="E3709" s="1566"/>
      <c r="F3709" s="1566"/>
      <c r="G3709" s="1566" t="s">
        <v>5361</v>
      </c>
      <c r="H3709" s="1568">
        <v>1</v>
      </c>
      <c r="I3709" s="1566"/>
      <c r="J3709" s="1566"/>
      <c r="K3709" s="1565">
        <v>7092</v>
      </c>
      <c r="L3709" s="1565">
        <v>7092</v>
      </c>
      <c r="M3709" s="1564"/>
      <c r="N3709" s="1565">
        <v>7092</v>
      </c>
      <c r="O3709" s="1565">
        <v>1417.2</v>
      </c>
      <c r="P3709" s="1565">
        <v>5472.36</v>
      </c>
      <c r="Q3709" s="1572">
        <v>202.44</v>
      </c>
      <c r="R3709" s="1565">
        <v>5674.8</v>
      </c>
      <c r="S3709" s="1562"/>
    </row>
    <row r="3710" spans="2:19" ht="11.25" customHeight="1" outlineLevel="1">
      <c r="B3710" s="1573">
        <v>11400</v>
      </c>
      <c r="C3710" s="1566" t="s">
        <v>5358</v>
      </c>
      <c r="D3710" s="1566" t="s">
        <v>9554</v>
      </c>
      <c r="E3710" s="1566"/>
      <c r="F3710" s="1566"/>
      <c r="G3710" s="1566" t="s">
        <v>5359</v>
      </c>
      <c r="H3710" s="1568">
        <v>1</v>
      </c>
      <c r="I3710" s="1566"/>
      <c r="J3710" s="1566"/>
      <c r="K3710" s="1572">
        <v>323</v>
      </c>
      <c r="L3710" s="1565">
        <v>19534</v>
      </c>
      <c r="M3710" s="1564"/>
      <c r="N3710" s="1565">
        <v>19534</v>
      </c>
      <c r="O3710" s="1565">
        <v>10236.879999999999</v>
      </c>
      <c r="P3710" s="1565">
        <v>8965.08</v>
      </c>
      <c r="Q3710" s="1572">
        <v>332.04</v>
      </c>
      <c r="R3710" s="1565">
        <v>9297.1200000000008</v>
      </c>
      <c r="S3710" s="1562"/>
    </row>
    <row r="3711" spans="2:19" ht="11.25" customHeight="1" outlineLevel="1">
      <c r="B3711" s="1573">
        <v>11401</v>
      </c>
      <c r="C3711" s="1566" t="s">
        <v>5358</v>
      </c>
      <c r="D3711" s="1566" t="s">
        <v>9553</v>
      </c>
      <c r="E3711" s="1566"/>
      <c r="F3711" s="1566"/>
      <c r="G3711" s="1566" t="s">
        <v>9552</v>
      </c>
      <c r="H3711" s="1568">
        <v>1</v>
      </c>
      <c r="I3711" s="1566"/>
      <c r="J3711" s="1566"/>
      <c r="K3711" s="1565">
        <v>1653</v>
      </c>
      <c r="L3711" s="1565">
        <v>29746</v>
      </c>
      <c r="M3711" s="1564"/>
      <c r="N3711" s="1565">
        <v>29746</v>
      </c>
      <c r="O3711" s="1565">
        <v>15590.2</v>
      </c>
      <c r="P3711" s="1565">
        <v>13650.12</v>
      </c>
      <c r="Q3711" s="1572">
        <v>505.68</v>
      </c>
      <c r="R3711" s="1565">
        <v>14155.8</v>
      </c>
      <c r="S3711" s="1562"/>
    </row>
    <row r="3712" spans="2:19" ht="11.25" customHeight="1" outlineLevel="1">
      <c r="B3712" s="1573">
        <v>33594</v>
      </c>
      <c r="C3712" s="1566" t="s">
        <v>5358</v>
      </c>
      <c r="D3712" s="1566" t="s">
        <v>9551</v>
      </c>
      <c r="E3712" s="1566"/>
      <c r="F3712" s="1566"/>
      <c r="G3712" s="1566"/>
      <c r="H3712" s="1568">
        <v>1</v>
      </c>
      <c r="I3712" s="1566"/>
      <c r="J3712" s="1566"/>
      <c r="K3712" s="1572">
        <v>650</v>
      </c>
      <c r="L3712" s="1572">
        <v>651</v>
      </c>
      <c r="M3712" s="1572">
        <v>-651</v>
      </c>
      <c r="N3712" s="1564"/>
      <c r="O3712" s="1564"/>
      <c r="P3712" s="1572">
        <v>651</v>
      </c>
      <c r="Q3712" s="1572">
        <v>-651</v>
      </c>
      <c r="R3712" s="1564"/>
      <c r="S3712" s="1562"/>
    </row>
    <row r="3713" spans="2:19" ht="11.25" customHeight="1" outlineLevel="1">
      <c r="B3713" s="1573">
        <v>33595</v>
      </c>
      <c r="C3713" s="1566" t="s">
        <v>5358</v>
      </c>
      <c r="D3713" s="1566" t="s">
        <v>9550</v>
      </c>
      <c r="E3713" s="1566"/>
      <c r="F3713" s="1566"/>
      <c r="G3713" s="1566"/>
      <c r="H3713" s="1568">
        <v>1</v>
      </c>
      <c r="I3713" s="1566"/>
      <c r="J3713" s="1566"/>
      <c r="K3713" s="1572">
        <v>650</v>
      </c>
      <c r="L3713" s="1572">
        <v>651</v>
      </c>
      <c r="M3713" s="1572">
        <v>-651</v>
      </c>
      <c r="N3713" s="1564"/>
      <c r="O3713" s="1564"/>
      <c r="P3713" s="1572">
        <v>651</v>
      </c>
      <c r="Q3713" s="1572">
        <v>-651</v>
      </c>
      <c r="R3713" s="1564"/>
      <c r="S3713" s="1562"/>
    </row>
    <row r="3714" spans="2:19" ht="11.25" customHeight="1" outlineLevel="1">
      <c r="B3714" s="1573">
        <v>33596</v>
      </c>
      <c r="C3714" s="1566" t="s">
        <v>5358</v>
      </c>
      <c r="D3714" s="1566" t="s">
        <v>9549</v>
      </c>
      <c r="E3714" s="1566"/>
      <c r="F3714" s="1566"/>
      <c r="G3714" s="1566"/>
      <c r="H3714" s="1568">
        <v>1</v>
      </c>
      <c r="I3714" s="1566"/>
      <c r="J3714" s="1566"/>
      <c r="K3714" s="1572">
        <v>650</v>
      </c>
      <c r="L3714" s="1572">
        <v>651</v>
      </c>
      <c r="M3714" s="1572">
        <v>-651</v>
      </c>
      <c r="N3714" s="1564"/>
      <c r="O3714" s="1564"/>
      <c r="P3714" s="1572">
        <v>651</v>
      </c>
      <c r="Q3714" s="1572">
        <v>-651</v>
      </c>
      <c r="R3714" s="1564"/>
      <c r="S3714" s="1562"/>
    </row>
    <row r="3715" spans="2:19" ht="11.25" customHeight="1" outlineLevel="1">
      <c r="B3715" s="1573">
        <v>33597</v>
      </c>
      <c r="C3715" s="1566" t="s">
        <v>5358</v>
      </c>
      <c r="D3715" s="1566" t="s">
        <v>9548</v>
      </c>
      <c r="E3715" s="1566"/>
      <c r="F3715" s="1566"/>
      <c r="G3715" s="1566"/>
      <c r="H3715" s="1568">
        <v>1</v>
      </c>
      <c r="I3715" s="1566"/>
      <c r="J3715" s="1566"/>
      <c r="K3715" s="1572">
        <v>650</v>
      </c>
      <c r="L3715" s="1572">
        <v>651</v>
      </c>
      <c r="M3715" s="1572">
        <v>-651</v>
      </c>
      <c r="N3715" s="1564"/>
      <c r="O3715" s="1564"/>
      <c r="P3715" s="1572">
        <v>651</v>
      </c>
      <c r="Q3715" s="1572">
        <v>-651</v>
      </c>
      <c r="R3715" s="1564"/>
      <c r="S3715" s="1562"/>
    </row>
    <row r="3716" spans="2:19" ht="11.25" customHeight="1" outlineLevel="1">
      <c r="B3716" s="1573">
        <v>11405</v>
      </c>
      <c r="C3716" s="1566" t="s">
        <v>5351</v>
      </c>
      <c r="D3716" s="1566" t="s">
        <v>9547</v>
      </c>
      <c r="E3716" s="1566"/>
      <c r="F3716" s="1566"/>
      <c r="G3716" s="1566" t="s">
        <v>5354</v>
      </c>
      <c r="H3716" s="1568">
        <v>1</v>
      </c>
      <c r="I3716" s="1566"/>
      <c r="J3716" s="1566"/>
      <c r="K3716" s="1572">
        <v>104</v>
      </c>
      <c r="L3716" s="1565">
        <v>2193</v>
      </c>
      <c r="M3716" s="1564"/>
      <c r="N3716" s="1565">
        <v>2193</v>
      </c>
      <c r="O3716" s="1572">
        <v>440.71</v>
      </c>
      <c r="P3716" s="1565">
        <v>1689.29</v>
      </c>
      <c r="Q3716" s="1572">
        <v>63</v>
      </c>
      <c r="R3716" s="1565">
        <v>1752.29</v>
      </c>
      <c r="S3716" s="1562"/>
    </row>
    <row r="3717" spans="2:19" s="1704" customFormat="1" ht="11.25" customHeight="1" outlineLevel="1">
      <c r="B3717" s="1697">
        <v>11407</v>
      </c>
      <c r="C3717" s="1698" t="s">
        <v>5351</v>
      </c>
      <c r="D3717" s="1698" t="s">
        <v>9546</v>
      </c>
      <c r="E3717" s="1698"/>
      <c r="F3717" s="1698"/>
      <c r="G3717" s="1698" t="s">
        <v>9536</v>
      </c>
      <c r="H3717" s="1699">
        <v>1</v>
      </c>
      <c r="I3717" s="1698"/>
      <c r="J3717" s="1698"/>
      <c r="K3717" s="1700">
        <v>358</v>
      </c>
      <c r="L3717" s="1701">
        <v>563650</v>
      </c>
      <c r="M3717" s="1702"/>
      <c r="N3717" s="1701">
        <v>563650</v>
      </c>
      <c r="O3717" s="1701">
        <v>112998.07</v>
      </c>
      <c r="P3717" s="1701">
        <v>434509.29</v>
      </c>
      <c r="Q3717" s="1701">
        <v>16142.64</v>
      </c>
      <c r="R3717" s="1701">
        <v>450651.93</v>
      </c>
      <c r="S3717" s="1703"/>
    </row>
    <row r="3718" spans="2:19" ht="11.25" customHeight="1" outlineLevel="1">
      <c r="B3718" s="1573">
        <v>11410</v>
      </c>
      <c r="C3718" s="1566" t="s">
        <v>5351</v>
      </c>
      <c r="D3718" s="1566" t="s">
        <v>9545</v>
      </c>
      <c r="E3718" s="1566"/>
      <c r="F3718" s="1566"/>
      <c r="G3718" s="1566" t="s">
        <v>9544</v>
      </c>
      <c r="H3718" s="1568">
        <v>1</v>
      </c>
      <c r="I3718" s="1566"/>
      <c r="J3718" s="1566"/>
      <c r="K3718" s="1572">
        <v>104</v>
      </c>
      <c r="L3718" s="1565">
        <v>5951</v>
      </c>
      <c r="M3718" s="1564"/>
      <c r="N3718" s="1565">
        <v>5951</v>
      </c>
      <c r="O3718" s="1565">
        <v>1193.8800000000001</v>
      </c>
      <c r="P3718" s="1565">
        <v>4586.6000000000004</v>
      </c>
      <c r="Q3718" s="1572">
        <v>170.52</v>
      </c>
      <c r="R3718" s="1565">
        <v>4757.12</v>
      </c>
      <c r="S3718" s="1562"/>
    </row>
    <row r="3719" spans="2:19" ht="11.25" customHeight="1" outlineLevel="1">
      <c r="B3719" s="1573">
        <v>11430</v>
      </c>
      <c r="C3719" s="1566" t="s">
        <v>5335</v>
      </c>
      <c r="D3719" s="1566" t="s">
        <v>9543</v>
      </c>
      <c r="E3719" s="1566"/>
      <c r="F3719" s="1566"/>
      <c r="G3719" s="1566" t="s">
        <v>5347</v>
      </c>
      <c r="H3719" s="1568">
        <v>1</v>
      </c>
      <c r="I3719" s="1566"/>
      <c r="J3719" s="1566"/>
      <c r="K3719" s="1572">
        <v>247</v>
      </c>
      <c r="L3719" s="1565">
        <v>6505</v>
      </c>
      <c r="M3719" s="1564"/>
      <c r="N3719" s="1565">
        <v>6505</v>
      </c>
      <c r="O3719" s="1565">
        <v>1310.2</v>
      </c>
      <c r="P3719" s="1565">
        <v>5007.6000000000004</v>
      </c>
      <c r="Q3719" s="1572">
        <v>187.2</v>
      </c>
      <c r="R3719" s="1565">
        <v>5194.8</v>
      </c>
      <c r="S3719" s="1562"/>
    </row>
    <row r="3720" spans="2:19" ht="11.25" customHeight="1" outlineLevel="1">
      <c r="B3720" s="1573">
        <v>11433</v>
      </c>
      <c r="C3720" s="1566" t="s">
        <v>5335</v>
      </c>
      <c r="D3720" s="1566" t="s">
        <v>9542</v>
      </c>
      <c r="E3720" s="1566"/>
      <c r="F3720" s="1566"/>
      <c r="G3720" s="1566" t="s">
        <v>9541</v>
      </c>
      <c r="H3720" s="1568">
        <v>1</v>
      </c>
      <c r="I3720" s="1566"/>
      <c r="J3720" s="1566"/>
      <c r="K3720" s="1572">
        <v>122</v>
      </c>
      <c r="L3720" s="1565">
        <v>3781</v>
      </c>
      <c r="M3720" s="1564"/>
      <c r="N3720" s="1565">
        <v>3781</v>
      </c>
      <c r="O3720" s="1572">
        <v>760.81</v>
      </c>
      <c r="P3720" s="1565">
        <v>2911.47</v>
      </c>
      <c r="Q3720" s="1572">
        <v>108.72</v>
      </c>
      <c r="R3720" s="1565">
        <v>3020.19</v>
      </c>
      <c r="S3720" s="1562"/>
    </row>
    <row r="3721" spans="2:19" ht="11.25" customHeight="1" outlineLevel="1">
      <c r="B3721" s="1573">
        <v>11436</v>
      </c>
      <c r="C3721" s="1566" t="s">
        <v>5335</v>
      </c>
      <c r="D3721" s="1566" t="s">
        <v>9540</v>
      </c>
      <c r="E3721" s="1566"/>
      <c r="F3721" s="1566"/>
      <c r="G3721" s="1566" t="s">
        <v>5342</v>
      </c>
      <c r="H3721" s="1568">
        <v>1</v>
      </c>
      <c r="I3721" s="1566"/>
      <c r="J3721" s="1566"/>
      <c r="K3721" s="1572">
        <v>168</v>
      </c>
      <c r="L3721" s="1565">
        <v>4109</v>
      </c>
      <c r="M3721" s="1564"/>
      <c r="N3721" s="1565">
        <v>4109</v>
      </c>
      <c r="O3721" s="1565">
        <v>2170.94</v>
      </c>
      <c r="P3721" s="1565">
        <v>1868.22</v>
      </c>
      <c r="Q3721" s="1572">
        <v>69.84</v>
      </c>
      <c r="R3721" s="1565">
        <v>1938.06</v>
      </c>
      <c r="S3721" s="1562"/>
    </row>
    <row r="3722" spans="2:19" ht="11.25" customHeight="1" outlineLevel="1">
      <c r="B3722" s="1573">
        <v>11438</v>
      </c>
      <c r="C3722" s="1566" t="s">
        <v>5335</v>
      </c>
      <c r="D3722" s="1566" t="s">
        <v>9539</v>
      </c>
      <c r="E3722" s="1566"/>
      <c r="F3722" s="1566"/>
      <c r="G3722" s="1566" t="s">
        <v>9538</v>
      </c>
      <c r="H3722" s="1568">
        <v>3</v>
      </c>
      <c r="I3722" s="1566"/>
      <c r="J3722" s="1566"/>
      <c r="K3722" s="1572">
        <v>82</v>
      </c>
      <c r="L3722" s="1565">
        <v>116857</v>
      </c>
      <c r="M3722" s="1564"/>
      <c r="N3722" s="1565">
        <v>116857</v>
      </c>
      <c r="O3722" s="1565">
        <v>7856.04</v>
      </c>
      <c r="P3722" s="1565">
        <v>105072.93</v>
      </c>
      <c r="Q3722" s="1565">
        <v>3928.03</v>
      </c>
      <c r="R3722" s="1565">
        <v>109000.96000000001</v>
      </c>
      <c r="S3722" s="1562"/>
    </row>
    <row r="3723" spans="2:19" ht="11.25" customHeight="1" outlineLevel="1">
      <c r="B3723" s="1573">
        <v>11439</v>
      </c>
      <c r="C3723" s="1566" t="s">
        <v>5335</v>
      </c>
      <c r="D3723" s="1566" t="s">
        <v>9537</v>
      </c>
      <c r="E3723" s="1566"/>
      <c r="F3723" s="1566"/>
      <c r="G3723" s="1566" t="s">
        <v>9536</v>
      </c>
      <c r="H3723" s="1568">
        <v>1</v>
      </c>
      <c r="I3723" s="1566"/>
      <c r="J3723" s="1566"/>
      <c r="K3723" s="1565">
        <v>511414</v>
      </c>
      <c r="L3723" s="1565">
        <v>509322.9</v>
      </c>
      <c r="M3723" s="1564"/>
      <c r="N3723" s="1565">
        <v>509322.9</v>
      </c>
      <c r="O3723" s="1565">
        <v>155979.93</v>
      </c>
      <c r="P3723" s="1565">
        <v>340609.89</v>
      </c>
      <c r="Q3723" s="1565">
        <v>12733.08</v>
      </c>
      <c r="R3723" s="1565">
        <v>353342.97</v>
      </c>
      <c r="S3723" s="1562"/>
    </row>
    <row r="3724" spans="2:19" ht="11.25" customHeight="1" outlineLevel="1">
      <c r="B3724" s="1573">
        <v>11440</v>
      </c>
      <c r="C3724" s="1566" t="s">
        <v>5335</v>
      </c>
      <c r="D3724" s="1566" t="s">
        <v>9535</v>
      </c>
      <c r="E3724" s="1566"/>
      <c r="F3724" s="1566"/>
      <c r="G3724" s="1566" t="s">
        <v>9534</v>
      </c>
      <c r="H3724" s="1568">
        <v>1</v>
      </c>
      <c r="I3724" s="1566"/>
      <c r="J3724" s="1566"/>
      <c r="K3724" s="1572">
        <v>41</v>
      </c>
      <c r="L3724" s="1565">
        <v>14571</v>
      </c>
      <c r="M3724" s="1564"/>
      <c r="N3724" s="1565">
        <v>14571</v>
      </c>
      <c r="O3724" s="1565">
        <v>7697.88</v>
      </c>
      <c r="P3724" s="1565">
        <v>6625.44</v>
      </c>
      <c r="Q3724" s="1572">
        <v>247.68</v>
      </c>
      <c r="R3724" s="1565">
        <v>6873.12</v>
      </c>
      <c r="S3724" s="1562"/>
    </row>
    <row r="3725" spans="2:19" ht="11.25" customHeight="1" outlineLevel="1">
      <c r="B3725" s="1573">
        <v>11441</v>
      </c>
      <c r="C3725" s="1566" t="s">
        <v>5335</v>
      </c>
      <c r="D3725" s="1566" t="s">
        <v>9533</v>
      </c>
      <c r="E3725" s="1566"/>
      <c r="F3725" s="1566"/>
      <c r="G3725" s="1566" t="s">
        <v>5338</v>
      </c>
      <c r="H3725" s="1568">
        <v>1</v>
      </c>
      <c r="I3725" s="1566"/>
      <c r="J3725" s="1566"/>
      <c r="K3725" s="1572">
        <v>92</v>
      </c>
      <c r="L3725" s="1565">
        <v>3669</v>
      </c>
      <c r="M3725" s="1564"/>
      <c r="N3725" s="1565">
        <v>3669</v>
      </c>
      <c r="O3725" s="1565">
        <v>1937.52</v>
      </c>
      <c r="P3725" s="1565">
        <v>1669.2</v>
      </c>
      <c r="Q3725" s="1572">
        <v>62.28</v>
      </c>
      <c r="R3725" s="1565">
        <v>1731.48</v>
      </c>
      <c r="S3725" s="1562"/>
    </row>
    <row r="3726" spans="2:19" ht="21.75" customHeight="1" outlineLevel="1">
      <c r="B3726" s="1573">
        <v>11444</v>
      </c>
      <c r="C3726" s="1566" t="s">
        <v>5335</v>
      </c>
      <c r="D3726" s="1566" t="s">
        <v>9532</v>
      </c>
      <c r="E3726" s="1566"/>
      <c r="F3726" s="1566"/>
      <c r="G3726" s="1566" t="s">
        <v>9531</v>
      </c>
      <c r="H3726" s="1568">
        <v>1</v>
      </c>
      <c r="I3726" s="1566"/>
      <c r="J3726" s="1566"/>
      <c r="K3726" s="1572">
        <v>296</v>
      </c>
      <c r="L3726" s="1565">
        <v>6365</v>
      </c>
      <c r="M3726" s="1564"/>
      <c r="N3726" s="1565">
        <v>6365</v>
      </c>
      <c r="O3726" s="1565">
        <v>1283.18</v>
      </c>
      <c r="P3726" s="1565">
        <v>4898.46</v>
      </c>
      <c r="Q3726" s="1572">
        <v>183.36</v>
      </c>
      <c r="R3726" s="1565">
        <v>5081.82</v>
      </c>
      <c r="S3726" s="1562"/>
    </row>
    <row r="3727" spans="2:19" ht="11.25" customHeight="1" outlineLevel="1">
      <c r="B3727" s="1573">
        <v>11445</v>
      </c>
      <c r="C3727" s="1566" t="s">
        <v>5335</v>
      </c>
      <c r="D3727" s="1566" t="s">
        <v>9530</v>
      </c>
      <c r="E3727" s="1566"/>
      <c r="F3727" s="1566"/>
      <c r="G3727" s="1566" t="s">
        <v>5147</v>
      </c>
      <c r="H3727" s="1568">
        <v>1</v>
      </c>
      <c r="I3727" s="1566"/>
      <c r="J3727" s="1566"/>
      <c r="K3727" s="1572">
        <v>104</v>
      </c>
      <c r="L3727" s="1565">
        <v>88431</v>
      </c>
      <c r="M3727" s="1564"/>
      <c r="N3727" s="1565">
        <v>88431</v>
      </c>
      <c r="O3727" s="1565">
        <v>17814.78</v>
      </c>
      <c r="P3727" s="1565">
        <v>68071.259999999995</v>
      </c>
      <c r="Q3727" s="1565">
        <v>2544.96</v>
      </c>
      <c r="R3727" s="1565">
        <v>70616.22</v>
      </c>
      <c r="S3727" s="1562"/>
    </row>
    <row r="3728" spans="2:19" ht="11.25" customHeight="1" outlineLevel="1">
      <c r="B3728" s="1573">
        <v>11446</v>
      </c>
      <c r="C3728" s="1566" t="s">
        <v>5335</v>
      </c>
      <c r="D3728" s="1566" t="s">
        <v>9529</v>
      </c>
      <c r="E3728" s="1566"/>
      <c r="F3728" s="1566"/>
      <c r="G3728" s="1566" t="s">
        <v>9528</v>
      </c>
      <c r="H3728" s="1568">
        <v>1</v>
      </c>
      <c r="I3728" s="1566"/>
      <c r="J3728" s="1566"/>
      <c r="K3728" s="1572">
        <v>2</v>
      </c>
      <c r="L3728" s="1572">
        <v>270</v>
      </c>
      <c r="M3728" s="1564"/>
      <c r="N3728" s="1572">
        <v>270</v>
      </c>
      <c r="O3728" s="1572">
        <v>143.46</v>
      </c>
      <c r="P3728" s="1572">
        <v>121.98</v>
      </c>
      <c r="Q3728" s="1572">
        <v>4.5599999999999996</v>
      </c>
      <c r="R3728" s="1572">
        <v>126.54</v>
      </c>
      <c r="S3728" s="1562"/>
    </row>
    <row r="3729" spans="2:19" ht="11.25" customHeight="1" outlineLevel="1">
      <c r="B3729" s="1573">
        <v>11448</v>
      </c>
      <c r="C3729" s="1566" t="s">
        <v>5335</v>
      </c>
      <c r="D3729" s="1566" t="s">
        <v>9527</v>
      </c>
      <c r="E3729" s="1566"/>
      <c r="F3729" s="1566"/>
      <c r="G3729" s="1566" t="s">
        <v>9526</v>
      </c>
      <c r="H3729" s="1568">
        <v>1</v>
      </c>
      <c r="I3729" s="1566"/>
      <c r="J3729" s="1566"/>
      <c r="K3729" s="1572">
        <v>175</v>
      </c>
      <c r="L3729" s="1572">
        <v>175</v>
      </c>
      <c r="M3729" s="1564"/>
      <c r="N3729" s="1572">
        <v>175</v>
      </c>
      <c r="O3729" s="1572">
        <v>55</v>
      </c>
      <c r="P3729" s="1572">
        <v>115.56</v>
      </c>
      <c r="Q3729" s="1572">
        <v>4.4400000000000004</v>
      </c>
      <c r="R3729" s="1572">
        <v>120</v>
      </c>
      <c r="S3729" s="1562"/>
    </row>
    <row r="3730" spans="2:19" ht="11.25" customHeight="1" outlineLevel="1">
      <c r="B3730" s="1573">
        <v>11461</v>
      </c>
      <c r="C3730" s="1566" t="s">
        <v>5328</v>
      </c>
      <c r="D3730" s="1566" t="s">
        <v>9525</v>
      </c>
      <c r="E3730" s="1566"/>
      <c r="F3730" s="1566"/>
      <c r="G3730" s="1566" t="s">
        <v>5326</v>
      </c>
      <c r="H3730" s="1568">
        <v>1</v>
      </c>
      <c r="I3730" s="1566"/>
      <c r="J3730" s="1566"/>
      <c r="K3730" s="1572">
        <v>59</v>
      </c>
      <c r="L3730" s="1565">
        <v>1698</v>
      </c>
      <c r="M3730" s="1564"/>
      <c r="N3730" s="1565">
        <v>1698</v>
      </c>
      <c r="O3730" s="1572">
        <v>343.32</v>
      </c>
      <c r="P3730" s="1565">
        <v>1305.5999999999999</v>
      </c>
      <c r="Q3730" s="1572">
        <v>49.08</v>
      </c>
      <c r="R3730" s="1565">
        <v>1354.68</v>
      </c>
      <c r="S3730" s="1562"/>
    </row>
    <row r="3731" spans="2:19" ht="11.25" customHeight="1" outlineLevel="1">
      <c r="B3731" s="1573">
        <v>11462</v>
      </c>
      <c r="C3731" s="1566" t="s">
        <v>5328</v>
      </c>
      <c r="D3731" s="1566" t="s">
        <v>9524</v>
      </c>
      <c r="E3731" s="1566"/>
      <c r="F3731" s="1566"/>
      <c r="G3731" s="1566" t="s">
        <v>9523</v>
      </c>
      <c r="H3731" s="1568">
        <v>1</v>
      </c>
      <c r="I3731" s="1566"/>
      <c r="J3731" s="1566"/>
      <c r="K3731" s="1572">
        <v>116</v>
      </c>
      <c r="L3731" s="1565">
        <v>37040</v>
      </c>
      <c r="M3731" s="1564"/>
      <c r="N3731" s="1565">
        <v>37040</v>
      </c>
      <c r="O3731" s="1565">
        <v>19623.16</v>
      </c>
      <c r="P3731" s="1565">
        <v>16787.2</v>
      </c>
      <c r="Q3731" s="1572">
        <v>629.64</v>
      </c>
      <c r="R3731" s="1565">
        <v>17416.84</v>
      </c>
      <c r="S3731" s="1562"/>
    </row>
    <row r="3732" spans="2:19" ht="11.25" customHeight="1" outlineLevel="1">
      <c r="B3732" s="1573">
        <v>23363</v>
      </c>
      <c r="C3732" s="1566" t="s">
        <v>5313</v>
      </c>
      <c r="D3732" s="1566" t="s">
        <v>9522</v>
      </c>
      <c r="E3732" s="1566"/>
      <c r="F3732" s="1566"/>
      <c r="G3732" s="1566" t="s">
        <v>5324</v>
      </c>
      <c r="H3732" s="1568">
        <v>1</v>
      </c>
      <c r="I3732" s="1566"/>
      <c r="J3732" s="1566"/>
      <c r="K3732" s="1572">
        <v>6</v>
      </c>
      <c r="L3732" s="1572">
        <v>199</v>
      </c>
      <c r="M3732" s="1564"/>
      <c r="N3732" s="1572">
        <v>199</v>
      </c>
      <c r="O3732" s="1572">
        <v>106.32</v>
      </c>
      <c r="P3732" s="1572">
        <v>89.32</v>
      </c>
      <c r="Q3732" s="1572">
        <v>3.36</v>
      </c>
      <c r="R3732" s="1572">
        <v>92.68</v>
      </c>
      <c r="S3732" s="1562"/>
    </row>
    <row r="3733" spans="2:19" ht="11.25" customHeight="1" outlineLevel="1">
      <c r="B3733" s="1573">
        <v>23364</v>
      </c>
      <c r="C3733" s="1566" t="s">
        <v>5313</v>
      </c>
      <c r="D3733" s="1566" t="s">
        <v>9521</v>
      </c>
      <c r="E3733" s="1566"/>
      <c r="F3733" s="1566"/>
      <c r="G3733" s="1566" t="s">
        <v>5322</v>
      </c>
      <c r="H3733" s="1568">
        <v>1</v>
      </c>
      <c r="I3733" s="1566"/>
      <c r="J3733" s="1566"/>
      <c r="K3733" s="1572">
        <v>98</v>
      </c>
      <c r="L3733" s="1565">
        <v>1278</v>
      </c>
      <c r="M3733" s="1564"/>
      <c r="N3733" s="1565">
        <v>1278</v>
      </c>
      <c r="O3733" s="1572">
        <v>678.89</v>
      </c>
      <c r="P3733" s="1572">
        <v>577.39</v>
      </c>
      <c r="Q3733" s="1572">
        <v>21.72</v>
      </c>
      <c r="R3733" s="1572">
        <v>599.11</v>
      </c>
      <c r="S3733" s="1562"/>
    </row>
    <row r="3734" spans="2:19" ht="11.25" customHeight="1" outlineLevel="1">
      <c r="B3734" s="1573">
        <v>23365</v>
      </c>
      <c r="C3734" s="1566" t="s">
        <v>5313</v>
      </c>
      <c r="D3734" s="1566" t="s">
        <v>9520</v>
      </c>
      <c r="E3734" s="1566"/>
      <c r="F3734" s="1566"/>
      <c r="G3734" s="1566" t="s">
        <v>5320</v>
      </c>
      <c r="H3734" s="1568">
        <v>1</v>
      </c>
      <c r="I3734" s="1566"/>
      <c r="J3734" s="1566"/>
      <c r="K3734" s="1572">
        <v>92</v>
      </c>
      <c r="L3734" s="1565">
        <v>2513</v>
      </c>
      <c r="M3734" s="1564"/>
      <c r="N3734" s="1565">
        <v>2513</v>
      </c>
      <c r="O3734" s="1565">
        <v>1334.64</v>
      </c>
      <c r="P3734" s="1565">
        <v>1135.6400000000001</v>
      </c>
      <c r="Q3734" s="1572">
        <v>42.72</v>
      </c>
      <c r="R3734" s="1565">
        <v>1178.3599999999999</v>
      </c>
      <c r="S3734" s="1562"/>
    </row>
    <row r="3735" spans="2:19" ht="11.25" customHeight="1" outlineLevel="1">
      <c r="B3735" s="1573">
        <v>23366</v>
      </c>
      <c r="C3735" s="1566" t="s">
        <v>5313</v>
      </c>
      <c r="D3735" s="1566" t="s">
        <v>9519</v>
      </c>
      <c r="E3735" s="1566"/>
      <c r="F3735" s="1566"/>
      <c r="G3735" s="1566" t="s">
        <v>5318</v>
      </c>
      <c r="H3735" s="1568">
        <v>1</v>
      </c>
      <c r="I3735" s="1566"/>
      <c r="J3735" s="1566"/>
      <c r="K3735" s="1572">
        <v>65</v>
      </c>
      <c r="L3735" s="1572">
        <v>490</v>
      </c>
      <c r="M3735" s="1564"/>
      <c r="N3735" s="1572">
        <v>490</v>
      </c>
      <c r="O3735" s="1572">
        <v>261.49</v>
      </c>
      <c r="P3735" s="1572">
        <v>220.11</v>
      </c>
      <c r="Q3735" s="1572">
        <v>8.4</v>
      </c>
      <c r="R3735" s="1572">
        <v>228.51</v>
      </c>
      <c r="S3735" s="1562"/>
    </row>
    <row r="3736" spans="2:19" ht="11.25" customHeight="1" outlineLevel="1">
      <c r="B3736" s="1573">
        <v>23367</v>
      </c>
      <c r="C3736" s="1566" t="s">
        <v>5313</v>
      </c>
      <c r="D3736" s="1566" t="s">
        <v>9518</v>
      </c>
      <c r="E3736" s="1566"/>
      <c r="F3736" s="1566"/>
      <c r="G3736" s="1566" t="s">
        <v>5316</v>
      </c>
      <c r="H3736" s="1568">
        <v>1</v>
      </c>
      <c r="I3736" s="1566"/>
      <c r="J3736" s="1566"/>
      <c r="K3736" s="1572">
        <v>92</v>
      </c>
      <c r="L3736" s="1565">
        <v>3348</v>
      </c>
      <c r="M3736" s="1564"/>
      <c r="N3736" s="1565">
        <v>3348</v>
      </c>
      <c r="O3736" s="1565">
        <v>1779.06</v>
      </c>
      <c r="P3736" s="1565">
        <v>1512.06</v>
      </c>
      <c r="Q3736" s="1572">
        <v>56.88</v>
      </c>
      <c r="R3736" s="1565">
        <v>1568.94</v>
      </c>
      <c r="S3736" s="1562"/>
    </row>
    <row r="3737" spans="2:19" ht="11.25" customHeight="1" outlineLevel="1">
      <c r="B3737" s="1573">
        <v>23368</v>
      </c>
      <c r="C3737" s="1566" t="s">
        <v>5313</v>
      </c>
      <c r="D3737" s="1566" t="s">
        <v>9517</v>
      </c>
      <c r="E3737" s="1566"/>
      <c r="F3737" s="1566"/>
      <c r="G3737" s="1566" t="s">
        <v>5314</v>
      </c>
      <c r="H3737" s="1568">
        <v>1</v>
      </c>
      <c r="I3737" s="1566"/>
      <c r="J3737" s="1566"/>
      <c r="K3737" s="1572">
        <v>92</v>
      </c>
      <c r="L3737" s="1565">
        <v>1284</v>
      </c>
      <c r="M3737" s="1564"/>
      <c r="N3737" s="1565">
        <v>1284</v>
      </c>
      <c r="O3737" s="1572">
        <v>681.58</v>
      </c>
      <c r="P3737" s="1572">
        <v>580.58000000000004</v>
      </c>
      <c r="Q3737" s="1572">
        <v>21.84</v>
      </c>
      <c r="R3737" s="1572">
        <v>602.41999999999996</v>
      </c>
      <c r="S3737" s="1562"/>
    </row>
    <row r="3738" spans="2:19" ht="11.25" customHeight="1" outlineLevel="1">
      <c r="B3738" s="1573">
        <v>23388</v>
      </c>
      <c r="C3738" s="1566" t="s">
        <v>5308</v>
      </c>
      <c r="D3738" s="1566" t="s">
        <v>9516</v>
      </c>
      <c r="E3738" s="1566"/>
      <c r="F3738" s="1566"/>
      <c r="G3738" s="1566" t="s">
        <v>5309</v>
      </c>
      <c r="H3738" s="1568">
        <v>1</v>
      </c>
      <c r="I3738" s="1566"/>
      <c r="J3738" s="1566"/>
      <c r="K3738" s="1572">
        <v>48</v>
      </c>
      <c r="L3738" s="1572">
        <v>195</v>
      </c>
      <c r="M3738" s="1564"/>
      <c r="N3738" s="1572">
        <v>195</v>
      </c>
      <c r="O3738" s="1572">
        <v>30</v>
      </c>
      <c r="P3738" s="1572">
        <v>159</v>
      </c>
      <c r="Q3738" s="1572">
        <v>6</v>
      </c>
      <c r="R3738" s="1572">
        <v>165</v>
      </c>
      <c r="S3738" s="1562"/>
    </row>
    <row r="3739" spans="2:19" ht="11.25" customHeight="1" outlineLevel="1">
      <c r="B3739" s="1573">
        <v>23390</v>
      </c>
      <c r="C3739" s="1566" t="s">
        <v>5308</v>
      </c>
      <c r="D3739" s="1566" t="s">
        <v>9515</v>
      </c>
      <c r="E3739" s="1566"/>
      <c r="F3739" s="1566"/>
      <c r="G3739" s="1566" t="s">
        <v>9514</v>
      </c>
      <c r="H3739" s="1568">
        <v>1</v>
      </c>
      <c r="I3739" s="1566"/>
      <c r="J3739" s="1566"/>
      <c r="K3739" s="1572">
        <v>124</v>
      </c>
      <c r="L3739" s="1565">
        <v>6233</v>
      </c>
      <c r="M3739" s="1564"/>
      <c r="N3739" s="1565">
        <v>6233</v>
      </c>
      <c r="O3739" s="1565">
        <v>3319.1</v>
      </c>
      <c r="P3739" s="1565">
        <v>2807.94</v>
      </c>
      <c r="Q3739" s="1572">
        <v>105.96</v>
      </c>
      <c r="R3739" s="1565">
        <v>2913.9</v>
      </c>
      <c r="S3739" s="1562"/>
    </row>
    <row r="3740" spans="2:19" ht="11.25" customHeight="1" outlineLevel="1">
      <c r="B3740" s="1573">
        <v>23413</v>
      </c>
      <c r="C3740" s="1566" t="s">
        <v>5230</v>
      </c>
      <c r="D3740" s="1566" t="s">
        <v>9513</v>
      </c>
      <c r="E3740" s="1566"/>
      <c r="F3740" s="1566"/>
      <c r="G3740" s="1566" t="s">
        <v>5304</v>
      </c>
      <c r="H3740" s="1568">
        <v>1</v>
      </c>
      <c r="I3740" s="1566"/>
      <c r="J3740" s="1566"/>
      <c r="K3740" s="1572">
        <v>92</v>
      </c>
      <c r="L3740" s="1565">
        <v>9998</v>
      </c>
      <c r="M3740" s="1564"/>
      <c r="N3740" s="1565">
        <v>9998</v>
      </c>
      <c r="O3740" s="1565">
        <v>5339.36</v>
      </c>
      <c r="P3740" s="1565">
        <v>4488.72</v>
      </c>
      <c r="Q3740" s="1572">
        <v>169.92</v>
      </c>
      <c r="R3740" s="1565">
        <v>4658.6400000000003</v>
      </c>
      <c r="S3740" s="1562"/>
    </row>
    <row r="3741" spans="2:19" ht="11.25" customHeight="1" outlineLevel="1">
      <c r="B3741" s="1573">
        <v>23414</v>
      </c>
      <c r="C3741" s="1566" t="s">
        <v>5230</v>
      </c>
      <c r="D3741" s="1566" t="s">
        <v>9512</v>
      </c>
      <c r="E3741" s="1566"/>
      <c r="F3741" s="1566"/>
      <c r="G3741" s="1566" t="s">
        <v>9511</v>
      </c>
      <c r="H3741" s="1568">
        <v>1</v>
      </c>
      <c r="I3741" s="1566"/>
      <c r="J3741" s="1566"/>
      <c r="K3741" s="1572">
        <v>74</v>
      </c>
      <c r="L3741" s="1565">
        <v>6674</v>
      </c>
      <c r="M3741" s="1564"/>
      <c r="N3741" s="1565">
        <v>6674</v>
      </c>
      <c r="O3741" s="1565">
        <v>1199.2</v>
      </c>
      <c r="P3741" s="1565">
        <v>5274.88</v>
      </c>
      <c r="Q3741" s="1572">
        <v>199.92</v>
      </c>
      <c r="R3741" s="1565">
        <v>5474.8</v>
      </c>
      <c r="S3741" s="1562"/>
    </row>
    <row r="3742" spans="2:19" ht="11.25" customHeight="1" outlineLevel="1">
      <c r="B3742" s="1573">
        <v>23415</v>
      </c>
      <c r="C3742" s="1566" t="s">
        <v>5230</v>
      </c>
      <c r="D3742" s="1566" t="s">
        <v>9510</v>
      </c>
      <c r="E3742" s="1566"/>
      <c r="F3742" s="1566"/>
      <c r="G3742" s="1566" t="s">
        <v>9509</v>
      </c>
      <c r="H3742" s="1568">
        <v>1</v>
      </c>
      <c r="I3742" s="1566"/>
      <c r="J3742" s="1566"/>
      <c r="K3742" s="1572">
        <v>92</v>
      </c>
      <c r="L3742" s="1565">
        <v>1101</v>
      </c>
      <c r="M3742" s="1564"/>
      <c r="N3742" s="1565">
        <v>1101</v>
      </c>
      <c r="O3742" s="1572">
        <v>587.76</v>
      </c>
      <c r="P3742" s="1572">
        <v>494.52</v>
      </c>
      <c r="Q3742" s="1572">
        <v>18.72</v>
      </c>
      <c r="R3742" s="1572">
        <v>513.24</v>
      </c>
      <c r="S3742" s="1562"/>
    </row>
    <row r="3743" spans="2:19" ht="11.25" customHeight="1" outlineLevel="1">
      <c r="B3743" s="1573">
        <v>23416</v>
      </c>
      <c r="C3743" s="1566" t="s">
        <v>5230</v>
      </c>
      <c r="D3743" s="1566" t="s">
        <v>9508</v>
      </c>
      <c r="E3743" s="1566"/>
      <c r="F3743" s="1566"/>
      <c r="G3743" s="1566" t="s">
        <v>5299</v>
      </c>
      <c r="H3743" s="1568">
        <v>1</v>
      </c>
      <c r="I3743" s="1566"/>
      <c r="J3743" s="1566"/>
      <c r="K3743" s="1572">
        <v>92</v>
      </c>
      <c r="L3743" s="1565">
        <v>1220</v>
      </c>
      <c r="M3743" s="1564"/>
      <c r="N3743" s="1565">
        <v>1220</v>
      </c>
      <c r="O3743" s="1572">
        <v>650.83000000000004</v>
      </c>
      <c r="P3743" s="1572">
        <v>548.41</v>
      </c>
      <c r="Q3743" s="1572">
        <v>20.76</v>
      </c>
      <c r="R3743" s="1572">
        <v>569.16999999999996</v>
      </c>
      <c r="S3743" s="1562"/>
    </row>
    <row r="3744" spans="2:19" ht="11.25" customHeight="1" outlineLevel="1">
      <c r="B3744" s="1573">
        <v>23417</v>
      </c>
      <c r="C3744" s="1566" t="s">
        <v>5230</v>
      </c>
      <c r="D3744" s="1566" t="s">
        <v>9507</v>
      </c>
      <c r="E3744" s="1566"/>
      <c r="F3744" s="1566"/>
      <c r="G3744" s="1566" t="s">
        <v>5297</v>
      </c>
      <c r="H3744" s="1568">
        <v>1</v>
      </c>
      <c r="I3744" s="1566"/>
      <c r="J3744" s="1566"/>
      <c r="K3744" s="1572">
        <v>54</v>
      </c>
      <c r="L3744" s="1572">
        <v>558</v>
      </c>
      <c r="M3744" s="1564"/>
      <c r="N3744" s="1572">
        <v>558</v>
      </c>
      <c r="O3744" s="1572">
        <v>100.57</v>
      </c>
      <c r="P3744" s="1572">
        <v>440.63</v>
      </c>
      <c r="Q3744" s="1572">
        <v>16.8</v>
      </c>
      <c r="R3744" s="1572">
        <v>457.43</v>
      </c>
      <c r="S3744" s="1562"/>
    </row>
    <row r="3745" spans="2:19" ht="11.25" customHeight="1" outlineLevel="1">
      <c r="B3745" s="1573">
        <v>23418</v>
      </c>
      <c r="C3745" s="1566" t="s">
        <v>5230</v>
      </c>
      <c r="D3745" s="1566" t="s">
        <v>9506</v>
      </c>
      <c r="E3745" s="1566"/>
      <c r="F3745" s="1566"/>
      <c r="G3745" s="1566" t="s">
        <v>5295</v>
      </c>
      <c r="H3745" s="1568">
        <v>1</v>
      </c>
      <c r="I3745" s="1566"/>
      <c r="J3745" s="1566"/>
      <c r="K3745" s="1572">
        <v>92</v>
      </c>
      <c r="L3745" s="1565">
        <v>1009</v>
      </c>
      <c r="M3745" s="1564"/>
      <c r="N3745" s="1565">
        <v>1009</v>
      </c>
      <c r="O3745" s="1572">
        <v>538.53</v>
      </c>
      <c r="P3745" s="1572">
        <v>453.31</v>
      </c>
      <c r="Q3745" s="1572">
        <v>17.16</v>
      </c>
      <c r="R3745" s="1572">
        <v>470.47</v>
      </c>
      <c r="S3745" s="1562"/>
    </row>
    <row r="3746" spans="2:19" ht="11.25" customHeight="1" outlineLevel="1">
      <c r="B3746" s="1573">
        <v>23419</v>
      </c>
      <c r="C3746" s="1566" t="s">
        <v>5230</v>
      </c>
      <c r="D3746" s="1566" t="s">
        <v>9505</v>
      </c>
      <c r="E3746" s="1566"/>
      <c r="F3746" s="1566"/>
      <c r="G3746" s="1566" t="s">
        <v>5293</v>
      </c>
      <c r="H3746" s="1568">
        <v>1</v>
      </c>
      <c r="I3746" s="1566"/>
      <c r="J3746" s="1566"/>
      <c r="K3746" s="1572">
        <v>92</v>
      </c>
      <c r="L3746" s="1565">
        <v>1064</v>
      </c>
      <c r="M3746" s="1564"/>
      <c r="N3746" s="1565">
        <v>1064</v>
      </c>
      <c r="O3746" s="1572">
        <v>567.33000000000004</v>
      </c>
      <c r="P3746" s="1572">
        <v>478.67</v>
      </c>
      <c r="Q3746" s="1572">
        <v>18</v>
      </c>
      <c r="R3746" s="1572">
        <v>496.67</v>
      </c>
      <c r="S3746" s="1562"/>
    </row>
    <row r="3747" spans="2:19" ht="11.25" customHeight="1" outlineLevel="1">
      <c r="B3747" s="1573">
        <v>23420</v>
      </c>
      <c r="C3747" s="1566" t="s">
        <v>5230</v>
      </c>
      <c r="D3747" s="1566" t="s">
        <v>9504</v>
      </c>
      <c r="E3747" s="1566"/>
      <c r="F3747" s="1566"/>
      <c r="G3747" s="1566" t="s">
        <v>5291</v>
      </c>
      <c r="H3747" s="1568">
        <v>1</v>
      </c>
      <c r="I3747" s="1566"/>
      <c r="J3747" s="1566"/>
      <c r="K3747" s="1572">
        <v>92</v>
      </c>
      <c r="L3747" s="1565">
        <v>3687</v>
      </c>
      <c r="M3747" s="1564"/>
      <c r="N3747" s="1565">
        <v>3687</v>
      </c>
      <c r="O3747" s="1565">
        <v>1969.62</v>
      </c>
      <c r="P3747" s="1565">
        <v>1654.74</v>
      </c>
      <c r="Q3747" s="1572">
        <v>62.64</v>
      </c>
      <c r="R3747" s="1565">
        <v>1717.38</v>
      </c>
      <c r="S3747" s="1562"/>
    </row>
    <row r="3748" spans="2:19" ht="11.25" customHeight="1" outlineLevel="1">
      <c r="B3748" s="1573">
        <v>23421</v>
      </c>
      <c r="C3748" s="1566" t="s">
        <v>5230</v>
      </c>
      <c r="D3748" s="1566" t="s">
        <v>9503</v>
      </c>
      <c r="E3748" s="1566"/>
      <c r="F3748" s="1566"/>
      <c r="G3748" s="1566" t="s">
        <v>5289</v>
      </c>
      <c r="H3748" s="1568">
        <v>1</v>
      </c>
      <c r="I3748" s="1566"/>
      <c r="J3748" s="1566"/>
      <c r="K3748" s="1572">
        <v>92</v>
      </c>
      <c r="L3748" s="1565">
        <v>4173</v>
      </c>
      <c r="M3748" s="1564"/>
      <c r="N3748" s="1565">
        <v>4173</v>
      </c>
      <c r="O3748" s="1565">
        <v>2228.61</v>
      </c>
      <c r="P3748" s="1565">
        <v>1873.47</v>
      </c>
      <c r="Q3748" s="1572">
        <v>70.92</v>
      </c>
      <c r="R3748" s="1565">
        <v>1944.39</v>
      </c>
      <c r="S3748" s="1562"/>
    </row>
    <row r="3749" spans="2:19" ht="11.25" customHeight="1" outlineLevel="1">
      <c r="B3749" s="1573">
        <v>23422</v>
      </c>
      <c r="C3749" s="1566" t="s">
        <v>5230</v>
      </c>
      <c r="D3749" s="1566" t="s">
        <v>9502</v>
      </c>
      <c r="E3749" s="1566"/>
      <c r="F3749" s="1566"/>
      <c r="G3749" s="1566" t="s">
        <v>5287</v>
      </c>
      <c r="H3749" s="1568">
        <v>1</v>
      </c>
      <c r="I3749" s="1566"/>
      <c r="J3749" s="1566"/>
      <c r="K3749" s="1572">
        <v>92</v>
      </c>
      <c r="L3749" s="1565">
        <v>10245</v>
      </c>
      <c r="M3749" s="1564"/>
      <c r="N3749" s="1565">
        <v>10245</v>
      </c>
      <c r="O3749" s="1565">
        <v>5471.21</v>
      </c>
      <c r="P3749" s="1565">
        <v>4599.67</v>
      </c>
      <c r="Q3749" s="1572">
        <v>174.12</v>
      </c>
      <c r="R3749" s="1565">
        <v>4773.79</v>
      </c>
      <c r="S3749" s="1562"/>
    </row>
    <row r="3750" spans="2:19" ht="11.25" customHeight="1" outlineLevel="1">
      <c r="B3750" s="1573">
        <v>23423</v>
      </c>
      <c r="C3750" s="1566" t="s">
        <v>5230</v>
      </c>
      <c r="D3750" s="1566" t="s">
        <v>9501</v>
      </c>
      <c r="E3750" s="1566"/>
      <c r="F3750" s="1566"/>
      <c r="G3750" s="1566" t="s">
        <v>5285</v>
      </c>
      <c r="H3750" s="1568">
        <v>1</v>
      </c>
      <c r="I3750" s="1566"/>
      <c r="J3750" s="1566"/>
      <c r="K3750" s="1572">
        <v>92</v>
      </c>
      <c r="L3750" s="1565">
        <v>5870</v>
      </c>
      <c r="M3750" s="1564"/>
      <c r="N3750" s="1565">
        <v>5870</v>
      </c>
      <c r="O3750" s="1565">
        <v>3135.89</v>
      </c>
      <c r="P3750" s="1565">
        <v>2634.27</v>
      </c>
      <c r="Q3750" s="1572">
        <v>99.84</v>
      </c>
      <c r="R3750" s="1565">
        <v>2734.11</v>
      </c>
      <c r="S3750" s="1562"/>
    </row>
    <row r="3751" spans="2:19" ht="11.25" customHeight="1" outlineLevel="1">
      <c r="B3751" s="1573">
        <v>23424</v>
      </c>
      <c r="C3751" s="1566" t="s">
        <v>5230</v>
      </c>
      <c r="D3751" s="1566" t="s">
        <v>9500</v>
      </c>
      <c r="E3751" s="1566"/>
      <c r="F3751" s="1566"/>
      <c r="G3751" s="1566" t="s">
        <v>5283</v>
      </c>
      <c r="H3751" s="1568">
        <v>1</v>
      </c>
      <c r="I3751" s="1566"/>
      <c r="J3751" s="1566"/>
      <c r="K3751" s="1572">
        <v>49</v>
      </c>
      <c r="L3751" s="1572">
        <v>517</v>
      </c>
      <c r="M3751" s="1564"/>
      <c r="N3751" s="1572">
        <v>517</v>
      </c>
      <c r="O3751" s="1572">
        <v>92.59</v>
      </c>
      <c r="P3751" s="1572">
        <v>408.93</v>
      </c>
      <c r="Q3751" s="1572">
        <v>15.48</v>
      </c>
      <c r="R3751" s="1572">
        <v>424.41</v>
      </c>
      <c r="S3751" s="1562"/>
    </row>
    <row r="3752" spans="2:19" ht="11.25" customHeight="1" outlineLevel="1">
      <c r="B3752" s="1573">
        <v>23425</v>
      </c>
      <c r="C3752" s="1566" t="s">
        <v>5230</v>
      </c>
      <c r="D3752" s="1566" t="s">
        <v>9499</v>
      </c>
      <c r="E3752" s="1566"/>
      <c r="F3752" s="1566"/>
      <c r="G3752" s="1566" t="s">
        <v>5281</v>
      </c>
      <c r="H3752" s="1568">
        <v>1</v>
      </c>
      <c r="I3752" s="1566"/>
      <c r="J3752" s="1566"/>
      <c r="K3752" s="1572">
        <v>92</v>
      </c>
      <c r="L3752" s="1565">
        <v>4568</v>
      </c>
      <c r="M3752" s="1564"/>
      <c r="N3752" s="1565">
        <v>4568</v>
      </c>
      <c r="O3752" s="1565">
        <v>2439.37</v>
      </c>
      <c r="P3752" s="1565">
        <v>2050.9899999999998</v>
      </c>
      <c r="Q3752" s="1572">
        <v>77.64</v>
      </c>
      <c r="R3752" s="1565">
        <v>2128.63</v>
      </c>
      <c r="S3752" s="1562"/>
    </row>
    <row r="3753" spans="2:19" ht="11.25" customHeight="1" outlineLevel="1">
      <c r="B3753" s="1573">
        <v>23426</v>
      </c>
      <c r="C3753" s="1566" t="s">
        <v>5230</v>
      </c>
      <c r="D3753" s="1566" t="s">
        <v>9498</v>
      </c>
      <c r="E3753" s="1566"/>
      <c r="F3753" s="1566"/>
      <c r="G3753" s="1566" t="s">
        <v>5279</v>
      </c>
      <c r="H3753" s="1568">
        <v>1</v>
      </c>
      <c r="I3753" s="1566"/>
      <c r="J3753" s="1566"/>
      <c r="K3753" s="1572">
        <v>92</v>
      </c>
      <c r="L3753" s="1565">
        <v>2568</v>
      </c>
      <c r="M3753" s="1564"/>
      <c r="N3753" s="1565">
        <v>2568</v>
      </c>
      <c r="O3753" s="1565">
        <v>1370.44</v>
      </c>
      <c r="P3753" s="1565">
        <v>1153.8800000000001</v>
      </c>
      <c r="Q3753" s="1572">
        <v>43.68</v>
      </c>
      <c r="R3753" s="1565">
        <v>1197.56</v>
      </c>
      <c r="S3753" s="1562"/>
    </row>
    <row r="3754" spans="2:19" ht="11.25" customHeight="1" outlineLevel="1">
      <c r="B3754" s="1573">
        <v>23427</v>
      </c>
      <c r="C3754" s="1566" t="s">
        <v>5230</v>
      </c>
      <c r="D3754" s="1566" t="s">
        <v>9497</v>
      </c>
      <c r="E3754" s="1566"/>
      <c r="F3754" s="1566"/>
      <c r="G3754" s="1566" t="s">
        <v>5277</v>
      </c>
      <c r="H3754" s="1568">
        <v>1</v>
      </c>
      <c r="I3754" s="1566"/>
      <c r="J3754" s="1566"/>
      <c r="K3754" s="1572">
        <v>92</v>
      </c>
      <c r="L3754" s="1572">
        <v>459</v>
      </c>
      <c r="M3754" s="1564"/>
      <c r="N3754" s="1572">
        <v>459</v>
      </c>
      <c r="O3754" s="1572">
        <v>245.15</v>
      </c>
      <c r="P3754" s="1572">
        <v>206.05</v>
      </c>
      <c r="Q3754" s="1572">
        <v>7.8</v>
      </c>
      <c r="R3754" s="1572">
        <v>213.85</v>
      </c>
      <c r="S3754" s="1562"/>
    </row>
    <row r="3755" spans="2:19" ht="11.25" customHeight="1" outlineLevel="1">
      <c r="B3755" s="1573">
        <v>23428</v>
      </c>
      <c r="C3755" s="1566" t="s">
        <v>5230</v>
      </c>
      <c r="D3755" s="1566" t="s">
        <v>9496</v>
      </c>
      <c r="E3755" s="1566"/>
      <c r="F3755" s="1566"/>
      <c r="G3755" s="1566" t="s">
        <v>5275</v>
      </c>
      <c r="H3755" s="1568">
        <v>1</v>
      </c>
      <c r="I3755" s="1566"/>
      <c r="J3755" s="1566"/>
      <c r="K3755" s="1572">
        <v>92</v>
      </c>
      <c r="L3755" s="1565">
        <v>3302</v>
      </c>
      <c r="M3755" s="1564"/>
      <c r="N3755" s="1565">
        <v>3302</v>
      </c>
      <c r="O3755" s="1565">
        <v>1762.4</v>
      </c>
      <c r="P3755" s="1565">
        <v>1483.56</v>
      </c>
      <c r="Q3755" s="1572">
        <v>56.04</v>
      </c>
      <c r="R3755" s="1565">
        <v>1539.6</v>
      </c>
      <c r="S3755" s="1562"/>
    </row>
    <row r="3756" spans="2:19" ht="11.25" customHeight="1" outlineLevel="1">
      <c r="B3756" s="1573">
        <v>23429</v>
      </c>
      <c r="C3756" s="1566" t="s">
        <v>5230</v>
      </c>
      <c r="D3756" s="1566" t="s">
        <v>9495</v>
      </c>
      <c r="E3756" s="1566"/>
      <c r="F3756" s="1566"/>
      <c r="G3756" s="1566" t="s">
        <v>5273</v>
      </c>
      <c r="H3756" s="1568">
        <v>1</v>
      </c>
      <c r="I3756" s="1566"/>
      <c r="J3756" s="1566"/>
      <c r="K3756" s="1572">
        <v>92</v>
      </c>
      <c r="L3756" s="1572">
        <v>981</v>
      </c>
      <c r="M3756" s="1564"/>
      <c r="N3756" s="1572">
        <v>981</v>
      </c>
      <c r="O3756" s="1572">
        <v>523.69000000000005</v>
      </c>
      <c r="P3756" s="1572">
        <v>440.63</v>
      </c>
      <c r="Q3756" s="1572">
        <v>16.68</v>
      </c>
      <c r="R3756" s="1572">
        <v>457.31</v>
      </c>
      <c r="S3756" s="1562"/>
    </row>
    <row r="3757" spans="2:19" ht="11.25" customHeight="1" outlineLevel="1">
      <c r="B3757" s="1573">
        <v>23430</v>
      </c>
      <c r="C3757" s="1566" t="s">
        <v>5230</v>
      </c>
      <c r="D3757" s="1566" t="s">
        <v>9494</v>
      </c>
      <c r="E3757" s="1566"/>
      <c r="F3757" s="1566"/>
      <c r="G3757" s="1566" t="s">
        <v>5271</v>
      </c>
      <c r="H3757" s="1568">
        <v>1</v>
      </c>
      <c r="I3757" s="1566"/>
      <c r="J3757" s="1566"/>
      <c r="K3757" s="1572">
        <v>92</v>
      </c>
      <c r="L3757" s="1565">
        <v>3118</v>
      </c>
      <c r="M3757" s="1564"/>
      <c r="N3757" s="1565">
        <v>3118</v>
      </c>
      <c r="O3757" s="1565">
        <v>1663.94</v>
      </c>
      <c r="P3757" s="1565">
        <v>1401.14</v>
      </c>
      <c r="Q3757" s="1572">
        <v>52.92</v>
      </c>
      <c r="R3757" s="1565">
        <v>1454.06</v>
      </c>
      <c r="S3757" s="1562"/>
    </row>
    <row r="3758" spans="2:19" ht="11.25" customHeight="1" outlineLevel="1">
      <c r="B3758" s="1573">
        <v>23431</v>
      </c>
      <c r="C3758" s="1566" t="s">
        <v>5230</v>
      </c>
      <c r="D3758" s="1566" t="s">
        <v>9493</v>
      </c>
      <c r="E3758" s="1566"/>
      <c r="F3758" s="1566"/>
      <c r="G3758" s="1566" t="s">
        <v>5269</v>
      </c>
      <c r="H3758" s="1568">
        <v>1</v>
      </c>
      <c r="I3758" s="1566"/>
      <c r="J3758" s="1566"/>
      <c r="K3758" s="1572">
        <v>92</v>
      </c>
      <c r="L3758" s="1565">
        <v>1926</v>
      </c>
      <c r="M3758" s="1564"/>
      <c r="N3758" s="1565">
        <v>1926</v>
      </c>
      <c r="O3758" s="1565">
        <v>1027.83</v>
      </c>
      <c r="P3758" s="1572">
        <v>865.41</v>
      </c>
      <c r="Q3758" s="1572">
        <v>32.76</v>
      </c>
      <c r="R3758" s="1572">
        <v>898.17</v>
      </c>
      <c r="S3758" s="1562"/>
    </row>
    <row r="3759" spans="2:19" ht="11.25" customHeight="1" outlineLevel="1">
      <c r="B3759" s="1573">
        <v>23432</v>
      </c>
      <c r="C3759" s="1566" t="s">
        <v>5230</v>
      </c>
      <c r="D3759" s="1566" t="s">
        <v>9492</v>
      </c>
      <c r="E3759" s="1566"/>
      <c r="F3759" s="1566"/>
      <c r="G3759" s="1566" t="s">
        <v>5267</v>
      </c>
      <c r="H3759" s="1568">
        <v>1</v>
      </c>
      <c r="I3759" s="1566"/>
      <c r="J3759" s="1566"/>
      <c r="K3759" s="1572">
        <v>92</v>
      </c>
      <c r="L3759" s="1565">
        <v>10355</v>
      </c>
      <c r="M3759" s="1564"/>
      <c r="N3759" s="1565">
        <v>10355</v>
      </c>
      <c r="O3759" s="1565">
        <v>5528.69</v>
      </c>
      <c r="P3759" s="1565">
        <v>4650.3900000000003</v>
      </c>
      <c r="Q3759" s="1572">
        <v>175.92</v>
      </c>
      <c r="R3759" s="1565">
        <v>4826.3100000000004</v>
      </c>
      <c r="S3759" s="1562"/>
    </row>
    <row r="3760" spans="2:19" ht="11.25" customHeight="1" outlineLevel="1">
      <c r="B3760" s="1573">
        <v>23433</v>
      </c>
      <c r="C3760" s="1566" t="s">
        <v>5230</v>
      </c>
      <c r="D3760" s="1566" t="s">
        <v>9491</v>
      </c>
      <c r="E3760" s="1566"/>
      <c r="F3760" s="1566"/>
      <c r="G3760" s="1566" t="s">
        <v>5265</v>
      </c>
      <c r="H3760" s="1568">
        <v>1</v>
      </c>
      <c r="I3760" s="1566"/>
      <c r="J3760" s="1566"/>
      <c r="K3760" s="1572">
        <v>92</v>
      </c>
      <c r="L3760" s="1565">
        <v>1798</v>
      </c>
      <c r="M3760" s="1564"/>
      <c r="N3760" s="1565">
        <v>1798</v>
      </c>
      <c r="O3760" s="1572">
        <v>959.17</v>
      </c>
      <c r="P3760" s="1572">
        <v>808.35</v>
      </c>
      <c r="Q3760" s="1572">
        <v>30.48</v>
      </c>
      <c r="R3760" s="1572">
        <v>838.83</v>
      </c>
      <c r="S3760" s="1562"/>
    </row>
    <row r="3761" spans="2:19" ht="11.25" customHeight="1" outlineLevel="1">
      <c r="B3761" s="1573">
        <v>23434</v>
      </c>
      <c r="C3761" s="1566" t="s">
        <v>5230</v>
      </c>
      <c r="D3761" s="1566" t="s">
        <v>9490</v>
      </c>
      <c r="E3761" s="1566"/>
      <c r="F3761" s="1566"/>
      <c r="G3761" s="1566" t="s">
        <v>5263</v>
      </c>
      <c r="H3761" s="1568">
        <v>1</v>
      </c>
      <c r="I3761" s="1566"/>
      <c r="J3761" s="1566"/>
      <c r="K3761" s="1572">
        <v>92</v>
      </c>
      <c r="L3761" s="1565">
        <v>1046</v>
      </c>
      <c r="M3761" s="1564"/>
      <c r="N3761" s="1565">
        <v>1046</v>
      </c>
      <c r="O3761" s="1572">
        <v>559.08000000000004</v>
      </c>
      <c r="P3761" s="1572">
        <v>469.16</v>
      </c>
      <c r="Q3761" s="1572">
        <v>17.760000000000002</v>
      </c>
      <c r="R3761" s="1572">
        <v>486.92</v>
      </c>
      <c r="S3761" s="1562"/>
    </row>
    <row r="3762" spans="2:19" ht="11.25" customHeight="1" outlineLevel="1">
      <c r="B3762" s="1573">
        <v>23435</v>
      </c>
      <c r="C3762" s="1566" t="s">
        <v>5230</v>
      </c>
      <c r="D3762" s="1566" t="s">
        <v>9489</v>
      </c>
      <c r="E3762" s="1566"/>
      <c r="F3762" s="1566"/>
      <c r="G3762" s="1566" t="s">
        <v>5261</v>
      </c>
      <c r="H3762" s="1568">
        <v>1</v>
      </c>
      <c r="I3762" s="1566"/>
      <c r="J3762" s="1566"/>
      <c r="K3762" s="1572">
        <v>92</v>
      </c>
      <c r="L3762" s="1565">
        <v>1706</v>
      </c>
      <c r="M3762" s="1564"/>
      <c r="N3762" s="1565">
        <v>1706</v>
      </c>
      <c r="O3762" s="1572">
        <v>909.94</v>
      </c>
      <c r="P3762" s="1572">
        <v>767.14</v>
      </c>
      <c r="Q3762" s="1572">
        <v>28.92</v>
      </c>
      <c r="R3762" s="1572">
        <v>796.06</v>
      </c>
      <c r="S3762" s="1562"/>
    </row>
    <row r="3763" spans="2:19" ht="11.25" customHeight="1" outlineLevel="1">
      <c r="B3763" s="1573">
        <v>23436</v>
      </c>
      <c r="C3763" s="1566" t="s">
        <v>5230</v>
      </c>
      <c r="D3763" s="1566" t="s">
        <v>9488</v>
      </c>
      <c r="E3763" s="1566"/>
      <c r="F3763" s="1566"/>
      <c r="G3763" s="1566" t="s">
        <v>5259</v>
      </c>
      <c r="H3763" s="1568">
        <v>1</v>
      </c>
      <c r="I3763" s="1566"/>
      <c r="J3763" s="1566"/>
      <c r="K3763" s="1572">
        <v>92</v>
      </c>
      <c r="L3763" s="1572">
        <v>807</v>
      </c>
      <c r="M3763" s="1564"/>
      <c r="N3763" s="1572">
        <v>807</v>
      </c>
      <c r="O3763" s="1572">
        <v>431.82</v>
      </c>
      <c r="P3763" s="1572">
        <v>361.38</v>
      </c>
      <c r="Q3763" s="1572">
        <v>13.8</v>
      </c>
      <c r="R3763" s="1572">
        <v>375.18</v>
      </c>
      <c r="S3763" s="1562"/>
    </row>
    <row r="3764" spans="2:19" ht="11.25" customHeight="1" outlineLevel="1">
      <c r="B3764" s="1573">
        <v>23437</v>
      </c>
      <c r="C3764" s="1566" t="s">
        <v>5230</v>
      </c>
      <c r="D3764" s="1566" t="s">
        <v>9487</v>
      </c>
      <c r="E3764" s="1566"/>
      <c r="F3764" s="1566"/>
      <c r="G3764" s="1566" t="s">
        <v>5257</v>
      </c>
      <c r="H3764" s="1568">
        <v>1</v>
      </c>
      <c r="I3764" s="1566"/>
      <c r="J3764" s="1566"/>
      <c r="K3764" s="1572">
        <v>92</v>
      </c>
      <c r="L3764" s="1565">
        <v>2614</v>
      </c>
      <c r="M3764" s="1564"/>
      <c r="N3764" s="1565">
        <v>2614</v>
      </c>
      <c r="O3764" s="1565">
        <v>1396.7</v>
      </c>
      <c r="P3764" s="1565">
        <v>1172.9000000000001</v>
      </c>
      <c r="Q3764" s="1572">
        <v>44.4</v>
      </c>
      <c r="R3764" s="1565">
        <v>1217.3</v>
      </c>
      <c r="S3764" s="1562"/>
    </row>
    <row r="3765" spans="2:19" ht="11.25" customHeight="1" outlineLevel="1">
      <c r="B3765" s="1573">
        <v>23438</v>
      </c>
      <c r="C3765" s="1566" t="s">
        <v>5230</v>
      </c>
      <c r="D3765" s="1566" t="s">
        <v>9486</v>
      </c>
      <c r="E3765" s="1566"/>
      <c r="F3765" s="1566"/>
      <c r="G3765" s="1566" t="s">
        <v>5255</v>
      </c>
      <c r="H3765" s="1568">
        <v>1</v>
      </c>
      <c r="I3765" s="1566"/>
      <c r="J3765" s="1566"/>
      <c r="K3765" s="1572">
        <v>92</v>
      </c>
      <c r="L3765" s="1565">
        <v>1247</v>
      </c>
      <c r="M3765" s="1564"/>
      <c r="N3765" s="1565">
        <v>1247</v>
      </c>
      <c r="O3765" s="1572">
        <v>664.79</v>
      </c>
      <c r="P3765" s="1572">
        <v>561.09</v>
      </c>
      <c r="Q3765" s="1572">
        <v>21.12</v>
      </c>
      <c r="R3765" s="1572">
        <v>582.21</v>
      </c>
      <c r="S3765" s="1562"/>
    </row>
    <row r="3766" spans="2:19" ht="11.25" customHeight="1" outlineLevel="1">
      <c r="B3766" s="1573">
        <v>23439</v>
      </c>
      <c r="C3766" s="1566" t="s">
        <v>5230</v>
      </c>
      <c r="D3766" s="1566" t="s">
        <v>9485</v>
      </c>
      <c r="E3766" s="1566"/>
      <c r="F3766" s="1566"/>
      <c r="G3766" s="1566" t="s">
        <v>5253</v>
      </c>
      <c r="H3766" s="1568">
        <v>1</v>
      </c>
      <c r="I3766" s="1566"/>
      <c r="J3766" s="1566"/>
      <c r="K3766" s="1572">
        <v>92</v>
      </c>
      <c r="L3766" s="1572">
        <v>871</v>
      </c>
      <c r="M3766" s="1564"/>
      <c r="N3766" s="1572">
        <v>871</v>
      </c>
      <c r="O3766" s="1572">
        <v>466.21</v>
      </c>
      <c r="P3766" s="1572">
        <v>389.91</v>
      </c>
      <c r="Q3766" s="1572">
        <v>14.88</v>
      </c>
      <c r="R3766" s="1572">
        <v>404.79</v>
      </c>
      <c r="S3766" s="1562"/>
    </row>
    <row r="3767" spans="2:19" ht="11.25" customHeight="1" outlineLevel="1">
      <c r="B3767" s="1573">
        <v>23440</v>
      </c>
      <c r="C3767" s="1566" t="s">
        <v>5230</v>
      </c>
      <c r="D3767" s="1566" t="s">
        <v>9484</v>
      </c>
      <c r="E3767" s="1566"/>
      <c r="F3767" s="1566"/>
      <c r="G3767" s="1566" t="s">
        <v>5251</v>
      </c>
      <c r="H3767" s="1568">
        <v>1</v>
      </c>
      <c r="I3767" s="1566"/>
      <c r="J3767" s="1566"/>
      <c r="K3767" s="1572">
        <v>92</v>
      </c>
      <c r="L3767" s="1572">
        <v>945</v>
      </c>
      <c r="M3767" s="1564"/>
      <c r="N3767" s="1572">
        <v>945</v>
      </c>
      <c r="O3767" s="1572">
        <v>504.14</v>
      </c>
      <c r="P3767" s="1572">
        <v>424.78</v>
      </c>
      <c r="Q3767" s="1572">
        <v>16.079999999999998</v>
      </c>
      <c r="R3767" s="1572">
        <v>440.86</v>
      </c>
      <c r="S3767" s="1562"/>
    </row>
    <row r="3768" spans="2:19" ht="11.25" customHeight="1" outlineLevel="1">
      <c r="B3768" s="1573">
        <v>23441</v>
      </c>
      <c r="C3768" s="1566" t="s">
        <v>5230</v>
      </c>
      <c r="D3768" s="1566" t="s">
        <v>9483</v>
      </c>
      <c r="E3768" s="1566"/>
      <c r="F3768" s="1566"/>
      <c r="G3768" s="1566" t="s">
        <v>5249</v>
      </c>
      <c r="H3768" s="1568">
        <v>1</v>
      </c>
      <c r="I3768" s="1566"/>
      <c r="J3768" s="1566"/>
      <c r="K3768" s="1572">
        <v>92</v>
      </c>
      <c r="L3768" s="1572">
        <v>945</v>
      </c>
      <c r="M3768" s="1564"/>
      <c r="N3768" s="1572">
        <v>945</v>
      </c>
      <c r="O3768" s="1572">
        <v>504.14</v>
      </c>
      <c r="P3768" s="1572">
        <v>424.78</v>
      </c>
      <c r="Q3768" s="1572">
        <v>16.079999999999998</v>
      </c>
      <c r="R3768" s="1572">
        <v>440.86</v>
      </c>
      <c r="S3768" s="1562"/>
    </row>
    <row r="3769" spans="2:19" ht="11.25" customHeight="1" outlineLevel="1">
      <c r="B3769" s="1573">
        <v>23442</v>
      </c>
      <c r="C3769" s="1566" t="s">
        <v>5230</v>
      </c>
      <c r="D3769" s="1566" t="s">
        <v>9482</v>
      </c>
      <c r="E3769" s="1566"/>
      <c r="F3769" s="1566"/>
      <c r="G3769" s="1566" t="s">
        <v>5247</v>
      </c>
      <c r="H3769" s="1568">
        <v>1</v>
      </c>
      <c r="I3769" s="1566"/>
      <c r="J3769" s="1566"/>
      <c r="K3769" s="1572">
        <v>56</v>
      </c>
      <c r="L3769" s="1572">
        <v>623</v>
      </c>
      <c r="M3769" s="1564"/>
      <c r="N3769" s="1572">
        <v>623</v>
      </c>
      <c r="O3769" s="1572">
        <v>333.48</v>
      </c>
      <c r="P3769" s="1572">
        <v>278.95999999999998</v>
      </c>
      <c r="Q3769" s="1572">
        <v>10.56</v>
      </c>
      <c r="R3769" s="1572">
        <v>289.52</v>
      </c>
      <c r="S3769" s="1562"/>
    </row>
    <row r="3770" spans="2:19" ht="11.25" customHeight="1" outlineLevel="1">
      <c r="B3770" s="1573">
        <v>23443</v>
      </c>
      <c r="C3770" s="1566" t="s">
        <v>5230</v>
      </c>
      <c r="D3770" s="1566" t="s">
        <v>9481</v>
      </c>
      <c r="E3770" s="1566"/>
      <c r="F3770" s="1566"/>
      <c r="G3770" s="1566" t="s">
        <v>5245</v>
      </c>
      <c r="H3770" s="1568">
        <v>1</v>
      </c>
      <c r="I3770" s="1566"/>
      <c r="J3770" s="1566"/>
      <c r="K3770" s="1572">
        <v>92</v>
      </c>
      <c r="L3770" s="1565">
        <v>1174</v>
      </c>
      <c r="M3770" s="1564"/>
      <c r="N3770" s="1565">
        <v>1174</v>
      </c>
      <c r="O3770" s="1572">
        <v>627.74</v>
      </c>
      <c r="P3770" s="1572">
        <v>526.22</v>
      </c>
      <c r="Q3770" s="1572">
        <v>20.04</v>
      </c>
      <c r="R3770" s="1572">
        <v>546.26</v>
      </c>
      <c r="S3770" s="1562"/>
    </row>
    <row r="3771" spans="2:19" ht="11.25" customHeight="1" outlineLevel="1">
      <c r="B3771" s="1573">
        <v>23444</v>
      </c>
      <c r="C3771" s="1566" t="s">
        <v>5230</v>
      </c>
      <c r="D3771" s="1566" t="s">
        <v>9480</v>
      </c>
      <c r="E3771" s="1566"/>
      <c r="F3771" s="1566"/>
      <c r="G3771" s="1566" t="s">
        <v>9479</v>
      </c>
      <c r="H3771" s="1568">
        <v>1</v>
      </c>
      <c r="I3771" s="1566"/>
      <c r="J3771" s="1566"/>
      <c r="K3771" s="1572">
        <v>53</v>
      </c>
      <c r="L3771" s="1572">
        <v>634</v>
      </c>
      <c r="M3771" s="1564"/>
      <c r="N3771" s="1572">
        <v>634</v>
      </c>
      <c r="O3771" s="1572">
        <v>337.9</v>
      </c>
      <c r="P3771" s="1572">
        <v>285.3</v>
      </c>
      <c r="Q3771" s="1572">
        <v>10.8</v>
      </c>
      <c r="R3771" s="1572">
        <v>296.10000000000002</v>
      </c>
      <c r="S3771" s="1562"/>
    </row>
    <row r="3772" spans="2:19" ht="11.25" customHeight="1" outlineLevel="1">
      <c r="B3772" s="1573">
        <v>23445</v>
      </c>
      <c r="C3772" s="1566" t="s">
        <v>5230</v>
      </c>
      <c r="D3772" s="1566" t="s">
        <v>9478</v>
      </c>
      <c r="E3772" s="1566"/>
      <c r="F3772" s="1566"/>
      <c r="G3772" s="1566" t="s">
        <v>5241</v>
      </c>
      <c r="H3772" s="1568">
        <v>1</v>
      </c>
      <c r="I3772" s="1566"/>
      <c r="J3772" s="1566"/>
      <c r="K3772" s="1572">
        <v>55</v>
      </c>
      <c r="L3772" s="1565">
        <v>1487</v>
      </c>
      <c r="M3772" s="1564"/>
      <c r="N3772" s="1565">
        <v>1487</v>
      </c>
      <c r="O3772" s="1572">
        <v>792.93</v>
      </c>
      <c r="P3772" s="1572">
        <v>668.87</v>
      </c>
      <c r="Q3772" s="1572">
        <v>25.2</v>
      </c>
      <c r="R3772" s="1572">
        <v>694.07</v>
      </c>
      <c r="S3772" s="1562"/>
    </row>
    <row r="3773" spans="2:19" ht="11.25" customHeight="1" outlineLevel="1">
      <c r="B3773" s="1573">
        <v>23446</v>
      </c>
      <c r="C3773" s="1566" t="s">
        <v>5230</v>
      </c>
      <c r="D3773" s="1566" t="s">
        <v>9477</v>
      </c>
      <c r="E3773" s="1566"/>
      <c r="F3773" s="1566"/>
      <c r="G3773" s="1566" t="s">
        <v>5239</v>
      </c>
      <c r="H3773" s="1568">
        <v>1</v>
      </c>
      <c r="I3773" s="1566"/>
      <c r="J3773" s="1566"/>
      <c r="K3773" s="1572">
        <v>56</v>
      </c>
      <c r="L3773" s="1572">
        <v>494</v>
      </c>
      <c r="M3773" s="1564"/>
      <c r="N3773" s="1572">
        <v>494</v>
      </c>
      <c r="O3773" s="1572">
        <v>263.7</v>
      </c>
      <c r="P3773" s="1572">
        <v>221.9</v>
      </c>
      <c r="Q3773" s="1572">
        <v>8.4</v>
      </c>
      <c r="R3773" s="1572">
        <v>230.3</v>
      </c>
      <c r="S3773" s="1562"/>
    </row>
    <row r="3774" spans="2:19" ht="11.25" customHeight="1" outlineLevel="1">
      <c r="B3774" s="1573">
        <v>23447</v>
      </c>
      <c r="C3774" s="1566" t="s">
        <v>5230</v>
      </c>
      <c r="D3774" s="1566" t="s">
        <v>9476</v>
      </c>
      <c r="E3774" s="1566"/>
      <c r="F3774" s="1566"/>
      <c r="G3774" s="1566" t="s">
        <v>5237</v>
      </c>
      <c r="H3774" s="1568">
        <v>1</v>
      </c>
      <c r="I3774" s="1566"/>
      <c r="J3774" s="1566"/>
      <c r="K3774" s="1572">
        <v>65</v>
      </c>
      <c r="L3774" s="1572">
        <v>357</v>
      </c>
      <c r="M3774" s="1564"/>
      <c r="N3774" s="1572">
        <v>357</v>
      </c>
      <c r="O3774" s="1572">
        <v>34.47</v>
      </c>
      <c r="P3774" s="1572">
        <v>310.66000000000003</v>
      </c>
      <c r="Q3774" s="1572">
        <v>11.87</v>
      </c>
      <c r="R3774" s="1572">
        <v>322.52999999999997</v>
      </c>
      <c r="S3774" s="1562"/>
    </row>
    <row r="3775" spans="2:19" ht="11.25" customHeight="1" outlineLevel="1">
      <c r="B3775" s="1573">
        <v>23448</v>
      </c>
      <c r="C3775" s="1566" t="s">
        <v>5230</v>
      </c>
      <c r="D3775" s="1566" t="s">
        <v>9475</v>
      </c>
      <c r="E3775" s="1566"/>
      <c r="F3775" s="1566"/>
      <c r="G3775" s="1566" t="s">
        <v>5235</v>
      </c>
      <c r="H3775" s="1568">
        <v>1</v>
      </c>
      <c r="I3775" s="1566"/>
      <c r="J3775" s="1566"/>
      <c r="K3775" s="1572">
        <v>221</v>
      </c>
      <c r="L3775" s="1565">
        <v>3754</v>
      </c>
      <c r="M3775" s="1564"/>
      <c r="N3775" s="1565">
        <v>3754</v>
      </c>
      <c r="O3775" s="1572">
        <v>763.39</v>
      </c>
      <c r="P3775" s="1565">
        <v>2881.53</v>
      </c>
      <c r="Q3775" s="1572">
        <v>109.08</v>
      </c>
      <c r="R3775" s="1565">
        <v>2990.61</v>
      </c>
      <c r="S3775" s="1562"/>
    </row>
    <row r="3776" spans="2:19" ht="11.25" customHeight="1" outlineLevel="1">
      <c r="B3776" s="1573">
        <v>23449</v>
      </c>
      <c r="C3776" s="1566" t="s">
        <v>5230</v>
      </c>
      <c r="D3776" s="1566" t="s">
        <v>9474</v>
      </c>
      <c r="E3776" s="1566"/>
      <c r="F3776" s="1566"/>
      <c r="G3776" s="1566" t="s">
        <v>9473</v>
      </c>
      <c r="H3776" s="1568">
        <v>1</v>
      </c>
      <c r="I3776" s="1566"/>
      <c r="J3776" s="1566"/>
      <c r="K3776" s="1572">
        <v>92</v>
      </c>
      <c r="L3776" s="1565">
        <v>2476</v>
      </c>
      <c r="M3776" s="1564"/>
      <c r="N3776" s="1565">
        <v>2476</v>
      </c>
      <c r="O3776" s="1565">
        <v>1321.33</v>
      </c>
      <c r="P3776" s="1565">
        <v>1112.67</v>
      </c>
      <c r="Q3776" s="1572">
        <v>42</v>
      </c>
      <c r="R3776" s="1565">
        <v>1154.67</v>
      </c>
      <c r="S3776" s="1562"/>
    </row>
    <row r="3777" spans="2:19" ht="11.25" customHeight="1" outlineLevel="1">
      <c r="B3777" s="1573">
        <v>23450</v>
      </c>
      <c r="C3777" s="1566" t="s">
        <v>5230</v>
      </c>
      <c r="D3777" s="1566" t="s">
        <v>9472</v>
      </c>
      <c r="E3777" s="1566"/>
      <c r="F3777" s="1566"/>
      <c r="G3777" s="1566" t="s">
        <v>5231</v>
      </c>
      <c r="H3777" s="1568">
        <v>1</v>
      </c>
      <c r="I3777" s="1566"/>
      <c r="J3777" s="1566"/>
      <c r="K3777" s="1572">
        <v>92</v>
      </c>
      <c r="L3777" s="1565">
        <v>20591</v>
      </c>
      <c r="M3777" s="1564"/>
      <c r="N3777" s="1565">
        <v>20591</v>
      </c>
      <c r="O3777" s="1565">
        <v>10994.19</v>
      </c>
      <c r="P3777" s="1565">
        <v>9246.89</v>
      </c>
      <c r="Q3777" s="1572">
        <v>349.92</v>
      </c>
      <c r="R3777" s="1565">
        <v>9596.81</v>
      </c>
      <c r="S3777" s="1562"/>
    </row>
    <row r="3778" spans="2:19" ht="11.25" customHeight="1" outlineLevel="1">
      <c r="B3778" s="1573">
        <v>23451</v>
      </c>
      <c r="C3778" s="1566" t="s">
        <v>5230</v>
      </c>
      <c r="D3778" s="1566" t="s">
        <v>9471</v>
      </c>
      <c r="E3778" s="1566"/>
      <c r="F3778" s="1566"/>
      <c r="G3778" s="1566" t="s">
        <v>9470</v>
      </c>
      <c r="H3778" s="1568">
        <v>1</v>
      </c>
      <c r="I3778" s="1566"/>
      <c r="J3778" s="1566"/>
      <c r="K3778" s="1572">
        <v>231</v>
      </c>
      <c r="L3778" s="1565">
        <v>2885</v>
      </c>
      <c r="M3778" s="1564"/>
      <c r="N3778" s="1565">
        <v>2885</v>
      </c>
      <c r="O3778" s="1572">
        <v>585.53</v>
      </c>
      <c r="P3778" s="1565">
        <v>2215.83</v>
      </c>
      <c r="Q3778" s="1572">
        <v>83.64</v>
      </c>
      <c r="R3778" s="1565">
        <v>2299.4699999999998</v>
      </c>
      <c r="S3778" s="1562"/>
    </row>
    <row r="3779" spans="2:19" ht="11.25" customHeight="1" outlineLevel="1">
      <c r="B3779" s="1573">
        <v>23508</v>
      </c>
      <c r="C3779" s="1566" t="s">
        <v>5227</v>
      </c>
      <c r="D3779" s="1566" t="s">
        <v>9469</v>
      </c>
      <c r="E3779" s="1566"/>
      <c r="F3779" s="1566"/>
      <c r="G3779" s="1566" t="s">
        <v>5225</v>
      </c>
      <c r="H3779" s="1568">
        <v>1</v>
      </c>
      <c r="I3779" s="1566"/>
      <c r="J3779" s="1566"/>
      <c r="K3779" s="1572">
        <v>92</v>
      </c>
      <c r="L3779" s="1565">
        <v>10988</v>
      </c>
      <c r="M3779" s="1564"/>
      <c r="N3779" s="1565">
        <v>10988</v>
      </c>
      <c r="O3779" s="1565">
        <v>5884.2</v>
      </c>
      <c r="P3779" s="1565">
        <v>4916.96</v>
      </c>
      <c r="Q3779" s="1572">
        <v>186.84</v>
      </c>
      <c r="R3779" s="1565">
        <v>5103.8</v>
      </c>
      <c r="S3779" s="1562"/>
    </row>
    <row r="3780" spans="2:19" ht="11.25" customHeight="1" outlineLevel="1">
      <c r="B3780" s="1573">
        <v>23389</v>
      </c>
      <c r="C3780" s="1566" t="s">
        <v>5223</v>
      </c>
      <c r="D3780" s="1566" t="s">
        <v>9468</v>
      </c>
      <c r="E3780" s="1566"/>
      <c r="F3780" s="1566"/>
      <c r="G3780" s="1566" t="s">
        <v>9467</v>
      </c>
      <c r="H3780" s="1568">
        <v>1</v>
      </c>
      <c r="I3780" s="1566"/>
      <c r="J3780" s="1566"/>
      <c r="K3780" s="1572">
        <v>116</v>
      </c>
      <c r="L3780" s="1565">
        <v>2090</v>
      </c>
      <c r="M3780" s="1564"/>
      <c r="N3780" s="1565">
        <v>2090</v>
      </c>
      <c r="O3780" s="1565">
        <v>1122.08</v>
      </c>
      <c r="P3780" s="1572">
        <v>932.4</v>
      </c>
      <c r="Q3780" s="1572">
        <v>35.520000000000003</v>
      </c>
      <c r="R3780" s="1572">
        <v>967.92</v>
      </c>
      <c r="S3780" s="1562"/>
    </row>
    <row r="3781" spans="2:19" ht="11.25" customHeight="1" outlineLevel="1">
      <c r="B3781" s="1573">
        <v>23540</v>
      </c>
      <c r="C3781" s="1566" t="s">
        <v>5223</v>
      </c>
      <c r="D3781" s="1566" t="s">
        <v>9466</v>
      </c>
      <c r="E3781" s="1566"/>
      <c r="F3781" s="1566"/>
      <c r="G3781" s="1566" t="s">
        <v>9465</v>
      </c>
      <c r="H3781" s="1568">
        <v>1</v>
      </c>
      <c r="I3781" s="1566"/>
      <c r="J3781" s="1566"/>
      <c r="K3781" s="1572">
        <v>116</v>
      </c>
      <c r="L3781" s="1565">
        <v>7954</v>
      </c>
      <c r="M3781" s="1564"/>
      <c r="N3781" s="1565">
        <v>7954</v>
      </c>
      <c r="O3781" s="1565">
        <v>4268.83</v>
      </c>
      <c r="P3781" s="1565">
        <v>3550.05</v>
      </c>
      <c r="Q3781" s="1572">
        <v>135.12</v>
      </c>
      <c r="R3781" s="1565">
        <v>3685.17</v>
      </c>
      <c r="S3781" s="1562"/>
    </row>
    <row r="3782" spans="2:19" ht="11.25" customHeight="1" outlineLevel="1">
      <c r="B3782" s="1573">
        <v>23542</v>
      </c>
      <c r="C3782" s="1566" t="s">
        <v>5223</v>
      </c>
      <c r="D3782" s="1566" t="s">
        <v>9464</v>
      </c>
      <c r="E3782" s="1566"/>
      <c r="F3782" s="1566"/>
      <c r="G3782" s="1566" t="s">
        <v>9463</v>
      </c>
      <c r="H3782" s="1568">
        <v>1</v>
      </c>
      <c r="I3782" s="1566"/>
      <c r="J3782" s="1566"/>
      <c r="K3782" s="1572">
        <v>116</v>
      </c>
      <c r="L3782" s="1565">
        <v>35949</v>
      </c>
      <c r="M3782" s="1564"/>
      <c r="N3782" s="1565">
        <v>35949</v>
      </c>
      <c r="O3782" s="1565">
        <v>7346.43</v>
      </c>
      <c r="P3782" s="1565">
        <v>27553.05</v>
      </c>
      <c r="Q3782" s="1565">
        <v>1049.52</v>
      </c>
      <c r="R3782" s="1565">
        <v>28602.57</v>
      </c>
      <c r="S3782" s="1562"/>
    </row>
    <row r="3783" spans="2:19" ht="11.25" customHeight="1" outlineLevel="1">
      <c r="B3783" s="1573">
        <v>23569</v>
      </c>
      <c r="C3783" s="1566" t="s">
        <v>5196</v>
      </c>
      <c r="D3783" s="1566" t="s">
        <v>9462</v>
      </c>
      <c r="E3783" s="1566"/>
      <c r="F3783" s="1566"/>
      <c r="G3783" s="1566" t="s">
        <v>9461</v>
      </c>
      <c r="H3783" s="1568">
        <v>1</v>
      </c>
      <c r="I3783" s="1566"/>
      <c r="J3783" s="1566"/>
      <c r="K3783" s="1572">
        <v>98</v>
      </c>
      <c r="L3783" s="1565">
        <v>6489</v>
      </c>
      <c r="M3783" s="1564"/>
      <c r="N3783" s="1565">
        <v>6489</v>
      </c>
      <c r="O3783" s="1565">
        <v>1328.54</v>
      </c>
      <c r="P3783" s="1565">
        <v>4970.62</v>
      </c>
      <c r="Q3783" s="1572">
        <v>189.84</v>
      </c>
      <c r="R3783" s="1565">
        <v>5160.46</v>
      </c>
      <c r="S3783" s="1562"/>
    </row>
    <row r="3784" spans="2:19" ht="11.25" customHeight="1" outlineLevel="1">
      <c r="B3784" s="1573">
        <v>23570</v>
      </c>
      <c r="C3784" s="1566" t="s">
        <v>5196</v>
      </c>
      <c r="D3784" s="1566" t="s">
        <v>9460</v>
      </c>
      <c r="E3784" s="1566"/>
      <c r="F3784" s="1566"/>
      <c r="G3784" s="1566" t="s">
        <v>9382</v>
      </c>
      <c r="H3784" s="1568">
        <v>1</v>
      </c>
      <c r="I3784" s="1566"/>
      <c r="J3784" s="1566"/>
      <c r="K3784" s="1572">
        <v>98</v>
      </c>
      <c r="L3784" s="1565">
        <v>5933</v>
      </c>
      <c r="M3784" s="1564"/>
      <c r="N3784" s="1565">
        <v>5933</v>
      </c>
      <c r="O3784" s="1565">
        <v>1215.78</v>
      </c>
      <c r="P3784" s="1565">
        <v>4543.58</v>
      </c>
      <c r="Q3784" s="1572">
        <v>173.64</v>
      </c>
      <c r="R3784" s="1565">
        <v>4717.22</v>
      </c>
      <c r="S3784" s="1562"/>
    </row>
    <row r="3785" spans="2:19" ht="11.25" customHeight="1" outlineLevel="1">
      <c r="B3785" s="1573">
        <v>23571</v>
      </c>
      <c r="C3785" s="1566" t="s">
        <v>5196</v>
      </c>
      <c r="D3785" s="1566" t="s">
        <v>9459</v>
      </c>
      <c r="E3785" s="1566"/>
      <c r="F3785" s="1566"/>
      <c r="G3785" s="1566" t="s">
        <v>9458</v>
      </c>
      <c r="H3785" s="1568">
        <v>1</v>
      </c>
      <c r="I3785" s="1566"/>
      <c r="J3785" s="1566"/>
      <c r="K3785" s="1572">
        <v>63</v>
      </c>
      <c r="L3785" s="1565">
        <v>1348</v>
      </c>
      <c r="M3785" s="1564"/>
      <c r="N3785" s="1565">
        <v>1348</v>
      </c>
      <c r="O3785" s="1572">
        <v>725.34</v>
      </c>
      <c r="P3785" s="1572">
        <v>599.74</v>
      </c>
      <c r="Q3785" s="1572">
        <v>22.92</v>
      </c>
      <c r="R3785" s="1572">
        <v>622.66</v>
      </c>
      <c r="S3785" s="1562"/>
    </row>
    <row r="3786" spans="2:19" ht="11.25" customHeight="1" outlineLevel="1">
      <c r="B3786" s="1573">
        <v>23573</v>
      </c>
      <c r="C3786" s="1566" t="s">
        <v>5196</v>
      </c>
      <c r="D3786" s="1566" t="s">
        <v>9457</v>
      </c>
      <c r="E3786" s="1566"/>
      <c r="F3786" s="1566"/>
      <c r="G3786" s="1566" t="s">
        <v>9456</v>
      </c>
      <c r="H3786" s="1568">
        <v>1</v>
      </c>
      <c r="I3786" s="1566"/>
      <c r="J3786" s="1566"/>
      <c r="K3786" s="1572">
        <v>62</v>
      </c>
      <c r="L3786" s="1565">
        <v>1397</v>
      </c>
      <c r="M3786" s="1564"/>
      <c r="N3786" s="1565">
        <v>1397</v>
      </c>
      <c r="O3786" s="1572">
        <v>751.52</v>
      </c>
      <c r="P3786" s="1572">
        <v>621.72</v>
      </c>
      <c r="Q3786" s="1572">
        <v>23.76</v>
      </c>
      <c r="R3786" s="1572">
        <v>645.48</v>
      </c>
      <c r="S3786" s="1562"/>
    </row>
    <row r="3787" spans="2:19" ht="11.25" customHeight="1" outlineLevel="1">
      <c r="B3787" s="1573">
        <v>23575</v>
      </c>
      <c r="C3787" s="1566" t="s">
        <v>5196</v>
      </c>
      <c r="D3787" s="1566" t="s">
        <v>9455</v>
      </c>
      <c r="E3787" s="1566"/>
      <c r="F3787" s="1566"/>
      <c r="G3787" s="1566" t="s">
        <v>9454</v>
      </c>
      <c r="H3787" s="1568">
        <v>1</v>
      </c>
      <c r="I3787" s="1566"/>
      <c r="J3787" s="1566"/>
      <c r="K3787" s="1572">
        <v>57</v>
      </c>
      <c r="L3787" s="1572">
        <v>634</v>
      </c>
      <c r="M3787" s="1564"/>
      <c r="N3787" s="1572">
        <v>634</v>
      </c>
      <c r="O3787" s="1572">
        <v>340.6</v>
      </c>
      <c r="P3787" s="1572">
        <v>282.60000000000002</v>
      </c>
      <c r="Q3787" s="1572">
        <v>10.8</v>
      </c>
      <c r="R3787" s="1572">
        <v>293.39999999999998</v>
      </c>
      <c r="S3787" s="1562"/>
    </row>
    <row r="3788" spans="2:19" ht="11.25" customHeight="1" outlineLevel="1">
      <c r="B3788" s="1573">
        <v>23577</v>
      </c>
      <c r="C3788" s="1566" t="s">
        <v>5196</v>
      </c>
      <c r="D3788" s="1566" t="s">
        <v>9453</v>
      </c>
      <c r="E3788" s="1566"/>
      <c r="F3788" s="1566"/>
      <c r="G3788" s="1566" t="s">
        <v>9452</v>
      </c>
      <c r="H3788" s="1568">
        <v>1</v>
      </c>
      <c r="I3788" s="1566"/>
      <c r="J3788" s="1566"/>
      <c r="K3788" s="1572">
        <v>92</v>
      </c>
      <c r="L3788" s="1565">
        <v>2623</v>
      </c>
      <c r="M3788" s="1564"/>
      <c r="N3788" s="1565">
        <v>2623</v>
      </c>
      <c r="O3788" s="1565">
        <v>1410.4</v>
      </c>
      <c r="P3788" s="1565">
        <v>1168.08</v>
      </c>
      <c r="Q3788" s="1572">
        <v>44.52</v>
      </c>
      <c r="R3788" s="1565">
        <v>1212.5999999999999</v>
      </c>
      <c r="S3788" s="1562"/>
    </row>
    <row r="3789" spans="2:19" ht="11.25" customHeight="1" outlineLevel="1">
      <c r="B3789" s="1573">
        <v>23580</v>
      </c>
      <c r="C3789" s="1566" t="s">
        <v>5196</v>
      </c>
      <c r="D3789" s="1566" t="s">
        <v>9451</v>
      </c>
      <c r="E3789" s="1566"/>
      <c r="F3789" s="1566"/>
      <c r="G3789" s="1566" t="s">
        <v>5211</v>
      </c>
      <c r="H3789" s="1568">
        <v>1</v>
      </c>
      <c r="I3789" s="1566"/>
      <c r="J3789" s="1566"/>
      <c r="K3789" s="1572">
        <v>92</v>
      </c>
      <c r="L3789" s="1565">
        <v>2972</v>
      </c>
      <c r="M3789" s="1564"/>
      <c r="N3789" s="1565">
        <v>2972</v>
      </c>
      <c r="O3789" s="1565">
        <v>1599.54</v>
      </c>
      <c r="P3789" s="1565">
        <v>1321.94</v>
      </c>
      <c r="Q3789" s="1572">
        <v>50.52</v>
      </c>
      <c r="R3789" s="1565">
        <v>1372.46</v>
      </c>
      <c r="S3789" s="1562"/>
    </row>
    <row r="3790" spans="2:19" ht="11.25" customHeight="1" outlineLevel="1">
      <c r="B3790" s="1573">
        <v>23581</v>
      </c>
      <c r="C3790" s="1566" t="s">
        <v>5196</v>
      </c>
      <c r="D3790" s="1566" t="s">
        <v>9450</v>
      </c>
      <c r="E3790" s="1566"/>
      <c r="F3790" s="1566"/>
      <c r="G3790" s="1566" t="s">
        <v>5209</v>
      </c>
      <c r="H3790" s="1568">
        <v>1</v>
      </c>
      <c r="I3790" s="1566"/>
      <c r="J3790" s="1566"/>
      <c r="K3790" s="1572">
        <v>34</v>
      </c>
      <c r="L3790" s="1565">
        <v>1244</v>
      </c>
      <c r="M3790" s="1564"/>
      <c r="N3790" s="1565">
        <v>1244</v>
      </c>
      <c r="O3790" s="1572">
        <v>670.24</v>
      </c>
      <c r="P3790" s="1572">
        <v>552.64</v>
      </c>
      <c r="Q3790" s="1572">
        <v>21.12</v>
      </c>
      <c r="R3790" s="1572">
        <v>573.76</v>
      </c>
      <c r="S3790" s="1562"/>
    </row>
    <row r="3791" spans="2:19" ht="11.25" customHeight="1" outlineLevel="1">
      <c r="B3791" s="1573">
        <v>23583</v>
      </c>
      <c r="C3791" s="1566" t="s">
        <v>5196</v>
      </c>
      <c r="D3791" s="1566" t="s">
        <v>9449</v>
      </c>
      <c r="E3791" s="1566"/>
      <c r="F3791" s="1566"/>
      <c r="G3791" s="1566" t="s">
        <v>5207</v>
      </c>
      <c r="H3791" s="1568">
        <v>1</v>
      </c>
      <c r="I3791" s="1566"/>
      <c r="J3791" s="1566"/>
      <c r="K3791" s="1572">
        <v>92</v>
      </c>
      <c r="L3791" s="1565">
        <v>9016</v>
      </c>
      <c r="M3791" s="1564"/>
      <c r="N3791" s="1565">
        <v>9016</v>
      </c>
      <c r="O3791" s="1565">
        <v>4852.9799999999996</v>
      </c>
      <c r="P3791" s="1565">
        <v>4009.78</v>
      </c>
      <c r="Q3791" s="1572">
        <v>153.24</v>
      </c>
      <c r="R3791" s="1565">
        <v>4163.0200000000004</v>
      </c>
      <c r="S3791" s="1562"/>
    </row>
    <row r="3792" spans="2:19" ht="11.25" customHeight="1" outlineLevel="1">
      <c r="B3792" s="1573">
        <v>23585</v>
      </c>
      <c r="C3792" s="1566" t="s">
        <v>5196</v>
      </c>
      <c r="D3792" s="1566" t="s">
        <v>9448</v>
      </c>
      <c r="E3792" s="1566"/>
      <c r="F3792" s="1566"/>
      <c r="G3792" s="1566" t="s">
        <v>5205</v>
      </c>
      <c r="H3792" s="1568">
        <v>1</v>
      </c>
      <c r="I3792" s="1566"/>
      <c r="J3792" s="1566"/>
      <c r="K3792" s="1572">
        <v>92</v>
      </c>
      <c r="L3792" s="1565">
        <v>4430</v>
      </c>
      <c r="M3792" s="1564"/>
      <c r="N3792" s="1565">
        <v>4430</v>
      </c>
      <c r="O3792" s="1565">
        <v>2385.86</v>
      </c>
      <c r="P3792" s="1565">
        <v>1968.78</v>
      </c>
      <c r="Q3792" s="1572">
        <v>75.36</v>
      </c>
      <c r="R3792" s="1565">
        <v>2044.14</v>
      </c>
      <c r="S3792" s="1562"/>
    </row>
    <row r="3793" spans="2:19" ht="11.25" customHeight="1" outlineLevel="1">
      <c r="B3793" s="1573">
        <v>23587</v>
      </c>
      <c r="C3793" s="1566" t="s">
        <v>5196</v>
      </c>
      <c r="D3793" s="1566" t="s">
        <v>9447</v>
      </c>
      <c r="E3793" s="1566"/>
      <c r="F3793" s="1566"/>
      <c r="G3793" s="1566" t="s">
        <v>5203</v>
      </c>
      <c r="H3793" s="1568">
        <v>1</v>
      </c>
      <c r="I3793" s="1566"/>
      <c r="J3793" s="1566"/>
      <c r="K3793" s="1572">
        <v>54</v>
      </c>
      <c r="L3793" s="1565">
        <v>22416</v>
      </c>
      <c r="M3793" s="1564"/>
      <c r="N3793" s="1565">
        <v>22416</v>
      </c>
      <c r="O3793" s="1565">
        <v>12065.5</v>
      </c>
      <c r="P3793" s="1565">
        <v>9969.5</v>
      </c>
      <c r="Q3793" s="1572">
        <v>381</v>
      </c>
      <c r="R3793" s="1565">
        <v>10350.5</v>
      </c>
      <c r="S3793" s="1562"/>
    </row>
    <row r="3794" spans="2:19" ht="11.25" customHeight="1" outlineLevel="1">
      <c r="B3794" s="1573">
        <v>23589</v>
      </c>
      <c r="C3794" s="1566" t="s">
        <v>5196</v>
      </c>
      <c r="D3794" s="1566" t="s">
        <v>9446</v>
      </c>
      <c r="E3794" s="1566"/>
      <c r="F3794" s="1566"/>
      <c r="G3794" s="1566" t="s">
        <v>9445</v>
      </c>
      <c r="H3794" s="1568">
        <v>1</v>
      </c>
      <c r="I3794" s="1566"/>
      <c r="J3794" s="1566"/>
      <c r="K3794" s="1572">
        <v>92</v>
      </c>
      <c r="L3794" s="1565">
        <v>4696</v>
      </c>
      <c r="M3794" s="1564"/>
      <c r="N3794" s="1565">
        <v>4696</v>
      </c>
      <c r="O3794" s="1565">
        <v>2528.1</v>
      </c>
      <c r="P3794" s="1565">
        <v>2088.1</v>
      </c>
      <c r="Q3794" s="1572">
        <v>79.8</v>
      </c>
      <c r="R3794" s="1565">
        <v>2167.9</v>
      </c>
      <c r="S3794" s="1562"/>
    </row>
    <row r="3795" spans="2:19" ht="11.25" customHeight="1" outlineLevel="1">
      <c r="B3795" s="1573">
        <v>23590</v>
      </c>
      <c r="C3795" s="1566" t="s">
        <v>5196</v>
      </c>
      <c r="D3795" s="1566" t="s">
        <v>9444</v>
      </c>
      <c r="E3795" s="1566"/>
      <c r="F3795" s="1566"/>
      <c r="G3795" s="1566" t="s">
        <v>5201</v>
      </c>
      <c r="H3795" s="1568">
        <v>1</v>
      </c>
      <c r="I3795" s="1566"/>
      <c r="J3795" s="1566"/>
      <c r="K3795" s="1572">
        <v>92</v>
      </c>
      <c r="L3795" s="1565">
        <v>2119</v>
      </c>
      <c r="M3795" s="1564"/>
      <c r="N3795" s="1565">
        <v>2119</v>
      </c>
      <c r="O3795" s="1565">
        <v>1141</v>
      </c>
      <c r="P3795" s="1572">
        <v>942</v>
      </c>
      <c r="Q3795" s="1572">
        <v>36</v>
      </c>
      <c r="R3795" s="1572">
        <v>978</v>
      </c>
      <c r="S3795" s="1562"/>
    </row>
    <row r="3796" spans="2:19" ht="11.25" customHeight="1" outlineLevel="1">
      <c r="B3796" s="1573">
        <v>23592</v>
      </c>
      <c r="C3796" s="1566" t="s">
        <v>5196</v>
      </c>
      <c r="D3796" s="1566" t="s">
        <v>9443</v>
      </c>
      <c r="E3796" s="1566"/>
      <c r="F3796" s="1566"/>
      <c r="G3796" s="1566" t="s">
        <v>5199</v>
      </c>
      <c r="H3796" s="1568">
        <v>1</v>
      </c>
      <c r="I3796" s="1566"/>
      <c r="J3796" s="1566"/>
      <c r="K3796" s="1572">
        <v>92</v>
      </c>
      <c r="L3796" s="1565">
        <v>3816</v>
      </c>
      <c r="M3796" s="1564"/>
      <c r="N3796" s="1565">
        <v>3816</v>
      </c>
      <c r="O3796" s="1565">
        <v>2052.46</v>
      </c>
      <c r="P3796" s="1565">
        <v>1698.74</v>
      </c>
      <c r="Q3796" s="1572">
        <v>64.8</v>
      </c>
      <c r="R3796" s="1565">
        <v>1763.54</v>
      </c>
      <c r="S3796" s="1562"/>
    </row>
    <row r="3797" spans="2:19" ht="11.25" customHeight="1" outlineLevel="1">
      <c r="B3797" s="1573">
        <v>23594</v>
      </c>
      <c r="C3797" s="1566" t="s">
        <v>5196</v>
      </c>
      <c r="D3797" s="1566" t="s">
        <v>9442</v>
      </c>
      <c r="E3797" s="1566"/>
      <c r="F3797" s="1566"/>
      <c r="G3797" s="1566" t="s">
        <v>5197</v>
      </c>
      <c r="H3797" s="1568">
        <v>1</v>
      </c>
      <c r="I3797" s="1566"/>
      <c r="J3797" s="1566"/>
      <c r="K3797" s="1572">
        <v>196</v>
      </c>
      <c r="L3797" s="1565">
        <v>2273</v>
      </c>
      <c r="M3797" s="1564"/>
      <c r="N3797" s="1565">
        <v>2273</v>
      </c>
      <c r="O3797" s="1565">
        <v>1223.28</v>
      </c>
      <c r="P3797" s="1565">
        <v>1011.08</v>
      </c>
      <c r="Q3797" s="1572">
        <v>38.64</v>
      </c>
      <c r="R3797" s="1565">
        <v>1049.72</v>
      </c>
      <c r="S3797" s="1562"/>
    </row>
    <row r="3798" spans="2:19" ht="11.25" customHeight="1" outlineLevel="1">
      <c r="B3798" s="1573">
        <v>23596</v>
      </c>
      <c r="C3798" s="1566" t="s">
        <v>5196</v>
      </c>
      <c r="D3798" s="1566" t="s">
        <v>9441</v>
      </c>
      <c r="E3798" s="1566"/>
      <c r="F3798" s="1566"/>
      <c r="G3798" s="1566" t="s">
        <v>5194</v>
      </c>
      <c r="H3798" s="1568">
        <v>1</v>
      </c>
      <c r="I3798" s="1566"/>
      <c r="J3798" s="1566"/>
      <c r="K3798" s="1572">
        <v>92</v>
      </c>
      <c r="L3798" s="1565">
        <v>2110</v>
      </c>
      <c r="M3798" s="1564"/>
      <c r="N3798" s="1565">
        <v>2110</v>
      </c>
      <c r="O3798" s="1565">
        <v>1135.26</v>
      </c>
      <c r="P3798" s="1572">
        <v>938.86</v>
      </c>
      <c r="Q3798" s="1572">
        <v>35.880000000000003</v>
      </c>
      <c r="R3798" s="1572">
        <v>974.74</v>
      </c>
      <c r="S3798" s="1562"/>
    </row>
    <row r="3799" spans="2:19" ht="11.25" customHeight="1" outlineLevel="1">
      <c r="B3799" s="1573">
        <v>23598</v>
      </c>
      <c r="C3799" s="1566" t="s">
        <v>5196</v>
      </c>
      <c r="D3799" s="1566" t="s">
        <v>9440</v>
      </c>
      <c r="E3799" s="1566"/>
      <c r="F3799" s="1566"/>
      <c r="G3799" s="1566" t="s">
        <v>9439</v>
      </c>
      <c r="H3799" s="1568">
        <v>1</v>
      </c>
      <c r="I3799" s="1566"/>
      <c r="J3799" s="1566"/>
      <c r="K3799" s="1572">
        <v>247</v>
      </c>
      <c r="L3799" s="1565">
        <v>11007</v>
      </c>
      <c r="M3799" s="1564"/>
      <c r="N3799" s="1565">
        <v>11007</v>
      </c>
      <c r="O3799" s="1565">
        <v>2254.14</v>
      </c>
      <c r="P3799" s="1565">
        <v>8430.9</v>
      </c>
      <c r="Q3799" s="1572">
        <v>321.95999999999998</v>
      </c>
      <c r="R3799" s="1565">
        <v>8752.86</v>
      </c>
      <c r="S3799" s="1562"/>
    </row>
    <row r="3800" spans="2:19" ht="11.25" customHeight="1" outlineLevel="1">
      <c r="B3800" s="1573">
        <v>23620</v>
      </c>
      <c r="C3800" s="1566" t="s">
        <v>5186</v>
      </c>
      <c r="D3800" s="1566" t="s">
        <v>9438</v>
      </c>
      <c r="E3800" s="1566"/>
      <c r="F3800" s="1566"/>
      <c r="G3800" s="1566" t="s">
        <v>9437</v>
      </c>
      <c r="H3800" s="1568">
        <v>1</v>
      </c>
      <c r="I3800" s="1566"/>
      <c r="J3800" s="1566"/>
      <c r="K3800" s="1572">
        <v>101</v>
      </c>
      <c r="L3800" s="1565">
        <v>2312</v>
      </c>
      <c r="M3800" s="1564"/>
      <c r="N3800" s="1565">
        <v>2312</v>
      </c>
      <c r="O3800" s="1565">
        <v>1249.1300000000001</v>
      </c>
      <c r="P3800" s="1565">
        <v>1023.51</v>
      </c>
      <c r="Q3800" s="1572">
        <v>39.36</v>
      </c>
      <c r="R3800" s="1565">
        <v>1062.8699999999999</v>
      </c>
      <c r="S3800" s="1562"/>
    </row>
    <row r="3801" spans="2:19" ht="11.25" customHeight="1" outlineLevel="1">
      <c r="B3801" s="1573">
        <v>23622</v>
      </c>
      <c r="C3801" s="1566" t="s">
        <v>5186</v>
      </c>
      <c r="D3801" s="1566" t="s">
        <v>9436</v>
      </c>
      <c r="E3801" s="1566"/>
      <c r="F3801" s="1566"/>
      <c r="G3801" s="1566" t="s">
        <v>9435</v>
      </c>
      <c r="H3801" s="1568">
        <v>1</v>
      </c>
      <c r="I3801" s="1566"/>
      <c r="J3801" s="1566"/>
      <c r="K3801" s="1572">
        <v>92</v>
      </c>
      <c r="L3801" s="1565">
        <v>12291</v>
      </c>
      <c r="M3801" s="1564"/>
      <c r="N3801" s="1565">
        <v>12291</v>
      </c>
      <c r="O3801" s="1565">
        <v>6632.75</v>
      </c>
      <c r="P3801" s="1565">
        <v>5449.33</v>
      </c>
      <c r="Q3801" s="1572">
        <v>208.92</v>
      </c>
      <c r="R3801" s="1565">
        <v>5658.25</v>
      </c>
      <c r="S3801" s="1562"/>
    </row>
    <row r="3802" spans="2:19" ht="11.25" customHeight="1" outlineLevel="1">
      <c r="B3802" s="1573">
        <v>23625</v>
      </c>
      <c r="C3802" s="1566" t="s">
        <v>5186</v>
      </c>
      <c r="D3802" s="1566" t="s">
        <v>9434</v>
      </c>
      <c r="E3802" s="1566"/>
      <c r="F3802" s="1566"/>
      <c r="G3802" s="1566" t="s">
        <v>5189</v>
      </c>
      <c r="H3802" s="1568">
        <v>1</v>
      </c>
      <c r="I3802" s="1566"/>
      <c r="J3802" s="1566"/>
      <c r="K3802" s="1572">
        <v>155</v>
      </c>
      <c r="L3802" s="1565">
        <v>1166</v>
      </c>
      <c r="M3802" s="1564"/>
      <c r="N3802" s="1565">
        <v>1166</v>
      </c>
      <c r="O3802" s="1572">
        <v>629.75</v>
      </c>
      <c r="P3802" s="1572">
        <v>516.45000000000005</v>
      </c>
      <c r="Q3802" s="1572">
        <v>19.8</v>
      </c>
      <c r="R3802" s="1572">
        <v>536.25</v>
      </c>
      <c r="S3802" s="1562"/>
    </row>
    <row r="3803" spans="2:19" ht="11.25" customHeight="1" outlineLevel="1">
      <c r="B3803" s="1573">
        <v>23626</v>
      </c>
      <c r="C3803" s="1566" t="s">
        <v>5186</v>
      </c>
      <c r="D3803" s="1566" t="s">
        <v>9433</v>
      </c>
      <c r="E3803" s="1566"/>
      <c r="F3803" s="1566"/>
      <c r="G3803" s="1566" t="s">
        <v>5189</v>
      </c>
      <c r="H3803" s="1568">
        <v>1</v>
      </c>
      <c r="I3803" s="1566"/>
      <c r="J3803" s="1566"/>
      <c r="K3803" s="1572">
        <v>393</v>
      </c>
      <c r="L3803" s="1565">
        <v>11010</v>
      </c>
      <c r="M3803" s="1564"/>
      <c r="N3803" s="1565">
        <v>11010</v>
      </c>
      <c r="O3803" s="1565">
        <v>5943.13</v>
      </c>
      <c r="P3803" s="1565">
        <v>4879.67</v>
      </c>
      <c r="Q3803" s="1572">
        <v>187.2</v>
      </c>
      <c r="R3803" s="1565">
        <v>5066.87</v>
      </c>
      <c r="S3803" s="1562"/>
    </row>
    <row r="3804" spans="2:19" ht="11.25" customHeight="1" outlineLevel="1">
      <c r="B3804" s="1573">
        <v>23627</v>
      </c>
      <c r="C3804" s="1566" t="s">
        <v>5186</v>
      </c>
      <c r="D3804" s="1566" t="s">
        <v>9432</v>
      </c>
      <c r="E3804" s="1566"/>
      <c r="F3804" s="1566"/>
      <c r="G3804" s="1566" t="s">
        <v>5187</v>
      </c>
      <c r="H3804" s="1568">
        <v>1</v>
      </c>
      <c r="I3804" s="1566"/>
      <c r="J3804" s="1566"/>
      <c r="K3804" s="1572">
        <v>208</v>
      </c>
      <c r="L3804" s="1565">
        <v>26187</v>
      </c>
      <c r="M3804" s="1564"/>
      <c r="N3804" s="1565">
        <v>26187</v>
      </c>
      <c r="O3804" s="1565">
        <v>14132.75</v>
      </c>
      <c r="P3804" s="1565">
        <v>11609.17</v>
      </c>
      <c r="Q3804" s="1572">
        <v>445.08</v>
      </c>
      <c r="R3804" s="1565">
        <v>12054.25</v>
      </c>
      <c r="S3804" s="1562"/>
    </row>
    <row r="3805" spans="2:19" ht="11.25" customHeight="1" outlineLevel="1">
      <c r="B3805" s="1573">
        <v>23628</v>
      </c>
      <c r="C3805" s="1566" t="s">
        <v>5186</v>
      </c>
      <c r="D3805" s="1566" t="s">
        <v>9431</v>
      </c>
      <c r="E3805" s="1566"/>
      <c r="F3805" s="1566"/>
      <c r="G3805" s="1566" t="s">
        <v>5187</v>
      </c>
      <c r="H3805" s="1568">
        <v>1</v>
      </c>
      <c r="I3805" s="1566"/>
      <c r="J3805" s="1566"/>
      <c r="K3805" s="1572">
        <v>168</v>
      </c>
      <c r="L3805" s="1565">
        <v>1179</v>
      </c>
      <c r="M3805" s="1564"/>
      <c r="N3805" s="1565">
        <v>1179</v>
      </c>
      <c r="O3805" s="1572">
        <v>636.25</v>
      </c>
      <c r="P3805" s="1572">
        <v>522.71</v>
      </c>
      <c r="Q3805" s="1572">
        <v>20.04</v>
      </c>
      <c r="R3805" s="1572">
        <v>542.75</v>
      </c>
      <c r="S3805" s="1562"/>
    </row>
    <row r="3806" spans="2:19" ht="11.25" customHeight="1" outlineLevel="1">
      <c r="B3806" s="1573">
        <v>23629</v>
      </c>
      <c r="C3806" s="1566" t="s">
        <v>5186</v>
      </c>
      <c r="D3806" s="1566" t="s">
        <v>9430</v>
      </c>
      <c r="E3806" s="1566"/>
      <c r="F3806" s="1566"/>
      <c r="G3806" s="1566" t="s">
        <v>9429</v>
      </c>
      <c r="H3806" s="1568">
        <v>1</v>
      </c>
      <c r="I3806" s="1566"/>
      <c r="J3806" s="1566"/>
      <c r="K3806" s="1572">
        <v>128</v>
      </c>
      <c r="L3806" s="1565">
        <v>3339</v>
      </c>
      <c r="M3806" s="1564"/>
      <c r="N3806" s="1565">
        <v>3339</v>
      </c>
      <c r="O3806" s="1565">
        <v>1801.75</v>
      </c>
      <c r="P3806" s="1565">
        <v>1480.49</v>
      </c>
      <c r="Q3806" s="1572">
        <v>56.76</v>
      </c>
      <c r="R3806" s="1565">
        <v>1537.25</v>
      </c>
      <c r="S3806" s="1562"/>
    </row>
    <row r="3807" spans="2:19" ht="11.25" customHeight="1" outlineLevel="1">
      <c r="B3807" s="1573">
        <v>23630</v>
      </c>
      <c r="C3807" s="1566" t="s">
        <v>5186</v>
      </c>
      <c r="D3807" s="1566" t="s">
        <v>9428</v>
      </c>
      <c r="E3807" s="1566"/>
      <c r="F3807" s="1566"/>
      <c r="G3807" s="1566" t="s">
        <v>9427</v>
      </c>
      <c r="H3807" s="1568">
        <v>1</v>
      </c>
      <c r="I3807" s="1566"/>
      <c r="J3807" s="1566"/>
      <c r="K3807" s="1572">
        <v>202</v>
      </c>
      <c r="L3807" s="1565">
        <v>129883</v>
      </c>
      <c r="M3807" s="1564"/>
      <c r="N3807" s="1565">
        <v>129883</v>
      </c>
      <c r="O3807" s="1565">
        <v>70092.75</v>
      </c>
      <c r="P3807" s="1565">
        <v>57582.61</v>
      </c>
      <c r="Q3807" s="1565">
        <v>2207.64</v>
      </c>
      <c r="R3807" s="1565">
        <v>59790.25</v>
      </c>
      <c r="S3807" s="1562"/>
    </row>
    <row r="3808" spans="2:19" ht="11.25" customHeight="1" outlineLevel="1">
      <c r="B3808" s="1573">
        <v>23633</v>
      </c>
      <c r="C3808" s="1566" t="s">
        <v>5186</v>
      </c>
      <c r="D3808" s="1566" t="s">
        <v>9426</v>
      </c>
      <c r="E3808" s="1566"/>
      <c r="F3808" s="1566"/>
      <c r="G3808" s="1566" t="s">
        <v>5297</v>
      </c>
      <c r="H3808" s="1568">
        <v>1</v>
      </c>
      <c r="I3808" s="1566"/>
      <c r="J3808" s="1566"/>
      <c r="K3808" s="1565">
        <v>91069</v>
      </c>
      <c r="L3808" s="1565">
        <v>91069</v>
      </c>
      <c r="M3808" s="1564"/>
      <c r="N3808" s="1565">
        <v>91069</v>
      </c>
      <c r="O3808" s="1565">
        <v>29406.87</v>
      </c>
      <c r="P3808" s="1565">
        <v>59385.49</v>
      </c>
      <c r="Q3808" s="1565">
        <v>2276.64</v>
      </c>
      <c r="R3808" s="1565">
        <v>61662.13</v>
      </c>
      <c r="S3808" s="1562"/>
    </row>
    <row r="3809" spans="2:19" ht="11.25" customHeight="1" outlineLevel="1">
      <c r="B3809" s="1573">
        <v>23693</v>
      </c>
      <c r="C3809" s="1566" t="s">
        <v>5172</v>
      </c>
      <c r="D3809" s="1566" t="s">
        <v>9425</v>
      </c>
      <c r="E3809" s="1566"/>
      <c r="F3809" s="1566"/>
      <c r="G3809" s="1566" t="s">
        <v>5182</v>
      </c>
      <c r="H3809" s="1568">
        <v>1</v>
      </c>
      <c r="I3809" s="1566"/>
      <c r="J3809" s="1566"/>
      <c r="K3809" s="1572">
        <v>168</v>
      </c>
      <c r="L3809" s="1565">
        <v>10913</v>
      </c>
      <c r="M3809" s="1564"/>
      <c r="N3809" s="1565">
        <v>10913</v>
      </c>
      <c r="O3809" s="1565">
        <v>5903.96</v>
      </c>
      <c r="P3809" s="1565">
        <v>4823.5200000000004</v>
      </c>
      <c r="Q3809" s="1572">
        <v>185.52</v>
      </c>
      <c r="R3809" s="1565">
        <v>5009.04</v>
      </c>
      <c r="S3809" s="1562"/>
    </row>
    <row r="3810" spans="2:19" ht="11.25" customHeight="1" outlineLevel="1">
      <c r="B3810" s="1573">
        <v>23695</v>
      </c>
      <c r="C3810" s="1566" t="s">
        <v>5172</v>
      </c>
      <c r="D3810" s="1566" t="s">
        <v>9424</v>
      </c>
      <c r="E3810" s="1566"/>
      <c r="F3810" s="1566"/>
      <c r="G3810" s="1566" t="s">
        <v>5180</v>
      </c>
      <c r="H3810" s="1568">
        <v>1</v>
      </c>
      <c r="I3810" s="1566"/>
      <c r="J3810" s="1566"/>
      <c r="K3810" s="1572">
        <v>226</v>
      </c>
      <c r="L3810" s="1565">
        <v>28419</v>
      </c>
      <c r="M3810" s="1564"/>
      <c r="N3810" s="1565">
        <v>28419</v>
      </c>
      <c r="O3810" s="1565">
        <v>15377.88</v>
      </c>
      <c r="P3810" s="1565">
        <v>12558</v>
      </c>
      <c r="Q3810" s="1572">
        <v>483.12</v>
      </c>
      <c r="R3810" s="1565">
        <v>13041.12</v>
      </c>
      <c r="S3810" s="1562"/>
    </row>
    <row r="3811" spans="2:19" ht="11.25" customHeight="1" outlineLevel="1">
      <c r="B3811" s="1573">
        <v>23697</v>
      </c>
      <c r="C3811" s="1566" t="s">
        <v>5172</v>
      </c>
      <c r="D3811" s="1566" t="s">
        <v>9423</v>
      </c>
      <c r="E3811" s="1566"/>
      <c r="F3811" s="1566"/>
      <c r="G3811" s="1566" t="s">
        <v>4780</v>
      </c>
      <c r="H3811" s="1568">
        <v>1</v>
      </c>
      <c r="I3811" s="1566"/>
      <c r="J3811" s="1566"/>
      <c r="K3811" s="1572">
        <v>92</v>
      </c>
      <c r="L3811" s="1565">
        <v>1963</v>
      </c>
      <c r="M3811" s="1564"/>
      <c r="N3811" s="1565">
        <v>1963</v>
      </c>
      <c r="O3811" s="1565">
        <v>1062.28</v>
      </c>
      <c r="P3811" s="1572">
        <v>867.36</v>
      </c>
      <c r="Q3811" s="1572">
        <v>33.36</v>
      </c>
      <c r="R3811" s="1572">
        <v>900.72</v>
      </c>
      <c r="S3811" s="1562"/>
    </row>
    <row r="3812" spans="2:19" ht="11.25" customHeight="1" outlineLevel="1">
      <c r="B3812" s="1573">
        <v>23699</v>
      </c>
      <c r="C3812" s="1566" t="s">
        <v>5172</v>
      </c>
      <c r="D3812" s="1566" t="s">
        <v>9422</v>
      </c>
      <c r="E3812" s="1566"/>
      <c r="F3812" s="1566"/>
      <c r="G3812" s="1566" t="s">
        <v>9421</v>
      </c>
      <c r="H3812" s="1568">
        <v>1</v>
      </c>
      <c r="I3812" s="1566"/>
      <c r="J3812" s="1566"/>
      <c r="K3812" s="1572">
        <v>93</v>
      </c>
      <c r="L3812" s="1565">
        <v>8528</v>
      </c>
      <c r="M3812" s="1564"/>
      <c r="N3812" s="1565">
        <v>8528</v>
      </c>
      <c r="O3812" s="1565">
        <v>1756.28</v>
      </c>
      <c r="P3812" s="1565">
        <v>6520.8</v>
      </c>
      <c r="Q3812" s="1572">
        <v>250.92</v>
      </c>
      <c r="R3812" s="1565">
        <v>6771.72</v>
      </c>
      <c r="S3812" s="1562"/>
    </row>
    <row r="3813" spans="2:19" ht="11.25" customHeight="1" outlineLevel="1">
      <c r="B3813" s="1573">
        <v>24027</v>
      </c>
      <c r="C3813" s="1566" t="s">
        <v>5172</v>
      </c>
      <c r="D3813" s="1566" t="s">
        <v>9420</v>
      </c>
      <c r="E3813" s="1566"/>
      <c r="F3813" s="1566"/>
      <c r="G3813" s="1566" t="s">
        <v>3734</v>
      </c>
      <c r="H3813" s="1568">
        <v>1</v>
      </c>
      <c r="I3813" s="1566"/>
      <c r="J3813" s="1566"/>
      <c r="K3813" s="1565">
        <v>56260</v>
      </c>
      <c r="L3813" s="1565">
        <v>56260</v>
      </c>
      <c r="M3813" s="1564"/>
      <c r="N3813" s="1565">
        <v>56260</v>
      </c>
      <c r="O3813" s="1565">
        <v>30440.44</v>
      </c>
      <c r="P3813" s="1565">
        <v>24863.279999999999</v>
      </c>
      <c r="Q3813" s="1572">
        <v>956.28</v>
      </c>
      <c r="R3813" s="1565">
        <v>25819.56</v>
      </c>
      <c r="S3813" s="1562"/>
    </row>
    <row r="3814" spans="2:19" ht="11.25" customHeight="1" outlineLevel="1">
      <c r="B3814" s="1573">
        <v>24029</v>
      </c>
      <c r="C3814" s="1566" t="s">
        <v>5172</v>
      </c>
      <c r="D3814" s="1566" t="s">
        <v>9419</v>
      </c>
      <c r="E3814" s="1566"/>
      <c r="F3814" s="1566"/>
      <c r="G3814" s="1566" t="s">
        <v>3664</v>
      </c>
      <c r="H3814" s="1568">
        <v>1</v>
      </c>
      <c r="I3814" s="1566"/>
      <c r="J3814" s="1566"/>
      <c r="K3814" s="1565">
        <v>192775</v>
      </c>
      <c r="L3814" s="1565">
        <v>192775</v>
      </c>
      <c r="M3814" s="1564"/>
      <c r="N3814" s="1565">
        <v>192775</v>
      </c>
      <c r="O3814" s="1565">
        <v>62653.24</v>
      </c>
      <c r="P3814" s="1565">
        <v>125302.32</v>
      </c>
      <c r="Q3814" s="1565">
        <v>4819.4399999999996</v>
      </c>
      <c r="R3814" s="1565">
        <v>130121.76</v>
      </c>
      <c r="S3814" s="1562"/>
    </row>
    <row r="3815" spans="2:19" ht="11.25" customHeight="1" outlineLevel="1">
      <c r="B3815" s="1573">
        <v>24032</v>
      </c>
      <c r="C3815" s="1566" t="s">
        <v>5172</v>
      </c>
      <c r="D3815" s="1566" t="s">
        <v>9418</v>
      </c>
      <c r="E3815" s="1566"/>
      <c r="F3815" s="1566"/>
      <c r="G3815" s="1566" t="s">
        <v>3664</v>
      </c>
      <c r="H3815" s="1568">
        <v>1</v>
      </c>
      <c r="I3815" s="1566"/>
      <c r="J3815" s="1566"/>
      <c r="K3815" s="1565">
        <v>21408</v>
      </c>
      <c r="L3815" s="1565">
        <v>21408</v>
      </c>
      <c r="M3815" s="1564"/>
      <c r="N3815" s="1565">
        <v>21408</v>
      </c>
      <c r="O3815" s="1565">
        <v>11584.2</v>
      </c>
      <c r="P3815" s="1565">
        <v>9459.84</v>
      </c>
      <c r="Q3815" s="1572">
        <v>363.96</v>
      </c>
      <c r="R3815" s="1565">
        <v>9823.7999999999993</v>
      </c>
      <c r="S3815" s="1562"/>
    </row>
    <row r="3816" spans="2:19" ht="11.25" customHeight="1" outlineLevel="1">
      <c r="B3816" s="1573">
        <v>24037</v>
      </c>
      <c r="C3816" s="1566" t="s">
        <v>5172</v>
      </c>
      <c r="D3816" s="1566" t="s">
        <v>9417</v>
      </c>
      <c r="E3816" s="1566"/>
      <c r="F3816" s="1566"/>
      <c r="G3816" s="1566" t="s">
        <v>3734</v>
      </c>
      <c r="H3816" s="1568">
        <v>1</v>
      </c>
      <c r="I3816" s="1566"/>
      <c r="J3816" s="1566"/>
      <c r="K3816" s="1565">
        <v>39189</v>
      </c>
      <c r="L3816" s="1565">
        <v>39189</v>
      </c>
      <c r="M3816" s="1564"/>
      <c r="N3816" s="1565">
        <v>39189</v>
      </c>
      <c r="O3816" s="1565">
        <v>18025.439999999999</v>
      </c>
      <c r="P3816" s="1565">
        <v>20379.84</v>
      </c>
      <c r="Q3816" s="1572">
        <v>783.72</v>
      </c>
      <c r="R3816" s="1565">
        <v>21163.56</v>
      </c>
      <c r="S3816" s="1562"/>
    </row>
    <row r="3817" spans="2:19" ht="11.25" customHeight="1" outlineLevel="1">
      <c r="B3817" s="1573">
        <v>24058</v>
      </c>
      <c r="C3817" s="1566" t="s">
        <v>5153</v>
      </c>
      <c r="D3817" s="1566" t="s">
        <v>9416</v>
      </c>
      <c r="E3817" s="1566"/>
      <c r="F3817" s="1566"/>
      <c r="G3817" s="1566" t="s">
        <v>9415</v>
      </c>
      <c r="H3817" s="1568">
        <v>1</v>
      </c>
      <c r="I3817" s="1566"/>
      <c r="J3817" s="1566"/>
      <c r="K3817" s="1572">
        <v>144</v>
      </c>
      <c r="L3817" s="1565">
        <v>1614986.85</v>
      </c>
      <c r="M3817" s="1564"/>
      <c r="N3817" s="1565">
        <v>1614986.85</v>
      </c>
      <c r="O3817" s="1565">
        <v>1379057.01</v>
      </c>
      <c r="P3817" s="1565">
        <v>186823.92</v>
      </c>
      <c r="Q3817" s="1565">
        <v>49105.919999999998</v>
      </c>
      <c r="R3817" s="1565">
        <v>235929.84</v>
      </c>
      <c r="S3817" s="1562"/>
    </row>
    <row r="3818" spans="2:19" ht="11.25" customHeight="1" outlineLevel="1">
      <c r="B3818" s="1573">
        <v>24059</v>
      </c>
      <c r="C3818" s="1566" t="s">
        <v>5153</v>
      </c>
      <c r="D3818" s="1566" t="s">
        <v>9414</v>
      </c>
      <c r="E3818" s="1566"/>
      <c r="F3818" s="1566"/>
      <c r="G3818" s="1566" t="s">
        <v>9413</v>
      </c>
      <c r="H3818" s="1568">
        <v>1</v>
      </c>
      <c r="I3818" s="1566"/>
      <c r="J3818" s="1566"/>
      <c r="K3818" s="1572">
        <v>147</v>
      </c>
      <c r="L3818" s="1565">
        <v>118612</v>
      </c>
      <c r="M3818" s="1564"/>
      <c r="N3818" s="1565">
        <v>118612</v>
      </c>
      <c r="O3818" s="1565">
        <v>64344.89</v>
      </c>
      <c r="P3818" s="1565">
        <v>52251.11</v>
      </c>
      <c r="Q3818" s="1565">
        <v>2016</v>
      </c>
      <c r="R3818" s="1565">
        <v>54267.11</v>
      </c>
      <c r="S3818" s="1562"/>
    </row>
    <row r="3819" spans="2:19" ht="11.25" customHeight="1" outlineLevel="1">
      <c r="B3819" s="1573">
        <v>24060</v>
      </c>
      <c r="C3819" s="1566" t="s">
        <v>5153</v>
      </c>
      <c r="D3819" s="1566" t="s">
        <v>9412</v>
      </c>
      <c r="E3819" s="1566"/>
      <c r="F3819" s="1566"/>
      <c r="G3819" s="1566" t="s">
        <v>5160</v>
      </c>
      <c r="H3819" s="1568">
        <v>1</v>
      </c>
      <c r="I3819" s="1566"/>
      <c r="J3819" s="1566"/>
      <c r="K3819" s="1572">
        <v>126</v>
      </c>
      <c r="L3819" s="1565">
        <v>116783</v>
      </c>
      <c r="M3819" s="1564"/>
      <c r="N3819" s="1565">
        <v>116783</v>
      </c>
      <c r="O3819" s="1565">
        <v>24101.62</v>
      </c>
      <c r="P3819" s="1565">
        <v>89238.34</v>
      </c>
      <c r="Q3819" s="1565">
        <v>3443.04</v>
      </c>
      <c r="R3819" s="1565">
        <v>92681.38</v>
      </c>
      <c r="S3819" s="1562"/>
    </row>
    <row r="3820" spans="2:19" ht="11.25" customHeight="1" outlineLevel="1">
      <c r="B3820" s="1573">
        <v>24061</v>
      </c>
      <c r="C3820" s="1566" t="s">
        <v>5153</v>
      </c>
      <c r="D3820" s="1566" t="s">
        <v>9411</v>
      </c>
      <c r="E3820" s="1566"/>
      <c r="F3820" s="1566"/>
      <c r="G3820" s="1566" t="s">
        <v>5167</v>
      </c>
      <c r="H3820" s="1568">
        <v>1</v>
      </c>
      <c r="I3820" s="1566"/>
      <c r="J3820" s="1566"/>
      <c r="K3820" s="1572">
        <v>126</v>
      </c>
      <c r="L3820" s="1565">
        <v>185329</v>
      </c>
      <c r="M3820" s="1564"/>
      <c r="N3820" s="1565">
        <v>185329</v>
      </c>
      <c r="O3820" s="1565">
        <v>38250.71</v>
      </c>
      <c r="P3820" s="1565">
        <v>141613.85</v>
      </c>
      <c r="Q3820" s="1565">
        <v>5464.44</v>
      </c>
      <c r="R3820" s="1565">
        <v>147078.29</v>
      </c>
      <c r="S3820" s="1562"/>
    </row>
    <row r="3821" spans="2:19" ht="11.25" customHeight="1" outlineLevel="1">
      <c r="B3821" s="1573">
        <v>24062</v>
      </c>
      <c r="C3821" s="1566" t="s">
        <v>5153</v>
      </c>
      <c r="D3821" s="1566" t="s">
        <v>9410</v>
      </c>
      <c r="E3821" s="1566"/>
      <c r="F3821" s="1566"/>
      <c r="G3821" s="1566" t="s">
        <v>5167</v>
      </c>
      <c r="H3821" s="1568">
        <v>1</v>
      </c>
      <c r="I3821" s="1566"/>
      <c r="J3821" s="1566"/>
      <c r="K3821" s="1572">
        <v>98</v>
      </c>
      <c r="L3821" s="1565">
        <v>7826</v>
      </c>
      <c r="M3821" s="1564"/>
      <c r="N3821" s="1565">
        <v>7826</v>
      </c>
      <c r="O3821" s="1565">
        <v>1614.83</v>
      </c>
      <c r="P3821" s="1565">
        <v>5980.53</v>
      </c>
      <c r="Q3821" s="1572">
        <v>230.64</v>
      </c>
      <c r="R3821" s="1565">
        <v>6211.17</v>
      </c>
      <c r="S3821" s="1562"/>
    </row>
    <row r="3822" spans="2:19" ht="11.25" customHeight="1" outlineLevel="1">
      <c r="B3822" s="1573">
        <v>24063</v>
      </c>
      <c r="C3822" s="1566" t="s">
        <v>5153</v>
      </c>
      <c r="D3822" s="1566" t="s">
        <v>9409</v>
      </c>
      <c r="E3822" s="1566"/>
      <c r="F3822" s="1566"/>
      <c r="G3822" s="1566" t="s">
        <v>5167</v>
      </c>
      <c r="H3822" s="1568">
        <v>1</v>
      </c>
      <c r="I3822" s="1566"/>
      <c r="J3822" s="1566"/>
      <c r="K3822" s="1572">
        <v>173</v>
      </c>
      <c r="L3822" s="1565">
        <v>195851</v>
      </c>
      <c r="M3822" s="1564"/>
      <c r="N3822" s="1565">
        <v>195851</v>
      </c>
      <c r="O3822" s="1565">
        <v>40420.379999999997</v>
      </c>
      <c r="P3822" s="1565">
        <v>149656.31</v>
      </c>
      <c r="Q3822" s="1565">
        <v>5774.31</v>
      </c>
      <c r="R3822" s="1565">
        <v>155430.62</v>
      </c>
      <c r="S3822" s="1562"/>
    </row>
    <row r="3823" spans="2:19" ht="11.25" customHeight="1" outlineLevel="1">
      <c r="B3823" s="1573">
        <v>24064</v>
      </c>
      <c r="C3823" s="1566" t="s">
        <v>5153</v>
      </c>
      <c r="D3823" s="1566" t="s">
        <v>9408</v>
      </c>
      <c r="E3823" s="1566"/>
      <c r="F3823" s="1566"/>
      <c r="G3823" s="1566" t="s">
        <v>5167</v>
      </c>
      <c r="H3823" s="1568">
        <v>1</v>
      </c>
      <c r="I3823" s="1566"/>
      <c r="J3823" s="1566"/>
      <c r="K3823" s="1572">
        <v>124</v>
      </c>
      <c r="L3823" s="1565">
        <v>61093</v>
      </c>
      <c r="M3823" s="1564"/>
      <c r="N3823" s="1565">
        <v>61093</v>
      </c>
      <c r="O3823" s="1565">
        <v>33143.69</v>
      </c>
      <c r="P3823" s="1565">
        <v>26910.83</v>
      </c>
      <c r="Q3823" s="1565">
        <v>1038.48</v>
      </c>
      <c r="R3823" s="1565">
        <v>27949.31</v>
      </c>
      <c r="S3823" s="1562"/>
    </row>
    <row r="3824" spans="2:19" ht="11.25" customHeight="1" outlineLevel="1">
      <c r="B3824" s="1573">
        <v>24065</v>
      </c>
      <c r="C3824" s="1566" t="s">
        <v>5153</v>
      </c>
      <c r="D3824" s="1566" t="s">
        <v>9407</v>
      </c>
      <c r="E3824" s="1566"/>
      <c r="F3824" s="1566"/>
      <c r="G3824" s="1566" t="s">
        <v>5160</v>
      </c>
      <c r="H3824" s="1568">
        <v>1</v>
      </c>
      <c r="I3824" s="1566"/>
      <c r="J3824" s="1566"/>
      <c r="K3824" s="1572">
        <v>162</v>
      </c>
      <c r="L3824" s="1565">
        <v>886972</v>
      </c>
      <c r="M3824" s="1564"/>
      <c r="N3824" s="1565">
        <v>886972</v>
      </c>
      <c r="O3824" s="1565">
        <v>481177.29</v>
      </c>
      <c r="P3824" s="1565">
        <v>390718.63</v>
      </c>
      <c r="Q3824" s="1565">
        <v>15076.08</v>
      </c>
      <c r="R3824" s="1565">
        <v>405794.71</v>
      </c>
      <c r="S3824" s="1562"/>
    </row>
    <row r="3825" spans="2:19" ht="11.25" customHeight="1" outlineLevel="1">
      <c r="B3825" s="1573">
        <v>24066</v>
      </c>
      <c r="C3825" s="1566" t="s">
        <v>5153</v>
      </c>
      <c r="D3825" s="1566" t="s">
        <v>9406</v>
      </c>
      <c r="E3825" s="1566"/>
      <c r="F3825" s="1566"/>
      <c r="G3825" s="1566" t="s">
        <v>5160</v>
      </c>
      <c r="H3825" s="1568">
        <v>1</v>
      </c>
      <c r="I3825" s="1566"/>
      <c r="J3825" s="1566"/>
      <c r="K3825" s="1565">
        <v>20742</v>
      </c>
      <c r="L3825" s="1565">
        <v>20742</v>
      </c>
      <c r="M3825" s="1564"/>
      <c r="N3825" s="1565">
        <v>20742</v>
      </c>
      <c r="O3825" s="1565">
        <v>2337.1999999999998</v>
      </c>
      <c r="P3825" s="1565">
        <v>17720.78</v>
      </c>
      <c r="Q3825" s="1572">
        <v>684.02</v>
      </c>
      <c r="R3825" s="1565">
        <v>18404.8</v>
      </c>
      <c r="S3825" s="1562"/>
    </row>
    <row r="3826" spans="2:19" ht="11.25" customHeight="1" outlineLevel="1">
      <c r="B3826" s="1573">
        <v>24078</v>
      </c>
      <c r="C3826" s="1566" t="s">
        <v>5153</v>
      </c>
      <c r="D3826" s="1566" t="s">
        <v>9405</v>
      </c>
      <c r="E3826" s="1566"/>
      <c r="F3826" s="1566"/>
      <c r="G3826" s="1566" t="s">
        <v>9404</v>
      </c>
      <c r="H3826" s="1568">
        <v>1</v>
      </c>
      <c r="I3826" s="1566"/>
      <c r="J3826" s="1566"/>
      <c r="K3826" s="1572">
        <v>98</v>
      </c>
      <c r="L3826" s="1565">
        <v>1561</v>
      </c>
      <c r="M3826" s="1564"/>
      <c r="N3826" s="1565">
        <v>1561</v>
      </c>
      <c r="O3826" s="1572">
        <v>320.92</v>
      </c>
      <c r="P3826" s="1565">
        <v>1194.24</v>
      </c>
      <c r="Q3826" s="1572">
        <v>45.84</v>
      </c>
      <c r="R3826" s="1565">
        <v>1240.08</v>
      </c>
      <c r="S3826" s="1562"/>
    </row>
    <row r="3827" spans="2:19" ht="11.25" customHeight="1" outlineLevel="1">
      <c r="B3827" s="1573">
        <v>24079</v>
      </c>
      <c r="C3827" s="1566" t="s">
        <v>5153</v>
      </c>
      <c r="D3827" s="1566" t="s">
        <v>9403</v>
      </c>
      <c r="E3827" s="1566"/>
      <c r="F3827" s="1566"/>
      <c r="G3827" s="1566" t="s">
        <v>5156</v>
      </c>
      <c r="H3827" s="1568">
        <v>1</v>
      </c>
      <c r="I3827" s="1566"/>
      <c r="J3827" s="1566"/>
      <c r="K3827" s="1572">
        <v>92</v>
      </c>
      <c r="L3827" s="1565">
        <v>1578</v>
      </c>
      <c r="M3827" s="1564"/>
      <c r="N3827" s="1565">
        <v>1578</v>
      </c>
      <c r="O3827" s="1572">
        <v>854.6</v>
      </c>
      <c r="P3827" s="1572">
        <v>696.64</v>
      </c>
      <c r="Q3827" s="1572">
        <v>26.76</v>
      </c>
      <c r="R3827" s="1572">
        <v>723.4</v>
      </c>
      <c r="S3827" s="1562"/>
    </row>
    <row r="3828" spans="2:19" ht="11.25" customHeight="1" outlineLevel="1">
      <c r="B3828" s="1573">
        <v>24081</v>
      </c>
      <c r="C3828" s="1566" t="s">
        <v>5153</v>
      </c>
      <c r="D3828" s="1566" t="s">
        <v>9402</v>
      </c>
      <c r="E3828" s="1566"/>
      <c r="F3828" s="1566"/>
      <c r="G3828" s="1566" t="s">
        <v>9401</v>
      </c>
      <c r="H3828" s="1568">
        <v>1</v>
      </c>
      <c r="I3828" s="1566"/>
      <c r="J3828" s="1566"/>
      <c r="K3828" s="1565">
        <v>40915</v>
      </c>
      <c r="L3828" s="1565">
        <v>40915</v>
      </c>
      <c r="M3828" s="1564"/>
      <c r="N3828" s="1565">
        <v>40915</v>
      </c>
      <c r="O3828" s="1565">
        <v>18889.63</v>
      </c>
      <c r="P3828" s="1565">
        <v>21207.09</v>
      </c>
      <c r="Q3828" s="1572">
        <v>818.28</v>
      </c>
      <c r="R3828" s="1565">
        <v>22025.37</v>
      </c>
      <c r="S3828" s="1562"/>
    </row>
    <row r="3829" spans="2:19" ht="11.25" customHeight="1" outlineLevel="1">
      <c r="B3829" s="1573">
        <v>24082</v>
      </c>
      <c r="C3829" s="1566" t="s">
        <v>5153</v>
      </c>
      <c r="D3829" s="1566" t="s">
        <v>9400</v>
      </c>
      <c r="E3829" s="1566"/>
      <c r="F3829" s="1566"/>
      <c r="G3829" s="1566" t="s">
        <v>9399</v>
      </c>
      <c r="H3829" s="1568">
        <v>1</v>
      </c>
      <c r="I3829" s="1566"/>
      <c r="J3829" s="1566"/>
      <c r="K3829" s="1572">
        <v>197</v>
      </c>
      <c r="L3829" s="1565">
        <v>33855</v>
      </c>
      <c r="M3829" s="1564"/>
      <c r="N3829" s="1565">
        <v>33855</v>
      </c>
      <c r="O3829" s="1565">
        <v>18367.03</v>
      </c>
      <c r="P3829" s="1565">
        <v>14912.45</v>
      </c>
      <c r="Q3829" s="1572">
        <v>575.52</v>
      </c>
      <c r="R3829" s="1565">
        <v>15487.97</v>
      </c>
      <c r="S3829" s="1562"/>
    </row>
    <row r="3830" spans="2:19" ht="11.25" customHeight="1" outlineLevel="1">
      <c r="B3830" s="1573">
        <v>24083</v>
      </c>
      <c r="C3830" s="1566" t="s">
        <v>5153</v>
      </c>
      <c r="D3830" s="1566" t="s">
        <v>9398</v>
      </c>
      <c r="E3830" s="1566"/>
      <c r="F3830" s="1566"/>
      <c r="G3830" s="1566" t="s">
        <v>9397</v>
      </c>
      <c r="H3830" s="1568">
        <v>1</v>
      </c>
      <c r="I3830" s="1566"/>
      <c r="J3830" s="1566"/>
      <c r="K3830" s="1572">
        <v>92</v>
      </c>
      <c r="L3830" s="1565">
        <v>8713</v>
      </c>
      <c r="M3830" s="1564"/>
      <c r="N3830" s="1565">
        <v>8713</v>
      </c>
      <c r="O3830" s="1565">
        <v>4727.18</v>
      </c>
      <c r="P3830" s="1565">
        <v>3837.74</v>
      </c>
      <c r="Q3830" s="1572">
        <v>148.08000000000001</v>
      </c>
      <c r="R3830" s="1565">
        <v>3985.82</v>
      </c>
      <c r="S3830" s="1562"/>
    </row>
    <row r="3831" spans="2:19" ht="11.25" customHeight="1" outlineLevel="1">
      <c r="B3831" s="1573">
        <v>24085</v>
      </c>
      <c r="C3831" s="1566" t="s">
        <v>5153</v>
      </c>
      <c r="D3831" s="1566" t="s">
        <v>9396</v>
      </c>
      <c r="E3831" s="1566"/>
      <c r="F3831" s="1566"/>
      <c r="G3831" s="1566" t="s">
        <v>3664</v>
      </c>
      <c r="H3831" s="1568">
        <v>1</v>
      </c>
      <c r="I3831" s="1566"/>
      <c r="J3831" s="1566"/>
      <c r="K3831" s="1572">
        <v>92</v>
      </c>
      <c r="L3831" s="1565">
        <v>1761</v>
      </c>
      <c r="M3831" s="1564"/>
      <c r="N3831" s="1565">
        <v>1761</v>
      </c>
      <c r="O3831" s="1572">
        <v>956.61</v>
      </c>
      <c r="P3831" s="1572">
        <v>774.39</v>
      </c>
      <c r="Q3831" s="1572">
        <v>30</v>
      </c>
      <c r="R3831" s="1572">
        <v>804.39</v>
      </c>
      <c r="S3831" s="1562"/>
    </row>
    <row r="3832" spans="2:19" ht="11.25" customHeight="1" outlineLevel="1">
      <c r="B3832" s="1573">
        <v>24087</v>
      </c>
      <c r="C3832" s="1566" t="s">
        <v>5153</v>
      </c>
      <c r="D3832" s="1566" t="s">
        <v>9395</v>
      </c>
      <c r="E3832" s="1566"/>
      <c r="F3832" s="1566"/>
      <c r="G3832" s="1566" t="s">
        <v>9394</v>
      </c>
      <c r="H3832" s="1568">
        <v>1</v>
      </c>
      <c r="I3832" s="1566"/>
      <c r="J3832" s="1566"/>
      <c r="K3832" s="1565">
        <v>271565</v>
      </c>
      <c r="L3832" s="1565">
        <v>271565</v>
      </c>
      <c r="M3832" s="1564"/>
      <c r="N3832" s="1565">
        <v>271565</v>
      </c>
      <c r="O3832" s="1565">
        <v>147322.93</v>
      </c>
      <c r="P3832" s="1565">
        <v>119626.15</v>
      </c>
      <c r="Q3832" s="1565">
        <v>4615.92</v>
      </c>
      <c r="R3832" s="1565">
        <v>124242.07</v>
      </c>
      <c r="S3832" s="1562"/>
    </row>
    <row r="3833" spans="2:19" ht="11.25" customHeight="1" outlineLevel="1">
      <c r="B3833" s="1573">
        <v>24089</v>
      </c>
      <c r="C3833" s="1566" t="s">
        <v>5153</v>
      </c>
      <c r="D3833" s="1566" t="s">
        <v>9393</v>
      </c>
      <c r="E3833" s="1566"/>
      <c r="F3833" s="1566"/>
      <c r="G3833" s="1566" t="s">
        <v>9392</v>
      </c>
      <c r="H3833" s="1568">
        <v>1</v>
      </c>
      <c r="I3833" s="1566"/>
      <c r="J3833" s="1566"/>
      <c r="K3833" s="1572">
        <v>259</v>
      </c>
      <c r="L3833" s="1565">
        <v>61825</v>
      </c>
      <c r="M3833" s="1564"/>
      <c r="N3833" s="1565">
        <v>61825</v>
      </c>
      <c r="O3833" s="1565">
        <v>33539.89</v>
      </c>
      <c r="P3833" s="1565">
        <v>27234.27</v>
      </c>
      <c r="Q3833" s="1565">
        <v>1050.8399999999999</v>
      </c>
      <c r="R3833" s="1565">
        <v>28285.11</v>
      </c>
      <c r="S3833" s="1562"/>
    </row>
    <row r="3834" spans="2:19" ht="11.25" customHeight="1" outlineLevel="1">
      <c r="B3834" s="1573">
        <v>24090</v>
      </c>
      <c r="C3834" s="1566" t="s">
        <v>5153</v>
      </c>
      <c r="D3834" s="1566" t="s">
        <v>9391</v>
      </c>
      <c r="E3834" s="1566"/>
      <c r="F3834" s="1566"/>
      <c r="G3834" s="1566" t="s">
        <v>5151</v>
      </c>
      <c r="H3834" s="1568">
        <v>1</v>
      </c>
      <c r="I3834" s="1566"/>
      <c r="J3834" s="1566"/>
      <c r="K3834" s="1572">
        <v>92</v>
      </c>
      <c r="L3834" s="1565">
        <v>6604</v>
      </c>
      <c r="M3834" s="1564"/>
      <c r="N3834" s="1565">
        <v>6604</v>
      </c>
      <c r="O3834" s="1565">
        <v>3583.83</v>
      </c>
      <c r="P3834" s="1565">
        <v>2907.85</v>
      </c>
      <c r="Q3834" s="1572">
        <v>112.32</v>
      </c>
      <c r="R3834" s="1565">
        <v>3020.17</v>
      </c>
      <c r="S3834" s="1562"/>
    </row>
    <row r="3835" spans="2:19" ht="11.25" customHeight="1" outlineLevel="1">
      <c r="B3835" s="1573">
        <v>24114</v>
      </c>
      <c r="C3835" s="1566" t="s">
        <v>5153</v>
      </c>
      <c r="D3835" s="1566" t="s">
        <v>9390</v>
      </c>
      <c r="E3835" s="1566"/>
      <c r="F3835" s="1566"/>
      <c r="G3835" s="1566" t="s">
        <v>3734</v>
      </c>
      <c r="H3835" s="1568">
        <v>1</v>
      </c>
      <c r="I3835" s="1566"/>
      <c r="J3835" s="1566"/>
      <c r="K3835" s="1565">
        <v>58205</v>
      </c>
      <c r="L3835" s="1565">
        <v>58205</v>
      </c>
      <c r="M3835" s="1564"/>
      <c r="N3835" s="1565">
        <v>58205</v>
      </c>
      <c r="O3835" s="1565">
        <v>6556.94</v>
      </c>
      <c r="P3835" s="1565">
        <v>49728.9</v>
      </c>
      <c r="Q3835" s="1565">
        <v>1919.16</v>
      </c>
      <c r="R3835" s="1565">
        <v>51648.06</v>
      </c>
      <c r="S3835" s="1562"/>
    </row>
    <row r="3836" spans="2:19" ht="11.25" customHeight="1" outlineLevel="1">
      <c r="B3836" s="1573">
        <v>24115</v>
      </c>
      <c r="C3836" s="1566" t="s">
        <v>5138</v>
      </c>
      <c r="D3836" s="1566" t="s">
        <v>9389</v>
      </c>
      <c r="E3836" s="1566"/>
      <c r="F3836" s="1566"/>
      <c r="G3836" s="1566" t="s">
        <v>9388</v>
      </c>
      <c r="H3836" s="1568">
        <v>1</v>
      </c>
      <c r="I3836" s="1566"/>
      <c r="J3836" s="1566"/>
      <c r="K3836" s="1572">
        <v>92</v>
      </c>
      <c r="L3836" s="1565">
        <v>1284</v>
      </c>
      <c r="M3836" s="1564"/>
      <c r="N3836" s="1565">
        <v>1284</v>
      </c>
      <c r="O3836" s="1572">
        <v>697.96</v>
      </c>
      <c r="P3836" s="1572">
        <v>564.20000000000005</v>
      </c>
      <c r="Q3836" s="1572">
        <v>21.84</v>
      </c>
      <c r="R3836" s="1572">
        <v>586.04</v>
      </c>
      <c r="S3836" s="1562"/>
    </row>
    <row r="3837" spans="2:19" ht="11.25" customHeight="1" outlineLevel="1">
      <c r="B3837" s="1573">
        <v>24116</v>
      </c>
      <c r="C3837" s="1566" t="s">
        <v>5138</v>
      </c>
      <c r="D3837" s="1566" t="s">
        <v>9387</v>
      </c>
      <c r="E3837" s="1566"/>
      <c r="F3837" s="1566"/>
      <c r="G3837" s="1566"/>
      <c r="H3837" s="1568">
        <v>1</v>
      </c>
      <c r="I3837" s="1566"/>
      <c r="J3837" s="1566"/>
      <c r="K3837" s="1572">
        <v>103</v>
      </c>
      <c r="L3837" s="1565">
        <v>73467</v>
      </c>
      <c r="M3837" s="1564"/>
      <c r="N3837" s="1565">
        <v>73467</v>
      </c>
      <c r="O3837" s="1565">
        <v>39959.68</v>
      </c>
      <c r="P3837" s="1565">
        <v>32258.6</v>
      </c>
      <c r="Q3837" s="1565">
        <v>1248.72</v>
      </c>
      <c r="R3837" s="1565">
        <v>33507.32</v>
      </c>
      <c r="S3837" s="1562"/>
    </row>
    <row r="3838" spans="2:19" ht="11.25" customHeight="1" outlineLevel="1">
      <c r="B3838" s="1573">
        <v>24117</v>
      </c>
      <c r="C3838" s="1566" t="s">
        <v>5138</v>
      </c>
      <c r="D3838" s="1566" t="s">
        <v>9386</v>
      </c>
      <c r="E3838" s="1566"/>
      <c r="F3838" s="1566"/>
      <c r="G3838" s="1566" t="s">
        <v>5149</v>
      </c>
      <c r="H3838" s="1568">
        <v>1</v>
      </c>
      <c r="I3838" s="1566"/>
      <c r="J3838" s="1566"/>
      <c r="K3838" s="1572">
        <v>300</v>
      </c>
      <c r="L3838" s="1565">
        <v>142128</v>
      </c>
      <c r="M3838" s="1564"/>
      <c r="N3838" s="1565">
        <v>142128</v>
      </c>
      <c r="O3838" s="1565">
        <v>77306.06</v>
      </c>
      <c r="P3838" s="1565">
        <v>62406.1</v>
      </c>
      <c r="Q3838" s="1565">
        <v>2415.84</v>
      </c>
      <c r="R3838" s="1565">
        <v>64821.94</v>
      </c>
      <c r="S3838" s="1562"/>
    </row>
    <row r="3839" spans="2:19" ht="11.25" customHeight="1" outlineLevel="1">
      <c r="B3839" s="1573">
        <v>24118</v>
      </c>
      <c r="C3839" s="1566" t="s">
        <v>5138</v>
      </c>
      <c r="D3839" s="1566" t="s">
        <v>9385</v>
      </c>
      <c r="E3839" s="1566"/>
      <c r="F3839" s="1566"/>
      <c r="G3839" s="1566" t="s">
        <v>9384</v>
      </c>
      <c r="H3839" s="1568">
        <v>1</v>
      </c>
      <c r="I3839" s="1566"/>
      <c r="J3839" s="1566"/>
      <c r="K3839" s="1565">
        <v>51365</v>
      </c>
      <c r="L3839" s="1565">
        <v>51365</v>
      </c>
      <c r="M3839" s="1564"/>
      <c r="N3839" s="1565">
        <v>51365</v>
      </c>
      <c r="O3839" s="1565">
        <v>5927.34</v>
      </c>
      <c r="P3839" s="1565">
        <v>43744.1</v>
      </c>
      <c r="Q3839" s="1565">
        <v>1693.56</v>
      </c>
      <c r="R3839" s="1565">
        <v>45437.66</v>
      </c>
      <c r="S3839" s="1562"/>
    </row>
    <row r="3840" spans="2:19" ht="11.25" customHeight="1" outlineLevel="1">
      <c r="B3840" s="1573">
        <v>24121</v>
      </c>
      <c r="C3840" s="1566" t="s">
        <v>5138</v>
      </c>
      <c r="D3840" s="1566" t="s">
        <v>9383</v>
      </c>
      <c r="E3840" s="1566"/>
      <c r="F3840" s="1566"/>
      <c r="G3840" s="1566" t="s">
        <v>9382</v>
      </c>
      <c r="H3840" s="1568">
        <v>1</v>
      </c>
      <c r="I3840" s="1566"/>
      <c r="J3840" s="1566"/>
      <c r="K3840" s="1572">
        <v>92</v>
      </c>
      <c r="L3840" s="1572">
        <v>459</v>
      </c>
      <c r="M3840" s="1564"/>
      <c r="N3840" s="1572">
        <v>459</v>
      </c>
      <c r="O3840" s="1572">
        <v>249.7</v>
      </c>
      <c r="P3840" s="1572">
        <v>201.5</v>
      </c>
      <c r="Q3840" s="1572">
        <v>7.8</v>
      </c>
      <c r="R3840" s="1572">
        <v>209.3</v>
      </c>
      <c r="S3840" s="1562"/>
    </row>
    <row r="3841" spans="2:19" ht="11.25" customHeight="1" outlineLevel="1">
      <c r="B3841" s="1573">
        <v>24123</v>
      </c>
      <c r="C3841" s="1566" t="s">
        <v>5138</v>
      </c>
      <c r="D3841" s="1566" t="s">
        <v>9381</v>
      </c>
      <c r="E3841" s="1566"/>
      <c r="F3841" s="1566"/>
      <c r="G3841" s="1566" t="s">
        <v>9380</v>
      </c>
      <c r="H3841" s="1568">
        <v>1</v>
      </c>
      <c r="I3841" s="1566"/>
      <c r="J3841" s="1566"/>
      <c r="K3841" s="1572">
        <v>83</v>
      </c>
      <c r="L3841" s="1565">
        <v>28531</v>
      </c>
      <c r="M3841" s="1565">
        <v>1960367.23</v>
      </c>
      <c r="N3841" s="1565">
        <v>1988898.23</v>
      </c>
      <c r="O3841" s="1565">
        <v>1975886.21</v>
      </c>
      <c r="P3841" s="1565">
        <v>12527.1</v>
      </c>
      <c r="Q3841" s="1572">
        <v>484.92</v>
      </c>
      <c r="R3841" s="1565">
        <v>13012.02</v>
      </c>
      <c r="S3841" s="1562"/>
    </row>
    <row r="3842" spans="2:19" ht="11.25" customHeight="1" outlineLevel="1">
      <c r="B3842" s="1573">
        <v>24125</v>
      </c>
      <c r="C3842" s="1566" t="s">
        <v>5138</v>
      </c>
      <c r="D3842" s="1566" t="s">
        <v>9379</v>
      </c>
      <c r="E3842" s="1566"/>
      <c r="F3842" s="1566"/>
      <c r="G3842" s="1566" t="s">
        <v>5141</v>
      </c>
      <c r="H3842" s="1568">
        <v>1</v>
      </c>
      <c r="I3842" s="1566"/>
      <c r="J3842" s="1566"/>
      <c r="K3842" s="1572">
        <v>168</v>
      </c>
      <c r="L3842" s="1565">
        <v>15140</v>
      </c>
      <c r="M3842" s="1564"/>
      <c r="N3842" s="1565">
        <v>15140</v>
      </c>
      <c r="O3842" s="1565">
        <v>8236.2000000000007</v>
      </c>
      <c r="P3842" s="1565">
        <v>6646.4</v>
      </c>
      <c r="Q3842" s="1572">
        <v>257.39999999999998</v>
      </c>
      <c r="R3842" s="1565">
        <v>6903.8</v>
      </c>
      <c r="S3842" s="1562"/>
    </row>
    <row r="3843" spans="2:19" ht="11.25" customHeight="1" outlineLevel="1">
      <c r="B3843" s="1573">
        <v>24127</v>
      </c>
      <c r="C3843" s="1566" t="s">
        <v>5138</v>
      </c>
      <c r="D3843" s="1566" t="s">
        <v>9378</v>
      </c>
      <c r="E3843" s="1566"/>
      <c r="F3843" s="1566"/>
      <c r="G3843" s="1566" t="s">
        <v>5139</v>
      </c>
      <c r="H3843" s="1568">
        <v>1</v>
      </c>
      <c r="I3843" s="1566"/>
      <c r="J3843" s="1566"/>
      <c r="K3843" s="1572">
        <v>286</v>
      </c>
      <c r="L3843" s="1565">
        <v>4003</v>
      </c>
      <c r="M3843" s="1564"/>
      <c r="N3843" s="1565">
        <v>4003</v>
      </c>
      <c r="O3843" s="1565">
        <v>2177.2600000000002</v>
      </c>
      <c r="P3843" s="1565">
        <v>1757.7</v>
      </c>
      <c r="Q3843" s="1572">
        <v>68.040000000000006</v>
      </c>
      <c r="R3843" s="1565">
        <v>1825.74</v>
      </c>
      <c r="S3843" s="1562"/>
    </row>
    <row r="3844" spans="2:19" ht="11.25" customHeight="1" outlineLevel="1">
      <c r="B3844" s="1573">
        <v>24144</v>
      </c>
      <c r="C3844" s="1566" t="s">
        <v>5138</v>
      </c>
      <c r="D3844" s="1566" t="s">
        <v>9377</v>
      </c>
      <c r="E3844" s="1566"/>
      <c r="F3844" s="1566"/>
      <c r="G3844" s="1566"/>
      <c r="H3844" s="1568">
        <v>1</v>
      </c>
      <c r="I3844" s="1566"/>
      <c r="J3844" s="1566"/>
      <c r="K3844" s="1565">
        <v>1417</v>
      </c>
      <c r="L3844" s="1565">
        <v>1417</v>
      </c>
      <c r="M3844" s="1565">
        <v>-1417</v>
      </c>
      <c r="N3844" s="1564"/>
      <c r="O3844" s="1564"/>
      <c r="P3844" s="1565">
        <v>1417</v>
      </c>
      <c r="Q3844" s="1565">
        <v>-1417</v>
      </c>
      <c r="R3844" s="1564"/>
      <c r="S3844" s="1562"/>
    </row>
    <row r="3845" spans="2:19" ht="11.25" customHeight="1" outlineLevel="1">
      <c r="B3845" s="1573">
        <v>24156</v>
      </c>
      <c r="C3845" s="1566" t="s">
        <v>5135</v>
      </c>
      <c r="D3845" s="1566" t="s">
        <v>9376</v>
      </c>
      <c r="E3845" s="1566"/>
      <c r="F3845" s="1566"/>
      <c r="G3845" s="1566" t="s">
        <v>9375</v>
      </c>
      <c r="H3845" s="1568">
        <v>1</v>
      </c>
      <c r="I3845" s="1566"/>
      <c r="J3845" s="1566"/>
      <c r="K3845" s="1572">
        <v>162</v>
      </c>
      <c r="L3845" s="1565">
        <v>37562</v>
      </c>
      <c r="M3845" s="1564"/>
      <c r="N3845" s="1565">
        <v>37562</v>
      </c>
      <c r="O3845" s="1565">
        <v>20484.68</v>
      </c>
      <c r="P3845" s="1565">
        <v>16438.8</v>
      </c>
      <c r="Q3845" s="1572">
        <v>638.52</v>
      </c>
      <c r="R3845" s="1565">
        <v>17077.32</v>
      </c>
      <c r="S3845" s="1562"/>
    </row>
    <row r="3846" spans="2:19" ht="11.25" customHeight="1" outlineLevel="1">
      <c r="B3846" s="1573">
        <v>24157</v>
      </c>
      <c r="C3846" s="1566" t="s">
        <v>5135</v>
      </c>
      <c r="D3846" s="1566" t="s">
        <v>9374</v>
      </c>
      <c r="E3846" s="1566"/>
      <c r="F3846" s="1566"/>
      <c r="G3846" s="1566" t="s">
        <v>5133</v>
      </c>
      <c r="H3846" s="1568">
        <v>1</v>
      </c>
      <c r="I3846" s="1566"/>
      <c r="J3846" s="1566"/>
      <c r="K3846" s="1572">
        <v>124</v>
      </c>
      <c r="L3846" s="1565">
        <v>8377</v>
      </c>
      <c r="M3846" s="1564"/>
      <c r="N3846" s="1565">
        <v>8377</v>
      </c>
      <c r="O3846" s="1565">
        <v>4566.8500000000004</v>
      </c>
      <c r="P3846" s="1565">
        <v>3667.83</v>
      </c>
      <c r="Q3846" s="1572">
        <v>142.32</v>
      </c>
      <c r="R3846" s="1565">
        <v>3810.15</v>
      </c>
      <c r="S3846" s="1562"/>
    </row>
    <row r="3847" spans="2:19" ht="11.25" customHeight="1" outlineLevel="1">
      <c r="B3847" s="1573">
        <v>24158</v>
      </c>
      <c r="C3847" s="1566" t="s">
        <v>5135</v>
      </c>
      <c r="D3847" s="1566" t="s">
        <v>9373</v>
      </c>
      <c r="E3847" s="1566"/>
      <c r="F3847" s="1566"/>
      <c r="G3847" s="1566" t="s">
        <v>5133</v>
      </c>
      <c r="H3847" s="1568">
        <v>1</v>
      </c>
      <c r="I3847" s="1566"/>
      <c r="J3847" s="1566"/>
      <c r="K3847" s="1572">
        <v>92</v>
      </c>
      <c r="L3847" s="1565">
        <v>5567</v>
      </c>
      <c r="M3847" s="1564"/>
      <c r="N3847" s="1565">
        <v>5567</v>
      </c>
      <c r="O3847" s="1565">
        <v>3034.43</v>
      </c>
      <c r="P3847" s="1565">
        <v>2438.0100000000002</v>
      </c>
      <c r="Q3847" s="1572">
        <v>94.56</v>
      </c>
      <c r="R3847" s="1565">
        <v>2532.5700000000002</v>
      </c>
      <c r="S3847" s="1562"/>
    </row>
    <row r="3848" spans="2:19" ht="11.25" customHeight="1" outlineLevel="1">
      <c r="B3848" s="1573">
        <v>24189</v>
      </c>
      <c r="C3848" s="1566" t="s">
        <v>9372</v>
      </c>
      <c r="D3848" s="1566" t="s">
        <v>9371</v>
      </c>
      <c r="E3848" s="1566"/>
      <c r="F3848" s="1566"/>
      <c r="G3848" s="1566" t="s">
        <v>9370</v>
      </c>
      <c r="H3848" s="1568">
        <v>1</v>
      </c>
      <c r="I3848" s="1566"/>
      <c r="J3848" s="1566"/>
      <c r="K3848" s="1572">
        <v>132</v>
      </c>
      <c r="L3848" s="1565">
        <v>1383</v>
      </c>
      <c r="M3848" s="1564"/>
      <c r="N3848" s="1565">
        <v>1383</v>
      </c>
      <c r="O3848" s="1572">
        <v>288.48</v>
      </c>
      <c r="P3848" s="1565">
        <v>1053.3599999999999</v>
      </c>
      <c r="Q3848" s="1572">
        <v>41.16</v>
      </c>
      <c r="R3848" s="1565">
        <v>1094.52</v>
      </c>
      <c r="S3848" s="1562"/>
    </row>
    <row r="3849" spans="2:19" ht="11.25" customHeight="1" outlineLevel="1">
      <c r="B3849" s="1573">
        <v>24212</v>
      </c>
      <c r="C3849" s="1566" t="s">
        <v>5128</v>
      </c>
      <c r="D3849" s="1566" t="s">
        <v>9369</v>
      </c>
      <c r="E3849" s="1566"/>
      <c r="F3849" s="1566"/>
      <c r="G3849" s="1566" t="s">
        <v>9368</v>
      </c>
      <c r="H3849" s="1568">
        <v>1</v>
      </c>
      <c r="I3849" s="1566"/>
      <c r="J3849" s="1566"/>
      <c r="K3849" s="1565">
        <v>174264</v>
      </c>
      <c r="L3849" s="1565">
        <v>174264</v>
      </c>
      <c r="M3849" s="1564"/>
      <c r="N3849" s="1565">
        <v>174264</v>
      </c>
      <c r="O3849" s="1565">
        <v>58451.05</v>
      </c>
      <c r="P3849" s="1565">
        <v>111456.35</v>
      </c>
      <c r="Q3849" s="1565">
        <v>4356.6000000000004</v>
      </c>
      <c r="R3849" s="1565">
        <v>115812.95</v>
      </c>
      <c r="S3849" s="1562"/>
    </row>
    <row r="3850" spans="2:19" ht="11.25" customHeight="1" outlineLevel="1">
      <c r="B3850" s="1573">
        <v>24214</v>
      </c>
      <c r="C3850" s="1566" t="s">
        <v>5128</v>
      </c>
      <c r="D3850" s="1566" t="s">
        <v>9367</v>
      </c>
      <c r="E3850" s="1566"/>
      <c r="F3850" s="1566"/>
      <c r="G3850" s="1566" t="s">
        <v>5131</v>
      </c>
      <c r="H3850" s="1568">
        <v>1</v>
      </c>
      <c r="I3850" s="1566"/>
      <c r="J3850" s="1566"/>
      <c r="K3850" s="1572">
        <v>143</v>
      </c>
      <c r="L3850" s="1565">
        <v>4346</v>
      </c>
      <c r="M3850" s="1564"/>
      <c r="N3850" s="1565">
        <v>4346</v>
      </c>
      <c r="O3850" s="1572">
        <v>906.94</v>
      </c>
      <c r="P3850" s="1565">
        <v>3309.46</v>
      </c>
      <c r="Q3850" s="1572">
        <v>129.6</v>
      </c>
      <c r="R3850" s="1565">
        <v>3439.06</v>
      </c>
      <c r="S3850" s="1562"/>
    </row>
    <row r="3851" spans="2:19" ht="11.25" customHeight="1" outlineLevel="1">
      <c r="B3851" s="1573">
        <v>24215</v>
      </c>
      <c r="C3851" s="1566" t="s">
        <v>5128</v>
      </c>
      <c r="D3851" s="1566" t="s">
        <v>9366</v>
      </c>
      <c r="E3851" s="1566"/>
      <c r="F3851" s="1566"/>
      <c r="G3851" s="1566" t="s">
        <v>5131</v>
      </c>
      <c r="H3851" s="1568">
        <v>1</v>
      </c>
      <c r="I3851" s="1566"/>
      <c r="J3851" s="1566"/>
      <c r="K3851" s="1572">
        <v>160</v>
      </c>
      <c r="L3851" s="1565">
        <v>43366</v>
      </c>
      <c r="M3851" s="1564"/>
      <c r="N3851" s="1565">
        <v>43366</v>
      </c>
      <c r="O3851" s="1565">
        <v>9038.5300000000007</v>
      </c>
      <c r="P3851" s="1565">
        <v>33036.269999999997</v>
      </c>
      <c r="Q3851" s="1565">
        <v>1291.2</v>
      </c>
      <c r="R3851" s="1565">
        <v>34327.47</v>
      </c>
      <c r="S3851" s="1562"/>
    </row>
    <row r="3852" spans="2:19" ht="11.25" customHeight="1" outlineLevel="1">
      <c r="B3852" s="1573">
        <v>24216</v>
      </c>
      <c r="C3852" s="1566" t="s">
        <v>5128</v>
      </c>
      <c r="D3852" s="1566" t="s">
        <v>9365</v>
      </c>
      <c r="E3852" s="1566"/>
      <c r="F3852" s="1566"/>
      <c r="G3852" s="1566" t="s">
        <v>9364</v>
      </c>
      <c r="H3852" s="1568">
        <v>1</v>
      </c>
      <c r="I3852" s="1566"/>
      <c r="J3852" s="1566"/>
      <c r="K3852" s="1572">
        <v>92</v>
      </c>
      <c r="L3852" s="1565">
        <v>2192</v>
      </c>
      <c r="M3852" s="1564"/>
      <c r="N3852" s="1565">
        <v>2192</v>
      </c>
      <c r="O3852" s="1565">
        <v>1202.98</v>
      </c>
      <c r="P3852" s="1572">
        <v>951.7</v>
      </c>
      <c r="Q3852" s="1572">
        <v>37.32</v>
      </c>
      <c r="R3852" s="1572">
        <v>989.02</v>
      </c>
      <c r="S3852" s="1562"/>
    </row>
    <row r="3853" spans="2:19" ht="11.25" customHeight="1" outlineLevel="1">
      <c r="B3853" s="1573">
        <v>24218</v>
      </c>
      <c r="C3853" s="1566" t="s">
        <v>5128</v>
      </c>
      <c r="D3853" s="1566" t="s">
        <v>9363</v>
      </c>
      <c r="E3853" s="1566"/>
      <c r="F3853" s="1566"/>
      <c r="G3853" s="1566" t="s">
        <v>5126</v>
      </c>
      <c r="H3853" s="1568">
        <v>1</v>
      </c>
      <c r="I3853" s="1566"/>
      <c r="J3853" s="1566"/>
      <c r="K3853" s="1572">
        <v>63</v>
      </c>
      <c r="L3853" s="1565">
        <v>10376</v>
      </c>
      <c r="M3853" s="1564"/>
      <c r="N3853" s="1565">
        <v>10376</v>
      </c>
      <c r="O3853" s="1565">
        <v>5686.82</v>
      </c>
      <c r="P3853" s="1565">
        <v>4512.8999999999996</v>
      </c>
      <c r="Q3853" s="1572">
        <v>176.28</v>
      </c>
      <c r="R3853" s="1565">
        <v>4689.18</v>
      </c>
      <c r="S3853" s="1562"/>
    </row>
    <row r="3854" spans="2:19" ht="11.25" customHeight="1" outlineLevel="1">
      <c r="B3854" s="1573">
        <v>24234</v>
      </c>
      <c r="C3854" s="1566" t="s">
        <v>5115</v>
      </c>
      <c r="D3854" s="1566" t="s">
        <v>9362</v>
      </c>
      <c r="E3854" s="1566"/>
      <c r="F3854" s="1566"/>
      <c r="G3854" s="1566" t="s">
        <v>5124</v>
      </c>
      <c r="H3854" s="1568">
        <v>1</v>
      </c>
      <c r="I3854" s="1566"/>
      <c r="J3854" s="1566"/>
      <c r="K3854" s="1572">
        <v>92</v>
      </c>
      <c r="L3854" s="1565">
        <v>4589</v>
      </c>
      <c r="M3854" s="1564"/>
      <c r="N3854" s="1565">
        <v>4589</v>
      </c>
      <c r="O3854" s="1565">
        <v>2522</v>
      </c>
      <c r="P3854" s="1565">
        <v>1989</v>
      </c>
      <c r="Q3854" s="1572">
        <v>78</v>
      </c>
      <c r="R3854" s="1565">
        <v>2067</v>
      </c>
      <c r="S3854" s="1562"/>
    </row>
    <row r="3855" spans="2:19" ht="11.25" customHeight="1" outlineLevel="1">
      <c r="B3855" s="1573">
        <v>24236</v>
      </c>
      <c r="C3855" s="1566" t="s">
        <v>5115</v>
      </c>
      <c r="D3855" s="1566" t="s">
        <v>9361</v>
      </c>
      <c r="E3855" s="1566"/>
      <c r="F3855" s="1566"/>
      <c r="G3855" s="1566" t="s">
        <v>5124</v>
      </c>
      <c r="H3855" s="1568">
        <v>1</v>
      </c>
      <c r="I3855" s="1566"/>
      <c r="J3855" s="1566"/>
      <c r="K3855" s="1572">
        <v>92</v>
      </c>
      <c r="L3855" s="1565">
        <v>4586</v>
      </c>
      <c r="M3855" s="1564"/>
      <c r="N3855" s="1565">
        <v>4586</v>
      </c>
      <c r="O3855" s="1565">
        <v>2519.12</v>
      </c>
      <c r="P3855" s="1565">
        <v>1989</v>
      </c>
      <c r="Q3855" s="1572">
        <v>77.88</v>
      </c>
      <c r="R3855" s="1565">
        <v>2066.88</v>
      </c>
      <c r="S3855" s="1562"/>
    </row>
    <row r="3856" spans="2:19" ht="11.25" customHeight="1" outlineLevel="1">
      <c r="B3856" s="1573">
        <v>24237</v>
      </c>
      <c r="C3856" s="1566" t="s">
        <v>5115</v>
      </c>
      <c r="D3856" s="1566" t="s">
        <v>9360</v>
      </c>
      <c r="E3856" s="1566"/>
      <c r="F3856" s="1566"/>
      <c r="G3856" s="1566" t="s">
        <v>9359</v>
      </c>
      <c r="H3856" s="1568">
        <v>1</v>
      </c>
      <c r="I3856" s="1566"/>
      <c r="J3856" s="1566"/>
      <c r="K3856" s="1572">
        <v>193</v>
      </c>
      <c r="L3856" s="1565">
        <v>4045</v>
      </c>
      <c r="M3856" s="1564"/>
      <c r="N3856" s="1565">
        <v>4045</v>
      </c>
      <c r="O3856" s="1572">
        <v>511.78</v>
      </c>
      <c r="P3856" s="1565">
        <v>3399.66</v>
      </c>
      <c r="Q3856" s="1572">
        <v>133.56</v>
      </c>
      <c r="R3856" s="1565">
        <v>3533.22</v>
      </c>
      <c r="S3856" s="1562"/>
    </row>
    <row r="3857" spans="2:19" ht="11.25" customHeight="1" outlineLevel="1">
      <c r="B3857" s="1573">
        <v>24239</v>
      </c>
      <c r="C3857" s="1566" t="s">
        <v>5115</v>
      </c>
      <c r="D3857" s="1566" t="s">
        <v>9358</v>
      </c>
      <c r="E3857" s="1566"/>
      <c r="F3857" s="1566"/>
      <c r="G3857" s="1566" t="s">
        <v>5122</v>
      </c>
      <c r="H3857" s="1568">
        <v>1</v>
      </c>
      <c r="I3857" s="1566"/>
      <c r="J3857" s="1566"/>
      <c r="K3857" s="1572">
        <v>637</v>
      </c>
      <c r="L3857" s="1565">
        <v>140848</v>
      </c>
      <c r="M3857" s="1564"/>
      <c r="N3857" s="1565">
        <v>140848</v>
      </c>
      <c r="O3857" s="1565">
        <v>77407</v>
      </c>
      <c r="P3857" s="1565">
        <v>61047</v>
      </c>
      <c r="Q3857" s="1565">
        <v>2394</v>
      </c>
      <c r="R3857" s="1565">
        <v>63441</v>
      </c>
      <c r="S3857" s="1562"/>
    </row>
    <row r="3858" spans="2:19" ht="11.25" customHeight="1" outlineLevel="1">
      <c r="B3858" s="1573">
        <v>24242</v>
      </c>
      <c r="C3858" s="1566" t="s">
        <v>5115</v>
      </c>
      <c r="D3858" s="1566" t="s">
        <v>9357</v>
      </c>
      <c r="E3858" s="1566"/>
      <c r="F3858" s="1566"/>
      <c r="G3858" s="1566" t="s">
        <v>5118</v>
      </c>
      <c r="H3858" s="1568">
        <v>1</v>
      </c>
      <c r="I3858" s="1566"/>
      <c r="J3858" s="1566"/>
      <c r="K3858" s="1572">
        <v>141</v>
      </c>
      <c r="L3858" s="1565">
        <v>33300</v>
      </c>
      <c r="M3858" s="1564"/>
      <c r="N3858" s="1565">
        <v>33300</v>
      </c>
      <c r="O3858" s="1565">
        <v>18300.02</v>
      </c>
      <c r="P3858" s="1565">
        <v>14434.02</v>
      </c>
      <c r="Q3858" s="1572">
        <v>565.96</v>
      </c>
      <c r="R3858" s="1565">
        <v>14999.98</v>
      </c>
      <c r="S3858" s="1562"/>
    </row>
    <row r="3859" spans="2:19" ht="11.25" customHeight="1" outlineLevel="1">
      <c r="B3859" s="1573">
        <v>24244</v>
      </c>
      <c r="C3859" s="1566" t="s">
        <v>5115</v>
      </c>
      <c r="D3859" s="1566" t="s">
        <v>9356</v>
      </c>
      <c r="E3859" s="1566"/>
      <c r="F3859" s="1566"/>
      <c r="G3859" s="1566" t="s">
        <v>9355</v>
      </c>
      <c r="H3859" s="1568">
        <v>1</v>
      </c>
      <c r="I3859" s="1566"/>
      <c r="J3859" s="1566"/>
      <c r="K3859" s="1572">
        <v>255</v>
      </c>
      <c r="L3859" s="1565">
        <v>285903</v>
      </c>
      <c r="M3859" s="1564"/>
      <c r="N3859" s="1565">
        <v>285903</v>
      </c>
      <c r="O3859" s="1565">
        <v>157125.72</v>
      </c>
      <c r="P3859" s="1565">
        <v>123917.75999999999</v>
      </c>
      <c r="Q3859" s="1565">
        <v>4859.5200000000004</v>
      </c>
      <c r="R3859" s="1565">
        <v>128777.28</v>
      </c>
      <c r="S3859" s="1562"/>
    </row>
    <row r="3860" spans="2:19" ht="11.25" customHeight="1" outlineLevel="1">
      <c r="B3860" s="1573">
        <v>34694</v>
      </c>
      <c r="C3860" s="1566" t="s">
        <v>5115</v>
      </c>
      <c r="D3860" s="1566" t="s">
        <v>9354</v>
      </c>
      <c r="E3860" s="1566"/>
      <c r="F3860" s="1566"/>
      <c r="G3860" s="1566"/>
      <c r="H3860" s="1568">
        <v>1</v>
      </c>
      <c r="I3860" s="1566"/>
      <c r="J3860" s="1566"/>
      <c r="K3860" s="1565">
        <v>1417</v>
      </c>
      <c r="L3860" s="1565">
        <v>1416.5</v>
      </c>
      <c r="M3860" s="1565">
        <v>-1416.5</v>
      </c>
      <c r="N3860" s="1564"/>
      <c r="O3860" s="1564"/>
      <c r="P3860" s="1565">
        <v>1416.5</v>
      </c>
      <c r="Q3860" s="1565">
        <v>-1416.5</v>
      </c>
      <c r="R3860" s="1564"/>
      <c r="S3860" s="1562"/>
    </row>
    <row r="3861" spans="2:19" ht="11.25" customHeight="1" outlineLevel="1">
      <c r="B3861" s="1573">
        <v>24259</v>
      </c>
      <c r="C3861" s="1566" t="s">
        <v>5110</v>
      </c>
      <c r="D3861" s="1566" t="s">
        <v>9353</v>
      </c>
      <c r="E3861" s="1566"/>
      <c r="F3861" s="1566"/>
      <c r="G3861" s="1566" t="s">
        <v>5111</v>
      </c>
      <c r="H3861" s="1568">
        <v>1</v>
      </c>
      <c r="I3861" s="1566"/>
      <c r="J3861" s="1566"/>
      <c r="K3861" s="1572">
        <v>242</v>
      </c>
      <c r="L3861" s="1565">
        <v>7877</v>
      </c>
      <c r="M3861" s="1564"/>
      <c r="N3861" s="1565">
        <v>7877</v>
      </c>
      <c r="O3861" s="1565">
        <v>1651</v>
      </c>
      <c r="P3861" s="1565">
        <v>5990.2</v>
      </c>
      <c r="Q3861" s="1572">
        <v>235.8</v>
      </c>
      <c r="R3861" s="1565">
        <v>6226</v>
      </c>
      <c r="S3861" s="1562"/>
    </row>
    <row r="3862" spans="2:19" ht="11.25" customHeight="1" outlineLevel="1">
      <c r="B3862" s="1573">
        <v>24296</v>
      </c>
      <c r="C3862" s="1566" t="s">
        <v>5105</v>
      </c>
      <c r="D3862" s="1566" t="s">
        <v>9352</v>
      </c>
      <c r="E3862" s="1566"/>
      <c r="F3862" s="1566"/>
      <c r="G3862" s="1566" t="s">
        <v>5103</v>
      </c>
      <c r="H3862" s="1568">
        <v>1</v>
      </c>
      <c r="I3862" s="1566"/>
      <c r="J3862" s="1566"/>
      <c r="K3862" s="1572">
        <v>159</v>
      </c>
      <c r="L3862" s="1565">
        <v>26593</v>
      </c>
      <c r="M3862" s="1564"/>
      <c r="N3862" s="1565">
        <v>26593</v>
      </c>
      <c r="O3862" s="1565">
        <v>5585.2</v>
      </c>
      <c r="P3862" s="1565">
        <v>20209.919999999998</v>
      </c>
      <c r="Q3862" s="1572">
        <v>797.88</v>
      </c>
      <c r="R3862" s="1565">
        <v>21007.8</v>
      </c>
      <c r="S3862" s="1562"/>
    </row>
    <row r="3863" spans="2:19" ht="11.25" customHeight="1" outlineLevel="1">
      <c r="B3863" s="1573">
        <v>24303</v>
      </c>
      <c r="C3863" s="1566" t="s">
        <v>5105</v>
      </c>
      <c r="D3863" s="1566" t="s">
        <v>9351</v>
      </c>
      <c r="E3863" s="1566"/>
      <c r="F3863" s="1566"/>
      <c r="G3863" s="1566" t="s">
        <v>5103</v>
      </c>
      <c r="H3863" s="1568">
        <v>1</v>
      </c>
      <c r="I3863" s="1566"/>
      <c r="J3863" s="1566"/>
      <c r="K3863" s="1572">
        <v>49</v>
      </c>
      <c r="L3863" s="1565">
        <v>79036</v>
      </c>
      <c r="M3863" s="1564"/>
      <c r="N3863" s="1565">
        <v>79036</v>
      </c>
      <c r="O3863" s="1565">
        <v>16597.560000000001</v>
      </c>
      <c r="P3863" s="1565">
        <v>60067.360000000001</v>
      </c>
      <c r="Q3863" s="1565">
        <v>2371.08</v>
      </c>
      <c r="R3863" s="1565">
        <v>62438.44</v>
      </c>
      <c r="S3863" s="1562"/>
    </row>
    <row r="3864" spans="2:19" ht="11.25" customHeight="1" outlineLevel="1">
      <c r="B3864" s="1573">
        <v>24305</v>
      </c>
      <c r="C3864" s="1566" t="s">
        <v>5105</v>
      </c>
      <c r="D3864" s="1566" t="s">
        <v>9350</v>
      </c>
      <c r="E3864" s="1566"/>
      <c r="F3864" s="1566"/>
      <c r="G3864" s="1566" t="s">
        <v>5103</v>
      </c>
      <c r="H3864" s="1568">
        <v>1</v>
      </c>
      <c r="I3864" s="1566"/>
      <c r="J3864" s="1566"/>
      <c r="K3864" s="1572">
        <v>140</v>
      </c>
      <c r="L3864" s="1565">
        <v>15070</v>
      </c>
      <c r="M3864" s="1564"/>
      <c r="N3864" s="1565">
        <v>15070</v>
      </c>
      <c r="O3864" s="1565">
        <v>8323.52</v>
      </c>
      <c r="P3864" s="1565">
        <v>6490.4</v>
      </c>
      <c r="Q3864" s="1572">
        <v>256.08</v>
      </c>
      <c r="R3864" s="1565">
        <v>6746.48</v>
      </c>
      <c r="S3864" s="1562"/>
    </row>
    <row r="3865" spans="2:19" ht="11.25" customHeight="1" outlineLevel="1">
      <c r="B3865" s="1573">
        <v>24329</v>
      </c>
      <c r="C3865" s="1566" t="s">
        <v>5087</v>
      </c>
      <c r="D3865" s="1566" t="s">
        <v>9349</v>
      </c>
      <c r="E3865" s="1566"/>
      <c r="F3865" s="1566"/>
      <c r="G3865" s="1566" t="s">
        <v>9348</v>
      </c>
      <c r="H3865" s="1568">
        <v>1</v>
      </c>
      <c r="I3865" s="1566"/>
      <c r="J3865" s="1566"/>
      <c r="K3865" s="1572">
        <v>168</v>
      </c>
      <c r="L3865" s="1565">
        <v>26778</v>
      </c>
      <c r="M3865" s="1564"/>
      <c r="N3865" s="1565">
        <v>26778</v>
      </c>
      <c r="O3865" s="1565">
        <v>14830.05</v>
      </c>
      <c r="P3865" s="1565">
        <v>11492.79</v>
      </c>
      <c r="Q3865" s="1572">
        <v>455.16</v>
      </c>
      <c r="R3865" s="1565">
        <v>11947.95</v>
      </c>
      <c r="S3865" s="1562"/>
    </row>
    <row r="3866" spans="2:19" ht="11.25" customHeight="1" outlineLevel="1">
      <c r="B3866" s="1573">
        <v>24331</v>
      </c>
      <c r="C3866" s="1566" t="s">
        <v>5087</v>
      </c>
      <c r="D3866" s="1566" t="s">
        <v>9347</v>
      </c>
      <c r="E3866" s="1566"/>
      <c r="F3866" s="1566"/>
      <c r="G3866" s="1566" t="s">
        <v>5085</v>
      </c>
      <c r="H3866" s="1568">
        <v>1</v>
      </c>
      <c r="I3866" s="1566"/>
      <c r="J3866" s="1566"/>
      <c r="K3866" s="1572">
        <v>168</v>
      </c>
      <c r="L3866" s="1565">
        <v>141148</v>
      </c>
      <c r="M3866" s="1564"/>
      <c r="N3866" s="1565">
        <v>141148</v>
      </c>
      <c r="O3866" s="1565">
        <v>78170.17</v>
      </c>
      <c r="P3866" s="1565">
        <v>60578.79</v>
      </c>
      <c r="Q3866" s="1565">
        <v>2399.04</v>
      </c>
      <c r="R3866" s="1565">
        <v>62977.83</v>
      </c>
      <c r="S3866" s="1562"/>
    </row>
    <row r="3867" spans="2:19" ht="11.25" customHeight="1" outlineLevel="1">
      <c r="B3867" s="1573">
        <v>24332</v>
      </c>
      <c r="C3867" s="1566" t="s">
        <v>5087</v>
      </c>
      <c r="D3867" s="1566" t="s">
        <v>9346</v>
      </c>
      <c r="E3867" s="1566"/>
      <c r="F3867" s="1566"/>
      <c r="G3867" s="1566" t="s">
        <v>5085</v>
      </c>
      <c r="H3867" s="1568">
        <v>1</v>
      </c>
      <c r="I3867" s="1566"/>
      <c r="J3867" s="1566"/>
      <c r="K3867" s="1572">
        <v>195</v>
      </c>
      <c r="L3867" s="1565">
        <v>133213</v>
      </c>
      <c r="M3867" s="1564"/>
      <c r="N3867" s="1565">
        <v>133213</v>
      </c>
      <c r="O3867" s="1565">
        <v>73775.77</v>
      </c>
      <c r="P3867" s="1565">
        <v>57173.07</v>
      </c>
      <c r="Q3867" s="1565">
        <v>2264.16</v>
      </c>
      <c r="R3867" s="1565">
        <v>59437.23</v>
      </c>
      <c r="S3867" s="1562"/>
    </row>
    <row r="3868" spans="2:19" ht="11.25" customHeight="1" outlineLevel="1">
      <c r="B3868" s="1573">
        <v>24333</v>
      </c>
      <c r="C3868" s="1566" t="s">
        <v>5087</v>
      </c>
      <c r="D3868" s="1566" t="s">
        <v>9345</v>
      </c>
      <c r="E3868" s="1566"/>
      <c r="F3868" s="1566"/>
      <c r="G3868" s="1566" t="s">
        <v>5085</v>
      </c>
      <c r="H3868" s="1568">
        <v>1</v>
      </c>
      <c r="I3868" s="1566"/>
      <c r="J3868" s="1566"/>
      <c r="K3868" s="1572">
        <v>332</v>
      </c>
      <c r="L3868" s="1565">
        <v>411981</v>
      </c>
      <c r="M3868" s="1564"/>
      <c r="N3868" s="1565">
        <v>411981</v>
      </c>
      <c r="O3868" s="1565">
        <v>228165.9</v>
      </c>
      <c r="P3868" s="1565">
        <v>176812.62</v>
      </c>
      <c r="Q3868" s="1565">
        <v>7002.48</v>
      </c>
      <c r="R3868" s="1565">
        <v>183815.1</v>
      </c>
      <c r="S3868" s="1562"/>
    </row>
    <row r="3869" spans="2:19" ht="11.25" customHeight="1" outlineLevel="1">
      <c r="B3869" s="1573">
        <v>24334</v>
      </c>
      <c r="C3869" s="1566" t="s">
        <v>5087</v>
      </c>
      <c r="D3869" s="1566" t="s">
        <v>9344</v>
      </c>
      <c r="E3869" s="1566"/>
      <c r="F3869" s="1566"/>
      <c r="G3869" s="1566" t="s">
        <v>9343</v>
      </c>
      <c r="H3869" s="1568">
        <v>1</v>
      </c>
      <c r="I3869" s="1566"/>
      <c r="J3869" s="1566"/>
      <c r="K3869" s="1572">
        <v>104</v>
      </c>
      <c r="L3869" s="1565">
        <v>10628</v>
      </c>
      <c r="M3869" s="1564"/>
      <c r="N3869" s="1565">
        <v>10628</v>
      </c>
      <c r="O3869" s="1565">
        <v>1977.98</v>
      </c>
      <c r="P3869" s="1565">
        <v>8320.3799999999992</v>
      </c>
      <c r="Q3869" s="1572">
        <v>329.64</v>
      </c>
      <c r="R3869" s="1565">
        <v>8650.02</v>
      </c>
      <c r="S3869" s="1562"/>
    </row>
    <row r="3870" spans="2:19" ht="11.25" customHeight="1" outlineLevel="1">
      <c r="B3870" s="1573">
        <v>24335</v>
      </c>
      <c r="C3870" s="1566" t="s">
        <v>5087</v>
      </c>
      <c r="D3870" s="1566" t="s">
        <v>9342</v>
      </c>
      <c r="E3870" s="1566"/>
      <c r="F3870" s="1566"/>
      <c r="G3870" s="1566" t="s">
        <v>5085</v>
      </c>
      <c r="H3870" s="1568">
        <v>1</v>
      </c>
      <c r="I3870" s="1566"/>
      <c r="J3870" s="1566"/>
      <c r="K3870" s="1572">
        <v>119</v>
      </c>
      <c r="L3870" s="1565">
        <v>22344</v>
      </c>
      <c r="M3870" s="1564"/>
      <c r="N3870" s="1565">
        <v>22344</v>
      </c>
      <c r="O3870" s="1565">
        <v>4156.1400000000003</v>
      </c>
      <c r="P3870" s="1565">
        <v>17495.22</v>
      </c>
      <c r="Q3870" s="1572">
        <v>692.64</v>
      </c>
      <c r="R3870" s="1565">
        <v>18187.86</v>
      </c>
      <c r="S3870" s="1562"/>
    </row>
    <row r="3871" spans="2:19" ht="11.25" customHeight="1" outlineLevel="1">
      <c r="B3871" s="1573">
        <v>24336</v>
      </c>
      <c r="C3871" s="1566" t="s">
        <v>5087</v>
      </c>
      <c r="D3871" s="1566" t="s">
        <v>9341</v>
      </c>
      <c r="E3871" s="1566"/>
      <c r="F3871" s="1566"/>
      <c r="G3871" s="1566" t="s">
        <v>9340</v>
      </c>
      <c r="H3871" s="1568">
        <v>1</v>
      </c>
      <c r="I3871" s="1566"/>
      <c r="J3871" s="1566"/>
      <c r="K3871" s="1572">
        <v>134</v>
      </c>
      <c r="L3871" s="1565">
        <v>25065</v>
      </c>
      <c r="M3871" s="1564"/>
      <c r="N3871" s="1565">
        <v>25065</v>
      </c>
      <c r="O3871" s="1565">
        <v>4662.57</v>
      </c>
      <c r="P3871" s="1565">
        <v>19625.310000000001</v>
      </c>
      <c r="Q3871" s="1572">
        <v>777.12</v>
      </c>
      <c r="R3871" s="1565">
        <v>20402.43</v>
      </c>
      <c r="S3871" s="1562"/>
    </row>
    <row r="3872" spans="2:19" ht="11.25" customHeight="1" outlineLevel="1">
      <c r="B3872" s="1573">
        <v>24337</v>
      </c>
      <c r="C3872" s="1566" t="s">
        <v>5087</v>
      </c>
      <c r="D3872" s="1566" t="s">
        <v>9339</v>
      </c>
      <c r="E3872" s="1566"/>
      <c r="F3872" s="1566"/>
      <c r="G3872" s="1566" t="s">
        <v>5085</v>
      </c>
      <c r="H3872" s="1568">
        <v>1</v>
      </c>
      <c r="I3872" s="1566"/>
      <c r="J3872" s="1566"/>
      <c r="K3872" s="1572">
        <v>204</v>
      </c>
      <c r="L3872" s="1565">
        <v>8565</v>
      </c>
      <c r="M3872" s="1564"/>
      <c r="N3872" s="1565">
        <v>8565</v>
      </c>
      <c r="O3872" s="1565">
        <v>1593.93</v>
      </c>
      <c r="P3872" s="1565">
        <v>6705.39</v>
      </c>
      <c r="Q3872" s="1572">
        <v>265.68</v>
      </c>
      <c r="R3872" s="1565">
        <v>6971.07</v>
      </c>
      <c r="S3872" s="1562"/>
    </row>
    <row r="3873" spans="2:19" ht="11.25" customHeight="1" outlineLevel="1">
      <c r="B3873" s="1573">
        <v>24338</v>
      </c>
      <c r="C3873" s="1566" t="s">
        <v>5087</v>
      </c>
      <c r="D3873" s="1566" t="s">
        <v>9338</v>
      </c>
      <c r="E3873" s="1566"/>
      <c r="F3873" s="1566"/>
      <c r="G3873" s="1566" t="s">
        <v>5085</v>
      </c>
      <c r="H3873" s="1568">
        <v>1</v>
      </c>
      <c r="I3873" s="1566"/>
      <c r="J3873" s="1566"/>
      <c r="K3873" s="1572">
        <v>274</v>
      </c>
      <c r="L3873" s="1565">
        <v>49905</v>
      </c>
      <c r="M3873" s="1564"/>
      <c r="N3873" s="1565">
        <v>49905</v>
      </c>
      <c r="O3873" s="1565">
        <v>27637.77</v>
      </c>
      <c r="P3873" s="1565">
        <v>21419.07</v>
      </c>
      <c r="Q3873" s="1572">
        <v>848.16</v>
      </c>
      <c r="R3873" s="1565">
        <v>22267.23</v>
      </c>
      <c r="S3873" s="1562"/>
    </row>
    <row r="3874" spans="2:19" ht="11.25" customHeight="1" outlineLevel="1">
      <c r="B3874" s="1573">
        <v>24339</v>
      </c>
      <c r="C3874" s="1566" t="s">
        <v>5087</v>
      </c>
      <c r="D3874" s="1566" t="s">
        <v>9337</v>
      </c>
      <c r="E3874" s="1566"/>
      <c r="F3874" s="1566"/>
      <c r="G3874" s="1566" t="s">
        <v>5085</v>
      </c>
      <c r="H3874" s="1568">
        <v>1</v>
      </c>
      <c r="I3874" s="1566"/>
      <c r="J3874" s="1566"/>
      <c r="K3874" s="1572">
        <v>408</v>
      </c>
      <c r="L3874" s="1565">
        <v>431136</v>
      </c>
      <c r="M3874" s="1564"/>
      <c r="N3874" s="1565">
        <v>431136</v>
      </c>
      <c r="O3874" s="1565">
        <v>238774.83</v>
      </c>
      <c r="P3874" s="1565">
        <v>185033.01</v>
      </c>
      <c r="Q3874" s="1565">
        <v>7328.16</v>
      </c>
      <c r="R3874" s="1565">
        <v>192361.17</v>
      </c>
      <c r="S3874" s="1562"/>
    </row>
    <row r="3875" spans="2:19" ht="11.25" customHeight="1" outlineLevel="1">
      <c r="B3875" s="1573">
        <v>24340</v>
      </c>
      <c r="C3875" s="1566" t="s">
        <v>5087</v>
      </c>
      <c r="D3875" s="1566" t="s">
        <v>9336</v>
      </c>
      <c r="E3875" s="1566"/>
      <c r="F3875" s="1566"/>
      <c r="G3875" s="1566" t="s">
        <v>5085</v>
      </c>
      <c r="H3875" s="1568">
        <v>1</v>
      </c>
      <c r="I3875" s="1566"/>
      <c r="J3875" s="1566"/>
      <c r="K3875" s="1572">
        <v>300</v>
      </c>
      <c r="L3875" s="1565">
        <v>100732</v>
      </c>
      <c r="M3875" s="1564"/>
      <c r="N3875" s="1565">
        <v>100732</v>
      </c>
      <c r="O3875" s="1565">
        <v>55787.8</v>
      </c>
      <c r="P3875" s="1565">
        <v>43232.04</v>
      </c>
      <c r="Q3875" s="1565">
        <v>1712.16</v>
      </c>
      <c r="R3875" s="1565">
        <v>44944.2</v>
      </c>
      <c r="S3875" s="1562"/>
    </row>
    <row r="3876" spans="2:19" ht="11.25" customHeight="1" outlineLevel="1">
      <c r="B3876" s="1573">
        <v>24357</v>
      </c>
      <c r="C3876" s="1566" t="s">
        <v>5082</v>
      </c>
      <c r="D3876" s="1566" t="s">
        <v>9335</v>
      </c>
      <c r="E3876" s="1566"/>
      <c r="F3876" s="1566"/>
      <c r="G3876" s="1566" t="s">
        <v>9334</v>
      </c>
      <c r="H3876" s="1568">
        <v>1</v>
      </c>
      <c r="I3876" s="1566"/>
      <c r="J3876" s="1566"/>
      <c r="K3876" s="1572">
        <v>122</v>
      </c>
      <c r="L3876" s="1565">
        <v>12087</v>
      </c>
      <c r="M3876" s="1564"/>
      <c r="N3876" s="1565">
        <v>12087</v>
      </c>
      <c r="O3876" s="1565">
        <v>2550.8200000000002</v>
      </c>
      <c r="P3876" s="1565">
        <v>9171.74</v>
      </c>
      <c r="Q3876" s="1572">
        <v>364.44</v>
      </c>
      <c r="R3876" s="1565">
        <v>9536.18</v>
      </c>
      <c r="S3876" s="1562"/>
    </row>
    <row r="3877" spans="2:19" ht="11.25" customHeight="1" outlineLevel="1">
      <c r="B3877" s="1573">
        <v>24360</v>
      </c>
      <c r="C3877" s="1566" t="s">
        <v>5082</v>
      </c>
      <c r="D3877" s="1566" t="s">
        <v>9333</v>
      </c>
      <c r="E3877" s="1566"/>
      <c r="F3877" s="1566"/>
      <c r="G3877" s="1566" t="s">
        <v>9332</v>
      </c>
      <c r="H3877" s="1568">
        <v>1</v>
      </c>
      <c r="I3877" s="1566"/>
      <c r="J3877" s="1566"/>
      <c r="K3877" s="1572">
        <v>31</v>
      </c>
      <c r="L3877" s="1565">
        <v>1607</v>
      </c>
      <c r="M3877" s="1564"/>
      <c r="N3877" s="1565">
        <v>1607</v>
      </c>
      <c r="O3877" s="1572">
        <v>891.2</v>
      </c>
      <c r="P3877" s="1572">
        <v>688.56</v>
      </c>
      <c r="Q3877" s="1572">
        <v>27.24</v>
      </c>
      <c r="R3877" s="1572">
        <v>715.8</v>
      </c>
      <c r="S3877" s="1562"/>
    </row>
    <row r="3878" spans="2:19" ht="11.25" customHeight="1" outlineLevel="1">
      <c r="B3878" s="1573">
        <v>24375</v>
      </c>
      <c r="C3878" s="1566" t="s">
        <v>5077</v>
      </c>
      <c r="D3878" s="1566" t="s">
        <v>9331</v>
      </c>
      <c r="E3878" s="1566"/>
      <c r="F3878" s="1566"/>
      <c r="G3878" s="1566" t="s">
        <v>9329</v>
      </c>
      <c r="H3878" s="1568">
        <v>1</v>
      </c>
      <c r="I3878" s="1566"/>
      <c r="J3878" s="1566"/>
      <c r="K3878" s="1572">
        <v>92</v>
      </c>
      <c r="L3878" s="1572">
        <v>725</v>
      </c>
      <c r="M3878" s="1564"/>
      <c r="N3878" s="1572">
        <v>725</v>
      </c>
      <c r="O3878" s="1572">
        <v>402.73</v>
      </c>
      <c r="P3878" s="1572">
        <v>310.02999999999997</v>
      </c>
      <c r="Q3878" s="1572">
        <v>12.24</v>
      </c>
      <c r="R3878" s="1572">
        <v>322.27</v>
      </c>
      <c r="S3878" s="1562"/>
    </row>
    <row r="3879" spans="2:19" ht="11.25" customHeight="1" outlineLevel="1">
      <c r="B3879" s="1573">
        <v>24376</v>
      </c>
      <c r="C3879" s="1566" t="s">
        <v>5077</v>
      </c>
      <c r="D3879" s="1566" t="s">
        <v>9330</v>
      </c>
      <c r="E3879" s="1566"/>
      <c r="F3879" s="1566"/>
      <c r="G3879" s="1566" t="s">
        <v>9329</v>
      </c>
      <c r="H3879" s="1568">
        <v>1</v>
      </c>
      <c r="I3879" s="1566"/>
      <c r="J3879" s="1566"/>
      <c r="K3879" s="1572">
        <v>152</v>
      </c>
      <c r="L3879" s="1565">
        <v>2361</v>
      </c>
      <c r="M3879" s="1564"/>
      <c r="N3879" s="1565">
        <v>2361</v>
      </c>
      <c r="O3879" s="1565">
        <v>1315.46</v>
      </c>
      <c r="P3879" s="1565">
        <v>1005.34</v>
      </c>
      <c r="Q3879" s="1572">
        <v>40.200000000000003</v>
      </c>
      <c r="R3879" s="1565">
        <v>1045.54</v>
      </c>
      <c r="S3879" s="1562"/>
    </row>
    <row r="3880" spans="2:19" ht="11.25" customHeight="1" outlineLevel="1">
      <c r="B3880" s="1573">
        <v>24380</v>
      </c>
      <c r="C3880" s="1566" t="s">
        <v>5077</v>
      </c>
      <c r="D3880" s="1566" t="s">
        <v>9328</v>
      </c>
      <c r="E3880" s="1566"/>
      <c r="F3880" s="1566"/>
      <c r="G3880" s="1566" t="s">
        <v>9327</v>
      </c>
      <c r="H3880" s="1568">
        <v>1</v>
      </c>
      <c r="I3880" s="1566"/>
      <c r="J3880" s="1566"/>
      <c r="K3880" s="1565">
        <v>164302</v>
      </c>
      <c r="L3880" s="1565">
        <v>164302</v>
      </c>
      <c r="M3880" s="1564"/>
      <c r="N3880" s="1565">
        <v>164302</v>
      </c>
      <c r="O3880" s="1565">
        <v>91460.64</v>
      </c>
      <c r="P3880" s="1565">
        <v>70048.72</v>
      </c>
      <c r="Q3880" s="1565">
        <v>2792.64</v>
      </c>
      <c r="R3880" s="1565">
        <v>72841.36</v>
      </c>
      <c r="S3880" s="1562"/>
    </row>
    <row r="3881" spans="2:19" ht="11.25" customHeight="1" outlineLevel="1">
      <c r="B3881" s="1573">
        <v>24381</v>
      </c>
      <c r="C3881" s="1566" t="s">
        <v>5077</v>
      </c>
      <c r="D3881" s="1566" t="s">
        <v>9326</v>
      </c>
      <c r="E3881" s="1566"/>
      <c r="F3881" s="1566"/>
      <c r="G3881" s="1566" t="s">
        <v>5075</v>
      </c>
      <c r="H3881" s="1568">
        <v>1</v>
      </c>
      <c r="I3881" s="1566"/>
      <c r="J3881" s="1566"/>
      <c r="K3881" s="1572">
        <v>247</v>
      </c>
      <c r="L3881" s="1565">
        <v>3216</v>
      </c>
      <c r="M3881" s="1564"/>
      <c r="N3881" s="1565">
        <v>3216</v>
      </c>
      <c r="O3881" s="1572">
        <v>680.7</v>
      </c>
      <c r="P3881" s="1565">
        <v>2438.1</v>
      </c>
      <c r="Q3881" s="1572">
        <v>97.2</v>
      </c>
      <c r="R3881" s="1565">
        <v>2535.3000000000002</v>
      </c>
      <c r="S3881" s="1562"/>
    </row>
    <row r="3882" spans="2:19" ht="11.25" customHeight="1" outlineLevel="1">
      <c r="B3882" s="1573">
        <v>24382</v>
      </c>
      <c r="C3882" s="1566" t="s">
        <v>5077</v>
      </c>
      <c r="D3882" s="1566" t="s">
        <v>9325</v>
      </c>
      <c r="E3882" s="1566"/>
      <c r="F3882" s="1566"/>
      <c r="G3882" s="1566" t="s">
        <v>5075</v>
      </c>
      <c r="H3882" s="1568">
        <v>1</v>
      </c>
      <c r="I3882" s="1566"/>
      <c r="J3882" s="1566"/>
      <c r="K3882" s="1572">
        <v>64</v>
      </c>
      <c r="L3882" s="1565">
        <v>3861</v>
      </c>
      <c r="M3882" s="1564"/>
      <c r="N3882" s="1565">
        <v>3861</v>
      </c>
      <c r="O3882" s="1565">
        <v>2148.89</v>
      </c>
      <c r="P3882" s="1565">
        <v>1646.47</v>
      </c>
      <c r="Q3882" s="1572">
        <v>65.64</v>
      </c>
      <c r="R3882" s="1565">
        <v>1712.11</v>
      </c>
      <c r="S3882" s="1562"/>
    </row>
    <row r="3883" spans="2:19" ht="11.25" customHeight="1" outlineLevel="1">
      <c r="B3883" s="1573">
        <v>24411</v>
      </c>
      <c r="C3883" s="1566" t="s">
        <v>5074</v>
      </c>
      <c r="D3883" s="1566" t="s">
        <v>9324</v>
      </c>
      <c r="E3883" s="1566"/>
      <c r="F3883" s="1566"/>
      <c r="G3883" s="1566" t="s">
        <v>5067</v>
      </c>
      <c r="H3883" s="1568">
        <v>1</v>
      </c>
      <c r="I3883" s="1566"/>
      <c r="J3883" s="1566"/>
      <c r="K3883" s="1572">
        <v>203</v>
      </c>
      <c r="L3883" s="1565">
        <v>19406</v>
      </c>
      <c r="M3883" s="1564"/>
      <c r="N3883" s="1565">
        <v>19406</v>
      </c>
      <c r="O3883" s="1565">
        <v>10829.12</v>
      </c>
      <c r="P3883" s="1565">
        <v>8247</v>
      </c>
      <c r="Q3883" s="1572">
        <v>329.88</v>
      </c>
      <c r="R3883" s="1565">
        <v>8576.8799999999992</v>
      </c>
      <c r="S3883" s="1562"/>
    </row>
    <row r="3884" spans="2:19" ht="11.25" customHeight="1" outlineLevel="1">
      <c r="B3884" s="1573">
        <v>24413</v>
      </c>
      <c r="C3884" s="1566" t="s">
        <v>5074</v>
      </c>
      <c r="D3884" s="1566" t="s">
        <v>9323</v>
      </c>
      <c r="E3884" s="1566"/>
      <c r="F3884" s="1566"/>
      <c r="G3884" s="1566" t="s">
        <v>9322</v>
      </c>
      <c r="H3884" s="1568">
        <v>1</v>
      </c>
      <c r="I3884" s="1566"/>
      <c r="J3884" s="1566"/>
      <c r="K3884" s="1572">
        <v>712</v>
      </c>
      <c r="L3884" s="1565">
        <v>339216</v>
      </c>
      <c r="M3884" s="1564"/>
      <c r="N3884" s="1565">
        <v>339216</v>
      </c>
      <c r="O3884" s="1565">
        <v>189306.36</v>
      </c>
      <c r="P3884" s="1565">
        <v>144144</v>
      </c>
      <c r="Q3884" s="1565">
        <v>5765.64</v>
      </c>
      <c r="R3884" s="1565">
        <v>149909.64000000001</v>
      </c>
      <c r="S3884" s="1562"/>
    </row>
    <row r="3885" spans="2:19" ht="11.25" customHeight="1" outlineLevel="1">
      <c r="B3885" s="1573">
        <v>24466</v>
      </c>
      <c r="C3885" s="1566" t="s">
        <v>5074</v>
      </c>
      <c r="D3885" s="1566" t="s">
        <v>9321</v>
      </c>
      <c r="E3885" s="1566"/>
      <c r="F3885" s="1566"/>
      <c r="G3885" s="1566"/>
      <c r="H3885" s="1568">
        <v>1</v>
      </c>
      <c r="I3885" s="1566"/>
      <c r="J3885" s="1566"/>
      <c r="K3885" s="1565">
        <v>6985</v>
      </c>
      <c r="L3885" s="1565">
        <v>6985</v>
      </c>
      <c r="M3885" s="1565">
        <v>-6985</v>
      </c>
      <c r="N3885" s="1564"/>
      <c r="O3885" s="1564"/>
      <c r="P3885" s="1565">
        <v>6985</v>
      </c>
      <c r="Q3885" s="1565">
        <v>-6985</v>
      </c>
      <c r="R3885" s="1564"/>
      <c r="S3885" s="1562"/>
    </row>
    <row r="3886" spans="2:19" ht="11.25" customHeight="1" outlineLevel="1">
      <c r="B3886" s="1573">
        <v>24499</v>
      </c>
      <c r="C3886" s="1566" t="s">
        <v>5053</v>
      </c>
      <c r="D3886" s="1566" t="s">
        <v>9320</v>
      </c>
      <c r="E3886" s="1566"/>
      <c r="F3886" s="1566"/>
      <c r="G3886" s="1566" t="s">
        <v>9319</v>
      </c>
      <c r="H3886" s="1568">
        <v>1</v>
      </c>
      <c r="I3886" s="1566"/>
      <c r="J3886" s="1566"/>
      <c r="K3886" s="1572">
        <v>629</v>
      </c>
      <c r="L3886" s="1565">
        <v>106301</v>
      </c>
      <c r="M3886" s="1564"/>
      <c r="N3886" s="1565">
        <v>106301</v>
      </c>
      <c r="O3886" s="1565">
        <v>59624.3</v>
      </c>
      <c r="P3886" s="1565">
        <v>44869.86</v>
      </c>
      <c r="Q3886" s="1565">
        <v>1806.84</v>
      </c>
      <c r="R3886" s="1565">
        <v>46676.7</v>
      </c>
      <c r="S3886" s="1562"/>
    </row>
    <row r="3887" spans="2:19" ht="11.25" customHeight="1" outlineLevel="1">
      <c r="B3887" s="1573">
        <v>24502</v>
      </c>
      <c r="C3887" s="1566" t="s">
        <v>5053</v>
      </c>
      <c r="D3887" s="1566" t="s">
        <v>9318</v>
      </c>
      <c r="E3887" s="1566"/>
      <c r="F3887" s="1566"/>
      <c r="G3887" s="1566" t="s">
        <v>9317</v>
      </c>
      <c r="H3887" s="1568">
        <v>1</v>
      </c>
      <c r="I3887" s="1566"/>
      <c r="J3887" s="1566"/>
      <c r="K3887" s="1572">
        <v>98</v>
      </c>
      <c r="L3887" s="1565">
        <v>11470</v>
      </c>
      <c r="M3887" s="1564"/>
      <c r="N3887" s="1565">
        <v>11470</v>
      </c>
      <c r="O3887" s="1565">
        <v>6432.62</v>
      </c>
      <c r="P3887" s="1565">
        <v>4842.5</v>
      </c>
      <c r="Q3887" s="1572">
        <v>194.88</v>
      </c>
      <c r="R3887" s="1565">
        <v>5037.38</v>
      </c>
      <c r="S3887" s="1562"/>
    </row>
    <row r="3888" spans="2:19" ht="11.25" customHeight="1" outlineLevel="1">
      <c r="B3888" s="1573">
        <v>24503</v>
      </c>
      <c r="C3888" s="1566" t="s">
        <v>5053</v>
      </c>
      <c r="D3888" s="1566" t="s">
        <v>9316</v>
      </c>
      <c r="E3888" s="1566"/>
      <c r="F3888" s="1566"/>
      <c r="G3888" s="1566" t="s">
        <v>5060</v>
      </c>
      <c r="H3888" s="1568">
        <v>1</v>
      </c>
      <c r="I3888" s="1566"/>
      <c r="J3888" s="1566"/>
      <c r="K3888" s="1572">
        <v>118</v>
      </c>
      <c r="L3888" s="1565">
        <v>1538</v>
      </c>
      <c r="M3888" s="1564"/>
      <c r="N3888" s="1565">
        <v>1538</v>
      </c>
      <c r="O3888" s="1572">
        <v>862.2</v>
      </c>
      <c r="P3888" s="1572">
        <v>649.64</v>
      </c>
      <c r="Q3888" s="1572">
        <v>26.16</v>
      </c>
      <c r="R3888" s="1572">
        <v>675.8</v>
      </c>
      <c r="S3888" s="1562"/>
    </row>
    <row r="3889" spans="2:19" ht="11.25" customHeight="1" outlineLevel="1">
      <c r="B3889" s="1573">
        <v>24505</v>
      </c>
      <c r="C3889" s="1566" t="s">
        <v>5053</v>
      </c>
      <c r="D3889" s="1566" t="s">
        <v>9315</v>
      </c>
      <c r="E3889" s="1566"/>
      <c r="F3889" s="1566"/>
      <c r="G3889" s="1566" t="s">
        <v>9314</v>
      </c>
      <c r="H3889" s="1568">
        <v>1</v>
      </c>
      <c r="I3889" s="1566"/>
      <c r="J3889" s="1566"/>
      <c r="K3889" s="1572">
        <v>403</v>
      </c>
      <c r="L3889" s="1565">
        <v>46299</v>
      </c>
      <c r="M3889" s="1564"/>
      <c r="N3889" s="1565">
        <v>46299</v>
      </c>
      <c r="O3889" s="1565">
        <v>25969.200000000001</v>
      </c>
      <c r="P3889" s="1565">
        <v>19542.84</v>
      </c>
      <c r="Q3889" s="1572">
        <v>786.96</v>
      </c>
      <c r="R3889" s="1565">
        <v>20329.8</v>
      </c>
      <c r="S3889" s="1562"/>
    </row>
    <row r="3890" spans="2:19" ht="11.25" customHeight="1" outlineLevel="1">
      <c r="B3890" s="1573">
        <v>24508</v>
      </c>
      <c r="C3890" s="1566" t="s">
        <v>5053</v>
      </c>
      <c r="D3890" s="1566" t="s">
        <v>9313</v>
      </c>
      <c r="E3890" s="1566"/>
      <c r="F3890" s="1566"/>
      <c r="G3890" s="1566" t="s">
        <v>9312</v>
      </c>
      <c r="H3890" s="1568">
        <v>1</v>
      </c>
      <c r="I3890" s="1566"/>
      <c r="J3890" s="1566"/>
      <c r="K3890" s="1572">
        <v>874</v>
      </c>
      <c r="L3890" s="1565">
        <v>51582</v>
      </c>
      <c r="M3890" s="1564"/>
      <c r="N3890" s="1565">
        <v>51582</v>
      </c>
      <c r="O3890" s="1565">
        <v>10996.86</v>
      </c>
      <c r="P3890" s="1565">
        <v>39014.160000000003</v>
      </c>
      <c r="Q3890" s="1565">
        <v>1570.98</v>
      </c>
      <c r="R3890" s="1565">
        <v>40585.14</v>
      </c>
      <c r="S3890" s="1562"/>
    </row>
    <row r="3891" spans="2:19" ht="11.25" customHeight="1" outlineLevel="1">
      <c r="B3891" s="1573">
        <v>24511</v>
      </c>
      <c r="C3891" s="1566" t="s">
        <v>5053</v>
      </c>
      <c r="D3891" s="1566" t="s">
        <v>9311</v>
      </c>
      <c r="E3891" s="1566"/>
      <c r="F3891" s="1566"/>
      <c r="G3891" s="1566" t="s">
        <v>9309</v>
      </c>
      <c r="H3891" s="1568">
        <v>1</v>
      </c>
      <c r="I3891" s="1566"/>
      <c r="J3891" s="1566"/>
      <c r="K3891" s="1572">
        <v>62</v>
      </c>
      <c r="L3891" s="1565">
        <v>6048</v>
      </c>
      <c r="M3891" s="1564"/>
      <c r="N3891" s="1565">
        <v>6048</v>
      </c>
      <c r="O3891" s="1565">
        <v>3391.42</v>
      </c>
      <c r="P3891" s="1565">
        <v>2553.86</v>
      </c>
      <c r="Q3891" s="1572">
        <v>102.72</v>
      </c>
      <c r="R3891" s="1565">
        <v>2656.58</v>
      </c>
      <c r="S3891" s="1562"/>
    </row>
    <row r="3892" spans="2:19" ht="11.25" customHeight="1" outlineLevel="1">
      <c r="B3892" s="1573">
        <v>24513</v>
      </c>
      <c r="C3892" s="1566" t="s">
        <v>5053</v>
      </c>
      <c r="D3892" s="1566" t="s">
        <v>9310</v>
      </c>
      <c r="E3892" s="1566"/>
      <c r="F3892" s="1566"/>
      <c r="G3892" s="1566" t="s">
        <v>9309</v>
      </c>
      <c r="H3892" s="1568">
        <v>1</v>
      </c>
      <c r="I3892" s="1566"/>
      <c r="J3892" s="1566"/>
      <c r="K3892" s="1565">
        <v>18020</v>
      </c>
      <c r="L3892" s="1565">
        <v>18020</v>
      </c>
      <c r="M3892" s="1564"/>
      <c r="N3892" s="1565">
        <v>18020</v>
      </c>
      <c r="O3892" s="1565">
        <v>2922.88</v>
      </c>
      <c r="P3892" s="1565">
        <v>14512.6</v>
      </c>
      <c r="Q3892" s="1572">
        <v>584.52</v>
      </c>
      <c r="R3892" s="1565">
        <v>15097.12</v>
      </c>
      <c r="S3892" s="1562"/>
    </row>
    <row r="3893" spans="2:19" ht="11.25" customHeight="1" outlineLevel="1">
      <c r="B3893" s="1573">
        <v>24514</v>
      </c>
      <c r="C3893" s="1566" t="s">
        <v>5053</v>
      </c>
      <c r="D3893" s="1566" t="s">
        <v>9308</v>
      </c>
      <c r="E3893" s="1566"/>
      <c r="F3893" s="1566"/>
      <c r="G3893" s="1566" t="s">
        <v>9307</v>
      </c>
      <c r="H3893" s="1568">
        <v>1</v>
      </c>
      <c r="I3893" s="1566"/>
      <c r="J3893" s="1566"/>
      <c r="K3893" s="1565">
        <v>1118</v>
      </c>
      <c r="L3893" s="1565">
        <v>619619</v>
      </c>
      <c r="M3893" s="1564"/>
      <c r="N3893" s="1565">
        <v>619619</v>
      </c>
      <c r="O3893" s="1565">
        <v>347547.5</v>
      </c>
      <c r="P3893" s="1565">
        <v>261539.7</v>
      </c>
      <c r="Q3893" s="1565">
        <v>10531.8</v>
      </c>
      <c r="R3893" s="1565">
        <v>272071.5</v>
      </c>
      <c r="S3893" s="1562"/>
    </row>
    <row r="3894" spans="2:19" ht="11.25" customHeight="1" outlineLevel="1">
      <c r="B3894" s="1573">
        <v>24528</v>
      </c>
      <c r="C3894" s="1566" t="s">
        <v>5047</v>
      </c>
      <c r="D3894" s="1566" t="s">
        <v>9306</v>
      </c>
      <c r="E3894" s="1566"/>
      <c r="F3894" s="1566"/>
      <c r="G3894" s="1566" t="s">
        <v>9305</v>
      </c>
      <c r="H3894" s="1568">
        <v>1</v>
      </c>
      <c r="I3894" s="1566"/>
      <c r="J3894" s="1566"/>
      <c r="K3894" s="1572">
        <v>475</v>
      </c>
      <c r="L3894" s="1565">
        <v>2848</v>
      </c>
      <c r="M3894" s="1564"/>
      <c r="N3894" s="1565">
        <v>2848</v>
      </c>
      <c r="O3894" s="1565">
        <v>1602.61</v>
      </c>
      <c r="P3894" s="1565">
        <v>1196.9100000000001</v>
      </c>
      <c r="Q3894" s="1572">
        <v>48.48</v>
      </c>
      <c r="R3894" s="1565">
        <v>1245.3900000000001</v>
      </c>
      <c r="S3894" s="1562"/>
    </row>
    <row r="3895" spans="2:19" ht="11.25" customHeight="1" outlineLevel="1">
      <c r="B3895" s="1573">
        <v>24532</v>
      </c>
      <c r="C3895" s="1566" t="s">
        <v>5047</v>
      </c>
      <c r="D3895" s="1566" t="s">
        <v>9304</v>
      </c>
      <c r="E3895" s="1566"/>
      <c r="F3895" s="1566"/>
      <c r="G3895" s="1566" t="s">
        <v>9302</v>
      </c>
      <c r="H3895" s="1568">
        <v>1</v>
      </c>
      <c r="I3895" s="1566"/>
      <c r="J3895" s="1566"/>
      <c r="K3895" s="1565">
        <v>2323</v>
      </c>
      <c r="L3895" s="1565">
        <v>2369.8000000000002</v>
      </c>
      <c r="M3895" s="1564"/>
      <c r="N3895" s="1565">
        <v>2369.8000000000002</v>
      </c>
      <c r="O3895" s="1572">
        <v>506.53</v>
      </c>
      <c r="P3895" s="1565">
        <v>1790.91</v>
      </c>
      <c r="Q3895" s="1572">
        <v>72.36</v>
      </c>
      <c r="R3895" s="1565">
        <v>1863.27</v>
      </c>
      <c r="S3895" s="1562"/>
    </row>
    <row r="3896" spans="2:19" ht="11.25" customHeight="1" outlineLevel="1">
      <c r="B3896" s="1573">
        <v>24533</v>
      </c>
      <c r="C3896" s="1566" t="s">
        <v>5047</v>
      </c>
      <c r="D3896" s="1566" t="s">
        <v>9303</v>
      </c>
      <c r="E3896" s="1566"/>
      <c r="F3896" s="1566"/>
      <c r="G3896" s="1566" t="s">
        <v>9302</v>
      </c>
      <c r="H3896" s="1568">
        <v>1</v>
      </c>
      <c r="I3896" s="1566"/>
      <c r="J3896" s="1566"/>
      <c r="K3896" s="1565">
        <v>2323</v>
      </c>
      <c r="L3896" s="1565">
        <v>2323.38</v>
      </c>
      <c r="M3896" s="1564"/>
      <c r="N3896" s="1565">
        <v>2323.38</v>
      </c>
      <c r="O3896" s="1572">
        <v>497.07</v>
      </c>
      <c r="P3896" s="1565">
        <v>1755.27</v>
      </c>
      <c r="Q3896" s="1572">
        <v>71.040000000000006</v>
      </c>
      <c r="R3896" s="1565">
        <v>1826.31</v>
      </c>
      <c r="S3896" s="1562"/>
    </row>
    <row r="3897" spans="2:19" ht="11.25" customHeight="1" outlineLevel="1">
      <c r="B3897" s="1573">
        <v>24534</v>
      </c>
      <c r="C3897" s="1566" t="s">
        <v>5047</v>
      </c>
      <c r="D3897" s="1566" t="s">
        <v>9301</v>
      </c>
      <c r="E3897" s="1566"/>
      <c r="F3897" s="1566"/>
      <c r="G3897" s="1566" t="s">
        <v>9300</v>
      </c>
      <c r="H3897" s="1568">
        <v>1</v>
      </c>
      <c r="I3897" s="1566"/>
      <c r="J3897" s="1566"/>
      <c r="K3897" s="1572">
        <v>252</v>
      </c>
      <c r="L3897" s="1565">
        <v>51263</v>
      </c>
      <c r="M3897" s="1564"/>
      <c r="N3897" s="1565">
        <v>51263</v>
      </c>
      <c r="O3897" s="1565">
        <v>28826.51</v>
      </c>
      <c r="P3897" s="1565">
        <v>21565.17</v>
      </c>
      <c r="Q3897" s="1572">
        <v>871.32</v>
      </c>
      <c r="R3897" s="1565">
        <v>22436.49</v>
      </c>
      <c r="S3897" s="1562"/>
    </row>
    <row r="3898" spans="2:19" ht="11.25" customHeight="1" outlineLevel="1">
      <c r="B3898" s="1573">
        <v>24535</v>
      </c>
      <c r="C3898" s="1566" t="s">
        <v>5047</v>
      </c>
      <c r="D3898" s="1566" t="s">
        <v>9299</v>
      </c>
      <c r="E3898" s="1566"/>
      <c r="F3898" s="1566"/>
      <c r="G3898" s="1566" t="s">
        <v>3664</v>
      </c>
      <c r="H3898" s="1568">
        <v>1</v>
      </c>
      <c r="I3898" s="1566"/>
      <c r="J3898" s="1566"/>
      <c r="K3898" s="1572">
        <v>143</v>
      </c>
      <c r="L3898" s="1565">
        <v>15683</v>
      </c>
      <c r="M3898" s="1564"/>
      <c r="N3898" s="1565">
        <v>15683</v>
      </c>
      <c r="O3898" s="1565">
        <v>3351.05</v>
      </c>
      <c r="P3898" s="1565">
        <v>11853.27</v>
      </c>
      <c r="Q3898" s="1572">
        <v>478.68</v>
      </c>
      <c r="R3898" s="1565">
        <v>12331.95</v>
      </c>
      <c r="S3898" s="1562"/>
    </row>
    <row r="3899" spans="2:19" ht="11.25" customHeight="1" outlineLevel="1">
      <c r="B3899" s="1573">
        <v>24536</v>
      </c>
      <c r="C3899" s="1566" t="s">
        <v>5047</v>
      </c>
      <c r="D3899" s="1566" t="s">
        <v>9298</v>
      </c>
      <c r="E3899" s="1566"/>
      <c r="F3899" s="1566"/>
      <c r="G3899" s="1566" t="s">
        <v>9297</v>
      </c>
      <c r="H3899" s="1568">
        <v>1</v>
      </c>
      <c r="I3899" s="1566"/>
      <c r="J3899" s="1566"/>
      <c r="K3899" s="1572">
        <v>522</v>
      </c>
      <c r="L3899" s="1565">
        <v>4252946.54</v>
      </c>
      <c r="M3899" s="1564"/>
      <c r="N3899" s="1565">
        <v>4252946.54</v>
      </c>
      <c r="O3899" s="1565">
        <v>3872937.1</v>
      </c>
      <c r="P3899" s="1565">
        <v>262943.32</v>
      </c>
      <c r="Q3899" s="1565">
        <v>117066.12</v>
      </c>
      <c r="R3899" s="1565">
        <v>380009.44</v>
      </c>
      <c r="S3899" s="1562"/>
    </row>
    <row r="3900" spans="2:19" ht="11.25" customHeight="1" outlineLevel="1">
      <c r="B3900" s="1573">
        <v>24537</v>
      </c>
      <c r="C3900" s="1566" t="s">
        <v>5047</v>
      </c>
      <c r="D3900" s="1566" t="s">
        <v>9296</v>
      </c>
      <c r="E3900" s="1566"/>
      <c r="F3900" s="1566"/>
      <c r="G3900" s="1566" t="s">
        <v>9295</v>
      </c>
      <c r="H3900" s="1568">
        <v>1</v>
      </c>
      <c r="I3900" s="1566"/>
      <c r="J3900" s="1566"/>
      <c r="K3900" s="1572">
        <v>129</v>
      </c>
      <c r="L3900" s="1565">
        <v>89889</v>
      </c>
      <c r="M3900" s="1564"/>
      <c r="N3900" s="1565">
        <v>89889</v>
      </c>
      <c r="O3900" s="1565">
        <v>50547.12</v>
      </c>
      <c r="P3900" s="1565">
        <v>37814.04</v>
      </c>
      <c r="Q3900" s="1565">
        <v>1527.84</v>
      </c>
      <c r="R3900" s="1565">
        <v>39341.879999999997</v>
      </c>
      <c r="S3900" s="1562"/>
    </row>
    <row r="3901" spans="2:19" ht="11.25" customHeight="1" outlineLevel="1">
      <c r="B3901" s="1573">
        <v>35298</v>
      </c>
      <c r="C3901" s="1566" t="s">
        <v>5047</v>
      </c>
      <c r="D3901" s="1566" t="s">
        <v>9294</v>
      </c>
      <c r="E3901" s="1566"/>
      <c r="F3901" s="1566"/>
      <c r="G3901" s="1566" t="s">
        <v>9256</v>
      </c>
      <c r="H3901" s="1568">
        <v>1</v>
      </c>
      <c r="I3901" s="1566"/>
      <c r="J3901" s="1566"/>
      <c r="K3901" s="1565">
        <v>2323</v>
      </c>
      <c r="L3901" s="1565">
        <v>2369.8000000000002</v>
      </c>
      <c r="M3901" s="1564"/>
      <c r="N3901" s="1565">
        <v>2369.8000000000002</v>
      </c>
      <c r="O3901" s="1572">
        <v>562.08000000000004</v>
      </c>
      <c r="P3901" s="1565">
        <v>1737.45</v>
      </c>
      <c r="Q3901" s="1572">
        <v>70.27</v>
      </c>
      <c r="R3901" s="1565">
        <v>1807.72</v>
      </c>
      <c r="S3901" s="1562"/>
    </row>
    <row r="3902" spans="2:19" ht="11.25" customHeight="1" outlineLevel="1">
      <c r="B3902" s="1573">
        <v>35299</v>
      </c>
      <c r="C3902" s="1566" t="s">
        <v>5047</v>
      </c>
      <c r="D3902" s="1566" t="s">
        <v>9293</v>
      </c>
      <c r="E3902" s="1566"/>
      <c r="F3902" s="1566"/>
      <c r="G3902" s="1566" t="s">
        <v>9256</v>
      </c>
      <c r="H3902" s="1568">
        <v>1</v>
      </c>
      <c r="I3902" s="1566"/>
      <c r="J3902" s="1566"/>
      <c r="K3902" s="1565">
        <v>2323</v>
      </c>
      <c r="L3902" s="1565">
        <v>2369.8000000000002</v>
      </c>
      <c r="M3902" s="1564"/>
      <c r="N3902" s="1565">
        <v>2369.8000000000002</v>
      </c>
      <c r="O3902" s="1572">
        <v>562.08000000000004</v>
      </c>
      <c r="P3902" s="1565">
        <v>1737.45</v>
      </c>
      <c r="Q3902" s="1572">
        <v>70.27</v>
      </c>
      <c r="R3902" s="1565">
        <v>1807.72</v>
      </c>
      <c r="S3902" s="1562"/>
    </row>
    <row r="3903" spans="2:19" ht="11.25" customHeight="1" outlineLevel="1">
      <c r="B3903" s="1573">
        <v>35300</v>
      </c>
      <c r="C3903" s="1566" t="s">
        <v>5047</v>
      </c>
      <c r="D3903" s="1566" t="s">
        <v>9292</v>
      </c>
      <c r="E3903" s="1566"/>
      <c r="F3903" s="1566"/>
      <c r="G3903" s="1566" t="s">
        <v>9256</v>
      </c>
      <c r="H3903" s="1568">
        <v>1</v>
      </c>
      <c r="I3903" s="1566"/>
      <c r="J3903" s="1566"/>
      <c r="K3903" s="1565">
        <v>2323</v>
      </c>
      <c r="L3903" s="1565">
        <v>2369.8000000000002</v>
      </c>
      <c r="M3903" s="1564"/>
      <c r="N3903" s="1565">
        <v>2369.8000000000002</v>
      </c>
      <c r="O3903" s="1572">
        <v>562.08000000000004</v>
      </c>
      <c r="P3903" s="1565">
        <v>1737.45</v>
      </c>
      <c r="Q3903" s="1572">
        <v>70.27</v>
      </c>
      <c r="R3903" s="1565">
        <v>1807.72</v>
      </c>
      <c r="S3903" s="1562"/>
    </row>
    <row r="3904" spans="2:19" ht="11.25" customHeight="1" outlineLevel="1">
      <c r="B3904" s="1573">
        <v>35301</v>
      </c>
      <c r="C3904" s="1566" t="s">
        <v>5047</v>
      </c>
      <c r="D3904" s="1566" t="s">
        <v>9291</v>
      </c>
      <c r="E3904" s="1566"/>
      <c r="F3904" s="1566"/>
      <c r="G3904" s="1566" t="s">
        <v>9256</v>
      </c>
      <c r="H3904" s="1568">
        <v>1</v>
      </c>
      <c r="I3904" s="1566"/>
      <c r="J3904" s="1566"/>
      <c r="K3904" s="1565">
        <v>2323</v>
      </c>
      <c r="L3904" s="1565">
        <v>2369.8000000000002</v>
      </c>
      <c r="M3904" s="1564"/>
      <c r="N3904" s="1565">
        <v>2369.8000000000002</v>
      </c>
      <c r="O3904" s="1572">
        <v>562.08000000000004</v>
      </c>
      <c r="P3904" s="1565">
        <v>1737.45</v>
      </c>
      <c r="Q3904" s="1572">
        <v>70.27</v>
      </c>
      <c r="R3904" s="1565">
        <v>1807.72</v>
      </c>
      <c r="S3904" s="1562"/>
    </row>
    <row r="3905" spans="2:19" ht="11.25" customHeight="1" outlineLevel="1">
      <c r="B3905" s="1573">
        <v>35302</v>
      </c>
      <c r="C3905" s="1566" t="s">
        <v>5047</v>
      </c>
      <c r="D3905" s="1566" t="s">
        <v>9290</v>
      </c>
      <c r="E3905" s="1566"/>
      <c r="F3905" s="1566"/>
      <c r="G3905" s="1566" t="s">
        <v>9256</v>
      </c>
      <c r="H3905" s="1568">
        <v>1</v>
      </c>
      <c r="I3905" s="1566"/>
      <c r="J3905" s="1566"/>
      <c r="K3905" s="1565">
        <v>2323</v>
      </c>
      <c r="L3905" s="1565">
        <v>2369.8000000000002</v>
      </c>
      <c r="M3905" s="1564"/>
      <c r="N3905" s="1565">
        <v>2369.8000000000002</v>
      </c>
      <c r="O3905" s="1572">
        <v>562.08000000000004</v>
      </c>
      <c r="P3905" s="1565">
        <v>1737.45</v>
      </c>
      <c r="Q3905" s="1572">
        <v>70.27</v>
      </c>
      <c r="R3905" s="1565">
        <v>1807.72</v>
      </c>
      <c r="S3905" s="1562"/>
    </row>
    <row r="3906" spans="2:19" ht="11.25" customHeight="1" outlineLevel="1">
      <c r="B3906" s="1573">
        <v>35303</v>
      </c>
      <c r="C3906" s="1566" t="s">
        <v>5047</v>
      </c>
      <c r="D3906" s="1566" t="s">
        <v>9289</v>
      </c>
      <c r="E3906" s="1566"/>
      <c r="F3906" s="1566"/>
      <c r="G3906" s="1566" t="s">
        <v>9256</v>
      </c>
      <c r="H3906" s="1568">
        <v>1</v>
      </c>
      <c r="I3906" s="1566"/>
      <c r="J3906" s="1566"/>
      <c r="K3906" s="1565">
        <v>2323</v>
      </c>
      <c r="L3906" s="1565">
        <v>2369.8000000000002</v>
      </c>
      <c r="M3906" s="1564"/>
      <c r="N3906" s="1565">
        <v>2369.8000000000002</v>
      </c>
      <c r="O3906" s="1572">
        <v>562.08000000000004</v>
      </c>
      <c r="P3906" s="1565">
        <v>1737.45</v>
      </c>
      <c r="Q3906" s="1572">
        <v>70.27</v>
      </c>
      <c r="R3906" s="1565">
        <v>1807.72</v>
      </c>
      <c r="S3906" s="1562"/>
    </row>
    <row r="3907" spans="2:19" ht="11.25" customHeight="1" outlineLevel="1">
      <c r="B3907" s="1573">
        <v>35304</v>
      </c>
      <c r="C3907" s="1566" t="s">
        <v>5047</v>
      </c>
      <c r="D3907" s="1566" t="s">
        <v>9288</v>
      </c>
      <c r="E3907" s="1566"/>
      <c r="F3907" s="1566"/>
      <c r="G3907" s="1566" t="s">
        <v>9256</v>
      </c>
      <c r="H3907" s="1568">
        <v>1</v>
      </c>
      <c r="I3907" s="1566"/>
      <c r="J3907" s="1566"/>
      <c r="K3907" s="1565">
        <v>2323</v>
      </c>
      <c r="L3907" s="1565">
        <v>2369.8000000000002</v>
      </c>
      <c r="M3907" s="1564"/>
      <c r="N3907" s="1565">
        <v>2369.8000000000002</v>
      </c>
      <c r="O3907" s="1572">
        <v>562.08000000000004</v>
      </c>
      <c r="P3907" s="1565">
        <v>1737.45</v>
      </c>
      <c r="Q3907" s="1572">
        <v>70.27</v>
      </c>
      <c r="R3907" s="1565">
        <v>1807.72</v>
      </c>
      <c r="S3907" s="1562"/>
    </row>
    <row r="3908" spans="2:19" ht="11.25" customHeight="1" outlineLevel="1">
      <c r="B3908" s="1573">
        <v>35305</v>
      </c>
      <c r="C3908" s="1566" t="s">
        <v>5047</v>
      </c>
      <c r="D3908" s="1566" t="s">
        <v>9287</v>
      </c>
      <c r="E3908" s="1566"/>
      <c r="F3908" s="1566"/>
      <c r="G3908" s="1566" t="s">
        <v>9256</v>
      </c>
      <c r="H3908" s="1568">
        <v>1</v>
      </c>
      <c r="I3908" s="1566"/>
      <c r="J3908" s="1566"/>
      <c r="K3908" s="1565">
        <v>2323</v>
      </c>
      <c r="L3908" s="1565">
        <v>2369.8000000000002</v>
      </c>
      <c r="M3908" s="1564"/>
      <c r="N3908" s="1565">
        <v>2369.8000000000002</v>
      </c>
      <c r="O3908" s="1572">
        <v>562.08000000000004</v>
      </c>
      <c r="P3908" s="1565">
        <v>1737.45</v>
      </c>
      <c r="Q3908" s="1572">
        <v>70.27</v>
      </c>
      <c r="R3908" s="1565">
        <v>1807.72</v>
      </c>
      <c r="S3908" s="1562"/>
    </row>
    <row r="3909" spans="2:19" ht="11.25" customHeight="1" outlineLevel="1">
      <c r="B3909" s="1573">
        <v>35306</v>
      </c>
      <c r="C3909" s="1566" t="s">
        <v>5047</v>
      </c>
      <c r="D3909" s="1566" t="s">
        <v>9286</v>
      </c>
      <c r="E3909" s="1566"/>
      <c r="F3909" s="1566"/>
      <c r="G3909" s="1566" t="s">
        <v>9256</v>
      </c>
      <c r="H3909" s="1568">
        <v>1</v>
      </c>
      <c r="I3909" s="1566"/>
      <c r="J3909" s="1566"/>
      <c r="K3909" s="1565">
        <v>2323</v>
      </c>
      <c r="L3909" s="1565">
        <v>2369.8000000000002</v>
      </c>
      <c r="M3909" s="1564"/>
      <c r="N3909" s="1565">
        <v>2369.8000000000002</v>
      </c>
      <c r="O3909" s="1572">
        <v>562.08000000000004</v>
      </c>
      <c r="P3909" s="1565">
        <v>1737.45</v>
      </c>
      <c r="Q3909" s="1572">
        <v>70.27</v>
      </c>
      <c r="R3909" s="1565">
        <v>1807.72</v>
      </c>
      <c r="S3909" s="1562"/>
    </row>
    <row r="3910" spans="2:19" ht="11.25" customHeight="1" outlineLevel="1">
      <c r="B3910" s="1573">
        <v>35307</v>
      </c>
      <c r="C3910" s="1566" t="s">
        <v>5047</v>
      </c>
      <c r="D3910" s="1566" t="s">
        <v>9285</v>
      </c>
      <c r="E3910" s="1566"/>
      <c r="F3910" s="1566"/>
      <c r="G3910" s="1566" t="s">
        <v>9256</v>
      </c>
      <c r="H3910" s="1568">
        <v>1</v>
      </c>
      <c r="I3910" s="1566"/>
      <c r="J3910" s="1566"/>
      <c r="K3910" s="1565">
        <v>2323</v>
      </c>
      <c r="L3910" s="1565">
        <v>2369.8000000000002</v>
      </c>
      <c r="M3910" s="1564"/>
      <c r="N3910" s="1565">
        <v>2369.8000000000002</v>
      </c>
      <c r="O3910" s="1572">
        <v>562.08000000000004</v>
      </c>
      <c r="P3910" s="1565">
        <v>1737.45</v>
      </c>
      <c r="Q3910" s="1572">
        <v>70.27</v>
      </c>
      <c r="R3910" s="1565">
        <v>1807.72</v>
      </c>
      <c r="S3910" s="1562"/>
    </row>
    <row r="3911" spans="2:19" ht="11.25" customHeight="1" outlineLevel="1">
      <c r="B3911" s="1573">
        <v>35308</v>
      </c>
      <c r="C3911" s="1566" t="s">
        <v>5047</v>
      </c>
      <c r="D3911" s="1566" t="s">
        <v>9284</v>
      </c>
      <c r="E3911" s="1566"/>
      <c r="F3911" s="1566"/>
      <c r="G3911" s="1566" t="s">
        <v>9256</v>
      </c>
      <c r="H3911" s="1568">
        <v>1</v>
      </c>
      <c r="I3911" s="1566"/>
      <c r="J3911" s="1566"/>
      <c r="K3911" s="1565">
        <v>2323</v>
      </c>
      <c r="L3911" s="1565">
        <v>2369.8000000000002</v>
      </c>
      <c r="M3911" s="1564"/>
      <c r="N3911" s="1565">
        <v>2369.8000000000002</v>
      </c>
      <c r="O3911" s="1572">
        <v>562.08000000000004</v>
      </c>
      <c r="P3911" s="1565">
        <v>1737.45</v>
      </c>
      <c r="Q3911" s="1572">
        <v>70.27</v>
      </c>
      <c r="R3911" s="1565">
        <v>1807.72</v>
      </c>
      <c r="S3911" s="1562"/>
    </row>
    <row r="3912" spans="2:19" ht="11.25" customHeight="1" outlineLevel="1">
      <c r="B3912" s="1573">
        <v>35309</v>
      </c>
      <c r="C3912" s="1566" t="s">
        <v>5047</v>
      </c>
      <c r="D3912" s="1566" t="s">
        <v>9283</v>
      </c>
      <c r="E3912" s="1566"/>
      <c r="F3912" s="1566"/>
      <c r="G3912" s="1566" t="s">
        <v>9256</v>
      </c>
      <c r="H3912" s="1568">
        <v>1</v>
      </c>
      <c r="I3912" s="1566"/>
      <c r="J3912" s="1566"/>
      <c r="K3912" s="1565">
        <v>2323</v>
      </c>
      <c r="L3912" s="1565">
        <v>2369.8000000000002</v>
      </c>
      <c r="M3912" s="1564"/>
      <c r="N3912" s="1565">
        <v>2369.8000000000002</v>
      </c>
      <c r="O3912" s="1572">
        <v>562.08000000000004</v>
      </c>
      <c r="P3912" s="1565">
        <v>1737.45</v>
      </c>
      <c r="Q3912" s="1572">
        <v>70.27</v>
      </c>
      <c r="R3912" s="1565">
        <v>1807.72</v>
      </c>
      <c r="S3912" s="1562"/>
    </row>
    <row r="3913" spans="2:19" ht="11.25" customHeight="1" outlineLevel="1">
      <c r="B3913" s="1573">
        <v>35310</v>
      </c>
      <c r="C3913" s="1566" t="s">
        <v>5047</v>
      </c>
      <c r="D3913" s="1566" t="s">
        <v>9282</v>
      </c>
      <c r="E3913" s="1566"/>
      <c r="F3913" s="1566"/>
      <c r="G3913" s="1566" t="s">
        <v>9256</v>
      </c>
      <c r="H3913" s="1568">
        <v>1</v>
      </c>
      <c r="I3913" s="1566"/>
      <c r="J3913" s="1566"/>
      <c r="K3913" s="1565">
        <v>2323</v>
      </c>
      <c r="L3913" s="1565">
        <v>2369.8000000000002</v>
      </c>
      <c r="M3913" s="1564"/>
      <c r="N3913" s="1565">
        <v>2369.8000000000002</v>
      </c>
      <c r="O3913" s="1572">
        <v>562.08000000000004</v>
      </c>
      <c r="P3913" s="1565">
        <v>1737.45</v>
      </c>
      <c r="Q3913" s="1572">
        <v>70.27</v>
      </c>
      <c r="R3913" s="1565">
        <v>1807.72</v>
      </c>
      <c r="S3913" s="1562"/>
    </row>
    <row r="3914" spans="2:19" ht="11.25" customHeight="1" outlineLevel="1">
      <c r="B3914" s="1573">
        <v>35311</v>
      </c>
      <c r="C3914" s="1566" t="s">
        <v>5047</v>
      </c>
      <c r="D3914" s="1566" t="s">
        <v>9281</v>
      </c>
      <c r="E3914" s="1566"/>
      <c r="F3914" s="1566"/>
      <c r="G3914" s="1566" t="s">
        <v>9256</v>
      </c>
      <c r="H3914" s="1568">
        <v>1</v>
      </c>
      <c r="I3914" s="1566"/>
      <c r="J3914" s="1566"/>
      <c r="K3914" s="1565">
        <v>2323</v>
      </c>
      <c r="L3914" s="1565">
        <v>2369.8000000000002</v>
      </c>
      <c r="M3914" s="1564"/>
      <c r="N3914" s="1565">
        <v>2369.8000000000002</v>
      </c>
      <c r="O3914" s="1572">
        <v>562.08000000000004</v>
      </c>
      <c r="P3914" s="1565">
        <v>1737.45</v>
      </c>
      <c r="Q3914" s="1572">
        <v>70.27</v>
      </c>
      <c r="R3914" s="1565">
        <v>1807.72</v>
      </c>
      <c r="S3914" s="1562"/>
    </row>
    <row r="3915" spans="2:19" ht="11.25" customHeight="1" outlineLevel="1">
      <c r="B3915" s="1573">
        <v>35312</v>
      </c>
      <c r="C3915" s="1566" t="s">
        <v>5047</v>
      </c>
      <c r="D3915" s="1566" t="s">
        <v>9280</v>
      </c>
      <c r="E3915" s="1566"/>
      <c r="F3915" s="1566"/>
      <c r="G3915" s="1566" t="s">
        <v>9256</v>
      </c>
      <c r="H3915" s="1568">
        <v>1</v>
      </c>
      <c r="I3915" s="1566"/>
      <c r="J3915" s="1566"/>
      <c r="K3915" s="1565">
        <v>2323</v>
      </c>
      <c r="L3915" s="1565">
        <v>2369.8000000000002</v>
      </c>
      <c r="M3915" s="1564"/>
      <c r="N3915" s="1565">
        <v>2369.8000000000002</v>
      </c>
      <c r="O3915" s="1572">
        <v>562.08000000000004</v>
      </c>
      <c r="P3915" s="1565">
        <v>1737.45</v>
      </c>
      <c r="Q3915" s="1572">
        <v>70.27</v>
      </c>
      <c r="R3915" s="1565">
        <v>1807.72</v>
      </c>
      <c r="S3915" s="1562"/>
    </row>
    <row r="3916" spans="2:19" ht="11.25" customHeight="1" outlineLevel="1">
      <c r="B3916" s="1573">
        <v>35313</v>
      </c>
      <c r="C3916" s="1566" t="s">
        <v>5047</v>
      </c>
      <c r="D3916" s="1566" t="s">
        <v>9279</v>
      </c>
      <c r="E3916" s="1566"/>
      <c r="F3916" s="1566"/>
      <c r="G3916" s="1566" t="s">
        <v>9256</v>
      </c>
      <c r="H3916" s="1568">
        <v>1</v>
      </c>
      <c r="I3916" s="1566"/>
      <c r="J3916" s="1566"/>
      <c r="K3916" s="1565">
        <v>2323</v>
      </c>
      <c r="L3916" s="1565">
        <v>2369.8000000000002</v>
      </c>
      <c r="M3916" s="1564"/>
      <c r="N3916" s="1565">
        <v>2369.8000000000002</v>
      </c>
      <c r="O3916" s="1572">
        <v>562.08000000000004</v>
      </c>
      <c r="P3916" s="1565">
        <v>1737.45</v>
      </c>
      <c r="Q3916" s="1572">
        <v>70.27</v>
      </c>
      <c r="R3916" s="1565">
        <v>1807.72</v>
      </c>
      <c r="S3916" s="1562"/>
    </row>
    <row r="3917" spans="2:19" ht="11.25" customHeight="1" outlineLevel="1">
      <c r="B3917" s="1573">
        <v>35314</v>
      </c>
      <c r="C3917" s="1566" t="s">
        <v>5047</v>
      </c>
      <c r="D3917" s="1566" t="s">
        <v>9278</v>
      </c>
      <c r="E3917" s="1566"/>
      <c r="F3917" s="1566"/>
      <c r="G3917" s="1566" t="s">
        <v>9256</v>
      </c>
      <c r="H3917" s="1568">
        <v>1</v>
      </c>
      <c r="I3917" s="1566"/>
      <c r="J3917" s="1566"/>
      <c r="K3917" s="1565">
        <v>2323</v>
      </c>
      <c r="L3917" s="1565">
        <v>2369.8000000000002</v>
      </c>
      <c r="M3917" s="1564"/>
      <c r="N3917" s="1565">
        <v>2369.8000000000002</v>
      </c>
      <c r="O3917" s="1572">
        <v>562.08000000000004</v>
      </c>
      <c r="P3917" s="1565">
        <v>1737.45</v>
      </c>
      <c r="Q3917" s="1572">
        <v>70.27</v>
      </c>
      <c r="R3917" s="1565">
        <v>1807.72</v>
      </c>
      <c r="S3917" s="1562"/>
    </row>
    <row r="3918" spans="2:19" ht="11.25" customHeight="1" outlineLevel="1">
      <c r="B3918" s="1573">
        <v>35315</v>
      </c>
      <c r="C3918" s="1566" t="s">
        <v>5047</v>
      </c>
      <c r="D3918" s="1566" t="s">
        <v>9277</v>
      </c>
      <c r="E3918" s="1566"/>
      <c r="F3918" s="1566"/>
      <c r="G3918" s="1566" t="s">
        <v>9256</v>
      </c>
      <c r="H3918" s="1568">
        <v>1</v>
      </c>
      <c r="I3918" s="1566"/>
      <c r="J3918" s="1566"/>
      <c r="K3918" s="1565">
        <v>2323</v>
      </c>
      <c r="L3918" s="1565">
        <v>2369.8000000000002</v>
      </c>
      <c r="M3918" s="1564"/>
      <c r="N3918" s="1565">
        <v>2369.8000000000002</v>
      </c>
      <c r="O3918" s="1572">
        <v>562.08000000000004</v>
      </c>
      <c r="P3918" s="1565">
        <v>1737.45</v>
      </c>
      <c r="Q3918" s="1572">
        <v>70.27</v>
      </c>
      <c r="R3918" s="1565">
        <v>1807.72</v>
      </c>
      <c r="S3918" s="1562"/>
    </row>
    <row r="3919" spans="2:19" ht="11.25" customHeight="1" outlineLevel="1">
      <c r="B3919" s="1573">
        <v>35316</v>
      </c>
      <c r="C3919" s="1566" t="s">
        <v>5047</v>
      </c>
      <c r="D3919" s="1566" t="s">
        <v>9276</v>
      </c>
      <c r="E3919" s="1566"/>
      <c r="F3919" s="1566"/>
      <c r="G3919" s="1566" t="s">
        <v>9256</v>
      </c>
      <c r="H3919" s="1568">
        <v>1</v>
      </c>
      <c r="I3919" s="1566"/>
      <c r="J3919" s="1566"/>
      <c r="K3919" s="1565">
        <v>2323</v>
      </c>
      <c r="L3919" s="1565">
        <v>2369.8000000000002</v>
      </c>
      <c r="M3919" s="1564"/>
      <c r="N3919" s="1565">
        <v>2369.8000000000002</v>
      </c>
      <c r="O3919" s="1572">
        <v>562.08000000000004</v>
      </c>
      <c r="P3919" s="1565">
        <v>1737.45</v>
      </c>
      <c r="Q3919" s="1572">
        <v>70.27</v>
      </c>
      <c r="R3919" s="1565">
        <v>1807.72</v>
      </c>
      <c r="S3919" s="1562"/>
    </row>
    <row r="3920" spans="2:19" ht="11.25" customHeight="1" outlineLevel="1">
      <c r="B3920" s="1573">
        <v>35317</v>
      </c>
      <c r="C3920" s="1566" t="s">
        <v>5047</v>
      </c>
      <c r="D3920" s="1566" t="s">
        <v>9275</v>
      </c>
      <c r="E3920" s="1566"/>
      <c r="F3920" s="1566"/>
      <c r="G3920" s="1566" t="s">
        <v>9256</v>
      </c>
      <c r="H3920" s="1568">
        <v>1</v>
      </c>
      <c r="I3920" s="1566"/>
      <c r="J3920" s="1566"/>
      <c r="K3920" s="1565">
        <v>2323</v>
      </c>
      <c r="L3920" s="1565">
        <v>2369.8000000000002</v>
      </c>
      <c r="M3920" s="1564"/>
      <c r="N3920" s="1565">
        <v>2369.8000000000002</v>
      </c>
      <c r="O3920" s="1572">
        <v>562.08000000000004</v>
      </c>
      <c r="P3920" s="1565">
        <v>1737.45</v>
      </c>
      <c r="Q3920" s="1572">
        <v>70.27</v>
      </c>
      <c r="R3920" s="1565">
        <v>1807.72</v>
      </c>
      <c r="S3920" s="1562"/>
    </row>
    <row r="3921" spans="2:19" ht="11.25" customHeight="1" outlineLevel="1">
      <c r="B3921" s="1573">
        <v>35318</v>
      </c>
      <c r="C3921" s="1566" t="s">
        <v>5047</v>
      </c>
      <c r="D3921" s="1566" t="s">
        <v>9274</v>
      </c>
      <c r="E3921" s="1566"/>
      <c r="F3921" s="1566"/>
      <c r="G3921" s="1566" t="s">
        <v>9256</v>
      </c>
      <c r="H3921" s="1568">
        <v>1</v>
      </c>
      <c r="I3921" s="1566"/>
      <c r="J3921" s="1566"/>
      <c r="K3921" s="1565">
        <v>2323</v>
      </c>
      <c r="L3921" s="1565">
        <v>2369.8000000000002</v>
      </c>
      <c r="M3921" s="1564"/>
      <c r="N3921" s="1565">
        <v>2369.8000000000002</v>
      </c>
      <c r="O3921" s="1572">
        <v>562.08000000000004</v>
      </c>
      <c r="P3921" s="1565">
        <v>1737.45</v>
      </c>
      <c r="Q3921" s="1572">
        <v>70.27</v>
      </c>
      <c r="R3921" s="1565">
        <v>1807.72</v>
      </c>
      <c r="S3921" s="1562"/>
    </row>
    <row r="3922" spans="2:19" ht="11.25" customHeight="1" outlineLevel="1">
      <c r="B3922" s="1573">
        <v>35319</v>
      </c>
      <c r="C3922" s="1566" t="s">
        <v>5047</v>
      </c>
      <c r="D3922" s="1566" t="s">
        <v>9273</v>
      </c>
      <c r="E3922" s="1566"/>
      <c r="F3922" s="1566"/>
      <c r="G3922" s="1566" t="s">
        <v>9256</v>
      </c>
      <c r="H3922" s="1568">
        <v>1</v>
      </c>
      <c r="I3922" s="1566"/>
      <c r="J3922" s="1566"/>
      <c r="K3922" s="1565">
        <v>2323</v>
      </c>
      <c r="L3922" s="1565">
        <v>2369.8000000000002</v>
      </c>
      <c r="M3922" s="1564"/>
      <c r="N3922" s="1565">
        <v>2369.8000000000002</v>
      </c>
      <c r="O3922" s="1572">
        <v>562.08000000000004</v>
      </c>
      <c r="P3922" s="1565">
        <v>1737.45</v>
      </c>
      <c r="Q3922" s="1572">
        <v>70.27</v>
      </c>
      <c r="R3922" s="1565">
        <v>1807.72</v>
      </c>
      <c r="S3922" s="1562"/>
    </row>
    <row r="3923" spans="2:19" ht="11.25" customHeight="1" outlineLevel="1">
      <c r="B3923" s="1573">
        <v>35320</v>
      </c>
      <c r="C3923" s="1566" t="s">
        <v>5047</v>
      </c>
      <c r="D3923" s="1566" t="s">
        <v>9272</v>
      </c>
      <c r="E3923" s="1566"/>
      <c r="F3923" s="1566"/>
      <c r="G3923" s="1566" t="s">
        <v>9256</v>
      </c>
      <c r="H3923" s="1568">
        <v>1</v>
      </c>
      <c r="I3923" s="1566"/>
      <c r="J3923" s="1566"/>
      <c r="K3923" s="1565">
        <v>2323</v>
      </c>
      <c r="L3923" s="1565">
        <v>2369.8000000000002</v>
      </c>
      <c r="M3923" s="1564"/>
      <c r="N3923" s="1565">
        <v>2369.8000000000002</v>
      </c>
      <c r="O3923" s="1572">
        <v>562.08000000000004</v>
      </c>
      <c r="P3923" s="1565">
        <v>1737.45</v>
      </c>
      <c r="Q3923" s="1572">
        <v>70.27</v>
      </c>
      <c r="R3923" s="1565">
        <v>1807.72</v>
      </c>
      <c r="S3923" s="1562"/>
    </row>
    <row r="3924" spans="2:19" ht="11.25" customHeight="1" outlineLevel="1">
      <c r="B3924" s="1573">
        <v>35321</v>
      </c>
      <c r="C3924" s="1566" t="s">
        <v>5047</v>
      </c>
      <c r="D3924" s="1566" t="s">
        <v>9271</v>
      </c>
      <c r="E3924" s="1566"/>
      <c r="F3924" s="1566"/>
      <c r="G3924" s="1566" t="s">
        <v>9256</v>
      </c>
      <c r="H3924" s="1568">
        <v>1</v>
      </c>
      <c r="I3924" s="1566"/>
      <c r="J3924" s="1566"/>
      <c r="K3924" s="1565">
        <v>2323</v>
      </c>
      <c r="L3924" s="1565">
        <v>2369.8000000000002</v>
      </c>
      <c r="M3924" s="1564"/>
      <c r="N3924" s="1565">
        <v>2369.8000000000002</v>
      </c>
      <c r="O3924" s="1572">
        <v>562.08000000000004</v>
      </c>
      <c r="P3924" s="1565">
        <v>1737.45</v>
      </c>
      <c r="Q3924" s="1572">
        <v>70.27</v>
      </c>
      <c r="R3924" s="1565">
        <v>1807.72</v>
      </c>
      <c r="S3924" s="1562"/>
    </row>
    <row r="3925" spans="2:19" ht="11.25" customHeight="1" outlineLevel="1">
      <c r="B3925" s="1573">
        <v>35322</v>
      </c>
      <c r="C3925" s="1566" t="s">
        <v>5047</v>
      </c>
      <c r="D3925" s="1566" t="s">
        <v>9270</v>
      </c>
      <c r="E3925" s="1566"/>
      <c r="F3925" s="1566"/>
      <c r="G3925" s="1566" t="s">
        <v>9256</v>
      </c>
      <c r="H3925" s="1568">
        <v>1</v>
      </c>
      <c r="I3925" s="1566"/>
      <c r="J3925" s="1566"/>
      <c r="K3925" s="1565">
        <v>2323</v>
      </c>
      <c r="L3925" s="1565">
        <v>2323.33</v>
      </c>
      <c r="M3925" s="1564"/>
      <c r="N3925" s="1565">
        <v>2323.33</v>
      </c>
      <c r="O3925" s="1572">
        <v>549.79</v>
      </c>
      <c r="P3925" s="1565">
        <v>1704.78</v>
      </c>
      <c r="Q3925" s="1572">
        <v>68.760000000000005</v>
      </c>
      <c r="R3925" s="1565">
        <v>1773.54</v>
      </c>
      <c r="S3925" s="1562"/>
    </row>
    <row r="3926" spans="2:19" ht="11.25" customHeight="1" outlineLevel="1">
      <c r="B3926" s="1573">
        <v>35323</v>
      </c>
      <c r="C3926" s="1566" t="s">
        <v>5047</v>
      </c>
      <c r="D3926" s="1566" t="s">
        <v>9269</v>
      </c>
      <c r="E3926" s="1566"/>
      <c r="F3926" s="1566"/>
      <c r="G3926" s="1566" t="s">
        <v>9256</v>
      </c>
      <c r="H3926" s="1568">
        <v>1</v>
      </c>
      <c r="I3926" s="1566"/>
      <c r="J3926" s="1566"/>
      <c r="K3926" s="1565">
        <v>2323</v>
      </c>
      <c r="L3926" s="1565">
        <v>2323.33</v>
      </c>
      <c r="M3926" s="1564"/>
      <c r="N3926" s="1565">
        <v>2323.33</v>
      </c>
      <c r="O3926" s="1572">
        <v>549.79</v>
      </c>
      <c r="P3926" s="1565">
        <v>1704.78</v>
      </c>
      <c r="Q3926" s="1572">
        <v>68.760000000000005</v>
      </c>
      <c r="R3926" s="1565">
        <v>1773.54</v>
      </c>
      <c r="S3926" s="1562"/>
    </row>
    <row r="3927" spans="2:19" ht="11.25" customHeight="1" outlineLevel="1">
      <c r="B3927" s="1573">
        <v>35324</v>
      </c>
      <c r="C3927" s="1566" t="s">
        <v>5047</v>
      </c>
      <c r="D3927" s="1566" t="s">
        <v>9268</v>
      </c>
      <c r="E3927" s="1566"/>
      <c r="F3927" s="1566"/>
      <c r="G3927" s="1566" t="s">
        <v>9256</v>
      </c>
      <c r="H3927" s="1568">
        <v>1</v>
      </c>
      <c r="I3927" s="1566"/>
      <c r="J3927" s="1566"/>
      <c r="K3927" s="1565">
        <v>2323</v>
      </c>
      <c r="L3927" s="1565">
        <v>2323.33</v>
      </c>
      <c r="M3927" s="1564"/>
      <c r="N3927" s="1565">
        <v>2323.33</v>
      </c>
      <c r="O3927" s="1572">
        <v>549.79</v>
      </c>
      <c r="P3927" s="1565">
        <v>1704.78</v>
      </c>
      <c r="Q3927" s="1572">
        <v>68.760000000000005</v>
      </c>
      <c r="R3927" s="1565">
        <v>1773.54</v>
      </c>
      <c r="S3927" s="1562"/>
    </row>
    <row r="3928" spans="2:19" ht="11.25" customHeight="1" outlineLevel="1">
      <c r="B3928" s="1573">
        <v>35325</v>
      </c>
      <c r="C3928" s="1566" t="s">
        <v>5047</v>
      </c>
      <c r="D3928" s="1566" t="s">
        <v>9267</v>
      </c>
      <c r="E3928" s="1566"/>
      <c r="F3928" s="1566"/>
      <c r="G3928" s="1566" t="s">
        <v>9256</v>
      </c>
      <c r="H3928" s="1568">
        <v>1</v>
      </c>
      <c r="I3928" s="1566"/>
      <c r="J3928" s="1566"/>
      <c r="K3928" s="1565">
        <v>2323</v>
      </c>
      <c r="L3928" s="1565">
        <v>2323.33</v>
      </c>
      <c r="M3928" s="1564"/>
      <c r="N3928" s="1565">
        <v>2323.33</v>
      </c>
      <c r="O3928" s="1572">
        <v>549.79</v>
      </c>
      <c r="P3928" s="1565">
        <v>1704.78</v>
      </c>
      <c r="Q3928" s="1572">
        <v>68.760000000000005</v>
      </c>
      <c r="R3928" s="1565">
        <v>1773.54</v>
      </c>
      <c r="S3928" s="1562"/>
    </row>
    <row r="3929" spans="2:19" ht="11.25" customHeight="1" outlineLevel="1">
      <c r="B3929" s="1573">
        <v>35326</v>
      </c>
      <c r="C3929" s="1566" t="s">
        <v>5047</v>
      </c>
      <c r="D3929" s="1566" t="s">
        <v>9266</v>
      </c>
      <c r="E3929" s="1566"/>
      <c r="F3929" s="1566"/>
      <c r="G3929" s="1566" t="s">
        <v>9256</v>
      </c>
      <c r="H3929" s="1568">
        <v>1</v>
      </c>
      <c r="I3929" s="1566"/>
      <c r="J3929" s="1566"/>
      <c r="K3929" s="1565">
        <v>2323</v>
      </c>
      <c r="L3929" s="1565">
        <v>2323.33</v>
      </c>
      <c r="M3929" s="1564"/>
      <c r="N3929" s="1565">
        <v>2323.33</v>
      </c>
      <c r="O3929" s="1572">
        <v>549.79</v>
      </c>
      <c r="P3929" s="1565">
        <v>1704.78</v>
      </c>
      <c r="Q3929" s="1572">
        <v>68.760000000000005</v>
      </c>
      <c r="R3929" s="1565">
        <v>1773.54</v>
      </c>
      <c r="S3929" s="1562"/>
    </row>
    <row r="3930" spans="2:19" ht="11.25" customHeight="1" outlineLevel="1">
      <c r="B3930" s="1573">
        <v>35327</v>
      </c>
      <c r="C3930" s="1566" t="s">
        <v>5047</v>
      </c>
      <c r="D3930" s="1566" t="s">
        <v>9265</v>
      </c>
      <c r="E3930" s="1566"/>
      <c r="F3930" s="1566"/>
      <c r="G3930" s="1566" t="s">
        <v>9256</v>
      </c>
      <c r="H3930" s="1568">
        <v>1</v>
      </c>
      <c r="I3930" s="1566"/>
      <c r="J3930" s="1566"/>
      <c r="K3930" s="1565">
        <v>2323</v>
      </c>
      <c r="L3930" s="1565">
        <v>2323.33</v>
      </c>
      <c r="M3930" s="1564"/>
      <c r="N3930" s="1565">
        <v>2323.33</v>
      </c>
      <c r="O3930" s="1572">
        <v>549.79</v>
      </c>
      <c r="P3930" s="1565">
        <v>1704.78</v>
      </c>
      <c r="Q3930" s="1572">
        <v>68.760000000000005</v>
      </c>
      <c r="R3930" s="1565">
        <v>1773.54</v>
      </c>
      <c r="S3930" s="1562"/>
    </row>
    <row r="3931" spans="2:19" ht="11.25" customHeight="1" outlineLevel="1">
      <c r="B3931" s="1573">
        <v>35328</v>
      </c>
      <c r="C3931" s="1566" t="s">
        <v>5047</v>
      </c>
      <c r="D3931" s="1566" t="s">
        <v>9264</v>
      </c>
      <c r="E3931" s="1566"/>
      <c r="F3931" s="1566"/>
      <c r="G3931" s="1566" t="s">
        <v>9256</v>
      </c>
      <c r="H3931" s="1568">
        <v>1</v>
      </c>
      <c r="I3931" s="1566"/>
      <c r="J3931" s="1566"/>
      <c r="K3931" s="1565">
        <v>2323</v>
      </c>
      <c r="L3931" s="1565">
        <v>2323.33</v>
      </c>
      <c r="M3931" s="1564"/>
      <c r="N3931" s="1565">
        <v>2323.33</v>
      </c>
      <c r="O3931" s="1572">
        <v>549.79</v>
      </c>
      <c r="P3931" s="1565">
        <v>1704.78</v>
      </c>
      <c r="Q3931" s="1572">
        <v>68.760000000000005</v>
      </c>
      <c r="R3931" s="1565">
        <v>1773.54</v>
      </c>
      <c r="S3931" s="1562"/>
    </row>
    <row r="3932" spans="2:19" ht="11.25" customHeight="1" outlineLevel="1">
      <c r="B3932" s="1573">
        <v>35329</v>
      </c>
      <c r="C3932" s="1566" t="s">
        <v>5047</v>
      </c>
      <c r="D3932" s="1566" t="s">
        <v>9263</v>
      </c>
      <c r="E3932" s="1566"/>
      <c r="F3932" s="1566"/>
      <c r="G3932" s="1566" t="s">
        <v>9256</v>
      </c>
      <c r="H3932" s="1568">
        <v>1</v>
      </c>
      <c r="I3932" s="1566"/>
      <c r="J3932" s="1566"/>
      <c r="K3932" s="1565">
        <v>2323</v>
      </c>
      <c r="L3932" s="1565">
        <v>2323.33</v>
      </c>
      <c r="M3932" s="1564"/>
      <c r="N3932" s="1565">
        <v>2323.33</v>
      </c>
      <c r="O3932" s="1572">
        <v>549.79</v>
      </c>
      <c r="P3932" s="1565">
        <v>1704.78</v>
      </c>
      <c r="Q3932" s="1572">
        <v>68.760000000000005</v>
      </c>
      <c r="R3932" s="1565">
        <v>1773.54</v>
      </c>
      <c r="S3932" s="1562"/>
    </row>
    <row r="3933" spans="2:19" ht="11.25" customHeight="1" outlineLevel="1">
      <c r="B3933" s="1573">
        <v>35330</v>
      </c>
      <c r="C3933" s="1566" t="s">
        <v>5047</v>
      </c>
      <c r="D3933" s="1566" t="s">
        <v>9262</v>
      </c>
      <c r="E3933" s="1566"/>
      <c r="F3933" s="1566"/>
      <c r="G3933" s="1566" t="s">
        <v>9256</v>
      </c>
      <c r="H3933" s="1568">
        <v>1</v>
      </c>
      <c r="I3933" s="1566"/>
      <c r="J3933" s="1566"/>
      <c r="K3933" s="1565">
        <v>2323</v>
      </c>
      <c r="L3933" s="1565">
        <v>2323.33</v>
      </c>
      <c r="M3933" s="1564"/>
      <c r="N3933" s="1565">
        <v>2323.33</v>
      </c>
      <c r="O3933" s="1572">
        <v>549.79</v>
      </c>
      <c r="P3933" s="1565">
        <v>1704.78</v>
      </c>
      <c r="Q3933" s="1572">
        <v>68.760000000000005</v>
      </c>
      <c r="R3933" s="1565">
        <v>1773.54</v>
      </c>
      <c r="S3933" s="1562"/>
    </row>
    <row r="3934" spans="2:19" ht="11.25" customHeight="1" outlineLevel="1">
      <c r="B3934" s="1573">
        <v>35331</v>
      </c>
      <c r="C3934" s="1566" t="s">
        <v>5047</v>
      </c>
      <c r="D3934" s="1566" t="s">
        <v>9261</v>
      </c>
      <c r="E3934" s="1566"/>
      <c r="F3934" s="1566"/>
      <c r="G3934" s="1566" t="s">
        <v>9256</v>
      </c>
      <c r="H3934" s="1568">
        <v>1</v>
      </c>
      <c r="I3934" s="1566"/>
      <c r="J3934" s="1566"/>
      <c r="K3934" s="1565">
        <v>2323</v>
      </c>
      <c r="L3934" s="1565">
        <v>2323.33</v>
      </c>
      <c r="M3934" s="1564"/>
      <c r="N3934" s="1565">
        <v>2323.33</v>
      </c>
      <c r="O3934" s="1572">
        <v>549.79</v>
      </c>
      <c r="P3934" s="1565">
        <v>1704.78</v>
      </c>
      <c r="Q3934" s="1572">
        <v>68.760000000000005</v>
      </c>
      <c r="R3934" s="1565">
        <v>1773.54</v>
      </c>
      <c r="S3934" s="1562"/>
    </row>
    <row r="3935" spans="2:19" ht="11.25" customHeight="1" outlineLevel="1">
      <c r="B3935" s="1573">
        <v>35332</v>
      </c>
      <c r="C3935" s="1566" t="s">
        <v>5047</v>
      </c>
      <c r="D3935" s="1566" t="s">
        <v>9260</v>
      </c>
      <c r="E3935" s="1566"/>
      <c r="F3935" s="1566"/>
      <c r="G3935" s="1566" t="s">
        <v>9256</v>
      </c>
      <c r="H3935" s="1568">
        <v>1</v>
      </c>
      <c r="I3935" s="1566"/>
      <c r="J3935" s="1566"/>
      <c r="K3935" s="1565">
        <v>2323</v>
      </c>
      <c r="L3935" s="1565">
        <v>2323.33</v>
      </c>
      <c r="M3935" s="1564"/>
      <c r="N3935" s="1565">
        <v>2323.33</v>
      </c>
      <c r="O3935" s="1572">
        <v>549.79</v>
      </c>
      <c r="P3935" s="1565">
        <v>1704.78</v>
      </c>
      <c r="Q3935" s="1572">
        <v>68.760000000000005</v>
      </c>
      <c r="R3935" s="1565">
        <v>1773.54</v>
      </c>
      <c r="S3935" s="1562"/>
    </row>
    <row r="3936" spans="2:19" ht="11.25" customHeight="1" outlineLevel="1">
      <c r="B3936" s="1573">
        <v>35333</v>
      </c>
      <c r="C3936" s="1566" t="s">
        <v>5047</v>
      </c>
      <c r="D3936" s="1566" t="s">
        <v>9259</v>
      </c>
      <c r="E3936" s="1566"/>
      <c r="F3936" s="1566"/>
      <c r="G3936" s="1566" t="s">
        <v>9256</v>
      </c>
      <c r="H3936" s="1568">
        <v>1</v>
      </c>
      <c r="I3936" s="1566"/>
      <c r="J3936" s="1566"/>
      <c r="K3936" s="1565">
        <v>2323</v>
      </c>
      <c r="L3936" s="1565">
        <v>2323.33</v>
      </c>
      <c r="M3936" s="1564"/>
      <c r="N3936" s="1565">
        <v>2323.33</v>
      </c>
      <c r="O3936" s="1572">
        <v>549.79</v>
      </c>
      <c r="P3936" s="1565">
        <v>1704.78</v>
      </c>
      <c r="Q3936" s="1572">
        <v>68.760000000000005</v>
      </c>
      <c r="R3936" s="1565">
        <v>1773.54</v>
      </c>
      <c r="S3936" s="1562"/>
    </row>
    <row r="3937" spans="2:19" ht="11.25" customHeight="1" outlineLevel="1">
      <c r="B3937" s="1573">
        <v>35334</v>
      </c>
      <c r="C3937" s="1566" t="s">
        <v>5047</v>
      </c>
      <c r="D3937" s="1566" t="s">
        <v>9258</v>
      </c>
      <c r="E3937" s="1566"/>
      <c r="F3937" s="1566"/>
      <c r="G3937" s="1566" t="s">
        <v>9256</v>
      </c>
      <c r="H3937" s="1568">
        <v>1</v>
      </c>
      <c r="I3937" s="1566"/>
      <c r="J3937" s="1566"/>
      <c r="K3937" s="1565">
        <v>2323</v>
      </c>
      <c r="L3937" s="1565">
        <v>2323.33</v>
      </c>
      <c r="M3937" s="1564"/>
      <c r="N3937" s="1565">
        <v>2323.33</v>
      </c>
      <c r="O3937" s="1572">
        <v>549.79</v>
      </c>
      <c r="P3937" s="1565">
        <v>1704.78</v>
      </c>
      <c r="Q3937" s="1572">
        <v>68.760000000000005</v>
      </c>
      <c r="R3937" s="1565">
        <v>1773.54</v>
      </c>
      <c r="S3937" s="1562"/>
    </row>
    <row r="3938" spans="2:19" ht="11.25" customHeight="1" outlineLevel="1">
      <c r="B3938" s="1573">
        <v>35335</v>
      </c>
      <c r="C3938" s="1566" t="s">
        <v>5047</v>
      </c>
      <c r="D3938" s="1566" t="s">
        <v>9257</v>
      </c>
      <c r="E3938" s="1566"/>
      <c r="F3938" s="1566"/>
      <c r="G3938" s="1566" t="s">
        <v>9256</v>
      </c>
      <c r="H3938" s="1568">
        <v>1</v>
      </c>
      <c r="I3938" s="1566"/>
      <c r="J3938" s="1566"/>
      <c r="K3938" s="1565">
        <v>2323</v>
      </c>
      <c r="L3938" s="1565">
        <v>2323.33</v>
      </c>
      <c r="M3938" s="1564"/>
      <c r="N3938" s="1565">
        <v>2323.33</v>
      </c>
      <c r="O3938" s="1572">
        <v>549.79</v>
      </c>
      <c r="P3938" s="1565">
        <v>1704.78</v>
      </c>
      <c r="Q3938" s="1572">
        <v>68.760000000000005</v>
      </c>
      <c r="R3938" s="1565">
        <v>1773.54</v>
      </c>
      <c r="S3938" s="1562"/>
    </row>
    <row r="3939" spans="2:19" ht="11.25" customHeight="1" outlineLevel="1">
      <c r="B3939" s="1573">
        <v>24569</v>
      </c>
      <c r="C3939" s="1566" t="s">
        <v>5015</v>
      </c>
      <c r="D3939" s="1566" t="s">
        <v>9255</v>
      </c>
      <c r="E3939" s="1566"/>
      <c r="F3939" s="1566"/>
      <c r="G3939" s="1566" t="s">
        <v>5041</v>
      </c>
      <c r="H3939" s="1568">
        <v>1</v>
      </c>
      <c r="I3939" s="1566"/>
      <c r="J3939" s="1566"/>
      <c r="K3939" s="1572">
        <v>299</v>
      </c>
      <c r="L3939" s="1565">
        <v>20011</v>
      </c>
      <c r="M3939" s="1564"/>
      <c r="N3939" s="1565">
        <v>20011</v>
      </c>
      <c r="O3939" s="1565">
        <v>4298.74</v>
      </c>
      <c r="P3939" s="1565">
        <v>15098.1</v>
      </c>
      <c r="Q3939" s="1572">
        <v>614.16</v>
      </c>
      <c r="R3939" s="1565">
        <v>15712.26</v>
      </c>
      <c r="S3939" s="1562"/>
    </row>
    <row r="3940" spans="2:19" ht="11.25" customHeight="1" outlineLevel="1">
      <c r="B3940" s="1573">
        <v>24571</v>
      </c>
      <c r="C3940" s="1566" t="s">
        <v>5015</v>
      </c>
      <c r="D3940" s="1566" t="s">
        <v>9254</v>
      </c>
      <c r="E3940" s="1566"/>
      <c r="F3940" s="1566"/>
      <c r="G3940" s="1566" t="s">
        <v>5037</v>
      </c>
      <c r="H3940" s="1568">
        <v>1</v>
      </c>
      <c r="I3940" s="1566"/>
      <c r="J3940" s="1566"/>
      <c r="K3940" s="1572">
        <v>116</v>
      </c>
      <c r="L3940" s="1565">
        <v>11263</v>
      </c>
      <c r="M3940" s="1564"/>
      <c r="N3940" s="1565">
        <v>11263</v>
      </c>
      <c r="O3940" s="1565">
        <v>6366.23</v>
      </c>
      <c r="P3940" s="1565">
        <v>4705.25</v>
      </c>
      <c r="Q3940" s="1572">
        <v>191.52</v>
      </c>
      <c r="R3940" s="1565">
        <v>4896.7700000000004</v>
      </c>
      <c r="S3940" s="1562"/>
    </row>
    <row r="3941" spans="2:19" s="1704" customFormat="1" ht="11.25" customHeight="1" outlineLevel="1">
      <c r="B3941" s="1697">
        <v>24573</v>
      </c>
      <c r="C3941" s="1698" t="s">
        <v>5015</v>
      </c>
      <c r="D3941" s="1698" t="s">
        <v>9253</v>
      </c>
      <c r="E3941" s="1698"/>
      <c r="F3941" s="1698"/>
      <c r="G3941" s="1698" t="s">
        <v>3709</v>
      </c>
      <c r="H3941" s="1699">
        <v>1</v>
      </c>
      <c r="I3941" s="1698"/>
      <c r="J3941" s="1698"/>
      <c r="K3941" s="1700">
        <v>298</v>
      </c>
      <c r="L3941" s="1701">
        <v>541192</v>
      </c>
      <c r="M3941" s="1702"/>
      <c r="N3941" s="1701">
        <v>541192</v>
      </c>
      <c r="O3941" s="1701">
        <v>102811.47</v>
      </c>
      <c r="P3941" s="1701">
        <v>421245.25</v>
      </c>
      <c r="Q3941" s="1701">
        <v>17135.28</v>
      </c>
      <c r="R3941" s="1701">
        <v>438380.53</v>
      </c>
      <c r="S3941" s="1703"/>
    </row>
    <row r="3942" spans="2:19" ht="11.25" customHeight="1" outlineLevel="1">
      <c r="B3942" s="1573">
        <v>24577</v>
      </c>
      <c r="C3942" s="1566" t="s">
        <v>5015</v>
      </c>
      <c r="D3942" s="1566" t="s">
        <v>9252</v>
      </c>
      <c r="E3942" s="1566"/>
      <c r="F3942" s="1566"/>
      <c r="G3942" s="1566" t="s">
        <v>9251</v>
      </c>
      <c r="H3942" s="1568">
        <v>1</v>
      </c>
      <c r="I3942" s="1566"/>
      <c r="J3942" s="1566"/>
      <c r="K3942" s="1572">
        <v>106</v>
      </c>
      <c r="L3942" s="1565">
        <v>1223</v>
      </c>
      <c r="M3942" s="1564"/>
      <c r="N3942" s="1565">
        <v>1223</v>
      </c>
      <c r="O3942" s="1572">
        <v>262.20999999999998</v>
      </c>
      <c r="P3942" s="1572">
        <v>923.35</v>
      </c>
      <c r="Q3942" s="1572">
        <v>37.44</v>
      </c>
      <c r="R3942" s="1572">
        <v>960.79</v>
      </c>
      <c r="S3942" s="1562"/>
    </row>
    <row r="3943" spans="2:19" ht="11.25" customHeight="1" outlineLevel="1">
      <c r="B3943" s="1573">
        <v>24578</v>
      </c>
      <c r="C3943" s="1566" t="s">
        <v>5015</v>
      </c>
      <c r="D3943" s="1566" t="s">
        <v>9250</v>
      </c>
      <c r="E3943" s="1566"/>
      <c r="F3943" s="1566"/>
      <c r="G3943" s="1566" t="s">
        <v>5032</v>
      </c>
      <c r="H3943" s="1568">
        <v>1</v>
      </c>
      <c r="I3943" s="1566"/>
      <c r="J3943" s="1566"/>
      <c r="K3943" s="1572">
        <v>247</v>
      </c>
      <c r="L3943" s="1565">
        <v>4452</v>
      </c>
      <c r="M3943" s="1564"/>
      <c r="N3943" s="1565">
        <v>4452</v>
      </c>
      <c r="O3943" s="1572">
        <v>844.92</v>
      </c>
      <c r="P3943" s="1565">
        <v>3466.25</v>
      </c>
      <c r="Q3943" s="1572">
        <v>140.83000000000001</v>
      </c>
      <c r="R3943" s="1565">
        <v>3607.08</v>
      </c>
      <c r="S3943" s="1562"/>
    </row>
    <row r="3944" spans="2:19" ht="11.25" customHeight="1" outlineLevel="1">
      <c r="B3944" s="1573">
        <v>24579</v>
      </c>
      <c r="C3944" s="1566" t="s">
        <v>5015</v>
      </c>
      <c r="D3944" s="1566" t="s">
        <v>9249</v>
      </c>
      <c r="E3944" s="1566"/>
      <c r="F3944" s="1566"/>
      <c r="G3944" s="1566" t="s">
        <v>5030</v>
      </c>
      <c r="H3944" s="1568">
        <v>1</v>
      </c>
      <c r="I3944" s="1566"/>
      <c r="J3944" s="1566"/>
      <c r="K3944" s="1572">
        <v>230</v>
      </c>
      <c r="L3944" s="1565">
        <v>34081</v>
      </c>
      <c r="M3944" s="1564"/>
      <c r="N3944" s="1565">
        <v>34081</v>
      </c>
      <c r="O3944" s="1565">
        <v>19261.990000000002</v>
      </c>
      <c r="P3944" s="1565">
        <v>14239.65</v>
      </c>
      <c r="Q3944" s="1572">
        <v>579.36</v>
      </c>
      <c r="R3944" s="1565">
        <v>14819.01</v>
      </c>
      <c r="S3944" s="1562"/>
    </row>
    <row r="3945" spans="2:19" ht="11.25" customHeight="1" outlineLevel="1">
      <c r="B3945" s="1573">
        <v>24588</v>
      </c>
      <c r="C3945" s="1566" t="s">
        <v>5015</v>
      </c>
      <c r="D3945" s="1566" t="s">
        <v>9248</v>
      </c>
      <c r="E3945" s="1566"/>
      <c r="F3945" s="1566"/>
      <c r="G3945" s="1566" t="s">
        <v>9247</v>
      </c>
      <c r="H3945" s="1568">
        <v>1</v>
      </c>
      <c r="I3945" s="1566"/>
      <c r="J3945" s="1566"/>
      <c r="K3945" s="1572">
        <v>106</v>
      </c>
      <c r="L3945" s="1565">
        <v>3191</v>
      </c>
      <c r="M3945" s="1564"/>
      <c r="N3945" s="1565">
        <v>3191</v>
      </c>
      <c r="O3945" s="1572">
        <v>606.05999999999995</v>
      </c>
      <c r="P3945" s="1565">
        <v>2483.9</v>
      </c>
      <c r="Q3945" s="1572">
        <v>101.04</v>
      </c>
      <c r="R3945" s="1565">
        <v>2584.94</v>
      </c>
      <c r="S3945" s="1562"/>
    </row>
    <row r="3946" spans="2:19" ht="11.25" customHeight="1" outlineLevel="1">
      <c r="B3946" s="1573">
        <v>24589</v>
      </c>
      <c r="C3946" s="1566" t="s">
        <v>5015</v>
      </c>
      <c r="D3946" s="1566" t="s">
        <v>9246</v>
      </c>
      <c r="E3946" s="1566"/>
      <c r="F3946" s="1566"/>
      <c r="G3946" s="1566" t="s">
        <v>9245</v>
      </c>
      <c r="H3946" s="1568">
        <v>1</v>
      </c>
      <c r="I3946" s="1566"/>
      <c r="J3946" s="1566"/>
      <c r="K3946" s="1572">
        <v>106</v>
      </c>
      <c r="L3946" s="1565">
        <v>1223</v>
      </c>
      <c r="M3946" s="1564"/>
      <c r="N3946" s="1565">
        <v>1223</v>
      </c>
      <c r="O3946" s="1572">
        <v>231.51</v>
      </c>
      <c r="P3946" s="1572">
        <v>952.85</v>
      </c>
      <c r="Q3946" s="1572">
        <v>38.64</v>
      </c>
      <c r="R3946" s="1572">
        <v>991.49</v>
      </c>
      <c r="S3946" s="1562"/>
    </row>
    <row r="3947" spans="2:19" ht="11.25" customHeight="1" outlineLevel="1">
      <c r="B3947" s="1573">
        <v>24590</v>
      </c>
      <c r="C3947" s="1566" t="s">
        <v>5015</v>
      </c>
      <c r="D3947" s="1566" t="s">
        <v>9244</v>
      </c>
      <c r="E3947" s="1566"/>
      <c r="F3947" s="1566"/>
      <c r="G3947" s="1566" t="s">
        <v>5024</v>
      </c>
      <c r="H3947" s="1568">
        <v>1</v>
      </c>
      <c r="I3947" s="1566"/>
      <c r="J3947" s="1566"/>
      <c r="K3947" s="1572">
        <v>106</v>
      </c>
      <c r="L3947" s="1565">
        <v>1755</v>
      </c>
      <c r="M3947" s="1564"/>
      <c r="N3947" s="1565">
        <v>1755</v>
      </c>
      <c r="O3947" s="1572">
        <v>333.59</v>
      </c>
      <c r="P3947" s="1565">
        <v>1365.85</v>
      </c>
      <c r="Q3947" s="1572">
        <v>55.56</v>
      </c>
      <c r="R3947" s="1565">
        <v>1421.41</v>
      </c>
      <c r="S3947" s="1562"/>
    </row>
    <row r="3948" spans="2:19" ht="11.25" customHeight="1" outlineLevel="1">
      <c r="B3948" s="1573">
        <v>24591</v>
      </c>
      <c r="C3948" s="1566" t="s">
        <v>5015</v>
      </c>
      <c r="D3948" s="1566" t="s">
        <v>9243</v>
      </c>
      <c r="E3948" s="1566"/>
      <c r="F3948" s="1566"/>
      <c r="G3948" s="1566" t="s">
        <v>5022</v>
      </c>
      <c r="H3948" s="1568">
        <v>1</v>
      </c>
      <c r="I3948" s="1566"/>
      <c r="J3948" s="1566"/>
      <c r="K3948" s="1572">
        <v>112</v>
      </c>
      <c r="L3948" s="1565">
        <v>1571</v>
      </c>
      <c r="M3948" s="1564"/>
      <c r="N3948" s="1565">
        <v>1571</v>
      </c>
      <c r="O3948" s="1572">
        <v>297.19</v>
      </c>
      <c r="P3948" s="1565">
        <v>1224.25</v>
      </c>
      <c r="Q3948" s="1572">
        <v>49.56</v>
      </c>
      <c r="R3948" s="1565">
        <v>1273.81</v>
      </c>
      <c r="S3948" s="1562"/>
    </row>
    <row r="3949" spans="2:19" ht="11.25" customHeight="1" outlineLevel="1">
      <c r="B3949" s="1573">
        <v>24592</v>
      </c>
      <c r="C3949" s="1566" t="s">
        <v>5015</v>
      </c>
      <c r="D3949" s="1566" t="s">
        <v>9242</v>
      </c>
      <c r="E3949" s="1566"/>
      <c r="F3949" s="1566"/>
      <c r="G3949" s="1566" t="s">
        <v>9241</v>
      </c>
      <c r="H3949" s="1568">
        <v>1</v>
      </c>
      <c r="I3949" s="1566"/>
      <c r="J3949" s="1566"/>
      <c r="K3949" s="1572">
        <v>112</v>
      </c>
      <c r="L3949" s="1565">
        <v>1571</v>
      </c>
      <c r="M3949" s="1564"/>
      <c r="N3949" s="1565">
        <v>1571</v>
      </c>
      <c r="O3949" s="1572">
        <v>297.19</v>
      </c>
      <c r="P3949" s="1565">
        <v>1224.25</v>
      </c>
      <c r="Q3949" s="1572">
        <v>49.56</v>
      </c>
      <c r="R3949" s="1565">
        <v>1273.81</v>
      </c>
      <c r="S3949" s="1562"/>
    </row>
    <row r="3950" spans="2:19" ht="11.25" customHeight="1" outlineLevel="1">
      <c r="B3950" s="1573">
        <v>24596</v>
      </c>
      <c r="C3950" s="1566" t="s">
        <v>5015</v>
      </c>
      <c r="D3950" s="1566" t="s">
        <v>9240</v>
      </c>
      <c r="E3950" s="1566"/>
      <c r="F3950" s="1566"/>
      <c r="G3950" s="1566" t="s">
        <v>9239</v>
      </c>
      <c r="H3950" s="1568">
        <v>1</v>
      </c>
      <c r="I3950" s="1566"/>
      <c r="J3950" s="1566"/>
      <c r="K3950" s="1572">
        <v>319</v>
      </c>
      <c r="L3950" s="1565">
        <v>7011</v>
      </c>
      <c r="M3950" s="1564"/>
      <c r="N3950" s="1565">
        <v>7011</v>
      </c>
      <c r="O3950" s="1565">
        <v>3962.49</v>
      </c>
      <c r="P3950" s="1565">
        <v>2929.35</v>
      </c>
      <c r="Q3950" s="1572">
        <v>119.16</v>
      </c>
      <c r="R3950" s="1565">
        <v>3048.51</v>
      </c>
      <c r="S3950" s="1562"/>
    </row>
    <row r="3951" spans="2:19" ht="11.25" customHeight="1" outlineLevel="1">
      <c r="B3951" s="1573">
        <v>24597</v>
      </c>
      <c r="C3951" s="1566" t="s">
        <v>5015</v>
      </c>
      <c r="D3951" s="1566" t="s">
        <v>9238</v>
      </c>
      <c r="E3951" s="1566"/>
      <c r="F3951" s="1566"/>
      <c r="G3951" s="1566" t="s">
        <v>5016</v>
      </c>
      <c r="H3951" s="1568">
        <v>1</v>
      </c>
      <c r="I3951" s="1566"/>
      <c r="J3951" s="1566"/>
      <c r="K3951" s="1572">
        <v>475</v>
      </c>
      <c r="L3951" s="1565">
        <v>20171</v>
      </c>
      <c r="M3951" s="1564"/>
      <c r="N3951" s="1565">
        <v>20171</v>
      </c>
      <c r="O3951" s="1565">
        <v>11400.01</v>
      </c>
      <c r="P3951" s="1565">
        <v>8428.15</v>
      </c>
      <c r="Q3951" s="1572">
        <v>342.84</v>
      </c>
      <c r="R3951" s="1565">
        <v>8770.99</v>
      </c>
      <c r="S3951" s="1562"/>
    </row>
    <row r="3952" spans="2:19" ht="11.25" customHeight="1" outlineLevel="1">
      <c r="B3952" s="1573">
        <v>24598</v>
      </c>
      <c r="C3952" s="1566" t="s">
        <v>5015</v>
      </c>
      <c r="D3952" s="1566" t="s">
        <v>9237</v>
      </c>
      <c r="E3952" s="1566"/>
      <c r="F3952" s="1566"/>
      <c r="G3952" s="1566" t="s">
        <v>5013</v>
      </c>
      <c r="H3952" s="1568">
        <v>1</v>
      </c>
      <c r="I3952" s="1566"/>
      <c r="J3952" s="1566"/>
      <c r="K3952" s="1572">
        <v>319</v>
      </c>
      <c r="L3952" s="1565">
        <v>18802</v>
      </c>
      <c r="M3952" s="1564"/>
      <c r="N3952" s="1565">
        <v>18802</v>
      </c>
      <c r="O3952" s="1565">
        <v>10626.59</v>
      </c>
      <c r="P3952" s="1565">
        <v>7855.85</v>
      </c>
      <c r="Q3952" s="1572">
        <v>319.56</v>
      </c>
      <c r="R3952" s="1565">
        <v>8175.41</v>
      </c>
      <c r="S3952" s="1562"/>
    </row>
    <row r="3953" spans="2:19" ht="11.25" customHeight="1" outlineLevel="1">
      <c r="B3953" s="1573">
        <v>24600</v>
      </c>
      <c r="C3953" s="1566" t="s">
        <v>5015</v>
      </c>
      <c r="D3953" s="1566" t="s">
        <v>9236</v>
      </c>
      <c r="E3953" s="1566"/>
      <c r="F3953" s="1566"/>
      <c r="G3953" s="1566" t="s">
        <v>5013</v>
      </c>
      <c r="H3953" s="1568">
        <v>1</v>
      </c>
      <c r="I3953" s="1566"/>
      <c r="J3953" s="1566"/>
      <c r="K3953" s="1572">
        <v>478</v>
      </c>
      <c r="L3953" s="1565">
        <v>14950</v>
      </c>
      <c r="M3953" s="1564"/>
      <c r="N3953" s="1565">
        <v>14950</v>
      </c>
      <c r="O3953" s="1565">
        <v>8447.86</v>
      </c>
      <c r="P3953" s="1565">
        <v>6248.1</v>
      </c>
      <c r="Q3953" s="1572">
        <v>254.04</v>
      </c>
      <c r="R3953" s="1565">
        <v>6502.14</v>
      </c>
      <c r="S3953" s="1562"/>
    </row>
    <row r="3954" spans="2:19" ht="11.25" customHeight="1" outlineLevel="1">
      <c r="B3954" s="1573">
        <v>24622</v>
      </c>
      <c r="C3954" s="1566" t="s">
        <v>5015</v>
      </c>
      <c r="D3954" s="1566" t="s">
        <v>9235</v>
      </c>
      <c r="E3954" s="1566"/>
      <c r="F3954" s="1566"/>
      <c r="G3954" s="1566" t="s">
        <v>9234</v>
      </c>
      <c r="H3954" s="1568">
        <v>1</v>
      </c>
      <c r="I3954" s="1566"/>
      <c r="J3954" s="1566"/>
      <c r="K3954" s="1572">
        <v>104</v>
      </c>
      <c r="L3954" s="1565">
        <v>3456</v>
      </c>
      <c r="M3954" s="1564"/>
      <c r="N3954" s="1565">
        <v>3456</v>
      </c>
      <c r="O3954" s="1572">
        <v>564.29999999999995</v>
      </c>
      <c r="P3954" s="1565">
        <v>2778.9</v>
      </c>
      <c r="Q3954" s="1572">
        <v>112.8</v>
      </c>
      <c r="R3954" s="1565">
        <v>2891.7</v>
      </c>
      <c r="S3954" s="1562"/>
    </row>
    <row r="3955" spans="2:19" ht="11.25" customHeight="1" outlineLevel="1">
      <c r="B3955" s="1573">
        <v>24730</v>
      </c>
      <c r="C3955" s="1566" t="s">
        <v>5012</v>
      </c>
      <c r="D3955" s="1566" t="s">
        <v>9233</v>
      </c>
      <c r="E3955" s="1566"/>
      <c r="F3955" s="1566"/>
      <c r="G3955" s="1566" t="s">
        <v>9232</v>
      </c>
      <c r="H3955" s="1568">
        <v>1</v>
      </c>
      <c r="I3955" s="1566"/>
      <c r="J3955" s="1566"/>
      <c r="K3955" s="1572">
        <v>64</v>
      </c>
      <c r="L3955" s="1572">
        <v>762</v>
      </c>
      <c r="M3955" s="1564"/>
      <c r="N3955" s="1572">
        <v>762</v>
      </c>
      <c r="O3955" s="1572">
        <v>432.6</v>
      </c>
      <c r="P3955" s="1572">
        <v>316.44</v>
      </c>
      <c r="Q3955" s="1572">
        <v>12.96</v>
      </c>
      <c r="R3955" s="1572">
        <v>329.4</v>
      </c>
      <c r="S3955" s="1562"/>
    </row>
    <row r="3956" spans="2:19" ht="11.25" customHeight="1" outlineLevel="1">
      <c r="B3956" s="1573">
        <v>24733</v>
      </c>
      <c r="C3956" s="1566" t="s">
        <v>5012</v>
      </c>
      <c r="D3956" s="1566" t="s">
        <v>9231</v>
      </c>
      <c r="E3956" s="1566"/>
      <c r="F3956" s="1566"/>
      <c r="G3956" s="1566" t="s">
        <v>9230</v>
      </c>
      <c r="H3956" s="1568">
        <v>1</v>
      </c>
      <c r="I3956" s="1566"/>
      <c r="J3956" s="1566"/>
      <c r="K3956" s="1572">
        <v>26</v>
      </c>
      <c r="L3956" s="1565">
        <v>13891</v>
      </c>
      <c r="M3956" s="1564"/>
      <c r="N3956" s="1565">
        <v>13891</v>
      </c>
      <c r="O3956" s="1565">
        <v>7888.72</v>
      </c>
      <c r="P3956" s="1565">
        <v>5766.24</v>
      </c>
      <c r="Q3956" s="1572">
        <v>236.04</v>
      </c>
      <c r="R3956" s="1565">
        <v>6002.28</v>
      </c>
      <c r="S3956" s="1562"/>
    </row>
    <row r="3957" spans="2:19" s="1662" customFormat="1" ht="11.25" customHeight="1" outlineLevel="1">
      <c r="B3957" s="1655">
        <v>24734</v>
      </c>
      <c r="C3957" s="1656" t="s">
        <v>5012</v>
      </c>
      <c r="D3957" s="1656" t="s">
        <v>9229</v>
      </c>
      <c r="E3957" s="1656"/>
      <c r="F3957" s="1656"/>
      <c r="G3957" s="1656" t="s">
        <v>9228</v>
      </c>
      <c r="H3957" s="1657">
        <v>1</v>
      </c>
      <c r="I3957" s="1656"/>
      <c r="J3957" s="1656"/>
      <c r="K3957" s="1658">
        <v>473</v>
      </c>
      <c r="L3957" s="1659">
        <v>509015</v>
      </c>
      <c r="M3957" s="1660"/>
      <c r="N3957" s="1659">
        <v>509015</v>
      </c>
      <c r="O3957" s="1659">
        <v>289115.98</v>
      </c>
      <c r="P3957" s="1659">
        <v>211247.14</v>
      </c>
      <c r="Q3957" s="1659">
        <v>8651.8799999999992</v>
      </c>
      <c r="R3957" s="1659">
        <v>219899.02</v>
      </c>
      <c r="S3957" s="1661"/>
    </row>
    <row r="3958" spans="2:19" ht="11.25" customHeight="1" outlineLevel="1">
      <c r="B3958" s="1573">
        <v>24763</v>
      </c>
      <c r="C3958" s="1566" t="s">
        <v>4952</v>
      </c>
      <c r="D3958" s="1566" t="s">
        <v>9227</v>
      </c>
      <c r="E3958" s="1566"/>
      <c r="F3958" s="1566"/>
      <c r="G3958" s="1566" t="s">
        <v>9226</v>
      </c>
      <c r="H3958" s="1568">
        <v>1</v>
      </c>
      <c r="I3958" s="1566"/>
      <c r="J3958" s="1566"/>
      <c r="K3958" s="1572">
        <v>166</v>
      </c>
      <c r="L3958" s="1565">
        <v>1329</v>
      </c>
      <c r="M3958" s="1564"/>
      <c r="N3958" s="1565">
        <v>1329</v>
      </c>
      <c r="O3958" s="1572">
        <v>219.3</v>
      </c>
      <c r="P3958" s="1565">
        <v>1065.8</v>
      </c>
      <c r="Q3958" s="1572">
        <v>43.9</v>
      </c>
      <c r="R3958" s="1565">
        <v>1109.7</v>
      </c>
      <c r="S3958" s="1562"/>
    </row>
    <row r="3959" spans="2:19" ht="11.25" customHeight="1" outlineLevel="1">
      <c r="B3959" s="1573">
        <v>24764</v>
      </c>
      <c r="C3959" s="1566" t="s">
        <v>4952</v>
      </c>
      <c r="D3959" s="1566" t="s">
        <v>9225</v>
      </c>
      <c r="E3959" s="1566"/>
      <c r="F3959" s="1566"/>
      <c r="G3959" s="1566" t="s">
        <v>5006</v>
      </c>
      <c r="H3959" s="1568">
        <v>1</v>
      </c>
      <c r="I3959" s="1566"/>
      <c r="J3959" s="1566"/>
      <c r="K3959" s="1572">
        <v>236</v>
      </c>
      <c r="L3959" s="1565">
        <v>2361</v>
      </c>
      <c r="M3959" s="1564"/>
      <c r="N3959" s="1565">
        <v>2361</v>
      </c>
      <c r="O3959" s="1565">
        <v>1345.52</v>
      </c>
      <c r="P3959" s="1572">
        <v>975.28</v>
      </c>
      <c r="Q3959" s="1572">
        <v>40.200000000000003</v>
      </c>
      <c r="R3959" s="1565">
        <v>1015.48</v>
      </c>
      <c r="S3959" s="1562"/>
    </row>
    <row r="3960" spans="2:19" ht="11.25" customHeight="1" outlineLevel="1">
      <c r="B3960" s="1573">
        <v>24765</v>
      </c>
      <c r="C3960" s="1566" t="s">
        <v>4952</v>
      </c>
      <c r="D3960" s="1566" t="s">
        <v>9224</v>
      </c>
      <c r="E3960" s="1566"/>
      <c r="F3960" s="1566"/>
      <c r="G3960" s="1566" t="s">
        <v>5004</v>
      </c>
      <c r="H3960" s="1568">
        <v>1</v>
      </c>
      <c r="I3960" s="1566"/>
      <c r="J3960" s="1566"/>
      <c r="K3960" s="1572">
        <v>106</v>
      </c>
      <c r="L3960" s="1565">
        <v>5265</v>
      </c>
      <c r="M3960" s="1564"/>
      <c r="N3960" s="1565">
        <v>5265</v>
      </c>
      <c r="O3960" s="1572">
        <v>868.92</v>
      </c>
      <c r="P3960" s="1565">
        <v>4222.32</v>
      </c>
      <c r="Q3960" s="1572">
        <v>173.76</v>
      </c>
      <c r="R3960" s="1565">
        <v>4396.08</v>
      </c>
      <c r="S3960" s="1562"/>
    </row>
    <row r="3961" spans="2:19" ht="11.25" customHeight="1" outlineLevel="1">
      <c r="B3961" s="1573">
        <v>24766</v>
      </c>
      <c r="C3961" s="1566" t="s">
        <v>4952</v>
      </c>
      <c r="D3961" s="1566" t="s">
        <v>9223</v>
      </c>
      <c r="E3961" s="1566"/>
      <c r="F3961" s="1566"/>
      <c r="G3961" s="1566" t="s">
        <v>5001</v>
      </c>
      <c r="H3961" s="1568">
        <v>1</v>
      </c>
      <c r="I3961" s="1566"/>
      <c r="J3961" s="1566"/>
      <c r="K3961" s="1572">
        <v>106</v>
      </c>
      <c r="L3961" s="1565">
        <v>1340</v>
      </c>
      <c r="M3961" s="1564"/>
      <c r="N3961" s="1565">
        <v>1340</v>
      </c>
      <c r="O3961" s="1572">
        <v>221.16</v>
      </c>
      <c r="P3961" s="1565">
        <v>1074.56</v>
      </c>
      <c r="Q3961" s="1572">
        <v>44.28</v>
      </c>
      <c r="R3961" s="1565">
        <v>1118.8399999999999</v>
      </c>
      <c r="S3961" s="1562"/>
    </row>
    <row r="3962" spans="2:19" ht="11.25" customHeight="1" outlineLevel="1">
      <c r="B3962" s="1573">
        <v>24767</v>
      </c>
      <c r="C3962" s="1566" t="s">
        <v>4952</v>
      </c>
      <c r="D3962" s="1566" t="s">
        <v>9222</v>
      </c>
      <c r="E3962" s="1566"/>
      <c r="F3962" s="1566"/>
      <c r="G3962" s="1566" t="s">
        <v>4999</v>
      </c>
      <c r="H3962" s="1568">
        <v>1</v>
      </c>
      <c r="I3962" s="1566"/>
      <c r="J3962" s="1566"/>
      <c r="K3962" s="1572">
        <v>236</v>
      </c>
      <c r="L3962" s="1565">
        <v>2716</v>
      </c>
      <c r="M3962" s="1564"/>
      <c r="N3962" s="1565">
        <v>2716</v>
      </c>
      <c r="O3962" s="1565">
        <v>1545.69</v>
      </c>
      <c r="P3962" s="1565">
        <v>1124.2</v>
      </c>
      <c r="Q3962" s="1572">
        <v>46.11</v>
      </c>
      <c r="R3962" s="1565">
        <v>1170.31</v>
      </c>
      <c r="S3962" s="1562"/>
    </row>
    <row r="3963" spans="2:19" ht="11.25" customHeight="1" outlineLevel="1">
      <c r="B3963" s="1573">
        <v>24768</v>
      </c>
      <c r="C3963" s="1566" t="s">
        <v>4952</v>
      </c>
      <c r="D3963" s="1566" t="s">
        <v>9221</v>
      </c>
      <c r="E3963" s="1566"/>
      <c r="F3963" s="1566"/>
      <c r="G3963" s="1566" t="s">
        <v>4997</v>
      </c>
      <c r="H3963" s="1568">
        <v>1</v>
      </c>
      <c r="I3963" s="1566"/>
      <c r="J3963" s="1566"/>
      <c r="K3963" s="1572">
        <v>106</v>
      </c>
      <c r="L3963" s="1572">
        <v>691</v>
      </c>
      <c r="M3963" s="1564"/>
      <c r="N3963" s="1572">
        <v>691</v>
      </c>
      <c r="O3963" s="1572">
        <v>113.52</v>
      </c>
      <c r="P3963" s="1572">
        <v>554.79999999999995</v>
      </c>
      <c r="Q3963" s="1572">
        <v>22.68</v>
      </c>
      <c r="R3963" s="1572">
        <v>577.48</v>
      </c>
      <c r="S3963" s="1562"/>
    </row>
    <row r="3964" spans="2:19" ht="11.25" customHeight="1" outlineLevel="1">
      <c r="B3964" s="1573">
        <v>24769</v>
      </c>
      <c r="C3964" s="1566" t="s">
        <v>4952</v>
      </c>
      <c r="D3964" s="1566" t="s">
        <v>9220</v>
      </c>
      <c r="E3964" s="1566"/>
      <c r="F3964" s="1566"/>
      <c r="G3964" s="1566" t="s">
        <v>4995</v>
      </c>
      <c r="H3964" s="1568">
        <v>1</v>
      </c>
      <c r="I3964" s="1566"/>
      <c r="J3964" s="1566"/>
      <c r="K3964" s="1572">
        <v>106</v>
      </c>
      <c r="L3964" s="1572">
        <v>713</v>
      </c>
      <c r="M3964" s="1564"/>
      <c r="N3964" s="1572">
        <v>713</v>
      </c>
      <c r="O3964" s="1572">
        <v>117.28</v>
      </c>
      <c r="P3964" s="1572">
        <v>572.32000000000005</v>
      </c>
      <c r="Q3964" s="1572">
        <v>23.4</v>
      </c>
      <c r="R3964" s="1572">
        <v>595.72</v>
      </c>
      <c r="S3964" s="1562"/>
    </row>
    <row r="3965" spans="2:19" ht="11.25" customHeight="1" outlineLevel="1">
      <c r="B3965" s="1573">
        <v>24770</v>
      </c>
      <c r="C3965" s="1566" t="s">
        <v>4952</v>
      </c>
      <c r="D3965" s="1566" t="s">
        <v>9219</v>
      </c>
      <c r="E3965" s="1566"/>
      <c r="F3965" s="1566"/>
      <c r="G3965" s="1566" t="s">
        <v>4993</v>
      </c>
      <c r="H3965" s="1568">
        <v>1</v>
      </c>
      <c r="I3965" s="1566"/>
      <c r="J3965" s="1566"/>
      <c r="K3965" s="1572">
        <v>106</v>
      </c>
      <c r="L3965" s="1565">
        <v>1064</v>
      </c>
      <c r="M3965" s="1564"/>
      <c r="N3965" s="1565">
        <v>1064</v>
      </c>
      <c r="O3965" s="1572">
        <v>176.1</v>
      </c>
      <c r="P3965" s="1572">
        <v>852.64</v>
      </c>
      <c r="Q3965" s="1572">
        <v>35.26</v>
      </c>
      <c r="R3965" s="1572">
        <v>887.9</v>
      </c>
      <c r="S3965" s="1562"/>
    </row>
    <row r="3966" spans="2:19" ht="11.25" customHeight="1" outlineLevel="1">
      <c r="B3966" s="1573">
        <v>24771</v>
      </c>
      <c r="C3966" s="1566" t="s">
        <v>4952</v>
      </c>
      <c r="D3966" s="1566" t="s">
        <v>9218</v>
      </c>
      <c r="E3966" s="1566"/>
      <c r="F3966" s="1566"/>
      <c r="G3966" s="1566" t="s">
        <v>4991</v>
      </c>
      <c r="H3966" s="1568">
        <v>1</v>
      </c>
      <c r="I3966" s="1566"/>
      <c r="J3966" s="1566"/>
      <c r="K3966" s="1572">
        <v>243</v>
      </c>
      <c r="L3966" s="1565">
        <v>2678</v>
      </c>
      <c r="M3966" s="1564"/>
      <c r="N3966" s="1565">
        <v>2678</v>
      </c>
      <c r="O3966" s="1565">
        <v>1525.72</v>
      </c>
      <c r="P3966" s="1565">
        <v>1106.68</v>
      </c>
      <c r="Q3966" s="1572">
        <v>45.6</v>
      </c>
      <c r="R3966" s="1565">
        <v>1152.28</v>
      </c>
      <c r="S3966" s="1562"/>
    </row>
    <row r="3967" spans="2:19" ht="11.25" customHeight="1" outlineLevel="1">
      <c r="B3967" s="1573">
        <v>24772</v>
      </c>
      <c r="C3967" s="1566" t="s">
        <v>4952</v>
      </c>
      <c r="D3967" s="1566" t="s">
        <v>9217</v>
      </c>
      <c r="E3967" s="1566"/>
      <c r="F3967" s="1566"/>
      <c r="G3967" s="1566" t="s">
        <v>4989</v>
      </c>
      <c r="H3967" s="1568">
        <v>1</v>
      </c>
      <c r="I3967" s="1566"/>
      <c r="J3967" s="1566"/>
      <c r="K3967" s="1572">
        <v>243</v>
      </c>
      <c r="L3967" s="1565">
        <v>1461</v>
      </c>
      <c r="M3967" s="1564"/>
      <c r="N3967" s="1565">
        <v>1461</v>
      </c>
      <c r="O3967" s="1572">
        <v>831.72</v>
      </c>
      <c r="P3967" s="1572">
        <v>604.44000000000005</v>
      </c>
      <c r="Q3967" s="1572">
        <v>24.84</v>
      </c>
      <c r="R3967" s="1572">
        <v>629.28</v>
      </c>
      <c r="S3967" s="1562"/>
    </row>
    <row r="3968" spans="2:19" ht="11.25" customHeight="1" outlineLevel="1">
      <c r="B3968" s="1573">
        <v>24775</v>
      </c>
      <c r="C3968" s="1566" t="s">
        <v>4952</v>
      </c>
      <c r="D3968" s="1566" t="s">
        <v>9216</v>
      </c>
      <c r="E3968" s="1566"/>
      <c r="F3968" s="1566"/>
      <c r="G3968" s="1566" t="s">
        <v>4987</v>
      </c>
      <c r="H3968" s="1568">
        <v>1</v>
      </c>
      <c r="I3968" s="1566"/>
      <c r="J3968" s="1566"/>
      <c r="K3968" s="1572">
        <v>236</v>
      </c>
      <c r="L3968" s="1565">
        <v>5903</v>
      </c>
      <c r="M3968" s="1564"/>
      <c r="N3968" s="1565">
        <v>5903</v>
      </c>
      <c r="O3968" s="1565">
        <v>3361.56</v>
      </c>
      <c r="P3968" s="1565">
        <v>2441.12</v>
      </c>
      <c r="Q3968" s="1572">
        <v>100.32</v>
      </c>
      <c r="R3968" s="1565">
        <v>2541.44</v>
      </c>
      <c r="S3968" s="1562"/>
    </row>
    <row r="3969" spans="2:19" ht="11.25" customHeight="1" outlineLevel="1">
      <c r="B3969" s="1573">
        <v>24776</v>
      </c>
      <c r="C3969" s="1566" t="s">
        <v>4952</v>
      </c>
      <c r="D3969" s="1566" t="s">
        <v>9215</v>
      </c>
      <c r="E3969" s="1566"/>
      <c r="F3969" s="1566"/>
      <c r="G3969" s="1566" t="s">
        <v>9214</v>
      </c>
      <c r="H3969" s="1568">
        <v>1</v>
      </c>
      <c r="I3969" s="1566"/>
      <c r="J3969" s="1566"/>
      <c r="K3969" s="1572">
        <v>243</v>
      </c>
      <c r="L3969" s="1565">
        <v>11442</v>
      </c>
      <c r="M3969" s="1564"/>
      <c r="N3969" s="1565">
        <v>11442</v>
      </c>
      <c r="O3969" s="1565">
        <v>6514.28</v>
      </c>
      <c r="P3969" s="1565">
        <v>4733.32</v>
      </c>
      <c r="Q3969" s="1572">
        <v>194.4</v>
      </c>
      <c r="R3969" s="1565">
        <v>4927.72</v>
      </c>
      <c r="S3969" s="1562"/>
    </row>
    <row r="3970" spans="2:19" ht="11.25" customHeight="1" outlineLevel="1">
      <c r="B3970" s="1573">
        <v>24777</v>
      </c>
      <c r="C3970" s="1566" t="s">
        <v>4952</v>
      </c>
      <c r="D3970" s="1566" t="s">
        <v>9213</v>
      </c>
      <c r="E3970" s="1566"/>
      <c r="F3970" s="1566"/>
      <c r="G3970" s="1566" t="s">
        <v>9212</v>
      </c>
      <c r="H3970" s="1568">
        <v>1</v>
      </c>
      <c r="I3970" s="1566"/>
      <c r="J3970" s="1566"/>
      <c r="K3970" s="1572">
        <v>243</v>
      </c>
      <c r="L3970" s="1565">
        <v>20085</v>
      </c>
      <c r="M3970" s="1564"/>
      <c r="N3970" s="1565">
        <v>20085</v>
      </c>
      <c r="O3970" s="1565">
        <v>11436.2</v>
      </c>
      <c r="P3970" s="1565">
        <v>8307.4</v>
      </c>
      <c r="Q3970" s="1572">
        <v>341.4</v>
      </c>
      <c r="R3970" s="1565">
        <v>8648.7999999999993</v>
      </c>
      <c r="S3970" s="1562"/>
    </row>
    <row r="3971" spans="2:19" ht="11.25" customHeight="1" outlineLevel="1">
      <c r="B3971" s="1573">
        <v>24778</v>
      </c>
      <c r="C3971" s="1566" t="s">
        <v>4952</v>
      </c>
      <c r="D3971" s="1566" t="s">
        <v>9211</v>
      </c>
      <c r="E3971" s="1566"/>
      <c r="F3971" s="1566"/>
      <c r="G3971" s="1566" t="s">
        <v>9210</v>
      </c>
      <c r="H3971" s="1568">
        <v>1</v>
      </c>
      <c r="I3971" s="1566"/>
      <c r="J3971" s="1566"/>
      <c r="K3971" s="1572">
        <v>221</v>
      </c>
      <c r="L3971" s="1565">
        <v>3312</v>
      </c>
      <c r="M3971" s="1564"/>
      <c r="N3971" s="1565">
        <v>3312</v>
      </c>
      <c r="O3971" s="1572">
        <v>545.70000000000005</v>
      </c>
      <c r="P3971" s="1565">
        <v>2657.2</v>
      </c>
      <c r="Q3971" s="1572">
        <v>109.1</v>
      </c>
      <c r="R3971" s="1565">
        <v>2766.3</v>
      </c>
      <c r="S3971" s="1562"/>
    </row>
    <row r="3972" spans="2:19" ht="11.25" customHeight="1" outlineLevel="1">
      <c r="B3972" s="1573">
        <v>24779</v>
      </c>
      <c r="C3972" s="1566" t="s">
        <v>4952</v>
      </c>
      <c r="D3972" s="1566" t="s">
        <v>9209</v>
      </c>
      <c r="E3972" s="1566"/>
      <c r="F3972" s="1566"/>
      <c r="G3972" s="1566" t="s">
        <v>9208</v>
      </c>
      <c r="H3972" s="1568">
        <v>1</v>
      </c>
      <c r="I3972" s="1566"/>
      <c r="J3972" s="1566"/>
      <c r="K3972" s="1572">
        <v>286</v>
      </c>
      <c r="L3972" s="1565">
        <v>2058</v>
      </c>
      <c r="M3972" s="1564"/>
      <c r="N3972" s="1565">
        <v>2058</v>
      </c>
      <c r="O3972" s="1565">
        <v>1170.44</v>
      </c>
      <c r="P3972" s="1572">
        <v>852.64</v>
      </c>
      <c r="Q3972" s="1572">
        <v>34.92</v>
      </c>
      <c r="R3972" s="1572">
        <v>887.56</v>
      </c>
      <c r="S3972" s="1562"/>
    </row>
    <row r="3973" spans="2:19" ht="11.25" customHeight="1" outlineLevel="1">
      <c r="B3973" s="1573">
        <v>24784</v>
      </c>
      <c r="C3973" s="1566" t="s">
        <v>4952</v>
      </c>
      <c r="D3973" s="1566" t="s">
        <v>9207</v>
      </c>
      <c r="E3973" s="1566"/>
      <c r="F3973" s="1566"/>
      <c r="G3973" s="1566" t="s">
        <v>4979</v>
      </c>
      <c r="H3973" s="1568">
        <v>1</v>
      </c>
      <c r="I3973" s="1566"/>
      <c r="J3973" s="1566"/>
      <c r="K3973" s="1572">
        <v>106</v>
      </c>
      <c r="L3973" s="1565">
        <v>1064</v>
      </c>
      <c r="M3973" s="1564"/>
      <c r="N3973" s="1565">
        <v>1064</v>
      </c>
      <c r="O3973" s="1572">
        <v>145.68</v>
      </c>
      <c r="P3973" s="1572">
        <v>881.84</v>
      </c>
      <c r="Q3973" s="1572">
        <v>36.479999999999997</v>
      </c>
      <c r="R3973" s="1572">
        <v>918.32</v>
      </c>
      <c r="S3973" s="1562"/>
    </row>
    <row r="3974" spans="2:19" ht="11.25" customHeight="1" outlineLevel="1">
      <c r="B3974" s="1573">
        <v>24785</v>
      </c>
      <c r="C3974" s="1566" t="s">
        <v>4952</v>
      </c>
      <c r="D3974" s="1566" t="s">
        <v>9206</v>
      </c>
      <c r="E3974" s="1566"/>
      <c r="F3974" s="1566"/>
      <c r="G3974" s="1566" t="s">
        <v>9204</v>
      </c>
      <c r="H3974" s="1568">
        <v>1</v>
      </c>
      <c r="I3974" s="1566"/>
      <c r="J3974" s="1566"/>
      <c r="K3974" s="1572">
        <v>106</v>
      </c>
      <c r="L3974" s="1565">
        <v>2127</v>
      </c>
      <c r="M3974" s="1564"/>
      <c r="N3974" s="1565">
        <v>2127</v>
      </c>
      <c r="O3974" s="1572">
        <v>290.64</v>
      </c>
      <c r="P3974" s="1565">
        <v>1763.68</v>
      </c>
      <c r="Q3974" s="1572">
        <v>72.680000000000007</v>
      </c>
      <c r="R3974" s="1565">
        <v>1836.36</v>
      </c>
      <c r="S3974" s="1562"/>
    </row>
    <row r="3975" spans="2:19" ht="11.25" customHeight="1" outlineLevel="1">
      <c r="B3975" s="1573">
        <v>24786</v>
      </c>
      <c r="C3975" s="1566" t="s">
        <v>4952</v>
      </c>
      <c r="D3975" s="1566" t="s">
        <v>9205</v>
      </c>
      <c r="E3975" s="1566"/>
      <c r="F3975" s="1566"/>
      <c r="G3975" s="1566" t="s">
        <v>9204</v>
      </c>
      <c r="H3975" s="1568">
        <v>1</v>
      </c>
      <c r="I3975" s="1566"/>
      <c r="J3975" s="1566"/>
      <c r="K3975" s="1572">
        <v>620</v>
      </c>
      <c r="L3975" s="1565">
        <v>39350</v>
      </c>
      <c r="M3975" s="1564"/>
      <c r="N3975" s="1565">
        <v>39350</v>
      </c>
      <c r="O3975" s="1565">
        <v>5365.84</v>
      </c>
      <c r="P3975" s="1565">
        <v>32642.68</v>
      </c>
      <c r="Q3975" s="1565">
        <v>1341.48</v>
      </c>
      <c r="R3975" s="1565">
        <v>33984.160000000003</v>
      </c>
      <c r="S3975" s="1562"/>
    </row>
    <row r="3976" spans="2:19" ht="11.25" customHeight="1" outlineLevel="1">
      <c r="B3976" s="1573">
        <v>24787</v>
      </c>
      <c r="C3976" s="1566" t="s">
        <v>4952</v>
      </c>
      <c r="D3976" s="1566" t="s">
        <v>9203</v>
      </c>
      <c r="E3976" s="1566"/>
      <c r="F3976" s="1566"/>
      <c r="G3976" s="1566" t="s">
        <v>4973</v>
      </c>
      <c r="H3976" s="1568">
        <v>1</v>
      </c>
      <c r="I3976" s="1566"/>
      <c r="J3976" s="1566"/>
      <c r="K3976" s="1572">
        <v>236</v>
      </c>
      <c r="L3976" s="1565">
        <v>2597</v>
      </c>
      <c r="M3976" s="1564"/>
      <c r="N3976" s="1565">
        <v>2597</v>
      </c>
      <c r="O3976" s="1565">
        <v>1478.28</v>
      </c>
      <c r="P3976" s="1565">
        <v>1074.56</v>
      </c>
      <c r="Q3976" s="1572">
        <v>44.16</v>
      </c>
      <c r="R3976" s="1565">
        <v>1118.72</v>
      </c>
      <c r="S3976" s="1562"/>
    </row>
    <row r="3977" spans="2:19" ht="11.25" customHeight="1" outlineLevel="1">
      <c r="B3977" s="1573">
        <v>24788</v>
      </c>
      <c r="C3977" s="1566" t="s">
        <v>4952</v>
      </c>
      <c r="D3977" s="1566" t="s">
        <v>9202</v>
      </c>
      <c r="E3977" s="1566"/>
      <c r="F3977" s="1566"/>
      <c r="G3977" s="1566" t="s">
        <v>9201</v>
      </c>
      <c r="H3977" s="1568">
        <v>1</v>
      </c>
      <c r="I3977" s="1566"/>
      <c r="J3977" s="1566"/>
      <c r="K3977" s="1572">
        <v>236</v>
      </c>
      <c r="L3977" s="1565">
        <v>4675</v>
      </c>
      <c r="M3977" s="1564"/>
      <c r="N3977" s="1565">
        <v>4675</v>
      </c>
      <c r="O3977" s="1565">
        <v>2662.52</v>
      </c>
      <c r="P3977" s="1565">
        <v>1933.04</v>
      </c>
      <c r="Q3977" s="1572">
        <v>79.44</v>
      </c>
      <c r="R3977" s="1565">
        <v>2012.48</v>
      </c>
      <c r="S3977" s="1562"/>
    </row>
    <row r="3978" spans="2:19" ht="11.25" customHeight="1" outlineLevel="1">
      <c r="B3978" s="1573">
        <v>24789</v>
      </c>
      <c r="C3978" s="1566" t="s">
        <v>4952</v>
      </c>
      <c r="D3978" s="1566" t="s">
        <v>9200</v>
      </c>
      <c r="E3978" s="1566"/>
      <c r="F3978" s="1566"/>
      <c r="G3978" s="1566" t="s">
        <v>9199</v>
      </c>
      <c r="H3978" s="1568">
        <v>1</v>
      </c>
      <c r="I3978" s="1566"/>
      <c r="J3978" s="1566"/>
      <c r="K3978" s="1572">
        <v>236</v>
      </c>
      <c r="L3978" s="1565">
        <v>4675</v>
      </c>
      <c r="M3978" s="1564"/>
      <c r="N3978" s="1565">
        <v>4675</v>
      </c>
      <c r="O3978" s="1565">
        <v>2662.52</v>
      </c>
      <c r="P3978" s="1565">
        <v>1933.04</v>
      </c>
      <c r="Q3978" s="1572">
        <v>79.44</v>
      </c>
      <c r="R3978" s="1565">
        <v>2012.48</v>
      </c>
      <c r="S3978" s="1562"/>
    </row>
    <row r="3979" spans="2:19" ht="11.25" customHeight="1" outlineLevel="1">
      <c r="B3979" s="1573">
        <v>24790</v>
      </c>
      <c r="C3979" s="1566" t="s">
        <v>4952</v>
      </c>
      <c r="D3979" s="1566" t="s">
        <v>9198</v>
      </c>
      <c r="E3979" s="1566"/>
      <c r="F3979" s="1566"/>
      <c r="G3979" s="1566" t="s">
        <v>9197</v>
      </c>
      <c r="H3979" s="1568">
        <v>1</v>
      </c>
      <c r="I3979" s="1566"/>
      <c r="J3979" s="1566"/>
      <c r="K3979" s="1572">
        <v>106</v>
      </c>
      <c r="L3979" s="1565">
        <v>2765</v>
      </c>
      <c r="M3979" s="1564"/>
      <c r="N3979" s="1565">
        <v>2765</v>
      </c>
      <c r="O3979" s="1572">
        <v>454.84</v>
      </c>
      <c r="P3979" s="1565">
        <v>2219.1999999999998</v>
      </c>
      <c r="Q3979" s="1572">
        <v>90.96</v>
      </c>
      <c r="R3979" s="1565">
        <v>2310.16</v>
      </c>
      <c r="S3979" s="1562"/>
    </row>
    <row r="3980" spans="2:19" ht="11.25" customHeight="1" outlineLevel="1">
      <c r="B3980" s="1573">
        <v>24791</v>
      </c>
      <c r="C3980" s="1566" t="s">
        <v>4952</v>
      </c>
      <c r="D3980" s="1566" t="s">
        <v>9196</v>
      </c>
      <c r="E3980" s="1566"/>
      <c r="F3980" s="1566"/>
      <c r="G3980" s="1566" t="s">
        <v>9195</v>
      </c>
      <c r="H3980" s="1568">
        <v>1</v>
      </c>
      <c r="I3980" s="1566"/>
      <c r="J3980" s="1566"/>
      <c r="K3980" s="1572">
        <v>286</v>
      </c>
      <c r="L3980" s="1565">
        <v>5718</v>
      </c>
      <c r="M3980" s="1564"/>
      <c r="N3980" s="1565">
        <v>5718</v>
      </c>
      <c r="O3980" s="1565">
        <v>3255.6</v>
      </c>
      <c r="P3980" s="1565">
        <v>2365.1999999999998</v>
      </c>
      <c r="Q3980" s="1572">
        <v>97.2</v>
      </c>
      <c r="R3980" s="1565">
        <v>2462.4</v>
      </c>
      <c r="S3980" s="1562"/>
    </row>
    <row r="3981" spans="2:19" ht="11.25" customHeight="1" outlineLevel="1">
      <c r="B3981" s="1573">
        <v>24792</v>
      </c>
      <c r="C3981" s="1566" t="s">
        <v>4952</v>
      </c>
      <c r="D3981" s="1566" t="s">
        <v>9194</v>
      </c>
      <c r="E3981" s="1566"/>
      <c r="F3981" s="1566"/>
      <c r="G3981" s="1566" t="s">
        <v>9193</v>
      </c>
      <c r="H3981" s="1568">
        <v>1</v>
      </c>
      <c r="I3981" s="1566"/>
      <c r="J3981" s="1566"/>
      <c r="K3981" s="1572">
        <v>28</v>
      </c>
      <c r="L3981" s="1565">
        <v>1578</v>
      </c>
      <c r="M3981" s="1564"/>
      <c r="N3981" s="1565">
        <v>1578</v>
      </c>
      <c r="O3981" s="1572">
        <v>897.16</v>
      </c>
      <c r="P3981" s="1572">
        <v>654.08000000000004</v>
      </c>
      <c r="Q3981" s="1572">
        <v>26.76</v>
      </c>
      <c r="R3981" s="1572">
        <v>680.84</v>
      </c>
      <c r="S3981" s="1562"/>
    </row>
    <row r="3982" spans="2:19" ht="11.25" customHeight="1" outlineLevel="1">
      <c r="B3982" s="1573">
        <v>24793</v>
      </c>
      <c r="C3982" s="1566" t="s">
        <v>4952</v>
      </c>
      <c r="D3982" s="1566" t="s">
        <v>9192</v>
      </c>
      <c r="E3982" s="1566"/>
      <c r="F3982" s="1566"/>
      <c r="G3982" s="1566" t="s">
        <v>4959</v>
      </c>
      <c r="H3982" s="1568">
        <v>1</v>
      </c>
      <c r="I3982" s="1566"/>
      <c r="J3982" s="1566"/>
      <c r="K3982" s="1572">
        <v>351</v>
      </c>
      <c r="L3982" s="1565">
        <v>12119</v>
      </c>
      <c r="M3982" s="1564"/>
      <c r="N3982" s="1565">
        <v>12119</v>
      </c>
      <c r="O3982" s="1565">
        <v>6899.44</v>
      </c>
      <c r="P3982" s="1565">
        <v>5013.6400000000003</v>
      </c>
      <c r="Q3982" s="1572">
        <v>205.92</v>
      </c>
      <c r="R3982" s="1565">
        <v>5219.5600000000004</v>
      </c>
      <c r="S3982" s="1562"/>
    </row>
    <row r="3983" spans="2:19" ht="11.25" customHeight="1" outlineLevel="1">
      <c r="B3983" s="1573">
        <v>24794</v>
      </c>
      <c r="C3983" s="1566" t="s">
        <v>4952</v>
      </c>
      <c r="D3983" s="1566" t="s">
        <v>9191</v>
      </c>
      <c r="E3983" s="1566"/>
      <c r="F3983" s="1566"/>
      <c r="G3983" s="1566" t="s">
        <v>4956</v>
      </c>
      <c r="H3983" s="1568">
        <v>1</v>
      </c>
      <c r="I3983" s="1566"/>
      <c r="J3983" s="1566"/>
      <c r="K3983" s="1572">
        <v>236</v>
      </c>
      <c r="L3983" s="1565">
        <v>4723</v>
      </c>
      <c r="M3983" s="1564"/>
      <c r="N3983" s="1565">
        <v>4723</v>
      </c>
      <c r="O3983" s="1565">
        <v>2689.24</v>
      </c>
      <c r="P3983" s="1565">
        <v>1953.48</v>
      </c>
      <c r="Q3983" s="1572">
        <v>80.28</v>
      </c>
      <c r="R3983" s="1565">
        <v>2033.76</v>
      </c>
      <c r="S3983" s="1562"/>
    </row>
    <row r="3984" spans="2:19" ht="11.25" customHeight="1" outlineLevel="1">
      <c r="B3984" s="1573">
        <v>24854</v>
      </c>
      <c r="C3984" s="1566" t="s">
        <v>4924</v>
      </c>
      <c r="D3984" s="1566" t="s">
        <v>9190</v>
      </c>
      <c r="E3984" s="1566"/>
      <c r="F3984" s="1566"/>
      <c r="G3984" s="1566" t="s">
        <v>9189</v>
      </c>
      <c r="H3984" s="1568">
        <v>1</v>
      </c>
      <c r="I3984" s="1566"/>
      <c r="J3984" s="1566"/>
      <c r="K3984" s="1565">
        <v>1812</v>
      </c>
      <c r="L3984" s="1565">
        <v>33796</v>
      </c>
      <c r="M3984" s="1564"/>
      <c r="N3984" s="1565">
        <v>33796</v>
      </c>
      <c r="O3984" s="1565">
        <v>19291.39</v>
      </c>
      <c r="P3984" s="1565">
        <v>13930.17</v>
      </c>
      <c r="Q3984" s="1572">
        <v>574.44000000000005</v>
      </c>
      <c r="R3984" s="1565">
        <v>14504.61</v>
      </c>
      <c r="S3984" s="1562"/>
    </row>
    <row r="3985" spans="2:19" ht="11.25" customHeight="1" outlineLevel="1">
      <c r="B3985" s="1573">
        <v>24856</v>
      </c>
      <c r="C3985" s="1566" t="s">
        <v>4924</v>
      </c>
      <c r="D3985" s="1566" t="s">
        <v>9188</v>
      </c>
      <c r="E3985" s="1566"/>
      <c r="F3985" s="1566"/>
      <c r="G3985" s="1566" t="s">
        <v>9187</v>
      </c>
      <c r="H3985" s="1568">
        <v>1</v>
      </c>
      <c r="I3985" s="1566"/>
      <c r="J3985" s="1566"/>
      <c r="K3985" s="1572">
        <v>440</v>
      </c>
      <c r="L3985" s="1565">
        <v>383303</v>
      </c>
      <c r="M3985" s="1564"/>
      <c r="N3985" s="1565">
        <v>383303</v>
      </c>
      <c r="O3985" s="1565">
        <v>218798.24</v>
      </c>
      <c r="P3985" s="1565">
        <v>157989.72</v>
      </c>
      <c r="Q3985" s="1565">
        <v>6515.04</v>
      </c>
      <c r="R3985" s="1565">
        <v>164504.76</v>
      </c>
      <c r="S3985" s="1562"/>
    </row>
    <row r="3986" spans="2:19" ht="11.25" customHeight="1" outlineLevel="1">
      <c r="B3986" s="1573">
        <v>24861</v>
      </c>
      <c r="C3986" s="1566" t="s">
        <v>4924</v>
      </c>
      <c r="D3986" s="1566" t="s">
        <v>9186</v>
      </c>
      <c r="E3986" s="1566"/>
      <c r="F3986" s="1566"/>
      <c r="G3986" s="1566" t="s">
        <v>4944</v>
      </c>
      <c r="H3986" s="1568">
        <v>1</v>
      </c>
      <c r="I3986" s="1566"/>
      <c r="J3986" s="1566"/>
      <c r="K3986" s="1572">
        <v>286</v>
      </c>
      <c r="L3986" s="1565">
        <v>6433</v>
      </c>
      <c r="M3986" s="1564"/>
      <c r="N3986" s="1565">
        <v>6433</v>
      </c>
      <c r="O3986" s="1565">
        <v>3672.67</v>
      </c>
      <c r="P3986" s="1565">
        <v>2651.01</v>
      </c>
      <c r="Q3986" s="1572">
        <v>109.32</v>
      </c>
      <c r="R3986" s="1565">
        <v>2760.33</v>
      </c>
      <c r="S3986" s="1562"/>
    </row>
    <row r="3987" spans="2:19" ht="11.25" customHeight="1" outlineLevel="1">
      <c r="B3987" s="1573">
        <v>24862</v>
      </c>
      <c r="C3987" s="1566" t="s">
        <v>4924</v>
      </c>
      <c r="D3987" s="1566" t="s">
        <v>9185</v>
      </c>
      <c r="E3987" s="1566"/>
      <c r="F3987" s="1566"/>
      <c r="G3987" s="1566" t="s">
        <v>4942</v>
      </c>
      <c r="H3987" s="1568">
        <v>1</v>
      </c>
      <c r="I3987" s="1566"/>
      <c r="J3987" s="1566"/>
      <c r="K3987" s="1572">
        <v>286</v>
      </c>
      <c r="L3987" s="1565">
        <v>2973</v>
      </c>
      <c r="M3987" s="1564"/>
      <c r="N3987" s="1565">
        <v>2973</v>
      </c>
      <c r="O3987" s="1565">
        <v>1697.37</v>
      </c>
      <c r="P3987" s="1565">
        <v>1225.1099999999999</v>
      </c>
      <c r="Q3987" s="1572">
        <v>50.52</v>
      </c>
      <c r="R3987" s="1565">
        <v>1275.6300000000001</v>
      </c>
      <c r="S3987" s="1562"/>
    </row>
    <row r="3988" spans="2:19" ht="11.25" customHeight="1" outlineLevel="1">
      <c r="B3988" s="1573">
        <v>24868</v>
      </c>
      <c r="C3988" s="1566" t="s">
        <v>4924</v>
      </c>
      <c r="D3988" s="1566" t="s">
        <v>9184</v>
      </c>
      <c r="E3988" s="1566"/>
      <c r="F3988" s="1566"/>
      <c r="G3988" s="1566" t="s">
        <v>4940</v>
      </c>
      <c r="H3988" s="1568">
        <v>1</v>
      </c>
      <c r="I3988" s="1566"/>
      <c r="J3988" s="1566"/>
      <c r="K3988" s="1572">
        <v>311</v>
      </c>
      <c r="L3988" s="1565">
        <v>3113</v>
      </c>
      <c r="M3988" s="1564"/>
      <c r="N3988" s="1565">
        <v>3113</v>
      </c>
      <c r="O3988" s="1572">
        <v>676.64</v>
      </c>
      <c r="P3988" s="1565">
        <v>2339.64</v>
      </c>
      <c r="Q3988" s="1572">
        <v>96.72</v>
      </c>
      <c r="R3988" s="1565">
        <v>2436.36</v>
      </c>
      <c r="S3988" s="1562"/>
    </row>
    <row r="3989" spans="2:19" ht="11.25" customHeight="1" outlineLevel="1">
      <c r="B3989" s="1573">
        <v>24869</v>
      </c>
      <c r="C3989" s="1566" t="s">
        <v>4924</v>
      </c>
      <c r="D3989" s="1566" t="s">
        <v>9183</v>
      </c>
      <c r="E3989" s="1566"/>
      <c r="F3989" s="1566"/>
      <c r="G3989" s="1566" t="s">
        <v>4938</v>
      </c>
      <c r="H3989" s="1568">
        <v>1</v>
      </c>
      <c r="I3989" s="1566"/>
      <c r="J3989" s="1566"/>
      <c r="K3989" s="1572">
        <v>351</v>
      </c>
      <c r="L3989" s="1565">
        <v>6498</v>
      </c>
      <c r="M3989" s="1564"/>
      <c r="N3989" s="1565">
        <v>6498</v>
      </c>
      <c r="O3989" s="1565">
        <v>3710.28</v>
      </c>
      <c r="P3989" s="1565">
        <v>2677.2</v>
      </c>
      <c r="Q3989" s="1572">
        <v>110.52</v>
      </c>
      <c r="R3989" s="1565">
        <v>2787.72</v>
      </c>
      <c r="S3989" s="1562"/>
    </row>
    <row r="3990" spans="2:19" ht="11.25" customHeight="1" outlineLevel="1">
      <c r="B3990" s="1573">
        <v>24870</v>
      </c>
      <c r="C3990" s="1566" t="s">
        <v>4924</v>
      </c>
      <c r="D3990" s="1566" t="s">
        <v>9182</v>
      </c>
      <c r="E3990" s="1566"/>
      <c r="F3990" s="1566"/>
      <c r="G3990" s="1566" t="s">
        <v>4922</v>
      </c>
      <c r="H3990" s="1568">
        <v>1</v>
      </c>
      <c r="I3990" s="1566"/>
      <c r="J3990" s="1566"/>
      <c r="K3990" s="1572">
        <v>286</v>
      </c>
      <c r="L3990" s="1565">
        <v>8148</v>
      </c>
      <c r="M3990" s="1564"/>
      <c r="N3990" s="1565">
        <v>8148</v>
      </c>
      <c r="O3990" s="1565">
        <v>4651.38</v>
      </c>
      <c r="P3990" s="1565">
        <v>3358.14</v>
      </c>
      <c r="Q3990" s="1572">
        <v>138.47999999999999</v>
      </c>
      <c r="R3990" s="1565">
        <v>3496.62</v>
      </c>
      <c r="S3990" s="1562"/>
    </row>
    <row r="3991" spans="2:19" ht="11.25" customHeight="1" outlineLevel="1">
      <c r="B3991" s="1573">
        <v>24871</v>
      </c>
      <c r="C3991" s="1566" t="s">
        <v>4924</v>
      </c>
      <c r="D3991" s="1566" t="s">
        <v>9181</v>
      </c>
      <c r="E3991" s="1566"/>
      <c r="F3991" s="1566"/>
      <c r="G3991" s="1566" t="s">
        <v>9180</v>
      </c>
      <c r="H3991" s="1568">
        <v>1</v>
      </c>
      <c r="I3991" s="1566"/>
      <c r="J3991" s="1566"/>
      <c r="K3991" s="1572">
        <v>134</v>
      </c>
      <c r="L3991" s="1565">
        <v>5614</v>
      </c>
      <c r="M3991" s="1564"/>
      <c r="N3991" s="1565">
        <v>5614</v>
      </c>
      <c r="O3991" s="1565">
        <v>1217.5899999999999</v>
      </c>
      <c r="P3991" s="1565">
        <v>4222.41</v>
      </c>
      <c r="Q3991" s="1572">
        <v>174</v>
      </c>
      <c r="R3991" s="1565">
        <v>4396.41</v>
      </c>
      <c r="S3991" s="1562"/>
    </row>
    <row r="3992" spans="2:19" ht="11.25" customHeight="1" outlineLevel="1">
      <c r="B3992" s="1573">
        <v>24872</v>
      </c>
      <c r="C3992" s="1566" t="s">
        <v>4924</v>
      </c>
      <c r="D3992" s="1566" t="s">
        <v>9179</v>
      </c>
      <c r="E3992" s="1566"/>
      <c r="F3992" s="1566"/>
      <c r="G3992" s="1566" t="s">
        <v>9178</v>
      </c>
      <c r="H3992" s="1568">
        <v>1</v>
      </c>
      <c r="I3992" s="1566"/>
      <c r="J3992" s="1566"/>
      <c r="K3992" s="1572">
        <v>92</v>
      </c>
      <c r="L3992" s="1565">
        <v>3008</v>
      </c>
      <c r="M3992" s="1564"/>
      <c r="N3992" s="1565">
        <v>3008</v>
      </c>
      <c r="O3992" s="1565">
        <v>1717.22</v>
      </c>
      <c r="P3992" s="1565">
        <v>1239.6600000000001</v>
      </c>
      <c r="Q3992" s="1572">
        <v>51.12</v>
      </c>
      <c r="R3992" s="1565">
        <v>1290.78</v>
      </c>
      <c r="S3992" s="1562"/>
    </row>
    <row r="3993" spans="2:19" ht="11.25" customHeight="1" outlineLevel="1">
      <c r="B3993" s="1573">
        <v>24906</v>
      </c>
      <c r="C3993" s="1566" t="s">
        <v>4924</v>
      </c>
      <c r="D3993" s="1566" t="s">
        <v>9177</v>
      </c>
      <c r="E3993" s="1566"/>
      <c r="F3993" s="1566"/>
      <c r="G3993" s="1566" t="s">
        <v>4927</v>
      </c>
      <c r="H3993" s="1568">
        <v>1</v>
      </c>
      <c r="I3993" s="1566"/>
      <c r="J3993" s="1566"/>
      <c r="K3993" s="1565">
        <v>1919</v>
      </c>
      <c r="L3993" s="1565">
        <v>20628</v>
      </c>
      <c r="M3993" s="1564"/>
      <c r="N3993" s="1565">
        <v>20628</v>
      </c>
      <c r="O3993" s="1565">
        <v>4477.9799999999996</v>
      </c>
      <c r="P3993" s="1565">
        <v>15510.3</v>
      </c>
      <c r="Q3993" s="1572">
        <v>639.72</v>
      </c>
      <c r="R3993" s="1565">
        <v>16150.02</v>
      </c>
      <c r="S3993" s="1562"/>
    </row>
    <row r="3994" spans="2:19" ht="11.25" customHeight="1" outlineLevel="1">
      <c r="B3994" s="1573">
        <v>24907</v>
      </c>
      <c r="C3994" s="1566" t="s">
        <v>4924</v>
      </c>
      <c r="D3994" s="1566" t="s">
        <v>9176</v>
      </c>
      <c r="E3994" s="1566"/>
      <c r="F3994" s="1566"/>
      <c r="G3994" s="1566" t="s">
        <v>4925</v>
      </c>
      <c r="H3994" s="1568">
        <v>1</v>
      </c>
      <c r="I3994" s="1566"/>
      <c r="J3994" s="1566"/>
      <c r="K3994" s="1572">
        <v>6</v>
      </c>
      <c r="L3994" s="1572">
        <v>152</v>
      </c>
      <c r="M3994" s="1564"/>
      <c r="N3994" s="1572">
        <v>152</v>
      </c>
      <c r="O3994" s="1572">
        <v>85.46</v>
      </c>
      <c r="P3994" s="1572">
        <v>64.02</v>
      </c>
      <c r="Q3994" s="1572">
        <v>2.52</v>
      </c>
      <c r="R3994" s="1572">
        <v>66.540000000000006</v>
      </c>
      <c r="S3994" s="1562"/>
    </row>
    <row r="3995" spans="2:19" ht="11.25" customHeight="1" outlineLevel="1">
      <c r="B3995" s="1573">
        <v>24937</v>
      </c>
      <c r="C3995" s="1566" t="s">
        <v>4878</v>
      </c>
      <c r="D3995" s="1566" t="s">
        <v>9175</v>
      </c>
      <c r="E3995" s="1566"/>
      <c r="F3995" s="1566"/>
      <c r="G3995" s="1566" t="s">
        <v>4920</v>
      </c>
      <c r="H3995" s="1568">
        <v>1</v>
      </c>
      <c r="I3995" s="1566"/>
      <c r="J3995" s="1566"/>
      <c r="K3995" s="1572">
        <v>372</v>
      </c>
      <c r="L3995" s="1565">
        <v>11163</v>
      </c>
      <c r="M3995" s="1564"/>
      <c r="N3995" s="1565">
        <v>11163</v>
      </c>
      <c r="O3995" s="1565">
        <v>6388.38</v>
      </c>
      <c r="P3995" s="1565">
        <v>4584.8999999999996</v>
      </c>
      <c r="Q3995" s="1572">
        <v>189.72</v>
      </c>
      <c r="R3995" s="1565">
        <v>4774.62</v>
      </c>
      <c r="S3995" s="1562"/>
    </row>
    <row r="3996" spans="2:19" ht="11.25" customHeight="1" outlineLevel="1">
      <c r="B3996" s="1573">
        <v>24938</v>
      </c>
      <c r="C3996" s="1566" t="s">
        <v>4878</v>
      </c>
      <c r="D3996" s="1566" t="s">
        <v>9174</v>
      </c>
      <c r="E3996" s="1566"/>
      <c r="F3996" s="1566"/>
      <c r="G3996" s="1566" t="s">
        <v>4920</v>
      </c>
      <c r="H3996" s="1568">
        <v>1</v>
      </c>
      <c r="I3996" s="1566"/>
      <c r="J3996" s="1566"/>
      <c r="K3996" s="1572">
        <v>372</v>
      </c>
      <c r="L3996" s="1565">
        <v>9302</v>
      </c>
      <c r="M3996" s="1564"/>
      <c r="N3996" s="1565">
        <v>9302</v>
      </c>
      <c r="O3996" s="1565">
        <v>2023.92</v>
      </c>
      <c r="P3996" s="1565">
        <v>6989</v>
      </c>
      <c r="Q3996" s="1572">
        <v>289.08</v>
      </c>
      <c r="R3996" s="1565">
        <v>7278.08</v>
      </c>
      <c r="S3996" s="1562"/>
    </row>
    <row r="3997" spans="2:19" ht="11.25" customHeight="1" outlineLevel="1">
      <c r="B3997" s="1573">
        <v>24940</v>
      </c>
      <c r="C3997" s="1566" t="s">
        <v>4878</v>
      </c>
      <c r="D3997" s="1566" t="s">
        <v>9173</v>
      </c>
      <c r="E3997" s="1566"/>
      <c r="F3997" s="1566"/>
      <c r="G3997" s="1566" t="s">
        <v>4917</v>
      </c>
      <c r="H3997" s="1568">
        <v>1</v>
      </c>
      <c r="I3997" s="1566"/>
      <c r="J3997" s="1566"/>
      <c r="K3997" s="1572">
        <v>6</v>
      </c>
      <c r="L3997" s="1565">
        <v>5325398.6900000004</v>
      </c>
      <c r="M3997" s="1564"/>
      <c r="N3997" s="1565">
        <v>5325398.6900000004</v>
      </c>
      <c r="O3997" s="1565">
        <v>5059618.2300000004</v>
      </c>
      <c r="P3997" s="1565">
        <v>88767.62</v>
      </c>
      <c r="Q3997" s="1565">
        <v>177012.84</v>
      </c>
      <c r="R3997" s="1565">
        <v>265780.46000000002</v>
      </c>
      <c r="S3997" s="1562"/>
    </row>
    <row r="3998" spans="2:19" ht="11.25" customHeight="1" outlineLevel="1">
      <c r="B3998" s="1573">
        <v>24941</v>
      </c>
      <c r="C3998" s="1566" t="s">
        <v>4878</v>
      </c>
      <c r="D3998" s="1566" t="s">
        <v>9172</v>
      </c>
      <c r="E3998" s="1566"/>
      <c r="F3998" s="1566"/>
      <c r="G3998" s="1566" t="s">
        <v>9171</v>
      </c>
      <c r="H3998" s="1568">
        <v>1</v>
      </c>
      <c r="I3998" s="1566"/>
      <c r="J3998" s="1566"/>
      <c r="K3998" s="1572">
        <v>36</v>
      </c>
      <c r="L3998" s="1572">
        <v>36</v>
      </c>
      <c r="M3998" s="1564"/>
      <c r="N3998" s="1572">
        <v>36</v>
      </c>
      <c r="O3998" s="1572">
        <v>8.6999999999999993</v>
      </c>
      <c r="P3998" s="1572">
        <v>26.1</v>
      </c>
      <c r="Q3998" s="1572">
        <v>1.2</v>
      </c>
      <c r="R3998" s="1572">
        <v>27.3</v>
      </c>
      <c r="S3998" s="1562"/>
    </row>
    <row r="3999" spans="2:19" ht="11.25" customHeight="1" outlineLevel="1">
      <c r="B3999" s="1573">
        <v>24944</v>
      </c>
      <c r="C3999" s="1566" t="s">
        <v>4878</v>
      </c>
      <c r="D3999" s="1566" t="s">
        <v>9170</v>
      </c>
      <c r="E3999" s="1566"/>
      <c r="F3999" s="1566"/>
      <c r="G3999" s="1566" t="s">
        <v>9167</v>
      </c>
      <c r="H3999" s="1568">
        <v>1</v>
      </c>
      <c r="I3999" s="1566"/>
      <c r="J3999" s="1566"/>
      <c r="K3999" s="1572">
        <v>79</v>
      </c>
      <c r="L3999" s="1565">
        <v>3391</v>
      </c>
      <c r="M3999" s="1564"/>
      <c r="N3999" s="1565">
        <v>3391</v>
      </c>
      <c r="O3999" s="1565">
        <v>1941.28</v>
      </c>
      <c r="P3999" s="1565">
        <v>1392</v>
      </c>
      <c r="Q3999" s="1572">
        <v>57.72</v>
      </c>
      <c r="R3999" s="1565">
        <v>1449.72</v>
      </c>
      <c r="S3999" s="1562"/>
    </row>
    <row r="4000" spans="2:19" ht="11.25" customHeight="1" outlineLevel="1">
      <c r="B4000" s="1573">
        <v>24945</v>
      </c>
      <c r="C4000" s="1566" t="s">
        <v>4878</v>
      </c>
      <c r="D4000" s="1566" t="s">
        <v>9169</v>
      </c>
      <c r="E4000" s="1566"/>
      <c r="F4000" s="1566"/>
      <c r="G4000" s="1566" t="s">
        <v>4914</v>
      </c>
      <c r="H4000" s="1568">
        <v>1</v>
      </c>
      <c r="I4000" s="1566"/>
      <c r="J4000" s="1566"/>
      <c r="K4000" s="1572">
        <v>65</v>
      </c>
      <c r="L4000" s="1565">
        <v>2327</v>
      </c>
      <c r="M4000" s="1564"/>
      <c r="N4000" s="1565">
        <v>2327</v>
      </c>
      <c r="O4000" s="1565">
        <v>1330.52</v>
      </c>
      <c r="P4000" s="1572">
        <v>957</v>
      </c>
      <c r="Q4000" s="1572">
        <v>39.479999999999997</v>
      </c>
      <c r="R4000" s="1572">
        <v>996.48</v>
      </c>
      <c r="S4000" s="1562"/>
    </row>
    <row r="4001" spans="2:19" ht="11.25" customHeight="1" outlineLevel="1">
      <c r="B4001" s="1573">
        <v>24946</v>
      </c>
      <c r="C4001" s="1566" t="s">
        <v>4878</v>
      </c>
      <c r="D4001" s="1566" t="s">
        <v>9168</v>
      </c>
      <c r="E4001" s="1566"/>
      <c r="F4001" s="1566"/>
      <c r="G4001" s="1566" t="s">
        <v>9167</v>
      </c>
      <c r="H4001" s="1568">
        <v>1</v>
      </c>
      <c r="I4001" s="1566"/>
      <c r="J4001" s="1566"/>
      <c r="K4001" s="1572">
        <v>65</v>
      </c>
      <c r="L4001" s="1565">
        <v>2157</v>
      </c>
      <c r="M4001" s="1564"/>
      <c r="N4001" s="1565">
        <v>2157</v>
      </c>
      <c r="O4001" s="1565">
        <v>1233</v>
      </c>
      <c r="P4001" s="1572">
        <v>887.4</v>
      </c>
      <c r="Q4001" s="1572">
        <v>36.6</v>
      </c>
      <c r="R4001" s="1572">
        <v>924</v>
      </c>
      <c r="S4001" s="1562"/>
    </row>
    <row r="4002" spans="2:19" ht="11.25" customHeight="1" outlineLevel="1">
      <c r="B4002" s="1573">
        <v>24947</v>
      </c>
      <c r="C4002" s="1566" t="s">
        <v>4878</v>
      </c>
      <c r="D4002" s="1566" t="s">
        <v>9166</v>
      </c>
      <c r="E4002" s="1566"/>
      <c r="F4002" s="1566"/>
      <c r="G4002" s="1566" t="s">
        <v>9114</v>
      </c>
      <c r="H4002" s="1568">
        <v>1</v>
      </c>
      <c r="I4002" s="1566"/>
      <c r="J4002" s="1566"/>
      <c r="K4002" s="1572">
        <v>59</v>
      </c>
      <c r="L4002" s="1565">
        <v>2573</v>
      </c>
      <c r="M4002" s="1564"/>
      <c r="N4002" s="1565">
        <v>2573</v>
      </c>
      <c r="O4002" s="1565">
        <v>1473.6</v>
      </c>
      <c r="P4002" s="1565">
        <v>1055.5999999999999</v>
      </c>
      <c r="Q4002" s="1572">
        <v>43.8</v>
      </c>
      <c r="R4002" s="1565">
        <v>1099.4000000000001</v>
      </c>
      <c r="S4002" s="1562"/>
    </row>
    <row r="4003" spans="2:19" ht="11.25" customHeight="1" outlineLevel="1">
      <c r="B4003" s="1573">
        <v>24948</v>
      </c>
      <c r="C4003" s="1566" t="s">
        <v>4878</v>
      </c>
      <c r="D4003" s="1566" t="s">
        <v>9165</v>
      </c>
      <c r="E4003" s="1566"/>
      <c r="F4003" s="1566"/>
      <c r="G4003" s="1566" t="s">
        <v>9164</v>
      </c>
      <c r="H4003" s="1568">
        <v>1</v>
      </c>
      <c r="I4003" s="1566"/>
      <c r="J4003" s="1566"/>
      <c r="K4003" s="1572">
        <v>55</v>
      </c>
      <c r="L4003" s="1572">
        <v>658</v>
      </c>
      <c r="M4003" s="1564"/>
      <c r="N4003" s="1572">
        <v>658</v>
      </c>
      <c r="O4003" s="1572">
        <v>377.14</v>
      </c>
      <c r="P4003" s="1572">
        <v>269.7</v>
      </c>
      <c r="Q4003" s="1572">
        <v>11.16</v>
      </c>
      <c r="R4003" s="1572">
        <v>280.86</v>
      </c>
      <c r="S4003" s="1562"/>
    </row>
    <row r="4004" spans="2:19" ht="11.25" customHeight="1" outlineLevel="1">
      <c r="B4004" s="1573">
        <v>24954</v>
      </c>
      <c r="C4004" s="1566" t="s">
        <v>4878</v>
      </c>
      <c r="D4004" s="1566" t="s">
        <v>9163</v>
      </c>
      <c r="E4004" s="1566"/>
      <c r="F4004" s="1566"/>
      <c r="G4004" s="1566" t="s">
        <v>3664</v>
      </c>
      <c r="H4004" s="1568">
        <v>1</v>
      </c>
      <c r="I4004" s="1566"/>
      <c r="J4004" s="1566"/>
      <c r="K4004" s="1572">
        <v>175</v>
      </c>
      <c r="L4004" s="1565">
        <v>2602</v>
      </c>
      <c r="M4004" s="1564"/>
      <c r="N4004" s="1565">
        <v>2602</v>
      </c>
      <c r="O4004" s="1572">
        <v>500.2</v>
      </c>
      <c r="P4004" s="1565">
        <v>2018.4</v>
      </c>
      <c r="Q4004" s="1572">
        <v>83.4</v>
      </c>
      <c r="R4004" s="1565">
        <v>2101.8000000000002</v>
      </c>
      <c r="S4004" s="1562"/>
    </row>
    <row r="4005" spans="2:19" ht="11.25" customHeight="1" outlineLevel="1">
      <c r="B4005" s="1573">
        <v>24955</v>
      </c>
      <c r="C4005" s="1566" t="s">
        <v>4878</v>
      </c>
      <c r="D4005" s="1566" t="s">
        <v>9162</v>
      </c>
      <c r="E4005" s="1566"/>
      <c r="F4005" s="1566"/>
      <c r="G4005" s="1566" t="s">
        <v>3709</v>
      </c>
      <c r="H4005" s="1568">
        <v>1</v>
      </c>
      <c r="I4005" s="1566"/>
      <c r="J4005" s="1566"/>
      <c r="K4005" s="1572">
        <v>224</v>
      </c>
      <c r="L4005" s="1565">
        <v>37355</v>
      </c>
      <c r="M4005" s="1564"/>
      <c r="N4005" s="1565">
        <v>37355</v>
      </c>
      <c r="O4005" s="1565">
        <v>21376.18</v>
      </c>
      <c r="P4005" s="1565">
        <v>15343.9</v>
      </c>
      <c r="Q4005" s="1572">
        <v>634.91999999999996</v>
      </c>
      <c r="R4005" s="1565">
        <v>15978.82</v>
      </c>
      <c r="S4005" s="1562"/>
    </row>
    <row r="4006" spans="2:19" ht="11.25" customHeight="1" outlineLevel="1">
      <c r="B4006" s="1573">
        <v>24957</v>
      </c>
      <c r="C4006" s="1566" t="s">
        <v>4878</v>
      </c>
      <c r="D4006" s="1566" t="s">
        <v>9161</v>
      </c>
      <c r="E4006" s="1566"/>
      <c r="F4006" s="1566"/>
      <c r="G4006" s="1566" t="s">
        <v>4903</v>
      </c>
      <c r="H4006" s="1568">
        <v>1</v>
      </c>
      <c r="I4006" s="1566"/>
      <c r="J4006" s="1566"/>
      <c r="K4006" s="1572">
        <v>224</v>
      </c>
      <c r="L4006" s="1565">
        <v>5162</v>
      </c>
      <c r="M4006" s="1564"/>
      <c r="N4006" s="1565">
        <v>5162</v>
      </c>
      <c r="O4006" s="1565">
        <v>2954.38</v>
      </c>
      <c r="P4006" s="1565">
        <v>2119.9</v>
      </c>
      <c r="Q4006" s="1572">
        <v>87.72</v>
      </c>
      <c r="R4006" s="1565">
        <v>2207.62</v>
      </c>
      <c r="S4006" s="1562"/>
    </row>
    <row r="4007" spans="2:19" ht="11.25" customHeight="1" outlineLevel="1">
      <c r="B4007" s="1573">
        <v>24958</v>
      </c>
      <c r="C4007" s="1566" t="s">
        <v>4878</v>
      </c>
      <c r="D4007" s="1566" t="s">
        <v>9160</v>
      </c>
      <c r="E4007" s="1566"/>
      <c r="F4007" s="1566"/>
      <c r="G4007" s="1566" t="s">
        <v>4905</v>
      </c>
      <c r="H4007" s="1568">
        <v>1</v>
      </c>
      <c r="I4007" s="1566"/>
      <c r="J4007" s="1566"/>
      <c r="K4007" s="1572">
        <v>360</v>
      </c>
      <c r="L4007" s="1565">
        <v>19416</v>
      </c>
      <c r="M4007" s="1564"/>
      <c r="N4007" s="1565">
        <v>19416</v>
      </c>
      <c r="O4007" s="1565">
        <v>11111</v>
      </c>
      <c r="P4007" s="1565">
        <v>7975</v>
      </c>
      <c r="Q4007" s="1572">
        <v>330</v>
      </c>
      <c r="R4007" s="1565">
        <v>8305</v>
      </c>
      <c r="S4007" s="1562"/>
    </row>
    <row r="4008" spans="2:19" ht="11.25" customHeight="1" outlineLevel="1">
      <c r="B4008" s="1573">
        <v>24959</v>
      </c>
      <c r="C4008" s="1566" t="s">
        <v>4878</v>
      </c>
      <c r="D4008" s="1566" t="s">
        <v>9159</v>
      </c>
      <c r="E4008" s="1566"/>
      <c r="F4008" s="1566"/>
      <c r="G4008" s="1566" t="s">
        <v>4905</v>
      </c>
      <c r="H4008" s="1568">
        <v>1</v>
      </c>
      <c r="I4008" s="1566"/>
      <c r="J4008" s="1566"/>
      <c r="K4008" s="1572">
        <v>224</v>
      </c>
      <c r="L4008" s="1565">
        <v>4937</v>
      </c>
      <c r="M4008" s="1564"/>
      <c r="N4008" s="1565">
        <v>4937</v>
      </c>
      <c r="O4008" s="1565">
        <v>2825.98</v>
      </c>
      <c r="P4008" s="1565">
        <v>2027.1</v>
      </c>
      <c r="Q4008" s="1572">
        <v>83.92</v>
      </c>
      <c r="R4008" s="1565">
        <v>2111.02</v>
      </c>
      <c r="S4008" s="1562"/>
    </row>
    <row r="4009" spans="2:19" ht="11.25" customHeight="1" outlineLevel="1">
      <c r="B4009" s="1573">
        <v>24960</v>
      </c>
      <c r="C4009" s="1566" t="s">
        <v>4878</v>
      </c>
      <c r="D4009" s="1566" t="s">
        <v>9158</v>
      </c>
      <c r="E4009" s="1566"/>
      <c r="F4009" s="1566"/>
      <c r="G4009" s="1566" t="s">
        <v>4885</v>
      </c>
      <c r="H4009" s="1568">
        <v>1</v>
      </c>
      <c r="I4009" s="1566"/>
      <c r="J4009" s="1566"/>
      <c r="K4009" s="1572">
        <v>268</v>
      </c>
      <c r="L4009" s="1565">
        <v>29919</v>
      </c>
      <c r="M4009" s="1564"/>
      <c r="N4009" s="1565">
        <v>29919</v>
      </c>
      <c r="O4009" s="1565">
        <v>17120.240000000002</v>
      </c>
      <c r="P4009" s="1565">
        <v>12290.2</v>
      </c>
      <c r="Q4009" s="1572">
        <v>508.56</v>
      </c>
      <c r="R4009" s="1565">
        <v>12798.76</v>
      </c>
      <c r="S4009" s="1562"/>
    </row>
    <row r="4010" spans="2:19" ht="11.25" customHeight="1" outlineLevel="1">
      <c r="B4010" s="1573">
        <v>24961</v>
      </c>
      <c r="C4010" s="1566" t="s">
        <v>4878</v>
      </c>
      <c r="D4010" s="1566" t="s">
        <v>9157</v>
      </c>
      <c r="E4010" s="1566"/>
      <c r="F4010" s="1566"/>
      <c r="G4010" s="1566" t="s">
        <v>4885</v>
      </c>
      <c r="H4010" s="1568">
        <v>1</v>
      </c>
      <c r="I4010" s="1566"/>
      <c r="J4010" s="1566"/>
      <c r="K4010" s="1572">
        <v>224</v>
      </c>
      <c r="L4010" s="1565">
        <v>5611</v>
      </c>
      <c r="M4010" s="1564"/>
      <c r="N4010" s="1565">
        <v>5611</v>
      </c>
      <c r="O4010" s="1565">
        <v>3210.1</v>
      </c>
      <c r="P4010" s="1565">
        <v>2305.5</v>
      </c>
      <c r="Q4010" s="1572">
        <v>95.4</v>
      </c>
      <c r="R4010" s="1565">
        <v>2400.9</v>
      </c>
      <c r="S4010" s="1562"/>
    </row>
    <row r="4011" spans="2:19" ht="11.25" customHeight="1" outlineLevel="1">
      <c r="B4011" s="1573">
        <v>24962</v>
      </c>
      <c r="C4011" s="1566" t="s">
        <v>4878</v>
      </c>
      <c r="D4011" s="1566" t="s">
        <v>9156</v>
      </c>
      <c r="E4011" s="1566"/>
      <c r="F4011" s="1566"/>
      <c r="G4011" s="1566" t="s">
        <v>9155</v>
      </c>
      <c r="H4011" s="1568">
        <v>1</v>
      </c>
      <c r="I4011" s="1566"/>
      <c r="J4011" s="1566"/>
      <c r="K4011" s="1572">
        <v>160</v>
      </c>
      <c r="L4011" s="1565">
        <v>3601</v>
      </c>
      <c r="M4011" s="1564"/>
      <c r="N4011" s="1565">
        <v>3601</v>
      </c>
      <c r="O4011" s="1572">
        <v>783.34</v>
      </c>
      <c r="P4011" s="1565">
        <v>2705.7</v>
      </c>
      <c r="Q4011" s="1572">
        <v>111.96</v>
      </c>
      <c r="R4011" s="1565">
        <v>2817.66</v>
      </c>
      <c r="S4011" s="1562"/>
    </row>
    <row r="4012" spans="2:19" ht="11.25" customHeight="1" outlineLevel="1">
      <c r="B4012" s="1573">
        <v>24963</v>
      </c>
      <c r="C4012" s="1566" t="s">
        <v>4878</v>
      </c>
      <c r="D4012" s="1566" t="s">
        <v>9154</v>
      </c>
      <c r="E4012" s="1566"/>
      <c r="F4012" s="1566"/>
      <c r="G4012" s="1566" t="s">
        <v>4899</v>
      </c>
      <c r="H4012" s="1568">
        <v>1</v>
      </c>
      <c r="I4012" s="1566"/>
      <c r="J4012" s="1566"/>
      <c r="K4012" s="1572">
        <v>224</v>
      </c>
      <c r="L4012" s="1565">
        <v>5162</v>
      </c>
      <c r="M4012" s="1564"/>
      <c r="N4012" s="1565">
        <v>5162</v>
      </c>
      <c r="O4012" s="1565">
        <v>2954.38</v>
      </c>
      <c r="P4012" s="1565">
        <v>2119.9</v>
      </c>
      <c r="Q4012" s="1572">
        <v>87.72</v>
      </c>
      <c r="R4012" s="1565">
        <v>2207.62</v>
      </c>
      <c r="S4012" s="1562"/>
    </row>
    <row r="4013" spans="2:19" ht="11.25" customHeight="1" outlineLevel="1">
      <c r="B4013" s="1573">
        <v>24964</v>
      </c>
      <c r="C4013" s="1566" t="s">
        <v>4878</v>
      </c>
      <c r="D4013" s="1566" t="s">
        <v>9153</v>
      </c>
      <c r="E4013" s="1566"/>
      <c r="F4013" s="1566"/>
      <c r="G4013" s="1566" t="s">
        <v>4893</v>
      </c>
      <c r="H4013" s="1568">
        <v>1</v>
      </c>
      <c r="I4013" s="1566"/>
      <c r="J4013" s="1566"/>
      <c r="K4013" s="1572">
        <v>224</v>
      </c>
      <c r="L4013" s="1565">
        <v>5094</v>
      </c>
      <c r="M4013" s="1564"/>
      <c r="N4013" s="1565">
        <v>5094</v>
      </c>
      <c r="O4013" s="1565">
        <v>2913.68</v>
      </c>
      <c r="P4013" s="1565">
        <v>2093.8000000000002</v>
      </c>
      <c r="Q4013" s="1572">
        <v>86.52</v>
      </c>
      <c r="R4013" s="1565">
        <v>2180.3200000000002</v>
      </c>
      <c r="S4013" s="1562"/>
    </row>
    <row r="4014" spans="2:19" ht="11.25" customHeight="1" outlineLevel="1">
      <c r="B4014" s="1573">
        <v>24965</v>
      </c>
      <c r="C4014" s="1566" t="s">
        <v>4878</v>
      </c>
      <c r="D4014" s="1566" t="s">
        <v>9152</v>
      </c>
      <c r="E4014" s="1566"/>
      <c r="F4014" s="1566"/>
      <c r="G4014" s="1566" t="s">
        <v>4897</v>
      </c>
      <c r="H4014" s="1568">
        <v>1</v>
      </c>
      <c r="I4014" s="1566"/>
      <c r="J4014" s="1566"/>
      <c r="K4014" s="1572">
        <v>224</v>
      </c>
      <c r="L4014" s="1565">
        <v>2693</v>
      </c>
      <c r="M4014" s="1564"/>
      <c r="N4014" s="1565">
        <v>2693</v>
      </c>
      <c r="O4014" s="1565">
        <v>1542.26</v>
      </c>
      <c r="P4014" s="1565">
        <v>1104.9000000000001</v>
      </c>
      <c r="Q4014" s="1572">
        <v>45.84</v>
      </c>
      <c r="R4014" s="1565">
        <v>1150.74</v>
      </c>
      <c r="S4014" s="1562"/>
    </row>
    <row r="4015" spans="2:19" ht="11.25" customHeight="1" outlineLevel="1">
      <c r="B4015" s="1573">
        <v>24966</v>
      </c>
      <c r="C4015" s="1566" t="s">
        <v>4878</v>
      </c>
      <c r="D4015" s="1566" t="s">
        <v>9151</v>
      </c>
      <c r="E4015" s="1566"/>
      <c r="F4015" s="1566"/>
      <c r="G4015" s="1566" t="s">
        <v>4891</v>
      </c>
      <c r="H4015" s="1568">
        <v>1</v>
      </c>
      <c r="I4015" s="1566"/>
      <c r="J4015" s="1566"/>
      <c r="K4015" s="1572">
        <v>224</v>
      </c>
      <c r="L4015" s="1565">
        <v>4870</v>
      </c>
      <c r="M4015" s="1564"/>
      <c r="N4015" s="1565">
        <v>4870</v>
      </c>
      <c r="O4015" s="1565">
        <v>2786.2</v>
      </c>
      <c r="P4015" s="1565">
        <v>2001</v>
      </c>
      <c r="Q4015" s="1572">
        <v>82.8</v>
      </c>
      <c r="R4015" s="1565">
        <v>2083.8000000000002</v>
      </c>
      <c r="S4015" s="1562"/>
    </row>
    <row r="4016" spans="2:19" ht="11.25" customHeight="1" outlineLevel="1">
      <c r="B4016" s="1573">
        <v>24967</v>
      </c>
      <c r="C4016" s="1566" t="s">
        <v>4878</v>
      </c>
      <c r="D4016" s="1566" t="s">
        <v>9150</v>
      </c>
      <c r="E4016" s="1566"/>
      <c r="F4016" s="1566"/>
      <c r="G4016" s="1566" t="s">
        <v>4891</v>
      </c>
      <c r="H4016" s="1568">
        <v>1</v>
      </c>
      <c r="I4016" s="1566"/>
      <c r="J4016" s="1566"/>
      <c r="K4016" s="1572">
        <v>470</v>
      </c>
      <c r="L4016" s="1565">
        <v>15981</v>
      </c>
      <c r="M4016" s="1564"/>
      <c r="N4016" s="1565">
        <v>15981</v>
      </c>
      <c r="O4016" s="1565">
        <v>9143.84</v>
      </c>
      <c r="P4016" s="1565">
        <v>6565.6</v>
      </c>
      <c r="Q4016" s="1572">
        <v>271.56</v>
      </c>
      <c r="R4016" s="1565">
        <v>6837.16</v>
      </c>
      <c r="S4016" s="1562"/>
    </row>
    <row r="4017" spans="2:19" ht="11.25" customHeight="1" outlineLevel="1">
      <c r="B4017" s="1573">
        <v>24968</v>
      </c>
      <c r="C4017" s="1566" t="s">
        <v>4878</v>
      </c>
      <c r="D4017" s="1566" t="s">
        <v>9149</v>
      </c>
      <c r="E4017" s="1566"/>
      <c r="F4017" s="1566"/>
      <c r="G4017" s="1566" t="s">
        <v>4889</v>
      </c>
      <c r="H4017" s="1568">
        <v>1</v>
      </c>
      <c r="I4017" s="1566"/>
      <c r="J4017" s="1566"/>
      <c r="K4017" s="1572">
        <v>160</v>
      </c>
      <c r="L4017" s="1565">
        <v>1040</v>
      </c>
      <c r="M4017" s="1564"/>
      <c r="N4017" s="1565">
        <v>1040</v>
      </c>
      <c r="O4017" s="1572">
        <v>227.38</v>
      </c>
      <c r="P4017" s="1572">
        <v>780.1</v>
      </c>
      <c r="Q4017" s="1572">
        <v>32.520000000000003</v>
      </c>
      <c r="R4017" s="1572">
        <v>812.62</v>
      </c>
      <c r="S4017" s="1562"/>
    </row>
    <row r="4018" spans="2:19" ht="11.25" customHeight="1" outlineLevel="1">
      <c r="B4018" s="1573">
        <v>24969</v>
      </c>
      <c r="C4018" s="1566" t="s">
        <v>4878</v>
      </c>
      <c r="D4018" s="1566" t="s">
        <v>9148</v>
      </c>
      <c r="E4018" s="1566"/>
      <c r="F4018" s="1566"/>
      <c r="G4018" s="1566" t="s">
        <v>4889</v>
      </c>
      <c r="H4018" s="1568">
        <v>1</v>
      </c>
      <c r="I4018" s="1566"/>
      <c r="J4018" s="1566"/>
      <c r="K4018" s="1572">
        <v>426</v>
      </c>
      <c r="L4018" s="1565">
        <v>49463</v>
      </c>
      <c r="M4018" s="1564"/>
      <c r="N4018" s="1565">
        <v>49463</v>
      </c>
      <c r="O4018" s="1565">
        <v>28304.880000000001</v>
      </c>
      <c r="P4018" s="1565">
        <v>20317.400000000001</v>
      </c>
      <c r="Q4018" s="1572">
        <v>840.72</v>
      </c>
      <c r="R4018" s="1565">
        <v>21158.12</v>
      </c>
      <c r="S4018" s="1562"/>
    </row>
    <row r="4019" spans="2:19" ht="11.25" customHeight="1" outlineLevel="1">
      <c r="B4019" s="1573">
        <v>24970</v>
      </c>
      <c r="C4019" s="1566" t="s">
        <v>4878</v>
      </c>
      <c r="D4019" s="1566" t="s">
        <v>9147</v>
      </c>
      <c r="E4019" s="1566"/>
      <c r="F4019" s="1566"/>
      <c r="G4019" s="1566" t="s">
        <v>4895</v>
      </c>
      <c r="H4019" s="1568">
        <v>1</v>
      </c>
      <c r="I4019" s="1566"/>
      <c r="J4019" s="1566"/>
      <c r="K4019" s="1572">
        <v>224</v>
      </c>
      <c r="L4019" s="1565">
        <v>6418</v>
      </c>
      <c r="M4019" s="1564"/>
      <c r="N4019" s="1565">
        <v>6418</v>
      </c>
      <c r="O4019" s="1565">
        <v>3672.82</v>
      </c>
      <c r="P4019" s="1565">
        <v>2636.1</v>
      </c>
      <c r="Q4019" s="1572">
        <v>109.08</v>
      </c>
      <c r="R4019" s="1565">
        <v>2745.18</v>
      </c>
      <c r="S4019" s="1562"/>
    </row>
    <row r="4020" spans="2:19" ht="11.25" customHeight="1" outlineLevel="1">
      <c r="B4020" s="1573">
        <v>24971</v>
      </c>
      <c r="C4020" s="1566" t="s">
        <v>4878</v>
      </c>
      <c r="D4020" s="1566" t="s">
        <v>9146</v>
      </c>
      <c r="E4020" s="1566"/>
      <c r="F4020" s="1566"/>
      <c r="G4020" s="1566" t="s">
        <v>4887</v>
      </c>
      <c r="H4020" s="1568">
        <v>1</v>
      </c>
      <c r="I4020" s="1566"/>
      <c r="J4020" s="1566"/>
      <c r="K4020" s="1572">
        <v>224</v>
      </c>
      <c r="L4020" s="1565">
        <v>1571</v>
      </c>
      <c r="M4020" s="1564"/>
      <c r="N4020" s="1565">
        <v>1571</v>
      </c>
      <c r="O4020" s="1572">
        <v>897.66</v>
      </c>
      <c r="P4020" s="1572">
        <v>646.70000000000005</v>
      </c>
      <c r="Q4020" s="1572">
        <v>26.64</v>
      </c>
      <c r="R4020" s="1572">
        <v>673.34</v>
      </c>
      <c r="S4020" s="1562"/>
    </row>
    <row r="4021" spans="2:19" ht="11.25" customHeight="1" outlineLevel="1">
      <c r="B4021" s="1573">
        <v>24972</v>
      </c>
      <c r="C4021" s="1566" t="s">
        <v>4878</v>
      </c>
      <c r="D4021" s="1566" t="s">
        <v>9145</v>
      </c>
      <c r="E4021" s="1566"/>
      <c r="F4021" s="1566"/>
      <c r="G4021" s="1566" t="s">
        <v>9144</v>
      </c>
      <c r="H4021" s="1568">
        <v>1</v>
      </c>
      <c r="I4021" s="1566"/>
      <c r="J4021" s="1566"/>
      <c r="K4021" s="1572">
        <v>175</v>
      </c>
      <c r="L4021" s="1565">
        <v>2533</v>
      </c>
      <c r="M4021" s="1564"/>
      <c r="N4021" s="1565">
        <v>2533</v>
      </c>
      <c r="O4021" s="1572">
        <v>551.76</v>
      </c>
      <c r="P4021" s="1565">
        <v>1902.4</v>
      </c>
      <c r="Q4021" s="1572">
        <v>78.84</v>
      </c>
      <c r="R4021" s="1565">
        <v>1981.24</v>
      </c>
      <c r="S4021" s="1562"/>
    </row>
    <row r="4022" spans="2:19" ht="11.25" customHeight="1" outlineLevel="1">
      <c r="B4022" s="1573">
        <v>24973</v>
      </c>
      <c r="C4022" s="1566" t="s">
        <v>4878</v>
      </c>
      <c r="D4022" s="1566" t="s">
        <v>9143</v>
      </c>
      <c r="E4022" s="1566"/>
      <c r="F4022" s="1566"/>
      <c r="G4022" s="1566" t="s">
        <v>4901</v>
      </c>
      <c r="H4022" s="1568">
        <v>1</v>
      </c>
      <c r="I4022" s="1566"/>
      <c r="J4022" s="1566"/>
      <c r="K4022" s="1572">
        <v>160</v>
      </c>
      <c r="L4022" s="1565">
        <v>5281</v>
      </c>
      <c r="M4022" s="1564"/>
      <c r="N4022" s="1565">
        <v>5281</v>
      </c>
      <c r="O4022" s="1565">
        <v>1016.76</v>
      </c>
      <c r="P4022" s="1565">
        <v>4094.8</v>
      </c>
      <c r="Q4022" s="1572">
        <v>169.44</v>
      </c>
      <c r="R4022" s="1565">
        <v>4264.24</v>
      </c>
      <c r="S4022" s="1562"/>
    </row>
    <row r="4023" spans="2:19" ht="11.25" customHeight="1" outlineLevel="1">
      <c r="B4023" s="1573">
        <v>24986</v>
      </c>
      <c r="C4023" s="1566" t="s">
        <v>4878</v>
      </c>
      <c r="D4023" s="1566" t="s">
        <v>9142</v>
      </c>
      <c r="E4023" s="1566"/>
      <c r="F4023" s="1566"/>
      <c r="G4023" s="1566" t="s">
        <v>9141</v>
      </c>
      <c r="H4023" s="1568">
        <v>1</v>
      </c>
      <c r="I4023" s="1566"/>
      <c r="J4023" s="1566"/>
      <c r="K4023" s="1572">
        <v>175</v>
      </c>
      <c r="L4023" s="1565">
        <v>3493</v>
      </c>
      <c r="M4023" s="1564"/>
      <c r="N4023" s="1565">
        <v>3493</v>
      </c>
      <c r="O4023" s="1572">
        <v>672.32</v>
      </c>
      <c r="P4023" s="1565">
        <v>2708.6</v>
      </c>
      <c r="Q4023" s="1572">
        <v>112.08</v>
      </c>
      <c r="R4023" s="1565">
        <v>2820.68</v>
      </c>
      <c r="S4023" s="1562"/>
    </row>
    <row r="4024" spans="2:19" ht="11.25" customHeight="1" outlineLevel="1">
      <c r="B4024" s="1573">
        <v>24987</v>
      </c>
      <c r="C4024" s="1566" t="s">
        <v>4878</v>
      </c>
      <c r="D4024" s="1566" t="s">
        <v>9140</v>
      </c>
      <c r="E4024" s="1566"/>
      <c r="F4024" s="1566"/>
      <c r="G4024" s="1566" t="s">
        <v>4881</v>
      </c>
      <c r="H4024" s="1568">
        <v>1</v>
      </c>
      <c r="I4024" s="1566"/>
      <c r="J4024" s="1566"/>
      <c r="K4024" s="1572">
        <v>326</v>
      </c>
      <c r="L4024" s="1565">
        <v>21158</v>
      </c>
      <c r="M4024" s="1564"/>
      <c r="N4024" s="1565">
        <v>21158</v>
      </c>
      <c r="O4024" s="1565">
        <v>4073.74</v>
      </c>
      <c r="P4024" s="1565">
        <v>16405.3</v>
      </c>
      <c r="Q4024" s="1572">
        <v>678.96</v>
      </c>
      <c r="R4024" s="1565">
        <v>17084.259999999998</v>
      </c>
      <c r="S4024" s="1562"/>
    </row>
    <row r="4025" spans="2:19" ht="11.25" customHeight="1" outlineLevel="1">
      <c r="B4025" s="1573">
        <v>24988</v>
      </c>
      <c r="C4025" s="1566" t="s">
        <v>4878</v>
      </c>
      <c r="D4025" s="1566" t="s">
        <v>9139</v>
      </c>
      <c r="E4025" s="1566"/>
      <c r="F4025" s="1566"/>
      <c r="G4025" s="1566" t="s">
        <v>4881</v>
      </c>
      <c r="H4025" s="1568">
        <v>1</v>
      </c>
      <c r="I4025" s="1566"/>
      <c r="J4025" s="1566"/>
      <c r="K4025" s="1572">
        <v>224</v>
      </c>
      <c r="L4025" s="1565">
        <v>3479</v>
      </c>
      <c r="M4025" s="1564"/>
      <c r="N4025" s="1565">
        <v>3479</v>
      </c>
      <c r="O4025" s="1565">
        <v>1990.14</v>
      </c>
      <c r="P4025" s="1565">
        <v>1429.7</v>
      </c>
      <c r="Q4025" s="1572">
        <v>59.16</v>
      </c>
      <c r="R4025" s="1565">
        <v>1488.86</v>
      </c>
      <c r="S4025" s="1562"/>
    </row>
    <row r="4026" spans="2:19" ht="11.25" customHeight="1" outlineLevel="1">
      <c r="B4026" s="1573">
        <v>24989</v>
      </c>
      <c r="C4026" s="1566" t="s">
        <v>4878</v>
      </c>
      <c r="D4026" s="1566" t="s">
        <v>9138</v>
      </c>
      <c r="E4026" s="1566"/>
      <c r="F4026" s="1566"/>
      <c r="G4026" s="1566" t="s">
        <v>9137</v>
      </c>
      <c r="H4026" s="1568">
        <v>1</v>
      </c>
      <c r="I4026" s="1566"/>
      <c r="J4026" s="1566"/>
      <c r="K4026" s="1572">
        <v>885</v>
      </c>
      <c r="L4026" s="1565">
        <v>121779</v>
      </c>
      <c r="M4026" s="1564"/>
      <c r="N4026" s="1565">
        <v>121779</v>
      </c>
      <c r="O4026" s="1565">
        <v>20183.419999999998</v>
      </c>
      <c r="P4026" s="1565">
        <v>97558.9</v>
      </c>
      <c r="Q4026" s="1565">
        <v>4036.68</v>
      </c>
      <c r="R4026" s="1565">
        <v>101595.58</v>
      </c>
      <c r="S4026" s="1562"/>
    </row>
    <row r="4027" spans="2:19" ht="11.25" customHeight="1" outlineLevel="1">
      <c r="B4027" s="1573">
        <v>24990</v>
      </c>
      <c r="C4027" s="1566" t="s">
        <v>4878</v>
      </c>
      <c r="D4027" s="1566" t="s">
        <v>9136</v>
      </c>
      <c r="E4027" s="1566"/>
      <c r="F4027" s="1566"/>
      <c r="G4027" s="1566" t="s">
        <v>9135</v>
      </c>
      <c r="H4027" s="1568">
        <v>1</v>
      </c>
      <c r="I4027" s="1566"/>
      <c r="J4027" s="1566"/>
      <c r="K4027" s="1572">
        <v>450</v>
      </c>
      <c r="L4027" s="1565">
        <v>6750</v>
      </c>
      <c r="M4027" s="1564"/>
      <c r="N4027" s="1565">
        <v>6750</v>
      </c>
      <c r="O4027" s="1565">
        <v>1117.94</v>
      </c>
      <c r="P4027" s="1565">
        <v>5408.5</v>
      </c>
      <c r="Q4027" s="1572">
        <v>223.56</v>
      </c>
      <c r="R4027" s="1565">
        <v>5632.06</v>
      </c>
      <c r="S4027" s="1562"/>
    </row>
    <row r="4028" spans="2:19" ht="11.25" customHeight="1" outlineLevel="1">
      <c r="B4028" s="1573">
        <v>24991</v>
      </c>
      <c r="C4028" s="1566" t="s">
        <v>4878</v>
      </c>
      <c r="D4028" s="1566" t="s">
        <v>9134</v>
      </c>
      <c r="E4028" s="1566"/>
      <c r="F4028" s="1566"/>
      <c r="G4028" s="1566" t="s">
        <v>9132</v>
      </c>
      <c r="H4028" s="1568">
        <v>1</v>
      </c>
      <c r="I4028" s="1566"/>
      <c r="J4028" s="1566"/>
      <c r="K4028" s="1565">
        <v>1005</v>
      </c>
      <c r="L4028" s="1565">
        <v>36192</v>
      </c>
      <c r="M4028" s="1564"/>
      <c r="N4028" s="1565">
        <v>36192</v>
      </c>
      <c r="O4028" s="1565">
        <v>5998.16</v>
      </c>
      <c r="P4028" s="1565">
        <v>28994.2</v>
      </c>
      <c r="Q4028" s="1565">
        <v>1199.6400000000001</v>
      </c>
      <c r="R4028" s="1565">
        <v>30193.84</v>
      </c>
      <c r="S4028" s="1562"/>
    </row>
    <row r="4029" spans="2:19" ht="11.25" customHeight="1" outlineLevel="1">
      <c r="B4029" s="1573">
        <v>24992</v>
      </c>
      <c r="C4029" s="1566" t="s">
        <v>4878</v>
      </c>
      <c r="D4029" s="1566" t="s">
        <v>9133</v>
      </c>
      <c r="E4029" s="1566"/>
      <c r="F4029" s="1566"/>
      <c r="G4029" s="1566" t="s">
        <v>9132</v>
      </c>
      <c r="H4029" s="1568">
        <v>1</v>
      </c>
      <c r="I4029" s="1566"/>
      <c r="J4029" s="1566"/>
      <c r="K4029" s="1572">
        <v>450</v>
      </c>
      <c r="L4029" s="1565">
        <v>6750</v>
      </c>
      <c r="M4029" s="1564"/>
      <c r="N4029" s="1565">
        <v>6750</v>
      </c>
      <c r="O4029" s="1565">
        <v>1117.94</v>
      </c>
      <c r="P4029" s="1565">
        <v>5408.5</v>
      </c>
      <c r="Q4029" s="1572">
        <v>223.56</v>
      </c>
      <c r="R4029" s="1565">
        <v>5632.06</v>
      </c>
      <c r="S4029" s="1562"/>
    </row>
    <row r="4030" spans="2:19" ht="11.25" customHeight="1" outlineLevel="1">
      <c r="B4030" s="1573">
        <v>24993</v>
      </c>
      <c r="C4030" s="1566" t="s">
        <v>4878</v>
      </c>
      <c r="D4030" s="1566" t="s">
        <v>9131</v>
      </c>
      <c r="E4030" s="1566"/>
      <c r="F4030" s="1566"/>
      <c r="G4030" s="1566" t="s">
        <v>9130</v>
      </c>
      <c r="H4030" s="1568">
        <v>1</v>
      </c>
      <c r="I4030" s="1566"/>
      <c r="J4030" s="1566"/>
      <c r="K4030" s="1572">
        <v>175</v>
      </c>
      <c r="L4030" s="1565">
        <v>19789</v>
      </c>
      <c r="M4030" s="1564"/>
      <c r="N4030" s="1565">
        <v>19789</v>
      </c>
      <c r="O4030" s="1565">
        <v>3278.9</v>
      </c>
      <c r="P4030" s="1565">
        <v>15854.3</v>
      </c>
      <c r="Q4030" s="1572">
        <v>655.8</v>
      </c>
      <c r="R4030" s="1565">
        <v>16510.099999999999</v>
      </c>
      <c r="S4030" s="1562"/>
    </row>
    <row r="4031" spans="2:19" ht="11.25" customHeight="1" outlineLevel="1">
      <c r="B4031" s="1573">
        <v>24999</v>
      </c>
      <c r="C4031" s="1566" t="s">
        <v>4878</v>
      </c>
      <c r="D4031" s="1566" t="s">
        <v>9129</v>
      </c>
      <c r="E4031" s="1566"/>
      <c r="F4031" s="1566"/>
      <c r="G4031" s="1566" t="s">
        <v>9128</v>
      </c>
      <c r="H4031" s="1568">
        <v>1</v>
      </c>
      <c r="I4031" s="1566"/>
      <c r="J4031" s="1566"/>
      <c r="K4031" s="1572">
        <v>224</v>
      </c>
      <c r="L4031" s="1565">
        <v>8977</v>
      </c>
      <c r="M4031" s="1564"/>
      <c r="N4031" s="1565">
        <v>8977</v>
      </c>
      <c r="O4031" s="1565">
        <v>5135.68</v>
      </c>
      <c r="P4031" s="1565">
        <v>3688.8</v>
      </c>
      <c r="Q4031" s="1572">
        <v>152.52000000000001</v>
      </c>
      <c r="R4031" s="1565">
        <v>3841.32</v>
      </c>
      <c r="S4031" s="1562"/>
    </row>
    <row r="4032" spans="2:19" ht="11.25" customHeight="1" outlineLevel="1">
      <c r="B4032" s="1573">
        <v>25328</v>
      </c>
      <c r="C4032" s="1566" t="s">
        <v>4817</v>
      </c>
      <c r="D4032" s="1566" t="s">
        <v>9127</v>
      </c>
      <c r="E4032" s="1566"/>
      <c r="F4032" s="1566"/>
      <c r="G4032" s="1566" t="s">
        <v>4874</v>
      </c>
      <c r="H4032" s="1568">
        <v>1</v>
      </c>
      <c r="I4032" s="1566"/>
      <c r="J4032" s="1566"/>
      <c r="K4032" s="1572">
        <v>65</v>
      </c>
      <c r="L4032" s="1565">
        <v>1229</v>
      </c>
      <c r="M4032" s="1564"/>
      <c r="N4032" s="1565">
        <v>1229</v>
      </c>
      <c r="O4032" s="1572">
        <v>705.26</v>
      </c>
      <c r="P4032" s="1572">
        <v>502.86</v>
      </c>
      <c r="Q4032" s="1572">
        <v>20.88</v>
      </c>
      <c r="R4032" s="1572">
        <v>523.74</v>
      </c>
      <c r="S4032" s="1562"/>
    </row>
    <row r="4033" spans="2:19" ht="11.25" customHeight="1" outlineLevel="1">
      <c r="B4033" s="1573">
        <v>25329</v>
      </c>
      <c r="C4033" s="1566" t="s">
        <v>4817</v>
      </c>
      <c r="D4033" s="1566" t="s">
        <v>9126</v>
      </c>
      <c r="E4033" s="1566"/>
      <c r="F4033" s="1566"/>
      <c r="G4033" s="1566" t="s">
        <v>4874</v>
      </c>
      <c r="H4033" s="1568">
        <v>1</v>
      </c>
      <c r="I4033" s="1566"/>
      <c r="J4033" s="1566"/>
      <c r="K4033" s="1572">
        <v>65</v>
      </c>
      <c r="L4033" s="1565">
        <v>1131</v>
      </c>
      <c r="M4033" s="1564"/>
      <c r="N4033" s="1565">
        <v>1131</v>
      </c>
      <c r="O4033" s="1572">
        <v>649.4</v>
      </c>
      <c r="P4033" s="1572">
        <v>462.4</v>
      </c>
      <c r="Q4033" s="1572">
        <v>19.2</v>
      </c>
      <c r="R4033" s="1572">
        <v>481.6</v>
      </c>
      <c r="S4033" s="1562"/>
    </row>
    <row r="4034" spans="2:19" ht="11.25" customHeight="1" outlineLevel="1">
      <c r="B4034" s="1573">
        <v>25331</v>
      </c>
      <c r="C4034" s="1566" t="s">
        <v>4817</v>
      </c>
      <c r="D4034" s="1566" t="s">
        <v>9125</v>
      </c>
      <c r="E4034" s="1566"/>
      <c r="F4034" s="1566"/>
      <c r="G4034" s="1566" t="s">
        <v>4872</v>
      </c>
      <c r="H4034" s="1568">
        <v>1</v>
      </c>
      <c r="I4034" s="1566"/>
      <c r="J4034" s="1566"/>
      <c r="K4034" s="1572">
        <v>65</v>
      </c>
      <c r="L4034" s="1565">
        <v>4674</v>
      </c>
      <c r="M4034" s="1564"/>
      <c r="N4034" s="1565">
        <v>4674</v>
      </c>
      <c r="O4034" s="1565">
        <v>2681.38</v>
      </c>
      <c r="P4034" s="1565">
        <v>1913.18</v>
      </c>
      <c r="Q4034" s="1572">
        <v>79.44</v>
      </c>
      <c r="R4034" s="1565">
        <v>1992.62</v>
      </c>
      <c r="S4034" s="1562"/>
    </row>
    <row r="4035" spans="2:19" ht="11.25" customHeight="1" outlineLevel="1">
      <c r="B4035" s="1573">
        <v>25333</v>
      </c>
      <c r="C4035" s="1566" t="s">
        <v>4817</v>
      </c>
      <c r="D4035" s="1566" t="s">
        <v>9124</v>
      </c>
      <c r="E4035" s="1566"/>
      <c r="F4035" s="1566"/>
      <c r="G4035" s="1566" t="s">
        <v>4870</v>
      </c>
      <c r="H4035" s="1568">
        <v>1</v>
      </c>
      <c r="I4035" s="1566"/>
      <c r="J4035" s="1566"/>
      <c r="K4035" s="1572">
        <v>92</v>
      </c>
      <c r="L4035" s="1565">
        <v>3577</v>
      </c>
      <c r="M4035" s="1564"/>
      <c r="N4035" s="1565">
        <v>3577</v>
      </c>
      <c r="O4035" s="1565">
        <v>2051.0500000000002</v>
      </c>
      <c r="P4035" s="1565">
        <v>1465.23</v>
      </c>
      <c r="Q4035" s="1572">
        <v>60.72</v>
      </c>
      <c r="R4035" s="1565">
        <v>1525.95</v>
      </c>
      <c r="S4035" s="1562"/>
    </row>
    <row r="4036" spans="2:19" ht="11.25" customHeight="1" outlineLevel="1">
      <c r="B4036" s="1573">
        <v>25335</v>
      </c>
      <c r="C4036" s="1566" t="s">
        <v>4817</v>
      </c>
      <c r="D4036" s="1566" t="s">
        <v>9123</v>
      </c>
      <c r="E4036" s="1566"/>
      <c r="F4036" s="1566"/>
      <c r="G4036" s="1566" t="s">
        <v>4868</v>
      </c>
      <c r="H4036" s="1568">
        <v>1</v>
      </c>
      <c r="I4036" s="1566"/>
      <c r="J4036" s="1566"/>
      <c r="K4036" s="1572">
        <v>134</v>
      </c>
      <c r="L4036" s="1572">
        <v>829</v>
      </c>
      <c r="M4036" s="1564"/>
      <c r="N4036" s="1572">
        <v>829</v>
      </c>
      <c r="O4036" s="1572">
        <v>160.66</v>
      </c>
      <c r="P4036" s="1572">
        <v>641.58000000000004</v>
      </c>
      <c r="Q4036" s="1572">
        <v>26.76</v>
      </c>
      <c r="R4036" s="1572">
        <v>668.34</v>
      </c>
      <c r="S4036" s="1562"/>
    </row>
    <row r="4037" spans="2:19" ht="11.25" customHeight="1" outlineLevel="1">
      <c r="B4037" s="1573">
        <v>25336</v>
      </c>
      <c r="C4037" s="1566" t="s">
        <v>4817</v>
      </c>
      <c r="D4037" s="1566" t="s">
        <v>9122</v>
      </c>
      <c r="E4037" s="1566"/>
      <c r="F4037" s="1566"/>
      <c r="G4037" s="1566" t="s">
        <v>4868</v>
      </c>
      <c r="H4037" s="1568">
        <v>1</v>
      </c>
      <c r="I4037" s="1566"/>
      <c r="J4037" s="1566"/>
      <c r="K4037" s="1572">
        <v>173</v>
      </c>
      <c r="L4037" s="1565">
        <v>9499</v>
      </c>
      <c r="M4037" s="1564"/>
      <c r="N4037" s="1565">
        <v>9499</v>
      </c>
      <c r="O4037" s="1565">
        <v>1832.76</v>
      </c>
      <c r="P4037" s="1565">
        <v>7360.83</v>
      </c>
      <c r="Q4037" s="1572">
        <v>305.41000000000003</v>
      </c>
      <c r="R4037" s="1565">
        <v>7666.24</v>
      </c>
      <c r="S4037" s="1562"/>
    </row>
    <row r="4038" spans="2:19" ht="11.25" customHeight="1" outlineLevel="1">
      <c r="B4038" s="1573">
        <v>25337</v>
      </c>
      <c r="C4038" s="1566" t="s">
        <v>4817</v>
      </c>
      <c r="D4038" s="1566" t="s">
        <v>9121</v>
      </c>
      <c r="E4038" s="1566"/>
      <c r="F4038" s="1566"/>
      <c r="G4038" s="1566" t="s">
        <v>9119</v>
      </c>
      <c r="H4038" s="1568">
        <v>1</v>
      </c>
      <c r="I4038" s="1566"/>
      <c r="J4038" s="1566"/>
      <c r="K4038" s="1572">
        <v>134</v>
      </c>
      <c r="L4038" s="1572">
        <v>829</v>
      </c>
      <c r="M4038" s="1564"/>
      <c r="N4038" s="1572">
        <v>829</v>
      </c>
      <c r="O4038" s="1572">
        <v>160.66</v>
      </c>
      <c r="P4038" s="1572">
        <v>641.58000000000004</v>
      </c>
      <c r="Q4038" s="1572">
        <v>26.76</v>
      </c>
      <c r="R4038" s="1572">
        <v>668.34</v>
      </c>
      <c r="S4038" s="1562"/>
    </row>
    <row r="4039" spans="2:19" ht="11.25" customHeight="1" outlineLevel="1">
      <c r="B4039" s="1573">
        <v>25338</v>
      </c>
      <c r="C4039" s="1566" t="s">
        <v>4817</v>
      </c>
      <c r="D4039" s="1566" t="s">
        <v>9120</v>
      </c>
      <c r="E4039" s="1566"/>
      <c r="F4039" s="1566"/>
      <c r="G4039" s="1566" t="s">
        <v>9119</v>
      </c>
      <c r="H4039" s="1568">
        <v>1</v>
      </c>
      <c r="I4039" s="1566"/>
      <c r="J4039" s="1566"/>
      <c r="K4039" s="1572">
        <v>173</v>
      </c>
      <c r="L4039" s="1565">
        <v>9499</v>
      </c>
      <c r="M4039" s="1564"/>
      <c r="N4039" s="1565">
        <v>9499</v>
      </c>
      <c r="O4039" s="1565">
        <v>1832.76</v>
      </c>
      <c r="P4039" s="1565">
        <v>7360.83</v>
      </c>
      <c r="Q4039" s="1572">
        <v>305.41000000000003</v>
      </c>
      <c r="R4039" s="1565">
        <v>7666.24</v>
      </c>
      <c r="S4039" s="1562"/>
    </row>
    <row r="4040" spans="2:19" ht="11.25" customHeight="1" outlineLevel="1">
      <c r="B4040" s="1573">
        <v>25340</v>
      </c>
      <c r="C4040" s="1566" t="s">
        <v>4817</v>
      </c>
      <c r="D4040" s="1566" t="s">
        <v>9118</v>
      </c>
      <c r="E4040" s="1566"/>
      <c r="F4040" s="1566"/>
      <c r="G4040" s="1566" t="s">
        <v>4866</v>
      </c>
      <c r="H4040" s="1568">
        <v>1</v>
      </c>
      <c r="I4040" s="1566"/>
      <c r="J4040" s="1566"/>
      <c r="K4040" s="1572">
        <v>65</v>
      </c>
      <c r="L4040" s="1565">
        <v>1275</v>
      </c>
      <c r="M4040" s="1564"/>
      <c r="N4040" s="1565">
        <v>1275</v>
      </c>
      <c r="O4040" s="1572">
        <v>730.31</v>
      </c>
      <c r="P4040" s="1572">
        <v>523.09</v>
      </c>
      <c r="Q4040" s="1572">
        <v>21.6</v>
      </c>
      <c r="R4040" s="1572">
        <v>544.69000000000005</v>
      </c>
      <c r="S4040" s="1562"/>
    </row>
    <row r="4041" spans="2:19" ht="11.25" customHeight="1" outlineLevel="1">
      <c r="B4041" s="1573">
        <v>25341</v>
      </c>
      <c r="C4041" s="1566" t="s">
        <v>4817</v>
      </c>
      <c r="D4041" s="1566" t="s">
        <v>9117</v>
      </c>
      <c r="E4041" s="1566"/>
      <c r="F4041" s="1566"/>
      <c r="G4041" s="1566" t="s">
        <v>4864</v>
      </c>
      <c r="H4041" s="1568">
        <v>1</v>
      </c>
      <c r="I4041" s="1566"/>
      <c r="J4041" s="1566"/>
      <c r="K4041" s="1572">
        <v>65</v>
      </c>
      <c r="L4041" s="1572">
        <v>817</v>
      </c>
      <c r="M4041" s="1564"/>
      <c r="N4041" s="1572">
        <v>817</v>
      </c>
      <c r="O4041" s="1572">
        <v>467.84</v>
      </c>
      <c r="P4041" s="1572">
        <v>335.24</v>
      </c>
      <c r="Q4041" s="1572">
        <v>13.92</v>
      </c>
      <c r="R4041" s="1572">
        <v>349.16</v>
      </c>
      <c r="S4041" s="1562"/>
    </row>
    <row r="4042" spans="2:19" ht="11.25" customHeight="1" outlineLevel="1">
      <c r="B4042" s="1573">
        <v>25342</v>
      </c>
      <c r="C4042" s="1566" t="s">
        <v>4817</v>
      </c>
      <c r="D4042" s="1566" t="s">
        <v>9116</v>
      </c>
      <c r="E4042" s="1566"/>
      <c r="F4042" s="1566"/>
      <c r="G4042" s="1566" t="s">
        <v>4860</v>
      </c>
      <c r="H4042" s="1568">
        <v>1</v>
      </c>
      <c r="I4042" s="1566"/>
      <c r="J4042" s="1566"/>
      <c r="K4042" s="1572">
        <v>65</v>
      </c>
      <c r="L4042" s="1572">
        <v>654</v>
      </c>
      <c r="M4042" s="1564"/>
      <c r="N4042" s="1572">
        <v>654</v>
      </c>
      <c r="O4042" s="1572">
        <v>374.19</v>
      </c>
      <c r="P4042" s="1572">
        <v>268.77</v>
      </c>
      <c r="Q4042" s="1572">
        <v>11.04</v>
      </c>
      <c r="R4042" s="1572">
        <v>279.81</v>
      </c>
      <c r="S4042" s="1562"/>
    </row>
    <row r="4043" spans="2:19" ht="11.25" customHeight="1" outlineLevel="1">
      <c r="B4043" s="1573">
        <v>25347</v>
      </c>
      <c r="C4043" s="1566" t="s">
        <v>4817</v>
      </c>
      <c r="D4043" s="1566" t="s">
        <v>9115</v>
      </c>
      <c r="E4043" s="1566"/>
      <c r="F4043" s="1566"/>
      <c r="G4043" s="1566" t="s">
        <v>9114</v>
      </c>
      <c r="H4043" s="1568">
        <v>1</v>
      </c>
      <c r="I4043" s="1566"/>
      <c r="J4043" s="1566"/>
      <c r="K4043" s="1565">
        <v>1667</v>
      </c>
      <c r="L4043" s="1565">
        <v>10000</v>
      </c>
      <c r="M4043" s="1564"/>
      <c r="N4043" s="1565">
        <v>10000</v>
      </c>
      <c r="O4043" s="1565">
        <v>2182.79</v>
      </c>
      <c r="P4043" s="1565">
        <v>7505.33</v>
      </c>
      <c r="Q4043" s="1572">
        <v>311.88</v>
      </c>
      <c r="R4043" s="1565">
        <v>7817.21</v>
      </c>
      <c r="S4043" s="1562"/>
    </row>
    <row r="4044" spans="2:19" ht="11.25" customHeight="1" outlineLevel="1">
      <c r="B4044" s="1573">
        <v>25349</v>
      </c>
      <c r="C4044" s="1566" t="s">
        <v>4817</v>
      </c>
      <c r="D4044" s="1566" t="s">
        <v>9113</v>
      </c>
      <c r="E4044" s="1566"/>
      <c r="F4044" s="1566"/>
      <c r="G4044" s="1566" t="s">
        <v>9112</v>
      </c>
      <c r="H4044" s="1568">
        <v>1</v>
      </c>
      <c r="I4044" s="1566"/>
      <c r="J4044" s="1566"/>
      <c r="K4044" s="1572">
        <v>151</v>
      </c>
      <c r="L4044" s="1565">
        <v>26286</v>
      </c>
      <c r="M4044" s="1564"/>
      <c r="N4044" s="1565">
        <v>26286</v>
      </c>
      <c r="O4044" s="1565">
        <v>4369.95</v>
      </c>
      <c r="P4044" s="1565">
        <v>21042.09</v>
      </c>
      <c r="Q4044" s="1572">
        <v>873.96</v>
      </c>
      <c r="R4044" s="1565">
        <v>21916.05</v>
      </c>
      <c r="S4044" s="1562"/>
    </row>
    <row r="4045" spans="2:19" ht="11.25" customHeight="1" outlineLevel="1">
      <c r="B4045" s="1573">
        <v>25350</v>
      </c>
      <c r="C4045" s="1566" t="s">
        <v>4817</v>
      </c>
      <c r="D4045" s="1566" t="s">
        <v>9111</v>
      </c>
      <c r="E4045" s="1566"/>
      <c r="F4045" s="1566"/>
      <c r="G4045" s="1566" t="s">
        <v>4856</v>
      </c>
      <c r="H4045" s="1568">
        <v>1</v>
      </c>
      <c r="I4045" s="1566"/>
      <c r="J4045" s="1566"/>
      <c r="K4045" s="1572">
        <v>175</v>
      </c>
      <c r="L4045" s="1565">
        <v>9641</v>
      </c>
      <c r="M4045" s="1564"/>
      <c r="N4045" s="1565">
        <v>9641</v>
      </c>
      <c r="O4045" s="1565">
        <v>1601.53</v>
      </c>
      <c r="P4045" s="1565">
        <v>7719.19</v>
      </c>
      <c r="Q4045" s="1572">
        <v>320.27999999999997</v>
      </c>
      <c r="R4045" s="1565">
        <v>8039.47</v>
      </c>
      <c r="S4045" s="1562"/>
    </row>
    <row r="4046" spans="2:19" ht="11.25" customHeight="1" outlineLevel="1">
      <c r="B4046" s="1573">
        <v>25351</v>
      </c>
      <c r="C4046" s="1566" t="s">
        <v>4817</v>
      </c>
      <c r="D4046" s="1566" t="s">
        <v>9110</v>
      </c>
      <c r="E4046" s="1566"/>
      <c r="F4046" s="1566"/>
      <c r="G4046" s="1566" t="s">
        <v>4854</v>
      </c>
      <c r="H4046" s="1568">
        <v>1</v>
      </c>
      <c r="I4046" s="1566"/>
      <c r="J4046" s="1566"/>
      <c r="K4046" s="1572">
        <v>224</v>
      </c>
      <c r="L4046" s="1565">
        <v>1347</v>
      </c>
      <c r="M4046" s="1564"/>
      <c r="N4046" s="1565">
        <v>1347</v>
      </c>
      <c r="O4046" s="1572">
        <v>772.09</v>
      </c>
      <c r="P4046" s="1572">
        <v>551.99</v>
      </c>
      <c r="Q4046" s="1572">
        <v>22.92</v>
      </c>
      <c r="R4046" s="1572">
        <v>574.91</v>
      </c>
      <c r="S4046" s="1562"/>
    </row>
    <row r="4047" spans="2:19" ht="11.25" customHeight="1" outlineLevel="1">
      <c r="B4047" s="1573">
        <v>25352</v>
      </c>
      <c r="C4047" s="1566" t="s">
        <v>4817</v>
      </c>
      <c r="D4047" s="1566" t="s">
        <v>9109</v>
      </c>
      <c r="E4047" s="1566"/>
      <c r="F4047" s="1566"/>
      <c r="G4047" s="1566" t="s">
        <v>4852</v>
      </c>
      <c r="H4047" s="1568">
        <v>1</v>
      </c>
      <c r="I4047" s="1566"/>
      <c r="J4047" s="1566"/>
      <c r="K4047" s="1572">
        <v>450</v>
      </c>
      <c r="L4047" s="1565">
        <v>2475</v>
      </c>
      <c r="M4047" s="1564"/>
      <c r="N4047" s="1565">
        <v>2475</v>
      </c>
      <c r="O4047" s="1572">
        <v>410.38</v>
      </c>
      <c r="P4047" s="1565">
        <v>1982.54</v>
      </c>
      <c r="Q4047" s="1572">
        <v>82.08</v>
      </c>
      <c r="R4047" s="1565">
        <v>2064.62</v>
      </c>
      <c r="S4047" s="1562"/>
    </row>
    <row r="4048" spans="2:19" ht="11.25" customHeight="1" outlineLevel="1">
      <c r="B4048" s="1573">
        <v>25353</v>
      </c>
      <c r="C4048" s="1566" t="s">
        <v>4817</v>
      </c>
      <c r="D4048" s="1566" t="s">
        <v>9108</v>
      </c>
      <c r="E4048" s="1566"/>
      <c r="F4048" s="1566"/>
      <c r="G4048" s="1566" t="s">
        <v>4850</v>
      </c>
      <c r="H4048" s="1568">
        <v>1</v>
      </c>
      <c r="I4048" s="1566"/>
      <c r="J4048" s="1566"/>
      <c r="K4048" s="1572">
        <v>224</v>
      </c>
      <c r="L4048" s="1565">
        <v>7541</v>
      </c>
      <c r="M4048" s="1564"/>
      <c r="N4048" s="1565">
        <v>7541</v>
      </c>
      <c r="O4048" s="1565">
        <v>4326.32</v>
      </c>
      <c r="P4048" s="1565">
        <v>3086.52</v>
      </c>
      <c r="Q4048" s="1572">
        <v>128.16</v>
      </c>
      <c r="R4048" s="1565">
        <v>3214.68</v>
      </c>
      <c r="S4048" s="1562"/>
    </row>
    <row r="4049" spans="2:19" ht="11.25" customHeight="1" outlineLevel="1">
      <c r="B4049" s="1573">
        <v>25354</v>
      </c>
      <c r="C4049" s="1566" t="s">
        <v>4817</v>
      </c>
      <c r="D4049" s="1566" t="s">
        <v>9107</v>
      </c>
      <c r="E4049" s="1566"/>
      <c r="F4049" s="1566"/>
      <c r="G4049" s="1566" t="s">
        <v>9106</v>
      </c>
      <c r="H4049" s="1568">
        <v>1</v>
      </c>
      <c r="I4049" s="1566"/>
      <c r="J4049" s="1566"/>
      <c r="K4049" s="1572">
        <v>178</v>
      </c>
      <c r="L4049" s="1565">
        <v>1851</v>
      </c>
      <c r="M4049" s="1564"/>
      <c r="N4049" s="1565">
        <v>1851</v>
      </c>
      <c r="O4049" s="1565">
        <v>1062.3800000000001</v>
      </c>
      <c r="P4049" s="1572">
        <v>757.18</v>
      </c>
      <c r="Q4049" s="1572">
        <v>31.44</v>
      </c>
      <c r="R4049" s="1572">
        <v>788.62</v>
      </c>
      <c r="S4049" s="1562"/>
    </row>
    <row r="4050" spans="2:19" ht="11.25" customHeight="1" outlineLevel="1">
      <c r="B4050" s="1573">
        <v>25355</v>
      </c>
      <c r="C4050" s="1566" t="s">
        <v>4817</v>
      </c>
      <c r="D4050" s="1566" t="s">
        <v>9105</v>
      </c>
      <c r="E4050" s="1566"/>
      <c r="F4050" s="1566"/>
      <c r="G4050" s="1566" t="s">
        <v>4848</v>
      </c>
      <c r="H4050" s="1568">
        <v>1</v>
      </c>
      <c r="I4050" s="1566"/>
      <c r="J4050" s="1566"/>
      <c r="K4050" s="1572">
        <v>224</v>
      </c>
      <c r="L4050" s="1565">
        <v>15440</v>
      </c>
      <c r="M4050" s="1564"/>
      <c r="N4050" s="1565">
        <v>15440</v>
      </c>
      <c r="O4050" s="1565">
        <v>8857.1299999999992</v>
      </c>
      <c r="P4050" s="1565">
        <v>6320.43</v>
      </c>
      <c r="Q4050" s="1572">
        <v>262.44</v>
      </c>
      <c r="R4050" s="1565">
        <v>6582.87</v>
      </c>
      <c r="S4050" s="1562"/>
    </row>
    <row r="4051" spans="2:19" ht="11.25" customHeight="1" outlineLevel="1">
      <c r="B4051" s="1573">
        <v>25356</v>
      </c>
      <c r="C4051" s="1566" t="s">
        <v>4817</v>
      </c>
      <c r="D4051" s="1566" t="s">
        <v>9104</v>
      </c>
      <c r="E4051" s="1566"/>
      <c r="F4051" s="1566"/>
      <c r="G4051" s="1566" t="s">
        <v>9103</v>
      </c>
      <c r="H4051" s="1568">
        <v>1</v>
      </c>
      <c r="I4051" s="1566"/>
      <c r="J4051" s="1566"/>
      <c r="K4051" s="1572">
        <v>224</v>
      </c>
      <c r="L4051" s="1572">
        <v>920</v>
      </c>
      <c r="M4051" s="1564"/>
      <c r="N4051" s="1572">
        <v>920</v>
      </c>
      <c r="O4051" s="1572">
        <v>528.58000000000004</v>
      </c>
      <c r="P4051" s="1572">
        <v>375.7</v>
      </c>
      <c r="Q4051" s="1572">
        <v>15.72</v>
      </c>
      <c r="R4051" s="1572">
        <v>391.42</v>
      </c>
      <c r="S4051" s="1562"/>
    </row>
    <row r="4052" spans="2:19" ht="11.25" customHeight="1" outlineLevel="1">
      <c r="B4052" s="1573">
        <v>25357</v>
      </c>
      <c r="C4052" s="1566" t="s">
        <v>4817</v>
      </c>
      <c r="D4052" s="1566" t="s">
        <v>9102</v>
      </c>
      <c r="E4052" s="1566"/>
      <c r="F4052" s="1566"/>
      <c r="G4052" s="1566" t="s">
        <v>4846</v>
      </c>
      <c r="H4052" s="1568">
        <v>1</v>
      </c>
      <c r="I4052" s="1566"/>
      <c r="J4052" s="1566"/>
      <c r="K4052" s="1572">
        <v>224</v>
      </c>
      <c r="L4052" s="1565">
        <v>7249</v>
      </c>
      <c r="M4052" s="1564"/>
      <c r="N4052" s="1565">
        <v>7249</v>
      </c>
      <c r="O4052" s="1565">
        <v>4157.7299999999996</v>
      </c>
      <c r="P4052" s="1565">
        <v>2968.03</v>
      </c>
      <c r="Q4052" s="1572">
        <v>123.24</v>
      </c>
      <c r="R4052" s="1565">
        <v>3091.27</v>
      </c>
      <c r="S4052" s="1562"/>
    </row>
    <row r="4053" spans="2:19" ht="11.25" customHeight="1" outlineLevel="1">
      <c r="B4053" s="1573">
        <v>25358</v>
      </c>
      <c r="C4053" s="1566" t="s">
        <v>4817</v>
      </c>
      <c r="D4053" s="1566" t="s">
        <v>9101</v>
      </c>
      <c r="E4053" s="1566"/>
      <c r="F4053" s="1566"/>
      <c r="G4053" s="1566" t="s">
        <v>4844</v>
      </c>
      <c r="H4053" s="1568">
        <v>1</v>
      </c>
      <c r="I4053" s="1566"/>
      <c r="J4053" s="1566"/>
      <c r="K4053" s="1572">
        <v>450</v>
      </c>
      <c r="L4053" s="1565">
        <v>7200</v>
      </c>
      <c r="M4053" s="1564"/>
      <c r="N4053" s="1565">
        <v>7200</v>
      </c>
      <c r="O4053" s="1565">
        <v>1571.22</v>
      </c>
      <c r="P4053" s="1565">
        <v>5404.3</v>
      </c>
      <c r="Q4053" s="1572">
        <v>224.48</v>
      </c>
      <c r="R4053" s="1565">
        <v>5628.78</v>
      </c>
      <c r="S4053" s="1562"/>
    </row>
    <row r="4054" spans="2:19" ht="11.25" customHeight="1" outlineLevel="1">
      <c r="B4054" s="1573">
        <v>25359</v>
      </c>
      <c r="C4054" s="1566" t="s">
        <v>4817</v>
      </c>
      <c r="D4054" s="1566" t="s">
        <v>9100</v>
      </c>
      <c r="E4054" s="1566"/>
      <c r="F4054" s="1566"/>
      <c r="G4054" s="1566" t="s">
        <v>4842</v>
      </c>
      <c r="H4054" s="1568">
        <v>1</v>
      </c>
      <c r="I4054" s="1566"/>
      <c r="J4054" s="1566"/>
      <c r="K4054" s="1572">
        <v>224</v>
      </c>
      <c r="L4054" s="1565">
        <v>3838</v>
      </c>
      <c r="M4054" s="1564"/>
      <c r="N4054" s="1565">
        <v>3838</v>
      </c>
      <c r="O4054" s="1565">
        <v>2200.6799999999998</v>
      </c>
      <c r="P4054" s="1565">
        <v>1572.16</v>
      </c>
      <c r="Q4054" s="1572">
        <v>65.16</v>
      </c>
      <c r="R4054" s="1565">
        <v>1637.32</v>
      </c>
      <c r="S4054" s="1562"/>
    </row>
    <row r="4055" spans="2:19" ht="11.25" customHeight="1" outlineLevel="1">
      <c r="B4055" s="1573">
        <v>25360</v>
      </c>
      <c r="C4055" s="1566" t="s">
        <v>4817</v>
      </c>
      <c r="D4055" s="1566" t="s">
        <v>9099</v>
      </c>
      <c r="E4055" s="1566"/>
      <c r="F4055" s="1566"/>
      <c r="G4055" s="1566" t="s">
        <v>4840</v>
      </c>
      <c r="H4055" s="1568">
        <v>1</v>
      </c>
      <c r="I4055" s="1566"/>
      <c r="J4055" s="1566"/>
      <c r="K4055" s="1572">
        <v>224</v>
      </c>
      <c r="L4055" s="1565">
        <v>1504</v>
      </c>
      <c r="M4055" s="1564"/>
      <c r="N4055" s="1565">
        <v>1504</v>
      </c>
      <c r="O4055" s="1572">
        <v>862.87</v>
      </c>
      <c r="P4055" s="1572">
        <v>615.57000000000005</v>
      </c>
      <c r="Q4055" s="1572">
        <v>25.56</v>
      </c>
      <c r="R4055" s="1572">
        <v>641.13</v>
      </c>
      <c r="S4055" s="1562"/>
    </row>
    <row r="4056" spans="2:19" ht="11.25" customHeight="1" outlineLevel="1">
      <c r="B4056" s="1573">
        <v>25361</v>
      </c>
      <c r="C4056" s="1566" t="s">
        <v>4817</v>
      </c>
      <c r="D4056" s="1566" t="s">
        <v>9098</v>
      </c>
      <c r="E4056" s="1566"/>
      <c r="F4056" s="1566"/>
      <c r="G4056" s="1566" t="s">
        <v>4838</v>
      </c>
      <c r="H4056" s="1568">
        <v>1</v>
      </c>
      <c r="I4056" s="1566"/>
      <c r="J4056" s="1566"/>
      <c r="K4056" s="1572">
        <v>450</v>
      </c>
      <c r="L4056" s="1565">
        <v>8100</v>
      </c>
      <c r="M4056" s="1564"/>
      <c r="N4056" s="1565">
        <v>8100</v>
      </c>
      <c r="O4056" s="1565">
        <v>4647.41</v>
      </c>
      <c r="P4056" s="1565">
        <v>3314.83</v>
      </c>
      <c r="Q4056" s="1572">
        <v>137.76</v>
      </c>
      <c r="R4056" s="1565">
        <v>3452.59</v>
      </c>
      <c r="S4056" s="1562"/>
    </row>
    <row r="4057" spans="2:19" ht="11.25" customHeight="1" outlineLevel="1">
      <c r="B4057" s="1573">
        <v>25378</v>
      </c>
      <c r="C4057" s="1566" t="s">
        <v>4817</v>
      </c>
      <c r="D4057" s="1566" t="s">
        <v>9097</v>
      </c>
      <c r="E4057" s="1566"/>
      <c r="F4057" s="1566"/>
      <c r="G4057" s="1566" t="s">
        <v>4835</v>
      </c>
      <c r="H4057" s="1568">
        <v>1</v>
      </c>
      <c r="I4057" s="1566"/>
      <c r="J4057" s="1566"/>
      <c r="K4057" s="1572">
        <v>224</v>
      </c>
      <c r="L4057" s="1565">
        <v>14812</v>
      </c>
      <c r="M4057" s="1564"/>
      <c r="N4057" s="1565">
        <v>14812</v>
      </c>
      <c r="O4057" s="1565">
        <v>8497.02</v>
      </c>
      <c r="P4057" s="1565">
        <v>6063.22</v>
      </c>
      <c r="Q4057" s="1572">
        <v>251.76</v>
      </c>
      <c r="R4057" s="1565">
        <v>6314.98</v>
      </c>
      <c r="S4057" s="1562"/>
    </row>
    <row r="4058" spans="2:19" ht="11.25" customHeight="1" outlineLevel="1">
      <c r="B4058" s="1573">
        <v>25379</v>
      </c>
      <c r="C4058" s="1566" t="s">
        <v>4817</v>
      </c>
      <c r="D4058" s="1566" t="s">
        <v>9096</v>
      </c>
      <c r="E4058" s="1566"/>
      <c r="F4058" s="1566"/>
      <c r="G4058" s="1566" t="s">
        <v>4833</v>
      </c>
      <c r="H4058" s="1568">
        <v>1</v>
      </c>
      <c r="I4058" s="1566"/>
      <c r="J4058" s="1566"/>
      <c r="K4058" s="1572">
        <v>224</v>
      </c>
      <c r="L4058" s="1565">
        <v>4488</v>
      </c>
      <c r="M4058" s="1564"/>
      <c r="N4058" s="1565">
        <v>4488</v>
      </c>
      <c r="O4058" s="1565">
        <v>2573.7600000000002</v>
      </c>
      <c r="P4058" s="1565">
        <v>1838.04</v>
      </c>
      <c r="Q4058" s="1572">
        <v>76.2</v>
      </c>
      <c r="R4058" s="1565">
        <v>1914.24</v>
      </c>
      <c r="S4058" s="1562"/>
    </row>
    <row r="4059" spans="2:19" ht="11.25" customHeight="1" outlineLevel="1">
      <c r="B4059" s="1573">
        <v>25380</v>
      </c>
      <c r="C4059" s="1566" t="s">
        <v>4817</v>
      </c>
      <c r="D4059" s="1566" t="s">
        <v>9095</v>
      </c>
      <c r="E4059" s="1566"/>
      <c r="F4059" s="1566"/>
      <c r="G4059" s="1566" t="s">
        <v>9094</v>
      </c>
      <c r="H4059" s="1568">
        <v>1</v>
      </c>
      <c r="I4059" s="1566"/>
      <c r="J4059" s="1566"/>
      <c r="K4059" s="1572">
        <v>190</v>
      </c>
      <c r="L4059" s="1565">
        <v>35240</v>
      </c>
      <c r="M4059" s="1564"/>
      <c r="N4059" s="1565">
        <v>35240</v>
      </c>
      <c r="O4059" s="1565">
        <v>5856.5</v>
      </c>
      <c r="P4059" s="1565">
        <v>28212.18</v>
      </c>
      <c r="Q4059" s="1565">
        <v>1171.32</v>
      </c>
      <c r="R4059" s="1565">
        <v>29383.5</v>
      </c>
      <c r="S4059" s="1562"/>
    </row>
    <row r="4060" spans="2:19" ht="11.25" customHeight="1" outlineLevel="1">
      <c r="B4060" s="1573">
        <v>25385</v>
      </c>
      <c r="C4060" s="1566" t="s">
        <v>4817</v>
      </c>
      <c r="D4060" s="1566" t="s">
        <v>9093</v>
      </c>
      <c r="E4060" s="1566"/>
      <c r="F4060" s="1566"/>
      <c r="G4060" s="1566" t="s">
        <v>4831</v>
      </c>
      <c r="H4060" s="1568">
        <v>1</v>
      </c>
      <c r="I4060" s="1566"/>
      <c r="J4060" s="1566"/>
      <c r="K4060" s="1572">
        <v>224</v>
      </c>
      <c r="L4060" s="1565">
        <v>11356</v>
      </c>
      <c r="M4060" s="1564"/>
      <c r="N4060" s="1565">
        <v>11356</v>
      </c>
      <c r="O4060" s="1565">
        <v>6515.8</v>
      </c>
      <c r="P4060" s="1565">
        <v>4647.12</v>
      </c>
      <c r="Q4060" s="1572">
        <v>193.08</v>
      </c>
      <c r="R4060" s="1565">
        <v>4840.2</v>
      </c>
      <c r="S4060" s="1562"/>
    </row>
    <row r="4061" spans="2:19" ht="11.25" customHeight="1" outlineLevel="1">
      <c r="B4061" s="1573">
        <v>25386</v>
      </c>
      <c r="C4061" s="1566" t="s">
        <v>4817</v>
      </c>
      <c r="D4061" s="1566" t="s">
        <v>9092</v>
      </c>
      <c r="E4061" s="1566"/>
      <c r="F4061" s="1566"/>
      <c r="G4061" s="1566" t="s">
        <v>4828</v>
      </c>
      <c r="H4061" s="1568">
        <v>1</v>
      </c>
      <c r="I4061" s="1566"/>
      <c r="J4061" s="1566"/>
      <c r="K4061" s="1572">
        <v>175</v>
      </c>
      <c r="L4061" s="1572">
        <v>961</v>
      </c>
      <c r="M4061" s="1564"/>
      <c r="N4061" s="1572">
        <v>961</v>
      </c>
      <c r="O4061" s="1572">
        <v>184.66</v>
      </c>
      <c r="P4061" s="1572">
        <v>745.62</v>
      </c>
      <c r="Q4061" s="1572">
        <v>30.72</v>
      </c>
      <c r="R4061" s="1572">
        <v>776.34</v>
      </c>
      <c r="S4061" s="1562"/>
    </row>
    <row r="4062" spans="2:19" ht="11.25" customHeight="1" outlineLevel="1">
      <c r="B4062" s="1573">
        <v>25387</v>
      </c>
      <c r="C4062" s="1566" t="s">
        <v>4817</v>
      </c>
      <c r="D4062" s="1566" t="s">
        <v>9091</v>
      </c>
      <c r="E4062" s="1566"/>
      <c r="F4062" s="1566"/>
      <c r="G4062" s="1566" t="s">
        <v>4826</v>
      </c>
      <c r="H4062" s="1568">
        <v>1</v>
      </c>
      <c r="I4062" s="1566"/>
      <c r="J4062" s="1566"/>
      <c r="K4062" s="1572">
        <v>224</v>
      </c>
      <c r="L4062" s="1565">
        <v>1504</v>
      </c>
      <c r="M4062" s="1564"/>
      <c r="N4062" s="1565">
        <v>1504</v>
      </c>
      <c r="O4062" s="1572">
        <v>862.87</v>
      </c>
      <c r="P4062" s="1572">
        <v>615.57000000000005</v>
      </c>
      <c r="Q4062" s="1572">
        <v>25.56</v>
      </c>
      <c r="R4062" s="1572">
        <v>641.13</v>
      </c>
      <c r="S4062" s="1562"/>
    </row>
    <row r="4063" spans="2:19" ht="11.25" customHeight="1" outlineLevel="1">
      <c r="B4063" s="1573">
        <v>25389</v>
      </c>
      <c r="C4063" s="1566" t="s">
        <v>4817</v>
      </c>
      <c r="D4063" s="1566" t="s">
        <v>9090</v>
      </c>
      <c r="E4063" s="1566"/>
      <c r="F4063" s="1566"/>
      <c r="G4063" s="1566" t="s">
        <v>9089</v>
      </c>
      <c r="H4063" s="1568">
        <v>1</v>
      </c>
      <c r="I4063" s="1566"/>
      <c r="J4063" s="1566"/>
      <c r="K4063" s="1572">
        <v>190</v>
      </c>
      <c r="L4063" s="1565">
        <v>20569</v>
      </c>
      <c r="M4063" s="1564"/>
      <c r="N4063" s="1565">
        <v>20569</v>
      </c>
      <c r="O4063" s="1565">
        <v>3418.14</v>
      </c>
      <c r="P4063" s="1565">
        <v>16467.22</v>
      </c>
      <c r="Q4063" s="1572">
        <v>683.64</v>
      </c>
      <c r="R4063" s="1565">
        <v>17150.86</v>
      </c>
      <c r="S4063" s="1562"/>
    </row>
    <row r="4064" spans="2:19" ht="11.25" customHeight="1" outlineLevel="1">
      <c r="B4064" s="1573">
        <v>25393</v>
      </c>
      <c r="C4064" s="1566" t="s">
        <v>4817</v>
      </c>
      <c r="D4064" s="1566" t="s">
        <v>9088</v>
      </c>
      <c r="E4064" s="1566"/>
      <c r="F4064" s="1566"/>
      <c r="G4064" s="1566" t="s">
        <v>4822</v>
      </c>
      <c r="H4064" s="1568">
        <v>1</v>
      </c>
      <c r="I4064" s="1566"/>
      <c r="J4064" s="1566"/>
      <c r="K4064" s="1572">
        <v>175</v>
      </c>
      <c r="L4064" s="1565">
        <v>2096</v>
      </c>
      <c r="M4064" s="1564"/>
      <c r="N4064" s="1565">
        <v>2096</v>
      </c>
      <c r="O4064" s="1572">
        <v>347.43</v>
      </c>
      <c r="P4064" s="1565">
        <v>1679.09</v>
      </c>
      <c r="Q4064" s="1572">
        <v>69.48</v>
      </c>
      <c r="R4064" s="1565">
        <v>1748.57</v>
      </c>
      <c r="S4064" s="1562"/>
    </row>
    <row r="4065" spans="2:19" ht="11.25" customHeight="1" outlineLevel="1">
      <c r="B4065" s="1573">
        <v>25394</v>
      </c>
      <c r="C4065" s="1566" t="s">
        <v>4817</v>
      </c>
      <c r="D4065" s="1566" t="s">
        <v>9087</v>
      </c>
      <c r="E4065" s="1566"/>
      <c r="F4065" s="1566"/>
      <c r="G4065" s="1566" t="s">
        <v>4820</v>
      </c>
      <c r="H4065" s="1568">
        <v>1</v>
      </c>
      <c r="I4065" s="1566"/>
      <c r="J4065" s="1566"/>
      <c r="K4065" s="1572">
        <v>175</v>
      </c>
      <c r="L4065" s="1565">
        <v>2078</v>
      </c>
      <c r="M4065" s="1564"/>
      <c r="N4065" s="1565">
        <v>2078</v>
      </c>
      <c r="O4065" s="1572">
        <v>344.48</v>
      </c>
      <c r="P4065" s="1565">
        <v>1664.64</v>
      </c>
      <c r="Q4065" s="1572">
        <v>68.88</v>
      </c>
      <c r="R4065" s="1565">
        <v>1733.52</v>
      </c>
      <c r="S4065" s="1562"/>
    </row>
    <row r="4066" spans="2:19" ht="11.25" customHeight="1" outlineLevel="1">
      <c r="B4066" s="1573">
        <v>25395</v>
      </c>
      <c r="C4066" s="1566" t="s">
        <v>4817</v>
      </c>
      <c r="D4066" s="1566" t="s">
        <v>9086</v>
      </c>
      <c r="E4066" s="1566"/>
      <c r="F4066" s="1566"/>
      <c r="G4066" s="1566" t="s">
        <v>4818</v>
      </c>
      <c r="H4066" s="1568">
        <v>1</v>
      </c>
      <c r="I4066" s="1566"/>
      <c r="J4066" s="1566"/>
      <c r="K4066" s="1572">
        <v>175</v>
      </c>
      <c r="L4066" s="1565">
        <v>2096</v>
      </c>
      <c r="M4066" s="1564"/>
      <c r="N4066" s="1565">
        <v>2096</v>
      </c>
      <c r="O4066" s="1572">
        <v>404.38</v>
      </c>
      <c r="P4066" s="1565">
        <v>1624.18</v>
      </c>
      <c r="Q4066" s="1572">
        <v>67.44</v>
      </c>
      <c r="R4066" s="1565">
        <v>1691.62</v>
      </c>
      <c r="S4066" s="1562"/>
    </row>
    <row r="4067" spans="2:19" ht="11.25" customHeight="1" outlineLevel="1">
      <c r="B4067" s="1573">
        <v>25663</v>
      </c>
      <c r="C4067" s="1566" t="s">
        <v>4714</v>
      </c>
      <c r="D4067" s="1566" t="s">
        <v>9085</v>
      </c>
      <c r="E4067" s="1566"/>
      <c r="F4067" s="1566"/>
      <c r="G4067" s="1566" t="s">
        <v>3664</v>
      </c>
      <c r="H4067" s="1568">
        <v>1</v>
      </c>
      <c r="I4067" s="1566"/>
      <c r="J4067" s="1566"/>
      <c r="K4067" s="1572">
        <v>368</v>
      </c>
      <c r="L4067" s="1565">
        <v>138070</v>
      </c>
      <c r="M4067" s="1564"/>
      <c r="N4067" s="1565">
        <v>138070</v>
      </c>
      <c r="O4067" s="1565">
        <v>23011.119999999999</v>
      </c>
      <c r="P4067" s="1565">
        <v>110456.64</v>
      </c>
      <c r="Q4067" s="1565">
        <v>4602.24</v>
      </c>
      <c r="R4067" s="1565">
        <v>115058.88</v>
      </c>
      <c r="S4067" s="1562"/>
    </row>
    <row r="4068" spans="2:19" ht="11.25" customHeight="1" outlineLevel="1">
      <c r="B4068" s="1573">
        <v>25664</v>
      </c>
      <c r="C4068" s="1566" t="s">
        <v>4714</v>
      </c>
      <c r="D4068" s="1566" t="s">
        <v>9084</v>
      </c>
      <c r="E4068" s="1566"/>
      <c r="F4068" s="1566"/>
      <c r="G4068" s="1566" t="s">
        <v>9083</v>
      </c>
      <c r="H4068" s="1568">
        <v>1</v>
      </c>
      <c r="I4068" s="1566"/>
      <c r="J4068" s="1566"/>
      <c r="K4068" s="1572">
        <v>368</v>
      </c>
      <c r="L4068" s="1565">
        <v>20250</v>
      </c>
      <c r="M4068" s="1564"/>
      <c r="N4068" s="1565">
        <v>20250</v>
      </c>
      <c r="O4068" s="1565">
        <v>3375</v>
      </c>
      <c r="P4068" s="1565">
        <v>16200</v>
      </c>
      <c r="Q4068" s="1572">
        <v>675</v>
      </c>
      <c r="R4068" s="1565">
        <v>16875</v>
      </c>
      <c r="S4068" s="1562"/>
    </row>
    <row r="4069" spans="2:19" ht="11.25" customHeight="1" outlineLevel="1">
      <c r="B4069" s="1573">
        <v>25665</v>
      </c>
      <c r="C4069" s="1566" t="s">
        <v>4714</v>
      </c>
      <c r="D4069" s="1566" t="s">
        <v>9082</v>
      </c>
      <c r="E4069" s="1566"/>
      <c r="F4069" s="1566"/>
      <c r="G4069" s="1566" t="s">
        <v>9081</v>
      </c>
      <c r="H4069" s="1568">
        <v>1</v>
      </c>
      <c r="I4069" s="1566"/>
      <c r="J4069" s="1566"/>
      <c r="K4069" s="1572">
        <v>368</v>
      </c>
      <c r="L4069" s="1565">
        <v>89211</v>
      </c>
      <c r="M4069" s="1564"/>
      <c r="N4069" s="1565">
        <v>89211</v>
      </c>
      <c r="O4069" s="1565">
        <v>51303</v>
      </c>
      <c r="P4069" s="1565">
        <v>36391.68</v>
      </c>
      <c r="Q4069" s="1565">
        <v>1516.32</v>
      </c>
      <c r="R4069" s="1565">
        <v>37908</v>
      </c>
      <c r="S4069" s="1562"/>
    </row>
    <row r="4070" spans="2:19" ht="11.25" customHeight="1" outlineLevel="1">
      <c r="B4070" s="1573">
        <v>25666</v>
      </c>
      <c r="C4070" s="1566" t="s">
        <v>4714</v>
      </c>
      <c r="D4070" s="1566" t="s">
        <v>9080</v>
      </c>
      <c r="E4070" s="1566"/>
      <c r="F4070" s="1566"/>
      <c r="G4070" s="1566" t="s">
        <v>9074</v>
      </c>
      <c r="H4070" s="1568">
        <v>1</v>
      </c>
      <c r="I4070" s="1566"/>
      <c r="J4070" s="1566"/>
      <c r="K4070" s="1572">
        <v>368</v>
      </c>
      <c r="L4070" s="1565">
        <v>112297</v>
      </c>
      <c r="M4070" s="1564"/>
      <c r="N4070" s="1565">
        <v>112297</v>
      </c>
      <c r="O4070" s="1565">
        <v>21735.759999999998</v>
      </c>
      <c r="P4070" s="1565">
        <v>86938.559999999998</v>
      </c>
      <c r="Q4070" s="1565">
        <v>3622.68</v>
      </c>
      <c r="R4070" s="1565">
        <v>90561.24</v>
      </c>
      <c r="S4070" s="1562"/>
    </row>
    <row r="4071" spans="2:19" ht="11.25" customHeight="1" outlineLevel="1">
      <c r="B4071" s="1573">
        <v>25667</v>
      </c>
      <c r="C4071" s="1566" t="s">
        <v>4714</v>
      </c>
      <c r="D4071" s="1566" t="s">
        <v>9079</v>
      </c>
      <c r="E4071" s="1566"/>
      <c r="F4071" s="1566"/>
      <c r="G4071" s="1566" t="s">
        <v>9074</v>
      </c>
      <c r="H4071" s="1568">
        <v>1</v>
      </c>
      <c r="I4071" s="1566"/>
      <c r="J4071" s="1566"/>
      <c r="K4071" s="1572">
        <v>368</v>
      </c>
      <c r="L4071" s="1565">
        <v>74558</v>
      </c>
      <c r="M4071" s="1564"/>
      <c r="N4071" s="1565">
        <v>74558</v>
      </c>
      <c r="O4071" s="1565">
        <v>42875.12</v>
      </c>
      <c r="P4071" s="1565">
        <v>30415.68</v>
      </c>
      <c r="Q4071" s="1565">
        <v>1267.2</v>
      </c>
      <c r="R4071" s="1565">
        <v>31682.880000000001</v>
      </c>
      <c r="S4071" s="1562"/>
    </row>
    <row r="4072" spans="2:19" ht="11.25" customHeight="1" outlineLevel="1">
      <c r="B4072" s="1573">
        <v>25668</v>
      </c>
      <c r="C4072" s="1566" t="s">
        <v>4714</v>
      </c>
      <c r="D4072" s="1566" t="s">
        <v>9078</v>
      </c>
      <c r="E4072" s="1566"/>
      <c r="F4072" s="1566"/>
      <c r="G4072" s="1566" t="s">
        <v>9074</v>
      </c>
      <c r="H4072" s="1568">
        <v>1</v>
      </c>
      <c r="I4072" s="1566"/>
      <c r="J4072" s="1566"/>
      <c r="K4072" s="1572">
        <v>368</v>
      </c>
      <c r="L4072" s="1565">
        <v>16937</v>
      </c>
      <c r="M4072" s="1564"/>
      <c r="N4072" s="1565">
        <v>16937</v>
      </c>
      <c r="O4072" s="1565">
        <v>2822.12</v>
      </c>
      <c r="P4072" s="1565">
        <v>13550.4</v>
      </c>
      <c r="Q4072" s="1572">
        <v>564.48</v>
      </c>
      <c r="R4072" s="1565">
        <v>14114.88</v>
      </c>
      <c r="S4072" s="1562"/>
    </row>
    <row r="4073" spans="2:19" ht="11.25" customHeight="1" outlineLevel="1">
      <c r="B4073" s="1573">
        <v>25669</v>
      </c>
      <c r="C4073" s="1566" t="s">
        <v>4714</v>
      </c>
      <c r="D4073" s="1566" t="s">
        <v>9077</v>
      </c>
      <c r="E4073" s="1566"/>
      <c r="F4073" s="1566"/>
      <c r="G4073" s="1566" t="s">
        <v>9074</v>
      </c>
      <c r="H4073" s="1568">
        <v>1</v>
      </c>
      <c r="I4073" s="1566"/>
      <c r="J4073" s="1566"/>
      <c r="K4073" s="1572">
        <v>368</v>
      </c>
      <c r="L4073" s="1565">
        <v>18041</v>
      </c>
      <c r="M4073" s="1564"/>
      <c r="N4073" s="1565">
        <v>18041</v>
      </c>
      <c r="O4073" s="1565">
        <v>3007.76</v>
      </c>
      <c r="P4073" s="1565">
        <v>14431.68</v>
      </c>
      <c r="Q4073" s="1572">
        <v>601.55999999999995</v>
      </c>
      <c r="R4073" s="1565">
        <v>15033.24</v>
      </c>
      <c r="S4073" s="1562"/>
    </row>
    <row r="4074" spans="2:19" ht="11.25" customHeight="1" outlineLevel="1">
      <c r="B4074" s="1573">
        <v>25670</v>
      </c>
      <c r="C4074" s="1566" t="s">
        <v>4714</v>
      </c>
      <c r="D4074" s="1566" t="s">
        <v>9076</v>
      </c>
      <c r="E4074" s="1566"/>
      <c r="F4074" s="1566"/>
      <c r="G4074" s="1566" t="s">
        <v>9074</v>
      </c>
      <c r="H4074" s="1568">
        <v>1</v>
      </c>
      <c r="I4074" s="1566"/>
      <c r="J4074" s="1566"/>
      <c r="K4074" s="1572">
        <v>368</v>
      </c>
      <c r="L4074" s="1565">
        <v>22091</v>
      </c>
      <c r="M4074" s="1564"/>
      <c r="N4074" s="1565">
        <v>22091</v>
      </c>
      <c r="O4074" s="1565">
        <v>3682.76</v>
      </c>
      <c r="P4074" s="1565">
        <v>17671.68</v>
      </c>
      <c r="Q4074" s="1572">
        <v>736.56</v>
      </c>
      <c r="R4074" s="1565">
        <v>18408.240000000002</v>
      </c>
      <c r="S4074" s="1562"/>
    </row>
    <row r="4075" spans="2:19" ht="11.25" customHeight="1" outlineLevel="1">
      <c r="B4075" s="1573">
        <v>25671</v>
      </c>
      <c r="C4075" s="1566" t="s">
        <v>4714</v>
      </c>
      <c r="D4075" s="1566" t="s">
        <v>9075</v>
      </c>
      <c r="E4075" s="1566"/>
      <c r="F4075" s="1566"/>
      <c r="G4075" s="1566" t="s">
        <v>9074</v>
      </c>
      <c r="H4075" s="1568">
        <v>1</v>
      </c>
      <c r="I4075" s="1566"/>
      <c r="J4075" s="1566"/>
      <c r="K4075" s="1572">
        <v>368</v>
      </c>
      <c r="L4075" s="1565">
        <v>13034</v>
      </c>
      <c r="M4075" s="1564"/>
      <c r="N4075" s="1565">
        <v>13034</v>
      </c>
      <c r="O4075" s="1565">
        <v>2171.2399999999998</v>
      </c>
      <c r="P4075" s="1565">
        <v>10428.48</v>
      </c>
      <c r="Q4075" s="1572">
        <v>434.28</v>
      </c>
      <c r="R4075" s="1565">
        <v>10862.76</v>
      </c>
      <c r="S4075" s="1562"/>
    </row>
    <row r="4076" spans="2:19" ht="11.25" customHeight="1" outlineLevel="1">
      <c r="B4076" s="1573">
        <v>25672</v>
      </c>
      <c r="C4076" s="1566" t="s">
        <v>4714</v>
      </c>
      <c r="D4076" s="1566" t="s">
        <v>9073</v>
      </c>
      <c r="E4076" s="1566"/>
      <c r="F4076" s="1566"/>
      <c r="G4076" s="1566" t="s">
        <v>9072</v>
      </c>
      <c r="H4076" s="1568">
        <v>1</v>
      </c>
      <c r="I4076" s="1566"/>
      <c r="J4076" s="1566"/>
      <c r="K4076" s="1572">
        <v>368</v>
      </c>
      <c r="L4076" s="1565">
        <v>113769</v>
      </c>
      <c r="M4076" s="1564"/>
      <c r="N4076" s="1565">
        <v>113769</v>
      </c>
      <c r="O4076" s="1565">
        <v>65424.12</v>
      </c>
      <c r="P4076" s="1565">
        <v>46411.199999999997</v>
      </c>
      <c r="Q4076" s="1565">
        <v>1933.68</v>
      </c>
      <c r="R4076" s="1565">
        <v>48344.88</v>
      </c>
      <c r="S4076" s="1562"/>
    </row>
    <row r="4077" spans="2:19" ht="11.25" customHeight="1" outlineLevel="1">
      <c r="B4077" s="1573">
        <v>25673</v>
      </c>
      <c r="C4077" s="1566" t="s">
        <v>4714</v>
      </c>
      <c r="D4077" s="1566" t="s">
        <v>9071</v>
      </c>
      <c r="E4077" s="1566"/>
      <c r="F4077" s="1566"/>
      <c r="G4077" s="1566" t="s">
        <v>9070</v>
      </c>
      <c r="H4077" s="1568">
        <v>1</v>
      </c>
      <c r="I4077" s="1566"/>
      <c r="J4077" s="1566"/>
      <c r="K4077" s="1572">
        <v>321</v>
      </c>
      <c r="L4077" s="1565">
        <v>20269</v>
      </c>
      <c r="M4077" s="1564"/>
      <c r="N4077" s="1565">
        <v>20269</v>
      </c>
      <c r="O4077" s="1565">
        <v>3378.88</v>
      </c>
      <c r="P4077" s="1565">
        <v>16214.4</v>
      </c>
      <c r="Q4077" s="1572">
        <v>675.72</v>
      </c>
      <c r="R4077" s="1565">
        <v>16890.12</v>
      </c>
      <c r="S4077" s="1562"/>
    </row>
    <row r="4078" spans="2:19" ht="11.25" customHeight="1" outlineLevel="1">
      <c r="B4078" s="1573">
        <v>25674</v>
      </c>
      <c r="C4078" s="1566" t="s">
        <v>4714</v>
      </c>
      <c r="D4078" s="1566" t="s">
        <v>9069</v>
      </c>
      <c r="E4078" s="1566"/>
      <c r="F4078" s="1566"/>
      <c r="G4078" s="1566" t="s">
        <v>9068</v>
      </c>
      <c r="H4078" s="1568">
        <v>1</v>
      </c>
      <c r="I4078" s="1566"/>
      <c r="J4078" s="1566"/>
      <c r="K4078" s="1572">
        <v>368</v>
      </c>
      <c r="L4078" s="1565">
        <v>109535</v>
      </c>
      <c r="M4078" s="1564"/>
      <c r="N4078" s="1565">
        <v>109535</v>
      </c>
      <c r="O4078" s="1565">
        <v>62990</v>
      </c>
      <c r="P4078" s="1565">
        <v>44683.199999999997</v>
      </c>
      <c r="Q4078" s="1565">
        <v>1861.8</v>
      </c>
      <c r="R4078" s="1565">
        <v>46545</v>
      </c>
      <c r="S4078" s="1562"/>
    </row>
    <row r="4079" spans="2:19" ht="11.25" customHeight="1" outlineLevel="1">
      <c r="B4079" s="1573">
        <v>25675</v>
      </c>
      <c r="C4079" s="1566" t="s">
        <v>4714</v>
      </c>
      <c r="D4079" s="1566" t="s">
        <v>9067</v>
      </c>
      <c r="E4079" s="1566"/>
      <c r="F4079" s="1566"/>
      <c r="G4079" s="1566" t="s">
        <v>9066</v>
      </c>
      <c r="H4079" s="1568">
        <v>1</v>
      </c>
      <c r="I4079" s="1566"/>
      <c r="J4079" s="1566"/>
      <c r="K4079" s="1572">
        <v>368</v>
      </c>
      <c r="L4079" s="1565">
        <v>73637</v>
      </c>
      <c r="M4079" s="1564"/>
      <c r="N4079" s="1565">
        <v>73637</v>
      </c>
      <c r="O4079" s="1565">
        <v>12272.12</v>
      </c>
      <c r="P4079" s="1565">
        <v>58910.400000000001</v>
      </c>
      <c r="Q4079" s="1565">
        <v>2454.48</v>
      </c>
      <c r="R4079" s="1565">
        <v>61364.88</v>
      </c>
      <c r="S4079" s="1562"/>
    </row>
    <row r="4080" spans="2:19" ht="11.25" customHeight="1" outlineLevel="1">
      <c r="B4080" s="1573">
        <v>25676</v>
      </c>
      <c r="C4080" s="1566" t="s">
        <v>4714</v>
      </c>
      <c r="D4080" s="1566" t="s">
        <v>9065</v>
      </c>
      <c r="E4080" s="1566"/>
      <c r="F4080" s="1566"/>
      <c r="G4080" s="1566" t="s">
        <v>9064</v>
      </c>
      <c r="H4080" s="1568">
        <v>1</v>
      </c>
      <c r="I4080" s="1566"/>
      <c r="J4080" s="1566"/>
      <c r="K4080" s="1572">
        <v>368</v>
      </c>
      <c r="L4080" s="1565">
        <v>16973</v>
      </c>
      <c r="M4080" s="1564"/>
      <c r="N4080" s="1565">
        <v>16973</v>
      </c>
      <c r="O4080" s="1565">
        <v>2828.12</v>
      </c>
      <c r="P4080" s="1565">
        <v>13579.2</v>
      </c>
      <c r="Q4080" s="1572">
        <v>565.67999999999995</v>
      </c>
      <c r="R4080" s="1565">
        <v>14144.88</v>
      </c>
      <c r="S4080" s="1562"/>
    </row>
    <row r="4081" spans="2:19" ht="11.25" customHeight="1" outlineLevel="1">
      <c r="B4081" s="1573">
        <v>25677</v>
      </c>
      <c r="C4081" s="1566" t="s">
        <v>4714</v>
      </c>
      <c r="D4081" s="1566" t="s">
        <v>9063</v>
      </c>
      <c r="E4081" s="1566"/>
      <c r="F4081" s="1566"/>
      <c r="G4081" s="1566" t="s">
        <v>9062</v>
      </c>
      <c r="H4081" s="1568">
        <v>1</v>
      </c>
      <c r="I4081" s="1566"/>
      <c r="J4081" s="1566"/>
      <c r="K4081" s="1572">
        <v>368</v>
      </c>
      <c r="L4081" s="1565">
        <v>7732</v>
      </c>
      <c r="M4081" s="1564"/>
      <c r="N4081" s="1565">
        <v>7732</v>
      </c>
      <c r="O4081" s="1565">
        <v>1288.1199999999999</v>
      </c>
      <c r="P4081" s="1565">
        <v>6186.24</v>
      </c>
      <c r="Q4081" s="1572">
        <v>257.64</v>
      </c>
      <c r="R4081" s="1565">
        <v>6443.88</v>
      </c>
      <c r="S4081" s="1562"/>
    </row>
    <row r="4082" spans="2:19" ht="11.25" customHeight="1" outlineLevel="1">
      <c r="B4082" s="1573">
        <v>25678</v>
      </c>
      <c r="C4082" s="1566" t="s">
        <v>4714</v>
      </c>
      <c r="D4082" s="1566" t="s">
        <v>9061</v>
      </c>
      <c r="E4082" s="1566"/>
      <c r="F4082" s="1566"/>
      <c r="G4082" s="1566" t="s">
        <v>4799</v>
      </c>
      <c r="H4082" s="1568">
        <v>1</v>
      </c>
      <c r="I4082" s="1566"/>
      <c r="J4082" s="1566"/>
      <c r="K4082" s="1572">
        <v>368</v>
      </c>
      <c r="L4082" s="1565">
        <v>3093</v>
      </c>
      <c r="M4082" s="1564"/>
      <c r="N4082" s="1565">
        <v>3093</v>
      </c>
      <c r="O4082" s="1572">
        <v>515.88</v>
      </c>
      <c r="P4082" s="1565">
        <v>2473.92</v>
      </c>
      <c r="Q4082" s="1572">
        <v>103.2</v>
      </c>
      <c r="R4082" s="1565">
        <v>2577.12</v>
      </c>
      <c r="S4082" s="1562"/>
    </row>
    <row r="4083" spans="2:19" ht="11.25" customHeight="1" outlineLevel="1">
      <c r="B4083" s="1573">
        <v>25679</v>
      </c>
      <c r="C4083" s="1566" t="s">
        <v>4714</v>
      </c>
      <c r="D4083" s="1566" t="s">
        <v>9060</v>
      </c>
      <c r="E4083" s="1566"/>
      <c r="F4083" s="1566"/>
      <c r="G4083" s="1566" t="s">
        <v>9059</v>
      </c>
      <c r="H4083" s="1568">
        <v>1</v>
      </c>
      <c r="I4083" s="1566"/>
      <c r="J4083" s="1566"/>
      <c r="K4083" s="1572">
        <v>368</v>
      </c>
      <c r="L4083" s="1565">
        <v>6186</v>
      </c>
      <c r="M4083" s="1564"/>
      <c r="N4083" s="1565">
        <v>6186</v>
      </c>
      <c r="O4083" s="1565">
        <v>1197</v>
      </c>
      <c r="P4083" s="1565">
        <v>4789.4399999999996</v>
      </c>
      <c r="Q4083" s="1572">
        <v>199.56</v>
      </c>
      <c r="R4083" s="1565">
        <v>4989</v>
      </c>
      <c r="S4083" s="1562"/>
    </row>
    <row r="4084" spans="2:19" ht="11.25" customHeight="1" outlineLevel="1">
      <c r="B4084" s="1573">
        <v>25680</v>
      </c>
      <c r="C4084" s="1566" t="s">
        <v>4714</v>
      </c>
      <c r="D4084" s="1566" t="s">
        <v>9058</v>
      </c>
      <c r="E4084" s="1566"/>
      <c r="F4084" s="1566"/>
      <c r="G4084" s="1566" t="s">
        <v>4799</v>
      </c>
      <c r="H4084" s="1568">
        <v>1</v>
      </c>
      <c r="I4084" s="1566"/>
      <c r="J4084" s="1566"/>
      <c r="K4084" s="1572">
        <v>368</v>
      </c>
      <c r="L4084" s="1565">
        <v>9426</v>
      </c>
      <c r="M4084" s="1564"/>
      <c r="N4084" s="1565">
        <v>9426</v>
      </c>
      <c r="O4084" s="1565">
        <v>2061.12</v>
      </c>
      <c r="P4084" s="1565">
        <v>7070.4</v>
      </c>
      <c r="Q4084" s="1572">
        <v>294.48</v>
      </c>
      <c r="R4084" s="1565">
        <v>7364.88</v>
      </c>
      <c r="S4084" s="1562"/>
    </row>
    <row r="4085" spans="2:19" ht="11.25" customHeight="1" outlineLevel="1">
      <c r="B4085" s="1573">
        <v>25681</v>
      </c>
      <c r="C4085" s="1566" t="s">
        <v>4714</v>
      </c>
      <c r="D4085" s="1566" t="s">
        <v>9057</v>
      </c>
      <c r="E4085" s="1566"/>
      <c r="F4085" s="1566"/>
      <c r="G4085" s="1566" t="s">
        <v>9056</v>
      </c>
      <c r="H4085" s="1568">
        <v>1</v>
      </c>
      <c r="I4085" s="1566"/>
      <c r="J4085" s="1566"/>
      <c r="K4085" s="1572">
        <v>356</v>
      </c>
      <c r="L4085" s="1565">
        <v>284586</v>
      </c>
      <c r="M4085" s="1564"/>
      <c r="N4085" s="1565">
        <v>284586</v>
      </c>
      <c r="O4085" s="1565">
        <v>142293</v>
      </c>
      <c r="P4085" s="1565">
        <v>136601.28</v>
      </c>
      <c r="Q4085" s="1565">
        <v>5691.72</v>
      </c>
      <c r="R4085" s="1565">
        <v>142293</v>
      </c>
      <c r="S4085" s="1562"/>
    </row>
    <row r="4086" spans="2:19" ht="11.25" customHeight="1" outlineLevel="1">
      <c r="B4086" s="1573">
        <v>25682</v>
      </c>
      <c r="C4086" s="1566" t="s">
        <v>4714</v>
      </c>
      <c r="D4086" s="1566" t="s">
        <v>9055</v>
      </c>
      <c r="E4086" s="1566"/>
      <c r="F4086" s="1566"/>
      <c r="G4086" s="1566" t="s">
        <v>9054</v>
      </c>
      <c r="H4086" s="1568">
        <v>1</v>
      </c>
      <c r="I4086" s="1566"/>
      <c r="J4086" s="1566"/>
      <c r="K4086" s="1572">
        <v>460</v>
      </c>
      <c r="L4086" s="1565">
        <v>129049</v>
      </c>
      <c r="M4086" s="1564"/>
      <c r="N4086" s="1565">
        <v>129049</v>
      </c>
      <c r="O4086" s="1565">
        <v>21508</v>
      </c>
      <c r="P4086" s="1565">
        <v>103239.36</v>
      </c>
      <c r="Q4086" s="1565">
        <v>4301.6400000000003</v>
      </c>
      <c r="R4086" s="1565">
        <v>107541</v>
      </c>
      <c r="S4086" s="1562"/>
    </row>
    <row r="4087" spans="2:19" ht="11.25" customHeight="1" outlineLevel="1">
      <c r="B4087" s="1573">
        <v>25683</v>
      </c>
      <c r="C4087" s="1566" t="s">
        <v>4714</v>
      </c>
      <c r="D4087" s="1566" t="s">
        <v>9053</v>
      </c>
      <c r="E4087" s="1566"/>
      <c r="F4087" s="1566"/>
      <c r="G4087" s="1566" t="s">
        <v>9052</v>
      </c>
      <c r="H4087" s="1568">
        <v>1</v>
      </c>
      <c r="I4087" s="1566"/>
      <c r="J4087" s="1566"/>
      <c r="K4087" s="1572">
        <v>368</v>
      </c>
      <c r="L4087" s="1565">
        <v>3682</v>
      </c>
      <c r="M4087" s="1564"/>
      <c r="N4087" s="1565">
        <v>3682</v>
      </c>
      <c r="O4087" s="1572">
        <v>805.12</v>
      </c>
      <c r="P4087" s="1565">
        <v>2761.92</v>
      </c>
      <c r="Q4087" s="1572">
        <v>114.96</v>
      </c>
      <c r="R4087" s="1565">
        <v>2876.88</v>
      </c>
      <c r="S4087" s="1562"/>
    </row>
    <row r="4088" spans="2:19" ht="11.25" customHeight="1" outlineLevel="1">
      <c r="B4088" s="1573">
        <v>25684</v>
      </c>
      <c r="C4088" s="1566" t="s">
        <v>4714</v>
      </c>
      <c r="D4088" s="1566" t="s">
        <v>9051</v>
      </c>
      <c r="E4088" s="1566"/>
      <c r="F4088" s="1566"/>
      <c r="G4088" s="1566" t="s">
        <v>9050</v>
      </c>
      <c r="H4088" s="1568">
        <v>1</v>
      </c>
      <c r="I4088" s="1566"/>
      <c r="J4088" s="1566"/>
      <c r="K4088" s="1572">
        <v>368</v>
      </c>
      <c r="L4088" s="1565">
        <v>38660</v>
      </c>
      <c r="M4088" s="1564"/>
      <c r="N4088" s="1565">
        <v>38660</v>
      </c>
      <c r="O4088" s="1565">
        <v>8456.1200000000008</v>
      </c>
      <c r="P4088" s="1565">
        <v>28995.84</v>
      </c>
      <c r="Q4088" s="1565">
        <v>1208.04</v>
      </c>
      <c r="R4088" s="1565">
        <v>30203.88</v>
      </c>
      <c r="S4088" s="1562"/>
    </row>
    <row r="4089" spans="2:19" ht="11.25" customHeight="1" outlineLevel="1">
      <c r="B4089" s="1573">
        <v>25685</v>
      </c>
      <c r="C4089" s="1566" t="s">
        <v>4714</v>
      </c>
      <c r="D4089" s="1566" t="s">
        <v>9049</v>
      </c>
      <c r="E4089" s="1566"/>
      <c r="F4089" s="1566"/>
      <c r="G4089" s="1566" t="s">
        <v>9048</v>
      </c>
      <c r="H4089" s="1568">
        <v>1</v>
      </c>
      <c r="I4089" s="1566"/>
      <c r="J4089" s="1566"/>
      <c r="K4089" s="1572">
        <v>354</v>
      </c>
      <c r="L4089" s="1565">
        <v>140024</v>
      </c>
      <c r="M4089" s="1564"/>
      <c r="N4089" s="1565">
        <v>140024</v>
      </c>
      <c r="O4089" s="1565">
        <v>27101.119999999999</v>
      </c>
      <c r="P4089" s="1565">
        <v>108406.08</v>
      </c>
      <c r="Q4089" s="1565">
        <v>4516.8</v>
      </c>
      <c r="R4089" s="1565">
        <v>112922.88</v>
      </c>
      <c r="S4089" s="1562"/>
    </row>
    <row r="4090" spans="2:19" ht="11.25" customHeight="1" outlineLevel="1">
      <c r="B4090" s="1573">
        <v>25705</v>
      </c>
      <c r="C4090" s="1566" t="s">
        <v>4714</v>
      </c>
      <c r="D4090" s="1566" t="s">
        <v>9047</v>
      </c>
      <c r="E4090" s="1566"/>
      <c r="F4090" s="1566"/>
      <c r="G4090" s="1566" t="s">
        <v>8510</v>
      </c>
      <c r="H4090" s="1568">
        <v>1</v>
      </c>
      <c r="I4090" s="1566"/>
      <c r="J4090" s="1566"/>
      <c r="K4090" s="1565">
        <v>35231</v>
      </c>
      <c r="L4090" s="1565">
        <v>35231</v>
      </c>
      <c r="M4090" s="1564"/>
      <c r="N4090" s="1565">
        <v>35231</v>
      </c>
      <c r="O4090" s="1565">
        <v>13211.1</v>
      </c>
      <c r="P4090" s="1565">
        <v>21139.200000000001</v>
      </c>
      <c r="Q4090" s="1572">
        <v>880.7</v>
      </c>
      <c r="R4090" s="1565">
        <v>22019.9</v>
      </c>
      <c r="S4090" s="1562"/>
    </row>
    <row r="4091" spans="2:19" ht="11.25" customHeight="1" outlineLevel="1">
      <c r="B4091" s="1573">
        <v>25733</v>
      </c>
      <c r="C4091" s="1566" t="s">
        <v>4714</v>
      </c>
      <c r="D4091" s="1566" t="s">
        <v>9046</v>
      </c>
      <c r="E4091" s="1566"/>
      <c r="F4091" s="1566"/>
      <c r="G4091" s="1566" t="s">
        <v>9045</v>
      </c>
      <c r="H4091" s="1568">
        <v>1</v>
      </c>
      <c r="I4091" s="1566"/>
      <c r="J4091" s="1566"/>
      <c r="K4091" s="1565">
        <v>16168</v>
      </c>
      <c r="L4091" s="1565">
        <v>16168</v>
      </c>
      <c r="M4091" s="1564"/>
      <c r="N4091" s="1565">
        <v>16168</v>
      </c>
      <c r="O4091" s="1565">
        <v>3537.76</v>
      </c>
      <c r="P4091" s="1565">
        <v>12124.8</v>
      </c>
      <c r="Q4091" s="1572">
        <v>505.44</v>
      </c>
      <c r="R4091" s="1565">
        <v>12630.24</v>
      </c>
      <c r="S4091" s="1562"/>
    </row>
    <row r="4092" spans="2:19" ht="11.25" customHeight="1" outlineLevel="1">
      <c r="B4092" s="1573">
        <v>25734</v>
      </c>
      <c r="C4092" s="1566" t="s">
        <v>4714</v>
      </c>
      <c r="D4092" s="1566" t="s">
        <v>9044</v>
      </c>
      <c r="E4092" s="1566"/>
      <c r="F4092" s="1566"/>
      <c r="G4092" s="1566" t="s">
        <v>4784</v>
      </c>
      <c r="H4092" s="1568">
        <v>1</v>
      </c>
      <c r="I4092" s="1566"/>
      <c r="J4092" s="1566"/>
      <c r="K4092" s="1572">
        <v>192</v>
      </c>
      <c r="L4092" s="1565">
        <v>5221</v>
      </c>
      <c r="M4092" s="1564"/>
      <c r="N4092" s="1565">
        <v>5221</v>
      </c>
      <c r="O4092" s="1565">
        <v>3001.12</v>
      </c>
      <c r="P4092" s="1565">
        <v>2131.1999999999998</v>
      </c>
      <c r="Q4092" s="1572">
        <v>88.68</v>
      </c>
      <c r="R4092" s="1565">
        <v>2219.88</v>
      </c>
      <c r="S4092" s="1562"/>
    </row>
    <row r="4093" spans="2:19" ht="11.25" customHeight="1" outlineLevel="1">
      <c r="B4093" s="1573">
        <v>25736</v>
      </c>
      <c r="C4093" s="1566" t="s">
        <v>4714</v>
      </c>
      <c r="D4093" s="1566" t="s">
        <v>9043</v>
      </c>
      <c r="E4093" s="1566"/>
      <c r="F4093" s="1566"/>
      <c r="G4093" s="1566" t="s">
        <v>9042</v>
      </c>
      <c r="H4093" s="1568">
        <v>1</v>
      </c>
      <c r="I4093" s="1566"/>
      <c r="J4093" s="1566"/>
      <c r="K4093" s="1572">
        <v>263</v>
      </c>
      <c r="L4093" s="1565">
        <v>6826</v>
      </c>
      <c r="M4093" s="1564"/>
      <c r="N4093" s="1565">
        <v>6826</v>
      </c>
      <c r="O4093" s="1565">
        <v>3925</v>
      </c>
      <c r="P4093" s="1565">
        <v>2784.96</v>
      </c>
      <c r="Q4093" s="1572">
        <v>116.04</v>
      </c>
      <c r="R4093" s="1565">
        <v>2901</v>
      </c>
      <c r="S4093" s="1562"/>
    </row>
    <row r="4094" spans="2:19" ht="11.25" customHeight="1" outlineLevel="1">
      <c r="B4094" s="1573">
        <v>25739</v>
      </c>
      <c r="C4094" s="1566" t="s">
        <v>4714</v>
      </c>
      <c r="D4094" s="1566" t="s">
        <v>9041</v>
      </c>
      <c r="E4094" s="1566"/>
      <c r="F4094" s="1566"/>
      <c r="G4094" s="1566" t="s">
        <v>4778</v>
      </c>
      <c r="H4094" s="1568">
        <v>1</v>
      </c>
      <c r="I4094" s="1566"/>
      <c r="J4094" s="1566"/>
      <c r="K4094" s="1572">
        <v>90</v>
      </c>
      <c r="L4094" s="1572">
        <v>825</v>
      </c>
      <c r="M4094" s="1564"/>
      <c r="N4094" s="1572">
        <v>825</v>
      </c>
      <c r="O4094" s="1572">
        <v>474</v>
      </c>
      <c r="P4094" s="1572">
        <v>336.96</v>
      </c>
      <c r="Q4094" s="1572">
        <v>14.04</v>
      </c>
      <c r="R4094" s="1572">
        <v>351</v>
      </c>
      <c r="S4094" s="1562"/>
    </row>
    <row r="4095" spans="2:19" ht="11.25" customHeight="1" outlineLevel="1">
      <c r="B4095" s="1573">
        <v>25741</v>
      </c>
      <c r="C4095" s="1566" t="s">
        <v>4714</v>
      </c>
      <c r="D4095" s="1566" t="s">
        <v>9040</v>
      </c>
      <c r="E4095" s="1566"/>
      <c r="F4095" s="1566"/>
      <c r="G4095" s="1566" t="s">
        <v>9039</v>
      </c>
      <c r="H4095" s="1568">
        <v>1</v>
      </c>
      <c r="I4095" s="1566"/>
      <c r="J4095" s="1566"/>
      <c r="K4095" s="1572">
        <v>134</v>
      </c>
      <c r="L4095" s="1565">
        <v>9948</v>
      </c>
      <c r="M4095" s="1564"/>
      <c r="N4095" s="1565">
        <v>9948</v>
      </c>
      <c r="O4095" s="1565">
        <v>5721</v>
      </c>
      <c r="P4095" s="1565">
        <v>4057.92</v>
      </c>
      <c r="Q4095" s="1572">
        <v>169.08</v>
      </c>
      <c r="R4095" s="1565">
        <v>4227</v>
      </c>
      <c r="S4095" s="1562"/>
    </row>
    <row r="4096" spans="2:19" ht="11.25" customHeight="1" outlineLevel="1">
      <c r="B4096" s="1573">
        <v>25742</v>
      </c>
      <c r="C4096" s="1566" t="s">
        <v>4714</v>
      </c>
      <c r="D4096" s="1566" t="s">
        <v>9038</v>
      </c>
      <c r="E4096" s="1566"/>
      <c r="F4096" s="1566"/>
      <c r="G4096" s="1566" t="s">
        <v>4776</v>
      </c>
      <c r="H4096" s="1568">
        <v>1</v>
      </c>
      <c r="I4096" s="1566"/>
      <c r="J4096" s="1566"/>
      <c r="K4096" s="1572">
        <v>164</v>
      </c>
      <c r="L4096" s="1565">
        <v>12280</v>
      </c>
      <c r="M4096" s="1564"/>
      <c r="N4096" s="1565">
        <v>12280</v>
      </c>
      <c r="O4096" s="1565">
        <v>7062.88</v>
      </c>
      <c r="P4096" s="1565">
        <v>5008.32</v>
      </c>
      <c r="Q4096" s="1572">
        <v>208.8</v>
      </c>
      <c r="R4096" s="1565">
        <v>5217.12</v>
      </c>
      <c r="S4096" s="1562"/>
    </row>
    <row r="4097" spans="2:19" ht="11.25" customHeight="1" outlineLevel="1">
      <c r="B4097" s="1573">
        <v>25744</v>
      </c>
      <c r="C4097" s="1566" t="s">
        <v>4714</v>
      </c>
      <c r="D4097" s="1566" t="s">
        <v>9037</v>
      </c>
      <c r="E4097" s="1566"/>
      <c r="F4097" s="1566"/>
      <c r="G4097" s="1566" t="s">
        <v>4772</v>
      </c>
      <c r="H4097" s="1568">
        <v>1</v>
      </c>
      <c r="I4097" s="1566"/>
      <c r="J4097" s="1566"/>
      <c r="K4097" s="1572">
        <v>950</v>
      </c>
      <c r="L4097" s="1565">
        <v>14251</v>
      </c>
      <c r="M4097" s="1564"/>
      <c r="N4097" s="1565">
        <v>14251</v>
      </c>
      <c r="O4097" s="1565">
        <v>8194.1200000000008</v>
      </c>
      <c r="P4097" s="1565">
        <v>5814.72</v>
      </c>
      <c r="Q4097" s="1572">
        <v>242.16</v>
      </c>
      <c r="R4097" s="1565">
        <v>6056.88</v>
      </c>
      <c r="S4097" s="1562"/>
    </row>
    <row r="4098" spans="2:19" ht="11.25" customHeight="1" outlineLevel="1">
      <c r="B4098" s="1573">
        <v>25746</v>
      </c>
      <c r="C4098" s="1566" t="s">
        <v>4714</v>
      </c>
      <c r="D4098" s="1566" t="s">
        <v>9036</v>
      </c>
      <c r="E4098" s="1566"/>
      <c r="F4098" s="1566"/>
      <c r="G4098" s="1566" t="s">
        <v>4772</v>
      </c>
      <c r="H4098" s="1568">
        <v>1</v>
      </c>
      <c r="I4098" s="1566"/>
      <c r="J4098" s="1566"/>
      <c r="K4098" s="1572">
        <v>950</v>
      </c>
      <c r="L4098" s="1565">
        <v>14251</v>
      </c>
      <c r="M4098" s="1564"/>
      <c r="N4098" s="1565">
        <v>14251</v>
      </c>
      <c r="O4098" s="1565">
        <v>8194.1200000000008</v>
      </c>
      <c r="P4098" s="1565">
        <v>5814.72</v>
      </c>
      <c r="Q4098" s="1572">
        <v>242.16</v>
      </c>
      <c r="R4098" s="1565">
        <v>6056.88</v>
      </c>
      <c r="S4098" s="1562"/>
    </row>
    <row r="4099" spans="2:19" ht="11.25" customHeight="1" outlineLevel="1">
      <c r="B4099" s="1573">
        <v>25748</v>
      </c>
      <c r="C4099" s="1566" t="s">
        <v>4714</v>
      </c>
      <c r="D4099" s="1566" t="s">
        <v>9035</v>
      </c>
      <c r="E4099" s="1566"/>
      <c r="F4099" s="1566"/>
      <c r="G4099" s="1566" t="s">
        <v>4769</v>
      </c>
      <c r="H4099" s="1568">
        <v>1</v>
      </c>
      <c r="I4099" s="1566"/>
      <c r="J4099" s="1566"/>
      <c r="K4099" s="1572">
        <v>26</v>
      </c>
      <c r="L4099" s="1572">
        <v>401</v>
      </c>
      <c r="M4099" s="1564"/>
      <c r="N4099" s="1572">
        <v>401</v>
      </c>
      <c r="O4099" s="1572">
        <v>230</v>
      </c>
      <c r="P4099" s="1572">
        <v>164.16</v>
      </c>
      <c r="Q4099" s="1572">
        <v>6.84</v>
      </c>
      <c r="R4099" s="1572">
        <v>171</v>
      </c>
      <c r="S4099" s="1562"/>
    </row>
    <row r="4100" spans="2:19" ht="11.25" customHeight="1" outlineLevel="1">
      <c r="B4100" s="1573">
        <v>25751</v>
      </c>
      <c r="C4100" s="1566" t="s">
        <v>4714</v>
      </c>
      <c r="D4100" s="1566" t="s">
        <v>9034</v>
      </c>
      <c r="E4100" s="1566"/>
      <c r="F4100" s="1566"/>
      <c r="G4100" s="1566" t="s">
        <v>4778</v>
      </c>
      <c r="H4100" s="1568">
        <v>1</v>
      </c>
      <c r="I4100" s="1566"/>
      <c r="J4100" s="1566"/>
      <c r="K4100" s="1572">
        <v>40</v>
      </c>
      <c r="L4100" s="1565">
        <v>2012</v>
      </c>
      <c r="M4100" s="1564"/>
      <c r="N4100" s="1565">
        <v>2012</v>
      </c>
      <c r="O4100" s="1565">
        <v>1157</v>
      </c>
      <c r="P4100" s="1572">
        <v>820.8</v>
      </c>
      <c r="Q4100" s="1572">
        <v>34.200000000000003</v>
      </c>
      <c r="R4100" s="1572">
        <v>855</v>
      </c>
      <c r="S4100" s="1562"/>
    </row>
    <row r="4101" spans="2:19" ht="11.25" customHeight="1" outlineLevel="1">
      <c r="B4101" s="1573">
        <v>25752</v>
      </c>
      <c r="C4101" s="1566" t="s">
        <v>4714</v>
      </c>
      <c r="D4101" s="1566" t="s">
        <v>9033</v>
      </c>
      <c r="E4101" s="1566"/>
      <c r="F4101" s="1566"/>
      <c r="G4101" s="1566" t="s">
        <v>4767</v>
      </c>
      <c r="H4101" s="1568">
        <v>1</v>
      </c>
      <c r="I4101" s="1566"/>
      <c r="J4101" s="1566"/>
      <c r="K4101" s="1572">
        <v>152</v>
      </c>
      <c r="L4101" s="1565">
        <v>2745</v>
      </c>
      <c r="M4101" s="1564"/>
      <c r="N4101" s="1565">
        <v>2745</v>
      </c>
      <c r="O4101" s="1572">
        <v>600.12</v>
      </c>
      <c r="P4101" s="1565">
        <v>2059.1999999999998</v>
      </c>
      <c r="Q4101" s="1572">
        <v>85.68</v>
      </c>
      <c r="R4101" s="1565">
        <v>2144.88</v>
      </c>
      <c r="S4101" s="1562"/>
    </row>
    <row r="4102" spans="2:19" ht="11.25" customHeight="1" outlineLevel="1">
      <c r="B4102" s="1573">
        <v>25754</v>
      </c>
      <c r="C4102" s="1566" t="s">
        <v>4714</v>
      </c>
      <c r="D4102" s="1566" t="s">
        <v>9032</v>
      </c>
      <c r="E4102" s="1566"/>
      <c r="F4102" s="1566"/>
      <c r="G4102" s="1566" t="s">
        <v>4765</v>
      </c>
      <c r="H4102" s="1568">
        <v>1</v>
      </c>
      <c r="I4102" s="1566"/>
      <c r="J4102" s="1566"/>
      <c r="K4102" s="1572">
        <v>121</v>
      </c>
      <c r="L4102" s="1565">
        <v>6171</v>
      </c>
      <c r="M4102" s="1564"/>
      <c r="N4102" s="1565">
        <v>6171</v>
      </c>
      <c r="O4102" s="1565">
        <v>3549</v>
      </c>
      <c r="P4102" s="1565">
        <v>2517.12</v>
      </c>
      <c r="Q4102" s="1572">
        <v>104.88</v>
      </c>
      <c r="R4102" s="1565">
        <v>2622</v>
      </c>
      <c r="S4102" s="1562"/>
    </row>
    <row r="4103" spans="2:19" ht="11.25" customHeight="1" outlineLevel="1">
      <c r="B4103" s="1573">
        <v>25756</v>
      </c>
      <c r="C4103" s="1566" t="s">
        <v>4714</v>
      </c>
      <c r="D4103" s="1566" t="s">
        <v>9031</v>
      </c>
      <c r="E4103" s="1566"/>
      <c r="F4103" s="1566"/>
      <c r="G4103" s="1566" t="s">
        <v>4763</v>
      </c>
      <c r="H4103" s="1568">
        <v>1</v>
      </c>
      <c r="I4103" s="1566"/>
      <c r="J4103" s="1566"/>
      <c r="K4103" s="1572">
        <v>187</v>
      </c>
      <c r="L4103" s="1565">
        <v>13778</v>
      </c>
      <c r="M4103" s="1564"/>
      <c r="N4103" s="1565">
        <v>13778</v>
      </c>
      <c r="O4103" s="1565">
        <v>7922.12</v>
      </c>
      <c r="P4103" s="1565">
        <v>5621.76</v>
      </c>
      <c r="Q4103" s="1572">
        <v>234.12</v>
      </c>
      <c r="R4103" s="1565">
        <v>5855.88</v>
      </c>
      <c r="S4103" s="1562"/>
    </row>
    <row r="4104" spans="2:19" ht="11.25" customHeight="1" outlineLevel="1">
      <c r="B4104" s="1573">
        <v>25758</v>
      </c>
      <c r="C4104" s="1566" t="s">
        <v>4714</v>
      </c>
      <c r="D4104" s="1566" t="s">
        <v>9030</v>
      </c>
      <c r="E4104" s="1566"/>
      <c r="F4104" s="1566"/>
      <c r="G4104" s="1566" t="s">
        <v>4757</v>
      </c>
      <c r="H4104" s="1568">
        <v>1</v>
      </c>
      <c r="I4104" s="1566"/>
      <c r="J4104" s="1566"/>
      <c r="K4104" s="1572">
        <v>183</v>
      </c>
      <c r="L4104" s="1565">
        <v>9589</v>
      </c>
      <c r="M4104" s="1564"/>
      <c r="N4104" s="1565">
        <v>9589</v>
      </c>
      <c r="O4104" s="1565">
        <v>5515</v>
      </c>
      <c r="P4104" s="1565">
        <v>3911.04</v>
      </c>
      <c r="Q4104" s="1572">
        <v>162.96</v>
      </c>
      <c r="R4104" s="1565">
        <v>4074</v>
      </c>
      <c r="S4104" s="1562"/>
    </row>
    <row r="4105" spans="2:19" ht="11.25" customHeight="1" outlineLevel="1">
      <c r="B4105" s="1573">
        <v>25764</v>
      </c>
      <c r="C4105" s="1566" t="s">
        <v>4714</v>
      </c>
      <c r="D4105" s="1566" t="s">
        <v>9029</v>
      </c>
      <c r="E4105" s="1566"/>
      <c r="F4105" s="1566"/>
      <c r="G4105" s="1566" t="s">
        <v>4780</v>
      </c>
      <c r="H4105" s="1568">
        <v>1</v>
      </c>
      <c r="I4105" s="1566"/>
      <c r="J4105" s="1566"/>
      <c r="K4105" s="1572">
        <v>950</v>
      </c>
      <c r="L4105" s="1565">
        <v>381459</v>
      </c>
      <c r="M4105" s="1564"/>
      <c r="N4105" s="1565">
        <v>381459</v>
      </c>
      <c r="O4105" s="1565">
        <v>219366</v>
      </c>
      <c r="P4105" s="1565">
        <v>155609.28</v>
      </c>
      <c r="Q4105" s="1565">
        <v>6483.72</v>
      </c>
      <c r="R4105" s="1565">
        <v>162093</v>
      </c>
      <c r="S4105" s="1562"/>
    </row>
    <row r="4106" spans="2:19" ht="11.25" customHeight="1" outlineLevel="1">
      <c r="B4106" s="1573">
        <v>25766</v>
      </c>
      <c r="C4106" s="1566" t="s">
        <v>4714</v>
      </c>
      <c r="D4106" s="1566" t="s">
        <v>9028</v>
      </c>
      <c r="E4106" s="1566"/>
      <c r="F4106" s="1566"/>
      <c r="G4106" s="1566" t="s">
        <v>9027</v>
      </c>
      <c r="H4106" s="1568">
        <v>1</v>
      </c>
      <c r="I4106" s="1566"/>
      <c r="J4106" s="1566"/>
      <c r="K4106" s="1565">
        <v>1176</v>
      </c>
      <c r="L4106" s="1565">
        <v>23759</v>
      </c>
      <c r="M4106" s="1564"/>
      <c r="N4106" s="1565">
        <v>23759</v>
      </c>
      <c r="O4106" s="1565">
        <v>13663.93</v>
      </c>
      <c r="P4106" s="1565">
        <v>9691.2000000000007</v>
      </c>
      <c r="Q4106" s="1572">
        <v>403.87</v>
      </c>
      <c r="R4106" s="1565">
        <v>10095.07</v>
      </c>
      <c r="S4106" s="1562"/>
    </row>
    <row r="4107" spans="2:19" ht="11.25" customHeight="1" outlineLevel="1">
      <c r="B4107" s="1573">
        <v>25768</v>
      </c>
      <c r="C4107" s="1566" t="s">
        <v>4714</v>
      </c>
      <c r="D4107" s="1566" t="s">
        <v>9026</v>
      </c>
      <c r="E4107" s="1566"/>
      <c r="F4107" s="1566"/>
      <c r="G4107" s="1566" t="s">
        <v>9024</v>
      </c>
      <c r="H4107" s="1568">
        <v>1</v>
      </c>
      <c r="I4107" s="1566"/>
      <c r="J4107" s="1566"/>
      <c r="K4107" s="1572">
        <v>430</v>
      </c>
      <c r="L4107" s="1565">
        <v>119970</v>
      </c>
      <c r="M4107" s="1564"/>
      <c r="N4107" s="1565">
        <v>119970</v>
      </c>
      <c r="O4107" s="1565">
        <v>68991</v>
      </c>
      <c r="P4107" s="1565">
        <v>48939.839999999997</v>
      </c>
      <c r="Q4107" s="1565">
        <v>2039.16</v>
      </c>
      <c r="R4107" s="1565">
        <v>50979</v>
      </c>
      <c r="S4107" s="1562"/>
    </row>
    <row r="4108" spans="2:19" ht="11.25" customHeight="1" outlineLevel="1">
      <c r="B4108" s="1573">
        <v>25769</v>
      </c>
      <c r="C4108" s="1566" t="s">
        <v>4714</v>
      </c>
      <c r="D4108" s="1566" t="s">
        <v>9025</v>
      </c>
      <c r="E4108" s="1566"/>
      <c r="F4108" s="1566"/>
      <c r="G4108" s="1566" t="s">
        <v>9024</v>
      </c>
      <c r="H4108" s="1568">
        <v>1</v>
      </c>
      <c r="I4108" s="1566"/>
      <c r="J4108" s="1566"/>
      <c r="K4108" s="1572">
        <v>382</v>
      </c>
      <c r="L4108" s="1565">
        <v>5799</v>
      </c>
      <c r="M4108" s="1564"/>
      <c r="N4108" s="1565">
        <v>5799</v>
      </c>
      <c r="O4108" s="1565">
        <v>3335.88</v>
      </c>
      <c r="P4108" s="1565">
        <v>2364.48</v>
      </c>
      <c r="Q4108" s="1572">
        <v>98.64</v>
      </c>
      <c r="R4108" s="1565">
        <v>2463.12</v>
      </c>
      <c r="S4108" s="1562"/>
    </row>
    <row r="4109" spans="2:19" ht="11.25" customHeight="1" outlineLevel="1">
      <c r="B4109" s="1573">
        <v>25773</v>
      </c>
      <c r="C4109" s="1566" t="s">
        <v>4714</v>
      </c>
      <c r="D4109" s="1566" t="s">
        <v>9023</v>
      </c>
      <c r="E4109" s="1566"/>
      <c r="F4109" s="1566"/>
      <c r="G4109" s="1566" t="s">
        <v>5412</v>
      </c>
      <c r="H4109" s="1568">
        <v>1</v>
      </c>
      <c r="I4109" s="1566"/>
      <c r="J4109" s="1566"/>
      <c r="K4109" s="1565">
        <v>3102</v>
      </c>
      <c r="L4109" s="1565">
        <v>55838</v>
      </c>
      <c r="M4109" s="1564"/>
      <c r="N4109" s="1565">
        <v>55838</v>
      </c>
      <c r="O4109" s="1565">
        <v>32111</v>
      </c>
      <c r="P4109" s="1565">
        <v>22777.919999999998</v>
      </c>
      <c r="Q4109" s="1572">
        <v>949.08</v>
      </c>
      <c r="R4109" s="1565">
        <v>23727</v>
      </c>
      <c r="S4109" s="1562"/>
    </row>
    <row r="4110" spans="2:19" ht="11.25" customHeight="1" outlineLevel="1">
      <c r="B4110" s="1573">
        <v>25774</v>
      </c>
      <c r="C4110" s="1566" t="s">
        <v>4714</v>
      </c>
      <c r="D4110" s="1566" t="s">
        <v>9022</v>
      </c>
      <c r="E4110" s="1566"/>
      <c r="F4110" s="1566"/>
      <c r="G4110" s="1566" t="s">
        <v>4744</v>
      </c>
      <c r="H4110" s="1568">
        <v>1</v>
      </c>
      <c r="I4110" s="1566"/>
      <c r="J4110" s="1566"/>
      <c r="K4110" s="1572">
        <v>990</v>
      </c>
      <c r="L4110" s="1565">
        <v>7425</v>
      </c>
      <c r="M4110" s="1564"/>
      <c r="N4110" s="1565">
        <v>7425</v>
      </c>
      <c r="O4110" s="1565">
        <v>4269.09</v>
      </c>
      <c r="P4110" s="1565">
        <v>3029.76</v>
      </c>
      <c r="Q4110" s="1572">
        <v>126.15</v>
      </c>
      <c r="R4110" s="1565">
        <v>3155.91</v>
      </c>
      <c r="S4110" s="1562"/>
    </row>
    <row r="4111" spans="2:19" ht="11.25" customHeight="1" outlineLevel="1">
      <c r="B4111" s="1573">
        <v>25775</v>
      </c>
      <c r="C4111" s="1566" t="s">
        <v>4714</v>
      </c>
      <c r="D4111" s="1566" t="s">
        <v>9021</v>
      </c>
      <c r="E4111" s="1566"/>
      <c r="F4111" s="1566"/>
      <c r="G4111" s="1566" t="s">
        <v>4742</v>
      </c>
      <c r="H4111" s="1568">
        <v>1</v>
      </c>
      <c r="I4111" s="1566"/>
      <c r="J4111" s="1566"/>
      <c r="K4111" s="1572">
        <v>450</v>
      </c>
      <c r="L4111" s="1565">
        <v>2250</v>
      </c>
      <c r="M4111" s="1564"/>
      <c r="N4111" s="1565">
        <v>2250</v>
      </c>
      <c r="O4111" s="1572">
        <v>375</v>
      </c>
      <c r="P4111" s="1565">
        <v>1800</v>
      </c>
      <c r="Q4111" s="1572">
        <v>75</v>
      </c>
      <c r="R4111" s="1565">
        <v>1875</v>
      </c>
      <c r="S4111" s="1562"/>
    </row>
    <row r="4112" spans="2:19" ht="11.25" customHeight="1" outlineLevel="1">
      <c r="B4112" s="1573">
        <v>25776</v>
      </c>
      <c r="C4112" s="1566" t="s">
        <v>4714</v>
      </c>
      <c r="D4112" s="1566" t="s">
        <v>9020</v>
      </c>
      <c r="E4112" s="1566"/>
      <c r="F4112" s="1566"/>
      <c r="G4112" s="1566" t="s">
        <v>4740</v>
      </c>
      <c r="H4112" s="1568">
        <v>1</v>
      </c>
      <c r="I4112" s="1566"/>
      <c r="J4112" s="1566"/>
      <c r="K4112" s="1572">
        <v>990</v>
      </c>
      <c r="L4112" s="1565">
        <v>32868</v>
      </c>
      <c r="M4112" s="1564"/>
      <c r="N4112" s="1565">
        <v>32868</v>
      </c>
      <c r="O4112" s="1565">
        <v>18900.12</v>
      </c>
      <c r="P4112" s="1565">
        <v>13409.28</v>
      </c>
      <c r="Q4112" s="1572">
        <v>558.6</v>
      </c>
      <c r="R4112" s="1565">
        <v>13967.88</v>
      </c>
      <c r="S4112" s="1562"/>
    </row>
    <row r="4113" spans="2:19" ht="11.25" customHeight="1" outlineLevel="1">
      <c r="B4113" s="1573">
        <v>25777</v>
      </c>
      <c r="C4113" s="1566" t="s">
        <v>4714</v>
      </c>
      <c r="D4113" s="1566" t="s">
        <v>9019</v>
      </c>
      <c r="E4113" s="1566"/>
      <c r="F4113" s="1566"/>
      <c r="G4113" s="1566" t="s">
        <v>4738</v>
      </c>
      <c r="H4113" s="1568">
        <v>1</v>
      </c>
      <c r="I4113" s="1566"/>
      <c r="J4113" s="1566"/>
      <c r="K4113" s="1572">
        <v>354</v>
      </c>
      <c r="L4113" s="1565">
        <v>2479</v>
      </c>
      <c r="M4113" s="1564"/>
      <c r="N4113" s="1565">
        <v>2479</v>
      </c>
      <c r="O4113" s="1572">
        <v>412.24</v>
      </c>
      <c r="P4113" s="1565">
        <v>1984.32</v>
      </c>
      <c r="Q4113" s="1572">
        <v>82.44</v>
      </c>
      <c r="R4113" s="1565">
        <v>2066.7600000000002</v>
      </c>
      <c r="S4113" s="1562"/>
    </row>
    <row r="4114" spans="2:19" ht="11.25" customHeight="1" outlineLevel="1">
      <c r="B4114" s="1573">
        <v>25778</v>
      </c>
      <c r="C4114" s="1566" t="s">
        <v>4714</v>
      </c>
      <c r="D4114" s="1566" t="s">
        <v>9018</v>
      </c>
      <c r="E4114" s="1566"/>
      <c r="F4114" s="1566"/>
      <c r="G4114" s="1566" t="s">
        <v>4736</v>
      </c>
      <c r="H4114" s="1568">
        <v>1</v>
      </c>
      <c r="I4114" s="1566"/>
      <c r="J4114" s="1566"/>
      <c r="K4114" s="1572">
        <v>450</v>
      </c>
      <c r="L4114" s="1565">
        <v>5175</v>
      </c>
      <c r="M4114" s="1564"/>
      <c r="N4114" s="1565">
        <v>5175</v>
      </c>
      <c r="O4114" s="1572">
        <v>861.3</v>
      </c>
      <c r="P4114" s="1565">
        <v>4141.4399999999996</v>
      </c>
      <c r="Q4114" s="1572">
        <v>172.26</v>
      </c>
      <c r="R4114" s="1565">
        <v>4313.7</v>
      </c>
      <c r="S4114" s="1562"/>
    </row>
    <row r="4115" spans="2:19" ht="11.25" customHeight="1" outlineLevel="1">
      <c r="B4115" s="1573">
        <v>25779</v>
      </c>
      <c r="C4115" s="1566" t="s">
        <v>4714</v>
      </c>
      <c r="D4115" s="1566" t="s">
        <v>9017</v>
      </c>
      <c r="E4115" s="1566"/>
      <c r="F4115" s="1566"/>
      <c r="G4115" s="1566" t="s">
        <v>4734</v>
      </c>
      <c r="H4115" s="1568">
        <v>1</v>
      </c>
      <c r="I4115" s="1566"/>
      <c r="J4115" s="1566"/>
      <c r="K4115" s="1572">
        <v>354</v>
      </c>
      <c r="L4115" s="1565">
        <v>15939</v>
      </c>
      <c r="M4115" s="1564"/>
      <c r="N4115" s="1565">
        <v>15939</v>
      </c>
      <c r="O4115" s="1565">
        <v>2655.3</v>
      </c>
      <c r="P4115" s="1565">
        <v>12752.64</v>
      </c>
      <c r="Q4115" s="1572">
        <v>531.05999999999995</v>
      </c>
      <c r="R4115" s="1565">
        <v>13283.7</v>
      </c>
      <c r="S4115" s="1562"/>
    </row>
    <row r="4116" spans="2:19" ht="11.25" customHeight="1" outlineLevel="1">
      <c r="B4116" s="1573">
        <v>25780</v>
      </c>
      <c r="C4116" s="1566" t="s">
        <v>4714</v>
      </c>
      <c r="D4116" s="1566" t="s">
        <v>9016</v>
      </c>
      <c r="E4116" s="1566"/>
      <c r="F4116" s="1566"/>
      <c r="G4116" s="1566" t="s">
        <v>9015</v>
      </c>
      <c r="H4116" s="1568">
        <v>1</v>
      </c>
      <c r="I4116" s="1566"/>
      <c r="J4116" s="1566"/>
      <c r="K4116" s="1572">
        <v>450</v>
      </c>
      <c r="L4116" s="1565">
        <v>10350</v>
      </c>
      <c r="M4116" s="1564"/>
      <c r="N4116" s="1565">
        <v>10350</v>
      </c>
      <c r="O4116" s="1565">
        <v>1725</v>
      </c>
      <c r="P4116" s="1565">
        <v>8280</v>
      </c>
      <c r="Q4116" s="1572">
        <v>345</v>
      </c>
      <c r="R4116" s="1565">
        <v>8625</v>
      </c>
      <c r="S4116" s="1562"/>
    </row>
    <row r="4117" spans="2:19" ht="11.25" customHeight="1" outlineLevel="1">
      <c r="B4117" s="1573">
        <v>25781</v>
      </c>
      <c r="C4117" s="1566" t="s">
        <v>4714</v>
      </c>
      <c r="D4117" s="1566" t="s">
        <v>9014</v>
      </c>
      <c r="E4117" s="1566"/>
      <c r="F4117" s="1566"/>
      <c r="G4117" s="1566" t="s">
        <v>4732</v>
      </c>
      <c r="H4117" s="1568">
        <v>1</v>
      </c>
      <c r="I4117" s="1566"/>
      <c r="J4117" s="1566"/>
      <c r="K4117" s="1572">
        <v>450</v>
      </c>
      <c r="L4117" s="1565">
        <v>10350</v>
      </c>
      <c r="M4117" s="1564"/>
      <c r="N4117" s="1565">
        <v>10350</v>
      </c>
      <c r="O4117" s="1565">
        <v>1725</v>
      </c>
      <c r="P4117" s="1565">
        <v>8280</v>
      </c>
      <c r="Q4117" s="1572">
        <v>345</v>
      </c>
      <c r="R4117" s="1565">
        <v>8625</v>
      </c>
      <c r="S4117" s="1562"/>
    </row>
    <row r="4118" spans="2:19" ht="11.25" customHeight="1" outlineLevel="1">
      <c r="B4118" s="1573">
        <v>25790</v>
      </c>
      <c r="C4118" s="1566" t="s">
        <v>4714</v>
      </c>
      <c r="D4118" s="1566" t="s">
        <v>9013</v>
      </c>
      <c r="E4118" s="1566"/>
      <c r="F4118" s="1566"/>
      <c r="G4118" s="1566" t="s">
        <v>4729</v>
      </c>
      <c r="H4118" s="1568">
        <v>1</v>
      </c>
      <c r="I4118" s="1566"/>
      <c r="J4118" s="1566"/>
      <c r="K4118" s="1572">
        <v>990</v>
      </c>
      <c r="L4118" s="1565">
        <v>24750</v>
      </c>
      <c r="M4118" s="1564"/>
      <c r="N4118" s="1565">
        <v>24750</v>
      </c>
      <c r="O4118" s="1565">
        <v>14232.12</v>
      </c>
      <c r="P4118" s="1565">
        <v>10097.280000000001</v>
      </c>
      <c r="Q4118" s="1572">
        <v>420.6</v>
      </c>
      <c r="R4118" s="1565">
        <v>10517.88</v>
      </c>
      <c r="S4118" s="1562"/>
    </row>
    <row r="4119" spans="2:19" ht="11.25" customHeight="1" outlineLevel="1">
      <c r="B4119" s="1573">
        <v>25791</v>
      </c>
      <c r="C4119" s="1566" t="s">
        <v>4714</v>
      </c>
      <c r="D4119" s="1566" t="s">
        <v>9012</v>
      </c>
      <c r="E4119" s="1566"/>
      <c r="F4119" s="1566"/>
      <c r="G4119" s="1566" t="s">
        <v>4239</v>
      </c>
      <c r="H4119" s="1568">
        <v>1</v>
      </c>
      <c r="I4119" s="1566"/>
      <c r="J4119" s="1566"/>
      <c r="K4119" s="1572">
        <v>990</v>
      </c>
      <c r="L4119" s="1565">
        <v>12375</v>
      </c>
      <c r="M4119" s="1564"/>
      <c r="N4119" s="1565">
        <v>12375</v>
      </c>
      <c r="O4119" s="1565">
        <v>7116</v>
      </c>
      <c r="P4119" s="1565">
        <v>5048.6400000000003</v>
      </c>
      <c r="Q4119" s="1572">
        <v>210.36</v>
      </c>
      <c r="R4119" s="1565">
        <v>5259</v>
      </c>
      <c r="S4119" s="1562"/>
    </row>
    <row r="4120" spans="2:19" ht="11.25" customHeight="1" outlineLevel="1">
      <c r="B4120" s="1573">
        <v>25792</v>
      </c>
      <c r="C4120" s="1566" t="s">
        <v>4714</v>
      </c>
      <c r="D4120" s="1566" t="s">
        <v>9011</v>
      </c>
      <c r="E4120" s="1566"/>
      <c r="F4120" s="1566"/>
      <c r="G4120" s="1566" t="s">
        <v>9010</v>
      </c>
      <c r="H4120" s="1568">
        <v>1</v>
      </c>
      <c r="I4120" s="1566"/>
      <c r="J4120" s="1566"/>
      <c r="K4120" s="1572">
        <v>450</v>
      </c>
      <c r="L4120" s="1565">
        <v>9000</v>
      </c>
      <c r="M4120" s="1564"/>
      <c r="N4120" s="1565">
        <v>9000</v>
      </c>
      <c r="O4120" s="1565">
        <v>1500</v>
      </c>
      <c r="P4120" s="1565">
        <v>7200</v>
      </c>
      <c r="Q4120" s="1572">
        <v>300</v>
      </c>
      <c r="R4120" s="1565">
        <v>7500</v>
      </c>
      <c r="S4120" s="1562"/>
    </row>
    <row r="4121" spans="2:19" ht="11.25" customHeight="1" outlineLevel="1">
      <c r="B4121" s="1573">
        <v>25793</v>
      </c>
      <c r="C4121" s="1566" t="s">
        <v>4714</v>
      </c>
      <c r="D4121" s="1566" t="s">
        <v>9009</v>
      </c>
      <c r="E4121" s="1566"/>
      <c r="F4121" s="1566"/>
      <c r="G4121" s="1566" t="s">
        <v>4721</v>
      </c>
      <c r="H4121" s="1568">
        <v>1</v>
      </c>
      <c r="I4121" s="1566"/>
      <c r="J4121" s="1566"/>
      <c r="K4121" s="1572">
        <v>725</v>
      </c>
      <c r="L4121" s="1565">
        <v>70326</v>
      </c>
      <c r="M4121" s="1564"/>
      <c r="N4121" s="1565">
        <v>70326</v>
      </c>
      <c r="O4121" s="1565">
        <v>13611.12</v>
      </c>
      <c r="P4121" s="1565">
        <v>54446.400000000001</v>
      </c>
      <c r="Q4121" s="1565">
        <v>2268.48</v>
      </c>
      <c r="R4121" s="1565">
        <v>56714.879999999997</v>
      </c>
      <c r="S4121" s="1562"/>
    </row>
    <row r="4122" spans="2:19" ht="11.25" customHeight="1" outlineLevel="1">
      <c r="B4122" s="1573">
        <v>25794</v>
      </c>
      <c r="C4122" s="1566" t="s">
        <v>4714</v>
      </c>
      <c r="D4122" s="1566" t="s">
        <v>9008</v>
      </c>
      <c r="E4122" s="1566"/>
      <c r="F4122" s="1566"/>
      <c r="G4122" s="1566" t="s">
        <v>4721</v>
      </c>
      <c r="H4122" s="1568">
        <v>1</v>
      </c>
      <c r="I4122" s="1566"/>
      <c r="J4122" s="1566"/>
      <c r="K4122" s="1572">
        <v>450</v>
      </c>
      <c r="L4122" s="1565">
        <v>10575</v>
      </c>
      <c r="M4122" s="1564"/>
      <c r="N4122" s="1565">
        <v>10575</v>
      </c>
      <c r="O4122" s="1565">
        <v>2046.12</v>
      </c>
      <c r="P4122" s="1565">
        <v>8187.84</v>
      </c>
      <c r="Q4122" s="1572">
        <v>341.04</v>
      </c>
      <c r="R4122" s="1565">
        <v>8528.8799999999992</v>
      </c>
      <c r="S4122" s="1562"/>
    </row>
    <row r="4123" spans="2:19" ht="11.25" customHeight="1" outlineLevel="1">
      <c r="B4123" s="1573">
        <v>25795</v>
      </c>
      <c r="C4123" s="1566" t="s">
        <v>4714</v>
      </c>
      <c r="D4123" s="1566" t="s">
        <v>9007</v>
      </c>
      <c r="E4123" s="1566"/>
      <c r="F4123" s="1566"/>
      <c r="G4123" s="1566" t="s">
        <v>9006</v>
      </c>
      <c r="H4123" s="1568">
        <v>1</v>
      </c>
      <c r="I4123" s="1566"/>
      <c r="J4123" s="1566"/>
      <c r="K4123" s="1572">
        <v>726</v>
      </c>
      <c r="L4123" s="1565">
        <v>31574</v>
      </c>
      <c r="M4123" s="1564"/>
      <c r="N4123" s="1565">
        <v>31574</v>
      </c>
      <c r="O4123" s="1565">
        <v>6907.76</v>
      </c>
      <c r="P4123" s="1565">
        <v>23679.360000000001</v>
      </c>
      <c r="Q4123" s="1572">
        <v>986.88</v>
      </c>
      <c r="R4123" s="1565">
        <v>24666.240000000002</v>
      </c>
      <c r="S4123" s="1562"/>
    </row>
    <row r="4124" spans="2:19" ht="11.25" customHeight="1" outlineLevel="1">
      <c r="B4124" s="1573">
        <v>25796</v>
      </c>
      <c r="C4124" s="1566" t="s">
        <v>4714</v>
      </c>
      <c r="D4124" s="1566" t="s">
        <v>9005</v>
      </c>
      <c r="E4124" s="1566"/>
      <c r="F4124" s="1566"/>
      <c r="G4124" s="1566" t="s">
        <v>9004</v>
      </c>
      <c r="H4124" s="1568">
        <v>1</v>
      </c>
      <c r="I4124" s="1566"/>
      <c r="J4124" s="1566"/>
      <c r="K4124" s="1572">
        <v>450</v>
      </c>
      <c r="L4124" s="1565">
        <v>6075</v>
      </c>
      <c r="M4124" s="1564"/>
      <c r="N4124" s="1565">
        <v>6075</v>
      </c>
      <c r="O4124" s="1565">
        <v>1329</v>
      </c>
      <c r="P4124" s="1565">
        <v>4556.16</v>
      </c>
      <c r="Q4124" s="1572">
        <v>189.84</v>
      </c>
      <c r="R4124" s="1565">
        <v>4746</v>
      </c>
      <c r="S4124" s="1562"/>
    </row>
    <row r="4125" spans="2:19" ht="11.25" customHeight="1" outlineLevel="1">
      <c r="B4125" s="1573">
        <v>25797</v>
      </c>
      <c r="C4125" s="1566" t="s">
        <v>4714</v>
      </c>
      <c r="D4125" s="1566" t="s">
        <v>9003</v>
      </c>
      <c r="E4125" s="1566"/>
      <c r="F4125" s="1566"/>
      <c r="G4125" s="1566" t="s">
        <v>9002</v>
      </c>
      <c r="H4125" s="1568">
        <v>1</v>
      </c>
      <c r="I4125" s="1566"/>
      <c r="J4125" s="1566"/>
      <c r="K4125" s="1572">
        <v>450</v>
      </c>
      <c r="L4125" s="1565">
        <v>29925</v>
      </c>
      <c r="M4125" s="1564"/>
      <c r="N4125" s="1565">
        <v>29925</v>
      </c>
      <c r="O4125" s="1565">
        <v>5792.76</v>
      </c>
      <c r="P4125" s="1565">
        <v>23166.720000000001</v>
      </c>
      <c r="Q4125" s="1572">
        <v>965.52</v>
      </c>
      <c r="R4125" s="1565">
        <v>24132.240000000002</v>
      </c>
      <c r="S4125" s="1562"/>
    </row>
    <row r="4126" spans="2:19" ht="11.25" customHeight="1" outlineLevel="1">
      <c r="B4126" s="1573">
        <v>25808</v>
      </c>
      <c r="C4126" s="1566" t="s">
        <v>4714</v>
      </c>
      <c r="D4126" s="1566" t="s">
        <v>9001</v>
      </c>
      <c r="E4126" s="1566"/>
      <c r="F4126" s="1566"/>
      <c r="G4126" s="1566" t="s">
        <v>3734</v>
      </c>
      <c r="H4126" s="1568">
        <v>1</v>
      </c>
      <c r="I4126" s="1566"/>
      <c r="J4126" s="1566"/>
      <c r="K4126" s="1572">
        <v>97</v>
      </c>
      <c r="L4126" s="1565">
        <v>102275</v>
      </c>
      <c r="M4126" s="1564"/>
      <c r="N4126" s="1565">
        <v>102275</v>
      </c>
      <c r="O4126" s="1565">
        <v>51137</v>
      </c>
      <c r="P4126" s="1565">
        <v>49092.480000000003</v>
      </c>
      <c r="Q4126" s="1565">
        <v>2045.52</v>
      </c>
      <c r="R4126" s="1565">
        <v>51138</v>
      </c>
      <c r="S4126" s="1562"/>
    </row>
    <row r="4127" spans="2:19" ht="11.25" customHeight="1" outlineLevel="1">
      <c r="B4127" s="1573">
        <v>25809</v>
      </c>
      <c r="C4127" s="1566" t="s">
        <v>4714</v>
      </c>
      <c r="D4127" s="1566" t="s">
        <v>9000</v>
      </c>
      <c r="E4127" s="1566"/>
      <c r="F4127" s="1566"/>
      <c r="G4127" s="1566" t="s">
        <v>8999</v>
      </c>
      <c r="H4127" s="1568">
        <v>1</v>
      </c>
      <c r="I4127" s="1566"/>
      <c r="J4127" s="1566"/>
      <c r="K4127" s="1572">
        <v>97</v>
      </c>
      <c r="L4127" s="1565">
        <v>112394</v>
      </c>
      <c r="M4127" s="1564"/>
      <c r="N4127" s="1565">
        <v>112394</v>
      </c>
      <c r="O4127" s="1565">
        <v>24586.880000000001</v>
      </c>
      <c r="P4127" s="1565">
        <v>84294.720000000001</v>
      </c>
      <c r="Q4127" s="1565">
        <v>3512.4</v>
      </c>
      <c r="R4127" s="1565">
        <v>87807.12</v>
      </c>
      <c r="S4127" s="1562"/>
    </row>
    <row r="4128" spans="2:19" ht="11.25" customHeight="1" outlineLevel="1">
      <c r="B4128" s="1573">
        <v>25810</v>
      </c>
      <c r="C4128" s="1566" t="s">
        <v>4714</v>
      </c>
      <c r="D4128" s="1566" t="s">
        <v>8998</v>
      </c>
      <c r="E4128" s="1566"/>
      <c r="F4128" s="1566"/>
      <c r="G4128" s="1566" t="s">
        <v>8997</v>
      </c>
      <c r="H4128" s="1568">
        <v>1</v>
      </c>
      <c r="I4128" s="1566"/>
      <c r="J4128" s="1566"/>
      <c r="K4128" s="1572">
        <v>296</v>
      </c>
      <c r="L4128" s="1565">
        <v>73999</v>
      </c>
      <c r="M4128" s="1564"/>
      <c r="N4128" s="1565">
        <v>73999</v>
      </c>
      <c r="O4128" s="1565">
        <v>42555.88</v>
      </c>
      <c r="P4128" s="1565">
        <v>30185.279999999999</v>
      </c>
      <c r="Q4128" s="1565">
        <v>1257.8399999999999</v>
      </c>
      <c r="R4128" s="1565">
        <v>31443.119999999999</v>
      </c>
      <c r="S4128" s="1562"/>
    </row>
    <row r="4129" spans="2:19" ht="11.25" customHeight="1" outlineLevel="1">
      <c r="B4129" s="1573">
        <v>25879</v>
      </c>
      <c r="C4129" s="1566" t="s">
        <v>4714</v>
      </c>
      <c r="D4129" s="1566" t="s">
        <v>8996</v>
      </c>
      <c r="E4129" s="1566"/>
      <c r="F4129" s="1566"/>
      <c r="G4129" s="1566" t="s">
        <v>8995</v>
      </c>
      <c r="H4129" s="1568">
        <v>1</v>
      </c>
      <c r="I4129" s="1566"/>
      <c r="J4129" s="1566"/>
      <c r="K4129" s="1565">
        <v>3184</v>
      </c>
      <c r="L4129" s="1565">
        <v>52211</v>
      </c>
      <c r="M4129" s="1564"/>
      <c r="N4129" s="1565">
        <v>52211</v>
      </c>
      <c r="O4129" s="1565">
        <v>30025.88</v>
      </c>
      <c r="P4129" s="1565">
        <v>21297.599999999999</v>
      </c>
      <c r="Q4129" s="1572">
        <v>887.52</v>
      </c>
      <c r="R4129" s="1565">
        <v>22185.119999999999</v>
      </c>
      <c r="S4129" s="1562"/>
    </row>
    <row r="4130" spans="2:19" ht="11.25" customHeight="1" outlineLevel="1">
      <c r="B4130" s="1573">
        <v>25880</v>
      </c>
      <c r="C4130" s="1566" t="s">
        <v>4714</v>
      </c>
      <c r="D4130" s="1566" t="s">
        <v>8994</v>
      </c>
      <c r="E4130" s="1566"/>
      <c r="F4130" s="1566"/>
      <c r="G4130" s="1566" t="s">
        <v>8993</v>
      </c>
      <c r="H4130" s="1568">
        <v>1</v>
      </c>
      <c r="I4130" s="1566"/>
      <c r="J4130" s="1566"/>
      <c r="K4130" s="1565">
        <v>1701</v>
      </c>
      <c r="L4130" s="1565">
        <v>38270</v>
      </c>
      <c r="M4130" s="1564"/>
      <c r="N4130" s="1565">
        <v>38270</v>
      </c>
      <c r="O4130" s="1565">
        <v>22007.119999999999</v>
      </c>
      <c r="P4130" s="1565">
        <v>15612.48</v>
      </c>
      <c r="Q4130" s="1572">
        <v>650.4</v>
      </c>
      <c r="R4130" s="1565">
        <v>16262.88</v>
      </c>
      <c r="S4130" s="1562"/>
    </row>
    <row r="4131" spans="2:19" ht="11.25" customHeight="1" outlineLevel="1">
      <c r="B4131" s="1573">
        <v>25881</v>
      </c>
      <c r="C4131" s="1566" t="s">
        <v>4714</v>
      </c>
      <c r="D4131" s="1566" t="s">
        <v>8992</v>
      </c>
      <c r="E4131" s="1566"/>
      <c r="F4131" s="1566"/>
      <c r="G4131" s="1566" t="s">
        <v>4689</v>
      </c>
      <c r="H4131" s="1568">
        <v>1</v>
      </c>
      <c r="I4131" s="1566"/>
      <c r="J4131" s="1566"/>
      <c r="K4131" s="1565">
        <v>3185</v>
      </c>
      <c r="L4131" s="1565">
        <v>63700</v>
      </c>
      <c r="M4131" s="1564"/>
      <c r="N4131" s="1565">
        <v>63700</v>
      </c>
      <c r="O4131" s="1565">
        <v>36631.120000000003</v>
      </c>
      <c r="P4131" s="1565">
        <v>25986.240000000002</v>
      </c>
      <c r="Q4131" s="1565">
        <v>1082.6400000000001</v>
      </c>
      <c r="R4131" s="1565">
        <v>27068.880000000001</v>
      </c>
      <c r="S4131" s="1562"/>
    </row>
    <row r="4132" spans="2:19" ht="11.25" customHeight="1" outlineLevel="1">
      <c r="B4132" s="1573">
        <v>25882</v>
      </c>
      <c r="C4132" s="1566" t="s">
        <v>4714</v>
      </c>
      <c r="D4132" s="1566" t="s">
        <v>8991</v>
      </c>
      <c r="E4132" s="1566"/>
      <c r="F4132" s="1566"/>
      <c r="G4132" s="1566" t="s">
        <v>4689</v>
      </c>
      <c r="H4132" s="1568">
        <v>1</v>
      </c>
      <c r="I4132" s="1566"/>
      <c r="J4132" s="1566"/>
      <c r="K4132" s="1565">
        <v>3326</v>
      </c>
      <c r="L4132" s="1565">
        <v>344207</v>
      </c>
      <c r="M4132" s="1564"/>
      <c r="N4132" s="1565">
        <v>344207</v>
      </c>
      <c r="O4132" s="1565">
        <v>197942.12</v>
      </c>
      <c r="P4132" s="1565">
        <v>140414.39999999999</v>
      </c>
      <c r="Q4132" s="1565">
        <v>5850.48</v>
      </c>
      <c r="R4132" s="1565">
        <v>146264.88</v>
      </c>
      <c r="S4132" s="1562"/>
    </row>
    <row r="4133" spans="2:19" ht="11.25" customHeight="1" outlineLevel="1">
      <c r="B4133" s="1573">
        <v>25883</v>
      </c>
      <c r="C4133" s="1566" t="s">
        <v>4714</v>
      </c>
      <c r="D4133" s="1566" t="s">
        <v>8990</v>
      </c>
      <c r="E4133" s="1566"/>
      <c r="F4133" s="1566"/>
      <c r="G4133" s="1566" t="s">
        <v>8988</v>
      </c>
      <c r="H4133" s="1568">
        <v>1</v>
      </c>
      <c r="I4133" s="1566"/>
      <c r="J4133" s="1566"/>
      <c r="K4133" s="1565">
        <v>1416</v>
      </c>
      <c r="L4133" s="1565">
        <v>158543</v>
      </c>
      <c r="M4133" s="1564"/>
      <c r="N4133" s="1565">
        <v>158543</v>
      </c>
      <c r="O4133" s="1565">
        <v>91172.12</v>
      </c>
      <c r="P4133" s="1565">
        <v>64676.160000000003</v>
      </c>
      <c r="Q4133" s="1565">
        <v>2694.72</v>
      </c>
      <c r="R4133" s="1565">
        <v>67370.880000000005</v>
      </c>
      <c r="S4133" s="1562"/>
    </row>
    <row r="4134" spans="2:19" ht="11.25" customHeight="1" outlineLevel="1">
      <c r="B4134" s="1573">
        <v>25884</v>
      </c>
      <c r="C4134" s="1566" t="s">
        <v>4714</v>
      </c>
      <c r="D4134" s="1566" t="s">
        <v>8989</v>
      </c>
      <c r="E4134" s="1566"/>
      <c r="F4134" s="1566"/>
      <c r="G4134" s="1566" t="s">
        <v>8988</v>
      </c>
      <c r="H4134" s="1568">
        <v>1</v>
      </c>
      <c r="I4134" s="1566"/>
      <c r="J4134" s="1566"/>
      <c r="K4134" s="1565">
        <v>1416</v>
      </c>
      <c r="L4134" s="1565">
        <v>21234</v>
      </c>
      <c r="M4134" s="1564"/>
      <c r="N4134" s="1565">
        <v>21234</v>
      </c>
      <c r="O4134" s="1565">
        <v>4644.12</v>
      </c>
      <c r="P4134" s="1565">
        <v>15926.4</v>
      </c>
      <c r="Q4134" s="1572">
        <v>663.48</v>
      </c>
      <c r="R4134" s="1565">
        <v>16589.88</v>
      </c>
      <c r="S4134" s="1562"/>
    </row>
    <row r="4135" spans="2:19" ht="11.25" customHeight="1" outlineLevel="1">
      <c r="B4135" s="1573">
        <v>25885</v>
      </c>
      <c r="C4135" s="1566" t="s">
        <v>4714</v>
      </c>
      <c r="D4135" s="1566" t="s">
        <v>8987</v>
      </c>
      <c r="E4135" s="1566"/>
      <c r="F4135" s="1566"/>
      <c r="G4135" s="1566" t="s">
        <v>8986</v>
      </c>
      <c r="H4135" s="1568">
        <v>1</v>
      </c>
      <c r="I4135" s="1566"/>
      <c r="J4135" s="1566"/>
      <c r="K4135" s="1565">
        <v>3190</v>
      </c>
      <c r="L4135" s="1565">
        <v>164293</v>
      </c>
      <c r="M4135" s="1564"/>
      <c r="N4135" s="1565">
        <v>164293</v>
      </c>
      <c r="O4135" s="1565">
        <v>94480</v>
      </c>
      <c r="P4135" s="1565">
        <v>67020.479999999996</v>
      </c>
      <c r="Q4135" s="1565">
        <v>2792.52</v>
      </c>
      <c r="R4135" s="1565">
        <v>69813</v>
      </c>
      <c r="S4135" s="1562"/>
    </row>
    <row r="4136" spans="2:19" ht="11.25" customHeight="1" outlineLevel="1">
      <c r="B4136" s="1573">
        <v>25912</v>
      </c>
      <c r="C4136" s="1566" t="s">
        <v>4703</v>
      </c>
      <c r="D4136" s="1566" t="s">
        <v>8985</v>
      </c>
      <c r="E4136" s="1566"/>
      <c r="F4136" s="1566"/>
      <c r="G4136" s="1566" t="s">
        <v>8984</v>
      </c>
      <c r="H4136" s="1568">
        <v>1</v>
      </c>
      <c r="I4136" s="1566"/>
      <c r="J4136" s="1566"/>
      <c r="K4136" s="1572">
        <v>317</v>
      </c>
      <c r="L4136" s="1565">
        <v>20632</v>
      </c>
      <c r="M4136" s="1564"/>
      <c r="N4136" s="1565">
        <v>20632</v>
      </c>
      <c r="O4136" s="1565">
        <v>11895.1</v>
      </c>
      <c r="P4136" s="1565">
        <v>8386.14</v>
      </c>
      <c r="Q4136" s="1572">
        <v>350.76</v>
      </c>
      <c r="R4136" s="1565">
        <v>8736.9</v>
      </c>
      <c r="S4136" s="1562"/>
    </row>
    <row r="4137" spans="2:19" ht="11.25" customHeight="1" outlineLevel="1">
      <c r="B4137" s="1573">
        <v>25913</v>
      </c>
      <c r="C4137" s="1566" t="s">
        <v>4703</v>
      </c>
      <c r="D4137" s="1566" t="s">
        <v>8983</v>
      </c>
      <c r="E4137" s="1566"/>
      <c r="F4137" s="1566"/>
      <c r="G4137" s="1566" t="s">
        <v>8982</v>
      </c>
      <c r="H4137" s="1568">
        <v>1</v>
      </c>
      <c r="I4137" s="1566"/>
      <c r="J4137" s="1566"/>
      <c r="K4137" s="1572">
        <v>317</v>
      </c>
      <c r="L4137" s="1565">
        <v>19680</v>
      </c>
      <c r="M4137" s="1564"/>
      <c r="N4137" s="1565">
        <v>19680</v>
      </c>
      <c r="O4137" s="1565">
        <v>11344</v>
      </c>
      <c r="P4137" s="1565">
        <v>8001.56</v>
      </c>
      <c r="Q4137" s="1572">
        <v>334.44</v>
      </c>
      <c r="R4137" s="1565">
        <v>8336</v>
      </c>
      <c r="S4137" s="1562"/>
    </row>
    <row r="4138" spans="2:19" ht="11.25" customHeight="1" outlineLevel="1">
      <c r="B4138" s="1573">
        <v>25919</v>
      </c>
      <c r="C4138" s="1566" t="s">
        <v>4703</v>
      </c>
      <c r="D4138" s="1566" t="s">
        <v>8981</v>
      </c>
      <c r="E4138" s="1566"/>
      <c r="F4138" s="1566"/>
      <c r="G4138" s="1566" t="s">
        <v>4704</v>
      </c>
      <c r="H4138" s="1568">
        <v>1</v>
      </c>
      <c r="I4138" s="1566"/>
      <c r="J4138" s="1566"/>
      <c r="K4138" s="1572">
        <v>416</v>
      </c>
      <c r="L4138" s="1565">
        <v>92308</v>
      </c>
      <c r="M4138" s="1564"/>
      <c r="N4138" s="1565">
        <v>92308</v>
      </c>
      <c r="O4138" s="1565">
        <v>53213.75</v>
      </c>
      <c r="P4138" s="1565">
        <v>37525.25</v>
      </c>
      <c r="Q4138" s="1565">
        <v>1569</v>
      </c>
      <c r="R4138" s="1565">
        <v>39094.25</v>
      </c>
      <c r="S4138" s="1562"/>
    </row>
    <row r="4139" spans="2:19" ht="11.25" customHeight="1" outlineLevel="1">
      <c r="B4139" s="1573">
        <v>25920</v>
      </c>
      <c r="C4139" s="1566" t="s">
        <v>4703</v>
      </c>
      <c r="D4139" s="1566" t="s">
        <v>8980</v>
      </c>
      <c r="E4139" s="1566"/>
      <c r="F4139" s="1566"/>
      <c r="G4139" s="1566" t="s">
        <v>4704</v>
      </c>
      <c r="H4139" s="1568">
        <v>1</v>
      </c>
      <c r="I4139" s="1566"/>
      <c r="J4139" s="1566"/>
      <c r="K4139" s="1572">
        <v>416</v>
      </c>
      <c r="L4139" s="1565">
        <v>7692</v>
      </c>
      <c r="M4139" s="1564"/>
      <c r="N4139" s="1565">
        <v>7692</v>
      </c>
      <c r="O4139" s="1565">
        <v>4433.0200000000004</v>
      </c>
      <c r="P4139" s="1565">
        <v>3128.3</v>
      </c>
      <c r="Q4139" s="1572">
        <v>130.68</v>
      </c>
      <c r="R4139" s="1565">
        <v>3258.98</v>
      </c>
      <c r="S4139" s="1562"/>
    </row>
    <row r="4140" spans="2:19" ht="11.25" customHeight="1" outlineLevel="1">
      <c r="B4140" s="1573">
        <v>25996</v>
      </c>
      <c r="C4140" s="1566" t="s">
        <v>4680</v>
      </c>
      <c r="D4140" s="1566" t="s">
        <v>8979</v>
      </c>
      <c r="E4140" s="1566"/>
      <c r="F4140" s="1566"/>
      <c r="G4140" s="1566" t="s">
        <v>4465</v>
      </c>
      <c r="H4140" s="1568">
        <v>1</v>
      </c>
      <c r="I4140" s="1566"/>
      <c r="J4140" s="1566"/>
      <c r="K4140" s="1565">
        <v>1473</v>
      </c>
      <c r="L4140" s="1565">
        <v>30928</v>
      </c>
      <c r="M4140" s="1564"/>
      <c r="N4140" s="1565">
        <v>30928</v>
      </c>
      <c r="O4140" s="1565">
        <v>6801.8</v>
      </c>
      <c r="P4140" s="1565">
        <v>23154.560000000001</v>
      </c>
      <c r="Q4140" s="1572">
        <v>971.64</v>
      </c>
      <c r="R4140" s="1565">
        <v>24126.2</v>
      </c>
      <c r="S4140" s="1562"/>
    </row>
    <row r="4141" spans="2:19" ht="11.25" customHeight="1" outlineLevel="1">
      <c r="B4141" s="1573">
        <v>25997</v>
      </c>
      <c r="C4141" s="1566" t="s">
        <v>4680</v>
      </c>
      <c r="D4141" s="1566" t="s">
        <v>8978</v>
      </c>
      <c r="E4141" s="1566"/>
      <c r="F4141" s="1566"/>
      <c r="G4141" s="1566" t="s">
        <v>4698</v>
      </c>
      <c r="H4141" s="1568">
        <v>1</v>
      </c>
      <c r="I4141" s="1566"/>
      <c r="J4141" s="1566"/>
      <c r="K4141" s="1572">
        <v>798</v>
      </c>
      <c r="L4141" s="1565">
        <v>8774</v>
      </c>
      <c r="M4141" s="1564"/>
      <c r="N4141" s="1565">
        <v>8774</v>
      </c>
      <c r="O4141" s="1565">
        <v>5069.8599999999997</v>
      </c>
      <c r="P4141" s="1565">
        <v>3554.98</v>
      </c>
      <c r="Q4141" s="1572">
        <v>149.16</v>
      </c>
      <c r="R4141" s="1565">
        <v>3704.14</v>
      </c>
      <c r="S4141" s="1562"/>
    </row>
    <row r="4142" spans="2:19" ht="11.25" customHeight="1" outlineLevel="1">
      <c r="B4142" s="1573">
        <v>25998</v>
      </c>
      <c r="C4142" s="1566" t="s">
        <v>4680</v>
      </c>
      <c r="D4142" s="1566" t="s">
        <v>8977</v>
      </c>
      <c r="E4142" s="1566"/>
      <c r="F4142" s="1566"/>
      <c r="G4142" s="1566" t="s">
        <v>8976</v>
      </c>
      <c r="H4142" s="1568">
        <v>1</v>
      </c>
      <c r="I4142" s="1566"/>
      <c r="J4142" s="1566"/>
      <c r="K4142" s="1572">
        <v>798</v>
      </c>
      <c r="L4142" s="1565">
        <v>4786</v>
      </c>
      <c r="M4142" s="1564"/>
      <c r="N4142" s="1565">
        <v>4786</v>
      </c>
      <c r="O4142" s="1565">
        <v>1052.0999999999999</v>
      </c>
      <c r="P4142" s="1565">
        <v>3583.58</v>
      </c>
      <c r="Q4142" s="1572">
        <v>150.32</v>
      </c>
      <c r="R4142" s="1565">
        <v>3733.9</v>
      </c>
      <c r="S4142" s="1562"/>
    </row>
    <row r="4143" spans="2:19" ht="11.25" customHeight="1" outlineLevel="1">
      <c r="B4143" s="1573">
        <v>26001</v>
      </c>
      <c r="C4143" s="1566" t="s">
        <v>4680</v>
      </c>
      <c r="D4143" s="1566" t="s">
        <v>8975</v>
      </c>
      <c r="E4143" s="1566"/>
      <c r="F4143" s="1566"/>
      <c r="G4143" s="1566" t="s">
        <v>4696</v>
      </c>
      <c r="H4143" s="1568">
        <v>1</v>
      </c>
      <c r="I4143" s="1566"/>
      <c r="J4143" s="1566"/>
      <c r="K4143" s="1565">
        <v>3707</v>
      </c>
      <c r="L4143" s="1565">
        <v>274350</v>
      </c>
      <c r="M4143" s="1564"/>
      <c r="N4143" s="1565">
        <v>274350</v>
      </c>
      <c r="O4143" s="1565">
        <v>158547.20000000001</v>
      </c>
      <c r="P4143" s="1565">
        <v>111139.6</v>
      </c>
      <c r="Q4143" s="1565">
        <v>4663.2</v>
      </c>
      <c r="R4143" s="1565">
        <v>115802.8</v>
      </c>
      <c r="S4143" s="1562"/>
    </row>
    <row r="4144" spans="2:19" ht="11.25" customHeight="1" outlineLevel="1">
      <c r="B4144" s="1573">
        <v>26004</v>
      </c>
      <c r="C4144" s="1566" t="s">
        <v>4680</v>
      </c>
      <c r="D4144" s="1566" t="s">
        <v>8974</v>
      </c>
      <c r="E4144" s="1566"/>
      <c r="F4144" s="1566"/>
      <c r="G4144" s="1566" t="s">
        <v>4691</v>
      </c>
      <c r="H4144" s="1568">
        <v>1</v>
      </c>
      <c r="I4144" s="1566"/>
      <c r="J4144" s="1566"/>
      <c r="K4144" s="1565">
        <v>4095</v>
      </c>
      <c r="L4144" s="1565">
        <v>2005593</v>
      </c>
      <c r="M4144" s="1564"/>
      <c r="N4144" s="1565">
        <v>2005593</v>
      </c>
      <c r="O4144" s="1565">
        <v>1159040.44</v>
      </c>
      <c r="P4144" s="1565">
        <v>812463.08</v>
      </c>
      <c r="Q4144" s="1565">
        <v>34089.480000000003</v>
      </c>
      <c r="R4144" s="1565">
        <v>846552.56</v>
      </c>
      <c r="S4144" s="1562"/>
    </row>
    <row r="4145" spans="2:19" ht="11.25" customHeight="1" outlineLevel="1">
      <c r="B4145" s="1573">
        <v>26005</v>
      </c>
      <c r="C4145" s="1566" t="s">
        <v>4680</v>
      </c>
      <c r="D4145" s="1566" t="s">
        <v>8973</v>
      </c>
      <c r="E4145" s="1566"/>
      <c r="F4145" s="1566"/>
      <c r="G4145" s="1566" t="s">
        <v>4691</v>
      </c>
      <c r="H4145" s="1568">
        <v>1</v>
      </c>
      <c r="I4145" s="1566"/>
      <c r="J4145" s="1566"/>
      <c r="K4145" s="1565">
        <v>3197</v>
      </c>
      <c r="L4145" s="1565">
        <v>236589</v>
      </c>
      <c r="M4145" s="1564"/>
      <c r="N4145" s="1565">
        <v>236589</v>
      </c>
      <c r="O4145" s="1565">
        <v>136726.22</v>
      </c>
      <c r="P4145" s="1565">
        <v>95841.46</v>
      </c>
      <c r="Q4145" s="1565">
        <v>4021.32</v>
      </c>
      <c r="R4145" s="1565">
        <v>99862.78</v>
      </c>
      <c r="S4145" s="1562"/>
    </row>
    <row r="4146" spans="2:19" ht="11.25" customHeight="1" outlineLevel="1">
      <c r="B4146" s="1573">
        <v>26009</v>
      </c>
      <c r="C4146" s="1566" t="s">
        <v>4680</v>
      </c>
      <c r="D4146" s="1566" t="s">
        <v>8972</v>
      </c>
      <c r="E4146" s="1566"/>
      <c r="F4146" s="1566"/>
      <c r="G4146" s="1566" t="s">
        <v>4687</v>
      </c>
      <c r="H4146" s="1568">
        <v>1</v>
      </c>
      <c r="I4146" s="1566"/>
      <c r="J4146" s="1566"/>
      <c r="K4146" s="1565">
        <v>2851</v>
      </c>
      <c r="L4146" s="1565">
        <v>82684</v>
      </c>
      <c r="M4146" s="1564"/>
      <c r="N4146" s="1565">
        <v>82684</v>
      </c>
      <c r="O4146" s="1565">
        <v>47782.36</v>
      </c>
      <c r="P4146" s="1565">
        <v>33496.32</v>
      </c>
      <c r="Q4146" s="1565">
        <v>1405.32</v>
      </c>
      <c r="R4146" s="1565">
        <v>34901.64</v>
      </c>
      <c r="S4146" s="1562"/>
    </row>
    <row r="4147" spans="2:19" ht="11.25" customHeight="1" outlineLevel="1">
      <c r="B4147" s="1573">
        <v>26011</v>
      </c>
      <c r="C4147" s="1566" t="s">
        <v>4680</v>
      </c>
      <c r="D4147" s="1566" t="s">
        <v>8971</v>
      </c>
      <c r="E4147" s="1566"/>
      <c r="F4147" s="1566"/>
      <c r="G4147" s="1566" t="s">
        <v>4685</v>
      </c>
      <c r="H4147" s="1568">
        <v>1</v>
      </c>
      <c r="I4147" s="1566"/>
      <c r="J4147" s="1566"/>
      <c r="K4147" s="1565">
        <v>2974</v>
      </c>
      <c r="L4147" s="1565">
        <v>85356</v>
      </c>
      <c r="M4147" s="1564"/>
      <c r="N4147" s="1565">
        <v>85356</v>
      </c>
      <c r="O4147" s="1565">
        <v>49327.8</v>
      </c>
      <c r="P4147" s="1565">
        <v>34577.4</v>
      </c>
      <c r="Q4147" s="1565">
        <v>1450.8</v>
      </c>
      <c r="R4147" s="1565">
        <v>36028.199999999997</v>
      </c>
      <c r="S4147" s="1562"/>
    </row>
    <row r="4148" spans="2:19" ht="11.25" customHeight="1" outlineLevel="1">
      <c r="B4148" s="1573">
        <v>26015</v>
      </c>
      <c r="C4148" s="1566" t="s">
        <v>4680</v>
      </c>
      <c r="D4148" s="1566" t="s">
        <v>8970</v>
      </c>
      <c r="E4148" s="1566"/>
      <c r="F4148" s="1566"/>
      <c r="G4148" s="1566" t="s">
        <v>4678</v>
      </c>
      <c r="H4148" s="1568">
        <v>1</v>
      </c>
      <c r="I4148" s="1566"/>
      <c r="J4148" s="1566"/>
      <c r="K4148" s="1572">
        <v>59</v>
      </c>
      <c r="L4148" s="1572">
        <v>356</v>
      </c>
      <c r="M4148" s="1564"/>
      <c r="N4148" s="1572">
        <v>356</v>
      </c>
      <c r="O4148" s="1572">
        <v>206.88</v>
      </c>
      <c r="P4148" s="1572">
        <v>143</v>
      </c>
      <c r="Q4148" s="1572">
        <v>6.12</v>
      </c>
      <c r="R4148" s="1572">
        <v>149.12</v>
      </c>
      <c r="S4148" s="1562"/>
    </row>
    <row r="4149" spans="2:19" ht="11.25" customHeight="1" outlineLevel="1">
      <c r="B4149" s="1573">
        <v>26016</v>
      </c>
      <c r="C4149" s="1566" t="s">
        <v>4680</v>
      </c>
      <c r="D4149" s="1566" t="s">
        <v>8969</v>
      </c>
      <c r="E4149" s="1566"/>
      <c r="F4149" s="1566"/>
      <c r="G4149" s="1566" t="s">
        <v>3664</v>
      </c>
      <c r="H4149" s="1568">
        <v>1</v>
      </c>
      <c r="I4149" s="1566"/>
      <c r="J4149" s="1566"/>
      <c r="K4149" s="1572">
        <v>59</v>
      </c>
      <c r="L4149" s="1565">
        <v>1248</v>
      </c>
      <c r="M4149" s="1564"/>
      <c r="N4149" s="1565">
        <v>1248</v>
      </c>
      <c r="O4149" s="1572">
        <v>720.54</v>
      </c>
      <c r="P4149" s="1572">
        <v>506.22</v>
      </c>
      <c r="Q4149" s="1572">
        <v>21.24</v>
      </c>
      <c r="R4149" s="1572">
        <v>527.46</v>
      </c>
      <c r="S4149" s="1562"/>
    </row>
    <row r="4150" spans="2:19" ht="11.25" customHeight="1" outlineLevel="1">
      <c r="B4150" s="1573">
        <v>26031</v>
      </c>
      <c r="C4150" s="1566" t="s">
        <v>4632</v>
      </c>
      <c r="D4150" s="1566" t="s">
        <v>8968</v>
      </c>
      <c r="E4150" s="1566"/>
      <c r="F4150" s="1566"/>
      <c r="G4150" s="1566" t="s">
        <v>4663</v>
      </c>
      <c r="H4150" s="1568">
        <v>1</v>
      </c>
      <c r="I4150" s="1566"/>
      <c r="J4150" s="1566"/>
      <c r="K4150" s="1565">
        <v>179290</v>
      </c>
      <c r="L4150" s="1565">
        <v>179290</v>
      </c>
      <c r="M4150" s="1564"/>
      <c r="N4150" s="1565">
        <v>179290</v>
      </c>
      <c r="O4150" s="1565">
        <v>68354.559999999998</v>
      </c>
      <c r="P4150" s="1565">
        <v>106453.2</v>
      </c>
      <c r="Q4150" s="1565">
        <v>4482.24</v>
      </c>
      <c r="R4150" s="1565">
        <v>110935.44</v>
      </c>
      <c r="S4150" s="1562"/>
    </row>
    <row r="4151" spans="2:19" ht="11.25" customHeight="1" outlineLevel="1">
      <c r="B4151" s="1573">
        <v>26032</v>
      </c>
      <c r="C4151" s="1566" t="s">
        <v>4632</v>
      </c>
      <c r="D4151" s="1566" t="s">
        <v>8967</v>
      </c>
      <c r="E4151" s="1566"/>
      <c r="F4151" s="1566"/>
      <c r="G4151" s="1566" t="s">
        <v>8966</v>
      </c>
      <c r="H4151" s="1568">
        <v>1</v>
      </c>
      <c r="I4151" s="1566"/>
      <c r="J4151" s="1566"/>
      <c r="K4151" s="1565">
        <v>38793</v>
      </c>
      <c r="L4151" s="1565">
        <v>38793</v>
      </c>
      <c r="M4151" s="1564"/>
      <c r="N4151" s="1565">
        <v>38793</v>
      </c>
      <c r="O4151" s="1565">
        <v>8552.4599999999991</v>
      </c>
      <c r="P4151" s="1565">
        <v>29018.7</v>
      </c>
      <c r="Q4151" s="1565">
        <v>1221.8399999999999</v>
      </c>
      <c r="R4151" s="1565">
        <v>30240.54</v>
      </c>
      <c r="S4151" s="1562"/>
    </row>
    <row r="4152" spans="2:19" ht="11.25" customHeight="1" outlineLevel="1">
      <c r="B4152" s="1573">
        <v>26033</v>
      </c>
      <c r="C4152" s="1566" t="s">
        <v>4632</v>
      </c>
      <c r="D4152" s="1566" t="s">
        <v>8965</v>
      </c>
      <c r="E4152" s="1566"/>
      <c r="F4152" s="1566"/>
      <c r="G4152" s="1566" t="s">
        <v>4663</v>
      </c>
      <c r="H4152" s="1568">
        <v>1</v>
      </c>
      <c r="I4152" s="1566"/>
      <c r="J4152" s="1566"/>
      <c r="K4152" s="1572">
        <v>136</v>
      </c>
      <c r="L4152" s="1565">
        <v>160408</v>
      </c>
      <c r="M4152" s="1564"/>
      <c r="N4152" s="1565">
        <v>160408</v>
      </c>
      <c r="O4152" s="1565">
        <v>1062.83</v>
      </c>
      <c r="P4152" s="1565">
        <v>153925.65</v>
      </c>
      <c r="Q4152" s="1565">
        <v>5419.52</v>
      </c>
      <c r="R4152" s="1565">
        <v>159345.17000000001</v>
      </c>
      <c r="S4152" s="1562"/>
    </row>
    <row r="4153" spans="2:19" ht="11.25" customHeight="1" outlineLevel="1">
      <c r="B4153" s="1573">
        <v>26034</v>
      </c>
      <c r="C4153" s="1566" t="s">
        <v>4632</v>
      </c>
      <c r="D4153" s="1566" t="s">
        <v>8964</v>
      </c>
      <c r="E4153" s="1566"/>
      <c r="F4153" s="1566"/>
      <c r="G4153" s="1566" t="s">
        <v>4663</v>
      </c>
      <c r="H4153" s="1568">
        <v>1</v>
      </c>
      <c r="I4153" s="1566"/>
      <c r="J4153" s="1566"/>
      <c r="K4153" s="1572">
        <v>135</v>
      </c>
      <c r="L4153" s="1565">
        <v>323847</v>
      </c>
      <c r="M4153" s="1564"/>
      <c r="N4153" s="1565">
        <v>323847</v>
      </c>
      <c r="O4153" s="1565">
        <v>187610.25</v>
      </c>
      <c r="P4153" s="1565">
        <v>130732.35</v>
      </c>
      <c r="Q4153" s="1565">
        <v>5504.4</v>
      </c>
      <c r="R4153" s="1565">
        <v>136236.75</v>
      </c>
      <c r="S4153" s="1562"/>
    </row>
    <row r="4154" spans="2:19" ht="11.25" customHeight="1" outlineLevel="1">
      <c r="B4154" s="1573">
        <v>26035</v>
      </c>
      <c r="C4154" s="1566" t="s">
        <v>4632</v>
      </c>
      <c r="D4154" s="1566" t="s">
        <v>8963</v>
      </c>
      <c r="E4154" s="1566"/>
      <c r="F4154" s="1566"/>
      <c r="G4154" s="1566" t="s">
        <v>4663</v>
      </c>
      <c r="H4154" s="1568">
        <v>1</v>
      </c>
      <c r="I4154" s="1566"/>
      <c r="J4154" s="1566"/>
      <c r="K4154" s="1565">
        <v>1943</v>
      </c>
      <c r="L4154" s="1565">
        <v>19427</v>
      </c>
      <c r="M4154" s="1564"/>
      <c r="N4154" s="1565">
        <v>19427</v>
      </c>
      <c r="O4154" s="1565">
        <v>11253.63</v>
      </c>
      <c r="P4154" s="1565">
        <v>7843.2</v>
      </c>
      <c r="Q4154" s="1572">
        <v>330.17</v>
      </c>
      <c r="R4154" s="1565">
        <v>8173.37</v>
      </c>
      <c r="S4154" s="1562"/>
    </row>
    <row r="4155" spans="2:19" ht="11.25" customHeight="1" outlineLevel="1">
      <c r="B4155" s="1573">
        <v>26036</v>
      </c>
      <c r="C4155" s="1566" t="s">
        <v>4632</v>
      </c>
      <c r="D4155" s="1566" t="s">
        <v>8962</v>
      </c>
      <c r="E4155" s="1566"/>
      <c r="F4155" s="1566"/>
      <c r="G4155" s="1566" t="s">
        <v>8961</v>
      </c>
      <c r="H4155" s="1568">
        <v>1</v>
      </c>
      <c r="I4155" s="1566"/>
      <c r="J4155" s="1566"/>
      <c r="K4155" s="1565">
        <v>8579</v>
      </c>
      <c r="L4155" s="1565">
        <v>8579</v>
      </c>
      <c r="M4155" s="1564"/>
      <c r="N4155" s="1565">
        <v>8579</v>
      </c>
      <c r="O4155" s="1565">
        <v>4970.45</v>
      </c>
      <c r="P4155" s="1565">
        <v>3462.75</v>
      </c>
      <c r="Q4155" s="1572">
        <v>145.80000000000001</v>
      </c>
      <c r="R4155" s="1565">
        <v>3608.55</v>
      </c>
      <c r="S4155" s="1562"/>
    </row>
    <row r="4156" spans="2:19" ht="11.25" customHeight="1" outlineLevel="1">
      <c r="B4156" s="1573">
        <v>26037</v>
      </c>
      <c r="C4156" s="1566" t="s">
        <v>4632</v>
      </c>
      <c r="D4156" s="1566" t="s">
        <v>8960</v>
      </c>
      <c r="E4156" s="1566"/>
      <c r="F4156" s="1566"/>
      <c r="G4156" s="1566" t="s">
        <v>4663</v>
      </c>
      <c r="H4156" s="1568">
        <v>1</v>
      </c>
      <c r="I4156" s="1566"/>
      <c r="J4156" s="1566"/>
      <c r="K4156" s="1572">
        <v>63</v>
      </c>
      <c r="L4156" s="1565">
        <v>73588</v>
      </c>
      <c r="M4156" s="1564"/>
      <c r="N4156" s="1565">
        <v>73588</v>
      </c>
      <c r="O4156" s="1565">
        <v>42631.69</v>
      </c>
      <c r="P4156" s="1565">
        <v>29705.55</v>
      </c>
      <c r="Q4156" s="1565">
        <v>1250.76</v>
      </c>
      <c r="R4156" s="1565">
        <v>30956.31</v>
      </c>
      <c r="S4156" s="1562"/>
    </row>
    <row r="4157" spans="2:19" ht="11.25" customHeight="1" outlineLevel="1">
      <c r="B4157" s="1573">
        <v>26038</v>
      </c>
      <c r="C4157" s="1566" t="s">
        <v>4632</v>
      </c>
      <c r="D4157" s="1566" t="s">
        <v>8959</v>
      </c>
      <c r="E4157" s="1566"/>
      <c r="F4157" s="1566"/>
      <c r="G4157" s="1566" t="s">
        <v>4663</v>
      </c>
      <c r="H4157" s="1568">
        <v>1</v>
      </c>
      <c r="I4157" s="1566"/>
      <c r="J4157" s="1566"/>
      <c r="K4157" s="1572">
        <v>433</v>
      </c>
      <c r="L4157" s="1565">
        <v>78031</v>
      </c>
      <c r="M4157" s="1564"/>
      <c r="N4157" s="1565">
        <v>78031</v>
      </c>
      <c r="O4157" s="1565">
        <v>45203.71</v>
      </c>
      <c r="P4157" s="1565">
        <v>31501.05</v>
      </c>
      <c r="Q4157" s="1565">
        <v>1326.24</v>
      </c>
      <c r="R4157" s="1565">
        <v>32827.29</v>
      </c>
      <c r="S4157" s="1562"/>
    </row>
    <row r="4158" spans="2:19" ht="11.25" customHeight="1" outlineLevel="1">
      <c r="B4158" s="1573">
        <v>26039</v>
      </c>
      <c r="C4158" s="1566" t="s">
        <v>4632</v>
      </c>
      <c r="D4158" s="1566" t="s">
        <v>8958</v>
      </c>
      <c r="E4158" s="1566"/>
      <c r="F4158" s="1566"/>
      <c r="G4158" s="1566" t="s">
        <v>4663</v>
      </c>
      <c r="H4158" s="1568">
        <v>1</v>
      </c>
      <c r="I4158" s="1566"/>
      <c r="J4158" s="1566"/>
      <c r="K4158" s="1572">
        <v>119</v>
      </c>
      <c r="L4158" s="1565">
        <v>8802</v>
      </c>
      <c r="M4158" s="1564"/>
      <c r="N4158" s="1565">
        <v>8802</v>
      </c>
      <c r="O4158" s="1565">
        <v>5098.41</v>
      </c>
      <c r="P4158" s="1565">
        <v>3553.95</v>
      </c>
      <c r="Q4158" s="1572">
        <v>149.63999999999999</v>
      </c>
      <c r="R4158" s="1565">
        <v>3703.59</v>
      </c>
      <c r="S4158" s="1562"/>
    </row>
    <row r="4159" spans="2:19" ht="11.25" customHeight="1" outlineLevel="1">
      <c r="B4159" s="1573">
        <v>26040</v>
      </c>
      <c r="C4159" s="1566" t="s">
        <v>4632</v>
      </c>
      <c r="D4159" s="1566" t="s">
        <v>8957</v>
      </c>
      <c r="E4159" s="1566"/>
      <c r="F4159" s="1566"/>
      <c r="G4159" s="1566" t="s">
        <v>4670</v>
      </c>
      <c r="H4159" s="1568">
        <v>1</v>
      </c>
      <c r="I4159" s="1566"/>
      <c r="J4159" s="1566"/>
      <c r="K4159" s="1572">
        <v>126</v>
      </c>
      <c r="L4159" s="1565">
        <v>15052</v>
      </c>
      <c r="M4159" s="1564"/>
      <c r="N4159" s="1565">
        <v>15052</v>
      </c>
      <c r="O4159" s="1565">
        <v>8719.9599999999991</v>
      </c>
      <c r="P4159" s="1565">
        <v>6076.2</v>
      </c>
      <c r="Q4159" s="1572">
        <v>255.84</v>
      </c>
      <c r="R4159" s="1565">
        <v>6332.04</v>
      </c>
      <c r="S4159" s="1562"/>
    </row>
    <row r="4160" spans="2:19" ht="11.25" customHeight="1" outlineLevel="1">
      <c r="B4160" s="1573">
        <v>26058</v>
      </c>
      <c r="C4160" s="1566" t="s">
        <v>4632</v>
      </c>
      <c r="D4160" s="1566" t="s">
        <v>8956</v>
      </c>
      <c r="E4160" s="1566"/>
      <c r="F4160" s="1566"/>
      <c r="G4160" s="1566" t="s">
        <v>8953</v>
      </c>
      <c r="H4160" s="1568">
        <v>1</v>
      </c>
      <c r="I4160" s="1566"/>
      <c r="J4160" s="1566"/>
      <c r="K4160" s="1572">
        <v>736</v>
      </c>
      <c r="L4160" s="1565">
        <v>703984</v>
      </c>
      <c r="M4160" s="1564"/>
      <c r="N4160" s="1565">
        <v>703984</v>
      </c>
      <c r="O4160" s="1565">
        <v>407833.3</v>
      </c>
      <c r="P4160" s="1565">
        <v>284184.90000000002</v>
      </c>
      <c r="Q4160" s="1565">
        <v>11965.8</v>
      </c>
      <c r="R4160" s="1565">
        <v>296150.7</v>
      </c>
      <c r="S4160" s="1562"/>
    </row>
    <row r="4161" spans="2:19" ht="11.25" customHeight="1" outlineLevel="1">
      <c r="B4161" s="1573">
        <v>26059</v>
      </c>
      <c r="C4161" s="1566" t="s">
        <v>4632</v>
      </c>
      <c r="D4161" s="1566" t="s">
        <v>8955</v>
      </c>
      <c r="E4161" s="1566"/>
      <c r="F4161" s="1566"/>
      <c r="G4161" s="1566" t="s">
        <v>4660</v>
      </c>
      <c r="H4161" s="1568">
        <v>1</v>
      </c>
      <c r="I4161" s="1566"/>
      <c r="J4161" s="1566"/>
      <c r="K4161" s="1572">
        <v>730</v>
      </c>
      <c r="L4161" s="1565">
        <v>32472</v>
      </c>
      <c r="M4161" s="1564"/>
      <c r="N4161" s="1565">
        <v>32472</v>
      </c>
      <c r="O4161" s="1565">
        <v>7158.81</v>
      </c>
      <c r="P4161" s="1565">
        <v>24290.55</v>
      </c>
      <c r="Q4161" s="1565">
        <v>1022.64</v>
      </c>
      <c r="R4161" s="1565">
        <v>25313.19</v>
      </c>
      <c r="S4161" s="1562"/>
    </row>
    <row r="4162" spans="2:19" ht="11.25" customHeight="1" outlineLevel="1">
      <c r="B4162" s="1573">
        <v>26060</v>
      </c>
      <c r="C4162" s="1566" t="s">
        <v>4632</v>
      </c>
      <c r="D4162" s="1566" t="s">
        <v>8954</v>
      </c>
      <c r="E4162" s="1566"/>
      <c r="F4162" s="1566"/>
      <c r="G4162" s="1566" t="s">
        <v>8953</v>
      </c>
      <c r="H4162" s="1568">
        <v>1</v>
      </c>
      <c r="I4162" s="1566"/>
      <c r="J4162" s="1566"/>
      <c r="K4162" s="1572">
        <v>739</v>
      </c>
      <c r="L4162" s="1565">
        <v>55443</v>
      </c>
      <c r="M4162" s="1564"/>
      <c r="N4162" s="1565">
        <v>55443</v>
      </c>
      <c r="O4162" s="1565">
        <v>32119.59</v>
      </c>
      <c r="P4162" s="1565">
        <v>22381.05</v>
      </c>
      <c r="Q4162" s="1572">
        <v>942.36</v>
      </c>
      <c r="R4162" s="1565">
        <v>23323.41</v>
      </c>
      <c r="S4162" s="1562"/>
    </row>
    <row r="4163" spans="2:19" ht="11.25" customHeight="1" outlineLevel="1">
      <c r="B4163" s="1573">
        <v>26064</v>
      </c>
      <c r="C4163" s="1566" t="s">
        <v>4632</v>
      </c>
      <c r="D4163" s="1566" t="s">
        <v>8952</v>
      </c>
      <c r="E4163" s="1566"/>
      <c r="F4163" s="1566"/>
      <c r="G4163" s="1566" t="s">
        <v>4656</v>
      </c>
      <c r="H4163" s="1568">
        <v>1</v>
      </c>
      <c r="I4163" s="1566"/>
      <c r="J4163" s="1566"/>
      <c r="K4163" s="1572">
        <v>678</v>
      </c>
      <c r="L4163" s="1565">
        <v>4270</v>
      </c>
      <c r="M4163" s="1564"/>
      <c r="N4163" s="1565">
        <v>4270</v>
      </c>
      <c r="O4163" s="1565">
        <v>2473.15</v>
      </c>
      <c r="P4163" s="1565">
        <v>1724.25</v>
      </c>
      <c r="Q4163" s="1572">
        <v>72.599999999999994</v>
      </c>
      <c r="R4163" s="1565">
        <v>1796.85</v>
      </c>
      <c r="S4163" s="1562"/>
    </row>
    <row r="4164" spans="2:19" ht="11.25" customHeight="1" outlineLevel="1">
      <c r="B4164" s="1573">
        <v>26066</v>
      </c>
      <c r="C4164" s="1566" t="s">
        <v>4632</v>
      </c>
      <c r="D4164" s="1566" t="s">
        <v>8951</v>
      </c>
      <c r="E4164" s="1566"/>
      <c r="F4164" s="1566"/>
      <c r="G4164" s="1566" t="s">
        <v>8934</v>
      </c>
      <c r="H4164" s="1568">
        <v>1</v>
      </c>
      <c r="I4164" s="1566"/>
      <c r="J4164" s="1566"/>
      <c r="K4164" s="1565">
        <v>2142</v>
      </c>
      <c r="L4164" s="1565">
        <v>76463</v>
      </c>
      <c r="M4164" s="1564"/>
      <c r="N4164" s="1565">
        <v>76463</v>
      </c>
      <c r="O4164" s="1565">
        <v>44297.78</v>
      </c>
      <c r="P4164" s="1565">
        <v>30865.5</v>
      </c>
      <c r="Q4164" s="1565">
        <v>1299.72</v>
      </c>
      <c r="R4164" s="1565">
        <v>32165.22</v>
      </c>
      <c r="S4164" s="1562"/>
    </row>
    <row r="4165" spans="2:19" ht="11.25" customHeight="1" outlineLevel="1">
      <c r="B4165" s="1573">
        <v>26067</v>
      </c>
      <c r="C4165" s="1566" t="s">
        <v>4632</v>
      </c>
      <c r="D4165" s="1566" t="s">
        <v>8950</v>
      </c>
      <c r="E4165" s="1566"/>
      <c r="F4165" s="1566"/>
      <c r="G4165" s="1566" t="s">
        <v>8949</v>
      </c>
      <c r="H4165" s="1568">
        <v>1</v>
      </c>
      <c r="I4165" s="1566"/>
      <c r="J4165" s="1566"/>
      <c r="K4165" s="1565">
        <v>1076</v>
      </c>
      <c r="L4165" s="1565">
        <v>12378</v>
      </c>
      <c r="M4165" s="1564"/>
      <c r="N4165" s="1565">
        <v>12378</v>
      </c>
      <c r="O4165" s="1565">
        <v>7171.59</v>
      </c>
      <c r="P4165" s="1565">
        <v>4996.05</v>
      </c>
      <c r="Q4165" s="1572">
        <v>210.36</v>
      </c>
      <c r="R4165" s="1565">
        <v>5206.41</v>
      </c>
      <c r="S4165" s="1562"/>
    </row>
    <row r="4166" spans="2:19" ht="11.25" customHeight="1" outlineLevel="1">
      <c r="B4166" s="1573">
        <v>26068</v>
      </c>
      <c r="C4166" s="1566" t="s">
        <v>4632</v>
      </c>
      <c r="D4166" s="1566" t="s">
        <v>8948</v>
      </c>
      <c r="E4166" s="1566"/>
      <c r="F4166" s="1566"/>
      <c r="G4166" s="1566" t="s">
        <v>8947</v>
      </c>
      <c r="H4166" s="1568">
        <v>1</v>
      </c>
      <c r="I4166" s="1566"/>
      <c r="J4166" s="1566"/>
      <c r="K4166" s="1572">
        <v>364</v>
      </c>
      <c r="L4166" s="1565">
        <v>11650</v>
      </c>
      <c r="M4166" s="1564"/>
      <c r="N4166" s="1565">
        <v>11650</v>
      </c>
      <c r="O4166" s="1565">
        <v>6749.5</v>
      </c>
      <c r="P4166" s="1565">
        <v>4702.5</v>
      </c>
      <c r="Q4166" s="1572">
        <v>198</v>
      </c>
      <c r="R4166" s="1565">
        <v>4900.5</v>
      </c>
      <c r="S4166" s="1562"/>
    </row>
    <row r="4167" spans="2:19" ht="11.25" customHeight="1" outlineLevel="1">
      <c r="B4167" s="1573">
        <v>26069</v>
      </c>
      <c r="C4167" s="1566" t="s">
        <v>4632</v>
      </c>
      <c r="D4167" s="1566" t="s">
        <v>8946</v>
      </c>
      <c r="E4167" s="1566"/>
      <c r="F4167" s="1566"/>
      <c r="G4167" s="1566" t="s">
        <v>8945</v>
      </c>
      <c r="H4167" s="1568">
        <v>1</v>
      </c>
      <c r="I4167" s="1566"/>
      <c r="J4167" s="1566"/>
      <c r="K4167" s="1565">
        <v>1244</v>
      </c>
      <c r="L4167" s="1565">
        <v>19900</v>
      </c>
      <c r="M4167" s="1564"/>
      <c r="N4167" s="1565">
        <v>19900</v>
      </c>
      <c r="O4167" s="1565">
        <v>11527.66</v>
      </c>
      <c r="P4167" s="1565">
        <v>8034.15</v>
      </c>
      <c r="Q4167" s="1572">
        <v>338.19</v>
      </c>
      <c r="R4167" s="1565">
        <v>8372.34</v>
      </c>
      <c r="S4167" s="1562"/>
    </row>
    <row r="4168" spans="2:19" ht="11.25" customHeight="1" outlineLevel="1">
      <c r="B4168" s="1573">
        <v>26070</v>
      </c>
      <c r="C4168" s="1566" t="s">
        <v>4632</v>
      </c>
      <c r="D4168" s="1566" t="s">
        <v>8944</v>
      </c>
      <c r="E4168" s="1566"/>
      <c r="F4168" s="1566"/>
      <c r="G4168" s="1566" t="s">
        <v>8943</v>
      </c>
      <c r="H4168" s="1568">
        <v>1</v>
      </c>
      <c r="I4168" s="1566"/>
      <c r="J4168" s="1566"/>
      <c r="K4168" s="1572">
        <v>251</v>
      </c>
      <c r="L4168" s="1565">
        <v>13230</v>
      </c>
      <c r="M4168" s="1564"/>
      <c r="N4168" s="1565">
        <v>13230</v>
      </c>
      <c r="O4168" s="1565">
        <v>7664.22</v>
      </c>
      <c r="P4168" s="1565">
        <v>5340.9</v>
      </c>
      <c r="Q4168" s="1572">
        <v>224.88</v>
      </c>
      <c r="R4168" s="1565">
        <v>5565.78</v>
      </c>
      <c r="S4168" s="1562"/>
    </row>
    <row r="4169" spans="2:19" ht="11.25" customHeight="1" outlineLevel="1">
      <c r="B4169" s="1573">
        <v>26071</v>
      </c>
      <c r="C4169" s="1566" t="s">
        <v>4632</v>
      </c>
      <c r="D4169" s="1566" t="s">
        <v>8942</v>
      </c>
      <c r="E4169" s="1566"/>
      <c r="F4169" s="1566"/>
      <c r="G4169" s="1566" t="s">
        <v>4646</v>
      </c>
      <c r="H4169" s="1568">
        <v>1</v>
      </c>
      <c r="I4169" s="1566"/>
      <c r="J4169" s="1566"/>
      <c r="K4169" s="1565">
        <v>1089</v>
      </c>
      <c r="L4169" s="1565">
        <v>13068</v>
      </c>
      <c r="M4169" s="1564"/>
      <c r="N4169" s="1565">
        <v>13068</v>
      </c>
      <c r="O4169" s="1565">
        <v>7570.53</v>
      </c>
      <c r="P4169" s="1565">
        <v>5275.35</v>
      </c>
      <c r="Q4169" s="1572">
        <v>222.12</v>
      </c>
      <c r="R4169" s="1565">
        <v>5497.47</v>
      </c>
      <c r="S4169" s="1562"/>
    </row>
    <row r="4170" spans="2:19" ht="11.25" customHeight="1" outlineLevel="1">
      <c r="B4170" s="1573">
        <v>26072</v>
      </c>
      <c r="C4170" s="1566" t="s">
        <v>4632</v>
      </c>
      <c r="D4170" s="1566" t="s">
        <v>8941</v>
      </c>
      <c r="E4170" s="1566"/>
      <c r="F4170" s="1566"/>
      <c r="G4170" s="1566" t="s">
        <v>4642</v>
      </c>
      <c r="H4170" s="1568">
        <v>1</v>
      </c>
      <c r="I4170" s="1566"/>
      <c r="J4170" s="1566"/>
      <c r="K4170" s="1572">
        <v>15</v>
      </c>
      <c r="L4170" s="1572">
        <v>574</v>
      </c>
      <c r="M4170" s="1564"/>
      <c r="N4170" s="1572">
        <v>574</v>
      </c>
      <c r="O4170" s="1572">
        <v>95.95</v>
      </c>
      <c r="P4170" s="1572">
        <v>458.85</v>
      </c>
      <c r="Q4170" s="1572">
        <v>19.2</v>
      </c>
      <c r="R4170" s="1572">
        <v>478.05</v>
      </c>
      <c r="S4170" s="1562"/>
    </row>
    <row r="4171" spans="2:19" ht="11.25" customHeight="1" outlineLevel="1">
      <c r="B4171" s="1573">
        <v>26073</v>
      </c>
      <c r="C4171" s="1566" t="s">
        <v>4632</v>
      </c>
      <c r="D4171" s="1566" t="s">
        <v>8940</v>
      </c>
      <c r="E4171" s="1566"/>
      <c r="F4171" s="1566"/>
      <c r="G4171" s="1566" t="s">
        <v>4640</v>
      </c>
      <c r="H4171" s="1568">
        <v>1</v>
      </c>
      <c r="I4171" s="1566"/>
      <c r="J4171" s="1566"/>
      <c r="K4171" s="1572">
        <v>19</v>
      </c>
      <c r="L4171" s="1572">
        <v>574</v>
      </c>
      <c r="M4171" s="1564"/>
      <c r="N4171" s="1572">
        <v>574</v>
      </c>
      <c r="O4171" s="1572">
        <v>95.95</v>
      </c>
      <c r="P4171" s="1572">
        <v>458.85</v>
      </c>
      <c r="Q4171" s="1572">
        <v>19.2</v>
      </c>
      <c r="R4171" s="1572">
        <v>478.05</v>
      </c>
      <c r="S4171" s="1562"/>
    </row>
    <row r="4172" spans="2:19" ht="11.25" customHeight="1" outlineLevel="1">
      <c r="B4172" s="1573">
        <v>26074</v>
      </c>
      <c r="C4172" s="1566" t="s">
        <v>4632</v>
      </c>
      <c r="D4172" s="1566" t="s">
        <v>8939</v>
      </c>
      <c r="E4172" s="1566"/>
      <c r="F4172" s="1566"/>
      <c r="G4172" s="1566" t="s">
        <v>4638</v>
      </c>
      <c r="H4172" s="1568">
        <v>1</v>
      </c>
      <c r="I4172" s="1566"/>
      <c r="J4172" s="1566"/>
      <c r="K4172" s="1572">
        <v>96</v>
      </c>
      <c r="L4172" s="1565">
        <v>2870</v>
      </c>
      <c r="M4172" s="1564"/>
      <c r="N4172" s="1565">
        <v>2870</v>
      </c>
      <c r="O4172" s="1572">
        <v>482.12</v>
      </c>
      <c r="P4172" s="1565">
        <v>2291.4</v>
      </c>
      <c r="Q4172" s="1572">
        <v>96.48</v>
      </c>
      <c r="R4172" s="1565">
        <v>2387.88</v>
      </c>
      <c r="S4172" s="1562"/>
    </row>
    <row r="4173" spans="2:19" ht="11.25" customHeight="1" outlineLevel="1">
      <c r="B4173" s="1573">
        <v>26075</v>
      </c>
      <c r="C4173" s="1566" t="s">
        <v>4632</v>
      </c>
      <c r="D4173" s="1566" t="s">
        <v>8938</v>
      </c>
      <c r="E4173" s="1566"/>
      <c r="F4173" s="1566"/>
      <c r="G4173" s="1566" t="s">
        <v>8937</v>
      </c>
      <c r="H4173" s="1568">
        <v>1</v>
      </c>
      <c r="I4173" s="1566"/>
      <c r="J4173" s="1566"/>
      <c r="K4173" s="1565">
        <v>1737</v>
      </c>
      <c r="L4173" s="1565">
        <v>11463</v>
      </c>
      <c r="M4173" s="1564"/>
      <c r="N4173" s="1565">
        <v>11463</v>
      </c>
      <c r="O4173" s="1565">
        <v>6639.84</v>
      </c>
      <c r="P4173" s="1565">
        <v>4628.3999999999996</v>
      </c>
      <c r="Q4173" s="1572">
        <v>194.76</v>
      </c>
      <c r="R4173" s="1565">
        <v>4823.16</v>
      </c>
      <c r="S4173" s="1562"/>
    </row>
    <row r="4174" spans="2:19" ht="11.25" customHeight="1" outlineLevel="1">
      <c r="B4174" s="1573">
        <v>26076</v>
      </c>
      <c r="C4174" s="1566" t="s">
        <v>4632</v>
      </c>
      <c r="D4174" s="1566" t="s">
        <v>8936</v>
      </c>
      <c r="E4174" s="1566"/>
      <c r="F4174" s="1566"/>
      <c r="G4174" s="1566" t="s">
        <v>4328</v>
      </c>
      <c r="H4174" s="1568">
        <v>1</v>
      </c>
      <c r="I4174" s="1566"/>
      <c r="J4174" s="1566"/>
      <c r="K4174" s="1572">
        <v>183</v>
      </c>
      <c r="L4174" s="1565">
        <v>32010</v>
      </c>
      <c r="M4174" s="1564"/>
      <c r="N4174" s="1565">
        <v>32010</v>
      </c>
      <c r="O4174" s="1565">
        <v>18544.02</v>
      </c>
      <c r="P4174" s="1565">
        <v>12921.9</v>
      </c>
      <c r="Q4174" s="1572">
        <v>544.08000000000004</v>
      </c>
      <c r="R4174" s="1565">
        <v>13465.98</v>
      </c>
      <c r="S4174" s="1562"/>
    </row>
    <row r="4175" spans="2:19" ht="11.25" customHeight="1" outlineLevel="1">
      <c r="B4175" s="1573">
        <v>26077</v>
      </c>
      <c r="C4175" s="1566" t="s">
        <v>4632</v>
      </c>
      <c r="D4175" s="1566" t="s">
        <v>8935</v>
      </c>
      <c r="E4175" s="1566"/>
      <c r="F4175" s="1566"/>
      <c r="G4175" s="1566" t="s">
        <v>8934</v>
      </c>
      <c r="H4175" s="1568">
        <v>1</v>
      </c>
      <c r="I4175" s="1566"/>
      <c r="J4175" s="1566"/>
      <c r="K4175" s="1572">
        <v>22</v>
      </c>
      <c r="L4175" s="1565">
        <v>1350</v>
      </c>
      <c r="M4175" s="1564"/>
      <c r="N4175" s="1565">
        <v>1350</v>
      </c>
      <c r="O4175" s="1572">
        <v>782.73</v>
      </c>
      <c r="P4175" s="1572">
        <v>544.35</v>
      </c>
      <c r="Q4175" s="1572">
        <v>22.92</v>
      </c>
      <c r="R4175" s="1572">
        <v>567.27</v>
      </c>
      <c r="S4175" s="1562"/>
    </row>
    <row r="4176" spans="2:19" ht="11.25" customHeight="1" outlineLevel="1">
      <c r="B4176" s="1573">
        <v>26078</v>
      </c>
      <c r="C4176" s="1566" t="s">
        <v>4632</v>
      </c>
      <c r="D4176" s="1566" t="s">
        <v>8933</v>
      </c>
      <c r="E4176" s="1566"/>
      <c r="F4176" s="1566"/>
      <c r="G4176" s="1566" t="s">
        <v>5064</v>
      </c>
      <c r="H4176" s="1568">
        <v>1</v>
      </c>
      <c r="I4176" s="1566"/>
      <c r="J4176" s="1566"/>
      <c r="K4176" s="1565">
        <v>5000</v>
      </c>
      <c r="L4176" s="1565">
        <v>5000</v>
      </c>
      <c r="M4176" s="1564"/>
      <c r="N4176" s="1565">
        <v>5000</v>
      </c>
      <c r="O4176" s="1565">
        <v>2897.24</v>
      </c>
      <c r="P4176" s="1565">
        <v>2017.8</v>
      </c>
      <c r="Q4176" s="1572">
        <v>84.96</v>
      </c>
      <c r="R4176" s="1565">
        <v>2102.7600000000002</v>
      </c>
      <c r="S4176" s="1562"/>
    </row>
    <row r="4177" spans="2:19" ht="11.25" customHeight="1" outlineLevel="1">
      <c r="B4177" s="1573">
        <v>26079</v>
      </c>
      <c r="C4177" s="1566" t="s">
        <v>4632</v>
      </c>
      <c r="D4177" s="1566" t="s">
        <v>8932</v>
      </c>
      <c r="E4177" s="1566"/>
      <c r="F4177" s="1566"/>
      <c r="G4177" s="1566"/>
      <c r="H4177" s="1568">
        <v>1</v>
      </c>
      <c r="I4177" s="1566"/>
      <c r="J4177" s="1566"/>
      <c r="K4177" s="1565">
        <v>5000</v>
      </c>
      <c r="L4177" s="1565">
        <v>5000</v>
      </c>
      <c r="M4177" s="1565">
        <v>-5000</v>
      </c>
      <c r="N4177" s="1564"/>
      <c r="O4177" s="1564"/>
      <c r="P4177" s="1565">
        <v>5000</v>
      </c>
      <c r="Q4177" s="1565">
        <v>-5000</v>
      </c>
      <c r="R4177" s="1564"/>
      <c r="S4177" s="1562"/>
    </row>
    <row r="4178" spans="2:19" ht="11.25" customHeight="1" outlineLevel="1">
      <c r="B4178" s="1573">
        <v>26092</v>
      </c>
      <c r="C4178" s="1566" t="s">
        <v>4632</v>
      </c>
      <c r="D4178" s="1566" t="s">
        <v>8931</v>
      </c>
      <c r="E4178" s="1566"/>
      <c r="F4178" s="1566"/>
      <c r="G4178" s="1566" t="s">
        <v>8930</v>
      </c>
      <c r="H4178" s="1568">
        <v>1</v>
      </c>
      <c r="I4178" s="1566"/>
      <c r="J4178" s="1566"/>
      <c r="K4178" s="1572">
        <v>17</v>
      </c>
      <c r="L4178" s="1572">
        <v>172</v>
      </c>
      <c r="M4178" s="1564"/>
      <c r="N4178" s="1572">
        <v>172</v>
      </c>
      <c r="O4178" s="1572">
        <v>29.32</v>
      </c>
      <c r="P4178" s="1572">
        <v>136.80000000000001</v>
      </c>
      <c r="Q4178" s="1572">
        <v>5.88</v>
      </c>
      <c r="R4178" s="1572">
        <v>142.68</v>
      </c>
      <c r="S4178" s="1562"/>
    </row>
    <row r="4179" spans="2:19" ht="11.25" customHeight="1" outlineLevel="1">
      <c r="B4179" s="1573">
        <v>26094</v>
      </c>
      <c r="C4179" s="1566" t="s">
        <v>4632</v>
      </c>
      <c r="D4179" s="1566" t="s">
        <v>8929</v>
      </c>
      <c r="E4179" s="1566"/>
      <c r="F4179" s="1566"/>
      <c r="G4179" s="1566" t="s">
        <v>8928</v>
      </c>
      <c r="H4179" s="1568">
        <v>1</v>
      </c>
      <c r="I4179" s="1566"/>
      <c r="J4179" s="1566"/>
      <c r="K4179" s="1572">
        <v>18</v>
      </c>
      <c r="L4179" s="1565">
        <v>3624</v>
      </c>
      <c r="M4179" s="1564"/>
      <c r="N4179" s="1565">
        <v>3624</v>
      </c>
      <c r="O4179" s="1565">
        <v>1830.12</v>
      </c>
      <c r="P4179" s="1565">
        <v>1721.4</v>
      </c>
      <c r="Q4179" s="1572">
        <v>72.48</v>
      </c>
      <c r="R4179" s="1565">
        <v>1793.88</v>
      </c>
      <c r="S4179" s="1562"/>
    </row>
    <row r="4180" spans="2:19" ht="11.25" customHeight="1" outlineLevel="1">
      <c r="B4180" s="1573">
        <v>26095</v>
      </c>
      <c r="C4180" s="1566" t="s">
        <v>4632</v>
      </c>
      <c r="D4180" s="1566" t="s">
        <v>8927</v>
      </c>
      <c r="E4180" s="1566"/>
      <c r="F4180" s="1566"/>
      <c r="G4180" s="1566" t="s">
        <v>8926</v>
      </c>
      <c r="H4180" s="1568">
        <v>1</v>
      </c>
      <c r="I4180" s="1566"/>
      <c r="J4180" s="1566"/>
      <c r="K4180" s="1565">
        <v>6282</v>
      </c>
      <c r="L4180" s="1565">
        <v>6282</v>
      </c>
      <c r="M4180" s="1564"/>
      <c r="N4180" s="1565">
        <v>6282</v>
      </c>
      <c r="O4180" s="1565">
        <v>3638.7</v>
      </c>
      <c r="P4180" s="1565">
        <v>2536.5</v>
      </c>
      <c r="Q4180" s="1572">
        <v>106.8</v>
      </c>
      <c r="R4180" s="1565">
        <v>2643.3</v>
      </c>
      <c r="S4180" s="1562"/>
    </row>
    <row r="4181" spans="2:19" ht="11.25" customHeight="1" outlineLevel="1">
      <c r="B4181" s="1573">
        <v>35183</v>
      </c>
      <c r="C4181" s="1566" t="s">
        <v>4632</v>
      </c>
      <c r="D4181" s="1566" t="s">
        <v>8925</v>
      </c>
      <c r="E4181" s="1566"/>
      <c r="F4181" s="1566"/>
      <c r="G4181" s="1566"/>
      <c r="H4181" s="1568">
        <v>1</v>
      </c>
      <c r="I4181" s="1566"/>
      <c r="J4181" s="1566"/>
      <c r="K4181" s="1565">
        <v>5000</v>
      </c>
      <c r="L4181" s="1565">
        <v>5000</v>
      </c>
      <c r="M4181" s="1565">
        <v>-5000</v>
      </c>
      <c r="N4181" s="1564"/>
      <c r="O4181" s="1564"/>
      <c r="P4181" s="1565">
        <v>5000</v>
      </c>
      <c r="Q4181" s="1565">
        <v>-5000</v>
      </c>
      <c r="R4181" s="1564"/>
      <c r="S4181" s="1562"/>
    </row>
    <row r="4182" spans="2:19" ht="11.25" customHeight="1" outlineLevel="1">
      <c r="B4182" s="1573">
        <v>26135</v>
      </c>
      <c r="C4182" s="1566" t="s">
        <v>4601</v>
      </c>
      <c r="D4182" s="1566" t="s">
        <v>8924</v>
      </c>
      <c r="E4182" s="1566"/>
      <c r="F4182" s="1566"/>
      <c r="G4182" s="1566" t="s">
        <v>8923</v>
      </c>
      <c r="H4182" s="1568">
        <v>1</v>
      </c>
      <c r="I4182" s="1566"/>
      <c r="J4182" s="1566"/>
      <c r="K4182" s="1572">
        <v>312</v>
      </c>
      <c r="L4182" s="1565">
        <v>70290</v>
      </c>
      <c r="M4182" s="1564"/>
      <c r="N4182" s="1565">
        <v>70290</v>
      </c>
      <c r="O4182" s="1565">
        <v>40919.800000000003</v>
      </c>
      <c r="P4182" s="1565">
        <v>28175.48</v>
      </c>
      <c r="Q4182" s="1565">
        <v>1194.72</v>
      </c>
      <c r="R4182" s="1565">
        <v>29370.2</v>
      </c>
      <c r="S4182" s="1562"/>
    </row>
    <row r="4183" spans="2:19" ht="11.25" customHeight="1" outlineLevel="1">
      <c r="B4183" s="1573">
        <v>26136</v>
      </c>
      <c r="C4183" s="1566" t="s">
        <v>4601</v>
      </c>
      <c r="D4183" s="1566" t="s">
        <v>8922</v>
      </c>
      <c r="E4183" s="1566"/>
      <c r="F4183" s="1566"/>
      <c r="G4183" s="1566" t="s">
        <v>8921</v>
      </c>
      <c r="H4183" s="1568">
        <v>1</v>
      </c>
      <c r="I4183" s="1566"/>
      <c r="J4183" s="1566"/>
      <c r="K4183" s="1572">
        <v>152</v>
      </c>
      <c r="L4183" s="1565">
        <v>28044</v>
      </c>
      <c r="M4183" s="1564"/>
      <c r="N4183" s="1565">
        <v>28044</v>
      </c>
      <c r="O4183" s="1565">
        <v>16326.6</v>
      </c>
      <c r="P4183" s="1565">
        <v>11240.76</v>
      </c>
      <c r="Q4183" s="1572">
        <v>476.64</v>
      </c>
      <c r="R4183" s="1565">
        <v>11717.4</v>
      </c>
      <c r="S4183" s="1562"/>
    </row>
    <row r="4184" spans="2:19" ht="11.25" customHeight="1" outlineLevel="1">
      <c r="B4184" s="1573">
        <v>26137</v>
      </c>
      <c r="C4184" s="1566" t="s">
        <v>4601</v>
      </c>
      <c r="D4184" s="1566" t="s">
        <v>8920</v>
      </c>
      <c r="E4184" s="1566"/>
      <c r="F4184" s="1566"/>
      <c r="G4184" s="1566" t="s">
        <v>8919</v>
      </c>
      <c r="H4184" s="1568">
        <v>1</v>
      </c>
      <c r="I4184" s="1566"/>
      <c r="J4184" s="1566"/>
      <c r="K4184" s="1572">
        <v>279</v>
      </c>
      <c r="L4184" s="1565">
        <v>113304</v>
      </c>
      <c r="M4184" s="1564"/>
      <c r="N4184" s="1565">
        <v>113304</v>
      </c>
      <c r="O4184" s="1565">
        <v>65959.45</v>
      </c>
      <c r="P4184" s="1565">
        <v>45418.67</v>
      </c>
      <c r="Q4184" s="1565">
        <v>1925.88</v>
      </c>
      <c r="R4184" s="1565">
        <v>47344.55</v>
      </c>
      <c r="S4184" s="1562"/>
    </row>
    <row r="4185" spans="2:19" ht="11.25" customHeight="1" outlineLevel="1">
      <c r="B4185" s="1573">
        <v>26138</v>
      </c>
      <c r="C4185" s="1566" t="s">
        <v>4601</v>
      </c>
      <c r="D4185" s="1566" t="s">
        <v>8918</v>
      </c>
      <c r="E4185" s="1566"/>
      <c r="F4185" s="1566"/>
      <c r="G4185" s="1566" t="s">
        <v>4622</v>
      </c>
      <c r="H4185" s="1568">
        <v>1</v>
      </c>
      <c r="I4185" s="1566"/>
      <c r="J4185" s="1566"/>
      <c r="K4185" s="1572">
        <v>131</v>
      </c>
      <c r="L4185" s="1565">
        <v>7335</v>
      </c>
      <c r="M4185" s="1564"/>
      <c r="N4185" s="1565">
        <v>7335</v>
      </c>
      <c r="O4185" s="1565">
        <v>4269.95</v>
      </c>
      <c r="P4185" s="1565">
        <v>2940.37</v>
      </c>
      <c r="Q4185" s="1572">
        <v>124.68</v>
      </c>
      <c r="R4185" s="1565">
        <v>3065.05</v>
      </c>
      <c r="S4185" s="1562"/>
    </row>
    <row r="4186" spans="2:19" ht="11.25" customHeight="1" outlineLevel="1">
      <c r="B4186" s="1573">
        <v>26139</v>
      </c>
      <c r="C4186" s="1566" t="s">
        <v>4601</v>
      </c>
      <c r="D4186" s="1566" t="s">
        <v>8917</v>
      </c>
      <c r="E4186" s="1566"/>
      <c r="F4186" s="1566"/>
      <c r="G4186" s="1566" t="s">
        <v>4622</v>
      </c>
      <c r="H4186" s="1568">
        <v>1</v>
      </c>
      <c r="I4186" s="1566"/>
      <c r="J4186" s="1566"/>
      <c r="K4186" s="1572">
        <v>27</v>
      </c>
      <c r="L4186" s="1572">
        <v>259</v>
      </c>
      <c r="M4186" s="1564"/>
      <c r="N4186" s="1572">
        <v>259</v>
      </c>
      <c r="O4186" s="1572">
        <v>149.97</v>
      </c>
      <c r="P4186" s="1572">
        <v>104.71</v>
      </c>
      <c r="Q4186" s="1572">
        <v>4.32</v>
      </c>
      <c r="R4186" s="1572">
        <v>109.03</v>
      </c>
      <c r="S4186" s="1562"/>
    </row>
    <row r="4187" spans="2:19" ht="11.25" customHeight="1" outlineLevel="1">
      <c r="B4187" s="1573">
        <v>26140</v>
      </c>
      <c r="C4187" s="1566" t="s">
        <v>4601</v>
      </c>
      <c r="D4187" s="1566" t="s">
        <v>8916</v>
      </c>
      <c r="E4187" s="1566"/>
      <c r="F4187" s="1566"/>
      <c r="G4187" s="1566" t="s">
        <v>4620</v>
      </c>
      <c r="H4187" s="1568">
        <v>1</v>
      </c>
      <c r="I4187" s="1566"/>
      <c r="J4187" s="1566"/>
      <c r="K4187" s="1572">
        <v>131</v>
      </c>
      <c r="L4187" s="1565">
        <v>6549</v>
      </c>
      <c r="M4187" s="1564"/>
      <c r="N4187" s="1565">
        <v>6549</v>
      </c>
      <c r="O4187" s="1565">
        <v>3811.52</v>
      </c>
      <c r="P4187" s="1565">
        <v>2626.24</v>
      </c>
      <c r="Q4187" s="1572">
        <v>111.24</v>
      </c>
      <c r="R4187" s="1565">
        <v>2737.48</v>
      </c>
      <c r="S4187" s="1562"/>
    </row>
    <row r="4188" spans="2:19" ht="11.25" customHeight="1" outlineLevel="1">
      <c r="B4188" s="1573">
        <v>26141</v>
      </c>
      <c r="C4188" s="1566" t="s">
        <v>4601</v>
      </c>
      <c r="D4188" s="1566" t="s">
        <v>8915</v>
      </c>
      <c r="E4188" s="1566"/>
      <c r="F4188" s="1566"/>
      <c r="G4188" s="1566" t="s">
        <v>4620</v>
      </c>
      <c r="H4188" s="1568">
        <v>1</v>
      </c>
      <c r="I4188" s="1566"/>
      <c r="J4188" s="1566"/>
      <c r="K4188" s="1572">
        <v>27</v>
      </c>
      <c r="L4188" s="1572">
        <v>340</v>
      </c>
      <c r="M4188" s="1564"/>
      <c r="N4188" s="1572">
        <v>340</v>
      </c>
      <c r="O4188" s="1572">
        <v>198.4</v>
      </c>
      <c r="P4188" s="1572">
        <v>135.84</v>
      </c>
      <c r="Q4188" s="1572">
        <v>5.76</v>
      </c>
      <c r="R4188" s="1572">
        <v>141.6</v>
      </c>
      <c r="S4188" s="1562"/>
    </row>
    <row r="4189" spans="2:19" ht="11.25" customHeight="1" outlineLevel="1">
      <c r="B4189" s="1573">
        <v>26142</v>
      </c>
      <c r="C4189" s="1566" t="s">
        <v>4601</v>
      </c>
      <c r="D4189" s="1566" t="s">
        <v>8914</v>
      </c>
      <c r="E4189" s="1566"/>
      <c r="F4189" s="1566"/>
      <c r="G4189" s="1566" t="s">
        <v>4626</v>
      </c>
      <c r="H4189" s="1568">
        <v>1</v>
      </c>
      <c r="I4189" s="1566"/>
      <c r="J4189" s="1566"/>
      <c r="K4189" s="1572">
        <v>27</v>
      </c>
      <c r="L4189" s="1572">
        <v>264</v>
      </c>
      <c r="M4189" s="1564"/>
      <c r="N4189" s="1572">
        <v>264</v>
      </c>
      <c r="O4189" s="1572">
        <v>154.72999999999999</v>
      </c>
      <c r="P4189" s="1572">
        <v>104.71</v>
      </c>
      <c r="Q4189" s="1572">
        <v>4.5599999999999996</v>
      </c>
      <c r="R4189" s="1572">
        <v>109.27</v>
      </c>
      <c r="S4189" s="1562"/>
    </row>
    <row r="4190" spans="2:19" ht="11.25" customHeight="1" outlineLevel="1">
      <c r="B4190" s="1573">
        <v>26143</v>
      </c>
      <c r="C4190" s="1566" t="s">
        <v>4601</v>
      </c>
      <c r="D4190" s="1566" t="s">
        <v>8913</v>
      </c>
      <c r="E4190" s="1566"/>
      <c r="F4190" s="1566"/>
      <c r="G4190" s="1566" t="s">
        <v>4618</v>
      </c>
      <c r="H4190" s="1568">
        <v>1</v>
      </c>
      <c r="I4190" s="1566"/>
      <c r="J4190" s="1566"/>
      <c r="K4190" s="1572">
        <v>131</v>
      </c>
      <c r="L4190" s="1565">
        <v>7466</v>
      </c>
      <c r="M4190" s="1564"/>
      <c r="N4190" s="1565">
        <v>7466</v>
      </c>
      <c r="O4190" s="1565">
        <v>4345.0200000000004</v>
      </c>
      <c r="P4190" s="1565">
        <v>2994.14</v>
      </c>
      <c r="Q4190" s="1572">
        <v>126.84</v>
      </c>
      <c r="R4190" s="1565">
        <v>3120.98</v>
      </c>
      <c r="S4190" s="1562"/>
    </row>
    <row r="4191" spans="2:19" ht="11.25" customHeight="1" outlineLevel="1">
      <c r="B4191" s="1573">
        <v>26144</v>
      </c>
      <c r="C4191" s="1566" t="s">
        <v>4601</v>
      </c>
      <c r="D4191" s="1566" t="s">
        <v>8912</v>
      </c>
      <c r="E4191" s="1566"/>
      <c r="F4191" s="1566"/>
      <c r="G4191" s="1566" t="s">
        <v>4618</v>
      </c>
      <c r="H4191" s="1568">
        <v>1</v>
      </c>
      <c r="I4191" s="1566"/>
      <c r="J4191" s="1566"/>
      <c r="K4191" s="1572">
        <v>27</v>
      </c>
      <c r="L4191" s="1572">
        <v>354</v>
      </c>
      <c r="M4191" s="1564"/>
      <c r="N4191" s="1572">
        <v>354</v>
      </c>
      <c r="O4191" s="1572">
        <v>206.5</v>
      </c>
      <c r="P4191" s="1572">
        <v>141.5</v>
      </c>
      <c r="Q4191" s="1572">
        <v>6</v>
      </c>
      <c r="R4191" s="1572">
        <v>147.5</v>
      </c>
      <c r="S4191" s="1562"/>
    </row>
    <row r="4192" spans="2:19" ht="11.25" customHeight="1" outlineLevel="1">
      <c r="B4192" s="1573">
        <v>26145</v>
      </c>
      <c r="C4192" s="1566" t="s">
        <v>4601</v>
      </c>
      <c r="D4192" s="1566" t="s">
        <v>8911</v>
      </c>
      <c r="E4192" s="1566"/>
      <c r="F4192" s="1566"/>
      <c r="G4192" s="1566" t="s">
        <v>4628</v>
      </c>
      <c r="H4192" s="1568">
        <v>1</v>
      </c>
      <c r="I4192" s="1566"/>
      <c r="J4192" s="1566"/>
      <c r="K4192" s="1572">
        <v>27</v>
      </c>
      <c r="L4192" s="1572">
        <v>313</v>
      </c>
      <c r="M4192" s="1564"/>
      <c r="N4192" s="1572">
        <v>313</v>
      </c>
      <c r="O4192" s="1572">
        <v>183.08</v>
      </c>
      <c r="P4192" s="1572">
        <v>124.52</v>
      </c>
      <c r="Q4192" s="1572">
        <v>5.4</v>
      </c>
      <c r="R4192" s="1572">
        <v>129.91999999999999</v>
      </c>
      <c r="S4192" s="1562"/>
    </row>
    <row r="4193" spans="2:19" ht="11.25" customHeight="1" outlineLevel="1">
      <c r="B4193" s="1573">
        <v>26155</v>
      </c>
      <c r="C4193" s="1566" t="s">
        <v>4601</v>
      </c>
      <c r="D4193" s="1566" t="s">
        <v>8910</v>
      </c>
      <c r="E4193" s="1566"/>
      <c r="F4193" s="1566"/>
      <c r="G4193" s="1566" t="s">
        <v>4616</v>
      </c>
      <c r="H4193" s="1568">
        <v>1</v>
      </c>
      <c r="I4193" s="1566"/>
      <c r="J4193" s="1566"/>
      <c r="K4193" s="1572">
        <v>131</v>
      </c>
      <c r="L4193" s="1565">
        <v>4912</v>
      </c>
      <c r="M4193" s="1564"/>
      <c r="N4193" s="1565">
        <v>4912</v>
      </c>
      <c r="O4193" s="1565">
        <v>2858.8</v>
      </c>
      <c r="P4193" s="1565">
        <v>1969.68</v>
      </c>
      <c r="Q4193" s="1572">
        <v>83.52</v>
      </c>
      <c r="R4193" s="1565">
        <v>2053.1999999999998</v>
      </c>
      <c r="S4193" s="1562"/>
    </row>
    <row r="4194" spans="2:19" ht="11.25" customHeight="1" outlineLevel="1">
      <c r="B4194" s="1573">
        <v>26156</v>
      </c>
      <c r="C4194" s="1566" t="s">
        <v>4601</v>
      </c>
      <c r="D4194" s="1566" t="s">
        <v>8909</v>
      </c>
      <c r="E4194" s="1566"/>
      <c r="F4194" s="1566"/>
      <c r="G4194" s="1566" t="s">
        <v>4616</v>
      </c>
      <c r="H4194" s="1568">
        <v>1</v>
      </c>
      <c r="I4194" s="1566"/>
      <c r="J4194" s="1566"/>
      <c r="K4194" s="1572">
        <v>27</v>
      </c>
      <c r="L4194" s="1572">
        <v>259</v>
      </c>
      <c r="M4194" s="1564"/>
      <c r="N4194" s="1572">
        <v>259</v>
      </c>
      <c r="O4194" s="1572">
        <v>149.97</v>
      </c>
      <c r="P4194" s="1572">
        <v>104.71</v>
      </c>
      <c r="Q4194" s="1572">
        <v>4.32</v>
      </c>
      <c r="R4194" s="1572">
        <v>109.03</v>
      </c>
      <c r="S4194" s="1562"/>
    </row>
    <row r="4195" spans="2:19" ht="11.25" customHeight="1" outlineLevel="1">
      <c r="B4195" s="1573">
        <v>26157</v>
      </c>
      <c r="C4195" s="1566" t="s">
        <v>4601</v>
      </c>
      <c r="D4195" s="1566" t="s">
        <v>8908</v>
      </c>
      <c r="E4195" s="1566"/>
      <c r="F4195" s="1566"/>
      <c r="G4195" s="1566" t="s">
        <v>8906</v>
      </c>
      <c r="H4195" s="1568">
        <v>1</v>
      </c>
      <c r="I4195" s="1566"/>
      <c r="J4195" s="1566"/>
      <c r="K4195" s="1572">
        <v>131</v>
      </c>
      <c r="L4195" s="1565">
        <v>5043</v>
      </c>
      <c r="M4195" s="1564"/>
      <c r="N4195" s="1565">
        <v>5043</v>
      </c>
      <c r="O4195" s="1565">
        <v>2936.59</v>
      </c>
      <c r="P4195" s="1565">
        <v>2020.62</v>
      </c>
      <c r="Q4195" s="1572">
        <v>85.79</v>
      </c>
      <c r="R4195" s="1565">
        <v>2106.41</v>
      </c>
      <c r="S4195" s="1562"/>
    </row>
    <row r="4196" spans="2:19" ht="11.25" customHeight="1" outlineLevel="1">
      <c r="B4196" s="1573">
        <v>26158</v>
      </c>
      <c r="C4196" s="1566" t="s">
        <v>4601</v>
      </c>
      <c r="D4196" s="1566" t="s">
        <v>8907</v>
      </c>
      <c r="E4196" s="1566"/>
      <c r="F4196" s="1566"/>
      <c r="G4196" s="1566" t="s">
        <v>8906</v>
      </c>
      <c r="H4196" s="1568">
        <v>1</v>
      </c>
      <c r="I4196" s="1566"/>
      <c r="J4196" s="1566"/>
      <c r="K4196" s="1572">
        <v>27</v>
      </c>
      <c r="L4196" s="1572">
        <v>256</v>
      </c>
      <c r="M4196" s="1564"/>
      <c r="N4196" s="1572">
        <v>256</v>
      </c>
      <c r="O4196" s="1572">
        <v>149.80000000000001</v>
      </c>
      <c r="P4196" s="1572">
        <v>101.88</v>
      </c>
      <c r="Q4196" s="1572">
        <v>4.32</v>
      </c>
      <c r="R4196" s="1572">
        <v>106.2</v>
      </c>
      <c r="S4196" s="1562"/>
    </row>
    <row r="4197" spans="2:19" ht="11.25" customHeight="1" outlineLevel="1">
      <c r="B4197" s="1573">
        <v>26159</v>
      </c>
      <c r="C4197" s="1566" t="s">
        <v>4601</v>
      </c>
      <c r="D4197" s="1566" t="s">
        <v>8905</v>
      </c>
      <c r="E4197" s="1566"/>
      <c r="F4197" s="1566"/>
      <c r="G4197" s="1566" t="s">
        <v>4614</v>
      </c>
      <c r="H4197" s="1568">
        <v>1</v>
      </c>
      <c r="I4197" s="1566"/>
      <c r="J4197" s="1566"/>
      <c r="K4197" s="1572">
        <v>131</v>
      </c>
      <c r="L4197" s="1565">
        <v>5043</v>
      </c>
      <c r="M4197" s="1564"/>
      <c r="N4197" s="1565">
        <v>5043</v>
      </c>
      <c r="O4197" s="1565">
        <v>2936.59</v>
      </c>
      <c r="P4197" s="1565">
        <v>2020.62</v>
      </c>
      <c r="Q4197" s="1572">
        <v>85.79</v>
      </c>
      <c r="R4197" s="1565">
        <v>2106.41</v>
      </c>
      <c r="S4197" s="1562"/>
    </row>
    <row r="4198" spans="2:19" ht="11.25" customHeight="1" outlineLevel="1">
      <c r="B4198" s="1573">
        <v>26160</v>
      </c>
      <c r="C4198" s="1566" t="s">
        <v>4601</v>
      </c>
      <c r="D4198" s="1566" t="s">
        <v>8904</v>
      </c>
      <c r="E4198" s="1566"/>
      <c r="F4198" s="1566"/>
      <c r="G4198" s="1566" t="s">
        <v>4614</v>
      </c>
      <c r="H4198" s="1568">
        <v>1</v>
      </c>
      <c r="I4198" s="1566"/>
      <c r="J4198" s="1566"/>
      <c r="K4198" s="1572">
        <v>27</v>
      </c>
      <c r="L4198" s="1572">
        <v>267</v>
      </c>
      <c r="M4198" s="1564"/>
      <c r="N4198" s="1572">
        <v>267</v>
      </c>
      <c r="O4198" s="1572">
        <v>154.9</v>
      </c>
      <c r="P4198" s="1572">
        <v>107.54</v>
      </c>
      <c r="Q4198" s="1572">
        <v>4.5599999999999996</v>
      </c>
      <c r="R4198" s="1572">
        <v>112.1</v>
      </c>
      <c r="S4198" s="1562"/>
    </row>
    <row r="4199" spans="2:19" ht="11.25" customHeight="1" outlineLevel="1">
      <c r="B4199" s="1573">
        <v>26168</v>
      </c>
      <c r="C4199" s="1566" t="s">
        <v>4601</v>
      </c>
      <c r="D4199" s="1566" t="s">
        <v>8903</v>
      </c>
      <c r="E4199" s="1566"/>
      <c r="F4199" s="1566"/>
      <c r="G4199" s="1566" t="s">
        <v>4610</v>
      </c>
      <c r="H4199" s="1568">
        <v>1</v>
      </c>
      <c r="I4199" s="1566"/>
      <c r="J4199" s="1566"/>
      <c r="K4199" s="1572">
        <v>131</v>
      </c>
      <c r="L4199" s="1565">
        <v>3929</v>
      </c>
      <c r="M4199" s="1564"/>
      <c r="N4199" s="1565">
        <v>3929</v>
      </c>
      <c r="O4199" s="1565">
        <v>2285.9699999999998</v>
      </c>
      <c r="P4199" s="1565">
        <v>1576.31</v>
      </c>
      <c r="Q4199" s="1572">
        <v>66.72</v>
      </c>
      <c r="R4199" s="1565">
        <v>1643.03</v>
      </c>
      <c r="S4199" s="1562"/>
    </row>
    <row r="4200" spans="2:19" ht="11.25" customHeight="1" outlineLevel="1">
      <c r="B4200" s="1573">
        <v>26169</v>
      </c>
      <c r="C4200" s="1566" t="s">
        <v>4601</v>
      </c>
      <c r="D4200" s="1566" t="s">
        <v>8902</v>
      </c>
      <c r="E4200" s="1566"/>
      <c r="F4200" s="1566"/>
      <c r="G4200" s="1566" t="s">
        <v>4610</v>
      </c>
      <c r="H4200" s="1568">
        <v>1</v>
      </c>
      <c r="I4200" s="1566"/>
      <c r="J4200" s="1566"/>
      <c r="K4200" s="1572">
        <v>27</v>
      </c>
      <c r="L4200" s="1572">
        <v>286</v>
      </c>
      <c r="M4200" s="1564"/>
      <c r="N4200" s="1572">
        <v>286</v>
      </c>
      <c r="O4200" s="1572">
        <v>165.17</v>
      </c>
      <c r="P4200" s="1572">
        <v>116.03</v>
      </c>
      <c r="Q4200" s="1572">
        <v>4.8</v>
      </c>
      <c r="R4200" s="1572">
        <v>120.83</v>
      </c>
      <c r="S4200" s="1562"/>
    </row>
    <row r="4201" spans="2:19" ht="11.25" customHeight="1" outlineLevel="1">
      <c r="B4201" s="1573">
        <v>26170</v>
      </c>
      <c r="C4201" s="1566" t="s">
        <v>4601</v>
      </c>
      <c r="D4201" s="1566" t="s">
        <v>8901</v>
      </c>
      <c r="E4201" s="1566"/>
      <c r="F4201" s="1566"/>
      <c r="G4201" s="1566" t="s">
        <v>4602</v>
      </c>
      <c r="H4201" s="1568">
        <v>1</v>
      </c>
      <c r="I4201" s="1566"/>
      <c r="J4201" s="1566"/>
      <c r="K4201" s="1572">
        <v>131</v>
      </c>
      <c r="L4201" s="1565">
        <v>8775</v>
      </c>
      <c r="M4201" s="1564"/>
      <c r="N4201" s="1565">
        <v>8775</v>
      </c>
      <c r="O4201" s="1565">
        <v>5108.1499999999996</v>
      </c>
      <c r="P4201" s="1565">
        <v>3517.69</v>
      </c>
      <c r="Q4201" s="1572">
        <v>149.16</v>
      </c>
      <c r="R4201" s="1565">
        <v>3666.85</v>
      </c>
      <c r="S4201" s="1562"/>
    </row>
    <row r="4202" spans="2:19" ht="11.25" customHeight="1" outlineLevel="1">
      <c r="B4202" s="1573">
        <v>26171</v>
      </c>
      <c r="C4202" s="1566" t="s">
        <v>4601</v>
      </c>
      <c r="D4202" s="1566" t="s">
        <v>8900</v>
      </c>
      <c r="E4202" s="1566"/>
      <c r="F4202" s="1566"/>
      <c r="G4202" s="1566" t="s">
        <v>4602</v>
      </c>
      <c r="H4202" s="1568">
        <v>1</v>
      </c>
      <c r="I4202" s="1566"/>
      <c r="J4202" s="1566"/>
      <c r="K4202" s="1572">
        <v>27</v>
      </c>
      <c r="L4202" s="1572">
        <v>136</v>
      </c>
      <c r="M4202" s="1564"/>
      <c r="N4202" s="1572">
        <v>136</v>
      </c>
      <c r="O4202" s="1572">
        <v>79.95</v>
      </c>
      <c r="P4202" s="1572">
        <v>53.77</v>
      </c>
      <c r="Q4202" s="1572">
        <v>2.2799999999999998</v>
      </c>
      <c r="R4202" s="1572">
        <v>56.05</v>
      </c>
      <c r="S4202" s="1562"/>
    </row>
    <row r="4203" spans="2:19" ht="11.25" customHeight="1" outlineLevel="1">
      <c r="B4203" s="1573">
        <v>26172</v>
      </c>
      <c r="C4203" s="1566" t="s">
        <v>4601</v>
      </c>
      <c r="D4203" s="1566" t="s">
        <v>8899</v>
      </c>
      <c r="E4203" s="1566"/>
      <c r="F4203" s="1566"/>
      <c r="G4203" s="1566" t="s">
        <v>4608</v>
      </c>
      <c r="H4203" s="1568">
        <v>1</v>
      </c>
      <c r="I4203" s="1566"/>
      <c r="J4203" s="1566"/>
      <c r="K4203" s="1572">
        <v>27</v>
      </c>
      <c r="L4203" s="1572">
        <v>517</v>
      </c>
      <c r="M4203" s="1564"/>
      <c r="N4203" s="1572">
        <v>517</v>
      </c>
      <c r="O4203" s="1572">
        <v>301.64999999999998</v>
      </c>
      <c r="P4203" s="1572">
        <v>206.59</v>
      </c>
      <c r="Q4203" s="1572">
        <v>8.76</v>
      </c>
      <c r="R4203" s="1572">
        <v>215.35</v>
      </c>
      <c r="S4203" s="1562"/>
    </row>
    <row r="4204" spans="2:19" ht="11.25" customHeight="1" outlineLevel="1">
      <c r="B4204" s="1573">
        <v>26173</v>
      </c>
      <c r="C4204" s="1566" t="s">
        <v>4601</v>
      </c>
      <c r="D4204" s="1566" t="s">
        <v>8898</v>
      </c>
      <c r="E4204" s="1566"/>
      <c r="F4204" s="1566"/>
      <c r="G4204" s="1566" t="s">
        <v>4599</v>
      </c>
      <c r="H4204" s="1568">
        <v>1</v>
      </c>
      <c r="I4204" s="1566"/>
      <c r="J4204" s="1566"/>
      <c r="K4204" s="1572">
        <v>131</v>
      </c>
      <c r="L4204" s="1565">
        <v>15718</v>
      </c>
      <c r="M4204" s="1564"/>
      <c r="N4204" s="1565">
        <v>15718</v>
      </c>
      <c r="O4204" s="1565">
        <v>9151.18</v>
      </c>
      <c r="P4204" s="1565">
        <v>6299.58</v>
      </c>
      <c r="Q4204" s="1572">
        <v>267.24</v>
      </c>
      <c r="R4204" s="1565">
        <v>6566.82</v>
      </c>
      <c r="S4204" s="1562"/>
    </row>
    <row r="4205" spans="2:19" ht="11.25" customHeight="1" outlineLevel="1">
      <c r="B4205" s="1573">
        <v>26174</v>
      </c>
      <c r="C4205" s="1566" t="s">
        <v>4601</v>
      </c>
      <c r="D4205" s="1566" t="s">
        <v>8897</v>
      </c>
      <c r="E4205" s="1566"/>
      <c r="F4205" s="1566"/>
      <c r="G4205" s="1566" t="s">
        <v>4599</v>
      </c>
      <c r="H4205" s="1568">
        <v>1</v>
      </c>
      <c r="I4205" s="1566"/>
      <c r="J4205" s="1566"/>
      <c r="K4205" s="1572">
        <v>27</v>
      </c>
      <c r="L4205" s="1572">
        <v>136</v>
      </c>
      <c r="M4205" s="1564"/>
      <c r="N4205" s="1572">
        <v>136</v>
      </c>
      <c r="O4205" s="1572">
        <v>79.95</v>
      </c>
      <c r="P4205" s="1572">
        <v>53.77</v>
      </c>
      <c r="Q4205" s="1572">
        <v>2.2799999999999998</v>
      </c>
      <c r="R4205" s="1572">
        <v>56.05</v>
      </c>
      <c r="S4205" s="1562"/>
    </row>
    <row r="4206" spans="2:19" ht="11.25" customHeight="1" outlineLevel="1">
      <c r="B4206" s="1573">
        <v>26175</v>
      </c>
      <c r="C4206" s="1566" t="s">
        <v>4601</v>
      </c>
      <c r="D4206" s="1566" t="s">
        <v>8896</v>
      </c>
      <c r="E4206" s="1566"/>
      <c r="F4206" s="1566"/>
      <c r="G4206" s="1566" t="s">
        <v>4606</v>
      </c>
      <c r="H4206" s="1568">
        <v>1</v>
      </c>
      <c r="I4206" s="1566"/>
      <c r="J4206" s="1566"/>
      <c r="K4206" s="1572">
        <v>25</v>
      </c>
      <c r="L4206" s="1565">
        <v>1021</v>
      </c>
      <c r="M4206" s="1564"/>
      <c r="N4206" s="1565">
        <v>1021</v>
      </c>
      <c r="O4206" s="1572">
        <v>593.37</v>
      </c>
      <c r="P4206" s="1572">
        <v>410.35</v>
      </c>
      <c r="Q4206" s="1572">
        <v>17.28</v>
      </c>
      <c r="R4206" s="1572">
        <v>427.63</v>
      </c>
      <c r="S4206" s="1562"/>
    </row>
    <row r="4207" spans="2:19" ht="11.25" customHeight="1" outlineLevel="1">
      <c r="B4207" s="1573">
        <v>26176</v>
      </c>
      <c r="C4207" s="1566" t="s">
        <v>4601</v>
      </c>
      <c r="D4207" s="1566" t="s">
        <v>8895</v>
      </c>
      <c r="E4207" s="1566"/>
      <c r="F4207" s="1566"/>
      <c r="G4207" s="1566" t="s">
        <v>4604</v>
      </c>
      <c r="H4207" s="1568">
        <v>1</v>
      </c>
      <c r="I4207" s="1566"/>
      <c r="J4207" s="1566"/>
      <c r="K4207" s="1572">
        <v>27</v>
      </c>
      <c r="L4207" s="1572">
        <v>272</v>
      </c>
      <c r="M4207" s="1564"/>
      <c r="N4207" s="1572">
        <v>272</v>
      </c>
      <c r="O4207" s="1572">
        <v>157.07</v>
      </c>
      <c r="P4207" s="1572">
        <v>110.37</v>
      </c>
      <c r="Q4207" s="1572">
        <v>4.5599999999999996</v>
      </c>
      <c r="R4207" s="1572">
        <v>114.93</v>
      </c>
      <c r="S4207" s="1562"/>
    </row>
    <row r="4208" spans="2:19" ht="11.25" customHeight="1" outlineLevel="1">
      <c r="B4208" s="1573">
        <v>26201</v>
      </c>
      <c r="C4208" s="1566" t="s">
        <v>4598</v>
      </c>
      <c r="D4208" s="1566" t="s">
        <v>8894</v>
      </c>
      <c r="E4208" s="1566"/>
      <c r="F4208" s="1566"/>
      <c r="G4208" s="1566" t="s">
        <v>8893</v>
      </c>
      <c r="H4208" s="1568">
        <v>1</v>
      </c>
      <c r="I4208" s="1566"/>
      <c r="J4208" s="1566"/>
      <c r="K4208" s="1565">
        <v>74129</v>
      </c>
      <c r="L4208" s="1565">
        <v>74129</v>
      </c>
      <c r="M4208" s="1564"/>
      <c r="N4208" s="1565">
        <v>74129</v>
      </c>
      <c r="O4208" s="1565">
        <v>28723.759999999998</v>
      </c>
      <c r="P4208" s="1565">
        <v>43552.08</v>
      </c>
      <c r="Q4208" s="1565">
        <v>1853.16</v>
      </c>
      <c r="R4208" s="1565">
        <v>45405.24</v>
      </c>
      <c r="S4208" s="1562"/>
    </row>
    <row r="4209" spans="2:19" ht="11.25" customHeight="1" outlineLevel="1">
      <c r="B4209" s="1573">
        <v>26203</v>
      </c>
      <c r="C4209" s="1566" t="s">
        <v>4598</v>
      </c>
      <c r="D4209" s="1566" t="s">
        <v>8892</v>
      </c>
      <c r="E4209" s="1566"/>
      <c r="F4209" s="1566"/>
      <c r="G4209" s="1566" t="s">
        <v>4596</v>
      </c>
      <c r="H4209" s="1568">
        <v>1</v>
      </c>
      <c r="I4209" s="1566"/>
      <c r="J4209" s="1566"/>
      <c r="K4209" s="1565">
        <v>1051</v>
      </c>
      <c r="L4209" s="1565">
        <v>69496</v>
      </c>
      <c r="M4209" s="1564"/>
      <c r="N4209" s="1565">
        <v>69496</v>
      </c>
      <c r="O4209" s="1565">
        <v>15443.98</v>
      </c>
      <c r="P4209" s="1565">
        <v>51845.7</v>
      </c>
      <c r="Q4209" s="1565">
        <v>2206.3200000000002</v>
      </c>
      <c r="R4209" s="1565">
        <v>54052.02</v>
      </c>
      <c r="S4209" s="1562"/>
    </row>
    <row r="4210" spans="2:19" ht="11.25" customHeight="1" outlineLevel="1">
      <c r="B4210" s="1573">
        <v>26204</v>
      </c>
      <c r="C4210" s="1566" t="s">
        <v>4598</v>
      </c>
      <c r="D4210" s="1566" t="s">
        <v>8891</v>
      </c>
      <c r="E4210" s="1566"/>
      <c r="F4210" s="1566"/>
      <c r="G4210" s="1566" t="s">
        <v>8879</v>
      </c>
      <c r="H4210" s="1568">
        <v>1</v>
      </c>
      <c r="I4210" s="1566"/>
      <c r="J4210" s="1566"/>
      <c r="K4210" s="1572">
        <v>16</v>
      </c>
      <c r="L4210" s="1572">
        <v>240</v>
      </c>
      <c r="M4210" s="1564"/>
      <c r="N4210" s="1572">
        <v>240</v>
      </c>
      <c r="O4210" s="1572">
        <v>40.200000000000003</v>
      </c>
      <c r="P4210" s="1572">
        <v>191.76</v>
      </c>
      <c r="Q4210" s="1572">
        <v>8.0399999999999991</v>
      </c>
      <c r="R4210" s="1572">
        <v>199.8</v>
      </c>
      <c r="S4210" s="1562"/>
    </row>
    <row r="4211" spans="2:19" ht="11.25" customHeight="1" outlineLevel="1">
      <c r="B4211" s="1573">
        <v>26246</v>
      </c>
      <c r="C4211" s="1566" t="s">
        <v>4591</v>
      </c>
      <c r="D4211" s="1566" t="s">
        <v>8890</v>
      </c>
      <c r="E4211" s="1566"/>
      <c r="F4211" s="1566"/>
      <c r="G4211" s="1566" t="s">
        <v>8887</v>
      </c>
      <c r="H4211" s="1568">
        <v>1</v>
      </c>
      <c r="I4211" s="1566"/>
      <c r="J4211" s="1566"/>
      <c r="K4211" s="1572">
        <v>364</v>
      </c>
      <c r="L4211" s="1565">
        <v>754017</v>
      </c>
      <c r="M4211" s="1564"/>
      <c r="N4211" s="1565">
        <v>754017</v>
      </c>
      <c r="O4211" s="1565">
        <v>168451.64</v>
      </c>
      <c r="P4211" s="1565">
        <v>561500.80000000005</v>
      </c>
      <c r="Q4211" s="1565">
        <v>24064.560000000001</v>
      </c>
      <c r="R4211" s="1565">
        <v>585565.36</v>
      </c>
      <c r="S4211" s="1562"/>
    </row>
    <row r="4212" spans="2:19" ht="11.25" customHeight="1" outlineLevel="1">
      <c r="B4212" s="1573">
        <v>26247</v>
      </c>
      <c r="C4212" s="1566" t="s">
        <v>4591</v>
      </c>
      <c r="D4212" s="1566" t="s">
        <v>8889</v>
      </c>
      <c r="E4212" s="1566"/>
      <c r="F4212" s="1566"/>
      <c r="G4212" s="1566" t="s">
        <v>8887</v>
      </c>
      <c r="H4212" s="1568">
        <v>1</v>
      </c>
      <c r="I4212" s="1566"/>
      <c r="J4212" s="1566"/>
      <c r="K4212" s="1572">
        <v>364</v>
      </c>
      <c r="L4212" s="1565">
        <v>53482</v>
      </c>
      <c r="M4212" s="1564"/>
      <c r="N4212" s="1565">
        <v>53482</v>
      </c>
      <c r="O4212" s="1565">
        <v>11947.92</v>
      </c>
      <c r="P4212" s="1565">
        <v>39827.199999999997</v>
      </c>
      <c r="Q4212" s="1565">
        <v>1706.88</v>
      </c>
      <c r="R4212" s="1565">
        <v>41534.080000000002</v>
      </c>
      <c r="S4212" s="1562"/>
    </row>
    <row r="4213" spans="2:19" ht="11.25" customHeight="1" outlineLevel="1">
      <c r="B4213" s="1573">
        <v>26248</v>
      </c>
      <c r="C4213" s="1566" t="s">
        <v>4591</v>
      </c>
      <c r="D4213" s="1566" t="s">
        <v>8888</v>
      </c>
      <c r="E4213" s="1566"/>
      <c r="F4213" s="1566"/>
      <c r="G4213" s="1566" t="s">
        <v>8887</v>
      </c>
      <c r="H4213" s="1568">
        <v>1</v>
      </c>
      <c r="I4213" s="1566"/>
      <c r="J4213" s="1566"/>
      <c r="K4213" s="1572">
        <v>364</v>
      </c>
      <c r="L4213" s="1565">
        <v>63304</v>
      </c>
      <c r="M4213" s="1564"/>
      <c r="N4213" s="1565">
        <v>63304</v>
      </c>
      <c r="O4213" s="1565">
        <v>32495.200000000001</v>
      </c>
      <c r="P4213" s="1565">
        <v>29542.799999999999</v>
      </c>
      <c r="Q4213" s="1565">
        <v>1266</v>
      </c>
      <c r="R4213" s="1565">
        <v>30808.799999999999</v>
      </c>
      <c r="S4213" s="1562"/>
    </row>
    <row r="4214" spans="2:19" ht="11.25" customHeight="1" outlineLevel="1">
      <c r="B4214" s="1573">
        <v>26249</v>
      </c>
      <c r="C4214" s="1566" t="s">
        <v>4591</v>
      </c>
      <c r="D4214" s="1566" t="s">
        <v>8886</v>
      </c>
      <c r="E4214" s="1566"/>
      <c r="F4214" s="1566"/>
      <c r="G4214" s="1566" t="s">
        <v>8885</v>
      </c>
      <c r="H4214" s="1568">
        <v>1</v>
      </c>
      <c r="I4214" s="1566"/>
      <c r="J4214" s="1566"/>
      <c r="K4214" s="1565">
        <v>1111</v>
      </c>
      <c r="L4214" s="1565">
        <v>17220</v>
      </c>
      <c r="M4214" s="1564"/>
      <c r="N4214" s="1565">
        <v>17220</v>
      </c>
      <c r="O4214" s="1565">
        <v>3846.52</v>
      </c>
      <c r="P4214" s="1565">
        <v>12824</v>
      </c>
      <c r="Q4214" s="1572">
        <v>549.48</v>
      </c>
      <c r="R4214" s="1565">
        <v>13373.48</v>
      </c>
      <c r="S4214" s="1562"/>
    </row>
    <row r="4215" spans="2:19" ht="11.25" customHeight="1" outlineLevel="1">
      <c r="B4215" s="1573">
        <v>26250</v>
      </c>
      <c r="C4215" s="1566" t="s">
        <v>4591</v>
      </c>
      <c r="D4215" s="1566" t="s">
        <v>8884</v>
      </c>
      <c r="E4215" s="1566"/>
      <c r="F4215" s="1566"/>
      <c r="G4215" s="1566" t="s">
        <v>4594</v>
      </c>
      <c r="H4215" s="1568">
        <v>1</v>
      </c>
      <c r="I4215" s="1566"/>
      <c r="J4215" s="1566"/>
      <c r="K4215" s="1565">
        <v>1110</v>
      </c>
      <c r="L4215" s="1565">
        <v>4441</v>
      </c>
      <c r="M4215" s="1564"/>
      <c r="N4215" s="1565">
        <v>4441</v>
      </c>
      <c r="O4215" s="1572">
        <v>992.46</v>
      </c>
      <c r="P4215" s="1565">
        <v>3306.8</v>
      </c>
      <c r="Q4215" s="1572">
        <v>141.74</v>
      </c>
      <c r="R4215" s="1565">
        <v>3448.54</v>
      </c>
      <c r="S4215" s="1562"/>
    </row>
    <row r="4216" spans="2:19" ht="11.25" customHeight="1" outlineLevel="1">
      <c r="B4216" s="1573">
        <v>26252</v>
      </c>
      <c r="C4216" s="1566" t="s">
        <v>4591</v>
      </c>
      <c r="D4216" s="1566" t="s">
        <v>8883</v>
      </c>
      <c r="E4216" s="1566"/>
      <c r="F4216" s="1566"/>
      <c r="G4216" s="1566" t="s">
        <v>8882</v>
      </c>
      <c r="H4216" s="1568">
        <v>1</v>
      </c>
      <c r="I4216" s="1566"/>
      <c r="J4216" s="1566"/>
      <c r="K4216" s="1572">
        <v>239</v>
      </c>
      <c r="L4216" s="1565">
        <v>200000</v>
      </c>
      <c r="M4216" s="1564"/>
      <c r="N4216" s="1565">
        <v>200000</v>
      </c>
      <c r="O4216" s="1565">
        <v>117279.44</v>
      </c>
      <c r="P4216" s="1565">
        <v>79321.2</v>
      </c>
      <c r="Q4216" s="1565">
        <v>3399.36</v>
      </c>
      <c r="R4216" s="1565">
        <v>82720.56</v>
      </c>
      <c r="S4216" s="1562"/>
    </row>
    <row r="4217" spans="2:19" ht="11.25" customHeight="1" outlineLevel="1">
      <c r="B4217" s="1573">
        <v>26253</v>
      </c>
      <c r="C4217" s="1566" t="s">
        <v>4591</v>
      </c>
      <c r="D4217" s="1566" t="s">
        <v>8881</v>
      </c>
      <c r="E4217" s="1566"/>
      <c r="F4217" s="1566"/>
      <c r="G4217" s="1566" t="s">
        <v>8879</v>
      </c>
      <c r="H4217" s="1568">
        <v>1</v>
      </c>
      <c r="I4217" s="1566"/>
      <c r="J4217" s="1566"/>
      <c r="K4217" s="1572">
        <v>502</v>
      </c>
      <c r="L4217" s="1565">
        <v>68224</v>
      </c>
      <c r="M4217" s="1564"/>
      <c r="N4217" s="1565">
        <v>68224</v>
      </c>
      <c r="O4217" s="1565">
        <v>40007.919999999998</v>
      </c>
      <c r="P4217" s="1565">
        <v>27056.400000000001</v>
      </c>
      <c r="Q4217" s="1565">
        <v>1159.68</v>
      </c>
      <c r="R4217" s="1565">
        <v>28216.080000000002</v>
      </c>
      <c r="S4217" s="1562"/>
    </row>
    <row r="4218" spans="2:19" ht="11.25" customHeight="1" outlineLevel="1">
      <c r="B4218" s="1573">
        <v>26254</v>
      </c>
      <c r="C4218" s="1566" t="s">
        <v>4591</v>
      </c>
      <c r="D4218" s="1566" t="s">
        <v>8880</v>
      </c>
      <c r="E4218" s="1566"/>
      <c r="F4218" s="1566"/>
      <c r="G4218" s="1566" t="s">
        <v>8879</v>
      </c>
      <c r="H4218" s="1568">
        <v>1</v>
      </c>
      <c r="I4218" s="1566"/>
      <c r="J4218" s="1566"/>
      <c r="K4218" s="1572">
        <v>734</v>
      </c>
      <c r="L4218" s="1565">
        <v>68224</v>
      </c>
      <c r="M4218" s="1564"/>
      <c r="N4218" s="1565">
        <v>68224</v>
      </c>
      <c r="O4218" s="1565">
        <v>40007.919999999998</v>
      </c>
      <c r="P4218" s="1565">
        <v>27056.400000000001</v>
      </c>
      <c r="Q4218" s="1565">
        <v>1159.68</v>
      </c>
      <c r="R4218" s="1565">
        <v>28216.080000000002</v>
      </c>
      <c r="S4218" s="1562"/>
    </row>
    <row r="4219" spans="2:19" ht="11.25" customHeight="1" outlineLevel="1">
      <c r="B4219" s="1573">
        <v>26260</v>
      </c>
      <c r="C4219" s="1566" t="s">
        <v>4591</v>
      </c>
      <c r="D4219" s="1566" t="s">
        <v>8878</v>
      </c>
      <c r="E4219" s="1566"/>
      <c r="F4219" s="1566"/>
      <c r="G4219" s="1566" t="s">
        <v>4589</v>
      </c>
      <c r="H4219" s="1568">
        <v>1</v>
      </c>
      <c r="I4219" s="1566"/>
      <c r="J4219" s="1566"/>
      <c r="K4219" s="1572">
        <v>818</v>
      </c>
      <c r="L4219" s="1565">
        <v>16360</v>
      </c>
      <c r="M4219" s="1564"/>
      <c r="N4219" s="1565">
        <v>16360</v>
      </c>
      <c r="O4219" s="1565">
        <v>9594.36</v>
      </c>
      <c r="P4219" s="1565">
        <v>6487.6</v>
      </c>
      <c r="Q4219" s="1572">
        <v>278.04000000000002</v>
      </c>
      <c r="R4219" s="1565">
        <v>6765.64</v>
      </c>
      <c r="S4219" s="1562"/>
    </row>
    <row r="4220" spans="2:19" ht="11.25" customHeight="1" outlineLevel="1">
      <c r="B4220" s="1573">
        <v>26261</v>
      </c>
      <c r="C4220" s="1566" t="s">
        <v>4591</v>
      </c>
      <c r="D4220" s="1566" t="s">
        <v>8877</v>
      </c>
      <c r="E4220" s="1566"/>
      <c r="F4220" s="1566"/>
      <c r="G4220" s="1566" t="s">
        <v>4589</v>
      </c>
      <c r="H4220" s="1568">
        <v>1</v>
      </c>
      <c r="I4220" s="1566"/>
      <c r="J4220" s="1566"/>
      <c r="K4220" s="1572">
        <v>818</v>
      </c>
      <c r="L4220" s="1565">
        <v>46231</v>
      </c>
      <c r="M4220" s="1564"/>
      <c r="N4220" s="1565">
        <v>46231</v>
      </c>
      <c r="O4220" s="1565">
        <v>10329.36</v>
      </c>
      <c r="P4220" s="1565">
        <v>34426</v>
      </c>
      <c r="Q4220" s="1565">
        <v>1475.64</v>
      </c>
      <c r="R4220" s="1565">
        <v>35901.64</v>
      </c>
      <c r="S4220" s="1562"/>
    </row>
    <row r="4221" spans="2:19" ht="11.25" customHeight="1" outlineLevel="1">
      <c r="B4221" s="1573">
        <v>26291</v>
      </c>
      <c r="C4221" s="1566" t="s">
        <v>4584</v>
      </c>
      <c r="D4221" s="1566" t="s">
        <v>8876</v>
      </c>
      <c r="E4221" s="1566"/>
      <c r="F4221" s="1566"/>
      <c r="G4221" s="1566" t="s">
        <v>8875</v>
      </c>
      <c r="H4221" s="1568">
        <v>1</v>
      </c>
      <c r="I4221" s="1566"/>
      <c r="J4221" s="1566"/>
      <c r="K4221" s="1572">
        <v>299</v>
      </c>
      <c r="L4221" s="1565">
        <v>12259</v>
      </c>
      <c r="M4221" s="1564"/>
      <c r="N4221" s="1565">
        <v>12259</v>
      </c>
      <c r="O4221" s="1565">
        <v>7207.12</v>
      </c>
      <c r="P4221" s="1565">
        <v>4843.4399999999996</v>
      </c>
      <c r="Q4221" s="1572">
        <v>208.44</v>
      </c>
      <c r="R4221" s="1565">
        <v>5051.88</v>
      </c>
      <c r="S4221" s="1562"/>
    </row>
    <row r="4222" spans="2:19" ht="11.25" customHeight="1" outlineLevel="1">
      <c r="B4222" s="1573">
        <v>26294</v>
      </c>
      <c r="C4222" s="1566" t="s">
        <v>4584</v>
      </c>
      <c r="D4222" s="1566" t="s">
        <v>8874</v>
      </c>
      <c r="E4222" s="1566"/>
      <c r="F4222" s="1566"/>
      <c r="G4222" s="1566" t="s">
        <v>8873</v>
      </c>
      <c r="H4222" s="1568">
        <v>1</v>
      </c>
      <c r="I4222" s="1566"/>
      <c r="J4222" s="1566"/>
      <c r="K4222" s="1572">
        <v>462</v>
      </c>
      <c r="L4222" s="1565">
        <v>38739</v>
      </c>
      <c r="M4222" s="1564"/>
      <c r="N4222" s="1565">
        <v>38739</v>
      </c>
      <c r="O4222" s="1565">
        <v>22771.83</v>
      </c>
      <c r="P4222" s="1565">
        <v>15308.73</v>
      </c>
      <c r="Q4222" s="1572">
        <v>658.44</v>
      </c>
      <c r="R4222" s="1565">
        <v>15967.17</v>
      </c>
      <c r="S4222" s="1562"/>
    </row>
    <row r="4223" spans="2:19" ht="11.25" customHeight="1" outlineLevel="1">
      <c r="B4223" s="1573">
        <v>26423</v>
      </c>
      <c r="C4223" s="1566" t="s">
        <v>4456</v>
      </c>
      <c r="D4223" s="1566" t="s">
        <v>8872</v>
      </c>
      <c r="E4223" s="1566"/>
      <c r="F4223" s="1566"/>
      <c r="G4223" s="1566" t="s">
        <v>4454</v>
      </c>
      <c r="H4223" s="1568">
        <v>1</v>
      </c>
      <c r="I4223" s="1566"/>
      <c r="J4223" s="1566"/>
      <c r="K4223" s="1572">
        <v>191</v>
      </c>
      <c r="L4223" s="1565">
        <v>6780</v>
      </c>
      <c r="M4223" s="1564"/>
      <c r="N4223" s="1565">
        <v>6780</v>
      </c>
      <c r="O4223" s="1565">
        <v>1526.1</v>
      </c>
      <c r="P4223" s="1565">
        <v>5035.8599999999997</v>
      </c>
      <c r="Q4223" s="1572">
        <v>218.04</v>
      </c>
      <c r="R4223" s="1565">
        <v>5253.9</v>
      </c>
      <c r="S4223" s="1562"/>
    </row>
    <row r="4224" spans="2:19" ht="11.25" customHeight="1" outlineLevel="1">
      <c r="B4224" s="1573">
        <v>26424</v>
      </c>
      <c r="C4224" s="1566" t="s">
        <v>4456</v>
      </c>
      <c r="D4224" s="1566" t="s">
        <v>8871</v>
      </c>
      <c r="E4224" s="1566"/>
      <c r="F4224" s="1566"/>
      <c r="G4224" s="1566" t="s">
        <v>4454</v>
      </c>
      <c r="H4224" s="1568">
        <v>1</v>
      </c>
      <c r="I4224" s="1566"/>
      <c r="J4224" s="1566"/>
      <c r="K4224" s="1572">
        <v>191</v>
      </c>
      <c r="L4224" s="1565">
        <v>15452</v>
      </c>
      <c r="M4224" s="1564"/>
      <c r="N4224" s="1565">
        <v>15452</v>
      </c>
      <c r="O4224" s="1565">
        <v>9125.91</v>
      </c>
      <c r="P4224" s="1565">
        <v>6063.53</v>
      </c>
      <c r="Q4224" s="1572">
        <v>262.56</v>
      </c>
      <c r="R4224" s="1565">
        <v>6326.09</v>
      </c>
      <c r="S4224" s="1562"/>
    </row>
    <row r="4225" spans="2:19" ht="11.25" customHeight="1" outlineLevel="1">
      <c r="B4225" s="1573">
        <v>26425</v>
      </c>
      <c r="C4225" s="1566" t="s">
        <v>4456</v>
      </c>
      <c r="D4225" s="1566" t="s">
        <v>8870</v>
      </c>
      <c r="E4225" s="1566"/>
      <c r="F4225" s="1566"/>
      <c r="G4225" s="1566" t="s">
        <v>4454</v>
      </c>
      <c r="H4225" s="1568">
        <v>1</v>
      </c>
      <c r="I4225" s="1566"/>
      <c r="J4225" s="1566"/>
      <c r="K4225" s="1572">
        <v>192</v>
      </c>
      <c r="L4225" s="1565">
        <v>1497</v>
      </c>
      <c r="M4225" s="1564"/>
      <c r="N4225" s="1565">
        <v>1497</v>
      </c>
      <c r="O4225" s="1572">
        <v>337.99</v>
      </c>
      <c r="P4225" s="1565">
        <v>1110.77</v>
      </c>
      <c r="Q4225" s="1572">
        <v>48.24</v>
      </c>
      <c r="R4225" s="1565">
        <v>1159.01</v>
      </c>
      <c r="S4225" s="1562"/>
    </row>
    <row r="4226" spans="2:19" ht="11.25" customHeight="1" outlineLevel="1">
      <c r="B4226" s="1573">
        <v>24004</v>
      </c>
      <c r="C4226" s="1566" t="s">
        <v>4447</v>
      </c>
      <c r="D4226" s="1566" t="s">
        <v>8869</v>
      </c>
      <c r="E4226" s="1566"/>
      <c r="F4226" s="1566"/>
      <c r="G4226" s="1566"/>
      <c r="H4226" s="1568">
        <v>1</v>
      </c>
      <c r="I4226" s="1566"/>
      <c r="J4226" s="1566"/>
      <c r="K4226" s="1565">
        <v>12000</v>
      </c>
      <c r="L4226" s="1565">
        <v>12000</v>
      </c>
      <c r="M4226" s="1565">
        <v>-12000</v>
      </c>
      <c r="N4226" s="1564"/>
      <c r="O4226" s="1564"/>
      <c r="P4226" s="1565">
        <v>12000</v>
      </c>
      <c r="Q4226" s="1565">
        <v>-12000</v>
      </c>
      <c r="R4226" s="1564"/>
      <c r="S4226" s="1562"/>
    </row>
    <row r="4227" spans="2:19" ht="11.25" customHeight="1" outlineLevel="1">
      <c r="B4227" s="1573">
        <v>26466</v>
      </c>
      <c r="C4227" s="1566" t="s">
        <v>4447</v>
      </c>
      <c r="D4227" s="1566" t="s">
        <v>8868</v>
      </c>
      <c r="E4227" s="1566"/>
      <c r="F4227" s="1566"/>
      <c r="G4227" s="1566" t="s">
        <v>8867</v>
      </c>
      <c r="H4227" s="1568">
        <v>1</v>
      </c>
      <c r="I4227" s="1566"/>
      <c r="J4227" s="1566"/>
      <c r="K4227" s="1572">
        <v>87</v>
      </c>
      <c r="L4227" s="1565">
        <v>22523</v>
      </c>
      <c r="M4227" s="1564"/>
      <c r="N4227" s="1565">
        <v>22523</v>
      </c>
      <c r="O4227" s="1565">
        <v>13335.8</v>
      </c>
      <c r="P4227" s="1565">
        <v>8804.4</v>
      </c>
      <c r="Q4227" s="1572">
        <v>382.8</v>
      </c>
      <c r="R4227" s="1565">
        <v>9187.2000000000007</v>
      </c>
      <c r="S4227" s="1562"/>
    </row>
    <row r="4228" spans="2:19" ht="11.25" customHeight="1" outlineLevel="1">
      <c r="B4228" s="1573">
        <v>26479</v>
      </c>
      <c r="C4228" s="1566" t="s">
        <v>4447</v>
      </c>
      <c r="D4228" s="1566" t="s">
        <v>8866</v>
      </c>
      <c r="E4228" s="1566"/>
      <c r="F4228" s="1566"/>
      <c r="G4228" s="1566" t="s">
        <v>4445</v>
      </c>
      <c r="H4228" s="1568">
        <v>1</v>
      </c>
      <c r="I4228" s="1566"/>
      <c r="J4228" s="1566"/>
      <c r="K4228" s="1572">
        <v>95</v>
      </c>
      <c r="L4228" s="1565">
        <v>19143</v>
      </c>
      <c r="M4228" s="1564"/>
      <c r="N4228" s="1565">
        <v>19143</v>
      </c>
      <c r="O4228" s="1565">
        <v>3300.24</v>
      </c>
      <c r="P4228" s="1565">
        <v>15182.76</v>
      </c>
      <c r="Q4228" s="1572">
        <v>660</v>
      </c>
      <c r="R4228" s="1565">
        <v>15842.76</v>
      </c>
      <c r="S4228" s="1562"/>
    </row>
    <row r="4229" spans="2:19" ht="11.25" customHeight="1" outlineLevel="1">
      <c r="B4229" s="1573">
        <v>26480</v>
      </c>
      <c r="C4229" s="1566" t="s">
        <v>4447</v>
      </c>
      <c r="D4229" s="1566" t="s">
        <v>8865</v>
      </c>
      <c r="E4229" s="1566"/>
      <c r="F4229" s="1566"/>
      <c r="G4229" s="1566" t="s">
        <v>4448</v>
      </c>
      <c r="H4229" s="1568">
        <v>1</v>
      </c>
      <c r="I4229" s="1566"/>
      <c r="J4229" s="1566"/>
      <c r="K4229" s="1572">
        <v>96</v>
      </c>
      <c r="L4229" s="1565">
        <v>4106</v>
      </c>
      <c r="M4229" s="1564"/>
      <c r="N4229" s="1565">
        <v>4106</v>
      </c>
      <c r="O4229" s="1572">
        <v>707.7</v>
      </c>
      <c r="P4229" s="1565">
        <v>3256.8</v>
      </c>
      <c r="Q4229" s="1572">
        <v>141.5</v>
      </c>
      <c r="R4229" s="1565">
        <v>3398.3</v>
      </c>
      <c r="S4229" s="1562"/>
    </row>
    <row r="4230" spans="2:19" ht="11.25" customHeight="1" outlineLevel="1">
      <c r="B4230" s="1573">
        <v>26481</v>
      </c>
      <c r="C4230" s="1566" t="s">
        <v>4447</v>
      </c>
      <c r="D4230" s="1566" t="s">
        <v>8864</v>
      </c>
      <c r="E4230" s="1566"/>
      <c r="F4230" s="1566"/>
      <c r="G4230" s="1566" t="s">
        <v>4445</v>
      </c>
      <c r="H4230" s="1568">
        <v>1</v>
      </c>
      <c r="I4230" s="1566"/>
      <c r="J4230" s="1566"/>
      <c r="K4230" s="1572">
        <v>172</v>
      </c>
      <c r="L4230" s="1565">
        <v>13416</v>
      </c>
      <c r="M4230" s="1564"/>
      <c r="N4230" s="1565">
        <v>13416</v>
      </c>
      <c r="O4230" s="1565">
        <v>7944</v>
      </c>
      <c r="P4230" s="1565">
        <v>5244</v>
      </c>
      <c r="Q4230" s="1572">
        <v>228</v>
      </c>
      <c r="R4230" s="1565">
        <v>5472</v>
      </c>
      <c r="S4230" s="1562"/>
    </row>
    <row r="4231" spans="2:19" ht="11.25" customHeight="1" outlineLevel="1">
      <c r="B4231" s="1573">
        <v>26482</v>
      </c>
      <c r="C4231" s="1566" t="s">
        <v>4447</v>
      </c>
      <c r="D4231" s="1566" t="s">
        <v>8863</v>
      </c>
      <c r="E4231" s="1566"/>
      <c r="F4231" s="1566"/>
      <c r="G4231" s="1566" t="s">
        <v>4445</v>
      </c>
      <c r="H4231" s="1568">
        <v>1</v>
      </c>
      <c r="I4231" s="1566"/>
      <c r="J4231" s="1566"/>
      <c r="K4231" s="1572">
        <v>172</v>
      </c>
      <c r="L4231" s="1565">
        <v>36688</v>
      </c>
      <c r="M4231" s="1564"/>
      <c r="N4231" s="1565">
        <v>36688</v>
      </c>
      <c r="O4231" s="1565">
        <v>21720.76</v>
      </c>
      <c r="P4231" s="1565">
        <v>14343.72</v>
      </c>
      <c r="Q4231" s="1572">
        <v>623.52</v>
      </c>
      <c r="R4231" s="1565">
        <v>14967.24</v>
      </c>
      <c r="S4231" s="1562"/>
    </row>
    <row r="4232" spans="2:19" ht="11.25" customHeight="1" outlineLevel="1">
      <c r="B4232" s="1573">
        <v>26483</v>
      </c>
      <c r="C4232" s="1566" t="s">
        <v>4447</v>
      </c>
      <c r="D4232" s="1566" t="s">
        <v>8862</v>
      </c>
      <c r="E4232" s="1566"/>
      <c r="F4232" s="1566"/>
      <c r="G4232" s="1566" t="s">
        <v>4445</v>
      </c>
      <c r="H4232" s="1568">
        <v>1</v>
      </c>
      <c r="I4232" s="1566"/>
      <c r="J4232" s="1566"/>
      <c r="K4232" s="1572">
        <v>173</v>
      </c>
      <c r="L4232" s="1565">
        <v>142554</v>
      </c>
      <c r="M4232" s="1564"/>
      <c r="N4232" s="1565">
        <v>142554</v>
      </c>
      <c r="O4232" s="1565">
        <v>84401.04</v>
      </c>
      <c r="P4232" s="1565">
        <v>55729.919999999998</v>
      </c>
      <c r="Q4232" s="1565">
        <v>2423.04</v>
      </c>
      <c r="R4232" s="1565">
        <v>58152.959999999999</v>
      </c>
      <c r="S4232" s="1562"/>
    </row>
    <row r="4233" spans="2:19" ht="11.25" customHeight="1" outlineLevel="1">
      <c r="B4233" s="1573">
        <v>26539</v>
      </c>
      <c r="C4233" s="1566" t="s">
        <v>4447</v>
      </c>
      <c r="D4233" s="1566" t="s">
        <v>8861</v>
      </c>
      <c r="E4233" s="1566"/>
      <c r="F4233" s="1566"/>
      <c r="G4233" s="1566"/>
      <c r="H4233" s="1568">
        <v>1</v>
      </c>
      <c r="I4233" s="1566"/>
      <c r="J4233" s="1566"/>
      <c r="K4233" s="1565">
        <v>12840</v>
      </c>
      <c r="L4233" s="1565">
        <v>12840</v>
      </c>
      <c r="M4233" s="1565">
        <v>-12840</v>
      </c>
      <c r="N4233" s="1564"/>
      <c r="O4233" s="1564"/>
      <c r="P4233" s="1565">
        <v>11560.6</v>
      </c>
      <c r="Q4233" s="1565">
        <v>-11560.6</v>
      </c>
      <c r="R4233" s="1564"/>
      <c r="S4233" s="1562"/>
    </row>
    <row r="4234" spans="2:19" ht="11.25" customHeight="1" outlineLevel="1">
      <c r="B4234" s="1573">
        <v>26545</v>
      </c>
      <c r="C4234" s="1566" t="s">
        <v>4423</v>
      </c>
      <c r="D4234" s="1566" t="s">
        <v>8860</v>
      </c>
      <c r="E4234" s="1566"/>
      <c r="F4234" s="1566"/>
      <c r="G4234" s="1566" t="s">
        <v>4443</v>
      </c>
      <c r="H4234" s="1568">
        <v>1</v>
      </c>
      <c r="I4234" s="1566"/>
      <c r="J4234" s="1566"/>
      <c r="K4234" s="1572">
        <v>64</v>
      </c>
      <c r="L4234" s="1565">
        <v>1536</v>
      </c>
      <c r="M4234" s="1564"/>
      <c r="N4234" s="1565">
        <v>1536</v>
      </c>
      <c r="O4234" s="1572">
        <v>264.83</v>
      </c>
      <c r="P4234" s="1565">
        <v>1218.25</v>
      </c>
      <c r="Q4234" s="1572">
        <v>52.92</v>
      </c>
      <c r="R4234" s="1565">
        <v>1271.17</v>
      </c>
      <c r="S4234" s="1562"/>
    </row>
    <row r="4235" spans="2:19" ht="11.25" customHeight="1" outlineLevel="1">
      <c r="B4235" s="1573">
        <v>26546</v>
      </c>
      <c r="C4235" s="1566" t="s">
        <v>4423</v>
      </c>
      <c r="D4235" s="1566" t="s">
        <v>8859</v>
      </c>
      <c r="E4235" s="1566"/>
      <c r="F4235" s="1566"/>
      <c r="G4235" s="1566" t="s">
        <v>4443</v>
      </c>
      <c r="H4235" s="1568">
        <v>1</v>
      </c>
      <c r="I4235" s="1566"/>
      <c r="J4235" s="1566"/>
      <c r="K4235" s="1572">
        <v>64</v>
      </c>
      <c r="L4235" s="1572">
        <v>768</v>
      </c>
      <c r="M4235" s="1564"/>
      <c r="N4235" s="1572">
        <v>768</v>
      </c>
      <c r="O4235" s="1572">
        <v>455.17</v>
      </c>
      <c r="P4235" s="1572">
        <v>299.75</v>
      </c>
      <c r="Q4235" s="1572">
        <v>13.08</v>
      </c>
      <c r="R4235" s="1572">
        <v>312.83</v>
      </c>
      <c r="S4235" s="1562"/>
    </row>
    <row r="4236" spans="2:19" ht="11.25" customHeight="1" outlineLevel="1">
      <c r="B4236" s="1573">
        <v>26548</v>
      </c>
      <c r="C4236" s="1566" t="s">
        <v>4423</v>
      </c>
      <c r="D4236" s="1566" t="s">
        <v>8858</v>
      </c>
      <c r="E4236" s="1566"/>
      <c r="F4236" s="1566"/>
      <c r="G4236" s="1566" t="s">
        <v>4701</v>
      </c>
      <c r="H4236" s="1568">
        <v>1</v>
      </c>
      <c r="I4236" s="1566"/>
      <c r="J4236" s="1566"/>
      <c r="K4236" s="1572">
        <v>64</v>
      </c>
      <c r="L4236" s="1565">
        <v>2739</v>
      </c>
      <c r="M4236" s="1564"/>
      <c r="N4236" s="1565">
        <v>2739</v>
      </c>
      <c r="O4236" s="1572">
        <v>474.33</v>
      </c>
      <c r="P4236" s="1565">
        <v>2169.75</v>
      </c>
      <c r="Q4236" s="1572">
        <v>94.92</v>
      </c>
      <c r="R4236" s="1565">
        <v>2264.67</v>
      </c>
      <c r="S4236" s="1562"/>
    </row>
    <row r="4237" spans="2:19" ht="11.25" customHeight="1" outlineLevel="1">
      <c r="B4237" s="1573">
        <v>26550</v>
      </c>
      <c r="C4237" s="1566" t="s">
        <v>4423</v>
      </c>
      <c r="D4237" s="1566" t="s">
        <v>8857</v>
      </c>
      <c r="E4237" s="1566"/>
      <c r="F4237" s="1566"/>
      <c r="G4237" s="1566" t="s">
        <v>4441</v>
      </c>
      <c r="H4237" s="1568">
        <v>1</v>
      </c>
      <c r="I4237" s="1566"/>
      <c r="J4237" s="1566"/>
      <c r="K4237" s="1572">
        <v>64</v>
      </c>
      <c r="L4237" s="1572">
        <v>832</v>
      </c>
      <c r="M4237" s="1564"/>
      <c r="N4237" s="1572">
        <v>832</v>
      </c>
      <c r="O4237" s="1572">
        <v>493.34</v>
      </c>
      <c r="P4237" s="1572">
        <v>324.5</v>
      </c>
      <c r="Q4237" s="1572">
        <v>14.16</v>
      </c>
      <c r="R4237" s="1572">
        <v>338.66</v>
      </c>
      <c r="S4237" s="1562"/>
    </row>
    <row r="4238" spans="2:19" ht="11.25" customHeight="1" outlineLevel="1">
      <c r="B4238" s="1573">
        <v>26552</v>
      </c>
      <c r="C4238" s="1566" t="s">
        <v>4423</v>
      </c>
      <c r="D4238" s="1566" t="s">
        <v>8856</v>
      </c>
      <c r="E4238" s="1566"/>
      <c r="F4238" s="1566"/>
      <c r="G4238" s="1566" t="s">
        <v>4439</v>
      </c>
      <c r="H4238" s="1568">
        <v>1</v>
      </c>
      <c r="I4238" s="1566"/>
      <c r="J4238" s="1566"/>
      <c r="K4238" s="1572">
        <v>64</v>
      </c>
      <c r="L4238" s="1572">
        <v>717</v>
      </c>
      <c r="M4238" s="1564"/>
      <c r="N4238" s="1572">
        <v>717</v>
      </c>
      <c r="O4238" s="1572">
        <v>123.15</v>
      </c>
      <c r="P4238" s="1572">
        <v>569.25</v>
      </c>
      <c r="Q4238" s="1572">
        <v>24.6</v>
      </c>
      <c r="R4238" s="1572">
        <v>593.85</v>
      </c>
      <c r="S4238" s="1562"/>
    </row>
    <row r="4239" spans="2:19" ht="11.25" customHeight="1" outlineLevel="1">
      <c r="B4239" s="1573">
        <v>26554</v>
      </c>
      <c r="C4239" s="1566" t="s">
        <v>4423</v>
      </c>
      <c r="D4239" s="1566" t="s">
        <v>8855</v>
      </c>
      <c r="E4239" s="1566"/>
      <c r="F4239" s="1566"/>
      <c r="G4239" s="1566" t="s">
        <v>4437</v>
      </c>
      <c r="H4239" s="1568">
        <v>1</v>
      </c>
      <c r="I4239" s="1566"/>
      <c r="J4239" s="1566"/>
      <c r="K4239" s="1572">
        <v>64</v>
      </c>
      <c r="L4239" s="1565">
        <v>1856</v>
      </c>
      <c r="M4239" s="1564"/>
      <c r="N4239" s="1565">
        <v>1856</v>
      </c>
      <c r="O4239" s="1572">
        <v>320.67</v>
      </c>
      <c r="P4239" s="1565">
        <v>1471.25</v>
      </c>
      <c r="Q4239" s="1572">
        <v>64.08</v>
      </c>
      <c r="R4239" s="1565">
        <v>1535.33</v>
      </c>
      <c r="S4239" s="1562"/>
    </row>
    <row r="4240" spans="2:19" ht="11.25" customHeight="1" outlineLevel="1">
      <c r="B4240" s="1573">
        <v>26556</v>
      </c>
      <c r="C4240" s="1566" t="s">
        <v>4423</v>
      </c>
      <c r="D4240" s="1566" t="s">
        <v>8854</v>
      </c>
      <c r="E4240" s="1566"/>
      <c r="F4240" s="1566"/>
      <c r="G4240" s="1566" t="s">
        <v>4435</v>
      </c>
      <c r="H4240" s="1568">
        <v>1</v>
      </c>
      <c r="I4240" s="1566"/>
      <c r="J4240" s="1566"/>
      <c r="K4240" s="1572">
        <v>64</v>
      </c>
      <c r="L4240" s="1565">
        <v>2240</v>
      </c>
      <c r="M4240" s="1564"/>
      <c r="N4240" s="1565">
        <v>2240</v>
      </c>
      <c r="O4240" s="1572">
        <v>386.22</v>
      </c>
      <c r="P4240" s="1565">
        <v>1776.5</v>
      </c>
      <c r="Q4240" s="1572">
        <v>77.28</v>
      </c>
      <c r="R4240" s="1565">
        <v>1853.78</v>
      </c>
      <c r="S4240" s="1562"/>
    </row>
    <row r="4241" spans="2:19" ht="11.25" customHeight="1" outlineLevel="1">
      <c r="B4241" s="1573">
        <v>26558</v>
      </c>
      <c r="C4241" s="1566" t="s">
        <v>4423</v>
      </c>
      <c r="D4241" s="1566" t="s">
        <v>8853</v>
      </c>
      <c r="E4241" s="1566"/>
      <c r="F4241" s="1566"/>
      <c r="G4241" s="1566" t="s">
        <v>8852</v>
      </c>
      <c r="H4241" s="1568">
        <v>1</v>
      </c>
      <c r="I4241" s="1566"/>
      <c r="J4241" s="1566"/>
      <c r="K4241" s="1572">
        <v>64</v>
      </c>
      <c r="L4241" s="1572">
        <v>691</v>
      </c>
      <c r="M4241" s="1564"/>
      <c r="N4241" s="1572">
        <v>691</v>
      </c>
      <c r="O4241" s="1572">
        <v>119.75</v>
      </c>
      <c r="P4241" s="1572">
        <v>547.25</v>
      </c>
      <c r="Q4241" s="1572">
        <v>24</v>
      </c>
      <c r="R4241" s="1572">
        <v>571.25</v>
      </c>
      <c r="S4241" s="1562"/>
    </row>
    <row r="4242" spans="2:19" ht="11.25" customHeight="1" outlineLevel="1">
      <c r="B4242" s="1573">
        <v>26560</v>
      </c>
      <c r="C4242" s="1566" t="s">
        <v>4423</v>
      </c>
      <c r="D4242" s="1566" t="s">
        <v>8851</v>
      </c>
      <c r="E4242" s="1566"/>
      <c r="F4242" s="1566"/>
      <c r="G4242" s="1566" t="s">
        <v>8826</v>
      </c>
      <c r="H4242" s="1568">
        <v>1</v>
      </c>
      <c r="I4242" s="1566"/>
      <c r="J4242" s="1566"/>
      <c r="K4242" s="1572">
        <v>64</v>
      </c>
      <c r="L4242" s="1572">
        <v>838</v>
      </c>
      <c r="M4242" s="1564"/>
      <c r="N4242" s="1572">
        <v>838</v>
      </c>
      <c r="O4242" s="1572">
        <v>146.09</v>
      </c>
      <c r="P4242" s="1572">
        <v>662.75</v>
      </c>
      <c r="Q4242" s="1572">
        <v>29.16</v>
      </c>
      <c r="R4242" s="1572">
        <v>691.91</v>
      </c>
      <c r="S4242" s="1562"/>
    </row>
    <row r="4243" spans="2:19" ht="11.25" customHeight="1" outlineLevel="1">
      <c r="B4243" s="1573">
        <v>26562</v>
      </c>
      <c r="C4243" s="1566" t="s">
        <v>4423</v>
      </c>
      <c r="D4243" s="1566" t="s">
        <v>8850</v>
      </c>
      <c r="E4243" s="1566"/>
      <c r="F4243" s="1566"/>
      <c r="G4243" s="1566" t="s">
        <v>4431</v>
      </c>
      <c r="H4243" s="1568">
        <v>1</v>
      </c>
      <c r="I4243" s="1566"/>
      <c r="J4243" s="1566"/>
      <c r="K4243" s="1572">
        <v>64</v>
      </c>
      <c r="L4243" s="1572">
        <v>640</v>
      </c>
      <c r="M4243" s="1564"/>
      <c r="N4243" s="1572">
        <v>640</v>
      </c>
      <c r="O4243" s="1572">
        <v>111.68</v>
      </c>
      <c r="P4243" s="1572">
        <v>506</v>
      </c>
      <c r="Q4243" s="1572">
        <v>22.32</v>
      </c>
      <c r="R4243" s="1572">
        <v>528.32000000000005</v>
      </c>
      <c r="S4243" s="1562"/>
    </row>
    <row r="4244" spans="2:19" ht="11.25" customHeight="1" outlineLevel="1">
      <c r="B4244" s="1573">
        <v>26564</v>
      </c>
      <c r="C4244" s="1566" t="s">
        <v>4423</v>
      </c>
      <c r="D4244" s="1566" t="s">
        <v>8849</v>
      </c>
      <c r="E4244" s="1566"/>
      <c r="F4244" s="1566"/>
      <c r="G4244" s="1566" t="s">
        <v>4429</v>
      </c>
      <c r="H4244" s="1568">
        <v>1</v>
      </c>
      <c r="I4244" s="1566"/>
      <c r="J4244" s="1566"/>
      <c r="K4244" s="1572">
        <v>64</v>
      </c>
      <c r="L4244" s="1565">
        <v>2336</v>
      </c>
      <c r="M4244" s="1564"/>
      <c r="N4244" s="1565">
        <v>2336</v>
      </c>
      <c r="O4244" s="1565">
        <v>1386.03</v>
      </c>
      <c r="P4244" s="1572">
        <v>910.25</v>
      </c>
      <c r="Q4244" s="1572">
        <v>39.72</v>
      </c>
      <c r="R4244" s="1572">
        <v>949.97</v>
      </c>
      <c r="S4244" s="1562"/>
    </row>
    <row r="4245" spans="2:19" ht="11.25" customHeight="1" outlineLevel="1">
      <c r="B4245" s="1573">
        <v>26566</v>
      </c>
      <c r="C4245" s="1566" t="s">
        <v>4423</v>
      </c>
      <c r="D4245" s="1566" t="s">
        <v>8848</v>
      </c>
      <c r="E4245" s="1566"/>
      <c r="F4245" s="1566"/>
      <c r="G4245" s="1566" t="s">
        <v>8847</v>
      </c>
      <c r="H4245" s="1568">
        <v>1</v>
      </c>
      <c r="I4245" s="1566"/>
      <c r="J4245" s="1566"/>
      <c r="K4245" s="1572">
        <v>64</v>
      </c>
      <c r="L4245" s="1565">
        <v>1875</v>
      </c>
      <c r="M4245" s="1564"/>
      <c r="N4245" s="1565">
        <v>1875</v>
      </c>
      <c r="O4245" s="1572">
        <v>324.95999999999998</v>
      </c>
      <c r="P4245" s="1565">
        <v>1485</v>
      </c>
      <c r="Q4245" s="1572">
        <v>65.040000000000006</v>
      </c>
      <c r="R4245" s="1565">
        <v>1550.04</v>
      </c>
      <c r="S4245" s="1562"/>
    </row>
    <row r="4246" spans="2:19" ht="11.25" customHeight="1" outlineLevel="1">
      <c r="B4246" s="1573">
        <v>26568</v>
      </c>
      <c r="C4246" s="1566" t="s">
        <v>4423</v>
      </c>
      <c r="D4246" s="1566" t="s">
        <v>8846</v>
      </c>
      <c r="E4246" s="1566"/>
      <c r="F4246" s="1566"/>
      <c r="G4246" s="1566" t="s">
        <v>8845</v>
      </c>
      <c r="H4246" s="1568">
        <v>1</v>
      </c>
      <c r="I4246" s="1566"/>
      <c r="J4246" s="1566"/>
      <c r="K4246" s="1572">
        <v>64</v>
      </c>
      <c r="L4246" s="1565">
        <v>3584</v>
      </c>
      <c r="M4246" s="1564"/>
      <c r="N4246" s="1565">
        <v>3584</v>
      </c>
      <c r="O4246" s="1565">
        <v>2126.16</v>
      </c>
      <c r="P4246" s="1565">
        <v>1397</v>
      </c>
      <c r="Q4246" s="1572">
        <v>60.84</v>
      </c>
      <c r="R4246" s="1565">
        <v>1457.84</v>
      </c>
      <c r="S4246" s="1562"/>
    </row>
    <row r="4247" spans="2:19" ht="11.25" customHeight="1" outlineLevel="1">
      <c r="B4247" s="1573">
        <v>26570</v>
      </c>
      <c r="C4247" s="1566" t="s">
        <v>4423</v>
      </c>
      <c r="D4247" s="1566" t="s">
        <v>8844</v>
      </c>
      <c r="E4247" s="1566"/>
      <c r="F4247" s="1566"/>
      <c r="G4247" s="1566" t="s">
        <v>8843</v>
      </c>
      <c r="H4247" s="1568">
        <v>1</v>
      </c>
      <c r="I4247" s="1566"/>
      <c r="J4247" s="1566"/>
      <c r="K4247" s="1572">
        <v>64</v>
      </c>
      <c r="L4247" s="1565">
        <v>33600</v>
      </c>
      <c r="M4247" s="1564"/>
      <c r="N4247" s="1565">
        <v>33600</v>
      </c>
      <c r="O4247" s="1565">
        <v>19941.669999999998</v>
      </c>
      <c r="P4247" s="1565">
        <v>13087.25</v>
      </c>
      <c r="Q4247" s="1572">
        <v>571.08000000000004</v>
      </c>
      <c r="R4247" s="1565">
        <v>13658.33</v>
      </c>
      <c r="S4247" s="1562"/>
    </row>
    <row r="4248" spans="2:19" ht="11.25" customHeight="1" outlineLevel="1">
      <c r="B4248" s="1573">
        <v>26571</v>
      </c>
      <c r="C4248" s="1566" t="s">
        <v>4423</v>
      </c>
      <c r="D4248" s="1566" t="s">
        <v>8842</v>
      </c>
      <c r="E4248" s="1566"/>
      <c r="F4248" s="1566"/>
      <c r="G4248" s="1566" t="s">
        <v>8841</v>
      </c>
      <c r="H4248" s="1568">
        <v>1</v>
      </c>
      <c r="I4248" s="1566"/>
      <c r="J4248" s="1566"/>
      <c r="K4248" s="1572">
        <v>64</v>
      </c>
      <c r="L4248" s="1565">
        <v>29914</v>
      </c>
      <c r="M4248" s="1564"/>
      <c r="N4248" s="1565">
        <v>29914</v>
      </c>
      <c r="O4248" s="1565">
        <v>17753.810000000001</v>
      </c>
      <c r="P4248" s="1565">
        <v>11651.75</v>
      </c>
      <c r="Q4248" s="1572">
        <v>508.44</v>
      </c>
      <c r="R4248" s="1565">
        <v>12160.19</v>
      </c>
      <c r="S4248" s="1562"/>
    </row>
    <row r="4249" spans="2:19" ht="11.25" customHeight="1" outlineLevel="1">
      <c r="B4249" s="1573">
        <v>26572</v>
      </c>
      <c r="C4249" s="1566" t="s">
        <v>4423</v>
      </c>
      <c r="D4249" s="1566" t="s">
        <v>8840</v>
      </c>
      <c r="E4249" s="1566"/>
      <c r="F4249" s="1566"/>
      <c r="G4249" s="1566" t="s">
        <v>8839</v>
      </c>
      <c r="H4249" s="1568">
        <v>1</v>
      </c>
      <c r="I4249" s="1566"/>
      <c r="J4249" s="1566"/>
      <c r="K4249" s="1572">
        <v>64</v>
      </c>
      <c r="L4249" s="1565">
        <v>12800</v>
      </c>
      <c r="M4249" s="1564"/>
      <c r="N4249" s="1565">
        <v>12800</v>
      </c>
      <c r="O4249" s="1565">
        <v>7596.69</v>
      </c>
      <c r="P4249" s="1565">
        <v>4985.75</v>
      </c>
      <c r="Q4249" s="1572">
        <v>217.56</v>
      </c>
      <c r="R4249" s="1565">
        <v>5203.3100000000004</v>
      </c>
      <c r="S4249" s="1562"/>
    </row>
    <row r="4250" spans="2:19" ht="11.25" customHeight="1" outlineLevel="1">
      <c r="B4250" s="1573">
        <v>26573</v>
      </c>
      <c r="C4250" s="1566" t="s">
        <v>4423</v>
      </c>
      <c r="D4250" s="1566" t="s">
        <v>8838</v>
      </c>
      <c r="E4250" s="1566"/>
      <c r="F4250" s="1566"/>
      <c r="G4250" s="1566" t="s">
        <v>8837</v>
      </c>
      <c r="H4250" s="1568">
        <v>1</v>
      </c>
      <c r="I4250" s="1566"/>
      <c r="J4250" s="1566"/>
      <c r="K4250" s="1572">
        <v>64</v>
      </c>
      <c r="L4250" s="1565">
        <v>2963</v>
      </c>
      <c r="M4250" s="1564"/>
      <c r="N4250" s="1565">
        <v>2963</v>
      </c>
      <c r="O4250" s="1565">
        <v>1757.7</v>
      </c>
      <c r="P4250" s="1565">
        <v>1155</v>
      </c>
      <c r="Q4250" s="1572">
        <v>50.3</v>
      </c>
      <c r="R4250" s="1565">
        <v>1205.3</v>
      </c>
      <c r="S4250" s="1562"/>
    </row>
    <row r="4251" spans="2:19" ht="11.25" customHeight="1" outlineLevel="1">
      <c r="B4251" s="1573">
        <v>26574</v>
      </c>
      <c r="C4251" s="1566" t="s">
        <v>4423</v>
      </c>
      <c r="D4251" s="1566" t="s">
        <v>8836</v>
      </c>
      <c r="E4251" s="1566"/>
      <c r="F4251" s="1566"/>
      <c r="G4251" s="1566" t="s">
        <v>8835</v>
      </c>
      <c r="H4251" s="1568">
        <v>1</v>
      </c>
      <c r="I4251" s="1566"/>
      <c r="J4251" s="1566"/>
      <c r="K4251" s="1572">
        <v>64</v>
      </c>
      <c r="L4251" s="1565">
        <v>19200</v>
      </c>
      <c r="M4251" s="1564"/>
      <c r="N4251" s="1565">
        <v>19200</v>
      </c>
      <c r="O4251" s="1565">
        <v>11393.72</v>
      </c>
      <c r="P4251" s="1565">
        <v>7480</v>
      </c>
      <c r="Q4251" s="1572">
        <v>326.27999999999997</v>
      </c>
      <c r="R4251" s="1565">
        <v>7806.28</v>
      </c>
      <c r="S4251" s="1562"/>
    </row>
    <row r="4252" spans="2:19" ht="11.25" customHeight="1" outlineLevel="1">
      <c r="B4252" s="1573">
        <v>26575</v>
      </c>
      <c r="C4252" s="1566" t="s">
        <v>4423</v>
      </c>
      <c r="D4252" s="1566" t="s">
        <v>8834</v>
      </c>
      <c r="E4252" s="1566"/>
      <c r="F4252" s="1566"/>
      <c r="G4252" s="1566" t="s">
        <v>8833</v>
      </c>
      <c r="H4252" s="1568">
        <v>1</v>
      </c>
      <c r="I4252" s="1566"/>
      <c r="J4252" s="1566"/>
      <c r="K4252" s="1572">
        <v>64</v>
      </c>
      <c r="L4252" s="1565">
        <v>11776</v>
      </c>
      <c r="M4252" s="1564"/>
      <c r="N4252" s="1565">
        <v>11776</v>
      </c>
      <c r="O4252" s="1565">
        <v>6988.84</v>
      </c>
      <c r="P4252" s="1565">
        <v>4587</v>
      </c>
      <c r="Q4252" s="1572">
        <v>200.16</v>
      </c>
      <c r="R4252" s="1565">
        <v>4787.16</v>
      </c>
      <c r="S4252" s="1562"/>
    </row>
    <row r="4253" spans="2:19" ht="11.25" customHeight="1" outlineLevel="1">
      <c r="B4253" s="1573">
        <v>26576</v>
      </c>
      <c r="C4253" s="1566" t="s">
        <v>4423</v>
      </c>
      <c r="D4253" s="1566" t="s">
        <v>8832</v>
      </c>
      <c r="E4253" s="1566"/>
      <c r="F4253" s="1566"/>
      <c r="G4253" s="1566" t="s">
        <v>3664</v>
      </c>
      <c r="H4253" s="1568">
        <v>1</v>
      </c>
      <c r="I4253" s="1566"/>
      <c r="J4253" s="1566"/>
      <c r="K4253" s="1572">
        <v>64</v>
      </c>
      <c r="L4253" s="1565">
        <v>4275</v>
      </c>
      <c r="M4253" s="1564"/>
      <c r="N4253" s="1565">
        <v>4275</v>
      </c>
      <c r="O4253" s="1572">
        <v>739.16</v>
      </c>
      <c r="P4253" s="1565">
        <v>3388</v>
      </c>
      <c r="Q4253" s="1572">
        <v>147.84</v>
      </c>
      <c r="R4253" s="1565">
        <v>3535.84</v>
      </c>
      <c r="S4253" s="1562"/>
    </row>
    <row r="4254" spans="2:19" ht="11.25" customHeight="1" outlineLevel="1">
      <c r="B4254" s="1573">
        <v>26580</v>
      </c>
      <c r="C4254" s="1566" t="s">
        <v>4423</v>
      </c>
      <c r="D4254" s="1566" t="s">
        <v>8831</v>
      </c>
      <c r="E4254" s="1566"/>
      <c r="F4254" s="1566"/>
      <c r="G4254" s="1566" t="s">
        <v>8830</v>
      </c>
      <c r="H4254" s="1568">
        <v>1</v>
      </c>
      <c r="I4254" s="1566"/>
      <c r="J4254" s="1566"/>
      <c r="K4254" s="1572">
        <v>71</v>
      </c>
      <c r="L4254" s="1565">
        <v>16037</v>
      </c>
      <c r="M4254" s="1564"/>
      <c r="N4254" s="1565">
        <v>16037</v>
      </c>
      <c r="O4254" s="1565">
        <v>9516.48</v>
      </c>
      <c r="P4254" s="1565">
        <v>6248</v>
      </c>
      <c r="Q4254" s="1572">
        <v>272.52</v>
      </c>
      <c r="R4254" s="1565">
        <v>6520.52</v>
      </c>
      <c r="S4254" s="1562"/>
    </row>
    <row r="4255" spans="2:19" ht="11.25" customHeight="1" outlineLevel="1">
      <c r="B4255" s="1573">
        <v>26581</v>
      </c>
      <c r="C4255" s="1566" t="s">
        <v>4423</v>
      </c>
      <c r="D4255" s="1566" t="s">
        <v>8829</v>
      </c>
      <c r="E4255" s="1566"/>
      <c r="F4255" s="1566"/>
      <c r="G4255" s="1566" t="s">
        <v>8828</v>
      </c>
      <c r="H4255" s="1568">
        <v>1</v>
      </c>
      <c r="I4255" s="1566"/>
      <c r="J4255" s="1566"/>
      <c r="K4255" s="1572">
        <v>64</v>
      </c>
      <c r="L4255" s="1565">
        <v>1165</v>
      </c>
      <c r="M4255" s="1564"/>
      <c r="N4255" s="1565">
        <v>1165</v>
      </c>
      <c r="O4255" s="1572">
        <v>691.45</v>
      </c>
      <c r="P4255" s="1572">
        <v>453.75</v>
      </c>
      <c r="Q4255" s="1572">
        <v>19.8</v>
      </c>
      <c r="R4255" s="1572">
        <v>473.55</v>
      </c>
      <c r="S4255" s="1562"/>
    </row>
    <row r="4256" spans="2:19" ht="11.25" customHeight="1" outlineLevel="1">
      <c r="B4256" s="1573">
        <v>26582</v>
      </c>
      <c r="C4256" s="1566" t="s">
        <v>4423</v>
      </c>
      <c r="D4256" s="1566" t="s">
        <v>8827</v>
      </c>
      <c r="E4256" s="1566"/>
      <c r="F4256" s="1566"/>
      <c r="G4256" s="1566" t="s">
        <v>8826</v>
      </c>
      <c r="H4256" s="1568">
        <v>1</v>
      </c>
      <c r="I4256" s="1566"/>
      <c r="J4256" s="1566"/>
      <c r="K4256" s="1572">
        <v>64</v>
      </c>
      <c r="L4256" s="1565">
        <v>2464</v>
      </c>
      <c r="M4256" s="1564"/>
      <c r="N4256" s="1565">
        <v>2464</v>
      </c>
      <c r="O4256" s="1565">
        <v>1462.37</v>
      </c>
      <c r="P4256" s="1572">
        <v>959.75</v>
      </c>
      <c r="Q4256" s="1572">
        <v>41.88</v>
      </c>
      <c r="R4256" s="1565">
        <v>1001.63</v>
      </c>
      <c r="S4256" s="1562"/>
    </row>
    <row r="4257" spans="2:19" ht="11.25" customHeight="1" outlineLevel="1">
      <c r="B4257" s="1573">
        <v>26583</v>
      </c>
      <c r="C4257" s="1566" t="s">
        <v>4423</v>
      </c>
      <c r="D4257" s="1566" t="s">
        <v>8825</v>
      </c>
      <c r="E4257" s="1566"/>
      <c r="F4257" s="1566"/>
      <c r="G4257" s="1566" t="s">
        <v>8824</v>
      </c>
      <c r="H4257" s="1568">
        <v>1</v>
      </c>
      <c r="I4257" s="1566"/>
      <c r="J4257" s="1566"/>
      <c r="K4257" s="1572">
        <v>64</v>
      </c>
      <c r="L4257" s="1565">
        <v>1190</v>
      </c>
      <c r="M4257" s="1564"/>
      <c r="N4257" s="1565">
        <v>1190</v>
      </c>
      <c r="O4257" s="1572">
        <v>205.59</v>
      </c>
      <c r="P4257" s="1572">
        <v>943.25</v>
      </c>
      <c r="Q4257" s="1572">
        <v>41.16</v>
      </c>
      <c r="R4257" s="1572">
        <v>984.41</v>
      </c>
      <c r="S4257" s="1562"/>
    </row>
    <row r="4258" spans="2:19" ht="11.25" customHeight="1" outlineLevel="1">
      <c r="B4258" s="1573">
        <v>26585</v>
      </c>
      <c r="C4258" s="1566" t="s">
        <v>4423</v>
      </c>
      <c r="D4258" s="1566" t="s">
        <v>8823</v>
      </c>
      <c r="E4258" s="1566"/>
      <c r="F4258" s="1566"/>
      <c r="G4258" s="1566" t="s">
        <v>3734</v>
      </c>
      <c r="H4258" s="1568">
        <v>2</v>
      </c>
      <c r="I4258" s="1566"/>
      <c r="J4258" s="1566"/>
      <c r="K4258" s="1565">
        <v>2120</v>
      </c>
      <c r="L4258" s="1565">
        <v>2120</v>
      </c>
      <c r="M4258" s="1564"/>
      <c r="N4258" s="1565">
        <v>2120</v>
      </c>
      <c r="O4258" s="1572">
        <v>851.58</v>
      </c>
      <c r="P4258" s="1565">
        <v>1215.5</v>
      </c>
      <c r="Q4258" s="1572">
        <v>52.92</v>
      </c>
      <c r="R4258" s="1565">
        <v>1268.42</v>
      </c>
      <c r="S4258" s="1562"/>
    </row>
    <row r="4259" spans="2:19" ht="11.25" customHeight="1" outlineLevel="1">
      <c r="B4259" s="1573">
        <v>26587</v>
      </c>
      <c r="C4259" s="1566" t="s">
        <v>4423</v>
      </c>
      <c r="D4259" s="1566" t="s">
        <v>8822</v>
      </c>
      <c r="E4259" s="1566"/>
      <c r="F4259" s="1566"/>
      <c r="G4259" s="1566" t="s">
        <v>4328</v>
      </c>
      <c r="H4259" s="1568">
        <v>1</v>
      </c>
      <c r="I4259" s="1566"/>
      <c r="J4259" s="1566"/>
      <c r="K4259" s="1565">
        <v>2343</v>
      </c>
      <c r="L4259" s="1565">
        <v>41000</v>
      </c>
      <c r="M4259" s="1564"/>
      <c r="N4259" s="1565">
        <v>41000</v>
      </c>
      <c r="O4259" s="1565">
        <v>9283.51</v>
      </c>
      <c r="P4259" s="1565">
        <v>30390.25</v>
      </c>
      <c r="Q4259" s="1565">
        <v>1326.24</v>
      </c>
      <c r="R4259" s="1565">
        <v>31716.49</v>
      </c>
      <c r="S4259" s="1562"/>
    </row>
    <row r="4260" spans="2:19" ht="11.25" customHeight="1" outlineLevel="1">
      <c r="B4260" s="1573">
        <v>26589</v>
      </c>
      <c r="C4260" s="1566" t="s">
        <v>4423</v>
      </c>
      <c r="D4260" s="1566" t="s">
        <v>8821</v>
      </c>
      <c r="E4260" s="1566"/>
      <c r="F4260" s="1566"/>
      <c r="G4260" s="1566" t="s">
        <v>4556</v>
      </c>
      <c r="H4260" s="1568">
        <v>1</v>
      </c>
      <c r="I4260" s="1566"/>
      <c r="J4260" s="1566"/>
      <c r="K4260" s="1572">
        <v>106</v>
      </c>
      <c r="L4260" s="1565">
        <v>1172</v>
      </c>
      <c r="M4260" s="1564"/>
      <c r="N4260" s="1565">
        <v>1172</v>
      </c>
      <c r="O4260" s="1572">
        <v>695.58</v>
      </c>
      <c r="P4260" s="1572">
        <v>456.5</v>
      </c>
      <c r="Q4260" s="1572">
        <v>19.920000000000002</v>
      </c>
      <c r="R4260" s="1572">
        <v>476.42</v>
      </c>
      <c r="S4260" s="1562"/>
    </row>
    <row r="4261" spans="2:19" ht="11.25" customHeight="1" outlineLevel="1">
      <c r="B4261" s="1573">
        <v>26590</v>
      </c>
      <c r="C4261" s="1566" t="s">
        <v>4423</v>
      </c>
      <c r="D4261" s="1566" t="s">
        <v>8820</v>
      </c>
      <c r="E4261" s="1566"/>
      <c r="F4261" s="1566"/>
      <c r="G4261" s="1566" t="s">
        <v>4556</v>
      </c>
      <c r="H4261" s="1568">
        <v>1</v>
      </c>
      <c r="I4261" s="1566"/>
      <c r="J4261" s="1566"/>
      <c r="K4261" s="1572">
        <v>106</v>
      </c>
      <c r="L4261" s="1572">
        <v>636</v>
      </c>
      <c r="M4261" s="1564"/>
      <c r="N4261" s="1572">
        <v>636</v>
      </c>
      <c r="O4261" s="1572">
        <v>110.67</v>
      </c>
      <c r="P4261" s="1572">
        <v>503.25</v>
      </c>
      <c r="Q4261" s="1572">
        <v>22.08</v>
      </c>
      <c r="R4261" s="1572">
        <v>525.33000000000004</v>
      </c>
      <c r="S4261" s="1562"/>
    </row>
    <row r="4262" spans="2:19" ht="11.25" customHeight="1" outlineLevel="1">
      <c r="B4262" s="1573">
        <v>26591</v>
      </c>
      <c r="C4262" s="1566" t="s">
        <v>4423</v>
      </c>
      <c r="D4262" s="1566" t="s">
        <v>8819</v>
      </c>
      <c r="E4262" s="1566"/>
      <c r="F4262" s="1566"/>
      <c r="G4262" s="1566" t="s">
        <v>4554</v>
      </c>
      <c r="H4262" s="1568">
        <v>1</v>
      </c>
      <c r="I4262" s="1566"/>
      <c r="J4262" s="1566"/>
      <c r="K4262" s="1572">
        <v>11</v>
      </c>
      <c r="L4262" s="1572">
        <v>485</v>
      </c>
      <c r="M4262" s="1564"/>
      <c r="N4262" s="1572">
        <v>485</v>
      </c>
      <c r="O4262" s="1572">
        <v>287.01</v>
      </c>
      <c r="P4262" s="1572">
        <v>189.75</v>
      </c>
      <c r="Q4262" s="1572">
        <v>8.24</v>
      </c>
      <c r="R4262" s="1572">
        <v>197.99</v>
      </c>
      <c r="S4262" s="1562"/>
    </row>
    <row r="4263" spans="2:19" ht="11.25" customHeight="1" outlineLevel="1">
      <c r="B4263" s="1573">
        <v>26592</v>
      </c>
      <c r="C4263" s="1566" t="s">
        <v>4423</v>
      </c>
      <c r="D4263" s="1566" t="s">
        <v>8818</v>
      </c>
      <c r="E4263" s="1566"/>
      <c r="F4263" s="1566"/>
      <c r="G4263" s="1566" t="s">
        <v>4552</v>
      </c>
      <c r="H4263" s="1568">
        <v>1</v>
      </c>
      <c r="I4263" s="1566"/>
      <c r="J4263" s="1566"/>
      <c r="K4263" s="1572">
        <v>25</v>
      </c>
      <c r="L4263" s="1572">
        <v>571</v>
      </c>
      <c r="M4263" s="1564"/>
      <c r="N4263" s="1572">
        <v>571</v>
      </c>
      <c r="O4263" s="1572">
        <v>338.53</v>
      </c>
      <c r="P4263" s="1572">
        <v>222.75</v>
      </c>
      <c r="Q4263" s="1572">
        <v>9.7200000000000006</v>
      </c>
      <c r="R4263" s="1572">
        <v>232.47</v>
      </c>
      <c r="S4263" s="1562"/>
    </row>
    <row r="4264" spans="2:19" ht="11.25" customHeight="1" outlineLevel="1">
      <c r="B4264" s="1573">
        <v>26593</v>
      </c>
      <c r="C4264" s="1566" t="s">
        <v>4423</v>
      </c>
      <c r="D4264" s="1566" t="s">
        <v>8817</v>
      </c>
      <c r="E4264" s="1566"/>
      <c r="F4264" s="1566"/>
      <c r="G4264" s="1566" t="s">
        <v>4550</v>
      </c>
      <c r="H4264" s="1568">
        <v>1</v>
      </c>
      <c r="I4264" s="1566"/>
      <c r="J4264" s="1566"/>
      <c r="K4264" s="1572">
        <v>59</v>
      </c>
      <c r="L4264" s="1565">
        <v>2496</v>
      </c>
      <c r="M4264" s="1564"/>
      <c r="N4264" s="1565">
        <v>2496</v>
      </c>
      <c r="O4264" s="1565">
        <v>1480.14</v>
      </c>
      <c r="P4264" s="1572">
        <v>973.5</v>
      </c>
      <c r="Q4264" s="1572">
        <v>42.36</v>
      </c>
      <c r="R4264" s="1565">
        <v>1015.86</v>
      </c>
      <c r="S4264" s="1562"/>
    </row>
    <row r="4265" spans="2:19" ht="11.25" customHeight="1" outlineLevel="1">
      <c r="B4265" s="1573">
        <v>26594</v>
      </c>
      <c r="C4265" s="1566" t="s">
        <v>4423</v>
      </c>
      <c r="D4265" s="1566" t="s">
        <v>8816</v>
      </c>
      <c r="E4265" s="1566"/>
      <c r="F4265" s="1566"/>
      <c r="G4265" s="1566" t="s">
        <v>4548</v>
      </c>
      <c r="H4265" s="1568">
        <v>1</v>
      </c>
      <c r="I4265" s="1566"/>
      <c r="J4265" s="1566"/>
      <c r="K4265" s="1572">
        <v>32</v>
      </c>
      <c r="L4265" s="1572">
        <v>798</v>
      </c>
      <c r="M4265" s="1564"/>
      <c r="N4265" s="1572">
        <v>798</v>
      </c>
      <c r="O4265" s="1572">
        <v>473.69</v>
      </c>
      <c r="P4265" s="1572">
        <v>310.75</v>
      </c>
      <c r="Q4265" s="1572">
        <v>13.56</v>
      </c>
      <c r="R4265" s="1572">
        <v>324.31</v>
      </c>
      <c r="S4265" s="1562"/>
    </row>
    <row r="4266" spans="2:19" ht="11.25" customHeight="1" outlineLevel="1">
      <c r="B4266" s="1573">
        <v>26595</v>
      </c>
      <c r="C4266" s="1566" t="s">
        <v>4423</v>
      </c>
      <c r="D4266" s="1566" t="s">
        <v>8815</v>
      </c>
      <c r="E4266" s="1566"/>
      <c r="F4266" s="1566"/>
      <c r="G4266" s="1566" t="s">
        <v>8814</v>
      </c>
      <c r="H4266" s="1568">
        <v>1</v>
      </c>
      <c r="I4266" s="1566"/>
      <c r="J4266" s="1566"/>
      <c r="K4266" s="1572">
        <v>246</v>
      </c>
      <c r="L4266" s="1565">
        <v>3686</v>
      </c>
      <c r="M4266" s="1564"/>
      <c r="N4266" s="1565">
        <v>3686</v>
      </c>
      <c r="O4266" s="1565">
        <v>2187.86</v>
      </c>
      <c r="P4266" s="1565">
        <v>1435.5</v>
      </c>
      <c r="Q4266" s="1572">
        <v>62.64</v>
      </c>
      <c r="R4266" s="1565">
        <v>1498.14</v>
      </c>
      <c r="S4266" s="1562"/>
    </row>
    <row r="4267" spans="2:19" ht="11.25" customHeight="1" outlineLevel="1">
      <c r="B4267" s="1573">
        <v>26596</v>
      </c>
      <c r="C4267" s="1566" t="s">
        <v>4423</v>
      </c>
      <c r="D4267" s="1566" t="s">
        <v>8813</v>
      </c>
      <c r="E4267" s="1566"/>
      <c r="F4267" s="1566"/>
      <c r="G4267" s="1566" t="s">
        <v>4544</v>
      </c>
      <c r="H4267" s="1568">
        <v>1</v>
      </c>
      <c r="I4267" s="1566"/>
      <c r="J4267" s="1566"/>
      <c r="K4267" s="1572">
        <v>217</v>
      </c>
      <c r="L4267" s="1565">
        <v>5963</v>
      </c>
      <c r="M4267" s="1564"/>
      <c r="N4267" s="1565">
        <v>5963</v>
      </c>
      <c r="O4267" s="1565">
        <v>3537.97</v>
      </c>
      <c r="P4267" s="1565">
        <v>2323.75</v>
      </c>
      <c r="Q4267" s="1572">
        <v>101.28</v>
      </c>
      <c r="R4267" s="1565">
        <v>2425.0300000000002</v>
      </c>
      <c r="S4267" s="1562"/>
    </row>
    <row r="4268" spans="2:19" ht="11.25" customHeight="1" outlineLevel="1">
      <c r="B4268" s="1573">
        <v>26597</v>
      </c>
      <c r="C4268" s="1566" t="s">
        <v>4423</v>
      </c>
      <c r="D4268" s="1566" t="s">
        <v>8812</v>
      </c>
      <c r="E4268" s="1566"/>
      <c r="F4268" s="1566"/>
      <c r="G4268" s="1566" t="s">
        <v>4542</v>
      </c>
      <c r="H4268" s="1568">
        <v>1</v>
      </c>
      <c r="I4268" s="1566"/>
      <c r="J4268" s="1566"/>
      <c r="K4268" s="1572">
        <v>705</v>
      </c>
      <c r="L4268" s="1565">
        <v>41953.2</v>
      </c>
      <c r="M4268" s="1564"/>
      <c r="N4268" s="1565">
        <v>41953.2</v>
      </c>
      <c r="O4268" s="1565">
        <v>24899.54</v>
      </c>
      <c r="P4268" s="1565">
        <v>16340.5</v>
      </c>
      <c r="Q4268" s="1572">
        <v>713.16</v>
      </c>
      <c r="R4268" s="1565">
        <v>17053.66</v>
      </c>
      <c r="S4268" s="1562"/>
    </row>
    <row r="4269" spans="2:19" ht="11.25" customHeight="1" outlineLevel="1">
      <c r="B4269" s="1573">
        <v>26598</v>
      </c>
      <c r="C4269" s="1566" t="s">
        <v>4423</v>
      </c>
      <c r="D4269" s="1566" t="s">
        <v>8811</v>
      </c>
      <c r="E4269" s="1566"/>
      <c r="F4269" s="1566"/>
      <c r="G4269" s="1566" t="s">
        <v>4540</v>
      </c>
      <c r="H4269" s="1568">
        <v>1</v>
      </c>
      <c r="I4269" s="1566"/>
      <c r="J4269" s="1566"/>
      <c r="K4269" s="1572">
        <v>121</v>
      </c>
      <c r="L4269" s="1565">
        <v>5455</v>
      </c>
      <c r="M4269" s="1564"/>
      <c r="N4269" s="1565">
        <v>5455</v>
      </c>
      <c r="O4269" s="1565">
        <v>3236.61</v>
      </c>
      <c r="P4269" s="1565">
        <v>2125.75</v>
      </c>
      <c r="Q4269" s="1572">
        <v>92.64</v>
      </c>
      <c r="R4269" s="1565">
        <v>2218.39</v>
      </c>
      <c r="S4269" s="1562"/>
    </row>
    <row r="4270" spans="2:19" ht="11.25" customHeight="1" outlineLevel="1">
      <c r="B4270" s="1573">
        <v>26599</v>
      </c>
      <c r="C4270" s="1566" t="s">
        <v>4423</v>
      </c>
      <c r="D4270" s="1566" t="s">
        <v>8810</v>
      </c>
      <c r="E4270" s="1566"/>
      <c r="F4270" s="1566"/>
      <c r="G4270" s="1566" t="s">
        <v>4538</v>
      </c>
      <c r="H4270" s="1568">
        <v>1</v>
      </c>
      <c r="I4270" s="1566"/>
      <c r="J4270" s="1566"/>
      <c r="K4270" s="1572">
        <v>77</v>
      </c>
      <c r="L4270" s="1565">
        <v>1698</v>
      </c>
      <c r="M4270" s="1564"/>
      <c r="N4270" s="1565">
        <v>1698</v>
      </c>
      <c r="O4270" s="1565">
        <v>1006.45</v>
      </c>
      <c r="P4270" s="1572">
        <v>662.75</v>
      </c>
      <c r="Q4270" s="1572">
        <v>28.8</v>
      </c>
      <c r="R4270" s="1572">
        <v>691.55</v>
      </c>
      <c r="S4270" s="1562"/>
    </row>
    <row r="4271" spans="2:19" ht="11.25" customHeight="1" outlineLevel="1">
      <c r="B4271" s="1573">
        <v>26600</v>
      </c>
      <c r="C4271" s="1566" t="s">
        <v>4423</v>
      </c>
      <c r="D4271" s="1566" t="s">
        <v>8809</v>
      </c>
      <c r="E4271" s="1566"/>
      <c r="F4271" s="1566"/>
      <c r="G4271" s="1566" t="s">
        <v>8808</v>
      </c>
      <c r="H4271" s="1568">
        <v>1</v>
      </c>
      <c r="I4271" s="1566"/>
      <c r="J4271" s="1566"/>
      <c r="K4271" s="1572">
        <v>186</v>
      </c>
      <c r="L4271" s="1565">
        <v>5987</v>
      </c>
      <c r="M4271" s="1564"/>
      <c r="N4271" s="1565">
        <v>5987</v>
      </c>
      <c r="O4271" s="1565">
        <v>3553.24</v>
      </c>
      <c r="P4271" s="1565">
        <v>2332</v>
      </c>
      <c r="Q4271" s="1572">
        <v>101.76</v>
      </c>
      <c r="R4271" s="1565">
        <v>2433.7600000000002</v>
      </c>
      <c r="S4271" s="1562"/>
    </row>
    <row r="4272" spans="2:19" ht="11.25" customHeight="1" outlineLevel="1">
      <c r="B4272" s="1573">
        <v>26601</v>
      </c>
      <c r="C4272" s="1566" t="s">
        <v>4423</v>
      </c>
      <c r="D4272" s="1566" t="s">
        <v>8807</v>
      </c>
      <c r="E4272" s="1566"/>
      <c r="F4272" s="1566"/>
      <c r="G4272" s="1566" t="s">
        <v>4534</v>
      </c>
      <c r="H4272" s="1568">
        <v>1</v>
      </c>
      <c r="I4272" s="1566"/>
      <c r="J4272" s="1566"/>
      <c r="K4272" s="1572">
        <v>267</v>
      </c>
      <c r="L4272" s="1565">
        <v>21214</v>
      </c>
      <c r="M4272" s="1564"/>
      <c r="N4272" s="1565">
        <v>21214</v>
      </c>
      <c r="O4272" s="1565">
        <v>12589.65</v>
      </c>
      <c r="P4272" s="1565">
        <v>8263.75</v>
      </c>
      <c r="Q4272" s="1572">
        <v>360.6</v>
      </c>
      <c r="R4272" s="1565">
        <v>8624.35</v>
      </c>
      <c r="S4272" s="1562"/>
    </row>
    <row r="4273" spans="2:19" ht="11.25" customHeight="1" outlineLevel="1">
      <c r="B4273" s="1573">
        <v>26602</v>
      </c>
      <c r="C4273" s="1566" t="s">
        <v>4423</v>
      </c>
      <c r="D4273" s="1566" t="s">
        <v>8806</v>
      </c>
      <c r="E4273" s="1566"/>
      <c r="F4273" s="1566"/>
      <c r="G4273" s="1566" t="s">
        <v>4532</v>
      </c>
      <c r="H4273" s="1568">
        <v>1</v>
      </c>
      <c r="I4273" s="1566"/>
      <c r="J4273" s="1566"/>
      <c r="K4273" s="1572">
        <v>267</v>
      </c>
      <c r="L4273" s="1565">
        <v>1708</v>
      </c>
      <c r="M4273" s="1564"/>
      <c r="N4273" s="1565">
        <v>1708</v>
      </c>
      <c r="O4273" s="1565">
        <v>1013.46</v>
      </c>
      <c r="P4273" s="1572">
        <v>665.5</v>
      </c>
      <c r="Q4273" s="1572">
        <v>29.04</v>
      </c>
      <c r="R4273" s="1572">
        <v>694.54</v>
      </c>
      <c r="S4273" s="1562"/>
    </row>
    <row r="4274" spans="2:19" ht="11.25" customHeight="1" outlineLevel="1">
      <c r="B4274" s="1573">
        <v>26604</v>
      </c>
      <c r="C4274" s="1566" t="s">
        <v>4423</v>
      </c>
      <c r="D4274" s="1566" t="s">
        <v>8805</v>
      </c>
      <c r="E4274" s="1566"/>
      <c r="F4274" s="1566"/>
      <c r="G4274" s="1566" t="s">
        <v>4530</v>
      </c>
      <c r="H4274" s="1568">
        <v>1</v>
      </c>
      <c r="I4274" s="1566"/>
      <c r="J4274" s="1566"/>
      <c r="K4274" s="1565">
        <v>2609</v>
      </c>
      <c r="L4274" s="1565">
        <v>10175</v>
      </c>
      <c r="M4274" s="1564"/>
      <c r="N4274" s="1565">
        <v>10175</v>
      </c>
      <c r="O4274" s="1565">
        <v>6039.33</v>
      </c>
      <c r="P4274" s="1565">
        <v>3962.75</v>
      </c>
      <c r="Q4274" s="1572">
        <v>172.92</v>
      </c>
      <c r="R4274" s="1565">
        <v>4135.67</v>
      </c>
      <c r="S4274" s="1562"/>
    </row>
    <row r="4275" spans="2:19" ht="11.25" customHeight="1" outlineLevel="1">
      <c r="B4275" s="1573">
        <v>26605</v>
      </c>
      <c r="C4275" s="1566" t="s">
        <v>4423</v>
      </c>
      <c r="D4275" s="1566" t="s">
        <v>8804</v>
      </c>
      <c r="E4275" s="1566"/>
      <c r="F4275" s="1566"/>
      <c r="G4275" s="1566" t="s">
        <v>4528</v>
      </c>
      <c r="H4275" s="1568">
        <v>1</v>
      </c>
      <c r="I4275" s="1566"/>
      <c r="J4275" s="1566"/>
      <c r="K4275" s="1572">
        <v>286</v>
      </c>
      <c r="L4275" s="1565">
        <v>17303</v>
      </c>
      <c r="M4275" s="1564"/>
      <c r="N4275" s="1565">
        <v>17303</v>
      </c>
      <c r="O4275" s="1565">
        <v>10268.629999999999</v>
      </c>
      <c r="P4275" s="1565">
        <v>6740.25</v>
      </c>
      <c r="Q4275" s="1572">
        <v>294.12</v>
      </c>
      <c r="R4275" s="1565">
        <v>7034.37</v>
      </c>
      <c r="S4275" s="1562"/>
    </row>
    <row r="4276" spans="2:19" ht="11.25" customHeight="1" outlineLevel="1">
      <c r="B4276" s="1573">
        <v>26606</v>
      </c>
      <c r="C4276" s="1566" t="s">
        <v>4423</v>
      </c>
      <c r="D4276" s="1566" t="s">
        <v>8803</v>
      </c>
      <c r="E4276" s="1566"/>
      <c r="F4276" s="1566"/>
      <c r="G4276" s="1566" t="s">
        <v>4526</v>
      </c>
      <c r="H4276" s="1568">
        <v>1</v>
      </c>
      <c r="I4276" s="1566"/>
      <c r="J4276" s="1566"/>
      <c r="K4276" s="1565">
        <v>3707</v>
      </c>
      <c r="L4276" s="1565">
        <v>30584</v>
      </c>
      <c r="M4276" s="1564"/>
      <c r="N4276" s="1565">
        <v>30584</v>
      </c>
      <c r="O4276" s="1565">
        <v>18151.16</v>
      </c>
      <c r="P4276" s="1565">
        <v>11913</v>
      </c>
      <c r="Q4276" s="1572">
        <v>519.84</v>
      </c>
      <c r="R4276" s="1565">
        <v>12432.84</v>
      </c>
      <c r="S4276" s="1562"/>
    </row>
    <row r="4277" spans="2:19" ht="11.25" customHeight="1" outlineLevel="1">
      <c r="B4277" s="1573">
        <v>26607</v>
      </c>
      <c r="C4277" s="1566" t="s">
        <v>4423</v>
      </c>
      <c r="D4277" s="1566" t="s">
        <v>8802</v>
      </c>
      <c r="E4277" s="1566"/>
      <c r="F4277" s="1566"/>
      <c r="G4277" s="1566" t="s">
        <v>8801</v>
      </c>
      <c r="H4277" s="1568">
        <v>1</v>
      </c>
      <c r="I4277" s="1566"/>
      <c r="J4277" s="1566"/>
      <c r="K4277" s="1572">
        <v>149</v>
      </c>
      <c r="L4277" s="1572">
        <v>744</v>
      </c>
      <c r="M4277" s="1564"/>
      <c r="N4277" s="1572">
        <v>744</v>
      </c>
      <c r="O4277" s="1572">
        <v>167.37</v>
      </c>
      <c r="P4277" s="1572">
        <v>552.75</v>
      </c>
      <c r="Q4277" s="1572">
        <v>23.88</v>
      </c>
      <c r="R4277" s="1572">
        <v>576.63</v>
      </c>
      <c r="S4277" s="1562"/>
    </row>
    <row r="4278" spans="2:19" ht="11.25" customHeight="1" outlineLevel="1">
      <c r="B4278" s="1573">
        <v>26608</v>
      </c>
      <c r="C4278" s="1566" t="s">
        <v>4423</v>
      </c>
      <c r="D4278" s="1566" t="s">
        <v>8800</v>
      </c>
      <c r="E4278" s="1566"/>
      <c r="F4278" s="1566"/>
      <c r="G4278" s="1566" t="s">
        <v>4506</v>
      </c>
      <c r="H4278" s="1568">
        <v>1</v>
      </c>
      <c r="I4278" s="1566"/>
      <c r="J4278" s="1566"/>
      <c r="K4278" s="1572">
        <v>160</v>
      </c>
      <c r="L4278" s="1565">
        <v>1440</v>
      </c>
      <c r="M4278" s="1564"/>
      <c r="N4278" s="1565">
        <v>1440</v>
      </c>
      <c r="O4278" s="1572">
        <v>854.52</v>
      </c>
      <c r="P4278" s="1572">
        <v>561</v>
      </c>
      <c r="Q4278" s="1572">
        <v>24.48</v>
      </c>
      <c r="R4278" s="1572">
        <v>585.48</v>
      </c>
      <c r="S4278" s="1562"/>
    </row>
    <row r="4279" spans="2:19" ht="11.25" customHeight="1" outlineLevel="1">
      <c r="B4279" s="1573">
        <v>26609</v>
      </c>
      <c r="C4279" s="1566" t="s">
        <v>4423</v>
      </c>
      <c r="D4279" s="1566" t="s">
        <v>8799</v>
      </c>
      <c r="E4279" s="1566"/>
      <c r="F4279" s="1566"/>
      <c r="G4279" s="1566" t="s">
        <v>4504</v>
      </c>
      <c r="H4279" s="1568">
        <v>1</v>
      </c>
      <c r="I4279" s="1566"/>
      <c r="J4279" s="1566"/>
      <c r="K4279" s="1572">
        <v>160</v>
      </c>
      <c r="L4279" s="1565">
        <v>8818</v>
      </c>
      <c r="M4279" s="1564"/>
      <c r="N4279" s="1565">
        <v>8818</v>
      </c>
      <c r="O4279" s="1565">
        <v>5233.37</v>
      </c>
      <c r="P4279" s="1565">
        <v>3434.75</v>
      </c>
      <c r="Q4279" s="1572">
        <v>149.88</v>
      </c>
      <c r="R4279" s="1565">
        <v>3584.63</v>
      </c>
      <c r="S4279" s="1562"/>
    </row>
    <row r="4280" spans="2:19" ht="11.25" customHeight="1" outlineLevel="1">
      <c r="B4280" s="1573">
        <v>26610</v>
      </c>
      <c r="C4280" s="1566" t="s">
        <v>4423</v>
      </c>
      <c r="D4280" s="1566" t="s">
        <v>8798</v>
      </c>
      <c r="E4280" s="1566"/>
      <c r="F4280" s="1566"/>
      <c r="G4280" s="1566" t="s">
        <v>4502</v>
      </c>
      <c r="H4280" s="1568">
        <v>1</v>
      </c>
      <c r="I4280" s="1566"/>
      <c r="J4280" s="1566"/>
      <c r="K4280" s="1572">
        <v>99</v>
      </c>
      <c r="L4280" s="1572">
        <v>493</v>
      </c>
      <c r="M4280" s="1564"/>
      <c r="N4280" s="1572">
        <v>493</v>
      </c>
      <c r="O4280" s="1572">
        <v>292.10000000000002</v>
      </c>
      <c r="P4280" s="1572">
        <v>192.5</v>
      </c>
      <c r="Q4280" s="1572">
        <v>8.4</v>
      </c>
      <c r="R4280" s="1572">
        <v>200.9</v>
      </c>
      <c r="S4280" s="1562"/>
    </row>
    <row r="4281" spans="2:19" ht="11.25" customHeight="1" outlineLevel="1">
      <c r="B4281" s="1573">
        <v>26611</v>
      </c>
      <c r="C4281" s="1566" t="s">
        <v>4423</v>
      </c>
      <c r="D4281" s="1566" t="s">
        <v>8797</v>
      </c>
      <c r="E4281" s="1566"/>
      <c r="F4281" s="1566"/>
      <c r="G4281" s="1566" t="s">
        <v>4558</v>
      </c>
      <c r="H4281" s="1568">
        <v>1</v>
      </c>
      <c r="I4281" s="1566"/>
      <c r="J4281" s="1566"/>
      <c r="K4281" s="1572">
        <v>185</v>
      </c>
      <c r="L4281" s="1565">
        <v>6415</v>
      </c>
      <c r="M4281" s="1564"/>
      <c r="N4281" s="1565">
        <v>6415</v>
      </c>
      <c r="O4281" s="1565">
        <v>3806.29</v>
      </c>
      <c r="P4281" s="1565">
        <v>2499.75</v>
      </c>
      <c r="Q4281" s="1572">
        <v>108.96</v>
      </c>
      <c r="R4281" s="1565">
        <v>2608.71</v>
      </c>
      <c r="S4281" s="1562"/>
    </row>
    <row r="4282" spans="2:19" ht="11.25" customHeight="1" outlineLevel="1">
      <c r="B4282" s="1573">
        <v>26612</v>
      </c>
      <c r="C4282" s="1566" t="s">
        <v>4423</v>
      </c>
      <c r="D4282" s="1566" t="s">
        <v>8796</v>
      </c>
      <c r="E4282" s="1566"/>
      <c r="F4282" s="1566"/>
      <c r="G4282" s="1566" t="s">
        <v>4560</v>
      </c>
      <c r="H4282" s="1568">
        <v>1</v>
      </c>
      <c r="I4282" s="1566"/>
      <c r="J4282" s="1566"/>
      <c r="K4282" s="1572">
        <v>185</v>
      </c>
      <c r="L4282" s="1565">
        <v>17780</v>
      </c>
      <c r="M4282" s="1564"/>
      <c r="N4282" s="1565">
        <v>17780</v>
      </c>
      <c r="O4282" s="1565">
        <v>10553.22</v>
      </c>
      <c r="P4282" s="1565">
        <v>6924.5</v>
      </c>
      <c r="Q4282" s="1572">
        <v>302.27999999999997</v>
      </c>
      <c r="R4282" s="1565">
        <v>7226.78</v>
      </c>
      <c r="S4282" s="1562"/>
    </row>
    <row r="4283" spans="2:19" ht="11.25" customHeight="1" outlineLevel="1">
      <c r="B4283" s="1573">
        <v>26613</v>
      </c>
      <c r="C4283" s="1566" t="s">
        <v>4423</v>
      </c>
      <c r="D4283" s="1566" t="s">
        <v>8795</v>
      </c>
      <c r="E4283" s="1566"/>
      <c r="F4283" s="1566"/>
      <c r="G4283" s="1566" t="s">
        <v>4500</v>
      </c>
      <c r="H4283" s="1568">
        <v>1</v>
      </c>
      <c r="I4283" s="1566"/>
      <c r="J4283" s="1566"/>
      <c r="K4283" s="1572">
        <v>75</v>
      </c>
      <c r="L4283" s="1565">
        <v>1127</v>
      </c>
      <c r="M4283" s="1564"/>
      <c r="N4283" s="1565">
        <v>1127</v>
      </c>
      <c r="O4283" s="1572">
        <v>667.92</v>
      </c>
      <c r="P4283" s="1572">
        <v>440</v>
      </c>
      <c r="Q4283" s="1572">
        <v>19.079999999999998</v>
      </c>
      <c r="R4283" s="1572">
        <v>459.08</v>
      </c>
      <c r="S4283" s="1562"/>
    </row>
    <row r="4284" spans="2:19" ht="11.25" customHeight="1" outlineLevel="1">
      <c r="B4284" s="1573">
        <v>26614</v>
      </c>
      <c r="C4284" s="1566" t="s">
        <v>4423</v>
      </c>
      <c r="D4284" s="1566" t="s">
        <v>8794</v>
      </c>
      <c r="E4284" s="1566"/>
      <c r="F4284" s="1566"/>
      <c r="G4284" s="1566" t="s">
        <v>4498</v>
      </c>
      <c r="H4284" s="1568">
        <v>1</v>
      </c>
      <c r="I4284" s="1566"/>
      <c r="J4284" s="1566"/>
      <c r="K4284" s="1572">
        <v>49</v>
      </c>
      <c r="L4284" s="1572">
        <v>728</v>
      </c>
      <c r="M4284" s="1564"/>
      <c r="N4284" s="1572">
        <v>728</v>
      </c>
      <c r="O4284" s="1572">
        <v>432.39</v>
      </c>
      <c r="P4284" s="1572">
        <v>283.25</v>
      </c>
      <c r="Q4284" s="1572">
        <v>12.36</v>
      </c>
      <c r="R4284" s="1572">
        <v>295.61</v>
      </c>
      <c r="S4284" s="1562"/>
    </row>
    <row r="4285" spans="2:19" ht="11.25" customHeight="1" outlineLevel="1">
      <c r="B4285" s="1573">
        <v>26615</v>
      </c>
      <c r="C4285" s="1566" t="s">
        <v>4423</v>
      </c>
      <c r="D4285" s="1566" t="s">
        <v>8793</v>
      </c>
      <c r="E4285" s="1566"/>
      <c r="F4285" s="1566"/>
      <c r="G4285" s="1566" t="s">
        <v>4496</v>
      </c>
      <c r="H4285" s="1568">
        <v>1</v>
      </c>
      <c r="I4285" s="1566"/>
      <c r="J4285" s="1566"/>
      <c r="K4285" s="1572">
        <v>83</v>
      </c>
      <c r="L4285" s="1565">
        <v>2074</v>
      </c>
      <c r="M4285" s="1564"/>
      <c r="N4285" s="1565">
        <v>2074</v>
      </c>
      <c r="O4285" s="1565">
        <v>1230.22</v>
      </c>
      <c r="P4285" s="1572">
        <v>808.5</v>
      </c>
      <c r="Q4285" s="1572">
        <v>35.28</v>
      </c>
      <c r="R4285" s="1572">
        <v>843.78</v>
      </c>
      <c r="S4285" s="1562"/>
    </row>
    <row r="4286" spans="2:19" ht="11.25" customHeight="1" outlineLevel="1">
      <c r="B4286" s="1573">
        <v>26616</v>
      </c>
      <c r="C4286" s="1566" t="s">
        <v>4423</v>
      </c>
      <c r="D4286" s="1566" t="s">
        <v>8792</v>
      </c>
      <c r="E4286" s="1566"/>
      <c r="F4286" s="1566"/>
      <c r="G4286" s="1566" t="s">
        <v>4494</v>
      </c>
      <c r="H4286" s="1568">
        <v>1</v>
      </c>
      <c r="I4286" s="1566"/>
      <c r="J4286" s="1566"/>
      <c r="K4286" s="1572">
        <v>104</v>
      </c>
      <c r="L4286" s="1572">
        <v>446</v>
      </c>
      <c r="M4286" s="1564"/>
      <c r="N4286" s="1572">
        <v>446</v>
      </c>
      <c r="O4286" s="1572">
        <v>265.19</v>
      </c>
      <c r="P4286" s="1572">
        <v>173.25</v>
      </c>
      <c r="Q4286" s="1572">
        <v>7.56</v>
      </c>
      <c r="R4286" s="1572">
        <v>180.81</v>
      </c>
      <c r="S4286" s="1562"/>
    </row>
    <row r="4287" spans="2:19" ht="11.25" customHeight="1" outlineLevel="1">
      <c r="B4287" s="1573">
        <v>26617</v>
      </c>
      <c r="C4287" s="1566" t="s">
        <v>4423</v>
      </c>
      <c r="D4287" s="1566" t="s">
        <v>8791</v>
      </c>
      <c r="E4287" s="1566"/>
      <c r="F4287" s="1566"/>
      <c r="G4287" s="1566" t="s">
        <v>4492</v>
      </c>
      <c r="H4287" s="1568">
        <v>1</v>
      </c>
      <c r="I4287" s="1566"/>
      <c r="J4287" s="1566"/>
      <c r="K4287" s="1572">
        <v>114</v>
      </c>
      <c r="L4287" s="1565">
        <v>2489</v>
      </c>
      <c r="M4287" s="1564"/>
      <c r="N4287" s="1565">
        <v>2489</v>
      </c>
      <c r="O4287" s="1565">
        <v>1476.01</v>
      </c>
      <c r="P4287" s="1572">
        <v>970.75</v>
      </c>
      <c r="Q4287" s="1572">
        <v>42.24</v>
      </c>
      <c r="R4287" s="1565">
        <v>1012.99</v>
      </c>
      <c r="S4287" s="1562"/>
    </row>
    <row r="4288" spans="2:19" ht="11.25" customHeight="1" outlineLevel="1">
      <c r="B4288" s="1573">
        <v>26618</v>
      </c>
      <c r="C4288" s="1566" t="s">
        <v>4423</v>
      </c>
      <c r="D4288" s="1566" t="s">
        <v>8790</v>
      </c>
      <c r="E4288" s="1566"/>
      <c r="F4288" s="1566"/>
      <c r="G4288" s="1566" t="s">
        <v>8789</v>
      </c>
      <c r="H4288" s="1568">
        <v>1</v>
      </c>
      <c r="I4288" s="1566"/>
      <c r="J4288" s="1566"/>
      <c r="K4288" s="1572">
        <v>67</v>
      </c>
      <c r="L4288" s="1565">
        <v>1111</v>
      </c>
      <c r="M4288" s="1564"/>
      <c r="N4288" s="1565">
        <v>1111</v>
      </c>
      <c r="O4288" s="1572">
        <v>660.29</v>
      </c>
      <c r="P4288" s="1572">
        <v>431.75</v>
      </c>
      <c r="Q4288" s="1572">
        <v>18.96</v>
      </c>
      <c r="R4288" s="1572">
        <v>450.71</v>
      </c>
      <c r="S4288" s="1562"/>
    </row>
    <row r="4289" spans="2:19" ht="11.25" customHeight="1" outlineLevel="1">
      <c r="B4289" s="1573">
        <v>26619</v>
      </c>
      <c r="C4289" s="1566" t="s">
        <v>4423</v>
      </c>
      <c r="D4289" s="1566" t="s">
        <v>8788</v>
      </c>
      <c r="E4289" s="1566"/>
      <c r="F4289" s="1566"/>
      <c r="G4289" s="1566" t="s">
        <v>4522</v>
      </c>
      <c r="H4289" s="1568">
        <v>1</v>
      </c>
      <c r="I4289" s="1566"/>
      <c r="J4289" s="1566"/>
      <c r="K4289" s="1572">
        <v>74</v>
      </c>
      <c r="L4289" s="1572">
        <v>313</v>
      </c>
      <c r="M4289" s="1564"/>
      <c r="N4289" s="1572">
        <v>313</v>
      </c>
      <c r="O4289" s="1572">
        <v>186.6</v>
      </c>
      <c r="P4289" s="1572">
        <v>121</v>
      </c>
      <c r="Q4289" s="1572">
        <v>5.4</v>
      </c>
      <c r="R4289" s="1572">
        <v>126.4</v>
      </c>
      <c r="S4289" s="1562"/>
    </row>
    <row r="4290" spans="2:19" ht="11.25" customHeight="1" outlineLevel="1">
      <c r="B4290" s="1573">
        <v>26620</v>
      </c>
      <c r="C4290" s="1566" t="s">
        <v>4423</v>
      </c>
      <c r="D4290" s="1566" t="s">
        <v>8787</v>
      </c>
      <c r="E4290" s="1566"/>
      <c r="F4290" s="1566"/>
      <c r="G4290" s="1566" t="s">
        <v>4520</v>
      </c>
      <c r="H4290" s="1568">
        <v>1</v>
      </c>
      <c r="I4290" s="1566"/>
      <c r="J4290" s="1566"/>
      <c r="K4290" s="1572">
        <v>121</v>
      </c>
      <c r="L4290" s="1565">
        <v>6230</v>
      </c>
      <c r="M4290" s="1564"/>
      <c r="N4290" s="1565">
        <v>6230</v>
      </c>
      <c r="O4290" s="1565">
        <v>3698.54</v>
      </c>
      <c r="P4290" s="1565">
        <v>2425.5</v>
      </c>
      <c r="Q4290" s="1572">
        <v>105.96</v>
      </c>
      <c r="R4290" s="1565">
        <v>2531.46</v>
      </c>
      <c r="S4290" s="1562"/>
    </row>
    <row r="4291" spans="2:19" ht="11.25" customHeight="1" outlineLevel="1">
      <c r="B4291" s="1573">
        <v>26621</v>
      </c>
      <c r="C4291" s="1566" t="s">
        <v>4423</v>
      </c>
      <c r="D4291" s="1566" t="s">
        <v>8786</v>
      </c>
      <c r="E4291" s="1566"/>
      <c r="F4291" s="1566"/>
      <c r="G4291" s="1566" t="s">
        <v>4518</v>
      </c>
      <c r="H4291" s="1568">
        <v>1</v>
      </c>
      <c r="I4291" s="1566"/>
      <c r="J4291" s="1566"/>
      <c r="K4291" s="1572">
        <v>72</v>
      </c>
      <c r="L4291" s="1572">
        <v>258</v>
      </c>
      <c r="M4291" s="1564"/>
      <c r="N4291" s="1572">
        <v>258</v>
      </c>
      <c r="O4291" s="1572">
        <v>45.38</v>
      </c>
      <c r="P4291" s="1572">
        <v>203.5</v>
      </c>
      <c r="Q4291" s="1572">
        <v>9.1199999999999992</v>
      </c>
      <c r="R4291" s="1572">
        <v>212.62</v>
      </c>
      <c r="S4291" s="1562"/>
    </row>
    <row r="4292" spans="2:19" ht="11.25" customHeight="1" outlineLevel="1">
      <c r="B4292" s="1573">
        <v>26622</v>
      </c>
      <c r="C4292" s="1566" t="s">
        <v>4423</v>
      </c>
      <c r="D4292" s="1566" t="s">
        <v>8785</v>
      </c>
      <c r="E4292" s="1566"/>
      <c r="F4292" s="1566"/>
      <c r="G4292" s="1566" t="s">
        <v>4516</v>
      </c>
      <c r="H4292" s="1568">
        <v>1</v>
      </c>
      <c r="I4292" s="1566"/>
      <c r="J4292" s="1566"/>
      <c r="K4292" s="1572">
        <v>123</v>
      </c>
      <c r="L4292" s="1565">
        <v>1143</v>
      </c>
      <c r="M4292" s="1564"/>
      <c r="N4292" s="1565">
        <v>1143</v>
      </c>
      <c r="O4292" s="1572">
        <v>678.06</v>
      </c>
      <c r="P4292" s="1572">
        <v>445.5</v>
      </c>
      <c r="Q4292" s="1572">
        <v>19.440000000000001</v>
      </c>
      <c r="R4292" s="1572">
        <v>464.94</v>
      </c>
      <c r="S4292" s="1562"/>
    </row>
    <row r="4293" spans="2:19" ht="11.25" customHeight="1" outlineLevel="1">
      <c r="B4293" s="1573">
        <v>26623</v>
      </c>
      <c r="C4293" s="1566" t="s">
        <v>4423</v>
      </c>
      <c r="D4293" s="1566" t="s">
        <v>8784</v>
      </c>
      <c r="E4293" s="1566"/>
      <c r="F4293" s="1566"/>
      <c r="G4293" s="1566" t="s">
        <v>4514</v>
      </c>
      <c r="H4293" s="1568">
        <v>1</v>
      </c>
      <c r="I4293" s="1566"/>
      <c r="J4293" s="1566"/>
      <c r="K4293" s="1572">
        <v>32</v>
      </c>
      <c r="L4293" s="1565">
        <v>3498</v>
      </c>
      <c r="M4293" s="1564"/>
      <c r="N4293" s="1565">
        <v>3498</v>
      </c>
      <c r="O4293" s="1565">
        <v>2077.23</v>
      </c>
      <c r="P4293" s="1565">
        <v>1361.25</v>
      </c>
      <c r="Q4293" s="1572">
        <v>59.52</v>
      </c>
      <c r="R4293" s="1565">
        <v>1420.77</v>
      </c>
      <c r="S4293" s="1562"/>
    </row>
    <row r="4294" spans="2:19" ht="11.25" customHeight="1" outlineLevel="1">
      <c r="B4294" s="1573">
        <v>26624</v>
      </c>
      <c r="C4294" s="1566" t="s">
        <v>4423</v>
      </c>
      <c r="D4294" s="1566" t="s">
        <v>8783</v>
      </c>
      <c r="E4294" s="1566"/>
      <c r="F4294" s="1566"/>
      <c r="G4294" s="1566" t="s">
        <v>4512</v>
      </c>
      <c r="H4294" s="1568">
        <v>1</v>
      </c>
      <c r="I4294" s="1566"/>
      <c r="J4294" s="1566"/>
      <c r="K4294" s="1572">
        <v>582</v>
      </c>
      <c r="L4294" s="1565">
        <v>2911</v>
      </c>
      <c r="M4294" s="1564"/>
      <c r="N4294" s="1565">
        <v>2911</v>
      </c>
      <c r="O4294" s="1565">
        <v>1728.44</v>
      </c>
      <c r="P4294" s="1565">
        <v>1133</v>
      </c>
      <c r="Q4294" s="1572">
        <v>49.56</v>
      </c>
      <c r="R4294" s="1565">
        <v>1182.56</v>
      </c>
      <c r="S4294" s="1562"/>
    </row>
    <row r="4295" spans="2:19" ht="11.25" customHeight="1" outlineLevel="1">
      <c r="B4295" s="1573">
        <v>26625</v>
      </c>
      <c r="C4295" s="1566" t="s">
        <v>4423</v>
      </c>
      <c r="D4295" s="1566" t="s">
        <v>8782</v>
      </c>
      <c r="E4295" s="1566"/>
      <c r="F4295" s="1566"/>
      <c r="G4295" s="1566" t="s">
        <v>4510</v>
      </c>
      <c r="H4295" s="1568">
        <v>1</v>
      </c>
      <c r="I4295" s="1566"/>
      <c r="J4295" s="1566"/>
      <c r="K4295" s="1572">
        <v>85</v>
      </c>
      <c r="L4295" s="1565">
        <v>5854</v>
      </c>
      <c r="M4295" s="1564"/>
      <c r="N4295" s="1565">
        <v>5854</v>
      </c>
      <c r="O4295" s="1565">
        <v>3474.77</v>
      </c>
      <c r="P4295" s="1565">
        <v>2279.75</v>
      </c>
      <c r="Q4295" s="1572">
        <v>99.48</v>
      </c>
      <c r="R4295" s="1565">
        <v>2379.23</v>
      </c>
      <c r="S4295" s="1562"/>
    </row>
    <row r="4296" spans="2:19" ht="11.25" customHeight="1" outlineLevel="1">
      <c r="B4296" s="1573">
        <v>26626</v>
      </c>
      <c r="C4296" s="1566" t="s">
        <v>4423</v>
      </c>
      <c r="D4296" s="1566" t="s">
        <v>8781</v>
      </c>
      <c r="E4296" s="1566"/>
      <c r="F4296" s="1566"/>
      <c r="G4296" s="1566" t="s">
        <v>4508</v>
      </c>
      <c r="H4296" s="1568">
        <v>1</v>
      </c>
      <c r="I4296" s="1566"/>
      <c r="J4296" s="1566"/>
      <c r="K4296" s="1572">
        <v>195</v>
      </c>
      <c r="L4296" s="1565">
        <v>9767</v>
      </c>
      <c r="M4296" s="1564"/>
      <c r="N4296" s="1565">
        <v>9767</v>
      </c>
      <c r="O4296" s="1565">
        <v>5797.67</v>
      </c>
      <c r="P4296" s="1565">
        <v>3803.25</v>
      </c>
      <c r="Q4296" s="1572">
        <v>166.08</v>
      </c>
      <c r="R4296" s="1565">
        <v>3969.33</v>
      </c>
      <c r="S4296" s="1562"/>
    </row>
    <row r="4297" spans="2:19" ht="11.25" customHeight="1" outlineLevel="1">
      <c r="B4297" s="1573">
        <v>26627</v>
      </c>
      <c r="C4297" s="1566" t="s">
        <v>4423</v>
      </c>
      <c r="D4297" s="1566" t="s">
        <v>8780</v>
      </c>
      <c r="E4297" s="1566"/>
      <c r="F4297" s="1566"/>
      <c r="G4297" s="1566" t="s">
        <v>8779</v>
      </c>
      <c r="H4297" s="1568">
        <v>1</v>
      </c>
      <c r="I4297" s="1566"/>
      <c r="J4297" s="1566"/>
      <c r="K4297" s="1572">
        <v>77</v>
      </c>
      <c r="L4297" s="1565">
        <v>8704</v>
      </c>
      <c r="M4297" s="1564"/>
      <c r="N4297" s="1565">
        <v>8704</v>
      </c>
      <c r="O4297" s="1565">
        <v>5165.29</v>
      </c>
      <c r="P4297" s="1565">
        <v>3390.75</v>
      </c>
      <c r="Q4297" s="1572">
        <v>147.96</v>
      </c>
      <c r="R4297" s="1565">
        <v>3538.71</v>
      </c>
      <c r="S4297" s="1562"/>
    </row>
    <row r="4298" spans="2:19" ht="11.25" customHeight="1" outlineLevel="1">
      <c r="B4298" s="1573">
        <v>26628</v>
      </c>
      <c r="C4298" s="1566" t="s">
        <v>4423</v>
      </c>
      <c r="D4298" s="1566" t="s">
        <v>8778</v>
      </c>
      <c r="E4298" s="1566"/>
      <c r="F4298" s="1566"/>
      <c r="G4298" s="1566" t="s">
        <v>8777</v>
      </c>
      <c r="H4298" s="1568">
        <v>1</v>
      </c>
      <c r="I4298" s="1566"/>
      <c r="J4298" s="1566"/>
      <c r="K4298" s="1572">
        <v>77</v>
      </c>
      <c r="L4298" s="1565">
        <v>4526</v>
      </c>
      <c r="M4298" s="1564"/>
      <c r="N4298" s="1565">
        <v>4526</v>
      </c>
      <c r="O4298" s="1572">
        <v>907.05</v>
      </c>
      <c r="P4298" s="1565">
        <v>3467.75</v>
      </c>
      <c r="Q4298" s="1572">
        <v>151.19999999999999</v>
      </c>
      <c r="R4298" s="1565">
        <v>3618.95</v>
      </c>
      <c r="S4298" s="1562"/>
    </row>
    <row r="4299" spans="2:19" ht="11.25" customHeight="1" outlineLevel="1">
      <c r="B4299" s="1573">
        <v>26629</v>
      </c>
      <c r="C4299" s="1566" t="s">
        <v>4423</v>
      </c>
      <c r="D4299" s="1566" t="s">
        <v>8776</v>
      </c>
      <c r="E4299" s="1566"/>
      <c r="F4299" s="1566"/>
      <c r="G4299" s="1566" t="s">
        <v>4486</v>
      </c>
      <c r="H4299" s="1568">
        <v>1</v>
      </c>
      <c r="I4299" s="1566"/>
      <c r="J4299" s="1566"/>
      <c r="K4299" s="1572">
        <v>77</v>
      </c>
      <c r="L4299" s="1572">
        <v>735</v>
      </c>
      <c r="M4299" s="1564"/>
      <c r="N4299" s="1572">
        <v>735</v>
      </c>
      <c r="O4299" s="1572">
        <v>436.52</v>
      </c>
      <c r="P4299" s="1572">
        <v>286</v>
      </c>
      <c r="Q4299" s="1572">
        <v>12.48</v>
      </c>
      <c r="R4299" s="1572">
        <v>298.48</v>
      </c>
      <c r="S4299" s="1562"/>
    </row>
    <row r="4300" spans="2:19" ht="11.25" customHeight="1" outlineLevel="1">
      <c r="B4300" s="1573">
        <v>26630</v>
      </c>
      <c r="C4300" s="1566" t="s">
        <v>4423</v>
      </c>
      <c r="D4300" s="1566" t="s">
        <v>8775</v>
      </c>
      <c r="E4300" s="1566"/>
      <c r="F4300" s="1566"/>
      <c r="G4300" s="1566" t="s">
        <v>4484</v>
      </c>
      <c r="H4300" s="1568">
        <v>1</v>
      </c>
      <c r="I4300" s="1566"/>
      <c r="J4300" s="1566"/>
      <c r="K4300" s="1572">
        <v>77</v>
      </c>
      <c r="L4300" s="1565">
        <v>2398</v>
      </c>
      <c r="M4300" s="1564"/>
      <c r="N4300" s="1565">
        <v>2398</v>
      </c>
      <c r="O4300" s="1565">
        <v>1422.32</v>
      </c>
      <c r="P4300" s="1572">
        <v>935</v>
      </c>
      <c r="Q4300" s="1572">
        <v>40.68</v>
      </c>
      <c r="R4300" s="1572">
        <v>975.68</v>
      </c>
      <c r="S4300" s="1562"/>
    </row>
    <row r="4301" spans="2:19" ht="11.25" customHeight="1" outlineLevel="1">
      <c r="B4301" s="1573">
        <v>26631</v>
      </c>
      <c r="C4301" s="1566" t="s">
        <v>4423</v>
      </c>
      <c r="D4301" s="1566" t="s">
        <v>8774</v>
      </c>
      <c r="E4301" s="1566"/>
      <c r="F4301" s="1566"/>
      <c r="G4301" s="1566" t="s">
        <v>4482</v>
      </c>
      <c r="H4301" s="1568">
        <v>1</v>
      </c>
      <c r="I4301" s="1566"/>
      <c r="J4301" s="1566"/>
      <c r="K4301" s="1572">
        <v>77</v>
      </c>
      <c r="L4301" s="1565">
        <v>2182</v>
      </c>
      <c r="M4301" s="1564"/>
      <c r="N4301" s="1565">
        <v>2182</v>
      </c>
      <c r="O4301" s="1565">
        <v>1295.17</v>
      </c>
      <c r="P4301" s="1572">
        <v>849.75</v>
      </c>
      <c r="Q4301" s="1572">
        <v>37.08</v>
      </c>
      <c r="R4301" s="1572">
        <v>886.83</v>
      </c>
      <c r="S4301" s="1562"/>
    </row>
    <row r="4302" spans="2:19" ht="11.25" customHeight="1" outlineLevel="1">
      <c r="B4302" s="1573">
        <v>26633</v>
      </c>
      <c r="C4302" s="1566" t="s">
        <v>4423</v>
      </c>
      <c r="D4302" s="1566" t="s">
        <v>8773</v>
      </c>
      <c r="E4302" s="1566"/>
      <c r="F4302" s="1566"/>
      <c r="G4302" s="1566" t="s">
        <v>8772</v>
      </c>
      <c r="H4302" s="1568">
        <v>1</v>
      </c>
      <c r="I4302" s="1566"/>
      <c r="J4302" s="1566"/>
      <c r="K4302" s="1572">
        <v>77</v>
      </c>
      <c r="L4302" s="1565">
        <v>4681</v>
      </c>
      <c r="M4302" s="1564"/>
      <c r="N4302" s="1565">
        <v>4681</v>
      </c>
      <c r="O4302" s="1565">
        <v>2778.19</v>
      </c>
      <c r="P4302" s="1565">
        <v>1823.25</v>
      </c>
      <c r="Q4302" s="1572">
        <v>79.56</v>
      </c>
      <c r="R4302" s="1565">
        <v>1902.81</v>
      </c>
      <c r="S4302" s="1562"/>
    </row>
    <row r="4303" spans="2:19" ht="11.25" customHeight="1" outlineLevel="1">
      <c r="B4303" s="1573">
        <v>26634</v>
      </c>
      <c r="C4303" s="1566" t="s">
        <v>4423</v>
      </c>
      <c r="D4303" s="1566" t="s">
        <v>8771</v>
      </c>
      <c r="E4303" s="1566"/>
      <c r="F4303" s="1566"/>
      <c r="G4303" s="1566" t="s">
        <v>8770</v>
      </c>
      <c r="H4303" s="1568">
        <v>1</v>
      </c>
      <c r="I4303" s="1566"/>
      <c r="J4303" s="1566"/>
      <c r="K4303" s="1572">
        <v>77</v>
      </c>
      <c r="L4303" s="1565">
        <v>1702</v>
      </c>
      <c r="M4303" s="1564"/>
      <c r="N4303" s="1565">
        <v>1702</v>
      </c>
      <c r="O4303" s="1565">
        <v>1010.33</v>
      </c>
      <c r="P4303" s="1572">
        <v>662.75</v>
      </c>
      <c r="Q4303" s="1572">
        <v>28.92</v>
      </c>
      <c r="R4303" s="1572">
        <v>691.67</v>
      </c>
      <c r="S4303" s="1562"/>
    </row>
    <row r="4304" spans="2:19" ht="11.25" customHeight="1" outlineLevel="1">
      <c r="B4304" s="1573">
        <v>26635</v>
      </c>
      <c r="C4304" s="1566" t="s">
        <v>4423</v>
      </c>
      <c r="D4304" s="1566" t="s">
        <v>8769</v>
      </c>
      <c r="E4304" s="1566"/>
      <c r="F4304" s="1566"/>
      <c r="G4304" s="1566" t="s">
        <v>8768</v>
      </c>
      <c r="H4304" s="1568">
        <v>1</v>
      </c>
      <c r="I4304" s="1566"/>
      <c r="J4304" s="1566"/>
      <c r="K4304" s="1572">
        <v>77</v>
      </c>
      <c r="L4304" s="1565">
        <v>13160</v>
      </c>
      <c r="M4304" s="1564"/>
      <c r="N4304" s="1565">
        <v>13160</v>
      </c>
      <c r="O4304" s="1565">
        <v>7810.32</v>
      </c>
      <c r="P4304" s="1565">
        <v>5126</v>
      </c>
      <c r="Q4304" s="1572">
        <v>223.68</v>
      </c>
      <c r="R4304" s="1565">
        <v>5349.68</v>
      </c>
      <c r="S4304" s="1562"/>
    </row>
    <row r="4305" spans="2:19" ht="11.25" customHeight="1" outlineLevel="1">
      <c r="B4305" s="1573">
        <v>26636</v>
      </c>
      <c r="C4305" s="1566" t="s">
        <v>4423</v>
      </c>
      <c r="D4305" s="1566" t="s">
        <v>8767</v>
      </c>
      <c r="E4305" s="1566"/>
      <c r="F4305" s="1566"/>
      <c r="G4305" s="1566" t="s">
        <v>8765</v>
      </c>
      <c r="H4305" s="1568">
        <v>1</v>
      </c>
      <c r="I4305" s="1566"/>
      <c r="J4305" s="1566"/>
      <c r="K4305" s="1572">
        <v>77</v>
      </c>
      <c r="L4305" s="1565">
        <v>3530</v>
      </c>
      <c r="M4305" s="1564"/>
      <c r="N4305" s="1565">
        <v>3530</v>
      </c>
      <c r="O4305" s="1572">
        <v>611.09</v>
      </c>
      <c r="P4305" s="1565">
        <v>2796.75</v>
      </c>
      <c r="Q4305" s="1572">
        <v>122.16</v>
      </c>
      <c r="R4305" s="1565">
        <v>2918.91</v>
      </c>
      <c r="S4305" s="1562"/>
    </row>
    <row r="4306" spans="2:19" ht="11.25" customHeight="1" outlineLevel="1">
      <c r="B4306" s="1573">
        <v>26637</v>
      </c>
      <c r="C4306" s="1566" t="s">
        <v>4423</v>
      </c>
      <c r="D4306" s="1566" t="s">
        <v>8766</v>
      </c>
      <c r="E4306" s="1566"/>
      <c r="F4306" s="1566"/>
      <c r="G4306" s="1566" t="s">
        <v>8765</v>
      </c>
      <c r="H4306" s="1568">
        <v>1</v>
      </c>
      <c r="I4306" s="1566"/>
      <c r="J4306" s="1566"/>
      <c r="K4306" s="1572">
        <v>77</v>
      </c>
      <c r="L4306" s="1572">
        <v>416</v>
      </c>
      <c r="M4306" s="1564"/>
      <c r="N4306" s="1572">
        <v>416</v>
      </c>
      <c r="O4306" s="1572">
        <v>246.67</v>
      </c>
      <c r="P4306" s="1572">
        <v>162.25</v>
      </c>
      <c r="Q4306" s="1572">
        <v>7.08</v>
      </c>
      <c r="R4306" s="1572">
        <v>169.33</v>
      </c>
      <c r="S4306" s="1562"/>
    </row>
    <row r="4307" spans="2:19" ht="11.25" customHeight="1" outlineLevel="1">
      <c r="B4307" s="1573">
        <v>26638</v>
      </c>
      <c r="C4307" s="1566" t="s">
        <v>4423</v>
      </c>
      <c r="D4307" s="1566" t="s">
        <v>8764</v>
      </c>
      <c r="E4307" s="1566"/>
      <c r="F4307" s="1566"/>
      <c r="G4307" s="1566" t="s">
        <v>8763</v>
      </c>
      <c r="H4307" s="1568">
        <v>1</v>
      </c>
      <c r="I4307" s="1566"/>
      <c r="J4307" s="1566"/>
      <c r="K4307" s="1572">
        <v>129</v>
      </c>
      <c r="L4307" s="1565">
        <v>1033</v>
      </c>
      <c r="M4307" s="1564"/>
      <c r="N4307" s="1565">
        <v>1033</v>
      </c>
      <c r="O4307" s="1572">
        <v>613.86</v>
      </c>
      <c r="P4307" s="1572">
        <v>401.5</v>
      </c>
      <c r="Q4307" s="1572">
        <v>17.64</v>
      </c>
      <c r="R4307" s="1572">
        <v>419.14</v>
      </c>
      <c r="S4307" s="1562"/>
    </row>
    <row r="4308" spans="2:19" ht="11.25" customHeight="1" outlineLevel="1">
      <c r="B4308" s="1573">
        <v>26639</v>
      </c>
      <c r="C4308" s="1566" t="s">
        <v>4423</v>
      </c>
      <c r="D4308" s="1566" t="s">
        <v>8762</v>
      </c>
      <c r="E4308" s="1566"/>
      <c r="F4308" s="1566"/>
      <c r="G4308" s="1566" t="s">
        <v>4564</v>
      </c>
      <c r="H4308" s="1568">
        <v>1</v>
      </c>
      <c r="I4308" s="1566"/>
      <c r="J4308" s="1566"/>
      <c r="K4308" s="1572">
        <v>38</v>
      </c>
      <c r="L4308" s="1572">
        <v>642</v>
      </c>
      <c r="M4308" s="1564"/>
      <c r="N4308" s="1572">
        <v>642</v>
      </c>
      <c r="O4308" s="1572">
        <v>380.83</v>
      </c>
      <c r="P4308" s="1572">
        <v>250.25</v>
      </c>
      <c r="Q4308" s="1572">
        <v>10.92</v>
      </c>
      <c r="R4308" s="1572">
        <v>261.17</v>
      </c>
      <c r="S4308" s="1562"/>
    </row>
    <row r="4309" spans="2:19" ht="11.25" customHeight="1" outlineLevel="1">
      <c r="B4309" s="1573">
        <v>26640</v>
      </c>
      <c r="C4309" s="1566" t="s">
        <v>4423</v>
      </c>
      <c r="D4309" s="1566" t="s">
        <v>8761</v>
      </c>
      <c r="E4309" s="1566"/>
      <c r="F4309" s="1566"/>
      <c r="G4309" s="1566" t="s">
        <v>8760</v>
      </c>
      <c r="H4309" s="1568">
        <v>1</v>
      </c>
      <c r="I4309" s="1566"/>
      <c r="J4309" s="1566"/>
      <c r="K4309" s="1572">
        <v>146</v>
      </c>
      <c r="L4309" s="1565">
        <v>2488</v>
      </c>
      <c r="M4309" s="1564"/>
      <c r="N4309" s="1565">
        <v>2488</v>
      </c>
      <c r="O4309" s="1565">
        <v>1477.64</v>
      </c>
      <c r="P4309" s="1572">
        <v>968</v>
      </c>
      <c r="Q4309" s="1572">
        <v>42.36</v>
      </c>
      <c r="R4309" s="1565">
        <v>1010.36</v>
      </c>
      <c r="S4309" s="1562"/>
    </row>
    <row r="4310" spans="2:19" ht="11.25" customHeight="1" outlineLevel="1">
      <c r="B4310" s="1573">
        <v>26641</v>
      </c>
      <c r="C4310" s="1566" t="s">
        <v>4423</v>
      </c>
      <c r="D4310" s="1566" t="s">
        <v>8759</v>
      </c>
      <c r="E4310" s="1566"/>
      <c r="F4310" s="1566"/>
      <c r="G4310" s="1566" t="s">
        <v>8758</v>
      </c>
      <c r="H4310" s="1568">
        <v>1</v>
      </c>
      <c r="I4310" s="1566"/>
      <c r="J4310" s="1566"/>
      <c r="K4310" s="1572">
        <v>126</v>
      </c>
      <c r="L4310" s="1565">
        <v>5243</v>
      </c>
      <c r="M4310" s="1564"/>
      <c r="N4310" s="1565">
        <v>5243</v>
      </c>
      <c r="O4310" s="1565">
        <v>3110.71</v>
      </c>
      <c r="P4310" s="1565">
        <v>2043.25</v>
      </c>
      <c r="Q4310" s="1572">
        <v>89.04</v>
      </c>
      <c r="R4310" s="1565">
        <v>2132.29</v>
      </c>
      <c r="S4310" s="1562"/>
    </row>
    <row r="4311" spans="2:19" ht="11.25" customHeight="1" outlineLevel="1">
      <c r="B4311" s="1573">
        <v>26642</v>
      </c>
      <c r="C4311" s="1566" t="s">
        <v>4423</v>
      </c>
      <c r="D4311" s="1566" t="s">
        <v>8757</v>
      </c>
      <c r="E4311" s="1566"/>
      <c r="F4311" s="1566"/>
      <c r="G4311" s="1566" t="s">
        <v>4562</v>
      </c>
      <c r="H4311" s="1568">
        <v>1</v>
      </c>
      <c r="I4311" s="1566"/>
      <c r="J4311" s="1566"/>
      <c r="K4311" s="1572">
        <v>52</v>
      </c>
      <c r="L4311" s="1572">
        <v>517</v>
      </c>
      <c r="M4311" s="1564"/>
      <c r="N4311" s="1572">
        <v>517</v>
      </c>
      <c r="O4311" s="1572">
        <v>89.37</v>
      </c>
      <c r="P4311" s="1572">
        <v>409.75</v>
      </c>
      <c r="Q4311" s="1572">
        <v>17.88</v>
      </c>
      <c r="R4311" s="1572">
        <v>427.63</v>
      </c>
      <c r="S4311" s="1562"/>
    </row>
    <row r="4312" spans="2:19" ht="11.25" customHeight="1" outlineLevel="1">
      <c r="B4312" s="1573">
        <v>26643</v>
      </c>
      <c r="C4312" s="1566" t="s">
        <v>4423</v>
      </c>
      <c r="D4312" s="1566" t="s">
        <v>8756</v>
      </c>
      <c r="E4312" s="1566"/>
      <c r="F4312" s="1566"/>
      <c r="G4312" s="1566" t="s">
        <v>8755</v>
      </c>
      <c r="H4312" s="1568">
        <v>1</v>
      </c>
      <c r="I4312" s="1566"/>
      <c r="J4312" s="1566"/>
      <c r="K4312" s="1572">
        <v>48</v>
      </c>
      <c r="L4312" s="1565">
        <v>4539</v>
      </c>
      <c r="M4312" s="1564"/>
      <c r="N4312" s="1565">
        <v>4539</v>
      </c>
      <c r="O4312" s="1565">
        <v>2693.59</v>
      </c>
      <c r="P4312" s="1565">
        <v>1768.25</v>
      </c>
      <c r="Q4312" s="1572">
        <v>77.16</v>
      </c>
      <c r="R4312" s="1565">
        <v>1845.41</v>
      </c>
      <c r="S4312" s="1562"/>
    </row>
    <row r="4313" spans="2:19" ht="11.25" customHeight="1" outlineLevel="1">
      <c r="B4313" s="1573">
        <v>26644</v>
      </c>
      <c r="C4313" s="1566" t="s">
        <v>4423</v>
      </c>
      <c r="D4313" s="1566" t="s">
        <v>8754</v>
      </c>
      <c r="E4313" s="1566"/>
      <c r="F4313" s="1566"/>
      <c r="G4313" s="1566" t="s">
        <v>8753</v>
      </c>
      <c r="H4313" s="1568">
        <v>1</v>
      </c>
      <c r="I4313" s="1566"/>
      <c r="J4313" s="1566"/>
      <c r="K4313" s="1572">
        <v>17</v>
      </c>
      <c r="L4313" s="1565">
        <v>1025</v>
      </c>
      <c r="M4313" s="1564"/>
      <c r="N4313" s="1565">
        <v>1025</v>
      </c>
      <c r="O4313" s="1572">
        <v>608.85</v>
      </c>
      <c r="P4313" s="1572">
        <v>398.75</v>
      </c>
      <c r="Q4313" s="1572">
        <v>17.399999999999999</v>
      </c>
      <c r="R4313" s="1572">
        <v>416.15</v>
      </c>
      <c r="S4313" s="1562"/>
    </row>
    <row r="4314" spans="2:19" ht="11.25" customHeight="1" outlineLevel="1">
      <c r="B4314" s="1573">
        <v>26645</v>
      </c>
      <c r="C4314" s="1566" t="s">
        <v>4423</v>
      </c>
      <c r="D4314" s="1566" t="s">
        <v>8752</v>
      </c>
      <c r="E4314" s="1566"/>
      <c r="F4314" s="1566"/>
      <c r="G4314" s="1566" t="s">
        <v>4472</v>
      </c>
      <c r="H4314" s="1568">
        <v>1</v>
      </c>
      <c r="I4314" s="1566"/>
      <c r="J4314" s="1566"/>
      <c r="K4314" s="1572">
        <v>55</v>
      </c>
      <c r="L4314" s="1565">
        <v>2216</v>
      </c>
      <c r="M4314" s="1564"/>
      <c r="N4314" s="1565">
        <v>2216</v>
      </c>
      <c r="O4314" s="1565">
        <v>1314.82</v>
      </c>
      <c r="P4314" s="1572">
        <v>863.5</v>
      </c>
      <c r="Q4314" s="1572">
        <v>37.68</v>
      </c>
      <c r="R4314" s="1572">
        <v>901.18</v>
      </c>
      <c r="S4314" s="1562"/>
    </row>
    <row r="4315" spans="2:19" ht="11.25" customHeight="1" outlineLevel="1">
      <c r="B4315" s="1573">
        <v>26646</v>
      </c>
      <c r="C4315" s="1566" t="s">
        <v>4423</v>
      </c>
      <c r="D4315" s="1566" t="s">
        <v>8751</v>
      </c>
      <c r="E4315" s="1566"/>
      <c r="F4315" s="1566"/>
      <c r="G4315" s="1566" t="s">
        <v>8749</v>
      </c>
      <c r="H4315" s="1568">
        <v>1</v>
      </c>
      <c r="I4315" s="1566"/>
      <c r="J4315" s="1566"/>
      <c r="K4315" s="1572">
        <v>18</v>
      </c>
      <c r="L4315" s="1572">
        <v>616</v>
      </c>
      <c r="M4315" s="1564"/>
      <c r="N4315" s="1572">
        <v>616</v>
      </c>
      <c r="O4315" s="1572">
        <v>105.38</v>
      </c>
      <c r="P4315" s="1572">
        <v>489.5</v>
      </c>
      <c r="Q4315" s="1572">
        <v>21.12</v>
      </c>
      <c r="R4315" s="1572">
        <v>510.62</v>
      </c>
      <c r="S4315" s="1562"/>
    </row>
    <row r="4316" spans="2:19" ht="11.25" customHeight="1" outlineLevel="1">
      <c r="B4316" s="1573">
        <v>26647</v>
      </c>
      <c r="C4316" s="1566" t="s">
        <v>4423</v>
      </c>
      <c r="D4316" s="1566" t="s">
        <v>8750</v>
      </c>
      <c r="E4316" s="1566"/>
      <c r="F4316" s="1566"/>
      <c r="G4316" s="1566" t="s">
        <v>8749</v>
      </c>
      <c r="H4316" s="1568">
        <v>1</v>
      </c>
      <c r="I4316" s="1566"/>
      <c r="J4316" s="1566"/>
      <c r="K4316" s="1572">
        <v>18</v>
      </c>
      <c r="L4316" s="1572">
        <v>603</v>
      </c>
      <c r="M4316" s="1564"/>
      <c r="N4316" s="1572">
        <v>603</v>
      </c>
      <c r="O4316" s="1572">
        <v>358.93</v>
      </c>
      <c r="P4316" s="1572">
        <v>233.75</v>
      </c>
      <c r="Q4316" s="1572">
        <v>10.32</v>
      </c>
      <c r="R4316" s="1572">
        <v>244.07</v>
      </c>
      <c r="S4316" s="1562"/>
    </row>
    <row r="4317" spans="2:19" ht="11.25" customHeight="1" outlineLevel="1">
      <c r="B4317" s="1573">
        <v>26648</v>
      </c>
      <c r="C4317" s="1566" t="s">
        <v>4423</v>
      </c>
      <c r="D4317" s="1566" t="s">
        <v>8748</v>
      </c>
      <c r="E4317" s="1566"/>
      <c r="F4317" s="1566"/>
      <c r="G4317" s="1566" t="s">
        <v>8747</v>
      </c>
      <c r="H4317" s="1568">
        <v>1</v>
      </c>
      <c r="I4317" s="1566"/>
      <c r="J4317" s="1566"/>
      <c r="K4317" s="1572">
        <v>23</v>
      </c>
      <c r="L4317" s="1572">
        <v>474</v>
      </c>
      <c r="M4317" s="1564"/>
      <c r="N4317" s="1572">
        <v>474</v>
      </c>
      <c r="O4317" s="1572">
        <v>281.70999999999998</v>
      </c>
      <c r="P4317" s="1572">
        <v>184.25</v>
      </c>
      <c r="Q4317" s="1572">
        <v>8.0399999999999991</v>
      </c>
      <c r="R4317" s="1572">
        <v>192.29</v>
      </c>
      <c r="S4317" s="1562"/>
    </row>
    <row r="4318" spans="2:19" ht="11.25" customHeight="1" outlineLevel="1">
      <c r="B4318" s="1573">
        <v>26649</v>
      </c>
      <c r="C4318" s="1566" t="s">
        <v>4423</v>
      </c>
      <c r="D4318" s="1566" t="s">
        <v>8746</v>
      </c>
      <c r="E4318" s="1566"/>
      <c r="F4318" s="1566"/>
      <c r="G4318" s="1566" t="s">
        <v>8745</v>
      </c>
      <c r="H4318" s="1568">
        <v>1</v>
      </c>
      <c r="I4318" s="1566"/>
      <c r="J4318" s="1566"/>
      <c r="K4318" s="1572">
        <v>23</v>
      </c>
      <c r="L4318" s="1565">
        <v>4509</v>
      </c>
      <c r="M4318" s="1564"/>
      <c r="N4318" s="1565">
        <v>4509</v>
      </c>
      <c r="O4318" s="1565">
        <v>2675.19</v>
      </c>
      <c r="P4318" s="1565">
        <v>1757.25</v>
      </c>
      <c r="Q4318" s="1572">
        <v>76.56</v>
      </c>
      <c r="R4318" s="1565">
        <v>1833.81</v>
      </c>
      <c r="S4318" s="1562"/>
    </row>
    <row r="4319" spans="2:19" ht="11.25" customHeight="1" outlineLevel="1">
      <c r="B4319" s="1573">
        <v>26650</v>
      </c>
      <c r="C4319" s="1566" t="s">
        <v>4423</v>
      </c>
      <c r="D4319" s="1566" t="s">
        <v>8744</v>
      </c>
      <c r="E4319" s="1566"/>
      <c r="F4319" s="1566"/>
      <c r="G4319" s="1566" t="s">
        <v>8743</v>
      </c>
      <c r="H4319" s="1568">
        <v>1</v>
      </c>
      <c r="I4319" s="1566"/>
      <c r="J4319" s="1566"/>
      <c r="K4319" s="1572">
        <v>25</v>
      </c>
      <c r="L4319" s="1565">
        <v>2550</v>
      </c>
      <c r="M4319" s="1564"/>
      <c r="N4319" s="1565">
        <v>2550</v>
      </c>
      <c r="O4319" s="1565">
        <v>1513.93</v>
      </c>
      <c r="P4319" s="1572">
        <v>992.75</v>
      </c>
      <c r="Q4319" s="1572">
        <v>43.32</v>
      </c>
      <c r="R4319" s="1565">
        <v>1036.07</v>
      </c>
      <c r="S4319" s="1562"/>
    </row>
    <row r="4320" spans="2:19" ht="11.25" customHeight="1" outlineLevel="1">
      <c r="B4320" s="1573">
        <v>26651</v>
      </c>
      <c r="C4320" s="1566" t="s">
        <v>4423</v>
      </c>
      <c r="D4320" s="1566" t="s">
        <v>8742</v>
      </c>
      <c r="E4320" s="1566"/>
      <c r="F4320" s="1566"/>
      <c r="G4320" s="1566" t="s">
        <v>8741</v>
      </c>
      <c r="H4320" s="1568">
        <v>1</v>
      </c>
      <c r="I4320" s="1566"/>
      <c r="J4320" s="1566"/>
      <c r="K4320" s="1572">
        <v>154</v>
      </c>
      <c r="L4320" s="1565">
        <v>5390</v>
      </c>
      <c r="M4320" s="1564"/>
      <c r="N4320" s="1565">
        <v>5390</v>
      </c>
      <c r="O4320" s="1572">
        <v>932.7</v>
      </c>
      <c r="P4320" s="1565">
        <v>4270.75</v>
      </c>
      <c r="Q4320" s="1572">
        <v>186.55</v>
      </c>
      <c r="R4320" s="1565">
        <v>4457.3</v>
      </c>
      <c r="S4320" s="1562"/>
    </row>
    <row r="4321" spans="2:19" ht="11.25" customHeight="1" outlineLevel="1">
      <c r="B4321" s="1573">
        <v>26652</v>
      </c>
      <c r="C4321" s="1566" t="s">
        <v>4423</v>
      </c>
      <c r="D4321" s="1566" t="s">
        <v>8740</v>
      </c>
      <c r="E4321" s="1566"/>
      <c r="F4321" s="1566"/>
      <c r="G4321" s="1566" t="s">
        <v>8739</v>
      </c>
      <c r="H4321" s="1568">
        <v>1</v>
      </c>
      <c r="I4321" s="1566"/>
      <c r="J4321" s="1566"/>
      <c r="K4321" s="1572">
        <v>7</v>
      </c>
      <c r="L4321" s="1572">
        <v>352</v>
      </c>
      <c r="M4321" s="1564"/>
      <c r="N4321" s="1572">
        <v>352</v>
      </c>
      <c r="O4321" s="1572">
        <v>208.5</v>
      </c>
      <c r="P4321" s="1572">
        <v>137.5</v>
      </c>
      <c r="Q4321" s="1572">
        <v>6</v>
      </c>
      <c r="R4321" s="1572">
        <v>143.5</v>
      </c>
      <c r="S4321" s="1562"/>
    </row>
    <row r="4322" spans="2:19" ht="11.25" customHeight="1" outlineLevel="1">
      <c r="B4322" s="1573">
        <v>26653</v>
      </c>
      <c r="C4322" s="1566" t="s">
        <v>4423</v>
      </c>
      <c r="D4322" s="1566" t="s">
        <v>8738</v>
      </c>
      <c r="E4322" s="1566"/>
      <c r="F4322" s="1566"/>
      <c r="G4322" s="1566" t="s">
        <v>8737</v>
      </c>
      <c r="H4322" s="1568">
        <v>1</v>
      </c>
      <c r="I4322" s="1566"/>
      <c r="J4322" s="1566"/>
      <c r="K4322" s="1572">
        <v>157</v>
      </c>
      <c r="L4322" s="1565">
        <v>5029</v>
      </c>
      <c r="M4322" s="1564"/>
      <c r="N4322" s="1565">
        <v>5029</v>
      </c>
      <c r="O4322" s="1565">
        <v>2985.44</v>
      </c>
      <c r="P4322" s="1565">
        <v>1958</v>
      </c>
      <c r="Q4322" s="1572">
        <v>85.56</v>
      </c>
      <c r="R4322" s="1565">
        <v>2043.56</v>
      </c>
      <c r="S4322" s="1562"/>
    </row>
    <row r="4323" spans="2:19" ht="11.25" customHeight="1" outlineLevel="1">
      <c r="B4323" s="1573">
        <v>26654</v>
      </c>
      <c r="C4323" s="1566" t="s">
        <v>4423</v>
      </c>
      <c r="D4323" s="1566" t="s">
        <v>8736</v>
      </c>
      <c r="E4323" s="1566"/>
      <c r="F4323" s="1566"/>
      <c r="G4323" s="1566" t="s">
        <v>8735</v>
      </c>
      <c r="H4323" s="1568">
        <v>1</v>
      </c>
      <c r="I4323" s="1566"/>
      <c r="J4323" s="1566"/>
      <c r="K4323" s="1572">
        <v>326</v>
      </c>
      <c r="L4323" s="1565">
        <v>6038</v>
      </c>
      <c r="M4323" s="1564"/>
      <c r="N4323" s="1565">
        <v>6038</v>
      </c>
      <c r="O4323" s="1565">
        <v>3584.15</v>
      </c>
      <c r="P4323" s="1565">
        <v>2351.25</v>
      </c>
      <c r="Q4323" s="1572">
        <v>102.6</v>
      </c>
      <c r="R4323" s="1565">
        <v>2453.85</v>
      </c>
      <c r="S4323" s="1562"/>
    </row>
    <row r="4324" spans="2:19" ht="11.25" customHeight="1" outlineLevel="1">
      <c r="B4324" s="1573">
        <v>26655</v>
      </c>
      <c r="C4324" s="1566" t="s">
        <v>4423</v>
      </c>
      <c r="D4324" s="1566" t="s">
        <v>8734</v>
      </c>
      <c r="E4324" s="1566"/>
      <c r="F4324" s="1566"/>
      <c r="G4324" s="1566" t="s">
        <v>8733</v>
      </c>
      <c r="H4324" s="1568">
        <v>1</v>
      </c>
      <c r="I4324" s="1566"/>
      <c r="J4324" s="1566"/>
      <c r="K4324" s="1572">
        <v>688</v>
      </c>
      <c r="L4324" s="1565">
        <v>8605</v>
      </c>
      <c r="M4324" s="1564"/>
      <c r="N4324" s="1565">
        <v>8605</v>
      </c>
      <c r="O4324" s="1565">
        <v>5106.47</v>
      </c>
      <c r="P4324" s="1565">
        <v>3352.25</v>
      </c>
      <c r="Q4324" s="1572">
        <v>146.28</v>
      </c>
      <c r="R4324" s="1565">
        <v>3498.53</v>
      </c>
      <c r="S4324" s="1562"/>
    </row>
    <row r="4325" spans="2:19" ht="11.25" customHeight="1" outlineLevel="1">
      <c r="B4325" s="1573">
        <v>26656</v>
      </c>
      <c r="C4325" s="1566" t="s">
        <v>4423</v>
      </c>
      <c r="D4325" s="1566" t="s">
        <v>8732</v>
      </c>
      <c r="E4325" s="1566"/>
      <c r="F4325" s="1566"/>
      <c r="G4325" s="1566" t="s">
        <v>8731</v>
      </c>
      <c r="H4325" s="1568">
        <v>1</v>
      </c>
      <c r="I4325" s="1566"/>
      <c r="J4325" s="1566"/>
      <c r="K4325" s="1572">
        <v>633</v>
      </c>
      <c r="L4325" s="1565">
        <v>6967</v>
      </c>
      <c r="M4325" s="1564"/>
      <c r="N4325" s="1565">
        <v>6967</v>
      </c>
      <c r="O4325" s="1565">
        <v>4134.3100000000004</v>
      </c>
      <c r="P4325" s="1565">
        <v>2714.25</v>
      </c>
      <c r="Q4325" s="1572">
        <v>118.44</v>
      </c>
      <c r="R4325" s="1565">
        <v>2832.69</v>
      </c>
      <c r="S4325" s="1562"/>
    </row>
    <row r="4326" spans="2:19" ht="11.25" customHeight="1" outlineLevel="1">
      <c r="B4326" s="1573">
        <v>26657</v>
      </c>
      <c r="C4326" s="1566" t="s">
        <v>4423</v>
      </c>
      <c r="D4326" s="1566" t="s">
        <v>8730</v>
      </c>
      <c r="E4326" s="1566"/>
      <c r="F4326" s="1566"/>
      <c r="G4326" s="1566" t="s">
        <v>4465</v>
      </c>
      <c r="H4326" s="1568">
        <v>1</v>
      </c>
      <c r="I4326" s="1566"/>
      <c r="J4326" s="1566"/>
      <c r="K4326" s="1572">
        <v>233</v>
      </c>
      <c r="L4326" s="1565">
        <v>4656</v>
      </c>
      <c r="M4326" s="1564"/>
      <c r="N4326" s="1565">
        <v>4656</v>
      </c>
      <c r="O4326" s="1565">
        <v>2764.55</v>
      </c>
      <c r="P4326" s="1565">
        <v>1812.25</v>
      </c>
      <c r="Q4326" s="1572">
        <v>79.2</v>
      </c>
      <c r="R4326" s="1565">
        <v>1891.45</v>
      </c>
      <c r="S4326" s="1562"/>
    </row>
    <row r="4327" spans="2:19" ht="11.25" customHeight="1" outlineLevel="1">
      <c r="B4327" s="1573">
        <v>26658</v>
      </c>
      <c r="C4327" s="1566" t="s">
        <v>4423</v>
      </c>
      <c r="D4327" s="1566" t="s">
        <v>8729</v>
      </c>
      <c r="E4327" s="1566"/>
      <c r="F4327" s="1566"/>
      <c r="G4327" s="1566" t="s">
        <v>8728</v>
      </c>
      <c r="H4327" s="1568">
        <v>1</v>
      </c>
      <c r="I4327" s="1566"/>
      <c r="J4327" s="1566"/>
      <c r="K4327" s="1572">
        <v>136</v>
      </c>
      <c r="L4327" s="1565">
        <v>1330</v>
      </c>
      <c r="M4327" s="1564"/>
      <c r="N4327" s="1565">
        <v>1330</v>
      </c>
      <c r="O4327" s="1572">
        <v>790.32</v>
      </c>
      <c r="P4327" s="1572">
        <v>517</v>
      </c>
      <c r="Q4327" s="1572">
        <v>22.68</v>
      </c>
      <c r="R4327" s="1572">
        <v>539.67999999999995</v>
      </c>
      <c r="S4327" s="1562"/>
    </row>
    <row r="4328" spans="2:19" ht="11.25" customHeight="1" outlineLevel="1">
      <c r="B4328" s="1573">
        <v>26659</v>
      </c>
      <c r="C4328" s="1566" t="s">
        <v>4423</v>
      </c>
      <c r="D4328" s="1566" t="s">
        <v>8727</v>
      </c>
      <c r="E4328" s="1566"/>
      <c r="F4328" s="1566"/>
      <c r="G4328" s="1566" t="s">
        <v>8726</v>
      </c>
      <c r="H4328" s="1568">
        <v>1</v>
      </c>
      <c r="I4328" s="1566"/>
      <c r="J4328" s="1566"/>
      <c r="K4328" s="1572">
        <v>246</v>
      </c>
      <c r="L4328" s="1565">
        <v>35476</v>
      </c>
      <c r="M4328" s="1564"/>
      <c r="N4328" s="1565">
        <v>35476</v>
      </c>
      <c r="O4328" s="1565">
        <v>21054.25</v>
      </c>
      <c r="P4328" s="1565">
        <v>13818.75</v>
      </c>
      <c r="Q4328" s="1572">
        <v>603</v>
      </c>
      <c r="R4328" s="1565">
        <v>14421.75</v>
      </c>
      <c r="S4328" s="1562"/>
    </row>
    <row r="4329" spans="2:19" ht="11.25" customHeight="1" outlineLevel="1">
      <c r="B4329" s="1573">
        <v>26660</v>
      </c>
      <c r="C4329" s="1566" t="s">
        <v>4423</v>
      </c>
      <c r="D4329" s="1566" t="s">
        <v>8725</v>
      </c>
      <c r="E4329" s="1566"/>
      <c r="F4329" s="1566"/>
      <c r="G4329" s="1566" t="s">
        <v>8724</v>
      </c>
      <c r="H4329" s="1568">
        <v>1</v>
      </c>
      <c r="I4329" s="1566"/>
      <c r="J4329" s="1566"/>
      <c r="K4329" s="1572">
        <v>484</v>
      </c>
      <c r="L4329" s="1565">
        <v>43796</v>
      </c>
      <c r="M4329" s="1564"/>
      <c r="N4329" s="1565">
        <v>43796</v>
      </c>
      <c r="O4329" s="1565">
        <v>9915.77</v>
      </c>
      <c r="P4329" s="1565">
        <v>32463.75</v>
      </c>
      <c r="Q4329" s="1565">
        <v>1416.48</v>
      </c>
      <c r="R4329" s="1565">
        <v>33880.230000000003</v>
      </c>
      <c r="S4329" s="1562"/>
    </row>
    <row r="4330" spans="2:19" ht="11.25" customHeight="1" outlineLevel="1">
      <c r="B4330" s="1573">
        <v>26705</v>
      </c>
      <c r="C4330" s="1566" t="s">
        <v>4321</v>
      </c>
      <c r="D4330" s="1566" t="s">
        <v>8723</v>
      </c>
      <c r="E4330" s="1566"/>
      <c r="F4330" s="1566"/>
      <c r="G4330" s="1566" t="s">
        <v>8722</v>
      </c>
      <c r="H4330" s="1568">
        <v>1</v>
      </c>
      <c r="I4330" s="1566"/>
      <c r="J4330" s="1566"/>
      <c r="K4330" s="1572">
        <v>302</v>
      </c>
      <c r="L4330" s="1565">
        <v>34381</v>
      </c>
      <c r="M4330" s="1564"/>
      <c r="N4330" s="1565">
        <v>34381</v>
      </c>
      <c r="O4330" s="1565">
        <v>7805.76</v>
      </c>
      <c r="P4330" s="1565">
        <v>25460.080000000002</v>
      </c>
      <c r="Q4330" s="1565">
        <v>1115.1600000000001</v>
      </c>
      <c r="R4330" s="1565">
        <v>26575.24</v>
      </c>
      <c r="S4330" s="1562"/>
    </row>
    <row r="4331" spans="2:19" ht="11.25" customHeight="1" outlineLevel="1">
      <c r="B4331" s="1573">
        <v>26706</v>
      </c>
      <c r="C4331" s="1566" t="s">
        <v>4321</v>
      </c>
      <c r="D4331" s="1566" t="s">
        <v>8721</v>
      </c>
      <c r="E4331" s="1566"/>
      <c r="F4331" s="1566"/>
      <c r="G4331" s="1566" t="s">
        <v>4419</v>
      </c>
      <c r="H4331" s="1568">
        <v>1</v>
      </c>
      <c r="I4331" s="1566"/>
      <c r="J4331" s="1566"/>
      <c r="K4331" s="1572">
        <v>334</v>
      </c>
      <c r="L4331" s="1565">
        <v>9177</v>
      </c>
      <c r="M4331" s="1564"/>
      <c r="N4331" s="1565">
        <v>9177</v>
      </c>
      <c r="O4331" s="1565">
        <v>5459</v>
      </c>
      <c r="P4331" s="1565">
        <v>3562</v>
      </c>
      <c r="Q4331" s="1572">
        <v>156</v>
      </c>
      <c r="R4331" s="1565">
        <v>3718</v>
      </c>
      <c r="S4331" s="1562"/>
    </row>
    <row r="4332" spans="2:19" ht="11.25" customHeight="1" outlineLevel="1">
      <c r="B4332" s="1573">
        <v>26707</v>
      </c>
      <c r="C4332" s="1566" t="s">
        <v>4321</v>
      </c>
      <c r="D4332" s="1566" t="s">
        <v>8720</v>
      </c>
      <c r="E4332" s="1566"/>
      <c r="F4332" s="1566"/>
      <c r="G4332" s="1566" t="s">
        <v>4417</v>
      </c>
      <c r="H4332" s="1568">
        <v>1</v>
      </c>
      <c r="I4332" s="1566"/>
      <c r="J4332" s="1566"/>
      <c r="K4332" s="1572">
        <v>334</v>
      </c>
      <c r="L4332" s="1565">
        <v>13348</v>
      </c>
      <c r="M4332" s="1564"/>
      <c r="N4332" s="1565">
        <v>13348</v>
      </c>
      <c r="O4332" s="1565">
        <v>7939.86</v>
      </c>
      <c r="P4332" s="1565">
        <v>5181.34</v>
      </c>
      <c r="Q4332" s="1572">
        <v>226.8</v>
      </c>
      <c r="R4332" s="1565">
        <v>5408.14</v>
      </c>
      <c r="S4332" s="1562"/>
    </row>
    <row r="4333" spans="2:19" ht="11.25" customHeight="1" outlineLevel="1">
      <c r="B4333" s="1573">
        <v>26708</v>
      </c>
      <c r="C4333" s="1566" t="s">
        <v>4321</v>
      </c>
      <c r="D4333" s="1566" t="s">
        <v>8719</v>
      </c>
      <c r="E4333" s="1566"/>
      <c r="F4333" s="1566"/>
      <c r="G4333" s="1566" t="s">
        <v>4415</v>
      </c>
      <c r="H4333" s="1568">
        <v>1</v>
      </c>
      <c r="I4333" s="1566"/>
      <c r="J4333" s="1566"/>
      <c r="K4333" s="1572">
        <v>334</v>
      </c>
      <c r="L4333" s="1565">
        <v>1668</v>
      </c>
      <c r="M4333" s="1564"/>
      <c r="N4333" s="1565">
        <v>1668</v>
      </c>
      <c r="O4333" s="1572">
        <v>993.04</v>
      </c>
      <c r="P4333" s="1572">
        <v>646.64</v>
      </c>
      <c r="Q4333" s="1572">
        <v>28.32</v>
      </c>
      <c r="R4333" s="1572">
        <v>674.96</v>
      </c>
      <c r="S4333" s="1562"/>
    </row>
    <row r="4334" spans="2:19" ht="11.25" customHeight="1" outlineLevel="1">
      <c r="B4334" s="1573">
        <v>26709</v>
      </c>
      <c r="C4334" s="1566" t="s">
        <v>4321</v>
      </c>
      <c r="D4334" s="1566" t="s">
        <v>8718</v>
      </c>
      <c r="E4334" s="1566"/>
      <c r="F4334" s="1566"/>
      <c r="G4334" s="1566" t="s">
        <v>4413</v>
      </c>
      <c r="H4334" s="1568">
        <v>1</v>
      </c>
      <c r="I4334" s="1566"/>
      <c r="J4334" s="1566"/>
      <c r="K4334" s="1572">
        <v>334</v>
      </c>
      <c r="L4334" s="1565">
        <v>2169</v>
      </c>
      <c r="M4334" s="1564"/>
      <c r="N4334" s="1565">
        <v>2169</v>
      </c>
      <c r="O4334" s="1565">
        <v>1290.98</v>
      </c>
      <c r="P4334" s="1572">
        <v>841.18</v>
      </c>
      <c r="Q4334" s="1572">
        <v>36.840000000000003</v>
      </c>
      <c r="R4334" s="1572">
        <v>878.02</v>
      </c>
      <c r="S4334" s="1562"/>
    </row>
    <row r="4335" spans="2:19" ht="11.25" customHeight="1" outlineLevel="1">
      <c r="B4335" s="1573">
        <v>26710</v>
      </c>
      <c r="C4335" s="1566" t="s">
        <v>4321</v>
      </c>
      <c r="D4335" s="1566" t="s">
        <v>8717</v>
      </c>
      <c r="E4335" s="1566"/>
      <c r="F4335" s="1566"/>
      <c r="G4335" s="1566" t="s">
        <v>4411</v>
      </c>
      <c r="H4335" s="1568">
        <v>1</v>
      </c>
      <c r="I4335" s="1566"/>
      <c r="J4335" s="1566"/>
      <c r="K4335" s="1572">
        <v>334</v>
      </c>
      <c r="L4335" s="1565">
        <v>1668</v>
      </c>
      <c r="M4335" s="1564"/>
      <c r="N4335" s="1565">
        <v>1668</v>
      </c>
      <c r="O4335" s="1572">
        <v>993.04</v>
      </c>
      <c r="P4335" s="1572">
        <v>646.64</v>
      </c>
      <c r="Q4335" s="1572">
        <v>28.32</v>
      </c>
      <c r="R4335" s="1572">
        <v>674.96</v>
      </c>
      <c r="S4335" s="1562"/>
    </row>
    <row r="4336" spans="2:19" ht="11.25" customHeight="1" outlineLevel="1">
      <c r="B4336" s="1573">
        <v>26711</v>
      </c>
      <c r="C4336" s="1566" t="s">
        <v>4321</v>
      </c>
      <c r="D4336" s="1566" t="s">
        <v>8716</v>
      </c>
      <c r="E4336" s="1566"/>
      <c r="F4336" s="1566"/>
      <c r="G4336" s="1566" t="s">
        <v>4409</v>
      </c>
      <c r="H4336" s="1568">
        <v>1</v>
      </c>
      <c r="I4336" s="1566"/>
      <c r="J4336" s="1566"/>
      <c r="K4336" s="1572">
        <v>334</v>
      </c>
      <c r="L4336" s="1565">
        <v>4672</v>
      </c>
      <c r="M4336" s="1564"/>
      <c r="N4336" s="1565">
        <v>4672</v>
      </c>
      <c r="O4336" s="1565">
        <v>2778.68</v>
      </c>
      <c r="P4336" s="1565">
        <v>1813.88</v>
      </c>
      <c r="Q4336" s="1572">
        <v>79.44</v>
      </c>
      <c r="R4336" s="1565">
        <v>1893.32</v>
      </c>
      <c r="S4336" s="1562"/>
    </row>
    <row r="4337" spans="2:19" ht="11.25" customHeight="1" outlineLevel="1">
      <c r="B4337" s="1573">
        <v>26712</v>
      </c>
      <c r="C4337" s="1566" t="s">
        <v>4321</v>
      </c>
      <c r="D4337" s="1566" t="s">
        <v>8715</v>
      </c>
      <c r="E4337" s="1566"/>
      <c r="F4337" s="1566"/>
      <c r="G4337" s="1566" t="s">
        <v>4407</v>
      </c>
      <c r="H4337" s="1568">
        <v>1</v>
      </c>
      <c r="I4337" s="1566"/>
      <c r="J4337" s="1566"/>
      <c r="K4337" s="1572">
        <v>334</v>
      </c>
      <c r="L4337" s="1565">
        <v>19021</v>
      </c>
      <c r="M4337" s="1564"/>
      <c r="N4337" s="1565">
        <v>19021</v>
      </c>
      <c r="O4337" s="1565">
        <v>11316.16</v>
      </c>
      <c r="P4337" s="1565">
        <v>7381.56</v>
      </c>
      <c r="Q4337" s="1572">
        <v>323.27999999999997</v>
      </c>
      <c r="R4337" s="1565">
        <v>7704.84</v>
      </c>
      <c r="S4337" s="1562"/>
    </row>
    <row r="4338" spans="2:19" ht="11.25" customHeight="1" outlineLevel="1">
      <c r="B4338" s="1573">
        <v>26713</v>
      </c>
      <c r="C4338" s="1566" t="s">
        <v>4321</v>
      </c>
      <c r="D4338" s="1566" t="s">
        <v>8714</v>
      </c>
      <c r="E4338" s="1566"/>
      <c r="F4338" s="1566"/>
      <c r="G4338" s="1566" t="s">
        <v>4405</v>
      </c>
      <c r="H4338" s="1568">
        <v>1</v>
      </c>
      <c r="I4338" s="1566"/>
      <c r="J4338" s="1566"/>
      <c r="K4338" s="1572">
        <v>334</v>
      </c>
      <c r="L4338" s="1565">
        <v>1334</v>
      </c>
      <c r="M4338" s="1564"/>
      <c r="N4338" s="1565">
        <v>1334</v>
      </c>
      <c r="O4338" s="1572">
        <v>793.46</v>
      </c>
      <c r="P4338" s="1572">
        <v>517.86</v>
      </c>
      <c r="Q4338" s="1572">
        <v>22.68</v>
      </c>
      <c r="R4338" s="1572">
        <v>540.54</v>
      </c>
      <c r="S4338" s="1562"/>
    </row>
    <row r="4339" spans="2:19" ht="11.25" customHeight="1" outlineLevel="1">
      <c r="B4339" s="1573">
        <v>26714</v>
      </c>
      <c r="C4339" s="1566" t="s">
        <v>4321</v>
      </c>
      <c r="D4339" s="1566" t="s">
        <v>8713</v>
      </c>
      <c r="E4339" s="1566"/>
      <c r="F4339" s="1566"/>
      <c r="G4339" s="1566" t="s">
        <v>4403</v>
      </c>
      <c r="H4339" s="1568">
        <v>1</v>
      </c>
      <c r="I4339" s="1566"/>
      <c r="J4339" s="1566"/>
      <c r="K4339" s="1572">
        <v>334</v>
      </c>
      <c r="L4339" s="1565">
        <v>15017</v>
      </c>
      <c r="M4339" s="1564"/>
      <c r="N4339" s="1565">
        <v>15017</v>
      </c>
      <c r="O4339" s="1565">
        <v>8933.7800000000007</v>
      </c>
      <c r="P4339" s="1565">
        <v>5827.98</v>
      </c>
      <c r="Q4339" s="1572">
        <v>255.24</v>
      </c>
      <c r="R4339" s="1565">
        <v>6083.22</v>
      </c>
      <c r="S4339" s="1562"/>
    </row>
    <row r="4340" spans="2:19" ht="11.25" customHeight="1" outlineLevel="1">
      <c r="B4340" s="1573">
        <v>26715</v>
      </c>
      <c r="C4340" s="1566" t="s">
        <v>4321</v>
      </c>
      <c r="D4340" s="1566" t="s">
        <v>8712</v>
      </c>
      <c r="E4340" s="1566"/>
      <c r="F4340" s="1566"/>
      <c r="G4340" s="1566" t="s">
        <v>4401</v>
      </c>
      <c r="H4340" s="1568">
        <v>1</v>
      </c>
      <c r="I4340" s="1566"/>
      <c r="J4340" s="1566"/>
      <c r="K4340" s="1572">
        <v>334</v>
      </c>
      <c r="L4340" s="1565">
        <v>1668</v>
      </c>
      <c r="M4340" s="1564"/>
      <c r="N4340" s="1565">
        <v>1668</v>
      </c>
      <c r="O4340" s="1572">
        <v>993.04</v>
      </c>
      <c r="P4340" s="1572">
        <v>646.64</v>
      </c>
      <c r="Q4340" s="1572">
        <v>28.32</v>
      </c>
      <c r="R4340" s="1572">
        <v>674.96</v>
      </c>
      <c r="S4340" s="1562"/>
    </row>
    <row r="4341" spans="2:19" ht="11.25" customHeight="1" outlineLevel="1">
      <c r="B4341" s="1573">
        <v>26716</v>
      </c>
      <c r="C4341" s="1566" t="s">
        <v>4321</v>
      </c>
      <c r="D4341" s="1566" t="s">
        <v>8711</v>
      </c>
      <c r="E4341" s="1566"/>
      <c r="F4341" s="1566"/>
      <c r="G4341" s="1566" t="s">
        <v>4399</v>
      </c>
      <c r="H4341" s="1568">
        <v>1</v>
      </c>
      <c r="I4341" s="1566"/>
      <c r="J4341" s="1566"/>
      <c r="K4341" s="1572">
        <v>334</v>
      </c>
      <c r="L4341" s="1565">
        <v>3337</v>
      </c>
      <c r="M4341" s="1564"/>
      <c r="N4341" s="1565">
        <v>3337</v>
      </c>
      <c r="O4341" s="1565">
        <v>1984.34</v>
      </c>
      <c r="P4341" s="1565">
        <v>1296.02</v>
      </c>
      <c r="Q4341" s="1572">
        <v>56.64</v>
      </c>
      <c r="R4341" s="1565">
        <v>1352.66</v>
      </c>
      <c r="S4341" s="1562"/>
    </row>
    <row r="4342" spans="2:19" ht="11.25" customHeight="1" outlineLevel="1">
      <c r="B4342" s="1573">
        <v>26717</v>
      </c>
      <c r="C4342" s="1566" t="s">
        <v>4321</v>
      </c>
      <c r="D4342" s="1566" t="s">
        <v>8710</v>
      </c>
      <c r="E4342" s="1566"/>
      <c r="F4342" s="1566"/>
      <c r="G4342" s="1566" t="s">
        <v>4397</v>
      </c>
      <c r="H4342" s="1568">
        <v>1</v>
      </c>
      <c r="I4342" s="1566"/>
      <c r="J4342" s="1566"/>
      <c r="K4342" s="1572">
        <v>334</v>
      </c>
      <c r="L4342" s="1565">
        <v>4672</v>
      </c>
      <c r="M4342" s="1564"/>
      <c r="N4342" s="1565">
        <v>4672</v>
      </c>
      <c r="O4342" s="1565">
        <v>2778.68</v>
      </c>
      <c r="P4342" s="1565">
        <v>1813.88</v>
      </c>
      <c r="Q4342" s="1572">
        <v>79.44</v>
      </c>
      <c r="R4342" s="1565">
        <v>1893.32</v>
      </c>
      <c r="S4342" s="1562"/>
    </row>
    <row r="4343" spans="2:19" ht="11.25" customHeight="1" outlineLevel="1">
      <c r="B4343" s="1573">
        <v>26718</v>
      </c>
      <c r="C4343" s="1566" t="s">
        <v>4321</v>
      </c>
      <c r="D4343" s="1566" t="s">
        <v>8709</v>
      </c>
      <c r="E4343" s="1566"/>
      <c r="F4343" s="1566"/>
      <c r="G4343" s="1566" t="s">
        <v>4395</v>
      </c>
      <c r="H4343" s="1568">
        <v>1</v>
      </c>
      <c r="I4343" s="1566"/>
      <c r="J4343" s="1566"/>
      <c r="K4343" s="1572">
        <v>216</v>
      </c>
      <c r="L4343" s="1565">
        <v>9738</v>
      </c>
      <c r="M4343" s="1564"/>
      <c r="N4343" s="1565">
        <v>9738</v>
      </c>
      <c r="O4343" s="1565">
        <v>5793.94</v>
      </c>
      <c r="P4343" s="1565">
        <v>3778.46</v>
      </c>
      <c r="Q4343" s="1572">
        <v>165.6</v>
      </c>
      <c r="R4343" s="1565">
        <v>3944.06</v>
      </c>
      <c r="S4343" s="1562"/>
    </row>
    <row r="4344" spans="2:19" ht="11.25" customHeight="1" outlineLevel="1">
      <c r="B4344" s="1573">
        <v>26719</v>
      </c>
      <c r="C4344" s="1566" t="s">
        <v>4321</v>
      </c>
      <c r="D4344" s="1566" t="s">
        <v>8708</v>
      </c>
      <c r="E4344" s="1566"/>
      <c r="F4344" s="1566"/>
      <c r="G4344" s="1566" t="s">
        <v>8707</v>
      </c>
      <c r="H4344" s="1568">
        <v>1</v>
      </c>
      <c r="I4344" s="1566"/>
      <c r="J4344" s="1566"/>
      <c r="K4344" s="1572">
        <v>334</v>
      </c>
      <c r="L4344" s="1565">
        <v>5005</v>
      </c>
      <c r="M4344" s="1564"/>
      <c r="N4344" s="1565">
        <v>5005</v>
      </c>
      <c r="O4344" s="1565">
        <v>2977.26</v>
      </c>
      <c r="P4344" s="1565">
        <v>1942.66</v>
      </c>
      <c r="Q4344" s="1572">
        <v>85.08</v>
      </c>
      <c r="R4344" s="1565">
        <v>2027.74</v>
      </c>
      <c r="S4344" s="1562"/>
    </row>
    <row r="4345" spans="2:19" ht="11.25" customHeight="1" outlineLevel="1">
      <c r="B4345" s="1573">
        <v>26720</v>
      </c>
      <c r="C4345" s="1566" t="s">
        <v>4321</v>
      </c>
      <c r="D4345" s="1566" t="s">
        <v>8706</v>
      </c>
      <c r="E4345" s="1566"/>
      <c r="F4345" s="1566"/>
      <c r="G4345" s="1566" t="s">
        <v>4392</v>
      </c>
      <c r="H4345" s="1568">
        <v>1</v>
      </c>
      <c r="I4345" s="1566"/>
      <c r="J4345" s="1566"/>
      <c r="K4345" s="1572">
        <v>334</v>
      </c>
      <c r="L4345" s="1565">
        <v>16685</v>
      </c>
      <c r="M4345" s="1564"/>
      <c r="N4345" s="1565">
        <v>16685</v>
      </c>
      <c r="O4345" s="1565">
        <v>9926.7000000000007</v>
      </c>
      <c r="P4345" s="1565">
        <v>6474.62</v>
      </c>
      <c r="Q4345" s="1572">
        <v>283.68</v>
      </c>
      <c r="R4345" s="1565">
        <v>6758.3</v>
      </c>
      <c r="S4345" s="1562"/>
    </row>
    <row r="4346" spans="2:19" ht="11.25" customHeight="1" outlineLevel="1">
      <c r="B4346" s="1573">
        <v>26721</v>
      </c>
      <c r="C4346" s="1566" t="s">
        <v>4321</v>
      </c>
      <c r="D4346" s="1566" t="s">
        <v>8705</v>
      </c>
      <c r="E4346" s="1566"/>
      <c r="F4346" s="1566"/>
      <c r="G4346" s="1566" t="s">
        <v>4390</v>
      </c>
      <c r="H4346" s="1568">
        <v>1</v>
      </c>
      <c r="I4346" s="1566"/>
      <c r="J4346" s="1566"/>
      <c r="K4346" s="1572">
        <v>216</v>
      </c>
      <c r="L4346" s="1565">
        <v>3895</v>
      </c>
      <c r="M4346" s="1564"/>
      <c r="N4346" s="1565">
        <v>3895</v>
      </c>
      <c r="O4346" s="1565">
        <v>2316.3000000000002</v>
      </c>
      <c r="P4346" s="1565">
        <v>1512.48</v>
      </c>
      <c r="Q4346" s="1572">
        <v>66.22</v>
      </c>
      <c r="R4346" s="1565">
        <v>1578.7</v>
      </c>
      <c r="S4346" s="1562"/>
    </row>
    <row r="4347" spans="2:19" ht="11.25" customHeight="1" outlineLevel="1">
      <c r="B4347" s="1573">
        <v>26722</v>
      </c>
      <c r="C4347" s="1566" t="s">
        <v>4321</v>
      </c>
      <c r="D4347" s="1566" t="s">
        <v>8704</v>
      </c>
      <c r="E4347" s="1566"/>
      <c r="F4347" s="1566"/>
      <c r="G4347" s="1566" t="s">
        <v>4388</v>
      </c>
      <c r="H4347" s="1568">
        <v>1</v>
      </c>
      <c r="I4347" s="1566"/>
      <c r="J4347" s="1566"/>
      <c r="K4347" s="1572">
        <v>334</v>
      </c>
      <c r="L4347" s="1565">
        <v>11346</v>
      </c>
      <c r="M4347" s="1564"/>
      <c r="N4347" s="1565">
        <v>11346</v>
      </c>
      <c r="O4347" s="1565">
        <v>6749.98</v>
      </c>
      <c r="P4347" s="1565">
        <v>4403.18</v>
      </c>
      <c r="Q4347" s="1572">
        <v>192.84</v>
      </c>
      <c r="R4347" s="1565">
        <v>4596.0200000000004</v>
      </c>
      <c r="S4347" s="1562"/>
    </row>
    <row r="4348" spans="2:19" ht="11.25" customHeight="1" outlineLevel="1">
      <c r="B4348" s="1573">
        <v>26723</v>
      </c>
      <c r="C4348" s="1566" t="s">
        <v>4321</v>
      </c>
      <c r="D4348" s="1566" t="s">
        <v>8703</v>
      </c>
      <c r="E4348" s="1566"/>
      <c r="F4348" s="1566"/>
      <c r="G4348" s="1566" t="s">
        <v>8702</v>
      </c>
      <c r="H4348" s="1568">
        <v>1</v>
      </c>
      <c r="I4348" s="1566"/>
      <c r="J4348" s="1566"/>
      <c r="K4348" s="1572">
        <v>334</v>
      </c>
      <c r="L4348" s="1565">
        <v>11680</v>
      </c>
      <c r="M4348" s="1564"/>
      <c r="N4348" s="1565">
        <v>11680</v>
      </c>
      <c r="O4348" s="1565">
        <v>6949.44</v>
      </c>
      <c r="P4348" s="1565">
        <v>4531.96</v>
      </c>
      <c r="Q4348" s="1572">
        <v>198.6</v>
      </c>
      <c r="R4348" s="1565">
        <v>4730.5600000000004</v>
      </c>
      <c r="S4348" s="1562"/>
    </row>
    <row r="4349" spans="2:19" ht="11.25" customHeight="1" outlineLevel="1">
      <c r="B4349" s="1573">
        <v>26724</v>
      </c>
      <c r="C4349" s="1566" t="s">
        <v>4321</v>
      </c>
      <c r="D4349" s="1566" t="s">
        <v>8701</v>
      </c>
      <c r="E4349" s="1566"/>
      <c r="F4349" s="1566"/>
      <c r="G4349" s="1566" t="s">
        <v>4384</v>
      </c>
      <c r="H4349" s="1568">
        <v>1</v>
      </c>
      <c r="I4349" s="1566"/>
      <c r="J4349" s="1566"/>
      <c r="K4349" s="1572">
        <v>334</v>
      </c>
      <c r="L4349" s="1565">
        <v>6026</v>
      </c>
      <c r="M4349" s="1564"/>
      <c r="N4349" s="1565">
        <v>6026</v>
      </c>
      <c r="O4349" s="1565">
        <v>3583.68</v>
      </c>
      <c r="P4349" s="1565">
        <v>2339.96</v>
      </c>
      <c r="Q4349" s="1572">
        <v>102.36</v>
      </c>
      <c r="R4349" s="1565">
        <v>2442.3200000000002</v>
      </c>
      <c r="S4349" s="1562"/>
    </row>
    <row r="4350" spans="2:19" ht="11.25" customHeight="1" outlineLevel="1">
      <c r="B4350" s="1573">
        <v>26725</v>
      </c>
      <c r="C4350" s="1566" t="s">
        <v>4321</v>
      </c>
      <c r="D4350" s="1566" t="s">
        <v>8700</v>
      </c>
      <c r="E4350" s="1566"/>
      <c r="F4350" s="1566"/>
      <c r="G4350" s="1566" t="s">
        <v>4382</v>
      </c>
      <c r="H4350" s="1568">
        <v>1</v>
      </c>
      <c r="I4350" s="1566"/>
      <c r="J4350" s="1566"/>
      <c r="K4350" s="1572">
        <v>334</v>
      </c>
      <c r="L4350" s="1565">
        <v>7008</v>
      </c>
      <c r="M4350" s="1564"/>
      <c r="N4350" s="1565">
        <v>7008</v>
      </c>
      <c r="O4350" s="1565">
        <v>4168.1400000000003</v>
      </c>
      <c r="P4350" s="1565">
        <v>2720.82</v>
      </c>
      <c r="Q4350" s="1572">
        <v>119.04</v>
      </c>
      <c r="R4350" s="1565">
        <v>2839.86</v>
      </c>
      <c r="S4350" s="1562"/>
    </row>
    <row r="4351" spans="2:19" ht="11.25" customHeight="1" outlineLevel="1">
      <c r="B4351" s="1573">
        <v>26726</v>
      </c>
      <c r="C4351" s="1566" t="s">
        <v>4321</v>
      </c>
      <c r="D4351" s="1566" t="s">
        <v>8699</v>
      </c>
      <c r="E4351" s="1566"/>
      <c r="F4351" s="1566"/>
      <c r="G4351" s="1566" t="s">
        <v>4380</v>
      </c>
      <c r="H4351" s="1568">
        <v>1</v>
      </c>
      <c r="I4351" s="1566"/>
      <c r="J4351" s="1566"/>
      <c r="K4351" s="1572">
        <v>334</v>
      </c>
      <c r="L4351" s="1565">
        <v>10012</v>
      </c>
      <c r="M4351" s="1564"/>
      <c r="N4351" s="1565">
        <v>10012</v>
      </c>
      <c r="O4351" s="1565">
        <v>5956.52</v>
      </c>
      <c r="P4351" s="1565">
        <v>3885.32</v>
      </c>
      <c r="Q4351" s="1572">
        <v>170.16</v>
      </c>
      <c r="R4351" s="1565">
        <v>4055.48</v>
      </c>
      <c r="S4351" s="1562"/>
    </row>
    <row r="4352" spans="2:19" ht="11.25" customHeight="1" outlineLevel="1">
      <c r="B4352" s="1573">
        <v>26727</v>
      </c>
      <c r="C4352" s="1566" t="s">
        <v>4321</v>
      </c>
      <c r="D4352" s="1566" t="s">
        <v>8698</v>
      </c>
      <c r="E4352" s="1566"/>
      <c r="F4352" s="1566"/>
      <c r="G4352" s="1566" t="s">
        <v>8697</v>
      </c>
      <c r="H4352" s="1568">
        <v>1</v>
      </c>
      <c r="I4352" s="1566"/>
      <c r="J4352" s="1566"/>
      <c r="K4352" s="1572">
        <v>216</v>
      </c>
      <c r="L4352" s="1565">
        <v>5410</v>
      </c>
      <c r="M4352" s="1564"/>
      <c r="N4352" s="1565">
        <v>5410</v>
      </c>
      <c r="O4352" s="1565">
        <v>3219.24</v>
      </c>
      <c r="P4352" s="1565">
        <v>2098.84</v>
      </c>
      <c r="Q4352" s="1572">
        <v>91.92</v>
      </c>
      <c r="R4352" s="1565">
        <v>2190.7600000000002</v>
      </c>
      <c r="S4352" s="1562"/>
    </row>
    <row r="4353" spans="2:19" ht="11.25" customHeight="1" outlineLevel="1">
      <c r="B4353" s="1573">
        <v>26728</v>
      </c>
      <c r="C4353" s="1566" t="s">
        <v>4321</v>
      </c>
      <c r="D4353" s="1566" t="s">
        <v>8696</v>
      </c>
      <c r="E4353" s="1566"/>
      <c r="F4353" s="1566"/>
      <c r="G4353" s="1566" t="s">
        <v>4378</v>
      </c>
      <c r="H4353" s="1568">
        <v>1</v>
      </c>
      <c r="I4353" s="1566"/>
      <c r="J4353" s="1566"/>
      <c r="K4353" s="1572">
        <v>216</v>
      </c>
      <c r="L4353" s="1565">
        <v>3246</v>
      </c>
      <c r="M4353" s="1564"/>
      <c r="N4353" s="1565">
        <v>3246</v>
      </c>
      <c r="O4353" s="1565">
        <v>1930.4</v>
      </c>
      <c r="P4353" s="1565">
        <v>1260.4000000000001</v>
      </c>
      <c r="Q4353" s="1572">
        <v>55.2</v>
      </c>
      <c r="R4353" s="1565">
        <v>1315.6</v>
      </c>
      <c r="S4353" s="1562"/>
    </row>
    <row r="4354" spans="2:19" ht="11.25" customHeight="1" outlineLevel="1">
      <c r="B4354" s="1573">
        <v>26729</v>
      </c>
      <c r="C4354" s="1566" t="s">
        <v>4321</v>
      </c>
      <c r="D4354" s="1566" t="s">
        <v>8695</v>
      </c>
      <c r="E4354" s="1566"/>
      <c r="F4354" s="1566"/>
      <c r="G4354" s="1566" t="s">
        <v>4376</v>
      </c>
      <c r="H4354" s="1568">
        <v>1</v>
      </c>
      <c r="I4354" s="1566"/>
      <c r="J4354" s="1566"/>
      <c r="K4354" s="1572">
        <v>334</v>
      </c>
      <c r="L4354" s="1565">
        <v>22359</v>
      </c>
      <c r="M4354" s="1564"/>
      <c r="N4354" s="1565">
        <v>22359</v>
      </c>
      <c r="O4354" s="1565">
        <v>13301.38</v>
      </c>
      <c r="P4354" s="1565">
        <v>8677.58</v>
      </c>
      <c r="Q4354" s="1572">
        <v>380.04</v>
      </c>
      <c r="R4354" s="1565">
        <v>9057.6200000000008</v>
      </c>
      <c r="S4354" s="1562"/>
    </row>
    <row r="4355" spans="2:19" ht="11.25" customHeight="1" outlineLevel="1">
      <c r="B4355" s="1573">
        <v>26730</v>
      </c>
      <c r="C4355" s="1566" t="s">
        <v>4321</v>
      </c>
      <c r="D4355" s="1566" t="s">
        <v>8694</v>
      </c>
      <c r="E4355" s="1566"/>
      <c r="F4355" s="1566"/>
      <c r="G4355" s="1566" t="s">
        <v>4374</v>
      </c>
      <c r="H4355" s="1568">
        <v>1</v>
      </c>
      <c r="I4355" s="1566"/>
      <c r="J4355" s="1566"/>
      <c r="K4355" s="1572">
        <v>216</v>
      </c>
      <c r="L4355" s="1565">
        <v>3246</v>
      </c>
      <c r="M4355" s="1564"/>
      <c r="N4355" s="1565">
        <v>3246</v>
      </c>
      <c r="O4355" s="1565">
        <v>1930.4</v>
      </c>
      <c r="P4355" s="1565">
        <v>1260.4000000000001</v>
      </c>
      <c r="Q4355" s="1572">
        <v>55.2</v>
      </c>
      <c r="R4355" s="1565">
        <v>1315.6</v>
      </c>
      <c r="S4355" s="1562"/>
    </row>
    <row r="4356" spans="2:19" ht="11.25" customHeight="1" outlineLevel="1">
      <c r="B4356" s="1573">
        <v>26731</v>
      </c>
      <c r="C4356" s="1566" t="s">
        <v>4321</v>
      </c>
      <c r="D4356" s="1566" t="s">
        <v>8693</v>
      </c>
      <c r="E4356" s="1566"/>
      <c r="F4356" s="1566"/>
      <c r="G4356" s="1566" t="s">
        <v>8692</v>
      </c>
      <c r="H4356" s="1568">
        <v>1</v>
      </c>
      <c r="I4356" s="1566"/>
      <c r="J4356" s="1566"/>
      <c r="K4356" s="1572">
        <v>216</v>
      </c>
      <c r="L4356" s="1565">
        <v>5410</v>
      </c>
      <c r="M4356" s="1564"/>
      <c r="N4356" s="1565">
        <v>5410</v>
      </c>
      <c r="O4356" s="1565">
        <v>3219.24</v>
      </c>
      <c r="P4356" s="1565">
        <v>2098.84</v>
      </c>
      <c r="Q4356" s="1572">
        <v>91.92</v>
      </c>
      <c r="R4356" s="1565">
        <v>2190.7600000000002</v>
      </c>
      <c r="S4356" s="1562"/>
    </row>
    <row r="4357" spans="2:19" ht="11.25" customHeight="1" outlineLevel="1">
      <c r="B4357" s="1573">
        <v>26732</v>
      </c>
      <c r="C4357" s="1566" t="s">
        <v>4321</v>
      </c>
      <c r="D4357" s="1566" t="s">
        <v>8691</v>
      </c>
      <c r="E4357" s="1566"/>
      <c r="F4357" s="1566"/>
      <c r="G4357" s="1566" t="s">
        <v>4372</v>
      </c>
      <c r="H4357" s="1568">
        <v>1</v>
      </c>
      <c r="I4357" s="1566"/>
      <c r="J4357" s="1566"/>
      <c r="K4357" s="1572">
        <v>334</v>
      </c>
      <c r="L4357" s="1565">
        <v>27364</v>
      </c>
      <c r="M4357" s="1564"/>
      <c r="N4357" s="1565">
        <v>27364</v>
      </c>
      <c r="O4357" s="1565">
        <v>16278.64</v>
      </c>
      <c r="P4357" s="1565">
        <v>10620.24</v>
      </c>
      <c r="Q4357" s="1572">
        <v>465.12</v>
      </c>
      <c r="R4357" s="1565">
        <v>11085.36</v>
      </c>
      <c r="S4357" s="1562"/>
    </row>
    <row r="4358" spans="2:19" ht="11.25" customHeight="1" outlineLevel="1">
      <c r="B4358" s="1573">
        <v>26733</v>
      </c>
      <c r="C4358" s="1566" t="s">
        <v>4321</v>
      </c>
      <c r="D4358" s="1566" t="s">
        <v>8690</v>
      </c>
      <c r="E4358" s="1566"/>
      <c r="F4358" s="1566"/>
      <c r="G4358" s="1566" t="s">
        <v>4370</v>
      </c>
      <c r="H4358" s="1568">
        <v>1</v>
      </c>
      <c r="I4358" s="1566"/>
      <c r="J4358" s="1566"/>
      <c r="K4358" s="1572">
        <v>216</v>
      </c>
      <c r="L4358" s="1565">
        <v>1514</v>
      </c>
      <c r="M4358" s="1564"/>
      <c r="N4358" s="1565">
        <v>1514</v>
      </c>
      <c r="O4358" s="1572">
        <v>901.84</v>
      </c>
      <c r="P4358" s="1572">
        <v>586.36</v>
      </c>
      <c r="Q4358" s="1572">
        <v>25.8</v>
      </c>
      <c r="R4358" s="1572">
        <v>612.16</v>
      </c>
      <c r="S4358" s="1562"/>
    </row>
    <row r="4359" spans="2:19" ht="11.25" customHeight="1" outlineLevel="1">
      <c r="B4359" s="1573">
        <v>26734</v>
      </c>
      <c r="C4359" s="1566" t="s">
        <v>4321</v>
      </c>
      <c r="D4359" s="1566" t="s">
        <v>8689</v>
      </c>
      <c r="E4359" s="1566"/>
      <c r="F4359" s="1566"/>
      <c r="G4359" s="1566" t="s">
        <v>4368</v>
      </c>
      <c r="H4359" s="1568">
        <v>1</v>
      </c>
      <c r="I4359" s="1566"/>
      <c r="J4359" s="1566"/>
      <c r="K4359" s="1572">
        <v>334</v>
      </c>
      <c r="L4359" s="1565">
        <v>16685</v>
      </c>
      <c r="M4359" s="1564"/>
      <c r="N4359" s="1565">
        <v>16685</v>
      </c>
      <c r="O4359" s="1565">
        <v>9926.7000000000007</v>
      </c>
      <c r="P4359" s="1565">
        <v>6474.62</v>
      </c>
      <c r="Q4359" s="1572">
        <v>283.68</v>
      </c>
      <c r="R4359" s="1565">
        <v>6758.3</v>
      </c>
      <c r="S4359" s="1562"/>
    </row>
    <row r="4360" spans="2:19" ht="11.25" customHeight="1" outlineLevel="1">
      <c r="B4360" s="1573">
        <v>26735</v>
      </c>
      <c r="C4360" s="1566" t="s">
        <v>4321</v>
      </c>
      <c r="D4360" s="1566" t="s">
        <v>8688</v>
      </c>
      <c r="E4360" s="1566"/>
      <c r="F4360" s="1566"/>
      <c r="G4360" s="1566" t="s">
        <v>4366</v>
      </c>
      <c r="H4360" s="1568">
        <v>1</v>
      </c>
      <c r="I4360" s="1566"/>
      <c r="J4360" s="1566"/>
      <c r="K4360" s="1572">
        <v>216</v>
      </c>
      <c r="L4360" s="1565">
        <v>28133</v>
      </c>
      <c r="M4360" s="1564"/>
      <c r="N4360" s="1565">
        <v>28133</v>
      </c>
      <c r="O4360" s="1565">
        <v>16735.900000000001</v>
      </c>
      <c r="P4360" s="1565">
        <v>10918.9</v>
      </c>
      <c r="Q4360" s="1572">
        <v>478.2</v>
      </c>
      <c r="R4360" s="1565">
        <v>11397.1</v>
      </c>
      <c r="S4360" s="1562"/>
    </row>
    <row r="4361" spans="2:19" ht="11.25" customHeight="1" outlineLevel="1">
      <c r="B4361" s="1573">
        <v>26736</v>
      </c>
      <c r="C4361" s="1566" t="s">
        <v>4321</v>
      </c>
      <c r="D4361" s="1566" t="s">
        <v>8687</v>
      </c>
      <c r="E4361" s="1566"/>
      <c r="F4361" s="1566"/>
      <c r="G4361" s="1566" t="s">
        <v>8686</v>
      </c>
      <c r="H4361" s="1568">
        <v>1</v>
      </c>
      <c r="I4361" s="1566"/>
      <c r="J4361" s="1566"/>
      <c r="K4361" s="1572">
        <v>216</v>
      </c>
      <c r="L4361" s="1565">
        <v>2164</v>
      </c>
      <c r="M4361" s="1564"/>
      <c r="N4361" s="1565">
        <v>2164</v>
      </c>
      <c r="O4361" s="1565">
        <v>1286.0999999999999</v>
      </c>
      <c r="P4361" s="1572">
        <v>841.18</v>
      </c>
      <c r="Q4361" s="1572">
        <v>36.72</v>
      </c>
      <c r="R4361" s="1572">
        <v>877.9</v>
      </c>
      <c r="S4361" s="1562"/>
    </row>
    <row r="4362" spans="2:19" ht="11.25" customHeight="1" outlineLevel="1">
      <c r="B4362" s="1573">
        <v>26737</v>
      </c>
      <c r="C4362" s="1566" t="s">
        <v>4321</v>
      </c>
      <c r="D4362" s="1566" t="s">
        <v>8685</v>
      </c>
      <c r="E4362" s="1566"/>
      <c r="F4362" s="1566"/>
      <c r="G4362" s="1566" t="s">
        <v>4360</v>
      </c>
      <c r="H4362" s="1568">
        <v>1</v>
      </c>
      <c r="I4362" s="1566"/>
      <c r="J4362" s="1566"/>
      <c r="K4362" s="1572">
        <v>216</v>
      </c>
      <c r="L4362" s="1565">
        <v>8007</v>
      </c>
      <c r="M4362" s="1564"/>
      <c r="N4362" s="1565">
        <v>8007</v>
      </c>
      <c r="O4362" s="1565">
        <v>4763.76</v>
      </c>
      <c r="P4362" s="1565">
        <v>3107.16</v>
      </c>
      <c r="Q4362" s="1572">
        <v>136.08000000000001</v>
      </c>
      <c r="R4362" s="1565">
        <v>3243.24</v>
      </c>
      <c r="S4362" s="1562"/>
    </row>
    <row r="4363" spans="2:19" ht="11.25" customHeight="1" outlineLevel="1">
      <c r="B4363" s="1573">
        <v>26738</v>
      </c>
      <c r="C4363" s="1566" t="s">
        <v>4321</v>
      </c>
      <c r="D4363" s="1566" t="s">
        <v>8684</v>
      </c>
      <c r="E4363" s="1566"/>
      <c r="F4363" s="1566"/>
      <c r="G4363" s="1566" t="s">
        <v>4362</v>
      </c>
      <c r="H4363" s="1568">
        <v>1</v>
      </c>
      <c r="I4363" s="1566"/>
      <c r="J4363" s="1566"/>
      <c r="K4363" s="1572">
        <v>216</v>
      </c>
      <c r="L4363" s="1565">
        <v>19476</v>
      </c>
      <c r="M4363" s="1564"/>
      <c r="N4363" s="1565">
        <v>19476</v>
      </c>
      <c r="O4363" s="1565">
        <v>11585.38</v>
      </c>
      <c r="P4363" s="1565">
        <v>7559.66</v>
      </c>
      <c r="Q4363" s="1572">
        <v>330.96</v>
      </c>
      <c r="R4363" s="1565">
        <v>7890.62</v>
      </c>
      <c r="S4363" s="1562"/>
    </row>
    <row r="4364" spans="2:19" ht="11.25" customHeight="1" outlineLevel="1">
      <c r="B4364" s="1573">
        <v>26739</v>
      </c>
      <c r="C4364" s="1566" t="s">
        <v>4321</v>
      </c>
      <c r="D4364" s="1566" t="s">
        <v>8683</v>
      </c>
      <c r="E4364" s="1566"/>
      <c r="F4364" s="1566"/>
      <c r="G4364" s="1566" t="s">
        <v>4358</v>
      </c>
      <c r="H4364" s="1568">
        <v>1</v>
      </c>
      <c r="I4364" s="1566"/>
      <c r="J4364" s="1566"/>
      <c r="K4364" s="1572">
        <v>334</v>
      </c>
      <c r="L4364" s="1565">
        <v>8342</v>
      </c>
      <c r="M4364" s="1564"/>
      <c r="N4364" s="1565">
        <v>8342</v>
      </c>
      <c r="O4364" s="1565">
        <v>4961.6000000000004</v>
      </c>
      <c r="P4364" s="1565">
        <v>3238.68</v>
      </c>
      <c r="Q4364" s="1572">
        <v>141.72</v>
      </c>
      <c r="R4364" s="1565">
        <v>3380.4</v>
      </c>
      <c r="S4364" s="1562"/>
    </row>
    <row r="4365" spans="2:19" ht="11.25" customHeight="1" outlineLevel="1">
      <c r="B4365" s="1573">
        <v>26740</v>
      </c>
      <c r="C4365" s="1566" t="s">
        <v>4321</v>
      </c>
      <c r="D4365" s="1566" t="s">
        <v>8682</v>
      </c>
      <c r="E4365" s="1566"/>
      <c r="F4365" s="1566"/>
      <c r="G4365" s="1566" t="s">
        <v>4356</v>
      </c>
      <c r="H4365" s="1568">
        <v>1</v>
      </c>
      <c r="I4365" s="1566"/>
      <c r="J4365" s="1566"/>
      <c r="K4365" s="1572">
        <v>334</v>
      </c>
      <c r="L4365" s="1565">
        <v>13348</v>
      </c>
      <c r="M4365" s="1564"/>
      <c r="N4365" s="1565">
        <v>13348</v>
      </c>
      <c r="O4365" s="1565">
        <v>7939.86</v>
      </c>
      <c r="P4365" s="1565">
        <v>5181.34</v>
      </c>
      <c r="Q4365" s="1572">
        <v>226.8</v>
      </c>
      <c r="R4365" s="1565">
        <v>5408.14</v>
      </c>
      <c r="S4365" s="1562"/>
    </row>
    <row r="4366" spans="2:19" ht="11.25" customHeight="1" outlineLevel="1">
      <c r="B4366" s="1573">
        <v>26741</v>
      </c>
      <c r="C4366" s="1566" t="s">
        <v>4321</v>
      </c>
      <c r="D4366" s="1566" t="s">
        <v>8681</v>
      </c>
      <c r="E4366" s="1566"/>
      <c r="F4366" s="1566"/>
      <c r="G4366" s="1566" t="s">
        <v>4354</v>
      </c>
      <c r="H4366" s="1568">
        <v>1</v>
      </c>
      <c r="I4366" s="1566"/>
      <c r="J4366" s="1566"/>
      <c r="K4366" s="1572">
        <v>216</v>
      </c>
      <c r="L4366" s="1565">
        <v>4111</v>
      </c>
      <c r="M4366" s="1564"/>
      <c r="N4366" s="1565">
        <v>4111</v>
      </c>
      <c r="O4366" s="1565">
        <v>2446.48</v>
      </c>
      <c r="P4366" s="1565">
        <v>1594.68</v>
      </c>
      <c r="Q4366" s="1572">
        <v>69.84</v>
      </c>
      <c r="R4366" s="1565">
        <v>1664.52</v>
      </c>
      <c r="S4366" s="1562"/>
    </row>
    <row r="4367" spans="2:19" ht="11.25" customHeight="1" outlineLevel="1">
      <c r="B4367" s="1573">
        <v>26742</v>
      </c>
      <c r="C4367" s="1566" t="s">
        <v>4321</v>
      </c>
      <c r="D4367" s="1566" t="s">
        <v>8680</v>
      </c>
      <c r="E4367" s="1566"/>
      <c r="F4367" s="1566"/>
      <c r="G4367" s="1566" t="s">
        <v>4352</v>
      </c>
      <c r="H4367" s="1568">
        <v>1</v>
      </c>
      <c r="I4367" s="1566"/>
      <c r="J4367" s="1566"/>
      <c r="K4367" s="1572">
        <v>216</v>
      </c>
      <c r="L4367" s="1565">
        <v>6492</v>
      </c>
      <c r="M4367" s="1564"/>
      <c r="N4367" s="1565">
        <v>6492</v>
      </c>
      <c r="O4367" s="1565">
        <v>3860.92</v>
      </c>
      <c r="P4367" s="1565">
        <v>2520.8000000000002</v>
      </c>
      <c r="Q4367" s="1572">
        <v>110.28</v>
      </c>
      <c r="R4367" s="1565">
        <v>2631.08</v>
      </c>
      <c r="S4367" s="1562"/>
    </row>
    <row r="4368" spans="2:19" ht="11.25" customHeight="1" outlineLevel="1">
      <c r="B4368" s="1573">
        <v>26743</v>
      </c>
      <c r="C4368" s="1566" t="s">
        <v>4321</v>
      </c>
      <c r="D4368" s="1566" t="s">
        <v>8679</v>
      </c>
      <c r="E4368" s="1566"/>
      <c r="F4368" s="1566"/>
      <c r="G4368" s="1566" t="s">
        <v>4350</v>
      </c>
      <c r="H4368" s="1568">
        <v>1</v>
      </c>
      <c r="I4368" s="1566"/>
      <c r="J4368" s="1566"/>
      <c r="K4368" s="1572">
        <v>216</v>
      </c>
      <c r="L4368" s="1565">
        <v>2164</v>
      </c>
      <c r="M4368" s="1564"/>
      <c r="N4368" s="1565">
        <v>2164</v>
      </c>
      <c r="O4368" s="1565">
        <v>1286.0999999999999</v>
      </c>
      <c r="P4368" s="1572">
        <v>841.18</v>
      </c>
      <c r="Q4368" s="1572">
        <v>36.72</v>
      </c>
      <c r="R4368" s="1572">
        <v>877.9</v>
      </c>
      <c r="S4368" s="1562"/>
    </row>
    <row r="4369" spans="2:19" ht="11.25" customHeight="1" outlineLevel="1">
      <c r="B4369" s="1573">
        <v>26744</v>
      </c>
      <c r="C4369" s="1566" t="s">
        <v>4321</v>
      </c>
      <c r="D4369" s="1566" t="s">
        <v>8678</v>
      </c>
      <c r="E4369" s="1566"/>
      <c r="F4369" s="1566"/>
      <c r="G4369" s="1566" t="s">
        <v>4348</v>
      </c>
      <c r="H4369" s="1568">
        <v>1</v>
      </c>
      <c r="I4369" s="1566"/>
      <c r="J4369" s="1566"/>
      <c r="K4369" s="1572">
        <v>216</v>
      </c>
      <c r="L4369" s="1565">
        <v>10820</v>
      </c>
      <c r="M4369" s="1564"/>
      <c r="N4369" s="1565">
        <v>10820</v>
      </c>
      <c r="O4369" s="1565">
        <v>6435.74</v>
      </c>
      <c r="P4369" s="1565">
        <v>4200.42</v>
      </c>
      <c r="Q4369" s="1572">
        <v>183.84</v>
      </c>
      <c r="R4369" s="1565">
        <v>4384.26</v>
      </c>
      <c r="S4369" s="1562"/>
    </row>
    <row r="4370" spans="2:19" ht="11.25" customHeight="1" outlineLevel="1">
      <c r="B4370" s="1573">
        <v>26745</v>
      </c>
      <c r="C4370" s="1566" t="s">
        <v>4321</v>
      </c>
      <c r="D4370" s="1566" t="s">
        <v>8677</v>
      </c>
      <c r="E4370" s="1566"/>
      <c r="F4370" s="1566"/>
      <c r="G4370" s="1566" t="s">
        <v>4346</v>
      </c>
      <c r="H4370" s="1568">
        <v>1</v>
      </c>
      <c r="I4370" s="1566"/>
      <c r="J4370" s="1566"/>
      <c r="K4370" s="1572">
        <v>334</v>
      </c>
      <c r="L4370" s="1565">
        <v>3337</v>
      </c>
      <c r="M4370" s="1564"/>
      <c r="N4370" s="1565">
        <v>3337</v>
      </c>
      <c r="O4370" s="1565">
        <v>1984.34</v>
      </c>
      <c r="P4370" s="1565">
        <v>1296.02</v>
      </c>
      <c r="Q4370" s="1572">
        <v>56.64</v>
      </c>
      <c r="R4370" s="1565">
        <v>1352.66</v>
      </c>
      <c r="S4370" s="1562"/>
    </row>
    <row r="4371" spans="2:19" ht="11.25" customHeight="1" outlineLevel="1">
      <c r="B4371" s="1573">
        <v>26746</v>
      </c>
      <c r="C4371" s="1566" t="s">
        <v>4321</v>
      </c>
      <c r="D4371" s="1566" t="s">
        <v>8676</v>
      </c>
      <c r="E4371" s="1566"/>
      <c r="F4371" s="1566"/>
      <c r="G4371" s="1566" t="s">
        <v>4344</v>
      </c>
      <c r="H4371" s="1568">
        <v>1</v>
      </c>
      <c r="I4371" s="1566"/>
      <c r="J4371" s="1566"/>
      <c r="K4371" s="1572">
        <v>334</v>
      </c>
      <c r="L4371" s="1565">
        <v>3337</v>
      </c>
      <c r="M4371" s="1564"/>
      <c r="N4371" s="1565">
        <v>3337</v>
      </c>
      <c r="O4371" s="1565">
        <v>1984.34</v>
      </c>
      <c r="P4371" s="1565">
        <v>1296.02</v>
      </c>
      <c r="Q4371" s="1572">
        <v>56.64</v>
      </c>
      <c r="R4371" s="1565">
        <v>1352.66</v>
      </c>
      <c r="S4371" s="1562"/>
    </row>
    <row r="4372" spans="2:19" ht="11.25" customHeight="1" outlineLevel="1">
      <c r="B4372" s="1573">
        <v>26747</v>
      </c>
      <c r="C4372" s="1566" t="s">
        <v>4321</v>
      </c>
      <c r="D4372" s="1566" t="s">
        <v>8675</v>
      </c>
      <c r="E4372" s="1566"/>
      <c r="F4372" s="1566"/>
      <c r="G4372" s="1566" t="s">
        <v>4342</v>
      </c>
      <c r="H4372" s="1568">
        <v>1</v>
      </c>
      <c r="I4372" s="1566"/>
      <c r="J4372" s="1566"/>
      <c r="K4372" s="1572">
        <v>334</v>
      </c>
      <c r="L4372" s="1565">
        <v>3337</v>
      </c>
      <c r="M4372" s="1564"/>
      <c r="N4372" s="1565">
        <v>3337</v>
      </c>
      <c r="O4372" s="1565">
        <v>1984.34</v>
      </c>
      <c r="P4372" s="1565">
        <v>1296.02</v>
      </c>
      <c r="Q4372" s="1572">
        <v>56.64</v>
      </c>
      <c r="R4372" s="1565">
        <v>1352.66</v>
      </c>
      <c r="S4372" s="1562"/>
    </row>
    <row r="4373" spans="2:19" ht="11.25" customHeight="1" outlineLevel="1">
      <c r="B4373" s="1573">
        <v>26748</v>
      </c>
      <c r="C4373" s="1566" t="s">
        <v>4321</v>
      </c>
      <c r="D4373" s="1566" t="s">
        <v>8674</v>
      </c>
      <c r="E4373" s="1566"/>
      <c r="F4373" s="1566"/>
      <c r="G4373" s="1566" t="s">
        <v>4340</v>
      </c>
      <c r="H4373" s="1568">
        <v>1</v>
      </c>
      <c r="I4373" s="1566"/>
      <c r="J4373" s="1566"/>
      <c r="K4373" s="1572">
        <v>334</v>
      </c>
      <c r="L4373" s="1565">
        <v>3337</v>
      </c>
      <c r="M4373" s="1564"/>
      <c r="N4373" s="1565">
        <v>3337</v>
      </c>
      <c r="O4373" s="1565">
        <v>1984.34</v>
      </c>
      <c r="P4373" s="1565">
        <v>1296.02</v>
      </c>
      <c r="Q4373" s="1572">
        <v>56.64</v>
      </c>
      <c r="R4373" s="1565">
        <v>1352.66</v>
      </c>
      <c r="S4373" s="1562"/>
    </row>
    <row r="4374" spans="2:19" ht="11.25" customHeight="1" outlineLevel="1">
      <c r="B4374" s="1573">
        <v>26749</v>
      </c>
      <c r="C4374" s="1566" t="s">
        <v>4321</v>
      </c>
      <c r="D4374" s="1566" t="s">
        <v>8673</v>
      </c>
      <c r="E4374" s="1566"/>
      <c r="F4374" s="1566"/>
      <c r="G4374" s="1566" t="s">
        <v>4338</v>
      </c>
      <c r="H4374" s="1568">
        <v>1</v>
      </c>
      <c r="I4374" s="1566"/>
      <c r="J4374" s="1566"/>
      <c r="K4374" s="1572">
        <v>334</v>
      </c>
      <c r="L4374" s="1565">
        <v>3337</v>
      </c>
      <c r="M4374" s="1564"/>
      <c r="N4374" s="1565">
        <v>3337</v>
      </c>
      <c r="O4374" s="1565">
        <v>1984.34</v>
      </c>
      <c r="P4374" s="1565">
        <v>1296.02</v>
      </c>
      <c r="Q4374" s="1572">
        <v>56.64</v>
      </c>
      <c r="R4374" s="1565">
        <v>1352.66</v>
      </c>
      <c r="S4374" s="1562"/>
    </row>
    <row r="4375" spans="2:19" ht="11.25" customHeight="1" outlineLevel="1">
      <c r="B4375" s="1573">
        <v>26750</v>
      </c>
      <c r="C4375" s="1566" t="s">
        <v>4321</v>
      </c>
      <c r="D4375" s="1566" t="s">
        <v>8672</v>
      </c>
      <c r="E4375" s="1566"/>
      <c r="F4375" s="1566"/>
      <c r="G4375" s="1566" t="s">
        <v>4336</v>
      </c>
      <c r="H4375" s="1568">
        <v>1</v>
      </c>
      <c r="I4375" s="1566"/>
      <c r="J4375" s="1566"/>
      <c r="K4375" s="1572">
        <v>334</v>
      </c>
      <c r="L4375" s="1565">
        <v>3337</v>
      </c>
      <c r="M4375" s="1564"/>
      <c r="N4375" s="1565">
        <v>3337</v>
      </c>
      <c r="O4375" s="1565">
        <v>1984.34</v>
      </c>
      <c r="P4375" s="1565">
        <v>1296.02</v>
      </c>
      <c r="Q4375" s="1572">
        <v>56.64</v>
      </c>
      <c r="R4375" s="1565">
        <v>1352.66</v>
      </c>
      <c r="S4375" s="1562"/>
    </row>
    <row r="4376" spans="2:19" ht="11.25" customHeight="1" outlineLevel="1">
      <c r="B4376" s="1573">
        <v>26751</v>
      </c>
      <c r="C4376" s="1566" t="s">
        <v>4321</v>
      </c>
      <c r="D4376" s="1566" t="s">
        <v>8671</v>
      </c>
      <c r="E4376" s="1566"/>
      <c r="F4376" s="1566"/>
      <c r="G4376" s="1566" t="s">
        <v>4334</v>
      </c>
      <c r="H4376" s="1568">
        <v>1</v>
      </c>
      <c r="I4376" s="1566"/>
      <c r="J4376" s="1566"/>
      <c r="K4376" s="1572">
        <v>334</v>
      </c>
      <c r="L4376" s="1565">
        <v>3337</v>
      </c>
      <c r="M4376" s="1564"/>
      <c r="N4376" s="1565">
        <v>3337</v>
      </c>
      <c r="O4376" s="1565">
        <v>1984.34</v>
      </c>
      <c r="P4376" s="1565">
        <v>1296.02</v>
      </c>
      <c r="Q4376" s="1572">
        <v>56.64</v>
      </c>
      <c r="R4376" s="1565">
        <v>1352.66</v>
      </c>
      <c r="S4376" s="1562"/>
    </row>
    <row r="4377" spans="2:19" ht="11.25" customHeight="1" outlineLevel="1">
      <c r="B4377" s="1573">
        <v>26752</v>
      </c>
      <c r="C4377" s="1566" t="s">
        <v>4321</v>
      </c>
      <c r="D4377" s="1566" t="s">
        <v>8670</v>
      </c>
      <c r="E4377" s="1566"/>
      <c r="F4377" s="1566"/>
      <c r="G4377" s="1566" t="s">
        <v>4332</v>
      </c>
      <c r="H4377" s="1568">
        <v>1</v>
      </c>
      <c r="I4377" s="1566"/>
      <c r="J4377" s="1566"/>
      <c r="K4377" s="1572">
        <v>334</v>
      </c>
      <c r="L4377" s="1565">
        <v>3337</v>
      </c>
      <c r="M4377" s="1564"/>
      <c r="N4377" s="1565">
        <v>3337</v>
      </c>
      <c r="O4377" s="1565">
        <v>1984.34</v>
      </c>
      <c r="P4377" s="1565">
        <v>1296.02</v>
      </c>
      <c r="Q4377" s="1572">
        <v>56.64</v>
      </c>
      <c r="R4377" s="1565">
        <v>1352.66</v>
      </c>
      <c r="S4377" s="1562"/>
    </row>
    <row r="4378" spans="2:19" ht="11.25" customHeight="1" outlineLevel="1">
      <c r="B4378" s="1573">
        <v>26753</v>
      </c>
      <c r="C4378" s="1566" t="s">
        <v>4321</v>
      </c>
      <c r="D4378" s="1566" t="s">
        <v>8669</v>
      </c>
      <c r="E4378" s="1566"/>
      <c r="F4378" s="1566"/>
      <c r="G4378" s="1566" t="s">
        <v>4330</v>
      </c>
      <c r="H4378" s="1568">
        <v>1</v>
      </c>
      <c r="I4378" s="1566"/>
      <c r="J4378" s="1566"/>
      <c r="K4378" s="1572">
        <v>334</v>
      </c>
      <c r="L4378" s="1565">
        <v>6674</v>
      </c>
      <c r="M4378" s="1564"/>
      <c r="N4378" s="1565">
        <v>6674</v>
      </c>
      <c r="O4378" s="1565">
        <v>3971.18</v>
      </c>
      <c r="P4378" s="1565">
        <v>2589.3000000000002</v>
      </c>
      <c r="Q4378" s="1572">
        <v>113.52</v>
      </c>
      <c r="R4378" s="1565">
        <v>2702.82</v>
      </c>
      <c r="S4378" s="1562"/>
    </row>
    <row r="4379" spans="2:19" ht="11.25" customHeight="1" outlineLevel="1">
      <c r="B4379" s="1573">
        <v>26754</v>
      </c>
      <c r="C4379" s="1566" t="s">
        <v>4321</v>
      </c>
      <c r="D4379" s="1566" t="s">
        <v>8668</v>
      </c>
      <c r="E4379" s="1566"/>
      <c r="F4379" s="1566"/>
      <c r="G4379" s="1566" t="s">
        <v>8667</v>
      </c>
      <c r="H4379" s="1568">
        <v>1</v>
      </c>
      <c r="I4379" s="1566"/>
      <c r="J4379" s="1566"/>
      <c r="K4379" s="1572">
        <v>334</v>
      </c>
      <c r="L4379" s="1565">
        <v>11680</v>
      </c>
      <c r="M4379" s="1564"/>
      <c r="N4379" s="1565">
        <v>11680</v>
      </c>
      <c r="O4379" s="1565">
        <v>6949.44</v>
      </c>
      <c r="P4379" s="1565">
        <v>4531.96</v>
      </c>
      <c r="Q4379" s="1572">
        <v>198.6</v>
      </c>
      <c r="R4379" s="1565">
        <v>4730.5600000000004</v>
      </c>
      <c r="S4379" s="1562"/>
    </row>
    <row r="4380" spans="2:19" ht="11.25" customHeight="1" outlineLevel="1">
      <c r="B4380" s="1573">
        <v>26755</v>
      </c>
      <c r="C4380" s="1566" t="s">
        <v>4321</v>
      </c>
      <c r="D4380" s="1566" t="s">
        <v>8666</v>
      </c>
      <c r="E4380" s="1566"/>
      <c r="F4380" s="1566"/>
      <c r="G4380" s="1566" t="s">
        <v>8665</v>
      </c>
      <c r="H4380" s="1568">
        <v>1</v>
      </c>
      <c r="I4380" s="1566"/>
      <c r="J4380" s="1566"/>
      <c r="K4380" s="1572">
        <v>334</v>
      </c>
      <c r="L4380" s="1565">
        <v>6675</v>
      </c>
      <c r="M4380" s="1564"/>
      <c r="N4380" s="1565">
        <v>6675</v>
      </c>
      <c r="O4380" s="1565">
        <v>3972.18</v>
      </c>
      <c r="P4380" s="1565">
        <v>2589.3000000000002</v>
      </c>
      <c r="Q4380" s="1572">
        <v>113.52</v>
      </c>
      <c r="R4380" s="1565">
        <v>2702.82</v>
      </c>
      <c r="S4380" s="1562"/>
    </row>
    <row r="4381" spans="2:19" ht="11.25" customHeight="1" outlineLevel="1">
      <c r="B4381" s="1573">
        <v>26806</v>
      </c>
      <c r="C4381" s="1566" t="s">
        <v>4321</v>
      </c>
      <c r="D4381" s="1566" t="s">
        <v>8664</v>
      </c>
      <c r="E4381" s="1566"/>
      <c r="F4381" s="1566"/>
      <c r="G4381" s="1566" t="s">
        <v>8663</v>
      </c>
      <c r="H4381" s="1568">
        <v>1</v>
      </c>
      <c r="I4381" s="1566"/>
      <c r="J4381" s="1566"/>
      <c r="K4381" s="1572">
        <v>280</v>
      </c>
      <c r="L4381" s="1565">
        <v>464807</v>
      </c>
      <c r="M4381" s="1564"/>
      <c r="N4381" s="1565">
        <v>464807</v>
      </c>
      <c r="O4381" s="1565">
        <v>105522.6</v>
      </c>
      <c r="P4381" s="1565">
        <v>344209.76</v>
      </c>
      <c r="Q4381" s="1565">
        <v>15074.64</v>
      </c>
      <c r="R4381" s="1565">
        <v>359284.4</v>
      </c>
      <c r="S4381" s="1562"/>
    </row>
    <row r="4382" spans="2:19" ht="11.25" customHeight="1" outlineLevel="1">
      <c r="B4382" s="1573">
        <v>26807</v>
      </c>
      <c r="C4382" s="1566" t="s">
        <v>4321</v>
      </c>
      <c r="D4382" s="1566" t="s">
        <v>8662</v>
      </c>
      <c r="E4382" s="1566"/>
      <c r="F4382" s="1566"/>
      <c r="G4382" s="1566" t="s">
        <v>4326</v>
      </c>
      <c r="H4382" s="1568">
        <v>1</v>
      </c>
      <c r="I4382" s="1566"/>
      <c r="J4382" s="1566"/>
      <c r="K4382" s="1572">
        <v>72</v>
      </c>
      <c r="L4382" s="1565">
        <v>5206</v>
      </c>
      <c r="M4382" s="1564"/>
      <c r="N4382" s="1565">
        <v>5206</v>
      </c>
      <c r="O4382" s="1565">
        <v>3098.06</v>
      </c>
      <c r="P4382" s="1565">
        <v>2019.38</v>
      </c>
      <c r="Q4382" s="1572">
        <v>88.56</v>
      </c>
      <c r="R4382" s="1565">
        <v>2107.94</v>
      </c>
      <c r="S4382" s="1562"/>
    </row>
    <row r="4383" spans="2:19" ht="11.25" customHeight="1" outlineLevel="1">
      <c r="B4383" s="1573">
        <v>26808</v>
      </c>
      <c r="C4383" s="1566" t="s">
        <v>4321</v>
      </c>
      <c r="D4383" s="1566" t="s">
        <v>8661</v>
      </c>
      <c r="E4383" s="1566"/>
      <c r="F4383" s="1566"/>
      <c r="G4383" s="1566" t="s">
        <v>4326</v>
      </c>
      <c r="H4383" s="1568">
        <v>1</v>
      </c>
      <c r="I4383" s="1566"/>
      <c r="J4383" s="1566"/>
      <c r="K4383" s="1572">
        <v>72</v>
      </c>
      <c r="L4383" s="1565">
        <v>12304</v>
      </c>
      <c r="M4383" s="1564"/>
      <c r="N4383" s="1565">
        <v>12304</v>
      </c>
      <c r="O4383" s="1565">
        <v>2794.26</v>
      </c>
      <c r="P4383" s="1565">
        <v>9110.5</v>
      </c>
      <c r="Q4383" s="1572">
        <v>399.24</v>
      </c>
      <c r="R4383" s="1565">
        <v>9509.74</v>
      </c>
      <c r="S4383" s="1562"/>
    </row>
    <row r="4384" spans="2:19" ht="11.25" customHeight="1" outlineLevel="1">
      <c r="B4384" s="1573">
        <v>26812</v>
      </c>
      <c r="C4384" s="1566" t="s">
        <v>4321</v>
      </c>
      <c r="D4384" s="1566" t="s">
        <v>8660</v>
      </c>
      <c r="E4384" s="1566"/>
      <c r="F4384" s="1566"/>
      <c r="G4384" s="1566" t="s">
        <v>8659</v>
      </c>
      <c r="H4384" s="1568">
        <v>1</v>
      </c>
      <c r="I4384" s="1566"/>
      <c r="J4384" s="1566"/>
      <c r="K4384" s="1572">
        <v>812</v>
      </c>
      <c r="L4384" s="1565">
        <v>23540</v>
      </c>
      <c r="M4384" s="1564"/>
      <c r="N4384" s="1565">
        <v>23540</v>
      </c>
      <c r="O4384" s="1565">
        <v>14004.76</v>
      </c>
      <c r="P4384" s="1565">
        <v>9135.16</v>
      </c>
      <c r="Q4384" s="1572">
        <v>400.08</v>
      </c>
      <c r="R4384" s="1565">
        <v>9535.24</v>
      </c>
      <c r="S4384" s="1562"/>
    </row>
    <row r="4385" spans="2:19" ht="11.25" customHeight="1" outlineLevel="1">
      <c r="B4385" s="1573">
        <v>24909</v>
      </c>
      <c r="C4385" s="1566" t="s">
        <v>4314</v>
      </c>
      <c r="D4385" s="1566" t="s">
        <v>8658</v>
      </c>
      <c r="E4385" s="1566"/>
      <c r="F4385" s="1566"/>
      <c r="G4385" s="1566"/>
      <c r="H4385" s="1568">
        <v>1</v>
      </c>
      <c r="I4385" s="1566"/>
      <c r="J4385" s="1566"/>
      <c r="K4385" s="1565">
        <v>16333</v>
      </c>
      <c r="L4385" s="1565">
        <v>16333.34</v>
      </c>
      <c r="M4385" s="1565">
        <v>-16333.34</v>
      </c>
      <c r="N4385" s="1564"/>
      <c r="O4385" s="1564"/>
      <c r="P4385" s="1565">
        <v>16333.34</v>
      </c>
      <c r="Q4385" s="1565">
        <v>-16333.34</v>
      </c>
      <c r="R4385" s="1564"/>
      <c r="S4385" s="1562"/>
    </row>
    <row r="4386" spans="2:19" ht="11.25" customHeight="1" outlineLevel="1">
      <c r="B4386" s="1573">
        <v>26841</v>
      </c>
      <c r="C4386" s="1566" t="s">
        <v>4314</v>
      </c>
      <c r="D4386" s="1566" t="s">
        <v>8657</v>
      </c>
      <c r="E4386" s="1566"/>
      <c r="F4386" s="1566"/>
      <c r="G4386" s="1566" t="s">
        <v>4317</v>
      </c>
      <c r="H4386" s="1568">
        <v>1</v>
      </c>
      <c r="I4386" s="1566"/>
      <c r="J4386" s="1566"/>
      <c r="K4386" s="1572">
        <v>457</v>
      </c>
      <c r="L4386" s="1565">
        <v>30060</v>
      </c>
      <c r="M4386" s="1564"/>
      <c r="N4386" s="1565">
        <v>30060</v>
      </c>
      <c r="O4386" s="1565">
        <v>6843.78</v>
      </c>
      <c r="P4386" s="1565">
        <v>22238.58</v>
      </c>
      <c r="Q4386" s="1572">
        <v>977.64</v>
      </c>
      <c r="R4386" s="1565">
        <v>23216.22</v>
      </c>
      <c r="S4386" s="1562"/>
    </row>
    <row r="4387" spans="2:19" ht="11.25" customHeight="1" outlineLevel="1">
      <c r="B4387" s="1573">
        <v>26843</v>
      </c>
      <c r="C4387" s="1566" t="s">
        <v>4314</v>
      </c>
      <c r="D4387" s="1566" t="s">
        <v>8656</v>
      </c>
      <c r="E4387" s="1566"/>
      <c r="F4387" s="1566"/>
      <c r="G4387" s="1566" t="s">
        <v>4315</v>
      </c>
      <c r="H4387" s="1568">
        <v>1</v>
      </c>
      <c r="I4387" s="1566"/>
      <c r="J4387" s="1566"/>
      <c r="K4387" s="1572">
        <v>15</v>
      </c>
      <c r="L4387" s="1572">
        <v>268</v>
      </c>
      <c r="M4387" s="1564"/>
      <c r="N4387" s="1572">
        <v>268</v>
      </c>
      <c r="O4387" s="1572">
        <v>54.25</v>
      </c>
      <c r="P4387" s="1572">
        <v>204.75</v>
      </c>
      <c r="Q4387" s="1572">
        <v>9</v>
      </c>
      <c r="R4387" s="1572">
        <v>213.75</v>
      </c>
      <c r="S4387" s="1562"/>
    </row>
    <row r="4388" spans="2:19" ht="11.25" customHeight="1" outlineLevel="1">
      <c r="B4388" s="1573">
        <v>26845</v>
      </c>
      <c r="C4388" s="1566" t="s">
        <v>4314</v>
      </c>
      <c r="D4388" s="1566" t="s">
        <v>8655</v>
      </c>
      <c r="E4388" s="1566"/>
      <c r="F4388" s="1566"/>
      <c r="G4388" s="1566" t="s">
        <v>8654</v>
      </c>
      <c r="H4388" s="1568">
        <v>1</v>
      </c>
      <c r="I4388" s="1566"/>
      <c r="J4388" s="1566"/>
      <c r="K4388" s="1572">
        <v>149</v>
      </c>
      <c r="L4388" s="1565">
        <v>5458</v>
      </c>
      <c r="M4388" s="1564"/>
      <c r="N4388" s="1565">
        <v>5458</v>
      </c>
      <c r="O4388" s="1565">
        <v>3254.95</v>
      </c>
      <c r="P4388" s="1565">
        <v>2110.29</v>
      </c>
      <c r="Q4388" s="1572">
        <v>92.76</v>
      </c>
      <c r="R4388" s="1565">
        <v>2203.0500000000002</v>
      </c>
      <c r="S4388" s="1562"/>
    </row>
    <row r="4389" spans="2:19" ht="11.25" customHeight="1" outlineLevel="1">
      <c r="B4389" s="1573">
        <v>26882</v>
      </c>
      <c r="C4389" s="1566" t="s">
        <v>4314</v>
      </c>
      <c r="D4389" s="1566" t="s">
        <v>8653</v>
      </c>
      <c r="E4389" s="1566"/>
      <c r="F4389" s="1566"/>
      <c r="G4389" s="1566"/>
      <c r="H4389" s="1568">
        <v>1</v>
      </c>
      <c r="I4389" s="1566"/>
      <c r="J4389" s="1566"/>
      <c r="K4389" s="1565">
        <v>2418</v>
      </c>
      <c r="L4389" s="1565">
        <v>2418</v>
      </c>
      <c r="M4389" s="1565">
        <v>-2418</v>
      </c>
      <c r="N4389" s="1564"/>
      <c r="O4389" s="1564"/>
      <c r="P4389" s="1565">
        <v>2418</v>
      </c>
      <c r="Q4389" s="1565">
        <v>-2418</v>
      </c>
      <c r="R4389" s="1564"/>
      <c r="S4389" s="1562"/>
    </row>
    <row r="4390" spans="2:19" ht="11.25" customHeight="1" outlineLevel="1">
      <c r="B4390" s="1573">
        <v>26886</v>
      </c>
      <c r="C4390" s="1566" t="s">
        <v>4314</v>
      </c>
      <c r="D4390" s="1566" t="s">
        <v>8652</v>
      </c>
      <c r="E4390" s="1566"/>
      <c r="F4390" s="1566"/>
      <c r="G4390" s="1566"/>
      <c r="H4390" s="1568">
        <v>1</v>
      </c>
      <c r="I4390" s="1566"/>
      <c r="J4390" s="1566"/>
      <c r="K4390" s="1565">
        <v>8250</v>
      </c>
      <c r="L4390" s="1565">
        <v>8250</v>
      </c>
      <c r="M4390" s="1565">
        <v>-8250</v>
      </c>
      <c r="N4390" s="1564"/>
      <c r="O4390" s="1564"/>
      <c r="P4390" s="1565">
        <v>8250</v>
      </c>
      <c r="Q4390" s="1565">
        <v>-8250</v>
      </c>
      <c r="R4390" s="1564"/>
      <c r="S4390" s="1562"/>
    </row>
    <row r="4391" spans="2:19" ht="11.25" customHeight="1" outlineLevel="1">
      <c r="B4391" s="1573">
        <v>26889</v>
      </c>
      <c r="C4391" s="1566" t="s">
        <v>4314</v>
      </c>
      <c r="D4391" s="1566" t="s">
        <v>8651</v>
      </c>
      <c r="E4391" s="1566"/>
      <c r="F4391" s="1566"/>
      <c r="G4391" s="1566"/>
      <c r="H4391" s="1568">
        <v>1</v>
      </c>
      <c r="I4391" s="1566"/>
      <c r="J4391" s="1566"/>
      <c r="K4391" s="1565">
        <v>15000</v>
      </c>
      <c r="L4391" s="1565">
        <v>15000</v>
      </c>
      <c r="M4391" s="1565">
        <v>-15000</v>
      </c>
      <c r="N4391" s="1564"/>
      <c r="O4391" s="1564"/>
      <c r="P4391" s="1565">
        <v>15000</v>
      </c>
      <c r="Q4391" s="1565">
        <v>-15000</v>
      </c>
      <c r="R4391" s="1564"/>
      <c r="S4391" s="1562"/>
    </row>
    <row r="4392" spans="2:19" ht="11.25" customHeight="1" outlineLevel="1">
      <c r="B4392" s="1573">
        <v>26890</v>
      </c>
      <c r="C4392" s="1566" t="s">
        <v>4314</v>
      </c>
      <c r="D4392" s="1566" t="s">
        <v>8650</v>
      </c>
      <c r="E4392" s="1566"/>
      <c r="F4392" s="1566"/>
      <c r="G4392" s="1566"/>
      <c r="H4392" s="1568">
        <v>1</v>
      </c>
      <c r="I4392" s="1566"/>
      <c r="J4392" s="1566"/>
      <c r="K4392" s="1565">
        <v>2117</v>
      </c>
      <c r="L4392" s="1565">
        <v>2117</v>
      </c>
      <c r="M4392" s="1565">
        <v>-2117</v>
      </c>
      <c r="N4392" s="1564"/>
      <c r="O4392" s="1564"/>
      <c r="P4392" s="1565">
        <v>2117</v>
      </c>
      <c r="Q4392" s="1565">
        <v>-2117</v>
      </c>
      <c r="R4392" s="1564"/>
      <c r="S4392" s="1562"/>
    </row>
    <row r="4393" spans="2:19" ht="11.25" customHeight="1" outlineLevel="1">
      <c r="B4393" s="1573">
        <v>34117</v>
      </c>
      <c r="C4393" s="1566" t="s">
        <v>4314</v>
      </c>
      <c r="D4393" s="1566" t="s">
        <v>8649</v>
      </c>
      <c r="E4393" s="1566"/>
      <c r="F4393" s="1566"/>
      <c r="G4393" s="1566"/>
      <c r="H4393" s="1568">
        <v>1</v>
      </c>
      <c r="I4393" s="1566"/>
      <c r="J4393" s="1566"/>
      <c r="K4393" s="1565">
        <v>16333</v>
      </c>
      <c r="L4393" s="1565">
        <v>16333.33</v>
      </c>
      <c r="M4393" s="1565">
        <v>-16333.33</v>
      </c>
      <c r="N4393" s="1564"/>
      <c r="O4393" s="1564"/>
      <c r="P4393" s="1565">
        <v>16333.33</v>
      </c>
      <c r="Q4393" s="1565">
        <v>-16333.33</v>
      </c>
      <c r="R4393" s="1564"/>
      <c r="S4393" s="1562"/>
    </row>
    <row r="4394" spans="2:19" ht="11.25" customHeight="1" outlineLevel="1">
      <c r="B4394" s="1573">
        <v>34118</v>
      </c>
      <c r="C4394" s="1566" t="s">
        <v>4314</v>
      </c>
      <c r="D4394" s="1566" t="s">
        <v>8648</v>
      </c>
      <c r="E4394" s="1566"/>
      <c r="F4394" s="1566"/>
      <c r="G4394" s="1566"/>
      <c r="H4394" s="1568">
        <v>1</v>
      </c>
      <c r="I4394" s="1566"/>
      <c r="J4394" s="1566"/>
      <c r="K4394" s="1565">
        <v>16333</v>
      </c>
      <c r="L4394" s="1565">
        <v>16333.33</v>
      </c>
      <c r="M4394" s="1565">
        <v>-16333.33</v>
      </c>
      <c r="N4394" s="1564"/>
      <c r="O4394" s="1564"/>
      <c r="P4394" s="1565">
        <v>16333.33</v>
      </c>
      <c r="Q4394" s="1565">
        <v>-16333.33</v>
      </c>
      <c r="R4394" s="1564"/>
      <c r="S4394" s="1562"/>
    </row>
    <row r="4395" spans="2:19" ht="11.25" customHeight="1" outlineLevel="1">
      <c r="B4395" s="1573">
        <v>34547</v>
      </c>
      <c r="C4395" s="1566" t="s">
        <v>4314</v>
      </c>
      <c r="D4395" s="1566" t="s">
        <v>8647</v>
      </c>
      <c r="E4395" s="1566"/>
      <c r="F4395" s="1566"/>
      <c r="G4395" s="1566"/>
      <c r="H4395" s="1568">
        <v>1</v>
      </c>
      <c r="I4395" s="1566"/>
      <c r="J4395" s="1566"/>
      <c r="K4395" s="1565">
        <v>8250</v>
      </c>
      <c r="L4395" s="1565">
        <v>8250</v>
      </c>
      <c r="M4395" s="1565">
        <v>-8250</v>
      </c>
      <c r="N4395" s="1564"/>
      <c r="O4395" s="1564"/>
      <c r="P4395" s="1565">
        <v>8250</v>
      </c>
      <c r="Q4395" s="1565">
        <v>-8250</v>
      </c>
      <c r="R4395" s="1564"/>
      <c r="S4395" s="1562"/>
    </row>
    <row r="4396" spans="2:19" ht="11.25" customHeight="1" outlineLevel="1">
      <c r="B4396" s="1573">
        <v>34550</v>
      </c>
      <c r="C4396" s="1566" t="s">
        <v>4314</v>
      </c>
      <c r="D4396" s="1566" t="s">
        <v>8646</v>
      </c>
      <c r="E4396" s="1566"/>
      <c r="F4396" s="1566"/>
      <c r="G4396" s="1566"/>
      <c r="H4396" s="1568">
        <v>1</v>
      </c>
      <c r="I4396" s="1566"/>
      <c r="J4396" s="1566"/>
      <c r="K4396" s="1565">
        <v>2418</v>
      </c>
      <c r="L4396" s="1565">
        <v>2418</v>
      </c>
      <c r="M4396" s="1565">
        <v>-2418</v>
      </c>
      <c r="N4396" s="1564"/>
      <c r="O4396" s="1564"/>
      <c r="P4396" s="1565">
        <v>2418</v>
      </c>
      <c r="Q4396" s="1565">
        <v>-2418</v>
      </c>
      <c r="R4396" s="1564"/>
      <c r="S4396" s="1562"/>
    </row>
    <row r="4397" spans="2:19" ht="11.25" customHeight="1" outlineLevel="1">
      <c r="B4397" s="1573">
        <v>34551</v>
      </c>
      <c r="C4397" s="1566" t="s">
        <v>4314</v>
      </c>
      <c r="D4397" s="1566" t="s">
        <v>8645</v>
      </c>
      <c r="E4397" s="1566"/>
      <c r="F4397" s="1566"/>
      <c r="G4397" s="1566"/>
      <c r="H4397" s="1568">
        <v>1</v>
      </c>
      <c r="I4397" s="1566"/>
      <c r="J4397" s="1566"/>
      <c r="K4397" s="1565">
        <v>2418</v>
      </c>
      <c r="L4397" s="1565">
        <v>2418</v>
      </c>
      <c r="M4397" s="1565">
        <v>-2418</v>
      </c>
      <c r="N4397" s="1564"/>
      <c r="O4397" s="1564"/>
      <c r="P4397" s="1565">
        <v>2418</v>
      </c>
      <c r="Q4397" s="1565">
        <v>-2418</v>
      </c>
      <c r="R4397" s="1564"/>
      <c r="S4397" s="1562"/>
    </row>
    <row r="4398" spans="2:19" ht="11.25" customHeight="1" outlineLevel="1">
      <c r="B4398" s="1573">
        <v>34552</v>
      </c>
      <c r="C4398" s="1566" t="s">
        <v>4314</v>
      </c>
      <c r="D4398" s="1566" t="s">
        <v>8644</v>
      </c>
      <c r="E4398" s="1566"/>
      <c r="F4398" s="1566"/>
      <c r="G4398" s="1566"/>
      <c r="H4398" s="1568">
        <v>1</v>
      </c>
      <c r="I4398" s="1566"/>
      <c r="J4398" s="1566"/>
      <c r="K4398" s="1565">
        <v>2418</v>
      </c>
      <c r="L4398" s="1565">
        <v>2418</v>
      </c>
      <c r="M4398" s="1565">
        <v>-2418</v>
      </c>
      <c r="N4398" s="1564"/>
      <c r="O4398" s="1564"/>
      <c r="P4398" s="1565">
        <v>2418</v>
      </c>
      <c r="Q4398" s="1565">
        <v>-2418</v>
      </c>
      <c r="R4398" s="1564"/>
      <c r="S4398" s="1562"/>
    </row>
    <row r="4399" spans="2:19" ht="11.25" customHeight="1" outlineLevel="1">
      <c r="B4399" s="1573">
        <v>26893</v>
      </c>
      <c r="C4399" s="1566" t="s">
        <v>4246</v>
      </c>
      <c r="D4399" s="1566" t="s">
        <v>8643</v>
      </c>
      <c r="E4399" s="1566"/>
      <c r="F4399" s="1566"/>
      <c r="G4399" s="1566" t="s">
        <v>4310</v>
      </c>
      <c r="H4399" s="1568">
        <v>1</v>
      </c>
      <c r="I4399" s="1566"/>
      <c r="J4399" s="1566"/>
      <c r="K4399" s="1572">
        <v>27</v>
      </c>
      <c r="L4399" s="1572">
        <v>808</v>
      </c>
      <c r="M4399" s="1564"/>
      <c r="N4399" s="1572">
        <v>808</v>
      </c>
      <c r="O4399" s="1572">
        <v>484.12</v>
      </c>
      <c r="P4399" s="1572">
        <v>310.08</v>
      </c>
      <c r="Q4399" s="1572">
        <v>13.8</v>
      </c>
      <c r="R4399" s="1572">
        <v>323.88</v>
      </c>
      <c r="S4399" s="1562"/>
    </row>
    <row r="4400" spans="2:19" ht="11.25" customHeight="1" outlineLevel="1">
      <c r="B4400" s="1573">
        <v>26895</v>
      </c>
      <c r="C4400" s="1566" t="s">
        <v>4246</v>
      </c>
      <c r="D4400" s="1566" t="s">
        <v>8642</v>
      </c>
      <c r="E4400" s="1566"/>
      <c r="F4400" s="1566"/>
      <c r="G4400" s="1566" t="s">
        <v>4308</v>
      </c>
      <c r="H4400" s="1568">
        <v>1</v>
      </c>
      <c r="I4400" s="1566"/>
      <c r="J4400" s="1566"/>
      <c r="K4400" s="1572">
        <v>27</v>
      </c>
      <c r="L4400" s="1572">
        <v>136</v>
      </c>
      <c r="M4400" s="1564"/>
      <c r="N4400" s="1572">
        <v>136</v>
      </c>
      <c r="O4400" s="1572">
        <v>82.04</v>
      </c>
      <c r="P4400" s="1572">
        <v>51.68</v>
      </c>
      <c r="Q4400" s="1572">
        <v>2.2799999999999998</v>
      </c>
      <c r="R4400" s="1572">
        <v>53.96</v>
      </c>
      <c r="S4400" s="1562"/>
    </row>
    <row r="4401" spans="2:19" ht="11.25" customHeight="1" outlineLevel="1">
      <c r="B4401" s="1573">
        <v>26896</v>
      </c>
      <c r="C4401" s="1566" t="s">
        <v>4246</v>
      </c>
      <c r="D4401" s="1566" t="s">
        <v>8641</v>
      </c>
      <c r="E4401" s="1566"/>
      <c r="F4401" s="1566"/>
      <c r="G4401" s="1566" t="s">
        <v>4308</v>
      </c>
      <c r="H4401" s="1568">
        <v>1</v>
      </c>
      <c r="I4401" s="1566"/>
      <c r="J4401" s="1566"/>
      <c r="K4401" s="1572">
        <v>95</v>
      </c>
      <c r="L4401" s="1565">
        <v>24988</v>
      </c>
      <c r="M4401" s="1564"/>
      <c r="N4401" s="1565">
        <v>24988</v>
      </c>
      <c r="O4401" s="1565">
        <v>14937.12</v>
      </c>
      <c r="P4401" s="1565">
        <v>9626.08</v>
      </c>
      <c r="Q4401" s="1572">
        <v>424.8</v>
      </c>
      <c r="R4401" s="1565">
        <v>10050.879999999999</v>
      </c>
      <c r="S4401" s="1562"/>
    </row>
    <row r="4402" spans="2:19" ht="11.25" customHeight="1" outlineLevel="1">
      <c r="B4402" s="1573">
        <v>26897</v>
      </c>
      <c r="C4402" s="1566" t="s">
        <v>4246</v>
      </c>
      <c r="D4402" s="1566" t="s">
        <v>8640</v>
      </c>
      <c r="E4402" s="1566"/>
      <c r="F4402" s="1566"/>
      <c r="G4402" s="1566" t="s">
        <v>4306</v>
      </c>
      <c r="H4402" s="1568">
        <v>1</v>
      </c>
      <c r="I4402" s="1566"/>
      <c r="J4402" s="1566"/>
      <c r="K4402" s="1572">
        <v>27</v>
      </c>
      <c r="L4402" s="1572">
        <v>136</v>
      </c>
      <c r="M4402" s="1564"/>
      <c r="N4402" s="1572">
        <v>136</v>
      </c>
      <c r="O4402" s="1572">
        <v>82.04</v>
      </c>
      <c r="P4402" s="1572">
        <v>51.68</v>
      </c>
      <c r="Q4402" s="1572">
        <v>2.2799999999999998</v>
      </c>
      <c r="R4402" s="1572">
        <v>53.96</v>
      </c>
      <c r="S4402" s="1562"/>
    </row>
    <row r="4403" spans="2:19" ht="11.25" customHeight="1" outlineLevel="1">
      <c r="B4403" s="1573">
        <v>26898</v>
      </c>
      <c r="C4403" s="1566" t="s">
        <v>4246</v>
      </c>
      <c r="D4403" s="1566" t="s">
        <v>8639</v>
      </c>
      <c r="E4403" s="1566"/>
      <c r="F4403" s="1566"/>
      <c r="G4403" s="1566" t="s">
        <v>4306</v>
      </c>
      <c r="H4403" s="1568">
        <v>1</v>
      </c>
      <c r="I4403" s="1566"/>
      <c r="J4403" s="1566"/>
      <c r="K4403" s="1572">
        <v>95</v>
      </c>
      <c r="L4403" s="1565">
        <v>6058</v>
      </c>
      <c r="M4403" s="1564"/>
      <c r="N4403" s="1565">
        <v>6058</v>
      </c>
      <c r="O4403" s="1565">
        <v>3621.28</v>
      </c>
      <c r="P4403" s="1565">
        <v>2333.7600000000002</v>
      </c>
      <c r="Q4403" s="1572">
        <v>102.96</v>
      </c>
      <c r="R4403" s="1565">
        <v>2436.7199999999998</v>
      </c>
      <c r="S4403" s="1562"/>
    </row>
    <row r="4404" spans="2:19" ht="11.25" customHeight="1" outlineLevel="1">
      <c r="B4404" s="1573">
        <v>26899</v>
      </c>
      <c r="C4404" s="1566" t="s">
        <v>4246</v>
      </c>
      <c r="D4404" s="1566" t="s">
        <v>8638</v>
      </c>
      <c r="E4404" s="1566"/>
      <c r="F4404" s="1566"/>
      <c r="G4404" s="1566" t="s">
        <v>4304</v>
      </c>
      <c r="H4404" s="1568">
        <v>1</v>
      </c>
      <c r="I4404" s="1566"/>
      <c r="J4404" s="1566"/>
      <c r="K4404" s="1572">
        <v>27</v>
      </c>
      <c r="L4404" s="1572">
        <v>256</v>
      </c>
      <c r="M4404" s="1564"/>
      <c r="N4404" s="1572">
        <v>256</v>
      </c>
      <c r="O4404" s="1572">
        <v>153.76</v>
      </c>
      <c r="P4404" s="1572">
        <v>97.92</v>
      </c>
      <c r="Q4404" s="1572">
        <v>4.32</v>
      </c>
      <c r="R4404" s="1572">
        <v>102.24</v>
      </c>
      <c r="S4404" s="1562"/>
    </row>
    <row r="4405" spans="2:19" ht="11.25" customHeight="1" outlineLevel="1">
      <c r="B4405" s="1573">
        <v>26900</v>
      </c>
      <c r="C4405" s="1566" t="s">
        <v>4246</v>
      </c>
      <c r="D4405" s="1566" t="s">
        <v>8637</v>
      </c>
      <c r="E4405" s="1566"/>
      <c r="F4405" s="1566"/>
      <c r="G4405" s="1566" t="s">
        <v>4304</v>
      </c>
      <c r="H4405" s="1568">
        <v>1</v>
      </c>
      <c r="I4405" s="1566"/>
      <c r="J4405" s="1566"/>
      <c r="K4405" s="1572">
        <v>95</v>
      </c>
      <c r="L4405" s="1565">
        <v>12352</v>
      </c>
      <c r="M4405" s="1564"/>
      <c r="N4405" s="1565">
        <v>12352</v>
      </c>
      <c r="O4405" s="1565">
        <v>7382.12</v>
      </c>
      <c r="P4405" s="1565">
        <v>4760</v>
      </c>
      <c r="Q4405" s="1572">
        <v>209.88</v>
      </c>
      <c r="R4405" s="1565">
        <v>4969.88</v>
      </c>
      <c r="S4405" s="1562"/>
    </row>
    <row r="4406" spans="2:19" ht="11.25" customHeight="1" outlineLevel="1">
      <c r="B4406" s="1573">
        <v>26901</v>
      </c>
      <c r="C4406" s="1566" t="s">
        <v>4246</v>
      </c>
      <c r="D4406" s="1566" t="s">
        <v>8636</v>
      </c>
      <c r="E4406" s="1566"/>
      <c r="F4406" s="1566"/>
      <c r="G4406" s="1566" t="s">
        <v>4302</v>
      </c>
      <c r="H4406" s="1568">
        <v>1</v>
      </c>
      <c r="I4406" s="1566"/>
      <c r="J4406" s="1566"/>
      <c r="K4406" s="1572">
        <v>27</v>
      </c>
      <c r="L4406" s="1572">
        <v>152</v>
      </c>
      <c r="M4406" s="1564"/>
      <c r="N4406" s="1572">
        <v>152</v>
      </c>
      <c r="O4406" s="1572">
        <v>89.64</v>
      </c>
      <c r="P4406" s="1572">
        <v>59.84</v>
      </c>
      <c r="Q4406" s="1572">
        <v>2.52</v>
      </c>
      <c r="R4406" s="1572">
        <v>62.36</v>
      </c>
      <c r="S4406" s="1562"/>
    </row>
    <row r="4407" spans="2:19" ht="11.25" customHeight="1" outlineLevel="1">
      <c r="B4407" s="1573">
        <v>26902</v>
      </c>
      <c r="C4407" s="1566" t="s">
        <v>4246</v>
      </c>
      <c r="D4407" s="1566" t="s">
        <v>8635</v>
      </c>
      <c r="E4407" s="1566"/>
      <c r="F4407" s="1566"/>
      <c r="G4407" s="1566" t="s">
        <v>4300</v>
      </c>
      <c r="H4407" s="1568">
        <v>1</v>
      </c>
      <c r="I4407" s="1566"/>
      <c r="J4407" s="1566"/>
      <c r="K4407" s="1572">
        <v>27</v>
      </c>
      <c r="L4407" s="1572">
        <v>681</v>
      </c>
      <c r="M4407" s="1564"/>
      <c r="N4407" s="1572">
        <v>681</v>
      </c>
      <c r="O4407" s="1572">
        <v>408.24</v>
      </c>
      <c r="P4407" s="1572">
        <v>261.12</v>
      </c>
      <c r="Q4407" s="1572">
        <v>11.64</v>
      </c>
      <c r="R4407" s="1572">
        <v>272.76</v>
      </c>
      <c r="S4407" s="1562"/>
    </row>
    <row r="4408" spans="2:19" ht="11.25" customHeight="1" outlineLevel="1">
      <c r="B4408" s="1573">
        <v>26903</v>
      </c>
      <c r="C4408" s="1566" t="s">
        <v>4246</v>
      </c>
      <c r="D4408" s="1566" t="s">
        <v>8634</v>
      </c>
      <c r="E4408" s="1566"/>
      <c r="F4408" s="1566"/>
      <c r="G4408" s="1566" t="s">
        <v>4300</v>
      </c>
      <c r="H4408" s="1568">
        <v>1</v>
      </c>
      <c r="I4408" s="1566"/>
      <c r="J4408" s="1566"/>
      <c r="K4408" s="1572">
        <v>95</v>
      </c>
      <c r="L4408" s="1565">
        <v>1183</v>
      </c>
      <c r="M4408" s="1564"/>
      <c r="N4408" s="1565">
        <v>1183</v>
      </c>
      <c r="O4408" s="1572">
        <v>706</v>
      </c>
      <c r="P4408" s="1572">
        <v>456.96</v>
      </c>
      <c r="Q4408" s="1572">
        <v>20.04</v>
      </c>
      <c r="R4408" s="1572">
        <v>477</v>
      </c>
      <c r="S4408" s="1562"/>
    </row>
    <row r="4409" spans="2:19" ht="11.25" customHeight="1" outlineLevel="1">
      <c r="B4409" s="1573">
        <v>26910</v>
      </c>
      <c r="C4409" s="1566" t="s">
        <v>4246</v>
      </c>
      <c r="D4409" s="1566" t="s">
        <v>8633</v>
      </c>
      <c r="E4409" s="1566"/>
      <c r="F4409" s="1566"/>
      <c r="G4409" s="1566" t="s">
        <v>4298</v>
      </c>
      <c r="H4409" s="1568">
        <v>1</v>
      </c>
      <c r="I4409" s="1566"/>
      <c r="J4409" s="1566"/>
      <c r="K4409" s="1572">
        <v>990</v>
      </c>
      <c r="L4409" s="1565">
        <v>11385</v>
      </c>
      <c r="M4409" s="1564"/>
      <c r="N4409" s="1565">
        <v>11385</v>
      </c>
      <c r="O4409" s="1565">
        <v>6804.2</v>
      </c>
      <c r="P4409" s="1565">
        <v>4387.3599999999997</v>
      </c>
      <c r="Q4409" s="1572">
        <v>193.44</v>
      </c>
      <c r="R4409" s="1565">
        <v>4580.8</v>
      </c>
      <c r="S4409" s="1562"/>
    </row>
    <row r="4410" spans="2:19" ht="11.25" customHeight="1" outlineLevel="1">
      <c r="B4410" s="1573">
        <v>26911</v>
      </c>
      <c r="C4410" s="1566" t="s">
        <v>4246</v>
      </c>
      <c r="D4410" s="1566" t="s">
        <v>8632</v>
      </c>
      <c r="E4410" s="1566"/>
      <c r="F4410" s="1566"/>
      <c r="G4410" s="1566" t="s">
        <v>4296</v>
      </c>
      <c r="H4410" s="1568">
        <v>1</v>
      </c>
      <c r="I4410" s="1566"/>
      <c r="J4410" s="1566"/>
      <c r="K4410" s="1572">
        <v>990</v>
      </c>
      <c r="L4410" s="1565">
        <v>55440</v>
      </c>
      <c r="M4410" s="1564"/>
      <c r="N4410" s="1565">
        <v>55440</v>
      </c>
      <c r="O4410" s="1565">
        <v>33137.550000000003</v>
      </c>
      <c r="P4410" s="1565">
        <v>21360.16</v>
      </c>
      <c r="Q4410" s="1572">
        <v>942.29</v>
      </c>
      <c r="R4410" s="1565">
        <v>22302.45</v>
      </c>
      <c r="S4410" s="1562"/>
    </row>
    <row r="4411" spans="2:19" ht="11.25" customHeight="1" outlineLevel="1">
      <c r="B4411" s="1573">
        <v>26912</v>
      </c>
      <c r="C4411" s="1566" t="s">
        <v>4246</v>
      </c>
      <c r="D4411" s="1566" t="s">
        <v>8631</v>
      </c>
      <c r="E4411" s="1566"/>
      <c r="F4411" s="1566"/>
      <c r="G4411" s="1566" t="s">
        <v>4292</v>
      </c>
      <c r="H4411" s="1568">
        <v>1</v>
      </c>
      <c r="I4411" s="1566"/>
      <c r="J4411" s="1566"/>
      <c r="K4411" s="1572">
        <v>990</v>
      </c>
      <c r="L4411" s="1565">
        <v>44550</v>
      </c>
      <c r="M4411" s="1564"/>
      <c r="N4411" s="1565">
        <v>44550</v>
      </c>
      <c r="O4411" s="1565">
        <v>26629.599999999999</v>
      </c>
      <c r="P4411" s="1565">
        <v>17163.2</v>
      </c>
      <c r="Q4411" s="1572">
        <v>757.2</v>
      </c>
      <c r="R4411" s="1565">
        <v>17920.400000000001</v>
      </c>
      <c r="S4411" s="1562"/>
    </row>
    <row r="4412" spans="2:19" ht="11.25" customHeight="1" outlineLevel="1">
      <c r="B4412" s="1573">
        <v>26913</v>
      </c>
      <c r="C4412" s="1566" t="s">
        <v>4246</v>
      </c>
      <c r="D4412" s="1566" t="s">
        <v>8630</v>
      </c>
      <c r="E4412" s="1566"/>
      <c r="F4412" s="1566"/>
      <c r="G4412" s="1566" t="s">
        <v>8629</v>
      </c>
      <c r="H4412" s="1568">
        <v>1</v>
      </c>
      <c r="I4412" s="1566"/>
      <c r="J4412" s="1566"/>
      <c r="K4412" s="1572">
        <v>990</v>
      </c>
      <c r="L4412" s="1565">
        <v>77220</v>
      </c>
      <c r="M4412" s="1564"/>
      <c r="N4412" s="1565">
        <v>77220</v>
      </c>
      <c r="O4412" s="1565">
        <v>46156.2</v>
      </c>
      <c r="P4412" s="1565">
        <v>29751.360000000001</v>
      </c>
      <c r="Q4412" s="1565">
        <v>1312.44</v>
      </c>
      <c r="R4412" s="1565">
        <v>31063.8</v>
      </c>
      <c r="S4412" s="1562"/>
    </row>
    <row r="4413" spans="2:19" ht="11.25" customHeight="1" outlineLevel="1">
      <c r="B4413" s="1573">
        <v>26914</v>
      </c>
      <c r="C4413" s="1566" t="s">
        <v>4246</v>
      </c>
      <c r="D4413" s="1566" t="s">
        <v>8628</v>
      </c>
      <c r="E4413" s="1566"/>
      <c r="F4413" s="1566"/>
      <c r="G4413" s="1566" t="s">
        <v>4290</v>
      </c>
      <c r="H4413" s="1568">
        <v>1</v>
      </c>
      <c r="I4413" s="1566"/>
      <c r="J4413" s="1566"/>
      <c r="K4413" s="1572">
        <v>990</v>
      </c>
      <c r="L4413" s="1565">
        <v>239582</v>
      </c>
      <c r="M4413" s="1564"/>
      <c r="N4413" s="1565">
        <v>239582</v>
      </c>
      <c r="O4413" s="1565">
        <v>143206.6</v>
      </c>
      <c r="P4413" s="1565">
        <v>92303.2</v>
      </c>
      <c r="Q4413" s="1565">
        <v>4072.2</v>
      </c>
      <c r="R4413" s="1565">
        <v>96375.4</v>
      </c>
      <c r="S4413" s="1562"/>
    </row>
    <row r="4414" spans="2:19" ht="11.25" customHeight="1" outlineLevel="1">
      <c r="B4414" s="1573">
        <v>26915</v>
      </c>
      <c r="C4414" s="1566" t="s">
        <v>4246</v>
      </c>
      <c r="D4414" s="1566" t="s">
        <v>8627</v>
      </c>
      <c r="E4414" s="1566"/>
      <c r="F4414" s="1566"/>
      <c r="G4414" s="1566" t="s">
        <v>4288</v>
      </c>
      <c r="H4414" s="1568">
        <v>1</v>
      </c>
      <c r="I4414" s="1566"/>
      <c r="J4414" s="1566"/>
      <c r="K4414" s="1565">
        <v>1595</v>
      </c>
      <c r="L4414" s="1565">
        <v>30305</v>
      </c>
      <c r="M4414" s="1564"/>
      <c r="N4414" s="1565">
        <v>30305</v>
      </c>
      <c r="O4414" s="1565">
        <v>18115.599999999999</v>
      </c>
      <c r="P4414" s="1565">
        <v>11674.24</v>
      </c>
      <c r="Q4414" s="1572">
        <v>515.16</v>
      </c>
      <c r="R4414" s="1565">
        <v>12189.4</v>
      </c>
      <c r="S4414" s="1562"/>
    </row>
    <row r="4415" spans="2:19" ht="11.25" customHeight="1" outlineLevel="1">
      <c r="B4415" s="1573">
        <v>26916</v>
      </c>
      <c r="C4415" s="1566" t="s">
        <v>4246</v>
      </c>
      <c r="D4415" s="1566" t="s">
        <v>8626</v>
      </c>
      <c r="E4415" s="1566"/>
      <c r="F4415" s="1566"/>
      <c r="G4415" s="1566" t="s">
        <v>4286</v>
      </c>
      <c r="H4415" s="1568">
        <v>1</v>
      </c>
      <c r="I4415" s="1566"/>
      <c r="J4415" s="1566"/>
      <c r="K4415" s="1572">
        <v>990</v>
      </c>
      <c r="L4415" s="1565">
        <v>6930</v>
      </c>
      <c r="M4415" s="1564"/>
      <c r="N4415" s="1565">
        <v>6930</v>
      </c>
      <c r="O4415" s="1565">
        <v>4141.24</v>
      </c>
      <c r="P4415" s="1565">
        <v>2671.04</v>
      </c>
      <c r="Q4415" s="1572">
        <v>117.72</v>
      </c>
      <c r="R4415" s="1565">
        <v>2788.76</v>
      </c>
      <c r="S4415" s="1562"/>
    </row>
    <row r="4416" spans="2:19" ht="11.25" customHeight="1" outlineLevel="1">
      <c r="B4416" s="1573">
        <v>26917</v>
      </c>
      <c r="C4416" s="1566" t="s">
        <v>4246</v>
      </c>
      <c r="D4416" s="1566" t="s">
        <v>8625</v>
      </c>
      <c r="E4416" s="1566"/>
      <c r="F4416" s="1566"/>
      <c r="G4416" s="1566" t="s">
        <v>4284</v>
      </c>
      <c r="H4416" s="1568">
        <v>1</v>
      </c>
      <c r="I4416" s="1566"/>
      <c r="J4416" s="1566"/>
      <c r="K4416" s="1572">
        <v>990</v>
      </c>
      <c r="L4416" s="1565">
        <v>244532</v>
      </c>
      <c r="M4416" s="1564"/>
      <c r="N4416" s="1565">
        <v>244532</v>
      </c>
      <c r="O4416" s="1565">
        <v>146165.76000000001</v>
      </c>
      <c r="P4416" s="1565">
        <v>94209.919999999998</v>
      </c>
      <c r="Q4416" s="1565">
        <v>4156.32</v>
      </c>
      <c r="R4416" s="1565">
        <v>98366.24</v>
      </c>
      <c r="S4416" s="1562"/>
    </row>
    <row r="4417" spans="2:19" ht="11.25" customHeight="1" outlineLevel="1">
      <c r="B4417" s="1573">
        <v>26918</v>
      </c>
      <c r="C4417" s="1566" t="s">
        <v>4246</v>
      </c>
      <c r="D4417" s="1566" t="s">
        <v>8624</v>
      </c>
      <c r="E4417" s="1566"/>
      <c r="F4417" s="1566"/>
      <c r="G4417" s="1566" t="s">
        <v>4282</v>
      </c>
      <c r="H4417" s="1568">
        <v>1</v>
      </c>
      <c r="I4417" s="1566"/>
      <c r="J4417" s="1566"/>
      <c r="K4417" s="1572">
        <v>190</v>
      </c>
      <c r="L4417" s="1565">
        <v>2569</v>
      </c>
      <c r="M4417" s="1564"/>
      <c r="N4417" s="1565">
        <v>2569</v>
      </c>
      <c r="O4417" s="1565">
        <v>1535.24</v>
      </c>
      <c r="P4417" s="1572">
        <v>990.08</v>
      </c>
      <c r="Q4417" s="1572">
        <v>43.68</v>
      </c>
      <c r="R4417" s="1565">
        <v>1033.76</v>
      </c>
      <c r="S4417" s="1562"/>
    </row>
    <row r="4418" spans="2:19" ht="11.25" customHeight="1" outlineLevel="1">
      <c r="B4418" s="1573">
        <v>26929</v>
      </c>
      <c r="C4418" s="1566" t="s">
        <v>4246</v>
      </c>
      <c r="D4418" s="1566" t="s">
        <v>8623</v>
      </c>
      <c r="E4418" s="1566"/>
      <c r="F4418" s="1566"/>
      <c r="G4418" s="1566" t="s">
        <v>8622</v>
      </c>
      <c r="H4418" s="1568">
        <v>1</v>
      </c>
      <c r="I4418" s="1566"/>
      <c r="J4418" s="1566"/>
      <c r="K4418" s="1572">
        <v>935</v>
      </c>
      <c r="L4418" s="1565">
        <v>258590</v>
      </c>
      <c r="M4418" s="1564"/>
      <c r="N4418" s="1565">
        <v>258590</v>
      </c>
      <c r="O4418" s="1565">
        <v>59026.04</v>
      </c>
      <c r="P4418" s="1565">
        <v>191131.68</v>
      </c>
      <c r="Q4418" s="1565">
        <v>8432.2800000000007</v>
      </c>
      <c r="R4418" s="1565">
        <v>199563.96</v>
      </c>
      <c r="S4418" s="1562"/>
    </row>
    <row r="4419" spans="2:19" ht="11.25" customHeight="1" outlineLevel="1">
      <c r="B4419" s="1573">
        <v>26930</v>
      </c>
      <c r="C4419" s="1566" t="s">
        <v>4246</v>
      </c>
      <c r="D4419" s="1566" t="s">
        <v>8621</v>
      </c>
      <c r="E4419" s="1566"/>
      <c r="F4419" s="1566"/>
      <c r="G4419" s="1566" t="s">
        <v>4269</v>
      </c>
      <c r="H4419" s="1568">
        <v>1</v>
      </c>
      <c r="I4419" s="1566"/>
      <c r="J4419" s="1566"/>
      <c r="K4419" s="1572">
        <v>725</v>
      </c>
      <c r="L4419" s="1565">
        <v>285653</v>
      </c>
      <c r="M4419" s="1564"/>
      <c r="N4419" s="1565">
        <v>285653</v>
      </c>
      <c r="O4419" s="1565">
        <v>49822.48</v>
      </c>
      <c r="P4419" s="1565">
        <v>225866.08</v>
      </c>
      <c r="Q4419" s="1565">
        <v>9964.44</v>
      </c>
      <c r="R4419" s="1565">
        <v>235830.52</v>
      </c>
      <c r="S4419" s="1562"/>
    </row>
    <row r="4420" spans="2:19" ht="11.25" customHeight="1" outlineLevel="1">
      <c r="B4420" s="1573">
        <v>26931</v>
      </c>
      <c r="C4420" s="1566" t="s">
        <v>4246</v>
      </c>
      <c r="D4420" s="1566" t="s">
        <v>8620</v>
      </c>
      <c r="E4420" s="1566"/>
      <c r="F4420" s="1566"/>
      <c r="G4420" s="1566" t="s">
        <v>4269</v>
      </c>
      <c r="H4420" s="1568">
        <v>1</v>
      </c>
      <c r="I4420" s="1566"/>
      <c r="J4420" s="1566"/>
      <c r="K4420" s="1572">
        <v>892</v>
      </c>
      <c r="L4420" s="1565">
        <v>245305</v>
      </c>
      <c r="M4420" s="1564"/>
      <c r="N4420" s="1565">
        <v>245305</v>
      </c>
      <c r="O4420" s="1565">
        <v>42784.84</v>
      </c>
      <c r="P4420" s="1565">
        <v>193963.2</v>
      </c>
      <c r="Q4420" s="1565">
        <v>8556.9599999999991</v>
      </c>
      <c r="R4420" s="1565">
        <v>202520.16</v>
      </c>
      <c r="S4420" s="1562"/>
    </row>
    <row r="4421" spans="2:19" ht="11.25" customHeight="1" outlineLevel="1">
      <c r="B4421" s="1573">
        <v>26935</v>
      </c>
      <c r="C4421" s="1566" t="s">
        <v>4246</v>
      </c>
      <c r="D4421" s="1566" t="s">
        <v>8619</v>
      </c>
      <c r="E4421" s="1566"/>
      <c r="F4421" s="1566"/>
      <c r="G4421" s="1566" t="s">
        <v>8618</v>
      </c>
      <c r="H4421" s="1568">
        <v>1</v>
      </c>
      <c r="I4421" s="1566"/>
      <c r="J4421" s="1566"/>
      <c r="K4421" s="1572">
        <v>450</v>
      </c>
      <c r="L4421" s="1565">
        <v>156151</v>
      </c>
      <c r="M4421" s="1564"/>
      <c r="N4421" s="1565">
        <v>156151</v>
      </c>
      <c r="O4421" s="1565">
        <v>27235</v>
      </c>
      <c r="P4421" s="1565">
        <v>123468.96</v>
      </c>
      <c r="Q4421" s="1565">
        <v>5447.04</v>
      </c>
      <c r="R4421" s="1565">
        <v>128916</v>
      </c>
      <c r="S4421" s="1562"/>
    </row>
    <row r="4422" spans="2:19" ht="11.25" customHeight="1" outlineLevel="1">
      <c r="B4422" s="1573">
        <v>26936</v>
      </c>
      <c r="C4422" s="1566" t="s">
        <v>4246</v>
      </c>
      <c r="D4422" s="1566" t="s">
        <v>8617</v>
      </c>
      <c r="E4422" s="1566"/>
      <c r="F4422" s="1566"/>
      <c r="G4422" s="1566" t="s">
        <v>8616</v>
      </c>
      <c r="H4422" s="1568">
        <v>1</v>
      </c>
      <c r="I4422" s="1566"/>
      <c r="J4422" s="1566"/>
      <c r="K4422" s="1572">
        <v>725</v>
      </c>
      <c r="L4422" s="1565">
        <v>117451</v>
      </c>
      <c r="M4422" s="1564"/>
      <c r="N4422" s="1565">
        <v>117451</v>
      </c>
      <c r="O4422" s="1565">
        <v>23753.84</v>
      </c>
      <c r="P4422" s="1565">
        <v>89738.240000000005</v>
      </c>
      <c r="Q4422" s="1565">
        <v>3958.92</v>
      </c>
      <c r="R4422" s="1565">
        <v>93697.16</v>
      </c>
      <c r="S4422" s="1562"/>
    </row>
    <row r="4423" spans="2:19" ht="11.25" customHeight="1" outlineLevel="1">
      <c r="B4423" s="1573">
        <v>26937</v>
      </c>
      <c r="C4423" s="1566" t="s">
        <v>4246</v>
      </c>
      <c r="D4423" s="1566" t="s">
        <v>8615</v>
      </c>
      <c r="E4423" s="1566"/>
      <c r="F4423" s="1566"/>
      <c r="G4423" s="1566" t="s">
        <v>8614</v>
      </c>
      <c r="H4423" s="1568">
        <v>1</v>
      </c>
      <c r="I4423" s="1566"/>
      <c r="J4423" s="1566"/>
      <c r="K4423" s="1572">
        <v>450</v>
      </c>
      <c r="L4423" s="1565">
        <v>118801</v>
      </c>
      <c r="M4423" s="1564"/>
      <c r="N4423" s="1565">
        <v>118801</v>
      </c>
      <c r="O4423" s="1565">
        <v>24027.360000000001</v>
      </c>
      <c r="P4423" s="1565">
        <v>90769.12</v>
      </c>
      <c r="Q4423" s="1565">
        <v>4004.52</v>
      </c>
      <c r="R4423" s="1565">
        <v>94773.64</v>
      </c>
      <c r="S4423" s="1562"/>
    </row>
    <row r="4424" spans="2:19" ht="11.25" customHeight="1" outlineLevel="1">
      <c r="B4424" s="1573">
        <v>26938</v>
      </c>
      <c r="C4424" s="1566" t="s">
        <v>4246</v>
      </c>
      <c r="D4424" s="1566" t="s">
        <v>8613</v>
      </c>
      <c r="E4424" s="1566"/>
      <c r="F4424" s="1566"/>
      <c r="G4424" s="1566" t="s">
        <v>8612</v>
      </c>
      <c r="H4424" s="1568">
        <v>1</v>
      </c>
      <c r="I4424" s="1566"/>
      <c r="J4424" s="1566"/>
      <c r="K4424" s="1572">
        <v>190</v>
      </c>
      <c r="L4424" s="1565">
        <v>22834</v>
      </c>
      <c r="M4424" s="1564"/>
      <c r="N4424" s="1565">
        <v>22834</v>
      </c>
      <c r="O4424" s="1565">
        <v>5211.8</v>
      </c>
      <c r="P4424" s="1565">
        <v>16877.599999999999</v>
      </c>
      <c r="Q4424" s="1572">
        <v>744.6</v>
      </c>
      <c r="R4424" s="1565">
        <v>17622.2</v>
      </c>
      <c r="S4424" s="1562"/>
    </row>
    <row r="4425" spans="2:19" ht="11.25" customHeight="1" outlineLevel="1">
      <c r="B4425" s="1573">
        <v>26939</v>
      </c>
      <c r="C4425" s="1566" t="s">
        <v>4246</v>
      </c>
      <c r="D4425" s="1566" t="s">
        <v>8611</v>
      </c>
      <c r="E4425" s="1566"/>
      <c r="F4425" s="1566"/>
      <c r="G4425" s="1566" t="s">
        <v>4271</v>
      </c>
      <c r="H4425" s="1568">
        <v>1</v>
      </c>
      <c r="I4425" s="1566"/>
      <c r="J4425" s="1566"/>
      <c r="K4425" s="1572">
        <v>558</v>
      </c>
      <c r="L4425" s="1565">
        <v>23450</v>
      </c>
      <c r="M4425" s="1564"/>
      <c r="N4425" s="1565">
        <v>23450</v>
      </c>
      <c r="O4425" s="1565">
        <v>4742.92</v>
      </c>
      <c r="P4425" s="1565">
        <v>17916.64</v>
      </c>
      <c r="Q4425" s="1572">
        <v>790.44</v>
      </c>
      <c r="R4425" s="1565">
        <v>18707.080000000002</v>
      </c>
      <c r="S4425" s="1562"/>
    </row>
    <row r="4426" spans="2:19" ht="11.25" customHeight="1" outlineLevel="1">
      <c r="B4426" s="1573">
        <v>26940</v>
      </c>
      <c r="C4426" s="1566" t="s">
        <v>4246</v>
      </c>
      <c r="D4426" s="1566" t="s">
        <v>8610</v>
      </c>
      <c r="E4426" s="1566"/>
      <c r="F4426" s="1566"/>
      <c r="G4426" s="1566" t="s">
        <v>4271</v>
      </c>
      <c r="H4426" s="1568">
        <v>1</v>
      </c>
      <c r="I4426" s="1566"/>
      <c r="J4426" s="1566"/>
      <c r="K4426" s="1572">
        <v>450</v>
      </c>
      <c r="L4426" s="1565">
        <v>5400</v>
      </c>
      <c r="M4426" s="1564"/>
      <c r="N4426" s="1565">
        <v>5400</v>
      </c>
      <c r="O4426" s="1565">
        <v>1091.8399999999999</v>
      </c>
      <c r="P4426" s="1565">
        <v>4126.24</v>
      </c>
      <c r="Q4426" s="1572">
        <v>181.92</v>
      </c>
      <c r="R4426" s="1565">
        <v>4308.16</v>
      </c>
      <c r="S4426" s="1562"/>
    </row>
    <row r="4427" spans="2:19" ht="11.25" customHeight="1" outlineLevel="1">
      <c r="B4427" s="1573">
        <v>26941</v>
      </c>
      <c r="C4427" s="1566" t="s">
        <v>4246</v>
      </c>
      <c r="D4427" s="1566" t="s">
        <v>8609</v>
      </c>
      <c r="E4427" s="1566"/>
      <c r="F4427" s="1566"/>
      <c r="G4427" s="1566" t="s">
        <v>8608</v>
      </c>
      <c r="H4427" s="1568">
        <v>1</v>
      </c>
      <c r="I4427" s="1566"/>
      <c r="J4427" s="1566"/>
      <c r="K4427" s="1572">
        <v>725</v>
      </c>
      <c r="L4427" s="1565">
        <v>7975</v>
      </c>
      <c r="M4427" s="1564"/>
      <c r="N4427" s="1565">
        <v>7975</v>
      </c>
      <c r="O4427" s="1565">
        <v>1613.28</v>
      </c>
      <c r="P4427" s="1565">
        <v>6092.8</v>
      </c>
      <c r="Q4427" s="1572">
        <v>268.92</v>
      </c>
      <c r="R4427" s="1565">
        <v>6361.72</v>
      </c>
      <c r="S4427" s="1562"/>
    </row>
    <row r="4428" spans="2:19" ht="11.25" customHeight="1" outlineLevel="1">
      <c r="B4428" s="1573">
        <v>26942</v>
      </c>
      <c r="C4428" s="1566" t="s">
        <v>4246</v>
      </c>
      <c r="D4428" s="1566" t="s">
        <v>8607</v>
      </c>
      <c r="E4428" s="1566"/>
      <c r="F4428" s="1566"/>
      <c r="G4428" s="1566" t="s">
        <v>4265</v>
      </c>
      <c r="H4428" s="1568">
        <v>1</v>
      </c>
      <c r="I4428" s="1566"/>
      <c r="J4428" s="1566"/>
      <c r="K4428" s="1572">
        <v>990</v>
      </c>
      <c r="L4428" s="1565">
        <v>7920</v>
      </c>
      <c r="M4428" s="1564"/>
      <c r="N4428" s="1565">
        <v>7920</v>
      </c>
      <c r="O4428" s="1565">
        <v>4733.5200000000004</v>
      </c>
      <c r="P4428" s="1565">
        <v>3051.84</v>
      </c>
      <c r="Q4428" s="1572">
        <v>134.63999999999999</v>
      </c>
      <c r="R4428" s="1565">
        <v>3186.48</v>
      </c>
      <c r="S4428" s="1562"/>
    </row>
    <row r="4429" spans="2:19" ht="11.25" customHeight="1" outlineLevel="1">
      <c r="B4429" s="1573">
        <v>26943</v>
      </c>
      <c r="C4429" s="1566" t="s">
        <v>4246</v>
      </c>
      <c r="D4429" s="1566" t="s">
        <v>8606</v>
      </c>
      <c r="E4429" s="1566"/>
      <c r="F4429" s="1566"/>
      <c r="G4429" s="1566" t="s">
        <v>4263</v>
      </c>
      <c r="H4429" s="1568">
        <v>1</v>
      </c>
      <c r="I4429" s="1566"/>
      <c r="J4429" s="1566"/>
      <c r="K4429" s="1572">
        <v>354</v>
      </c>
      <c r="L4429" s="1565">
        <v>3542</v>
      </c>
      <c r="M4429" s="1564"/>
      <c r="N4429" s="1565">
        <v>3542</v>
      </c>
      <c r="O4429" s="1572">
        <v>716.2</v>
      </c>
      <c r="P4429" s="1565">
        <v>2706.4</v>
      </c>
      <c r="Q4429" s="1572">
        <v>119.4</v>
      </c>
      <c r="R4429" s="1565">
        <v>2825.8</v>
      </c>
      <c r="S4429" s="1562"/>
    </row>
    <row r="4430" spans="2:19" ht="11.25" customHeight="1" outlineLevel="1">
      <c r="B4430" s="1573">
        <v>26944</v>
      </c>
      <c r="C4430" s="1566" t="s">
        <v>4246</v>
      </c>
      <c r="D4430" s="1566" t="s">
        <v>8605</v>
      </c>
      <c r="E4430" s="1566"/>
      <c r="F4430" s="1566"/>
      <c r="G4430" s="1566" t="s">
        <v>4261</v>
      </c>
      <c r="H4430" s="1568">
        <v>1</v>
      </c>
      <c r="I4430" s="1566"/>
      <c r="J4430" s="1566"/>
      <c r="K4430" s="1572">
        <v>990</v>
      </c>
      <c r="L4430" s="1565">
        <v>19800</v>
      </c>
      <c r="M4430" s="1564"/>
      <c r="N4430" s="1565">
        <v>19800</v>
      </c>
      <c r="O4430" s="1565">
        <v>11833.92</v>
      </c>
      <c r="P4430" s="1565">
        <v>7629.6</v>
      </c>
      <c r="Q4430" s="1572">
        <v>336.48</v>
      </c>
      <c r="R4430" s="1565">
        <v>7966.08</v>
      </c>
      <c r="S4430" s="1562"/>
    </row>
    <row r="4431" spans="2:19" ht="11.25" customHeight="1" outlineLevel="1">
      <c r="B4431" s="1573">
        <v>26945</v>
      </c>
      <c r="C4431" s="1566" t="s">
        <v>4246</v>
      </c>
      <c r="D4431" s="1566" t="s">
        <v>8604</v>
      </c>
      <c r="E4431" s="1566"/>
      <c r="F4431" s="1566"/>
      <c r="G4431" s="1566" t="s">
        <v>4259</v>
      </c>
      <c r="H4431" s="1568">
        <v>1</v>
      </c>
      <c r="I4431" s="1566"/>
      <c r="J4431" s="1566"/>
      <c r="K4431" s="1572">
        <v>354</v>
      </c>
      <c r="L4431" s="1565">
        <v>1948</v>
      </c>
      <c r="M4431" s="1564"/>
      <c r="N4431" s="1565">
        <v>1948</v>
      </c>
      <c r="O4431" s="1572">
        <v>394.4</v>
      </c>
      <c r="P4431" s="1565">
        <v>1487.84</v>
      </c>
      <c r="Q4431" s="1572">
        <v>65.760000000000005</v>
      </c>
      <c r="R4431" s="1565">
        <v>1553.6</v>
      </c>
      <c r="S4431" s="1562"/>
    </row>
    <row r="4432" spans="2:19" ht="11.25" customHeight="1" outlineLevel="1">
      <c r="B4432" s="1573">
        <v>26946</v>
      </c>
      <c r="C4432" s="1566" t="s">
        <v>4246</v>
      </c>
      <c r="D4432" s="1566" t="s">
        <v>8603</v>
      </c>
      <c r="E4432" s="1566"/>
      <c r="F4432" s="1566"/>
      <c r="G4432" s="1566" t="s">
        <v>4257</v>
      </c>
      <c r="H4432" s="1568">
        <v>1</v>
      </c>
      <c r="I4432" s="1566"/>
      <c r="J4432" s="1566"/>
      <c r="K4432" s="1572">
        <v>354</v>
      </c>
      <c r="L4432" s="1565">
        <v>9741</v>
      </c>
      <c r="M4432" s="1564"/>
      <c r="N4432" s="1565">
        <v>9741</v>
      </c>
      <c r="O4432" s="1565">
        <v>1698.3</v>
      </c>
      <c r="P4432" s="1565">
        <v>7703.04</v>
      </c>
      <c r="Q4432" s="1572">
        <v>339.66</v>
      </c>
      <c r="R4432" s="1565">
        <v>8042.7</v>
      </c>
      <c r="S4432" s="1562"/>
    </row>
    <row r="4433" spans="2:19" ht="11.25" customHeight="1" outlineLevel="1">
      <c r="B4433" s="1573">
        <v>26947</v>
      </c>
      <c r="C4433" s="1566" t="s">
        <v>4246</v>
      </c>
      <c r="D4433" s="1566" t="s">
        <v>8602</v>
      </c>
      <c r="E4433" s="1566"/>
      <c r="F4433" s="1566"/>
      <c r="G4433" s="1566" t="s">
        <v>8601</v>
      </c>
      <c r="H4433" s="1568">
        <v>1</v>
      </c>
      <c r="I4433" s="1566"/>
      <c r="J4433" s="1566"/>
      <c r="K4433" s="1572">
        <v>990</v>
      </c>
      <c r="L4433" s="1565">
        <v>9900</v>
      </c>
      <c r="M4433" s="1564"/>
      <c r="N4433" s="1565">
        <v>9900</v>
      </c>
      <c r="O4433" s="1565">
        <v>5918.32</v>
      </c>
      <c r="P4433" s="1565">
        <v>3813.44</v>
      </c>
      <c r="Q4433" s="1572">
        <v>168.24</v>
      </c>
      <c r="R4433" s="1565">
        <v>3981.68</v>
      </c>
      <c r="S4433" s="1562"/>
    </row>
    <row r="4434" spans="2:19" ht="11.25" customHeight="1" outlineLevel="1">
      <c r="B4434" s="1573">
        <v>26959</v>
      </c>
      <c r="C4434" s="1566" t="s">
        <v>4246</v>
      </c>
      <c r="D4434" s="1566" t="s">
        <v>8600</v>
      </c>
      <c r="E4434" s="1566"/>
      <c r="F4434" s="1566"/>
      <c r="G4434" s="1566" t="s">
        <v>4255</v>
      </c>
      <c r="H4434" s="1568">
        <v>1</v>
      </c>
      <c r="I4434" s="1566"/>
      <c r="J4434" s="1566"/>
      <c r="K4434" s="1572">
        <v>725</v>
      </c>
      <c r="L4434" s="1565">
        <v>22838</v>
      </c>
      <c r="M4434" s="1564"/>
      <c r="N4434" s="1565">
        <v>22838</v>
      </c>
      <c r="O4434" s="1565">
        <v>3983.24</v>
      </c>
      <c r="P4434" s="1565">
        <v>18058.080000000002</v>
      </c>
      <c r="Q4434" s="1572">
        <v>796.68</v>
      </c>
      <c r="R4434" s="1565">
        <v>18854.759999999998</v>
      </c>
      <c r="S4434" s="1562"/>
    </row>
    <row r="4435" spans="2:19" ht="11.25" customHeight="1" outlineLevel="1">
      <c r="B4435" s="1573">
        <v>26960</v>
      </c>
      <c r="C4435" s="1566" t="s">
        <v>4246</v>
      </c>
      <c r="D4435" s="1566" t="s">
        <v>8599</v>
      </c>
      <c r="E4435" s="1566"/>
      <c r="F4435" s="1566"/>
      <c r="G4435" s="1566" t="s">
        <v>4253</v>
      </c>
      <c r="H4435" s="1568">
        <v>1</v>
      </c>
      <c r="I4435" s="1566"/>
      <c r="J4435" s="1566"/>
      <c r="K4435" s="1572">
        <v>990</v>
      </c>
      <c r="L4435" s="1565">
        <v>9900</v>
      </c>
      <c r="M4435" s="1564"/>
      <c r="N4435" s="1565">
        <v>9900</v>
      </c>
      <c r="O4435" s="1565">
        <v>5918.32</v>
      </c>
      <c r="P4435" s="1565">
        <v>3813.44</v>
      </c>
      <c r="Q4435" s="1572">
        <v>168.24</v>
      </c>
      <c r="R4435" s="1565">
        <v>3981.68</v>
      </c>
      <c r="S4435" s="1562"/>
    </row>
    <row r="4436" spans="2:19" ht="11.25" customHeight="1" outlineLevel="1">
      <c r="B4436" s="1573">
        <v>26961</v>
      </c>
      <c r="C4436" s="1566" t="s">
        <v>4246</v>
      </c>
      <c r="D4436" s="1566" t="s">
        <v>8598</v>
      </c>
      <c r="E4436" s="1566"/>
      <c r="F4436" s="1566"/>
      <c r="G4436" s="1566" t="s">
        <v>4253</v>
      </c>
      <c r="H4436" s="1568">
        <v>1</v>
      </c>
      <c r="I4436" s="1566"/>
      <c r="J4436" s="1566"/>
      <c r="K4436" s="1565">
        <v>1569</v>
      </c>
      <c r="L4436" s="1565">
        <v>47085</v>
      </c>
      <c r="M4436" s="1564"/>
      <c r="N4436" s="1565">
        <v>47085</v>
      </c>
      <c r="O4436" s="1565">
        <v>28145.040000000001</v>
      </c>
      <c r="P4436" s="1565">
        <v>18139.68</v>
      </c>
      <c r="Q4436" s="1572">
        <v>800.28</v>
      </c>
      <c r="R4436" s="1565">
        <v>18939.96</v>
      </c>
      <c r="S4436" s="1562"/>
    </row>
    <row r="4437" spans="2:19" ht="11.25" customHeight="1" outlineLevel="1">
      <c r="B4437" s="1573">
        <v>26962</v>
      </c>
      <c r="C4437" s="1566" t="s">
        <v>4246</v>
      </c>
      <c r="D4437" s="1566" t="s">
        <v>8597</v>
      </c>
      <c r="E4437" s="1566"/>
      <c r="F4437" s="1566"/>
      <c r="G4437" s="1566" t="s">
        <v>4251</v>
      </c>
      <c r="H4437" s="1568">
        <v>1</v>
      </c>
      <c r="I4437" s="1566"/>
      <c r="J4437" s="1566"/>
      <c r="K4437" s="1572">
        <v>990</v>
      </c>
      <c r="L4437" s="1565">
        <v>12375</v>
      </c>
      <c r="M4437" s="1564"/>
      <c r="N4437" s="1565">
        <v>12375</v>
      </c>
      <c r="O4437" s="1565">
        <v>7396.48</v>
      </c>
      <c r="P4437" s="1565">
        <v>4768.16</v>
      </c>
      <c r="Q4437" s="1572">
        <v>210.36</v>
      </c>
      <c r="R4437" s="1565">
        <v>4978.5200000000004</v>
      </c>
      <c r="S4437" s="1562"/>
    </row>
    <row r="4438" spans="2:19" ht="11.25" customHeight="1" outlineLevel="1">
      <c r="B4438" s="1573">
        <v>26963</v>
      </c>
      <c r="C4438" s="1566" t="s">
        <v>4246</v>
      </c>
      <c r="D4438" s="1566" t="s">
        <v>8596</v>
      </c>
      <c r="E4438" s="1566"/>
      <c r="F4438" s="1566"/>
      <c r="G4438" s="1566" t="s">
        <v>4251</v>
      </c>
      <c r="H4438" s="1568">
        <v>1</v>
      </c>
      <c r="I4438" s="1566"/>
      <c r="J4438" s="1566"/>
      <c r="K4438" s="1565">
        <v>1595</v>
      </c>
      <c r="L4438" s="1565">
        <v>138766</v>
      </c>
      <c r="M4438" s="1564"/>
      <c r="N4438" s="1565">
        <v>138766</v>
      </c>
      <c r="O4438" s="1565">
        <v>82945.8</v>
      </c>
      <c r="P4438" s="1565">
        <v>53461.599999999999</v>
      </c>
      <c r="Q4438" s="1565">
        <v>2358.6</v>
      </c>
      <c r="R4438" s="1565">
        <v>55820.2</v>
      </c>
      <c r="S4438" s="1562"/>
    </row>
    <row r="4439" spans="2:19" ht="11.25" customHeight="1" outlineLevel="1">
      <c r="B4439" s="1573">
        <v>26967</v>
      </c>
      <c r="C4439" s="1566" t="s">
        <v>4246</v>
      </c>
      <c r="D4439" s="1566" t="s">
        <v>8595</v>
      </c>
      <c r="E4439" s="1566"/>
      <c r="F4439" s="1566"/>
      <c r="G4439" s="1566" t="s">
        <v>4249</v>
      </c>
      <c r="H4439" s="1568">
        <v>1</v>
      </c>
      <c r="I4439" s="1566"/>
      <c r="J4439" s="1566"/>
      <c r="K4439" s="1572">
        <v>27</v>
      </c>
      <c r="L4439" s="1572">
        <v>544</v>
      </c>
      <c r="M4439" s="1564"/>
      <c r="N4439" s="1572">
        <v>544</v>
      </c>
      <c r="O4439" s="1572">
        <v>325.32</v>
      </c>
      <c r="P4439" s="1572">
        <v>209.44</v>
      </c>
      <c r="Q4439" s="1572">
        <v>9.24</v>
      </c>
      <c r="R4439" s="1572">
        <v>218.68</v>
      </c>
      <c r="S4439" s="1562"/>
    </row>
    <row r="4440" spans="2:19" ht="11.25" customHeight="1" outlineLevel="1">
      <c r="B4440" s="1573">
        <v>26968</v>
      </c>
      <c r="C4440" s="1566" t="s">
        <v>4246</v>
      </c>
      <c r="D4440" s="1566" t="s">
        <v>8594</v>
      </c>
      <c r="E4440" s="1566"/>
      <c r="F4440" s="1566"/>
      <c r="G4440" s="1566" t="s">
        <v>4249</v>
      </c>
      <c r="H4440" s="1568">
        <v>1</v>
      </c>
      <c r="I4440" s="1566"/>
      <c r="J4440" s="1566"/>
      <c r="K4440" s="1572">
        <v>131</v>
      </c>
      <c r="L4440" s="1565">
        <v>17814</v>
      </c>
      <c r="M4440" s="1564"/>
      <c r="N4440" s="1565">
        <v>17814</v>
      </c>
      <c r="O4440" s="1565">
        <v>10648.68</v>
      </c>
      <c r="P4440" s="1565">
        <v>6862.56</v>
      </c>
      <c r="Q4440" s="1572">
        <v>302.76</v>
      </c>
      <c r="R4440" s="1565">
        <v>7165.32</v>
      </c>
      <c r="S4440" s="1562"/>
    </row>
    <row r="4441" spans="2:19" ht="11.25" customHeight="1" outlineLevel="1">
      <c r="B4441" s="1573">
        <v>26969</v>
      </c>
      <c r="C4441" s="1566" t="s">
        <v>4246</v>
      </c>
      <c r="D4441" s="1566" t="s">
        <v>8593</v>
      </c>
      <c r="E4441" s="1566"/>
      <c r="F4441" s="1566"/>
      <c r="G4441" s="1566" t="s">
        <v>4247</v>
      </c>
      <c r="H4441" s="1568">
        <v>1</v>
      </c>
      <c r="I4441" s="1566"/>
      <c r="J4441" s="1566"/>
      <c r="K4441" s="1572">
        <v>27</v>
      </c>
      <c r="L4441" s="1572">
        <v>408</v>
      </c>
      <c r="M4441" s="1564"/>
      <c r="N4441" s="1572">
        <v>408</v>
      </c>
      <c r="O4441" s="1572">
        <v>243.28</v>
      </c>
      <c r="P4441" s="1572">
        <v>157.76</v>
      </c>
      <c r="Q4441" s="1572">
        <v>6.96</v>
      </c>
      <c r="R4441" s="1572">
        <v>164.72</v>
      </c>
      <c r="S4441" s="1562"/>
    </row>
    <row r="4442" spans="2:19" ht="11.25" customHeight="1" outlineLevel="1">
      <c r="B4442" s="1573">
        <v>26970</v>
      </c>
      <c r="C4442" s="1566" t="s">
        <v>4246</v>
      </c>
      <c r="D4442" s="1566" t="s">
        <v>8592</v>
      </c>
      <c r="E4442" s="1566"/>
      <c r="F4442" s="1566"/>
      <c r="G4442" s="1566" t="s">
        <v>4247</v>
      </c>
      <c r="H4442" s="1568">
        <v>1</v>
      </c>
      <c r="I4442" s="1566"/>
      <c r="J4442" s="1566"/>
      <c r="K4442" s="1572">
        <v>131</v>
      </c>
      <c r="L4442" s="1565">
        <v>8187</v>
      </c>
      <c r="M4442" s="1564"/>
      <c r="N4442" s="1565">
        <v>8187</v>
      </c>
      <c r="O4442" s="1565">
        <v>4892.72</v>
      </c>
      <c r="P4442" s="1565">
        <v>3155.2</v>
      </c>
      <c r="Q4442" s="1572">
        <v>139.08000000000001</v>
      </c>
      <c r="R4442" s="1565">
        <v>3294.28</v>
      </c>
      <c r="S4442" s="1562"/>
    </row>
    <row r="4443" spans="2:19" ht="11.25" customHeight="1" outlineLevel="1">
      <c r="B4443" s="1573">
        <v>26971</v>
      </c>
      <c r="C4443" s="1566" t="s">
        <v>4246</v>
      </c>
      <c r="D4443" s="1566" t="s">
        <v>8591</v>
      </c>
      <c r="E4443" s="1566"/>
      <c r="F4443" s="1566"/>
      <c r="G4443" s="1566" t="s">
        <v>4244</v>
      </c>
      <c r="H4443" s="1568">
        <v>1</v>
      </c>
      <c r="I4443" s="1566"/>
      <c r="J4443" s="1566"/>
      <c r="K4443" s="1572">
        <v>27</v>
      </c>
      <c r="L4443" s="1572">
        <v>408</v>
      </c>
      <c r="M4443" s="1564"/>
      <c r="N4443" s="1572">
        <v>408</v>
      </c>
      <c r="O4443" s="1572">
        <v>243.28</v>
      </c>
      <c r="P4443" s="1572">
        <v>157.76</v>
      </c>
      <c r="Q4443" s="1572">
        <v>6.96</v>
      </c>
      <c r="R4443" s="1572">
        <v>164.72</v>
      </c>
      <c r="S4443" s="1562"/>
    </row>
    <row r="4444" spans="2:19" ht="11.25" customHeight="1" outlineLevel="1">
      <c r="B4444" s="1573">
        <v>26972</v>
      </c>
      <c r="C4444" s="1566" t="s">
        <v>4246</v>
      </c>
      <c r="D4444" s="1566" t="s">
        <v>8590</v>
      </c>
      <c r="E4444" s="1566"/>
      <c r="F4444" s="1566"/>
      <c r="G4444" s="1566" t="s">
        <v>4244</v>
      </c>
      <c r="H4444" s="1568">
        <v>1</v>
      </c>
      <c r="I4444" s="1566"/>
      <c r="J4444" s="1566"/>
      <c r="K4444" s="1572">
        <v>131</v>
      </c>
      <c r="L4444" s="1565">
        <v>8187</v>
      </c>
      <c r="M4444" s="1564"/>
      <c r="N4444" s="1565">
        <v>8187</v>
      </c>
      <c r="O4444" s="1565">
        <v>4892.72</v>
      </c>
      <c r="P4444" s="1565">
        <v>3155.2</v>
      </c>
      <c r="Q4444" s="1572">
        <v>139.08000000000001</v>
      </c>
      <c r="R4444" s="1565">
        <v>3294.28</v>
      </c>
      <c r="S4444" s="1562"/>
    </row>
    <row r="4445" spans="2:19" ht="11.25" customHeight="1" outlineLevel="1">
      <c r="B4445" s="1573">
        <v>26976</v>
      </c>
      <c r="C4445" s="1566" t="s">
        <v>4246</v>
      </c>
      <c r="D4445" s="1566" t="s">
        <v>8589</v>
      </c>
      <c r="E4445" s="1566"/>
      <c r="F4445" s="1566"/>
      <c r="G4445" s="1566" t="s">
        <v>4296</v>
      </c>
      <c r="H4445" s="1568">
        <v>1</v>
      </c>
      <c r="I4445" s="1566"/>
      <c r="J4445" s="1566"/>
      <c r="K4445" s="1572">
        <v>990</v>
      </c>
      <c r="L4445" s="1565">
        <v>54450</v>
      </c>
      <c r="M4445" s="1564"/>
      <c r="N4445" s="1565">
        <v>54450</v>
      </c>
      <c r="O4445" s="1565">
        <v>32547.8</v>
      </c>
      <c r="P4445" s="1565">
        <v>20976.639999999999</v>
      </c>
      <c r="Q4445" s="1572">
        <v>925.56</v>
      </c>
      <c r="R4445" s="1565">
        <v>21902.2</v>
      </c>
      <c r="S4445" s="1562"/>
    </row>
    <row r="4446" spans="2:19" ht="11.25" customHeight="1" outlineLevel="1">
      <c r="B4446" s="1573">
        <v>26978</v>
      </c>
      <c r="C4446" s="1566" t="s">
        <v>4246</v>
      </c>
      <c r="D4446" s="1566" t="s">
        <v>8588</v>
      </c>
      <c r="E4446" s="1566"/>
      <c r="F4446" s="1566"/>
      <c r="G4446" s="1566" t="s">
        <v>8587</v>
      </c>
      <c r="H4446" s="1568">
        <v>1</v>
      </c>
      <c r="I4446" s="1566"/>
      <c r="J4446" s="1566"/>
      <c r="K4446" s="1572">
        <v>303</v>
      </c>
      <c r="L4446" s="1565">
        <v>75687</v>
      </c>
      <c r="M4446" s="1564"/>
      <c r="N4446" s="1565">
        <v>75687</v>
      </c>
      <c r="O4446" s="1565">
        <v>17276.7</v>
      </c>
      <c r="P4446" s="1565">
        <v>55942.239999999998</v>
      </c>
      <c r="Q4446" s="1565">
        <v>2468.06</v>
      </c>
      <c r="R4446" s="1565">
        <v>58410.3</v>
      </c>
      <c r="S4446" s="1562"/>
    </row>
    <row r="4447" spans="2:19" ht="11.25" customHeight="1" outlineLevel="1">
      <c r="B4447" s="1573">
        <v>26993</v>
      </c>
      <c r="C4447" s="1566" t="s">
        <v>4241</v>
      </c>
      <c r="D4447" s="1566" t="s">
        <v>8586</v>
      </c>
      <c r="E4447" s="1566"/>
      <c r="F4447" s="1566"/>
      <c r="G4447" s="1566" t="s">
        <v>4242</v>
      </c>
      <c r="H4447" s="1568">
        <v>1</v>
      </c>
      <c r="I4447" s="1566"/>
      <c r="J4447" s="1566"/>
      <c r="K4447" s="1572">
        <v>14</v>
      </c>
      <c r="L4447" s="1565">
        <v>6953</v>
      </c>
      <c r="M4447" s="1564"/>
      <c r="N4447" s="1565">
        <v>6953</v>
      </c>
      <c r="O4447" s="1565">
        <v>1409.27</v>
      </c>
      <c r="P4447" s="1565">
        <v>5308.89</v>
      </c>
      <c r="Q4447" s="1572">
        <v>234.84</v>
      </c>
      <c r="R4447" s="1565">
        <v>5543.73</v>
      </c>
      <c r="S4447" s="1562"/>
    </row>
    <row r="4448" spans="2:19" ht="11.25" customHeight="1" outlineLevel="1">
      <c r="B4448" s="1573">
        <v>26995</v>
      </c>
      <c r="C4448" s="1566" t="s">
        <v>4241</v>
      </c>
      <c r="D4448" s="1566" t="s">
        <v>8585</v>
      </c>
      <c r="E4448" s="1566"/>
      <c r="F4448" s="1566"/>
      <c r="G4448" s="1566" t="s">
        <v>8584</v>
      </c>
      <c r="H4448" s="1568">
        <v>1</v>
      </c>
      <c r="I4448" s="1566"/>
      <c r="J4448" s="1566"/>
      <c r="K4448" s="1572">
        <v>667</v>
      </c>
      <c r="L4448" s="1565">
        <v>19358</v>
      </c>
      <c r="M4448" s="1564"/>
      <c r="N4448" s="1565">
        <v>19358</v>
      </c>
      <c r="O4448" s="1565">
        <v>4429.87</v>
      </c>
      <c r="P4448" s="1565">
        <v>14295.25</v>
      </c>
      <c r="Q4448" s="1572">
        <v>632.88</v>
      </c>
      <c r="R4448" s="1565">
        <v>14928.13</v>
      </c>
      <c r="S4448" s="1562"/>
    </row>
    <row r="4449" spans="2:19" ht="11.25" customHeight="1" outlineLevel="1">
      <c r="B4449" s="1573">
        <v>27023</v>
      </c>
      <c r="C4449" s="1566" t="s">
        <v>4234</v>
      </c>
      <c r="D4449" s="1566" t="s">
        <v>8583</v>
      </c>
      <c r="E4449" s="1566"/>
      <c r="F4449" s="1566"/>
      <c r="G4449" s="1566" t="s">
        <v>4237</v>
      </c>
      <c r="H4449" s="1568">
        <v>1</v>
      </c>
      <c r="I4449" s="1566"/>
      <c r="J4449" s="1566"/>
      <c r="K4449" s="1572">
        <v>200</v>
      </c>
      <c r="L4449" s="1565">
        <v>17260</v>
      </c>
      <c r="M4449" s="1564"/>
      <c r="N4449" s="1565">
        <v>17260</v>
      </c>
      <c r="O4449" s="1565">
        <v>3961</v>
      </c>
      <c r="P4449" s="1565">
        <v>12733.2</v>
      </c>
      <c r="Q4449" s="1572">
        <v>565.79999999999995</v>
      </c>
      <c r="R4449" s="1565">
        <v>13299</v>
      </c>
      <c r="S4449" s="1562"/>
    </row>
    <row r="4450" spans="2:19" ht="11.25" customHeight="1" outlineLevel="1">
      <c r="B4450" s="1573">
        <v>27027</v>
      </c>
      <c r="C4450" s="1566" t="s">
        <v>4234</v>
      </c>
      <c r="D4450" s="1566" t="s">
        <v>8582</v>
      </c>
      <c r="E4450" s="1566"/>
      <c r="F4450" s="1566"/>
      <c r="G4450" s="1566" t="s">
        <v>4232</v>
      </c>
      <c r="H4450" s="1568">
        <v>1</v>
      </c>
      <c r="I4450" s="1566"/>
      <c r="J4450" s="1566"/>
      <c r="K4450" s="1572">
        <v>9</v>
      </c>
      <c r="L4450" s="1565">
        <v>4020</v>
      </c>
      <c r="M4450" s="1564"/>
      <c r="N4450" s="1565">
        <v>4020</v>
      </c>
      <c r="O4450" s="1565">
        <v>2415.3000000000002</v>
      </c>
      <c r="P4450" s="1565">
        <v>1536.3</v>
      </c>
      <c r="Q4450" s="1572">
        <v>68.400000000000006</v>
      </c>
      <c r="R4450" s="1565">
        <v>1604.7</v>
      </c>
      <c r="S4450" s="1562"/>
    </row>
    <row r="4451" spans="2:19" ht="11.25" customHeight="1" outlineLevel="1">
      <c r="B4451" s="1573">
        <v>27028</v>
      </c>
      <c r="C4451" s="1566" t="s">
        <v>4234</v>
      </c>
      <c r="D4451" s="1566" t="s">
        <v>8581</v>
      </c>
      <c r="E4451" s="1566"/>
      <c r="F4451" s="1566"/>
      <c r="G4451" s="1566" t="s">
        <v>4232</v>
      </c>
      <c r="H4451" s="1568">
        <v>1</v>
      </c>
      <c r="I4451" s="1566"/>
      <c r="J4451" s="1566"/>
      <c r="K4451" s="1572">
        <v>9</v>
      </c>
      <c r="L4451" s="1572">
        <v>961</v>
      </c>
      <c r="M4451" s="1564"/>
      <c r="N4451" s="1572">
        <v>961</v>
      </c>
      <c r="O4451" s="1572">
        <v>219.58</v>
      </c>
      <c r="P4451" s="1572">
        <v>710.1</v>
      </c>
      <c r="Q4451" s="1572">
        <v>31.32</v>
      </c>
      <c r="R4451" s="1572">
        <v>741.42</v>
      </c>
      <c r="S4451" s="1562"/>
    </row>
    <row r="4452" spans="2:19" ht="11.25" customHeight="1" outlineLevel="1">
      <c r="B4452" s="1573">
        <v>27075</v>
      </c>
      <c r="C4452" s="1566" t="s">
        <v>4227</v>
      </c>
      <c r="D4452" s="1566" t="s">
        <v>8580</v>
      </c>
      <c r="E4452" s="1566"/>
      <c r="F4452" s="1566"/>
      <c r="G4452" s="1566" t="s">
        <v>4230</v>
      </c>
      <c r="H4452" s="1568">
        <v>1</v>
      </c>
      <c r="I4452" s="1566"/>
      <c r="J4452" s="1566"/>
      <c r="K4452" s="1572">
        <v>117</v>
      </c>
      <c r="L4452" s="1565">
        <v>1057</v>
      </c>
      <c r="M4452" s="1564"/>
      <c r="N4452" s="1565">
        <v>1057</v>
      </c>
      <c r="O4452" s="1572">
        <v>242.34</v>
      </c>
      <c r="P4452" s="1572">
        <v>780.1</v>
      </c>
      <c r="Q4452" s="1572">
        <v>34.56</v>
      </c>
      <c r="R4452" s="1572">
        <v>814.66</v>
      </c>
      <c r="S4452" s="1562"/>
    </row>
    <row r="4453" spans="2:19" ht="11.25" customHeight="1" outlineLevel="1">
      <c r="B4453" s="1573">
        <v>27079</v>
      </c>
      <c r="C4453" s="1566" t="s">
        <v>4227</v>
      </c>
      <c r="D4453" s="1566" t="s">
        <v>8579</v>
      </c>
      <c r="E4453" s="1566"/>
      <c r="F4453" s="1566"/>
      <c r="G4453" s="1566" t="s">
        <v>4225</v>
      </c>
      <c r="H4453" s="1568">
        <v>1</v>
      </c>
      <c r="I4453" s="1566"/>
      <c r="J4453" s="1566"/>
      <c r="K4453" s="1572">
        <v>681</v>
      </c>
      <c r="L4453" s="1565">
        <v>92788</v>
      </c>
      <c r="M4453" s="1564"/>
      <c r="N4453" s="1565">
        <v>92788</v>
      </c>
      <c r="O4453" s="1565">
        <v>55856.17</v>
      </c>
      <c r="P4453" s="1565">
        <v>35354.67</v>
      </c>
      <c r="Q4453" s="1565">
        <v>1577.16</v>
      </c>
      <c r="R4453" s="1565">
        <v>36931.83</v>
      </c>
      <c r="S4453" s="1562"/>
    </row>
    <row r="4454" spans="2:19" ht="11.25" customHeight="1" outlineLevel="1">
      <c r="B4454" s="1573">
        <v>27080</v>
      </c>
      <c r="C4454" s="1566" t="s">
        <v>4227</v>
      </c>
      <c r="D4454" s="1566" t="s">
        <v>8578</v>
      </c>
      <c r="E4454" s="1566"/>
      <c r="F4454" s="1566"/>
      <c r="G4454" s="1566" t="s">
        <v>4225</v>
      </c>
      <c r="H4454" s="1568">
        <v>1</v>
      </c>
      <c r="I4454" s="1566"/>
      <c r="J4454" s="1566"/>
      <c r="K4454" s="1572">
        <v>382</v>
      </c>
      <c r="L4454" s="1565">
        <v>33327</v>
      </c>
      <c r="M4454" s="1564"/>
      <c r="N4454" s="1565">
        <v>33327</v>
      </c>
      <c r="O4454" s="1565">
        <v>20061.11</v>
      </c>
      <c r="P4454" s="1565">
        <v>12699.49</v>
      </c>
      <c r="Q4454" s="1572">
        <v>566.4</v>
      </c>
      <c r="R4454" s="1565">
        <v>13265.89</v>
      </c>
      <c r="S4454" s="1562"/>
    </row>
    <row r="4455" spans="2:19" ht="11.25" customHeight="1" outlineLevel="1">
      <c r="B4455" s="1573">
        <v>27081</v>
      </c>
      <c r="C4455" s="1566" t="s">
        <v>4227</v>
      </c>
      <c r="D4455" s="1566" t="s">
        <v>8577</v>
      </c>
      <c r="E4455" s="1566"/>
      <c r="F4455" s="1566"/>
      <c r="G4455" s="1566" t="s">
        <v>4225</v>
      </c>
      <c r="H4455" s="1568">
        <v>1</v>
      </c>
      <c r="I4455" s="1566"/>
      <c r="J4455" s="1566"/>
      <c r="K4455" s="1572">
        <v>176</v>
      </c>
      <c r="L4455" s="1565">
        <v>2734</v>
      </c>
      <c r="M4455" s="1564"/>
      <c r="N4455" s="1565">
        <v>2734</v>
      </c>
      <c r="O4455" s="1572">
        <v>629.30999999999995</v>
      </c>
      <c r="P4455" s="1565">
        <v>2014.81</v>
      </c>
      <c r="Q4455" s="1572">
        <v>89.88</v>
      </c>
      <c r="R4455" s="1565">
        <v>2104.69</v>
      </c>
      <c r="S4455" s="1562"/>
    </row>
    <row r="4456" spans="2:19" ht="11.25" customHeight="1" outlineLevel="1">
      <c r="B4456" s="1573">
        <v>27136</v>
      </c>
      <c r="C4456" s="1566" t="s">
        <v>4227</v>
      </c>
      <c r="D4456" s="1566" t="s">
        <v>8576</v>
      </c>
      <c r="E4456" s="1566"/>
      <c r="F4456" s="1566"/>
      <c r="G4456" s="1566" t="s">
        <v>4448</v>
      </c>
      <c r="H4456" s="1568">
        <v>1</v>
      </c>
      <c r="I4456" s="1566"/>
      <c r="J4456" s="1566"/>
      <c r="K4456" s="1572">
        <v>108</v>
      </c>
      <c r="L4456" s="1565">
        <v>144743</v>
      </c>
      <c r="M4456" s="1564"/>
      <c r="N4456" s="1565">
        <v>144743</v>
      </c>
      <c r="O4456" s="1565">
        <v>33309.78</v>
      </c>
      <c r="P4456" s="1565">
        <v>106674.64</v>
      </c>
      <c r="Q4456" s="1565">
        <v>4758.58</v>
      </c>
      <c r="R4456" s="1565">
        <v>111433.22</v>
      </c>
      <c r="S4456" s="1562"/>
    </row>
    <row r="4457" spans="2:19" ht="11.25" customHeight="1" outlineLevel="1">
      <c r="B4457" s="1573">
        <v>23030</v>
      </c>
      <c r="C4457" s="1566" t="s">
        <v>4164</v>
      </c>
      <c r="D4457" s="1566" t="s">
        <v>8575</v>
      </c>
      <c r="E4457" s="1566"/>
      <c r="F4457" s="1566"/>
      <c r="G4457" s="1566"/>
      <c r="H4457" s="1568">
        <v>1</v>
      </c>
      <c r="I4457" s="1566"/>
      <c r="J4457" s="1566"/>
      <c r="K4457" s="1565">
        <v>8949</v>
      </c>
      <c r="L4457" s="1565">
        <v>8949</v>
      </c>
      <c r="M4457" s="1565">
        <v>-8949</v>
      </c>
      <c r="N4457" s="1564"/>
      <c r="O4457" s="1564"/>
      <c r="P4457" s="1565">
        <v>8949</v>
      </c>
      <c r="Q4457" s="1565">
        <v>-8949</v>
      </c>
      <c r="R4457" s="1564"/>
      <c r="S4457" s="1562"/>
    </row>
    <row r="4458" spans="2:19" ht="11.25" customHeight="1" outlineLevel="1">
      <c r="B4458" s="1573">
        <v>27168</v>
      </c>
      <c r="C4458" s="1566" t="s">
        <v>4164</v>
      </c>
      <c r="D4458" s="1566" t="s">
        <v>8574</v>
      </c>
      <c r="E4458" s="1566"/>
      <c r="F4458" s="1566"/>
      <c r="G4458" s="1566" t="s">
        <v>4222</v>
      </c>
      <c r="H4458" s="1568">
        <v>1</v>
      </c>
      <c r="I4458" s="1566"/>
      <c r="J4458" s="1566"/>
      <c r="K4458" s="1572">
        <v>31</v>
      </c>
      <c r="L4458" s="1565">
        <v>2430</v>
      </c>
      <c r="M4458" s="1564"/>
      <c r="N4458" s="1565">
        <v>2430</v>
      </c>
      <c r="O4458" s="1565">
        <v>1466.8</v>
      </c>
      <c r="P4458" s="1572">
        <v>921.92</v>
      </c>
      <c r="Q4458" s="1572">
        <v>41.28</v>
      </c>
      <c r="R4458" s="1572">
        <v>963.2</v>
      </c>
      <c r="S4458" s="1562"/>
    </row>
    <row r="4459" spans="2:19" ht="11.25" customHeight="1" outlineLevel="1">
      <c r="B4459" s="1573">
        <v>27171</v>
      </c>
      <c r="C4459" s="1566" t="s">
        <v>4164</v>
      </c>
      <c r="D4459" s="1566" t="s">
        <v>8573</v>
      </c>
      <c r="E4459" s="1566"/>
      <c r="F4459" s="1566"/>
      <c r="G4459" s="1566" t="s">
        <v>4219</v>
      </c>
      <c r="H4459" s="1568">
        <v>1</v>
      </c>
      <c r="I4459" s="1566"/>
      <c r="J4459" s="1566"/>
      <c r="K4459" s="1572">
        <v>190</v>
      </c>
      <c r="L4459" s="1565">
        <v>23180</v>
      </c>
      <c r="M4459" s="1564"/>
      <c r="N4459" s="1565">
        <v>23180</v>
      </c>
      <c r="O4459" s="1565">
        <v>4089.84</v>
      </c>
      <c r="P4459" s="1565">
        <v>18272.240000000002</v>
      </c>
      <c r="Q4459" s="1572">
        <v>817.92</v>
      </c>
      <c r="R4459" s="1565">
        <v>19090.16</v>
      </c>
      <c r="S4459" s="1562"/>
    </row>
    <row r="4460" spans="2:19" ht="11.25" customHeight="1" outlineLevel="1">
      <c r="B4460" s="1573">
        <v>27172</v>
      </c>
      <c r="C4460" s="1566" t="s">
        <v>4164</v>
      </c>
      <c r="D4460" s="1566" t="s">
        <v>8572</v>
      </c>
      <c r="E4460" s="1566"/>
      <c r="F4460" s="1566"/>
      <c r="G4460" s="1566" t="s">
        <v>4216</v>
      </c>
      <c r="H4460" s="1568">
        <v>1</v>
      </c>
      <c r="I4460" s="1566"/>
      <c r="J4460" s="1566"/>
      <c r="K4460" s="1572">
        <v>540</v>
      </c>
      <c r="L4460" s="1565">
        <v>346302</v>
      </c>
      <c r="M4460" s="1564"/>
      <c r="N4460" s="1565">
        <v>346302</v>
      </c>
      <c r="O4460" s="1565">
        <v>61111.040000000001</v>
      </c>
      <c r="P4460" s="1565">
        <v>272968.71999999997</v>
      </c>
      <c r="Q4460" s="1565">
        <v>12222.24</v>
      </c>
      <c r="R4460" s="1565">
        <v>285190.96000000002</v>
      </c>
      <c r="S4460" s="1562"/>
    </row>
    <row r="4461" spans="2:19" ht="11.25" customHeight="1" outlineLevel="1">
      <c r="B4461" s="1573">
        <v>27177</v>
      </c>
      <c r="C4461" s="1566" t="s">
        <v>4164</v>
      </c>
      <c r="D4461" s="1566" t="s">
        <v>8571</v>
      </c>
      <c r="E4461" s="1566"/>
      <c r="F4461" s="1566"/>
      <c r="G4461" s="1566" t="s">
        <v>4213</v>
      </c>
      <c r="H4461" s="1568">
        <v>1</v>
      </c>
      <c r="I4461" s="1566"/>
      <c r="J4461" s="1566"/>
      <c r="K4461" s="1572">
        <v>190</v>
      </c>
      <c r="L4461" s="1572">
        <v>950</v>
      </c>
      <c r="M4461" s="1564"/>
      <c r="N4461" s="1572">
        <v>950</v>
      </c>
      <c r="O4461" s="1572">
        <v>168.56</v>
      </c>
      <c r="P4461" s="1572">
        <v>747.72</v>
      </c>
      <c r="Q4461" s="1572">
        <v>33.72</v>
      </c>
      <c r="R4461" s="1572">
        <v>781.44</v>
      </c>
      <c r="S4461" s="1562"/>
    </row>
    <row r="4462" spans="2:19" ht="11.25" customHeight="1" outlineLevel="1">
      <c r="B4462" s="1573">
        <v>27178</v>
      </c>
      <c r="C4462" s="1566" t="s">
        <v>4164</v>
      </c>
      <c r="D4462" s="1566" t="s">
        <v>8570</v>
      </c>
      <c r="E4462" s="1566"/>
      <c r="F4462" s="1566"/>
      <c r="G4462" s="1566" t="s">
        <v>4213</v>
      </c>
      <c r="H4462" s="1568">
        <v>1</v>
      </c>
      <c r="I4462" s="1566"/>
      <c r="J4462" s="1566"/>
      <c r="K4462" s="1572">
        <v>540</v>
      </c>
      <c r="L4462" s="1565">
        <v>12042</v>
      </c>
      <c r="M4462" s="1564"/>
      <c r="N4462" s="1565">
        <v>12042</v>
      </c>
      <c r="O4462" s="1565">
        <v>7265.32</v>
      </c>
      <c r="P4462" s="1565">
        <v>4572.08</v>
      </c>
      <c r="Q4462" s="1572">
        <v>204.6</v>
      </c>
      <c r="R4462" s="1565">
        <v>4776.68</v>
      </c>
      <c r="S4462" s="1562"/>
    </row>
    <row r="4463" spans="2:19" ht="11.25" customHeight="1" outlineLevel="1">
      <c r="B4463" s="1573">
        <v>27181</v>
      </c>
      <c r="C4463" s="1566" t="s">
        <v>4164</v>
      </c>
      <c r="D4463" s="1566" t="s">
        <v>8569</v>
      </c>
      <c r="E4463" s="1566"/>
      <c r="F4463" s="1566"/>
      <c r="G4463" s="1566" t="s">
        <v>4211</v>
      </c>
      <c r="H4463" s="1568">
        <v>1</v>
      </c>
      <c r="I4463" s="1566"/>
      <c r="J4463" s="1566"/>
      <c r="K4463" s="1572">
        <v>190</v>
      </c>
      <c r="L4463" s="1565">
        <v>2755</v>
      </c>
      <c r="M4463" s="1564"/>
      <c r="N4463" s="1565">
        <v>2755</v>
      </c>
      <c r="O4463" s="1572">
        <v>486.88</v>
      </c>
      <c r="P4463" s="1565">
        <v>2170.8000000000002</v>
      </c>
      <c r="Q4463" s="1572">
        <v>97.32</v>
      </c>
      <c r="R4463" s="1565">
        <v>2268.12</v>
      </c>
      <c r="S4463" s="1562"/>
    </row>
    <row r="4464" spans="2:19" ht="11.25" customHeight="1" outlineLevel="1">
      <c r="B4464" s="1573">
        <v>27183</v>
      </c>
      <c r="C4464" s="1566" t="s">
        <v>4164</v>
      </c>
      <c r="D4464" s="1566" t="s">
        <v>8568</v>
      </c>
      <c r="E4464" s="1566"/>
      <c r="F4464" s="1566"/>
      <c r="G4464" s="1566" t="s">
        <v>8567</v>
      </c>
      <c r="H4464" s="1568">
        <v>1</v>
      </c>
      <c r="I4464" s="1566"/>
      <c r="J4464" s="1566"/>
      <c r="K4464" s="1572">
        <v>190</v>
      </c>
      <c r="L4464" s="1565">
        <v>2375</v>
      </c>
      <c r="M4464" s="1564"/>
      <c r="N4464" s="1565">
        <v>2375</v>
      </c>
      <c r="O4464" s="1572">
        <v>418.04</v>
      </c>
      <c r="P4464" s="1565">
        <v>1873.32</v>
      </c>
      <c r="Q4464" s="1572">
        <v>83.64</v>
      </c>
      <c r="R4464" s="1565">
        <v>1956.96</v>
      </c>
      <c r="S4464" s="1562"/>
    </row>
    <row r="4465" spans="2:19" ht="11.25" customHeight="1" outlineLevel="1">
      <c r="B4465" s="1573">
        <v>27185</v>
      </c>
      <c r="C4465" s="1566" t="s">
        <v>4164</v>
      </c>
      <c r="D4465" s="1566" t="s">
        <v>8566</v>
      </c>
      <c r="E4465" s="1566"/>
      <c r="F4465" s="1566"/>
      <c r="G4465" s="1566" t="s">
        <v>4207</v>
      </c>
      <c r="H4465" s="1568">
        <v>1</v>
      </c>
      <c r="I4465" s="1566"/>
      <c r="J4465" s="1566"/>
      <c r="K4465" s="1572">
        <v>190</v>
      </c>
      <c r="L4465" s="1565">
        <v>3553</v>
      </c>
      <c r="M4465" s="1564"/>
      <c r="N4465" s="1565">
        <v>3553</v>
      </c>
      <c r="O4465" s="1572">
        <v>627</v>
      </c>
      <c r="P4465" s="1565">
        <v>2800.6</v>
      </c>
      <c r="Q4465" s="1572">
        <v>125.4</v>
      </c>
      <c r="R4465" s="1565">
        <v>2926</v>
      </c>
      <c r="S4465" s="1562"/>
    </row>
    <row r="4466" spans="2:19" ht="11.25" customHeight="1" outlineLevel="1">
      <c r="B4466" s="1573">
        <v>27187</v>
      </c>
      <c r="C4466" s="1566" t="s">
        <v>4164</v>
      </c>
      <c r="D4466" s="1566" t="s">
        <v>8565</v>
      </c>
      <c r="E4466" s="1566"/>
      <c r="F4466" s="1566"/>
      <c r="G4466" s="1566" t="s">
        <v>4205</v>
      </c>
      <c r="H4466" s="1568">
        <v>1</v>
      </c>
      <c r="I4466" s="1566"/>
      <c r="J4466" s="1566"/>
      <c r="K4466" s="1572">
        <v>204</v>
      </c>
      <c r="L4466" s="1565">
        <v>1510</v>
      </c>
      <c r="M4466" s="1564"/>
      <c r="N4466" s="1565">
        <v>1510</v>
      </c>
      <c r="O4466" s="1572">
        <v>308.8</v>
      </c>
      <c r="P4466" s="1565">
        <v>1149.72</v>
      </c>
      <c r="Q4466" s="1572">
        <v>51.48</v>
      </c>
      <c r="R4466" s="1565">
        <v>1201.2</v>
      </c>
      <c r="S4466" s="1562"/>
    </row>
    <row r="4467" spans="2:19" ht="11.25" customHeight="1" outlineLevel="1">
      <c r="B4467" s="1573">
        <v>27189</v>
      </c>
      <c r="C4467" s="1566" t="s">
        <v>4164</v>
      </c>
      <c r="D4467" s="1566" t="s">
        <v>8564</v>
      </c>
      <c r="E4467" s="1566"/>
      <c r="F4467" s="1566"/>
      <c r="G4467" s="1566" t="s">
        <v>8563</v>
      </c>
      <c r="H4467" s="1568">
        <v>1</v>
      </c>
      <c r="I4467" s="1566"/>
      <c r="J4467" s="1566"/>
      <c r="K4467" s="1572">
        <v>540</v>
      </c>
      <c r="L4467" s="1565">
        <v>14040</v>
      </c>
      <c r="M4467" s="1564"/>
      <c r="N4467" s="1565">
        <v>14040</v>
      </c>
      <c r="O4467" s="1565">
        <v>8470.92</v>
      </c>
      <c r="P4467" s="1565">
        <v>5330.52</v>
      </c>
      <c r="Q4467" s="1572">
        <v>238.56</v>
      </c>
      <c r="R4467" s="1565">
        <v>5569.08</v>
      </c>
      <c r="S4467" s="1562"/>
    </row>
    <row r="4468" spans="2:19" ht="11.25" customHeight="1" outlineLevel="1">
      <c r="B4468" s="1573">
        <v>27192</v>
      </c>
      <c r="C4468" s="1566" t="s">
        <v>4164</v>
      </c>
      <c r="D4468" s="1566" t="s">
        <v>8562</v>
      </c>
      <c r="E4468" s="1566"/>
      <c r="F4468" s="1566"/>
      <c r="G4468" s="1566" t="s">
        <v>4199</v>
      </c>
      <c r="H4468" s="1568">
        <v>1</v>
      </c>
      <c r="I4468" s="1566"/>
      <c r="J4468" s="1566"/>
      <c r="K4468" s="1572">
        <v>204</v>
      </c>
      <c r="L4468" s="1565">
        <v>1183</v>
      </c>
      <c r="M4468" s="1564"/>
      <c r="N4468" s="1565">
        <v>1183</v>
      </c>
      <c r="O4468" s="1572">
        <v>208.6</v>
      </c>
      <c r="P4468" s="1572">
        <v>932.64</v>
      </c>
      <c r="Q4468" s="1572">
        <v>41.76</v>
      </c>
      <c r="R4468" s="1572">
        <v>974.4</v>
      </c>
      <c r="S4468" s="1562"/>
    </row>
    <row r="4469" spans="2:19" ht="11.25" customHeight="1" outlineLevel="1">
      <c r="B4469" s="1573">
        <v>27194</v>
      </c>
      <c r="C4469" s="1566" t="s">
        <v>4164</v>
      </c>
      <c r="D4469" s="1566" t="s">
        <v>8561</v>
      </c>
      <c r="E4469" s="1566"/>
      <c r="F4469" s="1566"/>
      <c r="G4469" s="1566" t="s">
        <v>4197</v>
      </c>
      <c r="H4469" s="1568">
        <v>1</v>
      </c>
      <c r="I4469" s="1566"/>
      <c r="J4469" s="1566"/>
      <c r="K4469" s="1572">
        <v>204</v>
      </c>
      <c r="L4469" s="1565">
        <v>5967</v>
      </c>
      <c r="M4469" s="1564"/>
      <c r="N4469" s="1565">
        <v>5967</v>
      </c>
      <c r="O4469" s="1565">
        <v>1053</v>
      </c>
      <c r="P4469" s="1565">
        <v>4703.3999999999996</v>
      </c>
      <c r="Q4469" s="1572">
        <v>210.6</v>
      </c>
      <c r="R4469" s="1565">
        <v>4914</v>
      </c>
      <c r="S4469" s="1562"/>
    </row>
    <row r="4470" spans="2:19" ht="11.25" customHeight="1" outlineLevel="1">
      <c r="B4470" s="1573">
        <v>27196</v>
      </c>
      <c r="C4470" s="1566" t="s">
        <v>4164</v>
      </c>
      <c r="D4470" s="1566" t="s">
        <v>8560</v>
      </c>
      <c r="E4470" s="1566"/>
      <c r="F4470" s="1566"/>
      <c r="G4470" s="1566" t="s">
        <v>4195</v>
      </c>
      <c r="H4470" s="1568">
        <v>1</v>
      </c>
      <c r="I4470" s="1566"/>
      <c r="J4470" s="1566"/>
      <c r="K4470" s="1572">
        <v>540</v>
      </c>
      <c r="L4470" s="1565">
        <v>53190</v>
      </c>
      <c r="M4470" s="1564"/>
      <c r="N4470" s="1565">
        <v>53190</v>
      </c>
      <c r="O4470" s="1565">
        <v>32094.799999999999</v>
      </c>
      <c r="P4470" s="1565">
        <v>20191.12</v>
      </c>
      <c r="Q4470" s="1572">
        <v>904.08</v>
      </c>
      <c r="R4470" s="1565">
        <v>21095.200000000001</v>
      </c>
      <c r="S4470" s="1562"/>
    </row>
    <row r="4471" spans="2:19" ht="11.25" customHeight="1" outlineLevel="1">
      <c r="B4471" s="1573">
        <v>27198</v>
      </c>
      <c r="C4471" s="1566" t="s">
        <v>4164</v>
      </c>
      <c r="D4471" s="1566" t="s">
        <v>8559</v>
      </c>
      <c r="E4471" s="1566"/>
      <c r="F4471" s="1566"/>
      <c r="G4471" s="1566" t="s">
        <v>4193</v>
      </c>
      <c r="H4471" s="1568">
        <v>1</v>
      </c>
      <c r="I4471" s="1566"/>
      <c r="J4471" s="1566"/>
      <c r="K4471" s="1572">
        <v>190</v>
      </c>
      <c r="L4471" s="1565">
        <v>11609</v>
      </c>
      <c r="M4471" s="1564"/>
      <c r="N4471" s="1565">
        <v>11609</v>
      </c>
      <c r="O4471" s="1565">
        <v>2049.56</v>
      </c>
      <c r="P4471" s="1565">
        <v>9149.52</v>
      </c>
      <c r="Q4471" s="1572">
        <v>409.92</v>
      </c>
      <c r="R4471" s="1565">
        <v>9559.44</v>
      </c>
      <c r="S4471" s="1562"/>
    </row>
    <row r="4472" spans="2:19" ht="11.25" customHeight="1" outlineLevel="1">
      <c r="B4472" s="1573">
        <v>27200</v>
      </c>
      <c r="C4472" s="1566" t="s">
        <v>4164</v>
      </c>
      <c r="D4472" s="1566" t="s">
        <v>8558</v>
      </c>
      <c r="E4472" s="1566"/>
      <c r="F4472" s="1566"/>
      <c r="G4472" s="1566" t="s">
        <v>4191</v>
      </c>
      <c r="H4472" s="1568">
        <v>1</v>
      </c>
      <c r="I4472" s="1566"/>
      <c r="J4472" s="1566"/>
      <c r="K4472" s="1572">
        <v>190</v>
      </c>
      <c r="L4472" s="1572">
        <v>570</v>
      </c>
      <c r="M4472" s="1564"/>
      <c r="N4472" s="1572">
        <v>570</v>
      </c>
      <c r="O4472" s="1572">
        <v>99.84</v>
      </c>
      <c r="P4472" s="1572">
        <v>450.24</v>
      </c>
      <c r="Q4472" s="1572">
        <v>19.920000000000002</v>
      </c>
      <c r="R4472" s="1572">
        <v>470.16</v>
      </c>
      <c r="S4472" s="1562"/>
    </row>
    <row r="4473" spans="2:19" ht="11.25" customHeight="1" outlineLevel="1">
      <c r="B4473" s="1573">
        <v>27202</v>
      </c>
      <c r="C4473" s="1566" t="s">
        <v>4164</v>
      </c>
      <c r="D4473" s="1566" t="s">
        <v>8557</v>
      </c>
      <c r="E4473" s="1566"/>
      <c r="F4473" s="1566"/>
      <c r="G4473" s="1566" t="s">
        <v>4189</v>
      </c>
      <c r="H4473" s="1568">
        <v>1</v>
      </c>
      <c r="I4473" s="1566"/>
      <c r="J4473" s="1566"/>
      <c r="K4473" s="1572">
        <v>190</v>
      </c>
      <c r="L4473" s="1565">
        <v>7923</v>
      </c>
      <c r="M4473" s="1564"/>
      <c r="N4473" s="1565">
        <v>7923</v>
      </c>
      <c r="O4473" s="1565">
        <v>1398.88</v>
      </c>
      <c r="P4473" s="1565">
        <v>6244.4</v>
      </c>
      <c r="Q4473" s="1572">
        <v>279.72000000000003</v>
      </c>
      <c r="R4473" s="1565">
        <v>6524.12</v>
      </c>
      <c r="S4473" s="1562"/>
    </row>
    <row r="4474" spans="2:19" ht="11.25" customHeight="1" outlineLevel="1">
      <c r="B4474" s="1573">
        <v>27204</v>
      </c>
      <c r="C4474" s="1566" t="s">
        <v>4164</v>
      </c>
      <c r="D4474" s="1566" t="s">
        <v>8556</v>
      </c>
      <c r="E4474" s="1566"/>
      <c r="F4474" s="1566"/>
      <c r="G4474" s="1566" t="s">
        <v>4187</v>
      </c>
      <c r="H4474" s="1568">
        <v>1</v>
      </c>
      <c r="I4474" s="1566"/>
      <c r="J4474" s="1566"/>
      <c r="K4474" s="1572">
        <v>190</v>
      </c>
      <c r="L4474" s="1565">
        <v>9215</v>
      </c>
      <c r="M4474" s="1564"/>
      <c r="N4474" s="1565">
        <v>9215</v>
      </c>
      <c r="O4474" s="1565">
        <v>1626.88</v>
      </c>
      <c r="P4474" s="1565">
        <v>7262.8</v>
      </c>
      <c r="Q4474" s="1572">
        <v>325.32</v>
      </c>
      <c r="R4474" s="1565">
        <v>7588.12</v>
      </c>
      <c r="S4474" s="1562"/>
    </row>
    <row r="4475" spans="2:19" ht="11.25" customHeight="1" outlineLevel="1">
      <c r="B4475" s="1573">
        <v>27206</v>
      </c>
      <c r="C4475" s="1566" t="s">
        <v>4164</v>
      </c>
      <c r="D4475" s="1566" t="s">
        <v>8555</v>
      </c>
      <c r="E4475" s="1566"/>
      <c r="F4475" s="1566"/>
      <c r="G4475" s="1566" t="s">
        <v>4187</v>
      </c>
      <c r="H4475" s="1568">
        <v>1</v>
      </c>
      <c r="I4475" s="1566"/>
      <c r="J4475" s="1566"/>
      <c r="K4475" s="1572">
        <v>450</v>
      </c>
      <c r="L4475" s="1565">
        <v>22590</v>
      </c>
      <c r="M4475" s="1564"/>
      <c r="N4475" s="1565">
        <v>22590</v>
      </c>
      <c r="O4475" s="1565">
        <v>13630</v>
      </c>
      <c r="P4475" s="1565">
        <v>8576</v>
      </c>
      <c r="Q4475" s="1572">
        <v>384</v>
      </c>
      <c r="R4475" s="1565">
        <v>8960</v>
      </c>
      <c r="S4475" s="1562"/>
    </row>
    <row r="4476" spans="2:19" ht="11.25" customHeight="1" outlineLevel="1">
      <c r="B4476" s="1573">
        <v>27207</v>
      </c>
      <c r="C4476" s="1566" t="s">
        <v>4164</v>
      </c>
      <c r="D4476" s="1566" t="s">
        <v>8554</v>
      </c>
      <c r="E4476" s="1566"/>
      <c r="F4476" s="1566"/>
      <c r="G4476" s="1566" t="s">
        <v>4185</v>
      </c>
      <c r="H4476" s="1568">
        <v>1</v>
      </c>
      <c r="I4476" s="1566"/>
      <c r="J4476" s="1566"/>
      <c r="K4476" s="1572">
        <v>190</v>
      </c>
      <c r="L4476" s="1565">
        <v>3258</v>
      </c>
      <c r="M4476" s="1564"/>
      <c r="N4476" s="1565">
        <v>3258</v>
      </c>
      <c r="O4476" s="1572">
        <v>575.48</v>
      </c>
      <c r="P4476" s="1565">
        <v>2567.44</v>
      </c>
      <c r="Q4476" s="1572">
        <v>115.08</v>
      </c>
      <c r="R4476" s="1565">
        <v>2682.52</v>
      </c>
      <c r="S4476" s="1562"/>
    </row>
    <row r="4477" spans="2:19" ht="11.25" customHeight="1" outlineLevel="1">
      <c r="B4477" s="1573">
        <v>27209</v>
      </c>
      <c r="C4477" s="1566" t="s">
        <v>4164</v>
      </c>
      <c r="D4477" s="1566" t="s">
        <v>8553</v>
      </c>
      <c r="E4477" s="1566"/>
      <c r="F4477" s="1566"/>
      <c r="G4477" s="1566" t="s">
        <v>4183</v>
      </c>
      <c r="H4477" s="1568">
        <v>1</v>
      </c>
      <c r="I4477" s="1566"/>
      <c r="J4477" s="1566"/>
      <c r="K4477" s="1572">
        <v>190</v>
      </c>
      <c r="L4477" s="1565">
        <v>3667</v>
      </c>
      <c r="M4477" s="1564"/>
      <c r="N4477" s="1565">
        <v>3667</v>
      </c>
      <c r="O4477" s="1572">
        <v>646.04</v>
      </c>
      <c r="P4477" s="1565">
        <v>2891.72</v>
      </c>
      <c r="Q4477" s="1572">
        <v>129.24</v>
      </c>
      <c r="R4477" s="1565">
        <v>3020.96</v>
      </c>
      <c r="S4477" s="1562"/>
    </row>
    <row r="4478" spans="2:19" ht="11.25" customHeight="1" outlineLevel="1">
      <c r="B4478" s="1573">
        <v>27211</v>
      </c>
      <c r="C4478" s="1566" t="s">
        <v>4164</v>
      </c>
      <c r="D4478" s="1566" t="s">
        <v>8552</v>
      </c>
      <c r="E4478" s="1566"/>
      <c r="F4478" s="1566"/>
      <c r="G4478" s="1566" t="s">
        <v>4010</v>
      </c>
      <c r="H4478" s="1568">
        <v>1</v>
      </c>
      <c r="I4478" s="1566"/>
      <c r="J4478" s="1566"/>
      <c r="K4478" s="1572">
        <v>190</v>
      </c>
      <c r="L4478" s="1565">
        <v>2774</v>
      </c>
      <c r="M4478" s="1564"/>
      <c r="N4478" s="1565">
        <v>2774</v>
      </c>
      <c r="O4478" s="1572">
        <v>489.3</v>
      </c>
      <c r="P4478" s="1565">
        <v>2186.88</v>
      </c>
      <c r="Q4478" s="1572">
        <v>97.82</v>
      </c>
      <c r="R4478" s="1565">
        <v>2284.6999999999998</v>
      </c>
      <c r="S4478" s="1562"/>
    </row>
    <row r="4479" spans="2:19" ht="11.25" customHeight="1" outlineLevel="1">
      <c r="B4479" s="1573">
        <v>27213</v>
      </c>
      <c r="C4479" s="1566" t="s">
        <v>4164</v>
      </c>
      <c r="D4479" s="1566" t="s">
        <v>8551</v>
      </c>
      <c r="E4479" s="1566"/>
      <c r="F4479" s="1566"/>
      <c r="G4479" s="1566" t="s">
        <v>4181</v>
      </c>
      <c r="H4479" s="1568">
        <v>1</v>
      </c>
      <c r="I4479" s="1566"/>
      <c r="J4479" s="1566"/>
      <c r="K4479" s="1572">
        <v>190</v>
      </c>
      <c r="L4479" s="1565">
        <v>2470</v>
      </c>
      <c r="M4479" s="1564"/>
      <c r="N4479" s="1565">
        <v>2470</v>
      </c>
      <c r="O4479" s="1572">
        <v>436.96</v>
      </c>
      <c r="P4479" s="1565">
        <v>1945.68</v>
      </c>
      <c r="Q4479" s="1572">
        <v>87.36</v>
      </c>
      <c r="R4479" s="1565">
        <v>2033.04</v>
      </c>
      <c r="S4479" s="1562"/>
    </row>
    <row r="4480" spans="2:19" ht="11.25" customHeight="1" outlineLevel="1">
      <c r="B4480" s="1573">
        <v>27215</v>
      </c>
      <c r="C4480" s="1566" t="s">
        <v>4164</v>
      </c>
      <c r="D4480" s="1566" t="s">
        <v>8550</v>
      </c>
      <c r="E4480" s="1566"/>
      <c r="F4480" s="1566"/>
      <c r="G4480" s="1566" t="s">
        <v>4179</v>
      </c>
      <c r="H4480" s="1568">
        <v>1</v>
      </c>
      <c r="I4480" s="1566"/>
      <c r="J4480" s="1566"/>
      <c r="K4480" s="1572">
        <v>190</v>
      </c>
      <c r="L4480" s="1565">
        <v>1045</v>
      </c>
      <c r="M4480" s="1564"/>
      <c r="N4480" s="1565">
        <v>1045</v>
      </c>
      <c r="O4480" s="1572">
        <v>185.16</v>
      </c>
      <c r="P4480" s="1572">
        <v>822.76</v>
      </c>
      <c r="Q4480" s="1572">
        <v>37.08</v>
      </c>
      <c r="R4480" s="1572">
        <v>859.84</v>
      </c>
      <c r="S4480" s="1562"/>
    </row>
    <row r="4481" spans="2:19" ht="11.25" customHeight="1" outlineLevel="1">
      <c r="B4481" s="1573">
        <v>27217</v>
      </c>
      <c r="C4481" s="1566" t="s">
        <v>4164</v>
      </c>
      <c r="D4481" s="1566" t="s">
        <v>8549</v>
      </c>
      <c r="E4481" s="1566"/>
      <c r="F4481" s="1566"/>
      <c r="G4481" s="1566" t="s">
        <v>8548</v>
      </c>
      <c r="H4481" s="1568">
        <v>1</v>
      </c>
      <c r="I4481" s="1566"/>
      <c r="J4481" s="1566"/>
      <c r="K4481" s="1572">
        <v>190</v>
      </c>
      <c r="L4481" s="1565">
        <v>25460</v>
      </c>
      <c r="M4481" s="1564"/>
      <c r="N4481" s="1565">
        <v>25460</v>
      </c>
      <c r="O4481" s="1565">
        <v>4493.4799999999996</v>
      </c>
      <c r="P4481" s="1565">
        <v>20067.84</v>
      </c>
      <c r="Q4481" s="1572">
        <v>898.68</v>
      </c>
      <c r="R4481" s="1565">
        <v>20966.52</v>
      </c>
      <c r="S4481" s="1562"/>
    </row>
    <row r="4482" spans="2:19" ht="11.25" customHeight="1" outlineLevel="1">
      <c r="B4482" s="1573">
        <v>27219</v>
      </c>
      <c r="C4482" s="1566" t="s">
        <v>4164</v>
      </c>
      <c r="D4482" s="1566" t="s">
        <v>8547</v>
      </c>
      <c r="E4482" s="1566"/>
      <c r="F4482" s="1566"/>
      <c r="G4482" s="1566" t="s">
        <v>4175</v>
      </c>
      <c r="H4482" s="1568">
        <v>1</v>
      </c>
      <c r="I4482" s="1566"/>
      <c r="J4482" s="1566"/>
      <c r="K4482" s="1572">
        <v>190</v>
      </c>
      <c r="L4482" s="1565">
        <v>4750</v>
      </c>
      <c r="M4482" s="1564"/>
      <c r="N4482" s="1565">
        <v>4750</v>
      </c>
      <c r="O4482" s="1572">
        <v>838.4</v>
      </c>
      <c r="P4482" s="1565">
        <v>3743.96</v>
      </c>
      <c r="Q4482" s="1572">
        <v>167.64</v>
      </c>
      <c r="R4482" s="1565">
        <v>3911.6</v>
      </c>
      <c r="S4482" s="1562"/>
    </row>
    <row r="4483" spans="2:19" ht="11.25" customHeight="1" outlineLevel="1">
      <c r="B4483" s="1573">
        <v>27221</v>
      </c>
      <c r="C4483" s="1566" t="s">
        <v>4164</v>
      </c>
      <c r="D4483" s="1566" t="s">
        <v>8546</v>
      </c>
      <c r="E4483" s="1566"/>
      <c r="F4483" s="1566"/>
      <c r="G4483" s="1566" t="s">
        <v>4173</v>
      </c>
      <c r="H4483" s="1568">
        <v>1</v>
      </c>
      <c r="I4483" s="1566"/>
      <c r="J4483" s="1566"/>
      <c r="K4483" s="1572">
        <v>190</v>
      </c>
      <c r="L4483" s="1565">
        <v>2660</v>
      </c>
      <c r="M4483" s="1564"/>
      <c r="N4483" s="1565">
        <v>2660</v>
      </c>
      <c r="O4483" s="1572">
        <v>470.16</v>
      </c>
      <c r="P4483" s="1565">
        <v>2095.7600000000002</v>
      </c>
      <c r="Q4483" s="1572">
        <v>94.08</v>
      </c>
      <c r="R4483" s="1565">
        <v>2189.84</v>
      </c>
      <c r="S4483" s="1562"/>
    </row>
    <row r="4484" spans="2:19" ht="11.25" customHeight="1" outlineLevel="1">
      <c r="B4484" s="1573">
        <v>27223</v>
      </c>
      <c r="C4484" s="1566" t="s">
        <v>4164</v>
      </c>
      <c r="D4484" s="1566" t="s">
        <v>8545</v>
      </c>
      <c r="E4484" s="1566"/>
      <c r="F4484" s="1566"/>
      <c r="G4484" s="1566" t="s">
        <v>4171</v>
      </c>
      <c r="H4484" s="1568">
        <v>1</v>
      </c>
      <c r="I4484" s="1566"/>
      <c r="J4484" s="1566"/>
      <c r="K4484" s="1572">
        <v>190</v>
      </c>
      <c r="L4484" s="1565">
        <v>21071</v>
      </c>
      <c r="M4484" s="1564"/>
      <c r="N4484" s="1565">
        <v>21071</v>
      </c>
      <c r="O4484" s="1565">
        <v>3719.16</v>
      </c>
      <c r="P4484" s="1565">
        <v>16607.96</v>
      </c>
      <c r="Q4484" s="1572">
        <v>743.88</v>
      </c>
      <c r="R4484" s="1565">
        <v>17351.84</v>
      </c>
      <c r="S4484" s="1562"/>
    </row>
    <row r="4485" spans="2:19" ht="11.25" customHeight="1" outlineLevel="1">
      <c r="B4485" s="1573">
        <v>27225</v>
      </c>
      <c r="C4485" s="1566" t="s">
        <v>4164</v>
      </c>
      <c r="D4485" s="1566" t="s">
        <v>8544</v>
      </c>
      <c r="E4485" s="1566"/>
      <c r="F4485" s="1566"/>
      <c r="G4485" s="1566" t="s">
        <v>4169</v>
      </c>
      <c r="H4485" s="1568">
        <v>1</v>
      </c>
      <c r="I4485" s="1566"/>
      <c r="J4485" s="1566"/>
      <c r="K4485" s="1572">
        <v>540</v>
      </c>
      <c r="L4485" s="1565">
        <v>39690</v>
      </c>
      <c r="M4485" s="1564"/>
      <c r="N4485" s="1565">
        <v>39690</v>
      </c>
      <c r="O4485" s="1565">
        <v>23948.400000000001</v>
      </c>
      <c r="P4485" s="1565">
        <v>15066.96</v>
      </c>
      <c r="Q4485" s="1572">
        <v>674.64</v>
      </c>
      <c r="R4485" s="1565">
        <v>15741.6</v>
      </c>
      <c r="S4485" s="1562"/>
    </row>
    <row r="4486" spans="2:19" ht="11.25" customHeight="1" outlineLevel="1">
      <c r="B4486" s="1573">
        <v>27227</v>
      </c>
      <c r="C4486" s="1566" t="s">
        <v>4164</v>
      </c>
      <c r="D4486" s="1566" t="s">
        <v>8543</v>
      </c>
      <c r="E4486" s="1566"/>
      <c r="F4486" s="1566"/>
      <c r="G4486" s="1566" t="s">
        <v>4169</v>
      </c>
      <c r="H4486" s="1568">
        <v>1</v>
      </c>
      <c r="I4486" s="1566"/>
      <c r="J4486" s="1566"/>
      <c r="K4486" s="1572">
        <v>540</v>
      </c>
      <c r="L4486" s="1565">
        <v>2592</v>
      </c>
      <c r="M4486" s="1564"/>
      <c r="N4486" s="1565">
        <v>2592</v>
      </c>
      <c r="O4486" s="1565">
        <v>1564.4</v>
      </c>
      <c r="P4486" s="1572">
        <v>983.56</v>
      </c>
      <c r="Q4486" s="1572">
        <v>44.04</v>
      </c>
      <c r="R4486" s="1565">
        <v>1027.5999999999999</v>
      </c>
      <c r="S4486" s="1562"/>
    </row>
    <row r="4487" spans="2:19" ht="11.25" customHeight="1" outlineLevel="1">
      <c r="B4487" s="1573">
        <v>27228</v>
      </c>
      <c r="C4487" s="1566" t="s">
        <v>4164</v>
      </c>
      <c r="D4487" s="1566" t="s">
        <v>8542</v>
      </c>
      <c r="E4487" s="1566"/>
      <c r="F4487" s="1566"/>
      <c r="G4487" s="1566" t="s">
        <v>4167</v>
      </c>
      <c r="H4487" s="1568">
        <v>1</v>
      </c>
      <c r="I4487" s="1566"/>
      <c r="J4487" s="1566"/>
      <c r="K4487" s="1572">
        <v>190</v>
      </c>
      <c r="L4487" s="1565">
        <v>3933</v>
      </c>
      <c r="M4487" s="1564"/>
      <c r="N4487" s="1565">
        <v>3933</v>
      </c>
      <c r="O4487" s="1572">
        <v>693.52</v>
      </c>
      <c r="P4487" s="1565">
        <v>3100.76</v>
      </c>
      <c r="Q4487" s="1572">
        <v>138.72</v>
      </c>
      <c r="R4487" s="1565">
        <v>3239.48</v>
      </c>
      <c r="S4487" s="1562"/>
    </row>
    <row r="4488" spans="2:19" ht="11.25" customHeight="1" outlineLevel="1">
      <c r="B4488" s="1573">
        <v>27231</v>
      </c>
      <c r="C4488" s="1566" t="s">
        <v>4164</v>
      </c>
      <c r="D4488" s="1566" t="s">
        <v>8541</v>
      </c>
      <c r="E4488" s="1566"/>
      <c r="F4488" s="1566"/>
      <c r="G4488" s="1566" t="s">
        <v>8540</v>
      </c>
      <c r="H4488" s="1568">
        <v>1</v>
      </c>
      <c r="I4488" s="1566"/>
      <c r="J4488" s="1566"/>
      <c r="K4488" s="1572">
        <v>620</v>
      </c>
      <c r="L4488" s="1565">
        <v>46360</v>
      </c>
      <c r="M4488" s="1564"/>
      <c r="N4488" s="1565">
        <v>46360</v>
      </c>
      <c r="O4488" s="1565">
        <v>8181.88</v>
      </c>
      <c r="P4488" s="1565">
        <v>36541.800000000003</v>
      </c>
      <c r="Q4488" s="1565">
        <v>1636.32</v>
      </c>
      <c r="R4488" s="1565">
        <v>38178.120000000003</v>
      </c>
      <c r="S4488" s="1562"/>
    </row>
    <row r="4489" spans="2:19" ht="11.25" customHeight="1" outlineLevel="1">
      <c r="B4489" s="1573">
        <v>27232</v>
      </c>
      <c r="C4489" s="1566" t="s">
        <v>4164</v>
      </c>
      <c r="D4489" s="1566" t="s">
        <v>8539</v>
      </c>
      <c r="E4489" s="1566"/>
      <c r="F4489" s="1566"/>
      <c r="G4489" s="1566" t="s">
        <v>8538</v>
      </c>
      <c r="H4489" s="1568">
        <v>1</v>
      </c>
      <c r="I4489" s="1566"/>
      <c r="J4489" s="1566"/>
      <c r="K4489" s="1572">
        <v>540</v>
      </c>
      <c r="L4489" s="1565">
        <v>51192</v>
      </c>
      <c r="M4489" s="1564"/>
      <c r="N4489" s="1565">
        <v>51192</v>
      </c>
      <c r="O4489" s="1565">
        <v>30889.200000000001</v>
      </c>
      <c r="P4489" s="1565">
        <v>19432.68</v>
      </c>
      <c r="Q4489" s="1572">
        <v>870.12</v>
      </c>
      <c r="R4489" s="1565">
        <v>20302.8</v>
      </c>
      <c r="S4489" s="1562"/>
    </row>
    <row r="4490" spans="2:19" ht="11.25" customHeight="1" outlineLevel="1">
      <c r="B4490" s="1573">
        <v>27245</v>
      </c>
      <c r="C4490" s="1566" t="s">
        <v>4142</v>
      </c>
      <c r="D4490" s="1566" t="s">
        <v>8537</v>
      </c>
      <c r="E4490" s="1566"/>
      <c r="F4490" s="1566"/>
      <c r="G4490" s="1566" t="s">
        <v>8536</v>
      </c>
      <c r="H4490" s="1568">
        <v>1</v>
      </c>
      <c r="I4490" s="1566"/>
      <c r="J4490" s="1566"/>
      <c r="K4490" s="1572">
        <v>204</v>
      </c>
      <c r="L4490" s="1565">
        <v>217505</v>
      </c>
      <c r="M4490" s="1564"/>
      <c r="N4490" s="1565">
        <v>217505</v>
      </c>
      <c r="O4490" s="1565">
        <v>131550.68</v>
      </c>
      <c r="P4490" s="1565">
        <v>82257.36</v>
      </c>
      <c r="Q4490" s="1565">
        <v>3696.96</v>
      </c>
      <c r="R4490" s="1565">
        <v>85954.32</v>
      </c>
      <c r="S4490" s="1562"/>
    </row>
    <row r="4491" spans="2:19" ht="11.25" customHeight="1" outlineLevel="1">
      <c r="B4491" s="1573">
        <v>27246</v>
      </c>
      <c r="C4491" s="1566" t="s">
        <v>4142</v>
      </c>
      <c r="D4491" s="1566" t="s">
        <v>8535</v>
      </c>
      <c r="E4491" s="1566"/>
      <c r="F4491" s="1566"/>
      <c r="G4491" s="1566" t="s">
        <v>4151</v>
      </c>
      <c r="H4491" s="1568">
        <v>1</v>
      </c>
      <c r="I4491" s="1566"/>
      <c r="J4491" s="1566"/>
      <c r="K4491" s="1572">
        <v>52</v>
      </c>
      <c r="L4491" s="1572">
        <v>292</v>
      </c>
      <c r="M4491" s="1564"/>
      <c r="N4491" s="1572">
        <v>292</v>
      </c>
      <c r="O4491" s="1572">
        <v>177.49</v>
      </c>
      <c r="P4491" s="1572">
        <v>109.47</v>
      </c>
      <c r="Q4491" s="1572">
        <v>5.04</v>
      </c>
      <c r="R4491" s="1572">
        <v>114.51</v>
      </c>
      <c r="S4491" s="1562"/>
    </row>
    <row r="4492" spans="2:19" ht="11.25" customHeight="1" outlineLevel="1">
      <c r="B4492" s="1573">
        <v>27247</v>
      </c>
      <c r="C4492" s="1566" t="s">
        <v>4142</v>
      </c>
      <c r="D4492" s="1566" t="s">
        <v>8534</v>
      </c>
      <c r="E4492" s="1566"/>
      <c r="F4492" s="1566"/>
      <c r="G4492" s="1566" t="s">
        <v>8532</v>
      </c>
      <c r="H4492" s="1568">
        <v>1</v>
      </c>
      <c r="I4492" s="1566"/>
      <c r="J4492" s="1566"/>
      <c r="K4492" s="1572">
        <v>57</v>
      </c>
      <c r="L4492" s="1565">
        <v>4881</v>
      </c>
      <c r="M4492" s="1564"/>
      <c r="N4492" s="1565">
        <v>4881</v>
      </c>
      <c r="O4492" s="1565">
        <v>2952.99</v>
      </c>
      <c r="P4492" s="1565">
        <v>1844.97</v>
      </c>
      <c r="Q4492" s="1572">
        <v>83.04</v>
      </c>
      <c r="R4492" s="1565">
        <v>1928.01</v>
      </c>
      <c r="S4492" s="1562"/>
    </row>
    <row r="4493" spans="2:19" ht="11.25" customHeight="1" outlineLevel="1">
      <c r="B4493" s="1573">
        <v>27248</v>
      </c>
      <c r="C4493" s="1566" t="s">
        <v>4142</v>
      </c>
      <c r="D4493" s="1566" t="s">
        <v>8533</v>
      </c>
      <c r="E4493" s="1566"/>
      <c r="F4493" s="1566"/>
      <c r="G4493" s="1566" t="s">
        <v>8532</v>
      </c>
      <c r="H4493" s="1568">
        <v>1</v>
      </c>
      <c r="I4493" s="1566"/>
      <c r="J4493" s="1566"/>
      <c r="K4493" s="1572">
        <v>57</v>
      </c>
      <c r="L4493" s="1572">
        <v>570</v>
      </c>
      <c r="M4493" s="1564"/>
      <c r="N4493" s="1572">
        <v>570</v>
      </c>
      <c r="O4493" s="1572">
        <v>101.16</v>
      </c>
      <c r="P4493" s="1572">
        <v>448.56</v>
      </c>
      <c r="Q4493" s="1572">
        <v>20.28</v>
      </c>
      <c r="R4493" s="1572">
        <v>468.84</v>
      </c>
      <c r="S4493" s="1562"/>
    </row>
    <row r="4494" spans="2:19" ht="11.25" customHeight="1" outlineLevel="1">
      <c r="B4494" s="1573">
        <v>27249</v>
      </c>
      <c r="C4494" s="1566" t="s">
        <v>4142</v>
      </c>
      <c r="D4494" s="1566" t="s">
        <v>8531</v>
      </c>
      <c r="E4494" s="1566"/>
      <c r="F4494" s="1566"/>
      <c r="G4494" s="1566" t="s">
        <v>4147</v>
      </c>
      <c r="H4494" s="1568">
        <v>1</v>
      </c>
      <c r="I4494" s="1566"/>
      <c r="J4494" s="1566"/>
      <c r="K4494" s="1572">
        <v>52</v>
      </c>
      <c r="L4494" s="1572">
        <v>401</v>
      </c>
      <c r="M4494" s="1564"/>
      <c r="N4494" s="1572">
        <v>401</v>
      </c>
      <c r="O4494" s="1572">
        <v>241.97</v>
      </c>
      <c r="P4494" s="1572">
        <v>152.19</v>
      </c>
      <c r="Q4494" s="1572">
        <v>6.84</v>
      </c>
      <c r="R4494" s="1572">
        <v>159.03</v>
      </c>
      <c r="S4494" s="1562"/>
    </row>
    <row r="4495" spans="2:19" ht="11.25" customHeight="1" outlineLevel="1">
      <c r="B4495" s="1573">
        <v>27250</v>
      </c>
      <c r="C4495" s="1566" t="s">
        <v>4142</v>
      </c>
      <c r="D4495" s="1566" t="s">
        <v>8530</v>
      </c>
      <c r="E4495" s="1566"/>
      <c r="F4495" s="1566"/>
      <c r="G4495" s="1566" t="s">
        <v>4159</v>
      </c>
      <c r="H4495" s="1568">
        <v>1</v>
      </c>
      <c r="I4495" s="1566"/>
      <c r="J4495" s="1566"/>
      <c r="K4495" s="1572">
        <v>52</v>
      </c>
      <c r="L4495" s="1572">
        <v>435</v>
      </c>
      <c r="M4495" s="1564"/>
      <c r="N4495" s="1572">
        <v>435</v>
      </c>
      <c r="O4495" s="1572">
        <v>262.14</v>
      </c>
      <c r="P4495" s="1572">
        <v>165.54</v>
      </c>
      <c r="Q4495" s="1572">
        <v>7.32</v>
      </c>
      <c r="R4495" s="1572">
        <v>172.86</v>
      </c>
      <c r="S4495" s="1562"/>
    </row>
    <row r="4496" spans="2:19" ht="11.25" customHeight="1" outlineLevel="1">
      <c r="B4496" s="1573">
        <v>27251</v>
      </c>
      <c r="C4496" s="1566" t="s">
        <v>4142</v>
      </c>
      <c r="D4496" s="1566" t="s">
        <v>8529</v>
      </c>
      <c r="E4496" s="1566"/>
      <c r="F4496" s="1566"/>
      <c r="G4496" s="1566" t="s">
        <v>4157</v>
      </c>
      <c r="H4496" s="1568">
        <v>1</v>
      </c>
      <c r="I4496" s="1566"/>
      <c r="J4496" s="1566"/>
      <c r="K4496" s="1572">
        <v>52</v>
      </c>
      <c r="L4496" s="1565">
        <v>2074</v>
      </c>
      <c r="M4496" s="1564"/>
      <c r="N4496" s="1565">
        <v>2074</v>
      </c>
      <c r="O4496" s="1565">
        <v>1253.74</v>
      </c>
      <c r="P4496" s="1572">
        <v>784.98</v>
      </c>
      <c r="Q4496" s="1572">
        <v>35.28</v>
      </c>
      <c r="R4496" s="1572">
        <v>820.26</v>
      </c>
      <c r="S4496" s="1562"/>
    </row>
    <row r="4497" spans="2:19" ht="11.25" customHeight="1" outlineLevel="1">
      <c r="B4497" s="1573">
        <v>27252</v>
      </c>
      <c r="C4497" s="1566" t="s">
        <v>4142</v>
      </c>
      <c r="D4497" s="1566" t="s">
        <v>8528</v>
      </c>
      <c r="E4497" s="1566"/>
      <c r="F4497" s="1566"/>
      <c r="G4497" s="1566" t="s">
        <v>4155</v>
      </c>
      <c r="H4497" s="1568">
        <v>1</v>
      </c>
      <c r="I4497" s="1566"/>
      <c r="J4497" s="1566"/>
      <c r="K4497" s="1572">
        <v>52</v>
      </c>
      <c r="L4497" s="1572">
        <v>443</v>
      </c>
      <c r="M4497" s="1564"/>
      <c r="N4497" s="1572">
        <v>443</v>
      </c>
      <c r="O4497" s="1572">
        <v>267.23</v>
      </c>
      <c r="P4497" s="1572">
        <v>168.21</v>
      </c>
      <c r="Q4497" s="1572">
        <v>7.56</v>
      </c>
      <c r="R4497" s="1572">
        <v>175.77</v>
      </c>
      <c r="S4497" s="1562"/>
    </row>
    <row r="4498" spans="2:19" ht="11.25" customHeight="1" outlineLevel="1">
      <c r="B4498" s="1573">
        <v>27253</v>
      </c>
      <c r="C4498" s="1566" t="s">
        <v>4142</v>
      </c>
      <c r="D4498" s="1566" t="s">
        <v>8527</v>
      </c>
      <c r="E4498" s="1566"/>
      <c r="F4498" s="1566"/>
      <c r="G4498" s="1566" t="s">
        <v>4153</v>
      </c>
      <c r="H4498" s="1568">
        <v>1</v>
      </c>
      <c r="I4498" s="1566"/>
      <c r="J4498" s="1566"/>
      <c r="K4498" s="1572">
        <v>52</v>
      </c>
      <c r="L4498" s="1565">
        <v>2125</v>
      </c>
      <c r="M4498" s="1564"/>
      <c r="N4498" s="1565">
        <v>2125</v>
      </c>
      <c r="O4498" s="1565">
        <v>1285.21</v>
      </c>
      <c r="P4498" s="1572">
        <v>803.67</v>
      </c>
      <c r="Q4498" s="1572">
        <v>36.119999999999997</v>
      </c>
      <c r="R4498" s="1572">
        <v>839.79</v>
      </c>
      <c r="S4498" s="1562"/>
    </row>
    <row r="4499" spans="2:19" ht="11.25" customHeight="1" outlineLevel="1">
      <c r="B4499" s="1573">
        <v>27254</v>
      </c>
      <c r="C4499" s="1566" t="s">
        <v>4142</v>
      </c>
      <c r="D4499" s="1566" t="s">
        <v>8526</v>
      </c>
      <c r="E4499" s="1566"/>
      <c r="F4499" s="1566"/>
      <c r="G4499" s="1566" t="s">
        <v>4161</v>
      </c>
      <c r="H4499" s="1568">
        <v>1</v>
      </c>
      <c r="I4499" s="1566"/>
      <c r="J4499" s="1566"/>
      <c r="K4499" s="1572">
        <v>52</v>
      </c>
      <c r="L4499" s="1572">
        <v>359</v>
      </c>
      <c r="M4499" s="1564"/>
      <c r="N4499" s="1572">
        <v>359</v>
      </c>
      <c r="O4499" s="1572">
        <v>216.71</v>
      </c>
      <c r="P4499" s="1572">
        <v>136.16999999999999</v>
      </c>
      <c r="Q4499" s="1572">
        <v>6.12</v>
      </c>
      <c r="R4499" s="1572">
        <v>142.29</v>
      </c>
      <c r="S4499" s="1562"/>
    </row>
    <row r="4500" spans="2:19" ht="11.25" customHeight="1" outlineLevel="1">
      <c r="B4500" s="1573">
        <v>27263</v>
      </c>
      <c r="C4500" s="1566" t="s">
        <v>4142</v>
      </c>
      <c r="D4500" s="1566" t="s">
        <v>8525</v>
      </c>
      <c r="E4500" s="1566"/>
      <c r="F4500" s="1566"/>
      <c r="G4500" s="1566" t="s">
        <v>8524</v>
      </c>
      <c r="H4500" s="1568">
        <v>1</v>
      </c>
      <c r="I4500" s="1566"/>
      <c r="J4500" s="1566"/>
      <c r="K4500" s="1572">
        <v>320</v>
      </c>
      <c r="L4500" s="1565">
        <v>266026</v>
      </c>
      <c r="M4500" s="1564"/>
      <c r="N4500" s="1565">
        <v>266026</v>
      </c>
      <c r="O4500" s="1565">
        <v>160896.01</v>
      </c>
      <c r="P4500" s="1565">
        <v>100608.27</v>
      </c>
      <c r="Q4500" s="1565">
        <v>4521.72</v>
      </c>
      <c r="R4500" s="1565">
        <v>105129.99</v>
      </c>
      <c r="S4500" s="1562"/>
    </row>
    <row r="4501" spans="2:19" ht="11.25" customHeight="1" outlineLevel="1">
      <c r="B4501" s="1573">
        <v>27264</v>
      </c>
      <c r="C4501" s="1566" t="s">
        <v>4142</v>
      </c>
      <c r="D4501" s="1566" t="s">
        <v>8523</v>
      </c>
      <c r="E4501" s="1566"/>
      <c r="F4501" s="1566"/>
      <c r="G4501" s="1566" t="s">
        <v>4140</v>
      </c>
      <c r="H4501" s="1568">
        <v>1</v>
      </c>
      <c r="I4501" s="1566"/>
      <c r="J4501" s="1566"/>
      <c r="K4501" s="1572">
        <v>41</v>
      </c>
      <c r="L4501" s="1565">
        <v>2653</v>
      </c>
      <c r="M4501" s="1564"/>
      <c r="N4501" s="1565">
        <v>2653</v>
      </c>
      <c r="O4501" s="1565">
        <v>1603.96</v>
      </c>
      <c r="P4501" s="1565">
        <v>1003.92</v>
      </c>
      <c r="Q4501" s="1572">
        <v>45.12</v>
      </c>
      <c r="R4501" s="1565">
        <v>1049.04</v>
      </c>
      <c r="S4501" s="1562"/>
    </row>
    <row r="4502" spans="2:19" ht="11.25" customHeight="1" outlineLevel="1">
      <c r="B4502" s="1573">
        <v>27265</v>
      </c>
      <c r="C4502" s="1566" t="s">
        <v>4142</v>
      </c>
      <c r="D4502" s="1566" t="s">
        <v>8522</v>
      </c>
      <c r="E4502" s="1566"/>
      <c r="F4502" s="1566"/>
      <c r="G4502" s="1566" t="s">
        <v>8521</v>
      </c>
      <c r="H4502" s="1568">
        <v>1</v>
      </c>
      <c r="I4502" s="1566"/>
      <c r="J4502" s="1566"/>
      <c r="K4502" s="1572">
        <v>47</v>
      </c>
      <c r="L4502" s="1565">
        <v>1488</v>
      </c>
      <c r="M4502" s="1564"/>
      <c r="N4502" s="1565">
        <v>1488</v>
      </c>
      <c r="O4502" s="1572">
        <v>305.04000000000002</v>
      </c>
      <c r="P4502" s="1565">
        <v>1132.08</v>
      </c>
      <c r="Q4502" s="1572">
        <v>50.88</v>
      </c>
      <c r="R4502" s="1565">
        <v>1182.96</v>
      </c>
      <c r="S4502" s="1562"/>
    </row>
    <row r="4503" spans="2:19" ht="11.25" customHeight="1" outlineLevel="1">
      <c r="B4503" s="1573">
        <v>27266</v>
      </c>
      <c r="C4503" s="1566" t="s">
        <v>4142</v>
      </c>
      <c r="D4503" s="1566" t="s">
        <v>8520</v>
      </c>
      <c r="E4503" s="1566"/>
      <c r="F4503" s="1566"/>
      <c r="G4503" s="1566" t="s">
        <v>8519</v>
      </c>
      <c r="H4503" s="1568">
        <v>1</v>
      </c>
      <c r="I4503" s="1566"/>
      <c r="J4503" s="1566"/>
      <c r="K4503" s="1572">
        <v>35</v>
      </c>
      <c r="L4503" s="1572">
        <v>488</v>
      </c>
      <c r="M4503" s="1564"/>
      <c r="N4503" s="1572">
        <v>488</v>
      </c>
      <c r="O4503" s="1572">
        <v>100.19</v>
      </c>
      <c r="P4503" s="1572">
        <v>371.13</v>
      </c>
      <c r="Q4503" s="1572">
        <v>16.68</v>
      </c>
      <c r="R4503" s="1572">
        <v>387.81</v>
      </c>
      <c r="S4503" s="1562"/>
    </row>
    <row r="4504" spans="2:19" ht="11.25" customHeight="1" outlineLevel="1">
      <c r="B4504" s="1573">
        <v>27284</v>
      </c>
      <c r="C4504" s="1566" t="s">
        <v>4128</v>
      </c>
      <c r="D4504" s="1566" t="s">
        <v>8518</v>
      </c>
      <c r="E4504" s="1566"/>
      <c r="F4504" s="1566"/>
      <c r="G4504" s="1566" t="s">
        <v>4137</v>
      </c>
      <c r="H4504" s="1568">
        <v>1</v>
      </c>
      <c r="I4504" s="1566"/>
      <c r="J4504" s="1566"/>
      <c r="K4504" s="1572">
        <v>40</v>
      </c>
      <c r="L4504" s="1565">
        <v>1071</v>
      </c>
      <c r="M4504" s="1564"/>
      <c r="N4504" s="1565">
        <v>1071</v>
      </c>
      <c r="O4504" s="1572">
        <v>189.86</v>
      </c>
      <c r="P4504" s="1572">
        <v>843.22</v>
      </c>
      <c r="Q4504" s="1572">
        <v>37.92</v>
      </c>
      <c r="R4504" s="1572">
        <v>881.14</v>
      </c>
      <c r="S4504" s="1562"/>
    </row>
    <row r="4505" spans="2:19" ht="11.25" customHeight="1" outlineLevel="1">
      <c r="B4505" s="1573">
        <v>27285</v>
      </c>
      <c r="C4505" s="1566" t="s">
        <v>4128</v>
      </c>
      <c r="D4505" s="1566" t="s">
        <v>8517</v>
      </c>
      <c r="E4505" s="1566"/>
      <c r="F4505" s="1566"/>
      <c r="G4505" s="1566" t="s">
        <v>4135</v>
      </c>
      <c r="H4505" s="1568">
        <v>1</v>
      </c>
      <c r="I4505" s="1566"/>
      <c r="J4505" s="1566"/>
      <c r="K4505" s="1572">
        <v>35</v>
      </c>
      <c r="L4505" s="1572">
        <v>367</v>
      </c>
      <c r="M4505" s="1564"/>
      <c r="N4505" s="1572">
        <v>367</v>
      </c>
      <c r="O4505" s="1572">
        <v>64.22</v>
      </c>
      <c r="P4505" s="1572">
        <v>289.94</v>
      </c>
      <c r="Q4505" s="1572">
        <v>12.84</v>
      </c>
      <c r="R4505" s="1572">
        <v>302.77999999999997</v>
      </c>
      <c r="S4505" s="1562"/>
    </row>
    <row r="4506" spans="2:19" ht="11.25" customHeight="1" outlineLevel="1">
      <c r="B4506" s="1573">
        <v>27286</v>
      </c>
      <c r="C4506" s="1566" t="s">
        <v>4128</v>
      </c>
      <c r="D4506" s="1566" t="s">
        <v>8516</v>
      </c>
      <c r="E4506" s="1566"/>
      <c r="F4506" s="1566"/>
      <c r="G4506" s="1566" t="s">
        <v>4132</v>
      </c>
      <c r="H4506" s="1568">
        <v>1</v>
      </c>
      <c r="I4506" s="1566"/>
      <c r="J4506" s="1566"/>
      <c r="K4506" s="1572">
        <v>49</v>
      </c>
      <c r="L4506" s="1572">
        <v>734</v>
      </c>
      <c r="M4506" s="1564"/>
      <c r="N4506" s="1572">
        <v>734</v>
      </c>
      <c r="O4506" s="1572">
        <v>444.88</v>
      </c>
      <c r="P4506" s="1572">
        <v>276.64</v>
      </c>
      <c r="Q4506" s="1572">
        <v>12.48</v>
      </c>
      <c r="R4506" s="1572">
        <v>289.12</v>
      </c>
      <c r="S4506" s="1562"/>
    </row>
    <row r="4507" spans="2:19" ht="11.25" customHeight="1" outlineLevel="1">
      <c r="B4507" s="1573">
        <v>27292</v>
      </c>
      <c r="C4507" s="1566" t="s">
        <v>4128</v>
      </c>
      <c r="D4507" s="1566" t="s">
        <v>8515</v>
      </c>
      <c r="E4507" s="1566"/>
      <c r="F4507" s="1566"/>
      <c r="G4507" s="1566" t="s">
        <v>4130</v>
      </c>
      <c r="H4507" s="1568">
        <v>1</v>
      </c>
      <c r="I4507" s="1566"/>
      <c r="J4507" s="1566"/>
      <c r="K4507" s="1572">
        <v>166</v>
      </c>
      <c r="L4507" s="1565">
        <v>1545</v>
      </c>
      <c r="M4507" s="1564"/>
      <c r="N4507" s="1565">
        <v>1545</v>
      </c>
      <c r="O4507" s="1572">
        <v>358.06</v>
      </c>
      <c r="P4507" s="1565">
        <v>1135.82</v>
      </c>
      <c r="Q4507" s="1572">
        <v>51.12</v>
      </c>
      <c r="R4507" s="1565">
        <v>1186.94</v>
      </c>
      <c r="S4507" s="1562"/>
    </row>
    <row r="4508" spans="2:19" ht="11.25" customHeight="1" outlineLevel="1">
      <c r="B4508" s="1573">
        <v>27294</v>
      </c>
      <c r="C4508" s="1566" t="s">
        <v>4128</v>
      </c>
      <c r="D4508" s="1566" t="s">
        <v>8514</v>
      </c>
      <c r="E4508" s="1566"/>
      <c r="F4508" s="1566"/>
      <c r="G4508" s="1566" t="s">
        <v>4126</v>
      </c>
      <c r="H4508" s="1568">
        <v>1</v>
      </c>
      <c r="I4508" s="1566"/>
      <c r="J4508" s="1566"/>
      <c r="K4508" s="1565">
        <v>1245</v>
      </c>
      <c r="L4508" s="1565">
        <v>157483</v>
      </c>
      <c r="M4508" s="1564"/>
      <c r="N4508" s="1565">
        <v>157483</v>
      </c>
      <c r="O4508" s="1565">
        <v>36542.1</v>
      </c>
      <c r="P4508" s="1565">
        <v>115720.64</v>
      </c>
      <c r="Q4508" s="1565">
        <v>5220.26</v>
      </c>
      <c r="R4508" s="1565">
        <v>120940.9</v>
      </c>
      <c r="S4508" s="1562"/>
    </row>
    <row r="4509" spans="2:19" ht="11.25" customHeight="1" outlineLevel="1">
      <c r="B4509" s="1573">
        <v>27297</v>
      </c>
      <c r="C4509" s="1566" t="s">
        <v>4128</v>
      </c>
      <c r="D4509" s="1566" t="s">
        <v>8513</v>
      </c>
      <c r="E4509" s="1566"/>
      <c r="F4509" s="1566"/>
      <c r="G4509" s="1566" t="s">
        <v>8512</v>
      </c>
      <c r="H4509" s="1568">
        <v>1</v>
      </c>
      <c r="I4509" s="1566"/>
      <c r="J4509" s="1566"/>
      <c r="K4509" s="1565">
        <v>143985</v>
      </c>
      <c r="L4509" s="1565">
        <v>143985</v>
      </c>
      <c r="M4509" s="1564"/>
      <c r="N4509" s="1565">
        <v>143985</v>
      </c>
      <c r="O4509" s="1565">
        <v>60593.34</v>
      </c>
      <c r="P4509" s="1565">
        <v>79792.02</v>
      </c>
      <c r="Q4509" s="1565">
        <v>3599.64</v>
      </c>
      <c r="R4509" s="1565">
        <v>83391.66</v>
      </c>
      <c r="S4509" s="1562"/>
    </row>
    <row r="4510" spans="2:19" ht="11.25" customHeight="1" outlineLevel="1">
      <c r="B4510" s="1573">
        <v>27356</v>
      </c>
      <c r="C4510" s="1566" t="s">
        <v>8509</v>
      </c>
      <c r="D4510" s="1566" t="s">
        <v>8511</v>
      </c>
      <c r="E4510" s="1566"/>
      <c r="F4510" s="1566"/>
      <c r="G4510" s="1566" t="s">
        <v>8510</v>
      </c>
      <c r="H4510" s="1568">
        <v>1</v>
      </c>
      <c r="I4510" s="1566"/>
      <c r="J4510" s="1566"/>
      <c r="K4510" s="1565">
        <v>93728</v>
      </c>
      <c r="L4510" s="1565">
        <v>93728</v>
      </c>
      <c r="M4510" s="1564"/>
      <c r="N4510" s="1565">
        <v>93728</v>
      </c>
      <c r="O4510" s="1565">
        <v>21810.25</v>
      </c>
      <c r="P4510" s="1565">
        <v>68801.95</v>
      </c>
      <c r="Q4510" s="1565">
        <v>3115.8</v>
      </c>
      <c r="R4510" s="1565">
        <v>71917.75</v>
      </c>
      <c r="S4510" s="1562"/>
    </row>
    <row r="4511" spans="2:19" ht="11.25" customHeight="1" outlineLevel="1">
      <c r="B4511" s="1573">
        <v>27359</v>
      </c>
      <c r="C4511" s="1566" t="s">
        <v>8509</v>
      </c>
      <c r="D4511" s="1566" t="s">
        <v>8508</v>
      </c>
      <c r="E4511" s="1566"/>
      <c r="F4511" s="1566"/>
      <c r="G4511" s="1566"/>
      <c r="H4511" s="1568">
        <v>1</v>
      </c>
      <c r="I4511" s="1566"/>
      <c r="J4511" s="1566"/>
      <c r="K4511" s="1565">
        <v>2385</v>
      </c>
      <c r="L4511" s="1565">
        <v>2385</v>
      </c>
      <c r="M4511" s="1565">
        <v>-2385</v>
      </c>
      <c r="N4511" s="1564"/>
      <c r="O4511" s="1564"/>
      <c r="P4511" s="1565">
        <v>2385</v>
      </c>
      <c r="Q4511" s="1565">
        <v>-2385</v>
      </c>
      <c r="R4511" s="1564"/>
      <c r="S4511" s="1562"/>
    </row>
    <row r="4512" spans="2:19" ht="11.25" customHeight="1" outlineLevel="1">
      <c r="B4512" s="1573">
        <v>27389</v>
      </c>
      <c r="C4512" s="1566" t="s">
        <v>4117</v>
      </c>
      <c r="D4512" s="1566" t="s">
        <v>8507</v>
      </c>
      <c r="E4512" s="1566"/>
      <c r="F4512" s="1566"/>
      <c r="G4512" s="1566" t="s">
        <v>8506</v>
      </c>
      <c r="H4512" s="1568">
        <v>1</v>
      </c>
      <c r="I4512" s="1566"/>
      <c r="J4512" s="1566"/>
      <c r="K4512" s="1572">
        <v>220</v>
      </c>
      <c r="L4512" s="1565">
        <v>3347</v>
      </c>
      <c r="M4512" s="1564"/>
      <c r="N4512" s="1565">
        <v>3347</v>
      </c>
      <c r="O4512" s="1565">
        <v>2038.76</v>
      </c>
      <c r="P4512" s="1565">
        <v>1251.3599999999999</v>
      </c>
      <c r="Q4512" s="1572">
        <v>56.88</v>
      </c>
      <c r="R4512" s="1565">
        <v>1308.24</v>
      </c>
      <c r="S4512" s="1562"/>
    </row>
    <row r="4513" spans="2:19" ht="11.25" customHeight="1" outlineLevel="1">
      <c r="B4513" s="1573">
        <v>27390</v>
      </c>
      <c r="C4513" s="1566" t="s">
        <v>4117</v>
      </c>
      <c r="D4513" s="1566" t="s">
        <v>8505</v>
      </c>
      <c r="E4513" s="1566"/>
      <c r="F4513" s="1566"/>
      <c r="G4513" s="1566" t="s">
        <v>4122</v>
      </c>
      <c r="H4513" s="1568">
        <v>1</v>
      </c>
      <c r="I4513" s="1566"/>
      <c r="J4513" s="1566"/>
      <c r="K4513" s="1565">
        <v>6333</v>
      </c>
      <c r="L4513" s="1565">
        <v>34833</v>
      </c>
      <c r="M4513" s="1564"/>
      <c r="N4513" s="1565">
        <v>34833</v>
      </c>
      <c r="O4513" s="1565">
        <v>8127.36</v>
      </c>
      <c r="P4513" s="1565">
        <v>25544.639999999999</v>
      </c>
      <c r="Q4513" s="1565">
        <v>1161</v>
      </c>
      <c r="R4513" s="1565">
        <v>26705.64</v>
      </c>
      <c r="S4513" s="1562"/>
    </row>
    <row r="4514" spans="2:19" ht="11.25" customHeight="1" outlineLevel="1">
      <c r="B4514" s="1573">
        <v>27543</v>
      </c>
      <c r="C4514" s="1566" t="s">
        <v>4117</v>
      </c>
      <c r="D4514" s="1566" t="s">
        <v>8504</v>
      </c>
      <c r="E4514" s="1566"/>
      <c r="F4514" s="1566"/>
      <c r="G4514" s="1566" t="s">
        <v>4118</v>
      </c>
      <c r="H4514" s="1568">
        <v>1</v>
      </c>
      <c r="I4514" s="1566"/>
      <c r="J4514" s="1566"/>
      <c r="K4514" s="1572">
        <v>35</v>
      </c>
      <c r="L4514" s="1572">
        <v>244</v>
      </c>
      <c r="M4514" s="1564"/>
      <c r="N4514" s="1572">
        <v>244</v>
      </c>
      <c r="O4514" s="1572">
        <v>50.76</v>
      </c>
      <c r="P4514" s="1572">
        <v>184.8</v>
      </c>
      <c r="Q4514" s="1572">
        <v>8.44</v>
      </c>
      <c r="R4514" s="1572">
        <v>193.24</v>
      </c>
      <c r="S4514" s="1562"/>
    </row>
    <row r="4515" spans="2:19" ht="11.25" customHeight="1" outlineLevel="1">
      <c r="B4515" s="1573">
        <v>23004</v>
      </c>
      <c r="C4515" s="1566" t="s">
        <v>4115</v>
      </c>
      <c r="D4515" s="1566" t="s">
        <v>8503</v>
      </c>
      <c r="E4515" s="1566"/>
      <c r="F4515" s="1566"/>
      <c r="G4515" s="1566"/>
      <c r="H4515" s="1568">
        <v>1</v>
      </c>
      <c r="I4515" s="1566"/>
      <c r="J4515" s="1566"/>
      <c r="K4515" s="1572">
        <v>0.01</v>
      </c>
      <c r="L4515" s="1572">
        <v>0.01</v>
      </c>
      <c r="M4515" s="1572">
        <v>-0.01</v>
      </c>
      <c r="N4515" s="1564"/>
      <c r="O4515" s="1564"/>
      <c r="P4515" s="1572">
        <v>0.01</v>
      </c>
      <c r="Q4515" s="1572">
        <v>-0.01</v>
      </c>
      <c r="R4515" s="1564"/>
      <c r="S4515" s="1562"/>
    </row>
    <row r="4516" spans="2:19" ht="11.25" customHeight="1" outlineLevel="1">
      <c r="B4516" s="1573">
        <v>27571</v>
      </c>
      <c r="C4516" s="1566" t="s">
        <v>4115</v>
      </c>
      <c r="D4516" s="1566" t="s">
        <v>8502</v>
      </c>
      <c r="E4516" s="1566"/>
      <c r="F4516" s="1566"/>
      <c r="G4516" s="1566" t="s">
        <v>4113</v>
      </c>
      <c r="H4516" s="1568">
        <v>1</v>
      </c>
      <c r="I4516" s="1566"/>
      <c r="J4516" s="1566"/>
      <c r="K4516" s="1572">
        <v>299</v>
      </c>
      <c r="L4516" s="1565">
        <v>53080</v>
      </c>
      <c r="M4516" s="1564"/>
      <c r="N4516" s="1565">
        <v>53080</v>
      </c>
      <c r="O4516" s="1565">
        <v>13735.63</v>
      </c>
      <c r="P4516" s="1565">
        <v>37627.410000000003</v>
      </c>
      <c r="Q4516" s="1565">
        <v>1716.96</v>
      </c>
      <c r="R4516" s="1565">
        <v>39344.370000000003</v>
      </c>
      <c r="S4516" s="1562"/>
    </row>
    <row r="4517" spans="2:19" ht="11.25" customHeight="1" outlineLevel="1">
      <c r="B4517" s="1573">
        <v>27574</v>
      </c>
      <c r="C4517" s="1566" t="s">
        <v>4115</v>
      </c>
      <c r="D4517" s="1566" t="s">
        <v>8501</v>
      </c>
      <c r="E4517" s="1566"/>
      <c r="F4517" s="1566"/>
      <c r="G4517" s="1566"/>
      <c r="H4517" s="1568">
        <v>1</v>
      </c>
      <c r="I4517" s="1566"/>
      <c r="J4517" s="1566"/>
      <c r="K4517" s="1565">
        <v>1800</v>
      </c>
      <c r="L4517" s="1565">
        <v>1800</v>
      </c>
      <c r="M4517" s="1565">
        <v>-1800</v>
      </c>
      <c r="N4517" s="1564"/>
      <c r="O4517" s="1564"/>
      <c r="P4517" s="1565">
        <v>1800</v>
      </c>
      <c r="Q4517" s="1565">
        <v>-1800</v>
      </c>
      <c r="R4517" s="1564"/>
      <c r="S4517" s="1562"/>
    </row>
    <row r="4518" spans="2:19" ht="11.25" customHeight="1" outlineLevel="1">
      <c r="B4518" s="1573">
        <v>34821</v>
      </c>
      <c r="C4518" s="1566" t="s">
        <v>4115</v>
      </c>
      <c r="D4518" s="1566" t="s">
        <v>8500</v>
      </c>
      <c r="E4518" s="1566"/>
      <c r="F4518" s="1566"/>
      <c r="G4518" s="1566"/>
      <c r="H4518" s="1568">
        <v>1</v>
      </c>
      <c r="I4518" s="1566"/>
      <c r="J4518" s="1566"/>
      <c r="K4518" s="1565">
        <v>1800</v>
      </c>
      <c r="L4518" s="1565">
        <v>1800</v>
      </c>
      <c r="M4518" s="1565">
        <v>-1800</v>
      </c>
      <c r="N4518" s="1564"/>
      <c r="O4518" s="1564"/>
      <c r="P4518" s="1565">
        <v>1800</v>
      </c>
      <c r="Q4518" s="1565">
        <v>-1800</v>
      </c>
      <c r="R4518" s="1564"/>
      <c r="S4518" s="1562"/>
    </row>
    <row r="4519" spans="2:19" ht="11.25" customHeight="1" outlineLevel="1">
      <c r="B4519" s="1573">
        <v>22994</v>
      </c>
      <c r="C4519" s="1566" t="s">
        <v>8499</v>
      </c>
      <c r="D4519" s="1566" t="s">
        <v>8498</v>
      </c>
      <c r="E4519" s="1566"/>
      <c r="F4519" s="1566"/>
      <c r="G4519" s="1566"/>
      <c r="H4519" s="1568">
        <v>1</v>
      </c>
      <c r="I4519" s="1566"/>
      <c r="J4519" s="1566"/>
      <c r="K4519" s="1565">
        <v>2385</v>
      </c>
      <c r="L4519" s="1565">
        <v>2386</v>
      </c>
      <c r="M4519" s="1565">
        <v>-2386</v>
      </c>
      <c r="N4519" s="1564"/>
      <c r="O4519" s="1564"/>
      <c r="P4519" s="1565">
        <v>2386</v>
      </c>
      <c r="Q4519" s="1565">
        <v>-2386</v>
      </c>
      <c r="R4519" s="1564"/>
      <c r="S4519" s="1562"/>
    </row>
    <row r="4520" spans="2:19" ht="11.25" customHeight="1" outlineLevel="1">
      <c r="B4520" s="1573">
        <v>27648</v>
      </c>
      <c r="C4520" s="1566" t="s">
        <v>8496</v>
      </c>
      <c r="D4520" s="1566" t="s">
        <v>8497</v>
      </c>
      <c r="E4520" s="1566"/>
      <c r="F4520" s="1566"/>
      <c r="G4520" s="1566" t="s">
        <v>8494</v>
      </c>
      <c r="H4520" s="1568">
        <v>1</v>
      </c>
      <c r="I4520" s="1566"/>
      <c r="J4520" s="1566"/>
      <c r="K4520" s="1565">
        <v>24500</v>
      </c>
      <c r="L4520" s="1565">
        <v>24500</v>
      </c>
      <c r="M4520" s="1564"/>
      <c r="N4520" s="1565">
        <v>24500</v>
      </c>
      <c r="O4520" s="1565">
        <v>15026.9</v>
      </c>
      <c r="P4520" s="1565">
        <v>9056.7000000000007</v>
      </c>
      <c r="Q4520" s="1572">
        <v>416.4</v>
      </c>
      <c r="R4520" s="1565">
        <v>9473.1</v>
      </c>
      <c r="S4520" s="1562"/>
    </row>
    <row r="4521" spans="2:19" ht="11.25" customHeight="1" outlineLevel="1">
      <c r="B4521" s="1573">
        <v>27649</v>
      </c>
      <c r="C4521" s="1566" t="s">
        <v>8496</v>
      </c>
      <c r="D4521" s="1566" t="s">
        <v>8495</v>
      </c>
      <c r="E4521" s="1566"/>
      <c r="F4521" s="1566"/>
      <c r="G4521" s="1566" t="s">
        <v>8494</v>
      </c>
      <c r="H4521" s="1568">
        <v>1</v>
      </c>
      <c r="I4521" s="1566"/>
      <c r="J4521" s="1566"/>
      <c r="K4521" s="1572">
        <v>406</v>
      </c>
      <c r="L4521" s="1565">
        <v>4064</v>
      </c>
      <c r="M4521" s="1564"/>
      <c r="N4521" s="1565">
        <v>4064</v>
      </c>
      <c r="O4521" s="1565">
        <v>1058.1500000000001</v>
      </c>
      <c r="P4521" s="1565">
        <v>2873.61</v>
      </c>
      <c r="Q4521" s="1572">
        <v>132.24</v>
      </c>
      <c r="R4521" s="1565">
        <v>3005.85</v>
      </c>
      <c r="S4521" s="1562"/>
    </row>
    <row r="4522" spans="2:19" ht="11.25" customHeight="1" outlineLevel="1">
      <c r="B4522" s="1573">
        <v>27674</v>
      </c>
      <c r="C4522" s="1566" t="s">
        <v>4108</v>
      </c>
      <c r="D4522" s="1566" t="s">
        <v>8493</v>
      </c>
      <c r="E4522" s="1566"/>
      <c r="F4522" s="1566"/>
      <c r="G4522" s="1566" t="s">
        <v>8492</v>
      </c>
      <c r="H4522" s="1568">
        <v>1</v>
      </c>
      <c r="I4522" s="1566"/>
      <c r="J4522" s="1566"/>
      <c r="K4522" s="1572">
        <v>285</v>
      </c>
      <c r="L4522" s="1565">
        <v>30476</v>
      </c>
      <c r="M4522" s="1564"/>
      <c r="N4522" s="1565">
        <v>30476</v>
      </c>
      <c r="O4522" s="1565">
        <v>18776.93</v>
      </c>
      <c r="P4522" s="1565">
        <v>11181.03</v>
      </c>
      <c r="Q4522" s="1572">
        <v>518.04</v>
      </c>
      <c r="R4522" s="1565">
        <v>11699.07</v>
      </c>
      <c r="S4522" s="1562"/>
    </row>
    <row r="4523" spans="2:19" ht="11.25" customHeight="1" outlineLevel="1">
      <c r="B4523" s="1573">
        <v>27675</v>
      </c>
      <c r="C4523" s="1566" t="s">
        <v>4108</v>
      </c>
      <c r="D4523" s="1566" t="s">
        <v>8491</v>
      </c>
      <c r="E4523" s="1566"/>
      <c r="F4523" s="1566"/>
      <c r="G4523" s="1566" t="s">
        <v>4008</v>
      </c>
      <c r="H4523" s="1568">
        <v>1</v>
      </c>
      <c r="I4523" s="1566"/>
      <c r="J4523" s="1566"/>
      <c r="K4523" s="1572">
        <v>251</v>
      </c>
      <c r="L4523" s="1565">
        <v>6272</v>
      </c>
      <c r="M4523" s="1564"/>
      <c r="N4523" s="1565">
        <v>6272</v>
      </c>
      <c r="O4523" s="1565">
        <v>1483.55</v>
      </c>
      <c r="P4523" s="1565">
        <v>4576.53</v>
      </c>
      <c r="Q4523" s="1572">
        <v>211.92</v>
      </c>
      <c r="R4523" s="1565">
        <v>4788.45</v>
      </c>
      <c r="S4523" s="1562"/>
    </row>
    <row r="4524" spans="2:19" ht="11.25" customHeight="1" outlineLevel="1">
      <c r="B4524" s="1573">
        <v>24003</v>
      </c>
      <c r="C4524" s="1566" t="s">
        <v>8489</v>
      </c>
      <c r="D4524" s="1566" t="s">
        <v>8490</v>
      </c>
      <c r="E4524" s="1566"/>
      <c r="F4524" s="1566"/>
      <c r="G4524" s="1566"/>
      <c r="H4524" s="1568">
        <v>1</v>
      </c>
      <c r="I4524" s="1566"/>
      <c r="J4524" s="1566"/>
      <c r="K4524" s="1565">
        <v>4200</v>
      </c>
      <c r="L4524" s="1565">
        <v>4200</v>
      </c>
      <c r="M4524" s="1565">
        <v>-4200</v>
      </c>
      <c r="N4524" s="1564"/>
      <c r="O4524" s="1564"/>
      <c r="P4524" s="1565">
        <v>4200</v>
      </c>
      <c r="Q4524" s="1565">
        <v>-4200</v>
      </c>
      <c r="R4524" s="1564"/>
      <c r="S4524" s="1562"/>
    </row>
    <row r="4525" spans="2:19" ht="11.25" customHeight="1" outlineLevel="1">
      <c r="B4525" s="1573">
        <v>34029</v>
      </c>
      <c r="C4525" s="1566" t="s">
        <v>8489</v>
      </c>
      <c r="D4525" s="1566" t="s">
        <v>8488</v>
      </c>
      <c r="E4525" s="1566"/>
      <c r="F4525" s="1566"/>
      <c r="G4525" s="1566"/>
      <c r="H4525" s="1568">
        <v>1</v>
      </c>
      <c r="I4525" s="1566"/>
      <c r="J4525" s="1566"/>
      <c r="K4525" s="1565">
        <v>4200</v>
      </c>
      <c r="L4525" s="1565">
        <v>4200</v>
      </c>
      <c r="M4525" s="1565">
        <v>-4200</v>
      </c>
      <c r="N4525" s="1564"/>
      <c r="O4525" s="1564"/>
      <c r="P4525" s="1565">
        <v>4200</v>
      </c>
      <c r="Q4525" s="1565">
        <v>-4200</v>
      </c>
      <c r="R4525" s="1564"/>
      <c r="S4525" s="1562"/>
    </row>
    <row r="4526" spans="2:19" ht="11.25" customHeight="1" outlineLevel="1">
      <c r="B4526" s="1573">
        <v>27775</v>
      </c>
      <c r="C4526" s="1566" t="s">
        <v>4101</v>
      </c>
      <c r="D4526" s="1566" t="s">
        <v>8487</v>
      </c>
      <c r="E4526" s="1566"/>
      <c r="F4526" s="1566"/>
      <c r="G4526" s="1566" t="s">
        <v>3734</v>
      </c>
      <c r="H4526" s="1568">
        <v>1</v>
      </c>
      <c r="I4526" s="1566"/>
      <c r="J4526" s="1566"/>
      <c r="K4526" s="1572">
        <v>528</v>
      </c>
      <c r="L4526" s="1565">
        <v>543725.93999999994</v>
      </c>
      <c r="M4526" s="1564"/>
      <c r="N4526" s="1565">
        <v>543725.93999999994</v>
      </c>
      <c r="O4526" s="1565">
        <v>406122.14</v>
      </c>
      <c r="P4526" s="1565">
        <v>126451.72</v>
      </c>
      <c r="Q4526" s="1565">
        <v>11152.08</v>
      </c>
      <c r="R4526" s="1565">
        <v>137603.79999999999</v>
      </c>
      <c r="S4526" s="1562"/>
    </row>
    <row r="4527" spans="2:19" ht="21.75" customHeight="1" outlineLevel="1">
      <c r="B4527" s="1573">
        <v>27779</v>
      </c>
      <c r="C4527" s="1566" t="s">
        <v>4101</v>
      </c>
      <c r="D4527" s="1566" t="s">
        <v>8486</v>
      </c>
      <c r="E4527" s="1566"/>
      <c r="F4527" s="1566"/>
      <c r="G4527" s="1566" t="s">
        <v>4099</v>
      </c>
      <c r="H4527" s="1568">
        <v>1</v>
      </c>
      <c r="I4527" s="1571">
        <v>57</v>
      </c>
      <c r="J4527" s="1566"/>
      <c r="K4527" s="1572">
        <v>458</v>
      </c>
      <c r="L4527" s="1565">
        <v>26121</v>
      </c>
      <c r="M4527" s="1564"/>
      <c r="N4527" s="1565">
        <v>26121</v>
      </c>
      <c r="O4527" s="1565">
        <v>6871.2</v>
      </c>
      <c r="P4527" s="1565">
        <v>18390.919999999998</v>
      </c>
      <c r="Q4527" s="1572">
        <v>858.88</v>
      </c>
      <c r="R4527" s="1565">
        <v>19249.8</v>
      </c>
      <c r="S4527" s="1562"/>
    </row>
    <row r="4528" spans="2:19" ht="21.75" customHeight="1" outlineLevel="1">
      <c r="B4528" s="1573">
        <v>27780</v>
      </c>
      <c r="C4528" s="1566" t="s">
        <v>4101</v>
      </c>
      <c r="D4528" s="1566" t="s">
        <v>8485</v>
      </c>
      <c r="E4528" s="1566"/>
      <c r="F4528" s="1566"/>
      <c r="G4528" s="1566" t="s">
        <v>4099</v>
      </c>
      <c r="H4528" s="1568">
        <v>1</v>
      </c>
      <c r="I4528" s="1566"/>
      <c r="J4528" s="1566"/>
      <c r="K4528" s="1572">
        <v>295</v>
      </c>
      <c r="L4528" s="1565">
        <v>1033</v>
      </c>
      <c r="M4528" s="1564"/>
      <c r="N4528" s="1565">
        <v>1033</v>
      </c>
      <c r="O4528" s="1572">
        <v>271.73</v>
      </c>
      <c r="P4528" s="1572">
        <v>727.31</v>
      </c>
      <c r="Q4528" s="1572">
        <v>33.96</v>
      </c>
      <c r="R4528" s="1572">
        <v>761.27</v>
      </c>
      <c r="S4528" s="1562"/>
    </row>
    <row r="4529" spans="2:19" ht="21.75" customHeight="1" outlineLevel="1">
      <c r="B4529" s="1573">
        <v>27782</v>
      </c>
      <c r="C4529" s="1566" t="s">
        <v>4101</v>
      </c>
      <c r="D4529" s="1566" t="s">
        <v>8484</v>
      </c>
      <c r="E4529" s="1566"/>
      <c r="F4529" s="1566"/>
      <c r="G4529" s="1566" t="s">
        <v>8482</v>
      </c>
      <c r="H4529" s="1568">
        <v>1</v>
      </c>
      <c r="I4529" s="1566"/>
      <c r="J4529" s="1566"/>
      <c r="K4529" s="1572">
        <v>238</v>
      </c>
      <c r="L4529" s="1565">
        <v>13171</v>
      </c>
      <c r="M4529" s="1564"/>
      <c r="N4529" s="1565">
        <v>13171</v>
      </c>
      <c r="O4529" s="1565">
        <v>3465.24</v>
      </c>
      <c r="P4529" s="1565">
        <v>9272.56</v>
      </c>
      <c r="Q4529" s="1572">
        <v>433.2</v>
      </c>
      <c r="R4529" s="1565">
        <v>9705.76</v>
      </c>
      <c r="S4529" s="1562"/>
    </row>
    <row r="4530" spans="2:19" ht="21.75" customHeight="1" outlineLevel="1">
      <c r="B4530" s="1573">
        <v>27783</v>
      </c>
      <c r="C4530" s="1566" t="s">
        <v>4101</v>
      </c>
      <c r="D4530" s="1566" t="s">
        <v>8483</v>
      </c>
      <c r="E4530" s="1566"/>
      <c r="F4530" s="1566"/>
      <c r="G4530" s="1566" t="s">
        <v>8482</v>
      </c>
      <c r="H4530" s="1568">
        <v>1</v>
      </c>
      <c r="I4530" s="1570">
        <v>12.5</v>
      </c>
      <c r="J4530" s="1566"/>
      <c r="K4530" s="1572">
        <v>357</v>
      </c>
      <c r="L4530" s="1565">
        <v>4461</v>
      </c>
      <c r="M4530" s="1564"/>
      <c r="N4530" s="1565">
        <v>4461</v>
      </c>
      <c r="O4530" s="1565">
        <v>1173.7</v>
      </c>
      <c r="P4530" s="1565">
        <v>3140.54</v>
      </c>
      <c r="Q4530" s="1572">
        <v>146.76</v>
      </c>
      <c r="R4530" s="1565">
        <v>3287.3</v>
      </c>
      <c r="S4530" s="1562"/>
    </row>
    <row r="4531" spans="2:19" ht="11.25" customHeight="1" outlineLevel="1">
      <c r="B4531" s="1573">
        <v>27784</v>
      </c>
      <c r="C4531" s="1566" t="s">
        <v>4101</v>
      </c>
      <c r="D4531" s="1566" t="s">
        <v>8481</v>
      </c>
      <c r="E4531" s="1566"/>
      <c r="F4531" s="1566"/>
      <c r="G4531" s="1566" t="s">
        <v>3664</v>
      </c>
      <c r="H4531" s="1568">
        <v>1</v>
      </c>
      <c r="I4531" s="1566"/>
      <c r="J4531" s="1566"/>
      <c r="K4531" s="1572">
        <v>495</v>
      </c>
      <c r="L4531" s="1565">
        <v>119868</v>
      </c>
      <c r="M4531" s="1564"/>
      <c r="N4531" s="1565">
        <v>119868</v>
      </c>
      <c r="O4531" s="1565">
        <v>74197.06</v>
      </c>
      <c r="P4531" s="1565">
        <v>43633.46</v>
      </c>
      <c r="Q4531" s="1565">
        <v>2037.48</v>
      </c>
      <c r="R4531" s="1565">
        <v>45670.94</v>
      </c>
      <c r="S4531" s="1562"/>
    </row>
    <row r="4532" spans="2:19" ht="11.25" customHeight="1" outlineLevel="1">
      <c r="B4532" s="1573">
        <v>27883</v>
      </c>
      <c r="C4532" s="1566" t="s">
        <v>4101</v>
      </c>
      <c r="D4532" s="1566" t="s">
        <v>8480</v>
      </c>
      <c r="E4532" s="1566"/>
      <c r="F4532" s="1566"/>
      <c r="G4532" s="1566" t="s">
        <v>8479</v>
      </c>
      <c r="H4532" s="1568">
        <v>1</v>
      </c>
      <c r="I4532" s="1566"/>
      <c r="J4532" s="1566"/>
      <c r="K4532" s="1565">
        <v>241875</v>
      </c>
      <c r="L4532" s="1565">
        <v>241875</v>
      </c>
      <c r="M4532" s="1564"/>
      <c r="N4532" s="1565">
        <v>241875</v>
      </c>
      <c r="O4532" s="1565">
        <v>63616.77</v>
      </c>
      <c r="P4532" s="1565">
        <v>170306.19</v>
      </c>
      <c r="Q4532" s="1565">
        <v>7952.04</v>
      </c>
      <c r="R4532" s="1565">
        <v>178258.23</v>
      </c>
      <c r="S4532" s="1562"/>
    </row>
    <row r="4533" spans="2:19" ht="11.25" customHeight="1" outlineLevel="1">
      <c r="B4533" s="1573">
        <v>27853</v>
      </c>
      <c r="C4533" s="1566" t="s">
        <v>8478</v>
      </c>
      <c r="D4533" s="1566" t="s">
        <v>8477</v>
      </c>
      <c r="E4533" s="1566"/>
      <c r="F4533" s="1566"/>
      <c r="G4533" s="1566" t="s">
        <v>3734</v>
      </c>
      <c r="H4533" s="1568">
        <v>1</v>
      </c>
      <c r="I4533" s="1566"/>
      <c r="J4533" s="1566"/>
      <c r="K4533" s="1572">
        <v>177</v>
      </c>
      <c r="L4533" s="1565">
        <v>4697</v>
      </c>
      <c r="M4533" s="1564"/>
      <c r="N4533" s="1565">
        <v>4697</v>
      </c>
      <c r="O4533" s="1565">
        <v>1235.04</v>
      </c>
      <c r="P4533" s="1565">
        <v>3307.59</v>
      </c>
      <c r="Q4533" s="1572">
        <v>154.37</v>
      </c>
      <c r="R4533" s="1565">
        <v>3461.96</v>
      </c>
      <c r="S4533" s="1562"/>
    </row>
    <row r="4534" spans="2:19" ht="11.25" customHeight="1" outlineLevel="1">
      <c r="B4534" s="1573">
        <v>27917</v>
      </c>
      <c r="C4534" s="1566" t="s">
        <v>4097</v>
      </c>
      <c r="D4534" s="1566" t="s">
        <v>8476</v>
      </c>
      <c r="E4534" s="1566"/>
      <c r="F4534" s="1566"/>
      <c r="G4534" s="1566" t="s">
        <v>4095</v>
      </c>
      <c r="H4534" s="1568">
        <v>1</v>
      </c>
      <c r="I4534" s="1566"/>
      <c r="J4534" s="1566"/>
      <c r="K4534" s="1572">
        <v>448</v>
      </c>
      <c r="L4534" s="1565">
        <v>85621</v>
      </c>
      <c r="M4534" s="1564"/>
      <c r="N4534" s="1565">
        <v>85621</v>
      </c>
      <c r="O4534" s="1565">
        <v>22581.919999999998</v>
      </c>
      <c r="P4534" s="1565">
        <v>60216.32</v>
      </c>
      <c r="Q4534" s="1565">
        <v>2822.76</v>
      </c>
      <c r="R4534" s="1565">
        <v>63039.08</v>
      </c>
      <c r="S4534" s="1562"/>
    </row>
    <row r="4535" spans="2:19" ht="11.25" customHeight="1" outlineLevel="1">
      <c r="B4535" s="1573">
        <v>27920</v>
      </c>
      <c r="C4535" s="1566" t="s">
        <v>4097</v>
      </c>
      <c r="D4535" s="1566" t="s">
        <v>8475</v>
      </c>
      <c r="E4535" s="1566"/>
      <c r="F4535" s="1566"/>
      <c r="G4535" s="1566" t="s">
        <v>3959</v>
      </c>
      <c r="H4535" s="1568">
        <v>1</v>
      </c>
      <c r="I4535" s="1566"/>
      <c r="J4535" s="1566"/>
      <c r="K4535" s="1572">
        <v>410</v>
      </c>
      <c r="L4535" s="1565">
        <v>6971</v>
      </c>
      <c r="M4535" s="1564"/>
      <c r="N4535" s="1565">
        <v>6971</v>
      </c>
      <c r="O4535" s="1565">
        <v>4325.72</v>
      </c>
      <c r="P4535" s="1565">
        <v>2526.7199999999998</v>
      </c>
      <c r="Q4535" s="1572">
        <v>118.56</v>
      </c>
      <c r="R4535" s="1565">
        <v>2645.28</v>
      </c>
      <c r="S4535" s="1562"/>
    </row>
    <row r="4536" spans="2:19" ht="11.25" customHeight="1" outlineLevel="1">
      <c r="B4536" s="1573">
        <v>27921</v>
      </c>
      <c r="C4536" s="1566" t="s">
        <v>4097</v>
      </c>
      <c r="D4536" s="1566" t="s">
        <v>8474</v>
      </c>
      <c r="E4536" s="1566"/>
      <c r="F4536" s="1566"/>
      <c r="G4536" s="1566" t="s">
        <v>3957</v>
      </c>
      <c r="H4536" s="1568">
        <v>1</v>
      </c>
      <c r="I4536" s="1566"/>
      <c r="J4536" s="1566"/>
      <c r="K4536" s="1572">
        <v>410</v>
      </c>
      <c r="L4536" s="1565">
        <v>16607</v>
      </c>
      <c r="M4536" s="1564"/>
      <c r="N4536" s="1565">
        <v>16607</v>
      </c>
      <c r="O4536" s="1565">
        <v>10303.64</v>
      </c>
      <c r="P4536" s="1565">
        <v>6021.12</v>
      </c>
      <c r="Q4536" s="1572">
        <v>282.24</v>
      </c>
      <c r="R4536" s="1565">
        <v>6303.36</v>
      </c>
      <c r="S4536" s="1562"/>
    </row>
    <row r="4537" spans="2:19" ht="11.25" customHeight="1" outlineLevel="1">
      <c r="B4537" s="1573">
        <v>27934</v>
      </c>
      <c r="C4537" s="1566" t="s">
        <v>4097</v>
      </c>
      <c r="D4537" s="1566" t="s">
        <v>8473</v>
      </c>
      <c r="E4537" s="1566"/>
      <c r="F4537" s="1566"/>
      <c r="G4537" s="1566"/>
      <c r="H4537" s="1568">
        <v>1</v>
      </c>
      <c r="I4537" s="1566"/>
      <c r="J4537" s="1566"/>
      <c r="K4537" s="1565">
        <v>19450</v>
      </c>
      <c r="L4537" s="1565">
        <v>19450</v>
      </c>
      <c r="M4537" s="1565">
        <v>-19450</v>
      </c>
      <c r="N4537" s="1564"/>
      <c r="O4537" s="1564"/>
      <c r="P4537" s="1565">
        <v>19450</v>
      </c>
      <c r="Q4537" s="1565">
        <v>-19450</v>
      </c>
      <c r="R4537" s="1564"/>
      <c r="S4537" s="1562"/>
    </row>
    <row r="4538" spans="2:19" ht="11.25" customHeight="1" outlineLevel="1">
      <c r="B4538" s="1573">
        <v>28000</v>
      </c>
      <c r="C4538" s="1566" t="s">
        <v>4070</v>
      </c>
      <c r="D4538" s="1566" t="s">
        <v>8472</v>
      </c>
      <c r="E4538" s="1566"/>
      <c r="F4538" s="1566"/>
      <c r="G4538" s="1566" t="s">
        <v>4093</v>
      </c>
      <c r="H4538" s="1568">
        <v>1</v>
      </c>
      <c r="I4538" s="1566"/>
      <c r="J4538" s="1566"/>
      <c r="K4538" s="1572">
        <v>378</v>
      </c>
      <c r="L4538" s="1565">
        <v>53441</v>
      </c>
      <c r="M4538" s="1564"/>
      <c r="N4538" s="1565">
        <v>53441</v>
      </c>
      <c r="O4538" s="1565">
        <v>14171.54</v>
      </c>
      <c r="P4538" s="1565">
        <v>37498.019999999997</v>
      </c>
      <c r="Q4538" s="1565">
        <v>1771.44</v>
      </c>
      <c r="R4538" s="1565">
        <v>39269.46</v>
      </c>
      <c r="S4538" s="1562"/>
    </row>
    <row r="4539" spans="2:19" ht="11.25" customHeight="1" outlineLevel="1">
      <c r="B4539" s="1573">
        <v>28002</v>
      </c>
      <c r="C4539" s="1566" t="s">
        <v>4070</v>
      </c>
      <c r="D4539" s="1566" t="s">
        <v>8471</v>
      </c>
      <c r="E4539" s="1566"/>
      <c r="F4539" s="1566"/>
      <c r="G4539" s="1566" t="s">
        <v>4091</v>
      </c>
      <c r="H4539" s="1568">
        <v>1</v>
      </c>
      <c r="I4539" s="1566"/>
      <c r="J4539" s="1566"/>
      <c r="K4539" s="1572">
        <v>307</v>
      </c>
      <c r="L4539" s="1565">
        <v>4330</v>
      </c>
      <c r="M4539" s="1564"/>
      <c r="N4539" s="1565">
        <v>4330</v>
      </c>
      <c r="O4539" s="1565">
        <v>2699.4</v>
      </c>
      <c r="P4539" s="1565">
        <v>1557.02</v>
      </c>
      <c r="Q4539" s="1572">
        <v>73.58</v>
      </c>
      <c r="R4539" s="1565">
        <v>1630.6</v>
      </c>
      <c r="S4539" s="1562"/>
    </row>
    <row r="4540" spans="2:19" ht="11.25" customHeight="1" outlineLevel="1">
      <c r="B4540" s="1573">
        <v>28003</v>
      </c>
      <c r="C4540" s="1566" t="s">
        <v>4070</v>
      </c>
      <c r="D4540" s="1566" t="s">
        <v>8470</v>
      </c>
      <c r="E4540" s="1566"/>
      <c r="F4540" s="1566"/>
      <c r="G4540" s="1566" t="s">
        <v>4088</v>
      </c>
      <c r="H4540" s="1568">
        <v>1</v>
      </c>
      <c r="I4540" s="1566"/>
      <c r="J4540" s="1566"/>
      <c r="K4540" s="1572">
        <v>272</v>
      </c>
      <c r="L4540" s="1565">
        <v>5430</v>
      </c>
      <c r="M4540" s="1564"/>
      <c r="N4540" s="1565">
        <v>5430</v>
      </c>
      <c r="O4540" s="1565">
        <v>1440</v>
      </c>
      <c r="P4540" s="1565">
        <v>3810</v>
      </c>
      <c r="Q4540" s="1572">
        <v>180</v>
      </c>
      <c r="R4540" s="1565">
        <v>3990</v>
      </c>
      <c r="S4540" s="1562"/>
    </row>
    <row r="4541" spans="2:19" ht="11.25" customHeight="1" outlineLevel="1">
      <c r="B4541" s="1573">
        <v>28004</v>
      </c>
      <c r="C4541" s="1566" t="s">
        <v>4070</v>
      </c>
      <c r="D4541" s="1566" t="s">
        <v>8469</v>
      </c>
      <c r="E4541" s="1566"/>
      <c r="F4541" s="1566"/>
      <c r="G4541" s="1566" t="s">
        <v>4086</v>
      </c>
      <c r="H4541" s="1568">
        <v>1</v>
      </c>
      <c r="I4541" s="1566"/>
      <c r="J4541" s="1566"/>
      <c r="K4541" s="1572">
        <v>307</v>
      </c>
      <c r="L4541" s="1565">
        <v>6400</v>
      </c>
      <c r="M4541" s="1564"/>
      <c r="N4541" s="1565">
        <v>6400</v>
      </c>
      <c r="O4541" s="1565">
        <v>3987.5</v>
      </c>
      <c r="P4541" s="1565">
        <v>2303.7800000000002</v>
      </c>
      <c r="Q4541" s="1572">
        <v>108.72</v>
      </c>
      <c r="R4541" s="1565">
        <v>2412.5</v>
      </c>
      <c r="S4541" s="1562"/>
    </row>
    <row r="4542" spans="2:19" ht="11.25" customHeight="1" outlineLevel="1">
      <c r="B4542" s="1573">
        <v>28005</v>
      </c>
      <c r="C4542" s="1566" t="s">
        <v>4070</v>
      </c>
      <c r="D4542" s="1566" t="s">
        <v>8468</v>
      </c>
      <c r="E4542" s="1566"/>
      <c r="F4542" s="1566"/>
      <c r="G4542" s="1566" t="s">
        <v>4084</v>
      </c>
      <c r="H4542" s="1568">
        <v>1</v>
      </c>
      <c r="I4542" s="1566"/>
      <c r="J4542" s="1566"/>
      <c r="K4542" s="1572">
        <v>349</v>
      </c>
      <c r="L4542" s="1565">
        <v>17660</v>
      </c>
      <c r="M4542" s="1564"/>
      <c r="N4542" s="1565">
        <v>17660</v>
      </c>
      <c r="O4542" s="1565">
        <v>11007.22</v>
      </c>
      <c r="P4542" s="1565">
        <v>6352.54</v>
      </c>
      <c r="Q4542" s="1572">
        <v>300.24</v>
      </c>
      <c r="R4542" s="1565">
        <v>6652.78</v>
      </c>
      <c r="S4542" s="1562"/>
    </row>
    <row r="4543" spans="2:19" ht="11.25" customHeight="1" outlineLevel="1">
      <c r="B4543" s="1573">
        <v>28006</v>
      </c>
      <c r="C4543" s="1566" t="s">
        <v>4070</v>
      </c>
      <c r="D4543" s="1566" t="s">
        <v>8467</v>
      </c>
      <c r="E4543" s="1566"/>
      <c r="F4543" s="1566"/>
      <c r="G4543" s="1566" t="s">
        <v>4082</v>
      </c>
      <c r="H4543" s="1568">
        <v>1</v>
      </c>
      <c r="I4543" s="1566"/>
      <c r="J4543" s="1566"/>
      <c r="K4543" s="1572">
        <v>398</v>
      </c>
      <c r="L4543" s="1565">
        <v>9870</v>
      </c>
      <c r="M4543" s="1564"/>
      <c r="N4543" s="1565">
        <v>9870</v>
      </c>
      <c r="O4543" s="1565">
        <v>6151.32</v>
      </c>
      <c r="P4543" s="1565">
        <v>3550.92</v>
      </c>
      <c r="Q4543" s="1572">
        <v>167.76</v>
      </c>
      <c r="R4543" s="1565">
        <v>3718.68</v>
      </c>
      <c r="S4543" s="1562"/>
    </row>
    <row r="4544" spans="2:19" ht="11.25" customHeight="1" outlineLevel="1">
      <c r="B4544" s="1573">
        <v>28007</v>
      </c>
      <c r="C4544" s="1566" t="s">
        <v>4070</v>
      </c>
      <c r="D4544" s="1566" t="s">
        <v>8466</v>
      </c>
      <c r="E4544" s="1566"/>
      <c r="F4544" s="1566"/>
      <c r="G4544" s="1566" t="s">
        <v>4080</v>
      </c>
      <c r="H4544" s="1568">
        <v>1</v>
      </c>
      <c r="I4544" s="1566"/>
      <c r="J4544" s="1566"/>
      <c r="K4544" s="1572">
        <v>398</v>
      </c>
      <c r="L4544" s="1565">
        <v>26700</v>
      </c>
      <c r="M4544" s="1564"/>
      <c r="N4544" s="1565">
        <v>26700</v>
      </c>
      <c r="O4544" s="1565">
        <v>16639.88</v>
      </c>
      <c r="P4544" s="1565">
        <v>9606.2800000000007</v>
      </c>
      <c r="Q4544" s="1572">
        <v>453.84</v>
      </c>
      <c r="R4544" s="1565">
        <v>10060.120000000001</v>
      </c>
      <c r="S4544" s="1562"/>
    </row>
    <row r="4545" spans="2:19" ht="11.25" customHeight="1" outlineLevel="1">
      <c r="B4545" s="1573">
        <v>28008</v>
      </c>
      <c r="C4545" s="1566" t="s">
        <v>4070</v>
      </c>
      <c r="D4545" s="1566" t="s">
        <v>8465</v>
      </c>
      <c r="E4545" s="1566"/>
      <c r="F4545" s="1566"/>
      <c r="G4545" s="1566" t="s">
        <v>4078</v>
      </c>
      <c r="H4545" s="1568">
        <v>1</v>
      </c>
      <c r="I4545" s="1566"/>
      <c r="J4545" s="1566"/>
      <c r="K4545" s="1572">
        <v>298</v>
      </c>
      <c r="L4545" s="1565">
        <v>9610</v>
      </c>
      <c r="M4545" s="1564"/>
      <c r="N4545" s="1565">
        <v>9610</v>
      </c>
      <c r="O4545" s="1565">
        <v>2547.8200000000002</v>
      </c>
      <c r="P4545" s="1565">
        <v>6743.7</v>
      </c>
      <c r="Q4545" s="1572">
        <v>318.48</v>
      </c>
      <c r="R4545" s="1565">
        <v>7062.18</v>
      </c>
      <c r="S4545" s="1562"/>
    </row>
    <row r="4546" spans="2:19" ht="11.25" customHeight="1" outlineLevel="1">
      <c r="B4546" s="1573">
        <v>28009</v>
      </c>
      <c r="C4546" s="1566" t="s">
        <v>4070</v>
      </c>
      <c r="D4546" s="1566" t="s">
        <v>8464</v>
      </c>
      <c r="E4546" s="1566"/>
      <c r="F4546" s="1566"/>
      <c r="G4546" s="1566" t="s">
        <v>4075</v>
      </c>
      <c r="H4546" s="1568">
        <v>1</v>
      </c>
      <c r="I4546" s="1566"/>
      <c r="J4546" s="1566"/>
      <c r="K4546" s="1572">
        <v>380</v>
      </c>
      <c r="L4546" s="1565">
        <v>11100</v>
      </c>
      <c r="M4546" s="1564"/>
      <c r="N4546" s="1565">
        <v>11100</v>
      </c>
      <c r="O4546" s="1565">
        <v>2944.32</v>
      </c>
      <c r="P4546" s="1565">
        <v>7787.64</v>
      </c>
      <c r="Q4546" s="1572">
        <v>368.04</v>
      </c>
      <c r="R4546" s="1565">
        <v>8155.68</v>
      </c>
      <c r="S4546" s="1562"/>
    </row>
    <row r="4547" spans="2:19" ht="11.25" customHeight="1" outlineLevel="1">
      <c r="B4547" s="1573">
        <v>28010</v>
      </c>
      <c r="C4547" s="1566" t="s">
        <v>4070</v>
      </c>
      <c r="D4547" s="1566" t="s">
        <v>8463</v>
      </c>
      <c r="E4547" s="1566"/>
      <c r="F4547" s="1566"/>
      <c r="G4547" s="1566" t="s">
        <v>4075</v>
      </c>
      <c r="H4547" s="1568">
        <v>1</v>
      </c>
      <c r="I4547" s="1566"/>
      <c r="J4547" s="1566"/>
      <c r="K4547" s="1572">
        <v>603</v>
      </c>
      <c r="L4547" s="1565">
        <v>44600</v>
      </c>
      <c r="M4547" s="1564"/>
      <c r="N4547" s="1565">
        <v>44600</v>
      </c>
      <c r="O4547" s="1565">
        <v>11828.64</v>
      </c>
      <c r="P4547" s="1565">
        <v>31292.799999999999</v>
      </c>
      <c r="Q4547" s="1565">
        <v>1478.56</v>
      </c>
      <c r="R4547" s="1565">
        <v>32771.360000000001</v>
      </c>
      <c r="S4547" s="1562"/>
    </row>
    <row r="4548" spans="2:19" ht="11.25" customHeight="1" outlineLevel="1">
      <c r="B4548" s="1573">
        <v>28011</v>
      </c>
      <c r="C4548" s="1566" t="s">
        <v>4070</v>
      </c>
      <c r="D4548" s="1566" t="s">
        <v>8462</v>
      </c>
      <c r="E4548" s="1566"/>
      <c r="F4548" s="1566"/>
      <c r="G4548" s="1566" t="s">
        <v>4073</v>
      </c>
      <c r="H4548" s="1568">
        <v>1</v>
      </c>
      <c r="I4548" s="1566"/>
      <c r="J4548" s="1566"/>
      <c r="K4548" s="1572">
        <v>398</v>
      </c>
      <c r="L4548" s="1565">
        <v>40300</v>
      </c>
      <c r="M4548" s="1564"/>
      <c r="N4548" s="1565">
        <v>40300</v>
      </c>
      <c r="O4548" s="1565">
        <v>25116.720000000001</v>
      </c>
      <c r="P4548" s="1565">
        <v>14498.32</v>
      </c>
      <c r="Q4548" s="1572">
        <v>684.96</v>
      </c>
      <c r="R4548" s="1565">
        <v>15183.28</v>
      </c>
      <c r="S4548" s="1562"/>
    </row>
    <row r="4549" spans="2:19" ht="11.25" customHeight="1" outlineLevel="1">
      <c r="B4549" s="1573">
        <v>28012</v>
      </c>
      <c r="C4549" s="1566" t="s">
        <v>4070</v>
      </c>
      <c r="D4549" s="1566" t="s">
        <v>8461</v>
      </c>
      <c r="E4549" s="1566"/>
      <c r="F4549" s="1566"/>
      <c r="G4549" s="1566" t="s">
        <v>4068</v>
      </c>
      <c r="H4549" s="1568">
        <v>1</v>
      </c>
      <c r="I4549" s="1566"/>
      <c r="J4549" s="1566"/>
      <c r="K4549" s="1572">
        <v>292</v>
      </c>
      <c r="L4549" s="1565">
        <v>1900</v>
      </c>
      <c r="M4549" s="1564"/>
      <c r="N4549" s="1565">
        <v>1900</v>
      </c>
      <c r="O4549" s="1572">
        <v>503.52</v>
      </c>
      <c r="P4549" s="1565">
        <v>1333.5</v>
      </c>
      <c r="Q4549" s="1572">
        <v>62.98</v>
      </c>
      <c r="R4549" s="1565">
        <v>1396.48</v>
      </c>
      <c r="S4549" s="1562"/>
    </row>
    <row r="4550" spans="2:19" ht="11.25" customHeight="1" outlineLevel="1">
      <c r="B4550" s="1573">
        <v>28133</v>
      </c>
      <c r="C4550" s="1566" t="s">
        <v>4063</v>
      </c>
      <c r="D4550" s="1566" t="s">
        <v>8460</v>
      </c>
      <c r="E4550" s="1566"/>
      <c r="F4550" s="1566"/>
      <c r="G4550" s="1566" t="s">
        <v>3929</v>
      </c>
      <c r="H4550" s="1568">
        <v>1</v>
      </c>
      <c r="I4550" s="1566"/>
      <c r="J4550" s="1566"/>
      <c r="K4550" s="1572">
        <v>110</v>
      </c>
      <c r="L4550" s="1565">
        <v>15787</v>
      </c>
      <c r="M4550" s="1564"/>
      <c r="N4550" s="1565">
        <v>15787</v>
      </c>
      <c r="O4550" s="1565">
        <v>4198.55</v>
      </c>
      <c r="P4550" s="1565">
        <v>11063.69</v>
      </c>
      <c r="Q4550" s="1572">
        <v>524.76</v>
      </c>
      <c r="R4550" s="1565">
        <v>11588.45</v>
      </c>
      <c r="S4550" s="1562"/>
    </row>
    <row r="4551" spans="2:19" ht="11.25" customHeight="1" outlineLevel="1">
      <c r="B4551" s="1573">
        <v>28174</v>
      </c>
      <c r="C4551" s="1566" t="s">
        <v>4063</v>
      </c>
      <c r="D4551" s="1566" t="s">
        <v>8459</v>
      </c>
      <c r="E4551" s="1566"/>
      <c r="F4551" s="1566"/>
      <c r="G4551" s="1566" t="s">
        <v>3724</v>
      </c>
      <c r="H4551" s="1568">
        <v>1</v>
      </c>
      <c r="I4551" s="1566"/>
      <c r="J4551" s="1566"/>
      <c r="K4551" s="1572">
        <v>63</v>
      </c>
      <c r="L4551" s="1565">
        <v>20199</v>
      </c>
      <c r="M4551" s="1564"/>
      <c r="N4551" s="1565">
        <v>20199</v>
      </c>
      <c r="O4551" s="1565">
        <v>5372.13</v>
      </c>
      <c r="P4551" s="1565">
        <v>14155.35</v>
      </c>
      <c r="Q4551" s="1572">
        <v>671.52</v>
      </c>
      <c r="R4551" s="1565">
        <v>14826.87</v>
      </c>
      <c r="S4551" s="1562"/>
    </row>
    <row r="4552" spans="2:19" ht="11.25" customHeight="1" outlineLevel="1">
      <c r="B4552" s="1573">
        <v>28176</v>
      </c>
      <c r="C4552" s="1566" t="s">
        <v>4043</v>
      </c>
      <c r="D4552" s="1566" t="s">
        <v>8458</v>
      </c>
      <c r="E4552" s="1566"/>
      <c r="F4552" s="1566"/>
      <c r="G4552" s="1566" t="s">
        <v>4060</v>
      </c>
      <c r="H4552" s="1568">
        <v>1</v>
      </c>
      <c r="I4552" s="1566"/>
      <c r="J4552" s="1566"/>
      <c r="K4552" s="1572">
        <v>567</v>
      </c>
      <c r="L4552" s="1565">
        <v>262757</v>
      </c>
      <c r="M4552" s="1564"/>
      <c r="N4552" s="1565">
        <v>262757</v>
      </c>
      <c r="O4552" s="1565">
        <v>164501.48000000001</v>
      </c>
      <c r="P4552" s="1565">
        <v>93789.36</v>
      </c>
      <c r="Q4552" s="1565">
        <v>4466.16</v>
      </c>
      <c r="R4552" s="1565">
        <v>98255.52</v>
      </c>
      <c r="S4552" s="1562"/>
    </row>
    <row r="4553" spans="2:19" ht="11.25" customHeight="1" outlineLevel="1">
      <c r="B4553" s="1573">
        <v>28179</v>
      </c>
      <c r="C4553" s="1566" t="s">
        <v>4043</v>
      </c>
      <c r="D4553" s="1566" t="s">
        <v>8457</v>
      </c>
      <c r="E4553" s="1566"/>
      <c r="F4553" s="1566"/>
      <c r="G4553" s="1566" t="s">
        <v>3638</v>
      </c>
      <c r="H4553" s="1568">
        <v>3</v>
      </c>
      <c r="I4553" s="1566"/>
      <c r="J4553" s="1566"/>
      <c r="K4553" s="1565">
        <v>7227</v>
      </c>
      <c r="L4553" s="1565">
        <v>7227</v>
      </c>
      <c r="M4553" s="1564"/>
      <c r="N4553" s="1565">
        <v>7227</v>
      </c>
      <c r="O4553" s="1565">
        <v>2456.64</v>
      </c>
      <c r="P4553" s="1565">
        <v>4553.6400000000003</v>
      </c>
      <c r="Q4553" s="1572">
        <v>216.72</v>
      </c>
      <c r="R4553" s="1565">
        <v>4770.3599999999997</v>
      </c>
      <c r="S4553" s="1562"/>
    </row>
    <row r="4554" spans="2:19" ht="11.25" customHeight="1" outlineLevel="1">
      <c r="B4554" s="1573">
        <v>28320</v>
      </c>
      <c r="C4554" s="1566" t="s">
        <v>4032</v>
      </c>
      <c r="D4554" s="1566" t="s">
        <v>8456</v>
      </c>
      <c r="E4554" s="1566"/>
      <c r="F4554" s="1566"/>
      <c r="G4554" s="1566" t="s">
        <v>4024</v>
      </c>
      <c r="H4554" s="1568">
        <v>1</v>
      </c>
      <c r="I4554" s="1566"/>
      <c r="J4554" s="1566"/>
      <c r="K4554" s="1572">
        <v>434</v>
      </c>
      <c r="L4554" s="1565">
        <v>36135</v>
      </c>
      <c r="M4554" s="1564"/>
      <c r="N4554" s="1565">
        <v>36135</v>
      </c>
      <c r="O4554" s="1565">
        <v>22777.02</v>
      </c>
      <c r="P4554" s="1565">
        <v>12743.82</v>
      </c>
      <c r="Q4554" s="1572">
        <v>614.16</v>
      </c>
      <c r="R4554" s="1565">
        <v>13357.98</v>
      </c>
      <c r="S4554" s="1562"/>
    </row>
    <row r="4555" spans="2:19" ht="11.25" customHeight="1" outlineLevel="1">
      <c r="B4555" s="1573">
        <v>28321</v>
      </c>
      <c r="C4555" s="1566" t="s">
        <v>4032</v>
      </c>
      <c r="D4555" s="1566" t="s">
        <v>8455</v>
      </c>
      <c r="E4555" s="1566"/>
      <c r="F4555" s="1566"/>
      <c r="G4555" s="1566" t="s">
        <v>4035</v>
      </c>
      <c r="H4555" s="1568">
        <v>1</v>
      </c>
      <c r="I4555" s="1566"/>
      <c r="J4555" s="1566"/>
      <c r="K4555" s="1572">
        <v>439</v>
      </c>
      <c r="L4555" s="1565">
        <v>4833</v>
      </c>
      <c r="M4555" s="1564"/>
      <c r="N4555" s="1565">
        <v>4833</v>
      </c>
      <c r="O4555" s="1565">
        <v>3045.27</v>
      </c>
      <c r="P4555" s="1565">
        <v>1705.65</v>
      </c>
      <c r="Q4555" s="1572">
        <v>82.08</v>
      </c>
      <c r="R4555" s="1565">
        <v>1787.73</v>
      </c>
      <c r="S4555" s="1562"/>
    </row>
    <row r="4556" spans="2:19" ht="11.25" customHeight="1" outlineLevel="1">
      <c r="B4556" s="1573">
        <v>28322</v>
      </c>
      <c r="C4556" s="1566" t="s">
        <v>4032</v>
      </c>
      <c r="D4556" s="1566" t="s">
        <v>8454</v>
      </c>
      <c r="E4556" s="1566"/>
      <c r="F4556" s="1566"/>
      <c r="G4556" s="1566" t="s">
        <v>4035</v>
      </c>
      <c r="H4556" s="1568">
        <v>1</v>
      </c>
      <c r="I4556" s="1566"/>
      <c r="J4556" s="1566"/>
      <c r="K4556" s="1572">
        <v>987</v>
      </c>
      <c r="L4556" s="1565">
        <v>41439</v>
      </c>
      <c r="M4556" s="1564"/>
      <c r="N4556" s="1565">
        <v>41439</v>
      </c>
      <c r="O4556" s="1565">
        <v>26118.42</v>
      </c>
      <c r="P4556" s="1565">
        <v>14616.3</v>
      </c>
      <c r="Q4556" s="1572">
        <v>704.28</v>
      </c>
      <c r="R4556" s="1565">
        <v>15320.58</v>
      </c>
      <c r="S4556" s="1562"/>
    </row>
    <row r="4557" spans="2:19" ht="11.25" customHeight="1" outlineLevel="1">
      <c r="B4557" s="1573">
        <v>28323</v>
      </c>
      <c r="C4557" s="1566" t="s">
        <v>4032</v>
      </c>
      <c r="D4557" s="1566" t="s">
        <v>8453</v>
      </c>
      <c r="E4557" s="1566"/>
      <c r="F4557" s="1566"/>
      <c r="G4557" s="1566" t="s">
        <v>4035</v>
      </c>
      <c r="H4557" s="1568">
        <v>1</v>
      </c>
      <c r="I4557" s="1566"/>
      <c r="J4557" s="1566"/>
      <c r="K4557" s="1565">
        <v>3328</v>
      </c>
      <c r="L4557" s="1565">
        <v>3328</v>
      </c>
      <c r="M4557" s="1564"/>
      <c r="N4557" s="1565">
        <v>3328</v>
      </c>
      <c r="O4557" s="1572">
        <v>942.34</v>
      </c>
      <c r="P4557" s="1565">
        <v>2275.86</v>
      </c>
      <c r="Q4557" s="1572">
        <v>109.8</v>
      </c>
      <c r="R4557" s="1565">
        <v>2385.66</v>
      </c>
      <c r="S4557" s="1562"/>
    </row>
    <row r="4558" spans="2:19" ht="11.25" customHeight="1" outlineLevel="1">
      <c r="B4558" s="1573">
        <v>28324</v>
      </c>
      <c r="C4558" s="1566" t="s">
        <v>4032</v>
      </c>
      <c r="D4558" s="1566" t="s">
        <v>8452</v>
      </c>
      <c r="E4558" s="1566"/>
      <c r="F4558" s="1566"/>
      <c r="G4558" s="1566" t="s">
        <v>8451</v>
      </c>
      <c r="H4558" s="1568">
        <v>1</v>
      </c>
      <c r="I4558" s="1566"/>
      <c r="J4558" s="1566"/>
      <c r="K4558" s="1565">
        <v>4200</v>
      </c>
      <c r="L4558" s="1565">
        <v>4200</v>
      </c>
      <c r="M4558" s="1564"/>
      <c r="N4558" s="1565">
        <v>4200</v>
      </c>
      <c r="O4558" s="1565">
        <v>2647.05</v>
      </c>
      <c r="P4558" s="1565">
        <v>1481.55</v>
      </c>
      <c r="Q4558" s="1572">
        <v>71.400000000000006</v>
      </c>
      <c r="R4558" s="1565">
        <v>1552.95</v>
      </c>
      <c r="S4558" s="1562"/>
    </row>
    <row r="4559" spans="2:19" ht="11.25" customHeight="1" outlineLevel="1">
      <c r="B4559" s="1573">
        <v>28325</v>
      </c>
      <c r="C4559" s="1566" t="s">
        <v>4032</v>
      </c>
      <c r="D4559" s="1566" t="s">
        <v>8450</v>
      </c>
      <c r="E4559" s="1566"/>
      <c r="F4559" s="1566"/>
      <c r="G4559" s="1566"/>
      <c r="H4559" s="1568">
        <v>1</v>
      </c>
      <c r="I4559" s="1566"/>
      <c r="J4559" s="1566"/>
      <c r="K4559" s="1565">
        <v>2750</v>
      </c>
      <c r="L4559" s="1565">
        <v>2750</v>
      </c>
      <c r="M4559" s="1565">
        <v>-2750</v>
      </c>
      <c r="N4559" s="1564"/>
      <c r="O4559" s="1564"/>
      <c r="P4559" s="1565">
        <v>2750</v>
      </c>
      <c r="Q4559" s="1565">
        <v>-2750</v>
      </c>
      <c r="R4559" s="1564"/>
      <c r="S4559" s="1562"/>
    </row>
    <row r="4560" spans="2:19" ht="11.25" customHeight="1" outlineLevel="1">
      <c r="B4560" s="1573">
        <v>28326</v>
      </c>
      <c r="C4560" s="1566" t="s">
        <v>4032</v>
      </c>
      <c r="D4560" s="1566" t="s">
        <v>8449</v>
      </c>
      <c r="E4560" s="1566"/>
      <c r="F4560" s="1566"/>
      <c r="G4560" s="1566"/>
      <c r="H4560" s="1568">
        <v>1</v>
      </c>
      <c r="I4560" s="1566"/>
      <c r="J4560" s="1566"/>
      <c r="K4560" s="1565">
        <v>1250</v>
      </c>
      <c r="L4560" s="1565">
        <v>1250</v>
      </c>
      <c r="M4560" s="1565">
        <v>-1250</v>
      </c>
      <c r="N4560" s="1564"/>
      <c r="O4560" s="1564"/>
      <c r="P4560" s="1565">
        <v>1250</v>
      </c>
      <c r="Q4560" s="1565">
        <v>-1250</v>
      </c>
      <c r="R4560" s="1564"/>
      <c r="S4560" s="1562"/>
    </row>
    <row r="4561" spans="2:19" ht="11.25" customHeight="1" outlineLevel="1">
      <c r="B4561" s="1573">
        <v>34829</v>
      </c>
      <c r="C4561" s="1566" t="s">
        <v>4032</v>
      </c>
      <c r="D4561" s="1566" t="s">
        <v>8448</v>
      </c>
      <c r="E4561" s="1566"/>
      <c r="F4561" s="1566"/>
      <c r="G4561" s="1566" t="s">
        <v>4035</v>
      </c>
      <c r="H4561" s="1568">
        <v>1</v>
      </c>
      <c r="I4561" s="1566"/>
      <c r="J4561" s="1566"/>
      <c r="K4561" s="1565">
        <v>3328</v>
      </c>
      <c r="L4561" s="1565">
        <v>3328</v>
      </c>
      <c r="M4561" s="1564"/>
      <c r="N4561" s="1565">
        <v>3328</v>
      </c>
      <c r="O4561" s="1572">
        <v>942.34</v>
      </c>
      <c r="P4561" s="1565">
        <v>2275.86</v>
      </c>
      <c r="Q4561" s="1572">
        <v>109.8</v>
      </c>
      <c r="R4561" s="1565">
        <v>2385.66</v>
      </c>
      <c r="S4561" s="1562"/>
    </row>
    <row r="4562" spans="2:19" ht="11.25" customHeight="1" outlineLevel="1">
      <c r="B4562" s="1573">
        <v>28408</v>
      </c>
      <c r="C4562" s="1566" t="s">
        <v>4026</v>
      </c>
      <c r="D4562" s="1566" t="s">
        <v>8447</v>
      </c>
      <c r="E4562" s="1566"/>
      <c r="F4562" s="1566"/>
      <c r="G4562" s="1566" t="s">
        <v>8446</v>
      </c>
      <c r="H4562" s="1568">
        <v>1</v>
      </c>
      <c r="I4562" s="1566"/>
      <c r="J4562" s="1566"/>
      <c r="K4562" s="1572">
        <v>315</v>
      </c>
      <c r="L4562" s="1565">
        <v>44411</v>
      </c>
      <c r="M4562" s="1564"/>
      <c r="N4562" s="1565">
        <v>44411</v>
      </c>
      <c r="O4562" s="1565">
        <v>28026.54</v>
      </c>
      <c r="P4562" s="1565">
        <v>15625.22</v>
      </c>
      <c r="Q4562" s="1572">
        <v>759.24</v>
      </c>
      <c r="R4562" s="1565">
        <v>16384.46</v>
      </c>
      <c r="S4562" s="1562"/>
    </row>
    <row r="4563" spans="2:19" ht="11.25" customHeight="1" outlineLevel="1">
      <c r="B4563" s="1573">
        <v>28684</v>
      </c>
      <c r="C4563" s="1566" t="s">
        <v>8445</v>
      </c>
      <c r="D4563" s="1566" t="s">
        <v>8444</v>
      </c>
      <c r="E4563" s="1566"/>
      <c r="F4563" s="1566"/>
      <c r="G4563" s="1566" t="s">
        <v>3664</v>
      </c>
      <c r="H4563" s="1568">
        <v>1</v>
      </c>
      <c r="I4563" s="1566"/>
      <c r="J4563" s="1566"/>
      <c r="K4563" s="1565">
        <v>5657</v>
      </c>
      <c r="L4563" s="1565">
        <v>489308</v>
      </c>
      <c r="M4563" s="1564"/>
      <c r="N4563" s="1565">
        <v>489308</v>
      </c>
      <c r="O4563" s="1565">
        <v>134210.79999999999</v>
      </c>
      <c r="P4563" s="1565">
        <v>338320.84</v>
      </c>
      <c r="Q4563" s="1565">
        <v>16776.36</v>
      </c>
      <c r="R4563" s="1565">
        <v>355097.2</v>
      </c>
      <c r="S4563" s="1562"/>
    </row>
    <row r="4564" spans="2:19" ht="11.25" customHeight="1" outlineLevel="1">
      <c r="B4564" s="1573">
        <v>28696</v>
      </c>
      <c r="C4564" s="1566" t="s">
        <v>4023</v>
      </c>
      <c r="D4564" s="1566" t="s">
        <v>8443</v>
      </c>
      <c r="E4564" s="1566"/>
      <c r="F4564" s="1566"/>
      <c r="G4564" s="1566" t="s">
        <v>3925</v>
      </c>
      <c r="H4564" s="1568">
        <v>1</v>
      </c>
      <c r="I4564" s="1566"/>
      <c r="J4564" s="1566"/>
      <c r="K4564" s="1572">
        <v>305</v>
      </c>
      <c r="L4564" s="1565">
        <v>3051</v>
      </c>
      <c r="M4564" s="1564"/>
      <c r="N4564" s="1565">
        <v>3051</v>
      </c>
      <c r="O4564" s="1572">
        <v>839.66</v>
      </c>
      <c r="P4564" s="1565">
        <v>2106.34</v>
      </c>
      <c r="Q4564" s="1572">
        <v>105</v>
      </c>
      <c r="R4564" s="1565">
        <v>2211.34</v>
      </c>
      <c r="S4564" s="1562"/>
    </row>
    <row r="4565" spans="2:19" ht="11.25" customHeight="1" outlineLevel="1">
      <c r="B4565" s="1573">
        <v>28777</v>
      </c>
      <c r="C4565" s="1566" t="s">
        <v>4023</v>
      </c>
      <c r="D4565" s="1566" t="s">
        <v>8442</v>
      </c>
      <c r="E4565" s="1566"/>
      <c r="F4565" s="1566"/>
      <c r="G4565" s="1566" t="s">
        <v>3843</v>
      </c>
      <c r="H4565" s="1568">
        <v>1</v>
      </c>
      <c r="I4565" s="1566"/>
      <c r="J4565" s="1566"/>
      <c r="K4565" s="1572">
        <v>278</v>
      </c>
      <c r="L4565" s="1565">
        <v>4175</v>
      </c>
      <c r="M4565" s="1564"/>
      <c r="N4565" s="1565">
        <v>4175</v>
      </c>
      <c r="O4565" s="1572">
        <v>800.1</v>
      </c>
      <c r="P4565" s="1565">
        <v>3214.94</v>
      </c>
      <c r="Q4565" s="1572">
        <v>159.96</v>
      </c>
      <c r="R4565" s="1565">
        <v>3374.9</v>
      </c>
      <c r="S4565" s="1562"/>
    </row>
    <row r="4566" spans="2:19" ht="11.25" customHeight="1" outlineLevel="1">
      <c r="B4566" s="1573">
        <v>28778</v>
      </c>
      <c r="C4566" s="1566" t="s">
        <v>4023</v>
      </c>
      <c r="D4566" s="1566" t="s">
        <v>8441</v>
      </c>
      <c r="E4566" s="1566"/>
      <c r="F4566" s="1566"/>
      <c r="G4566" s="1566" t="s">
        <v>3841</v>
      </c>
      <c r="H4566" s="1568">
        <v>1</v>
      </c>
      <c r="I4566" s="1566"/>
      <c r="J4566" s="1566"/>
      <c r="K4566" s="1572">
        <v>285</v>
      </c>
      <c r="L4566" s="1565">
        <v>4272</v>
      </c>
      <c r="M4566" s="1564"/>
      <c r="N4566" s="1565">
        <v>4272</v>
      </c>
      <c r="O4566" s="1572">
        <v>818.67</v>
      </c>
      <c r="P4566" s="1565">
        <v>3289.65</v>
      </c>
      <c r="Q4566" s="1572">
        <v>163.68</v>
      </c>
      <c r="R4566" s="1565">
        <v>3453.33</v>
      </c>
      <c r="S4566" s="1562"/>
    </row>
    <row r="4567" spans="2:19" ht="11.25" customHeight="1" outlineLevel="1">
      <c r="B4567" s="1573">
        <v>28779</v>
      </c>
      <c r="C4567" s="1566" t="s">
        <v>4023</v>
      </c>
      <c r="D4567" s="1566" t="s">
        <v>8440</v>
      </c>
      <c r="E4567" s="1566"/>
      <c r="F4567" s="1566"/>
      <c r="G4567" s="1566" t="s">
        <v>3839</v>
      </c>
      <c r="H4567" s="1568">
        <v>1</v>
      </c>
      <c r="I4567" s="1566"/>
      <c r="J4567" s="1566"/>
      <c r="K4567" s="1572">
        <v>345</v>
      </c>
      <c r="L4567" s="1565">
        <v>17779</v>
      </c>
      <c r="M4567" s="1564"/>
      <c r="N4567" s="1565">
        <v>17779</v>
      </c>
      <c r="O4567" s="1565">
        <v>3408.48</v>
      </c>
      <c r="P4567" s="1565">
        <v>13688.8</v>
      </c>
      <c r="Q4567" s="1572">
        <v>681.72</v>
      </c>
      <c r="R4567" s="1565">
        <v>14370.52</v>
      </c>
      <c r="S4567" s="1562"/>
    </row>
    <row r="4568" spans="2:19" ht="11.25" customHeight="1" outlineLevel="1">
      <c r="B4568" s="1573">
        <v>28780</v>
      </c>
      <c r="C4568" s="1566" t="s">
        <v>4023</v>
      </c>
      <c r="D4568" s="1566" t="s">
        <v>8439</v>
      </c>
      <c r="E4568" s="1566"/>
      <c r="F4568" s="1566"/>
      <c r="G4568" s="1566" t="s">
        <v>3837</v>
      </c>
      <c r="H4568" s="1568">
        <v>1</v>
      </c>
      <c r="I4568" s="1566"/>
      <c r="J4568" s="1566"/>
      <c r="K4568" s="1572">
        <v>333</v>
      </c>
      <c r="L4568" s="1565">
        <v>28936</v>
      </c>
      <c r="M4568" s="1564"/>
      <c r="N4568" s="1565">
        <v>28936</v>
      </c>
      <c r="O4568" s="1565">
        <v>18565.650000000001</v>
      </c>
      <c r="P4568" s="1565">
        <v>9878.59</v>
      </c>
      <c r="Q4568" s="1572">
        <v>491.76</v>
      </c>
      <c r="R4568" s="1565">
        <v>10370.35</v>
      </c>
      <c r="S4568" s="1562"/>
    </row>
    <row r="4569" spans="2:19" ht="11.25" customHeight="1" outlineLevel="1">
      <c r="B4569" s="1573">
        <v>28781</v>
      </c>
      <c r="C4569" s="1566" t="s">
        <v>4023</v>
      </c>
      <c r="D4569" s="1566" t="s">
        <v>8438</v>
      </c>
      <c r="E4569" s="1566"/>
      <c r="F4569" s="1566"/>
      <c r="G4569" s="1566" t="s">
        <v>8437</v>
      </c>
      <c r="H4569" s="1568">
        <v>1</v>
      </c>
      <c r="I4569" s="1566"/>
      <c r="J4569" s="1566"/>
      <c r="K4569" s="1572">
        <v>322</v>
      </c>
      <c r="L4569" s="1565">
        <v>5638</v>
      </c>
      <c r="M4569" s="1564"/>
      <c r="N4569" s="1565">
        <v>5638</v>
      </c>
      <c r="O4569" s="1565">
        <v>1081.3499999999999</v>
      </c>
      <c r="P4569" s="1565">
        <v>4340.41</v>
      </c>
      <c r="Q4569" s="1572">
        <v>216.24</v>
      </c>
      <c r="R4569" s="1565">
        <v>4556.6499999999996</v>
      </c>
      <c r="S4569" s="1562"/>
    </row>
    <row r="4570" spans="2:19" ht="11.25" customHeight="1" outlineLevel="1">
      <c r="B4570" s="1573">
        <v>28782</v>
      </c>
      <c r="C4570" s="1566" t="s">
        <v>4023</v>
      </c>
      <c r="D4570" s="1566" t="s">
        <v>8436</v>
      </c>
      <c r="E4570" s="1566"/>
      <c r="F4570" s="1566"/>
      <c r="G4570" s="1566" t="s">
        <v>3835</v>
      </c>
      <c r="H4570" s="1568">
        <v>1</v>
      </c>
      <c r="I4570" s="1566"/>
      <c r="J4570" s="1566"/>
      <c r="K4570" s="1572">
        <v>383</v>
      </c>
      <c r="L4570" s="1565">
        <v>6135</v>
      </c>
      <c r="M4570" s="1564"/>
      <c r="N4570" s="1565">
        <v>6135</v>
      </c>
      <c r="O4570" s="1565">
        <v>1176.2</v>
      </c>
      <c r="P4570" s="1565">
        <v>4723.6000000000004</v>
      </c>
      <c r="Q4570" s="1572">
        <v>235.2</v>
      </c>
      <c r="R4570" s="1565">
        <v>4958.8</v>
      </c>
      <c r="S4570" s="1562"/>
    </row>
    <row r="4571" spans="2:19" ht="11.25" customHeight="1" outlineLevel="1">
      <c r="B4571" s="1573">
        <v>28783</v>
      </c>
      <c r="C4571" s="1566" t="s">
        <v>4023</v>
      </c>
      <c r="D4571" s="1566" t="s">
        <v>8435</v>
      </c>
      <c r="E4571" s="1566"/>
      <c r="F4571" s="1566"/>
      <c r="G4571" s="1566" t="s">
        <v>3833</v>
      </c>
      <c r="H4571" s="1568">
        <v>1</v>
      </c>
      <c r="I4571" s="1566"/>
      <c r="J4571" s="1566"/>
      <c r="K4571" s="1572">
        <v>375</v>
      </c>
      <c r="L4571" s="1565">
        <v>6379</v>
      </c>
      <c r="M4571" s="1564"/>
      <c r="N4571" s="1565">
        <v>6379</v>
      </c>
      <c r="O4571" s="1565">
        <v>4092</v>
      </c>
      <c r="P4571" s="1565">
        <v>2178.64</v>
      </c>
      <c r="Q4571" s="1572">
        <v>108.36</v>
      </c>
      <c r="R4571" s="1565">
        <v>2287</v>
      </c>
      <c r="S4571" s="1562"/>
    </row>
    <row r="4572" spans="2:19" ht="11.25" customHeight="1" outlineLevel="1">
      <c r="B4572" s="1573">
        <v>28784</v>
      </c>
      <c r="C4572" s="1566" t="s">
        <v>4023</v>
      </c>
      <c r="D4572" s="1566" t="s">
        <v>8434</v>
      </c>
      <c r="E4572" s="1566"/>
      <c r="F4572" s="1566"/>
      <c r="G4572" s="1566" t="s">
        <v>3831</v>
      </c>
      <c r="H4572" s="1568">
        <v>1</v>
      </c>
      <c r="I4572" s="1566"/>
      <c r="J4572" s="1566"/>
      <c r="K4572" s="1572">
        <v>451</v>
      </c>
      <c r="L4572" s="1565">
        <v>10155</v>
      </c>
      <c r="M4572" s="1564"/>
      <c r="N4572" s="1565">
        <v>10155</v>
      </c>
      <c r="O4572" s="1565">
        <v>6516.74</v>
      </c>
      <c r="P4572" s="1565">
        <v>3465.58</v>
      </c>
      <c r="Q4572" s="1572">
        <v>172.68</v>
      </c>
      <c r="R4572" s="1565">
        <v>3638.26</v>
      </c>
      <c r="S4572" s="1562"/>
    </row>
    <row r="4573" spans="2:19" ht="11.25" customHeight="1" outlineLevel="1">
      <c r="B4573" s="1573">
        <v>28785</v>
      </c>
      <c r="C4573" s="1566" t="s">
        <v>4023</v>
      </c>
      <c r="D4573" s="1566" t="s">
        <v>8433</v>
      </c>
      <c r="E4573" s="1566"/>
      <c r="F4573" s="1566"/>
      <c r="G4573" s="1566" t="s">
        <v>3831</v>
      </c>
      <c r="H4573" s="1568">
        <v>1</v>
      </c>
      <c r="I4573" s="1566"/>
      <c r="J4573" s="1566"/>
      <c r="K4573" s="1572">
        <v>285</v>
      </c>
      <c r="L4573" s="1565">
        <v>1424</v>
      </c>
      <c r="M4573" s="1564"/>
      <c r="N4573" s="1565">
        <v>1424</v>
      </c>
      <c r="O4573" s="1572">
        <v>272.85000000000002</v>
      </c>
      <c r="P4573" s="1565">
        <v>1096.55</v>
      </c>
      <c r="Q4573" s="1572">
        <v>54.6</v>
      </c>
      <c r="R4573" s="1565">
        <v>1151.1500000000001</v>
      </c>
      <c r="S4573" s="1562"/>
    </row>
    <row r="4574" spans="2:19" ht="11.25" customHeight="1" outlineLevel="1">
      <c r="B4574" s="1573">
        <v>28786</v>
      </c>
      <c r="C4574" s="1566" t="s">
        <v>4023</v>
      </c>
      <c r="D4574" s="1566" t="s">
        <v>8432</v>
      </c>
      <c r="E4574" s="1566"/>
      <c r="F4574" s="1566"/>
      <c r="G4574" s="1566" t="s">
        <v>3829</v>
      </c>
      <c r="H4574" s="1568">
        <v>1</v>
      </c>
      <c r="I4574" s="1566"/>
      <c r="J4574" s="1566"/>
      <c r="K4574" s="1572">
        <v>514</v>
      </c>
      <c r="L4574" s="1565">
        <v>22647</v>
      </c>
      <c r="M4574" s="1564"/>
      <c r="N4574" s="1565">
        <v>22647</v>
      </c>
      <c r="O4574" s="1565">
        <v>14530.76</v>
      </c>
      <c r="P4574" s="1565">
        <v>7731.28</v>
      </c>
      <c r="Q4574" s="1572">
        <v>384.96</v>
      </c>
      <c r="R4574" s="1565">
        <v>8116.24</v>
      </c>
      <c r="S4574" s="1562"/>
    </row>
    <row r="4575" spans="2:19" ht="11.25" customHeight="1" outlineLevel="1">
      <c r="B4575" s="1573">
        <v>28787</v>
      </c>
      <c r="C4575" s="1566" t="s">
        <v>4023</v>
      </c>
      <c r="D4575" s="1566" t="s">
        <v>8431</v>
      </c>
      <c r="E4575" s="1566"/>
      <c r="F4575" s="1566"/>
      <c r="G4575" s="1566" t="s">
        <v>3827</v>
      </c>
      <c r="H4575" s="1568">
        <v>1</v>
      </c>
      <c r="I4575" s="1566"/>
      <c r="J4575" s="1566"/>
      <c r="K4575" s="1572">
        <v>255</v>
      </c>
      <c r="L4575" s="1565">
        <v>4091</v>
      </c>
      <c r="M4575" s="1564"/>
      <c r="N4575" s="1565">
        <v>4091</v>
      </c>
      <c r="O4575" s="1572">
        <v>784.29</v>
      </c>
      <c r="P4575" s="1565">
        <v>3149.87</v>
      </c>
      <c r="Q4575" s="1572">
        <v>156.84</v>
      </c>
      <c r="R4575" s="1565">
        <v>3306.71</v>
      </c>
      <c r="S4575" s="1562"/>
    </row>
    <row r="4576" spans="2:19" ht="11.25" customHeight="1" outlineLevel="1">
      <c r="B4576" s="1573">
        <v>28788</v>
      </c>
      <c r="C4576" s="1566" t="s">
        <v>4023</v>
      </c>
      <c r="D4576" s="1566" t="s">
        <v>8430</v>
      </c>
      <c r="E4576" s="1566"/>
      <c r="F4576" s="1566"/>
      <c r="G4576" s="1566" t="s">
        <v>3825</v>
      </c>
      <c r="H4576" s="1568">
        <v>1</v>
      </c>
      <c r="I4576" s="1566"/>
      <c r="J4576" s="1566"/>
      <c r="K4576" s="1572">
        <v>282</v>
      </c>
      <c r="L4576" s="1565">
        <v>3520</v>
      </c>
      <c r="M4576" s="1564"/>
      <c r="N4576" s="1565">
        <v>3520</v>
      </c>
      <c r="O4576" s="1572">
        <v>673.99</v>
      </c>
      <c r="P4576" s="1565">
        <v>2711.25</v>
      </c>
      <c r="Q4576" s="1572">
        <v>134.76</v>
      </c>
      <c r="R4576" s="1565">
        <v>2846.01</v>
      </c>
      <c r="S4576" s="1562"/>
    </row>
    <row r="4577" spans="2:19" ht="11.25" customHeight="1" outlineLevel="1">
      <c r="B4577" s="1573">
        <v>28789</v>
      </c>
      <c r="C4577" s="1566" t="s">
        <v>4023</v>
      </c>
      <c r="D4577" s="1566" t="s">
        <v>8429</v>
      </c>
      <c r="E4577" s="1566"/>
      <c r="F4577" s="1566"/>
      <c r="G4577" s="1566" t="s">
        <v>3823</v>
      </c>
      <c r="H4577" s="1568">
        <v>1</v>
      </c>
      <c r="I4577" s="1566"/>
      <c r="J4577" s="1566"/>
      <c r="K4577" s="1572">
        <v>345</v>
      </c>
      <c r="L4577" s="1565">
        <v>5420</v>
      </c>
      <c r="M4577" s="1564"/>
      <c r="N4577" s="1565">
        <v>5420</v>
      </c>
      <c r="O4577" s="1565">
        <v>1038.28</v>
      </c>
      <c r="P4577" s="1565">
        <v>4174.12</v>
      </c>
      <c r="Q4577" s="1572">
        <v>207.6</v>
      </c>
      <c r="R4577" s="1565">
        <v>4381.72</v>
      </c>
      <c r="S4577" s="1562"/>
    </row>
    <row r="4578" spans="2:19" ht="11.25" customHeight="1" outlineLevel="1">
      <c r="B4578" s="1573">
        <v>28790</v>
      </c>
      <c r="C4578" s="1566" t="s">
        <v>4023</v>
      </c>
      <c r="D4578" s="1566" t="s">
        <v>8428</v>
      </c>
      <c r="E4578" s="1566"/>
      <c r="F4578" s="1566"/>
      <c r="G4578" s="1566" t="s">
        <v>3821</v>
      </c>
      <c r="H4578" s="1568">
        <v>1</v>
      </c>
      <c r="I4578" s="1566"/>
      <c r="J4578" s="1566"/>
      <c r="K4578" s="1572">
        <v>451</v>
      </c>
      <c r="L4578" s="1565">
        <v>2257</v>
      </c>
      <c r="M4578" s="1564"/>
      <c r="N4578" s="1565">
        <v>2257</v>
      </c>
      <c r="O4578" s="1565">
        <v>1447.4</v>
      </c>
      <c r="P4578" s="1572">
        <v>771.2</v>
      </c>
      <c r="Q4578" s="1572">
        <v>38.4</v>
      </c>
      <c r="R4578" s="1572">
        <v>809.6</v>
      </c>
      <c r="S4578" s="1562"/>
    </row>
    <row r="4579" spans="2:19" ht="11.25" customHeight="1" outlineLevel="1">
      <c r="B4579" s="1573">
        <v>28791</v>
      </c>
      <c r="C4579" s="1566" t="s">
        <v>4023</v>
      </c>
      <c r="D4579" s="1566" t="s">
        <v>8427</v>
      </c>
      <c r="E4579" s="1566"/>
      <c r="F4579" s="1566"/>
      <c r="G4579" s="1566" t="s">
        <v>8426</v>
      </c>
      <c r="H4579" s="1568">
        <v>1</v>
      </c>
      <c r="I4579" s="1566"/>
      <c r="J4579" s="1566"/>
      <c r="K4579" s="1572">
        <v>295</v>
      </c>
      <c r="L4579" s="1565">
        <v>24025</v>
      </c>
      <c r="M4579" s="1564"/>
      <c r="N4579" s="1565">
        <v>24025</v>
      </c>
      <c r="O4579" s="1565">
        <v>4604.84</v>
      </c>
      <c r="P4579" s="1565">
        <v>18499.16</v>
      </c>
      <c r="Q4579" s="1572">
        <v>921</v>
      </c>
      <c r="R4579" s="1565">
        <v>19420.16</v>
      </c>
      <c r="S4579" s="1562"/>
    </row>
    <row r="4580" spans="2:19" ht="11.25" customHeight="1" outlineLevel="1">
      <c r="B4580" s="1573">
        <v>28792</v>
      </c>
      <c r="C4580" s="1566" t="s">
        <v>4023</v>
      </c>
      <c r="D4580" s="1566" t="s">
        <v>8425</v>
      </c>
      <c r="E4580" s="1566"/>
      <c r="F4580" s="1566"/>
      <c r="G4580" s="1566" t="s">
        <v>8424</v>
      </c>
      <c r="H4580" s="1568">
        <v>1</v>
      </c>
      <c r="I4580" s="1566"/>
      <c r="J4580" s="1566"/>
      <c r="K4580" s="1572">
        <v>238</v>
      </c>
      <c r="L4580" s="1565">
        <v>47592</v>
      </c>
      <c r="M4580" s="1564"/>
      <c r="N4580" s="1565">
        <v>47592</v>
      </c>
      <c r="O4580" s="1565">
        <v>9123.2999999999993</v>
      </c>
      <c r="P4580" s="1565">
        <v>36644.050000000003</v>
      </c>
      <c r="Q4580" s="1565">
        <v>1824.65</v>
      </c>
      <c r="R4580" s="1565">
        <v>38468.699999999997</v>
      </c>
      <c r="S4580" s="1562"/>
    </row>
    <row r="4581" spans="2:19" ht="11.25" customHeight="1" outlineLevel="1">
      <c r="B4581" s="1573">
        <v>28793</v>
      </c>
      <c r="C4581" s="1566" t="s">
        <v>4023</v>
      </c>
      <c r="D4581" s="1566" t="s">
        <v>8423</v>
      </c>
      <c r="E4581" s="1566"/>
      <c r="F4581" s="1566"/>
      <c r="G4581" s="1566" t="s">
        <v>8422</v>
      </c>
      <c r="H4581" s="1568">
        <v>1</v>
      </c>
      <c r="I4581" s="1566"/>
      <c r="J4581" s="1566"/>
      <c r="K4581" s="1572">
        <v>415</v>
      </c>
      <c r="L4581" s="1565">
        <v>85785</v>
      </c>
      <c r="M4581" s="1564"/>
      <c r="N4581" s="1565">
        <v>85785</v>
      </c>
      <c r="O4581" s="1565">
        <v>16445.099999999999</v>
      </c>
      <c r="P4581" s="1565">
        <v>66050.87</v>
      </c>
      <c r="Q4581" s="1565">
        <v>3289.03</v>
      </c>
      <c r="R4581" s="1565">
        <v>69339.899999999994</v>
      </c>
      <c r="S4581" s="1562"/>
    </row>
    <row r="4582" spans="2:19" ht="11.25" customHeight="1" outlineLevel="1">
      <c r="B4582" s="1573">
        <v>28794</v>
      </c>
      <c r="C4582" s="1566" t="s">
        <v>4023</v>
      </c>
      <c r="D4582" s="1566" t="s">
        <v>8421</v>
      </c>
      <c r="E4582" s="1566"/>
      <c r="F4582" s="1566"/>
      <c r="G4582" s="1566" t="s">
        <v>3810</v>
      </c>
      <c r="H4582" s="1568">
        <v>1</v>
      </c>
      <c r="I4582" s="1566"/>
      <c r="J4582" s="1566"/>
      <c r="K4582" s="1572">
        <v>320</v>
      </c>
      <c r="L4582" s="1565">
        <v>3365</v>
      </c>
      <c r="M4582" s="1564"/>
      <c r="N4582" s="1565">
        <v>3365</v>
      </c>
      <c r="O4582" s="1572">
        <v>746.28</v>
      </c>
      <c r="P4582" s="1565">
        <v>2494.35</v>
      </c>
      <c r="Q4582" s="1572">
        <v>124.37</v>
      </c>
      <c r="R4582" s="1565">
        <v>2618.7199999999998</v>
      </c>
      <c r="S4582" s="1562"/>
    </row>
    <row r="4583" spans="2:19" ht="11.25" customHeight="1" outlineLevel="1">
      <c r="B4583" s="1573">
        <v>28795</v>
      </c>
      <c r="C4583" s="1566" t="s">
        <v>4023</v>
      </c>
      <c r="D4583" s="1566" t="s">
        <v>8420</v>
      </c>
      <c r="E4583" s="1566"/>
      <c r="F4583" s="1566"/>
      <c r="G4583" s="1566" t="s">
        <v>3808</v>
      </c>
      <c r="H4583" s="1568">
        <v>1</v>
      </c>
      <c r="I4583" s="1566"/>
      <c r="J4583" s="1566"/>
      <c r="K4583" s="1572">
        <v>337</v>
      </c>
      <c r="L4583" s="1565">
        <v>6421</v>
      </c>
      <c r="M4583" s="1564"/>
      <c r="N4583" s="1565">
        <v>6421</v>
      </c>
      <c r="O4583" s="1565">
        <v>4121.1099999999997</v>
      </c>
      <c r="P4583" s="1565">
        <v>2190.69</v>
      </c>
      <c r="Q4583" s="1572">
        <v>109.2</v>
      </c>
      <c r="R4583" s="1565">
        <v>2299.89</v>
      </c>
      <c r="S4583" s="1562"/>
    </row>
    <row r="4584" spans="2:19" ht="11.25" customHeight="1" outlineLevel="1">
      <c r="B4584" s="1573">
        <v>28796</v>
      </c>
      <c r="C4584" s="1566" t="s">
        <v>4023</v>
      </c>
      <c r="D4584" s="1566" t="s">
        <v>8419</v>
      </c>
      <c r="E4584" s="1566"/>
      <c r="F4584" s="1566"/>
      <c r="G4584" s="1566" t="s">
        <v>3808</v>
      </c>
      <c r="H4584" s="1568">
        <v>1</v>
      </c>
      <c r="I4584" s="1566"/>
      <c r="J4584" s="1566"/>
      <c r="K4584" s="1572">
        <v>536</v>
      </c>
      <c r="L4584" s="1565">
        <v>105297</v>
      </c>
      <c r="M4584" s="1564"/>
      <c r="N4584" s="1565">
        <v>105297</v>
      </c>
      <c r="O4584" s="1565">
        <v>23327.53</v>
      </c>
      <c r="P4584" s="1565">
        <v>78081.59</v>
      </c>
      <c r="Q4584" s="1565">
        <v>3887.88</v>
      </c>
      <c r="R4584" s="1565">
        <v>81969.47</v>
      </c>
      <c r="S4584" s="1562"/>
    </row>
    <row r="4585" spans="2:19" ht="11.25" customHeight="1" outlineLevel="1">
      <c r="B4585" s="1573">
        <v>28797</v>
      </c>
      <c r="C4585" s="1566" t="s">
        <v>4023</v>
      </c>
      <c r="D4585" s="1566" t="s">
        <v>8418</v>
      </c>
      <c r="E4585" s="1566"/>
      <c r="F4585" s="1566"/>
      <c r="G4585" s="1566" t="s">
        <v>3806</v>
      </c>
      <c r="H4585" s="1568">
        <v>1</v>
      </c>
      <c r="I4585" s="1566"/>
      <c r="J4585" s="1566"/>
      <c r="K4585" s="1572">
        <v>451</v>
      </c>
      <c r="L4585" s="1565">
        <v>6318</v>
      </c>
      <c r="M4585" s="1564"/>
      <c r="N4585" s="1565">
        <v>6318</v>
      </c>
      <c r="O4585" s="1565">
        <v>4053.65</v>
      </c>
      <c r="P4585" s="1565">
        <v>2156.9499999999998</v>
      </c>
      <c r="Q4585" s="1572">
        <v>107.4</v>
      </c>
      <c r="R4585" s="1565">
        <v>2264.35</v>
      </c>
      <c r="S4585" s="1562"/>
    </row>
    <row r="4586" spans="2:19" ht="11.25" customHeight="1" outlineLevel="1">
      <c r="B4586" s="1573">
        <v>28798</v>
      </c>
      <c r="C4586" s="1566" t="s">
        <v>4023</v>
      </c>
      <c r="D4586" s="1566" t="s">
        <v>8417</v>
      </c>
      <c r="E4586" s="1566"/>
      <c r="F4586" s="1566"/>
      <c r="G4586" s="1566" t="s">
        <v>3804</v>
      </c>
      <c r="H4586" s="1568">
        <v>1</v>
      </c>
      <c r="I4586" s="1566"/>
      <c r="J4586" s="1566"/>
      <c r="K4586" s="1572">
        <v>387</v>
      </c>
      <c r="L4586" s="1565">
        <v>5025</v>
      </c>
      <c r="M4586" s="1564"/>
      <c r="N4586" s="1565">
        <v>5025</v>
      </c>
      <c r="O4586" s="1565">
        <v>1113.5</v>
      </c>
      <c r="P4586" s="1565">
        <v>3725.86</v>
      </c>
      <c r="Q4586" s="1572">
        <v>185.64</v>
      </c>
      <c r="R4586" s="1565">
        <v>3911.5</v>
      </c>
      <c r="S4586" s="1562"/>
    </row>
    <row r="4587" spans="2:19" ht="11.25" customHeight="1" outlineLevel="1">
      <c r="B4587" s="1573">
        <v>28799</v>
      </c>
      <c r="C4587" s="1566" t="s">
        <v>4023</v>
      </c>
      <c r="D4587" s="1566" t="s">
        <v>8416</v>
      </c>
      <c r="E4587" s="1566"/>
      <c r="F4587" s="1566"/>
      <c r="G4587" s="1566" t="s">
        <v>3802</v>
      </c>
      <c r="H4587" s="1568">
        <v>1</v>
      </c>
      <c r="I4587" s="1566"/>
      <c r="J4587" s="1566"/>
      <c r="K4587" s="1572">
        <v>815</v>
      </c>
      <c r="L4587" s="1565">
        <v>79513</v>
      </c>
      <c r="M4587" s="1564"/>
      <c r="N4587" s="1565">
        <v>79513</v>
      </c>
      <c r="O4587" s="1565">
        <v>51020.02</v>
      </c>
      <c r="P4587" s="1565">
        <v>27141.42</v>
      </c>
      <c r="Q4587" s="1565">
        <v>1351.56</v>
      </c>
      <c r="R4587" s="1565">
        <v>28492.98</v>
      </c>
      <c r="S4587" s="1562"/>
    </row>
    <row r="4588" spans="2:19" ht="11.25" customHeight="1" outlineLevel="1">
      <c r="B4588" s="1573">
        <v>28800</v>
      </c>
      <c r="C4588" s="1566" t="s">
        <v>4023</v>
      </c>
      <c r="D4588" s="1566" t="s">
        <v>8415</v>
      </c>
      <c r="E4588" s="1566"/>
      <c r="F4588" s="1566"/>
      <c r="G4588" s="1566" t="s">
        <v>3800</v>
      </c>
      <c r="H4588" s="1568">
        <v>1</v>
      </c>
      <c r="I4588" s="1566"/>
      <c r="J4588" s="1566"/>
      <c r="K4588" s="1572">
        <v>609</v>
      </c>
      <c r="L4588" s="1565">
        <v>8227</v>
      </c>
      <c r="M4588" s="1564"/>
      <c r="N4588" s="1565">
        <v>8227</v>
      </c>
      <c r="O4588" s="1565">
        <v>5279.55</v>
      </c>
      <c r="P4588" s="1565">
        <v>2807.65</v>
      </c>
      <c r="Q4588" s="1572">
        <v>139.80000000000001</v>
      </c>
      <c r="R4588" s="1565">
        <v>2947.45</v>
      </c>
      <c r="S4588" s="1562"/>
    </row>
    <row r="4589" spans="2:19" ht="11.25" customHeight="1" outlineLevel="1">
      <c r="B4589" s="1573">
        <v>28801</v>
      </c>
      <c r="C4589" s="1566" t="s">
        <v>4023</v>
      </c>
      <c r="D4589" s="1566" t="s">
        <v>8414</v>
      </c>
      <c r="E4589" s="1566"/>
      <c r="F4589" s="1566"/>
      <c r="G4589" s="1566" t="s">
        <v>3798</v>
      </c>
      <c r="H4589" s="1568">
        <v>1</v>
      </c>
      <c r="I4589" s="1566"/>
      <c r="J4589" s="1566"/>
      <c r="K4589" s="1572">
        <v>305</v>
      </c>
      <c r="L4589" s="1565">
        <v>2135</v>
      </c>
      <c r="M4589" s="1564"/>
      <c r="N4589" s="1565">
        <v>2135</v>
      </c>
      <c r="O4589" s="1572">
        <v>409.5</v>
      </c>
      <c r="P4589" s="1565">
        <v>1643.62</v>
      </c>
      <c r="Q4589" s="1572">
        <v>81.88</v>
      </c>
      <c r="R4589" s="1565">
        <v>1725.5</v>
      </c>
      <c r="S4589" s="1562"/>
    </row>
    <row r="4590" spans="2:19" ht="11.25" customHeight="1" outlineLevel="1">
      <c r="B4590" s="1573">
        <v>28802</v>
      </c>
      <c r="C4590" s="1566" t="s">
        <v>4023</v>
      </c>
      <c r="D4590" s="1566" t="s">
        <v>8413</v>
      </c>
      <c r="E4590" s="1566"/>
      <c r="F4590" s="1566"/>
      <c r="G4590" s="1566" t="s">
        <v>8412</v>
      </c>
      <c r="H4590" s="1568">
        <v>1</v>
      </c>
      <c r="I4590" s="1566"/>
      <c r="J4590" s="1566"/>
      <c r="K4590" s="1572">
        <v>525</v>
      </c>
      <c r="L4590" s="1565">
        <v>62229</v>
      </c>
      <c r="M4590" s="1564"/>
      <c r="N4590" s="1565">
        <v>62229</v>
      </c>
      <c r="O4590" s="1565">
        <v>13786.92</v>
      </c>
      <c r="P4590" s="1565">
        <v>46144.27</v>
      </c>
      <c r="Q4590" s="1565">
        <v>2297.81</v>
      </c>
      <c r="R4590" s="1565">
        <v>48442.080000000002</v>
      </c>
      <c r="S4590" s="1562"/>
    </row>
    <row r="4591" spans="2:19" ht="11.25" customHeight="1" outlineLevel="1">
      <c r="B4591" s="1573">
        <v>28803</v>
      </c>
      <c r="C4591" s="1566" t="s">
        <v>4023</v>
      </c>
      <c r="D4591" s="1566" t="s">
        <v>8411</v>
      </c>
      <c r="E4591" s="1566"/>
      <c r="F4591" s="1566"/>
      <c r="G4591" s="1566" t="s">
        <v>3796</v>
      </c>
      <c r="H4591" s="1568">
        <v>1</v>
      </c>
      <c r="I4591" s="1566"/>
      <c r="J4591" s="1566"/>
      <c r="K4591" s="1572">
        <v>278</v>
      </c>
      <c r="L4591" s="1565">
        <v>4175</v>
      </c>
      <c r="M4591" s="1564"/>
      <c r="N4591" s="1565">
        <v>4175</v>
      </c>
      <c r="O4591" s="1572">
        <v>800.1</v>
      </c>
      <c r="P4591" s="1565">
        <v>3214.94</v>
      </c>
      <c r="Q4591" s="1572">
        <v>159.96</v>
      </c>
      <c r="R4591" s="1565">
        <v>3374.9</v>
      </c>
      <c r="S4591" s="1562"/>
    </row>
    <row r="4592" spans="2:19" ht="11.25" customHeight="1" outlineLevel="1">
      <c r="B4592" s="1573">
        <v>28804</v>
      </c>
      <c r="C4592" s="1566" t="s">
        <v>4023</v>
      </c>
      <c r="D4592" s="1566" t="s">
        <v>8410</v>
      </c>
      <c r="E4592" s="1566"/>
      <c r="F4592" s="1566"/>
      <c r="G4592" s="1566" t="s">
        <v>3794</v>
      </c>
      <c r="H4592" s="1568">
        <v>1</v>
      </c>
      <c r="I4592" s="1566"/>
      <c r="J4592" s="1566"/>
      <c r="K4592" s="1572">
        <v>333</v>
      </c>
      <c r="L4592" s="1565">
        <v>2999</v>
      </c>
      <c r="M4592" s="1564"/>
      <c r="N4592" s="1565">
        <v>2999</v>
      </c>
      <c r="O4592" s="1572">
        <v>575.14</v>
      </c>
      <c r="P4592" s="1565">
        <v>2308.7800000000002</v>
      </c>
      <c r="Q4592" s="1572">
        <v>115.08</v>
      </c>
      <c r="R4592" s="1565">
        <v>2423.86</v>
      </c>
      <c r="S4592" s="1562"/>
    </row>
    <row r="4593" spans="2:19" ht="11.25" customHeight="1" outlineLevel="1">
      <c r="B4593" s="1573">
        <v>28805</v>
      </c>
      <c r="C4593" s="1566" t="s">
        <v>4023</v>
      </c>
      <c r="D4593" s="1566" t="s">
        <v>8409</v>
      </c>
      <c r="E4593" s="1566"/>
      <c r="F4593" s="1566"/>
      <c r="G4593" s="1566" t="s">
        <v>3792</v>
      </c>
      <c r="H4593" s="1568">
        <v>1</v>
      </c>
      <c r="I4593" s="1566"/>
      <c r="J4593" s="1566"/>
      <c r="K4593" s="1572">
        <v>320</v>
      </c>
      <c r="L4593" s="1565">
        <v>3685</v>
      </c>
      <c r="M4593" s="1564"/>
      <c r="N4593" s="1565">
        <v>3685</v>
      </c>
      <c r="O4593" s="1572">
        <v>707.07</v>
      </c>
      <c r="P4593" s="1565">
        <v>2836.57</v>
      </c>
      <c r="Q4593" s="1572">
        <v>141.36000000000001</v>
      </c>
      <c r="R4593" s="1565">
        <v>2977.93</v>
      </c>
      <c r="S4593" s="1562"/>
    </row>
    <row r="4594" spans="2:19" ht="11.25" customHeight="1" outlineLevel="1">
      <c r="B4594" s="1573">
        <v>28806</v>
      </c>
      <c r="C4594" s="1566" t="s">
        <v>4023</v>
      </c>
      <c r="D4594" s="1566" t="s">
        <v>8408</v>
      </c>
      <c r="E4594" s="1566"/>
      <c r="F4594" s="1566"/>
      <c r="G4594" s="1566" t="s">
        <v>3790</v>
      </c>
      <c r="H4594" s="1568">
        <v>1</v>
      </c>
      <c r="I4594" s="1566"/>
      <c r="J4594" s="1566"/>
      <c r="K4594" s="1572">
        <v>399</v>
      </c>
      <c r="L4594" s="1565">
        <v>51809</v>
      </c>
      <c r="M4594" s="1564"/>
      <c r="N4594" s="1565">
        <v>51809</v>
      </c>
      <c r="O4594" s="1565">
        <v>9932.2000000000007</v>
      </c>
      <c r="P4594" s="1565">
        <v>39890.32</v>
      </c>
      <c r="Q4594" s="1565">
        <v>1986.48</v>
      </c>
      <c r="R4594" s="1565">
        <v>41876.800000000003</v>
      </c>
      <c r="S4594" s="1562"/>
    </row>
    <row r="4595" spans="2:19" ht="11.25" customHeight="1" outlineLevel="1">
      <c r="B4595" s="1573">
        <v>28807</v>
      </c>
      <c r="C4595" s="1566" t="s">
        <v>4023</v>
      </c>
      <c r="D4595" s="1566" t="s">
        <v>8407</v>
      </c>
      <c r="E4595" s="1566"/>
      <c r="F4595" s="1566"/>
      <c r="G4595" s="1566" t="s">
        <v>8406</v>
      </c>
      <c r="H4595" s="1568">
        <v>1</v>
      </c>
      <c r="I4595" s="1566"/>
      <c r="J4595" s="1566"/>
      <c r="K4595" s="1572">
        <v>430</v>
      </c>
      <c r="L4595" s="1565">
        <v>13747</v>
      </c>
      <c r="M4595" s="1564"/>
      <c r="N4595" s="1565">
        <v>13747</v>
      </c>
      <c r="O4595" s="1565">
        <v>8821.09</v>
      </c>
      <c r="P4595" s="1565">
        <v>4692.2700000000004</v>
      </c>
      <c r="Q4595" s="1572">
        <v>233.64</v>
      </c>
      <c r="R4595" s="1565">
        <v>4925.91</v>
      </c>
      <c r="S4595" s="1562"/>
    </row>
    <row r="4596" spans="2:19" ht="11.25" customHeight="1" outlineLevel="1">
      <c r="B4596" s="1573">
        <v>28808</v>
      </c>
      <c r="C4596" s="1566" t="s">
        <v>4023</v>
      </c>
      <c r="D4596" s="1566" t="s">
        <v>8405</v>
      </c>
      <c r="E4596" s="1566"/>
      <c r="F4596" s="1566"/>
      <c r="G4596" s="1566" t="s">
        <v>3786</v>
      </c>
      <c r="H4596" s="1568">
        <v>1</v>
      </c>
      <c r="I4596" s="1566"/>
      <c r="J4596" s="1566"/>
      <c r="K4596" s="1572">
        <v>445</v>
      </c>
      <c r="L4596" s="1565">
        <v>6226</v>
      </c>
      <c r="M4596" s="1564"/>
      <c r="N4596" s="1565">
        <v>6226</v>
      </c>
      <c r="O4596" s="1565">
        <v>1193.71</v>
      </c>
      <c r="P4596" s="1565">
        <v>4793.49</v>
      </c>
      <c r="Q4596" s="1572">
        <v>238.8</v>
      </c>
      <c r="R4596" s="1565">
        <v>5032.29</v>
      </c>
      <c r="S4596" s="1562"/>
    </row>
    <row r="4597" spans="2:19" ht="11.25" customHeight="1" outlineLevel="1">
      <c r="B4597" s="1573">
        <v>28809</v>
      </c>
      <c r="C4597" s="1566" t="s">
        <v>4023</v>
      </c>
      <c r="D4597" s="1566" t="s">
        <v>8404</v>
      </c>
      <c r="E4597" s="1566"/>
      <c r="F4597" s="1566"/>
      <c r="G4597" s="1566" t="s">
        <v>3784</v>
      </c>
      <c r="H4597" s="1568">
        <v>1</v>
      </c>
      <c r="I4597" s="1566"/>
      <c r="J4597" s="1566"/>
      <c r="K4597" s="1572">
        <v>375</v>
      </c>
      <c r="L4597" s="1565">
        <v>11889</v>
      </c>
      <c r="M4597" s="1564"/>
      <c r="N4597" s="1565">
        <v>11889</v>
      </c>
      <c r="O4597" s="1565">
        <v>2279.8200000000002</v>
      </c>
      <c r="P4597" s="1565">
        <v>9153.18</v>
      </c>
      <c r="Q4597" s="1572">
        <v>456</v>
      </c>
      <c r="R4597" s="1565">
        <v>9609.18</v>
      </c>
      <c r="S4597" s="1562"/>
    </row>
    <row r="4598" spans="2:19" ht="11.25" customHeight="1" outlineLevel="1">
      <c r="B4598" s="1573">
        <v>28810</v>
      </c>
      <c r="C4598" s="1566" t="s">
        <v>4023</v>
      </c>
      <c r="D4598" s="1566" t="s">
        <v>8403</v>
      </c>
      <c r="E4598" s="1566"/>
      <c r="F4598" s="1566"/>
      <c r="G4598" s="1566" t="s">
        <v>3782</v>
      </c>
      <c r="H4598" s="1568">
        <v>1</v>
      </c>
      <c r="I4598" s="1566"/>
      <c r="J4598" s="1566"/>
      <c r="K4598" s="1572">
        <v>256</v>
      </c>
      <c r="L4598" s="1565">
        <v>8977</v>
      </c>
      <c r="M4598" s="1564"/>
      <c r="N4598" s="1565">
        <v>8977</v>
      </c>
      <c r="O4598" s="1565">
        <v>1432.3</v>
      </c>
      <c r="P4598" s="1565">
        <v>7186.62</v>
      </c>
      <c r="Q4598" s="1572">
        <v>358.08</v>
      </c>
      <c r="R4598" s="1565">
        <v>7544.7</v>
      </c>
      <c r="S4598" s="1562"/>
    </row>
    <row r="4599" spans="2:19" ht="11.25" customHeight="1" outlineLevel="1">
      <c r="B4599" s="1573">
        <v>28811</v>
      </c>
      <c r="C4599" s="1566" t="s">
        <v>4023</v>
      </c>
      <c r="D4599" s="1566" t="s">
        <v>8402</v>
      </c>
      <c r="E4599" s="1566"/>
      <c r="F4599" s="1566"/>
      <c r="G4599" s="1566" t="s">
        <v>3780</v>
      </c>
      <c r="H4599" s="1568">
        <v>1</v>
      </c>
      <c r="I4599" s="1566"/>
      <c r="J4599" s="1566"/>
      <c r="K4599" s="1572">
        <v>430</v>
      </c>
      <c r="L4599" s="1565">
        <v>6873</v>
      </c>
      <c r="M4599" s="1564"/>
      <c r="N4599" s="1565">
        <v>6873</v>
      </c>
      <c r="O4599" s="1565">
        <v>4408.8999999999996</v>
      </c>
      <c r="P4599" s="1565">
        <v>2347.34</v>
      </c>
      <c r="Q4599" s="1572">
        <v>116.76</v>
      </c>
      <c r="R4599" s="1565">
        <v>2464.1</v>
      </c>
      <c r="S4599" s="1562"/>
    </row>
    <row r="4600" spans="2:19" ht="11.25" customHeight="1" outlineLevel="1">
      <c r="B4600" s="1573">
        <v>28812</v>
      </c>
      <c r="C4600" s="1566" t="s">
        <v>4023</v>
      </c>
      <c r="D4600" s="1566" t="s">
        <v>8401</v>
      </c>
      <c r="E4600" s="1566"/>
      <c r="F4600" s="1566"/>
      <c r="G4600" s="1566" t="s">
        <v>3778</v>
      </c>
      <c r="H4600" s="1568">
        <v>1</v>
      </c>
      <c r="I4600" s="1566"/>
      <c r="J4600" s="1566"/>
      <c r="K4600" s="1572">
        <v>347</v>
      </c>
      <c r="L4600" s="1565">
        <v>4591</v>
      </c>
      <c r="M4600" s="1564"/>
      <c r="N4600" s="1565">
        <v>4591</v>
      </c>
      <c r="O4600" s="1565">
        <v>2946.5</v>
      </c>
      <c r="P4600" s="1565">
        <v>1566.5</v>
      </c>
      <c r="Q4600" s="1572">
        <v>78</v>
      </c>
      <c r="R4600" s="1565">
        <v>1644.5</v>
      </c>
      <c r="S4600" s="1562"/>
    </row>
    <row r="4601" spans="2:19" ht="11.25" customHeight="1" outlineLevel="1">
      <c r="B4601" s="1573">
        <v>28813</v>
      </c>
      <c r="C4601" s="1566" t="s">
        <v>4023</v>
      </c>
      <c r="D4601" s="1566" t="s">
        <v>8400</v>
      </c>
      <c r="E4601" s="1566"/>
      <c r="F4601" s="1566"/>
      <c r="G4601" s="1566" t="s">
        <v>3776</v>
      </c>
      <c r="H4601" s="1568">
        <v>1</v>
      </c>
      <c r="I4601" s="1566"/>
      <c r="J4601" s="1566"/>
      <c r="K4601" s="1572">
        <v>28</v>
      </c>
      <c r="L4601" s="1565">
        <v>2848</v>
      </c>
      <c r="M4601" s="1564"/>
      <c r="N4601" s="1565">
        <v>2848</v>
      </c>
      <c r="O4601" s="1572">
        <v>545.70000000000005</v>
      </c>
      <c r="P4601" s="1565">
        <v>2193.1</v>
      </c>
      <c r="Q4601" s="1572">
        <v>109.2</v>
      </c>
      <c r="R4601" s="1565">
        <v>2302.3000000000002</v>
      </c>
      <c r="S4601" s="1562"/>
    </row>
    <row r="4602" spans="2:19" ht="11.25" customHeight="1" outlineLevel="1">
      <c r="B4602" s="1573">
        <v>28814</v>
      </c>
      <c r="C4602" s="1566" t="s">
        <v>4023</v>
      </c>
      <c r="D4602" s="1566" t="s">
        <v>8399</v>
      </c>
      <c r="E4602" s="1566"/>
      <c r="F4602" s="1566"/>
      <c r="G4602" s="1566" t="s">
        <v>3774</v>
      </c>
      <c r="H4602" s="1568">
        <v>1</v>
      </c>
      <c r="I4602" s="1566"/>
      <c r="J4602" s="1566"/>
      <c r="K4602" s="1572">
        <v>529</v>
      </c>
      <c r="L4602" s="1565">
        <v>41232</v>
      </c>
      <c r="M4602" s="1564"/>
      <c r="N4602" s="1565">
        <v>41232</v>
      </c>
      <c r="O4602" s="1565">
        <v>26456.799999999999</v>
      </c>
      <c r="P4602" s="1565">
        <v>14074.4</v>
      </c>
      <c r="Q4602" s="1572">
        <v>700.8</v>
      </c>
      <c r="R4602" s="1565">
        <v>14775.2</v>
      </c>
      <c r="S4602" s="1562"/>
    </row>
    <row r="4603" spans="2:19" ht="11.25" customHeight="1" outlineLevel="1">
      <c r="B4603" s="1573">
        <v>28815</v>
      </c>
      <c r="C4603" s="1566" t="s">
        <v>4023</v>
      </c>
      <c r="D4603" s="1566" t="s">
        <v>8398</v>
      </c>
      <c r="E4603" s="1566"/>
      <c r="F4603" s="1566"/>
      <c r="G4603" s="1566" t="s">
        <v>3772</v>
      </c>
      <c r="H4603" s="1568">
        <v>1</v>
      </c>
      <c r="I4603" s="1566"/>
      <c r="J4603" s="1566"/>
      <c r="K4603" s="1572">
        <v>533</v>
      </c>
      <c r="L4603" s="1565">
        <v>13869</v>
      </c>
      <c r="M4603" s="1564"/>
      <c r="N4603" s="1565">
        <v>13869</v>
      </c>
      <c r="O4603" s="1565">
        <v>8899.9599999999991</v>
      </c>
      <c r="P4603" s="1565">
        <v>4733.24</v>
      </c>
      <c r="Q4603" s="1572">
        <v>235.8</v>
      </c>
      <c r="R4603" s="1565">
        <v>4969.04</v>
      </c>
      <c r="S4603" s="1562"/>
    </row>
    <row r="4604" spans="2:19" ht="11.25" customHeight="1" outlineLevel="1">
      <c r="B4604" s="1573">
        <v>28816</v>
      </c>
      <c r="C4604" s="1566" t="s">
        <v>4023</v>
      </c>
      <c r="D4604" s="1566" t="s">
        <v>8397</v>
      </c>
      <c r="E4604" s="1566"/>
      <c r="F4604" s="1566"/>
      <c r="G4604" s="1566" t="s">
        <v>3769</v>
      </c>
      <c r="H4604" s="1568">
        <v>1</v>
      </c>
      <c r="I4604" s="1566"/>
      <c r="J4604" s="1566"/>
      <c r="K4604" s="1572">
        <v>445</v>
      </c>
      <c r="L4604" s="1565">
        <v>3780</v>
      </c>
      <c r="M4604" s="1564"/>
      <c r="N4604" s="1565">
        <v>3780</v>
      </c>
      <c r="O4604" s="1565">
        <v>2426.33</v>
      </c>
      <c r="P4604" s="1565">
        <v>1289.3499999999999</v>
      </c>
      <c r="Q4604" s="1572">
        <v>64.319999999999993</v>
      </c>
      <c r="R4604" s="1565">
        <v>1353.67</v>
      </c>
      <c r="S4604" s="1562"/>
    </row>
    <row r="4605" spans="2:19" ht="11.25" customHeight="1" outlineLevel="1">
      <c r="B4605" s="1573">
        <v>28429</v>
      </c>
      <c r="C4605" s="1566" t="s">
        <v>4016</v>
      </c>
      <c r="D4605" s="1566" t="s">
        <v>8396</v>
      </c>
      <c r="E4605" s="1566"/>
      <c r="F4605" s="1566"/>
      <c r="G4605" s="1566"/>
      <c r="H4605" s="1568">
        <v>1</v>
      </c>
      <c r="I4605" s="1566"/>
      <c r="J4605" s="1566"/>
      <c r="K4605" s="1565">
        <v>1303</v>
      </c>
      <c r="L4605" s="1565">
        <v>1303</v>
      </c>
      <c r="M4605" s="1565">
        <v>-1303</v>
      </c>
      <c r="N4605" s="1564"/>
      <c r="O4605" s="1564"/>
      <c r="P4605" s="1565">
        <v>1303</v>
      </c>
      <c r="Q4605" s="1565">
        <v>-1303</v>
      </c>
      <c r="R4605" s="1564"/>
      <c r="S4605" s="1562"/>
    </row>
    <row r="4606" spans="2:19" ht="11.25" customHeight="1" outlineLevel="1">
      <c r="B4606" s="1573">
        <v>28909</v>
      </c>
      <c r="C4606" s="1566" t="s">
        <v>4016</v>
      </c>
      <c r="D4606" s="1566" t="s">
        <v>8395</v>
      </c>
      <c r="E4606" s="1566"/>
      <c r="F4606" s="1566"/>
      <c r="G4606" s="1566" t="s">
        <v>8394</v>
      </c>
      <c r="H4606" s="1568">
        <v>1</v>
      </c>
      <c r="I4606" s="1566"/>
      <c r="J4606" s="1566"/>
      <c r="K4606" s="1572">
        <v>371</v>
      </c>
      <c r="L4606" s="1565">
        <v>3347</v>
      </c>
      <c r="M4606" s="1564"/>
      <c r="N4606" s="1565">
        <v>3347</v>
      </c>
      <c r="O4606" s="1572">
        <v>743.84</v>
      </c>
      <c r="P4606" s="1565">
        <v>2479.1999999999998</v>
      </c>
      <c r="Q4606" s="1572">
        <v>123.96</v>
      </c>
      <c r="R4606" s="1565">
        <v>2603.16</v>
      </c>
      <c r="S4606" s="1562"/>
    </row>
    <row r="4607" spans="2:19" ht="11.25" customHeight="1" outlineLevel="1">
      <c r="B4607" s="1573">
        <v>28911</v>
      </c>
      <c r="C4607" s="1566" t="s">
        <v>4016</v>
      </c>
      <c r="D4607" s="1566" t="s">
        <v>8393</v>
      </c>
      <c r="E4607" s="1566"/>
      <c r="F4607" s="1566"/>
      <c r="G4607" s="1566" t="s">
        <v>4017</v>
      </c>
      <c r="H4607" s="1568">
        <v>1</v>
      </c>
      <c r="I4607" s="1566"/>
      <c r="J4607" s="1566"/>
      <c r="K4607" s="1572">
        <v>621</v>
      </c>
      <c r="L4607" s="1565">
        <v>18322</v>
      </c>
      <c r="M4607" s="1564"/>
      <c r="N4607" s="1565">
        <v>18322</v>
      </c>
      <c r="O4607" s="1572">
        <v>142.91</v>
      </c>
      <c r="P4607" s="1565">
        <v>17450.400000000001</v>
      </c>
      <c r="Q4607" s="1572">
        <v>728.69</v>
      </c>
      <c r="R4607" s="1565">
        <v>18179.09</v>
      </c>
      <c r="S4607" s="1562"/>
    </row>
    <row r="4608" spans="2:19" ht="11.25" customHeight="1" outlineLevel="1">
      <c r="B4608" s="1573">
        <v>28913</v>
      </c>
      <c r="C4608" s="1566" t="s">
        <v>4016</v>
      </c>
      <c r="D4608" s="1566" t="s">
        <v>8392</v>
      </c>
      <c r="E4608" s="1566"/>
      <c r="F4608" s="1566"/>
      <c r="G4608" s="1566" t="s">
        <v>4014</v>
      </c>
      <c r="H4608" s="1568">
        <v>1</v>
      </c>
      <c r="I4608" s="1566"/>
      <c r="J4608" s="1566"/>
      <c r="K4608" s="1572">
        <v>653</v>
      </c>
      <c r="L4608" s="1565">
        <v>24070</v>
      </c>
      <c r="M4608" s="1564"/>
      <c r="N4608" s="1565">
        <v>24070</v>
      </c>
      <c r="O4608" s="1565">
        <v>15479.2</v>
      </c>
      <c r="P4608" s="1565">
        <v>8181.6</v>
      </c>
      <c r="Q4608" s="1572">
        <v>409.2</v>
      </c>
      <c r="R4608" s="1565">
        <v>8590.7999999999993</v>
      </c>
      <c r="S4608" s="1562"/>
    </row>
    <row r="4609" spans="2:19" ht="11.25" customHeight="1" outlineLevel="1">
      <c r="B4609" s="1573">
        <v>28915</v>
      </c>
      <c r="C4609" s="1566" t="s">
        <v>4016</v>
      </c>
      <c r="D4609" s="1566" t="s">
        <v>8391</v>
      </c>
      <c r="E4609" s="1566"/>
      <c r="F4609" s="1566"/>
      <c r="G4609" s="1566" t="s">
        <v>4038</v>
      </c>
      <c r="H4609" s="1568">
        <v>1</v>
      </c>
      <c r="I4609" s="1566"/>
      <c r="J4609" s="1566"/>
      <c r="K4609" s="1572">
        <v>320</v>
      </c>
      <c r="L4609" s="1565">
        <v>50856</v>
      </c>
      <c r="M4609" s="1564"/>
      <c r="N4609" s="1565">
        <v>50856</v>
      </c>
      <c r="O4609" s="1565">
        <v>11301.96</v>
      </c>
      <c r="P4609" s="1565">
        <v>37670.400000000001</v>
      </c>
      <c r="Q4609" s="1565">
        <v>1883.64</v>
      </c>
      <c r="R4609" s="1565">
        <v>39554.04</v>
      </c>
      <c r="S4609" s="1562"/>
    </row>
    <row r="4610" spans="2:19" ht="11.25" customHeight="1" outlineLevel="1">
      <c r="B4610" s="1573">
        <v>28936</v>
      </c>
      <c r="C4610" s="1566" t="s">
        <v>4016</v>
      </c>
      <c r="D4610" s="1566" t="s">
        <v>8390</v>
      </c>
      <c r="E4610" s="1566"/>
      <c r="F4610" s="1566"/>
      <c r="G4610" s="1566"/>
      <c r="H4610" s="1568">
        <v>1</v>
      </c>
      <c r="I4610" s="1566"/>
      <c r="J4610" s="1566"/>
      <c r="K4610" s="1565">
        <v>1303</v>
      </c>
      <c r="L4610" s="1565">
        <v>1303</v>
      </c>
      <c r="M4610" s="1565">
        <v>-1303</v>
      </c>
      <c r="N4610" s="1564"/>
      <c r="O4610" s="1564"/>
      <c r="P4610" s="1565">
        <v>1303</v>
      </c>
      <c r="Q4610" s="1565">
        <v>-1303</v>
      </c>
      <c r="R4610" s="1564"/>
      <c r="S4610" s="1562"/>
    </row>
    <row r="4611" spans="2:19" ht="11.25" customHeight="1" outlineLevel="1">
      <c r="B4611" s="1573">
        <v>27700</v>
      </c>
      <c r="C4611" s="1566" t="s">
        <v>3771</v>
      </c>
      <c r="D4611" s="1566" t="s">
        <v>8389</v>
      </c>
      <c r="E4611" s="1566"/>
      <c r="F4611" s="1566"/>
      <c r="G4611" s="1566" t="s">
        <v>4024</v>
      </c>
      <c r="H4611" s="1568">
        <v>1</v>
      </c>
      <c r="I4611" s="1566"/>
      <c r="J4611" s="1566"/>
      <c r="K4611" s="1572">
        <v>434</v>
      </c>
      <c r="L4611" s="1565">
        <v>36135</v>
      </c>
      <c r="M4611" s="1564"/>
      <c r="N4611" s="1565">
        <v>36135</v>
      </c>
      <c r="O4611" s="1565">
        <v>23237.64</v>
      </c>
      <c r="P4611" s="1565">
        <v>12283.2</v>
      </c>
      <c r="Q4611" s="1572">
        <v>614.16</v>
      </c>
      <c r="R4611" s="1565">
        <v>12897.36</v>
      </c>
      <c r="S4611" s="1562"/>
    </row>
    <row r="4612" spans="2:19" ht="11.25" customHeight="1" outlineLevel="1">
      <c r="B4612" s="1573">
        <v>27832</v>
      </c>
      <c r="C4612" s="1566" t="s">
        <v>3771</v>
      </c>
      <c r="D4612" s="1566" t="s">
        <v>8388</v>
      </c>
      <c r="E4612" s="1566"/>
      <c r="F4612" s="1566"/>
      <c r="G4612" s="1566" t="s">
        <v>3734</v>
      </c>
      <c r="H4612" s="1568">
        <v>1</v>
      </c>
      <c r="I4612" s="1566"/>
      <c r="J4612" s="1566"/>
      <c r="K4612" s="1572">
        <v>266</v>
      </c>
      <c r="L4612" s="1565">
        <v>19250</v>
      </c>
      <c r="M4612" s="1564"/>
      <c r="N4612" s="1565">
        <v>19250</v>
      </c>
      <c r="O4612" s="1565">
        <v>5309.48</v>
      </c>
      <c r="P4612" s="1565">
        <v>13276.8</v>
      </c>
      <c r="Q4612" s="1572">
        <v>663.72</v>
      </c>
      <c r="R4612" s="1565">
        <v>13940.52</v>
      </c>
      <c r="S4612" s="1562"/>
    </row>
    <row r="4613" spans="2:19" ht="11.25" customHeight="1" outlineLevel="1">
      <c r="B4613" s="1573">
        <v>27833</v>
      </c>
      <c r="C4613" s="1566" t="s">
        <v>3771</v>
      </c>
      <c r="D4613" s="1566" t="s">
        <v>8387</v>
      </c>
      <c r="E4613" s="1566"/>
      <c r="F4613" s="1566"/>
      <c r="G4613" s="1566" t="s">
        <v>3664</v>
      </c>
      <c r="H4613" s="1568">
        <v>1</v>
      </c>
      <c r="I4613" s="1566"/>
      <c r="J4613" s="1566"/>
      <c r="K4613" s="1572">
        <v>177</v>
      </c>
      <c r="L4613" s="1565">
        <v>48746</v>
      </c>
      <c r="M4613" s="1565">
        <v>1440913.82</v>
      </c>
      <c r="N4613" s="1565">
        <v>1489659.82</v>
      </c>
      <c r="O4613" s="1565">
        <v>1454361.98</v>
      </c>
      <c r="P4613" s="1565">
        <v>33616.800000000003</v>
      </c>
      <c r="Q4613" s="1565">
        <v>1681.04</v>
      </c>
      <c r="R4613" s="1565">
        <v>35297.839999999997</v>
      </c>
      <c r="S4613" s="1562"/>
    </row>
    <row r="4614" spans="2:19" ht="11.25" customHeight="1" outlineLevel="1">
      <c r="B4614" s="1573">
        <v>27834</v>
      </c>
      <c r="C4614" s="1566" t="s">
        <v>3771</v>
      </c>
      <c r="D4614" s="1566" t="s">
        <v>8386</v>
      </c>
      <c r="E4614" s="1566"/>
      <c r="F4614" s="1566"/>
      <c r="G4614" s="1566" t="s">
        <v>3734</v>
      </c>
      <c r="H4614" s="1568">
        <v>1</v>
      </c>
      <c r="I4614" s="1566"/>
      <c r="J4614" s="1566"/>
      <c r="K4614" s="1572">
        <v>177</v>
      </c>
      <c r="L4614" s="1565">
        <v>14890</v>
      </c>
      <c r="M4614" s="1564"/>
      <c r="N4614" s="1565">
        <v>14890</v>
      </c>
      <c r="O4614" s="1565">
        <v>9575.32</v>
      </c>
      <c r="P4614" s="1565">
        <v>5061.6000000000004</v>
      </c>
      <c r="Q4614" s="1572">
        <v>253.08</v>
      </c>
      <c r="R4614" s="1565">
        <v>5314.68</v>
      </c>
      <c r="S4614" s="1562"/>
    </row>
    <row r="4615" spans="2:19" ht="11.25" customHeight="1" outlineLevel="1">
      <c r="B4615" s="1573">
        <v>27835</v>
      </c>
      <c r="C4615" s="1566" t="s">
        <v>3771</v>
      </c>
      <c r="D4615" s="1566" t="s">
        <v>8385</v>
      </c>
      <c r="E4615" s="1566"/>
      <c r="F4615" s="1566"/>
      <c r="G4615" s="1566" t="s">
        <v>3734</v>
      </c>
      <c r="H4615" s="1568">
        <v>1</v>
      </c>
      <c r="I4615" s="1566"/>
      <c r="J4615" s="1566"/>
      <c r="K4615" s="1572">
        <v>355</v>
      </c>
      <c r="L4615" s="1565">
        <v>11352166.6</v>
      </c>
      <c r="M4615" s="1564"/>
      <c r="N4615" s="1565">
        <v>11352166.6</v>
      </c>
      <c r="O4615" s="1565">
        <v>10487776.6</v>
      </c>
      <c r="P4615" s="1565">
        <v>490938</v>
      </c>
      <c r="Q4615" s="1565">
        <v>373452</v>
      </c>
      <c r="R4615" s="1565">
        <v>864390</v>
      </c>
      <c r="S4615" s="1562"/>
    </row>
    <row r="4616" spans="2:19" ht="11.25" customHeight="1" outlineLevel="1">
      <c r="B4616" s="1573">
        <v>27836</v>
      </c>
      <c r="C4616" s="1566" t="s">
        <v>3771</v>
      </c>
      <c r="D4616" s="1566" t="s">
        <v>8384</v>
      </c>
      <c r="E4616" s="1566"/>
      <c r="F4616" s="1566"/>
      <c r="G4616" s="1566" t="s">
        <v>3734</v>
      </c>
      <c r="H4616" s="1568">
        <v>1</v>
      </c>
      <c r="I4616" s="1566"/>
      <c r="J4616" s="1566"/>
      <c r="K4616" s="1572">
        <v>177</v>
      </c>
      <c r="L4616" s="1565">
        <v>34884</v>
      </c>
      <c r="M4616" s="1564"/>
      <c r="N4616" s="1565">
        <v>34884</v>
      </c>
      <c r="O4616" s="1565">
        <v>9623.52</v>
      </c>
      <c r="P4616" s="1565">
        <v>24057.599999999999</v>
      </c>
      <c r="Q4616" s="1565">
        <v>1202.8800000000001</v>
      </c>
      <c r="R4616" s="1565">
        <v>25260.48</v>
      </c>
      <c r="S4616" s="1562"/>
    </row>
    <row r="4617" spans="2:19" ht="11.25" customHeight="1" outlineLevel="1">
      <c r="B4617" s="1573">
        <v>27837</v>
      </c>
      <c r="C4617" s="1566" t="s">
        <v>3771</v>
      </c>
      <c r="D4617" s="1566" t="s">
        <v>8383</v>
      </c>
      <c r="E4617" s="1566"/>
      <c r="F4617" s="1566"/>
      <c r="G4617" s="1566" t="s">
        <v>3734</v>
      </c>
      <c r="H4617" s="1568">
        <v>1</v>
      </c>
      <c r="I4617" s="1566"/>
      <c r="J4617" s="1566"/>
      <c r="K4617" s="1572">
        <v>177</v>
      </c>
      <c r="L4617" s="1565">
        <v>7755</v>
      </c>
      <c r="M4617" s="1564"/>
      <c r="N4617" s="1565">
        <v>7755</v>
      </c>
      <c r="O4617" s="1565">
        <v>4987.92</v>
      </c>
      <c r="P4617" s="1565">
        <v>2635.2</v>
      </c>
      <c r="Q4617" s="1572">
        <v>131.88</v>
      </c>
      <c r="R4617" s="1565">
        <v>2767.08</v>
      </c>
      <c r="S4617" s="1562"/>
    </row>
    <row r="4618" spans="2:19" ht="11.25" customHeight="1" outlineLevel="1">
      <c r="B4618" s="1573">
        <v>27838</v>
      </c>
      <c r="C4618" s="1566" t="s">
        <v>3771</v>
      </c>
      <c r="D4618" s="1566" t="s">
        <v>8382</v>
      </c>
      <c r="E4618" s="1566"/>
      <c r="F4618" s="1566"/>
      <c r="G4618" s="1566" t="s">
        <v>3734</v>
      </c>
      <c r="H4618" s="1568">
        <v>1</v>
      </c>
      <c r="I4618" s="1566"/>
      <c r="J4618" s="1566"/>
      <c r="K4618" s="1572">
        <v>355</v>
      </c>
      <c r="L4618" s="1565">
        <v>142373</v>
      </c>
      <c r="M4618" s="1564"/>
      <c r="N4618" s="1565">
        <v>142373</v>
      </c>
      <c r="O4618" s="1565">
        <v>91554.68</v>
      </c>
      <c r="P4618" s="1565">
        <v>48398.400000000001</v>
      </c>
      <c r="Q4618" s="1565">
        <v>2419.92</v>
      </c>
      <c r="R4618" s="1565">
        <v>50818.32</v>
      </c>
      <c r="S4618" s="1562"/>
    </row>
    <row r="4619" spans="2:19" ht="11.25" customHeight="1" outlineLevel="1">
      <c r="B4619" s="1573">
        <v>27839</v>
      </c>
      <c r="C4619" s="1566" t="s">
        <v>3771</v>
      </c>
      <c r="D4619" s="1566" t="s">
        <v>8381</v>
      </c>
      <c r="E4619" s="1566"/>
      <c r="F4619" s="1566"/>
      <c r="G4619" s="1566" t="s">
        <v>3734</v>
      </c>
      <c r="H4619" s="1568">
        <v>1</v>
      </c>
      <c r="I4619" s="1566"/>
      <c r="J4619" s="1566"/>
      <c r="K4619" s="1572">
        <v>177</v>
      </c>
      <c r="L4619" s="1565">
        <v>10573</v>
      </c>
      <c r="M4619" s="1564"/>
      <c r="N4619" s="1565">
        <v>10573</v>
      </c>
      <c r="O4619" s="1565">
        <v>6798.16</v>
      </c>
      <c r="P4619" s="1565">
        <v>3595.2</v>
      </c>
      <c r="Q4619" s="1572">
        <v>179.64</v>
      </c>
      <c r="R4619" s="1565">
        <v>3774.84</v>
      </c>
      <c r="S4619" s="1562"/>
    </row>
    <row r="4620" spans="2:19" ht="11.25" customHeight="1" outlineLevel="1">
      <c r="B4620" s="1573">
        <v>27840</v>
      </c>
      <c r="C4620" s="1566" t="s">
        <v>3771</v>
      </c>
      <c r="D4620" s="1566" t="s">
        <v>8380</v>
      </c>
      <c r="E4620" s="1566"/>
      <c r="F4620" s="1566"/>
      <c r="G4620" s="1566" t="s">
        <v>3734</v>
      </c>
      <c r="H4620" s="1568">
        <v>1</v>
      </c>
      <c r="I4620" s="1566"/>
      <c r="J4620" s="1566"/>
      <c r="K4620" s="1572">
        <v>177</v>
      </c>
      <c r="L4620" s="1565">
        <v>2411</v>
      </c>
      <c r="M4620" s="1564"/>
      <c r="N4620" s="1565">
        <v>2411</v>
      </c>
      <c r="O4620" s="1572">
        <v>664.76</v>
      </c>
      <c r="P4620" s="1565">
        <v>1663.2</v>
      </c>
      <c r="Q4620" s="1572">
        <v>83.04</v>
      </c>
      <c r="R4620" s="1565">
        <v>1746.24</v>
      </c>
      <c r="S4620" s="1562"/>
    </row>
    <row r="4621" spans="2:19" ht="11.25" customHeight="1" outlineLevel="1">
      <c r="B4621" s="1573">
        <v>27841</v>
      </c>
      <c r="C4621" s="1566" t="s">
        <v>3771</v>
      </c>
      <c r="D4621" s="1566" t="s">
        <v>8379</v>
      </c>
      <c r="E4621" s="1566"/>
      <c r="F4621" s="1566"/>
      <c r="G4621" s="1566" t="s">
        <v>3664</v>
      </c>
      <c r="H4621" s="1568">
        <v>1</v>
      </c>
      <c r="I4621" s="1566"/>
      <c r="J4621" s="1566"/>
      <c r="K4621" s="1572">
        <v>177</v>
      </c>
      <c r="L4621" s="1565">
        <v>1524</v>
      </c>
      <c r="M4621" s="1564"/>
      <c r="N4621" s="1565">
        <v>1524</v>
      </c>
      <c r="O4621" s="1572">
        <v>420.24</v>
      </c>
      <c r="P4621" s="1565">
        <v>1051.2</v>
      </c>
      <c r="Q4621" s="1572">
        <v>52.56</v>
      </c>
      <c r="R4621" s="1565">
        <v>1103.76</v>
      </c>
      <c r="S4621" s="1562"/>
    </row>
    <row r="4622" spans="2:19" ht="11.25" customHeight="1" outlineLevel="1">
      <c r="B4622" s="1573">
        <v>27842</v>
      </c>
      <c r="C4622" s="1566" t="s">
        <v>3771</v>
      </c>
      <c r="D4622" s="1566" t="s">
        <v>8378</v>
      </c>
      <c r="E4622" s="1566"/>
      <c r="F4622" s="1566"/>
      <c r="G4622" s="1566" t="s">
        <v>3734</v>
      </c>
      <c r="H4622" s="1568">
        <v>1</v>
      </c>
      <c r="I4622" s="1566"/>
      <c r="J4622" s="1566"/>
      <c r="K4622" s="1572">
        <v>177</v>
      </c>
      <c r="L4622" s="1565">
        <v>7941</v>
      </c>
      <c r="M4622" s="1564"/>
      <c r="N4622" s="1565">
        <v>7941</v>
      </c>
      <c r="O4622" s="1565">
        <v>2190.36</v>
      </c>
      <c r="P4622" s="1565">
        <v>5476.8</v>
      </c>
      <c r="Q4622" s="1572">
        <v>273.83999999999997</v>
      </c>
      <c r="R4622" s="1565">
        <v>5750.64</v>
      </c>
      <c r="S4622" s="1562"/>
    </row>
    <row r="4623" spans="2:19" ht="11.25" customHeight="1" outlineLevel="1">
      <c r="B4623" s="1573">
        <v>27843</v>
      </c>
      <c r="C4623" s="1566" t="s">
        <v>3771</v>
      </c>
      <c r="D4623" s="1566" t="s">
        <v>8377</v>
      </c>
      <c r="E4623" s="1566"/>
      <c r="F4623" s="1566"/>
      <c r="G4623" s="1566" t="s">
        <v>3734</v>
      </c>
      <c r="H4623" s="1568">
        <v>1</v>
      </c>
      <c r="I4623" s="1566"/>
      <c r="J4623" s="1566"/>
      <c r="K4623" s="1572">
        <v>177</v>
      </c>
      <c r="L4623" s="1565">
        <v>3350</v>
      </c>
      <c r="M4623" s="1564"/>
      <c r="N4623" s="1565">
        <v>3350</v>
      </c>
      <c r="O4623" s="1565">
        <v>2153.12</v>
      </c>
      <c r="P4623" s="1565">
        <v>1140</v>
      </c>
      <c r="Q4623" s="1572">
        <v>56.88</v>
      </c>
      <c r="R4623" s="1565">
        <v>1196.8800000000001</v>
      </c>
      <c r="S4623" s="1562"/>
    </row>
    <row r="4624" spans="2:19" ht="11.25" customHeight="1" outlineLevel="1">
      <c r="B4624" s="1573">
        <v>27844</v>
      </c>
      <c r="C4624" s="1566" t="s">
        <v>3771</v>
      </c>
      <c r="D4624" s="1566" t="s">
        <v>8376</v>
      </c>
      <c r="E4624" s="1566"/>
      <c r="F4624" s="1566"/>
      <c r="G4624" s="1566" t="s">
        <v>3734</v>
      </c>
      <c r="H4624" s="1568">
        <v>1</v>
      </c>
      <c r="I4624" s="1566"/>
      <c r="J4624" s="1566"/>
      <c r="K4624" s="1572">
        <v>532</v>
      </c>
      <c r="L4624" s="1565">
        <v>55677</v>
      </c>
      <c r="M4624" s="1564"/>
      <c r="N4624" s="1565">
        <v>55677</v>
      </c>
      <c r="O4624" s="1565">
        <v>35804.28</v>
      </c>
      <c r="P4624" s="1565">
        <v>18926.400000000001</v>
      </c>
      <c r="Q4624" s="1572">
        <v>946.32</v>
      </c>
      <c r="R4624" s="1565">
        <v>19872.72</v>
      </c>
      <c r="S4624" s="1562"/>
    </row>
    <row r="4625" spans="2:19" ht="11.25" customHeight="1" outlineLevel="1">
      <c r="B4625" s="1573">
        <v>27845</v>
      </c>
      <c r="C4625" s="1566" t="s">
        <v>3771</v>
      </c>
      <c r="D4625" s="1566" t="s">
        <v>8375</v>
      </c>
      <c r="E4625" s="1566"/>
      <c r="F4625" s="1566"/>
      <c r="G4625" s="1566" t="s">
        <v>3734</v>
      </c>
      <c r="H4625" s="1568">
        <v>1</v>
      </c>
      <c r="I4625" s="1566"/>
      <c r="J4625" s="1566"/>
      <c r="K4625" s="1572">
        <v>532</v>
      </c>
      <c r="L4625" s="1565">
        <v>82398</v>
      </c>
      <c r="M4625" s="1564"/>
      <c r="N4625" s="1565">
        <v>82398</v>
      </c>
      <c r="O4625" s="1565">
        <v>52987.08</v>
      </c>
      <c r="P4625" s="1565">
        <v>28010.400000000001</v>
      </c>
      <c r="Q4625" s="1565">
        <v>1400.52</v>
      </c>
      <c r="R4625" s="1565">
        <v>29410.92</v>
      </c>
      <c r="S4625" s="1562"/>
    </row>
    <row r="4626" spans="2:19" ht="11.25" customHeight="1" outlineLevel="1">
      <c r="B4626" s="1573">
        <v>27846</v>
      </c>
      <c r="C4626" s="1566" t="s">
        <v>3771</v>
      </c>
      <c r="D4626" s="1566" t="s">
        <v>8374</v>
      </c>
      <c r="E4626" s="1566"/>
      <c r="F4626" s="1566"/>
      <c r="G4626" s="1566" t="s">
        <v>3734</v>
      </c>
      <c r="H4626" s="1568">
        <v>1</v>
      </c>
      <c r="I4626" s="1566"/>
      <c r="J4626" s="1566"/>
      <c r="K4626" s="1572">
        <v>355</v>
      </c>
      <c r="L4626" s="1565">
        <v>6250237.6699999999</v>
      </c>
      <c r="M4626" s="1564"/>
      <c r="N4626" s="1565">
        <v>6250237.6699999999</v>
      </c>
      <c r="O4626" s="1565">
        <v>5815713.2300000004</v>
      </c>
      <c r="P4626" s="1565">
        <v>227436.72</v>
      </c>
      <c r="Q4626" s="1565">
        <v>207087.72</v>
      </c>
      <c r="R4626" s="1565">
        <v>434524.44</v>
      </c>
      <c r="S4626" s="1562"/>
    </row>
    <row r="4627" spans="2:19" ht="11.25" customHeight="1" outlineLevel="1">
      <c r="B4627" s="1573">
        <v>27847</v>
      </c>
      <c r="C4627" s="1566" t="s">
        <v>3771</v>
      </c>
      <c r="D4627" s="1566" t="s">
        <v>8373</v>
      </c>
      <c r="E4627" s="1566"/>
      <c r="F4627" s="1566"/>
      <c r="G4627" s="1566" t="s">
        <v>3734</v>
      </c>
      <c r="H4627" s="1568">
        <v>1</v>
      </c>
      <c r="I4627" s="1566"/>
      <c r="J4627" s="1566"/>
      <c r="K4627" s="1572">
        <v>177</v>
      </c>
      <c r="L4627" s="1565">
        <v>9235</v>
      </c>
      <c r="M4627" s="1564"/>
      <c r="N4627" s="1565">
        <v>9235</v>
      </c>
      <c r="O4627" s="1565">
        <v>2547.04</v>
      </c>
      <c r="P4627" s="1565">
        <v>6369.6</v>
      </c>
      <c r="Q4627" s="1572">
        <v>318.36</v>
      </c>
      <c r="R4627" s="1565">
        <v>6687.96</v>
      </c>
      <c r="S4627" s="1562"/>
    </row>
    <row r="4628" spans="2:19" ht="11.25" customHeight="1" outlineLevel="1">
      <c r="B4628" s="1573">
        <v>27848</v>
      </c>
      <c r="C4628" s="1566" t="s">
        <v>3771</v>
      </c>
      <c r="D4628" s="1566" t="s">
        <v>8372</v>
      </c>
      <c r="E4628" s="1566"/>
      <c r="F4628" s="1566"/>
      <c r="G4628" s="1566" t="s">
        <v>3734</v>
      </c>
      <c r="H4628" s="1568">
        <v>1</v>
      </c>
      <c r="I4628" s="1566"/>
      <c r="J4628" s="1566"/>
      <c r="K4628" s="1572">
        <v>177</v>
      </c>
      <c r="L4628" s="1565">
        <v>14074</v>
      </c>
      <c r="M4628" s="1564"/>
      <c r="N4628" s="1565">
        <v>14074</v>
      </c>
      <c r="O4628" s="1565">
        <v>3883</v>
      </c>
      <c r="P4628" s="1565">
        <v>9705.6</v>
      </c>
      <c r="Q4628" s="1572">
        <v>485.4</v>
      </c>
      <c r="R4628" s="1565">
        <v>10191</v>
      </c>
      <c r="S4628" s="1562"/>
    </row>
    <row r="4629" spans="2:19" ht="11.25" customHeight="1" outlineLevel="1">
      <c r="B4629" s="1573">
        <v>27849</v>
      </c>
      <c r="C4629" s="1566" t="s">
        <v>3771</v>
      </c>
      <c r="D4629" s="1566" t="s">
        <v>8371</v>
      </c>
      <c r="E4629" s="1566"/>
      <c r="F4629" s="1566"/>
      <c r="G4629" s="1566" t="s">
        <v>3734</v>
      </c>
      <c r="H4629" s="1568">
        <v>1</v>
      </c>
      <c r="I4629" s="1566"/>
      <c r="J4629" s="1566"/>
      <c r="K4629" s="1572">
        <v>89</v>
      </c>
      <c r="L4629" s="1565">
        <v>2827</v>
      </c>
      <c r="M4629" s="1564"/>
      <c r="N4629" s="1565">
        <v>2827</v>
      </c>
      <c r="O4629" s="1572">
        <v>780.64</v>
      </c>
      <c r="P4629" s="1565">
        <v>1948.8</v>
      </c>
      <c r="Q4629" s="1572">
        <v>97.56</v>
      </c>
      <c r="R4629" s="1565">
        <v>2046.36</v>
      </c>
      <c r="S4629" s="1562"/>
    </row>
    <row r="4630" spans="2:19" ht="11.25" customHeight="1" outlineLevel="1">
      <c r="B4630" s="1573">
        <v>27850</v>
      </c>
      <c r="C4630" s="1566" t="s">
        <v>3771</v>
      </c>
      <c r="D4630" s="1566" t="s">
        <v>8370</v>
      </c>
      <c r="E4630" s="1566"/>
      <c r="F4630" s="1566"/>
      <c r="G4630" s="1566" t="s">
        <v>3734</v>
      </c>
      <c r="H4630" s="1568">
        <v>1</v>
      </c>
      <c r="I4630" s="1566"/>
      <c r="J4630" s="1566"/>
      <c r="K4630" s="1572">
        <v>532</v>
      </c>
      <c r="L4630" s="1565">
        <v>261047</v>
      </c>
      <c r="M4630" s="1564"/>
      <c r="N4630" s="1565">
        <v>261047</v>
      </c>
      <c r="O4630" s="1565">
        <v>167869.88</v>
      </c>
      <c r="P4630" s="1565">
        <v>88740</v>
      </c>
      <c r="Q4630" s="1565">
        <v>4437.12</v>
      </c>
      <c r="R4630" s="1565">
        <v>93177.12</v>
      </c>
      <c r="S4630" s="1562"/>
    </row>
    <row r="4631" spans="2:19" ht="11.25" customHeight="1" outlineLevel="1">
      <c r="B4631" s="1573">
        <v>27851</v>
      </c>
      <c r="C4631" s="1566" t="s">
        <v>3771</v>
      </c>
      <c r="D4631" s="1566" t="s">
        <v>8369</v>
      </c>
      <c r="E4631" s="1566"/>
      <c r="F4631" s="1566"/>
      <c r="G4631" s="1566" t="s">
        <v>3664</v>
      </c>
      <c r="H4631" s="1568">
        <v>1</v>
      </c>
      <c r="I4631" s="1566"/>
      <c r="J4631" s="1566"/>
      <c r="K4631" s="1572">
        <v>355</v>
      </c>
      <c r="L4631" s="1565">
        <v>2924465.51</v>
      </c>
      <c r="M4631" s="1564"/>
      <c r="N4631" s="1565">
        <v>2924465.51</v>
      </c>
      <c r="O4631" s="1565">
        <v>2567580.19</v>
      </c>
      <c r="P4631" s="1565">
        <v>265458.15999999997</v>
      </c>
      <c r="Q4631" s="1565">
        <v>91427.16</v>
      </c>
      <c r="R4631" s="1565">
        <v>356885.32</v>
      </c>
      <c r="S4631" s="1562"/>
    </row>
    <row r="4632" spans="2:19" ht="11.25" customHeight="1" outlineLevel="1">
      <c r="B4632" s="1573">
        <v>27852</v>
      </c>
      <c r="C4632" s="1566" t="s">
        <v>3771</v>
      </c>
      <c r="D4632" s="1566" t="s">
        <v>8368</v>
      </c>
      <c r="E4632" s="1566"/>
      <c r="F4632" s="1566"/>
      <c r="G4632" s="1566" t="s">
        <v>3734</v>
      </c>
      <c r="H4632" s="1568">
        <v>1</v>
      </c>
      <c r="I4632" s="1566"/>
      <c r="J4632" s="1566"/>
      <c r="K4632" s="1572">
        <v>177</v>
      </c>
      <c r="L4632" s="1565">
        <v>8881</v>
      </c>
      <c r="M4632" s="1564"/>
      <c r="N4632" s="1565">
        <v>8881</v>
      </c>
      <c r="O4632" s="1565">
        <v>5710.84</v>
      </c>
      <c r="P4632" s="1565">
        <v>3019.2</v>
      </c>
      <c r="Q4632" s="1572">
        <v>150.96</v>
      </c>
      <c r="R4632" s="1565">
        <v>3170.16</v>
      </c>
      <c r="S4632" s="1562"/>
    </row>
    <row r="4633" spans="2:19" ht="11.25" customHeight="1" outlineLevel="1">
      <c r="B4633" s="1573">
        <v>27854</v>
      </c>
      <c r="C4633" s="1566" t="s">
        <v>3771</v>
      </c>
      <c r="D4633" s="1566" t="s">
        <v>8367</v>
      </c>
      <c r="E4633" s="1566"/>
      <c r="F4633" s="1566"/>
      <c r="G4633" s="1566" t="s">
        <v>3734</v>
      </c>
      <c r="H4633" s="1568">
        <v>1</v>
      </c>
      <c r="I4633" s="1566"/>
      <c r="J4633" s="1566"/>
      <c r="K4633" s="1572">
        <v>89</v>
      </c>
      <c r="L4633" s="1565">
        <v>5991</v>
      </c>
      <c r="M4633" s="1564"/>
      <c r="N4633" s="1565">
        <v>5991</v>
      </c>
      <c r="O4633" s="1565">
        <v>1651.68</v>
      </c>
      <c r="P4633" s="1565">
        <v>4132.8</v>
      </c>
      <c r="Q4633" s="1572">
        <v>206.52</v>
      </c>
      <c r="R4633" s="1565">
        <v>4339.32</v>
      </c>
      <c r="S4633" s="1562"/>
    </row>
    <row r="4634" spans="2:19" ht="11.25" customHeight="1" outlineLevel="1">
      <c r="B4634" s="1573">
        <v>27855</v>
      </c>
      <c r="C4634" s="1566" t="s">
        <v>3771</v>
      </c>
      <c r="D4634" s="1566" t="s">
        <v>8366</v>
      </c>
      <c r="E4634" s="1566"/>
      <c r="F4634" s="1566"/>
      <c r="G4634" s="1566" t="s">
        <v>3734</v>
      </c>
      <c r="H4634" s="1568">
        <v>1</v>
      </c>
      <c r="I4634" s="1566"/>
      <c r="J4634" s="1566"/>
      <c r="K4634" s="1572">
        <v>177</v>
      </c>
      <c r="L4634" s="1565">
        <v>2889</v>
      </c>
      <c r="M4634" s="1564"/>
      <c r="N4634" s="1565">
        <v>2889</v>
      </c>
      <c r="O4634" s="1572">
        <v>797.28</v>
      </c>
      <c r="P4634" s="1565">
        <v>1992</v>
      </c>
      <c r="Q4634" s="1572">
        <v>99.72</v>
      </c>
      <c r="R4634" s="1565">
        <v>2091.7199999999998</v>
      </c>
      <c r="S4634" s="1562"/>
    </row>
    <row r="4635" spans="2:19" ht="11.25" customHeight="1" outlineLevel="1">
      <c r="B4635" s="1573">
        <v>27856</v>
      </c>
      <c r="C4635" s="1566" t="s">
        <v>3771</v>
      </c>
      <c r="D4635" s="1566" t="s">
        <v>8365</v>
      </c>
      <c r="E4635" s="1566"/>
      <c r="F4635" s="1566"/>
      <c r="G4635" s="1566" t="s">
        <v>3664</v>
      </c>
      <c r="H4635" s="1568">
        <v>1</v>
      </c>
      <c r="I4635" s="1566"/>
      <c r="J4635" s="1566"/>
      <c r="K4635" s="1572">
        <v>443</v>
      </c>
      <c r="L4635" s="1565">
        <v>195737</v>
      </c>
      <c r="M4635" s="1564"/>
      <c r="N4635" s="1565">
        <v>195737</v>
      </c>
      <c r="O4635" s="1565">
        <v>125870</v>
      </c>
      <c r="P4635" s="1565">
        <v>66540</v>
      </c>
      <c r="Q4635" s="1565">
        <v>3327</v>
      </c>
      <c r="R4635" s="1565">
        <v>69867</v>
      </c>
      <c r="S4635" s="1562"/>
    </row>
    <row r="4636" spans="2:19" ht="11.25" customHeight="1" outlineLevel="1">
      <c r="B4636" s="1573">
        <v>27857</v>
      </c>
      <c r="C4636" s="1566" t="s">
        <v>3771</v>
      </c>
      <c r="D4636" s="1566" t="s">
        <v>8364</v>
      </c>
      <c r="E4636" s="1566"/>
      <c r="F4636" s="1566"/>
      <c r="G4636" s="1566" t="s">
        <v>3664</v>
      </c>
      <c r="H4636" s="1568">
        <v>1</v>
      </c>
      <c r="I4636" s="1566"/>
      <c r="J4636" s="1566"/>
      <c r="K4636" s="1572">
        <v>177</v>
      </c>
      <c r="L4636" s="1565">
        <v>4520</v>
      </c>
      <c r="M4636" s="1564"/>
      <c r="N4636" s="1565">
        <v>4520</v>
      </c>
      <c r="O4636" s="1565">
        <v>1246.56</v>
      </c>
      <c r="P4636" s="1565">
        <v>3117.6</v>
      </c>
      <c r="Q4636" s="1572">
        <v>155.84</v>
      </c>
      <c r="R4636" s="1565">
        <v>3273.44</v>
      </c>
      <c r="S4636" s="1562"/>
    </row>
    <row r="4637" spans="2:19" s="1704" customFormat="1" ht="11.25" customHeight="1" outlineLevel="1">
      <c r="B4637" s="1697">
        <v>27858</v>
      </c>
      <c r="C4637" s="1698" t="s">
        <v>3771</v>
      </c>
      <c r="D4637" s="1698" t="s">
        <v>8363</v>
      </c>
      <c r="E4637" s="1698"/>
      <c r="F4637" s="1698"/>
      <c r="G4637" s="1698" t="s">
        <v>3734</v>
      </c>
      <c r="H4637" s="1699">
        <v>1</v>
      </c>
      <c r="I4637" s="1698"/>
      <c r="J4637" s="1698"/>
      <c r="K4637" s="1700">
        <v>532</v>
      </c>
      <c r="L4637" s="1701">
        <v>132358</v>
      </c>
      <c r="M4637" s="1702"/>
      <c r="N4637" s="1701">
        <v>132358</v>
      </c>
      <c r="O4637" s="1701">
        <v>85113.16</v>
      </c>
      <c r="P4637" s="1701">
        <v>44995.199999999997</v>
      </c>
      <c r="Q4637" s="1701">
        <v>2249.64</v>
      </c>
      <c r="R4637" s="1701">
        <v>47244.84</v>
      </c>
      <c r="S4637" s="1703"/>
    </row>
    <row r="4638" spans="2:19" ht="11.25" customHeight="1" outlineLevel="1">
      <c r="B4638" s="1573">
        <v>27859</v>
      </c>
      <c r="C4638" s="1566" t="s">
        <v>3771</v>
      </c>
      <c r="D4638" s="1566" t="s">
        <v>8362</v>
      </c>
      <c r="E4638" s="1566"/>
      <c r="F4638" s="1566"/>
      <c r="G4638" s="1566" t="s">
        <v>3734</v>
      </c>
      <c r="H4638" s="1568">
        <v>1</v>
      </c>
      <c r="I4638" s="1566"/>
      <c r="J4638" s="1566"/>
      <c r="K4638" s="1572">
        <v>532</v>
      </c>
      <c r="L4638" s="1565">
        <v>49013827.619999997</v>
      </c>
      <c r="M4638" s="1564"/>
      <c r="N4638" s="1565">
        <v>49013827.619999997</v>
      </c>
      <c r="O4638" s="1565">
        <v>46394974.659999996</v>
      </c>
      <c r="P4638" s="1565">
        <v>1392554.12</v>
      </c>
      <c r="Q4638" s="1565">
        <v>1226298.8400000001</v>
      </c>
      <c r="R4638" s="1565">
        <v>2618852.96</v>
      </c>
      <c r="S4638" s="1562"/>
    </row>
    <row r="4639" spans="2:19" ht="11.25" customHeight="1" outlineLevel="1">
      <c r="B4639" s="1573">
        <v>27860</v>
      </c>
      <c r="C4639" s="1566" t="s">
        <v>3771</v>
      </c>
      <c r="D4639" s="1566" t="s">
        <v>8361</v>
      </c>
      <c r="E4639" s="1566"/>
      <c r="F4639" s="1566"/>
      <c r="G4639" s="1566" t="s">
        <v>3734</v>
      </c>
      <c r="H4639" s="1568">
        <v>1</v>
      </c>
      <c r="I4639" s="1566"/>
      <c r="J4639" s="1566"/>
      <c r="K4639" s="1572">
        <v>355</v>
      </c>
      <c r="L4639" s="1565">
        <v>4768545.0999999996</v>
      </c>
      <c r="M4639" s="1564"/>
      <c r="N4639" s="1565">
        <v>4768545.0999999996</v>
      </c>
      <c r="O4639" s="1565">
        <v>4439608.26</v>
      </c>
      <c r="P4639" s="1565">
        <v>170849.92000000001</v>
      </c>
      <c r="Q4639" s="1565">
        <v>158086.92000000001</v>
      </c>
      <c r="R4639" s="1565">
        <v>328936.84000000003</v>
      </c>
      <c r="S4639" s="1562"/>
    </row>
    <row r="4640" spans="2:19" ht="11.25" customHeight="1" outlineLevel="1">
      <c r="B4640" s="1573">
        <v>27861</v>
      </c>
      <c r="C4640" s="1566" t="s">
        <v>3771</v>
      </c>
      <c r="D4640" s="1566" t="s">
        <v>8360</v>
      </c>
      <c r="E4640" s="1566"/>
      <c r="F4640" s="1566"/>
      <c r="G4640" s="1566" t="s">
        <v>3734</v>
      </c>
      <c r="H4640" s="1568">
        <v>1</v>
      </c>
      <c r="I4640" s="1566"/>
      <c r="J4640" s="1566"/>
      <c r="K4640" s="1572">
        <v>355</v>
      </c>
      <c r="L4640" s="1565">
        <v>13097084.960000001</v>
      </c>
      <c r="M4640" s="1564"/>
      <c r="N4640" s="1565">
        <v>13097084.960000001</v>
      </c>
      <c r="O4640" s="1565">
        <v>12222426.039999999</v>
      </c>
      <c r="P4640" s="1565">
        <v>439438.96</v>
      </c>
      <c r="Q4640" s="1565">
        <v>435219.96</v>
      </c>
      <c r="R4640" s="1565">
        <v>874658.92</v>
      </c>
      <c r="S4640" s="1562"/>
    </row>
    <row r="4641" spans="2:19" ht="11.25" customHeight="1" outlineLevel="1">
      <c r="B4641" s="1573">
        <v>27862</v>
      </c>
      <c r="C4641" s="1566" t="s">
        <v>3771</v>
      </c>
      <c r="D4641" s="1566" t="s">
        <v>8359</v>
      </c>
      <c r="E4641" s="1566"/>
      <c r="F4641" s="1566"/>
      <c r="G4641" s="1566" t="s">
        <v>3734</v>
      </c>
      <c r="H4641" s="1568">
        <v>1</v>
      </c>
      <c r="I4641" s="1566"/>
      <c r="J4641" s="1566"/>
      <c r="K4641" s="1572">
        <v>177</v>
      </c>
      <c r="L4641" s="1565">
        <v>5791934.8099999996</v>
      </c>
      <c r="M4641" s="1564"/>
      <c r="N4641" s="1565">
        <v>5791934.8099999996</v>
      </c>
      <c r="O4641" s="1565">
        <v>5494589.4900000002</v>
      </c>
      <c r="P4641" s="1565">
        <v>105114.8</v>
      </c>
      <c r="Q4641" s="1565">
        <v>192230.52</v>
      </c>
      <c r="R4641" s="1565">
        <v>297345.32</v>
      </c>
      <c r="S4641" s="1562"/>
    </row>
    <row r="4642" spans="2:19" ht="11.25" customHeight="1" outlineLevel="1">
      <c r="B4642" s="1573">
        <v>27863</v>
      </c>
      <c r="C4642" s="1566" t="s">
        <v>3771</v>
      </c>
      <c r="D4642" s="1566" t="s">
        <v>8358</v>
      </c>
      <c r="E4642" s="1566"/>
      <c r="F4642" s="1566"/>
      <c r="G4642" s="1566" t="s">
        <v>3734</v>
      </c>
      <c r="H4642" s="1568">
        <v>1</v>
      </c>
      <c r="I4642" s="1566"/>
      <c r="J4642" s="1566"/>
      <c r="K4642" s="1572">
        <v>846</v>
      </c>
      <c r="L4642" s="1565">
        <v>2143042</v>
      </c>
      <c r="M4642" s="1564"/>
      <c r="N4642" s="1565">
        <v>2143042</v>
      </c>
      <c r="O4642" s="1565">
        <v>1242963.6399999999</v>
      </c>
      <c r="P4642" s="1565">
        <v>857217.6</v>
      </c>
      <c r="Q4642" s="1565">
        <v>42860.76</v>
      </c>
      <c r="R4642" s="1565">
        <v>900078.36</v>
      </c>
      <c r="S4642" s="1562"/>
    </row>
    <row r="4643" spans="2:19" s="1704" customFormat="1" ht="11.25" customHeight="1" outlineLevel="1">
      <c r="B4643" s="1697">
        <v>27864</v>
      </c>
      <c r="C4643" s="1698" t="s">
        <v>3771</v>
      </c>
      <c r="D4643" s="1698" t="s">
        <v>8357</v>
      </c>
      <c r="E4643" s="1698"/>
      <c r="F4643" s="1698"/>
      <c r="G4643" s="1698" t="s">
        <v>3734</v>
      </c>
      <c r="H4643" s="1699">
        <v>1</v>
      </c>
      <c r="I4643" s="1698"/>
      <c r="J4643" s="1698"/>
      <c r="K4643" s="1700">
        <v>709</v>
      </c>
      <c r="L4643" s="1701">
        <v>34639750.740000002</v>
      </c>
      <c r="M4643" s="1702"/>
      <c r="N4643" s="1701">
        <v>34639750.740000002</v>
      </c>
      <c r="O4643" s="1701">
        <v>31813274.899999999</v>
      </c>
      <c r="P4643" s="1701">
        <v>1693658.92</v>
      </c>
      <c r="Q4643" s="1701">
        <v>1132816.92</v>
      </c>
      <c r="R4643" s="1701">
        <v>2826475.84</v>
      </c>
      <c r="S4643" s="1703"/>
    </row>
    <row r="4644" spans="2:19" ht="11.25" customHeight="1" outlineLevel="1">
      <c r="B4644" s="1573">
        <v>27865</v>
      </c>
      <c r="C4644" s="1566" t="s">
        <v>3771</v>
      </c>
      <c r="D4644" s="1566" t="s">
        <v>8356</v>
      </c>
      <c r="E4644" s="1566"/>
      <c r="F4644" s="1566"/>
      <c r="G4644" s="1566" t="s">
        <v>3734</v>
      </c>
      <c r="H4644" s="1568">
        <v>1</v>
      </c>
      <c r="I4644" s="1566"/>
      <c r="J4644" s="1566"/>
      <c r="K4644" s="1572">
        <v>177</v>
      </c>
      <c r="L4644" s="1565">
        <v>1064</v>
      </c>
      <c r="M4644" s="1564"/>
      <c r="N4644" s="1565">
        <v>1064</v>
      </c>
      <c r="O4644" s="1572">
        <v>293</v>
      </c>
      <c r="P4644" s="1572">
        <v>734.4</v>
      </c>
      <c r="Q4644" s="1572">
        <v>36.6</v>
      </c>
      <c r="R4644" s="1572">
        <v>771</v>
      </c>
      <c r="S4644" s="1562"/>
    </row>
    <row r="4645" spans="2:19" ht="11.25" customHeight="1" outlineLevel="1">
      <c r="B4645" s="1573">
        <v>27866</v>
      </c>
      <c r="C4645" s="1566" t="s">
        <v>3771</v>
      </c>
      <c r="D4645" s="1566" t="s">
        <v>8355</v>
      </c>
      <c r="E4645" s="1566"/>
      <c r="F4645" s="1566"/>
      <c r="G4645" s="1566" t="s">
        <v>3734</v>
      </c>
      <c r="H4645" s="1568">
        <v>1</v>
      </c>
      <c r="I4645" s="1566"/>
      <c r="J4645" s="1566"/>
      <c r="K4645" s="1572">
        <v>177</v>
      </c>
      <c r="L4645" s="1565">
        <v>1613</v>
      </c>
      <c r="M4645" s="1564"/>
      <c r="N4645" s="1565">
        <v>1613</v>
      </c>
      <c r="O4645" s="1572">
        <v>443.96</v>
      </c>
      <c r="P4645" s="1565">
        <v>1113.5999999999999</v>
      </c>
      <c r="Q4645" s="1572">
        <v>55.44</v>
      </c>
      <c r="R4645" s="1565">
        <v>1169.04</v>
      </c>
      <c r="S4645" s="1562"/>
    </row>
    <row r="4646" spans="2:19" ht="11.25" customHeight="1" outlineLevel="1">
      <c r="B4646" s="1573">
        <v>27867</v>
      </c>
      <c r="C4646" s="1566" t="s">
        <v>3771</v>
      </c>
      <c r="D4646" s="1566" t="s">
        <v>8354</v>
      </c>
      <c r="E4646" s="1566"/>
      <c r="F4646" s="1566"/>
      <c r="G4646" s="1566" t="s">
        <v>3734</v>
      </c>
      <c r="H4646" s="1568">
        <v>1</v>
      </c>
      <c r="I4646" s="1566"/>
      <c r="J4646" s="1566"/>
      <c r="K4646" s="1572">
        <v>177</v>
      </c>
      <c r="L4646" s="1565">
        <v>2038</v>
      </c>
      <c r="M4646" s="1564"/>
      <c r="N4646" s="1565">
        <v>2038</v>
      </c>
      <c r="O4646" s="1572">
        <v>561.4</v>
      </c>
      <c r="P4646" s="1565">
        <v>1406.4</v>
      </c>
      <c r="Q4646" s="1572">
        <v>70.2</v>
      </c>
      <c r="R4646" s="1565">
        <v>1476.6</v>
      </c>
      <c r="S4646" s="1562"/>
    </row>
    <row r="4647" spans="2:19" ht="11.25" customHeight="1" outlineLevel="1">
      <c r="B4647" s="1573">
        <v>27868</v>
      </c>
      <c r="C4647" s="1566" t="s">
        <v>3771</v>
      </c>
      <c r="D4647" s="1566" t="s">
        <v>8353</v>
      </c>
      <c r="E4647" s="1566"/>
      <c r="F4647" s="1566"/>
      <c r="G4647" s="1566" t="s">
        <v>3734</v>
      </c>
      <c r="H4647" s="1568">
        <v>1</v>
      </c>
      <c r="I4647" s="1566"/>
      <c r="J4647" s="1566"/>
      <c r="K4647" s="1572">
        <v>177</v>
      </c>
      <c r="L4647" s="1565">
        <v>2216</v>
      </c>
      <c r="M4647" s="1564"/>
      <c r="N4647" s="1565">
        <v>2216</v>
      </c>
      <c r="O4647" s="1572">
        <v>610.88</v>
      </c>
      <c r="P4647" s="1565">
        <v>1528.8</v>
      </c>
      <c r="Q4647" s="1572">
        <v>76.319999999999993</v>
      </c>
      <c r="R4647" s="1565">
        <v>1605.12</v>
      </c>
      <c r="S4647" s="1562"/>
    </row>
    <row r="4648" spans="2:19" ht="11.25" customHeight="1" outlineLevel="1">
      <c r="B4648" s="1573">
        <v>27869</v>
      </c>
      <c r="C4648" s="1566" t="s">
        <v>3771</v>
      </c>
      <c r="D4648" s="1566" t="s">
        <v>8352</v>
      </c>
      <c r="E4648" s="1566"/>
      <c r="F4648" s="1566"/>
      <c r="G4648" s="1566" t="s">
        <v>3734</v>
      </c>
      <c r="H4648" s="1568">
        <v>1</v>
      </c>
      <c r="I4648" s="1566"/>
      <c r="J4648" s="1566"/>
      <c r="K4648" s="1572">
        <v>177</v>
      </c>
      <c r="L4648" s="1572">
        <v>603</v>
      </c>
      <c r="M4648" s="1564"/>
      <c r="N4648" s="1572">
        <v>603</v>
      </c>
      <c r="O4648" s="1572">
        <v>166.92</v>
      </c>
      <c r="P4648" s="1572">
        <v>415.2</v>
      </c>
      <c r="Q4648" s="1572">
        <v>20.88</v>
      </c>
      <c r="R4648" s="1572">
        <v>436.08</v>
      </c>
      <c r="S4648" s="1562"/>
    </row>
    <row r="4649" spans="2:19" ht="11.25" customHeight="1" outlineLevel="1">
      <c r="B4649" s="1573">
        <v>27870</v>
      </c>
      <c r="C4649" s="1566" t="s">
        <v>3771</v>
      </c>
      <c r="D4649" s="1566" t="s">
        <v>8351</v>
      </c>
      <c r="E4649" s="1566"/>
      <c r="F4649" s="1566"/>
      <c r="G4649" s="1566" t="s">
        <v>3734</v>
      </c>
      <c r="H4649" s="1568">
        <v>1</v>
      </c>
      <c r="I4649" s="1566"/>
      <c r="J4649" s="1566"/>
      <c r="K4649" s="1572">
        <v>177</v>
      </c>
      <c r="L4649" s="1565">
        <v>6559</v>
      </c>
      <c r="M4649" s="1564"/>
      <c r="N4649" s="1565">
        <v>6559</v>
      </c>
      <c r="O4649" s="1565">
        <v>1808.92</v>
      </c>
      <c r="P4649" s="1565">
        <v>4524</v>
      </c>
      <c r="Q4649" s="1572">
        <v>226.08</v>
      </c>
      <c r="R4649" s="1565">
        <v>4750.08</v>
      </c>
      <c r="S4649" s="1562"/>
    </row>
    <row r="4650" spans="2:19" s="1704" customFormat="1" ht="11.25" customHeight="1" outlineLevel="1">
      <c r="B4650" s="1697">
        <v>27871</v>
      </c>
      <c r="C4650" s="1698" t="s">
        <v>3771</v>
      </c>
      <c r="D4650" s="1698" t="s">
        <v>8350</v>
      </c>
      <c r="E4650" s="1698"/>
      <c r="F4650" s="1698"/>
      <c r="G4650" s="1698" t="s">
        <v>3664</v>
      </c>
      <c r="H4650" s="1699">
        <v>1</v>
      </c>
      <c r="I4650" s="1698"/>
      <c r="J4650" s="1698"/>
      <c r="K4650" s="1700">
        <v>886</v>
      </c>
      <c r="L4650" s="1701">
        <v>103518</v>
      </c>
      <c r="M4650" s="1702"/>
      <c r="N4650" s="1701">
        <v>103518</v>
      </c>
      <c r="O4650" s="1701">
        <v>28555.68</v>
      </c>
      <c r="P4650" s="1701">
        <v>71392.800000000003</v>
      </c>
      <c r="Q4650" s="1701">
        <v>3569.52</v>
      </c>
      <c r="R4650" s="1701">
        <v>74962.320000000007</v>
      </c>
      <c r="S4650" s="1703"/>
    </row>
    <row r="4651" spans="2:19" ht="11.25" customHeight="1" outlineLevel="1">
      <c r="B4651" s="1573">
        <v>27872</v>
      </c>
      <c r="C4651" s="1566" t="s">
        <v>3771</v>
      </c>
      <c r="D4651" s="1566" t="s">
        <v>8349</v>
      </c>
      <c r="E4651" s="1566"/>
      <c r="F4651" s="1566"/>
      <c r="G4651" s="1566" t="s">
        <v>3734</v>
      </c>
      <c r="H4651" s="1568">
        <v>1</v>
      </c>
      <c r="I4651" s="1566"/>
      <c r="J4651" s="1566"/>
      <c r="K4651" s="1572">
        <v>177</v>
      </c>
      <c r="L4651" s="1565">
        <v>1666</v>
      </c>
      <c r="M4651" s="1564"/>
      <c r="N4651" s="1565">
        <v>1666</v>
      </c>
      <c r="O4651" s="1572">
        <v>459.04</v>
      </c>
      <c r="P4651" s="1565">
        <v>1149.5999999999999</v>
      </c>
      <c r="Q4651" s="1572">
        <v>57.36</v>
      </c>
      <c r="R4651" s="1565">
        <v>1206.96</v>
      </c>
      <c r="S4651" s="1562"/>
    </row>
    <row r="4652" spans="2:19" ht="11.25" customHeight="1" outlineLevel="1">
      <c r="B4652" s="1573">
        <v>27873</v>
      </c>
      <c r="C4652" s="1566" t="s">
        <v>3771</v>
      </c>
      <c r="D4652" s="1566" t="s">
        <v>8348</v>
      </c>
      <c r="E4652" s="1566"/>
      <c r="F4652" s="1566"/>
      <c r="G4652" s="1566" t="s">
        <v>3734</v>
      </c>
      <c r="H4652" s="1568">
        <v>1</v>
      </c>
      <c r="I4652" s="1566"/>
      <c r="J4652" s="1566"/>
      <c r="K4652" s="1572">
        <v>177</v>
      </c>
      <c r="L4652" s="1565">
        <v>1755</v>
      </c>
      <c r="M4652" s="1564"/>
      <c r="N4652" s="1565">
        <v>1755</v>
      </c>
      <c r="O4652" s="1572">
        <v>484.8</v>
      </c>
      <c r="P4652" s="1565">
        <v>1209.5999999999999</v>
      </c>
      <c r="Q4652" s="1572">
        <v>60.6</v>
      </c>
      <c r="R4652" s="1565">
        <v>1270.2</v>
      </c>
      <c r="S4652" s="1562"/>
    </row>
    <row r="4653" spans="2:19" ht="11.25" customHeight="1" outlineLevel="1">
      <c r="B4653" s="1573">
        <v>27874</v>
      </c>
      <c r="C4653" s="1566" t="s">
        <v>3771</v>
      </c>
      <c r="D4653" s="1566" t="s">
        <v>8347</v>
      </c>
      <c r="E4653" s="1566"/>
      <c r="F4653" s="1566"/>
      <c r="G4653" s="1566" t="s">
        <v>3734</v>
      </c>
      <c r="H4653" s="1568">
        <v>1</v>
      </c>
      <c r="I4653" s="1566"/>
      <c r="J4653" s="1566"/>
      <c r="K4653" s="1572">
        <v>177</v>
      </c>
      <c r="L4653" s="1565">
        <v>1454</v>
      </c>
      <c r="M4653" s="1564"/>
      <c r="N4653" s="1565">
        <v>1454</v>
      </c>
      <c r="O4653" s="1572">
        <v>400.76</v>
      </c>
      <c r="P4653" s="1565">
        <v>1003.2</v>
      </c>
      <c r="Q4653" s="1572">
        <v>50.04</v>
      </c>
      <c r="R4653" s="1565">
        <v>1053.24</v>
      </c>
      <c r="S4653" s="1562"/>
    </row>
    <row r="4654" spans="2:19" ht="11.25" customHeight="1" outlineLevel="1">
      <c r="B4654" s="1573">
        <v>27922</v>
      </c>
      <c r="C4654" s="1566" t="s">
        <v>3771</v>
      </c>
      <c r="D4654" s="1566" t="s">
        <v>8346</v>
      </c>
      <c r="E4654" s="1566"/>
      <c r="F4654" s="1566"/>
      <c r="G4654" s="1566" t="s">
        <v>3955</v>
      </c>
      <c r="H4654" s="1568">
        <v>1</v>
      </c>
      <c r="I4654" s="1566"/>
      <c r="J4654" s="1566"/>
      <c r="K4654" s="1572">
        <v>597</v>
      </c>
      <c r="L4654" s="1565">
        <v>79288</v>
      </c>
      <c r="M4654" s="1564"/>
      <c r="N4654" s="1565">
        <v>79288</v>
      </c>
      <c r="O4654" s="1565">
        <v>21872.32</v>
      </c>
      <c r="P4654" s="1565">
        <v>54681.599999999999</v>
      </c>
      <c r="Q4654" s="1565">
        <v>2734.08</v>
      </c>
      <c r="R4654" s="1565">
        <v>57415.68</v>
      </c>
      <c r="S4654" s="1562"/>
    </row>
    <row r="4655" spans="2:19" ht="11.25" customHeight="1" outlineLevel="1">
      <c r="B4655" s="1573">
        <v>27923</v>
      </c>
      <c r="C4655" s="1566" t="s">
        <v>3771</v>
      </c>
      <c r="D4655" s="1566" t="s">
        <v>8345</v>
      </c>
      <c r="E4655" s="1566"/>
      <c r="F4655" s="1566"/>
      <c r="G4655" s="1566" t="s">
        <v>3953</v>
      </c>
      <c r="H4655" s="1568">
        <v>1</v>
      </c>
      <c r="I4655" s="1566"/>
      <c r="J4655" s="1566"/>
      <c r="K4655" s="1572">
        <v>417</v>
      </c>
      <c r="L4655" s="1565">
        <v>32382</v>
      </c>
      <c r="M4655" s="1564"/>
      <c r="N4655" s="1565">
        <v>32382</v>
      </c>
      <c r="O4655" s="1565">
        <v>20822.759999999998</v>
      </c>
      <c r="P4655" s="1565">
        <v>11008.8</v>
      </c>
      <c r="Q4655" s="1572">
        <v>550.44000000000005</v>
      </c>
      <c r="R4655" s="1565">
        <v>11559.24</v>
      </c>
      <c r="S4655" s="1562"/>
    </row>
    <row r="4656" spans="2:19" ht="11.25" customHeight="1" outlineLevel="1">
      <c r="B4656" s="1573">
        <v>28091</v>
      </c>
      <c r="C4656" s="1566" t="s">
        <v>3771</v>
      </c>
      <c r="D4656" s="1566" t="s">
        <v>8344</v>
      </c>
      <c r="E4656" s="1566"/>
      <c r="F4656" s="1566"/>
      <c r="G4656" s="1566"/>
      <c r="H4656" s="1568">
        <v>1</v>
      </c>
      <c r="I4656" s="1566"/>
      <c r="J4656" s="1566"/>
      <c r="K4656" s="1565">
        <v>1956</v>
      </c>
      <c r="L4656" s="1565">
        <v>1956</v>
      </c>
      <c r="M4656" s="1565">
        <v>-1956</v>
      </c>
      <c r="N4656" s="1564"/>
      <c r="O4656" s="1564"/>
      <c r="P4656" s="1565">
        <v>1956</v>
      </c>
      <c r="Q4656" s="1565">
        <v>-1956</v>
      </c>
      <c r="R4656" s="1564"/>
      <c r="S4656" s="1562"/>
    </row>
    <row r="4657" spans="2:19" ht="11.25" customHeight="1" outlineLevel="1">
      <c r="B4657" s="1573">
        <v>28106</v>
      </c>
      <c r="C4657" s="1566" t="s">
        <v>3771</v>
      </c>
      <c r="D4657" s="1566" t="s">
        <v>8343</v>
      </c>
      <c r="E4657" s="1566"/>
      <c r="F4657" s="1566"/>
      <c r="G4657" s="1566" t="s">
        <v>8059</v>
      </c>
      <c r="H4657" s="1568">
        <v>1</v>
      </c>
      <c r="I4657" s="1566"/>
      <c r="J4657" s="1566"/>
      <c r="K4657" s="1572">
        <v>141</v>
      </c>
      <c r="L4657" s="1565">
        <v>97737</v>
      </c>
      <c r="M4657" s="1564"/>
      <c r="N4657" s="1565">
        <v>97737</v>
      </c>
      <c r="O4657" s="1565">
        <v>62850.12</v>
      </c>
      <c r="P4657" s="1565">
        <v>33225.599999999999</v>
      </c>
      <c r="Q4657" s="1565">
        <v>1661.28</v>
      </c>
      <c r="R4657" s="1565">
        <v>34886.879999999997</v>
      </c>
      <c r="S4657" s="1562"/>
    </row>
    <row r="4658" spans="2:19" ht="11.25" customHeight="1" outlineLevel="1">
      <c r="B4658" s="1573">
        <v>28107</v>
      </c>
      <c r="C4658" s="1566" t="s">
        <v>3771</v>
      </c>
      <c r="D4658" s="1566" t="s">
        <v>8342</v>
      </c>
      <c r="E4658" s="1566"/>
      <c r="F4658" s="1566"/>
      <c r="G4658" s="1566" t="s">
        <v>8341</v>
      </c>
      <c r="H4658" s="1568">
        <v>1</v>
      </c>
      <c r="I4658" s="1566"/>
      <c r="J4658" s="1566"/>
      <c r="K4658" s="1572">
        <v>141</v>
      </c>
      <c r="L4658" s="1565">
        <v>18899</v>
      </c>
      <c r="M4658" s="1564"/>
      <c r="N4658" s="1565">
        <v>18899</v>
      </c>
      <c r="O4658" s="1565">
        <v>12152.96</v>
      </c>
      <c r="P4658" s="1565">
        <v>6424.8</v>
      </c>
      <c r="Q4658" s="1572">
        <v>321.24</v>
      </c>
      <c r="R4658" s="1565">
        <v>6746.04</v>
      </c>
      <c r="S4658" s="1562"/>
    </row>
    <row r="4659" spans="2:19" ht="11.25" customHeight="1" outlineLevel="1">
      <c r="B4659" s="1573">
        <v>28108</v>
      </c>
      <c r="C4659" s="1566" t="s">
        <v>3771</v>
      </c>
      <c r="D4659" s="1566" t="s">
        <v>8340</v>
      </c>
      <c r="E4659" s="1566"/>
      <c r="F4659" s="1566"/>
      <c r="G4659" s="1566" t="s">
        <v>8337</v>
      </c>
      <c r="H4659" s="1568">
        <v>1</v>
      </c>
      <c r="I4659" s="1566"/>
      <c r="J4659" s="1566"/>
      <c r="K4659" s="1572">
        <v>141</v>
      </c>
      <c r="L4659" s="1565">
        <v>26937</v>
      </c>
      <c r="M4659" s="1564"/>
      <c r="N4659" s="1565">
        <v>26937</v>
      </c>
      <c r="O4659" s="1565">
        <v>17323.080000000002</v>
      </c>
      <c r="P4659" s="1565">
        <v>9156</v>
      </c>
      <c r="Q4659" s="1572">
        <v>457.92</v>
      </c>
      <c r="R4659" s="1565">
        <v>9613.92</v>
      </c>
      <c r="S4659" s="1562"/>
    </row>
    <row r="4660" spans="2:19" ht="11.25" customHeight="1" outlineLevel="1">
      <c r="B4660" s="1573">
        <v>28109</v>
      </c>
      <c r="C4660" s="1566" t="s">
        <v>3771</v>
      </c>
      <c r="D4660" s="1566" t="s">
        <v>8339</v>
      </c>
      <c r="E4660" s="1566"/>
      <c r="F4660" s="1566"/>
      <c r="G4660" s="1566" t="s">
        <v>8337</v>
      </c>
      <c r="H4660" s="1568">
        <v>1</v>
      </c>
      <c r="I4660" s="1566"/>
      <c r="J4660" s="1566"/>
      <c r="K4660" s="1572">
        <v>78</v>
      </c>
      <c r="L4660" s="1565">
        <v>14120</v>
      </c>
      <c r="M4660" s="1564"/>
      <c r="N4660" s="1565">
        <v>14120</v>
      </c>
      <c r="O4660" s="1565">
        <v>9080</v>
      </c>
      <c r="P4660" s="1565">
        <v>4800</v>
      </c>
      <c r="Q4660" s="1572">
        <v>240</v>
      </c>
      <c r="R4660" s="1565">
        <v>5040</v>
      </c>
      <c r="S4660" s="1562"/>
    </row>
    <row r="4661" spans="2:19" ht="11.25" customHeight="1" outlineLevel="1">
      <c r="B4661" s="1573">
        <v>28110</v>
      </c>
      <c r="C4661" s="1566" t="s">
        <v>3771</v>
      </c>
      <c r="D4661" s="1566" t="s">
        <v>8338</v>
      </c>
      <c r="E4661" s="1566"/>
      <c r="F4661" s="1566"/>
      <c r="G4661" s="1566" t="s">
        <v>8337</v>
      </c>
      <c r="H4661" s="1568">
        <v>1</v>
      </c>
      <c r="I4661" s="1566"/>
      <c r="J4661" s="1566"/>
      <c r="K4661" s="1572">
        <v>222</v>
      </c>
      <c r="L4661" s="1565">
        <v>11083</v>
      </c>
      <c r="M4661" s="1564"/>
      <c r="N4661" s="1565">
        <v>11083</v>
      </c>
      <c r="O4661" s="1565">
        <v>7126.6</v>
      </c>
      <c r="P4661" s="1565">
        <v>3768</v>
      </c>
      <c r="Q4661" s="1572">
        <v>188.4</v>
      </c>
      <c r="R4661" s="1565">
        <v>3956.4</v>
      </c>
      <c r="S4661" s="1562"/>
    </row>
    <row r="4662" spans="2:19" ht="11.25" customHeight="1" outlineLevel="1">
      <c r="B4662" s="1573">
        <v>28111</v>
      </c>
      <c r="C4662" s="1566" t="s">
        <v>3771</v>
      </c>
      <c r="D4662" s="1566" t="s">
        <v>8336</v>
      </c>
      <c r="E4662" s="1566"/>
      <c r="F4662" s="1566"/>
      <c r="G4662" s="1566" t="s">
        <v>7981</v>
      </c>
      <c r="H4662" s="1568">
        <v>1</v>
      </c>
      <c r="I4662" s="1566"/>
      <c r="J4662" s="1566"/>
      <c r="K4662" s="1572">
        <v>82</v>
      </c>
      <c r="L4662" s="1565">
        <v>7474</v>
      </c>
      <c r="M4662" s="1564"/>
      <c r="N4662" s="1565">
        <v>7474</v>
      </c>
      <c r="O4662" s="1565">
        <v>2061.16</v>
      </c>
      <c r="P4662" s="1565">
        <v>5155.2</v>
      </c>
      <c r="Q4662" s="1572">
        <v>257.64</v>
      </c>
      <c r="R4662" s="1565">
        <v>5412.84</v>
      </c>
      <c r="S4662" s="1562"/>
    </row>
    <row r="4663" spans="2:19" ht="11.25" customHeight="1" outlineLevel="1">
      <c r="B4663" s="1573">
        <v>28112</v>
      </c>
      <c r="C4663" s="1566" t="s">
        <v>3771</v>
      </c>
      <c r="D4663" s="1566" t="s">
        <v>8335</v>
      </c>
      <c r="E4663" s="1566"/>
      <c r="F4663" s="1566"/>
      <c r="G4663" s="1566" t="s">
        <v>8334</v>
      </c>
      <c r="H4663" s="1568">
        <v>1</v>
      </c>
      <c r="I4663" s="1566"/>
      <c r="J4663" s="1566"/>
      <c r="K4663" s="1572">
        <v>82</v>
      </c>
      <c r="L4663" s="1565">
        <v>30157</v>
      </c>
      <c r="M4663" s="1564"/>
      <c r="N4663" s="1565">
        <v>30157</v>
      </c>
      <c r="O4663" s="1565">
        <v>8318.7999999999993</v>
      </c>
      <c r="P4663" s="1565">
        <v>20798.400000000001</v>
      </c>
      <c r="Q4663" s="1565">
        <v>1039.8</v>
      </c>
      <c r="R4663" s="1565">
        <v>21838.2</v>
      </c>
      <c r="S4663" s="1562"/>
    </row>
    <row r="4664" spans="2:19" ht="11.25" customHeight="1" outlineLevel="1">
      <c r="B4664" s="1573">
        <v>28120</v>
      </c>
      <c r="C4664" s="1566" t="s">
        <v>3771</v>
      </c>
      <c r="D4664" s="1566" t="s">
        <v>8333</v>
      </c>
      <c r="E4664" s="1566"/>
      <c r="F4664" s="1566"/>
      <c r="G4664" s="1566" t="s">
        <v>8332</v>
      </c>
      <c r="H4664" s="1568">
        <v>1</v>
      </c>
      <c r="I4664" s="1566"/>
      <c r="J4664" s="1566"/>
      <c r="K4664" s="1572">
        <v>252</v>
      </c>
      <c r="L4664" s="1565">
        <v>12576</v>
      </c>
      <c r="M4664" s="1564"/>
      <c r="N4664" s="1565">
        <v>12576</v>
      </c>
      <c r="O4664" s="1565">
        <v>3468.84</v>
      </c>
      <c r="P4664" s="1565">
        <v>8673.6</v>
      </c>
      <c r="Q4664" s="1572">
        <v>433.56</v>
      </c>
      <c r="R4664" s="1565">
        <v>9107.16</v>
      </c>
      <c r="S4664" s="1562"/>
    </row>
    <row r="4665" spans="2:19" ht="11.25" customHeight="1" outlineLevel="1">
      <c r="B4665" s="1573">
        <v>28121</v>
      </c>
      <c r="C4665" s="1566" t="s">
        <v>3771</v>
      </c>
      <c r="D4665" s="1566" t="s">
        <v>8331</v>
      </c>
      <c r="E4665" s="1566"/>
      <c r="F4665" s="1566"/>
      <c r="G4665" s="1566" t="s">
        <v>8330</v>
      </c>
      <c r="H4665" s="1568">
        <v>1</v>
      </c>
      <c r="I4665" s="1566"/>
      <c r="J4665" s="1566"/>
      <c r="K4665" s="1572">
        <v>252</v>
      </c>
      <c r="L4665" s="1565">
        <v>13330</v>
      </c>
      <c r="M4665" s="1564"/>
      <c r="N4665" s="1565">
        <v>13330</v>
      </c>
      <c r="O4665" s="1565">
        <v>3678.24</v>
      </c>
      <c r="P4665" s="1565">
        <v>9192</v>
      </c>
      <c r="Q4665" s="1572">
        <v>459.76</v>
      </c>
      <c r="R4665" s="1565">
        <v>9651.76</v>
      </c>
      <c r="S4665" s="1562"/>
    </row>
    <row r="4666" spans="2:19" ht="11.25" customHeight="1" outlineLevel="1">
      <c r="B4666" s="1573">
        <v>28122</v>
      </c>
      <c r="C4666" s="1566" t="s">
        <v>3771</v>
      </c>
      <c r="D4666" s="1566" t="s">
        <v>8329</v>
      </c>
      <c r="E4666" s="1566"/>
      <c r="F4666" s="1566"/>
      <c r="G4666" s="1566" t="s">
        <v>8328</v>
      </c>
      <c r="H4666" s="1568">
        <v>1</v>
      </c>
      <c r="I4666" s="1566"/>
      <c r="J4666" s="1566"/>
      <c r="K4666" s="1565">
        <v>1300</v>
      </c>
      <c r="L4666" s="1565">
        <v>21193</v>
      </c>
      <c r="M4666" s="1564"/>
      <c r="N4666" s="1565">
        <v>21193</v>
      </c>
      <c r="O4666" s="1565">
        <v>5846.2</v>
      </c>
      <c r="P4666" s="1565">
        <v>14616</v>
      </c>
      <c r="Q4666" s="1572">
        <v>730.8</v>
      </c>
      <c r="R4666" s="1565">
        <v>15346.8</v>
      </c>
      <c r="S4666" s="1562"/>
    </row>
    <row r="4667" spans="2:19" ht="11.25" customHeight="1" outlineLevel="1">
      <c r="B4667" s="1573">
        <v>28123</v>
      </c>
      <c r="C4667" s="1566" t="s">
        <v>3771</v>
      </c>
      <c r="D4667" s="1566" t="s">
        <v>8327</v>
      </c>
      <c r="E4667" s="1566"/>
      <c r="F4667" s="1566"/>
      <c r="G4667" s="1566" t="s">
        <v>8326</v>
      </c>
      <c r="H4667" s="1568">
        <v>1</v>
      </c>
      <c r="I4667" s="1566"/>
      <c r="J4667" s="1566"/>
      <c r="K4667" s="1572">
        <v>252</v>
      </c>
      <c r="L4667" s="1565">
        <v>7545</v>
      </c>
      <c r="M4667" s="1564"/>
      <c r="N4667" s="1565">
        <v>7545</v>
      </c>
      <c r="O4667" s="1565">
        <v>2081.64</v>
      </c>
      <c r="P4667" s="1565">
        <v>5203.2</v>
      </c>
      <c r="Q4667" s="1572">
        <v>260.16000000000003</v>
      </c>
      <c r="R4667" s="1565">
        <v>5463.36</v>
      </c>
      <c r="S4667" s="1562"/>
    </row>
    <row r="4668" spans="2:19" ht="11.25" customHeight="1" outlineLevel="1">
      <c r="B4668" s="1573">
        <v>28124</v>
      </c>
      <c r="C4668" s="1566" t="s">
        <v>3771</v>
      </c>
      <c r="D4668" s="1566" t="s">
        <v>8325</v>
      </c>
      <c r="E4668" s="1566"/>
      <c r="F4668" s="1566"/>
      <c r="G4668" s="1566" t="s">
        <v>8324</v>
      </c>
      <c r="H4668" s="1568">
        <v>1</v>
      </c>
      <c r="I4668" s="1566"/>
      <c r="J4668" s="1566"/>
      <c r="K4668" s="1572">
        <v>252</v>
      </c>
      <c r="L4668" s="1565">
        <v>5030</v>
      </c>
      <c r="M4668" s="1564"/>
      <c r="N4668" s="1565">
        <v>5030</v>
      </c>
      <c r="O4668" s="1565">
        <v>1388.48</v>
      </c>
      <c r="P4668" s="1565">
        <v>3468</v>
      </c>
      <c r="Q4668" s="1572">
        <v>173.52</v>
      </c>
      <c r="R4668" s="1565">
        <v>3641.52</v>
      </c>
      <c r="S4668" s="1562"/>
    </row>
    <row r="4669" spans="2:19" ht="11.25" customHeight="1" outlineLevel="1">
      <c r="B4669" s="1573">
        <v>28125</v>
      </c>
      <c r="C4669" s="1566" t="s">
        <v>3771</v>
      </c>
      <c r="D4669" s="1566" t="s">
        <v>8323</v>
      </c>
      <c r="E4669" s="1566"/>
      <c r="F4669" s="1566"/>
      <c r="G4669" s="1566" t="s">
        <v>8322</v>
      </c>
      <c r="H4669" s="1568">
        <v>1</v>
      </c>
      <c r="I4669" s="1566"/>
      <c r="J4669" s="1566"/>
      <c r="K4669" s="1572">
        <v>252</v>
      </c>
      <c r="L4669" s="1565">
        <v>8048</v>
      </c>
      <c r="M4669" s="1564"/>
      <c r="N4669" s="1565">
        <v>8048</v>
      </c>
      <c r="O4669" s="1565">
        <v>2219.36</v>
      </c>
      <c r="P4669" s="1565">
        <v>5551.2</v>
      </c>
      <c r="Q4669" s="1572">
        <v>277.44</v>
      </c>
      <c r="R4669" s="1565">
        <v>5828.64</v>
      </c>
      <c r="S4669" s="1562"/>
    </row>
    <row r="4670" spans="2:19" ht="11.25" customHeight="1" outlineLevel="1">
      <c r="B4670" s="1573">
        <v>28126</v>
      </c>
      <c r="C4670" s="1566" t="s">
        <v>3771</v>
      </c>
      <c r="D4670" s="1566" t="s">
        <v>8321</v>
      </c>
      <c r="E4670" s="1566"/>
      <c r="F4670" s="1566"/>
      <c r="G4670" s="1566" t="s">
        <v>8320</v>
      </c>
      <c r="H4670" s="1568">
        <v>1</v>
      </c>
      <c r="I4670" s="1566"/>
      <c r="J4670" s="1566"/>
      <c r="K4670" s="1572">
        <v>252</v>
      </c>
      <c r="L4670" s="1565">
        <v>4024</v>
      </c>
      <c r="M4670" s="1564"/>
      <c r="N4670" s="1565">
        <v>4024</v>
      </c>
      <c r="O4670" s="1565">
        <v>1110.76</v>
      </c>
      <c r="P4670" s="1565">
        <v>2774.4</v>
      </c>
      <c r="Q4670" s="1572">
        <v>138.84</v>
      </c>
      <c r="R4670" s="1565">
        <v>2913.24</v>
      </c>
      <c r="S4670" s="1562"/>
    </row>
    <row r="4671" spans="2:19" ht="11.25" customHeight="1" outlineLevel="1">
      <c r="B4671" s="1573">
        <v>28127</v>
      </c>
      <c r="C4671" s="1566" t="s">
        <v>3771</v>
      </c>
      <c r="D4671" s="1566" t="s">
        <v>8319</v>
      </c>
      <c r="E4671" s="1566"/>
      <c r="F4671" s="1566"/>
      <c r="G4671" s="1566" t="s">
        <v>8318</v>
      </c>
      <c r="H4671" s="1568">
        <v>1</v>
      </c>
      <c r="I4671" s="1566"/>
      <c r="J4671" s="1566"/>
      <c r="K4671" s="1572">
        <v>252</v>
      </c>
      <c r="L4671" s="1565">
        <v>4024</v>
      </c>
      <c r="M4671" s="1564"/>
      <c r="N4671" s="1565">
        <v>4024</v>
      </c>
      <c r="O4671" s="1565">
        <v>1110.76</v>
      </c>
      <c r="P4671" s="1565">
        <v>2774.4</v>
      </c>
      <c r="Q4671" s="1572">
        <v>138.84</v>
      </c>
      <c r="R4671" s="1565">
        <v>2913.24</v>
      </c>
      <c r="S4671" s="1562"/>
    </row>
    <row r="4672" spans="2:19" ht="11.25" customHeight="1" outlineLevel="1">
      <c r="B4672" s="1573">
        <v>28128</v>
      </c>
      <c r="C4672" s="1566" t="s">
        <v>3771</v>
      </c>
      <c r="D4672" s="1566" t="s">
        <v>8317</v>
      </c>
      <c r="E4672" s="1566"/>
      <c r="F4672" s="1566"/>
      <c r="G4672" s="1566" t="s">
        <v>8316</v>
      </c>
      <c r="H4672" s="1568">
        <v>1</v>
      </c>
      <c r="I4672" s="1566"/>
      <c r="J4672" s="1566"/>
      <c r="K4672" s="1572">
        <v>252</v>
      </c>
      <c r="L4672" s="1565">
        <v>4024</v>
      </c>
      <c r="M4672" s="1564"/>
      <c r="N4672" s="1565">
        <v>4024</v>
      </c>
      <c r="O4672" s="1565">
        <v>1110.76</v>
      </c>
      <c r="P4672" s="1565">
        <v>2774.4</v>
      </c>
      <c r="Q4672" s="1572">
        <v>138.84</v>
      </c>
      <c r="R4672" s="1565">
        <v>2913.24</v>
      </c>
      <c r="S4672" s="1562"/>
    </row>
    <row r="4673" spans="2:19" ht="11.25" customHeight="1" outlineLevel="1">
      <c r="B4673" s="1573">
        <v>28129</v>
      </c>
      <c r="C4673" s="1566" t="s">
        <v>3771</v>
      </c>
      <c r="D4673" s="1566" t="s">
        <v>8315</v>
      </c>
      <c r="E4673" s="1566"/>
      <c r="F4673" s="1566"/>
      <c r="G4673" s="1566" t="s">
        <v>8314</v>
      </c>
      <c r="H4673" s="1568">
        <v>1</v>
      </c>
      <c r="I4673" s="1566"/>
      <c r="J4673" s="1566"/>
      <c r="K4673" s="1572">
        <v>252</v>
      </c>
      <c r="L4673" s="1565">
        <v>4527</v>
      </c>
      <c r="M4673" s="1564"/>
      <c r="N4673" s="1565">
        <v>4527</v>
      </c>
      <c r="O4673" s="1565">
        <v>1248.48</v>
      </c>
      <c r="P4673" s="1565">
        <v>3122.4</v>
      </c>
      <c r="Q4673" s="1572">
        <v>156.12</v>
      </c>
      <c r="R4673" s="1565">
        <v>3278.52</v>
      </c>
      <c r="S4673" s="1562"/>
    </row>
    <row r="4674" spans="2:19" ht="11.25" customHeight="1" outlineLevel="1">
      <c r="B4674" s="1573">
        <v>28131</v>
      </c>
      <c r="C4674" s="1566" t="s">
        <v>3771</v>
      </c>
      <c r="D4674" s="1566" t="s">
        <v>8313</v>
      </c>
      <c r="E4674" s="1566"/>
      <c r="F4674" s="1566"/>
      <c r="G4674" s="1566" t="s">
        <v>7981</v>
      </c>
      <c r="H4674" s="1568">
        <v>1</v>
      </c>
      <c r="I4674" s="1566"/>
      <c r="J4674" s="1566"/>
      <c r="K4674" s="1572">
        <v>252</v>
      </c>
      <c r="L4674" s="1565">
        <v>24647</v>
      </c>
      <c r="M4674" s="1564"/>
      <c r="N4674" s="1565">
        <v>24647</v>
      </c>
      <c r="O4674" s="1565">
        <v>15849.68</v>
      </c>
      <c r="P4674" s="1565">
        <v>8378.4</v>
      </c>
      <c r="Q4674" s="1572">
        <v>418.92</v>
      </c>
      <c r="R4674" s="1565">
        <v>8797.32</v>
      </c>
      <c r="S4674" s="1562"/>
    </row>
    <row r="4675" spans="2:19" ht="11.25" customHeight="1" outlineLevel="1">
      <c r="B4675" s="1573">
        <v>28134</v>
      </c>
      <c r="C4675" s="1566" t="s">
        <v>3771</v>
      </c>
      <c r="D4675" s="1566" t="s">
        <v>8312</v>
      </c>
      <c r="E4675" s="1566"/>
      <c r="F4675" s="1566"/>
      <c r="G4675" s="1566" t="s">
        <v>3724</v>
      </c>
      <c r="H4675" s="1568">
        <v>1</v>
      </c>
      <c r="I4675" s="1566"/>
      <c r="J4675" s="1566"/>
      <c r="K4675" s="1572">
        <v>110</v>
      </c>
      <c r="L4675" s="1565">
        <v>1096</v>
      </c>
      <c r="M4675" s="1564"/>
      <c r="N4675" s="1565">
        <v>1096</v>
      </c>
      <c r="O4675" s="1572">
        <v>302.2</v>
      </c>
      <c r="P4675" s="1572">
        <v>756</v>
      </c>
      <c r="Q4675" s="1572">
        <v>37.799999999999997</v>
      </c>
      <c r="R4675" s="1572">
        <v>793.8</v>
      </c>
      <c r="S4675" s="1562"/>
    </row>
    <row r="4676" spans="2:19" ht="11.25" customHeight="1" outlineLevel="1">
      <c r="B4676" s="1573">
        <v>28135</v>
      </c>
      <c r="C4676" s="1566" t="s">
        <v>3771</v>
      </c>
      <c r="D4676" s="1566" t="s">
        <v>8311</v>
      </c>
      <c r="E4676" s="1566"/>
      <c r="F4676" s="1566"/>
      <c r="G4676" s="1566" t="s">
        <v>3724</v>
      </c>
      <c r="H4676" s="1568">
        <v>1</v>
      </c>
      <c r="I4676" s="1566"/>
      <c r="J4676" s="1566"/>
      <c r="K4676" s="1572">
        <v>110</v>
      </c>
      <c r="L4676" s="1565">
        <v>17541</v>
      </c>
      <c r="M4676" s="1564"/>
      <c r="N4676" s="1565">
        <v>17541</v>
      </c>
      <c r="O4676" s="1565">
        <v>11278.92</v>
      </c>
      <c r="P4676" s="1565">
        <v>5964</v>
      </c>
      <c r="Q4676" s="1572">
        <v>298.08</v>
      </c>
      <c r="R4676" s="1565">
        <v>6262.08</v>
      </c>
      <c r="S4676" s="1562"/>
    </row>
    <row r="4677" spans="2:19" ht="11.25" customHeight="1" outlineLevel="1">
      <c r="B4677" s="1573">
        <v>28136</v>
      </c>
      <c r="C4677" s="1566" t="s">
        <v>3771</v>
      </c>
      <c r="D4677" s="1566" t="s">
        <v>8310</v>
      </c>
      <c r="E4677" s="1566"/>
      <c r="F4677" s="1566"/>
      <c r="G4677" s="1566" t="s">
        <v>3724</v>
      </c>
      <c r="H4677" s="1568">
        <v>1</v>
      </c>
      <c r="I4677" s="1566"/>
      <c r="J4677" s="1566"/>
      <c r="K4677" s="1572">
        <v>110</v>
      </c>
      <c r="L4677" s="1565">
        <v>16444</v>
      </c>
      <c r="M4677" s="1564"/>
      <c r="N4677" s="1565">
        <v>16444</v>
      </c>
      <c r="O4677" s="1565">
        <v>10574.92</v>
      </c>
      <c r="P4677" s="1565">
        <v>5589.6</v>
      </c>
      <c r="Q4677" s="1572">
        <v>279.48</v>
      </c>
      <c r="R4677" s="1565">
        <v>5869.08</v>
      </c>
      <c r="S4677" s="1562"/>
    </row>
    <row r="4678" spans="2:19" ht="11.25" customHeight="1" outlineLevel="1">
      <c r="B4678" s="1573">
        <v>28137</v>
      </c>
      <c r="C4678" s="1566" t="s">
        <v>3771</v>
      </c>
      <c r="D4678" s="1566" t="s">
        <v>8309</v>
      </c>
      <c r="E4678" s="1566"/>
      <c r="F4678" s="1566"/>
      <c r="G4678" s="1566" t="s">
        <v>3724</v>
      </c>
      <c r="H4678" s="1568">
        <v>1</v>
      </c>
      <c r="I4678" s="1566"/>
      <c r="J4678" s="1566"/>
      <c r="K4678" s="1572">
        <v>110</v>
      </c>
      <c r="L4678" s="1565">
        <v>10968</v>
      </c>
      <c r="M4678" s="1564"/>
      <c r="N4678" s="1565">
        <v>10968</v>
      </c>
      <c r="O4678" s="1565">
        <v>7052.04</v>
      </c>
      <c r="P4678" s="1565">
        <v>3729.6</v>
      </c>
      <c r="Q4678" s="1572">
        <v>186.36</v>
      </c>
      <c r="R4678" s="1565">
        <v>3915.96</v>
      </c>
      <c r="S4678" s="1562"/>
    </row>
    <row r="4679" spans="2:19" ht="11.25" customHeight="1" outlineLevel="1">
      <c r="B4679" s="1573">
        <v>28138</v>
      </c>
      <c r="C4679" s="1566" t="s">
        <v>3771</v>
      </c>
      <c r="D4679" s="1566" t="s">
        <v>8308</v>
      </c>
      <c r="E4679" s="1566"/>
      <c r="F4679" s="1566"/>
      <c r="G4679" s="1566" t="s">
        <v>3724</v>
      </c>
      <c r="H4679" s="1568">
        <v>1</v>
      </c>
      <c r="I4679" s="1566"/>
      <c r="J4679" s="1566"/>
      <c r="K4679" s="1572">
        <v>110</v>
      </c>
      <c r="L4679" s="1565">
        <v>4385</v>
      </c>
      <c r="M4679" s="1564"/>
      <c r="N4679" s="1565">
        <v>4385</v>
      </c>
      <c r="O4679" s="1565">
        <v>2820.08</v>
      </c>
      <c r="P4679" s="1565">
        <v>1490.4</v>
      </c>
      <c r="Q4679" s="1572">
        <v>74.52</v>
      </c>
      <c r="R4679" s="1565">
        <v>1564.92</v>
      </c>
      <c r="S4679" s="1562"/>
    </row>
    <row r="4680" spans="2:19" ht="11.25" customHeight="1" outlineLevel="1">
      <c r="B4680" s="1573">
        <v>28139</v>
      </c>
      <c r="C4680" s="1566" t="s">
        <v>3771</v>
      </c>
      <c r="D4680" s="1566" t="s">
        <v>8307</v>
      </c>
      <c r="E4680" s="1566"/>
      <c r="F4680" s="1566"/>
      <c r="G4680" s="1566" t="s">
        <v>3724</v>
      </c>
      <c r="H4680" s="1568">
        <v>1</v>
      </c>
      <c r="I4680" s="1566"/>
      <c r="J4680" s="1566"/>
      <c r="K4680" s="1572">
        <v>200</v>
      </c>
      <c r="L4680" s="1565">
        <v>13588</v>
      </c>
      <c r="M4680" s="1564"/>
      <c r="N4680" s="1565">
        <v>13588</v>
      </c>
      <c r="O4680" s="1565">
        <v>3747.52</v>
      </c>
      <c r="P4680" s="1565">
        <v>9372</v>
      </c>
      <c r="Q4680" s="1572">
        <v>468.48</v>
      </c>
      <c r="R4680" s="1565">
        <v>9840.48</v>
      </c>
      <c r="S4680" s="1562"/>
    </row>
    <row r="4681" spans="2:19" ht="11.25" customHeight="1" outlineLevel="1">
      <c r="B4681" s="1573">
        <v>28140</v>
      </c>
      <c r="C4681" s="1566" t="s">
        <v>3771</v>
      </c>
      <c r="D4681" s="1566" t="s">
        <v>8306</v>
      </c>
      <c r="E4681" s="1566"/>
      <c r="F4681" s="1566"/>
      <c r="G4681" s="1566" t="s">
        <v>3724</v>
      </c>
      <c r="H4681" s="1568">
        <v>1</v>
      </c>
      <c r="I4681" s="1566"/>
      <c r="J4681" s="1566"/>
      <c r="K4681" s="1572">
        <v>200</v>
      </c>
      <c r="L4681" s="1565">
        <v>17984</v>
      </c>
      <c r="M4681" s="1564"/>
      <c r="N4681" s="1565">
        <v>17984</v>
      </c>
      <c r="O4681" s="1565">
        <v>4960.76</v>
      </c>
      <c r="P4681" s="1565">
        <v>12403.2</v>
      </c>
      <c r="Q4681" s="1572">
        <v>620.04</v>
      </c>
      <c r="R4681" s="1565">
        <v>13023.24</v>
      </c>
      <c r="S4681" s="1562"/>
    </row>
    <row r="4682" spans="2:19" ht="11.25" customHeight="1" outlineLevel="1">
      <c r="B4682" s="1573">
        <v>28141</v>
      </c>
      <c r="C4682" s="1566" t="s">
        <v>3771</v>
      </c>
      <c r="D4682" s="1566" t="s">
        <v>8305</v>
      </c>
      <c r="E4682" s="1566"/>
      <c r="F4682" s="1566"/>
      <c r="G4682" s="1566" t="s">
        <v>3724</v>
      </c>
      <c r="H4682" s="1568">
        <v>1</v>
      </c>
      <c r="I4682" s="1566"/>
      <c r="J4682" s="1566"/>
      <c r="K4682" s="1572">
        <v>200</v>
      </c>
      <c r="L4682" s="1565">
        <v>5195</v>
      </c>
      <c r="M4682" s="1564"/>
      <c r="N4682" s="1565">
        <v>5195</v>
      </c>
      <c r="O4682" s="1565">
        <v>1432.76</v>
      </c>
      <c r="P4682" s="1565">
        <v>3583.2</v>
      </c>
      <c r="Q4682" s="1572">
        <v>179.04</v>
      </c>
      <c r="R4682" s="1565">
        <v>3762.24</v>
      </c>
      <c r="S4682" s="1562"/>
    </row>
    <row r="4683" spans="2:19" ht="11.25" customHeight="1" outlineLevel="1">
      <c r="B4683" s="1573">
        <v>28142</v>
      </c>
      <c r="C4683" s="1566" t="s">
        <v>3771</v>
      </c>
      <c r="D4683" s="1566" t="s">
        <v>8304</v>
      </c>
      <c r="E4683" s="1566"/>
      <c r="F4683" s="1566"/>
      <c r="G4683" s="1566" t="s">
        <v>3724</v>
      </c>
      <c r="H4683" s="1568">
        <v>1</v>
      </c>
      <c r="I4683" s="1566"/>
      <c r="J4683" s="1566"/>
      <c r="K4683" s="1572">
        <v>216</v>
      </c>
      <c r="L4683" s="1565">
        <v>27709</v>
      </c>
      <c r="M4683" s="1564"/>
      <c r="N4683" s="1565">
        <v>27709</v>
      </c>
      <c r="O4683" s="1565">
        <v>7644.64</v>
      </c>
      <c r="P4683" s="1565">
        <v>19108.8</v>
      </c>
      <c r="Q4683" s="1572">
        <v>955.56</v>
      </c>
      <c r="R4683" s="1565">
        <v>20064.36</v>
      </c>
      <c r="S4683" s="1562"/>
    </row>
    <row r="4684" spans="2:19" ht="11.25" customHeight="1" outlineLevel="1">
      <c r="B4684" s="1573">
        <v>28143</v>
      </c>
      <c r="C4684" s="1566" t="s">
        <v>3771</v>
      </c>
      <c r="D4684" s="1566" t="s">
        <v>8303</v>
      </c>
      <c r="E4684" s="1566"/>
      <c r="F4684" s="1566"/>
      <c r="G4684" s="1566" t="s">
        <v>3724</v>
      </c>
      <c r="H4684" s="1568">
        <v>1</v>
      </c>
      <c r="I4684" s="1566"/>
      <c r="J4684" s="1566"/>
      <c r="K4684" s="1572">
        <v>179</v>
      </c>
      <c r="L4684" s="1565">
        <v>18650</v>
      </c>
      <c r="M4684" s="1564"/>
      <c r="N4684" s="1565">
        <v>18650</v>
      </c>
      <c r="O4684" s="1565">
        <v>5145.2</v>
      </c>
      <c r="P4684" s="1565">
        <v>12861.6</v>
      </c>
      <c r="Q4684" s="1572">
        <v>643.20000000000005</v>
      </c>
      <c r="R4684" s="1565">
        <v>13504.8</v>
      </c>
      <c r="S4684" s="1562"/>
    </row>
    <row r="4685" spans="2:19" ht="11.25" customHeight="1" outlineLevel="1">
      <c r="B4685" s="1573">
        <v>28697</v>
      </c>
      <c r="C4685" s="1566" t="s">
        <v>3771</v>
      </c>
      <c r="D4685" s="1566" t="s">
        <v>8302</v>
      </c>
      <c r="E4685" s="1566"/>
      <c r="F4685" s="1566"/>
      <c r="G4685" s="1566" t="s">
        <v>3923</v>
      </c>
      <c r="H4685" s="1568">
        <v>1</v>
      </c>
      <c r="I4685" s="1566"/>
      <c r="J4685" s="1566"/>
      <c r="K4685" s="1572">
        <v>464</v>
      </c>
      <c r="L4685" s="1565">
        <v>8066</v>
      </c>
      <c r="M4685" s="1564"/>
      <c r="N4685" s="1565">
        <v>8066</v>
      </c>
      <c r="O4685" s="1565">
        <v>5188.04</v>
      </c>
      <c r="P4685" s="1565">
        <v>2740.8</v>
      </c>
      <c r="Q4685" s="1572">
        <v>137.16</v>
      </c>
      <c r="R4685" s="1565">
        <v>2877.96</v>
      </c>
      <c r="S4685" s="1562"/>
    </row>
    <row r="4686" spans="2:19" ht="11.25" customHeight="1" outlineLevel="1">
      <c r="B4686" s="1573">
        <v>28698</v>
      </c>
      <c r="C4686" s="1566" t="s">
        <v>3771</v>
      </c>
      <c r="D4686" s="1566" t="s">
        <v>8301</v>
      </c>
      <c r="E4686" s="1566"/>
      <c r="F4686" s="1566"/>
      <c r="G4686" s="1566" t="s">
        <v>3920</v>
      </c>
      <c r="H4686" s="1568">
        <v>1</v>
      </c>
      <c r="I4686" s="1566"/>
      <c r="J4686" s="1566"/>
      <c r="K4686" s="1572">
        <v>375</v>
      </c>
      <c r="L4686" s="1565">
        <v>4272</v>
      </c>
      <c r="M4686" s="1564"/>
      <c r="N4686" s="1565">
        <v>4272</v>
      </c>
      <c r="O4686" s="1565">
        <v>2747.4</v>
      </c>
      <c r="P4686" s="1565">
        <v>1452</v>
      </c>
      <c r="Q4686" s="1572">
        <v>72.599999999999994</v>
      </c>
      <c r="R4686" s="1565">
        <v>1524.6</v>
      </c>
      <c r="S4686" s="1562"/>
    </row>
    <row r="4687" spans="2:19" ht="11.25" customHeight="1" outlineLevel="1">
      <c r="B4687" s="1573">
        <v>28699</v>
      </c>
      <c r="C4687" s="1566" t="s">
        <v>3771</v>
      </c>
      <c r="D4687" s="1566" t="s">
        <v>8300</v>
      </c>
      <c r="E4687" s="1566"/>
      <c r="F4687" s="1566"/>
      <c r="G4687" s="1566" t="s">
        <v>3920</v>
      </c>
      <c r="H4687" s="1568">
        <v>1</v>
      </c>
      <c r="I4687" s="1566"/>
      <c r="J4687" s="1566"/>
      <c r="K4687" s="1572">
        <v>478</v>
      </c>
      <c r="L4687" s="1565">
        <v>13388</v>
      </c>
      <c r="M4687" s="1564"/>
      <c r="N4687" s="1565">
        <v>13388</v>
      </c>
      <c r="O4687" s="1565">
        <v>8610.08</v>
      </c>
      <c r="P4687" s="1565">
        <v>4550.3999999999996</v>
      </c>
      <c r="Q4687" s="1572">
        <v>227.52</v>
      </c>
      <c r="R4687" s="1565">
        <v>4777.92</v>
      </c>
      <c r="S4687" s="1562"/>
    </row>
    <row r="4688" spans="2:19" ht="11.25" customHeight="1" outlineLevel="1">
      <c r="B4688" s="1573">
        <v>28700</v>
      </c>
      <c r="C4688" s="1566" t="s">
        <v>3771</v>
      </c>
      <c r="D4688" s="1566" t="s">
        <v>8299</v>
      </c>
      <c r="E4688" s="1566"/>
      <c r="F4688" s="1566"/>
      <c r="G4688" s="1566" t="s">
        <v>3918</v>
      </c>
      <c r="H4688" s="1568">
        <v>1</v>
      </c>
      <c r="I4688" s="1566"/>
      <c r="J4688" s="1566"/>
      <c r="K4688" s="1572">
        <v>308</v>
      </c>
      <c r="L4688" s="1565">
        <v>4307</v>
      </c>
      <c r="M4688" s="1564"/>
      <c r="N4688" s="1565">
        <v>4307</v>
      </c>
      <c r="O4688" s="1565">
        <v>1187.3599999999999</v>
      </c>
      <c r="P4688" s="1565">
        <v>2971.2</v>
      </c>
      <c r="Q4688" s="1572">
        <v>148.44</v>
      </c>
      <c r="R4688" s="1565">
        <v>3119.64</v>
      </c>
      <c r="S4688" s="1562"/>
    </row>
    <row r="4689" spans="2:19" ht="11.25" customHeight="1" outlineLevel="1">
      <c r="B4689" s="1573">
        <v>28706</v>
      </c>
      <c r="C4689" s="1566" t="s">
        <v>3771</v>
      </c>
      <c r="D4689" s="1566" t="s">
        <v>8298</v>
      </c>
      <c r="E4689" s="1566"/>
      <c r="F4689" s="1566"/>
      <c r="G4689" s="1566" t="s">
        <v>8297</v>
      </c>
      <c r="H4689" s="1568">
        <v>1</v>
      </c>
      <c r="I4689" s="1566"/>
      <c r="J4689" s="1566"/>
      <c r="K4689" s="1572">
        <v>609</v>
      </c>
      <c r="L4689" s="1565">
        <v>11874</v>
      </c>
      <c r="M4689" s="1564"/>
      <c r="N4689" s="1565">
        <v>11874</v>
      </c>
      <c r="O4689" s="1565">
        <v>7635.36</v>
      </c>
      <c r="P4689" s="1565">
        <v>4036.8</v>
      </c>
      <c r="Q4689" s="1572">
        <v>201.84</v>
      </c>
      <c r="R4689" s="1565">
        <v>4238.6400000000003</v>
      </c>
      <c r="S4689" s="1562"/>
    </row>
    <row r="4690" spans="2:19" ht="11.25" customHeight="1" outlineLevel="1">
      <c r="B4690" s="1573">
        <v>28707</v>
      </c>
      <c r="C4690" s="1566" t="s">
        <v>3771</v>
      </c>
      <c r="D4690" s="1566" t="s">
        <v>8296</v>
      </c>
      <c r="E4690" s="1566"/>
      <c r="F4690" s="1566"/>
      <c r="G4690" s="1566" t="s">
        <v>3913</v>
      </c>
      <c r="H4690" s="1568">
        <v>1</v>
      </c>
      <c r="I4690" s="1566"/>
      <c r="J4690" s="1566"/>
      <c r="K4690" s="1572">
        <v>462</v>
      </c>
      <c r="L4690" s="1565">
        <v>4717</v>
      </c>
      <c r="M4690" s="1564"/>
      <c r="N4690" s="1565">
        <v>4717</v>
      </c>
      <c r="O4690" s="1565">
        <v>1302.24</v>
      </c>
      <c r="P4690" s="1565">
        <v>3252</v>
      </c>
      <c r="Q4690" s="1572">
        <v>162.76</v>
      </c>
      <c r="R4690" s="1565">
        <v>3414.76</v>
      </c>
      <c r="S4690" s="1562"/>
    </row>
    <row r="4691" spans="2:19" ht="11.25" customHeight="1" outlineLevel="1">
      <c r="B4691" s="1573">
        <v>28708</v>
      </c>
      <c r="C4691" s="1566" t="s">
        <v>3771</v>
      </c>
      <c r="D4691" s="1566" t="s">
        <v>8295</v>
      </c>
      <c r="E4691" s="1566"/>
      <c r="F4691" s="1566"/>
      <c r="G4691" s="1566" t="s">
        <v>3911</v>
      </c>
      <c r="H4691" s="1568">
        <v>1</v>
      </c>
      <c r="I4691" s="1566"/>
      <c r="J4691" s="1566"/>
      <c r="K4691" s="1572">
        <v>397</v>
      </c>
      <c r="L4691" s="1565">
        <v>10746</v>
      </c>
      <c r="M4691" s="1564"/>
      <c r="N4691" s="1565">
        <v>10746</v>
      </c>
      <c r="O4691" s="1565">
        <v>6910.56</v>
      </c>
      <c r="P4691" s="1565">
        <v>3652.8</v>
      </c>
      <c r="Q4691" s="1572">
        <v>182.64</v>
      </c>
      <c r="R4691" s="1565">
        <v>3835.44</v>
      </c>
      <c r="S4691" s="1562"/>
    </row>
    <row r="4692" spans="2:19" ht="11.25" customHeight="1" outlineLevel="1">
      <c r="B4692" s="1573">
        <v>28709</v>
      </c>
      <c r="C4692" s="1566" t="s">
        <v>3771</v>
      </c>
      <c r="D4692" s="1566" t="s">
        <v>8294</v>
      </c>
      <c r="E4692" s="1566"/>
      <c r="F4692" s="1566"/>
      <c r="G4692" s="1566" t="s">
        <v>3909</v>
      </c>
      <c r="H4692" s="1568">
        <v>1</v>
      </c>
      <c r="I4692" s="1566"/>
      <c r="J4692" s="1566"/>
      <c r="K4692" s="1572">
        <v>285</v>
      </c>
      <c r="L4692" s="1565">
        <v>21388</v>
      </c>
      <c r="M4692" s="1564"/>
      <c r="N4692" s="1565">
        <v>21388</v>
      </c>
      <c r="O4692" s="1565">
        <v>5900.08</v>
      </c>
      <c r="P4692" s="1565">
        <v>14750.4</v>
      </c>
      <c r="Q4692" s="1572">
        <v>737.52</v>
      </c>
      <c r="R4692" s="1565">
        <v>15487.92</v>
      </c>
      <c r="S4692" s="1562"/>
    </row>
    <row r="4693" spans="2:19" ht="11.25" customHeight="1" outlineLevel="1">
      <c r="B4693" s="1573">
        <v>28710</v>
      </c>
      <c r="C4693" s="1566" t="s">
        <v>3771</v>
      </c>
      <c r="D4693" s="1566" t="s">
        <v>8293</v>
      </c>
      <c r="E4693" s="1566"/>
      <c r="F4693" s="1566"/>
      <c r="G4693" s="1566" t="s">
        <v>3907</v>
      </c>
      <c r="H4693" s="1568">
        <v>1</v>
      </c>
      <c r="I4693" s="1566"/>
      <c r="J4693" s="1566"/>
      <c r="K4693" s="1572">
        <v>265</v>
      </c>
      <c r="L4693" s="1565">
        <v>9813</v>
      </c>
      <c r="M4693" s="1564"/>
      <c r="N4693" s="1565">
        <v>9813</v>
      </c>
      <c r="O4693" s="1565">
        <v>2706.72</v>
      </c>
      <c r="P4693" s="1565">
        <v>6768</v>
      </c>
      <c r="Q4693" s="1572">
        <v>338.28</v>
      </c>
      <c r="R4693" s="1565">
        <v>7106.28</v>
      </c>
      <c r="S4693" s="1562"/>
    </row>
    <row r="4694" spans="2:19" ht="11.25" customHeight="1" outlineLevel="1">
      <c r="B4694" s="1573">
        <v>28711</v>
      </c>
      <c r="C4694" s="1566" t="s">
        <v>3771</v>
      </c>
      <c r="D4694" s="1566" t="s">
        <v>8292</v>
      </c>
      <c r="E4694" s="1566"/>
      <c r="F4694" s="1566"/>
      <c r="G4694" s="1566" t="s">
        <v>3903</v>
      </c>
      <c r="H4694" s="1568">
        <v>1</v>
      </c>
      <c r="I4694" s="1566"/>
      <c r="J4694" s="1566"/>
      <c r="K4694" s="1572">
        <v>392</v>
      </c>
      <c r="L4694" s="1565">
        <v>3530</v>
      </c>
      <c r="M4694" s="1564"/>
      <c r="N4694" s="1565">
        <v>3530</v>
      </c>
      <c r="O4694" s="1572">
        <v>974.6</v>
      </c>
      <c r="P4694" s="1565">
        <v>2433.6</v>
      </c>
      <c r="Q4694" s="1572">
        <v>121.8</v>
      </c>
      <c r="R4694" s="1565">
        <v>2555.4</v>
      </c>
      <c r="S4694" s="1562"/>
    </row>
    <row r="4695" spans="2:19" ht="11.25" customHeight="1" outlineLevel="1">
      <c r="B4695" s="1573">
        <v>28712</v>
      </c>
      <c r="C4695" s="1566" t="s">
        <v>3771</v>
      </c>
      <c r="D4695" s="1566" t="s">
        <v>8291</v>
      </c>
      <c r="E4695" s="1566"/>
      <c r="F4695" s="1566"/>
      <c r="G4695" s="1566" t="s">
        <v>3901</v>
      </c>
      <c r="H4695" s="1568">
        <v>1</v>
      </c>
      <c r="I4695" s="1566"/>
      <c r="J4695" s="1566"/>
      <c r="K4695" s="1572">
        <v>285</v>
      </c>
      <c r="L4695" s="1565">
        <v>3987</v>
      </c>
      <c r="M4695" s="1564"/>
      <c r="N4695" s="1565">
        <v>3987</v>
      </c>
      <c r="O4695" s="1565">
        <v>1099.2</v>
      </c>
      <c r="P4695" s="1565">
        <v>2750.4</v>
      </c>
      <c r="Q4695" s="1572">
        <v>137.4</v>
      </c>
      <c r="R4695" s="1565">
        <v>2887.8</v>
      </c>
      <c r="S4695" s="1562"/>
    </row>
    <row r="4696" spans="2:19" ht="11.25" customHeight="1" outlineLevel="1">
      <c r="B4696" s="1573">
        <v>28713</v>
      </c>
      <c r="C4696" s="1566" t="s">
        <v>3771</v>
      </c>
      <c r="D4696" s="1566" t="s">
        <v>8290</v>
      </c>
      <c r="E4696" s="1566"/>
      <c r="F4696" s="1566"/>
      <c r="G4696" s="1566" t="s">
        <v>3899</v>
      </c>
      <c r="H4696" s="1568">
        <v>1</v>
      </c>
      <c r="I4696" s="1566"/>
      <c r="J4696" s="1566"/>
      <c r="K4696" s="1572">
        <v>609</v>
      </c>
      <c r="L4696" s="1565">
        <v>44069</v>
      </c>
      <c r="M4696" s="1564"/>
      <c r="N4696" s="1565">
        <v>44069</v>
      </c>
      <c r="O4696" s="1565">
        <v>28339.16</v>
      </c>
      <c r="P4696" s="1565">
        <v>14980.8</v>
      </c>
      <c r="Q4696" s="1572">
        <v>749.04</v>
      </c>
      <c r="R4696" s="1565">
        <v>15729.84</v>
      </c>
      <c r="S4696" s="1562"/>
    </row>
    <row r="4697" spans="2:19" ht="11.25" customHeight="1" outlineLevel="1">
      <c r="B4697" s="1573">
        <v>28714</v>
      </c>
      <c r="C4697" s="1566" t="s">
        <v>3771</v>
      </c>
      <c r="D4697" s="1566" t="s">
        <v>8289</v>
      </c>
      <c r="E4697" s="1566"/>
      <c r="F4697" s="1566"/>
      <c r="G4697" s="1566" t="s">
        <v>3897</v>
      </c>
      <c r="H4697" s="1568">
        <v>1</v>
      </c>
      <c r="I4697" s="1566"/>
      <c r="J4697" s="1566"/>
      <c r="K4697" s="1572">
        <v>285</v>
      </c>
      <c r="L4697" s="1565">
        <v>2136</v>
      </c>
      <c r="M4697" s="1564"/>
      <c r="N4697" s="1565">
        <v>2136</v>
      </c>
      <c r="O4697" s="1572">
        <v>588.84</v>
      </c>
      <c r="P4697" s="1565">
        <v>1473.6</v>
      </c>
      <c r="Q4697" s="1572">
        <v>73.56</v>
      </c>
      <c r="R4697" s="1565">
        <v>1547.16</v>
      </c>
      <c r="S4697" s="1562"/>
    </row>
    <row r="4698" spans="2:19" ht="11.25" customHeight="1" outlineLevel="1">
      <c r="B4698" s="1573">
        <v>28715</v>
      </c>
      <c r="C4698" s="1566" t="s">
        <v>3771</v>
      </c>
      <c r="D4698" s="1566" t="s">
        <v>8288</v>
      </c>
      <c r="E4698" s="1566"/>
      <c r="F4698" s="1566"/>
      <c r="G4698" s="1566" t="s">
        <v>3895</v>
      </c>
      <c r="H4698" s="1568">
        <v>1</v>
      </c>
      <c r="I4698" s="1566"/>
      <c r="J4698" s="1566"/>
      <c r="K4698" s="1572">
        <v>285</v>
      </c>
      <c r="L4698" s="1565">
        <v>7405</v>
      </c>
      <c r="M4698" s="1564"/>
      <c r="N4698" s="1565">
        <v>7405</v>
      </c>
      <c r="O4698" s="1565">
        <v>4761.5200000000004</v>
      </c>
      <c r="P4698" s="1565">
        <v>2517.6</v>
      </c>
      <c r="Q4698" s="1572">
        <v>125.88</v>
      </c>
      <c r="R4698" s="1565">
        <v>2643.48</v>
      </c>
      <c r="S4698" s="1562"/>
    </row>
    <row r="4699" spans="2:19" ht="11.25" customHeight="1" outlineLevel="1">
      <c r="B4699" s="1573">
        <v>28716</v>
      </c>
      <c r="C4699" s="1566" t="s">
        <v>3771</v>
      </c>
      <c r="D4699" s="1566" t="s">
        <v>8287</v>
      </c>
      <c r="E4699" s="1566"/>
      <c r="F4699" s="1566"/>
      <c r="G4699" s="1566" t="s">
        <v>3892</v>
      </c>
      <c r="H4699" s="1568">
        <v>1</v>
      </c>
      <c r="I4699" s="1566"/>
      <c r="J4699" s="1566"/>
      <c r="K4699" s="1572">
        <v>451</v>
      </c>
      <c r="L4699" s="1565">
        <v>15796</v>
      </c>
      <c r="M4699" s="1564"/>
      <c r="N4699" s="1565">
        <v>15796</v>
      </c>
      <c r="O4699" s="1565">
        <v>10158.64</v>
      </c>
      <c r="P4699" s="1565">
        <v>5368.8</v>
      </c>
      <c r="Q4699" s="1572">
        <v>268.56</v>
      </c>
      <c r="R4699" s="1565">
        <v>5637.36</v>
      </c>
      <c r="S4699" s="1562"/>
    </row>
    <row r="4700" spans="2:19" ht="11.25" customHeight="1" outlineLevel="1">
      <c r="B4700" s="1573">
        <v>28717</v>
      </c>
      <c r="C4700" s="1566" t="s">
        <v>3771</v>
      </c>
      <c r="D4700" s="1566" t="s">
        <v>8286</v>
      </c>
      <c r="E4700" s="1566"/>
      <c r="F4700" s="1566"/>
      <c r="G4700" s="1566" t="s">
        <v>3890</v>
      </c>
      <c r="H4700" s="1568">
        <v>1</v>
      </c>
      <c r="I4700" s="1566"/>
      <c r="J4700" s="1566"/>
      <c r="K4700" s="1572">
        <v>366</v>
      </c>
      <c r="L4700" s="1565">
        <v>6923</v>
      </c>
      <c r="M4700" s="1564"/>
      <c r="N4700" s="1565">
        <v>6923</v>
      </c>
      <c r="O4700" s="1565">
        <v>4451</v>
      </c>
      <c r="P4700" s="1565">
        <v>2354.4</v>
      </c>
      <c r="Q4700" s="1572">
        <v>117.6</v>
      </c>
      <c r="R4700" s="1565">
        <v>2472</v>
      </c>
      <c r="S4700" s="1562"/>
    </row>
    <row r="4701" spans="2:19" ht="11.25" customHeight="1" outlineLevel="1">
      <c r="B4701" s="1573">
        <v>28718</v>
      </c>
      <c r="C4701" s="1566" t="s">
        <v>3771</v>
      </c>
      <c r="D4701" s="1566" t="s">
        <v>8285</v>
      </c>
      <c r="E4701" s="1566"/>
      <c r="F4701" s="1566"/>
      <c r="G4701" s="1566" t="s">
        <v>3886</v>
      </c>
      <c r="H4701" s="1568">
        <v>1</v>
      </c>
      <c r="I4701" s="1566"/>
      <c r="J4701" s="1566"/>
      <c r="K4701" s="1572">
        <v>451</v>
      </c>
      <c r="L4701" s="1565">
        <v>5642</v>
      </c>
      <c r="M4701" s="1564"/>
      <c r="N4701" s="1565">
        <v>5642</v>
      </c>
      <c r="O4701" s="1565">
        <v>3628.52</v>
      </c>
      <c r="P4701" s="1565">
        <v>1917.6</v>
      </c>
      <c r="Q4701" s="1572">
        <v>95.88</v>
      </c>
      <c r="R4701" s="1565">
        <v>2013.48</v>
      </c>
      <c r="S4701" s="1562"/>
    </row>
    <row r="4702" spans="2:19" ht="11.25" customHeight="1" outlineLevel="1">
      <c r="B4702" s="1573">
        <v>28719</v>
      </c>
      <c r="C4702" s="1566" t="s">
        <v>3771</v>
      </c>
      <c r="D4702" s="1566" t="s">
        <v>8284</v>
      </c>
      <c r="E4702" s="1566"/>
      <c r="F4702" s="1566"/>
      <c r="G4702" s="1566" t="s">
        <v>3888</v>
      </c>
      <c r="H4702" s="1568">
        <v>1</v>
      </c>
      <c r="I4702" s="1566"/>
      <c r="J4702" s="1566"/>
      <c r="K4702" s="1572">
        <v>366</v>
      </c>
      <c r="L4702" s="1565">
        <v>4396</v>
      </c>
      <c r="M4702" s="1564"/>
      <c r="N4702" s="1565">
        <v>4396</v>
      </c>
      <c r="O4702" s="1565">
        <v>2826.15</v>
      </c>
      <c r="P4702" s="1565">
        <v>1495.2</v>
      </c>
      <c r="Q4702" s="1572">
        <v>74.650000000000006</v>
      </c>
      <c r="R4702" s="1565">
        <v>1569.85</v>
      </c>
      <c r="S4702" s="1562"/>
    </row>
    <row r="4703" spans="2:19" ht="11.25" customHeight="1" outlineLevel="1">
      <c r="B4703" s="1573">
        <v>28720</v>
      </c>
      <c r="C4703" s="1566" t="s">
        <v>3771</v>
      </c>
      <c r="D4703" s="1566" t="s">
        <v>8283</v>
      </c>
      <c r="E4703" s="1566"/>
      <c r="F4703" s="1566"/>
      <c r="G4703" s="1566" t="s">
        <v>3884</v>
      </c>
      <c r="H4703" s="1568">
        <v>1</v>
      </c>
      <c r="I4703" s="1566"/>
      <c r="J4703" s="1566"/>
      <c r="K4703" s="1572">
        <v>366</v>
      </c>
      <c r="L4703" s="1565">
        <v>4579</v>
      </c>
      <c r="M4703" s="1564"/>
      <c r="N4703" s="1565">
        <v>4579</v>
      </c>
      <c r="O4703" s="1565">
        <v>2943.64</v>
      </c>
      <c r="P4703" s="1565">
        <v>1557.6</v>
      </c>
      <c r="Q4703" s="1572">
        <v>77.760000000000005</v>
      </c>
      <c r="R4703" s="1565">
        <v>1635.36</v>
      </c>
      <c r="S4703" s="1562"/>
    </row>
    <row r="4704" spans="2:19" ht="11.25" customHeight="1" outlineLevel="1">
      <c r="B4704" s="1573">
        <v>28721</v>
      </c>
      <c r="C4704" s="1566" t="s">
        <v>3771</v>
      </c>
      <c r="D4704" s="1566" t="s">
        <v>8282</v>
      </c>
      <c r="E4704" s="1566"/>
      <c r="F4704" s="1566"/>
      <c r="G4704" s="1566" t="s">
        <v>3882</v>
      </c>
      <c r="H4704" s="1568">
        <v>1</v>
      </c>
      <c r="I4704" s="1566"/>
      <c r="J4704" s="1566"/>
      <c r="K4704" s="1572">
        <v>462</v>
      </c>
      <c r="L4704" s="1565">
        <v>4763</v>
      </c>
      <c r="M4704" s="1564"/>
      <c r="N4704" s="1565">
        <v>4763</v>
      </c>
      <c r="O4704" s="1565">
        <v>3062.12</v>
      </c>
      <c r="P4704" s="1565">
        <v>1620</v>
      </c>
      <c r="Q4704" s="1572">
        <v>80.88</v>
      </c>
      <c r="R4704" s="1565">
        <v>1700.88</v>
      </c>
      <c r="S4704" s="1562"/>
    </row>
    <row r="4705" spans="2:19" ht="11.25" customHeight="1" outlineLevel="1">
      <c r="B4705" s="1573">
        <v>28722</v>
      </c>
      <c r="C4705" s="1566" t="s">
        <v>3771</v>
      </c>
      <c r="D4705" s="1566" t="s">
        <v>8281</v>
      </c>
      <c r="E4705" s="1566"/>
      <c r="F4705" s="1566"/>
      <c r="G4705" s="1566" t="s">
        <v>3880</v>
      </c>
      <c r="H4705" s="1568">
        <v>1</v>
      </c>
      <c r="I4705" s="1566"/>
      <c r="J4705" s="1566"/>
      <c r="K4705" s="1572">
        <v>366</v>
      </c>
      <c r="L4705" s="1565">
        <v>3663</v>
      </c>
      <c r="M4705" s="1564"/>
      <c r="N4705" s="1565">
        <v>3663</v>
      </c>
      <c r="O4705" s="1565">
        <v>2355.12</v>
      </c>
      <c r="P4705" s="1565">
        <v>1245.5999999999999</v>
      </c>
      <c r="Q4705" s="1572">
        <v>62.28</v>
      </c>
      <c r="R4705" s="1565">
        <v>1307.8800000000001</v>
      </c>
      <c r="S4705" s="1562"/>
    </row>
    <row r="4706" spans="2:19" ht="11.25" customHeight="1" outlineLevel="1">
      <c r="B4706" s="1573">
        <v>28723</v>
      </c>
      <c r="C4706" s="1566" t="s">
        <v>3771</v>
      </c>
      <c r="D4706" s="1566" t="s">
        <v>8280</v>
      </c>
      <c r="E4706" s="1566"/>
      <c r="F4706" s="1566"/>
      <c r="G4706" s="1566" t="s">
        <v>3880</v>
      </c>
      <c r="H4706" s="1568">
        <v>1</v>
      </c>
      <c r="I4706" s="1566"/>
      <c r="J4706" s="1566"/>
      <c r="K4706" s="1572">
        <v>451</v>
      </c>
      <c r="L4706" s="1565">
        <v>9613</v>
      </c>
      <c r="M4706" s="1564"/>
      <c r="N4706" s="1565">
        <v>9613</v>
      </c>
      <c r="O4706" s="1565">
        <v>6180.88</v>
      </c>
      <c r="P4706" s="1565">
        <v>3268.8</v>
      </c>
      <c r="Q4706" s="1572">
        <v>163.32</v>
      </c>
      <c r="R4706" s="1565">
        <v>3432.12</v>
      </c>
      <c r="S4706" s="1562"/>
    </row>
    <row r="4707" spans="2:19" ht="11.25" customHeight="1" outlineLevel="1">
      <c r="B4707" s="1573">
        <v>28724</v>
      </c>
      <c r="C4707" s="1566" t="s">
        <v>3771</v>
      </c>
      <c r="D4707" s="1566" t="s">
        <v>8279</v>
      </c>
      <c r="E4707" s="1566"/>
      <c r="F4707" s="1566"/>
      <c r="G4707" s="1566" t="s">
        <v>3878</v>
      </c>
      <c r="H4707" s="1568">
        <v>1</v>
      </c>
      <c r="I4707" s="1566"/>
      <c r="J4707" s="1566"/>
      <c r="K4707" s="1572">
        <v>462</v>
      </c>
      <c r="L4707" s="1565">
        <v>5364</v>
      </c>
      <c r="M4707" s="1564"/>
      <c r="N4707" s="1565">
        <v>5364</v>
      </c>
      <c r="O4707" s="1565">
        <v>3448.8</v>
      </c>
      <c r="P4707" s="1565">
        <v>1824</v>
      </c>
      <c r="Q4707" s="1572">
        <v>91.2</v>
      </c>
      <c r="R4707" s="1565">
        <v>1915.2</v>
      </c>
      <c r="S4707" s="1562"/>
    </row>
    <row r="4708" spans="2:19" ht="11.25" customHeight="1" outlineLevel="1">
      <c r="B4708" s="1573">
        <v>28725</v>
      </c>
      <c r="C4708" s="1566" t="s">
        <v>3771</v>
      </c>
      <c r="D4708" s="1566" t="s">
        <v>8278</v>
      </c>
      <c r="E4708" s="1566"/>
      <c r="F4708" s="1566"/>
      <c r="G4708" s="1566" t="s">
        <v>3876</v>
      </c>
      <c r="H4708" s="1568">
        <v>1</v>
      </c>
      <c r="I4708" s="1566"/>
      <c r="J4708" s="1566"/>
      <c r="K4708" s="1572">
        <v>462</v>
      </c>
      <c r="L4708" s="1565">
        <v>4717</v>
      </c>
      <c r="M4708" s="1564"/>
      <c r="N4708" s="1565">
        <v>4717</v>
      </c>
      <c r="O4708" s="1565">
        <v>3033.64</v>
      </c>
      <c r="P4708" s="1565">
        <v>1603.2</v>
      </c>
      <c r="Q4708" s="1572">
        <v>80.16</v>
      </c>
      <c r="R4708" s="1565">
        <v>1683.36</v>
      </c>
      <c r="S4708" s="1562"/>
    </row>
    <row r="4709" spans="2:19" ht="11.25" customHeight="1" outlineLevel="1">
      <c r="B4709" s="1573">
        <v>28726</v>
      </c>
      <c r="C4709" s="1566" t="s">
        <v>3771</v>
      </c>
      <c r="D4709" s="1566" t="s">
        <v>8277</v>
      </c>
      <c r="E4709" s="1566"/>
      <c r="F4709" s="1566"/>
      <c r="G4709" s="1566" t="s">
        <v>3874</v>
      </c>
      <c r="H4709" s="1568">
        <v>1</v>
      </c>
      <c r="I4709" s="1566"/>
      <c r="J4709" s="1566"/>
      <c r="K4709" s="1572">
        <v>773</v>
      </c>
      <c r="L4709" s="1565">
        <v>10053</v>
      </c>
      <c r="M4709" s="1564"/>
      <c r="N4709" s="1565">
        <v>10053</v>
      </c>
      <c r="O4709" s="1565">
        <v>6464.52</v>
      </c>
      <c r="P4709" s="1565">
        <v>3417.6</v>
      </c>
      <c r="Q4709" s="1572">
        <v>170.88</v>
      </c>
      <c r="R4709" s="1565">
        <v>3588.48</v>
      </c>
      <c r="S4709" s="1562"/>
    </row>
    <row r="4710" spans="2:19" ht="11.25" customHeight="1" outlineLevel="1">
      <c r="B4710" s="1573">
        <v>28727</v>
      </c>
      <c r="C4710" s="1566" t="s">
        <v>3771</v>
      </c>
      <c r="D4710" s="1566" t="s">
        <v>8276</v>
      </c>
      <c r="E4710" s="1566"/>
      <c r="F4710" s="1566"/>
      <c r="G4710" s="1566" t="s">
        <v>3870</v>
      </c>
      <c r="H4710" s="1568">
        <v>1</v>
      </c>
      <c r="I4710" s="1566"/>
      <c r="J4710" s="1566"/>
      <c r="K4710" s="1572">
        <v>366</v>
      </c>
      <c r="L4710" s="1565">
        <v>4872</v>
      </c>
      <c r="M4710" s="1564"/>
      <c r="N4710" s="1565">
        <v>4872</v>
      </c>
      <c r="O4710" s="1565">
        <v>3133.2</v>
      </c>
      <c r="P4710" s="1565">
        <v>1656</v>
      </c>
      <c r="Q4710" s="1572">
        <v>82.8</v>
      </c>
      <c r="R4710" s="1565">
        <v>1738.8</v>
      </c>
      <c r="S4710" s="1562"/>
    </row>
    <row r="4711" spans="2:19" ht="11.25" customHeight="1" outlineLevel="1">
      <c r="B4711" s="1573">
        <v>28728</v>
      </c>
      <c r="C4711" s="1566" t="s">
        <v>3771</v>
      </c>
      <c r="D4711" s="1566" t="s">
        <v>8275</v>
      </c>
      <c r="E4711" s="1566"/>
      <c r="F4711" s="1566"/>
      <c r="G4711" s="1566" t="s">
        <v>3868</v>
      </c>
      <c r="H4711" s="1568">
        <v>1</v>
      </c>
      <c r="I4711" s="1566"/>
      <c r="J4711" s="1566"/>
      <c r="K4711" s="1572">
        <v>462</v>
      </c>
      <c r="L4711" s="1565">
        <v>5040</v>
      </c>
      <c r="M4711" s="1564"/>
      <c r="N4711" s="1565">
        <v>5040</v>
      </c>
      <c r="O4711" s="1565">
        <v>3240.72</v>
      </c>
      <c r="P4711" s="1565">
        <v>1713.6</v>
      </c>
      <c r="Q4711" s="1572">
        <v>85.68</v>
      </c>
      <c r="R4711" s="1565">
        <v>1799.28</v>
      </c>
      <c r="S4711" s="1562"/>
    </row>
    <row r="4712" spans="2:19" ht="11.25" customHeight="1" outlineLevel="1">
      <c r="B4712" s="1573">
        <v>28729</v>
      </c>
      <c r="C4712" s="1566" t="s">
        <v>3771</v>
      </c>
      <c r="D4712" s="1566" t="s">
        <v>8274</v>
      </c>
      <c r="E4712" s="1566"/>
      <c r="F4712" s="1566"/>
      <c r="G4712" s="1566" t="s">
        <v>3865</v>
      </c>
      <c r="H4712" s="1568">
        <v>1</v>
      </c>
      <c r="J4712" s="1566"/>
      <c r="K4712" s="1572">
        <v>462</v>
      </c>
      <c r="L4712" s="1565">
        <v>6427</v>
      </c>
      <c r="M4712" s="1564"/>
      <c r="N4712" s="1565">
        <v>6427</v>
      </c>
      <c r="O4712" s="1565">
        <v>4133.68</v>
      </c>
      <c r="P4712" s="1565">
        <v>2184</v>
      </c>
      <c r="Q4712" s="1572">
        <v>109.32</v>
      </c>
      <c r="R4712" s="1565">
        <v>2293.3200000000002</v>
      </c>
      <c r="S4712" s="1562"/>
    </row>
    <row r="4713" spans="2:19" ht="11.25" customHeight="1" outlineLevel="1">
      <c r="B4713" s="1573">
        <v>28730</v>
      </c>
      <c r="C4713" s="1566" t="s">
        <v>3771</v>
      </c>
      <c r="D4713" s="1566" t="s">
        <v>8273</v>
      </c>
      <c r="E4713" s="1566"/>
      <c r="F4713" s="1566"/>
      <c r="G4713" s="1566" t="s">
        <v>3863</v>
      </c>
      <c r="H4713" s="1568">
        <v>1</v>
      </c>
      <c r="I4713" s="1566"/>
      <c r="J4713" s="1566"/>
      <c r="K4713" s="1572">
        <v>333</v>
      </c>
      <c r="L4713" s="1565">
        <v>4666</v>
      </c>
      <c r="M4713" s="1564"/>
      <c r="N4713" s="1565">
        <v>4666</v>
      </c>
      <c r="O4713" s="1565">
        <v>1286.8</v>
      </c>
      <c r="P4713" s="1565">
        <v>3218.4</v>
      </c>
      <c r="Q4713" s="1572">
        <v>160.80000000000001</v>
      </c>
      <c r="R4713" s="1565">
        <v>3379.2</v>
      </c>
      <c r="S4713" s="1562"/>
    </row>
    <row r="4714" spans="2:19" ht="11.25" customHeight="1" outlineLevel="1">
      <c r="B4714" s="1573">
        <v>28731</v>
      </c>
      <c r="C4714" s="1566" t="s">
        <v>3771</v>
      </c>
      <c r="D4714" s="1566" t="s">
        <v>8272</v>
      </c>
      <c r="E4714" s="1566"/>
      <c r="F4714" s="1566"/>
      <c r="G4714" s="1566" t="s">
        <v>3861</v>
      </c>
      <c r="H4714" s="1568">
        <v>1</v>
      </c>
      <c r="I4714" s="1566"/>
      <c r="J4714" s="1566"/>
      <c r="K4714" s="1572">
        <v>256</v>
      </c>
      <c r="L4714" s="1565">
        <v>3069</v>
      </c>
      <c r="M4714" s="1564"/>
      <c r="N4714" s="1565">
        <v>3069</v>
      </c>
      <c r="O4714" s="1572">
        <v>846.36</v>
      </c>
      <c r="P4714" s="1565">
        <v>2116.8000000000002</v>
      </c>
      <c r="Q4714" s="1572">
        <v>105.84</v>
      </c>
      <c r="R4714" s="1565">
        <v>2222.64</v>
      </c>
      <c r="S4714" s="1562"/>
    </row>
    <row r="4715" spans="2:19" ht="11.25" customHeight="1" outlineLevel="1">
      <c r="B4715" s="1573">
        <v>28732</v>
      </c>
      <c r="C4715" s="1566" t="s">
        <v>3771</v>
      </c>
      <c r="D4715" s="1566" t="s">
        <v>8271</v>
      </c>
      <c r="E4715" s="1566"/>
      <c r="F4715" s="1566"/>
      <c r="G4715" s="1566" t="s">
        <v>3859</v>
      </c>
      <c r="H4715" s="1568">
        <v>1</v>
      </c>
      <c r="I4715" s="1566"/>
      <c r="J4715" s="1566"/>
      <c r="K4715" s="1572">
        <v>499</v>
      </c>
      <c r="L4715" s="1565">
        <v>3999</v>
      </c>
      <c r="M4715" s="1564"/>
      <c r="N4715" s="1565">
        <v>3999</v>
      </c>
      <c r="O4715" s="1565">
        <v>2572.56</v>
      </c>
      <c r="P4715" s="1565">
        <v>1358.4</v>
      </c>
      <c r="Q4715" s="1572">
        <v>68.040000000000006</v>
      </c>
      <c r="R4715" s="1565">
        <v>1426.44</v>
      </c>
      <c r="S4715" s="1562"/>
    </row>
    <row r="4716" spans="2:19" ht="11.25" customHeight="1" outlineLevel="1">
      <c r="B4716" s="1573">
        <v>28733</v>
      </c>
      <c r="C4716" s="1566" t="s">
        <v>3771</v>
      </c>
      <c r="D4716" s="1566" t="s">
        <v>8270</v>
      </c>
      <c r="E4716" s="1566"/>
      <c r="F4716" s="1566"/>
      <c r="G4716" s="1566" t="s">
        <v>3857</v>
      </c>
      <c r="H4716" s="1568">
        <v>1</v>
      </c>
      <c r="I4716" s="1566"/>
      <c r="J4716" s="1566"/>
      <c r="K4716" s="1572">
        <v>387</v>
      </c>
      <c r="L4716" s="1565">
        <v>5411</v>
      </c>
      <c r="M4716" s="1564"/>
      <c r="N4716" s="1565">
        <v>5411</v>
      </c>
      <c r="O4716" s="1565">
        <v>3480.56</v>
      </c>
      <c r="P4716" s="1565">
        <v>1838.4</v>
      </c>
      <c r="Q4716" s="1572">
        <v>92.04</v>
      </c>
      <c r="R4716" s="1565">
        <v>1930.44</v>
      </c>
      <c r="S4716" s="1562"/>
    </row>
    <row r="4717" spans="2:19" ht="11.25" customHeight="1" outlineLevel="1">
      <c r="B4717" s="1573">
        <v>28734</v>
      </c>
      <c r="C4717" s="1566" t="s">
        <v>3771</v>
      </c>
      <c r="D4717" s="1566" t="s">
        <v>8269</v>
      </c>
      <c r="E4717" s="1566"/>
      <c r="F4717" s="1566"/>
      <c r="G4717" s="1566" t="s">
        <v>3855</v>
      </c>
      <c r="H4717" s="1568">
        <v>1</v>
      </c>
      <c r="I4717" s="1566"/>
      <c r="J4717" s="1566"/>
      <c r="K4717" s="1572">
        <v>459</v>
      </c>
      <c r="L4717" s="1565">
        <v>6557</v>
      </c>
      <c r="M4717" s="1564"/>
      <c r="N4717" s="1565">
        <v>6557</v>
      </c>
      <c r="O4717" s="1565">
        <v>1809.2</v>
      </c>
      <c r="P4717" s="1565">
        <v>4521.6000000000004</v>
      </c>
      <c r="Q4717" s="1572">
        <v>226.2</v>
      </c>
      <c r="R4717" s="1565">
        <v>4747.8</v>
      </c>
      <c r="S4717" s="1562"/>
    </row>
    <row r="4718" spans="2:19" ht="11.25" customHeight="1" outlineLevel="1">
      <c r="B4718" s="1573">
        <v>28735</v>
      </c>
      <c r="C4718" s="1566" t="s">
        <v>3771</v>
      </c>
      <c r="D4718" s="1566" t="s">
        <v>8268</v>
      </c>
      <c r="E4718" s="1566"/>
      <c r="F4718" s="1566"/>
      <c r="G4718" s="1566" t="s">
        <v>3853</v>
      </c>
      <c r="H4718" s="1568">
        <v>1</v>
      </c>
      <c r="I4718" s="1566"/>
      <c r="J4718" s="1566"/>
      <c r="K4718" s="1572">
        <v>313</v>
      </c>
      <c r="L4718" s="1565">
        <v>5420</v>
      </c>
      <c r="M4718" s="1564"/>
      <c r="N4718" s="1565">
        <v>5420</v>
      </c>
      <c r="O4718" s="1565">
        <v>3484.64</v>
      </c>
      <c r="P4718" s="1565">
        <v>1843.2</v>
      </c>
      <c r="Q4718" s="1572">
        <v>92.16</v>
      </c>
      <c r="R4718" s="1565">
        <v>1935.36</v>
      </c>
      <c r="S4718" s="1562"/>
    </row>
    <row r="4719" spans="2:19" ht="11.25" customHeight="1" outlineLevel="1">
      <c r="B4719" s="1573">
        <v>28736</v>
      </c>
      <c r="C4719" s="1566" t="s">
        <v>3771</v>
      </c>
      <c r="D4719" s="1566" t="s">
        <v>8267</v>
      </c>
      <c r="E4719" s="1566"/>
      <c r="F4719" s="1566"/>
      <c r="G4719" s="1566" t="s">
        <v>3851</v>
      </c>
      <c r="H4719" s="1568">
        <v>1</v>
      </c>
      <c r="I4719" s="1566"/>
      <c r="J4719" s="1566"/>
      <c r="K4719" s="1572">
        <v>366</v>
      </c>
      <c r="L4719" s="1565">
        <v>3112</v>
      </c>
      <c r="M4719" s="1564"/>
      <c r="N4719" s="1565">
        <v>3112</v>
      </c>
      <c r="O4719" s="1565">
        <v>2000.68</v>
      </c>
      <c r="P4719" s="1565">
        <v>1058.4000000000001</v>
      </c>
      <c r="Q4719" s="1572">
        <v>52.92</v>
      </c>
      <c r="R4719" s="1565">
        <v>1111.32</v>
      </c>
      <c r="S4719" s="1562"/>
    </row>
    <row r="4720" spans="2:19" ht="11.25" customHeight="1" outlineLevel="1">
      <c r="B4720" s="1573">
        <v>28737</v>
      </c>
      <c r="C4720" s="1566" t="s">
        <v>3771</v>
      </c>
      <c r="D4720" s="1566" t="s">
        <v>8266</v>
      </c>
      <c r="E4720" s="1566"/>
      <c r="F4720" s="1566"/>
      <c r="G4720" s="1566" t="s">
        <v>3847</v>
      </c>
      <c r="H4720" s="1568">
        <v>1</v>
      </c>
      <c r="I4720" s="1566"/>
      <c r="J4720" s="1566"/>
      <c r="K4720" s="1572">
        <v>310</v>
      </c>
      <c r="L4720" s="1565">
        <v>4747</v>
      </c>
      <c r="M4720" s="1564"/>
      <c r="N4720" s="1565">
        <v>4747</v>
      </c>
      <c r="O4720" s="1565">
        <v>3053.44</v>
      </c>
      <c r="P4720" s="1565">
        <v>1612.8</v>
      </c>
      <c r="Q4720" s="1572">
        <v>80.760000000000005</v>
      </c>
      <c r="R4720" s="1565">
        <v>1693.56</v>
      </c>
      <c r="S4720" s="1562"/>
    </row>
    <row r="4721" spans="2:19" ht="11.25" customHeight="1" outlineLevel="1">
      <c r="B4721" s="1573">
        <v>28738</v>
      </c>
      <c r="C4721" s="1566" t="s">
        <v>3771</v>
      </c>
      <c r="D4721" s="1566" t="s">
        <v>8265</v>
      </c>
      <c r="E4721" s="1566"/>
      <c r="F4721" s="1566"/>
      <c r="G4721" s="1566" t="s">
        <v>3845</v>
      </c>
      <c r="H4721" s="1568">
        <v>1</v>
      </c>
      <c r="I4721" s="1566"/>
      <c r="J4721" s="1566"/>
      <c r="K4721" s="1572">
        <v>389</v>
      </c>
      <c r="L4721" s="1565">
        <v>4868</v>
      </c>
      <c r="M4721" s="1564"/>
      <c r="N4721" s="1565">
        <v>4868</v>
      </c>
      <c r="O4721" s="1565">
        <v>3129.32</v>
      </c>
      <c r="P4721" s="1565">
        <v>1656</v>
      </c>
      <c r="Q4721" s="1572">
        <v>82.68</v>
      </c>
      <c r="R4721" s="1565">
        <v>1738.68</v>
      </c>
      <c r="S4721" s="1562"/>
    </row>
    <row r="4722" spans="2:19" ht="11.25" customHeight="1" outlineLevel="1">
      <c r="B4722" s="1573">
        <v>28503</v>
      </c>
      <c r="C4722" s="1566" t="s">
        <v>3768</v>
      </c>
      <c r="D4722" s="1566" t="s">
        <v>8264</v>
      </c>
      <c r="E4722" s="1566"/>
      <c r="F4722" s="1566"/>
      <c r="G4722" s="1566"/>
      <c r="H4722" s="1568">
        <v>1</v>
      </c>
      <c r="I4722" s="1566"/>
      <c r="J4722" s="1566"/>
      <c r="K4722" s="1565">
        <v>83333</v>
      </c>
      <c r="L4722" s="1565">
        <v>83333</v>
      </c>
      <c r="M4722" s="1565">
        <v>-83333</v>
      </c>
      <c r="N4722" s="1564"/>
      <c r="O4722" s="1564"/>
      <c r="P4722" s="1565">
        <v>83333</v>
      </c>
      <c r="Q4722" s="1565">
        <v>-83333</v>
      </c>
      <c r="R4722" s="1564"/>
      <c r="S4722" s="1562"/>
    </row>
    <row r="4723" spans="2:19" ht="11.25" customHeight="1" outlineLevel="1">
      <c r="B4723" s="1573">
        <v>28992</v>
      </c>
      <c r="C4723" s="1566" t="s">
        <v>3768</v>
      </c>
      <c r="D4723" s="1566" t="s">
        <v>8263</v>
      </c>
      <c r="E4723" s="1566"/>
      <c r="F4723" s="1566"/>
      <c r="G4723" s="1566" t="s">
        <v>8262</v>
      </c>
      <c r="H4723" s="1568">
        <v>1</v>
      </c>
      <c r="I4723" s="1566"/>
      <c r="J4723" s="1566"/>
      <c r="K4723" s="1565">
        <v>1191727</v>
      </c>
      <c r="L4723" s="1565">
        <v>1198991</v>
      </c>
      <c r="M4723" s="1564"/>
      <c r="N4723" s="1565">
        <v>1198991</v>
      </c>
      <c r="O4723" s="1565">
        <v>9436.1299999999992</v>
      </c>
      <c r="P4723" s="1565">
        <v>1141438.48</v>
      </c>
      <c r="Q4723" s="1565">
        <v>48116.39</v>
      </c>
      <c r="R4723" s="1565">
        <v>1189554.8700000001</v>
      </c>
      <c r="S4723" s="1562"/>
    </row>
    <row r="4724" spans="2:19" ht="11.25" customHeight="1" outlineLevel="1">
      <c r="B4724" s="1573">
        <v>29075</v>
      </c>
      <c r="C4724" s="1566" t="s">
        <v>3765</v>
      </c>
      <c r="D4724" s="1566" t="s">
        <v>8261</v>
      </c>
      <c r="E4724" s="1566"/>
      <c r="F4724" s="1566"/>
      <c r="G4724" s="1566" t="s">
        <v>3763</v>
      </c>
      <c r="H4724" s="1568">
        <v>1</v>
      </c>
      <c r="I4724" s="1566"/>
      <c r="J4724" s="1566"/>
      <c r="K4724" s="1572">
        <v>463</v>
      </c>
      <c r="L4724" s="1565">
        <v>35491</v>
      </c>
      <c r="M4724" s="1564"/>
      <c r="N4724" s="1565">
        <v>35491</v>
      </c>
      <c r="O4724" s="1565">
        <v>23024.04</v>
      </c>
      <c r="P4724" s="1565">
        <v>11863.72</v>
      </c>
      <c r="Q4724" s="1572">
        <v>603.24</v>
      </c>
      <c r="R4724" s="1565">
        <v>12466.96</v>
      </c>
      <c r="S4724" s="1562"/>
    </row>
    <row r="4725" spans="2:19" ht="11.25" customHeight="1" outlineLevel="1">
      <c r="B4725" s="1573">
        <v>29076</v>
      </c>
      <c r="C4725" s="1566" t="s">
        <v>3765</v>
      </c>
      <c r="D4725" s="1566" t="s">
        <v>8260</v>
      </c>
      <c r="E4725" s="1566"/>
      <c r="F4725" s="1566"/>
      <c r="G4725" s="1566" t="s">
        <v>3763</v>
      </c>
      <c r="H4725" s="1568">
        <v>1</v>
      </c>
      <c r="I4725" s="1566"/>
      <c r="J4725" s="1566"/>
      <c r="K4725" s="1572">
        <v>166</v>
      </c>
      <c r="L4725" s="1565">
        <v>1359</v>
      </c>
      <c r="M4725" s="1564"/>
      <c r="N4725" s="1565">
        <v>1359</v>
      </c>
      <c r="O4725" s="1572">
        <v>379.4</v>
      </c>
      <c r="P4725" s="1572">
        <v>932.2</v>
      </c>
      <c r="Q4725" s="1572">
        <v>47.4</v>
      </c>
      <c r="R4725" s="1572">
        <v>979.6</v>
      </c>
      <c r="S4725" s="1562"/>
    </row>
    <row r="4726" spans="2:19" ht="11.25" customHeight="1" outlineLevel="1">
      <c r="B4726" s="1573">
        <v>29078</v>
      </c>
      <c r="C4726" s="1566" t="s">
        <v>3765</v>
      </c>
      <c r="D4726" s="1566" t="s">
        <v>8259</v>
      </c>
      <c r="E4726" s="1566"/>
      <c r="F4726" s="1566"/>
      <c r="G4726" s="1566" t="s">
        <v>3763</v>
      </c>
      <c r="H4726" s="1568">
        <v>1</v>
      </c>
      <c r="I4726" s="1566"/>
      <c r="J4726" s="1566"/>
      <c r="K4726" s="1565">
        <v>5288</v>
      </c>
      <c r="L4726" s="1565">
        <v>102061</v>
      </c>
      <c r="M4726" s="1564"/>
      <c r="N4726" s="1565">
        <v>102061</v>
      </c>
      <c r="O4726" s="1565">
        <v>66210.12</v>
      </c>
      <c r="P4726" s="1565">
        <v>34116.160000000003</v>
      </c>
      <c r="Q4726" s="1565">
        <v>1734.72</v>
      </c>
      <c r="R4726" s="1565">
        <v>35850.879999999997</v>
      </c>
      <c r="S4726" s="1562"/>
    </row>
    <row r="4727" spans="2:19" ht="11.25" customHeight="1" outlineLevel="1">
      <c r="B4727" s="1573">
        <v>29079</v>
      </c>
      <c r="C4727" s="1566" t="s">
        <v>3765</v>
      </c>
      <c r="D4727" s="1566" t="s">
        <v>8258</v>
      </c>
      <c r="E4727" s="1566"/>
      <c r="F4727" s="1566"/>
      <c r="G4727" s="1566" t="s">
        <v>3763</v>
      </c>
      <c r="H4727" s="1568">
        <v>1</v>
      </c>
      <c r="I4727" s="1566"/>
      <c r="J4727" s="1566"/>
      <c r="K4727" s="1565">
        <v>635100</v>
      </c>
      <c r="L4727" s="1565">
        <v>635100</v>
      </c>
      <c r="M4727" s="1564"/>
      <c r="N4727" s="1565">
        <v>635100</v>
      </c>
      <c r="O4727" s="1565">
        <v>306963.88</v>
      </c>
      <c r="P4727" s="1565">
        <v>312258.68</v>
      </c>
      <c r="Q4727" s="1565">
        <v>15877.44</v>
      </c>
      <c r="R4727" s="1565">
        <v>328136.12</v>
      </c>
      <c r="S4727" s="1562"/>
    </row>
    <row r="4728" spans="2:19" ht="11.25" customHeight="1" outlineLevel="1">
      <c r="B4728" s="1573">
        <v>29081</v>
      </c>
      <c r="C4728" s="1566" t="s">
        <v>3765</v>
      </c>
      <c r="D4728" s="1566" t="s">
        <v>8257</v>
      </c>
      <c r="E4728" s="1566"/>
      <c r="F4728" s="1566"/>
      <c r="G4728" s="1566" t="s">
        <v>8256</v>
      </c>
      <c r="H4728" s="1568">
        <v>1</v>
      </c>
      <c r="I4728" s="1566"/>
      <c r="J4728" s="1566"/>
      <c r="K4728" s="1565">
        <v>1649</v>
      </c>
      <c r="L4728" s="1565">
        <v>289409</v>
      </c>
      <c r="M4728" s="1564"/>
      <c r="N4728" s="1565">
        <v>289409</v>
      </c>
      <c r="O4728" s="1565">
        <v>2296.0500000000002</v>
      </c>
      <c r="P4728" s="1565">
        <v>275404.92</v>
      </c>
      <c r="Q4728" s="1565">
        <v>11708.03</v>
      </c>
      <c r="R4728" s="1565">
        <v>287112.95</v>
      </c>
      <c r="S4728" s="1562"/>
    </row>
    <row r="4729" spans="2:19" ht="11.25" customHeight="1" outlineLevel="1">
      <c r="B4729" s="1573">
        <v>29082</v>
      </c>
      <c r="C4729" s="1566" t="s">
        <v>3765</v>
      </c>
      <c r="D4729" s="1566" t="s">
        <v>8255</v>
      </c>
      <c r="E4729" s="1566"/>
      <c r="F4729" s="1566"/>
      <c r="G4729" s="1566" t="s">
        <v>8254</v>
      </c>
      <c r="H4729" s="1568">
        <v>1</v>
      </c>
      <c r="I4729" s="1566"/>
      <c r="J4729" s="1566"/>
      <c r="K4729" s="1565">
        <v>1009</v>
      </c>
      <c r="L4729" s="1565">
        <v>15232</v>
      </c>
      <c r="M4729" s="1564"/>
      <c r="N4729" s="1565">
        <v>15232</v>
      </c>
      <c r="O4729" s="1572">
        <v>120.81</v>
      </c>
      <c r="P4729" s="1565">
        <v>14495.12</v>
      </c>
      <c r="Q4729" s="1572">
        <v>616.07000000000005</v>
      </c>
      <c r="R4729" s="1565">
        <v>15111.19</v>
      </c>
      <c r="S4729" s="1562"/>
    </row>
    <row r="4730" spans="2:19" ht="11.25" customHeight="1" outlineLevel="1">
      <c r="B4730" s="1573">
        <v>29122</v>
      </c>
      <c r="C4730" s="1566" t="s">
        <v>3765</v>
      </c>
      <c r="D4730" s="1566" t="s">
        <v>8253</v>
      </c>
      <c r="E4730" s="1566"/>
      <c r="F4730" s="1566"/>
      <c r="G4730" s="1566"/>
      <c r="H4730" s="1568">
        <v>1</v>
      </c>
      <c r="I4730" s="1566"/>
      <c r="J4730" s="1566"/>
      <c r="K4730" s="1565">
        <v>10142</v>
      </c>
      <c r="L4730" s="1565">
        <v>10142</v>
      </c>
      <c r="M4730" s="1565">
        <v>-10142</v>
      </c>
      <c r="N4730" s="1564"/>
      <c r="O4730" s="1564"/>
      <c r="P4730" s="1565">
        <v>10142</v>
      </c>
      <c r="Q4730" s="1565">
        <v>-10142</v>
      </c>
      <c r="R4730" s="1564"/>
      <c r="S4730" s="1562"/>
    </row>
    <row r="4731" spans="2:19" ht="11.25" customHeight="1" outlineLevel="1">
      <c r="B4731" s="1573">
        <v>29139</v>
      </c>
      <c r="C4731" s="1566" t="s">
        <v>3760</v>
      </c>
      <c r="D4731" s="1566" t="s">
        <v>8252</v>
      </c>
      <c r="E4731" s="1566"/>
      <c r="F4731" s="1566"/>
      <c r="G4731" s="1566" t="s">
        <v>3761</v>
      </c>
      <c r="H4731" s="1568">
        <v>1</v>
      </c>
      <c r="I4731" s="1566"/>
      <c r="J4731" s="1566"/>
      <c r="K4731" s="1572">
        <v>630</v>
      </c>
      <c r="L4731" s="1565">
        <v>646658</v>
      </c>
      <c r="M4731" s="1564"/>
      <c r="N4731" s="1565">
        <v>646658</v>
      </c>
      <c r="O4731" s="1565">
        <v>420418.47</v>
      </c>
      <c r="P4731" s="1565">
        <v>215248.25</v>
      </c>
      <c r="Q4731" s="1565">
        <v>10991.28</v>
      </c>
      <c r="R4731" s="1565">
        <v>226239.53</v>
      </c>
      <c r="S4731" s="1562"/>
    </row>
    <row r="4732" spans="2:19" ht="11.25" customHeight="1" outlineLevel="1">
      <c r="B4732" s="1573">
        <v>29141</v>
      </c>
      <c r="C4732" s="1566" t="s">
        <v>3760</v>
      </c>
      <c r="D4732" s="1566" t="s">
        <v>8251</v>
      </c>
      <c r="E4732" s="1566"/>
      <c r="F4732" s="1566"/>
      <c r="G4732" s="1566" t="s">
        <v>8250</v>
      </c>
      <c r="H4732" s="1568">
        <v>1</v>
      </c>
      <c r="I4732" s="1566"/>
      <c r="J4732" s="1566"/>
      <c r="K4732" s="1572">
        <v>360</v>
      </c>
      <c r="L4732" s="1565">
        <v>37298</v>
      </c>
      <c r="M4732" s="1564"/>
      <c r="N4732" s="1565">
        <v>37298</v>
      </c>
      <c r="O4732" s="1565">
        <v>24248.99</v>
      </c>
      <c r="P4732" s="1565">
        <v>12415.05</v>
      </c>
      <c r="Q4732" s="1572">
        <v>633.96</v>
      </c>
      <c r="R4732" s="1565">
        <v>13049.01</v>
      </c>
      <c r="S4732" s="1562"/>
    </row>
    <row r="4733" spans="2:19" ht="11.25" customHeight="1" outlineLevel="1">
      <c r="B4733" s="1573">
        <v>29142</v>
      </c>
      <c r="C4733" s="1566" t="s">
        <v>3760</v>
      </c>
      <c r="D4733" s="1566" t="s">
        <v>8249</v>
      </c>
      <c r="E4733" s="1566"/>
      <c r="F4733" s="1566"/>
      <c r="G4733" s="1566" t="s">
        <v>8248</v>
      </c>
      <c r="H4733" s="1568">
        <v>1</v>
      </c>
      <c r="I4733" s="1566"/>
      <c r="J4733" s="1566"/>
      <c r="K4733" s="1572">
        <v>318</v>
      </c>
      <c r="L4733" s="1565">
        <v>53896</v>
      </c>
      <c r="M4733" s="1564"/>
      <c r="N4733" s="1565">
        <v>53896</v>
      </c>
      <c r="O4733" s="1565">
        <v>35040.019999999997</v>
      </c>
      <c r="P4733" s="1565">
        <v>17939.900000000001</v>
      </c>
      <c r="Q4733" s="1572">
        <v>916.08</v>
      </c>
      <c r="R4733" s="1565">
        <v>18855.98</v>
      </c>
      <c r="S4733" s="1562"/>
    </row>
    <row r="4734" spans="2:19" ht="11.25" customHeight="1" outlineLevel="1">
      <c r="B4734" s="1573">
        <v>29161</v>
      </c>
      <c r="C4734" s="1566" t="s">
        <v>3751</v>
      </c>
      <c r="D4734" s="1566" t="s">
        <v>8247</v>
      </c>
      <c r="E4734" s="1566"/>
      <c r="F4734" s="1566"/>
      <c r="G4734" s="1566" t="s">
        <v>3756</v>
      </c>
      <c r="H4734" s="1568">
        <v>1</v>
      </c>
      <c r="I4734" s="1566"/>
      <c r="J4734" s="1566"/>
      <c r="K4734" s="1565">
        <v>1119</v>
      </c>
      <c r="L4734" s="1565">
        <v>69382</v>
      </c>
      <c r="M4734" s="1564"/>
      <c r="N4734" s="1565">
        <v>69382</v>
      </c>
      <c r="O4734" s="1565">
        <v>45207.46</v>
      </c>
      <c r="P4734" s="1565">
        <v>22995.18</v>
      </c>
      <c r="Q4734" s="1565">
        <v>1179.3599999999999</v>
      </c>
      <c r="R4734" s="1565">
        <v>24174.54</v>
      </c>
      <c r="S4734" s="1562"/>
    </row>
    <row r="4735" spans="2:19" ht="11.25" customHeight="1" outlineLevel="1">
      <c r="B4735" s="1573">
        <v>29164</v>
      </c>
      <c r="C4735" s="1566" t="s">
        <v>3751</v>
      </c>
      <c r="D4735" s="1566" t="s">
        <v>8246</v>
      </c>
      <c r="E4735" s="1566"/>
      <c r="F4735" s="1566"/>
      <c r="G4735" s="1566" t="s">
        <v>3754</v>
      </c>
      <c r="H4735" s="1568">
        <v>1</v>
      </c>
      <c r="I4735" s="1566"/>
      <c r="J4735" s="1566"/>
      <c r="K4735" s="1572">
        <v>979</v>
      </c>
      <c r="L4735" s="1565">
        <v>17434</v>
      </c>
      <c r="M4735" s="1564"/>
      <c r="N4735" s="1565">
        <v>17434</v>
      </c>
      <c r="O4735" s="1565">
        <v>11360.14</v>
      </c>
      <c r="P4735" s="1565">
        <v>5777.46</v>
      </c>
      <c r="Q4735" s="1572">
        <v>296.39999999999998</v>
      </c>
      <c r="R4735" s="1565">
        <v>6073.86</v>
      </c>
      <c r="S4735" s="1562"/>
    </row>
    <row r="4736" spans="2:19" ht="11.25" customHeight="1" outlineLevel="1">
      <c r="B4736" s="1573">
        <v>29166</v>
      </c>
      <c r="C4736" s="1566" t="s">
        <v>3751</v>
      </c>
      <c r="D4736" s="1566" t="s">
        <v>8245</v>
      </c>
      <c r="E4736" s="1566"/>
      <c r="F4736" s="1566"/>
      <c r="G4736" s="1566" t="s">
        <v>3752</v>
      </c>
      <c r="H4736" s="1568">
        <v>1</v>
      </c>
      <c r="I4736" s="1571">
        <v>6</v>
      </c>
      <c r="J4736" s="1566"/>
      <c r="K4736" s="1572">
        <v>662</v>
      </c>
      <c r="L4736" s="1565">
        <v>3972</v>
      </c>
      <c r="M4736" s="1564"/>
      <c r="N4736" s="1565">
        <v>3972</v>
      </c>
      <c r="O4736" s="1565">
        <v>2587.14</v>
      </c>
      <c r="P4736" s="1565">
        <v>1317.42</v>
      </c>
      <c r="Q4736" s="1572">
        <v>67.44</v>
      </c>
      <c r="R4736" s="1565">
        <v>1384.86</v>
      </c>
      <c r="S4736" s="1562"/>
    </row>
    <row r="4737" spans="2:19" ht="11.25" customHeight="1" outlineLevel="1">
      <c r="B4737" s="1573">
        <v>29167</v>
      </c>
      <c r="C4737" s="1566" t="s">
        <v>3751</v>
      </c>
      <c r="D4737" s="1566" t="s">
        <v>8244</v>
      </c>
      <c r="E4737" s="1566"/>
      <c r="F4737" s="1566"/>
      <c r="G4737" s="1566" t="s">
        <v>3749</v>
      </c>
      <c r="H4737" s="1568">
        <v>1</v>
      </c>
      <c r="I4737" s="1570">
        <v>5.3</v>
      </c>
      <c r="J4737" s="1566"/>
      <c r="K4737" s="1572">
        <v>542</v>
      </c>
      <c r="L4737" s="1565">
        <v>2872</v>
      </c>
      <c r="M4737" s="1564"/>
      <c r="N4737" s="1565">
        <v>2872</v>
      </c>
      <c r="O4737" s="1572">
        <v>805.72</v>
      </c>
      <c r="P4737" s="1565">
        <v>1965.6</v>
      </c>
      <c r="Q4737" s="1572">
        <v>100.68</v>
      </c>
      <c r="R4737" s="1565">
        <v>2066.2800000000002</v>
      </c>
      <c r="S4737" s="1562"/>
    </row>
    <row r="4738" spans="2:19" ht="11.25" customHeight="1" outlineLevel="1">
      <c r="B4738" s="1573">
        <v>29226</v>
      </c>
      <c r="C4738" s="1566" t="s">
        <v>3748</v>
      </c>
      <c r="D4738" s="1566" t="s">
        <v>8243</v>
      </c>
      <c r="E4738" s="1566"/>
      <c r="F4738" s="1566"/>
      <c r="G4738" s="1566"/>
      <c r="H4738" s="1568">
        <v>1</v>
      </c>
      <c r="I4738" s="1566"/>
      <c r="J4738" s="1566"/>
      <c r="K4738" s="1565">
        <v>19175</v>
      </c>
      <c r="L4738" s="1565">
        <v>19175</v>
      </c>
      <c r="M4738" s="1565">
        <v>-19175</v>
      </c>
      <c r="N4738" s="1564"/>
      <c r="O4738" s="1564"/>
      <c r="P4738" s="1565">
        <v>19175</v>
      </c>
      <c r="Q4738" s="1565">
        <v>-19175</v>
      </c>
      <c r="R4738" s="1564"/>
      <c r="S4738" s="1562"/>
    </row>
    <row r="4739" spans="2:19" ht="11.25" customHeight="1" outlineLevel="1">
      <c r="B4739" s="1573">
        <v>29227</v>
      </c>
      <c r="C4739" s="1566" t="s">
        <v>3748</v>
      </c>
      <c r="D4739" s="1566" t="s">
        <v>8242</v>
      </c>
      <c r="E4739" s="1566"/>
      <c r="F4739" s="1566"/>
      <c r="G4739" s="1566"/>
      <c r="H4739" s="1568">
        <v>1</v>
      </c>
      <c r="I4739" s="1566"/>
      <c r="J4739" s="1566"/>
      <c r="K4739" s="1565">
        <v>43644</v>
      </c>
      <c r="L4739" s="1565">
        <v>43644</v>
      </c>
      <c r="M4739" s="1565">
        <v>-43644</v>
      </c>
      <c r="N4739" s="1564"/>
      <c r="O4739" s="1564"/>
      <c r="P4739" s="1565">
        <v>43644</v>
      </c>
      <c r="Q4739" s="1565">
        <v>-43644</v>
      </c>
      <c r="R4739" s="1564"/>
      <c r="S4739" s="1562"/>
    </row>
    <row r="4740" spans="2:19" ht="11.25" customHeight="1" outlineLevel="1">
      <c r="B4740" s="1573">
        <v>29233</v>
      </c>
      <c r="C4740" s="1566" t="s">
        <v>3748</v>
      </c>
      <c r="D4740" s="1566" t="s">
        <v>8241</v>
      </c>
      <c r="E4740" s="1566"/>
      <c r="F4740" s="1566"/>
      <c r="G4740" s="1566"/>
      <c r="H4740" s="1568">
        <v>1</v>
      </c>
      <c r="I4740" s="1566"/>
      <c r="J4740" s="1566"/>
      <c r="K4740" s="1565">
        <v>22726</v>
      </c>
      <c r="L4740" s="1565">
        <v>22726</v>
      </c>
      <c r="M4740" s="1565">
        <v>-22726</v>
      </c>
      <c r="N4740" s="1564"/>
      <c r="O4740" s="1564"/>
      <c r="P4740" s="1565">
        <v>22726</v>
      </c>
      <c r="Q4740" s="1565">
        <v>-22726</v>
      </c>
      <c r="R4740" s="1564"/>
      <c r="S4740" s="1562"/>
    </row>
    <row r="4741" spans="2:19" ht="11.25" customHeight="1" outlineLevel="1">
      <c r="B4741" s="1573">
        <v>29234</v>
      </c>
      <c r="C4741" s="1566" t="s">
        <v>3748</v>
      </c>
      <c r="D4741" s="1566" t="s">
        <v>8240</v>
      </c>
      <c r="E4741" s="1566"/>
      <c r="F4741" s="1566"/>
      <c r="G4741" s="1566"/>
      <c r="H4741" s="1568">
        <v>1</v>
      </c>
      <c r="I4741" s="1566"/>
      <c r="J4741" s="1566"/>
      <c r="K4741" s="1565">
        <v>12783</v>
      </c>
      <c r="L4741" s="1565">
        <v>12783</v>
      </c>
      <c r="M4741" s="1565">
        <v>-12783</v>
      </c>
      <c r="N4741" s="1564"/>
      <c r="O4741" s="1564"/>
      <c r="P4741" s="1565">
        <v>12783</v>
      </c>
      <c r="Q4741" s="1565">
        <v>-12783</v>
      </c>
      <c r="R4741" s="1564"/>
      <c r="S4741" s="1562"/>
    </row>
    <row r="4742" spans="2:19" ht="11.25" customHeight="1" outlineLevel="1">
      <c r="B4742" s="1573">
        <v>29258</v>
      </c>
      <c r="C4742" s="1566" t="s">
        <v>3748</v>
      </c>
      <c r="D4742" s="1566" t="s">
        <v>8239</v>
      </c>
      <c r="E4742" s="1566"/>
      <c r="F4742" s="1566"/>
      <c r="G4742" s="1566" t="s">
        <v>3746</v>
      </c>
      <c r="H4742" s="1568">
        <v>1</v>
      </c>
      <c r="I4742" s="1566"/>
      <c r="J4742" s="1566"/>
      <c r="K4742" s="1572">
        <v>544</v>
      </c>
      <c r="L4742" s="1565">
        <v>25856</v>
      </c>
      <c r="M4742" s="1564"/>
      <c r="N4742" s="1565">
        <v>25856</v>
      </c>
      <c r="O4742" s="1565">
        <v>16884.099999999999</v>
      </c>
      <c r="P4742" s="1565">
        <v>8532.4599999999991</v>
      </c>
      <c r="Q4742" s="1572">
        <v>439.44</v>
      </c>
      <c r="R4742" s="1565">
        <v>8971.9</v>
      </c>
      <c r="S4742" s="1562"/>
    </row>
    <row r="4743" spans="2:19" ht="11.25" customHeight="1" outlineLevel="1">
      <c r="B4743" s="1573">
        <v>29274</v>
      </c>
      <c r="C4743" s="1566" t="s">
        <v>3748</v>
      </c>
      <c r="D4743" s="1566" t="s">
        <v>8238</v>
      </c>
      <c r="E4743" s="1566"/>
      <c r="F4743" s="1566"/>
      <c r="G4743" s="1566"/>
      <c r="H4743" s="1568">
        <v>1</v>
      </c>
      <c r="I4743" s="1566"/>
      <c r="J4743" s="1566"/>
      <c r="K4743" s="1565">
        <v>5656</v>
      </c>
      <c r="L4743" s="1565">
        <v>5656</v>
      </c>
      <c r="M4743" s="1565">
        <v>-5656</v>
      </c>
      <c r="N4743" s="1564"/>
      <c r="O4743" s="1564"/>
      <c r="P4743" s="1565">
        <v>5656</v>
      </c>
      <c r="Q4743" s="1565">
        <v>-5656</v>
      </c>
      <c r="R4743" s="1564"/>
      <c r="S4743" s="1562"/>
    </row>
    <row r="4744" spans="2:19" ht="11.25" customHeight="1" outlineLevel="1">
      <c r="B4744" s="1573">
        <v>29364</v>
      </c>
      <c r="C4744" s="1566" t="s">
        <v>3745</v>
      </c>
      <c r="D4744" s="1566" t="s">
        <v>8237</v>
      </c>
      <c r="E4744" s="1566"/>
      <c r="F4744" s="1566"/>
      <c r="G4744" s="1566" t="s">
        <v>3743</v>
      </c>
      <c r="H4744" s="1568">
        <v>1</v>
      </c>
      <c r="I4744" s="1566"/>
      <c r="J4744" s="1566"/>
      <c r="K4744" s="1572">
        <v>339</v>
      </c>
      <c r="L4744" s="1565">
        <v>13537</v>
      </c>
      <c r="M4744" s="1564"/>
      <c r="N4744" s="1565">
        <v>13537</v>
      </c>
      <c r="O4744" s="1572">
        <v>109.98</v>
      </c>
      <c r="P4744" s="1565">
        <v>12866.2</v>
      </c>
      <c r="Q4744" s="1572">
        <v>560.82000000000005</v>
      </c>
      <c r="R4744" s="1565">
        <v>13427.02</v>
      </c>
      <c r="S4744" s="1562"/>
    </row>
    <row r="4745" spans="2:19" ht="11.25" customHeight="1" outlineLevel="1">
      <c r="B4745" s="1573">
        <v>29456</v>
      </c>
      <c r="C4745" s="1566" t="s">
        <v>3740</v>
      </c>
      <c r="D4745" s="1566" t="s">
        <v>8236</v>
      </c>
      <c r="E4745" s="1566"/>
      <c r="F4745" s="1566"/>
      <c r="G4745" s="1566" t="s">
        <v>8232</v>
      </c>
      <c r="H4745" s="1568">
        <v>1</v>
      </c>
      <c r="I4745" s="1566"/>
      <c r="J4745" s="1566"/>
      <c r="K4745" s="1572">
        <v>619</v>
      </c>
      <c r="L4745" s="1565">
        <v>16218</v>
      </c>
      <c r="M4745" s="1564"/>
      <c r="N4745" s="1565">
        <v>16218</v>
      </c>
      <c r="O4745" s="1565">
        <v>4633.32</v>
      </c>
      <c r="P4745" s="1565">
        <v>11005.56</v>
      </c>
      <c r="Q4745" s="1572">
        <v>579.12</v>
      </c>
      <c r="R4745" s="1565">
        <v>11584.68</v>
      </c>
      <c r="S4745" s="1562"/>
    </row>
    <row r="4746" spans="2:19" ht="11.25" customHeight="1" outlineLevel="1">
      <c r="B4746" s="1573">
        <v>29457</v>
      </c>
      <c r="C4746" s="1566" t="s">
        <v>3740</v>
      </c>
      <c r="D4746" s="1566" t="s">
        <v>8235</v>
      </c>
      <c r="E4746" s="1566"/>
      <c r="F4746" s="1566"/>
      <c r="G4746" s="1566" t="s">
        <v>8232</v>
      </c>
      <c r="H4746" s="1568">
        <v>1</v>
      </c>
      <c r="I4746" s="1566"/>
      <c r="J4746" s="1566"/>
      <c r="K4746" s="1572">
        <v>619</v>
      </c>
      <c r="L4746" s="1565">
        <v>44939</v>
      </c>
      <c r="M4746" s="1564"/>
      <c r="N4746" s="1565">
        <v>44939</v>
      </c>
      <c r="O4746" s="1565">
        <v>12839.12</v>
      </c>
      <c r="P4746" s="1565">
        <v>30495</v>
      </c>
      <c r="Q4746" s="1565">
        <v>1604.88</v>
      </c>
      <c r="R4746" s="1565">
        <v>32099.88</v>
      </c>
      <c r="S4746" s="1562"/>
    </row>
    <row r="4747" spans="2:19" ht="11.25" customHeight="1" outlineLevel="1">
      <c r="B4747" s="1573">
        <v>29458</v>
      </c>
      <c r="C4747" s="1566" t="s">
        <v>3740</v>
      </c>
      <c r="D4747" s="1566" t="s">
        <v>8234</v>
      </c>
      <c r="E4747" s="1566"/>
      <c r="F4747" s="1566"/>
      <c r="G4747" s="1566" t="s">
        <v>8232</v>
      </c>
      <c r="H4747" s="1568">
        <v>1</v>
      </c>
      <c r="I4747" s="1566"/>
      <c r="J4747" s="1566"/>
      <c r="K4747" s="1572">
        <v>619</v>
      </c>
      <c r="L4747" s="1565">
        <v>54834</v>
      </c>
      <c r="M4747" s="1564"/>
      <c r="N4747" s="1565">
        <v>54834</v>
      </c>
      <c r="O4747" s="1565">
        <v>15666.12</v>
      </c>
      <c r="P4747" s="1565">
        <v>37209.599999999999</v>
      </c>
      <c r="Q4747" s="1565">
        <v>1958.28</v>
      </c>
      <c r="R4747" s="1565">
        <v>39167.879999999997</v>
      </c>
      <c r="S4747" s="1562"/>
    </row>
    <row r="4748" spans="2:19" ht="11.25" customHeight="1" outlineLevel="1">
      <c r="B4748" s="1573">
        <v>29459</v>
      </c>
      <c r="C4748" s="1566" t="s">
        <v>3740</v>
      </c>
      <c r="D4748" s="1566" t="s">
        <v>8233</v>
      </c>
      <c r="E4748" s="1566"/>
      <c r="F4748" s="1566"/>
      <c r="G4748" s="1566" t="s">
        <v>8232</v>
      </c>
      <c r="H4748" s="1568">
        <v>1</v>
      </c>
      <c r="I4748" s="1566"/>
      <c r="J4748" s="1566"/>
      <c r="K4748" s="1572">
        <v>620</v>
      </c>
      <c r="L4748" s="1565">
        <v>52080</v>
      </c>
      <c r="M4748" s="1564"/>
      <c r="N4748" s="1565">
        <v>52080</v>
      </c>
      <c r="O4748" s="1565">
        <v>14880</v>
      </c>
      <c r="P4748" s="1565">
        <v>35340</v>
      </c>
      <c r="Q4748" s="1565">
        <v>1860</v>
      </c>
      <c r="R4748" s="1565">
        <v>37200</v>
      </c>
      <c r="S4748" s="1562"/>
    </row>
    <row r="4749" spans="2:19" ht="11.25" customHeight="1" outlineLevel="1">
      <c r="B4749" s="1573">
        <v>29460</v>
      </c>
      <c r="C4749" s="1566" t="s">
        <v>3740</v>
      </c>
      <c r="D4749" s="1566" t="s">
        <v>8231</v>
      </c>
      <c r="E4749" s="1566"/>
      <c r="F4749" s="1566"/>
      <c r="G4749" s="1566" t="s">
        <v>3738</v>
      </c>
      <c r="H4749" s="1568">
        <v>1</v>
      </c>
      <c r="I4749" s="1566"/>
      <c r="J4749" s="1566"/>
      <c r="K4749" s="1572">
        <v>620</v>
      </c>
      <c r="L4749" s="1565">
        <v>351559</v>
      </c>
      <c r="M4749" s="1564"/>
      <c r="N4749" s="1565">
        <v>351559</v>
      </c>
      <c r="O4749" s="1565">
        <v>232048.6</v>
      </c>
      <c r="P4749" s="1565">
        <v>113534.88</v>
      </c>
      <c r="Q4749" s="1565">
        <v>5975.52</v>
      </c>
      <c r="R4749" s="1565">
        <v>119510.39999999999</v>
      </c>
      <c r="S4749" s="1562"/>
    </row>
    <row r="4750" spans="2:19" ht="11.25" customHeight="1" outlineLevel="1">
      <c r="B4750" s="1573">
        <v>29482</v>
      </c>
      <c r="C4750" s="1566" t="s">
        <v>3740</v>
      </c>
      <c r="D4750" s="1566" t="s">
        <v>8230</v>
      </c>
      <c r="E4750" s="1566"/>
      <c r="F4750" s="1566"/>
      <c r="G4750" s="1566"/>
      <c r="H4750" s="1568">
        <v>1</v>
      </c>
      <c r="I4750" s="1566"/>
      <c r="J4750" s="1566"/>
      <c r="K4750" s="1565">
        <v>23202</v>
      </c>
      <c r="L4750" s="1565">
        <v>23202</v>
      </c>
      <c r="M4750" s="1565">
        <v>-23202</v>
      </c>
      <c r="N4750" s="1564"/>
      <c r="O4750" s="1564"/>
      <c r="P4750" s="1565">
        <v>23202</v>
      </c>
      <c r="Q4750" s="1565">
        <v>-23202</v>
      </c>
      <c r="R4750" s="1564"/>
      <c r="S4750" s="1562"/>
    </row>
    <row r="4751" spans="2:19" ht="11.25" customHeight="1" outlineLevel="1">
      <c r="B4751" s="1573">
        <v>29483</v>
      </c>
      <c r="C4751" s="1566" t="s">
        <v>3740</v>
      </c>
      <c r="D4751" s="1566" t="s">
        <v>8229</v>
      </c>
      <c r="E4751" s="1566"/>
      <c r="F4751" s="1566"/>
      <c r="G4751" s="1566"/>
      <c r="H4751" s="1568">
        <v>1</v>
      </c>
      <c r="I4751" s="1566"/>
      <c r="J4751" s="1566"/>
      <c r="K4751" s="1565">
        <v>11865</v>
      </c>
      <c r="L4751" s="1565">
        <v>11865</v>
      </c>
      <c r="M4751" s="1565">
        <v>-11865</v>
      </c>
      <c r="N4751" s="1564"/>
      <c r="O4751" s="1564"/>
      <c r="P4751" s="1565">
        <v>11865</v>
      </c>
      <c r="Q4751" s="1565">
        <v>-11865</v>
      </c>
      <c r="R4751" s="1564"/>
      <c r="S4751" s="1562"/>
    </row>
    <row r="4752" spans="2:19" ht="11.25" customHeight="1" outlineLevel="1">
      <c r="B4752" s="1573">
        <v>29497</v>
      </c>
      <c r="C4752" s="1566" t="s">
        <v>3740</v>
      </c>
      <c r="D4752" s="1566" t="s">
        <v>8228</v>
      </c>
      <c r="E4752" s="1566"/>
      <c r="F4752" s="1566"/>
      <c r="G4752" s="1566"/>
      <c r="H4752" s="1568">
        <v>1</v>
      </c>
      <c r="I4752" s="1566"/>
      <c r="J4752" s="1566"/>
      <c r="K4752" s="1565">
        <v>12500</v>
      </c>
      <c r="L4752" s="1565">
        <v>12500</v>
      </c>
      <c r="M4752" s="1565">
        <v>-12500</v>
      </c>
      <c r="N4752" s="1564"/>
      <c r="O4752" s="1564"/>
      <c r="P4752" s="1565">
        <v>12500</v>
      </c>
      <c r="Q4752" s="1565">
        <v>-12500</v>
      </c>
      <c r="R4752" s="1564"/>
      <c r="S4752" s="1562"/>
    </row>
    <row r="4753" spans="2:19" ht="11.25" customHeight="1" outlineLevel="1">
      <c r="B4753" s="1573">
        <v>29469</v>
      </c>
      <c r="C4753" s="1566" t="s">
        <v>8226</v>
      </c>
      <c r="D4753" s="1566" t="s">
        <v>8227</v>
      </c>
      <c r="E4753" s="1566"/>
      <c r="F4753" s="1566"/>
      <c r="G4753" s="1566"/>
      <c r="H4753" s="1568">
        <v>1</v>
      </c>
      <c r="I4753" s="1566"/>
      <c r="J4753" s="1566"/>
      <c r="K4753" s="1565">
        <v>44700</v>
      </c>
      <c r="L4753" s="1565">
        <v>44700</v>
      </c>
      <c r="M4753" s="1565">
        <v>-44700</v>
      </c>
      <c r="N4753" s="1564"/>
      <c r="O4753" s="1564"/>
      <c r="P4753" s="1565">
        <v>44700</v>
      </c>
      <c r="Q4753" s="1565">
        <v>-44700</v>
      </c>
      <c r="R4753" s="1564"/>
      <c r="S4753" s="1562"/>
    </row>
    <row r="4754" spans="2:19" ht="11.25" customHeight="1" outlineLevel="1">
      <c r="B4754" s="1573">
        <v>29470</v>
      </c>
      <c r="C4754" s="1566" t="s">
        <v>8226</v>
      </c>
      <c r="D4754" s="1566" t="s">
        <v>8225</v>
      </c>
      <c r="E4754" s="1566"/>
      <c r="F4754" s="1566"/>
      <c r="G4754" s="1566"/>
      <c r="H4754" s="1568">
        <v>1</v>
      </c>
      <c r="I4754" s="1566"/>
      <c r="J4754" s="1566"/>
      <c r="K4754" s="1565">
        <v>23210</v>
      </c>
      <c r="L4754" s="1565">
        <v>23210</v>
      </c>
      <c r="M4754" s="1565">
        <v>-23210</v>
      </c>
      <c r="N4754" s="1564"/>
      <c r="O4754" s="1564"/>
      <c r="P4754" s="1565">
        <v>23210</v>
      </c>
      <c r="Q4754" s="1565">
        <v>-23210</v>
      </c>
      <c r="R4754" s="1564"/>
      <c r="S4754" s="1562"/>
    </row>
    <row r="4755" spans="2:19" ht="11.25" customHeight="1" outlineLevel="1">
      <c r="B4755" s="1573">
        <v>29007</v>
      </c>
      <c r="C4755" s="1566" t="s">
        <v>8224</v>
      </c>
      <c r="D4755" s="1566" t="s">
        <v>8223</v>
      </c>
      <c r="E4755" s="1566"/>
      <c r="F4755" s="1566"/>
      <c r="G4755" s="1566"/>
      <c r="H4755" s="1568">
        <v>1</v>
      </c>
      <c r="I4755" s="1566"/>
      <c r="J4755" s="1566"/>
      <c r="K4755" s="1565">
        <v>90000</v>
      </c>
      <c r="L4755" s="1565">
        <v>90000</v>
      </c>
      <c r="M4755" s="1565">
        <v>-90000</v>
      </c>
      <c r="N4755" s="1564"/>
      <c r="O4755" s="1564"/>
      <c r="P4755" s="1565">
        <v>90000</v>
      </c>
      <c r="Q4755" s="1565">
        <v>-90000</v>
      </c>
      <c r="R4755" s="1564"/>
      <c r="S4755" s="1562"/>
    </row>
    <row r="4756" spans="2:19" ht="11.25" customHeight="1" outlineLevel="1">
      <c r="B4756" s="1573">
        <v>29290</v>
      </c>
      <c r="C4756" s="1566" t="s">
        <v>8222</v>
      </c>
      <c r="D4756" s="1566" t="s">
        <v>8221</v>
      </c>
      <c r="E4756" s="1566"/>
      <c r="F4756" s="1566"/>
      <c r="G4756" s="1566"/>
      <c r="H4756" s="1568">
        <v>1</v>
      </c>
      <c r="I4756" s="1566"/>
      <c r="J4756" s="1566"/>
      <c r="K4756" s="1565">
        <v>64000</v>
      </c>
      <c r="L4756" s="1565">
        <v>64000</v>
      </c>
      <c r="M4756" s="1565">
        <v>-64000</v>
      </c>
      <c r="N4756" s="1564"/>
      <c r="O4756" s="1564"/>
      <c r="P4756" s="1565">
        <v>64000</v>
      </c>
      <c r="Q4756" s="1565">
        <v>-64000</v>
      </c>
      <c r="R4756" s="1564"/>
      <c r="S4756" s="1562"/>
    </row>
    <row r="4757" spans="2:19" ht="11.25" customHeight="1" outlineLevel="1">
      <c r="B4757" s="1573">
        <v>30024</v>
      </c>
      <c r="C4757" s="1566" t="s">
        <v>8215</v>
      </c>
      <c r="D4757" s="1566" t="s">
        <v>8220</v>
      </c>
      <c r="E4757" s="1566"/>
      <c r="F4757" s="1566"/>
      <c r="G4757" s="1566"/>
      <c r="H4757" s="1568">
        <v>1</v>
      </c>
      <c r="I4757" s="1566"/>
      <c r="J4757" s="1566"/>
      <c r="K4757" s="1565">
        <v>8340</v>
      </c>
      <c r="L4757" s="1565">
        <v>8340</v>
      </c>
      <c r="M4757" s="1565">
        <v>-8340</v>
      </c>
      <c r="N4757" s="1564"/>
      <c r="O4757" s="1564"/>
      <c r="P4757" s="1565">
        <v>8340</v>
      </c>
      <c r="Q4757" s="1565">
        <v>-8340</v>
      </c>
      <c r="R4757" s="1564"/>
      <c r="S4757" s="1562"/>
    </row>
    <row r="4758" spans="2:19" ht="11.25" customHeight="1" outlineLevel="1">
      <c r="B4758" s="1573">
        <v>30377</v>
      </c>
      <c r="C4758" s="1566" t="s">
        <v>8215</v>
      </c>
      <c r="D4758" s="1566" t="s">
        <v>8219</v>
      </c>
      <c r="E4758" s="1566"/>
      <c r="F4758" s="1566"/>
      <c r="G4758" s="1566"/>
      <c r="H4758" s="1568">
        <v>1</v>
      </c>
      <c r="I4758" s="1566"/>
      <c r="J4758" s="1566"/>
      <c r="K4758" s="1565">
        <v>2958.5</v>
      </c>
      <c r="L4758" s="1565">
        <v>2958.5</v>
      </c>
      <c r="M4758" s="1565">
        <v>-2958.5</v>
      </c>
      <c r="N4758" s="1564"/>
      <c r="O4758" s="1564"/>
      <c r="P4758" s="1565">
        <v>2958.5</v>
      </c>
      <c r="Q4758" s="1565">
        <v>-2958.5</v>
      </c>
      <c r="R4758" s="1564"/>
      <c r="S4758" s="1562"/>
    </row>
    <row r="4759" spans="2:19" ht="11.25" customHeight="1" outlineLevel="1">
      <c r="B4759" s="1573">
        <v>30391</v>
      </c>
      <c r="C4759" s="1566" t="s">
        <v>8215</v>
      </c>
      <c r="D4759" s="1566" t="s">
        <v>8218</v>
      </c>
      <c r="E4759" s="1566"/>
      <c r="F4759" s="1566"/>
      <c r="G4759" s="1566"/>
      <c r="H4759" s="1568">
        <v>1</v>
      </c>
      <c r="I4759" s="1566"/>
      <c r="J4759" s="1566"/>
      <c r="K4759" s="1565">
        <v>7020</v>
      </c>
      <c r="L4759" s="1565">
        <v>7020</v>
      </c>
      <c r="M4759" s="1565">
        <v>-7020</v>
      </c>
      <c r="N4759" s="1564"/>
      <c r="O4759" s="1564"/>
      <c r="P4759" s="1565">
        <v>7020</v>
      </c>
      <c r="Q4759" s="1565">
        <v>-7020</v>
      </c>
      <c r="R4759" s="1564"/>
      <c r="S4759" s="1562"/>
    </row>
    <row r="4760" spans="2:19" ht="11.25" customHeight="1" outlineLevel="1">
      <c r="B4760" s="1573">
        <v>30543</v>
      </c>
      <c r="C4760" s="1566" t="s">
        <v>8215</v>
      </c>
      <c r="D4760" s="1566" t="s">
        <v>8217</v>
      </c>
      <c r="E4760" s="1566"/>
      <c r="F4760" s="1566"/>
      <c r="G4760" s="1566"/>
      <c r="H4760" s="1568">
        <v>2</v>
      </c>
      <c r="I4760" s="1566"/>
      <c r="J4760" s="1566"/>
      <c r="K4760" s="1565">
        <v>2299.17</v>
      </c>
      <c r="L4760" s="1565">
        <v>2299.17</v>
      </c>
      <c r="M4760" s="1565">
        <v>-2299.17</v>
      </c>
      <c r="N4760" s="1564"/>
      <c r="O4760" s="1564"/>
      <c r="P4760" s="1565">
        <v>2299.17</v>
      </c>
      <c r="Q4760" s="1565">
        <v>-2299.17</v>
      </c>
      <c r="R4760" s="1564"/>
      <c r="S4760" s="1562"/>
    </row>
    <row r="4761" spans="2:19" ht="11.25" customHeight="1" outlineLevel="1">
      <c r="B4761" s="1573">
        <v>35196</v>
      </c>
      <c r="C4761" s="1566" t="s">
        <v>8215</v>
      </c>
      <c r="D4761" s="1566" t="s">
        <v>8216</v>
      </c>
      <c r="E4761" s="1566"/>
      <c r="F4761" s="1566"/>
      <c r="G4761" s="1566"/>
      <c r="H4761" s="1568">
        <v>2</v>
      </c>
      <c r="I4761" s="1566"/>
      <c r="J4761" s="1566"/>
      <c r="K4761" s="1565">
        <v>2299.17</v>
      </c>
      <c r="L4761" s="1565">
        <v>2299.17</v>
      </c>
      <c r="M4761" s="1565">
        <v>-2299.17</v>
      </c>
      <c r="N4761" s="1564"/>
      <c r="O4761" s="1564"/>
      <c r="P4761" s="1565">
        <v>2299.17</v>
      </c>
      <c r="Q4761" s="1565">
        <v>-2299.17</v>
      </c>
      <c r="R4761" s="1564"/>
      <c r="S4761" s="1562"/>
    </row>
    <row r="4762" spans="2:19" ht="11.25" customHeight="1" outlineLevel="1">
      <c r="B4762" s="1573">
        <v>35340</v>
      </c>
      <c r="C4762" s="1566" t="s">
        <v>8215</v>
      </c>
      <c r="D4762" s="1566" t="s">
        <v>8214</v>
      </c>
      <c r="E4762" s="1566"/>
      <c r="F4762" s="1566"/>
      <c r="G4762" s="1566"/>
      <c r="H4762" s="1568">
        <v>3</v>
      </c>
      <c r="I4762" s="1566"/>
      <c r="J4762" s="1566"/>
      <c r="K4762" s="1565">
        <v>2760</v>
      </c>
      <c r="L4762" s="1565">
        <v>2760</v>
      </c>
      <c r="M4762" s="1565">
        <v>-2760</v>
      </c>
      <c r="N4762" s="1564"/>
      <c r="O4762" s="1564"/>
      <c r="P4762" s="1565">
        <v>2760</v>
      </c>
      <c r="Q4762" s="1565">
        <v>-2760</v>
      </c>
      <c r="R4762" s="1564"/>
      <c r="S4762" s="1562"/>
    </row>
    <row r="4763" spans="2:19" ht="11.25" customHeight="1" outlineLevel="1">
      <c r="B4763" s="1573">
        <v>29866</v>
      </c>
      <c r="C4763" s="1566" t="s">
        <v>8212</v>
      </c>
      <c r="D4763" s="1566" t="s">
        <v>8213</v>
      </c>
      <c r="E4763" s="1566"/>
      <c r="F4763" s="1566"/>
      <c r="G4763" s="1566"/>
      <c r="H4763" s="1568">
        <v>1</v>
      </c>
      <c r="I4763" s="1566"/>
      <c r="J4763" s="1566"/>
      <c r="K4763" s="1565">
        <v>2026</v>
      </c>
      <c r="L4763" s="1565">
        <v>2026.2</v>
      </c>
      <c r="M4763" s="1565">
        <v>-2026.2</v>
      </c>
      <c r="N4763" s="1564"/>
      <c r="O4763" s="1564"/>
      <c r="P4763" s="1565">
        <v>2026.2</v>
      </c>
      <c r="Q4763" s="1565">
        <v>-2026.2</v>
      </c>
      <c r="R4763" s="1564"/>
      <c r="S4763" s="1562"/>
    </row>
    <row r="4764" spans="2:19" ht="11.25" customHeight="1" outlineLevel="1">
      <c r="B4764" s="1573">
        <v>37092</v>
      </c>
      <c r="C4764" s="1566" t="s">
        <v>8212</v>
      </c>
      <c r="D4764" s="1566" t="s">
        <v>8211</v>
      </c>
      <c r="E4764" s="1566"/>
      <c r="F4764" s="1566"/>
      <c r="G4764" s="1566"/>
      <c r="H4764" s="1568">
        <v>1</v>
      </c>
      <c r="I4764" s="1566"/>
      <c r="J4764" s="1566"/>
      <c r="K4764" s="1565">
        <v>2026</v>
      </c>
      <c r="L4764" s="1565">
        <v>2026.2</v>
      </c>
      <c r="M4764" s="1565">
        <v>-2026.2</v>
      </c>
      <c r="N4764" s="1564"/>
      <c r="O4764" s="1564"/>
      <c r="P4764" s="1565">
        <v>2026.2</v>
      </c>
      <c r="Q4764" s="1565">
        <v>-2026.2</v>
      </c>
      <c r="R4764" s="1564"/>
      <c r="S4764" s="1562"/>
    </row>
    <row r="4765" spans="2:19" s="1704" customFormat="1" ht="11.25" customHeight="1" outlineLevel="1">
      <c r="B4765" s="1697">
        <v>31008</v>
      </c>
      <c r="C4765" s="1698" t="s">
        <v>3737</v>
      </c>
      <c r="D4765" s="1698" t="s">
        <v>8210</v>
      </c>
      <c r="E4765" s="1698"/>
      <c r="F4765" s="1698"/>
      <c r="G4765" s="1698" t="s">
        <v>3664</v>
      </c>
      <c r="H4765" s="1699">
        <v>1</v>
      </c>
      <c r="I4765" s="1698"/>
      <c r="J4765" s="1698"/>
      <c r="K4765" s="1701">
        <v>867025</v>
      </c>
      <c r="L4765" s="1701">
        <v>867025</v>
      </c>
      <c r="M4765" s="1702"/>
      <c r="N4765" s="1701">
        <v>867025</v>
      </c>
      <c r="O4765" s="1701">
        <v>39739.089999999997</v>
      </c>
      <c r="P4765" s="1701">
        <v>783934.2</v>
      </c>
      <c r="Q4765" s="1701">
        <v>43351.71</v>
      </c>
      <c r="R4765" s="1701">
        <v>827285.91</v>
      </c>
      <c r="S4765" s="1703"/>
    </row>
    <row r="4766" spans="2:19" ht="11.25" customHeight="1" outlineLevel="1">
      <c r="B4766" s="1573">
        <v>31009</v>
      </c>
      <c r="C4766" s="1566" t="s">
        <v>3737</v>
      </c>
      <c r="D4766" s="1566" t="s">
        <v>8209</v>
      </c>
      <c r="E4766" s="1566"/>
      <c r="F4766" s="1566"/>
      <c r="G4766" s="1566" t="s">
        <v>3664</v>
      </c>
      <c r="H4766" s="1568">
        <v>1</v>
      </c>
      <c r="I4766" s="1566"/>
      <c r="J4766" s="1566"/>
      <c r="K4766" s="1565">
        <v>52835</v>
      </c>
      <c r="L4766" s="1565">
        <v>52835</v>
      </c>
      <c r="M4766" s="1564"/>
      <c r="N4766" s="1565">
        <v>52835</v>
      </c>
      <c r="O4766" s="1565">
        <v>2421.15</v>
      </c>
      <c r="P4766" s="1565">
        <v>47772.55</v>
      </c>
      <c r="Q4766" s="1565">
        <v>2641.3</v>
      </c>
      <c r="R4766" s="1565">
        <v>50413.85</v>
      </c>
      <c r="S4766" s="1562"/>
    </row>
    <row r="4767" spans="2:19" ht="11.25" customHeight="1" outlineLevel="1">
      <c r="B4767" s="1573">
        <v>31010</v>
      </c>
      <c r="C4767" s="1566" t="s">
        <v>3737</v>
      </c>
      <c r="D4767" s="1566" t="s">
        <v>8208</v>
      </c>
      <c r="E4767" s="1566"/>
      <c r="F4767" s="1566"/>
      <c r="G4767" s="1566" t="s">
        <v>3664</v>
      </c>
      <c r="H4767" s="1568">
        <v>1</v>
      </c>
      <c r="I4767" s="1566"/>
      <c r="J4767" s="1566"/>
      <c r="K4767" s="1565">
        <v>105413</v>
      </c>
      <c r="L4767" s="1565">
        <v>105413</v>
      </c>
      <c r="M4767" s="1564"/>
      <c r="N4767" s="1565">
        <v>105413</v>
      </c>
      <c r="O4767" s="1565">
        <v>4831.5</v>
      </c>
      <c r="P4767" s="1565">
        <v>95310.74</v>
      </c>
      <c r="Q4767" s="1565">
        <v>5270.76</v>
      </c>
      <c r="R4767" s="1565">
        <v>100581.5</v>
      </c>
      <c r="S4767" s="1562"/>
    </row>
    <row r="4768" spans="2:19" ht="11.25" customHeight="1" outlineLevel="1">
      <c r="B4768" s="1573">
        <v>31015</v>
      </c>
      <c r="C4768" s="1566" t="s">
        <v>3737</v>
      </c>
      <c r="D4768" s="1566" t="s">
        <v>8207</v>
      </c>
      <c r="E4768" s="1566"/>
      <c r="F4768" s="1566"/>
      <c r="G4768" s="1566" t="s">
        <v>5160</v>
      </c>
      <c r="H4768" s="1568">
        <v>1</v>
      </c>
      <c r="I4768" s="1566"/>
      <c r="J4768" s="1566"/>
      <c r="K4768" s="1565">
        <v>10070</v>
      </c>
      <c r="L4768" s="1565">
        <v>10070</v>
      </c>
      <c r="M4768" s="1564"/>
      <c r="N4768" s="1565">
        <v>10070</v>
      </c>
      <c r="O4768" s="1565">
        <v>6804.4</v>
      </c>
      <c r="P4768" s="1565">
        <v>3094.42</v>
      </c>
      <c r="Q4768" s="1572">
        <v>171.18</v>
      </c>
      <c r="R4768" s="1565">
        <v>3265.6</v>
      </c>
      <c r="S4768" s="1562"/>
    </row>
    <row r="4769" spans="2:19" ht="11.25" customHeight="1" outlineLevel="1">
      <c r="B4769" s="1573">
        <v>31133</v>
      </c>
      <c r="C4769" s="1566" t="s">
        <v>8206</v>
      </c>
      <c r="D4769" s="1566" t="s">
        <v>8205</v>
      </c>
      <c r="E4769" s="1566"/>
      <c r="F4769" s="1566"/>
      <c r="G4769" s="1566" t="s">
        <v>3734</v>
      </c>
      <c r="H4769" s="1568">
        <v>1</v>
      </c>
      <c r="I4769" s="1566"/>
      <c r="J4769" s="1566"/>
      <c r="K4769" s="1565">
        <v>393322</v>
      </c>
      <c r="L4769" s="1565">
        <v>393322</v>
      </c>
      <c r="M4769" s="1564"/>
      <c r="N4769" s="1565">
        <v>393322</v>
      </c>
      <c r="O4769" s="1565">
        <v>243859</v>
      </c>
      <c r="P4769" s="1565">
        <v>141596.64000000001</v>
      </c>
      <c r="Q4769" s="1565">
        <v>7866.36</v>
      </c>
      <c r="R4769" s="1565">
        <v>149463</v>
      </c>
      <c r="S4769" s="1562"/>
    </row>
    <row r="4770" spans="2:19" ht="11.25" customHeight="1" outlineLevel="1">
      <c r="B4770" s="1573">
        <v>31129</v>
      </c>
      <c r="C4770" s="1566" t="s">
        <v>3721</v>
      </c>
      <c r="D4770" s="1566" t="s">
        <v>8204</v>
      </c>
      <c r="E4770" s="1566"/>
      <c r="F4770" s="1566"/>
      <c r="G4770" s="1566" t="s">
        <v>3664</v>
      </c>
      <c r="H4770" s="1568">
        <v>1</v>
      </c>
      <c r="I4770" s="1566"/>
      <c r="J4770" s="1566"/>
      <c r="K4770" s="1565">
        <v>21790</v>
      </c>
      <c r="L4770" s="1565">
        <v>21790</v>
      </c>
      <c r="M4770" s="1564"/>
      <c r="N4770" s="1565">
        <v>21790</v>
      </c>
      <c r="O4770" s="1565">
        <v>13509.16</v>
      </c>
      <c r="P4770" s="1565">
        <v>7845.12</v>
      </c>
      <c r="Q4770" s="1572">
        <v>435.72</v>
      </c>
      <c r="R4770" s="1565">
        <v>8280.84</v>
      </c>
      <c r="S4770" s="1562"/>
    </row>
    <row r="4771" spans="2:19" ht="11.25" customHeight="1" outlineLevel="1">
      <c r="B4771" s="1573">
        <v>31137</v>
      </c>
      <c r="C4771" s="1566" t="s">
        <v>3721</v>
      </c>
      <c r="D4771" s="1566" t="s">
        <v>8203</v>
      </c>
      <c r="E4771" s="1566"/>
      <c r="F4771" s="1566"/>
      <c r="G4771" s="1566" t="s">
        <v>8202</v>
      </c>
      <c r="H4771" s="1568">
        <v>1</v>
      </c>
      <c r="I4771" s="1566"/>
      <c r="J4771" s="1566"/>
      <c r="K4771" s="1565">
        <v>107827</v>
      </c>
      <c r="L4771" s="1565">
        <v>107827</v>
      </c>
      <c r="M4771" s="1564"/>
      <c r="N4771" s="1565">
        <v>107827</v>
      </c>
      <c r="O4771" s="1565">
        <v>66853.119999999995</v>
      </c>
      <c r="P4771" s="1565">
        <v>38817.360000000001</v>
      </c>
      <c r="Q4771" s="1565">
        <v>2156.52</v>
      </c>
      <c r="R4771" s="1565">
        <v>40973.879999999997</v>
      </c>
      <c r="S4771" s="1562"/>
    </row>
    <row r="4772" spans="2:19" ht="11.25" customHeight="1" outlineLevel="1">
      <c r="B4772" s="1573">
        <v>31138</v>
      </c>
      <c r="C4772" s="1566" t="s">
        <v>3721</v>
      </c>
      <c r="D4772" s="1566" t="s">
        <v>8201</v>
      </c>
      <c r="E4772" s="1566"/>
      <c r="F4772" s="1566"/>
      <c r="G4772" s="1566" t="s">
        <v>3734</v>
      </c>
      <c r="H4772" s="1568">
        <v>1</v>
      </c>
      <c r="I4772" s="1566"/>
      <c r="J4772" s="1566"/>
      <c r="K4772" s="1565">
        <v>533740</v>
      </c>
      <c r="L4772" s="1565">
        <v>533740</v>
      </c>
      <c r="M4772" s="1564"/>
      <c r="N4772" s="1565">
        <v>533740</v>
      </c>
      <c r="O4772" s="1565">
        <v>26686.62</v>
      </c>
      <c r="P4772" s="1565">
        <v>480366.72</v>
      </c>
      <c r="Q4772" s="1565">
        <v>26686.66</v>
      </c>
      <c r="R4772" s="1565">
        <v>507053.38</v>
      </c>
      <c r="S4772" s="1562"/>
    </row>
    <row r="4773" spans="2:19" ht="11.25" customHeight="1" outlineLevel="1">
      <c r="B4773" s="1573">
        <v>31139</v>
      </c>
      <c r="C4773" s="1566" t="s">
        <v>3721</v>
      </c>
      <c r="D4773" s="1566" t="s">
        <v>8200</v>
      </c>
      <c r="E4773" s="1566"/>
      <c r="F4773" s="1566"/>
      <c r="G4773" s="1566" t="s">
        <v>8199</v>
      </c>
      <c r="H4773" s="1568">
        <v>1</v>
      </c>
      <c r="I4773" s="1566"/>
      <c r="J4773" s="1566"/>
      <c r="K4773" s="1565">
        <v>175828</v>
      </c>
      <c r="L4773" s="1565">
        <v>175828</v>
      </c>
      <c r="M4773" s="1564"/>
      <c r="N4773" s="1565">
        <v>175828</v>
      </c>
      <c r="O4773" s="1565">
        <v>109012.72</v>
      </c>
      <c r="P4773" s="1565">
        <v>63298.8</v>
      </c>
      <c r="Q4773" s="1565">
        <v>3516.48</v>
      </c>
      <c r="R4773" s="1565">
        <v>66815.28</v>
      </c>
      <c r="S4773" s="1562"/>
    </row>
    <row r="4774" spans="2:19" ht="11.25" customHeight="1" outlineLevel="1">
      <c r="B4774" s="1573">
        <v>31141</v>
      </c>
      <c r="C4774" s="1566" t="s">
        <v>3721</v>
      </c>
      <c r="D4774" s="1566" t="s">
        <v>8198</v>
      </c>
      <c r="E4774" s="1566"/>
      <c r="F4774" s="1566"/>
      <c r="G4774" s="1566" t="s">
        <v>3727</v>
      </c>
      <c r="H4774" s="1568">
        <v>1</v>
      </c>
      <c r="I4774" s="1566"/>
      <c r="J4774" s="1566"/>
      <c r="K4774" s="1565">
        <v>1368623</v>
      </c>
      <c r="L4774" s="1565">
        <v>1368623</v>
      </c>
      <c r="M4774" s="1564"/>
      <c r="N4774" s="1565">
        <v>1368623</v>
      </c>
      <c r="O4774" s="1565">
        <v>848545.88</v>
      </c>
      <c r="P4774" s="1565">
        <v>492704.64</v>
      </c>
      <c r="Q4774" s="1565">
        <v>27372.48</v>
      </c>
      <c r="R4774" s="1565">
        <v>520077.12</v>
      </c>
      <c r="S4774" s="1562"/>
    </row>
    <row r="4775" spans="2:19" ht="11.25" customHeight="1" outlineLevel="1">
      <c r="B4775" s="1573">
        <v>31150</v>
      </c>
      <c r="C4775" s="1566" t="s">
        <v>3721</v>
      </c>
      <c r="D4775" s="1566" t="s">
        <v>8197</v>
      </c>
      <c r="E4775" s="1566"/>
      <c r="F4775" s="1566"/>
      <c r="G4775" s="1566" t="s">
        <v>8196</v>
      </c>
      <c r="H4775" s="1568">
        <v>1</v>
      </c>
      <c r="I4775" s="1566"/>
      <c r="J4775" s="1566"/>
      <c r="K4775" s="1565">
        <v>46794</v>
      </c>
      <c r="L4775" s="1565">
        <v>46794</v>
      </c>
      <c r="M4775" s="1564"/>
      <c r="N4775" s="1565">
        <v>46794</v>
      </c>
      <c r="O4775" s="1565">
        <v>2339.16</v>
      </c>
      <c r="P4775" s="1565">
        <v>42115.68</v>
      </c>
      <c r="Q4775" s="1565">
        <v>2339.16</v>
      </c>
      <c r="R4775" s="1565">
        <v>44454.84</v>
      </c>
      <c r="S4775" s="1562"/>
    </row>
    <row r="4776" spans="2:19" ht="11.25" customHeight="1" outlineLevel="1">
      <c r="B4776" s="1573">
        <v>31160</v>
      </c>
      <c r="C4776" s="1566" t="s">
        <v>3721</v>
      </c>
      <c r="D4776" s="1566" t="s">
        <v>8195</v>
      </c>
      <c r="E4776" s="1566"/>
      <c r="F4776" s="1566"/>
      <c r="G4776" s="1566" t="s">
        <v>3638</v>
      </c>
      <c r="H4776" s="1568">
        <v>1</v>
      </c>
      <c r="I4776" s="1566"/>
      <c r="J4776" s="1566"/>
      <c r="K4776" s="1565">
        <v>31615</v>
      </c>
      <c r="L4776" s="1565">
        <v>31615</v>
      </c>
      <c r="M4776" s="1564"/>
      <c r="N4776" s="1565">
        <v>31615</v>
      </c>
      <c r="O4776" s="1565">
        <v>1580.68</v>
      </c>
      <c r="P4776" s="1565">
        <v>28453.68</v>
      </c>
      <c r="Q4776" s="1565">
        <v>1580.64</v>
      </c>
      <c r="R4776" s="1565">
        <v>30034.32</v>
      </c>
      <c r="S4776" s="1562"/>
    </row>
    <row r="4777" spans="2:19" ht="11.25" customHeight="1" outlineLevel="1">
      <c r="B4777" s="1573">
        <v>31161</v>
      </c>
      <c r="C4777" s="1566" t="s">
        <v>3721</v>
      </c>
      <c r="D4777" s="1566" t="s">
        <v>8194</v>
      </c>
      <c r="E4777" s="1566"/>
      <c r="F4777" s="1566"/>
      <c r="G4777" s="1566" t="s">
        <v>3664</v>
      </c>
      <c r="H4777" s="1568">
        <v>1</v>
      </c>
      <c r="I4777" s="1566"/>
      <c r="J4777" s="1566"/>
      <c r="K4777" s="1565">
        <v>164523</v>
      </c>
      <c r="L4777" s="1565">
        <v>164523</v>
      </c>
      <c r="M4777" s="1564"/>
      <c r="N4777" s="1565">
        <v>164523</v>
      </c>
      <c r="O4777" s="1565">
        <v>8226.42</v>
      </c>
      <c r="P4777" s="1565">
        <v>148070.16</v>
      </c>
      <c r="Q4777" s="1565">
        <v>8226.42</v>
      </c>
      <c r="R4777" s="1565">
        <v>156296.57999999999</v>
      </c>
      <c r="S4777" s="1562"/>
    </row>
    <row r="4778" spans="2:19" ht="11.25" customHeight="1" outlineLevel="1">
      <c r="B4778" s="1573">
        <v>31175</v>
      </c>
      <c r="C4778" s="1566" t="s">
        <v>3721</v>
      </c>
      <c r="D4778" s="1566" t="s">
        <v>8193</v>
      </c>
      <c r="E4778" s="1566"/>
      <c r="F4778" s="1566"/>
      <c r="G4778" s="1566" t="s">
        <v>8192</v>
      </c>
      <c r="H4778" s="1568">
        <v>1</v>
      </c>
      <c r="I4778" s="1566"/>
      <c r="J4778" s="1566"/>
      <c r="K4778" s="1565">
        <v>16086</v>
      </c>
      <c r="L4778" s="1565">
        <v>16086</v>
      </c>
      <c r="M4778" s="1564"/>
      <c r="N4778" s="1565">
        <v>16086</v>
      </c>
      <c r="O4778" s="1572">
        <v>803.76</v>
      </c>
      <c r="P4778" s="1565">
        <v>14478.48</v>
      </c>
      <c r="Q4778" s="1572">
        <v>803.76</v>
      </c>
      <c r="R4778" s="1565">
        <v>15282.24</v>
      </c>
      <c r="S4778" s="1562"/>
    </row>
    <row r="4779" spans="2:19" ht="11.25" customHeight="1" outlineLevel="1">
      <c r="B4779" s="1573">
        <v>31180</v>
      </c>
      <c r="C4779" s="1566" t="s">
        <v>3721</v>
      </c>
      <c r="D4779" s="1566" t="s">
        <v>8191</v>
      </c>
      <c r="E4779" s="1566"/>
      <c r="F4779" s="1566"/>
      <c r="G4779" s="1566"/>
      <c r="H4779" s="1568">
        <v>1</v>
      </c>
      <c r="I4779" s="1566"/>
      <c r="J4779" s="1566"/>
      <c r="K4779" s="1565">
        <v>1433.5</v>
      </c>
      <c r="L4779" s="1565">
        <v>1433.5</v>
      </c>
      <c r="M4779" s="1565">
        <v>-1433.5</v>
      </c>
      <c r="N4779" s="1564"/>
      <c r="O4779" s="1564"/>
      <c r="P4779" s="1565">
        <v>1433.5</v>
      </c>
      <c r="Q4779" s="1565">
        <v>-1433.5</v>
      </c>
      <c r="R4779" s="1564"/>
      <c r="S4779" s="1562"/>
    </row>
    <row r="4780" spans="2:19" ht="11.25" customHeight="1" outlineLevel="1">
      <c r="B4780" s="1573">
        <v>31181</v>
      </c>
      <c r="C4780" s="1566" t="s">
        <v>3721</v>
      </c>
      <c r="D4780" s="1566" t="s">
        <v>8190</v>
      </c>
      <c r="E4780" s="1566"/>
      <c r="F4780" s="1566"/>
      <c r="G4780" s="1566"/>
      <c r="H4780" s="1568">
        <v>1</v>
      </c>
      <c r="I4780" s="1566"/>
      <c r="J4780" s="1566"/>
      <c r="K4780" s="1565">
        <v>4322</v>
      </c>
      <c r="L4780" s="1565">
        <v>4322.34</v>
      </c>
      <c r="M4780" s="1565">
        <v>-4322.34</v>
      </c>
      <c r="N4780" s="1564"/>
      <c r="O4780" s="1564"/>
      <c r="P4780" s="1565">
        <v>4322.34</v>
      </c>
      <c r="Q4780" s="1565">
        <v>-4322.34</v>
      </c>
      <c r="R4780" s="1564"/>
      <c r="S4780" s="1562"/>
    </row>
    <row r="4781" spans="2:19" ht="11.25" customHeight="1" outlineLevel="1">
      <c r="B4781" s="1573">
        <v>31187</v>
      </c>
      <c r="C4781" s="1566" t="s">
        <v>3721</v>
      </c>
      <c r="D4781" s="1566" t="s">
        <v>8189</v>
      </c>
      <c r="E4781" s="1566"/>
      <c r="F4781" s="1566"/>
      <c r="G4781" s="1566" t="s">
        <v>8188</v>
      </c>
      <c r="H4781" s="1568">
        <v>1</v>
      </c>
      <c r="I4781" s="1566"/>
      <c r="J4781" s="1566"/>
      <c r="K4781" s="1565">
        <v>63796</v>
      </c>
      <c r="L4781" s="1565">
        <v>63796</v>
      </c>
      <c r="M4781" s="1564"/>
      <c r="N4781" s="1565">
        <v>63796</v>
      </c>
      <c r="O4781" s="1565">
        <v>3189.42</v>
      </c>
      <c r="P4781" s="1565">
        <v>57417.120000000003</v>
      </c>
      <c r="Q4781" s="1565">
        <v>3189.46</v>
      </c>
      <c r="R4781" s="1565">
        <v>60606.58</v>
      </c>
      <c r="S4781" s="1562"/>
    </row>
    <row r="4782" spans="2:19" ht="11.25" customHeight="1" outlineLevel="1">
      <c r="B4782" s="1573">
        <v>31188</v>
      </c>
      <c r="C4782" s="1566" t="s">
        <v>3721</v>
      </c>
      <c r="D4782" s="1566" t="s">
        <v>8187</v>
      </c>
      <c r="E4782" s="1566"/>
      <c r="F4782" s="1566"/>
      <c r="G4782" s="1566" t="s">
        <v>8186</v>
      </c>
      <c r="H4782" s="1568">
        <v>1</v>
      </c>
      <c r="I4782" s="1566"/>
      <c r="J4782" s="1566"/>
      <c r="K4782" s="1565">
        <v>59379</v>
      </c>
      <c r="L4782" s="1565">
        <v>59379</v>
      </c>
      <c r="M4782" s="1564"/>
      <c r="N4782" s="1565">
        <v>59379</v>
      </c>
      <c r="O4782" s="1565">
        <v>2969.22</v>
      </c>
      <c r="P4782" s="1565">
        <v>53440.56</v>
      </c>
      <c r="Q4782" s="1565">
        <v>2969.22</v>
      </c>
      <c r="R4782" s="1565">
        <v>56409.78</v>
      </c>
      <c r="S4782" s="1562"/>
    </row>
    <row r="4783" spans="2:19" ht="11.25" customHeight="1" outlineLevel="1">
      <c r="B4783" s="1573">
        <v>31191</v>
      </c>
      <c r="C4783" s="1566" t="s">
        <v>3721</v>
      </c>
      <c r="D4783" s="1566" t="s">
        <v>8185</v>
      </c>
      <c r="E4783" s="1566"/>
      <c r="F4783" s="1566"/>
      <c r="G4783" s="1566" t="s">
        <v>8184</v>
      </c>
      <c r="H4783" s="1568">
        <v>1</v>
      </c>
      <c r="I4783" s="1566"/>
      <c r="J4783" s="1566"/>
      <c r="K4783" s="1565">
        <v>2525</v>
      </c>
      <c r="L4783" s="1565">
        <v>12203883</v>
      </c>
      <c r="M4783" s="1564"/>
      <c r="N4783" s="1565">
        <v>12203883</v>
      </c>
      <c r="O4783" s="1565">
        <v>610194.42000000004</v>
      </c>
      <c r="P4783" s="1565">
        <v>10983494.16</v>
      </c>
      <c r="Q4783" s="1565">
        <v>610194.42000000004</v>
      </c>
      <c r="R4783" s="1565">
        <v>11593688.58</v>
      </c>
      <c r="S4783" s="1562"/>
    </row>
    <row r="4784" spans="2:19" ht="11.25" customHeight="1" outlineLevel="1">
      <c r="B4784" s="1573">
        <v>34296</v>
      </c>
      <c r="C4784" s="1566" t="s">
        <v>3721</v>
      </c>
      <c r="D4784" s="1566" t="s">
        <v>8183</v>
      </c>
      <c r="E4784" s="1566"/>
      <c r="F4784" s="1566"/>
      <c r="G4784" s="1566"/>
      <c r="H4784" s="1568">
        <v>1</v>
      </c>
      <c r="I4784" s="1566"/>
      <c r="J4784" s="1566"/>
      <c r="K4784" s="1565">
        <v>4322</v>
      </c>
      <c r="L4784" s="1565">
        <v>4322.33</v>
      </c>
      <c r="M4784" s="1565">
        <v>-4322.33</v>
      </c>
      <c r="N4784" s="1564"/>
      <c r="O4784" s="1564"/>
      <c r="P4784" s="1565">
        <v>4322.33</v>
      </c>
      <c r="Q4784" s="1565">
        <v>-4322.33</v>
      </c>
      <c r="R4784" s="1564"/>
      <c r="S4784" s="1562"/>
    </row>
    <row r="4785" spans="2:19" ht="11.25" customHeight="1" outlineLevel="1">
      <c r="B4785" s="1573">
        <v>34342</v>
      </c>
      <c r="C4785" s="1566" t="s">
        <v>3721</v>
      </c>
      <c r="D4785" s="1566" t="s">
        <v>8182</v>
      </c>
      <c r="E4785" s="1566"/>
      <c r="F4785" s="1566"/>
      <c r="G4785" s="1566"/>
      <c r="H4785" s="1568">
        <v>1</v>
      </c>
      <c r="I4785" s="1566"/>
      <c r="J4785" s="1566"/>
      <c r="K4785" s="1565">
        <v>1433.5</v>
      </c>
      <c r="L4785" s="1565">
        <v>1433.5</v>
      </c>
      <c r="M4785" s="1565">
        <v>-1433.5</v>
      </c>
      <c r="N4785" s="1564"/>
      <c r="O4785" s="1564"/>
      <c r="P4785" s="1565">
        <v>1433.5</v>
      </c>
      <c r="Q4785" s="1565">
        <v>-1433.5</v>
      </c>
      <c r="R4785" s="1564"/>
      <c r="S4785" s="1562"/>
    </row>
    <row r="4786" spans="2:19" ht="11.25" customHeight="1" outlineLevel="1">
      <c r="B4786" s="1573">
        <v>31241</v>
      </c>
      <c r="C4786" s="1566" t="s">
        <v>3716</v>
      </c>
      <c r="D4786" s="1566" t="s">
        <v>8181</v>
      </c>
      <c r="E4786" s="1566"/>
      <c r="F4786" s="1566"/>
      <c r="G4786" s="1566" t="s">
        <v>3717</v>
      </c>
      <c r="H4786" s="1568">
        <v>1</v>
      </c>
      <c r="I4786" s="1566"/>
      <c r="J4786" s="1566"/>
      <c r="K4786" s="1565">
        <v>29704</v>
      </c>
      <c r="L4786" s="1565">
        <v>29704</v>
      </c>
      <c r="M4786" s="1564"/>
      <c r="N4786" s="1565">
        <v>29704</v>
      </c>
      <c r="O4786" s="1565">
        <v>20140.490000000002</v>
      </c>
      <c r="P4786" s="1565">
        <v>9057.9500000000007</v>
      </c>
      <c r="Q4786" s="1572">
        <v>505.56</v>
      </c>
      <c r="R4786" s="1565">
        <v>9563.51</v>
      </c>
      <c r="S4786" s="1562"/>
    </row>
    <row r="4787" spans="2:19" ht="11.25" customHeight="1" outlineLevel="1">
      <c r="B4787" s="1573">
        <v>31242</v>
      </c>
      <c r="C4787" s="1566" t="s">
        <v>3716</v>
      </c>
      <c r="D4787" s="1566" t="s">
        <v>8180</v>
      </c>
      <c r="E4787" s="1566"/>
      <c r="F4787" s="1566"/>
      <c r="G4787" s="1566" t="s">
        <v>3714</v>
      </c>
      <c r="H4787" s="1568">
        <v>1</v>
      </c>
      <c r="I4787" s="1566"/>
      <c r="J4787" s="1566"/>
      <c r="K4787" s="1565">
        <v>27438</v>
      </c>
      <c r="L4787" s="1565">
        <v>27438</v>
      </c>
      <c r="M4787" s="1564"/>
      <c r="N4787" s="1565">
        <v>27438</v>
      </c>
      <c r="O4787" s="1565">
        <v>18603.16</v>
      </c>
      <c r="P4787" s="1565">
        <v>8367.7999999999993</v>
      </c>
      <c r="Q4787" s="1572">
        <v>467.04</v>
      </c>
      <c r="R4787" s="1565">
        <v>8834.84</v>
      </c>
      <c r="S4787" s="1562"/>
    </row>
    <row r="4788" spans="2:19" ht="11.25" customHeight="1" outlineLevel="1">
      <c r="B4788" s="1573">
        <v>31243</v>
      </c>
      <c r="C4788" s="1566" t="s">
        <v>3716</v>
      </c>
      <c r="D4788" s="1566" t="s">
        <v>8179</v>
      </c>
      <c r="E4788" s="1566"/>
      <c r="F4788" s="1566"/>
      <c r="G4788" s="1566" t="s">
        <v>3717</v>
      </c>
      <c r="H4788" s="1568">
        <v>1</v>
      </c>
      <c r="I4788" s="1566"/>
      <c r="J4788" s="1566"/>
      <c r="K4788" s="1565">
        <v>1077</v>
      </c>
      <c r="L4788" s="1565">
        <v>8615</v>
      </c>
      <c r="M4788" s="1564"/>
      <c r="N4788" s="1565">
        <v>8615</v>
      </c>
      <c r="O4788" s="1572">
        <v>466.18</v>
      </c>
      <c r="P4788" s="1565">
        <v>7718.5</v>
      </c>
      <c r="Q4788" s="1572">
        <v>430.32</v>
      </c>
      <c r="R4788" s="1565">
        <v>8148.82</v>
      </c>
      <c r="S4788" s="1562"/>
    </row>
    <row r="4789" spans="2:19" ht="11.25" customHeight="1" outlineLevel="1">
      <c r="B4789" s="1573">
        <v>31249</v>
      </c>
      <c r="C4789" s="1566" t="s">
        <v>3716</v>
      </c>
      <c r="D4789" s="1566" t="s">
        <v>8178</v>
      </c>
      <c r="E4789" s="1566"/>
      <c r="F4789" s="1566"/>
      <c r="G4789" s="1566"/>
      <c r="H4789" s="1568">
        <v>1</v>
      </c>
      <c r="I4789" s="1566"/>
      <c r="J4789" s="1566"/>
      <c r="K4789" s="1572">
        <v>581</v>
      </c>
      <c r="L4789" s="1572">
        <v>580.67999999999995</v>
      </c>
      <c r="M4789" s="1572">
        <v>-580.67999999999995</v>
      </c>
      <c r="N4789" s="1564"/>
      <c r="O4789" s="1564"/>
      <c r="P4789" s="1572">
        <v>580.67999999999995</v>
      </c>
      <c r="Q4789" s="1572">
        <v>-580.67999999999995</v>
      </c>
      <c r="R4789" s="1564"/>
      <c r="S4789" s="1562"/>
    </row>
    <row r="4790" spans="2:19" ht="11.25" customHeight="1" outlineLevel="1">
      <c r="B4790" s="1573">
        <v>31250</v>
      </c>
      <c r="C4790" s="1566" t="s">
        <v>3716</v>
      </c>
      <c r="D4790" s="1566" t="s">
        <v>8177</v>
      </c>
      <c r="E4790" s="1566"/>
      <c r="F4790" s="1566"/>
      <c r="G4790" s="1566"/>
      <c r="H4790" s="1568">
        <v>1</v>
      </c>
      <c r="I4790" s="1566"/>
      <c r="J4790" s="1566"/>
      <c r="K4790" s="1572">
        <v>409.09</v>
      </c>
      <c r="L4790" s="1572">
        <v>409.09</v>
      </c>
      <c r="M4790" s="1572">
        <v>-409.09</v>
      </c>
      <c r="N4790" s="1564"/>
      <c r="O4790" s="1564"/>
      <c r="P4790" s="1572">
        <v>409.09</v>
      </c>
      <c r="Q4790" s="1572">
        <v>-409.09</v>
      </c>
      <c r="R4790" s="1564"/>
      <c r="S4790" s="1562"/>
    </row>
    <row r="4791" spans="2:19" ht="11.25" customHeight="1" outlineLevel="1">
      <c r="B4791" s="1573">
        <v>31251</v>
      </c>
      <c r="C4791" s="1566" t="s">
        <v>3716</v>
      </c>
      <c r="D4791" s="1566" t="s">
        <v>8176</v>
      </c>
      <c r="E4791" s="1566"/>
      <c r="F4791" s="1566"/>
      <c r="G4791" s="1566" t="s">
        <v>8174</v>
      </c>
      <c r="H4791" s="1568">
        <v>1</v>
      </c>
      <c r="I4791" s="1566"/>
      <c r="J4791" s="1566"/>
      <c r="K4791" s="1572">
        <v>54.5</v>
      </c>
      <c r="L4791" s="1565">
        <v>1909.11</v>
      </c>
      <c r="M4791" s="1564"/>
      <c r="N4791" s="1565">
        <v>1909.11</v>
      </c>
      <c r="O4791" s="1572">
        <v>567.54</v>
      </c>
      <c r="P4791" s="1565">
        <v>1270.6500000000001</v>
      </c>
      <c r="Q4791" s="1572">
        <v>70.92</v>
      </c>
      <c r="R4791" s="1565">
        <v>1341.57</v>
      </c>
      <c r="S4791" s="1562"/>
    </row>
    <row r="4792" spans="2:19" ht="11.25" customHeight="1" outlineLevel="1">
      <c r="B4792" s="1573">
        <v>31252</v>
      </c>
      <c r="C4792" s="1566" t="s">
        <v>3716</v>
      </c>
      <c r="D4792" s="1566" t="s">
        <v>8175</v>
      </c>
      <c r="E4792" s="1566"/>
      <c r="F4792" s="1566"/>
      <c r="G4792" s="1566" t="s">
        <v>8174</v>
      </c>
      <c r="H4792" s="1568">
        <v>1</v>
      </c>
      <c r="I4792" s="1566"/>
      <c r="J4792" s="1566"/>
      <c r="K4792" s="1572">
        <v>33</v>
      </c>
      <c r="L4792" s="1572">
        <v>198.94</v>
      </c>
      <c r="M4792" s="1564"/>
      <c r="N4792" s="1572">
        <v>198.94</v>
      </c>
      <c r="O4792" s="1572">
        <v>58.32</v>
      </c>
      <c r="P4792" s="1572">
        <v>133.30000000000001</v>
      </c>
      <c r="Q4792" s="1572">
        <v>7.32</v>
      </c>
      <c r="R4792" s="1572">
        <v>140.62</v>
      </c>
      <c r="S4792" s="1562"/>
    </row>
    <row r="4793" spans="2:19" ht="11.25" customHeight="1" outlineLevel="1">
      <c r="B4793" s="1573">
        <v>31254</v>
      </c>
      <c r="C4793" s="1566" t="s">
        <v>3716</v>
      </c>
      <c r="D4793" s="1566" t="s">
        <v>8173</v>
      </c>
      <c r="E4793" s="1566"/>
      <c r="F4793" s="1566"/>
      <c r="G4793" s="1566"/>
      <c r="H4793" s="1568">
        <v>1</v>
      </c>
      <c r="I4793" s="1566"/>
      <c r="J4793" s="1566"/>
      <c r="K4793" s="1565">
        <v>2596.3200000000002</v>
      </c>
      <c r="L4793" s="1565">
        <v>2596.3200000000002</v>
      </c>
      <c r="M4793" s="1565">
        <v>-2596.3200000000002</v>
      </c>
      <c r="N4793" s="1564"/>
      <c r="O4793" s="1564"/>
      <c r="P4793" s="1565">
        <v>2596.3200000000002</v>
      </c>
      <c r="Q4793" s="1565">
        <v>-2596.3200000000002</v>
      </c>
      <c r="R4793" s="1564"/>
      <c r="S4793" s="1562"/>
    </row>
    <row r="4794" spans="2:19" ht="11.25" customHeight="1" outlineLevel="1">
      <c r="B4794" s="1573">
        <v>31256</v>
      </c>
      <c r="C4794" s="1566" t="s">
        <v>3716</v>
      </c>
      <c r="D4794" s="1566" t="s">
        <v>8172</v>
      </c>
      <c r="E4794" s="1566"/>
      <c r="F4794" s="1566"/>
      <c r="G4794" s="1566"/>
      <c r="H4794" s="1568">
        <v>1</v>
      </c>
      <c r="I4794" s="1566"/>
      <c r="J4794" s="1566"/>
      <c r="K4794" s="1572">
        <v>119</v>
      </c>
      <c r="L4794" s="1572">
        <v>118.98</v>
      </c>
      <c r="M4794" s="1572">
        <v>-118.98</v>
      </c>
      <c r="N4794" s="1564"/>
      <c r="O4794" s="1564"/>
      <c r="P4794" s="1572">
        <v>118.98</v>
      </c>
      <c r="Q4794" s="1572">
        <v>-118.98</v>
      </c>
      <c r="R4794" s="1564"/>
      <c r="S4794" s="1562"/>
    </row>
    <row r="4795" spans="2:19" ht="11.25" customHeight="1" outlineLevel="1">
      <c r="B4795" s="1573">
        <v>31257</v>
      </c>
      <c r="C4795" s="1566" t="s">
        <v>3716</v>
      </c>
      <c r="D4795" s="1566" t="s">
        <v>8171</v>
      </c>
      <c r="E4795" s="1566"/>
      <c r="F4795" s="1566"/>
      <c r="G4795" s="1566"/>
      <c r="H4795" s="1568">
        <v>1</v>
      </c>
      <c r="I4795" s="1566"/>
      <c r="J4795" s="1566"/>
      <c r="K4795" s="1572">
        <v>82</v>
      </c>
      <c r="L4795" s="1572">
        <v>82.41</v>
      </c>
      <c r="M4795" s="1572">
        <v>-82.41</v>
      </c>
      <c r="N4795" s="1564"/>
      <c r="O4795" s="1564"/>
      <c r="P4795" s="1572">
        <v>82.41</v>
      </c>
      <c r="Q4795" s="1572">
        <v>-82.41</v>
      </c>
      <c r="R4795" s="1564"/>
      <c r="S4795" s="1562"/>
    </row>
    <row r="4796" spans="2:19" ht="11.25" customHeight="1" outlineLevel="1">
      <c r="B4796" s="1573">
        <v>31258</v>
      </c>
      <c r="C4796" s="1566" t="s">
        <v>3716</v>
      </c>
      <c r="D4796" s="1566" t="s">
        <v>8170</v>
      </c>
      <c r="E4796" s="1566"/>
      <c r="F4796" s="1566"/>
      <c r="G4796" s="1566" t="s">
        <v>8169</v>
      </c>
      <c r="H4796" s="1568">
        <v>1</v>
      </c>
      <c r="I4796" s="1566"/>
      <c r="J4796" s="1566"/>
      <c r="K4796" s="1572">
        <v>12.8</v>
      </c>
      <c r="L4796" s="1572">
        <v>204.46</v>
      </c>
      <c r="M4796" s="1564"/>
      <c r="N4796" s="1572">
        <v>204.46</v>
      </c>
      <c r="O4796" s="1572">
        <v>61.33</v>
      </c>
      <c r="P4796" s="1572">
        <v>135.44999999999999</v>
      </c>
      <c r="Q4796" s="1572">
        <v>7.68</v>
      </c>
      <c r="R4796" s="1572">
        <v>143.13</v>
      </c>
      <c r="S4796" s="1562"/>
    </row>
    <row r="4797" spans="2:19" ht="11.25" customHeight="1" outlineLevel="1">
      <c r="B4797" s="1573">
        <v>31261</v>
      </c>
      <c r="C4797" s="1566" t="s">
        <v>3716</v>
      </c>
      <c r="D4797" s="1566" t="s">
        <v>8168</v>
      </c>
      <c r="E4797" s="1566"/>
      <c r="F4797" s="1566"/>
      <c r="G4797" s="1566"/>
      <c r="H4797" s="1568">
        <v>1</v>
      </c>
      <c r="I4797" s="1566"/>
      <c r="J4797" s="1566"/>
      <c r="K4797" s="1565">
        <v>2220.89</v>
      </c>
      <c r="L4797" s="1565">
        <v>2220.89</v>
      </c>
      <c r="M4797" s="1565">
        <v>-2220.89</v>
      </c>
      <c r="N4797" s="1564"/>
      <c r="O4797" s="1564"/>
      <c r="P4797" s="1565">
        <v>2220.89</v>
      </c>
      <c r="Q4797" s="1565">
        <v>-2220.89</v>
      </c>
      <c r="R4797" s="1564"/>
      <c r="S4797" s="1562"/>
    </row>
    <row r="4798" spans="2:19" ht="11.25" customHeight="1" outlineLevel="1">
      <c r="B4798" s="1573">
        <v>31262</v>
      </c>
      <c r="C4798" s="1566" t="s">
        <v>3716</v>
      </c>
      <c r="D4798" s="1566" t="s">
        <v>8167</v>
      </c>
      <c r="E4798" s="1566"/>
      <c r="F4798" s="1566"/>
      <c r="G4798" s="1566"/>
      <c r="H4798" s="1568">
        <v>1</v>
      </c>
      <c r="I4798" s="1566"/>
      <c r="J4798" s="1566"/>
      <c r="K4798" s="1565">
        <v>1300.07</v>
      </c>
      <c r="L4798" s="1565">
        <v>1300.07</v>
      </c>
      <c r="M4798" s="1565">
        <v>-1300.07</v>
      </c>
      <c r="N4798" s="1564"/>
      <c r="O4798" s="1564"/>
      <c r="P4798" s="1565">
        <v>1300.07</v>
      </c>
      <c r="Q4798" s="1565">
        <v>-1300.07</v>
      </c>
      <c r="R4798" s="1564"/>
      <c r="S4798" s="1562"/>
    </row>
    <row r="4799" spans="2:19" ht="11.25" customHeight="1" outlineLevel="1">
      <c r="B4799" s="1573">
        <v>31265</v>
      </c>
      <c r="C4799" s="1566" t="s">
        <v>3716</v>
      </c>
      <c r="D4799" s="1566" t="s">
        <v>8166</v>
      </c>
      <c r="E4799" s="1566"/>
      <c r="F4799" s="1566"/>
      <c r="G4799" s="1566" t="s">
        <v>8165</v>
      </c>
      <c r="H4799" s="1568">
        <v>1</v>
      </c>
      <c r="I4799" s="1566"/>
      <c r="J4799" s="1566"/>
      <c r="K4799" s="1565">
        <v>19507.25</v>
      </c>
      <c r="L4799" s="1565">
        <v>19507.25</v>
      </c>
      <c r="M4799" s="1564"/>
      <c r="N4799" s="1565">
        <v>19507.25</v>
      </c>
      <c r="O4799" s="1565">
        <v>1133.51</v>
      </c>
      <c r="P4799" s="1565">
        <v>17402.099999999999</v>
      </c>
      <c r="Q4799" s="1572">
        <v>971.64</v>
      </c>
      <c r="R4799" s="1565">
        <v>18373.740000000002</v>
      </c>
      <c r="S4799" s="1562"/>
    </row>
    <row r="4800" spans="2:19" ht="11.25" customHeight="1" outlineLevel="1">
      <c r="B4800" s="1573">
        <v>31266</v>
      </c>
      <c r="C4800" s="1566" t="s">
        <v>3716</v>
      </c>
      <c r="D4800" s="1566" t="s">
        <v>8164</v>
      </c>
      <c r="E4800" s="1566"/>
      <c r="F4800" s="1566"/>
      <c r="G4800" s="1566" t="s">
        <v>8163</v>
      </c>
      <c r="H4800" s="1568">
        <v>1</v>
      </c>
      <c r="I4800" s="1566"/>
      <c r="J4800" s="1566"/>
      <c r="K4800" s="1565">
        <v>70482.25</v>
      </c>
      <c r="L4800" s="1565">
        <v>70482.25</v>
      </c>
      <c r="M4800" s="1564"/>
      <c r="N4800" s="1565">
        <v>70482.25</v>
      </c>
      <c r="O4800" s="1565">
        <v>4094.09</v>
      </c>
      <c r="P4800" s="1565">
        <v>62878.9</v>
      </c>
      <c r="Q4800" s="1565">
        <v>3509.26</v>
      </c>
      <c r="R4800" s="1565">
        <v>66388.160000000003</v>
      </c>
      <c r="S4800" s="1562"/>
    </row>
    <row r="4801" spans="2:19" ht="11.25" customHeight="1" outlineLevel="1">
      <c r="B4801" s="1573">
        <v>33779</v>
      </c>
      <c r="C4801" s="1566" t="s">
        <v>3716</v>
      </c>
      <c r="D4801" s="1566" t="s">
        <v>8162</v>
      </c>
      <c r="E4801" s="1566"/>
      <c r="F4801" s="1566"/>
      <c r="G4801" s="1566"/>
      <c r="H4801" s="1568">
        <v>1</v>
      </c>
      <c r="I4801" s="1566"/>
      <c r="J4801" s="1566"/>
      <c r="K4801" s="1572">
        <v>581</v>
      </c>
      <c r="L4801" s="1572">
        <v>580.65</v>
      </c>
      <c r="M4801" s="1572">
        <v>-580.65</v>
      </c>
      <c r="N4801" s="1564"/>
      <c r="O4801" s="1564"/>
      <c r="P4801" s="1572">
        <v>580.65</v>
      </c>
      <c r="Q4801" s="1572">
        <v>-580.65</v>
      </c>
      <c r="R4801" s="1564"/>
      <c r="S4801" s="1562"/>
    </row>
    <row r="4802" spans="2:19" ht="11.25" customHeight="1" outlineLevel="1">
      <c r="B4802" s="1573">
        <v>33780</v>
      </c>
      <c r="C4802" s="1566" t="s">
        <v>3716</v>
      </c>
      <c r="D4802" s="1566" t="s">
        <v>8161</v>
      </c>
      <c r="E4802" s="1566"/>
      <c r="F4802" s="1566"/>
      <c r="G4802" s="1566"/>
      <c r="H4802" s="1568">
        <v>1</v>
      </c>
      <c r="I4802" s="1566"/>
      <c r="J4802" s="1566"/>
      <c r="K4802" s="1572">
        <v>581</v>
      </c>
      <c r="L4802" s="1572">
        <v>580.65</v>
      </c>
      <c r="M4802" s="1572">
        <v>-580.65</v>
      </c>
      <c r="N4802" s="1564"/>
      <c r="O4802" s="1564"/>
      <c r="P4802" s="1572">
        <v>580.65</v>
      </c>
      <c r="Q4802" s="1572">
        <v>-580.65</v>
      </c>
      <c r="R4802" s="1564"/>
      <c r="S4802" s="1562"/>
    </row>
    <row r="4803" spans="2:19" ht="11.25" customHeight="1" outlineLevel="1">
      <c r="B4803" s="1573">
        <v>33781</v>
      </c>
      <c r="C4803" s="1566" t="s">
        <v>3716</v>
      </c>
      <c r="D4803" s="1566" t="s">
        <v>8160</v>
      </c>
      <c r="E4803" s="1566"/>
      <c r="F4803" s="1566"/>
      <c r="G4803" s="1566"/>
      <c r="H4803" s="1568">
        <v>1</v>
      </c>
      <c r="I4803" s="1566"/>
      <c r="J4803" s="1566"/>
      <c r="K4803" s="1572">
        <v>581</v>
      </c>
      <c r="L4803" s="1572">
        <v>580.65</v>
      </c>
      <c r="M4803" s="1572">
        <v>-580.65</v>
      </c>
      <c r="N4803" s="1564"/>
      <c r="O4803" s="1564"/>
      <c r="P4803" s="1572">
        <v>580.65</v>
      </c>
      <c r="Q4803" s="1572">
        <v>-580.65</v>
      </c>
      <c r="R4803" s="1564"/>
      <c r="S4803" s="1562"/>
    </row>
    <row r="4804" spans="2:19" ht="11.25" customHeight="1" outlineLevel="1">
      <c r="B4804" s="1573">
        <v>33782</v>
      </c>
      <c r="C4804" s="1566" t="s">
        <v>3716</v>
      </c>
      <c r="D4804" s="1566" t="s">
        <v>8159</v>
      </c>
      <c r="E4804" s="1566"/>
      <c r="F4804" s="1566"/>
      <c r="G4804" s="1566"/>
      <c r="H4804" s="1568">
        <v>1</v>
      </c>
      <c r="I4804" s="1566"/>
      <c r="J4804" s="1566"/>
      <c r="K4804" s="1572">
        <v>581</v>
      </c>
      <c r="L4804" s="1572">
        <v>580.65</v>
      </c>
      <c r="M4804" s="1572">
        <v>-580.65</v>
      </c>
      <c r="N4804" s="1564"/>
      <c r="O4804" s="1564"/>
      <c r="P4804" s="1572">
        <v>580.65</v>
      </c>
      <c r="Q4804" s="1572">
        <v>-580.65</v>
      </c>
      <c r="R4804" s="1564"/>
      <c r="S4804" s="1562"/>
    </row>
    <row r="4805" spans="2:19" ht="11.25" customHeight="1" outlineLevel="1">
      <c r="B4805" s="1573">
        <v>33783</v>
      </c>
      <c r="C4805" s="1566" t="s">
        <v>3716</v>
      </c>
      <c r="D4805" s="1566" t="s">
        <v>8158</v>
      </c>
      <c r="E4805" s="1566"/>
      <c r="F4805" s="1566"/>
      <c r="G4805" s="1566"/>
      <c r="H4805" s="1568">
        <v>1</v>
      </c>
      <c r="I4805" s="1566"/>
      <c r="J4805" s="1566"/>
      <c r="K4805" s="1572">
        <v>581</v>
      </c>
      <c r="L4805" s="1572">
        <v>580.65</v>
      </c>
      <c r="M4805" s="1572">
        <v>-580.65</v>
      </c>
      <c r="N4805" s="1564"/>
      <c r="O4805" s="1564"/>
      <c r="P4805" s="1572">
        <v>580.65</v>
      </c>
      <c r="Q4805" s="1572">
        <v>-580.65</v>
      </c>
      <c r="R4805" s="1564"/>
      <c r="S4805" s="1562"/>
    </row>
    <row r="4806" spans="2:19" ht="11.25" customHeight="1" outlineLevel="1">
      <c r="B4806" s="1573">
        <v>33784</v>
      </c>
      <c r="C4806" s="1566" t="s">
        <v>3716</v>
      </c>
      <c r="D4806" s="1566" t="s">
        <v>8157</v>
      </c>
      <c r="E4806" s="1566"/>
      <c r="F4806" s="1566"/>
      <c r="G4806" s="1566"/>
      <c r="H4806" s="1568">
        <v>1</v>
      </c>
      <c r="I4806" s="1566"/>
      <c r="J4806" s="1566"/>
      <c r="K4806" s="1572">
        <v>581</v>
      </c>
      <c r="L4806" s="1572">
        <v>580.65</v>
      </c>
      <c r="M4806" s="1572">
        <v>-580.65</v>
      </c>
      <c r="N4806" s="1564"/>
      <c r="O4806" s="1564"/>
      <c r="P4806" s="1572">
        <v>580.65</v>
      </c>
      <c r="Q4806" s="1572">
        <v>-580.65</v>
      </c>
      <c r="R4806" s="1564"/>
      <c r="S4806" s="1562"/>
    </row>
    <row r="4807" spans="2:19" ht="11.25" customHeight="1" outlineLevel="1">
      <c r="B4807" s="1573">
        <v>33785</v>
      </c>
      <c r="C4807" s="1566" t="s">
        <v>3716</v>
      </c>
      <c r="D4807" s="1566" t="s">
        <v>8156</v>
      </c>
      <c r="E4807" s="1566"/>
      <c r="F4807" s="1566"/>
      <c r="G4807" s="1566"/>
      <c r="H4807" s="1568">
        <v>1</v>
      </c>
      <c r="I4807" s="1566"/>
      <c r="J4807" s="1566"/>
      <c r="K4807" s="1572">
        <v>581</v>
      </c>
      <c r="L4807" s="1572">
        <v>580.65</v>
      </c>
      <c r="M4807" s="1572">
        <v>-580.65</v>
      </c>
      <c r="N4807" s="1564"/>
      <c r="O4807" s="1564"/>
      <c r="P4807" s="1572">
        <v>580.65</v>
      </c>
      <c r="Q4807" s="1572">
        <v>-580.65</v>
      </c>
      <c r="R4807" s="1564"/>
      <c r="S4807" s="1562"/>
    </row>
    <row r="4808" spans="2:19" ht="11.25" customHeight="1" outlineLevel="1">
      <c r="B4808" s="1573">
        <v>33786</v>
      </c>
      <c r="C4808" s="1566" t="s">
        <v>3716</v>
      </c>
      <c r="D4808" s="1566" t="s">
        <v>8155</v>
      </c>
      <c r="E4808" s="1566"/>
      <c r="F4808" s="1566"/>
      <c r="G4808" s="1566"/>
      <c r="H4808" s="1568">
        <v>1</v>
      </c>
      <c r="I4808" s="1566"/>
      <c r="J4808" s="1566"/>
      <c r="K4808" s="1572">
        <v>581</v>
      </c>
      <c r="L4808" s="1572">
        <v>580.65</v>
      </c>
      <c r="M4808" s="1572">
        <v>-580.65</v>
      </c>
      <c r="N4808" s="1564"/>
      <c r="O4808" s="1564"/>
      <c r="P4808" s="1572">
        <v>580.65</v>
      </c>
      <c r="Q4808" s="1572">
        <v>-580.65</v>
      </c>
      <c r="R4808" s="1564"/>
      <c r="S4808" s="1562"/>
    </row>
    <row r="4809" spans="2:19" ht="11.25" customHeight="1" outlineLevel="1">
      <c r="B4809" s="1573">
        <v>33787</v>
      </c>
      <c r="C4809" s="1566" t="s">
        <v>3716</v>
      </c>
      <c r="D4809" s="1566" t="s">
        <v>8154</v>
      </c>
      <c r="E4809" s="1566"/>
      <c r="F4809" s="1566"/>
      <c r="G4809" s="1566"/>
      <c r="H4809" s="1568">
        <v>1</v>
      </c>
      <c r="I4809" s="1566"/>
      <c r="J4809" s="1566"/>
      <c r="K4809" s="1572">
        <v>581</v>
      </c>
      <c r="L4809" s="1572">
        <v>580.65</v>
      </c>
      <c r="M4809" s="1572">
        <v>-580.65</v>
      </c>
      <c r="N4809" s="1564"/>
      <c r="O4809" s="1564"/>
      <c r="P4809" s="1572">
        <v>580.65</v>
      </c>
      <c r="Q4809" s="1572">
        <v>-580.65</v>
      </c>
      <c r="R4809" s="1564"/>
      <c r="S4809" s="1562"/>
    </row>
    <row r="4810" spans="2:19" ht="11.25" customHeight="1" outlineLevel="1">
      <c r="B4810" s="1573">
        <v>33788</v>
      </c>
      <c r="C4810" s="1566" t="s">
        <v>3716</v>
      </c>
      <c r="D4810" s="1566" t="s">
        <v>8153</v>
      </c>
      <c r="E4810" s="1566"/>
      <c r="F4810" s="1566"/>
      <c r="G4810" s="1566"/>
      <c r="H4810" s="1568">
        <v>1</v>
      </c>
      <c r="I4810" s="1566"/>
      <c r="J4810" s="1566"/>
      <c r="K4810" s="1572">
        <v>581</v>
      </c>
      <c r="L4810" s="1572">
        <v>580.65</v>
      </c>
      <c r="M4810" s="1572">
        <v>-580.65</v>
      </c>
      <c r="N4810" s="1564"/>
      <c r="O4810" s="1564"/>
      <c r="P4810" s="1572">
        <v>580.65</v>
      </c>
      <c r="Q4810" s="1572">
        <v>-580.65</v>
      </c>
      <c r="R4810" s="1564"/>
      <c r="S4810" s="1562"/>
    </row>
    <row r="4811" spans="2:19" ht="11.25" customHeight="1" outlineLevel="1">
      <c r="B4811" s="1573">
        <v>34119</v>
      </c>
      <c r="C4811" s="1566" t="s">
        <v>3716</v>
      </c>
      <c r="D4811" s="1566" t="s">
        <v>8152</v>
      </c>
      <c r="E4811" s="1566"/>
      <c r="F4811" s="1566"/>
      <c r="G4811" s="1566"/>
      <c r="H4811" s="1568">
        <v>1</v>
      </c>
      <c r="I4811" s="1566"/>
      <c r="J4811" s="1566"/>
      <c r="K4811" s="1572">
        <v>119</v>
      </c>
      <c r="L4811" s="1572">
        <v>119</v>
      </c>
      <c r="M4811" s="1572">
        <v>-119</v>
      </c>
      <c r="N4811" s="1564"/>
      <c r="O4811" s="1564"/>
      <c r="P4811" s="1572">
        <v>119</v>
      </c>
      <c r="Q4811" s="1572">
        <v>-119</v>
      </c>
      <c r="R4811" s="1564"/>
      <c r="S4811" s="1562"/>
    </row>
    <row r="4812" spans="2:19" ht="11.25" customHeight="1" outlineLevel="1">
      <c r="B4812" s="1573">
        <v>34120</v>
      </c>
      <c r="C4812" s="1566" t="s">
        <v>3716</v>
      </c>
      <c r="D4812" s="1566" t="s">
        <v>8151</v>
      </c>
      <c r="E4812" s="1566"/>
      <c r="F4812" s="1566"/>
      <c r="G4812" s="1566"/>
      <c r="H4812" s="1568">
        <v>1</v>
      </c>
      <c r="I4812" s="1566"/>
      <c r="J4812" s="1566"/>
      <c r="K4812" s="1572">
        <v>119</v>
      </c>
      <c r="L4812" s="1572">
        <v>119</v>
      </c>
      <c r="M4812" s="1572">
        <v>-119</v>
      </c>
      <c r="N4812" s="1564"/>
      <c r="O4812" s="1564"/>
      <c r="P4812" s="1572">
        <v>119</v>
      </c>
      <c r="Q4812" s="1572">
        <v>-119</v>
      </c>
      <c r="R4812" s="1564"/>
      <c r="S4812" s="1562"/>
    </row>
    <row r="4813" spans="2:19" ht="11.25" customHeight="1" outlineLevel="1">
      <c r="B4813" s="1573">
        <v>34121</v>
      </c>
      <c r="C4813" s="1566" t="s">
        <v>3716</v>
      </c>
      <c r="D4813" s="1566" t="s">
        <v>8150</v>
      </c>
      <c r="E4813" s="1566"/>
      <c r="F4813" s="1566"/>
      <c r="G4813" s="1566"/>
      <c r="H4813" s="1568">
        <v>1</v>
      </c>
      <c r="I4813" s="1566"/>
      <c r="J4813" s="1566"/>
      <c r="K4813" s="1572">
        <v>119</v>
      </c>
      <c r="L4813" s="1572">
        <v>119</v>
      </c>
      <c r="M4813" s="1572">
        <v>-119</v>
      </c>
      <c r="N4813" s="1564"/>
      <c r="O4813" s="1564"/>
      <c r="P4813" s="1572">
        <v>119</v>
      </c>
      <c r="Q4813" s="1572">
        <v>-119</v>
      </c>
      <c r="R4813" s="1564"/>
      <c r="S4813" s="1562"/>
    </row>
    <row r="4814" spans="2:19" ht="11.25" customHeight="1" outlineLevel="1">
      <c r="B4814" s="1573">
        <v>34122</v>
      </c>
      <c r="C4814" s="1566" t="s">
        <v>3716</v>
      </c>
      <c r="D4814" s="1566" t="s">
        <v>8149</v>
      </c>
      <c r="E4814" s="1566"/>
      <c r="F4814" s="1566"/>
      <c r="G4814" s="1566"/>
      <c r="H4814" s="1568">
        <v>1</v>
      </c>
      <c r="I4814" s="1566"/>
      <c r="J4814" s="1566"/>
      <c r="K4814" s="1572">
        <v>119</v>
      </c>
      <c r="L4814" s="1572">
        <v>119</v>
      </c>
      <c r="M4814" s="1572">
        <v>-119</v>
      </c>
      <c r="N4814" s="1564"/>
      <c r="O4814" s="1564"/>
      <c r="P4814" s="1572">
        <v>119</v>
      </c>
      <c r="Q4814" s="1572">
        <v>-119</v>
      </c>
      <c r="R4814" s="1564"/>
      <c r="S4814" s="1562"/>
    </row>
    <row r="4815" spans="2:19" ht="11.25" customHeight="1" outlineLevel="1">
      <c r="B4815" s="1573">
        <v>34123</v>
      </c>
      <c r="C4815" s="1566" t="s">
        <v>3716</v>
      </c>
      <c r="D4815" s="1566" t="s">
        <v>8148</v>
      </c>
      <c r="E4815" s="1566"/>
      <c r="F4815" s="1566"/>
      <c r="G4815" s="1566"/>
      <c r="H4815" s="1568">
        <v>1</v>
      </c>
      <c r="I4815" s="1566"/>
      <c r="J4815" s="1566"/>
      <c r="K4815" s="1572">
        <v>119</v>
      </c>
      <c r="L4815" s="1572">
        <v>119</v>
      </c>
      <c r="M4815" s="1572">
        <v>-119</v>
      </c>
      <c r="N4815" s="1564"/>
      <c r="O4815" s="1564"/>
      <c r="P4815" s="1572">
        <v>119</v>
      </c>
      <c r="Q4815" s="1572">
        <v>-119</v>
      </c>
      <c r="R4815" s="1564"/>
      <c r="S4815" s="1562"/>
    </row>
    <row r="4816" spans="2:19" ht="11.25" customHeight="1" outlineLevel="1">
      <c r="B4816" s="1573">
        <v>35277</v>
      </c>
      <c r="C4816" s="1566" t="s">
        <v>3716</v>
      </c>
      <c r="D4816" s="1566" t="s">
        <v>8147</v>
      </c>
      <c r="E4816" s="1566"/>
      <c r="F4816" s="1566"/>
      <c r="G4816" s="1566"/>
      <c r="H4816" s="1568">
        <v>1</v>
      </c>
      <c r="I4816" s="1566"/>
      <c r="J4816" s="1566"/>
      <c r="K4816" s="1572">
        <v>82</v>
      </c>
      <c r="L4816" s="1572">
        <v>82.41</v>
      </c>
      <c r="M4816" s="1572">
        <v>-82.41</v>
      </c>
      <c r="N4816" s="1564"/>
      <c r="O4816" s="1564"/>
      <c r="P4816" s="1572">
        <v>82.41</v>
      </c>
      <c r="Q4816" s="1572">
        <v>-82.41</v>
      </c>
      <c r="R4816" s="1564"/>
      <c r="S4816" s="1562"/>
    </row>
    <row r="4817" spans="2:19" ht="11.25" customHeight="1" outlineLevel="1">
      <c r="B4817" s="1573">
        <v>35278</v>
      </c>
      <c r="C4817" s="1566" t="s">
        <v>3716</v>
      </c>
      <c r="D4817" s="1566" t="s">
        <v>8146</v>
      </c>
      <c r="E4817" s="1566"/>
      <c r="F4817" s="1566"/>
      <c r="G4817" s="1566"/>
      <c r="H4817" s="1568">
        <v>1</v>
      </c>
      <c r="I4817" s="1566"/>
      <c r="J4817" s="1566"/>
      <c r="K4817" s="1572">
        <v>82</v>
      </c>
      <c r="L4817" s="1572">
        <v>82.41</v>
      </c>
      <c r="M4817" s="1572">
        <v>-82.41</v>
      </c>
      <c r="N4817" s="1564"/>
      <c r="O4817" s="1564"/>
      <c r="P4817" s="1572">
        <v>82.41</v>
      </c>
      <c r="Q4817" s="1572">
        <v>-82.41</v>
      </c>
      <c r="R4817" s="1564"/>
      <c r="S4817" s="1562"/>
    </row>
    <row r="4818" spans="2:19" ht="11.25" customHeight="1" outlineLevel="1">
      <c r="B4818" s="1573">
        <v>31400</v>
      </c>
      <c r="C4818" s="1566" t="s">
        <v>3711</v>
      </c>
      <c r="D4818" s="1566" t="s">
        <v>8145</v>
      </c>
      <c r="E4818" s="1566"/>
      <c r="F4818" s="1566"/>
      <c r="G4818" s="1566" t="s">
        <v>3664</v>
      </c>
      <c r="H4818" s="1568">
        <v>1</v>
      </c>
      <c r="I4818" s="1566"/>
      <c r="J4818" s="1566"/>
      <c r="K4818" s="1565">
        <v>152719.49</v>
      </c>
      <c r="L4818" s="1565">
        <v>152719.49</v>
      </c>
      <c r="M4818" s="1564"/>
      <c r="N4818" s="1565">
        <v>152719.49</v>
      </c>
      <c r="O4818" s="1565">
        <v>9545.1200000000008</v>
      </c>
      <c r="P4818" s="1565">
        <v>135538.29</v>
      </c>
      <c r="Q4818" s="1565">
        <v>7636.08</v>
      </c>
      <c r="R4818" s="1565">
        <v>143174.37</v>
      </c>
      <c r="S4818" s="1562"/>
    </row>
    <row r="4819" spans="2:19" ht="11.25" customHeight="1" outlineLevel="1">
      <c r="B4819" s="1573">
        <v>31401</v>
      </c>
      <c r="C4819" s="1566" t="s">
        <v>3711</v>
      </c>
      <c r="D4819" s="1566" t="s">
        <v>8144</v>
      </c>
      <c r="E4819" s="1566"/>
      <c r="F4819" s="1566"/>
      <c r="G4819" s="1566" t="s">
        <v>8143</v>
      </c>
      <c r="H4819" s="1568">
        <v>1</v>
      </c>
      <c r="I4819" s="1566"/>
      <c r="J4819" s="1566"/>
      <c r="K4819" s="1565">
        <v>990421</v>
      </c>
      <c r="L4819" s="1565">
        <v>990421</v>
      </c>
      <c r="M4819" s="1564"/>
      <c r="N4819" s="1565">
        <v>990421</v>
      </c>
      <c r="O4819" s="1565">
        <v>61901.77</v>
      </c>
      <c r="P4819" s="1565">
        <v>878997.75</v>
      </c>
      <c r="Q4819" s="1565">
        <v>49521.48</v>
      </c>
      <c r="R4819" s="1565">
        <v>928519.23</v>
      </c>
      <c r="S4819" s="1562"/>
    </row>
    <row r="4820" spans="2:19" ht="11.25" customHeight="1" outlineLevel="1">
      <c r="B4820" s="1573">
        <v>31319</v>
      </c>
      <c r="C4820" s="1566" t="s">
        <v>8141</v>
      </c>
      <c r="D4820" s="1566" t="s">
        <v>8142</v>
      </c>
      <c r="E4820" s="1566"/>
      <c r="F4820" s="1566"/>
      <c r="G4820" s="1566"/>
      <c r="H4820" s="1568">
        <v>1</v>
      </c>
      <c r="I4820" s="1566"/>
      <c r="J4820" s="1566"/>
      <c r="K4820" s="1565">
        <v>1799</v>
      </c>
      <c r="L4820" s="1565">
        <v>1799</v>
      </c>
      <c r="M4820" s="1565">
        <v>-1799</v>
      </c>
      <c r="N4820" s="1564"/>
      <c r="O4820" s="1564"/>
      <c r="P4820" s="1565">
        <v>1799</v>
      </c>
      <c r="Q4820" s="1565">
        <v>-1799</v>
      </c>
      <c r="R4820" s="1564"/>
      <c r="S4820" s="1562"/>
    </row>
    <row r="4821" spans="2:19" ht="11.25" customHeight="1" outlineLevel="1">
      <c r="B4821" s="1573">
        <v>37341</v>
      </c>
      <c r="C4821" s="1566" t="s">
        <v>8141</v>
      </c>
      <c r="D4821" s="1566" t="s">
        <v>8140</v>
      </c>
      <c r="E4821" s="1566"/>
      <c r="F4821" s="1566"/>
      <c r="G4821" s="1566"/>
      <c r="H4821" s="1568">
        <v>1</v>
      </c>
      <c r="I4821" s="1566"/>
      <c r="J4821" s="1566"/>
      <c r="K4821" s="1565">
        <v>1799</v>
      </c>
      <c r="L4821" s="1565">
        <v>1799</v>
      </c>
      <c r="M4821" s="1565">
        <v>-1799</v>
      </c>
      <c r="N4821" s="1564"/>
      <c r="O4821" s="1564"/>
      <c r="P4821" s="1565">
        <v>1799</v>
      </c>
      <c r="Q4821" s="1565">
        <v>-1799</v>
      </c>
      <c r="R4821" s="1564"/>
      <c r="S4821" s="1562"/>
    </row>
    <row r="4822" spans="2:19" ht="11.25" customHeight="1" outlineLevel="1">
      <c r="B4822" s="1573">
        <v>31551</v>
      </c>
      <c r="C4822" s="1566" t="s">
        <v>8138</v>
      </c>
      <c r="D4822" s="1566" t="s">
        <v>8139</v>
      </c>
      <c r="E4822" s="1566"/>
      <c r="F4822" s="1566"/>
      <c r="G4822" s="1566" t="s">
        <v>8050</v>
      </c>
      <c r="H4822" s="1568">
        <v>1</v>
      </c>
      <c r="I4822" s="1566"/>
      <c r="J4822" s="1566"/>
      <c r="K4822" s="1565">
        <v>534926</v>
      </c>
      <c r="L4822" s="1565">
        <v>534926</v>
      </c>
      <c r="M4822" s="1564"/>
      <c r="N4822" s="1565">
        <v>534926</v>
      </c>
      <c r="O4822" s="1565">
        <v>37890.36</v>
      </c>
      <c r="P4822" s="1565">
        <v>470289.46</v>
      </c>
      <c r="Q4822" s="1565">
        <v>26746.18</v>
      </c>
      <c r="R4822" s="1565">
        <v>497035.64</v>
      </c>
      <c r="S4822" s="1562"/>
    </row>
    <row r="4823" spans="2:19" ht="11.25" customHeight="1" outlineLevel="1">
      <c r="B4823" s="1573">
        <v>31560</v>
      </c>
      <c r="C4823" s="1566" t="s">
        <v>8138</v>
      </c>
      <c r="D4823" s="1566" t="s">
        <v>8137</v>
      </c>
      <c r="E4823" s="1566"/>
      <c r="F4823" s="1566"/>
      <c r="G4823" s="1566"/>
      <c r="H4823" s="1568">
        <v>1</v>
      </c>
      <c r="I4823" s="1566"/>
      <c r="J4823" s="1566"/>
      <c r="K4823" s="1565">
        <v>13046</v>
      </c>
      <c r="L4823" s="1565">
        <v>13046</v>
      </c>
      <c r="M4823" s="1565">
        <v>-13046</v>
      </c>
      <c r="N4823" s="1564"/>
      <c r="O4823" s="1564"/>
      <c r="P4823" s="1565">
        <v>13046</v>
      </c>
      <c r="Q4823" s="1565">
        <v>-13046</v>
      </c>
      <c r="R4823" s="1564"/>
      <c r="S4823" s="1562"/>
    </row>
    <row r="4824" spans="2:19" ht="11.25" customHeight="1" outlineLevel="1">
      <c r="B4824" s="1573">
        <v>31334</v>
      </c>
      <c r="C4824" s="1566" t="s">
        <v>3708</v>
      </c>
      <c r="D4824" s="1566" t="s">
        <v>8136</v>
      </c>
      <c r="E4824" s="1566"/>
      <c r="F4824" s="1566"/>
      <c r="G4824" s="1566"/>
      <c r="H4824" s="1568">
        <v>1</v>
      </c>
      <c r="I4824" s="1566"/>
      <c r="J4824" s="1566"/>
      <c r="K4824" s="1565">
        <v>23750</v>
      </c>
      <c r="L4824" s="1565">
        <v>23750</v>
      </c>
      <c r="M4824" s="1565">
        <v>-23750</v>
      </c>
      <c r="N4824" s="1564"/>
      <c r="O4824" s="1564"/>
      <c r="P4824" s="1565">
        <v>23750</v>
      </c>
      <c r="Q4824" s="1565">
        <v>-23750</v>
      </c>
      <c r="R4824" s="1564"/>
      <c r="S4824" s="1562"/>
    </row>
    <row r="4825" spans="2:19" ht="11.25" customHeight="1" outlineLevel="1">
      <c r="B4825" s="1573">
        <v>31525</v>
      </c>
      <c r="C4825" s="1566" t="s">
        <v>3708</v>
      </c>
      <c r="D4825" s="1566" t="s">
        <v>8135</v>
      </c>
      <c r="E4825" s="1566"/>
      <c r="F4825" s="1566"/>
      <c r="G4825" s="1566" t="s">
        <v>5233</v>
      </c>
      <c r="H4825" s="1568">
        <v>1</v>
      </c>
      <c r="I4825" s="1566"/>
      <c r="J4825" s="1566"/>
      <c r="K4825" s="1565">
        <v>10584.2</v>
      </c>
      <c r="L4825" s="1565">
        <v>10584.2</v>
      </c>
      <c r="M4825" s="1564"/>
      <c r="N4825" s="1565">
        <v>10584.2</v>
      </c>
      <c r="O4825" s="1572">
        <v>749.78</v>
      </c>
      <c r="P4825" s="1565">
        <v>9305.1</v>
      </c>
      <c r="Q4825" s="1572">
        <v>529.32000000000005</v>
      </c>
      <c r="R4825" s="1565">
        <v>9834.42</v>
      </c>
      <c r="S4825" s="1562"/>
    </row>
    <row r="4826" spans="2:19" ht="11.25" customHeight="1" outlineLevel="1">
      <c r="B4826" s="1573">
        <v>35181</v>
      </c>
      <c r="C4826" s="1566" t="s">
        <v>3708</v>
      </c>
      <c r="D4826" s="1566" t="s">
        <v>8134</v>
      </c>
      <c r="E4826" s="1566"/>
      <c r="F4826" s="1566"/>
      <c r="G4826" s="1566"/>
      <c r="H4826" s="1568">
        <v>1</v>
      </c>
      <c r="I4826" s="1566"/>
      <c r="J4826" s="1566"/>
      <c r="K4826" s="1565">
        <v>6403</v>
      </c>
      <c r="L4826" s="1565">
        <v>6403</v>
      </c>
      <c r="M4826" s="1565">
        <v>-6403</v>
      </c>
      <c r="N4826" s="1564"/>
      <c r="O4826" s="1564"/>
      <c r="P4826" s="1565">
        <v>6403</v>
      </c>
      <c r="Q4826" s="1565">
        <v>-6403</v>
      </c>
      <c r="R4826" s="1564"/>
      <c r="S4826" s="1562"/>
    </row>
    <row r="4827" spans="2:19" ht="11.25" customHeight="1" outlineLevel="1">
      <c r="B4827" s="1573">
        <v>31643</v>
      </c>
      <c r="C4827" s="1566" t="s">
        <v>3705</v>
      </c>
      <c r="D4827" s="1566" t="s">
        <v>8133</v>
      </c>
      <c r="E4827" s="1566"/>
      <c r="F4827" s="1566"/>
      <c r="G4827" s="1566" t="s">
        <v>8132</v>
      </c>
      <c r="H4827" s="1568">
        <v>1</v>
      </c>
      <c r="I4827" s="1566"/>
      <c r="J4827" s="1566"/>
      <c r="K4827" s="1565">
        <v>488987</v>
      </c>
      <c r="L4827" s="1565">
        <v>488987</v>
      </c>
      <c r="M4827" s="1564"/>
      <c r="N4827" s="1565">
        <v>488987</v>
      </c>
      <c r="O4827" s="1565">
        <v>262831.05</v>
      </c>
      <c r="P4827" s="1565">
        <v>213931.2</v>
      </c>
      <c r="Q4827" s="1565">
        <v>12224.75</v>
      </c>
      <c r="R4827" s="1565">
        <v>226155.95</v>
      </c>
      <c r="S4827" s="1562"/>
    </row>
    <row r="4828" spans="2:19" ht="11.25" customHeight="1" outlineLevel="1">
      <c r="B4828" s="1573">
        <v>31644</v>
      </c>
      <c r="C4828" s="1566" t="s">
        <v>3705</v>
      </c>
      <c r="D4828" s="1566" t="s">
        <v>8131</v>
      </c>
      <c r="E4828" s="1566"/>
      <c r="F4828" s="1566"/>
      <c r="G4828" s="1566" t="s">
        <v>8130</v>
      </c>
      <c r="H4828" s="1568">
        <v>1</v>
      </c>
      <c r="I4828" s="1566"/>
      <c r="J4828" s="1566"/>
      <c r="K4828" s="1565">
        <v>24868</v>
      </c>
      <c r="L4828" s="1565">
        <v>24868</v>
      </c>
      <c r="M4828" s="1564"/>
      <c r="N4828" s="1565">
        <v>24868</v>
      </c>
      <c r="O4828" s="1565">
        <v>1864.71</v>
      </c>
      <c r="P4828" s="1565">
        <v>21760.2</v>
      </c>
      <c r="Q4828" s="1565">
        <v>1243.0899999999999</v>
      </c>
      <c r="R4828" s="1565">
        <v>23003.29</v>
      </c>
      <c r="S4828" s="1562"/>
    </row>
    <row r="4829" spans="2:19" ht="11.25" customHeight="1" outlineLevel="1">
      <c r="B4829" s="1573">
        <v>31646</v>
      </c>
      <c r="C4829" s="1566" t="s">
        <v>3705</v>
      </c>
      <c r="D4829" s="1566" t="s">
        <v>8129</v>
      </c>
      <c r="E4829" s="1566"/>
      <c r="F4829" s="1566"/>
      <c r="G4829" s="1566" t="s">
        <v>3734</v>
      </c>
      <c r="H4829" s="1568">
        <v>1</v>
      </c>
      <c r="I4829" s="1566"/>
      <c r="J4829" s="1566"/>
      <c r="K4829" s="1565">
        <v>25915</v>
      </c>
      <c r="L4829" s="1565">
        <v>25915</v>
      </c>
      <c r="M4829" s="1564"/>
      <c r="N4829" s="1565">
        <v>25915</v>
      </c>
      <c r="O4829" s="1565">
        <v>1943.55</v>
      </c>
      <c r="P4829" s="1565">
        <v>22675.8</v>
      </c>
      <c r="Q4829" s="1565">
        <v>1295.6500000000001</v>
      </c>
      <c r="R4829" s="1565">
        <v>23971.45</v>
      </c>
      <c r="S4829" s="1562"/>
    </row>
    <row r="4830" spans="2:19" ht="11.25" customHeight="1" outlineLevel="1">
      <c r="B4830" s="1573">
        <v>31649</v>
      </c>
      <c r="C4830" s="1566" t="s">
        <v>3705</v>
      </c>
      <c r="D4830" s="1566" t="s">
        <v>8128</v>
      </c>
      <c r="E4830" s="1566"/>
      <c r="F4830" s="1566"/>
      <c r="G4830" s="1566" t="s">
        <v>3664</v>
      </c>
      <c r="H4830" s="1568">
        <v>1</v>
      </c>
      <c r="I4830" s="1566"/>
      <c r="J4830" s="1566"/>
      <c r="K4830" s="1565">
        <v>3716860</v>
      </c>
      <c r="L4830" s="1565">
        <v>3716860</v>
      </c>
      <c r="M4830" s="1564"/>
      <c r="N4830" s="1565">
        <v>3716860</v>
      </c>
      <c r="O4830" s="1565">
        <v>1449984.58</v>
      </c>
      <c r="P4830" s="1565">
        <v>2144341.5</v>
      </c>
      <c r="Q4830" s="1565">
        <v>122533.92</v>
      </c>
      <c r="R4830" s="1565">
        <v>2266875.42</v>
      </c>
      <c r="S4830" s="1562"/>
    </row>
    <row r="4831" spans="2:19" ht="11.25" customHeight="1" outlineLevel="1">
      <c r="B4831" s="1573">
        <v>31650</v>
      </c>
      <c r="C4831" s="1566" t="s">
        <v>3705</v>
      </c>
      <c r="D4831" s="1566" t="s">
        <v>8127</v>
      </c>
      <c r="E4831" s="1566"/>
      <c r="F4831" s="1566"/>
      <c r="G4831" s="1566" t="s">
        <v>3664</v>
      </c>
      <c r="H4831" s="1568">
        <v>1</v>
      </c>
      <c r="I4831" s="1566"/>
      <c r="J4831" s="1566"/>
      <c r="K4831" s="1565">
        <v>91082</v>
      </c>
      <c r="L4831" s="1565">
        <v>91076</v>
      </c>
      <c r="M4831" s="1564"/>
      <c r="N4831" s="1565">
        <v>91076</v>
      </c>
      <c r="O4831" s="1565">
        <v>6831.09</v>
      </c>
      <c r="P4831" s="1565">
        <v>79690.8</v>
      </c>
      <c r="Q4831" s="1565">
        <v>4554.1099999999997</v>
      </c>
      <c r="R4831" s="1565">
        <v>84244.91</v>
      </c>
      <c r="S4831" s="1562"/>
    </row>
    <row r="4832" spans="2:19" ht="11.25" customHeight="1" outlineLevel="1">
      <c r="B4832" s="1573">
        <v>31653</v>
      </c>
      <c r="C4832" s="1566" t="s">
        <v>3705</v>
      </c>
      <c r="D4832" s="1566" t="s">
        <v>8126</v>
      </c>
      <c r="E4832" s="1566"/>
      <c r="F4832" s="1566"/>
      <c r="G4832" s="1566" t="s">
        <v>3664</v>
      </c>
      <c r="H4832" s="1568">
        <v>1</v>
      </c>
      <c r="I4832" s="1566"/>
      <c r="J4832" s="1566"/>
      <c r="K4832" s="1565">
        <v>1776733</v>
      </c>
      <c r="L4832" s="1565">
        <v>1776733</v>
      </c>
      <c r="M4832" s="1564"/>
      <c r="N4832" s="1565">
        <v>1776733</v>
      </c>
      <c r="O4832" s="1565">
        <v>133255.53</v>
      </c>
      <c r="P4832" s="1565">
        <v>1554640.5</v>
      </c>
      <c r="Q4832" s="1565">
        <v>88836.97</v>
      </c>
      <c r="R4832" s="1565">
        <v>1643477.47</v>
      </c>
      <c r="S4832" s="1562"/>
    </row>
    <row r="4833" spans="2:19" ht="11.25" customHeight="1" outlineLevel="1">
      <c r="B4833" s="1573">
        <v>31598</v>
      </c>
      <c r="C4833" s="1566" t="s">
        <v>3663</v>
      </c>
      <c r="D4833" s="1566" t="s">
        <v>8125</v>
      </c>
      <c r="E4833" s="1566"/>
      <c r="F4833" s="1566"/>
      <c r="G4833" s="1566" t="s">
        <v>3702</v>
      </c>
      <c r="H4833" s="1568">
        <v>1</v>
      </c>
      <c r="I4833" s="1566"/>
      <c r="J4833" s="1566"/>
      <c r="K4833" s="1565">
        <v>1434</v>
      </c>
      <c r="L4833" s="1565">
        <v>1434</v>
      </c>
      <c r="M4833" s="1564"/>
      <c r="N4833" s="1565">
        <v>1434</v>
      </c>
      <c r="O4833" s="1572">
        <v>106.92</v>
      </c>
      <c r="P4833" s="1565">
        <v>1255.8</v>
      </c>
      <c r="Q4833" s="1572">
        <v>71.28</v>
      </c>
      <c r="R4833" s="1565">
        <v>1327.08</v>
      </c>
      <c r="S4833" s="1562"/>
    </row>
    <row r="4834" spans="2:19" ht="11.25" customHeight="1" outlineLevel="1">
      <c r="B4834" s="1573">
        <v>31599</v>
      </c>
      <c r="C4834" s="1566" t="s">
        <v>3663</v>
      </c>
      <c r="D4834" s="1566" t="s">
        <v>8124</v>
      </c>
      <c r="E4834" s="1566"/>
      <c r="F4834" s="1566"/>
      <c r="G4834" s="1566" t="s">
        <v>3700</v>
      </c>
      <c r="H4834" s="1568">
        <v>1</v>
      </c>
      <c r="I4834" s="1566"/>
      <c r="J4834" s="1566"/>
      <c r="K4834" s="1565">
        <v>14609</v>
      </c>
      <c r="L4834" s="1565">
        <v>14609</v>
      </c>
      <c r="M4834" s="1564"/>
      <c r="N4834" s="1565">
        <v>14609</v>
      </c>
      <c r="O4834" s="1565">
        <v>1095.75</v>
      </c>
      <c r="P4834" s="1565">
        <v>12782.7</v>
      </c>
      <c r="Q4834" s="1572">
        <v>730.55</v>
      </c>
      <c r="R4834" s="1565">
        <v>13513.25</v>
      </c>
      <c r="S4834" s="1562"/>
    </row>
    <row r="4835" spans="2:19" ht="11.25" customHeight="1" outlineLevel="1">
      <c r="B4835" s="1573">
        <v>31600</v>
      </c>
      <c r="C4835" s="1566" t="s">
        <v>3663</v>
      </c>
      <c r="D4835" s="1566" t="s">
        <v>8123</v>
      </c>
      <c r="E4835" s="1566"/>
      <c r="F4835" s="1566"/>
      <c r="G4835" s="1566" t="s">
        <v>3698</v>
      </c>
      <c r="H4835" s="1568">
        <v>1</v>
      </c>
      <c r="I4835" s="1566"/>
      <c r="J4835" s="1566"/>
      <c r="K4835" s="1565">
        <v>5465</v>
      </c>
      <c r="L4835" s="1565">
        <v>5465</v>
      </c>
      <c r="M4835" s="1564"/>
      <c r="N4835" s="1565">
        <v>5465</v>
      </c>
      <c r="O4835" s="1565">
        <v>3744.5</v>
      </c>
      <c r="P4835" s="1565">
        <v>1627.5</v>
      </c>
      <c r="Q4835" s="1572">
        <v>93</v>
      </c>
      <c r="R4835" s="1565">
        <v>1720.5</v>
      </c>
      <c r="S4835" s="1562"/>
    </row>
    <row r="4836" spans="2:19" ht="11.25" customHeight="1" outlineLevel="1">
      <c r="B4836" s="1573">
        <v>31601</v>
      </c>
      <c r="C4836" s="1566" t="s">
        <v>3663</v>
      </c>
      <c r="D4836" s="1566" t="s">
        <v>8122</v>
      </c>
      <c r="E4836" s="1566"/>
      <c r="F4836" s="1566"/>
      <c r="G4836" s="1566" t="s">
        <v>3696</v>
      </c>
      <c r="H4836" s="1568">
        <v>1</v>
      </c>
      <c r="I4836" s="1566"/>
      <c r="J4836" s="1566"/>
      <c r="K4836" s="1565">
        <v>1406</v>
      </c>
      <c r="L4836" s="1565">
        <v>1406</v>
      </c>
      <c r="M4836" s="1564"/>
      <c r="N4836" s="1565">
        <v>1406</v>
      </c>
      <c r="O4836" s="1572">
        <v>424.76</v>
      </c>
      <c r="P4836" s="1572">
        <v>928.2</v>
      </c>
      <c r="Q4836" s="1572">
        <v>53.04</v>
      </c>
      <c r="R4836" s="1572">
        <v>981.24</v>
      </c>
      <c r="S4836" s="1562"/>
    </row>
    <row r="4837" spans="2:19" ht="11.25" customHeight="1" outlineLevel="1">
      <c r="B4837" s="1573">
        <v>31602</v>
      </c>
      <c r="C4837" s="1566" t="s">
        <v>3663</v>
      </c>
      <c r="D4837" s="1566" t="s">
        <v>8121</v>
      </c>
      <c r="E4837" s="1566"/>
      <c r="F4837" s="1566"/>
      <c r="G4837" s="1566" t="s">
        <v>3694</v>
      </c>
      <c r="H4837" s="1568">
        <v>1</v>
      </c>
      <c r="I4837" s="1566"/>
      <c r="J4837" s="1566"/>
      <c r="K4837" s="1565">
        <v>9426</v>
      </c>
      <c r="L4837" s="1565">
        <v>9426</v>
      </c>
      <c r="M4837" s="1564"/>
      <c r="N4837" s="1565">
        <v>9426</v>
      </c>
      <c r="O4837" s="1565">
        <v>2845.92</v>
      </c>
      <c r="P4837" s="1565">
        <v>6224.4</v>
      </c>
      <c r="Q4837" s="1572">
        <v>355.68</v>
      </c>
      <c r="R4837" s="1565">
        <v>6580.08</v>
      </c>
      <c r="S4837" s="1562"/>
    </row>
    <row r="4838" spans="2:19" ht="11.25" customHeight="1" outlineLevel="1">
      <c r="B4838" s="1573">
        <v>31603</v>
      </c>
      <c r="C4838" s="1566" t="s">
        <v>3663</v>
      </c>
      <c r="D4838" s="1566" t="s">
        <v>8120</v>
      </c>
      <c r="E4838" s="1566"/>
      <c r="F4838" s="1566"/>
      <c r="G4838" s="1566" t="s">
        <v>8119</v>
      </c>
      <c r="H4838" s="1568">
        <v>1</v>
      </c>
      <c r="I4838" s="1566"/>
      <c r="J4838" s="1566"/>
      <c r="K4838" s="1565">
        <v>18140</v>
      </c>
      <c r="L4838" s="1565">
        <v>18140</v>
      </c>
      <c r="M4838" s="1564"/>
      <c r="N4838" s="1565">
        <v>18140</v>
      </c>
      <c r="O4838" s="1565">
        <v>1360.89</v>
      </c>
      <c r="P4838" s="1565">
        <v>15871.8</v>
      </c>
      <c r="Q4838" s="1572">
        <v>907.31</v>
      </c>
      <c r="R4838" s="1565">
        <v>16779.11</v>
      </c>
      <c r="S4838" s="1562"/>
    </row>
    <row r="4839" spans="2:19" ht="11.25" customHeight="1" outlineLevel="1">
      <c r="B4839" s="1573">
        <v>31604</v>
      </c>
      <c r="C4839" s="1566" t="s">
        <v>3663</v>
      </c>
      <c r="D4839" s="1566" t="s">
        <v>8118</v>
      </c>
      <c r="E4839" s="1566"/>
      <c r="F4839" s="1566"/>
      <c r="G4839" s="1566" t="s">
        <v>3690</v>
      </c>
      <c r="H4839" s="1568">
        <v>1</v>
      </c>
      <c r="I4839" s="1566"/>
      <c r="J4839" s="1566"/>
      <c r="K4839" s="1565">
        <v>21252</v>
      </c>
      <c r="L4839" s="1565">
        <v>21252</v>
      </c>
      <c r="M4839" s="1564"/>
      <c r="N4839" s="1565">
        <v>21252</v>
      </c>
      <c r="O4839" s="1565">
        <v>1593.9</v>
      </c>
      <c r="P4839" s="1565">
        <v>18595.5</v>
      </c>
      <c r="Q4839" s="1565">
        <v>1062.5999999999999</v>
      </c>
      <c r="R4839" s="1565">
        <v>19658.099999999999</v>
      </c>
      <c r="S4839" s="1562"/>
    </row>
    <row r="4840" spans="2:19" ht="11.25" customHeight="1" outlineLevel="1">
      <c r="B4840" s="1573">
        <v>31605</v>
      </c>
      <c r="C4840" s="1566" t="s">
        <v>3663</v>
      </c>
      <c r="D4840" s="1566" t="s">
        <v>8117</v>
      </c>
      <c r="E4840" s="1566"/>
      <c r="F4840" s="1566"/>
      <c r="G4840" s="1566" t="s">
        <v>3688</v>
      </c>
      <c r="H4840" s="1568">
        <v>1</v>
      </c>
      <c r="I4840" s="1566"/>
      <c r="J4840" s="1566"/>
      <c r="K4840" s="1565">
        <v>38377</v>
      </c>
      <c r="L4840" s="1565">
        <v>38377</v>
      </c>
      <c r="M4840" s="1564"/>
      <c r="N4840" s="1565">
        <v>38377</v>
      </c>
      <c r="O4840" s="1572">
        <v>340.09</v>
      </c>
      <c r="P4840" s="1565">
        <v>36302.699999999997</v>
      </c>
      <c r="Q4840" s="1565">
        <v>1734.21</v>
      </c>
      <c r="R4840" s="1565">
        <v>38036.910000000003</v>
      </c>
      <c r="S4840" s="1562"/>
    </row>
    <row r="4841" spans="2:19" ht="11.25" customHeight="1" outlineLevel="1">
      <c r="B4841" s="1573">
        <v>31606</v>
      </c>
      <c r="C4841" s="1566" t="s">
        <v>3663</v>
      </c>
      <c r="D4841" s="1566" t="s">
        <v>8116</v>
      </c>
      <c r="E4841" s="1566"/>
      <c r="F4841" s="1566"/>
      <c r="G4841" s="1566" t="s">
        <v>3686</v>
      </c>
      <c r="H4841" s="1568">
        <v>1</v>
      </c>
      <c r="I4841" s="1566"/>
      <c r="J4841" s="1566"/>
      <c r="K4841" s="1565">
        <v>42452</v>
      </c>
      <c r="L4841" s="1565">
        <v>42452</v>
      </c>
      <c r="M4841" s="1564"/>
      <c r="N4841" s="1565">
        <v>42452</v>
      </c>
      <c r="O4841" s="1565">
        <v>12815.12</v>
      </c>
      <c r="P4841" s="1565">
        <v>28035</v>
      </c>
      <c r="Q4841" s="1565">
        <v>1601.88</v>
      </c>
      <c r="R4841" s="1565">
        <v>29636.880000000001</v>
      </c>
      <c r="S4841" s="1562"/>
    </row>
    <row r="4842" spans="2:19" ht="11.25" customHeight="1" outlineLevel="1">
      <c r="B4842" s="1573">
        <v>31607</v>
      </c>
      <c r="C4842" s="1566" t="s">
        <v>3663</v>
      </c>
      <c r="D4842" s="1566" t="s">
        <v>8115</v>
      </c>
      <c r="E4842" s="1566"/>
      <c r="F4842" s="1566"/>
      <c r="G4842" s="1566" t="s">
        <v>3684</v>
      </c>
      <c r="H4842" s="1568">
        <v>1</v>
      </c>
      <c r="I4842" s="1566"/>
      <c r="J4842" s="1566"/>
      <c r="K4842" s="1565">
        <v>79064</v>
      </c>
      <c r="L4842" s="1565">
        <v>79064</v>
      </c>
      <c r="M4842" s="1564"/>
      <c r="N4842" s="1565">
        <v>79064</v>
      </c>
      <c r="O4842" s="1565">
        <v>23868.14</v>
      </c>
      <c r="P4842" s="1565">
        <v>52212.3</v>
      </c>
      <c r="Q4842" s="1565">
        <v>2983.56</v>
      </c>
      <c r="R4842" s="1565">
        <v>55195.86</v>
      </c>
      <c r="S4842" s="1562"/>
    </row>
    <row r="4843" spans="2:19" ht="11.25" customHeight="1" outlineLevel="1">
      <c r="B4843" s="1573">
        <v>31608</v>
      </c>
      <c r="C4843" s="1566" t="s">
        <v>3663</v>
      </c>
      <c r="D4843" s="1566" t="s">
        <v>8114</v>
      </c>
      <c r="E4843" s="1566"/>
      <c r="F4843" s="1566"/>
      <c r="G4843" s="1566" t="s">
        <v>3682</v>
      </c>
      <c r="H4843" s="1568">
        <v>1</v>
      </c>
      <c r="I4843" s="1566"/>
      <c r="J4843" s="1566"/>
      <c r="K4843" s="1565">
        <v>30932</v>
      </c>
      <c r="L4843" s="1565">
        <v>30932</v>
      </c>
      <c r="M4843" s="1564"/>
      <c r="N4843" s="1565">
        <v>30932</v>
      </c>
      <c r="O4843" s="1565">
        <v>9338.06</v>
      </c>
      <c r="P4843" s="1565">
        <v>20426.7</v>
      </c>
      <c r="Q4843" s="1565">
        <v>1167.24</v>
      </c>
      <c r="R4843" s="1565">
        <v>21593.94</v>
      </c>
      <c r="S4843" s="1562"/>
    </row>
    <row r="4844" spans="2:19" ht="11.25" customHeight="1" outlineLevel="1">
      <c r="B4844" s="1573">
        <v>31609</v>
      </c>
      <c r="C4844" s="1566" t="s">
        <v>3663</v>
      </c>
      <c r="D4844" s="1566" t="s">
        <v>8113</v>
      </c>
      <c r="E4844" s="1566"/>
      <c r="F4844" s="1566"/>
      <c r="G4844" s="1566" t="s">
        <v>3692</v>
      </c>
      <c r="H4844" s="1568">
        <v>1</v>
      </c>
      <c r="I4844" s="1566"/>
      <c r="J4844" s="1566"/>
      <c r="K4844" s="1565">
        <v>1233</v>
      </c>
      <c r="L4844" s="1565">
        <v>1233</v>
      </c>
      <c r="M4844" s="1564"/>
      <c r="N4844" s="1565">
        <v>1233</v>
      </c>
      <c r="O4844" s="1572">
        <v>371.76</v>
      </c>
      <c r="P4844" s="1572">
        <v>814.8</v>
      </c>
      <c r="Q4844" s="1572">
        <v>46.44</v>
      </c>
      <c r="R4844" s="1572">
        <v>861.24</v>
      </c>
      <c r="S4844" s="1562"/>
    </row>
    <row r="4845" spans="2:19" ht="11.25" customHeight="1" outlineLevel="1">
      <c r="B4845" s="1573">
        <v>31610</v>
      </c>
      <c r="C4845" s="1566" t="s">
        <v>3663</v>
      </c>
      <c r="D4845" s="1566" t="s">
        <v>8112</v>
      </c>
      <c r="E4845" s="1566"/>
      <c r="F4845" s="1566"/>
      <c r="G4845" s="1566" t="s">
        <v>3680</v>
      </c>
      <c r="H4845" s="1568">
        <v>1</v>
      </c>
      <c r="I4845" s="1566"/>
      <c r="J4845" s="1566"/>
      <c r="K4845" s="1565">
        <v>1897</v>
      </c>
      <c r="L4845" s="1565">
        <v>1897</v>
      </c>
      <c r="M4845" s="1564"/>
      <c r="N4845" s="1565">
        <v>1897</v>
      </c>
      <c r="O4845" s="1572">
        <v>571.78</v>
      </c>
      <c r="P4845" s="1565">
        <v>1253.7</v>
      </c>
      <c r="Q4845" s="1572">
        <v>71.52</v>
      </c>
      <c r="R4845" s="1565">
        <v>1325.22</v>
      </c>
      <c r="S4845" s="1562"/>
    </row>
    <row r="4846" spans="2:19" ht="11.25" customHeight="1" outlineLevel="1">
      <c r="B4846" s="1573">
        <v>31611</v>
      </c>
      <c r="C4846" s="1566" t="s">
        <v>3663</v>
      </c>
      <c r="D4846" s="1566" t="s">
        <v>8111</v>
      </c>
      <c r="E4846" s="1566"/>
      <c r="F4846" s="1566"/>
      <c r="G4846" s="1566" t="s">
        <v>3677</v>
      </c>
      <c r="H4846" s="1568">
        <v>1</v>
      </c>
      <c r="I4846" s="1566"/>
      <c r="J4846" s="1566"/>
      <c r="K4846" s="1565">
        <v>3319</v>
      </c>
      <c r="L4846" s="1565">
        <v>3319</v>
      </c>
      <c r="M4846" s="1564"/>
      <c r="N4846" s="1565">
        <v>3319</v>
      </c>
      <c r="O4846" s="1565">
        <v>1001.44</v>
      </c>
      <c r="P4846" s="1565">
        <v>2192.4</v>
      </c>
      <c r="Q4846" s="1572">
        <v>125.16</v>
      </c>
      <c r="R4846" s="1565">
        <v>2317.56</v>
      </c>
      <c r="S4846" s="1562"/>
    </row>
    <row r="4847" spans="2:19" ht="11.25" customHeight="1" outlineLevel="1">
      <c r="B4847" s="1573">
        <v>31612</v>
      </c>
      <c r="C4847" s="1566" t="s">
        <v>3663</v>
      </c>
      <c r="D4847" s="1566" t="s">
        <v>8110</v>
      </c>
      <c r="E4847" s="1566"/>
      <c r="F4847" s="1566"/>
      <c r="G4847" s="1566" t="s">
        <v>8109</v>
      </c>
      <c r="H4847" s="1568">
        <v>1</v>
      </c>
      <c r="I4847" s="1566"/>
      <c r="J4847" s="1566"/>
      <c r="K4847" s="1565">
        <v>3894</v>
      </c>
      <c r="L4847" s="1565">
        <v>3894</v>
      </c>
      <c r="M4847" s="1564"/>
      <c r="N4847" s="1565">
        <v>3894</v>
      </c>
      <c r="O4847" s="1565">
        <v>1174.6199999999999</v>
      </c>
      <c r="P4847" s="1565">
        <v>2572.5</v>
      </c>
      <c r="Q4847" s="1572">
        <v>146.88</v>
      </c>
      <c r="R4847" s="1565">
        <v>2719.38</v>
      </c>
      <c r="S4847" s="1562"/>
    </row>
    <row r="4848" spans="2:19" ht="11.25" customHeight="1" outlineLevel="1">
      <c r="B4848" s="1573">
        <v>31613</v>
      </c>
      <c r="C4848" s="1566" t="s">
        <v>3663</v>
      </c>
      <c r="D4848" s="1566" t="s">
        <v>8108</v>
      </c>
      <c r="E4848" s="1566"/>
      <c r="F4848" s="1566"/>
      <c r="G4848" s="1566" t="s">
        <v>3675</v>
      </c>
      <c r="H4848" s="1568">
        <v>1</v>
      </c>
      <c r="I4848" s="1566"/>
      <c r="J4848" s="1566"/>
      <c r="K4848" s="1565">
        <v>4604</v>
      </c>
      <c r="L4848" s="1565">
        <v>4604</v>
      </c>
      <c r="M4848" s="1564"/>
      <c r="N4848" s="1565">
        <v>4604</v>
      </c>
      <c r="O4848" s="1565">
        <v>1389.56</v>
      </c>
      <c r="P4848" s="1565">
        <v>3040.8</v>
      </c>
      <c r="Q4848" s="1572">
        <v>173.64</v>
      </c>
      <c r="R4848" s="1565">
        <v>3214.44</v>
      </c>
      <c r="S4848" s="1562"/>
    </row>
    <row r="4849" spans="2:19" ht="11.25" customHeight="1" outlineLevel="1">
      <c r="B4849" s="1573">
        <v>31614</v>
      </c>
      <c r="C4849" s="1566" t="s">
        <v>3663</v>
      </c>
      <c r="D4849" s="1566" t="s">
        <v>8107</v>
      </c>
      <c r="E4849" s="1566"/>
      <c r="F4849" s="1566"/>
      <c r="G4849" s="1566" t="s">
        <v>3671</v>
      </c>
      <c r="H4849" s="1568">
        <v>1</v>
      </c>
      <c r="I4849" s="1566"/>
      <c r="J4849" s="1566"/>
      <c r="K4849" s="1565">
        <v>33417</v>
      </c>
      <c r="L4849" s="1565">
        <v>33417</v>
      </c>
      <c r="M4849" s="1564"/>
      <c r="N4849" s="1565">
        <v>33417</v>
      </c>
      <c r="O4849" s="1565">
        <v>10089.120000000001</v>
      </c>
      <c r="P4849" s="1565">
        <v>22066.799999999999</v>
      </c>
      <c r="Q4849" s="1565">
        <v>1261.08</v>
      </c>
      <c r="R4849" s="1565">
        <v>23327.88</v>
      </c>
      <c r="S4849" s="1562"/>
    </row>
    <row r="4850" spans="2:19" ht="11.25" customHeight="1" outlineLevel="1">
      <c r="B4850" s="1573">
        <v>31615</v>
      </c>
      <c r="C4850" s="1566" t="s">
        <v>3663</v>
      </c>
      <c r="D4850" s="1566" t="s">
        <v>8106</v>
      </c>
      <c r="E4850" s="1566"/>
      <c r="F4850" s="1566"/>
      <c r="G4850" s="1566" t="s">
        <v>8105</v>
      </c>
      <c r="H4850" s="1568">
        <v>1</v>
      </c>
      <c r="I4850" s="1566"/>
      <c r="J4850" s="1566"/>
      <c r="K4850" s="1565">
        <v>7894</v>
      </c>
      <c r="L4850" s="1565">
        <v>7894</v>
      </c>
      <c r="M4850" s="1564"/>
      <c r="N4850" s="1565">
        <v>7894</v>
      </c>
      <c r="O4850" s="1565">
        <v>2383.84</v>
      </c>
      <c r="P4850" s="1565">
        <v>5212.2</v>
      </c>
      <c r="Q4850" s="1572">
        <v>297.95999999999998</v>
      </c>
      <c r="R4850" s="1565">
        <v>5510.16</v>
      </c>
      <c r="S4850" s="1562"/>
    </row>
    <row r="4851" spans="2:19" ht="11.25" customHeight="1" outlineLevel="1">
      <c r="B4851" s="1573">
        <v>31616</v>
      </c>
      <c r="C4851" s="1566" t="s">
        <v>3663</v>
      </c>
      <c r="D4851" s="1566" t="s">
        <v>8104</v>
      </c>
      <c r="E4851" s="1566"/>
      <c r="F4851" s="1566"/>
      <c r="G4851" s="1566" t="s">
        <v>3668</v>
      </c>
      <c r="H4851" s="1568">
        <v>1</v>
      </c>
      <c r="I4851" s="1566"/>
      <c r="J4851" s="1566"/>
      <c r="K4851" s="1565">
        <v>4182</v>
      </c>
      <c r="L4851" s="1565">
        <v>4182</v>
      </c>
      <c r="M4851" s="1564"/>
      <c r="N4851" s="1565">
        <v>4182</v>
      </c>
      <c r="O4851" s="1565">
        <v>1262.7</v>
      </c>
      <c r="P4851" s="1565">
        <v>2761.5</v>
      </c>
      <c r="Q4851" s="1572">
        <v>157.80000000000001</v>
      </c>
      <c r="R4851" s="1565">
        <v>2919.3</v>
      </c>
      <c r="S4851" s="1562"/>
    </row>
    <row r="4852" spans="2:19" ht="11.25" customHeight="1" outlineLevel="1">
      <c r="B4852" s="1573">
        <v>31617</v>
      </c>
      <c r="C4852" s="1566" t="s">
        <v>3663</v>
      </c>
      <c r="D4852" s="1566" t="s">
        <v>8103</v>
      </c>
      <c r="E4852" s="1566"/>
      <c r="F4852" s="1566"/>
      <c r="G4852" s="1566" t="s">
        <v>3666</v>
      </c>
      <c r="H4852" s="1568">
        <v>1</v>
      </c>
      <c r="I4852" s="1566"/>
      <c r="J4852" s="1566"/>
      <c r="K4852" s="1565">
        <v>10958</v>
      </c>
      <c r="L4852" s="1565">
        <v>10958</v>
      </c>
      <c r="M4852" s="1564"/>
      <c r="N4852" s="1565">
        <v>10958</v>
      </c>
      <c r="O4852" s="1565">
        <v>3307.88</v>
      </c>
      <c r="P4852" s="1565">
        <v>7236.6</v>
      </c>
      <c r="Q4852" s="1572">
        <v>413.52</v>
      </c>
      <c r="R4852" s="1565">
        <v>7650.12</v>
      </c>
      <c r="S4852" s="1562"/>
    </row>
    <row r="4853" spans="2:19" ht="11.25" customHeight="1" outlineLevel="1">
      <c r="B4853" s="1573">
        <v>31618</v>
      </c>
      <c r="C4853" s="1566" t="s">
        <v>3663</v>
      </c>
      <c r="D4853" s="1566" t="s">
        <v>8102</v>
      </c>
      <c r="E4853" s="1566"/>
      <c r="F4853" s="1566"/>
      <c r="G4853" s="1566" t="s">
        <v>3668</v>
      </c>
      <c r="H4853" s="1568">
        <v>1</v>
      </c>
      <c r="I4853" s="1566"/>
      <c r="J4853" s="1566"/>
      <c r="K4853" s="1565">
        <v>80236</v>
      </c>
      <c r="L4853" s="1565">
        <v>80236</v>
      </c>
      <c r="M4853" s="1564"/>
      <c r="N4853" s="1565">
        <v>80236</v>
      </c>
      <c r="O4853" s="1565">
        <v>24223.06</v>
      </c>
      <c r="P4853" s="1565">
        <v>52985.1</v>
      </c>
      <c r="Q4853" s="1565">
        <v>3027.84</v>
      </c>
      <c r="R4853" s="1565">
        <v>56012.94</v>
      </c>
      <c r="S4853" s="1562"/>
    </row>
    <row r="4854" spans="2:19" ht="30" customHeight="1" outlineLevel="1">
      <c r="B4854" s="1573">
        <v>31619</v>
      </c>
      <c r="C4854" s="1566" t="s">
        <v>3663</v>
      </c>
      <c r="D4854" s="1566" t="s">
        <v>8101</v>
      </c>
      <c r="E4854" s="1566"/>
      <c r="F4854" s="1566"/>
      <c r="G4854" s="1566" t="s">
        <v>3664</v>
      </c>
      <c r="H4854" s="1568">
        <v>1</v>
      </c>
      <c r="I4854" s="1566"/>
      <c r="J4854" s="1566"/>
      <c r="K4854" s="1565">
        <v>1616698</v>
      </c>
      <c r="L4854" s="1565">
        <v>1616698</v>
      </c>
      <c r="M4854" s="1564"/>
      <c r="N4854" s="1565">
        <v>1616698</v>
      </c>
      <c r="O4854" s="1565">
        <v>488059</v>
      </c>
      <c r="P4854" s="1565">
        <v>1067631.6000000001</v>
      </c>
      <c r="Q4854" s="1565">
        <v>61007.4</v>
      </c>
      <c r="R4854" s="1565">
        <v>1128639</v>
      </c>
      <c r="S4854" s="1562"/>
    </row>
    <row r="4855" spans="2:19" ht="11.25" customHeight="1" outlineLevel="1">
      <c r="B4855" s="1573">
        <v>31642</v>
      </c>
      <c r="C4855" s="1566" t="s">
        <v>3663</v>
      </c>
      <c r="D4855" s="1566" t="s">
        <v>8100</v>
      </c>
      <c r="E4855" s="1566"/>
      <c r="F4855" s="1566"/>
      <c r="G4855" s="1566" t="s">
        <v>8099</v>
      </c>
      <c r="H4855" s="1568">
        <v>1</v>
      </c>
      <c r="I4855" s="1566"/>
      <c r="J4855" s="1566"/>
      <c r="K4855" s="1565">
        <v>36086</v>
      </c>
      <c r="L4855" s="1565">
        <v>36086</v>
      </c>
      <c r="M4855" s="1564"/>
      <c r="N4855" s="1565">
        <v>36086</v>
      </c>
      <c r="O4855" s="1565">
        <v>24739.58</v>
      </c>
      <c r="P4855" s="1565">
        <v>10733.1</v>
      </c>
      <c r="Q4855" s="1572">
        <v>613.32000000000005</v>
      </c>
      <c r="R4855" s="1565">
        <v>11346.42</v>
      </c>
      <c r="S4855" s="1562"/>
    </row>
    <row r="4856" spans="2:19" ht="11.25" customHeight="1" outlineLevel="1">
      <c r="B4856" s="1573">
        <v>31677</v>
      </c>
      <c r="C4856" s="1566" t="s">
        <v>8097</v>
      </c>
      <c r="D4856" s="1566" t="s">
        <v>8098</v>
      </c>
      <c r="E4856" s="1566"/>
      <c r="F4856" s="1566"/>
      <c r="G4856" s="1566" t="s">
        <v>4658</v>
      </c>
      <c r="H4856" s="1568">
        <v>1</v>
      </c>
      <c r="I4856" s="1566"/>
      <c r="J4856" s="1566"/>
      <c r="K4856" s="1565">
        <v>633736</v>
      </c>
      <c r="L4856" s="1565">
        <v>633736</v>
      </c>
      <c r="M4856" s="1564"/>
      <c r="N4856" s="1565">
        <v>633736</v>
      </c>
      <c r="O4856" s="1565">
        <v>50170.35</v>
      </c>
      <c r="P4856" s="1565">
        <v>551879.13</v>
      </c>
      <c r="Q4856" s="1565">
        <v>31686.52</v>
      </c>
      <c r="R4856" s="1565">
        <v>583565.65</v>
      </c>
      <c r="S4856" s="1562"/>
    </row>
    <row r="4857" spans="2:19" ht="11.25" customHeight="1" outlineLevel="1">
      <c r="B4857" s="1573">
        <v>37346</v>
      </c>
      <c r="C4857" s="1566" t="s">
        <v>8097</v>
      </c>
      <c r="D4857" s="1566" t="s">
        <v>8096</v>
      </c>
      <c r="E4857" s="1566"/>
      <c r="F4857" s="1566"/>
      <c r="G4857" s="1566"/>
      <c r="H4857" s="1568">
        <v>1</v>
      </c>
      <c r="I4857" s="1566"/>
      <c r="J4857" s="1566"/>
      <c r="K4857" s="1565">
        <v>2856</v>
      </c>
      <c r="L4857" s="1565">
        <v>2856</v>
      </c>
      <c r="M4857" s="1565">
        <v>-2856</v>
      </c>
      <c r="N4857" s="1564"/>
      <c r="O4857" s="1564"/>
      <c r="P4857" s="1565">
        <v>2856</v>
      </c>
      <c r="Q4857" s="1565">
        <v>-2856</v>
      </c>
      <c r="R4857" s="1564"/>
      <c r="S4857" s="1562"/>
    </row>
    <row r="4858" spans="2:19" ht="11.25" customHeight="1" outlineLevel="1">
      <c r="B4858" s="1573">
        <v>31975</v>
      </c>
      <c r="C4858" s="1566" t="s">
        <v>3660</v>
      </c>
      <c r="D4858" s="1566" t="s">
        <v>8095</v>
      </c>
      <c r="E4858" s="1566"/>
      <c r="F4858" s="1566"/>
      <c r="G4858" s="1566"/>
      <c r="H4858" s="1568">
        <v>1</v>
      </c>
      <c r="I4858" s="1566"/>
      <c r="J4858" s="1566"/>
      <c r="K4858" s="1572">
        <v>332.22</v>
      </c>
      <c r="L4858" s="1572">
        <v>332.22</v>
      </c>
      <c r="M4858" s="1572">
        <v>-332.22</v>
      </c>
      <c r="N4858" s="1564"/>
      <c r="O4858" s="1564"/>
      <c r="P4858" s="1572">
        <v>332.22</v>
      </c>
      <c r="Q4858" s="1572">
        <v>-332.22</v>
      </c>
      <c r="R4858" s="1564"/>
      <c r="S4858" s="1562"/>
    </row>
    <row r="4859" spans="2:19" ht="11.25" customHeight="1" outlineLevel="1">
      <c r="B4859" s="1573">
        <v>32095</v>
      </c>
      <c r="C4859" s="1566" t="s">
        <v>3660</v>
      </c>
      <c r="D4859" s="1566" t="s">
        <v>8094</v>
      </c>
      <c r="E4859" s="1566"/>
      <c r="F4859" s="1566"/>
      <c r="G4859" s="1566"/>
      <c r="H4859" s="1568">
        <v>1</v>
      </c>
      <c r="I4859" s="1566"/>
      <c r="J4859" s="1566"/>
      <c r="K4859" s="1572">
        <v>141.66</v>
      </c>
      <c r="L4859" s="1572">
        <v>141.66</v>
      </c>
      <c r="M4859" s="1572">
        <v>-141.66</v>
      </c>
      <c r="N4859" s="1564"/>
      <c r="O4859" s="1564"/>
      <c r="P4859" s="1572">
        <v>141.66</v>
      </c>
      <c r="Q4859" s="1572">
        <v>-141.66</v>
      </c>
      <c r="R4859" s="1564"/>
      <c r="S4859" s="1562"/>
    </row>
    <row r="4860" spans="2:19" ht="11.25" customHeight="1" outlineLevel="1">
      <c r="B4860" s="1573">
        <v>32096</v>
      </c>
      <c r="C4860" s="1566" t="s">
        <v>3660</v>
      </c>
      <c r="D4860" s="1566" t="s">
        <v>8093</v>
      </c>
      <c r="E4860" s="1566"/>
      <c r="F4860" s="1566"/>
      <c r="G4860" s="1566"/>
      <c r="H4860" s="1568">
        <v>1</v>
      </c>
      <c r="I4860" s="1566"/>
      <c r="J4860" s="1566"/>
      <c r="K4860" s="1572">
        <v>182.73</v>
      </c>
      <c r="L4860" s="1572">
        <v>182.73</v>
      </c>
      <c r="M4860" s="1572">
        <v>-182.73</v>
      </c>
      <c r="N4860" s="1564"/>
      <c r="O4860" s="1564"/>
      <c r="P4860" s="1572">
        <v>182.73</v>
      </c>
      <c r="Q4860" s="1572">
        <v>-182.73</v>
      </c>
      <c r="R4860" s="1564"/>
      <c r="S4860" s="1562"/>
    </row>
    <row r="4861" spans="2:19" ht="11.25" customHeight="1" outlineLevel="1">
      <c r="B4861" s="1573">
        <v>32106</v>
      </c>
      <c r="C4861" s="1566" t="s">
        <v>3660</v>
      </c>
      <c r="D4861" s="1566" t="s">
        <v>8092</v>
      </c>
      <c r="E4861" s="1566"/>
      <c r="F4861" s="1566"/>
      <c r="G4861" s="1566"/>
      <c r="H4861" s="1568">
        <v>1</v>
      </c>
      <c r="I4861" s="1566"/>
      <c r="J4861" s="1566"/>
      <c r="K4861" s="1572">
        <v>182.73</v>
      </c>
      <c r="L4861" s="1572">
        <v>182.73</v>
      </c>
      <c r="M4861" s="1572">
        <v>-182.73</v>
      </c>
      <c r="N4861" s="1564"/>
      <c r="O4861" s="1564"/>
      <c r="P4861" s="1572">
        <v>182.73</v>
      </c>
      <c r="Q4861" s="1572">
        <v>-182.73</v>
      </c>
      <c r="R4861" s="1564"/>
      <c r="S4861" s="1562"/>
    </row>
    <row r="4862" spans="2:19" ht="11.25" customHeight="1" outlineLevel="1">
      <c r="B4862" s="1573">
        <v>32107</v>
      </c>
      <c r="C4862" s="1566" t="s">
        <v>3660</v>
      </c>
      <c r="D4862" s="1566" t="s">
        <v>8091</v>
      </c>
      <c r="E4862" s="1566"/>
      <c r="F4862" s="1566"/>
      <c r="G4862" s="1566"/>
      <c r="H4862" s="1568">
        <v>1</v>
      </c>
      <c r="I4862" s="1566"/>
      <c r="J4862" s="1566"/>
      <c r="K4862" s="1572">
        <v>85.81</v>
      </c>
      <c r="L4862" s="1572">
        <v>85.81</v>
      </c>
      <c r="M4862" s="1572">
        <v>-85.81</v>
      </c>
      <c r="N4862" s="1564"/>
      <c r="O4862" s="1564"/>
      <c r="P4862" s="1572">
        <v>85.81</v>
      </c>
      <c r="Q4862" s="1572">
        <v>-85.81</v>
      </c>
      <c r="R4862" s="1564"/>
      <c r="S4862" s="1562"/>
    </row>
    <row r="4863" spans="2:19" ht="11.25" customHeight="1" outlineLevel="1">
      <c r="B4863" s="1573">
        <v>32129</v>
      </c>
      <c r="C4863" s="1566" t="s">
        <v>3660</v>
      </c>
      <c r="D4863" s="1566" t="s">
        <v>8090</v>
      </c>
      <c r="E4863" s="1566"/>
      <c r="F4863" s="1566"/>
      <c r="G4863" s="1566"/>
      <c r="H4863" s="1568">
        <v>1</v>
      </c>
      <c r="I4863" s="1566"/>
      <c r="J4863" s="1566"/>
      <c r="K4863" s="1572">
        <v>74.08</v>
      </c>
      <c r="L4863" s="1572">
        <v>74.08</v>
      </c>
      <c r="M4863" s="1572">
        <v>-74.08</v>
      </c>
      <c r="N4863" s="1564"/>
      <c r="O4863" s="1564"/>
      <c r="P4863" s="1572">
        <v>74.08</v>
      </c>
      <c r="Q4863" s="1572">
        <v>-74.08</v>
      </c>
      <c r="R4863" s="1564"/>
      <c r="S4863" s="1562"/>
    </row>
    <row r="4864" spans="2:19" ht="11.25" customHeight="1" outlineLevel="1">
      <c r="B4864" s="1573">
        <v>32137</v>
      </c>
      <c r="C4864" s="1566" t="s">
        <v>3660</v>
      </c>
      <c r="D4864" s="1566" t="s">
        <v>8089</v>
      </c>
      <c r="E4864" s="1566"/>
      <c r="F4864" s="1566"/>
      <c r="G4864" s="1566"/>
      <c r="H4864" s="1568">
        <v>1</v>
      </c>
      <c r="I4864" s="1566"/>
      <c r="J4864" s="1566"/>
      <c r="K4864" s="1572">
        <v>128.47999999999999</v>
      </c>
      <c r="L4864" s="1572">
        <v>128.47999999999999</v>
      </c>
      <c r="M4864" s="1572">
        <v>-128.47999999999999</v>
      </c>
      <c r="N4864" s="1564"/>
      <c r="O4864" s="1564"/>
      <c r="P4864" s="1572">
        <v>128.47999999999999</v>
      </c>
      <c r="Q4864" s="1572">
        <v>-128.47999999999999</v>
      </c>
      <c r="R4864" s="1564"/>
      <c r="S4864" s="1562"/>
    </row>
    <row r="4865" spans="2:19" ht="11.25" customHeight="1" outlineLevel="1">
      <c r="B4865" s="1573">
        <v>32138</v>
      </c>
      <c r="C4865" s="1566" t="s">
        <v>3660</v>
      </c>
      <c r="D4865" s="1566" t="s">
        <v>8088</v>
      </c>
      <c r="E4865" s="1566"/>
      <c r="F4865" s="1566"/>
      <c r="G4865" s="1566"/>
      <c r="H4865" s="1568">
        <v>1</v>
      </c>
      <c r="I4865" s="1566"/>
      <c r="J4865" s="1566"/>
      <c r="K4865" s="1572">
        <v>182.73</v>
      </c>
      <c r="L4865" s="1572">
        <v>182.73</v>
      </c>
      <c r="M4865" s="1572">
        <v>-182.73</v>
      </c>
      <c r="N4865" s="1564"/>
      <c r="O4865" s="1564"/>
      <c r="P4865" s="1572">
        <v>182.73</v>
      </c>
      <c r="Q4865" s="1572">
        <v>-182.73</v>
      </c>
      <c r="R4865" s="1564"/>
      <c r="S4865" s="1562"/>
    </row>
    <row r="4866" spans="2:19" ht="11.25" customHeight="1" outlineLevel="1">
      <c r="B4866" s="1573">
        <v>32726</v>
      </c>
      <c r="C4866" s="1566" t="s">
        <v>3660</v>
      </c>
      <c r="D4866" s="1566" t="s">
        <v>8087</v>
      </c>
      <c r="E4866" s="1566"/>
      <c r="F4866" s="1566"/>
      <c r="G4866" s="1566"/>
      <c r="H4866" s="1568">
        <v>1</v>
      </c>
      <c r="I4866" s="1566"/>
      <c r="J4866" s="1566"/>
      <c r="K4866" s="1565">
        <v>12800</v>
      </c>
      <c r="L4866" s="1565">
        <v>12800</v>
      </c>
      <c r="M4866" s="1565">
        <v>-12800</v>
      </c>
      <c r="N4866" s="1564"/>
      <c r="O4866" s="1564"/>
      <c r="P4866" s="1565">
        <v>12800</v>
      </c>
      <c r="Q4866" s="1565">
        <v>-12800</v>
      </c>
      <c r="R4866" s="1564"/>
      <c r="S4866" s="1562"/>
    </row>
    <row r="4867" spans="2:19" ht="11.25" customHeight="1" outlineLevel="1">
      <c r="B4867" s="1573">
        <v>32876</v>
      </c>
      <c r="C4867" s="1566" t="s">
        <v>3660</v>
      </c>
      <c r="D4867" s="1566" t="s">
        <v>8086</v>
      </c>
      <c r="E4867" s="1566"/>
      <c r="F4867" s="1566"/>
      <c r="G4867" s="1566" t="s">
        <v>8085</v>
      </c>
      <c r="H4867" s="1568">
        <v>1</v>
      </c>
      <c r="I4867" s="1566"/>
      <c r="J4867" s="1566"/>
      <c r="K4867" s="1565">
        <v>24919</v>
      </c>
      <c r="L4867" s="1565">
        <v>24919</v>
      </c>
      <c r="M4867" s="1564"/>
      <c r="N4867" s="1565">
        <v>24919</v>
      </c>
      <c r="O4867" s="1565">
        <v>7569.92</v>
      </c>
      <c r="P4867" s="1565">
        <v>16402.88</v>
      </c>
      <c r="Q4867" s="1572">
        <v>946.2</v>
      </c>
      <c r="R4867" s="1565">
        <v>17349.080000000002</v>
      </c>
      <c r="S4867" s="1562"/>
    </row>
    <row r="4868" spans="2:19" ht="11.25" customHeight="1" outlineLevel="1">
      <c r="B4868" s="1573">
        <v>35108</v>
      </c>
      <c r="C4868" s="1566" t="s">
        <v>3660</v>
      </c>
      <c r="D4868" s="1566" t="s">
        <v>8084</v>
      </c>
      <c r="E4868" s="1566"/>
      <c r="F4868" s="1566"/>
      <c r="G4868" s="1566"/>
      <c r="H4868" s="1568">
        <v>1</v>
      </c>
      <c r="I4868" s="1566"/>
      <c r="J4868" s="1566"/>
      <c r="K4868" s="1565">
        <v>1165.31</v>
      </c>
      <c r="L4868" s="1565">
        <v>1165.31</v>
      </c>
      <c r="M4868" s="1565">
        <v>-1165.31</v>
      </c>
      <c r="N4868" s="1564"/>
      <c r="O4868" s="1564"/>
      <c r="P4868" s="1565">
        <v>1165.31</v>
      </c>
      <c r="Q4868" s="1565">
        <v>-1165.31</v>
      </c>
      <c r="R4868" s="1564"/>
      <c r="S4868" s="1562"/>
    </row>
    <row r="4869" spans="2:19" ht="11.25" customHeight="1" outlineLevel="1">
      <c r="B4869" s="1573">
        <v>37023</v>
      </c>
      <c r="C4869" s="1566" t="s">
        <v>3660</v>
      </c>
      <c r="D4869" s="1566" t="s">
        <v>8083</v>
      </c>
      <c r="E4869" s="1566"/>
      <c r="F4869" s="1566"/>
      <c r="G4869" s="1566"/>
      <c r="H4869" s="1568">
        <v>1</v>
      </c>
      <c r="I4869" s="1566"/>
      <c r="J4869" s="1566"/>
      <c r="K4869" s="1572">
        <v>182.73</v>
      </c>
      <c r="L4869" s="1572">
        <v>182.73</v>
      </c>
      <c r="M4869" s="1572">
        <v>-182.73</v>
      </c>
      <c r="N4869" s="1564"/>
      <c r="O4869" s="1564"/>
      <c r="P4869" s="1572">
        <v>182.73</v>
      </c>
      <c r="Q4869" s="1572">
        <v>-182.73</v>
      </c>
      <c r="R4869" s="1564"/>
      <c r="S4869" s="1562"/>
    </row>
    <row r="4870" spans="2:19" ht="11.25" customHeight="1" outlineLevel="1">
      <c r="B4870" s="1573">
        <v>37024</v>
      </c>
      <c r="C4870" s="1566" t="s">
        <v>3660</v>
      </c>
      <c r="D4870" s="1566" t="s">
        <v>8082</v>
      </c>
      <c r="E4870" s="1566"/>
      <c r="F4870" s="1566"/>
      <c r="G4870" s="1566"/>
      <c r="H4870" s="1568">
        <v>1</v>
      </c>
      <c r="I4870" s="1566"/>
      <c r="J4870" s="1566"/>
      <c r="K4870" s="1572">
        <v>182.73</v>
      </c>
      <c r="L4870" s="1572">
        <v>182.73</v>
      </c>
      <c r="M4870" s="1572">
        <v>-182.73</v>
      </c>
      <c r="N4870" s="1564"/>
      <c r="O4870" s="1564"/>
      <c r="P4870" s="1572">
        <v>182.73</v>
      </c>
      <c r="Q4870" s="1572">
        <v>-182.73</v>
      </c>
      <c r="R4870" s="1564"/>
      <c r="S4870" s="1562"/>
    </row>
    <row r="4871" spans="2:19" ht="11.25" customHeight="1" outlineLevel="1">
      <c r="B4871" s="1573">
        <v>37025</v>
      </c>
      <c r="C4871" s="1566" t="s">
        <v>3660</v>
      </c>
      <c r="D4871" s="1566" t="s">
        <v>8081</v>
      </c>
      <c r="E4871" s="1566"/>
      <c r="F4871" s="1566"/>
      <c r="G4871" s="1566"/>
      <c r="H4871" s="1568">
        <v>1</v>
      </c>
      <c r="I4871" s="1566"/>
      <c r="J4871" s="1566"/>
      <c r="K4871" s="1572">
        <v>182.73</v>
      </c>
      <c r="L4871" s="1572">
        <v>182.73</v>
      </c>
      <c r="M4871" s="1572">
        <v>-182.73</v>
      </c>
      <c r="N4871" s="1564"/>
      <c r="O4871" s="1564"/>
      <c r="P4871" s="1572">
        <v>182.73</v>
      </c>
      <c r="Q4871" s="1572">
        <v>-182.73</v>
      </c>
      <c r="R4871" s="1564"/>
      <c r="S4871" s="1562"/>
    </row>
    <row r="4872" spans="2:19" ht="11.25" customHeight="1" outlineLevel="1">
      <c r="B4872" s="1573">
        <v>37026</v>
      </c>
      <c r="C4872" s="1566" t="s">
        <v>3660</v>
      </c>
      <c r="D4872" s="1566" t="s">
        <v>8080</v>
      </c>
      <c r="E4872" s="1566"/>
      <c r="F4872" s="1566"/>
      <c r="G4872" s="1566"/>
      <c r="H4872" s="1568">
        <v>1</v>
      </c>
      <c r="I4872" s="1566"/>
      <c r="J4872" s="1566"/>
      <c r="K4872" s="1572">
        <v>182.73</v>
      </c>
      <c r="L4872" s="1572">
        <v>182.73</v>
      </c>
      <c r="M4872" s="1572">
        <v>-182.73</v>
      </c>
      <c r="N4872" s="1564"/>
      <c r="O4872" s="1564"/>
      <c r="P4872" s="1572">
        <v>182.73</v>
      </c>
      <c r="Q4872" s="1572">
        <v>-182.73</v>
      </c>
      <c r="R4872" s="1564"/>
      <c r="S4872" s="1562"/>
    </row>
    <row r="4873" spans="2:19" ht="11.25" customHeight="1" outlineLevel="1">
      <c r="B4873" s="1573">
        <v>37027</v>
      </c>
      <c r="C4873" s="1566" t="s">
        <v>3660</v>
      </c>
      <c r="D4873" s="1566" t="s">
        <v>8079</v>
      </c>
      <c r="E4873" s="1566"/>
      <c r="F4873" s="1566"/>
      <c r="G4873" s="1566"/>
      <c r="H4873" s="1568">
        <v>1</v>
      </c>
      <c r="I4873" s="1566"/>
      <c r="J4873" s="1566"/>
      <c r="K4873" s="1572">
        <v>128.47999999999999</v>
      </c>
      <c r="L4873" s="1572">
        <v>128.47999999999999</v>
      </c>
      <c r="M4873" s="1572">
        <v>-128.47999999999999</v>
      </c>
      <c r="N4873" s="1564"/>
      <c r="O4873" s="1564"/>
      <c r="P4873" s="1572">
        <v>128.47999999999999</v>
      </c>
      <c r="Q4873" s="1572">
        <v>-128.47999999999999</v>
      </c>
      <c r="R4873" s="1564"/>
      <c r="S4873" s="1562"/>
    </row>
    <row r="4874" spans="2:19" ht="11.25" customHeight="1" outlineLevel="1">
      <c r="B4874" s="1573">
        <v>37028</v>
      </c>
      <c r="C4874" s="1566" t="s">
        <v>3660</v>
      </c>
      <c r="D4874" s="1566" t="s">
        <v>8078</v>
      </c>
      <c r="E4874" s="1566"/>
      <c r="F4874" s="1566"/>
      <c r="G4874" s="1566"/>
      <c r="H4874" s="1568">
        <v>1</v>
      </c>
      <c r="I4874" s="1566"/>
      <c r="J4874" s="1566"/>
      <c r="K4874" s="1572">
        <v>128.47999999999999</v>
      </c>
      <c r="L4874" s="1572">
        <v>128.47999999999999</v>
      </c>
      <c r="M4874" s="1572">
        <v>-128.47999999999999</v>
      </c>
      <c r="N4874" s="1564"/>
      <c r="O4874" s="1564"/>
      <c r="P4874" s="1572">
        <v>128.47999999999999</v>
      </c>
      <c r="Q4874" s="1572">
        <v>-128.47999999999999</v>
      </c>
      <c r="R4874" s="1564"/>
      <c r="S4874" s="1562"/>
    </row>
    <row r="4875" spans="2:19" ht="11.25" customHeight="1" outlineLevel="1">
      <c r="B4875" s="1573">
        <v>37029</v>
      </c>
      <c r="C4875" s="1566" t="s">
        <v>3660</v>
      </c>
      <c r="D4875" s="1566" t="s">
        <v>8077</v>
      </c>
      <c r="E4875" s="1566"/>
      <c r="F4875" s="1566"/>
      <c r="G4875" s="1566"/>
      <c r="H4875" s="1568">
        <v>1</v>
      </c>
      <c r="I4875" s="1566"/>
      <c r="J4875" s="1566"/>
      <c r="K4875" s="1572">
        <v>128.47999999999999</v>
      </c>
      <c r="L4875" s="1572">
        <v>128.47999999999999</v>
      </c>
      <c r="M4875" s="1572">
        <v>-128.47999999999999</v>
      </c>
      <c r="N4875" s="1564"/>
      <c r="O4875" s="1564"/>
      <c r="P4875" s="1572">
        <v>128.47999999999999</v>
      </c>
      <c r="Q4875" s="1572">
        <v>-128.47999999999999</v>
      </c>
      <c r="R4875" s="1564"/>
      <c r="S4875" s="1562"/>
    </row>
    <row r="4876" spans="2:19" ht="11.25" customHeight="1" outlineLevel="1">
      <c r="B4876" s="1573">
        <v>37030</v>
      </c>
      <c r="C4876" s="1566" t="s">
        <v>3660</v>
      </c>
      <c r="D4876" s="1566" t="s">
        <v>8076</v>
      </c>
      <c r="E4876" s="1566"/>
      <c r="F4876" s="1566"/>
      <c r="G4876" s="1566"/>
      <c r="H4876" s="1568">
        <v>1</v>
      </c>
      <c r="I4876" s="1566"/>
      <c r="J4876" s="1566"/>
      <c r="K4876" s="1572">
        <v>182.73</v>
      </c>
      <c r="L4876" s="1572">
        <v>182.73</v>
      </c>
      <c r="M4876" s="1572">
        <v>-182.73</v>
      </c>
      <c r="N4876" s="1564"/>
      <c r="O4876" s="1564"/>
      <c r="P4876" s="1572">
        <v>182.73</v>
      </c>
      <c r="Q4876" s="1572">
        <v>-182.73</v>
      </c>
      <c r="R4876" s="1564"/>
      <c r="S4876" s="1562"/>
    </row>
    <row r="4877" spans="2:19" ht="11.25" customHeight="1" outlineLevel="1">
      <c r="B4877" s="1573">
        <v>37066</v>
      </c>
      <c r="C4877" s="1566" t="s">
        <v>3660</v>
      </c>
      <c r="D4877" s="1566" t="s">
        <v>8075</v>
      </c>
      <c r="E4877" s="1566"/>
      <c r="F4877" s="1566"/>
      <c r="G4877" s="1566"/>
      <c r="H4877" s="1568">
        <v>1</v>
      </c>
      <c r="I4877" s="1566"/>
      <c r="J4877" s="1566"/>
      <c r="K4877" s="1572">
        <v>85.83</v>
      </c>
      <c r="L4877" s="1572">
        <v>85.83</v>
      </c>
      <c r="M4877" s="1572">
        <v>-85.83</v>
      </c>
      <c r="N4877" s="1564"/>
      <c r="O4877" s="1564"/>
      <c r="P4877" s="1572">
        <v>85.83</v>
      </c>
      <c r="Q4877" s="1572">
        <v>-85.83</v>
      </c>
      <c r="R4877" s="1564"/>
      <c r="S4877" s="1562"/>
    </row>
    <row r="4878" spans="2:19" ht="11.25" customHeight="1" outlineLevel="1">
      <c r="B4878" s="1573">
        <v>37067</v>
      </c>
      <c r="C4878" s="1566" t="s">
        <v>3660</v>
      </c>
      <c r="D4878" s="1566" t="s">
        <v>8074</v>
      </c>
      <c r="E4878" s="1566"/>
      <c r="F4878" s="1566"/>
      <c r="G4878" s="1566"/>
      <c r="H4878" s="1568">
        <v>1</v>
      </c>
      <c r="I4878" s="1566"/>
      <c r="J4878" s="1566"/>
      <c r="K4878" s="1572">
        <v>85.83</v>
      </c>
      <c r="L4878" s="1572">
        <v>85.83</v>
      </c>
      <c r="M4878" s="1572">
        <v>-85.83</v>
      </c>
      <c r="N4878" s="1564"/>
      <c r="O4878" s="1564"/>
      <c r="P4878" s="1572">
        <v>85.83</v>
      </c>
      <c r="Q4878" s="1572">
        <v>-85.83</v>
      </c>
      <c r="R4878" s="1564"/>
      <c r="S4878" s="1562"/>
    </row>
    <row r="4879" spans="2:19" ht="11.25" customHeight="1" outlineLevel="1">
      <c r="B4879" s="1573">
        <v>37068</v>
      </c>
      <c r="C4879" s="1566" t="s">
        <v>3660</v>
      </c>
      <c r="D4879" s="1566" t="s">
        <v>8073</v>
      </c>
      <c r="E4879" s="1566"/>
      <c r="F4879" s="1566"/>
      <c r="G4879" s="1566"/>
      <c r="H4879" s="1568">
        <v>1</v>
      </c>
      <c r="I4879" s="1566"/>
      <c r="J4879" s="1566"/>
      <c r="K4879" s="1572">
        <v>182.74</v>
      </c>
      <c r="L4879" s="1572">
        <v>182.74</v>
      </c>
      <c r="M4879" s="1572">
        <v>-182.74</v>
      </c>
      <c r="N4879" s="1564"/>
      <c r="O4879" s="1564"/>
      <c r="P4879" s="1572">
        <v>182.74</v>
      </c>
      <c r="Q4879" s="1572">
        <v>-182.74</v>
      </c>
      <c r="R4879" s="1564"/>
      <c r="S4879" s="1562"/>
    </row>
    <row r="4880" spans="2:19" ht="11.25" customHeight="1" outlineLevel="1">
      <c r="B4880" s="1573">
        <v>37347</v>
      </c>
      <c r="C4880" s="1566" t="s">
        <v>3660</v>
      </c>
      <c r="D4880" s="1566" t="s">
        <v>8072</v>
      </c>
      <c r="E4880" s="1566"/>
      <c r="F4880" s="1566"/>
      <c r="G4880" s="1566"/>
      <c r="H4880" s="1568">
        <v>1</v>
      </c>
      <c r="I4880" s="1566"/>
      <c r="J4880" s="1566"/>
      <c r="K4880" s="1565">
        <v>9711</v>
      </c>
      <c r="L4880" s="1565">
        <v>9711</v>
      </c>
      <c r="M4880" s="1565">
        <v>-9711</v>
      </c>
      <c r="N4880" s="1564"/>
      <c r="O4880" s="1564"/>
      <c r="P4880" s="1565">
        <v>9711</v>
      </c>
      <c r="Q4880" s="1565">
        <v>-9711</v>
      </c>
      <c r="R4880" s="1564"/>
      <c r="S4880" s="1562"/>
    </row>
    <row r="4881" spans="2:19" ht="11.25" customHeight="1" outlineLevel="1">
      <c r="B4881" s="1573">
        <v>32924</v>
      </c>
      <c r="C4881" s="1566" t="s">
        <v>8069</v>
      </c>
      <c r="D4881" s="1566" t="s">
        <v>8071</v>
      </c>
      <c r="E4881" s="1566"/>
      <c r="F4881" s="1566"/>
      <c r="G4881" s="1566" t="s">
        <v>8070</v>
      </c>
      <c r="H4881" s="1568">
        <v>1</v>
      </c>
      <c r="I4881" s="1566"/>
      <c r="J4881" s="1566"/>
      <c r="K4881" s="1565">
        <v>8590</v>
      </c>
      <c r="L4881" s="1565">
        <v>8590</v>
      </c>
      <c r="M4881" s="1564"/>
      <c r="N4881" s="1565">
        <v>8590</v>
      </c>
      <c r="O4881" s="1565">
        <v>2617.87</v>
      </c>
      <c r="P4881" s="1565">
        <v>5644.89</v>
      </c>
      <c r="Q4881" s="1572">
        <v>327.24</v>
      </c>
      <c r="R4881" s="1565">
        <v>5972.13</v>
      </c>
      <c r="S4881" s="1562"/>
    </row>
    <row r="4882" spans="2:19" ht="11.25" customHeight="1" outlineLevel="1">
      <c r="B4882" s="1573">
        <v>32935</v>
      </c>
      <c r="C4882" s="1566" t="s">
        <v>8069</v>
      </c>
      <c r="D4882" s="1566" t="s">
        <v>8068</v>
      </c>
      <c r="E4882" s="1566"/>
      <c r="F4882" s="1566"/>
      <c r="G4882" s="1566" t="s">
        <v>8067</v>
      </c>
      <c r="H4882" s="1568">
        <v>1</v>
      </c>
      <c r="I4882" s="1566"/>
      <c r="J4882" s="1566"/>
      <c r="K4882" s="1565">
        <v>184043</v>
      </c>
      <c r="L4882" s="1565">
        <v>1317112</v>
      </c>
      <c r="M4882" s="1564"/>
      <c r="N4882" s="1565">
        <v>1317112</v>
      </c>
      <c r="O4882" s="1565">
        <v>831261.48</v>
      </c>
      <c r="P4882" s="1565">
        <v>415603.12</v>
      </c>
      <c r="Q4882" s="1565">
        <v>70247.399999999994</v>
      </c>
      <c r="R4882" s="1565">
        <v>485850.52</v>
      </c>
      <c r="S4882" s="1562"/>
    </row>
    <row r="4883" spans="2:19" ht="11.25" customHeight="1" outlineLevel="1">
      <c r="B4883" s="1573">
        <v>32978</v>
      </c>
      <c r="C4883" s="1566" t="s">
        <v>8066</v>
      </c>
      <c r="D4883" s="1566" t="s">
        <v>8065</v>
      </c>
      <c r="E4883" s="1566"/>
      <c r="F4883" s="1566"/>
      <c r="G4883" s="1566" t="s">
        <v>8064</v>
      </c>
      <c r="H4883" s="1568">
        <v>1</v>
      </c>
      <c r="I4883" s="1566"/>
      <c r="J4883" s="1566"/>
      <c r="K4883" s="1565">
        <v>730449</v>
      </c>
      <c r="L4883" s="1565">
        <v>730449</v>
      </c>
      <c r="M4883" s="1564"/>
      <c r="N4883" s="1565">
        <v>730449</v>
      </c>
      <c r="O4883" s="1565">
        <v>465051.56</v>
      </c>
      <c r="P4883" s="1565">
        <v>250788.52</v>
      </c>
      <c r="Q4883" s="1565">
        <v>14608.92</v>
      </c>
      <c r="R4883" s="1565">
        <v>265397.44</v>
      </c>
      <c r="S4883" s="1562"/>
    </row>
    <row r="4884" spans="2:19" ht="11.25" customHeight="1" outlineLevel="1">
      <c r="B4884" s="1573">
        <v>33125</v>
      </c>
      <c r="C4884" s="1566" t="s">
        <v>8063</v>
      </c>
      <c r="D4884" s="1566" t="s">
        <v>8062</v>
      </c>
      <c r="E4884" s="1566"/>
      <c r="F4884" s="1566"/>
      <c r="G4884" s="1566" t="s">
        <v>8061</v>
      </c>
      <c r="H4884" s="1568">
        <v>1</v>
      </c>
      <c r="I4884" s="1566"/>
      <c r="J4884" s="1566"/>
      <c r="K4884" s="1565">
        <v>21326</v>
      </c>
      <c r="L4884" s="1565">
        <v>21326</v>
      </c>
      <c r="M4884" s="1564"/>
      <c r="N4884" s="1565">
        <v>21326</v>
      </c>
      <c r="O4884" s="1565">
        <v>13649.28</v>
      </c>
      <c r="P4884" s="1565">
        <v>7250.16</v>
      </c>
      <c r="Q4884" s="1572">
        <v>426.56</v>
      </c>
      <c r="R4884" s="1565">
        <v>7676.72</v>
      </c>
      <c r="S4884" s="1562"/>
    </row>
    <row r="4885" spans="2:19" ht="11.25" customHeight="1" outlineLevel="1">
      <c r="B4885" s="1573">
        <v>33290</v>
      </c>
      <c r="C4885" s="1566" t="s">
        <v>8058</v>
      </c>
      <c r="D4885" s="1566" t="s">
        <v>8060</v>
      </c>
      <c r="E4885" s="1566"/>
      <c r="F4885" s="1566"/>
      <c r="G4885" s="1566" t="s">
        <v>8059</v>
      </c>
      <c r="H4885" s="1568">
        <v>1</v>
      </c>
      <c r="I4885" s="1566"/>
      <c r="J4885" s="1566"/>
      <c r="K4885" s="1565">
        <v>2373</v>
      </c>
      <c r="L4885" s="1565">
        <v>2373</v>
      </c>
      <c r="M4885" s="1564"/>
      <c r="N4885" s="1565">
        <v>2373</v>
      </c>
      <c r="O4885" s="1572">
        <v>664.44</v>
      </c>
      <c r="P4885" s="1565">
        <v>1613.64</v>
      </c>
      <c r="Q4885" s="1572">
        <v>94.92</v>
      </c>
      <c r="R4885" s="1565">
        <v>1708.56</v>
      </c>
      <c r="S4885" s="1562"/>
    </row>
    <row r="4886" spans="2:19" ht="11.25" customHeight="1" outlineLevel="1">
      <c r="B4886" s="1573">
        <v>35198</v>
      </c>
      <c r="C4886" s="1566" t="s">
        <v>8058</v>
      </c>
      <c r="D4886" s="1566" t="s">
        <v>8057</v>
      </c>
      <c r="E4886" s="1566"/>
      <c r="F4886" s="1566"/>
      <c r="G4886" s="1566"/>
      <c r="H4886" s="1568">
        <v>1</v>
      </c>
      <c r="I4886" s="1566"/>
      <c r="J4886" s="1566"/>
      <c r="K4886" s="1565">
        <v>1956</v>
      </c>
      <c r="L4886" s="1565">
        <v>1956</v>
      </c>
      <c r="M4886" s="1565">
        <v>-1956</v>
      </c>
      <c r="N4886" s="1564"/>
      <c r="O4886" s="1564"/>
      <c r="P4886" s="1565">
        <v>1956</v>
      </c>
      <c r="Q4886" s="1565">
        <v>-1956</v>
      </c>
      <c r="R4886" s="1564"/>
      <c r="S4886" s="1562"/>
    </row>
    <row r="4887" spans="2:19" ht="11.25" customHeight="1" outlineLevel="1">
      <c r="B4887" s="1573">
        <v>33191</v>
      </c>
      <c r="C4887" s="1566" t="s">
        <v>8055</v>
      </c>
      <c r="D4887" s="1566" t="s">
        <v>8056</v>
      </c>
      <c r="E4887" s="1566"/>
      <c r="F4887" s="1566"/>
      <c r="G4887" s="1566" t="s">
        <v>3709</v>
      </c>
      <c r="H4887" s="1568">
        <v>1</v>
      </c>
      <c r="I4887" s="1566"/>
      <c r="J4887" s="1566"/>
      <c r="K4887" s="1565">
        <v>24078</v>
      </c>
      <c r="L4887" s="1565">
        <v>24078</v>
      </c>
      <c r="M4887" s="1564"/>
      <c r="N4887" s="1565">
        <v>24078</v>
      </c>
      <c r="O4887" s="1565">
        <v>2507.41</v>
      </c>
      <c r="P4887" s="1565">
        <v>20366.990000000002</v>
      </c>
      <c r="Q4887" s="1565">
        <v>1203.5999999999999</v>
      </c>
      <c r="R4887" s="1565">
        <v>21570.59</v>
      </c>
      <c r="S4887" s="1562"/>
    </row>
    <row r="4888" spans="2:19" ht="11.25" customHeight="1" outlineLevel="1">
      <c r="B4888" s="1573">
        <v>33192</v>
      </c>
      <c r="C4888" s="1566" t="s">
        <v>8055</v>
      </c>
      <c r="D4888" s="1566" t="s">
        <v>8054</v>
      </c>
      <c r="E4888" s="1566"/>
      <c r="F4888" s="1566"/>
      <c r="G4888" s="1566" t="s">
        <v>8053</v>
      </c>
      <c r="H4888" s="1568">
        <v>1</v>
      </c>
      <c r="I4888" s="1566"/>
      <c r="J4888" s="1566"/>
      <c r="K4888" s="1565">
        <v>75629</v>
      </c>
      <c r="L4888" s="1565">
        <v>75629</v>
      </c>
      <c r="M4888" s="1564"/>
      <c r="N4888" s="1565">
        <v>75629</v>
      </c>
      <c r="O4888" s="1565">
        <v>7878.12</v>
      </c>
      <c r="P4888" s="1565">
        <v>63969.36</v>
      </c>
      <c r="Q4888" s="1565">
        <v>3781.52</v>
      </c>
      <c r="R4888" s="1565">
        <v>67750.880000000005</v>
      </c>
      <c r="S4888" s="1562"/>
    </row>
    <row r="4889" spans="2:19" ht="11.25" customHeight="1" outlineLevel="1">
      <c r="B4889" s="1573">
        <v>37539</v>
      </c>
      <c r="C4889" s="1566" t="s">
        <v>8052</v>
      </c>
      <c r="D4889" s="1566" t="s">
        <v>8051</v>
      </c>
      <c r="E4889" s="1566"/>
      <c r="F4889" s="1566"/>
      <c r="G4889" s="1566" t="s">
        <v>8050</v>
      </c>
      <c r="H4889" s="1568">
        <v>1</v>
      </c>
      <c r="I4889" s="1566"/>
      <c r="J4889" s="1566"/>
      <c r="K4889" s="1565">
        <v>289839.15999999997</v>
      </c>
      <c r="L4889" s="1565">
        <v>289839.15999999997</v>
      </c>
      <c r="M4889" s="1564"/>
      <c r="N4889" s="1565">
        <v>289839.15999999997</v>
      </c>
      <c r="O4889" s="1565">
        <v>186945.37</v>
      </c>
      <c r="P4889" s="1565">
        <v>97097.07</v>
      </c>
      <c r="Q4889" s="1565">
        <v>5796.72</v>
      </c>
      <c r="R4889" s="1565">
        <v>102893.79</v>
      </c>
      <c r="S4889" s="1562"/>
    </row>
    <row r="4890" spans="2:19" ht="11.25" customHeight="1" outlineLevel="1">
      <c r="B4890" s="1573">
        <v>37677</v>
      </c>
      <c r="C4890" s="1566" t="s">
        <v>3658</v>
      </c>
      <c r="D4890" s="1566" t="s">
        <v>8049</v>
      </c>
      <c r="E4890" s="1566"/>
      <c r="F4890" s="1566"/>
      <c r="G4890" s="1566" t="s">
        <v>3734</v>
      </c>
      <c r="H4890" s="1568">
        <v>1</v>
      </c>
      <c r="I4890" s="1566"/>
      <c r="J4890" s="1566"/>
      <c r="K4890" s="1565">
        <v>77785</v>
      </c>
      <c r="L4890" s="1565">
        <v>77785</v>
      </c>
      <c r="M4890" s="1564"/>
      <c r="N4890" s="1565">
        <v>77785</v>
      </c>
      <c r="O4890" s="1565">
        <v>9075.5</v>
      </c>
      <c r="P4890" s="1565">
        <v>64820</v>
      </c>
      <c r="Q4890" s="1565">
        <v>3889.5</v>
      </c>
      <c r="R4890" s="1565">
        <v>68709.5</v>
      </c>
      <c r="S4890" s="1562"/>
    </row>
    <row r="4891" spans="2:19" ht="11.25" customHeight="1" outlineLevel="1">
      <c r="B4891" s="1573">
        <v>37739</v>
      </c>
      <c r="C4891" s="1566" t="s">
        <v>8047</v>
      </c>
      <c r="D4891" s="1566" t="s">
        <v>8048</v>
      </c>
      <c r="E4891" s="1566"/>
      <c r="F4891" s="1566"/>
      <c r="G4891" s="1566" t="s">
        <v>3649</v>
      </c>
      <c r="H4891" s="1568">
        <v>1</v>
      </c>
      <c r="I4891" s="1566"/>
      <c r="J4891" s="1566"/>
      <c r="K4891" s="1565">
        <v>168157.08</v>
      </c>
      <c r="L4891" s="1565">
        <v>168157.08</v>
      </c>
      <c r="M4891" s="1564"/>
      <c r="N4891" s="1565">
        <v>168157.08</v>
      </c>
      <c r="O4891" s="1565">
        <v>20319.57</v>
      </c>
      <c r="P4891" s="1565">
        <v>139429.35</v>
      </c>
      <c r="Q4891" s="1565">
        <v>8408.16</v>
      </c>
      <c r="R4891" s="1565">
        <v>147837.51</v>
      </c>
      <c r="S4891" s="1562"/>
    </row>
    <row r="4892" spans="2:19" ht="11.25" customHeight="1" outlineLevel="1">
      <c r="B4892" s="1573">
        <v>37744</v>
      </c>
      <c r="C4892" s="1566" t="s">
        <v>8047</v>
      </c>
      <c r="D4892" s="1566" t="s">
        <v>8046</v>
      </c>
      <c r="E4892" s="1566"/>
      <c r="F4892" s="1566"/>
      <c r="G4892" s="1566" t="s">
        <v>3734</v>
      </c>
      <c r="H4892" s="1568">
        <v>1</v>
      </c>
      <c r="I4892" s="1566"/>
      <c r="J4892" s="1566"/>
      <c r="K4892" s="1565">
        <v>102775</v>
      </c>
      <c r="L4892" s="1565">
        <v>102775</v>
      </c>
      <c r="M4892" s="1564"/>
      <c r="N4892" s="1565">
        <v>102775</v>
      </c>
      <c r="O4892" s="1565">
        <v>12418.52</v>
      </c>
      <c r="P4892" s="1565">
        <v>85217.77</v>
      </c>
      <c r="Q4892" s="1565">
        <v>5138.71</v>
      </c>
      <c r="R4892" s="1565">
        <v>90356.479999999996</v>
      </c>
      <c r="S4892" s="1562"/>
    </row>
    <row r="4893" spans="2:19" ht="11.25" customHeight="1" outlineLevel="1">
      <c r="B4893" s="1573">
        <v>38070</v>
      </c>
      <c r="C4893" s="1566" t="s">
        <v>8045</v>
      </c>
      <c r="D4893" s="1566" t="s">
        <v>8044</v>
      </c>
      <c r="E4893" s="1566"/>
      <c r="F4893" s="1566"/>
      <c r="G4893" s="1566" t="s">
        <v>3664</v>
      </c>
      <c r="H4893" s="1568">
        <v>1</v>
      </c>
      <c r="I4893" s="1566"/>
      <c r="J4893" s="1566"/>
      <c r="K4893" s="1565">
        <v>1016949</v>
      </c>
      <c r="L4893" s="1565">
        <v>1016949</v>
      </c>
      <c r="M4893" s="1564"/>
      <c r="N4893" s="1565">
        <v>1016949</v>
      </c>
      <c r="O4893" s="1565">
        <v>139830.09</v>
      </c>
      <c r="P4893" s="1565">
        <v>826271.55</v>
      </c>
      <c r="Q4893" s="1565">
        <v>50847.360000000001</v>
      </c>
      <c r="R4893" s="1565">
        <v>877118.91</v>
      </c>
      <c r="S4893" s="1562"/>
    </row>
    <row r="4894" spans="2:19" ht="11.25" customHeight="1" outlineLevel="1">
      <c r="B4894" s="1573">
        <v>38128</v>
      </c>
      <c r="C4894" s="1566" t="s">
        <v>3648</v>
      </c>
      <c r="D4894" s="1566" t="s">
        <v>8043</v>
      </c>
      <c r="E4894" s="1566"/>
      <c r="F4894" s="1566"/>
      <c r="G4894" s="1566" t="s">
        <v>8042</v>
      </c>
      <c r="H4894" s="1568">
        <v>1</v>
      </c>
      <c r="I4894" s="1566"/>
      <c r="J4894" s="1566"/>
      <c r="K4894" s="1565">
        <v>170059</v>
      </c>
      <c r="L4894" s="1565">
        <v>170059</v>
      </c>
      <c r="M4894" s="1564"/>
      <c r="N4894" s="1565">
        <v>170059</v>
      </c>
      <c r="O4894" s="1565">
        <v>24800.12</v>
      </c>
      <c r="P4894" s="1565">
        <v>136755.94</v>
      </c>
      <c r="Q4894" s="1565">
        <v>8502.94</v>
      </c>
      <c r="R4894" s="1565">
        <v>145258.88</v>
      </c>
      <c r="S4894" s="1562"/>
    </row>
    <row r="4895" spans="2:19" ht="11.25" customHeight="1" outlineLevel="1">
      <c r="B4895" s="1573">
        <v>38130</v>
      </c>
      <c r="C4895" s="1566" t="s">
        <v>3648</v>
      </c>
      <c r="D4895" s="1566" t="s">
        <v>8041</v>
      </c>
      <c r="E4895" s="1566"/>
      <c r="F4895" s="1566"/>
      <c r="G4895" s="1566" t="s">
        <v>8040</v>
      </c>
      <c r="H4895" s="1568">
        <v>1</v>
      </c>
      <c r="I4895" s="1566"/>
      <c r="J4895" s="1566"/>
      <c r="K4895" s="1565">
        <v>553989</v>
      </c>
      <c r="L4895" s="1565">
        <v>553989</v>
      </c>
      <c r="M4895" s="1564"/>
      <c r="N4895" s="1565">
        <v>553989</v>
      </c>
      <c r="O4895" s="1565">
        <v>80789.67</v>
      </c>
      <c r="P4895" s="1565">
        <v>445499.97</v>
      </c>
      <c r="Q4895" s="1565">
        <v>27699.360000000001</v>
      </c>
      <c r="R4895" s="1565">
        <v>473199.33</v>
      </c>
      <c r="S4895" s="1562"/>
    </row>
    <row r="4896" spans="2:19" ht="11.25" customHeight="1" outlineLevel="1">
      <c r="B4896" s="1573">
        <v>38131</v>
      </c>
      <c r="C4896" s="1566" t="s">
        <v>3648</v>
      </c>
      <c r="D4896" s="1566" t="s">
        <v>8039</v>
      </c>
      <c r="E4896" s="1566"/>
      <c r="F4896" s="1566"/>
      <c r="G4896" s="1566" t="s">
        <v>3646</v>
      </c>
      <c r="H4896" s="1568">
        <v>1</v>
      </c>
      <c r="I4896" s="1566"/>
      <c r="J4896" s="1566"/>
      <c r="K4896" s="1565">
        <v>343732</v>
      </c>
      <c r="L4896" s="1565">
        <v>343732</v>
      </c>
      <c r="M4896" s="1564"/>
      <c r="N4896" s="1565">
        <v>343732</v>
      </c>
      <c r="O4896" s="1565">
        <v>50127.14</v>
      </c>
      <c r="P4896" s="1565">
        <v>276418.46000000002</v>
      </c>
      <c r="Q4896" s="1565">
        <v>17186.400000000001</v>
      </c>
      <c r="R4896" s="1565">
        <v>293604.86</v>
      </c>
      <c r="S4896" s="1562"/>
    </row>
    <row r="4897" spans="2:19" ht="11.25" customHeight="1" outlineLevel="1">
      <c r="B4897" s="1573">
        <v>38362</v>
      </c>
      <c r="C4897" s="1566" t="s">
        <v>8037</v>
      </c>
      <c r="D4897" s="1566" t="s">
        <v>8038</v>
      </c>
      <c r="E4897" s="1566"/>
      <c r="F4897" s="1566"/>
      <c r="G4897" s="1566" t="s">
        <v>3664</v>
      </c>
      <c r="H4897" s="1568">
        <v>1</v>
      </c>
      <c r="I4897" s="1566"/>
      <c r="J4897" s="1566"/>
      <c r="K4897" s="1565">
        <v>1679954</v>
      </c>
      <c r="L4897" s="1565">
        <v>1679954</v>
      </c>
      <c r="M4897" s="1564"/>
      <c r="N4897" s="1565">
        <v>1679954</v>
      </c>
      <c r="O4897" s="1565">
        <v>349990.22</v>
      </c>
      <c r="P4897" s="1565">
        <v>1245966.18</v>
      </c>
      <c r="Q4897" s="1565">
        <v>83997.6</v>
      </c>
      <c r="R4897" s="1565">
        <v>1329963.78</v>
      </c>
      <c r="S4897" s="1562"/>
    </row>
    <row r="4898" spans="2:19" ht="11.25" customHeight="1" outlineLevel="1">
      <c r="B4898" s="1573">
        <v>38363</v>
      </c>
      <c r="C4898" s="1566" t="s">
        <v>8037</v>
      </c>
      <c r="D4898" s="1566" t="s">
        <v>8036</v>
      </c>
      <c r="E4898" s="1566"/>
      <c r="F4898" s="1566"/>
      <c r="G4898" s="1566" t="s">
        <v>8035</v>
      </c>
      <c r="H4898" s="1568">
        <v>1</v>
      </c>
      <c r="I4898" s="1566"/>
      <c r="J4898" s="1566"/>
      <c r="K4898" s="1565">
        <v>1475575</v>
      </c>
      <c r="L4898" s="1565">
        <v>1475575</v>
      </c>
      <c r="M4898" s="1564"/>
      <c r="N4898" s="1565">
        <v>1475575</v>
      </c>
      <c r="O4898" s="1565">
        <v>307411.3</v>
      </c>
      <c r="P4898" s="1565">
        <v>1094384.94</v>
      </c>
      <c r="Q4898" s="1565">
        <v>73778.759999999995</v>
      </c>
      <c r="R4898" s="1565">
        <v>1168163.7</v>
      </c>
      <c r="S4898" s="1562"/>
    </row>
    <row r="4899" spans="2:19" ht="11.25" customHeight="1" outlineLevel="1">
      <c r="B4899" s="1573">
        <v>38998</v>
      </c>
      <c r="C4899" s="1566" t="s">
        <v>3630</v>
      </c>
      <c r="D4899" s="1566" t="s">
        <v>8034</v>
      </c>
      <c r="E4899" s="1566"/>
      <c r="F4899" s="1566"/>
      <c r="G4899" s="1566" t="s">
        <v>8032</v>
      </c>
      <c r="H4899" s="1568">
        <v>1</v>
      </c>
      <c r="I4899" s="1566"/>
      <c r="J4899" s="1566"/>
      <c r="K4899" s="1565">
        <v>667300</v>
      </c>
      <c r="L4899" s="1565">
        <v>667300</v>
      </c>
      <c r="M4899" s="1564"/>
      <c r="N4899" s="1565">
        <v>667300</v>
      </c>
      <c r="O4899" s="1565">
        <v>297070.90000000002</v>
      </c>
      <c r="P4899" s="1565">
        <v>343625.7</v>
      </c>
      <c r="Q4899" s="1565">
        <v>26603.4</v>
      </c>
      <c r="R4899" s="1565">
        <v>370229.1</v>
      </c>
      <c r="S4899" s="1562"/>
    </row>
    <row r="4900" spans="2:19" ht="11.25" customHeight="1" outlineLevel="1">
      <c r="B4900" s="1573">
        <v>38999</v>
      </c>
      <c r="C4900" s="1566" t="s">
        <v>3630</v>
      </c>
      <c r="D4900" s="1566" t="s">
        <v>8033</v>
      </c>
      <c r="E4900" s="1566"/>
      <c r="F4900" s="1566"/>
      <c r="G4900" s="1566" t="s">
        <v>8032</v>
      </c>
      <c r="H4900" s="1568">
        <v>1</v>
      </c>
      <c r="I4900" s="1566"/>
      <c r="J4900" s="1566"/>
      <c r="K4900" s="1565">
        <v>333700</v>
      </c>
      <c r="L4900" s="1565">
        <v>333700</v>
      </c>
      <c r="M4900" s="1564"/>
      <c r="N4900" s="1565">
        <v>333700</v>
      </c>
      <c r="O4900" s="1565">
        <v>148557.12</v>
      </c>
      <c r="P4900" s="1565">
        <v>171839.2</v>
      </c>
      <c r="Q4900" s="1565">
        <v>13303.68</v>
      </c>
      <c r="R4900" s="1565">
        <v>185142.88</v>
      </c>
      <c r="S4900" s="1562"/>
    </row>
    <row r="4901" spans="2:19" ht="11.25" customHeight="1" outlineLevel="1">
      <c r="B4901" s="1573">
        <v>39000</v>
      </c>
      <c r="C4901" s="1566" t="s">
        <v>3630</v>
      </c>
      <c r="D4901" s="1566" t="s">
        <v>8031</v>
      </c>
      <c r="E4901" s="1566"/>
      <c r="F4901" s="1566"/>
      <c r="G4901" s="1566" t="s">
        <v>3638</v>
      </c>
      <c r="H4901" s="1568">
        <v>1</v>
      </c>
      <c r="I4901" s="1566"/>
      <c r="J4901" s="1566"/>
      <c r="K4901" s="1565">
        <v>3695800</v>
      </c>
      <c r="L4901" s="1565">
        <v>3695800</v>
      </c>
      <c r="M4901" s="1564"/>
      <c r="N4901" s="1565">
        <v>3695800</v>
      </c>
      <c r="O4901" s="1565">
        <v>1645305.65</v>
      </c>
      <c r="P4901" s="1565">
        <v>1903153.55</v>
      </c>
      <c r="Q4901" s="1565">
        <v>147340.79999999999</v>
      </c>
      <c r="R4901" s="1565">
        <v>2050494.35</v>
      </c>
      <c r="S4901" s="1562"/>
    </row>
    <row r="4902" spans="2:19" ht="11.25" customHeight="1" outlineLevel="1">
      <c r="B4902" s="1573">
        <v>39002</v>
      </c>
      <c r="C4902" s="1566" t="s">
        <v>3630</v>
      </c>
      <c r="D4902" s="1566" t="s">
        <v>8030</v>
      </c>
      <c r="E4902" s="1566"/>
      <c r="F4902" s="1566"/>
      <c r="G4902" s="1566" t="s">
        <v>8029</v>
      </c>
      <c r="H4902" s="1568">
        <v>1</v>
      </c>
      <c r="I4902" s="1566"/>
      <c r="J4902" s="1566"/>
      <c r="K4902" s="1565">
        <v>302700</v>
      </c>
      <c r="L4902" s="1565">
        <v>302700</v>
      </c>
      <c r="M4902" s="1564"/>
      <c r="N4902" s="1565">
        <v>302700</v>
      </c>
      <c r="O4902" s="1565">
        <v>134756.45000000001</v>
      </c>
      <c r="P4902" s="1565">
        <v>155875.75</v>
      </c>
      <c r="Q4902" s="1565">
        <v>12067.8</v>
      </c>
      <c r="R4902" s="1565">
        <v>167943.55</v>
      </c>
      <c r="S4902" s="1562"/>
    </row>
    <row r="4903" spans="2:19" ht="11.25" customHeight="1" outlineLevel="1">
      <c r="B4903" s="1573">
        <v>39005</v>
      </c>
      <c r="C4903" s="1566" t="s">
        <v>3630</v>
      </c>
      <c r="D4903" s="1566" t="s">
        <v>8028</v>
      </c>
      <c r="E4903" s="1566"/>
      <c r="F4903" s="1566"/>
      <c r="G4903" s="1566" t="s">
        <v>8027</v>
      </c>
      <c r="H4903" s="1568">
        <v>1</v>
      </c>
      <c r="I4903" s="1566"/>
      <c r="J4903" s="1566"/>
      <c r="K4903" s="1565">
        <v>489300</v>
      </c>
      <c r="L4903" s="1565">
        <v>489300</v>
      </c>
      <c r="M4903" s="1564"/>
      <c r="N4903" s="1565">
        <v>489300</v>
      </c>
      <c r="O4903" s="1565">
        <v>150241.57</v>
      </c>
      <c r="P4903" s="1565">
        <v>314694.95</v>
      </c>
      <c r="Q4903" s="1565">
        <v>24363.48</v>
      </c>
      <c r="R4903" s="1565">
        <v>339058.43</v>
      </c>
      <c r="S4903" s="1562"/>
    </row>
    <row r="4904" spans="2:19" ht="11.25" customHeight="1" outlineLevel="1">
      <c r="B4904" s="1573">
        <v>39006</v>
      </c>
      <c r="C4904" s="1566" t="s">
        <v>3630</v>
      </c>
      <c r="D4904" s="1566" t="s">
        <v>8026</v>
      </c>
      <c r="E4904" s="1566"/>
      <c r="F4904" s="1566"/>
      <c r="G4904" s="1566" t="s">
        <v>3664</v>
      </c>
      <c r="H4904" s="1568">
        <v>1</v>
      </c>
      <c r="I4904" s="1566"/>
      <c r="J4904" s="1566"/>
      <c r="K4904" s="1565">
        <v>4679100</v>
      </c>
      <c r="L4904" s="1565">
        <v>4679100</v>
      </c>
      <c r="M4904" s="1564"/>
      <c r="N4904" s="1565">
        <v>4679100</v>
      </c>
      <c r="O4904" s="1565">
        <v>2083054.82</v>
      </c>
      <c r="P4904" s="1565">
        <v>2409502.9</v>
      </c>
      <c r="Q4904" s="1565">
        <v>186542.28</v>
      </c>
      <c r="R4904" s="1565">
        <v>2596045.1800000002</v>
      </c>
      <c r="S4904" s="1562"/>
    </row>
    <row r="4905" spans="2:19" ht="11.25" customHeight="1" outlineLevel="1">
      <c r="B4905" s="1573">
        <v>39008</v>
      </c>
      <c r="C4905" s="1566" t="s">
        <v>3630</v>
      </c>
      <c r="D4905" s="1566" t="s">
        <v>8025</v>
      </c>
      <c r="E4905" s="1566"/>
      <c r="F4905" s="1566"/>
      <c r="G4905" s="1566" t="s">
        <v>3631</v>
      </c>
      <c r="H4905" s="1568">
        <v>1</v>
      </c>
      <c r="I4905" s="1566"/>
      <c r="J4905" s="1566"/>
      <c r="K4905" s="1565">
        <v>362400</v>
      </c>
      <c r="L4905" s="1565">
        <v>362400</v>
      </c>
      <c r="M4905" s="1564"/>
      <c r="N4905" s="1565">
        <v>362400</v>
      </c>
      <c r="O4905" s="1565">
        <v>161333.79</v>
      </c>
      <c r="P4905" s="1565">
        <v>186618.45</v>
      </c>
      <c r="Q4905" s="1565">
        <v>14447.76</v>
      </c>
      <c r="R4905" s="1565">
        <v>201066.21</v>
      </c>
      <c r="S4905" s="1562"/>
    </row>
    <row r="4906" spans="2:19" s="1704" customFormat="1" ht="11.25" customHeight="1" outlineLevel="1">
      <c r="B4906" s="1697">
        <v>39010</v>
      </c>
      <c r="C4906" s="1698" t="s">
        <v>3630</v>
      </c>
      <c r="D4906" s="1698" t="s">
        <v>8024</v>
      </c>
      <c r="E4906" s="1698"/>
      <c r="F4906" s="1698"/>
      <c r="G4906" s="1698" t="s">
        <v>8023</v>
      </c>
      <c r="H4906" s="1699">
        <v>1</v>
      </c>
      <c r="I4906" s="1705">
        <v>503.5</v>
      </c>
      <c r="J4906" s="1698"/>
      <c r="K4906" s="1701">
        <v>373000</v>
      </c>
      <c r="L4906" s="1701">
        <v>373000</v>
      </c>
      <c r="M4906" s="1702"/>
      <c r="N4906" s="1701">
        <v>373000</v>
      </c>
      <c r="O4906" s="1701">
        <v>166053.48000000001</v>
      </c>
      <c r="P4906" s="1701">
        <v>192076</v>
      </c>
      <c r="Q4906" s="1701">
        <v>14870.52</v>
      </c>
      <c r="R4906" s="1701">
        <v>206946.52</v>
      </c>
      <c r="S4906" s="1703"/>
    </row>
    <row r="4907" spans="2:19" ht="11.25" customHeight="1" outlineLevel="1">
      <c r="B4907" s="1573">
        <v>39011</v>
      </c>
      <c r="C4907" s="1566" t="s">
        <v>3630</v>
      </c>
      <c r="D4907" s="1566" t="s">
        <v>8022</v>
      </c>
      <c r="E4907" s="1566"/>
      <c r="F4907" s="1566"/>
      <c r="G4907" s="1566" t="s">
        <v>8021</v>
      </c>
      <c r="H4907" s="1568">
        <v>1</v>
      </c>
      <c r="I4907" s="1566"/>
      <c r="J4907" s="1566"/>
      <c r="K4907" s="1565">
        <v>60900</v>
      </c>
      <c r="L4907" s="1565">
        <v>60900</v>
      </c>
      <c r="M4907" s="1564"/>
      <c r="N4907" s="1565">
        <v>60900</v>
      </c>
      <c r="O4907" s="1565">
        <v>18699.22</v>
      </c>
      <c r="P4907" s="1565">
        <v>39168.5</v>
      </c>
      <c r="Q4907" s="1565">
        <v>3032.28</v>
      </c>
      <c r="R4907" s="1565">
        <v>42200.78</v>
      </c>
      <c r="S4907" s="1562"/>
    </row>
    <row r="4908" spans="2:19" ht="11.25" customHeight="1" outlineLevel="1">
      <c r="B4908" s="1573">
        <v>39030</v>
      </c>
      <c r="C4908" s="1566" t="s">
        <v>3630</v>
      </c>
      <c r="D4908" s="1566" t="s">
        <v>8020</v>
      </c>
      <c r="E4908" s="1566"/>
      <c r="F4908" s="1566" t="s">
        <v>8019</v>
      </c>
      <c r="G4908" s="1566" t="s">
        <v>8018</v>
      </c>
      <c r="H4908" s="1568">
        <v>1</v>
      </c>
      <c r="I4908" s="1566"/>
      <c r="J4908" s="1566"/>
      <c r="K4908" s="1565">
        <v>654100</v>
      </c>
      <c r="L4908" s="1565">
        <v>654100</v>
      </c>
      <c r="M4908" s="1564"/>
      <c r="N4908" s="1565">
        <v>654100</v>
      </c>
      <c r="O4908" s="1565">
        <v>291193.96999999997</v>
      </c>
      <c r="P4908" s="1565">
        <v>336828.95</v>
      </c>
      <c r="Q4908" s="1565">
        <v>26077.08</v>
      </c>
      <c r="R4908" s="1565">
        <v>362906.03</v>
      </c>
      <c r="S4908" s="1562"/>
    </row>
    <row r="4909" spans="2:19" ht="11.25" customHeight="1" outlineLevel="1">
      <c r="B4909" s="1573">
        <v>39033</v>
      </c>
      <c r="C4909" s="1566" t="s">
        <v>3630</v>
      </c>
      <c r="D4909" s="1566" t="s">
        <v>8017</v>
      </c>
      <c r="E4909" s="1566"/>
      <c r="F4909" s="1566"/>
      <c r="G4909" s="1566" t="s">
        <v>3628</v>
      </c>
      <c r="H4909" s="1568">
        <v>1</v>
      </c>
      <c r="I4909" s="1566"/>
      <c r="J4909" s="1566"/>
      <c r="K4909" s="1565">
        <v>247705</v>
      </c>
      <c r="L4909" s="1565">
        <v>247705</v>
      </c>
      <c r="M4909" s="1564"/>
      <c r="N4909" s="1565">
        <v>247705</v>
      </c>
      <c r="O4909" s="1565">
        <v>110274.02</v>
      </c>
      <c r="P4909" s="1565">
        <v>127555.7</v>
      </c>
      <c r="Q4909" s="1565">
        <v>9875.2800000000007</v>
      </c>
      <c r="R4909" s="1565">
        <v>137430.98000000001</v>
      </c>
      <c r="S4909" s="1562"/>
    </row>
    <row r="4910" spans="2:19" ht="11.25" customHeight="1" outlineLevel="1">
      <c r="B4910" s="1573">
        <v>39034</v>
      </c>
      <c r="C4910" s="1566" t="s">
        <v>3630</v>
      </c>
      <c r="D4910" s="1566" t="s">
        <v>8016</v>
      </c>
      <c r="E4910" s="1566"/>
      <c r="F4910" s="1566"/>
      <c r="G4910" s="1566" t="s">
        <v>3628</v>
      </c>
      <c r="H4910" s="1568">
        <v>1</v>
      </c>
      <c r="I4910" s="1566"/>
      <c r="J4910" s="1566"/>
      <c r="K4910" s="1565">
        <v>853178</v>
      </c>
      <c r="L4910" s="1565">
        <v>853178</v>
      </c>
      <c r="M4910" s="1564"/>
      <c r="N4910" s="1565">
        <v>853178</v>
      </c>
      <c r="O4910" s="1565">
        <v>379819.84</v>
      </c>
      <c r="P4910" s="1565">
        <v>439344.4</v>
      </c>
      <c r="Q4910" s="1565">
        <v>34013.760000000002</v>
      </c>
      <c r="R4910" s="1565">
        <v>473358.16</v>
      </c>
      <c r="S4910" s="1562"/>
    </row>
    <row r="4911" spans="2:19" ht="11.25" customHeight="1" outlineLevel="1">
      <c r="B4911" s="1573">
        <v>39036</v>
      </c>
      <c r="C4911" s="1566" t="s">
        <v>3630</v>
      </c>
      <c r="D4911" s="1566" t="s">
        <v>8015</v>
      </c>
      <c r="E4911" s="1566"/>
      <c r="F4911" s="1566"/>
      <c r="G4911" s="1566" t="s">
        <v>8014</v>
      </c>
      <c r="H4911" s="1568">
        <v>2</v>
      </c>
      <c r="I4911" s="1566"/>
      <c r="J4911" s="1566"/>
      <c r="K4911" s="1565">
        <v>178731</v>
      </c>
      <c r="L4911" s="1565">
        <v>178731</v>
      </c>
      <c r="M4911" s="1564"/>
      <c r="N4911" s="1565">
        <v>178731</v>
      </c>
      <c r="O4911" s="1565">
        <v>79568.070000000007</v>
      </c>
      <c r="P4911" s="1565">
        <v>92037.45</v>
      </c>
      <c r="Q4911" s="1565">
        <v>7125.48</v>
      </c>
      <c r="R4911" s="1565">
        <v>99162.93</v>
      </c>
      <c r="S4911" s="1562"/>
    </row>
    <row r="4912" spans="2:19" ht="11.25" customHeight="1" outlineLevel="1">
      <c r="B4912" s="1573">
        <v>39060</v>
      </c>
      <c r="C4912" s="1566" t="s">
        <v>3630</v>
      </c>
      <c r="D4912" s="1566" t="s">
        <v>8013</v>
      </c>
      <c r="E4912" s="1566"/>
      <c r="F4912" s="1566"/>
      <c r="G4912" s="1566" t="s">
        <v>8012</v>
      </c>
      <c r="H4912" s="1568">
        <v>1</v>
      </c>
      <c r="I4912" s="1566"/>
      <c r="J4912" s="1566"/>
      <c r="K4912" s="1565">
        <v>76200</v>
      </c>
      <c r="L4912" s="1565">
        <v>76200</v>
      </c>
      <c r="M4912" s="1564"/>
      <c r="N4912" s="1565">
        <v>76200</v>
      </c>
      <c r="O4912" s="1565">
        <v>33922.400000000001</v>
      </c>
      <c r="P4912" s="1565">
        <v>39239.800000000003</v>
      </c>
      <c r="Q4912" s="1565">
        <v>3037.8</v>
      </c>
      <c r="R4912" s="1565">
        <v>42277.599999999999</v>
      </c>
      <c r="S4912" s="1562"/>
    </row>
    <row r="4913" spans="2:19" ht="11.25" customHeight="1" outlineLevel="1">
      <c r="B4913" s="1573">
        <v>39061</v>
      </c>
      <c r="C4913" s="1566" t="s">
        <v>3630</v>
      </c>
      <c r="D4913" s="1566" t="s">
        <v>8011</v>
      </c>
      <c r="E4913" s="1566"/>
      <c r="F4913" s="1566"/>
      <c r="G4913" s="1566" t="s">
        <v>8010</v>
      </c>
      <c r="H4913" s="1568">
        <v>1</v>
      </c>
      <c r="I4913" s="1566"/>
      <c r="J4913" s="1566"/>
      <c r="K4913" s="1565">
        <v>17070</v>
      </c>
      <c r="L4913" s="1565">
        <v>17070</v>
      </c>
      <c r="M4913" s="1564"/>
      <c r="N4913" s="1565">
        <v>17070</v>
      </c>
      <c r="O4913" s="1565">
        <v>5712.42</v>
      </c>
      <c r="P4913" s="1565">
        <v>10541.55</v>
      </c>
      <c r="Q4913" s="1572">
        <v>816.03</v>
      </c>
      <c r="R4913" s="1565">
        <v>11357.58</v>
      </c>
      <c r="S4913" s="1562"/>
    </row>
    <row r="4914" spans="2:19" ht="11.25" customHeight="1" outlineLevel="1">
      <c r="B4914" s="1573">
        <v>39066</v>
      </c>
      <c r="C4914" s="1566" t="s">
        <v>3625</v>
      </c>
      <c r="D4914" s="1566" t="s">
        <v>8009</v>
      </c>
      <c r="E4914" s="1566"/>
      <c r="F4914" s="1566"/>
      <c r="G4914" s="1566" t="s">
        <v>3626</v>
      </c>
      <c r="H4914" s="1568">
        <v>1</v>
      </c>
      <c r="I4914" s="1566"/>
      <c r="J4914" s="1566"/>
      <c r="K4914" s="1565">
        <v>166893</v>
      </c>
      <c r="L4914" s="1565">
        <v>166893</v>
      </c>
      <c r="M4914" s="1564"/>
      <c r="N4914" s="1565">
        <v>166893</v>
      </c>
      <c r="O4914" s="1565">
        <v>74298.179999999993</v>
      </c>
      <c r="P4914" s="1565">
        <v>85941.3</v>
      </c>
      <c r="Q4914" s="1565">
        <v>6653.52</v>
      </c>
      <c r="R4914" s="1565">
        <v>92594.82</v>
      </c>
      <c r="S4914" s="1562"/>
    </row>
    <row r="4915" spans="2:19" ht="11.25" customHeight="1" outlineLevel="1">
      <c r="B4915" s="1573">
        <v>39068</v>
      </c>
      <c r="C4915" s="1566" t="s">
        <v>3625</v>
      </c>
      <c r="D4915" s="1566" t="s">
        <v>8008</v>
      </c>
      <c r="E4915" s="1566"/>
      <c r="F4915" s="1566"/>
      <c r="G4915" s="1566" t="s">
        <v>3623</v>
      </c>
      <c r="H4915" s="1568">
        <v>1</v>
      </c>
      <c r="I4915" s="1570">
        <v>46.3</v>
      </c>
      <c r="J4915" s="1566"/>
      <c r="K4915" s="1565">
        <v>17020</v>
      </c>
      <c r="L4915" s="1565">
        <v>17020</v>
      </c>
      <c r="M4915" s="1564"/>
      <c r="N4915" s="1565">
        <v>17020</v>
      </c>
      <c r="O4915" s="1565">
        <v>7577.7</v>
      </c>
      <c r="P4915" s="1565">
        <v>8763.7000000000007</v>
      </c>
      <c r="Q4915" s="1572">
        <v>678.6</v>
      </c>
      <c r="R4915" s="1565">
        <v>9442.2999999999993</v>
      </c>
      <c r="S4915" s="1562"/>
    </row>
    <row r="4916" spans="2:19" ht="11.25" customHeight="1" outlineLevel="1">
      <c r="B4916" s="1573">
        <v>39058</v>
      </c>
      <c r="C4916" s="1566" t="s">
        <v>3621</v>
      </c>
      <c r="D4916" s="1566" t="s">
        <v>8007</v>
      </c>
      <c r="E4916" s="1566"/>
      <c r="F4916" s="1566"/>
      <c r="G4916" s="1566" t="s">
        <v>3619</v>
      </c>
      <c r="H4916" s="1568">
        <v>1</v>
      </c>
      <c r="I4916" s="1570">
        <v>234.9</v>
      </c>
      <c r="J4916" s="1566"/>
      <c r="K4916" s="1565">
        <v>217791</v>
      </c>
      <c r="L4916" s="1565">
        <v>217791</v>
      </c>
      <c r="M4916" s="1564"/>
      <c r="N4916" s="1565">
        <v>217791</v>
      </c>
      <c r="O4916" s="1565">
        <v>97680.04</v>
      </c>
      <c r="P4916" s="1565">
        <v>111428.24</v>
      </c>
      <c r="Q4916" s="1565">
        <v>8682.7199999999993</v>
      </c>
      <c r="R4916" s="1565">
        <v>120110.96</v>
      </c>
      <c r="S4916" s="1562"/>
    </row>
    <row r="4917" spans="2:19" ht="11.25" customHeight="1" outlineLevel="1">
      <c r="B4917" s="1573">
        <v>39075</v>
      </c>
      <c r="C4917" s="1566" t="s">
        <v>3618</v>
      </c>
      <c r="D4917" s="1566" t="s">
        <v>8006</v>
      </c>
      <c r="E4917" s="1566"/>
      <c r="F4917" s="1566"/>
      <c r="G4917" s="1566" t="s">
        <v>8005</v>
      </c>
      <c r="H4917" s="1568">
        <v>2</v>
      </c>
      <c r="I4917" s="1566"/>
      <c r="J4917" s="1566"/>
      <c r="K4917" s="1565">
        <v>898917.32</v>
      </c>
      <c r="L4917" s="1565">
        <v>898917.32</v>
      </c>
      <c r="M4917" s="1564"/>
      <c r="N4917" s="1565">
        <v>898917.32</v>
      </c>
      <c r="O4917" s="1565">
        <v>406154.84</v>
      </c>
      <c r="P4917" s="1565">
        <v>456925.32</v>
      </c>
      <c r="Q4917" s="1565">
        <v>35837.160000000003</v>
      </c>
      <c r="R4917" s="1565">
        <v>492762.48</v>
      </c>
      <c r="S4917" s="1562"/>
    </row>
    <row r="4918" spans="2:19" ht="11.25" customHeight="1" outlineLevel="1">
      <c r="B4918" s="1573">
        <v>39077</v>
      </c>
      <c r="C4918" s="1566" t="s">
        <v>3614</v>
      </c>
      <c r="D4918" s="1566" t="s">
        <v>8004</v>
      </c>
      <c r="E4918" s="1566"/>
      <c r="F4918" s="1566"/>
      <c r="G4918" s="1566" t="s">
        <v>3612</v>
      </c>
      <c r="H4918" s="1568">
        <v>1</v>
      </c>
      <c r="I4918" s="1566"/>
      <c r="J4918" s="1566"/>
      <c r="K4918" s="1565">
        <v>1285658.8600000001</v>
      </c>
      <c r="L4918" s="1565">
        <v>1285658.8600000001</v>
      </c>
      <c r="M4918" s="1564"/>
      <c r="N4918" s="1565">
        <v>1285658.8600000001</v>
      </c>
      <c r="O4918" s="1565">
        <v>580896.01</v>
      </c>
      <c r="P4918" s="1565">
        <v>653507.37</v>
      </c>
      <c r="Q4918" s="1565">
        <v>51255.48</v>
      </c>
      <c r="R4918" s="1565">
        <v>704762.85</v>
      </c>
      <c r="S4918" s="1562"/>
    </row>
    <row r="4919" spans="2:19" ht="11.25" customHeight="1" outlineLevel="1">
      <c r="B4919" s="1573">
        <v>39205</v>
      </c>
      <c r="C4919" s="1566" t="s">
        <v>8001</v>
      </c>
      <c r="D4919" s="1566" t="s">
        <v>8003</v>
      </c>
      <c r="E4919" s="1566"/>
      <c r="F4919" s="1566"/>
      <c r="G4919" s="1566" t="s">
        <v>8002</v>
      </c>
      <c r="H4919" s="1568">
        <v>1</v>
      </c>
      <c r="I4919" s="1566"/>
      <c r="J4919" s="1566"/>
      <c r="K4919" s="1565">
        <v>264200</v>
      </c>
      <c r="L4919" s="1565">
        <v>264200</v>
      </c>
      <c r="M4919" s="1564"/>
      <c r="N4919" s="1565">
        <v>264200</v>
      </c>
      <c r="O4919" s="1565">
        <v>99738.68</v>
      </c>
      <c r="P4919" s="1565">
        <v>151728.72</v>
      </c>
      <c r="Q4919" s="1565">
        <v>12732.6</v>
      </c>
      <c r="R4919" s="1565">
        <v>164461.32</v>
      </c>
      <c r="S4919" s="1562"/>
    </row>
    <row r="4920" spans="2:19" ht="11.25" customHeight="1" outlineLevel="1">
      <c r="B4920" s="1573">
        <v>39206</v>
      </c>
      <c r="C4920" s="1566" t="s">
        <v>8001</v>
      </c>
      <c r="D4920" s="1566" t="s">
        <v>8000</v>
      </c>
      <c r="E4920" s="1566"/>
      <c r="F4920" s="1566"/>
      <c r="G4920" s="1566" t="s">
        <v>7999</v>
      </c>
      <c r="H4920" s="1568">
        <v>1</v>
      </c>
      <c r="I4920" s="1566"/>
      <c r="J4920" s="1566"/>
      <c r="K4920" s="1565">
        <v>437400</v>
      </c>
      <c r="L4920" s="1565">
        <v>437400</v>
      </c>
      <c r="M4920" s="1564"/>
      <c r="N4920" s="1565">
        <v>437400</v>
      </c>
      <c r="O4920" s="1565">
        <v>165122.47</v>
      </c>
      <c r="P4920" s="1565">
        <v>251198.09</v>
      </c>
      <c r="Q4920" s="1565">
        <v>21079.439999999999</v>
      </c>
      <c r="R4920" s="1565">
        <v>272277.53000000003</v>
      </c>
      <c r="S4920" s="1562"/>
    </row>
    <row r="4921" spans="2:19" ht="11.25" customHeight="1" outlineLevel="1">
      <c r="B4921" s="1573">
        <v>28113</v>
      </c>
      <c r="C4921" s="1566" t="s">
        <v>7986</v>
      </c>
      <c r="D4921" s="1566" t="s">
        <v>7998</v>
      </c>
      <c r="E4921" s="1566"/>
      <c r="F4921" s="1566"/>
      <c r="G4921" s="1566" t="s">
        <v>7997</v>
      </c>
      <c r="H4921" s="1568">
        <v>1</v>
      </c>
      <c r="I4921" s="1566"/>
      <c r="J4921" s="1566"/>
      <c r="K4921" s="1565">
        <v>14587</v>
      </c>
      <c r="L4921" s="1565">
        <v>14587</v>
      </c>
      <c r="M4921" s="1564"/>
      <c r="N4921" s="1565">
        <v>14587</v>
      </c>
      <c r="O4921" s="1565">
        <v>5715.54</v>
      </c>
      <c r="P4921" s="1565">
        <v>8156.98</v>
      </c>
      <c r="Q4921" s="1572">
        <v>714.48</v>
      </c>
      <c r="R4921" s="1565">
        <v>8871.4599999999991</v>
      </c>
      <c r="S4921" s="1562"/>
    </row>
    <row r="4922" spans="2:19" ht="11.25" customHeight="1" outlineLevel="1">
      <c r="B4922" s="1573">
        <v>28114</v>
      </c>
      <c r="C4922" s="1566" t="s">
        <v>7986</v>
      </c>
      <c r="D4922" s="1566" t="s">
        <v>7996</v>
      </c>
      <c r="E4922" s="1566"/>
      <c r="F4922" s="1566"/>
      <c r="G4922" s="1566" t="s">
        <v>7995</v>
      </c>
      <c r="H4922" s="1568">
        <v>1</v>
      </c>
      <c r="I4922" s="1566"/>
      <c r="J4922" s="1566"/>
      <c r="K4922" s="1565">
        <v>5533</v>
      </c>
      <c r="L4922" s="1565">
        <v>5533</v>
      </c>
      <c r="M4922" s="1564"/>
      <c r="N4922" s="1565">
        <v>5533</v>
      </c>
      <c r="O4922" s="1565">
        <v>2168.46</v>
      </c>
      <c r="P4922" s="1565">
        <v>3093.46</v>
      </c>
      <c r="Q4922" s="1572">
        <v>271.08</v>
      </c>
      <c r="R4922" s="1565">
        <v>3364.54</v>
      </c>
      <c r="S4922" s="1562"/>
    </row>
    <row r="4923" spans="2:19" ht="11.25" customHeight="1" outlineLevel="1">
      <c r="B4923" s="1573">
        <v>28115</v>
      </c>
      <c r="C4923" s="1566" t="s">
        <v>7986</v>
      </c>
      <c r="D4923" s="1566" t="s">
        <v>7994</v>
      </c>
      <c r="E4923" s="1566"/>
      <c r="F4923" s="1566"/>
      <c r="G4923" s="1566" t="s">
        <v>7993</v>
      </c>
      <c r="H4923" s="1568">
        <v>1</v>
      </c>
      <c r="I4923" s="1566"/>
      <c r="J4923" s="1566"/>
      <c r="K4923" s="1565">
        <v>7545</v>
      </c>
      <c r="L4923" s="1565">
        <v>7545</v>
      </c>
      <c r="M4923" s="1564"/>
      <c r="N4923" s="1565">
        <v>7545</v>
      </c>
      <c r="O4923" s="1565">
        <v>2955.92</v>
      </c>
      <c r="P4923" s="1565">
        <v>4219.6000000000004</v>
      </c>
      <c r="Q4923" s="1572">
        <v>369.48</v>
      </c>
      <c r="R4923" s="1565">
        <v>4589.08</v>
      </c>
      <c r="S4923" s="1562"/>
    </row>
    <row r="4924" spans="2:19" ht="11.25" customHeight="1" outlineLevel="1">
      <c r="B4924" s="1573">
        <v>28116</v>
      </c>
      <c r="C4924" s="1566" t="s">
        <v>7986</v>
      </c>
      <c r="D4924" s="1566" t="s">
        <v>7992</v>
      </c>
      <c r="E4924" s="1566"/>
      <c r="F4924" s="1566"/>
      <c r="G4924" s="1566" t="s">
        <v>7991</v>
      </c>
      <c r="H4924" s="1568">
        <v>1</v>
      </c>
      <c r="I4924" s="1566"/>
      <c r="J4924" s="1566"/>
      <c r="K4924" s="1565">
        <v>6288</v>
      </c>
      <c r="L4924" s="1565">
        <v>6288</v>
      </c>
      <c r="M4924" s="1564"/>
      <c r="N4924" s="1565">
        <v>6288</v>
      </c>
      <c r="O4924" s="1565">
        <v>2463.29</v>
      </c>
      <c r="P4924" s="1565">
        <v>3516.79</v>
      </c>
      <c r="Q4924" s="1572">
        <v>307.92</v>
      </c>
      <c r="R4924" s="1565">
        <v>3824.71</v>
      </c>
      <c r="S4924" s="1562"/>
    </row>
    <row r="4925" spans="2:19" ht="11.25" customHeight="1" outlineLevel="1">
      <c r="B4925" s="1573">
        <v>28117</v>
      </c>
      <c r="C4925" s="1566" t="s">
        <v>7986</v>
      </c>
      <c r="D4925" s="1566" t="s">
        <v>7990</v>
      </c>
      <c r="E4925" s="1566"/>
      <c r="F4925" s="1566"/>
      <c r="G4925" s="1566" t="s">
        <v>7989</v>
      </c>
      <c r="H4925" s="1568">
        <v>1</v>
      </c>
      <c r="I4925" s="1566"/>
      <c r="J4925" s="1566"/>
      <c r="K4925" s="1565">
        <v>11066</v>
      </c>
      <c r="L4925" s="1565">
        <v>11066</v>
      </c>
      <c r="M4925" s="1564"/>
      <c r="N4925" s="1565">
        <v>11066</v>
      </c>
      <c r="O4925" s="1565">
        <v>4335.79</v>
      </c>
      <c r="P4925" s="1565">
        <v>6188.29</v>
      </c>
      <c r="Q4925" s="1572">
        <v>541.91999999999996</v>
      </c>
      <c r="R4925" s="1565">
        <v>6730.21</v>
      </c>
      <c r="S4925" s="1562"/>
    </row>
    <row r="4926" spans="2:19" ht="11.25" customHeight="1" outlineLevel="1">
      <c r="B4926" s="1573">
        <v>28118</v>
      </c>
      <c r="C4926" s="1566" t="s">
        <v>7986</v>
      </c>
      <c r="D4926" s="1566" t="s">
        <v>7988</v>
      </c>
      <c r="E4926" s="1566"/>
      <c r="F4926" s="1566"/>
      <c r="G4926" s="1566" t="s">
        <v>7987</v>
      </c>
      <c r="H4926" s="1568">
        <v>1</v>
      </c>
      <c r="I4926" s="1566"/>
      <c r="J4926" s="1566"/>
      <c r="K4926" s="1565">
        <v>5030</v>
      </c>
      <c r="L4926" s="1565">
        <v>5030</v>
      </c>
      <c r="M4926" s="1564"/>
      <c r="N4926" s="1565">
        <v>5030</v>
      </c>
      <c r="O4926" s="1565">
        <v>1971.03</v>
      </c>
      <c r="P4926" s="1565">
        <v>2812.61</v>
      </c>
      <c r="Q4926" s="1572">
        <v>246.36</v>
      </c>
      <c r="R4926" s="1565">
        <v>3058.97</v>
      </c>
      <c r="S4926" s="1562"/>
    </row>
    <row r="4927" spans="2:19" ht="11.25" customHeight="1" outlineLevel="1">
      <c r="B4927" s="1573">
        <v>28119</v>
      </c>
      <c r="C4927" s="1566" t="s">
        <v>7986</v>
      </c>
      <c r="D4927" s="1566" t="s">
        <v>7985</v>
      </c>
      <c r="E4927" s="1566"/>
      <c r="F4927" s="1566"/>
      <c r="G4927" s="1566" t="s">
        <v>7984</v>
      </c>
      <c r="H4927" s="1568">
        <v>1</v>
      </c>
      <c r="I4927" s="1566"/>
      <c r="J4927" s="1566"/>
      <c r="K4927" s="1565">
        <v>7545</v>
      </c>
      <c r="L4927" s="1565">
        <v>7545</v>
      </c>
      <c r="M4927" s="1564"/>
      <c r="N4927" s="1565">
        <v>7545</v>
      </c>
      <c r="O4927" s="1565">
        <v>2955.92</v>
      </c>
      <c r="P4927" s="1565">
        <v>4219.6000000000004</v>
      </c>
      <c r="Q4927" s="1572">
        <v>369.48</v>
      </c>
      <c r="R4927" s="1565">
        <v>4589.08</v>
      </c>
      <c r="S4927" s="1562"/>
    </row>
    <row r="4928" spans="2:19" ht="11.25" customHeight="1" outlineLevel="1">
      <c r="B4928" s="1573">
        <v>28130</v>
      </c>
      <c r="C4928" s="1566" t="s">
        <v>7983</v>
      </c>
      <c r="D4928" s="1566" t="s">
        <v>7982</v>
      </c>
      <c r="E4928" s="1566"/>
      <c r="F4928" s="1566"/>
      <c r="G4928" s="1566" t="s">
        <v>7981</v>
      </c>
      <c r="H4928" s="1568">
        <v>3</v>
      </c>
      <c r="I4928" s="1566"/>
      <c r="J4928" s="1566"/>
      <c r="K4928" s="1572">
        <v>252</v>
      </c>
      <c r="L4928" s="1565">
        <v>4024</v>
      </c>
      <c r="M4928" s="1564"/>
      <c r="N4928" s="1565">
        <v>4024</v>
      </c>
      <c r="O4928" s="1572">
        <v>568.17999999999995</v>
      </c>
      <c r="P4928" s="1565">
        <v>3171.78</v>
      </c>
      <c r="Q4928" s="1572">
        <v>284.04000000000002</v>
      </c>
      <c r="R4928" s="1565">
        <v>3455.82</v>
      </c>
      <c r="S4928" s="1562"/>
    </row>
    <row r="4929" spans="2:19" ht="11.25" customHeight="1" outlineLevel="1">
      <c r="B4929" s="1573">
        <v>39453</v>
      </c>
      <c r="C4929" s="1566" t="s">
        <v>3611</v>
      </c>
      <c r="D4929" s="1566" t="s">
        <v>7980</v>
      </c>
      <c r="E4929" s="1566" t="s">
        <v>2219</v>
      </c>
      <c r="F4929" s="1566" t="s">
        <v>7979</v>
      </c>
      <c r="G4929" s="1566" t="s">
        <v>7978</v>
      </c>
      <c r="H4929" s="1568">
        <v>1</v>
      </c>
      <c r="I4929" s="1570">
        <v>228.2</v>
      </c>
      <c r="J4929" s="1566"/>
      <c r="K4929" s="1565">
        <v>45040.79</v>
      </c>
      <c r="L4929" s="1565">
        <v>45040.79</v>
      </c>
      <c r="M4929" s="1564"/>
      <c r="N4929" s="1565">
        <v>45040.79</v>
      </c>
      <c r="O4929" s="1565">
        <v>18203.98</v>
      </c>
      <c r="P4929" s="1565">
        <v>24584.77</v>
      </c>
      <c r="Q4929" s="1565">
        <v>2252.04</v>
      </c>
      <c r="R4929" s="1565">
        <v>26836.81</v>
      </c>
      <c r="S4929" s="1562"/>
    </row>
    <row r="4930" spans="2:19" ht="11.25" customHeight="1" outlineLevel="1">
      <c r="B4930" s="1573">
        <v>39458</v>
      </c>
      <c r="C4930" s="1566" t="s">
        <v>7977</v>
      </c>
      <c r="D4930" s="1566" t="s">
        <v>7976</v>
      </c>
      <c r="E4930" s="1566"/>
      <c r="F4930" s="1566"/>
      <c r="G4930" s="1566" t="s">
        <v>7975</v>
      </c>
      <c r="H4930" s="1568">
        <v>1</v>
      </c>
      <c r="I4930" s="1566"/>
      <c r="J4930" s="1566"/>
      <c r="K4930" s="1565">
        <v>723410</v>
      </c>
      <c r="L4930" s="1565">
        <v>723410</v>
      </c>
      <c r="M4930" s="1564"/>
      <c r="N4930" s="1565">
        <v>723410</v>
      </c>
      <c r="O4930" s="1565">
        <v>268877.94</v>
      </c>
      <c r="P4930" s="1565">
        <v>416120.9</v>
      </c>
      <c r="Q4930" s="1565">
        <v>38411.160000000003</v>
      </c>
      <c r="R4930" s="1565">
        <v>454532.06</v>
      </c>
      <c r="S4930" s="1562"/>
    </row>
    <row r="4931" spans="2:19" ht="11.25" customHeight="1" outlineLevel="1">
      <c r="B4931" s="1573">
        <v>39434</v>
      </c>
      <c r="C4931" s="1566" t="s">
        <v>7966</v>
      </c>
      <c r="D4931" s="1566" t="s">
        <v>7974</v>
      </c>
      <c r="E4931" s="1566"/>
      <c r="F4931" s="1566"/>
      <c r="G4931" s="1566"/>
      <c r="H4931" s="1568">
        <v>1</v>
      </c>
      <c r="I4931" s="1566"/>
      <c r="J4931" s="1566"/>
      <c r="K4931" s="1565">
        <v>26570</v>
      </c>
      <c r="L4931" s="1565">
        <v>26570</v>
      </c>
      <c r="M4931" s="1565">
        <v>-26570</v>
      </c>
      <c r="N4931" s="1564"/>
      <c r="O4931" s="1564"/>
      <c r="P4931" s="1565">
        <v>26570</v>
      </c>
      <c r="Q4931" s="1565">
        <v>-26570</v>
      </c>
      <c r="R4931" s="1564"/>
      <c r="S4931" s="1562"/>
    </row>
    <row r="4932" spans="2:19" ht="11.25" customHeight="1" outlineLevel="1">
      <c r="B4932" s="1573">
        <v>39435</v>
      </c>
      <c r="C4932" s="1566" t="s">
        <v>7966</v>
      </c>
      <c r="D4932" s="1566" t="s">
        <v>7973</v>
      </c>
      <c r="E4932" s="1566"/>
      <c r="F4932" s="1566"/>
      <c r="G4932" s="1566"/>
      <c r="H4932" s="1568">
        <v>1</v>
      </c>
      <c r="I4932" s="1566"/>
      <c r="J4932" s="1566"/>
      <c r="K4932" s="1565">
        <v>26570</v>
      </c>
      <c r="L4932" s="1565">
        <v>26570</v>
      </c>
      <c r="M4932" s="1565">
        <v>-26570</v>
      </c>
      <c r="N4932" s="1564"/>
      <c r="O4932" s="1564"/>
      <c r="P4932" s="1565">
        <v>26570</v>
      </c>
      <c r="Q4932" s="1565">
        <v>-26570</v>
      </c>
      <c r="R4932" s="1564"/>
      <c r="S4932" s="1562"/>
    </row>
    <row r="4933" spans="2:19" ht="11.25" customHeight="1" outlineLevel="1">
      <c r="B4933" s="1573">
        <v>39436</v>
      </c>
      <c r="C4933" s="1566" t="s">
        <v>7966</v>
      </c>
      <c r="D4933" s="1566" t="s">
        <v>7972</v>
      </c>
      <c r="E4933" s="1566"/>
      <c r="F4933" s="1566"/>
      <c r="G4933" s="1566"/>
      <c r="H4933" s="1568">
        <v>1</v>
      </c>
      <c r="I4933" s="1566"/>
      <c r="J4933" s="1566"/>
      <c r="K4933" s="1565">
        <v>26570</v>
      </c>
      <c r="L4933" s="1565">
        <v>26570</v>
      </c>
      <c r="M4933" s="1565">
        <v>-26570</v>
      </c>
      <c r="N4933" s="1564"/>
      <c r="O4933" s="1564"/>
      <c r="P4933" s="1565">
        <v>26570</v>
      </c>
      <c r="Q4933" s="1565">
        <v>-26570</v>
      </c>
      <c r="R4933" s="1564"/>
      <c r="S4933" s="1562"/>
    </row>
    <row r="4934" spans="2:19" ht="11.25" customHeight="1" outlineLevel="1">
      <c r="B4934" s="1573">
        <v>39437</v>
      </c>
      <c r="C4934" s="1566" t="s">
        <v>7966</v>
      </c>
      <c r="D4934" s="1566" t="s">
        <v>7971</v>
      </c>
      <c r="E4934" s="1566"/>
      <c r="F4934" s="1566"/>
      <c r="G4934" s="1566"/>
      <c r="H4934" s="1568">
        <v>1</v>
      </c>
      <c r="I4934" s="1566"/>
      <c r="J4934" s="1566"/>
      <c r="K4934" s="1565">
        <v>26570</v>
      </c>
      <c r="L4934" s="1565">
        <v>26570</v>
      </c>
      <c r="M4934" s="1565">
        <v>-26570</v>
      </c>
      <c r="N4934" s="1564"/>
      <c r="O4934" s="1564"/>
      <c r="P4934" s="1565">
        <v>26570</v>
      </c>
      <c r="Q4934" s="1565">
        <v>-26570</v>
      </c>
      <c r="R4934" s="1564"/>
      <c r="S4934" s="1562"/>
    </row>
    <row r="4935" spans="2:19" ht="11.25" customHeight="1" outlineLevel="1">
      <c r="B4935" s="1573">
        <v>39438</v>
      </c>
      <c r="C4935" s="1566" t="s">
        <v>7966</v>
      </c>
      <c r="D4935" s="1566" t="s">
        <v>7970</v>
      </c>
      <c r="E4935" s="1566"/>
      <c r="F4935" s="1566"/>
      <c r="G4935" s="1566"/>
      <c r="H4935" s="1568">
        <v>1</v>
      </c>
      <c r="I4935" s="1566"/>
      <c r="J4935" s="1566"/>
      <c r="K4935" s="1565">
        <v>26570</v>
      </c>
      <c r="L4935" s="1565">
        <v>26570</v>
      </c>
      <c r="M4935" s="1565">
        <v>-26570</v>
      </c>
      <c r="N4935" s="1564"/>
      <c r="O4935" s="1564"/>
      <c r="P4935" s="1565">
        <v>26570</v>
      </c>
      <c r="Q4935" s="1565">
        <v>-26570</v>
      </c>
      <c r="R4935" s="1564"/>
      <c r="S4935" s="1562"/>
    </row>
    <row r="4936" spans="2:19" ht="11.25" customHeight="1" outlineLevel="1">
      <c r="B4936" s="1573">
        <v>39439</v>
      </c>
      <c r="C4936" s="1566" t="s">
        <v>7966</v>
      </c>
      <c r="D4936" s="1566" t="s">
        <v>7969</v>
      </c>
      <c r="E4936" s="1566"/>
      <c r="F4936" s="1566"/>
      <c r="G4936" s="1566"/>
      <c r="H4936" s="1568">
        <v>1</v>
      </c>
      <c r="I4936" s="1566"/>
      <c r="J4936" s="1566"/>
      <c r="K4936" s="1565">
        <v>26570</v>
      </c>
      <c r="L4936" s="1565">
        <v>26570</v>
      </c>
      <c r="M4936" s="1565">
        <v>-26570</v>
      </c>
      <c r="N4936" s="1564"/>
      <c r="O4936" s="1564"/>
      <c r="P4936" s="1565">
        <v>26570</v>
      </c>
      <c r="Q4936" s="1565">
        <v>-26570</v>
      </c>
      <c r="R4936" s="1564"/>
      <c r="S4936" s="1562"/>
    </row>
    <row r="4937" spans="2:19" ht="11.25" customHeight="1" outlineLevel="1">
      <c r="B4937" s="1573">
        <v>39440</v>
      </c>
      <c r="C4937" s="1566" t="s">
        <v>7966</v>
      </c>
      <c r="D4937" s="1566" t="s">
        <v>7968</v>
      </c>
      <c r="E4937" s="1566"/>
      <c r="F4937" s="1566"/>
      <c r="G4937" s="1566"/>
      <c r="H4937" s="1568">
        <v>1</v>
      </c>
      <c r="I4937" s="1566"/>
      <c r="J4937" s="1566"/>
      <c r="K4937" s="1565">
        <v>26570</v>
      </c>
      <c r="L4937" s="1565">
        <v>26570</v>
      </c>
      <c r="M4937" s="1565">
        <v>-26570</v>
      </c>
      <c r="N4937" s="1564"/>
      <c r="O4937" s="1564"/>
      <c r="P4937" s="1565">
        <v>26570</v>
      </c>
      <c r="Q4937" s="1565">
        <v>-26570</v>
      </c>
      <c r="R4937" s="1564"/>
      <c r="S4937" s="1562"/>
    </row>
    <row r="4938" spans="2:19" ht="11.25" customHeight="1" outlineLevel="1">
      <c r="B4938" s="1573">
        <v>39441</v>
      </c>
      <c r="C4938" s="1566" t="s">
        <v>7966</v>
      </c>
      <c r="D4938" s="1566" t="s">
        <v>7967</v>
      </c>
      <c r="E4938" s="1566"/>
      <c r="F4938" s="1566"/>
      <c r="G4938" s="1566"/>
      <c r="H4938" s="1568">
        <v>1</v>
      </c>
      <c r="I4938" s="1566"/>
      <c r="J4938" s="1566"/>
      <c r="K4938" s="1565">
        <v>26570</v>
      </c>
      <c r="L4938" s="1565">
        <v>26570</v>
      </c>
      <c r="M4938" s="1565">
        <v>-26570</v>
      </c>
      <c r="N4938" s="1564"/>
      <c r="O4938" s="1564"/>
      <c r="P4938" s="1565">
        <v>26570</v>
      </c>
      <c r="Q4938" s="1565">
        <v>-26570</v>
      </c>
      <c r="R4938" s="1564"/>
      <c r="S4938" s="1562"/>
    </row>
    <row r="4939" spans="2:19" ht="11.25" customHeight="1" outlineLevel="1">
      <c r="B4939" s="1573">
        <v>39442</v>
      </c>
      <c r="C4939" s="1566" t="s">
        <v>7966</v>
      </c>
      <c r="D4939" s="1566" t="s">
        <v>7965</v>
      </c>
      <c r="E4939" s="1566"/>
      <c r="F4939" s="1566"/>
      <c r="G4939" s="1566"/>
      <c r="H4939" s="1568">
        <v>1</v>
      </c>
      <c r="I4939" s="1566"/>
      <c r="J4939" s="1566"/>
      <c r="K4939" s="1565">
        <v>26570</v>
      </c>
      <c r="L4939" s="1565">
        <v>26570</v>
      </c>
      <c r="M4939" s="1565">
        <v>-26570</v>
      </c>
      <c r="N4939" s="1564"/>
      <c r="O4939" s="1564"/>
      <c r="P4939" s="1565">
        <v>26570</v>
      </c>
      <c r="Q4939" s="1565">
        <v>-26570</v>
      </c>
      <c r="R4939" s="1564"/>
      <c r="S4939" s="1562"/>
    </row>
    <row r="4940" spans="2:19" ht="11.25" customHeight="1" outlineLevel="1">
      <c r="B4940" s="1573">
        <v>39482</v>
      </c>
      <c r="C4940" s="1566" t="s">
        <v>7958</v>
      </c>
      <c r="D4940" s="1566" t="s">
        <v>7964</v>
      </c>
      <c r="E4940" s="1566"/>
      <c r="F4940" s="1566"/>
      <c r="G4940" s="1566"/>
      <c r="H4940" s="1568">
        <v>1</v>
      </c>
      <c r="I4940" s="1566"/>
      <c r="J4940" s="1566"/>
      <c r="K4940" s="1565">
        <v>153008.48000000001</v>
      </c>
      <c r="L4940" s="1565">
        <v>153008.48000000001</v>
      </c>
      <c r="M4940" s="1564"/>
      <c r="N4940" s="1565">
        <v>153008.48000000001</v>
      </c>
      <c r="O4940" s="1565">
        <v>12576.24</v>
      </c>
      <c r="P4940" s="1565">
        <v>127856</v>
      </c>
      <c r="Q4940" s="1565">
        <v>12576.24</v>
      </c>
      <c r="R4940" s="1565">
        <v>140432.24</v>
      </c>
      <c r="S4940" s="1562"/>
    </row>
    <row r="4941" spans="2:19" ht="11.25" customHeight="1" outlineLevel="1">
      <c r="B4941" s="1573">
        <v>39491</v>
      </c>
      <c r="C4941" s="1566" t="s">
        <v>7958</v>
      </c>
      <c r="D4941" s="1566" t="s">
        <v>7963</v>
      </c>
      <c r="E4941" s="1566"/>
      <c r="F4941" s="1566"/>
      <c r="G4941" s="1566"/>
      <c r="H4941" s="1568">
        <v>1</v>
      </c>
      <c r="I4941" s="1566"/>
      <c r="J4941" s="1566"/>
      <c r="K4941" s="1565">
        <v>24110.17</v>
      </c>
      <c r="L4941" s="1565">
        <v>24110.17</v>
      </c>
      <c r="M4941" s="1565">
        <v>-24110.17</v>
      </c>
      <c r="N4941" s="1564"/>
      <c r="O4941" s="1564"/>
      <c r="P4941" s="1565">
        <v>24110.17</v>
      </c>
      <c r="Q4941" s="1565">
        <v>-24110.17</v>
      </c>
      <c r="R4941" s="1564"/>
      <c r="S4941" s="1562"/>
    </row>
    <row r="4942" spans="2:19" ht="11.25" customHeight="1" outlineLevel="1">
      <c r="B4942" s="1573">
        <v>39492</v>
      </c>
      <c r="C4942" s="1566" t="s">
        <v>7958</v>
      </c>
      <c r="D4942" s="1566" t="s">
        <v>7962</v>
      </c>
      <c r="E4942" s="1566"/>
      <c r="F4942" s="1566"/>
      <c r="G4942" s="1566"/>
      <c r="H4942" s="1568">
        <v>1</v>
      </c>
      <c r="I4942" s="1566"/>
      <c r="J4942" s="1566"/>
      <c r="K4942" s="1565">
        <v>24110.17</v>
      </c>
      <c r="L4942" s="1565">
        <v>24110.17</v>
      </c>
      <c r="M4942" s="1565">
        <v>-24110.17</v>
      </c>
      <c r="N4942" s="1564"/>
      <c r="O4942" s="1564"/>
      <c r="P4942" s="1565">
        <v>24110.17</v>
      </c>
      <c r="Q4942" s="1565">
        <v>-24110.17</v>
      </c>
      <c r="R4942" s="1564"/>
      <c r="S4942" s="1562"/>
    </row>
    <row r="4943" spans="2:19" ht="11.25" customHeight="1" outlineLevel="1">
      <c r="B4943" s="1573">
        <v>39493</v>
      </c>
      <c r="C4943" s="1566" t="s">
        <v>7958</v>
      </c>
      <c r="D4943" s="1566" t="s">
        <v>7961</v>
      </c>
      <c r="E4943" s="1566"/>
      <c r="F4943" s="1566"/>
      <c r="G4943" s="1566"/>
      <c r="H4943" s="1568">
        <v>1</v>
      </c>
      <c r="I4943" s="1566"/>
      <c r="J4943" s="1566"/>
      <c r="K4943" s="1565">
        <v>24110.17</v>
      </c>
      <c r="L4943" s="1565">
        <v>24110.17</v>
      </c>
      <c r="M4943" s="1565">
        <v>-24110.17</v>
      </c>
      <c r="N4943" s="1564"/>
      <c r="O4943" s="1564"/>
      <c r="P4943" s="1565">
        <v>24110.17</v>
      </c>
      <c r="Q4943" s="1565">
        <v>-24110.17</v>
      </c>
      <c r="R4943" s="1564"/>
      <c r="S4943" s="1562"/>
    </row>
    <row r="4944" spans="2:19" ht="11.25" customHeight="1" outlineLevel="1">
      <c r="B4944" s="1573">
        <v>39494</v>
      </c>
      <c r="C4944" s="1566" t="s">
        <v>7958</v>
      </c>
      <c r="D4944" s="1566" t="s">
        <v>7960</v>
      </c>
      <c r="E4944" s="1566"/>
      <c r="F4944" s="1566"/>
      <c r="G4944" s="1566"/>
      <c r="H4944" s="1568">
        <v>1</v>
      </c>
      <c r="I4944" s="1566"/>
      <c r="J4944" s="1566"/>
      <c r="K4944" s="1565">
        <v>24110.17</v>
      </c>
      <c r="L4944" s="1565">
        <v>24110.17</v>
      </c>
      <c r="M4944" s="1565">
        <v>-24110.17</v>
      </c>
      <c r="N4944" s="1564"/>
      <c r="O4944" s="1564"/>
      <c r="P4944" s="1565">
        <v>24110.17</v>
      </c>
      <c r="Q4944" s="1565">
        <v>-24110.17</v>
      </c>
      <c r="R4944" s="1564"/>
      <c r="S4944" s="1562"/>
    </row>
    <row r="4945" spans="2:19" ht="11.25" customHeight="1" outlineLevel="1">
      <c r="B4945" s="1573">
        <v>39495</v>
      </c>
      <c r="C4945" s="1566" t="s">
        <v>7958</v>
      </c>
      <c r="D4945" s="1566" t="s">
        <v>7959</v>
      </c>
      <c r="E4945" s="1566"/>
      <c r="F4945" s="1566"/>
      <c r="G4945" s="1566" t="s">
        <v>3596</v>
      </c>
      <c r="H4945" s="1568">
        <v>1</v>
      </c>
      <c r="I4945" s="1566"/>
      <c r="J4945" s="1566"/>
      <c r="K4945" s="1565">
        <v>263813.56</v>
      </c>
      <c r="L4945" s="1565">
        <v>263813.56</v>
      </c>
      <c r="M4945" s="1564"/>
      <c r="N4945" s="1565">
        <v>263813.56</v>
      </c>
      <c r="O4945" s="1565">
        <v>21683.46</v>
      </c>
      <c r="P4945" s="1565">
        <v>220446.68</v>
      </c>
      <c r="Q4945" s="1565">
        <v>21683.42</v>
      </c>
      <c r="R4945" s="1565">
        <v>242130.1</v>
      </c>
      <c r="S4945" s="1562"/>
    </row>
    <row r="4946" spans="2:19" ht="11.25" customHeight="1" outlineLevel="1">
      <c r="B4946" s="1573">
        <v>39504</v>
      </c>
      <c r="C4946" s="1566" t="s">
        <v>7958</v>
      </c>
      <c r="D4946" s="1566" t="s">
        <v>7957</v>
      </c>
      <c r="E4946" s="1566"/>
      <c r="F4946" s="1566"/>
      <c r="G4946" s="1566"/>
      <c r="H4946" s="1568">
        <v>1</v>
      </c>
      <c r="I4946" s="1566"/>
      <c r="J4946" s="1566"/>
      <c r="K4946" s="1565">
        <v>7372.88</v>
      </c>
      <c r="L4946" s="1565">
        <v>7372.88</v>
      </c>
      <c r="M4946" s="1565">
        <v>-7372.88</v>
      </c>
      <c r="N4946" s="1564"/>
      <c r="O4946" s="1564"/>
      <c r="P4946" s="1565">
        <v>7372.88</v>
      </c>
      <c r="Q4946" s="1565">
        <v>-7372.88</v>
      </c>
      <c r="R4946" s="1564"/>
      <c r="S4946" s="1562"/>
    </row>
    <row r="4947" spans="2:19" ht="11.25" customHeight="1" outlineLevel="1">
      <c r="B4947" s="1569" t="s">
        <v>7956</v>
      </c>
      <c r="C4947" s="1566" t="s">
        <v>7947</v>
      </c>
      <c r="D4947" s="1566" t="s">
        <v>7955</v>
      </c>
      <c r="E4947" s="1566"/>
      <c r="F4947" s="1566"/>
      <c r="G4947" s="1566"/>
      <c r="H4947" s="1568">
        <v>1</v>
      </c>
      <c r="I4947" s="1566"/>
      <c r="J4947" s="1566"/>
      <c r="K4947" s="1565">
        <v>62212.71</v>
      </c>
      <c r="L4947" s="1565">
        <v>62212.71</v>
      </c>
      <c r="M4947" s="1565">
        <v>-62212.71</v>
      </c>
      <c r="N4947" s="1564"/>
      <c r="O4947" s="1564"/>
      <c r="P4947" s="1565">
        <v>62212.71</v>
      </c>
      <c r="Q4947" s="1565">
        <v>-62212.71</v>
      </c>
      <c r="R4947" s="1564"/>
      <c r="S4947" s="1562"/>
    </row>
    <row r="4948" spans="2:19" ht="11.25" customHeight="1" outlineLevel="1">
      <c r="B4948" s="1569" t="s">
        <v>7954</v>
      </c>
      <c r="C4948" s="1566" t="s">
        <v>7947</v>
      </c>
      <c r="D4948" s="1566" t="s">
        <v>7953</v>
      </c>
      <c r="E4948" s="1566"/>
      <c r="F4948" s="1566"/>
      <c r="G4948" s="1566"/>
      <c r="H4948" s="1568">
        <v>1</v>
      </c>
      <c r="I4948" s="1566"/>
      <c r="J4948" s="1566"/>
      <c r="K4948" s="1565">
        <v>62212.71</v>
      </c>
      <c r="L4948" s="1565">
        <v>62212.71</v>
      </c>
      <c r="M4948" s="1565">
        <v>-62212.71</v>
      </c>
      <c r="N4948" s="1564"/>
      <c r="O4948" s="1564"/>
      <c r="P4948" s="1565">
        <v>62212.71</v>
      </c>
      <c r="Q4948" s="1565">
        <v>-62212.71</v>
      </c>
      <c r="R4948" s="1564"/>
      <c r="S4948" s="1562"/>
    </row>
    <row r="4949" spans="2:19" ht="11.25" customHeight="1" outlineLevel="1">
      <c r="B4949" s="1569" t="s">
        <v>7952</v>
      </c>
      <c r="C4949" s="1566" t="s">
        <v>7947</v>
      </c>
      <c r="D4949" s="1566" t="s">
        <v>7951</v>
      </c>
      <c r="E4949" s="1566"/>
      <c r="F4949" s="1566"/>
      <c r="G4949" s="1566"/>
      <c r="H4949" s="1568">
        <v>1</v>
      </c>
      <c r="I4949" s="1566"/>
      <c r="J4949" s="1566"/>
      <c r="K4949" s="1565">
        <v>62212.71</v>
      </c>
      <c r="L4949" s="1565">
        <v>62212.71</v>
      </c>
      <c r="M4949" s="1565">
        <v>-62212.71</v>
      </c>
      <c r="N4949" s="1564"/>
      <c r="O4949" s="1564"/>
      <c r="P4949" s="1565">
        <v>62212.71</v>
      </c>
      <c r="Q4949" s="1565">
        <v>-62212.71</v>
      </c>
      <c r="R4949" s="1564"/>
      <c r="S4949" s="1562"/>
    </row>
    <row r="4950" spans="2:19" ht="11.25" customHeight="1" outlineLevel="1">
      <c r="B4950" s="1569" t="s">
        <v>7950</v>
      </c>
      <c r="C4950" s="1566" t="s">
        <v>7947</v>
      </c>
      <c r="D4950" s="1566" t="s">
        <v>7949</v>
      </c>
      <c r="E4950" s="1566"/>
      <c r="F4950" s="1566"/>
      <c r="G4950" s="1566"/>
      <c r="H4950" s="1568">
        <v>1</v>
      </c>
      <c r="I4950" s="1566"/>
      <c r="J4950" s="1566"/>
      <c r="K4950" s="1565">
        <v>62212.71</v>
      </c>
      <c r="L4950" s="1565">
        <v>62212.71</v>
      </c>
      <c r="M4950" s="1565">
        <v>-62212.71</v>
      </c>
      <c r="N4950" s="1564"/>
      <c r="O4950" s="1564"/>
      <c r="P4950" s="1565">
        <v>62212.71</v>
      </c>
      <c r="Q4950" s="1565">
        <v>-62212.71</v>
      </c>
      <c r="R4950" s="1564"/>
      <c r="S4950" s="1562"/>
    </row>
    <row r="4951" spans="2:19" ht="11.25" customHeight="1" outlineLevel="1">
      <c r="B4951" s="1569" t="s">
        <v>7948</v>
      </c>
      <c r="C4951" s="1566" t="s">
        <v>7947</v>
      </c>
      <c r="D4951" s="1566" t="s">
        <v>7946</v>
      </c>
      <c r="E4951" s="1566"/>
      <c r="F4951" s="1566"/>
      <c r="G4951" s="1566"/>
      <c r="H4951" s="1568">
        <v>1</v>
      </c>
      <c r="I4951" s="1566"/>
      <c r="J4951" s="1566"/>
      <c r="K4951" s="1565">
        <v>189488.14</v>
      </c>
      <c r="L4951" s="1565">
        <v>189488.14</v>
      </c>
      <c r="M4951" s="1564"/>
      <c r="N4951" s="1565">
        <v>189488.14</v>
      </c>
      <c r="O4951" s="1565">
        <v>16241.66</v>
      </c>
      <c r="P4951" s="1565">
        <v>157004.84</v>
      </c>
      <c r="Q4951" s="1565">
        <v>16241.64</v>
      </c>
      <c r="R4951" s="1565">
        <v>173246.48</v>
      </c>
      <c r="S4951" s="1562"/>
    </row>
    <row r="4952" spans="2:19" ht="11.25" customHeight="1" outlineLevel="1">
      <c r="B4952" s="1569" t="s">
        <v>7945</v>
      </c>
      <c r="C4952" s="1566" t="s">
        <v>7942</v>
      </c>
      <c r="D4952" s="1566" t="s">
        <v>7944</v>
      </c>
      <c r="E4952" s="1566"/>
      <c r="F4952" s="1566"/>
      <c r="G4952" s="1566"/>
      <c r="H4952" s="1568">
        <v>1</v>
      </c>
      <c r="I4952" s="1566"/>
      <c r="J4952" s="1566"/>
      <c r="K4952" s="1565">
        <v>62212.71</v>
      </c>
      <c r="L4952" s="1565">
        <v>62212.71</v>
      </c>
      <c r="M4952" s="1565">
        <v>-62212.71</v>
      </c>
      <c r="N4952" s="1564"/>
      <c r="O4952" s="1564"/>
      <c r="P4952" s="1565">
        <v>62212.71</v>
      </c>
      <c r="Q4952" s="1565">
        <v>-62212.71</v>
      </c>
      <c r="R4952" s="1564"/>
      <c r="S4952" s="1562"/>
    </row>
    <row r="4953" spans="2:19" ht="11.25" customHeight="1" outlineLevel="1">
      <c r="B4953" s="1569" t="s">
        <v>7943</v>
      </c>
      <c r="C4953" s="1566" t="s">
        <v>7942</v>
      </c>
      <c r="D4953" s="1566" t="s">
        <v>7941</v>
      </c>
      <c r="E4953" s="1566"/>
      <c r="F4953" s="1566"/>
      <c r="G4953" s="1566"/>
      <c r="H4953" s="1568">
        <v>1</v>
      </c>
      <c r="I4953" s="1566"/>
      <c r="J4953" s="1566"/>
      <c r="K4953" s="1565">
        <v>62212.71</v>
      </c>
      <c r="L4953" s="1565">
        <v>62212.71</v>
      </c>
      <c r="M4953" s="1565">
        <v>-62212.71</v>
      </c>
      <c r="N4953" s="1564"/>
      <c r="O4953" s="1564"/>
      <c r="P4953" s="1565">
        <v>62212.71</v>
      </c>
      <c r="Q4953" s="1565">
        <v>-62212.71</v>
      </c>
      <c r="R4953" s="1564"/>
      <c r="S4953" s="1562"/>
    </row>
    <row r="4954" spans="2:19" ht="11.25" customHeight="1" outlineLevel="1">
      <c r="B4954" s="1569" t="s">
        <v>7940</v>
      </c>
      <c r="C4954" s="1566" t="s">
        <v>7927</v>
      </c>
      <c r="D4954" s="1566" t="s">
        <v>7939</v>
      </c>
      <c r="E4954" s="1566"/>
      <c r="F4954" s="1566"/>
      <c r="G4954" s="1566"/>
      <c r="H4954" s="1568">
        <v>1</v>
      </c>
      <c r="I4954" s="1566"/>
      <c r="J4954" s="1566"/>
      <c r="K4954" s="1565">
        <v>55282.01</v>
      </c>
      <c r="L4954" s="1565">
        <v>55282.01</v>
      </c>
      <c r="M4954" s="1565">
        <v>-55282.01</v>
      </c>
      <c r="N4954" s="1564"/>
      <c r="O4954" s="1564"/>
      <c r="P4954" s="1565">
        <v>55282.01</v>
      </c>
      <c r="Q4954" s="1565">
        <v>-55282.01</v>
      </c>
      <c r="R4954" s="1564"/>
      <c r="S4954" s="1562"/>
    </row>
    <row r="4955" spans="2:19" ht="21.75" customHeight="1" outlineLevel="1">
      <c r="B4955" s="1569" t="s">
        <v>7938</v>
      </c>
      <c r="C4955" s="1566" t="s">
        <v>7927</v>
      </c>
      <c r="D4955" s="1566" t="s">
        <v>7937</v>
      </c>
      <c r="E4955" s="1566"/>
      <c r="F4955" s="1566"/>
      <c r="G4955" s="1566"/>
      <c r="H4955" s="1568">
        <v>3</v>
      </c>
      <c r="I4955" s="1566"/>
      <c r="J4955" s="1566"/>
      <c r="K4955" s="1565">
        <v>43082.93</v>
      </c>
      <c r="L4955" s="1565">
        <v>43082.93</v>
      </c>
      <c r="M4955" s="1565">
        <v>-43082.93</v>
      </c>
      <c r="N4955" s="1564"/>
      <c r="O4955" s="1564"/>
      <c r="P4955" s="1565">
        <v>43082.93</v>
      </c>
      <c r="Q4955" s="1565">
        <v>-43082.93</v>
      </c>
      <c r="R4955" s="1564"/>
      <c r="S4955" s="1562"/>
    </row>
    <row r="4956" spans="2:19" ht="11.25" customHeight="1" outlineLevel="1">
      <c r="B4956" s="1569" t="s">
        <v>7936</v>
      </c>
      <c r="C4956" s="1566" t="s">
        <v>7927</v>
      </c>
      <c r="D4956" s="1566" t="s">
        <v>7935</v>
      </c>
      <c r="E4956" s="1566"/>
      <c r="F4956" s="1566"/>
      <c r="G4956" s="1566"/>
      <c r="H4956" s="1568">
        <v>1</v>
      </c>
      <c r="I4956" s="1566"/>
      <c r="J4956" s="1566"/>
      <c r="K4956" s="1565">
        <v>69822.02</v>
      </c>
      <c r="L4956" s="1565">
        <v>69822.02</v>
      </c>
      <c r="M4956" s="1565">
        <v>-69822.02</v>
      </c>
      <c r="N4956" s="1564"/>
      <c r="O4956" s="1564"/>
      <c r="P4956" s="1565">
        <v>69822.02</v>
      </c>
      <c r="Q4956" s="1565">
        <v>-69822.02</v>
      </c>
      <c r="R4956" s="1564"/>
      <c r="S4956" s="1562"/>
    </row>
    <row r="4957" spans="2:19" ht="11.25" customHeight="1" outlineLevel="1">
      <c r="B4957" s="1569" t="s">
        <v>7934</v>
      </c>
      <c r="C4957" s="1566" t="s">
        <v>7927</v>
      </c>
      <c r="D4957" s="1566" t="s">
        <v>7933</v>
      </c>
      <c r="E4957" s="1566"/>
      <c r="F4957" s="1566"/>
      <c r="G4957" s="1566"/>
      <c r="H4957" s="1568">
        <v>1</v>
      </c>
      <c r="I4957" s="1566"/>
      <c r="J4957" s="1566"/>
      <c r="K4957" s="1565">
        <v>125623.2</v>
      </c>
      <c r="L4957" s="1565">
        <v>125623.2</v>
      </c>
      <c r="M4957" s="1564"/>
      <c r="N4957" s="1565">
        <v>125623.2</v>
      </c>
      <c r="O4957" s="1565">
        <v>11003.34</v>
      </c>
      <c r="P4957" s="1565">
        <v>103616.48</v>
      </c>
      <c r="Q4957" s="1565">
        <v>11003.38</v>
      </c>
      <c r="R4957" s="1565">
        <v>114619.86</v>
      </c>
      <c r="S4957" s="1562"/>
    </row>
    <row r="4958" spans="2:19" ht="11.25" customHeight="1" outlineLevel="1">
      <c r="B4958" s="1569" t="s">
        <v>7932</v>
      </c>
      <c r="C4958" s="1566" t="s">
        <v>7927</v>
      </c>
      <c r="D4958" s="1566" t="s">
        <v>7931</v>
      </c>
      <c r="E4958" s="1566"/>
      <c r="F4958" s="1566"/>
      <c r="G4958" s="1566"/>
      <c r="H4958" s="1568">
        <v>1</v>
      </c>
      <c r="I4958" s="1566"/>
      <c r="J4958" s="1566"/>
      <c r="K4958" s="1565">
        <v>64984.59</v>
      </c>
      <c r="L4958" s="1565">
        <v>64984.59</v>
      </c>
      <c r="M4958" s="1565">
        <v>-64984.59</v>
      </c>
      <c r="N4958" s="1564"/>
      <c r="O4958" s="1564"/>
      <c r="P4958" s="1565">
        <v>64984.59</v>
      </c>
      <c r="Q4958" s="1565">
        <v>-64984.59</v>
      </c>
      <c r="R4958" s="1564"/>
      <c r="S4958" s="1562"/>
    </row>
    <row r="4959" spans="2:19" ht="21.75" customHeight="1" outlineLevel="1">
      <c r="B4959" s="1569" t="s">
        <v>7930</v>
      </c>
      <c r="C4959" s="1566" t="s">
        <v>7927</v>
      </c>
      <c r="D4959" s="1566" t="s">
        <v>7929</v>
      </c>
      <c r="E4959" s="1566"/>
      <c r="F4959" s="1566"/>
      <c r="G4959" s="1566"/>
      <c r="H4959" s="1568">
        <v>1</v>
      </c>
      <c r="I4959" s="1566"/>
      <c r="J4959" s="1566"/>
      <c r="K4959" s="1565">
        <v>65218.22</v>
      </c>
      <c r="L4959" s="1565">
        <v>65218.22</v>
      </c>
      <c r="M4959" s="1565">
        <v>-65218.22</v>
      </c>
      <c r="N4959" s="1564"/>
      <c r="O4959" s="1564"/>
      <c r="P4959" s="1565">
        <v>65218.22</v>
      </c>
      <c r="Q4959" s="1565">
        <v>-65218.22</v>
      </c>
      <c r="R4959" s="1564"/>
      <c r="S4959" s="1562"/>
    </row>
    <row r="4960" spans="2:19" ht="11.25" customHeight="1" outlineLevel="1">
      <c r="B4960" s="1569" t="s">
        <v>7928</v>
      </c>
      <c r="C4960" s="1566" t="s">
        <v>7927</v>
      </c>
      <c r="D4960" s="1566" t="s">
        <v>7926</v>
      </c>
      <c r="E4960" s="1566"/>
      <c r="F4960" s="1566"/>
      <c r="G4960" s="1566"/>
      <c r="H4960" s="1568">
        <v>1</v>
      </c>
      <c r="I4960" s="1566"/>
      <c r="J4960" s="1566"/>
      <c r="K4960" s="1565">
        <v>53098.07</v>
      </c>
      <c r="L4960" s="1565">
        <v>53098.07</v>
      </c>
      <c r="M4960" s="1565">
        <v>-53098.07</v>
      </c>
      <c r="N4960" s="1564"/>
      <c r="O4960" s="1564"/>
      <c r="P4960" s="1565">
        <v>53098.07</v>
      </c>
      <c r="Q4960" s="1565">
        <v>-53098.07</v>
      </c>
      <c r="R4960" s="1564"/>
      <c r="S4960" s="1562"/>
    </row>
    <row r="4961" spans="2:19" ht="11.25" customHeight="1" outlineLevel="1">
      <c r="B4961" s="1569" t="s">
        <v>7925</v>
      </c>
      <c r="C4961" s="1566" t="s">
        <v>7924</v>
      </c>
      <c r="D4961" s="1566" t="s">
        <v>7923</v>
      </c>
      <c r="E4961" s="1566"/>
      <c r="F4961" s="1566"/>
      <c r="G4961" s="1566"/>
      <c r="H4961" s="1568">
        <v>1</v>
      </c>
      <c r="I4961" s="1566"/>
      <c r="J4961" s="1566"/>
      <c r="K4961" s="1565">
        <v>170601.25</v>
      </c>
      <c r="L4961" s="1565">
        <v>170601.25</v>
      </c>
      <c r="M4961" s="1564"/>
      <c r="N4961" s="1565">
        <v>170601.25</v>
      </c>
      <c r="O4961" s="1565">
        <v>15053.1</v>
      </c>
      <c r="P4961" s="1565">
        <v>140495.04000000001</v>
      </c>
      <c r="Q4961" s="1565">
        <v>15053.11</v>
      </c>
      <c r="R4961" s="1565">
        <v>155548.15</v>
      </c>
      <c r="S4961" s="1562"/>
    </row>
    <row r="4962" spans="2:19" ht="11.25" customHeight="1" outlineLevel="1">
      <c r="B4962" s="1569" t="s">
        <v>7922</v>
      </c>
      <c r="C4962" s="1566" t="s">
        <v>7921</v>
      </c>
      <c r="D4962" s="1566" t="s">
        <v>7920</v>
      </c>
      <c r="E4962" s="1566"/>
      <c r="F4962" s="1566"/>
      <c r="G4962" s="1566" t="s">
        <v>2931</v>
      </c>
      <c r="H4962" s="1568">
        <v>1</v>
      </c>
      <c r="I4962" s="1571">
        <v>19</v>
      </c>
      <c r="J4962" s="1566"/>
      <c r="K4962" s="1565">
        <v>5509</v>
      </c>
      <c r="L4962" s="1565">
        <v>5509</v>
      </c>
      <c r="M4962" s="1564"/>
      <c r="N4962" s="1565">
        <v>5509</v>
      </c>
      <c r="O4962" s="1565">
        <v>2471.56</v>
      </c>
      <c r="P4962" s="1565">
        <v>2728.44</v>
      </c>
      <c r="Q4962" s="1572">
        <v>309</v>
      </c>
      <c r="R4962" s="1565">
        <v>3037.44</v>
      </c>
      <c r="S4962" s="1562"/>
    </row>
    <row r="4963" spans="2:19" ht="21.75" customHeight="1" outlineLevel="1">
      <c r="B4963" s="1569" t="s">
        <v>7919</v>
      </c>
      <c r="C4963" s="1566" t="s">
        <v>3598</v>
      </c>
      <c r="D4963" s="1566" t="s">
        <v>7918</v>
      </c>
      <c r="E4963" s="1566"/>
      <c r="F4963" s="1566"/>
      <c r="G4963" s="1566"/>
      <c r="H4963" s="1568">
        <v>3</v>
      </c>
      <c r="I4963" s="1566"/>
      <c r="J4963" s="1566"/>
      <c r="K4963" s="1565">
        <v>84400</v>
      </c>
      <c r="L4963" s="1565">
        <v>84400</v>
      </c>
      <c r="M4963" s="1565">
        <v>-84400</v>
      </c>
      <c r="N4963" s="1564"/>
      <c r="O4963" s="1564"/>
      <c r="P4963" s="1565">
        <v>84400</v>
      </c>
      <c r="Q4963" s="1565">
        <v>-84400</v>
      </c>
      <c r="R4963" s="1564"/>
      <c r="S4963" s="1562"/>
    </row>
    <row r="4964" spans="2:19" ht="11.25" customHeight="1" outlineLevel="1">
      <c r="B4964" s="1569" t="s">
        <v>7917</v>
      </c>
      <c r="C4964" s="1566" t="s">
        <v>3598</v>
      </c>
      <c r="D4964" s="1566" t="s">
        <v>7916</v>
      </c>
      <c r="E4964" s="1566"/>
      <c r="F4964" s="1566"/>
      <c r="G4964" s="1566"/>
      <c r="H4964" s="1568">
        <v>1</v>
      </c>
      <c r="I4964" s="1566"/>
      <c r="J4964" s="1566"/>
      <c r="K4964" s="1565">
        <v>75508.47</v>
      </c>
      <c r="L4964" s="1565">
        <v>75508.47</v>
      </c>
      <c r="M4964" s="1565">
        <v>-75508.47</v>
      </c>
      <c r="N4964" s="1564"/>
      <c r="O4964" s="1564"/>
      <c r="P4964" s="1565">
        <v>75508.47</v>
      </c>
      <c r="Q4964" s="1565">
        <v>-75508.47</v>
      </c>
      <c r="R4964" s="1564"/>
      <c r="S4964" s="1562"/>
    </row>
    <row r="4965" spans="2:19" ht="11.25" customHeight="1" outlineLevel="1">
      <c r="B4965" s="1569" t="s">
        <v>7915</v>
      </c>
      <c r="C4965" s="1566" t="s">
        <v>3598</v>
      </c>
      <c r="D4965" s="1566" t="s">
        <v>7914</v>
      </c>
      <c r="E4965" s="1566"/>
      <c r="F4965" s="1566"/>
      <c r="G4965" s="1566"/>
      <c r="H4965" s="1568">
        <v>1</v>
      </c>
      <c r="I4965" s="1566"/>
      <c r="J4965" s="1566"/>
      <c r="K4965" s="1565">
        <v>44533.9</v>
      </c>
      <c r="L4965" s="1565">
        <v>44533.9</v>
      </c>
      <c r="M4965" s="1565">
        <v>-44533.9</v>
      </c>
      <c r="N4965" s="1564"/>
      <c r="O4965" s="1564"/>
      <c r="P4965" s="1565">
        <v>44533.9</v>
      </c>
      <c r="Q4965" s="1565">
        <v>-44533.9</v>
      </c>
      <c r="R4965" s="1564"/>
      <c r="S4965" s="1562"/>
    </row>
    <row r="4966" spans="2:19" ht="11.25" customHeight="1" outlineLevel="1">
      <c r="B4966" s="1569" t="s">
        <v>7913</v>
      </c>
      <c r="C4966" s="1566" t="s">
        <v>3598</v>
      </c>
      <c r="D4966" s="1566" t="s">
        <v>7912</v>
      </c>
      <c r="E4966" s="1566"/>
      <c r="F4966" s="1566"/>
      <c r="G4966" s="1566" t="s">
        <v>3596</v>
      </c>
      <c r="H4966" s="1568">
        <v>1</v>
      </c>
      <c r="I4966" s="1566"/>
      <c r="J4966" s="1566"/>
      <c r="K4966" s="1565">
        <v>383293.21</v>
      </c>
      <c r="L4966" s="1565">
        <v>383293.21</v>
      </c>
      <c r="M4966" s="1564"/>
      <c r="N4966" s="1565">
        <v>383293.21</v>
      </c>
      <c r="O4966" s="1565">
        <v>64781.83</v>
      </c>
      <c r="P4966" s="1565">
        <v>286120.5</v>
      </c>
      <c r="Q4966" s="1565">
        <v>32390.880000000001</v>
      </c>
      <c r="R4966" s="1565">
        <v>318511.38</v>
      </c>
      <c r="S4966" s="1562"/>
    </row>
    <row r="4967" spans="2:19" ht="11.25" customHeight="1" outlineLevel="1">
      <c r="B4967" s="1569" t="s">
        <v>7911</v>
      </c>
      <c r="C4967" s="1566" t="s">
        <v>7910</v>
      </c>
      <c r="D4967" s="1566" t="s">
        <v>7909</v>
      </c>
      <c r="E4967" s="1566"/>
      <c r="F4967" s="1566"/>
      <c r="G4967" s="1566"/>
      <c r="H4967" s="1568">
        <v>1</v>
      </c>
      <c r="I4967" s="1566"/>
      <c r="J4967" s="1566"/>
      <c r="K4967" s="1565">
        <v>52542.37</v>
      </c>
      <c r="L4967" s="1565">
        <v>52542.37</v>
      </c>
      <c r="M4967" s="1565">
        <v>-52542.37</v>
      </c>
      <c r="N4967" s="1564"/>
      <c r="O4967" s="1564"/>
      <c r="P4967" s="1565">
        <v>52542.37</v>
      </c>
      <c r="Q4967" s="1565">
        <v>-52542.37</v>
      </c>
      <c r="R4967" s="1564"/>
      <c r="S4967" s="1562"/>
    </row>
    <row r="4968" spans="2:19" ht="11.25" customHeight="1" outlineLevel="1">
      <c r="B4968" s="1569" t="s">
        <v>7908</v>
      </c>
      <c r="C4968" s="1566" t="s">
        <v>3592</v>
      </c>
      <c r="D4968" s="1566" t="s">
        <v>7907</v>
      </c>
      <c r="E4968" s="1566"/>
      <c r="F4968" s="1566"/>
      <c r="G4968" s="1566"/>
      <c r="H4968" s="1568">
        <v>1</v>
      </c>
      <c r="I4968" s="1566"/>
      <c r="J4968" s="1566"/>
      <c r="K4968" s="1565">
        <v>75465.72</v>
      </c>
      <c r="L4968" s="1565">
        <v>75465.72</v>
      </c>
      <c r="M4968" s="1565">
        <v>-75465.72</v>
      </c>
      <c r="N4968" s="1564"/>
      <c r="O4968" s="1564"/>
      <c r="P4968" s="1565">
        <v>75465.72</v>
      </c>
      <c r="Q4968" s="1565">
        <v>-75465.72</v>
      </c>
      <c r="R4968" s="1564"/>
      <c r="S4968" s="1562"/>
    </row>
    <row r="4969" spans="2:19" ht="11.25" customHeight="1" outlineLevel="1">
      <c r="B4969" s="1569" t="s">
        <v>7906</v>
      </c>
      <c r="C4969" s="1566" t="s">
        <v>7905</v>
      </c>
      <c r="D4969" s="1566" t="s">
        <v>7904</v>
      </c>
      <c r="E4969" s="1566"/>
      <c r="F4969" s="1566"/>
      <c r="G4969" s="1566"/>
      <c r="H4969" s="1568">
        <v>2</v>
      </c>
      <c r="I4969" s="1566"/>
      <c r="J4969" s="1566"/>
      <c r="K4969" s="1565">
        <v>65228.39</v>
      </c>
      <c r="L4969" s="1565">
        <v>65228.39</v>
      </c>
      <c r="M4969" s="1565">
        <v>-65228.39</v>
      </c>
      <c r="N4969" s="1564"/>
      <c r="O4969" s="1564"/>
      <c r="P4969" s="1565">
        <v>65228.39</v>
      </c>
      <c r="Q4969" s="1565">
        <v>-65228.39</v>
      </c>
      <c r="R4969" s="1564"/>
      <c r="S4969" s="1562"/>
    </row>
    <row r="4970" spans="2:19" ht="11.25" customHeight="1" outlineLevel="1">
      <c r="B4970" s="1569" t="s">
        <v>7903</v>
      </c>
      <c r="C4970" s="1566" t="s">
        <v>7902</v>
      </c>
      <c r="D4970" s="1566" t="s">
        <v>7901</v>
      </c>
      <c r="E4970" s="1566"/>
      <c r="F4970" s="1566"/>
      <c r="G4970" s="1566"/>
      <c r="H4970" s="1568">
        <v>1</v>
      </c>
      <c r="I4970" s="1566"/>
      <c r="J4970" s="1566"/>
      <c r="K4970" s="1565">
        <v>131567.79999999999</v>
      </c>
      <c r="L4970" s="1565">
        <v>131567.79999999999</v>
      </c>
      <c r="M4970" s="1564"/>
      <c r="N4970" s="1565">
        <v>131567.79999999999</v>
      </c>
      <c r="O4970" s="1565">
        <v>12630.66</v>
      </c>
      <c r="P4970" s="1565">
        <v>106306.54</v>
      </c>
      <c r="Q4970" s="1565">
        <v>12630.6</v>
      </c>
      <c r="R4970" s="1565">
        <v>118937.14</v>
      </c>
      <c r="S4970" s="1562"/>
    </row>
    <row r="4971" spans="2:19" ht="21.75" customHeight="1" outlineLevel="1">
      <c r="B4971" s="1569" t="s">
        <v>7900</v>
      </c>
      <c r="C4971" s="1566" t="s">
        <v>7899</v>
      </c>
      <c r="D4971" s="1566" t="s">
        <v>7898</v>
      </c>
      <c r="E4971" s="1566"/>
      <c r="F4971" s="1566"/>
      <c r="G4971" s="1566"/>
      <c r="H4971" s="1568">
        <v>1</v>
      </c>
      <c r="I4971" s="1566"/>
      <c r="J4971" s="1566"/>
      <c r="K4971" s="1565">
        <v>71615.25</v>
      </c>
      <c r="L4971" s="1565">
        <v>71615.25</v>
      </c>
      <c r="M4971" s="1565">
        <v>-71615.25</v>
      </c>
      <c r="N4971" s="1564"/>
      <c r="O4971" s="1564"/>
      <c r="P4971" s="1565">
        <v>71615.25</v>
      </c>
      <c r="Q4971" s="1565">
        <v>-71615.25</v>
      </c>
      <c r="R4971" s="1564"/>
      <c r="S4971" s="1562"/>
    </row>
    <row r="4972" spans="2:19" ht="21.75" customHeight="1" outlineLevel="1">
      <c r="B4972" s="1569" t="s">
        <v>7897</v>
      </c>
      <c r="C4972" s="1566" t="s">
        <v>3551</v>
      </c>
      <c r="D4972" s="1566" t="s">
        <v>7896</v>
      </c>
      <c r="E4972" s="1566"/>
      <c r="F4972" s="1566"/>
      <c r="G4972" s="1566" t="s">
        <v>7895</v>
      </c>
      <c r="H4972" s="1568">
        <v>1</v>
      </c>
      <c r="I4972" s="1566"/>
      <c r="J4972" s="1566"/>
      <c r="K4972" s="1565">
        <v>3156.8</v>
      </c>
      <c r="L4972" s="1565">
        <v>3156.8</v>
      </c>
      <c r="M4972" s="1564"/>
      <c r="N4972" s="1565">
        <v>3156.8</v>
      </c>
      <c r="O4972" s="1565">
        <v>2188.04</v>
      </c>
      <c r="P4972" s="1572">
        <v>861.12</v>
      </c>
      <c r="Q4972" s="1572">
        <v>107.64</v>
      </c>
      <c r="R4972" s="1572">
        <v>968.76</v>
      </c>
      <c r="S4972" s="1562"/>
    </row>
    <row r="4973" spans="2:19" ht="11.25" customHeight="1" outlineLevel="1">
      <c r="B4973" s="1569" t="s">
        <v>7894</v>
      </c>
      <c r="C4973" s="1566" t="s">
        <v>3551</v>
      </c>
      <c r="D4973" s="1566" t="s">
        <v>7893</v>
      </c>
      <c r="E4973" s="1566"/>
      <c r="F4973" s="1566"/>
      <c r="G4973" s="1566" t="s">
        <v>7892</v>
      </c>
      <c r="H4973" s="1568">
        <v>1</v>
      </c>
      <c r="I4973" s="1566"/>
      <c r="J4973" s="1566"/>
      <c r="K4973" s="1565">
        <v>150304.07999999999</v>
      </c>
      <c r="L4973" s="1565">
        <v>150304.07999999999</v>
      </c>
      <c r="M4973" s="1564"/>
      <c r="N4973" s="1565">
        <v>150304.07999999999</v>
      </c>
      <c r="O4973" s="1565">
        <v>103924.56</v>
      </c>
      <c r="P4973" s="1565">
        <v>41226.239999999998</v>
      </c>
      <c r="Q4973" s="1565">
        <v>5153.28</v>
      </c>
      <c r="R4973" s="1565">
        <v>46379.519999999997</v>
      </c>
      <c r="S4973" s="1562"/>
    </row>
    <row r="4974" spans="2:19" ht="21.75" customHeight="1" outlineLevel="1">
      <c r="B4974" s="1569" t="s">
        <v>7891</v>
      </c>
      <c r="C4974" s="1566" t="s">
        <v>3551</v>
      </c>
      <c r="D4974" s="1566" t="s">
        <v>7890</v>
      </c>
      <c r="E4974" s="1566"/>
      <c r="F4974" s="1566"/>
      <c r="G4974" s="1566" t="s">
        <v>7889</v>
      </c>
      <c r="H4974" s="1568">
        <v>1</v>
      </c>
      <c r="I4974" s="1566"/>
      <c r="J4974" s="1566"/>
      <c r="K4974" s="1565">
        <v>16736.439999999999</v>
      </c>
      <c r="L4974" s="1565">
        <v>16736.439999999999</v>
      </c>
      <c r="M4974" s="1564"/>
      <c r="N4974" s="1565">
        <v>16736.439999999999</v>
      </c>
      <c r="O4974" s="1565">
        <v>11587</v>
      </c>
      <c r="P4974" s="1565">
        <v>4577.28</v>
      </c>
      <c r="Q4974" s="1572">
        <v>572.16</v>
      </c>
      <c r="R4974" s="1565">
        <v>5149.4399999999996</v>
      </c>
      <c r="S4974" s="1562"/>
    </row>
    <row r="4975" spans="2:19" ht="11.25" customHeight="1" outlineLevel="1">
      <c r="B4975" s="1569" t="s">
        <v>7888</v>
      </c>
      <c r="C4975" s="1566" t="s">
        <v>3551</v>
      </c>
      <c r="D4975" s="1566" t="s">
        <v>7887</v>
      </c>
      <c r="E4975" s="1566"/>
      <c r="F4975" s="1566"/>
      <c r="G4975" s="1566" t="s">
        <v>7886</v>
      </c>
      <c r="H4975" s="1568">
        <v>1</v>
      </c>
      <c r="I4975" s="1566"/>
      <c r="J4975" s="1566"/>
      <c r="K4975" s="1565">
        <v>22753.439999999999</v>
      </c>
      <c r="L4975" s="1565">
        <v>22753.439999999999</v>
      </c>
      <c r="M4975" s="1564"/>
      <c r="N4975" s="1565">
        <v>22753.439999999999</v>
      </c>
      <c r="O4975" s="1565">
        <v>15732.36</v>
      </c>
      <c r="P4975" s="1565">
        <v>6240.96</v>
      </c>
      <c r="Q4975" s="1572">
        <v>780.12</v>
      </c>
      <c r="R4975" s="1565">
        <v>7021.08</v>
      </c>
      <c r="S4975" s="1562"/>
    </row>
    <row r="4976" spans="2:19" ht="11.25" customHeight="1" outlineLevel="1">
      <c r="B4976" s="1569" t="s">
        <v>7885</v>
      </c>
      <c r="C4976" s="1566" t="s">
        <v>3551</v>
      </c>
      <c r="D4976" s="1566" t="s">
        <v>7884</v>
      </c>
      <c r="E4976" s="1566"/>
      <c r="F4976" s="1566"/>
      <c r="G4976" s="1566" t="s">
        <v>7883</v>
      </c>
      <c r="H4976" s="1568">
        <v>1</v>
      </c>
      <c r="I4976" s="1566"/>
      <c r="J4976" s="1566"/>
      <c r="K4976" s="1565">
        <v>15714.67</v>
      </c>
      <c r="L4976" s="1565">
        <v>15714.67</v>
      </c>
      <c r="M4976" s="1564"/>
      <c r="N4976" s="1565">
        <v>15714.67</v>
      </c>
      <c r="O4976" s="1565">
        <v>10879.51</v>
      </c>
      <c r="P4976" s="1565">
        <v>4297.92</v>
      </c>
      <c r="Q4976" s="1572">
        <v>537.24</v>
      </c>
      <c r="R4976" s="1565">
        <v>4835.16</v>
      </c>
      <c r="S4976" s="1562"/>
    </row>
    <row r="4977" spans="2:19" ht="11.25" customHeight="1" outlineLevel="1">
      <c r="B4977" s="1569" t="s">
        <v>7882</v>
      </c>
      <c r="C4977" s="1566" t="s">
        <v>3551</v>
      </c>
      <c r="D4977" s="1566" t="s">
        <v>7881</v>
      </c>
      <c r="E4977" s="1566"/>
      <c r="F4977" s="1566"/>
      <c r="G4977" s="1566" t="s">
        <v>7880</v>
      </c>
      <c r="H4977" s="1568">
        <v>1</v>
      </c>
      <c r="I4977" s="1566"/>
      <c r="J4977" s="1566"/>
      <c r="K4977" s="1565">
        <v>5161.3100000000004</v>
      </c>
      <c r="L4977" s="1565">
        <v>5161.3100000000004</v>
      </c>
      <c r="M4977" s="1564"/>
      <c r="N4977" s="1565">
        <v>5161.3100000000004</v>
      </c>
      <c r="O4977" s="1565">
        <v>3573.59</v>
      </c>
      <c r="P4977" s="1565">
        <v>1411.2</v>
      </c>
      <c r="Q4977" s="1572">
        <v>176.52</v>
      </c>
      <c r="R4977" s="1565">
        <v>1587.72</v>
      </c>
      <c r="S4977" s="1562"/>
    </row>
    <row r="4978" spans="2:19" ht="11.25" customHeight="1" outlineLevel="1">
      <c r="B4978" s="1569" t="s">
        <v>7879</v>
      </c>
      <c r="C4978" s="1566" t="s">
        <v>3551</v>
      </c>
      <c r="D4978" s="1566" t="s">
        <v>7878</v>
      </c>
      <c r="E4978" s="1566"/>
      <c r="F4978" s="1566"/>
      <c r="G4978" s="1566" t="s">
        <v>3580</v>
      </c>
      <c r="H4978" s="1568">
        <v>1</v>
      </c>
      <c r="I4978" s="1566"/>
      <c r="J4978" s="1566"/>
      <c r="K4978" s="1565">
        <v>15378.3</v>
      </c>
      <c r="L4978" s="1565">
        <v>15378.3</v>
      </c>
      <c r="M4978" s="1564"/>
      <c r="N4978" s="1565">
        <v>15378.3</v>
      </c>
      <c r="O4978" s="1565">
        <v>10605.78</v>
      </c>
      <c r="P4978" s="1565">
        <v>4242.24</v>
      </c>
      <c r="Q4978" s="1572">
        <v>530.28</v>
      </c>
      <c r="R4978" s="1565">
        <v>4772.5200000000004</v>
      </c>
      <c r="S4978" s="1562"/>
    </row>
    <row r="4979" spans="2:19" ht="21.75" customHeight="1" outlineLevel="1">
      <c r="B4979" s="1569" t="s">
        <v>7877</v>
      </c>
      <c r="C4979" s="1566" t="s">
        <v>3551</v>
      </c>
      <c r="D4979" s="1566" t="s">
        <v>7876</v>
      </c>
      <c r="E4979" s="1566"/>
      <c r="F4979" s="1566"/>
      <c r="G4979" s="1566" t="s">
        <v>3556</v>
      </c>
      <c r="H4979" s="1568">
        <v>1</v>
      </c>
      <c r="I4979" s="1566"/>
      <c r="J4979" s="1566"/>
      <c r="K4979" s="1565">
        <v>67093.789999999994</v>
      </c>
      <c r="L4979" s="1565">
        <v>67093.789999999994</v>
      </c>
      <c r="M4979" s="1564"/>
      <c r="N4979" s="1565">
        <v>67093.789999999994</v>
      </c>
      <c r="O4979" s="1565">
        <v>46507.91</v>
      </c>
      <c r="P4979" s="1565">
        <v>18298.560000000001</v>
      </c>
      <c r="Q4979" s="1565">
        <v>2287.3200000000002</v>
      </c>
      <c r="R4979" s="1565">
        <v>20585.88</v>
      </c>
      <c r="S4979" s="1562"/>
    </row>
    <row r="4980" spans="2:19" ht="11.25" customHeight="1" outlineLevel="1">
      <c r="B4980" s="1569" t="s">
        <v>7875</v>
      </c>
      <c r="C4980" s="1566" t="s">
        <v>3551</v>
      </c>
      <c r="D4980" s="1566" t="s">
        <v>7874</v>
      </c>
      <c r="E4980" s="1566"/>
      <c r="F4980" s="1566"/>
      <c r="G4980" s="1566" t="s">
        <v>3565</v>
      </c>
      <c r="H4980" s="1568">
        <v>1</v>
      </c>
      <c r="I4980" s="1566"/>
      <c r="J4980" s="1566"/>
      <c r="K4980" s="1565">
        <v>45576.160000000003</v>
      </c>
      <c r="L4980" s="1565">
        <v>45576.160000000003</v>
      </c>
      <c r="M4980" s="1564"/>
      <c r="N4980" s="1565">
        <v>45576.160000000003</v>
      </c>
      <c r="O4980" s="1565">
        <v>31671.27</v>
      </c>
      <c r="P4980" s="1565">
        <v>12360</v>
      </c>
      <c r="Q4980" s="1565">
        <v>1544.89</v>
      </c>
      <c r="R4980" s="1565">
        <v>13904.89</v>
      </c>
      <c r="S4980" s="1562"/>
    </row>
    <row r="4981" spans="2:19" ht="21.75" customHeight="1" outlineLevel="1">
      <c r="B4981" s="1569" t="s">
        <v>7873</v>
      </c>
      <c r="C4981" s="1566" t="s">
        <v>3551</v>
      </c>
      <c r="D4981" s="1566" t="s">
        <v>7872</v>
      </c>
      <c r="E4981" s="1566"/>
      <c r="F4981" s="1566"/>
      <c r="G4981" s="1566" t="s">
        <v>7871</v>
      </c>
      <c r="H4981" s="1568">
        <v>1</v>
      </c>
      <c r="I4981" s="1566"/>
      <c r="J4981" s="1566"/>
      <c r="K4981" s="1565">
        <v>300460.88</v>
      </c>
      <c r="L4981" s="1565">
        <v>300460.88</v>
      </c>
      <c r="M4981" s="1564"/>
      <c r="N4981" s="1565">
        <v>300460.88</v>
      </c>
      <c r="O4981" s="1565">
        <v>208011.68</v>
      </c>
      <c r="P4981" s="1565">
        <v>82176.960000000006</v>
      </c>
      <c r="Q4981" s="1565">
        <v>10272.24</v>
      </c>
      <c r="R4981" s="1565">
        <v>92449.2</v>
      </c>
      <c r="S4981" s="1562"/>
    </row>
    <row r="4982" spans="2:19" ht="11.25" customHeight="1" outlineLevel="1">
      <c r="B4982" s="1569" t="s">
        <v>7870</v>
      </c>
      <c r="C4982" s="1566" t="s">
        <v>3551</v>
      </c>
      <c r="D4982" s="1566" t="s">
        <v>7869</v>
      </c>
      <c r="E4982" s="1566"/>
      <c r="F4982" s="1566"/>
      <c r="G4982" s="1566" t="s">
        <v>7868</v>
      </c>
      <c r="H4982" s="1568">
        <v>1</v>
      </c>
      <c r="I4982" s="1566"/>
      <c r="J4982" s="1566"/>
      <c r="K4982" s="1565">
        <v>1288483.73</v>
      </c>
      <c r="L4982" s="1565">
        <v>1288483.73</v>
      </c>
      <c r="M4982" s="1564"/>
      <c r="N4982" s="1565">
        <v>1288483.73</v>
      </c>
      <c r="O4982" s="1565">
        <v>892027.49</v>
      </c>
      <c r="P4982" s="1565">
        <v>352405.44</v>
      </c>
      <c r="Q4982" s="1565">
        <v>44050.8</v>
      </c>
      <c r="R4982" s="1565">
        <v>396456.24</v>
      </c>
      <c r="S4982" s="1562"/>
    </row>
    <row r="4983" spans="2:19" ht="21.75" customHeight="1" outlineLevel="1">
      <c r="B4983" s="1569" t="s">
        <v>7867</v>
      </c>
      <c r="C4983" s="1566" t="s">
        <v>3551</v>
      </c>
      <c r="D4983" s="1566" t="s">
        <v>7866</v>
      </c>
      <c r="E4983" s="1566"/>
      <c r="F4983" s="1566"/>
      <c r="G4983" s="1566" t="s">
        <v>7865</v>
      </c>
      <c r="H4983" s="1568">
        <v>1</v>
      </c>
      <c r="I4983" s="1566"/>
      <c r="J4983" s="1566"/>
      <c r="K4983" s="1565">
        <v>894027.3</v>
      </c>
      <c r="L4983" s="1565">
        <v>894027.3</v>
      </c>
      <c r="M4983" s="1564"/>
      <c r="N4983" s="1565">
        <v>894027.3</v>
      </c>
      <c r="O4983" s="1565">
        <v>615770.69999999995</v>
      </c>
      <c r="P4983" s="1565">
        <v>247339.2</v>
      </c>
      <c r="Q4983" s="1565">
        <v>30917.4</v>
      </c>
      <c r="R4983" s="1565">
        <v>278256.59999999998</v>
      </c>
      <c r="S4983" s="1562"/>
    </row>
    <row r="4984" spans="2:19" ht="21.75" customHeight="1" outlineLevel="1">
      <c r="B4984" s="1569" t="s">
        <v>7864</v>
      </c>
      <c r="C4984" s="1566" t="s">
        <v>3551</v>
      </c>
      <c r="D4984" s="1566" t="s">
        <v>7863</v>
      </c>
      <c r="E4984" s="1566"/>
      <c r="F4984" s="1566"/>
      <c r="G4984" s="1566" t="s">
        <v>7862</v>
      </c>
      <c r="H4984" s="1568">
        <v>1</v>
      </c>
      <c r="I4984" s="1566"/>
      <c r="J4984" s="1566"/>
      <c r="K4984" s="1565">
        <v>179575.72</v>
      </c>
      <c r="L4984" s="1565">
        <v>179575.72</v>
      </c>
      <c r="M4984" s="1564"/>
      <c r="N4984" s="1565">
        <v>179575.72</v>
      </c>
      <c r="O4984" s="1565">
        <v>124635.04</v>
      </c>
      <c r="P4984" s="1565">
        <v>48836.160000000003</v>
      </c>
      <c r="Q4984" s="1565">
        <v>6104.52</v>
      </c>
      <c r="R4984" s="1565">
        <v>54940.68</v>
      </c>
      <c r="S4984" s="1562"/>
    </row>
    <row r="4985" spans="2:19" ht="21.75" customHeight="1" outlineLevel="1">
      <c r="B4985" s="1569" t="s">
        <v>7861</v>
      </c>
      <c r="C4985" s="1566" t="s">
        <v>7860</v>
      </c>
      <c r="D4985" s="1566" t="s">
        <v>7859</v>
      </c>
      <c r="E4985" s="1566"/>
      <c r="F4985" s="1566"/>
      <c r="G4985" s="1566"/>
      <c r="H4985" s="1568">
        <v>1</v>
      </c>
      <c r="I4985" s="1566"/>
      <c r="J4985" s="1566"/>
      <c r="K4985" s="1565">
        <v>147881</v>
      </c>
      <c r="L4985" s="1565">
        <v>147881</v>
      </c>
      <c r="M4985" s="1564"/>
      <c r="N4985" s="1565">
        <v>147881</v>
      </c>
      <c r="O4985" s="1565">
        <v>15887.88</v>
      </c>
      <c r="P4985" s="1565">
        <v>117327.36</v>
      </c>
      <c r="Q4985" s="1565">
        <v>14665.76</v>
      </c>
      <c r="R4985" s="1565">
        <v>131993.12</v>
      </c>
      <c r="S4985" s="1562"/>
    </row>
    <row r="4986" spans="2:19" ht="11.25" customHeight="1" outlineLevel="1">
      <c r="B4986" s="1569" t="s">
        <v>7858</v>
      </c>
      <c r="C4986" s="1566" t="s">
        <v>7857</v>
      </c>
      <c r="D4986" s="1566" t="s">
        <v>7856</v>
      </c>
      <c r="E4986" s="1566"/>
      <c r="F4986" s="1566"/>
      <c r="G4986" s="1566"/>
      <c r="H4986" s="1568">
        <v>1</v>
      </c>
      <c r="I4986" s="1566"/>
      <c r="J4986" s="1566"/>
      <c r="K4986" s="1565">
        <v>84665</v>
      </c>
      <c r="L4986" s="1565">
        <v>84665</v>
      </c>
      <c r="M4986" s="1565">
        <v>-84665</v>
      </c>
      <c r="N4986" s="1564"/>
      <c r="O4986" s="1564"/>
      <c r="P4986" s="1565">
        <v>84665</v>
      </c>
      <c r="Q4986" s="1565">
        <v>-84665</v>
      </c>
      <c r="R4986" s="1564"/>
      <c r="S4986" s="1562"/>
    </row>
    <row r="4987" spans="2:19" ht="21.75" customHeight="1" outlineLevel="1">
      <c r="B4987" s="1569" t="s">
        <v>7855</v>
      </c>
      <c r="C4987" s="1566" t="s">
        <v>7850</v>
      </c>
      <c r="D4987" s="1566" t="s">
        <v>7854</v>
      </c>
      <c r="E4987" s="1566"/>
      <c r="F4987" s="1566"/>
      <c r="G4987" s="1566"/>
      <c r="H4987" s="1568">
        <v>1</v>
      </c>
      <c r="I4987" s="1566"/>
      <c r="J4987" s="1566"/>
      <c r="K4987" s="1565">
        <v>81600</v>
      </c>
      <c r="L4987" s="1565">
        <v>81600</v>
      </c>
      <c r="M4987" s="1565">
        <v>-81600</v>
      </c>
      <c r="N4987" s="1564"/>
      <c r="O4987" s="1564"/>
      <c r="P4987" s="1565">
        <v>81600</v>
      </c>
      <c r="Q4987" s="1565">
        <v>-81600</v>
      </c>
      <c r="R4987" s="1564"/>
      <c r="S4987" s="1562"/>
    </row>
    <row r="4988" spans="2:19" ht="21.75" customHeight="1" outlineLevel="1">
      <c r="B4988" s="1569" t="s">
        <v>7853</v>
      </c>
      <c r="C4988" s="1566" t="s">
        <v>7850</v>
      </c>
      <c r="D4988" s="1566" t="s">
        <v>7852</v>
      </c>
      <c r="E4988" s="1566"/>
      <c r="F4988" s="1566"/>
      <c r="G4988" s="1566"/>
      <c r="H4988" s="1568">
        <v>1</v>
      </c>
      <c r="I4988" s="1566"/>
      <c r="J4988" s="1566"/>
      <c r="K4988" s="1565">
        <v>81600</v>
      </c>
      <c r="L4988" s="1565">
        <v>81600</v>
      </c>
      <c r="M4988" s="1565">
        <v>-81600</v>
      </c>
      <c r="N4988" s="1564"/>
      <c r="O4988" s="1564"/>
      <c r="P4988" s="1565">
        <v>81600</v>
      </c>
      <c r="Q4988" s="1565">
        <v>-81600</v>
      </c>
      <c r="R4988" s="1564"/>
      <c r="S4988" s="1562"/>
    </row>
    <row r="4989" spans="2:19" ht="21.75" customHeight="1" outlineLevel="1">
      <c r="B4989" s="1569" t="s">
        <v>7851</v>
      </c>
      <c r="C4989" s="1566" t="s">
        <v>7850</v>
      </c>
      <c r="D4989" s="1566" t="s">
        <v>7849</v>
      </c>
      <c r="E4989" s="1566"/>
      <c r="F4989" s="1566"/>
      <c r="G4989" s="1566"/>
      <c r="H4989" s="1568">
        <v>1</v>
      </c>
      <c r="I4989" s="1566"/>
      <c r="J4989" s="1566"/>
      <c r="K4989" s="1565">
        <v>90360</v>
      </c>
      <c r="L4989" s="1565">
        <v>90360</v>
      </c>
      <c r="M4989" s="1565">
        <v>-90360</v>
      </c>
      <c r="N4989" s="1564"/>
      <c r="O4989" s="1564"/>
      <c r="P4989" s="1565">
        <v>90360</v>
      </c>
      <c r="Q4989" s="1565">
        <v>-90360</v>
      </c>
      <c r="R4989" s="1564"/>
      <c r="S4989" s="1562"/>
    </row>
    <row r="4990" spans="2:19" ht="11.25" customHeight="1" outlineLevel="1">
      <c r="B4990" s="1569" t="s">
        <v>7848</v>
      </c>
      <c r="C4990" s="1566" t="s">
        <v>7847</v>
      </c>
      <c r="D4990" s="1566" t="s">
        <v>7846</v>
      </c>
      <c r="E4990" s="1566"/>
      <c r="F4990" s="1566"/>
      <c r="G4990" s="1566" t="s">
        <v>7845</v>
      </c>
      <c r="H4990" s="1568">
        <v>1</v>
      </c>
      <c r="I4990" s="1566"/>
      <c r="J4990" s="1566"/>
      <c r="K4990" s="1565">
        <v>6812.56</v>
      </c>
      <c r="L4990" s="1565">
        <v>6812.56</v>
      </c>
      <c r="M4990" s="1564"/>
      <c r="N4990" s="1565">
        <v>6812.56</v>
      </c>
      <c r="O4990" s="1565">
        <v>4931.9399999999996</v>
      </c>
      <c r="P4990" s="1565">
        <v>1650.34</v>
      </c>
      <c r="Q4990" s="1572">
        <v>230.28</v>
      </c>
      <c r="R4990" s="1565">
        <v>1880.62</v>
      </c>
      <c r="S4990" s="1562"/>
    </row>
    <row r="4991" spans="2:19" ht="11.25" customHeight="1" outlineLevel="1">
      <c r="B4991" s="1569" t="s">
        <v>7844</v>
      </c>
      <c r="C4991" s="1566" t="s">
        <v>7843</v>
      </c>
      <c r="D4991" s="1566" t="s">
        <v>7842</v>
      </c>
      <c r="E4991" s="1566" t="s">
        <v>2219</v>
      </c>
      <c r="F4991" s="1566" t="s">
        <v>7841</v>
      </c>
      <c r="G4991" s="1566" t="s">
        <v>7840</v>
      </c>
      <c r="H4991" s="1568">
        <v>1</v>
      </c>
      <c r="I4991" s="1566"/>
      <c r="J4991" s="1566"/>
      <c r="K4991" s="1565">
        <v>3411439.49</v>
      </c>
      <c r="L4991" s="1565">
        <v>3706429.72</v>
      </c>
      <c r="M4991" s="1564"/>
      <c r="N4991" s="1565">
        <v>3706429.72</v>
      </c>
      <c r="O4991" s="1565">
        <v>736647.25</v>
      </c>
      <c r="P4991" s="1565">
        <v>2601458.79</v>
      </c>
      <c r="Q4991" s="1565">
        <v>368323.68</v>
      </c>
      <c r="R4991" s="1565">
        <v>2969782.47</v>
      </c>
      <c r="S4991" s="1562"/>
    </row>
    <row r="4992" spans="2:19" ht="11.25" customHeight="1" outlineLevel="1">
      <c r="B4992" s="1569" t="s">
        <v>7839</v>
      </c>
      <c r="C4992" s="1566" t="s">
        <v>7838</v>
      </c>
      <c r="D4992" s="1566" t="s">
        <v>7837</v>
      </c>
      <c r="E4992" s="1566"/>
      <c r="F4992" s="1566"/>
      <c r="G4992" s="1566"/>
      <c r="H4992" s="1568">
        <v>1</v>
      </c>
      <c r="I4992" s="1566"/>
      <c r="J4992" s="1566"/>
      <c r="K4992" s="1565">
        <v>2273355.64</v>
      </c>
      <c r="L4992" s="1565">
        <v>2273355.64</v>
      </c>
      <c r="M4992" s="1564"/>
      <c r="N4992" s="1565">
        <v>2273355.64</v>
      </c>
      <c r="O4992" s="1565">
        <v>1668807.04</v>
      </c>
      <c r="P4992" s="1565">
        <v>528979.92000000004</v>
      </c>
      <c r="Q4992" s="1565">
        <v>75568.679999999993</v>
      </c>
      <c r="R4992" s="1565">
        <v>604548.6</v>
      </c>
      <c r="S4992" s="1562"/>
    </row>
    <row r="4993" spans="2:19" ht="11.25" customHeight="1" outlineLevel="1">
      <c r="B4993" s="1569" t="s">
        <v>7836</v>
      </c>
      <c r="C4993" s="1566" t="s">
        <v>7835</v>
      </c>
      <c r="D4993" s="1566" t="s">
        <v>7834</v>
      </c>
      <c r="E4993" s="1566" t="s">
        <v>2208</v>
      </c>
      <c r="F4993" s="1566"/>
      <c r="G4993" s="1566"/>
      <c r="H4993" s="1568">
        <v>1</v>
      </c>
      <c r="I4993" s="1566"/>
      <c r="J4993" s="1566"/>
      <c r="K4993" s="1565">
        <v>3812350.11</v>
      </c>
      <c r="L4993" s="1565">
        <v>5024329.78</v>
      </c>
      <c r="M4993" s="1564"/>
      <c r="N4993" s="1565">
        <v>5024329.78</v>
      </c>
      <c r="O4993" s="1565">
        <v>3724971.11</v>
      </c>
      <c r="P4993" s="1565">
        <v>1131314.8700000001</v>
      </c>
      <c r="Q4993" s="1565">
        <v>168043.8</v>
      </c>
      <c r="R4993" s="1565">
        <v>1299358.67</v>
      </c>
      <c r="S4993" s="1562"/>
    </row>
    <row r="4994" spans="2:19" ht="11.25" customHeight="1" outlineLevel="1">
      <c r="B4994" s="1569" t="s">
        <v>7833</v>
      </c>
      <c r="C4994" s="1566" t="s">
        <v>3512</v>
      </c>
      <c r="D4994" s="1566" t="s">
        <v>7832</v>
      </c>
      <c r="E4994" s="1566" t="s">
        <v>2219</v>
      </c>
      <c r="F4994" s="1566" t="s">
        <v>3530</v>
      </c>
      <c r="G4994" s="1566" t="s">
        <v>7831</v>
      </c>
      <c r="H4994" s="1568">
        <v>1</v>
      </c>
      <c r="I4994" s="1571">
        <v>2618</v>
      </c>
      <c r="J4994" s="1566"/>
      <c r="K4994" s="1565">
        <v>2472848.66</v>
      </c>
      <c r="L4994" s="1565">
        <v>2472848.66</v>
      </c>
      <c r="M4994" s="1564"/>
      <c r="N4994" s="1565">
        <v>2472848.66</v>
      </c>
      <c r="O4994" s="1565">
        <v>1825032.05</v>
      </c>
      <c r="P4994" s="1565">
        <v>564227.37</v>
      </c>
      <c r="Q4994" s="1565">
        <v>83589.240000000005</v>
      </c>
      <c r="R4994" s="1565">
        <v>647816.61</v>
      </c>
      <c r="S4994" s="1562"/>
    </row>
    <row r="4995" spans="2:19" ht="21.75" customHeight="1" outlineLevel="1">
      <c r="B4995" s="1569" t="s">
        <v>7830</v>
      </c>
      <c r="C4995" s="1566" t="s">
        <v>3512</v>
      </c>
      <c r="D4995" s="1566" t="s">
        <v>7829</v>
      </c>
      <c r="E4995" s="1566" t="s">
        <v>2219</v>
      </c>
      <c r="F4995" s="1566" t="s">
        <v>3530</v>
      </c>
      <c r="G4995" s="1566" t="s">
        <v>7828</v>
      </c>
      <c r="H4995" s="1568">
        <v>1</v>
      </c>
      <c r="I4995" s="1570">
        <v>11</v>
      </c>
      <c r="J4995" s="1566"/>
      <c r="K4995" s="1565">
        <v>8816.24</v>
      </c>
      <c r="L4995" s="1565">
        <v>8816.24</v>
      </c>
      <c r="M4995" s="1564"/>
      <c r="N4995" s="1565">
        <v>8816.24</v>
      </c>
      <c r="O4995" s="1565">
        <v>6493.22</v>
      </c>
      <c r="P4995" s="1565">
        <v>2023.38</v>
      </c>
      <c r="Q4995" s="1572">
        <v>299.64</v>
      </c>
      <c r="R4995" s="1565">
        <v>2323.02</v>
      </c>
      <c r="S4995" s="1562"/>
    </row>
    <row r="4996" spans="2:19" ht="11.25" customHeight="1" outlineLevel="1">
      <c r="B4996" s="1569" t="s">
        <v>7827</v>
      </c>
      <c r="C4996" s="1566" t="s">
        <v>3512</v>
      </c>
      <c r="D4996" s="1566" t="s">
        <v>7826</v>
      </c>
      <c r="E4996" s="1566" t="s">
        <v>2219</v>
      </c>
      <c r="F4996" s="1566" t="s">
        <v>3530</v>
      </c>
      <c r="G4996" s="1566" t="s">
        <v>7825</v>
      </c>
      <c r="H4996" s="1568">
        <v>1</v>
      </c>
      <c r="I4996" s="1571">
        <v>240</v>
      </c>
      <c r="J4996" s="1566"/>
      <c r="K4996" s="1565">
        <v>140220.76999999999</v>
      </c>
      <c r="L4996" s="1565">
        <v>140220.76999999999</v>
      </c>
      <c r="M4996" s="1564"/>
      <c r="N4996" s="1565">
        <v>140220.76999999999</v>
      </c>
      <c r="O4996" s="1565">
        <v>103486.7</v>
      </c>
      <c r="P4996" s="1565">
        <v>31994.19</v>
      </c>
      <c r="Q4996" s="1565">
        <v>4739.88</v>
      </c>
      <c r="R4996" s="1565">
        <v>36734.07</v>
      </c>
      <c r="S4996" s="1562"/>
    </row>
    <row r="4997" spans="2:19" ht="11.25" customHeight="1" outlineLevel="1">
      <c r="B4997" s="1569" t="s">
        <v>7824</v>
      </c>
      <c r="C4997" s="1566" t="s">
        <v>3512</v>
      </c>
      <c r="D4997" s="1566" t="s">
        <v>7823</v>
      </c>
      <c r="E4997" s="1566" t="s">
        <v>2219</v>
      </c>
      <c r="F4997" s="1566" t="s">
        <v>3530</v>
      </c>
      <c r="G4997" s="1566" t="s">
        <v>3510</v>
      </c>
      <c r="H4997" s="1568">
        <v>1</v>
      </c>
      <c r="I4997" s="1571">
        <v>97</v>
      </c>
      <c r="J4997" s="1566"/>
      <c r="K4997" s="1565">
        <v>47114.42</v>
      </c>
      <c r="L4997" s="1565">
        <v>47114.42</v>
      </c>
      <c r="M4997" s="1564"/>
      <c r="N4997" s="1565">
        <v>47114.42</v>
      </c>
      <c r="O4997" s="1565">
        <v>34771.46</v>
      </c>
      <c r="P4997" s="1565">
        <v>10750.32</v>
      </c>
      <c r="Q4997" s="1565">
        <v>1592.64</v>
      </c>
      <c r="R4997" s="1565">
        <v>12342.96</v>
      </c>
      <c r="S4997" s="1562"/>
    </row>
    <row r="4998" spans="2:19" ht="11.25" customHeight="1" outlineLevel="1">
      <c r="B4998" s="1569" t="s">
        <v>7822</v>
      </c>
      <c r="C4998" s="1566" t="s">
        <v>3512</v>
      </c>
      <c r="D4998" s="1566" t="s">
        <v>7821</v>
      </c>
      <c r="E4998" s="1566" t="s">
        <v>2219</v>
      </c>
      <c r="F4998" s="1566" t="s">
        <v>3530</v>
      </c>
      <c r="G4998" s="1566" t="s">
        <v>7820</v>
      </c>
      <c r="H4998" s="1568">
        <v>1</v>
      </c>
      <c r="I4998" s="1571">
        <v>10</v>
      </c>
      <c r="J4998" s="1566"/>
      <c r="K4998" s="1565">
        <v>2892.8</v>
      </c>
      <c r="L4998" s="1565">
        <v>2892.8</v>
      </c>
      <c r="M4998" s="1564"/>
      <c r="N4998" s="1565">
        <v>2892.8</v>
      </c>
      <c r="O4998" s="1565">
        <v>2139.5</v>
      </c>
      <c r="P4998" s="1572">
        <v>656.1</v>
      </c>
      <c r="Q4998" s="1572">
        <v>97.2</v>
      </c>
      <c r="R4998" s="1572">
        <v>753.3</v>
      </c>
      <c r="S4998" s="1562"/>
    </row>
    <row r="4999" spans="2:19" ht="11.25" customHeight="1" outlineLevel="1">
      <c r="B4999" s="1569" t="s">
        <v>7819</v>
      </c>
      <c r="C4999" s="1566" t="s">
        <v>3512</v>
      </c>
      <c r="D4999" s="1566" t="s">
        <v>7818</v>
      </c>
      <c r="E4999" s="1566"/>
      <c r="F4999" s="1566" t="s">
        <v>3530</v>
      </c>
      <c r="G4999" s="1566" t="s">
        <v>7817</v>
      </c>
      <c r="H4999" s="1568">
        <v>1</v>
      </c>
      <c r="I4999" s="1571">
        <v>110</v>
      </c>
      <c r="J4999" s="1566"/>
      <c r="K4999" s="1565">
        <v>23461.74</v>
      </c>
      <c r="L4999" s="1565">
        <v>23461.74</v>
      </c>
      <c r="M4999" s="1564"/>
      <c r="N4999" s="1565">
        <v>23461.74</v>
      </c>
      <c r="O4999" s="1565">
        <v>17417.669999999998</v>
      </c>
      <c r="P4999" s="1565">
        <v>5264.19</v>
      </c>
      <c r="Q4999" s="1572">
        <v>779.88</v>
      </c>
      <c r="R4999" s="1565">
        <v>6044.07</v>
      </c>
      <c r="S4999" s="1562"/>
    </row>
    <row r="5000" spans="2:19" ht="11.25" customHeight="1" outlineLevel="1">
      <c r="B5000" s="1569" t="s">
        <v>7816</v>
      </c>
      <c r="C5000" s="1566" t="s">
        <v>3512</v>
      </c>
      <c r="D5000" s="1566" t="s">
        <v>7815</v>
      </c>
      <c r="E5000" s="1566" t="s">
        <v>2219</v>
      </c>
      <c r="F5000" s="1566" t="s">
        <v>3530</v>
      </c>
      <c r="G5000" s="1566" t="s">
        <v>3536</v>
      </c>
      <c r="H5000" s="1568">
        <v>1</v>
      </c>
      <c r="I5000" s="1571">
        <v>60</v>
      </c>
      <c r="J5000" s="1566"/>
      <c r="K5000" s="1565">
        <v>30057.34</v>
      </c>
      <c r="L5000" s="1565">
        <v>30057.34</v>
      </c>
      <c r="M5000" s="1564"/>
      <c r="N5000" s="1565">
        <v>30057.34</v>
      </c>
      <c r="O5000" s="1565">
        <v>22270.57</v>
      </c>
      <c r="P5000" s="1565">
        <v>6782.13</v>
      </c>
      <c r="Q5000" s="1565">
        <v>1004.64</v>
      </c>
      <c r="R5000" s="1565">
        <v>7786.77</v>
      </c>
      <c r="S5000" s="1562"/>
    </row>
    <row r="5001" spans="2:19" ht="11.25" customHeight="1" outlineLevel="1">
      <c r="B5001" s="1569" t="s">
        <v>7814</v>
      </c>
      <c r="C5001" s="1566" t="s">
        <v>3512</v>
      </c>
      <c r="D5001" s="1566" t="s">
        <v>7813</v>
      </c>
      <c r="E5001" s="1566" t="s">
        <v>2219</v>
      </c>
      <c r="F5001" s="1566" t="s">
        <v>7803</v>
      </c>
      <c r="G5001" s="1566" t="s">
        <v>7812</v>
      </c>
      <c r="H5001" s="1568">
        <v>1</v>
      </c>
      <c r="I5001" s="1571">
        <v>15</v>
      </c>
      <c r="J5001" s="1566"/>
      <c r="K5001" s="1565">
        <v>3265.48</v>
      </c>
      <c r="L5001" s="1565">
        <v>3265.48</v>
      </c>
      <c r="M5001" s="1564"/>
      <c r="N5001" s="1565">
        <v>3265.48</v>
      </c>
      <c r="O5001" s="1565">
        <v>2405.23</v>
      </c>
      <c r="P5001" s="1572">
        <v>749.25</v>
      </c>
      <c r="Q5001" s="1572">
        <v>111</v>
      </c>
      <c r="R5001" s="1572">
        <v>860.25</v>
      </c>
      <c r="S5001" s="1562"/>
    </row>
    <row r="5002" spans="2:19" ht="21.75" customHeight="1" outlineLevel="1">
      <c r="B5002" s="1569" t="s">
        <v>7811</v>
      </c>
      <c r="C5002" s="1566" t="s">
        <v>3512</v>
      </c>
      <c r="D5002" s="1566" t="s">
        <v>7810</v>
      </c>
      <c r="E5002" s="1566" t="s">
        <v>2219</v>
      </c>
      <c r="F5002" s="1566" t="s">
        <v>3530</v>
      </c>
      <c r="G5002" s="1566" t="s">
        <v>7809</v>
      </c>
      <c r="H5002" s="1568">
        <v>1</v>
      </c>
      <c r="I5002" s="1571">
        <v>5</v>
      </c>
      <c r="J5002" s="1566"/>
      <c r="K5002" s="1565">
        <v>19119.46</v>
      </c>
      <c r="L5002" s="1565">
        <v>19119.46</v>
      </c>
      <c r="M5002" s="1564"/>
      <c r="N5002" s="1565">
        <v>19119.46</v>
      </c>
      <c r="O5002" s="1565">
        <v>14082.58</v>
      </c>
      <c r="P5002" s="1565">
        <v>4386.96</v>
      </c>
      <c r="Q5002" s="1572">
        <v>649.91999999999996</v>
      </c>
      <c r="R5002" s="1565">
        <v>5036.88</v>
      </c>
      <c r="S5002" s="1562"/>
    </row>
    <row r="5003" spans="2:19" ht="11.25" customHeight="1" outlineLevel="1">
      <c r="B5003" s="1569" t="s">
        <v>7808</v>
      </c>
      <c r="C5003" s="1566" t="s">
        <v>3512</v>
      </c>
      <c r="D5003" s="1566" t="s">
        <v>7807</v>
      </c>
      <c r="E5003" s="1566" t="s">
        <v>2219</v>
      </c>
      <c r="F5003" s="1566" t="s">
        <v>7803</v>
      </c>
      <c r="G5003" s="1566" t="s">
        <v>7806</v>
      </c>
      <c r="H5003" s="1568">
        <v>1</v>
      </c>
      <c r="I5003" s="1571">
        <v>326</v>
      </c>
      <c r="J5003" s="1566"/>
      <c r="K5003" s="1565">
        <v>3612017.01</v>
      </c>
      <c r="L5003" s="1565">
        <v>3612017.01</v>
      </c>
      <c r="M5003" s="1564"/>
      <c r="N5003" s="1565">
        <v>3612017.01</v>
      </c>
      <c r="O5003" s="1565">
        <v>2681497.14</v>
      </c>
      <c r="P5003" s="1565">
        <v>810452.79</v>
      </c>
      <c r="Q5003" s="1565">
        <v>120067.08</v>
      </c>
      <c r="R5003" s="1565">
        <v>930519.87</v>
      </c>
      <c r="S5003" s="1562"/>
    </row>
    <row r="5004" spans="2:19" ht="11.25" customHeight="1" outlineLevel="1">
      <c r="B5004" s="1569" t="s">
        <v>7805</v>
      </c>
      <c r="C5004" s="1566" t="s">
        <v>3512</v>
      </c>
      <c r="D5004" s="1566" t="s">
        <v>7804</v>
      </c>
      <c r="E5004" s="1566" t="s">
        <v>2219</v>
      </c>
      <c r="F5004" s="1566" t="s">
        <v>7803</v>
      </c>
      <c r="G5004" s="1566" t="s">
        <v>7802</v>
      </c>
      <c r="H5004" s="1568">
        <v>1</v>
      </c>
      <c r="I5004" s="1571">
        <v>8</v>
      </c>
      <c r="J5004" s="1566"/>
      <c r="K5004" s="1565">
        <v>5455.11</v>
      </c>
      <c r="L5004" s="1565">
        <v>5455.11</v>
      </c>
      <c r="M5004" s="1564"/>
      <c r="N5004" s="1565">
        <v>5455.11</v>
      </c>
      <c r="O5004" s="1565">
        <v>4025.7</v>
      </c>
      <c r="P5004" s="1565">
        <v>1244.97</v>
      </c>
      <c r="Q5004" s="1572">
        <v>184.44</v>
      </c>
      <c r="R5004" s="1565">
        <v>1429.41</v>
      </c>
      <c r="S5004" s="1562"/>
    </row>
    <row r="5005" spans="2:19" ht="21.75" customHeight="1" outlineLevel="1">
      <c r="B5005" s="1569" t="s">
        <v>7801</v>
      </c>
      <c r="C5005" s="1566" t="s">
        <v>3512</v>
      </c>
      <c r="D5005" s="1566" t="s">
        <v>7800</v>
      </c>
      <c r="E5005" s="1566" t="s">
        <v>2219</v>
      </c>
      <c r="F5005" s="1566"/>
      <c r="G5005" s="1566" t="s">
        <v>6491</v>
      </c>
      <c r="H5005" s="1568">
        <v>1</v>
      </c>
      <c r="I5005" s="1571">
        <v>2063</v>
      </c>
      <c r="J5005" s="1566"/>
      <c r="K5005" s="1565">
        <v>1379075.66</v>
      </c>
      <c r="L5005" s="1565">
        <v>1379075.66</v>
      </c>
      <c r="M5005" s="1564"/>
      <c r="N5005" s="1565">
        <v>1379075.66</v>
      </c>
      <c r="O5005" s="1565">
        <v>1023801.59</v>
      </c>
      <c r="P5005" s="1565">
        <v>309432.15000000002</v>
      </c>
      <c r="Q5005" s="1565">
        <v>45841.919999999998</v>
      </c>
      <c r="R5005" s="1565">
        <v>355274.07</v>
      </c>
      <c r="S5005" s="1562"/>
    </row>
    <row r="5006" spans="2:19" ht="11.25" customHeight="1" outlineLevel="1">
      <c r="B5006" s="1569" t="s">
        <v>7799</v>
      </c>
      <c r="C5006" s="1566" t="s">
        <v>3512</v>
      </c>
      <c r="D5006" s="1566" t="s">
        <v>7798</v>
      </c>
      <c r="E5006" s="1566" t="s">
        <v>2219</v>
      </c>
      <c r="F5006" s="1566" t="s">
        <v>3530</v>
      </c>
      <c r="G5006" s="1566" t="s">
        <v>7797</v>
      </c>
      <c r="H5006" s="1568">
        <v>1</v>
      </c>
      <c r="I5006" s="1571">
        <v>35</v>
      </c>
      <c r="J5006" s="1566"/>
      <c r="K5006" s="1565">
        <v>21268.46</v>
      </c>
      <c r="L5006" s="1565">
        <v>21268.46</v>
      </c>
      <c r="M5006" s="1564"/>
      <c r="N5006" s="1565">
        <v>21268.46</v>
      </c>
      <c r="O5006" s="1565">
        <v>15696.83</v>
      </c>
      <c r="P5006" s="1565">
        <v>4852.71</v>
      </c>
      <c r="Q5006" s="1572">
        <v>718.92</v>
      </c>
      <c r="R5006" s="1565">
        <v>5571.63</v>
      </c>
      <c r="S5006" s="1562"/>
    </row>
    <row r="5007" spans="2:19" ht="11.25" customHeight="1" outlineLevel="1">
      <c r="B5007" s="1569" t="s">
        <v>7796</v>
      </c>
      <c r="C5007" s="1566" t="s">
        <v>7791</v>
      </c>
      <c r="D5007" s="1566" t="s">
        <v>7795</v>
      </c>
      <c r="E5007" s="1566"/>
      <c r="F5007" s="1566"/>
      <c r="G5007" s="1566"/>
      <c r="H5007" s="1568">
        <v>1</v>
      </c>
      <c r="I5007" s="1566"/>
      <c r="J5007" s="1566"/>
      <c r="K5007" s="1565">
        <v>68497.03</v>
      </c>
      <c r="L5007" s="1565">
        <v>68497.03</v>
      </c>
      <c r="M5007" s="1565">
        <v>-68497.03</v>
      </c>
      <c r="N5007" s="1564"/>
      <c r="O5007" s="1564"/>
      <c r="P5007" s="1565">
        <v>68497.03</v>
      </c>
      <c r="Q5007" s="1565">
        <v>-68497.03</v>
      </c>
      <c r="R5007" s="1564"/>
      <c r="S5007" s="1562"/>
    </row>
    <row r="5008" spans="2:19" ht="11.25" customHeight="1" outlineLevel="1">
      <c r="B5008" s="1569" t="s">
        <v>7794</v>
      </c>
      <c r="C5008" s="1566" t="s">
        <v>7791</v>
      </c>
      <c r="D5008" s="1566" t="s">
        <v>7793</v>
      </c>
      <c r="E5008" s="1566"/>
      <c r="F5008" s="1566"/>
      <c r="G5008" s="1566"/>
      <c r="H5008" s="1568">
        <v>1</v>
      </c>
      <c r="I5008" s="1566"/>
      <c r="J5008" s="1566"/>
      <c r="K5008" s="1565">
        <v>68497.03</v>
      </c>
      <c r="L5008" s="1565">
        <v>68497.03</v>
      </c>
      <c r="M5008" s="1565">
        <v>-68497.03</v>
      </c>
      <c r="N5008" s="1564"/>
      <c r="O5008" s="1564"/>
      <c r="P5008" s="1565">
        <v>68497.03</v>
      </c>
      <c r="Q5008" s="1565">
        <v>-68497.03</v>
      </c>
      <c r="R5008" s="1564"/>
      <c r="S5008" s="1562"/>
    </row>
    <row r="5009" spans="2:19" ht="11.25" customHeight="1" outlineLevel="1">
      <c r="B5009" s="1569" t="s">
        <v>7792</v>
      </c>
      <c r="C5009" s="1566" t="s">
        <v>7791</v>
      </c>
      <c r="D5009" s="1566" t="s">
        <v>7790</v>
      </c>
      <c r="E5009" s="1566"/>
      <c r="F5009" s="1566"/>
      <c r="G5009" s="1566"/>
      <c r="H5009" s="1568">
        <v>1</v>
      </c>
      <c r="I5009" s="1566"/>
      <c r="J5009" s="1566"/>
      <c r="K5009" s="1565">
        <v>68497.03</v>
      </c>
      <c r="L5009" s="1565">
        <v>68497.03</v>
      </c>
      <c r="M5009" s="1565">
        <v>-68497.03</v>
      </c>
      <c r="N5009" s="1564"/>
      <c r="O5009" s="1564"/>
      <c r="P5009" s="1565">
        <v>68497.03</v>
      </c>
      <c r="Q5009" s="1565">
        <v>-68497.03</v>
      </c>
      <c r="R5009" s="1564"/>
      <c r="S5009" s="1562"/>
    </row>
    <row r="5010" spans="2:19" ht="11.25" customHeight="1" outlineLevel="1">
      <c r="B5010" s="1569" t="s">
        <v>7789</v>
      </c>
      <c r="C5010" s="1566" t="s">
        <v>7786</v>
      </c>
      <c r="D5010" s="1566" t="s">
        <v>7788</v>
      </c>
      <c r="E5010" s="1566"/>
      <c r="F5010" s="1566"/>
      <c r="G5010" s="1566"/>
      <c r="H5010" s="1568">
        <v>1</v>
      </c>
      <c r="I5010" s="1566"/>
      <c r="J5010" s="1566"/>
      <c r="K5010" s="1565">
        <v>109826.27</v>
      </c>
      <c r="L5010" s="1565">
        <v>109826.27</v>
      </c>
      <c r="M5010" s="1564"/>
      <c r="N5010" s="1565">
        <v>109826.27</v>
      </c>
      <c r="O5010" s="1565">
        <v>13048.62</v>
      </c>
      <c r="P5010" s="1565">
        <v>83729.03</v>
      </c>
      <c r="Q5010" s="1565">
        <v>13048.62</v>
      </c>
      <c r="R5010" s="1565">
        <v>96777.65</v>
      </c>
      <c r="S5010" s="1562"/>
    </row>
    <row r="5011" spans="2:19" ht="11.25" customHeight="1" outlineLevel="1">
      <c r="B5011" s="1569" t="s">
        <v>7787</v>
      </c>
      <c r="C5011" s="1566" t="s">
        <v>7786</v>
      </c>
      <c r="D5011" s="1566" t="s">
        <v>7785</v>
      </c>
      <c r="E5011" s="1566"/>
      <c r="F5011" s="1566"/>
      <c r="G5011" s="1566"/>
      <c r="H5011" s="1568">
        <v>1</v>
      </c>
      <c r="I5011" s="1566"/>
      <c r="J5011" s="1566"/>
      <c r="K5011" s="1565">
        <v>154793.23000000001</v>
      </c>
      <c r="L5011" s="1565">
        <v>154793.23000000001</v>
      </c>
      <c r="M5011" s="1564"/>
      <c r="N5011" s="1565">
        <v>154793.23000000001</v>
      </c>
      <c r="O5011" s="1565">
        <v>18391.14</v>
      </c>
      <c r="P5011" s="1565">
        <v>118010.97</v>
      </c>
      <c r="Q5011" s="1565">
        <v>18391.12</v>
      </c>
      <c r="R5011" s="1565">
        <v>136402.09</v>
      </c>
      <c r="S5011" s="1562"/>
    </row>
    <row r="5012" spans="2:19" ht="11.25" customHeight="1" outlineLevel="1">
      <c r="B5012" s="1569" t="s">
        <v>7784</v>
      </c>
      <c r="C5012" s="1566" t="s">
        <v>3460</v>
      </c>
      <c r="D5012" s="1566" t="s">
        <v>7783</v>
      </c>
      <c r="E5012" s="1566" t="s">
        <v>2219</v>
      </c>
      <c r="F5012" s="1566" t="s">
        <v>3507</v>
      </c>
      <c r="G5012" s="1566" t="s">
        <v>7782</v>
      </c>
      <c r="H5012" s="1568">
        <v>1</v>
      </c>
      <c r="I5012" s="1566"/>
      <c r="J5012" s="1566"/>
      <c r="K5012" s="1565">
        <v>5645502.4900000002</v>
      </c>
      <c r="L5012" s="1565">
        <v>5645502.4900000002</v>
      </c>
      <c r="M5012" s="1564"/>
      <c r="N5012" s="1565">
        <v>5645502.4900000002</v>
      </c>
      <c r="O5012" s="1565">
        <v>4249985.29</v>
      </c>
      <c r="P5012" s="1565">
        <v>1205219.3999999999</v>
      </c>
      <c r="Q5012" s="1565">
        <v>190297.8</v>
      </c>
      <c r="R5012" s="1565">
        <v>1395517.2</v>
      </c>
      <c r="S5012" s="1562"/>
    </row>
    <row r="5013" spans="2:19" ht="11.25" customHeight="1" outlineLevel="1">
      <c r="B5013" s="1569" t="s">
        <v>7781</v>
      </c>
      <c r="C5013" s="1566" t="s">
        <v>3460</v>
      </c>
      <c r="D5013" s="1566" t="s">
        <v>7780</v>
      </c>
      <c r="E5013" s="1566" t="s">
        <v>2219</v>
      </c>
      <c r="F5013" s="1566"/>
      <c r="G5013" s="1566" t="s">
        <v>7779</v>
      </c>
      <c r="H5013" s="1568">
        <v>1</v>
      </c>
      <c r="I5013" s="1566"/>
      <c r="J5013" s="1566"/>
      <c r="K5013" s="1565">
        <v>91494.2</v>
      </c>
      <c r="L5013" s="1565">
        <v>91494.2</v>
      </c>
      <c r="M5013" s="1564"/>
      <c r="N5013" s="1565">
        <v>91494.2</v>
      </c>
      <c r="O5013" s="1565">
        <v>64655.96</v>
      </c>
      <c r="P5013" s="1565">
        <v>23178.48</v>
      </c>
      <c r="Q5013" s="1565">
        <v>3659.76</v>
      </c>
      <c r="R5013" s="1565">
        <v>26838.240000000002</v>
      </c>
      <c r="S5013" s="1562"/>
    </row>
    <row r="5014" spans="2:19" ht="11.25" customHeight="1" outlineLevel="1">
      <c r="B5014" s="1569" t="s">
        <v>7778</v>
      </c>
      <c r="C5014" s="1566" t="s">
        <v>3460</v>
      </c>
      <c r="D5014" s="1566" t="s">
        <v>7777</v>
      </c>
      <c r="E5014" s="1566" t="s">
        <v>2219</v>
      </c>
      <c r="F5014" s="1566" t="s">
        <v>3507</v>
      </c>
      <c r="G5014" s="1566" t="s">
        <v>7776</v>
      </c>
      <c r="H5014" s="1568">
        <v>1</v>
      </c>
      <c r="I5014" s="1566"/>
      <c r="J5014" s="1566"/>
      <c r="K5014" s="1565">
        <v>6927.52</v>
      </c>
      <c r="L5014" s="1565">
        <v>6927.52</v>
      </c>
      <c r="M5014" s="1564"/>
      <c r="N5014" s="1565">
        <v>6927.52</v>
      </c>
      <c r="O5014" s="1565">
        <v>5170.93</v>
      </c>
      <c r="P5014" s="1565">
        <v>1516.96</v>
      </c>
      <c r="Q5014" s="1572">
        <v>239.63</v>
      </c>
      <c r="R5014" s="1565">
        <v>1756.59</v>
      </c>
      <c r="S5014" s="1562"/>
    </row>
    <row r="5015" spans="2:19" ht="11.25" customHeight="1" outlineLevel="1">
      <c r="B5015" s="1569" t="s">
        <v>7775</v>
      </c>
      <c r="C5015" s="1566" t="s">
        <v>3460</v>
      </c>
      <c r="D5015" s="1566" t="s">
        <v>7774</v>
      </c>
      <c r="E5015" s="1566" t="s">
        <v>2219</v>
      </c>
      <c r="F5015" s="1566" t="s">
        <v>3507</v>
      </c>
      <c r="G5015" s="1566" t="s">
        <v>7773</v>
      </c>
      <c r="H5015" s="1568">
        <v>1</v>
      </c>
      <c r="I5015" s="1566"/>
      <c r="J5015" s="1566"/>
      <c r="K5015" s="1565">
        <v>6622.97</v>
      </c>
      <c r="L5015" s="1565">
        <v>6622.97</v>
      </c>
      <c r="M5015" s="1564"/>
      <c r="N5015" s="1565">
        <v>6622.97</v>
      </c>
      <c r="O5015" s="1565">
        <v>4872.6499999999996</v>
      </c>
      <c r="P5015" s="1565">
        <v>1511.64</v>
      </c>
      <c r="Q5015" s="1572">
        <v>238.68</v>
      </c>
      <c r="R5015" s="1565">
        <v>1750.32</v>
      </c>
      <c r="S5015" s="1562"/>
    </row>
    <row r="5016" spans="2:19" ht="21.75" customHeight="1" outlineLevel="1">
      <c r="B5016" s="1569" t="s">
        <v>7772</v>
      </c>
      <c r="C5016" s="1566" t="s">
        <v>3460</v>
      </c>
      <c r="D5016" s="1566" t="s">
        <v>7771</v>
      </c>
      <c r="E5016" s="1566" t="s">
        <v>2219</v>
      </c>
      <c r="F5016" s="1566" t="s">
        <v>3507</v>
      </c>
      <c r="G5016" s="1566" t="s">
        <v>7770</v>
      </c>
      <c r="H5016" s="1568">
        <v>1</v>
      </c>
      <c r="I5016" s="1566"/>
      <c r="J5016" s="1566"/>
      <c r="K5016" s="1565">
        <v>87761.5</v>
      </c>
      <c r="L5016" s="1565">
        <v>87761.5</v>
      </c>
      <c r="M5016" s="1564"/>
      <c r="N5016" s="1565">
        <v>87761.5</v>
      </c>
      <c r="O5016" s="1565">
        <v>65695.5</v>
      </c>
      <c r="P5016" s="1565">
        <v>19057</v>
      </c>
      <c r="Q5016" s="1565">
        <v>3009</v>
      </c>
      <c r="R5016" s="1565">
        <v>22066</v>
      </c>
      <c r="S5016" s="1562"/>
    </row>
    <row r="5017" spans="2:19" ht="11.25" customHeight="1" outlineLevel="1">
      <c r="B5017" s="1569" t="s">
        <v>7769</v>
      </c>
      <c r="C5017" s="1566" t="s">
        <v>3460</v>
      </c>
      <c r="D5017" s="1566" t="s">
        <v>7768</v>
      </c>
      <c r="E5017" s="1566" t="s">
        <v>2219</v>
      </c>
      <c r="F5017" s="1566"/>
      <c r="G5017" s="1566" t="s">
        <v>7767</v>
      </c>
      <c r="H5017" s="1568">
        <v>1</v>
      </c>
      <c r="I5017" s="1566"/>
      <c r="J5017" s="1566"/>
      <c r="K5017" s="1565">
        <v>26574.44</v>
      </c>
      <c r="L5017" s="1565">
        <v>26574.44</v>
      </c>
      <c r="M5017" s="1564"/>
      <c r="N5017" s="1565">
        <v>26574.44</v>
      </c>
      <c r="O5017" s="1565">
        <v>19573.04</v>
      </c>
      <c r="P5017" s="1565">
        <v>6046.56</v>
      </c>
      <c r="Q5017" s="1572">
        <v>954.84</v>
      </c>
      <c r="R5017" s="1565">
        <v>7001.4</v>
      </c>
      <c r="S5017" s="1562"/>
    </row>
    <row r="5018" spans="2:19" ht="11.25" customHeight="1" outlineLevel="1">
      <c r="B5018" s="1569" t="s">
        <v>7766</v>
      </c>
      <c r="C5018" s="1566" t="s">
        <v>3460</v>
      </c>
      <c r="D5018" s="1566" t="s">
        <v>7765</v>
      </c>
      <c r="E5018" s="1566" t="s">
        <v>2219</v>
      </c>
      <c r="F5018" s="1566" t="s">
        <v>3507</v>
      </c>
      <c r="G5018" s="1566" t="s">
        <v>7764</v>
      </c>
      <c r="H5018" s="1568">
        <v>1</v>
      </c>
      <c r="I5018" s="1566"/>
      <c r="J5018" s="1566"/>
      <c r="K5018" s="1565">
        <v>5534.12</v>
      </c>
      <c r="L5018" s="1565">
        <v>5534.12</v>
      </c>
      <c r="M5018" s="1564"/>
      <c r="N5018" s="1565">
        <v>5534.12</v>
      </c>
      <c r="O5018" s="1565">
        <v>4062.76</v>
      </c>
      <c r="P5018" s="1565">
        <v>1270.72</v>
      </c>
      <c r="Q5018" s="1572">
        <v>200.64</v>
      </c>
      <c r="R5018" s="1565">
        <v>1471.36</v>
      </c>
      <c r="S5018" s="1562"/>
    </row>
    <row r="5019" spans="2:19" ht="11.25" customHeight="1" outlineLevel="1">
      <c r="B5019" s="1569" t="s">
        <v>7763</v>
      </c>
      <c r="C5019" s="1566" t="s">
        <v>3460</v>
      </c>
      <c r="D5019" s="1566" t="s">
        <v>7762</v>
      </c>
      <c r="E5019" s="1566"/>
      <c r="F5019" s="1566"/>
      <c r="G5019" s="1566" t="s">
        <v>7761</v>
      </c>
      <c r="H5019" s="1568">
        <v>1</v>
      </c>
      <c r="I5019" s="1571">
        <v>97</v>
      </c>
      <c r="J5019" s="1566"/>
      <c r="K5019" s="1565">
        <v>52174.02</v>
      </c>
      <c r="L5019" s="1565">
        <v>52174.02</v>
      </c>
      <c r="M5019" s="1564"/>
      <c r="N5019" s="1565">
        <v>52174.02</v>
      </c>
      <c r="O5019" s="1565">
        <v>38218.980000000003</v>
      </c>
      <c r="P5019" s="1565">
        <v>12052.08</v>
      </c>
      <c r="Q5019" s="1565">
        <v>1902.96</v>
      </c>
      <c r="R5019" s="1565">
        <v>13955.04</v>
      </c>
      <c r="S5019" s="1562"/>
    </row>
    <row r="5020" spans="2:19" ht="11.25" customHeight="1" outlineLevel="1">
      <c r="B5020" s="1569" t="s">
        <v>7760</v>
      </c>
      <c r="C5020" s="1566" t="s">
        <v>3460</v>
      </c>
      <c r="D5020" s="1566" t="s">
        <v>7759</v>
      </c>
      <c r="E5020" s="1566" t="s">
        <v>2219</v>
      </c>
      <c r="F5020" s="1566" t="s">
        <v>3507</v>
      </c>
      <c r="G5020" s="1566" t="s">
        <v>7758</v>
      </c>
      <c r="H5020" s="1568">
        <v>1</v>
      </c>
      <c r="I5020" s="1566"/>
      <c r="J5020" s="1566"/>
      <c r="K5020" s="1565">
        <v>39755.32</v>
      </c>
      <c r="L5020" s="1565">
        <v>39755.32</v>
      </c>
      <c r="M5020" s="1564"/>
      <c r="N5020" s="1565">
        <v>39755.32</v>
      </c>
      <c r="O5020" s="1565">
        <v>29312.36</v>
      </c>
      <c r="P5020" s="1565">
        <v>9018.92</v>
      </c>
      <c r="Q5020" s="1565">
        <v>1424.04</v>
      </c>
      <c r="R5020" s="1565">
        <v>10442.959999999999</v>
      </c>
      <c r="S5020" s="1562"/>
    </row>
    <row r="5021" spans="2:19" ht="11.25" customHeight="1" outlineLevel="1">
      <c r="B5021" s="1569" t="s">
        <v>7757</v>
      </c>
      <c r="C5021" s="1566" t="s">
        <v>3460</v>
      </c>
      <c r="D5021" s="1566" t="s">
        <v>7756</v>
      </c>
      <c r="E5021" s="1566" t="s">
        <v>2219</v>
      </c>
      <c r="F5021" s="1566" t="s">
        <v>3507</v>
      </c>
      <c r="G5021" s="1566" t="s">
        <v>7755</v>
      </c>
      <c r="H5021" s="1568">
        <v>1</v>
      </c>
      <c r="I5021" s="1566"/>
      <c r="J5021" s="1566"/>
      <c r="K5021" s="1565">
        <v>2306.34</v>
      </c>
      <c r="L5021" s="1565">
        <v>2306.34</v>
      </c>
      <c r="M5021" s="1564"/>
      <c r="N5021" s="1565">
        <v>2306.34</v>
      </c>
      <c r="O5021" s="1565">
        <v>1698.38</v>
      </c>
      <c r="P5021" s="1572">
        <v>525.16</v>
      </c>
      <c r="Q5021" s="1572">
        <v>82.8</v>
      </c>
      <c r="R5021" s="1572">
        <v>607.96</v>
      </c>
      <c r="S5021" s="1562"/>
    </row>
    <row r="5022" spans="2:19" ht="11.25" customHeight="1" outlineLevel="1">
      <c r="B5022" s="1569" t="s">
        <v>7754</v>
      </c>
      <c r="C5022" s="1566" t="s">
        <v>3460</v>
      </c>
      <c r="D5022" s="1566" t="s">
        <v>7753</v>
      </c>
      <c r="E5022" s="1566" t="s">
        <v>2219</v>
      </c>
      <c r="F5022" s="1566" t="s">
        <v>3507</v>
      </c>
      <c r="G5022" s="1566" t="s">
        <v>7752</v>
      </c>
      <c r="H5022" s="1568">
        <v>1</v>
      </c>
      <c r="I5022" s="1566"/>
      <c r="J5022" s="1566"/>
      <c r="K5022" s="1565">
        <v>14999.72</v>
      </c>
      <c r="L5022" s="1565">
        <v>14999.72</v>
      </c>
      <c r="M5022" s="1564"/>
      <c r="N5022" s="1565">
        <v>14999.72</v>
      </c>
      <c r="O5022" s="1565">
        <v>11011.56</v>
      </c>
      <c r="P5022" s="1565">
        <v>3444.32</v>
      </c>
      <c r="Q5022" s="1572">
        <v>543.84</v>
      </c>
      <c r="R5022" s="1565">
        <v>3988.16</v>
      </c>
      <c r="S5022" s="1562"/>
    </row>
    <row r="5023" spans="2:19" ht="11.25" customHeight="1" outlineLevel="1">
      <c r="B5023" s="1569" t="s">
        <v>7751</v>
      </c>
      <c r="C5023" s="1566" t="s">
        <v>3460</v>
      </c>
      <c r="D5023" s="1566" t="s">
        <v>7750</v>
      </c>
      <c r="E5023" s="1566" t="s">
        <v>2219</v>
      </c>
      <c r="F5023" s="1566" t="s">
        <v>3507</v>
      </c>
      <c r="G5023" s="1566" t="s">
        <v>3468</v>
      </c>
      <c r="H5023" s="1568">
        <v>1</v>
      </c>
      <c r="I5023" s="1566"/>
      <c r="J5023" s="1566"/>
      <c r="K5023" s="1565">
        <v>24595.439999999999</v>
      </c>
      <c r="L5023" s="1565">
        <v>24595.439999999999</v>
      </c>
      <c r="M5023" s="1564"/>
      <c r="N5023" s="1565">
        <v>24595.439999999999</v>
      </c>
      <c r="O5023" s="1565">
        <v>18076.400000000001</v>
      </c>
      <c r="P5023" s="1565">
        <v>5630.08</v>
      </c>
      <c r="Q5023" s="1572">
        <v>888.96</v>
      </c>
      <c r="R5023" s="1565">
        <v>6519.04</v>
      </c>
      <c r="S5023" s="1562"/>
    </row>
    <row r="5024" spans="2:19" ht="11.25" customHeight="1" outlineLevel="1">
      <c r="B5024" s="1569" t="s">
        <v>7749</v>
      </c>
      <c r="C5024" s="1566" t="s">
        <v>3460</v>
      </c>
      <c r="D5024" s="1566" t="s">
        <v>7748</v>
      </c>
      <c r="E5024" s="1566" t="s">
        <v>2219</v>
      </c>
      <c r="F5024" s="1566" t="s">
        <v>3507</v>
      </c>
      <c r="G5024" s="1566" t="s">
        <v>3517</v>
      </c>
      <c r="H5024" s="1568">
        <v>1</v>
      </c>
      <c r="I5024" s="1566"/>
      <c r="J5024" s="1566"/>
      <c r="K5024" s="1565">
        <v>28090.28</v>
      </c>
      <c r="L5024" s="1565">
        <v>28090.28</v>
      </c>
      <c r="M5024" s="1564"/>
      <c r="N5024" s="1565">
        <v>28090.28</v>
      </c>
      <c r="O5024" s="1565">
        <v>20666.72</v>
      </c>
      <c r="P5024" s="1565">
        <v>6411.36</v>
      </c>
      <c r="Q5024" s="1565">
        <v>1012.2</v>
      </c>
      <c r="R5024" s="1565">
        <v>7423.56</v>
      </c>
      <c r="S5024" s="1562"/>
    </row>
    <row r="5025" spans="2:19" ht="11.25" customHeight="1" outlineLevel="1">
      <c r="B5025" s="1569" t="s">
        <v>7747</v>
      </c>
      <c r="C5025" s="1566" t="s">
        <v>3460</v>
      </c>
      <c r="D5025" s="1566" t="s">
        <v>7746</v>
      </c>
      <c r="E5025" s="1566" t="s">
        <v>2219</v>
      </c>
      <c r="F5025" s="1566"/>
      <c r="G5025" s="1566" t="s">
        <v>7745</v>
      </c>
      <c r="H5025" s="1568">
        <v>1</v>
      </c>
      <c r="I5025" s="1566"/>
      <c r="J5025" s="1566"/>
      <c r="K5025" s="1565">
        <v>935195.84</v>
      </c>
      <c r="L5025" s="1565">
        <v>935195.84</v>
      </c>
      <c r="M5025" s="1564"/>
      <c r="N5025" s="1565">
        <v>935195.84</v>
      </c>
      <c r="O5025" s="1565">
        <v>657164.36</v>
      </c>
      <c r="P5025" s="1565">
        <v>240118.2</v>
      </c>
      <c r="Q5025" s="1565">
        <v>37913.279999999999</v>
      </c>
      <c r="R5025" s="1565">
        <v>278031.48</v>
      </c>
      <c r="S5025" s="1562"/>
    </row>
    <row r="5026" spans="2:19" ht="21.75" customHeight="1" outlineLevel="1">
      <c r="B5026" s="1569" t="s">
        <v>7744</v>
      </c>
      <c r="C5026" s="1566" t="s">
        <v>3460</v>
      </c>
      <c r="D5026" s="1566" t="s">
        <v>7743</v>
      </c>
      <c r="E5026" s="1566" t="s">
        <v>2219</v>
      </c>
      <c r="F5026" s="1566" t="s">
        <v>3507</v>
      </c>
      <c r="G5026" s="1566" t="s">
        <v>7740</v>
      </c>
      <c r="H5026" s="1568">
        <v>1</v>
      </c>
      <c r="I5026" s="1566"/>
      <c r="J5026" s="1566"/>
      <c r="K5026" s="1565">
        <v>510790.91</v>
      </c>
      <c r="L5026" s="1565">
        <v>510790.91</v>
      </c>
      <c r="M5026" s="1564"/>
      <c r="N5026" s="1565">
        <v>510790.91</v>
      </c>
      <c r="O5026" s="1565">
        <v>240010.39</v>
      </c>
      <c r="P5026" s="1565">
        <v>233855.8</v>
      </c>
      <c r="Q5026" s="1565">
        <v>36924.720000000001</v>
      </c>
      <c r="R5026" s="1565">
        <v>270780.52</v>
      </c>
      <c r="S5026" s="1562"/>
    </row>
    <row r="5027" spans="2:19" ht="21.75" customHeight="1" outlineLevel="1">
      <c r="B5027" s="1569" t="s">
        <v>7742</v>
      </c>
      <c r="C5027" s="1566" t="s">
        <v>3460</v>
      </c>
      <c r="D5027" s="1566" t="s">
        <v>7741</v>
      </c>
      <c r="E5027" s="1566" t="s">
        <v>2219</v>
      </c>
      <c r="F5027" s="1566" t="s">
        <v>3507</v>
      </c>
      <c r="G5027" s="1566" t="s">
        <v>7740</v>
      </c>
      <c r="H5027" s="1568">
        <v>1</v>
      </c>
      <c r="I5027" s="1566"/>
      <c r="J5027" s="1566"/>
      <c r="K5027" s="1565">
        <v>260328.57</v>
      </c>
      <c r="L5027" s="1565">
        <v>260328.57</v>
      </c>
      <c r="M5027" s="1564"/>
      <c r="N5027" s="1565">
        <v>260328.57</v>
      </c>
      <c r="O5027" s="1565">
        <v>122323.33</v>
      </c>
      <c r="P5027" s="1565">
        <v>119186.24000000001</v>
      </c>
      <c r="Q5027" s="1565">
        <v>18819</v>
      </c>
      <c r="R5027" s="1565">
        <v>138005.24</v>
      </c>
      <c r="S5027" s="1562"/>
    </row>
    <row r="5028" spans="2:19" ht="11.25" customHeight="1" outlineLevel="1">
      <c r="B5028" s="1569" t="s">
        <v>7739</v>
      </c>
      <c r="C5028" s="1566" t="s">
        <v>3460</v>
      </c>
      <c r="D5028" s="1566" t="s">
        <v>7738</v>
      </c>
      <c r="E5028" s="1566" t="s">
        <v>2219</v>
      </c>
      <c r="F5028" s="1566" t="s">
        <v>3507</v>
      </c>
      <c r="G5028" s="1566" t="s">
        <v>7737</v>
      </c>
      <c r="H5028" s="1568">
        <v>1</v>
      </c>
      <c r="I5028" s="1566"/>
      <c r="J5028" s="1566"/>
      <c r="K5028" s="1565">
        <v>32093.360000000001</v>
      </c>
      <c r="L5028" s="1565">
        <v>32093.360000000001</v>
      </c>
      <c r="M5028" s="1564"/>
      <c r="N5028" s="1565">
        <v>32093.360000000001</v>
      </c>
      <c r="O5028" s="1565">
        <v>24000.880000000001</v>
      </c>
      <c r="P5028" s="1565">
        <v>6988.96</v>
      </c>
      <c r="Q5028" s="1565">
        <v>1103.52</v>
      </c>
      <c r="R5028" s="1565">
        <v>8092.48</v>
      </c>
      <c r="S5028" s="1562"/>
    </row>
    <row r="5029" spans="2:19" ht="11.25" customHeight="1" outlineLevel="1">
      <c r="B5029" s="1569" t="s">
        <v>7736</v>
      </c>
      <c r="C5029" s="1566" t="s">
        <v>3460</v>
      </c>
      <c r="D5029" s="1566" t="s">
        <v>7735</v>
      </c>
      <c r="E5029" s="1566" t="s">
        <v>2219</v>
      </c>
      <c r="F5029" s="1566" t="s">
        <v>3507</v>
      </c>
      <c r="G5029" s="1566" t="s">
        <v>7693</v>
      </c>
      <c r="H5029" s="1568">
        <v>1</v>
      </c>
      <c r="I5029" s="1566"/>
      <c r="J5029" s="1566"/>
      <c r="K5029" s="1565">
        <v>874745.16</v>
      </c>
      <c r="L5029" s="1565">
        <v>874745.16</v>
      </c>
      <c r="M5029" s="1564"/>
      <c r="N5029" s="1565">
        <v>874745.16</v>
      </c>
      <c r="O5029" s="1565">
        <v>643581.48</v>
      </c>
      <c r="P5029" s="1565">
        <v>199641.36</v>
      </c>
      <c r="Q5029" s="1565">
        <v>31522.32</v>
      </c>
      <c r="R5029" s="1565">
        <v>231163.68</v>
      </c>
      <c r="S5029" s="1562"/>
    </row>
    <row r="5030" spans="2:19" ht="11.25" customHeight="1" outlineLevel="1">
      <c r="B5030" s="1569" t="s">
        <v>7734</v>
      </c>
      <c r="C5030" s="1566" t="s">
        <v>3460</v>
      </c>
      <c r="D5030" s="1566" t="s">
        <v>7733</v>
      </c>
      <c r="E5030" s="1566" t="s">
        <v>2219</v>
      </c>
      <c r="F5030" s="1566"/>
      <c r="G5030" s="1566" t="s">
        <v>7732</v>
      </c>
      <c r="H5030" s="1568">
        <v>1</v>
      </c>
      <c r="I5030" s="1566"/>
      <c r="J5030" s="1566"/>
      <c r="K5030" s="1565">
        <v>397649.93</v>
      </c>
      <c r="L5030" s="1565">
        <v>397649.93</v>
      </c>
      <c r="M5030" s="1564"/>
      <c r="N5030" s="1565">
        <v>397649.93</v>
      </c>
      <c r="O5030" s="1565">
        <v>300716.17</v>
      </c>
      <c r="P5030" s="1565">
        <v>83715.520000000004</v>
      </c>
      <c r="Q5030" s="1565">
        <v>13218.24</v>
      </c>
      <c r="R5030" s="1565">
        <v>96933.759999999995</v>
      </c>
      <c r="S5030" s="1562"/>
    </row>
    <row r="5031" spans="2:19" ht="21.75" customHeight="1" outlineLevel="1">
      <c r="B5031" s="1569" t="s">
        <v>7731</v>
      </c>
      <c r="C5031" s="1566" t="s">
        <v>3460</v>
      </c>
      <c r="D5031" s="1566" t="s">
        <v>7730</v>
      </c>
      <c r="E5031" s="1566" t="s">
        <v>2219</v>
      </c>
      <c r="F5031" s="1566"/>
      <c r="G5031" s="1566" t="s">
        <v>7729</v>
      </c>
      <c r="H5031" s="1568">
        <v>1</v>
      </c>
      <c r="I5031" s="1566"/>
      <c r="J5031" s="1566"/>
      <c r="K5031" s="1565">
        <v>260782.22</v>
      </c>
      <c r="L5031" s="1565">
        <v>260782.22</v>
      </c>
      <c r="M5031" s="1564"/>
      <c r="N5031" s="1565">
        <v>260782.22</v>
      </c>
      <c r="O5031" s="1565">
        <v>197211.9</v>
      </c>
      <c r="P5031" s="1565">
        <v>54901.64</v>
      </c>
      <c r="Q5031" s="1565">
        <v>8668.68</v>
      </c>
      <c r="R5031" s="1565">
        <v>63570.32</v>
      </c>
      <c r="S5031" s="1562"/>
    </row>
    <row r="5032" spans="2:19" ht="11.25" customHeight="1" outlineLevel="1">
      <c r="B5032" s="1569" t="s">
        <v>7728</v>
      </c>
      <c r="C5032" s="1566" t="s">
        <v>3460</v>
      </c>
      <c r="D5032" s="1566" t="s">
        <v>7727</v>
      </c>
      <c r="E5032" s="1566" t="s">
        <v>2219</v>
      </c>
      <c r="F5032" s="1566" t="s">
        <v>7726</v>
      </c>
      <c r="G5032" s="1566" t="s">
        <v>7725</v>
      </c>
      <c r="H5032" s="1568">
        <v>1</v>
      </c>
      <c r="I5032" s="1566"/>
      <c r="J5032" s="1566"/>
      <c r="K5032" s="1565">
        <v>30595.24</v>
      </c>
      <c r="L5032" s="1565">
        <v>30595.24</v>
      </c>
      <c r="M5032" s="1564"/>
      <c r="N5032" s="1565">
        <v>30595.24</v>
      </c>
      <c r="O5032" s="1565">
        <v>22509.8</v>
      </c>
      <c r="P5032" s="1565">
        <v>6982.88</v>
      </c>
      <c r="Q5032" s="1565">
        <v>1102.56</v>
      </c>
      <c r="R5032" s="1565">
        <v>8085.44</v>
      </c>
      <c r="S5032" s="1562"/>
    </row>
    <row r="5033" spans="2:19" ht="11.25" customHeight="1" outlineLevel="1">
      <c r="B5033" s="1569" t="s">
        <v>7724</v>
      </c>
      <c r="C5033" s="1566" t="s">
        <v>3460</v>
      </c>
      <c r="D5033" s="1566" t="s">
        <v>7723</v>
      </c>
      <c r="E5033" s="1566" t="s">
        <v>2219</v>
      </c>
      <c r="F5033" s="1566"/>
      <c r="G5033" s="1566" t="s">
        <v>7722</v>
      </c>
      <c r="H5033" s="1568">
        <v>1</v>
      </c>
      <c r="I5033" s="1566"/>
      <c r="J5033" s="1566"/>
      <c r="K5033" s="1565">
        <v>976060</v>
      </c>
      <c r="L5033" s="1565">
        <v>976060</v>
      </c>
      <c r="M5033" s="1564"/>
      <c r="N5033" s="1565">
        <v>976060</v>
      </c>
      <c r="O5033" s="1565">
        <v>550845.76</v>
      </c>
      <c r="P5033" s="1565">
        <v>367230.48</v>
      </c>
      <c r="Q5033" s="1565">
        <v>57983.76</v>
      </c>
      <c r="R5033" s="1565">
        <v>425214.24</v>
      </c>
      <c r="S5033" s="1562"/>
    </row>
    <row r="5034" spans="2:19" ht="21.75" customHeight="1" outlineLevel="1">
      <c r="B5034" s="1569" t="s">
        <v>7721</v>
      </c>
      <c r="C5034" s="1566" t="s">
        <v>3460</v>
      </c>
      <c r="D5034" s="1566" t="s">
        <v>7720</v>
      </c>
      <c r="E5034" s="1566"/>
      <c r="F5034" s="1566"/>
      <c r="G5034" s="1566" t="s">
        <v>3483</v>
      </c>
      <c r="H5034" s="1568">
        <v>1</v>
      </c>
      <c r="I5034" s="1566"/>
      <c r="J5034" s="1566"/>
      <c r="K5034" s="1565">
        <v>23688.33</v>
      </c>
      <c r="L5034" s="1565">
        <v>23688.33</v>
      </c>
      <c r="M5034" s="1564"/>
      <c r="N5034" s="1565">
        <v>23688.33</v>
      </c>
      <c r="O5034" s="1565">
        <v>17502.810000000001</v>
      </c>
      <c r="P5034" s="1565">
        <v>5342.04</v>
      </c>
      <c r="Q5034" s="1572">
        <v>843.48</v>
      </c>
      <c r="R5034" s="1565">
        <v>6185.52</v>
      </c>
      <c r="S5034" s="1562"/>
    </row>
    <row r="5035" spans="2:19" ht="21.75" customHeight="1" outlineLevel="1">
      <c r="B5035" s="1569" t="s">
        <v>7719</v>
      </c>
      <c r="C5035" s="1566" t="s">
        <v>3460</v>
      </c>
      <c r="D5035" s="1566" t="s">
        <v>7718</v>
      </c>
      <c r="E5035" s="1566" t="s">
        <v>2219</v>
      </c>
      <c r="F5035" s="1566"/>
      <c r="G5035" s="1566" t="s">
        <v>7717</v>
      </c>
      <c r="H5035" s="1568">
        <v>1</v>
      </c>
      <c r="I5035" s="1566"/>
      <c r="J5035" s="1566"/>
      <c r="K5035" s="1565">
        <v>186452.6</v>
      </c>
      <c r="L5035" s="1565">
        <v>186452.6</v>
      </c>
      <c r="M5035" s="1564"/>
      <c r="N5035" s="1565">
        <v>186452.6</v>
      </c>
      <c r="O5035" s="1565">
        <v>136429</v>
      </c>
      <c r="P5035" s="1565">
        <v>43202.2</v>
      </c>
      <c r="Q5035" s="1565">
        <v>6821.4</v>
      </c>
      <c r="R5035" s="1565">
        <v>50023.6</v>
      </c>
      <c r="S5035" s="1562"/>
    </row>
    <row r="5036" spans="2:19" ht="11.25" customHeight="1" outlineLevel="1">
      <c r="B5036" s="1569" t="s">
        <v>7716</v>
      </c>
      <c r="C5036" s="1566" t="s">
        <v>3460</v>
      </c>
      <c r="D5036" s="1566" t="s">
        <v>7715</v>
      </c>
      <c r="E5036" s="1566" t="s">
        <v>2219</v>
      </c>
      <c r="F5036" s="1566" t="s">
        <v>3507</v>
      </c>
      <c r="G5036" s="1566" t="s">
        <v>7714</v>
      </c>
      <c r="H5036" s="1568">
        <v>1</v>
      </c>
      <c r="I5036" s="1566"/>
      <c r="J5036" s="1566"/>
      <c r="K5036" s="1565">
        <v>46308.08</v>
      </c>
      <c r="L5036" s="1565">
        <v>46308.08</v>
      </c>
      <c r="M5036" s="1564"/>
      <c r="N5036" s="1565">
        <v>46308.08</v>
      </c>
      <c r="O5036" s="1565">
        <v>34461.519999999997</v>
      </c>
      <c r="P5036" s="1565">
        <v>10231.120000000001</v>
      </c>
      <c r="Q5036" s="1565">
        <v>1615.44</v>
      </c>
      <c r="R5036" s="1565">
        <v>11846.56</v>
      </c>
      <c r="S5036" s="1562"/>
    </row>
    <row r="5037" spans="2:19" ht="21.75" customHeight="1" outlineLevel="1">
      <c r="B5037" s="1569" t="s">
        <v>7713</v>
      </c>
      <c r="C5037" s="1566" t="s">
        <v>3460</v>
      </c>
      <c r="D5037" s="1566" t="s">
        <v>7712</v>
      </c>
      <c r="E5037" s="1566" t="s">
        <v>2219</v>
      </c>
      <c r="F5037" s="1566" t="s">
        <v>3507</v>
      </c>
      <c r="G5037" s="1566" t="s">
        <v>7711</v>
      </c>
      <c r="H5037" s="1568">
        <v>1</v>
      </c>
      <c r="I5037" s="1566"/>
      <c r="J5037" s="1566"/>
      <c r="K5037" s="1565">
        <v>1801464.88</v>
      </c>
      <c r="L5037" s="1565">
        <v>1801464.88</v>
      </c>
      <c r="M5037" s="1564"/>
      <c r="N5037" s="1565">
        <v>1801464.88</v>
      </c>
      <c r="O5037" s="1565">
        <v>1340624.72</v>
      </c>
      <c r="P5037" s="1565">
        <v>397998.32</v>
      </c>
      <c r="Q5037" s="1565">
        <v>62841.84</v>
      </c>
      <c r="R5037" s="1565">
        <v>460840.16</v>
      </c>
      <c r="S5037" s="1562"/>
    </row>
    <row r="5038" spans="2:19" ht="11.25" customHeight="1" outlineLevel="1">
      <c r="B5038" s="1569" t="s">
        <v>7710</v>
      </c>
      <c r="C5038" s="1566" t="s">
        <v>3460</v>
      </c>
      <c r="D5038" s="1566" t="s">
        <v>7709</v>
      </c>
      <c r="E5038" s="1566" t="s">
        <v>2219</v>
      </c>
      <c r="F5038" s="1566" t="s">
        <v>3507</v>
      </c>
      <c r="G5038" s="1566" t="s">
        <v>7708</v>
      </c>
      <c r="H5038" s="1568">
        <v>1</v>
      </c>
      <c r="I5038" s="1566"/>
      <c r="J5038" s="1566"/>
      <c r="K5038" s="1565">
        <v>16266.94</v>
      </c>
      <c r="L5038" s="1565">
        <v>16266.94</v>
      </c>
      <c r="M5038" s="1564"/>
      <c r="N5038" s="1565">
        <v>16266.94</v>
      </c>
      <c r="O5038" s="1565">
        <v>11942.5</v>
      </c>
      <c r="P5038" s="1565">
        <v>3734.64</v>
      </c>
      <c r="Q5038" s="1572">
        <v>589.79999999999995</v>
      </c>
      <c r="R5038" s="1565">
        <v>4324.4399999999996</v>
      </c>
      <c r="S5038" s="1562"/>
    </row>
    <row r="5039" spans="2:19" ht="11.25" customHeight="1" outlineLevel="1">
      <c r="B5039" s="1569" t="s">
        <v>7707</v>
      </c>
      <c r="C5039" s="1566" t="s">
        <v>3460</v>
      </c>
      <c r="D5039" s="1566" t="s">
        <v>7706</v>
      </c>
      <c r="E5039" s="1566" t="s">
        <v>2219</v>
      </c>
      <c r="F5039" s="1566" t="s">
        <v>3507</v>
      </c>
      <c r="G5039" s="1566" t="s">
        <v>7705</v>
      </c>
      <c r="H5039" s="1568">
        <v>1</v>
      </c>
      <c r="I5039" s="1566"/>
      <c r="J5039" s="1566"/>
      <c r="K5039" s="1565">
        <v>15914.68</v>
      </c>
      <c r="L5039" s="1565">
        <v>15914.68</v>
      </c>
      <c r="M5039" s="1564"/>
      <c r="N5039" s="1565">
        <v>15914.68</v>
      </c>
      <c r="O5039" s="1565">
        <v>11683.64</v>
      </c>
      <c r="P5039" s="1565">
        <v>3654.08</v>
      </c>
      <c r="Q5039" s="1572">
        <v>576.96</v>
      </c>
      <c r="R5039" s="1565">
        <v>4231.04</v>
      </c>
      <c r="S5039" s="1562"/>
    </row>
    <row r="5040" spans="2:19" ht="11.25" customHeight="1" outlineLevel="1">
      <c r="B5040" s="1569" t="s">
        <v>7704</v>
      </c>
      <c r="C5040" s="1566" t="s">
        <v>3460</v>
      </c>
      <c r="D5040" s="1566" t="s">
        <v>7703</v>
      </c>
      <c r="E5040" s="1566" t="s">
        <v>2219</v>
      </c>
      <c r="F5040" s="1566" t="s">
        <v>3507</v>
      </c>
      <c r="G5040" s="1566" t="s">
        <v>7702</v>
      </c>
      <c r="H5040" s="1568">
        <v>1</v>
      </c>
      <c r="I5040" s="1566"/>
      <c r="J5040" s="1566"/>
      <c r="K5040" s="1565">
        <v>71244.95</v>
      </c>
      <c r="L5040" s="1565">
        <v>71244.95</v>
      </c>
      <c r="M5040" s="1564"/>
      <c r="N5040" s="1565">
        <v>71244.95</v>
      </c>
      <c r="O5040" s="1565">
        <v>53878.03</v>
      </c>
      <c r="P5040" s="1565">
        <v>14998.6</v>
      </c>
      <c r="Q5040" s="1565">
        <v>2368.3200000000002</v>
      </c>
      <c r="R5040" s="1565">
        <v>17366.919999999998</v>
      </c>
      <c r="S5040" s="1562"/>
    </row>
    <row r="5041" spans="2:19" ht="11.25" customHeight="1" outlineLevel="1">
      <c r="B5041" s="1569" t="s">
        <v>7701</v>
      </c>
      <c r="C5041" s="1566" t="s">
        <v>3460</v>
      </c>
      <c r="D5041" s="1566" t="s">
        <v>7700</v>
      </c>
      <c r="E5041" s="1566" t="s">
        <v>2219</v>
      </c>
      <c r="F5041" s="1566"/>
      <c r="G5041" s="1566" t="s">
        <v>7699</v>
      </c>
      <c r="H5041" s="1568">
        <v>1</v>
      </c>
      <c r="I5041" s="1566"/>
      <c r="J5041" s="1566"/>
      <c r="K5041" s="1565">
        <v>17205.740000000002</v>
      </c>
      <c r="L5041" s="1565">
        <v>17205.740000000002</v>
      </c>
      <c r="M5041" s="1564"/>
      <c r="N5041" s="1565">
        <v>17205.740000000002</v>
      </c>
      <c r="O5041" s="1565">
        <v>12672.74</v>
      </c>
      <c r="P5041" s="1565">
        <v>3914.76</v>
      </c>
      <c r="Q5041" s="1572">
        <v>618.24</v>
      </c>
      <c r="R5041" s="1565">
        <v>4533</v>
      </c>
      <c r="S5041" s="1562"/>
    </row>
    <row r="5042" spans="2:19" ht="21.75" customHeight="1" outlineLevel="1">
      <c r="B5042" s="1569" t="s">
        <v>7698</v>
      </c>
      <c r="C5042" s="1566" t="s">
        <v>3460</v>
      </c>
      <c r="D5042" s="1566" t="s">
        <v>7697</v>
      </c>
      <c r="E5042" s="1566" t="s">
        <v>2219</v>
      </c>
      <c r="F5042" s="1566"/>
      <c r="G5042" s="1566" t="s">
        <v>7696</v>
      </c>
      <c r="H5042" s="1568">
        <v>1</v>
      </c>
      <c r="I5042" s="1566"/>
      <c r="J5042" s="1566"/>
      <c r="K5042" s="1565">
        <v>373395.14</v>
      </c>
      <c r="L5042" s="1565">
        <v>373395.14</v>
      </c>
      <c r="M5042" s="1564"/>
      <c r="N5042" s="1565">
        <v>373395.14</v>
      </c>
      <c r="O5042" s="1565">
        <v>282373.34000000003</v>
      </c>
      <c r="P5042" s="1565">
        <v>78609.84</v>
      </c>
      <c r="Q5042" s="1565">
        <v>12411.96</v>
      </c>
      <c r="R5042" s="1565">
        <v>91021.8</v>
      </c>
      <c r="S5042" s="1562"/>
    </row>
    <row r="5043" spans="2:19" ht="11.25" customHeight="1" outlineLevel="1">
      <c r="B5043" s="1569" t="s">
        <v>7695</v>
      </c>
      <c r="C5043" s="1566" t="s">
        <v>3460</v>
      </c>
      <c r="D5043" s="1566" t="s">
        <v>7694</v>
      </c>
      <c r="E5043" s="1566" t="s">
        <v>2219</v>
      </c>
      <c r="F5043" s="1566"/>
      <c r="G5043" s="1566" t="s">
        <v>7693</v>
      </c>
      <c r="H5043" s="1568">
        <v>1</v>
      </c>
      <c r="I5043" s="1566"/>
      <c r="J5043" s="1566"/>
      <c r="K5043" s="1565">
        <v>141028.54</v>
      </c>
      <c r="L5043" s="1565">
        <v>141028.54</v>
      </c>
      <c r="M5043" s="1564"/>
      <c r="N5043" s="1565">
        <v>141028.54</v>
      </c>
      <c r="O5043" s="1565">
        <v>103306.46</v>
      </c>
      <c r="P5043" s="1565">
        <v>32578.16</v>
      </c>
      <c r="Q5043" s="1565">
        <v>5143.92</v>
      </c>
      <c r="R5043" s="1565">
        <v>37722.080000000002</v>
      </c>
      <c r="S5043" s="1562"/>
    </row>
    <row r="5044" spans="2:19" ht="21.75" customHeight="1" outlineLevel="1">
      <c r="B5044" s="1569" t="s">
        <v>7692</v>
      </c>
      <c r="C5044" s="1566" t="s">
        <v>3460</v>
      </c>
      <c r="D5044" s="1566" t="s">
        <v>7691</v>
      </c>
      <c r="E5044" s="1566" t="s">
        <v>2219</v>
      </c>
      <c r="F5044" s="1566" t="s">
        <v>3507</v>
      </c>
      <c r="G5044" s="1566" t="s">
        <v>7690</v>
      </c>
      <c r="H5044" s="1568">
        <v>1</v>
      </c>
      <c r="I5044" s="1566"/>
      <c r="J5044" s="1566"/>
      <c r="K5044" s="1565">
        <v>106316.66</v>
      </c>
      <c r="L5044" s="1565">
        <v>106316.66</v>
      </c>
      <c r="M5044" s="1564"/>
      <c r="N5044" s="1565">
        <v>106316.66</v>
      </c>
      <c r="O5044" s="1565">
        <v>76803.16</v>
      </c>
      <c r="P5044" s="1565">
        <v>25488.880000000001</v>
      </c>
      <c r="Q5044" s="1565">
        <v>4024.62</v>
      </c>
      <c r="R5044" s="1565">
        <v>29513.5</v>
      </c>
      <c r="S5044" s="1562"/>
    </row>
    <row r="5045" spans="2:19" ht="11.25" customHeight="1" outlineLevel="1">
      <c r="B5045" s="1569" t="s">
        <v>7689</v>
      </c>
      <c r="C5045" s="1566" t="s">
        <v>7688</v>
      </c>
      <c r="D5045" s="1566" t="s">
        <v>7687</v>
      </c>
      <c r="E5045" s="1566"/>
      <c r="F5045" s="1566"/>
      <c r="G5045" s="1566"/>
      <c r="H5045" s="1568">
        <v>1</v>
      </c>
      <c r="I5045" s="1566"/>
      <c r="J5045" s="1566"/>
      <c r="K5045" s="1565">
        <v>377224.72</v>
      </c>
      <c r="L5045" s="1565">
        <v>377224.72</v>
      </c>
      <c r="M5045" s="1564"/>
      <c r="N5045" s="1565">
        <v>377224.72</v>
      </c>
      <c r="O5045" s="1565">
        <v>286314.93</v>
      </c>
      <c r="P5045" s="1565">
        <v>78370.5</v>
      </c>
      <c r="Q5045" s="1565">
        <v>12539.29</v>
      </c>
      <c r="R5045" s="1565">
        <v>90909.79</v>
      </c>
      <c r="S5045" s="1562"/>
    </row>
    <row r="5046" spans="2:19" ht="11.25" customHeight="1" outlineLevel="1">
      <c r="B5046" s="1569" t="s">
        <v>7686</v>
      </c>
      <c r="C5046" s="1566" t="s">
        <v>7685</v>
      </c>
      <c r="D5046" s="1566" t="s">
        <v>7684</v>
      </c>
      <c r="E5046" s="1566"/>
      <c r="F5046" s="1566"/>
      <c r="G5046" s="1566"/>
      <c r="H5046" s="1568">
        <v>1</v>
      </c>
      <c r="I5046" s="1566"/>
      <c r="J5046" s="1566"/>
      <c r="K5046" s="1565">
        <v>883628.36</v>
      </c>
      <c r="L5046" s="1565">
        <v>883628.36</v>
      </c>
      <c r="M5046" s="1564"/>
      <c r="N5046" s="1565">
        <v>883628.36</v>
      </c>
      <c r="O5046" s="1565">
        <v>673124.37</v>
      </c>
      <c r="P5046" s="1565">
        <v>181131.28</v>
      </c>
      <c r="Q5046" s="1565">
        <v>29372.71</v>
      </c>
      <c r="R5046" s="1565">
        <v>210503.99</v>
      </c>
      <c r="S5046" s="1562"/>
    </row>
    <row r="5047" spans="2:19" ht="21.75" customHeight="1" outlineLevel="1">
      <c r="B5047" s="1569" t="s">
        <v>7683</v>
      </c>
      <c r="C5047" s="1566" t="s">
        <v>7682</v>
      </c>
      <c r="D5047" s="1566" t="s">
        <v>7681</v>
      </c>
      <c r="E5047" s="1566"/>
      <c r="F5047" s="1566"/>
      <c r="G5047" s="1566"/>
      <c r="H5047" s="1568">
        <v>1</v>
      </c>
      <c r="I5047" s="1566"/>
      <c r="J5047" s="1566"/>
      <c r="K5047" s="1565">
        <v>84737.29</v>
      </c>
      <c r="L5047" s="1565">
        <v>84737.29</v>
      </c>
      <c r="M5047" s="1565">
        <v>-84737.29</v>
      </c>
      <c r="N5047" s="1564"/>
      <c r="O5047" s="1564"/>
      <c r="P5047" s="1565">
        <v>84737.29</v>
      </c>
      <c r="Q5047" s="1565">
        <v>-84737.29</v>
      </c>
      <c r="R5047" s="1564"/>
      <c r="S5047" s="1562"/>
    </row>
    <row r="5048" spans="2:19" ht="11.25" customHeight="1" outlineLevel="1">
      <c r="B5048" s="1569" t="s">
        <v>7680</v>
      </c>
      <c r="C5048" s="1566" t="s">
        <v>7677</v>
      </c>
      <c r="D5048" s="1566" t="s">
        <v>7679</v>
      </c>
      <c r="E5048" s="1566"/>
      <c r="F5048" s="1566"/>
      <c r="G5048" s="1566"/>
      <c r="H5048" s="1568">
        <v>1</v>
      </c>
      <c r="I5048" s="1566"/>
      <c r="J5048" s="1566"/>
      <c r="K5048" s="1565">
        <v>40677.97</v>
      </c>
      <c r="L5048" s="1565">
        <v>40677.97</v>
      </c>
      <c r="M5048" s="1565">
        <v>-40677.97</v>
      </c>
      <c r="N5048" s="1564"/>
      <c r="O5048" s="1564"/>
      <c r="P5048" s="1565">
        <v>40677.97</v>
      </c>
      <c r="Q5048" s="1565">
        <v>-40677.97</v>
      </c>
      <c r="R5048" s="1564"/>
      <c r="S5048" s="1562"/>
    </row>
    <row r="5049" spans="2:19" ht="11.25" customHeight="1" outlineLevel="1">
      <c r="B5049" s="1569" t="s">
        <v>7678</v>
      </c>
      <c r="C5049" s="1566" t="s">
        <v>7677</v>
      </c>
      <c r="D5049" s="1566" t="s">
        <v>7676</v>
      </c>
      <c r="E5049" s="1566"/>
      <c r="F5049" s="1566"/>
      <c r="G5049" s="1566"/>
      <c r="H5049" s="1568">
        <v>1</v>
      </c>
      <c r="I5049" s="1566"/>
      <c r="J5049" s="1566"/>
      <c r="K5049" s="1565">
        <v>40677.97</v>
      </c>
      <c r="L5049" s="1565">
        <v>40677.97</v>
      </c>
      <c r="M5049" s="1565">
        <v>-40677.97</v>
      </c>
      <c r="N5049" s="1564"/>
      <c r="O5049" s="1564"/>
      <c r="P5049" s="1565">
        <v>40677.97</v>
      </c>
      <c r="Q5049" s="1565">
        <v>-40677.97</v>
      </c>
      <c r="R5049" s="1564"/>
      <c r="S5049" s="1562"/>
    </row>
    <row r="5050" spans="2:19" ht="21.75" customHeight="1" outlineLevel="1">
      <c r="B5050" s="1569" t="s">
        <v>7675</v>
      </c>
      <c r="C5050" s="1566" t="s">
        <v>3456</v>
      </c>
      <c r="D5050" s="1566" t="s">
        <v>7674</v>
      </c>
      <c r="E5050" s="1566" t="s">
        <v>2219</v>
      </c>
      <c r="F5050" s="1566"/>
      <c r="G5050" s="1566" t="s">
        <v>7673</v>
      </c>
      <c r="H5050" s="1568">
        <v>1</v>
      </c>
      <c r="I5050" s="1571">
        <v>39</v>
      </c>
      <c r="J5050" s="1566"/>
      <c r="K5050" s="1565">
        <v>27338.89</v>
      </c>
      <c r="L5050" s="1565">
        <v>27338.89</v>
      </c>
      <c r="M5050" s="1564"/>
      <c r="N5050" s="1565">
        <v>27338.89</v>
      </c>
      <c r="O5050" s="1565">
        <v>20339.21</v>
      </c>
      <c r="P5050" s="1565">
        <v>6011.55</v>
      </c>
      <c r="Q5050" s="1572">
        <v>988.13</v>
      </c>
      <c r="R5050" s="1565">
        <v>6999.68</v>
      </c>
      <c r="S5050" s="1562"/>
    </row>
    <row r="5051" spans="2:19" ht="21.75" customHeight="1" outlineLevel="1">
      <c r="B5051" s="1569" t="s">
        <v>7672</v>
      </c>
      <c r="C5051" s="1566" t="s">
        <v>3452</v>
      </c>
      <c r="D5051" s="1566" t="s">
        <v>7671</v>
      </c>
      <c r="E5051" s="1566" t="s">
        <v>2219</v>
      </c>
      <c r="F5051" s="1566" t="s">
        <v>7670</v>
      </c>
      <c r="G5051" s="1566" t="s">
        <v>7669</v>
      </c>
      <c r="H5051" s="1568">
        <v>1</v>
      </c>
      <c r="I5051" s="1571">
        <v>1943</v>
      </c>
      <c r="J5051" s="1566"/>
      <c r="K5051" s="1565">
        <v>3975765.4</v>
      </c>
      <c r="L5051" s="1565">
        <v>3975765.4</v>
      </c>
      <c r="M5051" s="1564"/>
      <c r="N5051" s="1565">
        <v>3975765.4</v>
      </c>
      <c r="O5051" s="1565">
        <v>3039643.4</v>
      </c>
      <c r="P5051" s="1565">
        <v>803963.6</v>
      </c>
      <c r="Q5051" s="1565">
        <v>132158.39999999999</v>
      </c>
      <c r="R5051" s="1565">
        <v>936122</v>
      </c>
      <c r="S5051" s="1562"/>
    </row>
    <row r="5052" spans="2:19" ht="11.25" customHeight="1" outlineLevel="1">
      <c r="B5052" s="1569" t="s">
        <v>7668</v>
      </c>
      <c r="C5052" s="1566" t="s">
        <v>7664</v>
      </c>
      <c r="D5052" s="1566" t="s">
        <v>7667</v>
      </c>
      <c r="E5052" s="1566" t="s">
        <v>2208</v>
      </c>
      <c r="F5052" s="1566"/>
      <c r="G5052" s="1566" t="s">
        <v>7666</v>
      </c>
      <c r="H5052" s="1568">
        <v>1</v>
      </c>
      <c r="I5052" s="1570">
        <v>95.3</v>
      </c>
      <c r="J5052" s="1566"/>
      <c r="K5052" s="1565">
        <v>2541478.2400000002</v>
      </c>
      <c r="L5052" s="1565">
        <v>2541478.2400000002</v>
      </c>
      <c r="M5052" s="1564"/>
      <c r="N5052" s="1565">
        <v>2541478.2400000002</v>
      </c>
      <c r="O5052" s="1565">
        <v>1950109.08</v>
      </c>
      <c r="P5052" s="1565">
        <v>506887.92</v>
      </c>
      <c r="Q5052" s="1565">
        <v>84481.24</v>
      </c>
      <c r="R5052" s="1565">
        <v>591369.16</v>
      </c>
      <c r="S5052" s="1562"/>
    </row>
    <row r="5053" spans="2:19" ht="21.75" customHeight="1" outlineLevel="1">
      <c r="B5053" s="1569" t="s">
        <v>7665</v>
      </c>
      <c r="C5053" s="1566" t="s">
        <v>7664</v>
      </c>
      <c r="D5053" s="1566" t="s">
        <v>7663</v>
      </c>
      <c r="E5053" s="1566"/>
      <c r="F5053" s="1566"/>
      <c r="G5053" s="1566"/>
      <c r="H5053" s="1568">
        <v>1</v>
      </c>
      <c r="I5053" s="1566"/>
      <c r="J5053" s="1566"/>
      <c r="K5053" s="1565">
        <v>2394609.46</v>
      </c>
      <c r="L5053" s="1565">
        <v>2394609.46</v>
      </c>
      <c r="M5053" s="1564"/>
      <c r="N5053" s="1565">
        <v>2394609.46</v>
      </c>
      <c r="O5053" s="1565">
        <v>1837414.78</v>
      </c>
      <c r="P5053" s="1565">
        <v>477595.44</v>
      </c>
      <c r="Q5053" s="1565">
        <v>79599.240000000005</v>
      </c>
      <c r="R5053" s="1565">
        <v>557194.68000000005</v>
      </c>
      <c r="S5053" s="1562"/>
    </row>
    <row r="5054" spans="2:19" ht="11.25" customHeight="1" outlineLevel="1">
      <c r="B5054" s="1569" t="s">
        <v>7662</v>
      </c>
      <c r="C5054" s="1566" t="s">
        <v>3446</v>
      </c>
      <c r="D5054" s="1566" t="s">
        <v>7661</v>
      </c>
      <c r="E5054" s="1566"/>
      <c r="F5054" s="1566" t="s">
        <v>7660</v>
      </c>
      <c r="G5054" s="1566"/>
      <c r="H5054" s="1568">
        <v>1</v>
      </c>
      <c r="I5054" s="1566"/>
      <c r="J5054" s="1566"/>
      <c r="K5054" s="1565">
        <v>7868296</v>
      </c>
      <c r="L5054" s="1565">
        <v>7868296</v>
      </c>
      <c r="M5054" s="1564"/>
      <c r="N5054" s="1565">
        <v>7868296</v>
      </c>
      <c r="O5054" s="1565">
        <v>6037446.2800000003</v>
      </c>
      <c r="P5054" s="1565">
        <v>1569299.76</v>
      </c>
      <c r="Q5054" s="1565">
        <v>261549.96</v>
      </c>
      <c r="R5054" s="1565">
        <v>1830849.72</v>
      </c>
      <c r="S5054" s="1562"/>
    </row>
    <row r="5055" spans="2:19" ht="11.25" customHeight="1" outlineLevel="1">
      <c r="B5055" s="1569" t="s">
        <v>7659</v>
      </c>
      <c r="C5055" s="1566" t="s">
        <v>7655</v>
      </c>
      <c r="D5055" s="1566" t="s">
        <v>7658</v>
      </c>
      <c r="E5055" s="1566" t="s">
        <v>2219</v>
      </c>
      <c r="F5055" s="1566"/>
      <c r="G5055" s="1566" t="s">
        <v>7657</v>
      </c>
      <c r="H5055" s="1568">
        <v>1</v>
      </c>
      <c r="I5055" s="1571">
        <v>790</v>
      </c>
      <c r="J5055" s="1566"/>
      <c r="K5055" s="1565">
        <v>243767.24</v>
      </c>
      <c r="L5055" s="1565">
        <v>243767.24</v>
      </c>
      <c r="M5055" s="1564"/>
      <c r="N5055" s="1565">
        <v>243767.24</v>
      </c>
      <c r="O5055" s="1565">
        <v>132598.70000000001</v>
      </c>
      <c r="P5055" s="1565">
        <v>95095.98</v>
      </c>
      <c r="Q5055" s="1565">
        <v>16072.56</v>
      </c>
      <c r="R5055" s="1565">
        <v>111168.54</v>
      </c>
      <c r="S5055" s="1562"/>
    </row>
    <row r="5056" spans="2:19" ht="11.25" customHeight="1" outlineLevel="1">
      <c r="B5056" s="1569" t="s">
        <v>7656</v>
      </c>
      <c r="C5056" s="1566" t="s">
        <v>7655</v>
      </c>
      <c r="D5056" s="1566" t="s">
        <v>7654</v>
      </c>
      <c r="E5056" s="1566" t="s">
        <v>2219</v>
      </c>
      <c r="F5056" s="1566"/>
      <c r="G5056" s="1566" t="s">
        <v>7653</v>
      </c>
      <c r="H5056" s="1568">
        <v>1</v>
      </c>
      <c r="I5056" s="1566"/>
      <c r="J5056" s="1566"/>
      <c r="K5056" s="1565">
        <v>206477.16</v>
      </c>
      <c r="L5056" s="1565">
        <v>206477.16</v>
      </c>
      <c r="M5056" s="1564"/>
      <c r="N5056" s="1565">
        <v>206477.16</v>
      </c>
      <c r="O5056" s="1565">
        <v>112314.49</v>
      </c>
      <c r="P5056" s="1565">
        <v>80548.789999999994</v>
      </c>
      <c r="Q5056" s="1565">
        <v>13613.88</v>
      </c>
      <c r="R5056" s="1565">
        <v>94162.67</v>
      </c>
      <c r="S5056" s="1562"/>
    </row>
    <row r="5057" spans="2:19" ht="11.25" customHeight="1" outlineLevel="1">
      <c r="B5057" s="1569" t="s">
        <v>7652</v>
      </c>
      <c r="C5057" s="1566" t="s">
        <v>7651</v>
      </c>
      <c r="D5057" s="1566" t="s">
        <v>7650</v>
      </c>
      <c r="E5057" s="1566"/>
      <c r="F5057" s="1566"/>
      <c r="G5057" s="1566"/>
      <c r="H5057" s="1568">
        <v>1</v>
      </c>
      <c r="I5057" s="1566"/>
      <c r="J5057" s="1566"/>
      <c r="K5057" s="1565">
        <v>69750</v>
      </c>
      <c r="L5057" s="1565">
        <v>69750</v>
      </c>
      <c r="M5057" s="1565">
        <v>-69750</v>
      </c>
      <c r="N5057" s="1564"/>
      <c r="O5057" s="1564"/>
      <c r="P5057" s="1565">
        <v>69750</v>
      </c>
      <c r="Q5057" s="1565">
        <v>-69750</v>
      </c>
      <c r="R5057" s="1564"/>
      <c r="S5057" s="1562"/>
    </row>
    <row r="5058" spans="2:19" ht="11.25" customHeight="1" outlineLevel="1">
      <c r="B5058" s="1569" t="s">
        <v>7649</v>
      </c>
      <c r="C5058" s="1566" t="s">
        <v>3440</v>
      </c>
      <c r="D5058" s="1566" t="s">
        <v>7648</v>
      </c>
      <c r="E5058" s="1566"/>
      <c r="F5058" s="1566"/>
      <c r="G5058" s="1566"/>
      <c r="H5058" s="1568">
        <v>1</v>
      </c>
      <c r="I5058" s="1566"/>
      <c r="J5058" s="1566"/>
      <c r="K5058" s="1565">
        <v>408604.63</v>
      </c>
      <c r="L5058" s="1565">
        <v>408604.63</v>
      </c>
      <c r="M5058" s="1564"/>
      <c r="N5058" s="1565">
        <v>408604.63</v>
      </c>
      <c r="O5058" s="1565">
        <v>320318.77</v>
      </c>
      <c r="P5058" s="1565">
        <v>74703.42</v>
      </c>
      <c r="Q5058" s="1565">
        <v>13582.44</v>
      </c>
      <c r="R5058" s="1565">
        <v>88285.86</v>
      </c>
      <c r="S5058" s="1562"/>
    </row>
    <row r="5059" spans="2:19" ht="21.75" customHeight="1" outlineLevel="1">
      <c r="B5059" s="1569" t="s">
        <v>7647</v>
      </c>
      <c r="C5059" s="1566" t="s">
        <v>7646</v>
      </c>
      <c r="D5059" s="1566" t="s">
        <v>7645</v>
      </c>
      <c r="E5059" s="1566" t="s">
        <v>2219</v>
      </c>
      <c r="F5059" s="1566" t="s">
        <v>7644</v>
      </c>
      <c r="G5059" s="1566" t="s">
        <v>7643</v>
      </c>
      <c r="H5059" s="1568">
        <v>1</v>
      </c>
      <c r="I5059" s="1571">
        <v>127</v>
      </c>
      <c r="J5059" s="1566" t="s">
        <v>7642</v>
      </c>
      <c r="K5059" s="1565">
        <v>215992.84</v>
      </c>
      <c r="L5059" s="1565">
        <v>215992.84</v>
      </c>
      <c r="M5059" s="1564"/>
      <c r="N5059" s="1565">
        <v>215992.84</v>
      </c>
      <c r="O5059" s="1565">
        <v>169922.2</v>
      </c>
      <c r="P5059" s="1565">
        <v>38890.800000000003</v>
      </c>
      <c r="Q5059" s="1565">
        <v>7179.84</v>
      </c>
      <c r="R5059" s="1565">
        <v>46070.64</v>
      </c>
      <c r="S5059" s="1562"/>
    </row>
    <row r="5060" spans="2:19" ht="21.75" customHeight="1" outlineLevel="1">
      <c r="B5060" s="1569" t="s">
        <v>7641</v>
      </c>
      <c r="C5060" s="1566" t="s">
        <v>3437</v>
      </c>
      <c r="D5060" s="1566" t="s">
        <v>7640</v>
      </c>
      <c r="E5060" s="1566" t="s">
        <v>2219</v>
      </c>
      <c r="F5060" s="1566" t="s">
        <v>7623</v>
      </c>
      <c r="G5060" s="1566" t="s">
        <v>7639</v>
      </c>
      <c r="H5060" s="1568">
        <v>1</v>
      </c>
      <c r="I5060" s="1571">
        <v>549</v>
      </c>
      <c r="J5060" s="1566" t="s">
        <v>7638</v>
      </c>
      <c r="K5060" s="1565">
        <v>187855.8</v>
      </c>
      <c r="L5060" s="1565">
        <v>187855.8</v>
      </c>
      <c r="M5060" s="1564"/>
      <c r="N5060" s="1565">
        <v>187855.8</v>
      </c>
      <c r="O5060" s="1565">
        <v>147786.54</v>
      </c>
      <c r="P5060" s="1565">
        <v>33824.699999999997</v>
      </c>
      <c r="Q5060" s="1565">
        <v>6244.56</v>
      </c>
      <c r="R5060" s="1565">
        <v>40069.26</v>
      </c>
      <c r="S5060" s="1562"/>
    </row>
    <row r="5061" spans="2:19" ht="21.75" customHeight="1" outlineLevel="1">
      <c r="B5061" s="1569" t="s">
        <v>7637</v>
      </c>
      <c r="C5061" s="1566" t="s">
        <v>3437</v>
      </c>
      <c r="D5061" s="1566" t="s">
        <v>7636</v>
      </c>
      <c r="E5061" s="1566" t="s">
        <v>2219</v>
      </c>
      <c r="F5061" s="1566" t="s">
        <v>7623</v>
      </c>
      <c r="G5061" s="1566" t="s">
        <v>7635</v>
      </c>
      <c r="H5061" s="1568">
        <v>1</v>
      </c>
      <c r="I5061" s="1570">
        <v>131.9</v>
      </c>
      <c r="J5061" s="1566" t="s">
        <v>7634</v>
      </c>
      <c r="K5061" s="1565">
        <v>420310.01</v>
      </c>
      <c r="L5061" s="1565">
        <v>420310.01</v>
      </c>
      <c r="M5061" s="1564"/>
      <c r="N5061" s="1565">
        <v>420310.01</v>
      </c>
      <c r="O5061" s="1565">
        <v>320421.76000000001</v>
      </c>
      <c r="P5061" s="1565">
        <v>84321.25</v>
      </c>
      <c r="Q5061" s="1565">
        <v>15567</v>
      </c>
      <c r="R5061" s="1565">
        <v>99888.25</v>
      </c>
      <c r="S5061" s="1562"/>
    </row>
    <row r="5062" spans="2:19" ht="11.25" customHeight="1" outlineLevel="1">
      <c r="B5062" s="1569" t="s">
        <v>7633</v>
      </c>
      <c r="C5062" s="1566" t="s">
        <v>3437</v>
      </c>
      <c r="D5062" s="1566" t="s">
        <v>7632</v>
      </c>
      <c r="E5062" s="1566" t="s">
        <v>2219</v>
      </c>
      <c r="F5062" s="1566" t="s">
        <v>7623</v>
      </c>
      <c r="G5062" s="1566" t="s">
        <v>7631</v>
      </c>
      <c r="H5062" s="1568">
        <v>1</v>
      </c>
      <c r="I5062" s="1570">
        <v>107.2</v>
      </c>
      <c r="J5062" s="1566" t="s">
        <v>7630</v>
      </c>
      <c r="K5062" s="1565">
        <v>104812.36</v>
      </c>
      <c r="L5062" s="1565">
        <v>104812.36</v>
      </c>
      <c r="M5062" s="1564"/>
      <c r="N5062" s="1565">
        <v>104812.36</v>
      </c>
      <c r="O5062" s="1565">
        <v>79979.86</v>
      </c>
      <c r="P5062" s="1565">
        <v>20962.5</v>
      </c>
      <c r="Q5062" s="1565">
        <v>3870</v>
      </c>
      <c r="R5062" s="1565">
        <v>24832.5</v>
      </c>
      <c r="S5062" s="1562"/>
    </row>
    <row r="5063" spans="2:19" ht="11.25" customHeight="1" outlineLevel="1">
      <c r="B5063" s="1569" t="s">
        <v>7629</v>
      </c>
      <c r="C5063" s="1566" t="s">
        <v>3437</v>
      </c>
      <c r="D5063" s="1566" t="s">
        <v>7628</v>
      </c>
      <c r="E5063" s="1566" t="s">
        <v>2219</v>
      </c>
      <c r="F5063" s="1566"/>
      <c r="G5063" s="1566" t="s">
        <v>7627</v>
      </c>
      <c r="H5063" s="1568">
        <v>1</v>
      </c>
      <c r="I5063" s="1571">
        <v>1608</v>
      </c>
      <c r="J5063" s="1566" t="s">
        <v>7626</v>
      </c>
      <c r="K5063" s="1565">
        <v>596121.92000000004</v>
      </c>
      <c r="L5063" s="1565">
        <v>596121.92000000004</v>
      </c>
      <c r="M5063" s="1564"/>
      <c r="N5063" s="1565">
        <v>596121.92000000004</v>
      </c>
      <c r="O5063" s="1565">
        <v>459915.85</v>
      </c>
      <c r="P5063" s="1565">
        <v>114979.15</v>
      </c>
      <c r="Q5063" s="1565">
        <v>21226.92</v>
      </c>
      <c r="R5063" s="1565">
        <v>136206.07</v>
      </c>
      <c r="S5063" s="1562"/>
    </row>
    <row r="5064" spans="2:19" ht="11.25" customHeight="1" outlineLevel="1">
      <c r="B5064" s="1569" t="s">
        <v>7625</v>
      </c>
      <c r="C5064" s="1566" t="s">
        <v>3437</v>
      </c>
      <c r="D5064" s="1566" t="s">
        <v>7624</v>
      </c>
      <c r="E5064" s="1566" t="s">
        <v>2219</v>
      </c>
      <c r="F5064" s="1566" t="s">
        <v>7623</v>
      </c>
      <c r="G5064" s="1566" t="s">
        <v>7622</v>
      </c>
      <c r="H5064" s="1568">
        <v>1</v>
      </c>
      <c r="I5064" s="1571">
        <v>1489</v>
      </c>
      <c r="J5064" s="1566" t="s">
        <v>7621</v>
      </c>
      <c r="K5064" s="1565">
        <v>1044409.19</v>
      </c>
      <c r="L5064" s="1565">
        <v>1044409.19</v>
      </c>
      <c r="M5064" s="1564"/>
      <c r="N5064" s="1565">
        <v>1044409.19</v>
      </c>
      <c r="O5064" s="1565">
        <v>791517.44</v>
      </c>
      <c r="P5064" s="1565">
        <v>213480.15</v>
      </c>
      <c r="Q5064" s="1565">
        <v>39411.599999999999</v>
      </c>
      <c r="R5064" s="1565">
        <v>252891.75</v>
      </c>
      <c r="S5064" s="1562"/>
    </row>
    <row r="5065" spans="2:19" ht="21.75" customHeight="1" outlineLevel="1">
      <c r="B5065" s="1569" t="s">
        <v>7620</v>
      </c>
      <c r="C5065" s="1566" t="s">
        <v>3437</v>
      </c>
      <c r="D5065" s="1566" t="s">
        <v>7619</v>
      </c>
      <c r="E5065" s="1566" t="s">
        <v>2219</v>
      </c>
      <c r="F5065" s="1566" t="s">
        <v>7610</v>
      </c>
      <c r="G5065" s="1566" t="s">
        <v>7618</v>
      </c>
      <c r="H5065" s="1568">
        <v>1</v>
      </c>
      <c r="I5065" s="1571">
        <v>4</v>
      </c>
      <c r="J5065" s="1566" t="s">
        <v>7617</v>
      </c>
      <c r="K5065" s="1565">
        <v>1197.22</v>
      </c>
      <c r="L5065" s="1565">
        <v>1197.22</v>
      </c>
      <c r="M5065" s="1564"/>
      <c r="N5065" s="1565">
        <v>1197.22</v>
      </c>
      <c r="O5065" s="1572">
        <v>941.58</v>
      </c>
      <c r="P5065" s="1572">
        <v>215.8</v>
      </c>
      <c r="Q5065" s="1572">
        <v>39.840000000000003</v>
      </c>
      <c r="R5065" s="1572">
        <v>255.64</v>
      </c>
      <c r="S5065" s="1562"/>
    </row>
    <row r="5066" spans="2:19" ht="11.25" customHeight="1" outlineLevel="1">
      <c r="B5066" s="1569" t="s">
        <v>7616</v>
      </c>
      <c r="C5066" s="1566" t="s">
        <v>3437</v>
      </c>
      <c r="D5066" s="1566" t="s">
        <v>7615</v>
      </c>
      <c r="E5066" s="1566" t="s">
        <v>2219</v>
      </c>
      <c r="F5066" s="1566" t="s">
        <v>7610</v>
      </c>
      <c r="G5066" s="1566" t="s">
        <v>7614</v>
      </c>
      <c r="H5066" s="1568">
        <v>1</v>
      </c>
      <c r="I5066" s="1571">
        <v>493</v>
      </c>
      <c r="J5066" s="1566" t="s">
        <v>7613</v>
      </c>
      <c r="K5066" s="1565">
        <v>169548.36</v>
      </c>
      <c r="L5066" s="1565">
        <v>169548.36</v>
      </c>
      <c r="M5066" s="1564"/>
      <c r="N5066" s="1565">
        <v>169548.36</v>
      </c>
      <c r="O5066" s="1565">
        <v>133384.54</v>
      </c>
      <c r="P5066" s="1565">
        <v>30527.9</v>
      </c>
      <c r="Q5066" s="1565">
        <v>5635.92</v>
      </c>
      <c r="R5066" s="1565">
        <v>36163.82</v>
      </c>
      <c r="S5066" s="1562"/>
    </row>
    <row r="5067" spans="2:19" ht="21.75" customHeight="1" outlineLevel="1">
      <c r="B5067" s="1569" t="s">
        <v>7612</v>
      </c>
      <c r="C5067" s="1566" t="s">
        <v>3437</v>
      </c>
      <c r="D5067" s="1566" t="s">
        <v>7611</v>
      </c>
      <c r="E5067" s="1566" t="s">
        <v>2219</v>
      </c>
      <c r="F5067" s="1566" t="s">
        <v>7610</v>
      </c>
      <c r="G5067" s="1566" t="s">
        <v>7609</v>
      </c>
      <c r="H5067" s="1568">
        <v>1</v>
      </c>
      <c r="I5067" s="1571">
        <v>22</v>
      </c>
      <c r="J5067" s="1566" t="s">
        <v>7608</v>
      </c>
      <c r="K5067" s="1565">
        <v>111092.76</v>
      </c>
      <c r="L5067" s="1565">
        <v>111092.76</v>
      </c>
      <c r="M5067" s="1564"/>
      <c r="N5067" s="1565">
        <v>111092.76</v>
      </c>
      <c r="O5067" s="1565">
        <v>87396.78</v>
      </c>
      <c r="P5067" s="1565">
        <v>20003.099999999999</v>
      </c>
      <c r="Q5067" s="1565">
        <v>3692.88</v>
      </c>
      <c r="R5067" s="1565">
        <v>23695.98</v>
      </c>
      <c r="S5067" s="1562"/>
    </row>
    <row r="5068" spans="2:19" ht="21.75" customHeight="1" outlineLevel="1">
      <c r="B5068" s="1569" t="s">
        <v>7607</v>
      </c>
      <c r="C5068" s="1566" t="s">
        <v>7606</v>
      </c>
      <c r="D5068" s="1566" t="s">
        <v>7605</v>
      </c>
      <c r="E5068" s="1566"/>
      <c r="F5068" s="1566"/>
      <c r="G5068" s="1566"/>
      <c r="H5068" s="1568">
        <v>1</v>
      </c>
      <c r="I5068" s="1566"/>
      <c r="J5068" s="1566"/>
      <c r="K5068" s="1565">
        <v>44582.74</v>
      </c>
      <c r="L5068" s="1565">
        <v>44582.74</v>
      </c>
      <c r="M5068" s="1564"/>
      <c r="N5068" s="1565">
        <v>44582.74</v>
      </c>
      <c r="O5068" s="1565">
        <v>35073.24</v>
      </c>
      <c r="P5068" s="1565">
        <v>8027.5</v>
      </c>
      <c r="Q5068" s="1565">
        <v>1482</v>
      </c>
      <c r="R5068" s="1565">
        <v>9509.5</v>
      </c>
      <c r="S5068" s="1562"/>
    </row>
    <row r="5069" spans="2:19" ht="11.25" customHeight="1" outlineLevel="1">
      <c r="B5069" s="1569" t="s">
        <v>7604</v>
      </c>
      <c r="C5069" s="1566" t="s">
        <v>3432</v>
      </c>
      <c r="D5069" s="1566" t="s">
        <v>7603</v>
      </c>
      <c r="E5069" s="1566"/>
      <c r="F5069" s="1566"/>
      <c r="G5069" s="1566"/>
      <c r="H5069" s="1568">
        <v>1</v>
      </c>
      <c r="I5069" s="1566"/>
      <c r="J5069" s="1566"/>
      <c r="K5069" s="1565">
        <v>959337.28</v>
      </c>
      <c r="L5069" s="1565">
        <v>959337.28</v>
      </c>
      <c r="M5069" s="1564"/>
      <c r="N5069" s="1565">
        <v>959337.28</v>
      </c>
      <c r="O5069" s="1565">
        <v>760029.27</v>
      </c>
      <c r="P5069" s="1565">
        <v>167418.72</v>
      </c>
      <c r="Q5069" s="1565">
        <v>31889.29</v>
      </c>
      <c r="R5069" s="1565">
        <v>199308.01</v>
      </c>
      <c r="S5069" s="1562"/>
    </row>
    <row r="5070" spans="2:19" ht="11.25" customHeight="1" outlineLevel="1">
      <c r="B5070" s="1569" t="s">
        <v>7602</v>
      </c>
      <c r="C5070" s="1566" t="s">
        <v>7601</v>
      </c>
      <c r="D5070" s="1566" t="s">
        <v>7600</v>
      </c>
      <c r="E5070" s="1566"/>
      <c r="F5070" s="1566"/>
      <c r="G5070" s="1566"/>
      <c r="H5070" s="1568">
        <v>1</v>
      </c>
      <c r="I5070" s="1566"/>
      <c r="J5070" s="1566"/>
      <c r="K5070" s="1565">
        <v>64206.2</v>
      </c>
      <c r="L5070" s="1565">
        <v>64206.2</v>
      </c>
      <c r="M5070" s="1565">
        <v>-64206.2</v>
      </c>
      <c r="N5070" s="1564"/>
      <c r="O5070" s="1564"/>
      <c r="P5070" s="1565">
        <v>64206.2</v>
      </c>
      <c r="Q5070" s="1565">
        <v>-64206.2</v>
      </c>
      <c r="R5070" s="1564"/>
      <c r="S5070" s="1562"/>
    </row>
    <row r="5071" spans="2:19" ht="21.75" customHeight="1" outlineLevel="1">
      <c r="B5071" s="1569" t="s">
        <v>7599</v>
      </c>
      <c r="C5071" s="1566" t="s">
        <v>7585</v>
      </c>
      <c r="D5071" s="1566" t="s">
        <v>7598</v>
      </c>
      <c r="E5071" s="1566"/>
      <c r="F5071" s="1566"/>
      <c r="G5071" s="1566" t="s">
        <v>7597</v>
      </c>
      <c r="H5071" s="1568">
        <v>1</v>
      </c>
      <c r="I5071" s="1566"/>
      <c r="J5071" s="1566"/>
      <c r="K5071" s="1565">
        <v>88643.91</v>
      </c>
      <c r="L5071" s="1565">
        <v>88643.91</v>
      </c>
      <c r="M5071" s="1564"/>
      <c r="N5071" s="1565">
        <v>88643.91</v>
      </c>
      <c r="O5071" s="1565">
        <v>70473.210000000006</v>
      </c>
      <c r="P5071" s="1565">
        <v>15224.1</v>
      </c>
      <c r="Q5071" s="1565">
        <v>2946.6</v>
      </c>
      <c r="R5071" s="1565">
        <v>18170.7</v>
      </c>
      <c r="S5071" s="1562"/>
    </row>
    <row r="5072" spans="2:19" ht="21.75" customHeight="1" outlineLevel="1">
      <c r="B5072" s="1569" t="s">
        <v>7596</v>
      </c>
      <c r="C5072" s="1566" t="s">
        <v>7585</v>
      </c>
      <c r="D5072" s="1566" t="s">
        <v>7595</v>
      </c>
      <c r="E5072" s="1566"/>
      <c r="F5072" s="1566"/>
      <c r="G5072" s="1566"/>
      <c r="H5072" s="1568">
        <v>1</v>
      </c>
      <c r="I5072" s="1571">
        <v>17</v>
      </c>
      <c r="J5072" s="1566"/>
      <c r="K5072" s="1565">
        <v>90778.76</v>
      </c>
      <c r="L5072" s="1565">
        <v>90778.76</v>
      </c>
      <c r="M5072" s="1564"/>
      <c r="N5072" s="1565">
        <v>90778.76</v>
      </c>
      <c r="O5072" s="1565">
        <v>72170.600000000006</v>
      </c>
      <c r="P5072" s="1565">
        <v>15590.52</v>
      </c>
      <c r="Q5072" s="1565">
        <v>3017.64</v>
      </c>
      <c r="R5072" s="1565">
        <v>18608.16</v>
      </c>
      <c r="S5072" s="1562"/>
    </row>
    <row r="5073" spans="2:19" ht="21.75" customHeight="1" outlineLevel="1">
      <c r="B5073" s="1569" t="s">
        <v>7594</v>
      </c>
      <c r="C5073" s="1566" t="s">
        <v>7585</v>
      </c>
      <c r="D5073" s="1566" t="s">
        <v>7593</v>
      </c>
      <c r="E5073" s="1566"/>
      <c r="F5073" s="1566"/>
      <c r="G5073" s="1566"/>
      <c r="H5073" s="1568">
        <v>1</v>
      </c>
      <c r="I5073" s="1566"/>
      <c r="J5073" s="1566"/>
      <c r="K5073" s="1565">
        <v>52554.35</v>
      </c>
      <c r="L5073" s="1565">
        <v>52554.35</v>
      </c>
      <c r="M5073" s="1564"/>
      <c r="N5073" s="1565">
        <v>52554.35</v>
      </c>
      <c r="O5073" s="1565">
        <v>41781.43</v>
      </c>
      <c r="P5073" s="1565">
        <v>9025.9599999999991</v>
      </c>
      <c r="Q5073" s="1565">
        <v>1746.96</v>
      </c>
      <c r="R5073" s="1565">
        <v>10772.92</v>
      </c>
      <c r="S5073" s="1562"/>
    </row>
    <row r="5074" spans="2:19" ht="21.75" customHeight="1" outlineLevel="1">
      <c r="B5074" s="1569" t="s">
        <v>7592</v>
      </c>
      <c r="C5074" s="1566" t="s">
        <v>7585</v>
      </c>
      <c r="D5074" s="1566" t="s">
        <v>7591</v>
      </c>
      <c r="E5074" s="1566"/>
      <c r="F5074" s="1566"/>
      <c r="G5074" s="1566"/>
      <c r="H5074" s="1568">
        <v>1</v>
      </c>
      <c r="I5074" s="1566"/>
      <c r="J5074" s="1566"/>
      <c r="K5074" s="1565">
        <v>70384.56</v>
      </c>
      <c r="L5074" s="1565">
        <v>70384.56</v>
      </c>
      <c r="M5074" s="1564"/>
      <c r="N5074" s="1565">
        <v>70384.56</v>
      </c>
      <c r="O5074" s="1565">
        <v>55956.78</v>
      </c>
      <c r="P5074" s="1565">
        <v>12088.14</v>
      </c>
      <c r="Q5074" s="1565">
        <v>2339.64</v>
      </c>
      <c r="R5074" s="1565">
        <v>14427.78</v>
      </c>
      <c r="S5074" s="1562"/>
    </row>
    <row r="5075" spans="2:19" ht="21.75" customHeight="1" outlineLevel="1">
      <c r="B5075" s="1569" t="s">
        <v>7590</v>
      </c>
      <c r="C5075" s="1566" t="s">
        <v>7585</v>
      </c>
      <c r="D5075" s="1566" t="s">
        <v>7589</v>
      </c>
      <c r="E5075" s="1566"/>
      <c r="F5075" s="1566"/>
      <c r="G5075" s="1566"/>
      <c r="H5075" s="1568">
        <v>1</v>
      </c>
      <c r="I5075" s="1566"/>
      <c r="J5075" s="1566"/>
      <c r="K5075" s="1565">
        <v>72601.78</v>
      </c>
      <c r="L5075" s="1565">
        <v>72601.78</v>
      </c>
      <c r="M5075" s="1564"/>
      <c r="N5075" s="1565">
        <v>72601.78</v>
      </c>
      <c r="O5075" s="1565">
        <v>57719.64</v>
      </c>
      <c r="P5075" s="1565">
        <v>12468.82</v>
      </c>
      <c r="Q5075" s="1565">
        <v>2413.3200000000002</v>
      </c>
      <c r="R5075" s="1565">
        <v>14882.14</v>
      </c>
      <c r="S5075" s="1562"/>
    </row>
    <row r="5076" spans="2:19" ht="21.75" customHeight="1" outlineLevel="1">
      <c r="B5076" s="1569" t="s">
        <v>7588</v>
      </c>
      <c r="C5076" s="1566" t="s">
        <v>7585</v>
      </c>
      <c r="D5076" s="1566" t="s">
        <v>7587</v>
      </c>
      <c r="E5076" s="1566"/>
      <c r="F5076" s="1566"/>
      <c r="G5076" s="1566"/>
      <c r="H5076" s="1568">
        <v>1</v>
      </c>
      <c r="I5076" s="1566"/>
      <c r="J5076" s="1566"/>
      <c r="K5076" s="1565">
        <v>150490.23000000001</v>
      </c>
      <c r="L5076" s="1565">
        <v>150490.23000000001</v>
      </c>
      <c r="M5076" s="1564"/>
      <c r="N5076" s="1565">
        <v>150490.23000000001</v>
      </c>
      <c r="O5076" s="1565">
        <v>119641.85</v>
      </c>
      <c r="P5076" s="1565">
        <v>25845.94</v>
      </c>
      <c r="Q5076" s="1565">
        <v>5002.4399999999996</v>
      </c>
      <c r="R5076" s="1565">
        <v>30848.38</v>
      </c>
      <c r="S5076" s="1562"/>
    </row>
    <row r="5077" spans="2:19" ht="21.75" customHeight="1" outlineLevel="1">
      <c r="B5077" s="1569" t="s">
        <v>7586</v>
      </c>
      <c r="C5077" s="1566" t="s">
        <v>7585</v>
      </c>
      <c r="D5077" s="1566" t="s">
        <v>7584</v>
      </c>
      <c r="E5077" s="1566"/>
      <c r="F5077" s="1566"/>
      <c r="G5077" s="1566" t="s">
        <v>7583</v>
      </c>
      <c r="H5077" s="1568">
        <v>1</v>
      </c>
      <c r="I5077" s="1566"/>
      <c r="J5077" s="1566"/>
      <c r="K5077" s="1565">
        <v>81601.63</v>
      </c>
      <c r="L5077" s="1565">
        <v>81601.63</v>
      </c>
      <c r="M5077" s="1564"/>
      <c r="N5077" s="1565">
        <v>81601.63</v>
      </c>
      <c r="O5077" s="1565">
        <v>64874.67</v>
      </c>
      <c r="P5077" s="1565">
        <v>14014.48</v>
      </c>
      <c r="Q5077" s="1565">
        <v>2712.48</v>
      </c>
      <c r="R5077" s="1565">
        <v>16726.96</v>
      </c>
      <c r="S5077" s="1562"/>
    </row>
    <row r="5078" spans="2:19" ht="11.25" customHeight="1" outlineLevel="1">
      <c r="B5078" s="1569" t="s">
        <v>7582</v>
      </c>
      <c r="C5078" s="1566" t="s">
        <v>7581</v>
      </c>
      <c r="D5078" s="1566" t="s">
        <v>7580</v>
      </c>
      <c r="E5078" s="1566"/>
      <c r="F5078" s="1566"/>
      <c r="G5078" s="1566"/>
      <c r="H5078" s="1568">
        <v>1</v>
      </c>
      <c r="I5078" s="1566"/>
      <c r="J5078" s="1566"/>
      <c r="K5078" s="1565">
        <v>175774.47</v>
      </c>
      <c r="L5078" s="1565">
        <v>175774.47</v>
      </c>
      <c r="M5078" s="1564"/>
      <c r="N5078" s="1565">
        <v>175774.47</v>
      </c>
      <c r="O5078" s="1565">
        <v>24815.34</v>
      </c>
      <c r="P5078" s="1565">
        <v>126143.73</v>
      </c>
      <c r="Q5078" s="1565">
        <v>24815.4</v>
      </c>
      <c r="R5078" s="1565">
        <v>150959.13</v>
      </c>
      <c r="S5078" s="1562"/>
    </row>
    <row r="5079" spans="2:19" ht="11.25" customHeight="1" outlineLevel="1">
      <c r="B5079" s="1569" t="s">
        <v>7579</v>
      </c>
      <c r="C5079" s="1566" t="s">
        <v>7574</v>
      </c>
      <c r="D5079" s="1566" t="s">
        <v>7578</v>
      </c>
      <c r="E5079" s="1566"/>
      <c r="F5079" s="1566"/>
      <c r="G5079" s="1566"/>
      <c r="H5079" s="1568">
        <v>1</v>
      </c>
      <c r="I5079" s="1566"/>
      <c r="J5079" s="1566"/>
      <c r="K5079" s="1572">
        <v>0.01</v>
      </c>
      <c r="L5079" s="1572">
        <v>0.01</v>
      </c>
      <c r="M5079" s="1572">
        <v>-0.01</v>
      </c>
      <c r="N5079" s="1564"/>
      <c r="O5079" s="1564"/>
      <c r="P5079" s="1572">
        <v>0.01</v>
      </c>
      <c r="Q5079" s="1572">
        <v>-0.01</v>
      </c>
      <c r="R5079" s="1564"/>
      <c r="S5079" s="1562"/>
    </row>
    <row r="5080" spans="2:19" ht="11.25" customHeight="1" outlineLevel="1">
      <c r="B5080" s="1569" t="s">
        <v>7577</v>
      </c>
      <c r="C5080" s="1566" t="s">
        <v>7574</v>
      </c>
      <c r="D5080" s="1566" t="s">
        <v>7576</v>
      </c>
      <c r="E5080" s="1566"/>
      <c r="F5080" s="1566"/>
      <c r="G5080" s="1566"/>
      <c r="H5080" s="1568">
        <v>1</v>
      </c>
      <c r="I5080" s="1566"/>
      <c r="J5080" s="1566"/>
      <c r="K5080" s="1572">
        <v>0.01</v>
      </c>
      <c r="L5080" s="1572">
        <v>0.01</v>
      </c>
      <c r="M5080" s="1572">
        <v>-0.01</v>
      </c>
      <c r="N5080" s="1564"/>
      <c r="O5080" s="1564"/>
      <c r="P5080" s="1572">
        <v>0.01</v>
      </c>
      <c r="Q5080" s="1572">
        <v>-0.01</v>
      </c>
      <c r="R5080" s="1564"/>
      <c r="S5080" s="1562"/>
    </row>
    <row r="5081" spans="2:19" ht="11.25" customHeight="1" outlineLevel="1">
      <c r="B5081" s="1569" t="s">
        <v>7575</v>
      </c>
      <c r="C5081" s="1566" t="s">
        <v>7574</v>
      </c>
      <c r="D5081" s="1566" t="s">
        <v>7573</v>
      </c>
      <c r="E5081" s="1566"/>
      <c r="F5081" s="1566"/>
      <c r="G5081" s="1566"/>
      <c r="H5081" s="1568">
        <v>1</v>
      </c>
      <c r="I5081" s="1566"/>
      <c r="J5081" s="1566"/>
      <c r="K5081" s="1572">
        <v>0.01</v>
      </c>
      <c r="L5081" s="1572">
        <v>0.01</v>
      </c>
      <c r="M5081" s="1572">
        <v>-0.01</v>
      </c>
      <c r="N5081" s="1564"/>
      <c r="O5081" s="1564"/>
      <c r="P5081" s="1572">
        <v>0.01</v>
      </c>
      <c r="Q5081" s="1572">
        <v>-0.01</v>
      </c>
      <c r="R5081" s="1564"/>
      <c r="S5081" s="1562"/>
    </row>
    <row r="5082" spans="2:19" ht="21.75" customHeight="1" outlineLevel="1">
      <c r="B5082" s="1569" t="s">
        <v>7572</v>
      </c>
      <c r="C5082" s="1566" t="s">
        <v>3421</v>
      </c>
      <c r="D5082" s="1566" t="s">
        <v>7571</v>
      </c>
      <c r="E5082" s="1566"/>
      <c r="F5082" s="1566"/>
      <c r="G5082" s="1566"/>
      <c r="H5082" s="1568">
        <v>1</v>
      </c>
      <c r="I5082" s="1566"/>
      <c r="J5082" s="1566"/>
      <c r="K5082" s="1565">
        <v>50094.82</v>
      </c>
      <c r="L5082" s="1565">
        <v>50094.82</v>
      </c>
      <c r="M5082" s="1564"/>
      <c r="N5082" s="1565">
        <v>50094.82</v>
      </c>
      <c r="O5082" s="1565">
        <v>40103.379999999997</v>
      </c>
      <c r="P5082" s="1565">
        <v>8326.2000000000007</v>
      </c>
      <c r="Q5082" s="1565">
        <v>1665.24</v>
      </c>
      <c r="R5082" s="1565">
        <v>9991.44</v>
      </c>
      <c r="S5082" s="1562"/>
    </row>
    <row r="5083" spans="2:19" ht="21.75" customHeight="1" outlineLevel="1">
      <c r="B5083" s="1569" t="s">
        <v>7570</v>
      </c>
      <c r="C5083" s="1566" t="s">
        <v>3421</v>
      </c>
      <c r="D5083" s="1566" t="s">
        <v>7569</v>
      </c>
      <c r="E5083" s="1566"/>
      <c r="F5083" s="1566"/>
      <c r="G5083" s="1566"/>
      <c r="H5083" s="1568">
        <v>1</v>
      </c>
      <c r="I5083" s="1566"/>
      <c r="J5083" s="1566"/>
      <c r="K5083" s="1565">
        <v>116627.77</v>
      </c>
      <c r="L5083" s="1565">
        <v>116627.77</v>
      </c>
      <c r="M5083" s="1564"/>
      <c r="N5083" s="1565">
        <v>116627.77</v>
      </c>
      <c r="O5083" s="1565">
        <v>93366.73</v>
      </c>
      <c r="P5083" s="1565">
        <v>19384.2</v>
      </c>
      <c r="Q5083" s="1565">
        <v>3876.84</v>
      </c>
      <c r="R5083" s="1565">
        <v>23261.040000000001</v>
      </c>
      <c r="S5083" s="1562"/>
    </row>
    <row r="5084" spans="2:19" ht="21.75" customHeight="1" outlineLevel="1">
      <c r="B5084" s="1569" t="s">
        <v>7568</v>
      </c>
      <c r="C5084" s="1566" t="s">
        <v>3421</v>
      </c>
      <c r="D5084" s="1566" t="s">
        <v>7567</v>
      </c>
      <c r="E5084" s="1566" t="s">
        <v>2208</v>
      </c>
      <c r="F5084" s="1566"/>
      <c r="G5084" s="1566" t="s">
        <v>7566</v>
      </c>
      <c r="H5084" s="1568">
        <v>1</v>
      </c>
      <c r="I5084" s="1571">
        <v>13</v>
      </c>
      <c r="J5084" s="1566"/>
      <c r="K5084" s="1565">
        <v>36779.64</v>
      </c>
      <c r="L5084" s="1565">
        <v>36779.64</v>
      </c>
      <c r="M5084" s="1564"/>
      <c r="N5084" s="1565">
        <v>36779.64</v>
      </c>
      <c r="O5084" s="1565">
        <v>29444.28</v>
      </c>
      <c r="P5084" s="1565">
        <v>6112.8</v>
      </c>
      <c r="Q5084" s="1565">
        <v>1222.56</v>
      </c>
      <c r="R5084" s="1565">
        <v>7335.36</v>
      </c>
      <c r="S5084" s="1562"/>
    </row>
    <row r="5085" spans="2:19" ht="11.25" customHeight="1" outlineLevel="1">
      <c r="B5085" s="1569" t="s">
        <v>7565</v>
      </c>
      <c r="C5085" s="1566" t="s">
        <v>3421</v>
      </c>
      <c r="D5085" s="1566" t="s">
        <v>7564</v>
      </c>
      <c r="E5085" s="1566"/>
      <c r="F5085" s="1566"/>
      <c r="G5085" s="1566"/>
      <c r="H5085" s="1568">
        <v>1</v>
      </c>
      <c r="I5085" s="1566"/>
      <c r="J5085" s="1566"/>
      <c r="K5085" s="1565">
        <v>37494.120000000003</v>
      </c>
      <c r="L5085" s="1565">
        <v>37494.120000000003</v>
      </c>
      <c r="M5085" s="1564"/>
      <c r="N5085" s="1565">
        <v>37494.120000000003</v>
      </c>
      <c r="O5085" s="1565">
        <v>30016.2</v>
      </c>
      <c r="P5085" s="1565">
        <v>6231.6</v>
      </c>
      <c r="Q5085" s="1565">
        <v>1246.32</v>
      </c>
      <c r="R5085" s="1565">
        <v>7477.92</v>
      </c>
      <c r="S5085" s="1562"/>
    </row>
    <row r="5086" spans="2:19" ht="21.75" customHeight="1" outlineLevel="1">
      <c r="B5086" s="1569" t="s">
        <v>7563</v>
      </c>
      <c r="C5086" s="1566" t="s">
        <v>3421</v>
      </c>
      <c r="D5086" s="1566" t="s">
        <v>7562</v>
      </c>
      <c r="E5086" s="1566"/>
      <c r="F5086" s="1566"/>
      <c r="G5086" s="1566"/>
      <c r="H5086" s="1568">
        <v>1</v>
      </c>
      <c r="I5086" s="1566"/>
      <c r="J5086" s="1566"/>
      <c r="K5086" s="1565">
        <v>57501.34</v>
      </c>
      <c r="L5086" s="1565">
        <v>57501.34</v>
      </c>
      <c r="M5086" s="1564"/>
      <c r="N5086" s="1565">
        <v>57501.34</v>
      </c>
      <c r="O5086" s="1565">
        <v>46033.18</v>
      </c>
      <c r="P5086" s="1565">
        <v>9556.7999999999993</v>
      </c>
      <c r="Q5086" s="1565">
        <v>1911.36</v>
      </c>
      <c r="R5086" s="1565">
        <v>11468.16</v>
      </c>
      <c r="S5086" s="1562"/>
    </row>
    <row r="5087" spans="2:19" ht="11.25" customHeight="1" outlineLevel="1">
      <c r="B5087" s="1569" t="s">
        <v>7561</v>
      </c>
      <c r="C5087" s="1566" t="s">
        <v>3421</v>
      </c>
      <c r="D5087" s="1566" t="s">
        <v>7560</v>
      </c>
      <c r="E5087" s="1566"/>
      <c r="F5087" s="1566"/>
      <c r="G5087" s="1566" t="s">
        <v>7559</v>
      </c>
      <c r="H5087" s="1568">
        <v>1</v>
      </c>
      <c r="I5087" s="1566"/>
      <c r="J5087" s="1566"/>
      <c r="K5087" s="1565">
        <v>59105.9</v>
      </c>
      <c r="L5087" s="1565">
        <v>59105.9</v>
      </c>
      <c r="M5087" s="1564"/>
      <c r="N5087" s="1565">
        <v>59105.9</v>
      </c>
      <c r="O5087" s="1565">
        <v>47317.34</v>
      </c>
      <c r="P5087" s="1565">
        <v>9823.7999999999993</v>
      </c>
      <c r="Q5087" s="1565">
        <v>1964.76</v>
      </c>
      <c r="R5087" s="1565">
        <v>11788.56</v>
      </c>
      <c r="S5087" s="1562"/>
    </row>
    <row r="5088" spans="2:19" ht="11.25" customHeight="1" outlineLevel="1">
      <c r="B5088" s="1569" t="s">
        <v>7558</v>
      </c>
      <c r="C5088" s="1566" t="s">
        <v>3421</v>
      </c>
      <c r="D5088" s="1566" t="s">
        <v>7557</v>
      </c>
      <c r="E5088" s="1566"/>
      <c r="F5088" s="1566"/>
      <c r="G5088" s="1566"/>
      <c r="H5088" s="1568">
        <v>1</v>
      </c>
      <c r="I5088" s="1566"/>
      <c r="J5088" s="1566"/>
      <c r="K5088" s="1565">
        <v>25932.58</v>
      </c>
      <c r="L5088" s="1565">
        <v>25932.58</v>
      </c>
      <c r="M5088" s="1564"/>
      <c r="N5088" s="1565">
        <v>25932.58</v>
      </c>
      <c r="O5088" s="1565">
        <v>20760.22</v>
      </c>
      <c r="P5088" s="1565">
        <v>4310.3999999999996</v>
      </c>
      <c r="Q5088" s="1572">
        <v>861.96</v>
      </c>
      <c r="R5088" s="1565">
        <v>5172.3599999999997</v>
      </c>
      <c r="S5088" s="1562"/>
    </row>
    <row r="5089" spans="2:19" ht="21.75" customHeight="1" outlineLevel="1">
      <c r="B5089" s="1569" t="s">
        <v>7556</v>
      </c>
      <c r="C5089" s="1566" t="s">
        <v>3421</v>
      </c>
      <c r="D5089" s="1566" t="s">
        <v>7555</v>
      </c>
      <c r="E5089" s="1566"/>
      <c r="F5089" s="1566"/>
      <c r="G5089" s="1566"/>
      <c r="H5089" s="1568">
        <v>1</v>
      </c>
      <c r="I5089" s="1566"/>
      <c r="J5089" s="1566"/>
      <c r="K5089" s="1565">
        <v>33107.65</v>
      </c>
      <c r="L5089" s="1565">
        <v>33107.65</v>
      </c>
      <c r="M5089" s="1564"/>
      <c r="N5089" s="1565">
        <v>33107.65</v>
      </c>
      <c r="O5089" s="1565">
        <v>26504.53</v>
      </c>
      <c r="P5089" s="1565">
        <v>5502.6</v>
      </c>
      <c r="Q5089" s="1565">
        <v>1100.52</v>
      </c>
      <c r="R5089" s="1565">
        <v>6603.12</v>
      </c>
      <c r="S5089" s="1562"/>
    </row>
    <row r="5090" spans="2:19" ht="11.25" customHeight="1" outlineLevel="1">
      <c r="B5090" s="1569" t="s">
        <v>7554</v>
      </c>
      <c r="C5090" s="1566" t="s">
        <v>3421</v>
      </c>
      <c r="D5090" s="1566" t="s">
        <v>7553</v>
      </c>
      <c r="E5090" s="1566"/>
      <c r="F5090" s="1566"/>
      <c r="G5090" s="1566"/>
      <c r="H5090" s="1568">
        <v>1</v>
      </c>
      <c r="I5090" s="1566"/>
      <c r="J5090" s="1566"/>
      <c r="K5090" s="1565">
        <v>252624.09</v>
      </c>
      <c r="L5090" s="1565">
        <v>252624.09</v>
      </c>
      <c r="M5090" s="1564"/>
      <c r="N5090" s="1565">
        <v>252624.09</v>
      </c>
      <c r="O5090" s="1565">
        <v>202239.21</v>
      </c>
      <c r="P5090" s="1565">
        <v>41987.4</v>
      </c>
      <c r="Q5090" s="1565">
        <v>8397.48</v>
      </c>
      <c r="R5090" s="1565">
        <v>50384.88</v>
      </c>
      <c r="S5090" s="1562"/>
    </row>
    <row r="5091" spans="2:19" ht="21.75" customHeight="1" outlineLevel="1">
      <c r="B5091" s="1569" t="s">
        <v>7552</v>
      </c>
      <c r="C5091" s="1566" t="s">
        <v>3421</v>
      </c>
      <c r="D5091" s="1566" t="s">
        <v>7551</v>
      </c>
      <c r="E5091" s="1566"/>
      <c r="F5091" s="1566"/>
      <c r="G5091" s="1566"/>
      <c r="H5091" s="1568">
        <v>1</v>
      </c>
      <c r="I5091" s="1566"/>
      <c r="J5091" s="1566"/>
      <c r="K5091" s="1565">
        <v>1384899.62</v>
      </c>
      <c r="L5091" s="1565">
        <v>1384899.62</v>
      </c>
      <c r="M5091" s="1564"/>
      <c r="N5091" s="1565">
        <v>1384899.62</v>
      </c>
      <c r="O5091" s="1565">
        <v>1108686.74</v>
      </c>
      <c r="P5091" s="1565">
        <v>230177.4</v>
      </c>
      <c r="Q5091" s="1565">
        <v>46035.48</v>
      </c>
      <c r="R5091" s="1565">
        <v>276212.88</v>
      </c>
      <c r="S5091" s="1562"/>
    </row>
    <row r="5092" spans="2:19" ht="11.25" customHeight="1" outlineLevel="1">
      <c r="B5092" s="1569" t="s">
        <v>7550</v>
      </c>
      <c r="C5092" s="1566" t="s">
        <v>3421</v>
      </c>
      <c r="D5092" s="1566" t="s">
        <v>7549</v>
      </c>
      <c r="E5092" s="1566"/>
      <c r="F5092" s="1566"/>
      <c r="G5092" s="1566"/>
      <c r="H5092" s="1568">
        <v>1</v>
      </c>
      <c r="I5092" s="1566"/>
      <c r="J5092" s="1566"/>
      <c r="K5092" s="1565">
        <v>3673596.74</v>
      </c>
      <c r="L5092" s="1565">
        <v>3673596.74</v>
      </c>
      <c r="M5092" s="1564"/>
      <c r="N5092" s="1565">
        <v>3673596.74</v>
      </c>
      <c r="O5092" s="1565">
        <v>2940912.5</v>
      </c>
      <c r="P5092" s="1565">
        <v>610570.19999999995</v>
      </c>
      <c r="Q5092" s="1565">
        <v>122114.04</v>
      </c>
      <c r="R5092" s="1565">
        <v>732684.24</v>
      </c>
      <c r="S5092" s="1562"/>
    </row>
    <row r="5093" spans="2:19" ht="21.75" customHeight="1" outlineLevel="1">
      <c r="B5093" s="1569" t="s">
        <v>7548</v>
      </c>
      <c r="C5093" s="1566" t="s">
        <v>3421</v>
      </c>
      <c r="D5093" s="1566" t="s">
        <v>7547</v>
      </c>
      <c r="E5093" s="1566" t="s">
        <v>2208</v>
      </c>
      <c r="F5093" s="1566"/>
      <c r="G5093" s="1566" t="s">
        <v>7546</v>
      </c>
      <c r="H5093" s="1568">
        <v>1</v>
      </c>
      <c r="I5093" s="1571">
        <v>5</v>
      </c>
      <c r="J5093" s="1566"/>
      <c r="K5093" s="1565">
        <v>20570.560000000001</v>
      </c>
      <c r="L5093" s="1565">
        <v>20570.560000000001</v>
      </c>
      <c r="M5093" s="1564"/>
      <c r="N5093" s="1565">
        <v>20570.560000000001</v>
      </c>
      <c r="O5093" s="1565">
        <v>16468</v>
      </c>
      <c r="P5093" s="1565">
        <v>3418.8</v>
      </c>
      <c r="Q5093" s="1572">
        <v>683.76</v>
      </c>
      <c r="R5093" s="1565">
        <v>4102.5600000000004</v>
      </c>
      <c r="S5093" s="1562"/>
    </row>
    <row r="5094" spans="2:19" ht="21.75" customHeight="1" outlineLevel="1">
      <c r="B5094" s="1569" t="s">
        <v>7545</v>
      </c>
      <c r="C5094" s="1566" t="s">
        <v>3421</v>
      </c>
      <c r="D5094" s="1566" t="s">
        <v>7544</v>
      </c>
      <c r="E5094" s="1566"/>
      <c r="F5094" s="1566"/>
      <c r="G5094" s="1566"/>
      <c r="H5094" s="1568">
        <v>1</v>
      </c>
      <c r="I5094" s="1566"/>
      <c r="J5094" s="1566"/>
      <c r="K5094" s="1565">
        <v>433569.68</v>
      </c>
      <c r="L5094" s="1565">
        <v>433569.68</v>
      </c>
      <c r="M5094" s="1564"/>
      <c r="N5094" s="1565">
        <v>433569.68</v>
      </c>
      <c r="O5094" s="1565">
        <v>347096.22</v>
      </c>
      <c r="P5094" s="1565">
        <v>72061.2</v>
      </c>
      <c r="Q5094" s="1565">
        <v>14412.26</v>
      </c>
      <c r="R5094" s="1565">
        <v>86473.46</v>
      </c>
      <c r="S5094" s="1562"/>
    </row>
    <row r="5095" spans="2:19" ht="21.75" customHeight="1" outlineLevel="1">
      <c r="B5095" s="1569" t="s">
        <v>7543</v>
      </c>
      <c r="C5095" s="1566" t="s">
        <v>3421</v>
      </c>
      <c r="D5095" s="1566" t="s">
        <v>7542</v>
      </c>
      <c r="E5095" s="1566"/>
      <c r="F5095" s="1566"/>
      <c r="G5095" s="1566"/>
      <c r="H5095" s="1568">
        <v>1</v>
      </c>
      <c r="I5095" s="1566"/>
      <c r="J5095" s="1566"/>
      <c r="K5095" s="1565">
        <v>183245.24</v>
      </c>
      <c r="L5095" s="1565">
        <v>183245.24</v>
      </c>
      <c r="M5095" s="1564"/>
      <c r="N5095" s="1565">
        <v>183245.24</v>
      </c>
      <c r="O5095" s="1565">
        <v>146697.92000000001</v>
      </c>
      <c r="P5095" s="1565">
        <v>30456</v>
      </c>
      <c r="Q5095" s="1565">
        <v>6091.32</v>
      </c>
      <c r="R5095" s="1565">
        <v>36547.32</v>
      </c>
      <c r="S5095" s="1562"/>
    </row>
    <row r="5096" spans="2:19" ht="21.75" customHeight="1" outlineLevel="1">
      <c r="B5096" s="1569" t="s">
        <v>7541</v>
      </c>
      <c r="C5096" s="1566" t="s">
        <v>3421</v>
      </c>
      <c r="D5096" s="1566" t="s">
        <v>7540</v>
      </c>
      <c r="E5096" s="1566"/>
      <c r="F5096" s="1566"/>
      <c r="G5096" s="1566"/>
      <c r="H5096" s="1568">
        <v>1</v>
      </c>
      <c r="I5096" s="1566"/>
      <c r="J5096" s="1566"/>
      <c r="K5096" s="1565">
        <v>27569.91</v>
      </c>
      <c r="L5096" s="1565">
        <v>27569.91</v>
      </c>
      <c r="M5096" s="1564"/>
      <c r="N5096" s="1565">
        <v>27569.91</v>
      </c>
      <c r="O5096" s="1565">
        <v>22071.27</v>
      </c>
      <c r="P5096" s="1565">
        <v>4582.2</v>
      </c>
      <c r="Q5096" s="1572">
        <v>916.44</v>
      </c>
      <c r="R5096" s="1565">
        <v>5498.64</v>
      </c>
      <c r="S5096" s="1562"/>
    </row>
    <row r="5097" spans="2:19" ht="21.75" customHeight="1" outlineLevel="1">
      <c r="B5097" s="1569" t="s">
        <v>7539</v>
      </c>
      <c r="C5097" s="1566" t="s">
        <v>3421</v>
      </c>
      <c r="D5097" s="1566" t="s">
        <v>7538</v>
      </c>
      <c r="E5097" s="1566" t="s">
        <v>2208</v>
      </c>
      <c r="F5097" s="1566"/>
      <c r="G5097" s="1566"/>
      <c r="H5097" s="1568">
        <v>1</v>
      </c>
      <c r="I5097" s="1566"/>
      <c r="J5097" s="1566"/>
      <c r="K5097" s="1565">
        <v>85217.919999999998</v>
      </c>
      <c r="L5097" s="1565">
        <v>85217.919999999998</v>
      </c>
      <c r="M5097" s="1564"/>
      <c r="N5097" s="1565">
        <v>85217.919999999998</v>
      </c>
      <c r="O5097" s="1565">
        <v>68221.600000000006</v>
      </c>
      <c r="P5097" s="1565">
        <v>14163.6</v>
      </c>
      <c r="Q5097" s="1565">
        <v>2832.72</v>
      </c>
      <c r="R5097" s="1565">
        <v>16996.32</v>
      </c>
      <c r="S5097" s="1562"/>
    </row>
    <row r="5098" spans="2:19" ht="21.75" customHeight="1" outlineLevel="1">
      <c r="B5098" s="1569" t="s">
        <v>7537</v>
      </c>
      <c r="C5098" s="1566" t="s">
        <v>3421</v>
      </c>
      <c r="D5098" s="1566" t="s">
        <v>7536</v>
      </c>
      <c r="E5098" s="1566" t="s">
        <v>2208</v>
      </c>
      <c r="F5098" s="1566"/>
      <c r="G5098" s="1566"/>
      <c r="H5098" s="1568">
        <v>1</v>
      </c>
      <c r="I5098" s="1566"/>
      <c r="J5098" s="1566"/>
      <c r="K5098" s="1565">
        <v>3598621.35</v>
      </c>
      <c r="L5098" s="1565">
        <v>3598621.35</v>
      </c>
      <c r="M5098" s="1564"/>
      <c r="N5098" s="1565">
        <v>3598621.35</v>
      </c>
      <c r="O5098" s="1565">
        <v>2880890.79</v>
      </c>
      <c r="P5098" s="1565">
        <v>598108.80000000005</v>
      </c>
      <c r="Q5098" s="1565">
        <v>119621.75999999999</v>
      </c>
      <c r="R5098" s="1565">
        <v>717730.56</v>
      </c>
      <c r="S5098" s="1562"/>
    </row>
    <row r="5099" spans="2:19" ht="21.75" customHeight="1" outlineLevel="1">
      <c r="B5099" s="1569" t="s">
        <v>7535</v>
      </c>
      <c r="C5099" s="1566" t="s">
        <v>7522</v>
      </c>
      <c r="D5099" s="1566" t="s">
        <v>7534</v>
      </c>
      <c r="E5099" s="1566" t="s">
        <v>2208</v>
      </c>
      <c r="F5099" s="1566"/>
      <c r="G5099" s="1566"/>
      <c r="H5099" s="1568">
        <v>1</v>
      </c>
      <c r="I5099" s="1566"/>
      <c r="J5099" s="1566"/>
      <c r="K5099" s="1565">
        <v>73115.78</v>
      </c>
      <c r="L5099" s="1565">
        <v>73115.78</v>
      </c>
      <c r="M5099" s="1564"/>
      <c r="N5099" s="1565">
        <v>73115.78</v>
      </c>
      <c r="O5099" s="1565">
        <v>58735.44</v>
      </c>
      <c r="P5099" s="1565">
        <v>11949.86</v>
      </c>
      <c r="Q5099" s="1565">
        <v>2430.48</v>
      </c>
      <c r="R5099" s="1565">
        <v>14380.34</v>
      </c>
      <c r="S5099" s="1562"/>
    </row>
    <row r="5100" spans="2:19" ht="21.75" customHeight="1" outlineLevel="1">
      <c r="B5100" s="1569" t="s">
        <v>7533</v>
      </c>
      <c r="C5100" s="1566" t="s">
        <v>7522</v>
      </c>
      <c r="D5100" s="1566" t="s">
        <v>7532</v>
      </c>
      <c r="E5100" s="1566" t="s">
        <v>2208</v>
      </c>
      <c r="F5100" s="1566"/>
      <c r="G5100" s="1566" t="s">
        <v>7531</v>
      </c>
      <c r="H5100" s="1568">
        <v>1</v>
      </c>
      <c r="I5100" s="1566"/>
      <c r="J5100" s="1566"/>
      <c r="K5100" s="1565">
        <v>61256.53</v>
      </c>
      <c r="L5100" s="1565">
        <v>61256.53</v>
      </c>
      <c r="M5100" s="1564"/>
      <c r="N5100" s="1565">
        <v>61256.53</v>
      </c>
      <c r="O5100" s="1565">
        <v>49208.65</v>
      </c>
      <c r="P5100" s="1565">
        <v>10011.709999999999</v>
      </c>
      <c r="Q5100" s="1565">
        <v>2036.17</v>
      </c>
      <c r="R5100" s="1565">
        <v>12047.88</v>
      </c>
      <c r="S5100" s="1562"/>
    </row>
    <row r="5101" spans="2:19" ht="21.75" customHeight="1" outlineLevel="1">
      <c r="B5101" s="1569" t="s">
        <v>7530</v>
      </c>
      <c r="C5101" s="1566" t="s">
        <v>7522</v>
      </c>
      <c r="D5101" s="1566" t="s">
        <v>7529</v>
      </c>
      <c r="E5101" s="1566" t="s">
        <v>2208</v>
      </c>
      <c r="F5101" s="1566"/>
      <c r="G5101" s="1566"/>
      <c r="H5101" s="1568">
        <v>1</v>
      </c>
      <c r="I5101" s="1566"/>
      <c r="J5101" s="1566"/>
      <c r="K5101" s="1565">
        <v>83601.399999999994</v>
      </c>
      <c r="L5101" s="1565">
        <v>83601.399999999994</v>
      </c>
      <c r="M5101" s="1564"/>
      <c r="N5101" s="1565">
        <v>83601.399999999994</v>
      </c>
      <c r="O5101" s="1565">
        <v>67159.22</v>
      </c>
      <c r="P5101" s="1565">
        <v>13663.22</v>
      </c>
      <c r="Q5101" s="1565">
        <v>2778.96</v>
      </c>
      <c r="R5101" s="1565">
        <v>16442.18</v>
      </c>
      <c r="S5101" s="1562"/>
    </row>
    <row r="5102" spans="2:19" ht="21.75" customHeight="1" outlineLevel="1">
      <c r="B5102" s="1569" t="s">
        <v>7528</v>
      </c>
      <c r="C5102" s="1566" t="s">
        <v>7522</v>
      </c>
      <c r="D5102" s="1566" t="s">
        <v>7527</v>
      </c>
      <c r="E5102" s="1566" t="s">
        <v>2208</v>
      </c>
      <c r="F5102" s="1566"/>
      <c r="G5102" s="1566"/>
      <c r="H5102" s="1568">
        <v>1</v>
      </c>
      <c r="I5102" s="1566"/>
      <c r="J5102" s="1566"/>
      <c r="K5102" s="1565">
        <v>46281.51</v>
      </c>
      <c r="L5102" s="1565">
        <v>46281.51</v>
      </c>
      <c r="M5102" s="1564"/>
      <c r="N5102" s="1565">
        <v>46281.51</v>
      </c>
      <c r="O5102" s="1565">
        <v>37179.31</v>
      </c>
      <c r="P5102" s="1565">
        <v>7563.8</v>
      </c>
      <c r="Q5102" s="1565">
        <v>1538.4</v>
      </c>
      <c r="R5102" s="1565">
        <v>9102.2000000000007</v>
      </c>
      <c r="S5102" s="1562"/>
    </row>
    <row r="5103" spans="2:19" ht="21.75" customHeight="1" outlineLevel="1">
      <c r="B5103" s="1569" t="s">
        <v>7526</v>
      </c>
      <c r="C5103" s="1566" t="s">
        <v>7522</v>
      </c>
      <c r="D5103" s="1566" t="s">
        <v>7525</v>
      </c>
      <c r="E5103" s="1566" t="s">
        <v>2208</v>
      </c>
      <c r="F5103" s="1566"/>
      <c r="G5103" s="1566" t="s">
        <v>7524</v>
      </c>
      <c r="H5103" s="1568">
        <v>1</v>
      </c>
      <c r="I5103" s="1571">
        <v>13</v>
      </c>
      <c r="J5103" s="1566"/>
      <c r="K5103" s="1565">
        <v>42731.040000000001</v>
      </c>
      <c r="L5103" s="1565">
        <v>42731.040000000001</v>
      </c>
      <c r="M5103" s="1564"/>
      <c r="N5103" s="1565">
        <v>42731.040000000001</v>
      </c>
      <c r="O5103" s="1565">
        <v>34326.769999999997</v>
      </c>
      <c r="P5103" s="1565">
        <v>6983.83</v>
      </c>
      <c r="Q5103" s="1565">
        <v>1420.44</v>
      </c>
      <c r="R5103" s="1565">
        <v>8404.27</v>
      </c>
      <c r="S5103" s="1562"/>
    </row>
    <row r="5104" spans="2:19" ht="21.75" customHeight="1" outlineLevel="1">
      <c r="B5104" s="1569" t="s">
        <v>7523</v>
      </c>
      <c r="C5104" s="1566" t="s">
        <v>7522</v>
      </c>
      <c r="D5104" s="1566" t="s">
        <v>7521</v>
      </c>
      <c r="E5104" s="1566" t="s">
        <v>2208</v>
      </c>
      <c r="F5104" s="1566"/>
      <c r="G5104" s="1566"/>
      <c r="H5104" s="1568">
        <v>1</v>
      </c>
      <c r="I5104" s="1566"/>
      <c r="J5104" s="1566"/>
      <c r="K5104" s="1565">
        <v>83673.64</v>
      </c>
      <c r="L5104" s="1565">
        <v>83673.64</v>
      </c>
      <c r="M5104" s="1564"/>
      <c r="N5104" s="1565">
        <v>83673.64</v>
      </c>
      <c r="O5104" s="1565">
        <v>67217.259999999995</v>
      </c>
      <c r="P5104" s="1565">
        <v>13675.02</v>
      </c>
      <c r="Q5104" s="1565">
        <v>2781.36</v>
      </c>
      <c r="R5104" s="1565">
        <v>16456.38</v>
      </c>
      <c r="S5104" s="1562"/>
    </row>
    <row r="5105" spans="2:19" ht="11.25" customHeight="1" outlineLevel="1">
      <c r="B5105" s="1569" t="s">
        <v>7520</v>
      </c>
      <c r="C5105" s="1566" t="s">
        <v>7517</v>
      </c>
      <c r="D5105" s="1566" t="s">
        <v>7519</v>
      </c>
      <c r="E5105" s="1566" t="s">
        <v>2208</v>
      </c>
      <c r="F5105" s="1566"/>
      <c r="G5105" s="1566"/>
      <c r="H5105" s="1568">
        <v>1</v>
      </c>
      <c r="I5105" s="1566"/>
      <c r="J5105" s="1566"/>
      <c r="K5105" s="1565">
        <v>78716.3</v>
      </c>
      <c r="L5105" s="1565">
        <v>78716.3</v>
      </c>
      <c r="M5105" s="1564"/>
      <c r="N5105" s="1565">
        <v>78716.3</v>
      </c>
      <c r="O5105" s="1565">
        <v>63452.800000000003</v>
      </c>
      <c r="P5105" s="1565">
        <v>12646.9</v>
      </c>
      <c r="Q5105" s="1565">
        <v>2616.6</v>
      </c>
      <c r="R5105" s="1565">
        <v>15263.5</v>
      </c>
      <c r="S5105" s="1562"/>
    </row>
    <row r="5106" spans="2:19" ht="21.75" customHeight="1" outlineLevel="1">
      <c r="B5106" s="1569" t="s">
        <v>7518</v>
      </c>
      <c r="C5106" s="1566" t="s">
        <v>7517</v>
      </c>
      <c r="D5106" s="1566" t="s">
        <v>7516</v>
      </c>
      <c r="E5106" s="1566" t="s">
        <v>2208</v>
      </c>
      <c r="F5106" s="1566"/>
      <c r="G5106" s="1566" t="s">
        <v>7515</v>
      </c>
      <c r="H5106" s="1568">
        <v>1</v>
      </c>
      <c r="I5106" s="1571">
        <v>7</v>
      </c>
      <c r="J5106" s="1566"/>
      <c r="K5106" s="1565">
        <v>69583.960000000006</v>
      </c>
      <c r="L5106" s="1565">
        <v>69583.960000000006</v>
      </c>
      <c r="M5106" s="1564"/>
      <c r="N5106" s="1565">
        <v>69583.960000000006</v>
      </c>
      <c r="O5106" s="1565">
        <v>56091.46</v>
      </c>
      <c r="P5106" s="1565">
        <v>11179.5</v>
      </c>
      <c r="Q5106" s="1565">
        <v>2313</v>
      </c>
      <c r="R5106" s="1565">
        <v>13492.5</v>
      </c>
      <c r="S5106" s="1562"/>
    </row>
    <row r="5107" spans="2:19" ht="21.75" customHeight="1" outlineLevel="1">
      <c r="B5107" s="1569" t="s">
        <v>7514</v>
      </c>
      <c r="C5107" s="1566" t="s">
        <v>7513</v>
      </c>
      <c r="D5107" s="1566" t="s">
        <v>7512</v>
      </c>
      <c r="E5107" s="1566" t="s">
        <v>2266</v>
      </c>
      <c r="F5107" s="1566"/>
      <c r="G5107" s="1566"/>
      <c r="H5107" s="1568">
        <v>1</v>
      </c>
      <c r="I5107" s="1566"/>
      <c r="J5107" s="1566"/>
      <c r="K5107" s="1565">
        <v>365137.67</v>
      </c>
      <c r="L5107" s="1565">
        <v>365137.67</v>
      </c>
      <c r="M5107" s="1564"/>
      <c r="N5107" s="1565">
        <v>365137.67</v>
      </c>
      <c r="O5107" s="1565">
        <v>294335.46999999997</v>
      </c>
      <c r="P5107" s="1565">
        <v>58664.68</v>
      </c>
      <c r="Q5107" s="1565">
        <v>12137.52</v>
      </c>
      <c r="R5107" s="1565">
        <v>70802.2</v>
      </c>
      <c r="S5107" s="1562"/>
    </row>
    <row r="5108" spans="2:19" ht="11.25" customHeight="1" outlineLevel="1">
      <c r="B5108" s="1569" t="s">
        <v>7511</v>
      </c>
      <c r="C5108" s="1566" t="s">
        <v>7510</v>
      </c>
      <c r="D5108" s="1566" t="s">
        <v>7509</v>
      </c>
      <c r="E5108" s="1566" t="s">
        <v>2208</v>
      </c>
      <c r="F5108" s="1566"/>
      <c r="G5108" s="1566"/>
      <c r="H5108" s="1568">
        <v>1</v>
      </c>
      <c r="I5108" s="1566"/>
      <c r="J5108" s="1566"/>
      <c r="K5108" s="1565">
        <v>56188.800000000003</v>
      </c>
      <c r="L5108" s="1565">
        <v>56188.800000000003</v>
      </c>
      <c r="M5108" s="1564"/>
      <c r="N5108" s="1565">
        <v>56188.800000000003</v>
      </c>
      <c r="O5108" s="1565">
        <v>45293.3</v>
      </c>
      <c r="P5108" s="1565">
        <v>9027.7000000000007</v>
      </c>
      <c r="Q5108" s="1565">
        <v>1867.8</v>
      </c>
      <c r="R5108" s="1565">
        <v>10895.5</v>
      </c>
      <c r="S5108" s="1562"/>
    </row>
    <row r="5109" spans="2:19" ht="11.25" customHeight="1" outlineLevel="1">
      <c r="B5109" s="1569" t="s">
        <v>7508</v>
      </c>
      <c r="C5109" s="1566" t="s">
        <v>7507</v>
      </c>
      <c r="D5109" s="1566" t="s">
        <v>7506</v>
      </c>
      <c r="E5109" s="1566" t="s">
        <v>2208</v>
      </c>
      <c r="F5109" s="1566"/>
      <c r="G5109" s="1566"/>
      <c r="H5109" s="1568">
        <v>1</v>
      </c>
      <c r="I5109" s="1566"/>
      <c r="J5109" s="1566"/>
      <c r="K5109" s="1565">
        <v>40100.519999999997</v>
      </c>
      <c r="L5109" s="1565">
        <v>40100.519999999997</v>
      </c>
      <c r="M5109" s="1564"/>
      <c r="N5109" s="1565">
        <v>40100.519999999997</v>
      </c>
      <c r="O5109" s="1565">
        <v>32324.92</v>
      </c>
      <c r="P5109" s="1565">
        <v>6442.64</v>
      </c>
      <c r="Q5109" s="1565">
        <v>1332.96</v>
      </c>
      <c r="R5109" s="1565">
        <v>7775.6</v>
      </c>
      <c r="S5109" s="1562"/>
    </row>
    <row r="5110" spans="2:19" ht="21.75" customHeight="1" outlineLevel="1">
      <c r="B5110" s="1569" t="s">
        <v>7505</v>
      </c>
      <c r="C5110" s="1566" t="s">
        <v>7504</v>
      </c>
      <c r="D5110" s="1566" t="s">
        <v>7503</v>
      </c>
      <c r="E5110" s="1566" t="s">
        <v>2208</v>
      </c>
      <c r="F5110" s="1566"/>
      <c r="G5110" s="1566" t="s">
        <v>7502</v>
      </c>
      <c r="H5110" s="1568">
        <v>1</v>
      </c>
      <c r="I5110" s="1571">
        <v>18</v>
      </c>
      <c r="J5110" s="1566"/>
      <c r="K5110" s="1565">
        <v>18016.77</v>
      </c>
      <c r="L5110" s="1565">
        <v>18016.77</v>
      </c>
      <c r="M5110" s="1564"/>
      <c r="N5110" s="1565">
        <v>18016.77</v>
      </c>
      <c r="O5110" s="1565">
        <v>7742.67</v>
      </c>
      <c r="P5110" s="1565">
        <v>8487.2999999999993</v>
      </c>
      <c r="Q5110" s="1565">
        <v>1786.8</v>
      </c>
      <c r="R5110" s="1565">
        <v>10274.1</v>
      </c>
      <c r="S5110" s="1562"/>
    </row>
    <row r="5111" spans="2:19" ht="21.75" customHeight="1" outlineLevel="1">
      <c r="B5111" s="1569" t="s">
        <v>7501</v>
      </c>
      <c r="C5111" s="1566" t="s">
        <v>7500</v>
      </c>
      <c r="D5111" s="1566" t="s">
        <v>7499</v>
      </c>
      <c r="E5111" s="1566" t="s">
        <v>2208</v>
      </c>
      <c r="F5111" s="1566"/>
      <c r="G5111" s="1566" t="s">
        <v>7498</v>
      </c>
      <c r="H5111" s="1568">
        <v>1</v>
      </c>
      <c r="I5111" s="1571">
        <v>12</v>
      </c>
      <c r="J5111" s="1566"/>
      <c r="K5111" s="1565">
        <v>163380.57</v>
      </c>
      <c r="L5111" s="1565">
        <v>163380.57</v>
      </c>
      <c r="M5111" s="1564"/>
      <c r="N5111" s="1565">
        <v>163380.57</v>
      </c>
      <c r="O5111" s="1565">
        <v>70213.259999999995</v>
      </c>
      <c r="P5111" s="1565">
        <v>76964.25</v>
      </c>
      <c r="Q5111" s="1565">
        <v>16203.06</v>
      </c>
      <c r="R5111" s="1565">
        <v>93167.31</v>
      </c>
      <c r="S5111" s="1562"/>
    </row>
    <row r="5112" spans="2:19" ht="11.25" customHeight="1" outlineLevel="1">
      <c r="B5112" s="1569" t="s">
        <v>7497</v>
      </c>
      <c r="C5112" s="1566" t="s">
        <v>7496</v>
      </c>
      <c r="D5112" s="1566" t="s">
        <v>7495</v>
      </c>
      <c r="E5112" s="1566" t="s">
        <v>2266</v>
      </c>
      <c r="F5112" s="1566" t="s">
        <v>7494</v>
      </c>
      <c r="G5112" s="1566"/>
      <c r="H5112" s="1568">
        <v>1</v>
      </c>
      <c r="I5112" s="1566"/>
      <c r="J5112" s="1566"/>
      <c r="K5112" s="1565">
        <v>66055.87</v>
      </c>
      <c r="L5112" s="1565">
        <v>66055.87</v>
      </c>
      <c r="M5112" s="1564"/>
      <c r="N5112" s="1565">
        <v>66055.87</v>
      </c>
      <c r="O5112" s="1565">
        <v>28387.51</v>
      </c>
      <c r="P5112" s="1565">
        <v>31117.439999999999</v>
      </c>
      <c r="Q5112" s="1565">
        <v>6550.92</v>
      </c>
      <c r="R5112" s="1565">
        <v>37668.36</v>
      </c>
      <c r="S5112" s="1562"/>
    </row>
    <row r="5113" spans="2:19" ht="11.25" customHeight="1" outlineLevel="1">
      <c r="B5113" s="1569" t="s">
        <v>7493</v>
      </c>
      <c r="C5113" s="1566" t="s">
        <v>7492</v>
      </c>
      <c r="D5113" s="1566" t="s">
        <v>7491</v>
      </c>
      <c r="E5113" s="1566" t="s">
        <v>2208</v>
      </c>
      <c r="F5113" s="1566"/>
      <c r="G5113" s="1566" t="s">
        <v>7490</v>
      </c>
      <c r="H5113" s="1568">
        <v>1</v>
      </c>
      <c r="I5113" s="1566"/>
      <c r="J5113" s="1566"/>
      <c r="K5113" s="1565">
        <v>23608.41</v>
      </c>
      <c r="L5113" s="1565">
        <v>23608.41</v>
      </c>
      <c r="M5113" s="1564"/>
      <c r="N5113" s="1565">
        <v>23608.41</v>
      </c>
      <c r="O5113" s="1565">
        <v>10145.82</v>
      </c>
      <c r="P5113" s="1565">
        <v>11121.27</v>
      </c>
      <c r="Q5113" s="1565">
        <v>2341.3200000000002</v>
      </c>
      <c r="R5113" s="1565">
        <v>13462.59</v>
      </c>
      <c r="S5113" s="1562"/>
    </row>
    <row r="5114" spans="2:19" ht="11.25" customHeight="1" outlineLevel="1">
      <c r="B5114" s="1569" t="s">
        <v>7489</v>
      </c>
      <c r="C5114" s="1566" t="s">
        <v>7488</v>
      </c>
      <c r="D5114" s="1566" t="s">
        <v>7487</v>
      </c>
      <c r="E5114" s="1566" t="s">
        <v>2208</v>
      </c>
      <c r="F5114" s="1566"/>
      <c r="G5114" s="1566" t="s">
        <v>7486</v>
      </c>
      <c r="H5114" s="1568">
        <v>1</v>
      </c>
      <c r="I5114" s="1571">
        <v>25</v>
      </c>
      <c r="J5114" s="1566"/>
      <c r="K5114" s="1565">
        <v>62348.24</v>
      </c>
      <c r="L5114" s="1565">
        <v>62348.24</v>
      </c>
      <c r="M5114" s="1564"/>
      <c r="N5114" s="1565">
        <v>62348.24</v>
      </c>
      <c r="O5114" s="1565">
        <v>27309.759999999998</v>
      </c>
      <c r="P5114" s="1565">
        <v>28855.119999999999</v>
      </c>
      <c r="Q5114" s="1565">
        <v>6183.36</v>
      </c>
      <c r="R5114" s="1565">
        <v>35038.480000000003</v>
      </c>
      <c r="S5114" s="1562"/>
    </row>
    <row r="5115" spans="2:19" ht="21.75" customHeight="1" outlineLevel="1">
      <c r="B5115" s="1569" t="s">
        <v>7485</v>
      </c>
      <c r="C5115" s="1566" t="s">
        <v>7482</v>
      </c>
      <c r="D5115" s="1566" t="s">
        <v>7484</v>
      </c>
      <c r="E5115" s="1566" t="s">
        <v>2208</v>
      </c>
      <c r="F5115" s="1566"/>
      <c r="G5115" s="1566"/>
      <c r="H5115" s="1568">
        <v>1</v>
      </c>
      <c r="I5115" s="1566"/>
      <c r="J5115" s="1566"/>
      <c r="K5115" s="1565">
        <v>139431.94</v>
      </c>
      <c r="L5115" s="1565">
        <v>139431.94</v>
      </c>
      <c r="M5115" s="1564"/>
      <c r="N5115" s="1565">
        <v>139431.94</v>
      </c>
      <c r="O5115" s="1565">
        <v>62225.83</v>
      </c>
      <c r="P5115" s="1565">
        <v>63378.15</v>
      </c>
      <c r="Q5115" s="1565">
        <v>13827.96</v>
      </c>
      <c r="R5115" s="1565">
        <v>77206.11</v>
      </c>
      <c r="S5115" s="1562"/>
    </row>
    <row r="5116" spans="2:19" ht="21.75" customHeight="1" outlineLevel="1">
      <c r="B5116" s="1569" t="s">
        <v>7483</v>
      </c>
      <c r="C5116" s="1566" t="s">
        <v>7482</v>
      </c>
      <c r="D5116" s="1566" t="s">
        <v>7481</v>
      </c>
      <c r="E5116" s="1566" t="s">
        <v>2208</v>
      </c>
      <c r="F5116" s="1566"/>
      <c r="G5116" s="1566" t="s">
        <v>7480</v>
      </c>
      <c r="H5116" s="1568">
        <v>1</v>
      </c>
      <c r="I5116" s="1571">
        <v>6</v>
      </c>
      <c r="J5116" s="1566"/>
      <c r="K5116" s="1565">
        <v>33671.1</v>
      </c>
      <c r="L5116" s="1565">
        <v>33671.1</v>
      </c>
      <c r="M5116" s="1564"/>
      <c r="N5116" s="1565">
        <v>33671.1</v>
      </c>
      <c r="O5116" s="1565">
        <v>15026.89</v>
      </c>
      <c r="P5116" s="1565">
        <v>15304.85</v>
      </c>
      <c r="Q5116" s="1565">
        <v>3339.36</v>
      </c>
      <c r="R5116" s="1565">
        <v>18644.21</v>
      </c>
      <c r="S5116" s="1562"/>
    </row>
    <row r="5117" spans="2:19" ht="21.75" customHeight="1" outlineLevel="1">
      <c r="B5117" s="1569" t="s">
        <v>7479</v>
      </c>
      <c r="C5117" s="1566" t="s">
        <v>7478</v>
      </c>
      <c r="D5117" s="1566" t="s">
        <v>7477</v>
      </c>
      <c r="E5117" s="1566" t="s">
        <v>2208</v>
      </c>
      <c r="F5117" s="1566"/>
      <c r="G5117" s="1566" t="s">
        <v>7476</v>
      </c>
      <c r="H5117" s="1568">
        <v>1</v>
      </c>
      <c r="I5117" s="1566"/>
      <c r="J5117" s="1566"/>
      <c r="K5117" s="1565">
        <v>39296.65</v>
      </c>
      <c r="L5117" s="1565">
        <v>39296.65</v>
      </c>
      <c r="M5117" s="1564"/>
      <c r="N5117" s="1565">
        <v>39296.65</v>
      </c>
      <c r="O5117" s="1565">
        <v>17537.18</v>
      </c>
      <c r="P5117" s="1565">
        <v>17862.349999999999</v>
      </c>
      <c r="Q5117" s="1565">
        <v>3897.12</v>
      </c>
      <c r="R5117" s="1565">
        <v>21759.47</v>
      </c>
      <c r="S5117" s="1562"/>
    </row>
    <row r="5118" spans="2:19" ht="21.75" customHeight="1" outlineLevel="1">
      <c r="B5118" s="1569" t="s">
        <v>7475</v>
      </c>
      <c r="C5118" s="1566" t="s">
        <v>7474</v>
      </c>
      <c r="D5118" s="1566" t="s">
        <v>7473</v>
      </c>
      <c r="E5118" s="1566" t="s">
        <v>2208</v>
      </c>
      <c r="F5118" s="1566"/>
      <c r="G5118" s="1566"/>
      <c r="H5118" s="1568">
        <v>1</v>
      </c>
      <c r="I5118" s="1566"/>
      <c r="J5118" s="1566"/>
      <c r="K5118" s="1565">
        <v>54102.03</v>
      </c>
      <c r="L5118" s="1565">
        <v>54102.03</v>
      </c>
      <c r="M5118" s="1564"/>
      <c r="N5118" s="1565">
        <v>54102.03</v>
      </c>
      <c r="O5118" s="1565">
        <v>24144.87</v>
      </c>
      <c r="P5118" s="1565">
        <v>24591.599999999999</v>
      </c>
      <c r="Q5118" s="1565">
        <v>5365.56</v>
      </c>
      <c r="R5118" s="1565">
        <v>29957.16</v>
      </c>
      <c r="S5118" s="1562"/>
    </row>
    <row r="5119" spans="2:19" ht="11.25" customHeight="1" outlineLevel="1">
      <c r="B5119" s="1569" t="s">
        <v>7472</v>
      </c>
      <c r="C5119" s="1566" t="s">
        <v>3418</v>
      </c>
      <c r="D5119" s="1566" t="s">
        <v>7471</v>
      </c>
      <c r="E5119" s="1566" t="s">
        <v>2266</v>
      </c>
      <c r="F5119" s="1566"/>
      <c r="G5119" s="1566"/>
      <c r="H5119" s="1568">
        <v>1</v>
      </c>
      <c r="I5119" s="1571">
        <v>69</v>
      </c>
      <c r="J5119" s="1566"/>
      <c r="K5119" s="1565">
        <v>149456.59</v>
      </c>
      <c r="L5119" s="1565">
        <v>149456.59</v>
      </c>
      <c r="M5119" s="1564"/>
      <c r="N5119" s="1565">
        <v>149456.59</v>
      </c>
      <c r="O5119" s="1565">
        <v>67934.710000000006</v>
      </c>
      <c r="P5119" s="1565">
        <v>66699.72</v>
      </c>
      <c r="Q5119" s="1565">
        <v>14822.16</v>
      </c>
      <c r="R5119" s="1565">
        <v>81521.88</v>
      </c>
      <c r="S5119" s="1562"/>
    </row>
    <row r="5120" spans="2:19" ht="21.75" customHeight="1" outlineLevel="1">
      <c r="B5120" s="1569" t="s">
        <v>7470</v>
      </c>
      <c r="C5120" s="1566" t="s">
        <v>3418</v>
      </c>
      <c r="D5120" s="1566" t="s">
        <v>7469</v>
      </c>
      <c r="E5120" s="1566" t="s">
        <v>2219</v>
      </c>
      <c r="F5120" s="1566" t="s">
        <v>3416</v>
      </c>
      <c r="G5120" s="1566" t="s">
        <v>3415</v>
      </c>
      <c r="H5120" s="1568">
        <v>1</v>
      </c>
      <c r="I5120" s="1566"/>
      <c r="J5120" s="1566"/>
      <c r="K5120" s="1565">
        <v>7852204</v>
      </c>
      <c r="L5120" s="1565">
        <v>7852204</v>
      </c>
      <c r="M5120" s="1564"/>
      <c r="N5120" s="1565">
        <v>7852204</v>
      </c>
      <c r="O5120" s="1565">
        <v>3569183.5</v>
      </c>
      <c r="P5120" s="1565">
        <v>3504289.5</v>
      </c>
      <c r="Q5120" s="1565">
        <v>778731</v>
      </c>
      <c r="R5120" s="1565">
        <v>4283020.5</v>
      </c>
      <c r="S5120" s="1562"/>
    </row>
    <row r="5121" spans="2:19" ht="11.25" customHeight="1" outlineLevel="1">
      <c r="B5121" s="1569" t="s">
        <v>7468</v>
      </c>
      <c r="C5121" s="1566" t="s">
        <v>7467</v>
      </c>
      <c r="D5121" s="1566" t="s">
        <v>7466</v>
      </c>
      <c r="E5121" s="1566" t="s">
        <v>2208</v>
      </c>
      <c r="F5121" s="1566"/>
      <c r="G5121" s="1566" t="s">
        <v>7465</v>
      </c>
      <c r="H5121" s="1568">
        <v>1</v>
      </c>
      <c r="I5121" s="1571">
        <v>6</v>
      </c>
      <c r="J5121" s="1566"/>
      <c r="K5121" s="1565">
        <v>53006.720000000001</v>
      </c>
      <c r="L5121" s="1565">
        <v>53006.720000000001</v>
      </c>
      <c r="M5121" s="1564"/>
      <c r="N5121" s="1565">
        <v>53006.720000000001</v>
      </c>
      <c r="O5121" s="1565">
        <v>24094.1</v>
      </c>
      <c r="P5121" s="1565">
        <v>23655.78</v>
      </c>
      <c r="Q5121" s="1565">
        <v>5256.84</v>
      </c>
      <c r="R5121" s="1565">
        <v>28912.62</v>
      </c>
      <c r="S5121" s="1562"/>
    </row>
    <row r="5122" spans="2:19" ht="11.25" customHeight="1" outlineLevel="1">
      <c r="B5122" s="1569" t="s">
        <v>7464</v>
      </c>
      <c r="C5122" s="1566" t="s">
        <v>3413</v>
      </c>
      <c r="D5122" s="1566" t="s">
        <v>7463</v>
      </c>
      <c r="E5122" s="1566" t="s">
        <v>2208</v>
      </c>
      <c r="F5122" s="1566"/>
      <c r="G5122" s="1566"/>
      <c r="H5122" s="1568">
        <v>1</v>
      </c>
      <c r="I5122" s="1566"/>
      <c r="J5122" s="1566"/>
      <c r="K5122" s="1565">
        <v>56854.58</v>
      </c>
      <c r="L5122" s="1565">
        <v>56854.58</v>
      </c>
      <c r="M5122" s="1564"/>
      <c r="N5122" s="1565">
        <v>56854.58</v>
      </c>
      <c r="O5122" s="1565">
        <v>25843.119999999999</v>
      </c>
      <c r="P5122" s="1565">
        <v>25372.98</v>
      </c>
      <c r="Q5122" s="1565">
        <v>5638.48</v>
      </c>
      <c r="R5122" s="1565">
        <v>31011.46</v>
      </c>
      <c r="S5122" s="1562"/>
    </row>
    <row r="5123" spans="2:19" ht="11.25" customHeight="1" outlineLevel="1">
      <c r="B5123" s="1569" t="s">
        <v>7462</v>
      </c>
      <c r="C5123" s="1566" t="s">
        <v>7461</v>
      </c>
      <c r="D5123" s="1566" t="s">
        <v>7460</v>
      </c>
      <c r="E5123" s="1566" t="s">
        <v>2208</v>
      </c>
      <c r="F5123" s="1566"/>
      <c r="G5123" s="1566" t="s">
        <v>7459</v>
      </c>
      <c r="H5123" s="1568">
        <v>1</v>
      </c>
      <c r="I5123" s="1566"/>
      <c r="J5123" s="1566"/>
      <c r="K5123" s="1565">
        <v>77695.850000000006</v>
      </c>
      <c r="L5123" s="1565">
        <v>77695.850000000006</v>
      </c>
      <c r="M5123" s="1564"/>
      <c r="N5123" s="1565">
        <v>77695.850000000006</v>
      </c>
      <c r="O5123" s="1565">
        <v>35316.47</v>
      </c>
      <c r="P5123" s="1565">
        <v>34673.94</v>
      </c>
      <c r="Q5123" s="1565">
        <v>7705.44</v>
      </c>
      <c r="R5123" s="1565">
        <v>42379.38</v>
      </c>
      <c r="S5123" s="1562"/>
    </row>
    <row r="5124" spans="2:19" ht="11.25" customHeight="1" outlineLevel="1">
      <c r="B5124" s="1569" t="s">
        <v>7458</v>
      </c>
      <c r="C5124" s="1566" t="s">
        <v>7457</v>
      </c>
      <c r="D5124" s="1566" t="s">
        <v>7456</v>
      </c>
      <c r="E5124" s="1566" t="s">
        <v>2208</v>
      </c>
      <c r="F5124" s="1566"/>
      <c r="G5124" s="1566"/>
      <c r="H5124" s="1568">
        <v>1</v>
      </c>
      <c r="I5124" s="1566"/>
      <c r="J5124" s="1566"/>
      <c r="K5124" s="1565">
        <v>103954.9</v>
      </c>
      <c r="L5124" s="1565">
        <v>103954.9</v>
      </c>
      <c r="M5124" s="1564"/>
      <c r="N5124" s="1565">
        <v>103954.9</v>
      </c>
      <c r="O5124" s="1565">
        <v>47252.32</v>
      </c>
      <c r="P5124" s="1565">
        <v>46393.02</v>
      </c>
      <c r="Q5124" s="1565">
        <v>10309.56</v>
      </c>
      <c r="R5124" s="1565">
        <v>56702.58</v>
      </c>
      <c r="S5124" s="1562"/>
    </row>
    <row r="5125" spans="2:19" ht="21.75" customHeight="1" outlineLevel="1">
      <c r="B5125" s="1569" t="s">
        <v>7455</v>
      </c>
      <c r="C5125" s="1566" t="s">
        <v>3405</v>
      </c>
      <c r="D5125" s="1566" t="s">
        <v>7454</v>
      </c>
      <c r="E5125" s="1566" t="s">
        <v>2208</v>
      </c>
      <c r="F5125" s="1566"/>
      <c r="G5125" s="1566"/>
      <c r="H5125" s="1568">
        <v>1</v>
      </c>
      <c r="I5125" s="1566"/>
      <c r="J5125" s="1566"/>
      <c r="K5125" s="1565">
        <v>2070872.09</v>
      </c>
      <c r="L5125" s="1565">
        <v>2070872.09</v>
      </c>
      <c r="M5125" s="1564"/>
      <c r="N5125" s="1565">
        <v>2070872.09</v>
      </c>
      <c r="O5125" s="1565">
        <v>941305.31</v>
      </c>
      <c r="P5125" s="1565">
        <v>924191.1</v>
      </c>
      <c r="Q5125" s="1565">
        <v>205375.68</v>
      </c>
      <c r="R5125" s="1565">
        <v>1129566.78</v>
      </c>
      <c r="S5125" s="1562"/>
    </row>
    <row r="5126" spans="2:19" ht="11.25" customHeight="1" outlineLevel="1">
      <c r="B5126" s="1569" t="s">
        <v>7453</v>
      </c>
      <c r="C5126" s="1566" t="s">
        <v>3405</v>
      </c>
      <c r="D5126" s="1566" t="s">
        <v>7452</v>
      </c>
      <c r="E5126" s="1566" t="s">
        <v>2266</v>
      </c>
      <c r="F5126" s="1566" t="s">
        <v>7451</v>
      </c>
      <c r="G5126" s="1566"/>
      <c r="H5126" s="1568">
        <v>1</v>
      </c>
      <c r="I5126" s="1566"/>
      <c r="J5126" s="1566"/>
      <c r="K5126" s="1565">
        <v>562142.81999999995</v>
      </c>
      <c r="L5126" s="1565">
        <v>562142.81999999995</v>
      </c>
      <c r="M5126" s="1564"/>
      <c r="N5126" s="1565">
        <v>562142.81999999995</v>
      </c>
      <c r="O5126" s="1565">
        <v>255519.35999999999</v>
      </c>
      <c r="P5126" s="1565">
        <v>250873.74</v>
      </c>
      <c r="Q5126" s="1565">
        <v>55749.72</v>
      </c>
      <c r="R5126" s="1565">
        <v>306623.46000000002</v>
      </c>
      <c r="S5126" s="1562"/>
    </row>
    <row r="5127" spans="2:19" ht="11.25" customHeight="1" outlineLevel="1">
      <c r="B5127" s="1569" t="s">
        <v>7450</v>
      </c>
      <c r="C5127" s="1566" t="s">
        <v>3405</v>
      </c>
      <c r="D5127" s="1566" t="s">
        <v>7449</v>
      </c>
      <c r="E5127" s="1566" t="s">
        <v>2266</v>
      </c>
      <c r="F5127" s="1566"/>
      <c r="G5127" s="1566"/>
      <c r="H5127" s="1568">
        <v>1</v>
      </c>
      <c r="I5127" s="1571">
        <v>4766</v>
      </c>
      <c r="J5127" s="1566"/>
      <c r="K5127" s="1565">
        <v>21359560.289999999</v>
      </c>
      <c r="L5127" s="1565">
        <v>21359560.289999999</v>
      </c>
      <c r="M5127" s="1564"/>
      <c r="N5127" s="1565">
        <v>21359560.289999999</v>
      </c>
      <c r="O5127" s="1565">
        <v>9708891.1500000004</v>
      </c>
      <c r="P5127" s="1565">
        <v>9532365.6600000001</v>
      </c>
      <c r="Q5127" s="1565">
        <v>2118303.48</v>
      </c>
      <c r="R5127" s="1565">
        <v>11650669.140000001</v>
      </c>
      <c r="S5127" s="1562"/>
    </row>
    <row r="5128" spans="2:19" ht="21.75" customHeight="1" outlineLevel="1">
      <c r="B5128" s="1569" t="s">
        <v>7448</v>
      </c>
      <c r="C5128" s="1566" t="s">
        <v>3405</v>
      </c>
      <c r="D5128" s="1566" t="s">
        <v>7447</v>
      </c>
      <c r="E5128" s="1566" t="s">
        <v>2266</v>
      </c>
      <c r="F5128" s="1566"/>
      <c r="G5128" s="1566"/>
      <c r="H5128" s="1568">
        <v>1</v>
      </c>
      <c r="I5128" s="1566"/>
      <c r="J5128" s="1566"/>
      <c r="K5128" s="1565">
        <v>2194318.54</v>
      </c>
      <c r="L5128" s="1565">
        <v>2194318.54</v>
      </c>
      <c r="M5128" s="1564"/>
      <c r="N5128" s="1565">
        <v>2194318.54</v>
      </c>
      <c r="O5128" s="1565">
        <v>997417.66</v>
      </c>
      <c r="P5128" s="1565">
        <v>979282.44</v>
      </c>
      <c r="Q5128" s="1565">
        <v>217618.44</v>
      </c>
      <c r="R5128" s="1565">
        <v>1196900.8799999999</v>
      </c>
      <c r="S5128" s="1562"/>
    </row>
    <row r="5129" spans="2:19" ht="21.75" customHeight="1" outlineLevel="1">
      <c r="B5129" s="1569" t="s">
        <v>7446</v>
      </c>
      <c r="C5129" s="1566" t="s">
        <v>3405</v>
      </c>
      <c r="D5129" s="1566" t="s">
        <v>7445</v>
      </c>
      <c r="E5129" s="1566" t="s">
        <v>2266</v>
      </c>
      <c r="F5129" s="1566"/>
      <c r="G5129" s="1566"/>
      <c r="H5129" s="1568">
        <v>1</v>
      </c>
      <c r="I5129" s="1566"/>
      <c r="J5129" s="1566"/>
      <c r="K5129" s="1565">
        <v>10617947.1</v>
      </c>
      <c r="L5129" s="1565">
        <v>10617947.1</v>
      </c>
      <c r="M5129" s="1564"/>
      <c r="N5129" s="1565">
        <v>10617947.1</v>
      </c>
      <c r="O5129" s="1565">
        <v>4826339.5199999996</v>
      </c>
      <c r="P5129" s="1565">
        <v>4738588.0199999996</v>
      </c>
      <c r="Q5129" s="1565">
        <v>1053019.56</v>
      </c>
      <c r="R5129" s="1565">
        <v>5791607.5800000001</v>
      </c>
      <c r="S5129" s="1562"/>
    </row>
    <row r="5130" spans="2:19" ht="21.75" customHeight="1" outlineLevel="1">
      <c r="B5130" s="1569" t="s">
        <v>7444</v>
      </c>
      <c r="C5130" s="1566" t="s">
        <v>7443</v>
      </c>
      <c r="D5130" s="1566" t="s">
        <v>7442</v>
      </c>
      <c r="E5130" s="1566" t="s">
        <v>2208</v>
      </c>
      <c r="F5130" s="1566"/>
      <c r="G5130" s="1566"/>
      <c r="H5130" s="1568">
        <v>1</v>
      </c>
      <c r="I5130" s="1566"/>
      <c r="J5130" s="1566"/>
      <c r="K5130" s="1565">
        <v>47972.43</v>
      </c>
      <c r="L5130" s="1565">
        <v>47972.43</v>
      </c>
      <c r="M5130" s="1564"/>
      <c r="N5130" s="1565">
        <v>47972.43</v>
      </c>
      <c r="O5130" s="1565">
        <v>22202</v>
      </c>
      <c r="P5130" s="1565">
        <v>21012.91</v>
      </c>
      <c r="Q5130" s="1565">
        <v>4757.5200000000004</v>
      </c>
      <c r="R5130" s="1565">
        <v>25770.43</v>
      </c>
      <c r="S5130" s="1562"/>
    </row>
    <row r="5131" spans="2:19" ht="21.75" customHeight="1" outlineLevel="1">
      <c r="B5131" s="1569" t="s">
        <v>7441</v>
      </c>
      <c r="C5131" s="1566" t="s">
        <v>7440</v>
      </c>
      <c r="D5131" s="1566" t="s">
        <v>7439</v>
      </c>
      <c r="E5131" s="1566" t="s">
        <v>2208</v>
      </c>
      <c r="F5131" s="1566"/>
      <c r="G5131" s="1566"/>
      <c r="H5131" s="1568">
        <v>1</v>
      </c>
      <c r="I5131" s="1571">
        <v>9</v>
      </c>
      <c r="J5131" s="1566"/>
      <c r="K5131" s="1565">
        <v>43724.36</v>
      </c>
      <c r="L5131" s="1565">
        <v>43724.36</v>
      </c>
      <c r="M5131" s="1564"/>
      <c r="N5131" s="1565">
        <v>43724.36</v>
      </c>
      <c r="O5131" s="1565">
        <v>20235.96</v>
      </c>
      <c r="P5131" s="1565">
        <v>19152.080000000002</v>
      </c>
      <c r="Q5131" s="1565">
        <v>4336.32</v>
      </c>
      <c r="R5131" s="1565">
        <v>23488.400000000001</v>
      </c>
      <c r="S5131" s="1562"/>
    </row>
    <row r="5132" spans="2:19" ht="11.25" customHeight="1" outlineLevel="1">
      <c r="B5132" s="1569" t="s">
        <v>7438</v>
      </c>
      <c r="C5132" s="1566" t="s">
        <v>3402</v>
      </c>
      <c r="D5132" s="1566" t="s">
        <v>7437</v>
      </c>
      <c r="E5132" s="1566" t="s">
        <v>2219</v>
      </c>
      <c r="F5132" s="1566" t="s">
        <v>3400</v>
      </c>
      <c r="G5132" s="1566" t="s">
        <v>3399</v>
      </c>
      <c r="H5132" s="1568">
        <v>1</v>
      </c>
      <c r="I5132" s="1571">
        <v>737</v>
      </c>
      <c r="J5132" s="1566"/>
      <c r="K5132" s="1565">
        <v>943768</v>
      </c>
      <c r="L5132" s="1565">
        <v>943768</v>
      </c>
      <c r="M5132" s="1564"/>
      <c r="N5132" s="1565">
        <v>943768</v>
      </c>
      <c r="O5132" s="1565">
        <v>436785.02</v>
      </c>
      <c r="P5132" s="1565">
        <v>413386.22</v>
      </c>
      <c r="Q5132" s="1565">
        <v>93596.76</v>
      </c>
      <c r="R5132" s="1565">
        <v>506982.98</v>
      </c>
      <c r="S5132" s="1562"/>
    </row>
    <row r="5133" spans="2:19" ht="21.75" customHeight="1" outlineLevel="1">
      <c r="B5133" s="1569" t="s">
        <v>7436</v>
      </c>
      <c r="C5133" s="1566" t="s">
        <v>7435</v>
      </c>
      <c r="D5133" s="1566" t="s">
        <v>7434</v>
      </c>
      <c r="E5133" s="1566" t="s">
        <v>2208</v>
      </c>
      <c r="F5133" s="1566"/>
      <c r="G5133" s="1566"/>
      <c r="H5133" s="1568">
        <v>1</v>
      </c>
      <c r="I5133" s="1571">
        <v>9</v>
      </c>
      <c r="J5133" s="1566"/>
      <c r="K5133" s="1565">
        <v>35843.730000000003</v>
      </c>
      <c r="L5133" s="1565">
        <v>35843.730000000003</v>
      </c>
      <c r="M5133" s="1564"/>
      <c r="N5133" s="1565">
        <v>35843.730000000003</v>
      </c>
      <c r="O5133" s="1565">
        <v>16588.78</v>
      </c>
      <c r="P5133" s="1565">
        <v>15700.19</v>
      </c>
      <c r="Q5133" s="1565">
        <v>3554.76</v>
      </c>
      <c r="R5133" s="1565">
        <v>19254.95</v>
      </c>
      <c r="S5133" s="1562"/>
    </row>
    <row r="5134" spans="2:19" ht="21.75" customHeight="1" outlineLevel="1">
      <c r="B5134" s="1569" t="s">
        <v>7433</v>
      </c>
      <c r="C5134" s="1566" t="s">
        <v>7430</v>
      </c>
      <c r="D5134" s="1566" t="s">
        <v>7432</v>
      </c>
      <c r="E5134" s="1566" t="s">
        <v>2208</v>
      </c>
      <c r="F5134" s="1566"/>
      <c r="G5134" s="1566"/>
      <c r="H5134" s="1568">
        <v>1</v>
      </c>
      <c r="I5134" s="1566"/>
      <c r="J5134" s="1566"/>
      <c r="K5134" s="1565">
        <v>61395.67</v>
      </c>
      <c r="L5134" s="1565">
        <v>61395.67</v>
      </c>
      <c r="M5134" s="1564"/>
      <c r="N5134" s="1565">
        <v>61395.67</v>
      </c>
      <c r="O5134" s="1565">
        <v>28922.07</v>
      </c>
      <c r="P5134" s="1565">
        <v>26384.799999999999</v>
      </c>
      <c r="Q5134" s="1565">
        <v>6088.8</v>
      </c>
      <c r="R5134" s="1565">
        <v>32473.599999999999</v>
      </c>
      <c r="S5134" s="1562"/>
    </row>
    <row r="5135" spans="2:19" ht="11.25" customHeight="1" outlineLevel="1">
      <c r="B5135" s="1569" t="s">
        <v>7431</v>
      </c>
      <c r="C5135" s="1566" t="s">
        <v>7430</v>
      </c>
      <c r="D5135" s="1566" t="s">
        <v>7429</v>
      </c>
      <c r="E5135" s="1566" t="s">
        <v>2208</v>
      </c>
      <c r="F5135" s="1566"/>
      <c r="G5135" s="1566"/>
      <c r="H5135" s="1568">
        <v>1</v>
      </c>
      <c r="I5135" s="1566"/>
      <c r="J5135" s="1566"/>
      <c r="K5135" s="1565">
        <v>97651.01</v>
      </c>
      <c r="L5135" s="1565">
        <v>97651.01</v>
      </c>
      <c r="M5135" s="1564"/>
      <c r="N5135" s="1565">
        <v>97651.01</v>
      </c>
      <c r="O5135" s="1565">
        <v>46000.99</v>
      </c>
      <c r="P5135" s="1565">
        <v>41965.56</v>
      </c>
      <c r="Q5135" s="1565">
        <v>9684.4599999999991</v>
      </c>
      <c r="R5135" s="1565">
        <v>51650.02</v>
      </c>
      <c r="S5135" s="1562"/>
    </row>
    <row r="5136" spans="2:19" ht="11.25" customHeight="1" outlineLevel="1">
      <c r="B5136" s="1569" t="s">
        <v>7428</v>
      </c>
      <c r="C5136" s="1566" t="s">
        <v>7427</v>
      </c>
      <c r="D5136" s="1566" t="s">
        <v>7426</v>
      </c>
      <c r="E5136" s="1566" t="s">
        <v>2208</v>
      </c>
      <c r="F5136" s="1566"/>
      <c r="G5136" s="1566"/>
      <c r="H5136" s="1568">
        <v>1</v>
      </c>
      <c r="I5136" s="1566"/>
      <c r="J5136" s="1566"/>
      <c r="K5136" s="1565">
        <v>136013.99</v>
      </c>
      <c r="L5136" s="1565">
        <v>136013.99</v>
      </c>
      <c r="M5136" s="1564"/>
      <c r="N5136" s="1565">
        <v>136013.99</v>
      </c>
      <c r="O5136" s="1565">
        <v>64072.84</v>
      </c>
      <c r="P5136" s="1565">
        <v>58452.160000000003</v>
      </c>
      <c r="Q5136" s="1565">
        <v>13488.99</v>
      </c>
      <c r="R5136" s="1565">
        <v>71941.149999999994</v>
      </c>
      <c r="S5136" s="1562"/>
    </row>
    <row r="5137" spans="2:19" ht="21.75" customHeight="1" outlineLevel="1">
      <c r="B5137" s="1569" t="s">
        <v>7425</v>
      </c>
      <c r="C5137" s="1566" t="s">
        <v>7424</v>
      </c>
      <c r="D5137" s="1566" t="s">
        <v>7423</v>
      </c>
      <c r="E5137" s="1566" t="s">
        <v>2208</v>
      </c>
      <c r="F5137" s="1566"/>
      <c r="G5137" s="1566"/>
      <c r="H5137" s="1568">
        <v>1</v>
      </c>
      <c r="I5137" s="1566"/>
      <c r="J5137" s="1566"/>
      <c r="K5137" s="1565">
        <v>64528.82</v>
      </c>
      <c r="L5137" s="1565">
        <v>64528.82</v>
      </c>
      <c r="M5137" s="1564"/>
      <c r="N5137" s="1565">
        <v>64528.82</v>
      </c>
      <c r="O5137" s="1565">
        <v>30397.74</v>
      </c>
      <c r="P5137" s="1565">
        <v>27731.599999999999</v>
      </c>
      <c r="Q5137" s="1565">
        <v>6399.48</v>
      </c>
      <c r="R5137" s="1565">
        <v>34131.08</v>
      </c>
      <c r="S5137" s="1562"/>
    </row>
    <row r="5138" spans="2:19" ht="21.75" customHeight="1" outlineLevel="1">
      <c r="B5138" s="1569" t="s">
        <v>7422</v>
      </c>
      <c r="C5138" s="1566" t="s">
        <v>7416</v>
      </c>
      <c r="D5138" s="1566" t="s">
        <v>7421</v>
      </c>
      <c r="E5138" s="1566" t="s">
        <v>2208</v>
      </c>
      <c r="F5138" s="1566"/>
      <c r="G5138" s="1566" t="s">
        <v>7420</v>
      </c>
      <c r="H5138" s="1568">
        <v>1</v>
      </c>
      <c r="I5138" s="1571">
        <v>8</v>
      </c>
      <c r="J5138" s="1566"/>
      <c r="K5138" s="1565">
        <v>21188.94</v>
      </c>
      <c r="L5138" s="1565">
        <v>21188.94</v>
      </c>
      <c r="M5138" s="1564"/>
      <c r="N5138" s="1565">
        <v>21188.94</v>
      </c>
      <c r="O5138" s="1565">
        <v>9981.3799999999992</v>
      </c>
      <c r="P5138" s="1565">
        <v>9106.24</v>
      </c>
      <c r="Q5138" s="1565">
        <v>2101.3200000000002</v>
      </c>
      <c r="R5138" s="1565">
        <v>11207.56</v>
      </c>
      <c r="S5138" s="1562"/>
    </row>
    <row r="5139" spans="2:19" ht="11.25" customHeight="1" outlineLevel="1">
      <c r="B5139" s="1569" t="s">
        <v>7419</v>
      </c>
      <c r="C5139" s="1566" t="s">
        <v>7416</v>
      </c>
      <c r="D5139" s="1566" t="s">
        <v>7418</v>
      </c>
      <c r="E5139" s="1566" t="s">
        <v>2208</v>
      </c>
      <c r="F5139" s="1566"/>
      <c r="G5139" s="1566"/>
      <c r="H5139" s="1568">
        <v>1</v>
      </c>
      <c r="I5139" s="1566"/>
      <c r="J5139" s="1566"/>
      <c r="K5139" s="1565">
        <v>32173.47</v>
      </c>
      <c r="L5139" s="1565">
        <v>32173.47</v>
      </c>
      <c r="M5139" s="1564"/>
      <c r="N5139" s="1565">
        <v>32173.47</v>
      </c>
      <c r="O5139" s="1565">
        <v>15155.99</v>
      </c>
      <c r="P5139" s="1565">
        <v>13826.8</v>
      </c>
      <c r="Q5139" s="1565">
        <v>3190.68</v>
      </c>
      <c r="R5139" s="1565">
        <v>17017.48</v>
      </c>
      <c r="S5139" s="1562"/>
    </row>
    <row r="5140" spans="2:19" ht="11.25" customHeight="1" outlineLevel="1">
      <c r="B5140" s="1569" t="s">
        <v>7417</v>
      </c>
      <c r="C5140" s="1566" t="s">
        <v>7416</v>
      </c>
      <c r="D5140" s="1566" t="s">
        <v>7415</v>
      </c>
      <c r="E5140" s="1566" t="s">
        <v>2208</v>
      </c>
      <c r="F5140" s="1566"/>
      <c r="G5140" s="1566"/>
      <c r="H5140" s="1568">
        <v>1</v>
      </c>
      <c r="I5140" s="1566"/>
      <c r="J5140" s="1566"/>
      <c r="K5140" s="1565">
        <v>75791.039999999994</v>
      </c>
      <c r="L5140" s="1565">
        <v>75791.039999999994</v>
      </c>
      <c r="M5140" s="1564"/>
      <c r="N5140" s="1565">
        <v>75791.039999999994</v>
      </c>
      <c r="O5140" s="1565">
        <v>35703.360000000001</v>
      </c>
      <c r="P5140" s="1565">
        <v>32571.24</v>
      </c>
      <c r="Q5140" s="1565">
        <v>7516.44</v>
      </c>
      <c r="R5140" s="1565">
        <v>40087.68</v>
      </c>
      <c r="S5140" s="1562"/>
    </row>
    <row r="5141" spans="2:19" ht="21.75" customHeight="1" outlineLevel="1">
      <c r="B5141" s="1569" t="s">
        <v>7414</v>
      </c>
      <c r="C5141" s="1566" t="s">
        <v>7413</v>
      </c>
      <c r="D5141" s="1566" t="s">
        <v>7412</v>
      </c>
      <c r="E5141" s="1566" t="s">
        <v>2219</v>
      </c>
      <c r="F5141" s="1566" t="s">
        <v>7411</v>
      </c>
      <c r="G5141" s="1566" t="s">
        <v>7410</v>
      </c>
      <c r="H5141" s="1568">
        <v>1</v>
      </c>
      <c r="I5141" s="1566"/>
      <c r="J5141" s="1566"/>
      <c r="K5141" s="1565">
        <v>12633484.1</v>
      </c>
      <c r="L5141" s="1565">
        <v>12633484.1</v>
      </c>
      <c r="M5141" s="1564"/>
      <c r="N5141" s="1565">
        <v>12633484.1</v>
      </c>
      <c r="O5141" s="1565">
        <v>6160128.5800000001</v>
      </c>
      <c r="P5141" s="1565">
        <v>5220448</v>
      </c>
      <c r="Q5141" s="1565">
        <v>1252907.52</v>
      </c>
      <c r="R5141" s="1565">
        <v>6473355.5199999996</v>
      </c>
      <c r="S5141" s="1562"/>
    </row>
    <row r="5142" spans="2:19" ht="21.75" customHeight="1" outlineLevel="1">
      <c r="B5142" s="1569" t="s">
        <v>7409</v>
      </c>
      <c r="C5142" s="1566" t="s">
        <v>3394</v>
      </c>
      <c r="D5142" s="1566" t="s">
        <v>7408</v>
      </c>
      <c r="E5142" s="1566" t="s">
        <v>2208</v>
      </c>
      <c r="F5142" s="1566"/>
      <c r="G5142" s="1566"/>
      <c r="H5142" s="1568">
        <v>1</v>
      </c>
      <c r="I5142" s="1571">
        <v>9</v>
      </c>
      <c r="J5142" s="1566"/>
      <c r="K5142" s="1565">
        <v>68549.37</v>
      </c>
      <c r="L5142" s="1565">
        <v>68549.37</v>
      </c>
      <c r="M5142" s="1564"/>
      <c r="N5142" s="1565">
        <v>68549.37</v>
      </c>
      <c r="O5142" s="1565">
        <v>33425.01</v>
      </c>
      <c r="P5142" s="1565">
        <v>28326</v>
      </c>
      <c r="Q5142" s="1565">
        <v>6798.36</v>
      </c>
      <c r="R5142" s="1565">
        <v>35124.36</v>
      </c>
      <c r="S5142" s="1562"/>
    </row>
    <row r="5143" spans="2:19" ht="21.75" customHeight="1" outlineLevel="1">
      <c r="B5143" s="1569" t="s">
        <v>7407</v>
      </c>
      <c r="C5143" s="1566" t="s">
        <v>3394</v>
      </c>
      <c r="D5143" s="1566" t="s">
        <v>7406</v>
      </c>
      <c r="E5143" s="1566" t="s">
        <v>2208</v>
      </c>
      <c r="F5143" s="1566"/>
      <c r="G5143" s="1566" t="s">
        <v>7405</v>
      </c>
      <c r="H5143" s="1568">
        <v>1</v>
      </c>
      <c r="I5143" s="1571">
        <v>1</v>
      </c>
      <c r="J5143" s="1566"/>
      <c r="K5143" s="1565">
        <v>64872.97</v>
      </c>
      <c r="L5143" s="1565">
        <v>64872.97</v>
      </c>
      <c r="M5143" s="1564"/>
      <c r="N5143" s="1565">
        <v>64872.97</v>
      </c>
      <c r="O5143" s="1565">
        <v>31632.29</v>
      </c>
      <c r="P5143" s="1565">
        <v>26807</v>
      </c>
      <c r="Q5143" s="1565">
        <v>6433.68</v>
      </c>
      <c r="R5143" s="1565">
        <v>33240.68</v>
      </c>
      <c r="S5143" s="1562"/>
    </row>
    <row r="5144" spans="2:19" ht="21.75" customHeight="1" outlineLevel="1">
      <c r="B5144" s="1569" t="s">
        <v>7404</v>
      </c>
      <c r="C5144" s="1566" t="s">
        <v>3394</v>
      </c>
      <c r="D5144" s="1566" t="s">
        <v>7403</v>
      </c>
      <c r="E5144" s="1566" t="s">
        <v>2208</v>
      </c>
      <c r="F5144" s="1566"/>
      <c r="G5144" s="1566"/>
      <c r="H5144" s="1568">
        <v>1</v>
      </c>
      <c r="I5144" s="1570">
        <v>23.5</v>
      </c>
      <c r="J5144" s="1566"/>
      <c r="K5144" s="1565">
        <v>81328.789999999994</v>
      </c>
      <c r="L5144" s="1565">
        <v>81328.789999999994</v>
      </c>
      <c r="M5144" s="1564"/>
      <c r="N5144" s="1565">
        <v>81328.789999999994</v>
      </c>
      <c r="O5144" s="1565">
        <v>39656.11</v>
      </c>
      <c r="P5144" s="1565">
        <v>33607</v>
      </c>
      <c r="Q5144" s="1565">
        <v>8065.68</v>
      </c>
      <c r="R5144" s="1565">
        <v>41672.68</v>
      </c>
      <c r="S5144" s="1562"/>
    </row>
    <row r="5145" spans="2:19" ht="21.75" customHeight="1" outlineLevel="1">
      <c r="B5145" s="1569" t="s">
        <v>7402</v>
      </c>
      <c r="C5145" s="1566" t="s">
        <v>3394</v>
      </c>
      <c r="D5145" s="1566" t="s">
        <v>7401</v>
      </c>
      <c r="E5145" s="1566" t="s">
        <v>2208</v>
      </c>
      <c r="F5145" s="1566"/>
      <c r="G5145" s="1566"/>
      <c r="H5145" s="1568">
        <v>1</v>
      </c>
      <c r="I5145" s="1570">
        <v>149.5</v>
      </c>
      <c r="J5145" s="1566"/>
      <c r="K5145" s="1565">
        <v>164530.48000000001</v>
      </c>
      <c r="L5145" s="1565">
        <v>164530.48000000001</v>
      </c>
      <c r="M5145" s="1564"/>
      <c r="N5145" s="1565">
        <v>164530.48000000001</v>
      </c>
      <c r="O5145" s="1565">
        <v>80225.48</v>
      </c>
      <c r="P5145" s="1565">
        <v>67988</v>
      </c>
      <c r="Q5145" s="1565">
        <v>16317</v>
      </c>
      <c r="R5145" s="1565">
        <v>84305</v>
      </c>
      <c r="S5145" s="1562"/>
    </row>
    <row r="5146" spans="2:19" ht="21.75" customHeight="1" outlineLevel="1">
      <c r="B5146" s="1569" t="s">
        <v>7400</v>
      </c>
      <c r="C5146" s="1566" t="s">
        <v>3394</v>
      </c>
      <c r="D5146" s="1566" t="s">
        <v>7399</v>
      </c>
      <c r="E5146" s="1566" t="s">
        <v>2208</v>
      </c>
      <c r="F5146" s="1566"/>
      <c r="G5146" s="1566"/>
      <c r="H5146" s="1568">
        <v>1</v>
      </c>
      <c r="I5146" s="1571">
        <v>27</v>
      </c>
      <c r="J5146" s="1566"/>
      <c r="K5146" s="1565">
        <v>223965.18</v>
      </c>
      <c r="L5146" s="1565">
        <v>223965.18</v>
      </c>
      <c r="M5146" s="1564"/>
      <c r="N5146" s="1565">
        <v>223965.18</v>
      </c>
      <c r="O5146" s="1565">
        <v>109206.28</v>
      </c>
      <c r="P5146" s="1565">
        <v>92547.5</v>
      </c>
      <c r="Q5146" s="1565">
        <v>22211.4</v>
      </c>
      <c r="R5146" s="1565">
        <v>114758.9</v>
      </c>
      <c r="S5146" s="1562"/>
    </row>
    <row r="5147" spans="2:19" ht="11.25" customHeight="1" outlineLevel="1">
      <c r="B5147" s="1569" t="s">
        <v>7398</v>
      </c>
      <c r="C5147" s="1566" t="s">
        <v>3388</v>
      </c>
      <c r="D5147" s="1566" t="s">
        <v>7397</v>
      </c>
      <c r="E5147" s="1566" t="s">
        <v>2219</v>
      </c>
      <c r="F5147" s="1566" t="s">
        <v>2912</v>
      </c>
      <c r="G5147" s="1566" t="s">
        <v>7396</v>
      </c>
      <c r="H5147" s="1568">
        <v>1</v>
      </c>
      <c r="I5147" s="1571">
        <v>11</v>
      </c>
      <c r="J5147" s="1566"/>
      <c r="K5147" s="1565">
        <v>6200</v>
      </c>
      <c r="L5147" s="1565">
        <v>6200</v>
      </c>
      <c r="M5147" s="1564"/>
      <c r="N5147" s="1565">
        <v>6200</v>
      </c>
      <c r="O5147" s="1565">
        <v>3074.36</v>
      </c>
      <c r="P5147" s="1565">
        <v>2510.7600000000002</v>
      </c>
      <c r="Q5147" s="1572">
        <v>614.88</v>
      </c>
      <c r="R5147" s="1565">
        <v>3125.64</v>
      </c>
      <c r="S5147" s="1562"/>
    </row>
    <row r="5148" spans="2:19" ht="11.25" customHeight="1" outlineLevel="1">
      <c r="B5148" s="1569" t="s">
        <v>7395</v>
      </c>
      <c r="C5148" s="1566" t="s">
        <v>3388</v>
      </c>
      <c r="D5148" s="1566" t="s">
        <v>7394</v>
      </c>
      <c r="E5148" s="1566" t="s">
        <v>2219</v>
      </c>
      <c r="F5148" s="1566" t="s">
        <v>6548</v>
      </c>
      <c r="G5148" s="1566" t="s">
        <v>7393</v>
      </c>
      <c r="H5148" s="1568">
        <v>1</v>
      </c>
      <c r="I5148" s="1571">
        <v>37</v>
      </c>
      <c r="J5148" s="1566"/>
      <c r="K5148" s="1565">
        <v>36400</v>
      </c>
      <c r="L5148" s="1565">
        <v>36400</v>
      </c>
      <c r="M5148" s="1564"/>
      <c r="N5148" s="1565">
        <v>36400</v>
      </c>
      <c r="O5148" s="1565">
        <v>18049.490000000002</v>
      </c>
      <c r="P5148" s="1565">
        <v>14740.67</v>
      </c>
      <c r="Q5148" s="1565">
        <v>3609.84</v>
      </c>
      <c r="R5148" s="1565">
        <v>18350.509999999998</v>
      </c>
      <c r="S5148" s="1562"/>
    </row>
    <row r="5149" spans="2:19" ht="21.75" customHeight="1" outlineLevel="1">
      <c r="B5149" s="1569" t="s">
        <v>7392</v>
      </c>
      <c r="C5149" s="1566" t="s">
        <v>3388</v>
      </c>
      <c r="D5149" s="1566" t="s">
        <v>7391</v>
      </c>
      <c r="E5149" s="1566" t="s">
        <v>2219</v>
      </c>
      <c r="F5149" s="1566" t="s">
        <v>2912</v>
      </c>
      <c r="G5149" s="1566" t="s">
        <v>7390</v>
      </c>
      <c r="H5149" s="1568">
        <v>1</v>
      </c>
      <c r="I5149" s="1571">
        <v>50</v>
      </c>
      <c r="J5149" s="1566"/>
      <c r="K5149" s="1565">
        <v>26440</v>
      </c>
      <c r="L5149" s="1565">
        <v>26440</v>
      </c>
      <c r="M5149" s="1564"/>
      <c r="N5149" s="1565">
        <v>26440</v>
      </c>
      <c r="O5149" s="1565">
        <v>13110.89</v>
      </c>
      <c r="P5149" s="1565">
        <v>10706.99</v>
      </c>
      <c r="Q5149" s="1565">
        <v>2622.12</v>
      </c>
      <c r="R5149" s="1565">
        <v>13329.11</v>
      </c>
      <c r="S5149" s="1562"/>
    </row>
    <row r="5150" spans="2:19" ht="11.25" customHeight="1" outlineLevel="1">
      <c r="B5150" s="1569" t="s">
        <v>7389</v>
      </c>
      <c r="C5150" s="1566" t="s">
        <v>3388</v>
      </c>
      <c r="D5150" s="1566" t="s">
        <v>7388</v>
      </c>
      <c r="E5150" s="1566" t="s">
        <v>2219</v>
      </c>
      <c r="F5150" s="1566" t="s">
        <v>2912</v>
      </c>
      <c r="G5150" s="1566" t="s">
        <v>6491</v>
      </c>
      <c r="H5150" s="1568">
        <v>1</v>
      </c>
      <c r="I5150" s="1566"/>
      <c r="J5150" s="1566"/>
      <c r="K5150" s="1565">
        <v>204404.98</v>
      </c>
      <c r="L5150" s="1565">
        <v>204404.98</v>
      </c>
      <c r="M5150" s="1564"/>
      <c r="N5150" s="1565">
        <v>204404.98</v>
      </c>
      <c r="O5150" s="1565">
        <v>152667.82999999999</v>
      </c>
      <c r="P5150" s="1565">
        <v>41559.35</v>
      </c>
      <c r="Q5150" s="1565">
        <v>10177.799999999999</v>
      </c>
      <c r="R5150" s="1565">
        <v>51737.15</v>
      </c>
      <c r="S5150" s="1562"/>
    </row>
    <row r="5151" spans="2:19" ht="11.25" customHeight="1" outlineLevel="1">
      <c r="B5151" s="1569" t="s">
        <v>7387</v>
      </c>
      <c r="C5151" s="1566" t="s">
        <v>3388</v>
      </c>
      <c r="D5151" s="1566" t="s">
        <v>7386</v>
      </c>
      <c r="E5151" s="1566" t="s">
        <v>2219</v>
      </c>
      <c r="F5151" s="1566" t="s">
        <v>7385</v>
      </c>
      <c r="G5151" s="1566" t="s">
        <v>6491</v>
      </c>
      <c r="H5151" s="1568">
        <v>1</v>
      </c>
      <c r="I5151" s="1566"/>
      <c r="J5151" s="1566"/>
      <c r="K5151" s="1565">
        <v>200349.32</v>
      </c>
      <c r="L5151" s="1565">
        <v>200349.32</v>
      </c>
      <c r="M5151" s="1564"/>
      <c r="N5151" s="1565">
        <v>200349.32</v>
      </c>
      <c r="O5151" s="1565">
        <v>149638.68</v>
      </c>
      <c r="P5151" s="1565">
        <v>40734.68</v>
      </c>
      <c r="Q5151" s="1565">
        <v>9975.9599999999991</v>
      </c>
      <c r="R5151" s="1565">
        <v>50710.64</v>
      </c>
      <c r="S5151" s="1562"/>
    </row>
    <row r="5152" spans="2:19" ht="21.75" customHeight="1" outlineLevel="1">
      <c r="B5152" s="1569" t="s">
        <v>7384</v>
      </c>
      <c r="C5152" s="1566" t="s">
        <v>7383</v>
      </c>
      <c r="D5152" s="1566" t="s">
        <v>7382</v>
      </c>
      <c r="E5152" s="1566" t="s">
        <v>2288</v>
      </c>
      <c r="F5152" s="1566" t="s">
        <v>7381</v>
      </c>
      <c r="G5152" s="1566"/>
      <c r="H5152" s="1568">
        <v>1</v>
      </c>
      <c r="I5152" s="1566"/>
      <c r="J5152" s="1566"/>
      <c r="K5152" s="1565">
        <v>41563.56</v>
      </c>
      <c r="L5152" s="1565">
        <v>41563.56</v>
      </c>
      <c r="M5152" s="1565">
        <v>-41563.56</v>
      </c>
      <c r="N5152" s="1564"/>
      <c r="O5152" s="1564"/>
      <c r="P5152" s="1565">
        <v>33387.129999999997</v>
      </c>
      <c r="Q5152" s="1565">
        <v>-33387.129999999997</v>
      </c>
      <c r="R5152" s="1564"/>
      <c r="S5152" s="1562"/>
    </row>
    <row r="5153" spans="2:19" ht="21.75" customHeight="1" outlineLevel="1">
      <c r="B5153" s="1569" t="s">
        <v>7380</v>
      </c>
      <c r="C5153" s="1566" t="s">
        <v>7368</v>
      </c>
      <c r="D5153" s="1566" t="s">
        <v>7379</v>
      </c>
      <c r="E5153" s="1566" t="s">
        <v>2208</v>
      </c>
      <c r="F5153" s="1566"/>
      <c r="G5153" s="1566"/>
      <c r="H5153" s="1568">
        <v>1</v>
      </c>
      <c r="I5153" s="1570">
        <v>27.4</v>
      </c>
      <c r="J5153" s="1566"/>
      <c r="K5153" s="1565">
        <v>81712.08</v>
      </c>
      <c r="L5153" s="1565">
        <v>81712.08</v>
      </c>
      <c r="M5153" s="1564"/>
      <c r="N5153" s="1565">
        <v>81712.08</v>
      </c>
      <c r="O5153" s="1565">
        <v>40518.29</v>
      </c>
      <c r="P5153" s="1565">
        <v>33090.19</v>
      </c>
      <c r="Q5153" s="1565">
        <v>8103.6</v>
      </c>
      <c r="R5153" s="1565">
        <v>41193.79</v>
      </c>
      <c r="S5153" s="1562"/>
    </row>
    <row r="5154" spans="2:19" ht="21.75" customHeight="1" outlineLevel="1">
      <c r="B5154" s="1569" t="s">
        <v>7378</v>
      </c>
      <c r="C5154" s="1566" t="s">
        <v>7368</v>
      </c>
      <c r="D5154" s="1566" t="s">
        <v>7377</v>
      </c>
      <c r="E5154" s="1566" t="s">
        <v>2208</v>
      </c>
      <c r="F5154" s="1566"/>
      <c r="G5154" s="1566"/>
      <c r="H5154" s="1568">
        <v>1</v>
      </c>
      <c r="I5154" s="1571">
        <v>13</v>
      </c>
      <c r="J5154" s="1566"/>
      <c r="K5154" s="1565">
        <v>53990.15</v>
      </c>
      <c r="L5154" s="1565">
        <v>53990.15</v>
      </c>
      <c r="M5154" s="1564"/>
      <c r="N5154" s="1565">
        <v>53990.15</v>
      </c>
      <c r="O5154" s="1565">
        <v>26771.95</v>
      </c>
      <c r="P5154" s="1565">
        <v>21863.8</v>
      </c>
      <c r="Q5154" s="1565">
        <v>5354.4</v>
      </c>
      <c r="R5154" s="1565">
        <v>27218.2</v>
      </c>
      <c r="S5154" s="1562"/>
    </row>
    <row r="5155" spans="2:19" ht="21.75" customHeight="1" outlineLevel="1">
      <c r="B5155" s="1569" t="s">
        <v>7376</v>
      </c>
      <c r="C5155" s="1566" t="s">
        <v>7368</v>
      </c>
      <c r="D5155" s="1566" t="s">
        <v>7375</v>
      </c>
      <c r="E5155" s="1566" t="s">
        <v>2208</v>
      </c>
      <c r="F5155" s="1566"/>
      <c r="G5155" s="1566" t="s">
        <v>7374</v>
      </c>
      <c r="H5155" s="1568">
        <v>1</v>
      </c>
      <c r="I5155" s="1571">
        <v>6</v>
      </c>
      <c r="J5155" s="1566"/>
      <c r="K5155" s="1565">
        <v>27142.36</v>
      </c>
      <c r="L5155" s="1565">
        <v>27142.36</v>
      </c>
      <c r="M5155" s="1564"/>
      <c r="N5155" s="1565">
        <v>27142.36</v>
      </c>
      <c r="O5155" s="1565">
        <v>13458.9</v>
      </c>
      <c r="P5155" s="1565">
        <v>10991.68</v>
      </c>
      <c r="Q5155" s="1565">
        <v>2691.78</v>
      </c>
      <c r="R5155" s="1565">
        <v>13683.46</v>
      </c>
      <c r="S5155" s="1562"/>
    </row>
    <row r="5156" spans="2:19" ht="21.75" customHeight="1" outlineLevel="1">
      <c r="B5156" s="1569" t="s">
        <v>7373</v>
      </c>
      <c r="C5156" s="1566" t="s">
        <v>7368</v>
      </c>
      <c r="D5156" s="1566" t="s">
        <v>7372</v>
      </c>
      <c r="E5156" s="1566" t="s">
        <v>2208</v>
      </c>
      <c r="F5156" s="1566"/>
      <c r="G5156" s="1566"/>
      <c r="H5156" s="1568">
        <v>1</v>
      </c>
      <c r="I5156" s="1570">
        <v>40.5</v>
      </c>
      <c r="J5156" s="1566"/>
      <c r="K5156" s="1565">
        <v>115991.2</v>
      </c>
      <c r="L5156" s="1565">
        <v>115991.2</v>
      </c>
      <c r="M5156" s="1564"/>
      <c r="N5156" s="1565">
        <v>115991.2</v>
      </c>
      <c r="O5156" s="1565">
        <v>57516.480000000003</v>
      </c>
      <c r="P5156" s="1565">
        <v>46971.4</v>
      </c>
      <c r="Q5156" s="1565">
        <v>11503.32</v>
      </c>
      <c r="R5156" s="1565">
        <v>58474.720000000001</v>
      </c>
      <c r="S5156" s="1562"/>
    </row>
    <row r="5157" spans="2:19" ht="21.75" customHeight="1" outlineLevel="1">
      <c r="B5157" s="1569" t="s">
        <v>7371</v>
      </c>
      <c r="C5157" s="1566" t="s">
        <v>7368</v>
      </c>
      <c r="D5157" s="1566" t="s">
        <v>7370</v>
      </c>
      <c r="E5157" s="1566" t="s">
        <v>2208</v>
      </c>
      <c r="F5157" s="1566"/>
      <c r="G5157" s="1566"/>
      <c r="H5157" s="1568">
        <v>1</v>
      </c>
      <c r="I5157" s="1570">
        <v>16.5</v>
      </c>
      <c r="J5157" s="1566"/>
      <c r="K5157" s="1565">
        <v>77600.509999999995</v>
      </c>
      <c r="L5157" s="1565">
        <v>77600.509999999995</v>
      </c>
      <c r="M5157" s="1564"/>
      <c r="N5157" s="1565">
        <v>77600.509999999995</v>
      </c>
      <c r="O5157" s="1565">
        <v>38479.5</v>
      </c>
      <c r="P5157" s="1565">
        <v>31425.17</v>
      </c>
      <c r="Q5157" s="1565">
        <v>7695.84</v>
      </c>
      <c r="R5157" s="1565">
        <v>39121.01</v>
      </c>
      <c r="S5157" s="1562"/>
    </row>
    <row r="5158" spans="2:19" ht="21.75" customHeight="1" outlineLevel="1">
      <c r="B5158" s="1569" t="s">
        <v>7369</v>
      </c>
      <c r="C5158" s="1566" t="s">
        <v>7368</v>
      </c>
      <c r="D5158" s="1566" t="s">
        <v>7367</v>
      </c>
      <c r="E5158" s="1566" t="s">
        <v>2208</v>
      </c>
      <c r="F5158" s="1566"/>
      <c r="G5158" s="1566"/>
      <c r="H5158" s="1568">
        <v>1</v>
      </c>
      <c r="I5158" s="1570">
        <v>11.5</v>
      </c>
      <c r="J5158" s="1566"/>
      <c r="K5158" s="1565">
        <v>116161</v>
      </c>
      <c r="L5158" s="1565">
        <v>116161</v>
      </c>
      <c r="M5158" s="1564"/>
      <c r="N5158" s="1565">
        <v>116161</v>
      </c>
      <c r="O5158" s="1565">
        <v>57600.39</v>
      </c>
      <c r="P5158" s="1565">
        <v>47040.49</v>
      </c>
      <c r="Q5158" s="1565">
        <v>11520.12</v>
      </c>
      <c r="R5158" s="1565">
        <v>58560.61</v>
      </c>
      <c r="S5158" s="1562"/>
    </row>
    <row r="5159" spans="2:19" ht="21.75" customHeight="1" outlineLevel="1">
      <c r="B5159" s="1569" t="s">
        <v>7366</v>
      </c>
      <c r="C5159" s="1566" t="s">
        <v>3382</v>
      </c>
      <c r="D5159" s="1566" t="s">
        <v>7365</v>
      </c>
      <c r="E5159" s="1566" t="s">
        <v>2208</v>
      </c>
      <c r="F5159" s="1566"/>
      <c r="G5159" s="1566"/>
      <c r="H5159" s="1568">
        <v>1</v>
      </c>
      <c r="I5159" s="1566"/>
      <c r="J5159" s="1566"/>
      <c r="K5159" s="1565">
        <v>2011952.64</v>
      </c>
      <c r="L5159" s="1565">
        <v>2011952.64</v>
      </c>
      <c r="M5159" s="1564"/>
      <c r="N5159" s="1565">
        <v>2011952.64</v>
      </c>
      <c r="O5159" s="1565">
        <v>1014290.04</v>
      </c>
      <c r="P5159" s="1565">
        <v>798130.08</v>
      </c>
      <c r="Q5159" s="1565">
        <v>199532.52</v>
      </c>
      <c r="R5159" s="1565">
        <v>997662.6</v>
      </c>
      <c r="S5159" s="1562"/>
    </row>
    <row r="5160" spans="2:19" ht="21.75" customHeight="1" outlineLevel="1">
      <c r="B5160" s="1569" t="s">
        <v>7364</v>
      </c>
      <c r="C5160" s="1566" t="s">
        <v>3382</v>
      </c>
      <c r="D5160" s="1566" t="s">
        <v>7363</v>
      </c>
      <c r="E5160" s="1566" t="s">
        <v>2208</v>
      </c>
      <c r="F5160" s="1566"/>
      <c r="G5160" s="1566" t="s">
        <v>7362</v>
      </c>
      <c r="H5160" s="1568">
        <v>1</v>
      </c>
      <c r="I5160" s="1571">
        <v>21</v>
      </c>
      <c r="J5160" s="1566"/>
      <c r="K5160" s="1565">
        <v>81315.42</v>
      </c>
      <c r="L5160" s="1565">
        <v>81315.42</v>
      </c>
      <c r="M5160" s="1564"/>
      <c r="N5160" s="1565">
        <v>81315.42</v>
      </c>
      <c r="O5160" s="1565">
        <v>40993.620000000003</v>
      </c>
      <c r="P5160" s="1565">
        <v>32257.439999999999</v>
      </c>
      <c r="Q5160" s="1565">
        <v>8064.36</v>
      </c>
      <c r="R5160" s="1565">
        <v>40321.800000000003</v>
      </c>
      <c r="S5160" s="1562"/>
    </row>
    <row r="5161" spans="2:19" ht="21.75" customHeight="1" outlineLevel="1">
      <c r="B5161" s="1569" t="s">
        <v>7361</v>
      </c>
      <c r="C5161" s="1566" t="s">
        <v>3382</v>
      </c>
      <c r="D5161" s="1566" t="s">
        <v>7360</v>
      </c>
      <c r="E5161" s="1566" t="s">
        <v>2208</v>
      </c>
      <c r="F5161" s="1566"/>
      <c r="G5161" s="1566"/>
      <c r="H5161" s="1568">
        <v>1</v>
      </c>
      <c r="I5161" s="1571">
        <v>58</v>
      </c>
      <c r="J5161" s="1566"/>
      <c r="K5161" s="1565">
        <v>490739.78</v>
      </c>
      <c r="L5161" s="1565">
        <v>490739.78</v>
      </c>
      <c r="M5161" s="1564"/>
      <c r="N5161" s="1565">
        <v>490739.78</v>
      </c>
      <c r="O5161" s="1565">
        <v>247397.78</v>
      </c>
      <c r="P5161" s="1565">
        <v>194673.6</v>
      </c>
      <c r="Q5161" s="1565">
        <v>48668.4</v>
      </c>
      <c r="R5161" s="1565">
        <v>243342</v>
      </c>
      <c r="S5161" s="1562"/>
    </row>
    <row r="5162" spans="2:19" ht="21.75" customHeight="1" outlineLevel="1">
      <c r="B5162" s="1569" t="s">
        <v>7359</v>
      </c>
      <c r="C5162" s="1566" t="s">
        <v>3382</v>
      </c>
      <c r="D5162" s="1566" t="s">
        <v>7358</v>
      </c>
      <c r="E5162" s="1566" t="s">
        <v>2208</v>
      </c>
      <c r="F5162" s="1566"/>
      <c r="G5162" s="1566"/>
      <c r="H5162" s="1568">
        <v>1</v>
      </c>
      <c r="I5162" s="1571">
        <v>17</v>
      </c>
      <c r="J5162" s="1566"/>
      <c r="K5162" s="1565">
        <v>55956.75</v>
      </c>
      <c r="L5162" s="1565">
        <v>55956.75</v>
      </c>
      <c r="M5162" s="1564"/>
      <c r="N5162" s="1565">
        <v>55956.75</v>
      </c>
      <c r="O5162" s="1565">
        <v>28209.75</v>
      </c>
      <c r="P5162" s="1565">
        <v>22197.599999999999</v>
      </c>
      <c r="Q5162" s="1565">
        <v>5549.4</v>
      </c>
      <c r="R5162" s="1565">
        <v>27747</v>
      </c>
      <c r="S5162" s="1562"/>
    </row>
    <row r="5163" spans="2:19" ht="21.75" customHeight="1" outlineLevel="1">
      <c r="B5163" s="1569" t="s">
        <v>7357</v>
      </c>
      <c r="C5163" s="1566" t="s">
        <v>3382</v>
      </c>
      <c r="D5163" s="1566" t="s">
        <v>7356</v>
      </c>
      <c r="E5163" s="1566" t="s">
        <v>2208</v>
      </c>
      <c r="F5163" s="1566"/>
      <c r="G5163" s="1566"/>
      <c r="H5163" s="1568">
        <v>1</v>
      </c>
      <c r="I5163" s="1571">
        <v>13</v>
      </c>
      <c r="J5163" s="1566"/>
      <c r="K5163" s="1565">
        <v>34930.559999999998</v>
      </c>
      <c r="L5163" s="1565">
        <v>34930.559999999998</v>
      </c>
      <c r="M5163" s="1564"/>
      <c r="N5163" s="1565">
        <v>34930.559999999998</v>
      </c>
      <c r="O5163" s="1565">
        <v>17609.759999999998</v>
      </c>
      <c r="P5163" s="1565">
        <v>13856.64</v>
      </c>
      <c r="Q5163" s="1565">
        <v>3464.16</v>
      </c>
      <c r="R5163" s="1565">
        <v>17320.8</v>
      </c>
      <c r="S5163" s="1562"/>
    </row>
    <row r="5164" spans="2:19" ht="21.75" customHeight="1" outlineLevel="1">
      <c r="B5164" s="1569" t="s">
        <v>7355</v>
      </c>
      <c r="C5164" s="1566" t="s">
        <v>3382</v>
      </c>
      <c r="D5164" s="1566" t="s">
        <v>7354</v>
      </c>
      <c r="E5164" s="1566" t="s">
        <v>2208</v>
      </c>
      <c r="F5164" s="1566"/>
      <c r="G5164" s="1566"/>
      <c r="H5164" s="1568">
        <v>1</v>
      </c>
      <c r="I5164" s="1570">
        <v>6.5</v>
      </c>
      <c r="J5164" s="1566"/>
      <c r="K5164" s="1565">
        <v>42816.37</v>
      </c>
      <c r="L5164" s="1565">
        <v>42816.37</v>
      </c>
      <c r="M5164" s="1564"/>
      <c r="N5164" s="1565">
        <v>42816.37</v>
      </c>
      <c r="O5164" s="1565">
        <v>21585.25</v>
      </c>
      <c r="P5164" s="1565">
        <v>16984.8</v>
      </c>
      <c r="Q5164" s="1565">
        <v>4246.32</v>
      </c>
      <c r="R5164" s="1565">
        <v>21231.119999999999</v>
      </c>
      <c r="S5164" s="1562"/>
    </row>
    <row r="5165" spans="2:19" ht="21.75" customHeight="1" outlineLevel="1">
      <c r="B5165" s="1569" t="s">
        <v>7353</v>
      </c>
      <c r="C5165" s="1566" t="s">
        <v>3382</v>
      </c>
      <c r="D5165" s="1566" t="s">
        <v>7352</v>
      </c>
      <c r="E5165" s="1566" t="s">
        <v>2208</v>
      </c>
      <c r="F5165" s="1566"/>
      <c r="G5165" s="1566"/>
      <c r="H5165" s="1568">
        <v>1</v>
      </c>
      <c r="I5165" s="1571">
        <v>50</v>
      </c>
      <c r="J5165" s="1566"/>
      <c r="K5165" s="1565">
        <v>148953.41</v>
      </c>
      <c r="L5165" s="1565">
        <v>148953.41</v>
      </c>
      <c r="M5165" s="1564"/>
      <c r="N5165" s="1565">
        <v>148953.41</v>
      </c>
      <c r="O5165" s="1565">
        <v>75092.210000000006</v>
      </c>
      <c r="P5165" s="1565">
        <v>59088.959999999999</v>
      </c>
      <c r="Q5165" s="1565">
        <v>14772.24</v>
      </c>
      <c r="R5165" s="1565">
        <v>73861.2</v>
      </c>
      <c r="S5165" s="1562"/>
    </row>
    <row r="5166" spans="2:19" ht="21.75" customHeight="1" outlineLevel="1">
      <c r="B5166" s="1569" t="s">
        <v>7351</v>
      </c>
      <c r="C5166" s="1566" t="s">
        <v>3382</v>
      </c>
      <c r="D5166" s="1566" t="s">
        <v>7350</v>
      </c>
      <c r="E5166" s="1566" t="s">
        <v>2208</v>
      </c>
      <c r="F5166" s="1566"/>
      <c r="G5166" s="1566"/>
      <c r="H5166" s="1568">
        <v>1</v>
      </c>
      <c r="I5166" s="1571">
        <v>1360</v>
      </c>
      <c r="J5166" s="1566"/>
      <c r="K5166" s="1565">
        <v>3019104.28</v>
      </c>
      <c r="L5166" s="1565">
        <v>3201351.47</v>
      </c>
      <c r="M5166" s="1564"/>
      <c r="N5166" s="1565">
        <v>3201351.47</v>
      </c>
      <c r="O5166" s="1565">
        <v>1617045.64</v>
      </c>
      <c r="P5166" s="1565">
        <v>1266198.48</v>
      </c>
      <c r="Q5166" s="1565">
        <v>318107.34999999998</v>
      </c>
      <c r="R5166" s="1565">
        <v>1584305.83</v>
      </c>
      <c r="S5166" s="1562"/>
    </row>
    <row r="5167" spans="2:19" ht="21.75" customHeight="1" outlineLevel="1">
      <c r="B5167" s="1569" t="s">
        <v>7349</v>
      </c>
      <c r="C5167" s="1566" t="s">
        <v>3377</v>
      </c>
      <c r="D5167" s="1566" t="s">
        <v>7348</v>
      </c>
      <c r="E5167" s="1566" t="s">
        <v>2208</v>
      </c>
      <c r="F5167" s="1566"/>
      <c r="G5167" s="1566"/>
      <c r="H5167" s="1568">
        <v>1</v>
      </c>
      <c r="I5167" s="1571">
        <v>16</v>
      </c>
      <c r="J5167" s="1566"/>
      <c r="K5167" s="1565">
        <v>165572.45000000001</v>
      </c>
      <c r="L5167" s="1565">
        <v>165572.45000000001</v>
      </c>
      <c r="M5167" s="1564"/>
      <c r="N5167" s="1565">
        <v>165572.45000000001</v>
      </c>
      <c r="O5167" s="1565">
        <v>84838.63</v>
      </c>
      <c r="P5167" s="1565">
        <v>64313.39</v>
      </c>
      <c r="Q5167" s="1565">
        <v>16420.43</v>
      </c>
      <c r="R5167" s="1565">
        <v>80733.820000000007</v>
      </c>
      <c r="S5167" s="1562"/>
    </row>
    <row r="5168" spans="2:19" ht="21.75" customHeight="1" outlineLevel="1">
      <c r="B5168" s="1569" t="s">
        <v>7347</v>
      </c>
      <c r="C5168" s="1566" t="s">
        <v>3377</v>
      </c>
      <c r="D5168" s="1566" t="s">
        <v>7346</v>
      </c>
      <c r="E5168" s="1566" t="s">
        <v>2208</v>
      </c>
      <c r="F5168" s="1566"/>
      <c r="G5168" s="1566"/>
      <c r="H5168" s="1568">
        <v>1</v>
      </c>
      <c r="I5168" s="1570">
        <v>3.3</v>
      </c>
      <c r="J5168" s="1566"/>
      <c r="K5168" s="1565">
        <v>54174.400000000001</v>
      </c>
      <c r="L5168" s="1565">
        <v>54174.400000000001</v>
      </c>
      <c r="M5168" s="1564"/>
      <c r="N5168" s="1565">
        <v>54174.400000000001</v>
      </c>
      <c r="O5168" s="1565">
        <v>27758.92</v>
      </c>
      <c r="P5168" s="1565">
        <v>21042.84</v>
      </c>
      <c r="Q5168" s="1565">
        <v>5372.64</v>
      </c>
      <c r="R5168" s="1565">
        <v>26415.48</v>
      </c>
      <c r="S5168" s="1562"/>
    </row>
    <row r="5169" spans="2:19" ht="21.75" customHeight="1" outlineLevel="1">
      <c r="B5169" s="1569" t="s">
        <v>7345</v>
      </c>
      <c r="C5169" s="1566" t="s">
        <v>3377</v>
      </c>
      <c r="D5169" s="1566" t="s">
        <v>7344</v>
      </c>
      <c r="E5169" s="1566" t="s">
        <v>2208</v>
      </c>
      <c r="F5169" s="1566"/>
      <c r="G5169" s="1566"/>
      <c r="H5169" s="1568">
        <v>1</v>
      </c>
      <c r="I5169" s="1571">
        <v>2</v>
      </c>
      <c r="J5169" s="1566"/>
      <c r="K5169" s="1565">
        <v>107044.41</v>
      </c>
      <c r="L5169" s="1565">
        <v>107044.41</v>
      </c>
      <c r="M5169" s="1564"/>
      <c r="N5169" s="1565">
        <v>107044.41</v>
      </c>
      <c r="O5169" s="1565">
        <v>54849.35</v>
      </c>
      <c r="P5169" s="1565">
        <v>41579.019999999997</v>
      </c>
      <c r="Q5169" s="1565">
        <v>10616.04</v>
      </c>
      <c r="R5169" s="1565">
        <v>52195.06</v>
      </c>
      <c r="S5169" s="1562"/>
    </row>
    <row r="5170" spans="2:19" ht="21.75" customHeight="1" outlineLevel="1">
      <c r="B5170" s="1569" t="s">
        <v>7343</v>
      </c>
      <c r="C5170" s="1566" t="s">
        <v>7342</v>
      </c>
      <c r="D5170" s="1566" t="s">
        <v>7341</v>
      </c>
      <c r="E5170" s="1566" t="s">
        <v>2219</v>
      </c>
      <c r="F5170" s="1566" t="s">
        <v>2908</v>
      </c>
      <c r="G5170" s="1566" t="s">
        <v>7340</v>
      </c>
      <c r="H5170" s="1566"/>
      <c r="I5170" s="1566"/>
      <c r="J5170" s="1566" t="s">
        <v>7339</v>
      </c>
      <c r="K5170" s="1565">
        <v>1563319.2</v>
      </c>
      <c r="L5170" s="1565">
        <v>1563319.2</v>
      </c>
      <c r="M5170" s="1564"/>
      <c r="N5170" s="1565">
        <v>1563319.2</v>
      </c>
      <c r="O5170" s="1565">
        <v>1312149.04</v>
      </c>
      <c r="P5170" s="1565">
        <v>199203.92</v>
      </c>
      <c r="Q5170" s="1565">
        <v>51966.239999999998</v>
      </c>
      <c r="R5170" s="1565">
        <v>251170.16</v>
      </c>
      <c r="S5170" s="1562"/>
    </row>
    <row r="5171" spans="2:19" ht="21.75" customHeight="1" outlineLevel="1">
      <c r="B5171" s="1569" t="s">
        <v>7338</v>
      </c>
      <c r="C5171" s="1566" t="s">
        <v>3374</v>
      </c>
      <c r="D5171" s="1566" t="s">
        <v>7337</v>
      </c>
      <c r="E5171" s="1566" t="s">
        <v>2208</v>
      </c>
      <c r="F5171" s="1566"/>
      <c r="G5171" s="1566"/>
      <c r="H5171" s="1568">
        <v>1</v>
      </c>
      <c r="I5171" s="1570">
        <v>4.5</v>
      </c>
      <c r="J5171" s="1566"/>
      <c r="K5171" s="1565">
        <v>68065.2</v>
      </c>
      <c r="L5171" s="1565">
        <v>68065.2</v>
      </c>
      <c r="M5171" s="1564"/>
      <c r="N5171" s="1565">
        <v>68065.2</v>
      </c>
      <c r="O5171" s="1565">
        <v>35439.040000000001</v>
      </c>
      <c r="P5171" s="1565">
        <v>25875.919999999998</v>
      </c>
      <c r="Q5171" s="1565">
        <v>6750.24</v>
      </c>
      <c r="R5171" s="1565">
        <v>32626.16</v>
      </c>
      <c r="S5171" s="1562"/>
    </row>
    <row r="5172" spans="2:19" ht="21.75" customHeight="1" outlineLevel="1">
      <c r="B5172" s="1569" t="s">
        <v>7336</v>
      </c>
      <c r="C5172" s="1566" t="s">
        <v>3374</v>
      </c>
      <c r="D5172" s="1566" t="s">
        <v>7335</v>
      </c>
      <c r="E5172" s="1566" t="s">
        <v>2208</v>
      </c>
      <c r="F5172" s="1566"/>
      <c r="G5172" s="1566"/>
      <c r="H5172" s="1568">
        <v>1</v>
      </c>
      <c r="I5172" s="1570">
        <v>4.5</v>
      </c>
      <c r="J5172" s="1566"/>
      <c r="K5172" s="1565">
        <v>105792.98</v>
      </c>
      <c r="L5172" s="1565">
        <v>105792.98</v>
      </c>
      <c r="M5172" s="1564"/>
      <c r="N5172" s="1565">
        <v>105792.98</v>
      </c>
      <c r="O5172" s="1565">
        <v>55082.42</v>
      </c>
      <c r="P5172" s="1565">
        <v>40218.720000000001</v>
      </c>
      <c r="Q5172" s="1565">
        <v>10491.84</v>
      </c>
      <c r="R5172" s="1565">
        <v>50710.559999999998</v>
      </c>
      <c r="S5172" s="1562"/>
    </row>
    <row r="5173" spans="2:19" ht="21.75" customHeight="1" outlineLevel="1">
      <c r="B5173" s="1569" t="s">
        <v>7334</v>
      </c>
      <c r="C5173" s="1566" t="s">
        <v>3374</v>
      </c>
      <c r="D5173" s="1566" t="s">
        <v>7333</v>
      </c>
      <c r="E5173" s="1566" t="s">
        <v>2266</v>
      </c>
      <c r="F5173" s="1566"/>
      <c r="G5173" s="1566"/>
      <c r="H5173" s="1568">
        <v>1</v>
      </c>
      <c r="I5173" s="1571">
        <v>30</v>
      </c>
      <c r="J5173" s="1566"/>
      <c r="K5173" s="1565">
        <v>124889.3</v>
      </c>
      <c r="L5173" s="1565">
        <v>124889.3</v>
      </c>
      <c r="M5173" s="1564"/>
      <c r="N5173" s="1565">
        <v>124889.3</v>
      </c>
      <c r="O5173" s="1565">
        <v>65025.13</v>
      </c>
      <c r="P5173" s="1565">
        <v>47478.44</v>
      </c>
      <c r="Q5173" s="1565">
        <v>12385.73</v>
      </c>
      <c r="R5173" s="1565">
        <v>59864.17</v>
      </c>
      <c r="S5173" s="1562"/>
    </row>
    <row r="5174" spans="2:19" ht="21.75" customHeight="1" outlineLevel="1">
      <c r="B5174" s="1569" t="s">
        <v>7332</v>
      </c>
      <c r="C5174" s="1566" t="s">
        <v>3367</v>
      </c>
      <c r="D5174" s="1566" t="s">
        <v>7331</v>
      </c>
      <c r="E5174" s="1566" t="s">
        <v>2208</v>
      </c>
      <c r="F5174" s="1566"/>
      <c r="G5174" s="1566"/>
      <c r="H5174" s="1568">
        <v>1</v>
      </c>
      <c r="I5174" s="1571">
        <v>24</v>
      </c>
      <c r="J5174" s="1566"/>
      <c r="K5174" s="1565">
        <v>50249.120000000003</v>
      </c>
      <c r="L5174" s="1565">
        <v>50249.120000000003</v>
      </c>
      <c r="M5174" s="1564"/>
      <c r="N5174" s="1565">
        <v>50249.120000000003</v>
      </c>
      <c r="O5174" s="1565">
        <v>26578.16</v>
      </c>
      <c r="P5174" s="1565">
        <v>18687.599999999999</v>
      </c>
      <c r="Q5174" s="1565">
        <v>4983.3599999999997</v>
      </c>
      <c r="R5174" s="1565">
        <v>23670.959999999999</v>
      </c>
      <c r="S5174" s="1562"/>
    </row>
    <row r="5175" spans="2:19" ht="21.75" customHeight="1" outlineLevel="1">
      <c r="B5175" s="1569" t="s">
        <v>7330</v>
      </c>
      <c r="C5175" s="1566" t="s">
        <v>3367</v>
      </c>
      <c r="D5175" s="1566" t="s">
        <v>7329</v>
      </c>
      <c r="E5175" s="1566" t="s">
        <v>2208</v>
      </c>
      <c r="F5175" s="1566"/>
      <c r="G5175" s="1566" t="s">
        <v>7328</v>
      </c>
      <c r="H5175" s="1568">
        <v>1</v>
      </c>
      <c r="I5175" s="1571">
        <v>1</v>
      </c>
      <c r="J5175" s="1566"/>
      <c r="K5175" s="1565">
        <v>33892</v>
      </c>
      <c r="L5175" s="1565">
        <v>33892</v>
      </c>
      <c r="M5175" s="1564"/>
      <c r="N5175" s="1565">
        <v>33892</v>
      </c>
      <c r="O5175" s="1565">
        <v>17926.3</v>
      </c>
      <c r="P5175" s="1565">
        <v>12604.5</v>
      </c>
      <c r="Q5175" s="1565">
        <v>3361.2</v>
      </c>
      <c r="R5175" s="1565">
        <v>15965.7</v>
      </c>
      <c r="S5175" s="1562"/>
    </row>
    <row r="5176" spans="2:19" ht="21.75" customHeight="1" outlineLevel="1">
      <c r="B5176" s="1569" t="s">
        <v>7327</v>
      </c>
      <c r="C5176" s="1566" t="s">
        <v>3367</v>
      </c>
      <c r="D5176" s="1566" t="s">
        <v>7326</v>
      </c>
      <c r="E5176" s="1566" t="s">
        <v>2266</v>
      </c>
      <c r="F5176" s="1566"/>
      <c r="G5176" s="1566"/>
      <c r="H5176" s="1568">
        <v>1</v>
      </c>
      <c r="I5176" s="1566"/>
      <c r="J5176" s="1566"/>
      <c r="K5176" s="1565">
        <v>78141.679999999993</v>
      </c>
      <c r="L5176" s="1565">
        <v>78141.679999999993</v>
      </c>
      <c r="M5176" s="1564"/>
      <c r="N5176" s="1565">
        <v>78141.679999999993</v>
      </c>
      <c r="O5176" s="1565">
        <v>41331.08</v>
      </c>
      <c r="P5176" s="1565">
        <v>29061</v>
      </c>
      <c r="Q5176" s="1565">
        <v>7749.6</v>
      </c>
      <c r="R5176" s="1565">
        <v>36810.6</v>
      </c>
      <c r="S5176" s="1562"/>
    </row>
    <row r="5177" spans="2:19" ht="21.75" customHeight="1" outlineLevel="1">
      <c r="B5177" s="1569" t="s">
        <v>7325</v>
      </c>
      <c r="C5177" s="1566" t="s">
        <v>3363</v>
      </c>
      <c r="D5177" s="1566" t="s">
        <v>7324</v>
      </c>
      <c r="E5177" s="1566" t="s">
        <v>2266</v>
      </c>
      <c r="F5177" s="1566"/>
      <c r="G5177" s="1566"/>
      <c r="H5177" s="1566"/>
      <c r="I5177" s="1570">
        <v>84.5</v>
      </c>
      <c r="J5177" s="1566"/>
      <c r="K5177" s="1565">
        <v>207483.58</v>
      </c>
      <c r="L5177" s="1565">
        <v>207483.58</v>
      </c>
      <c r="M5177" s="1564"/>
      <c r="N5177" s="1565">
        <v>207483.58</v>
      </c>
      <c r="O5177" s="1565">
        <v>175297.58</v>
      </c>
      <c r="P5177" s="1565">
        <v>25289</v>
      </c>
      <c r="Q5177" s="1565">
        <v>6897</v>
      </c>
      <c r="R5177" s="1565">
        <v>32186</v>
      </c>
      <c r="S5177" s="1562"/>
    </row>
    <row r="5178" spans="2:19" ht="21.75" customHeight="1" outlineLevel="1">
      <c r="B5178" s="1569" t="s">
        <v>7323</v>
      </c>
      <c r="C5178" s="1566" t="s">
        <v>3363</v>
      </c>
      <c r="D5178" s="1566" t="s">
        <v>7322</v>
      </c>
      <c r="E5178" s="1566" t="s">
        <v>2208</v>
      </c>
      <c r="F5178" s="1566"/>
      <c r="G5178" s="1566"/>
      <c r="H5178" s="1568">
        <v>1</v>
      </c>
      <c r="I5178" s="1571">
        <v>24</v>
      </c>
      <c r="J5178" s="1566"/>
      <c r="K5178" s="1565">
        <v>115448.13</v>
      </c>
      <c r="L5178" s="1565">
        <v>115448.13</v>
      </c>
      <c r="M5178" s="1564"/>
      <c r="N5178" s="1565">
        <v>115448.13</v>
      </c>
      <c r="O5178" s="1565">
        <v>97539.33</v>
      </c>
      <c r="P5178" s="1565">
        <v>14071.2</v>
      </c>
      <c r="Q5178" s="1565">
        <v>3837.6</v>
      </c>
      <c r="R5178" s="1565">
        <v>17908.8</v>
      </c>
      <c r="S5178" s="1562"/>
    </row>
    <row r="5179" spans="2:19" ht="21.75" customHeight="1" outlineLevel="1">
      <c r="B5179" s="1569" t="s">
        <v>7321</v>
      </c>
      <c r="C5179" s="1566" t="s">
        <v>3363</v>
      </c>
      <c r="D5179" s="1566" t="s">
        <v>7320</v>
      </c>
      <c r="E5179" s="1566" t="s">
        <v>2266</v>
      </c>
      <c r="F5179" s="1566"/>
      <c r="G5179" s="1566"/>
      <c r="H5179" s="1568">
        <v>1</v>
      </c>
      <c r="I5179" s="1571">
        <v>23</v>
      </c>
      <c r="J5179" s="1566"/>
      <c r="K5179" s="1565">
        <v>32655.040000000001</v>
      </c>
      <c r="L5179" s="1565">
        <v>32655.040000000001</v>
      </c>
      <c r="M5179" s="1564"/>
      <c r="N5179" s="1565">
        <v>32655.040000000001</v>
      </c>
      <c r="O5179" s="1565">
        <v>27589.279999999999</v>
      </c>
      <c r="P5179" s="1565">
        <v>3980.24</v>
      </c>
      <c r="Q5179" s="1565">
        <v>1085.52</v>
      </c>
      <c r="R5179" s="1565">
        <v>5065.76</v>
      </c>
      <c r="S5179" s="1562"/>
    </row>
    <row r="5180" spans="2:19" ht="21.75" customHeight="1" outlineLevel="1">
      <c r="B5180" s="1569" t="s">
        <v>7319</v>
      </c>
      <c r="C5180" s="1566" t="s">
        <v>3363</v>
      </c>
      <c r="D5180" s="1566" t="s">
        <v>7318</v>
      </c>
      <c r="E5180" s="1566" t="s">
        <v>2208</v>
      </c>
      <c r="F5180" s="1566"/>
      <c r="G5180" s="1566"/>
      <c r="H5180" s="1568">
        <v>1</v>
      </c>
      <c r="I5180" s="1571">
        <v>25</v>
      </c>
      <c r="J5180" s="1566"/>
      <c r="K5180" s="1565">
        <v>60983.42</v>
      </c>
      <c r="L5180" s="1565">
        <v>60983.42</v>
      </c>
      <c r="M5180" s="1564"/>
      <c r="N5180" s="1565">
        <v>60983.42</v>
      </c>
      <c r="O5180" s="1565">
        <v>51523.34</v>
      </c>
      <c r="P5180" s="1565">
        <v>7432.92</v>
      </c>
      <c r="Q5180" s="1565">
        <v>2027.16</v>
      </c>
      <c r="R5180" s="1565">
        <v>9460.08</v>
      </c>
      <c r="S5180" s="1562"/>
    </row>
    <row r="5181" spans="2:19" ht="21.75" customHeight="1" outlineLevel="1">
      <c r="B5181" s="1569" t="s">
        <v>7317</v>
      </c>
      <c r="C5181" s="1566" t="s">
        <v>3363</v>
      </c>
      <c r="D5181" s="1566" t="s">
        <v>7316</v>
      </c>
      <c r="E5181" s="1566" t="s">
        <v>2208</v>
      </c>
      <c r="F5181" s="1566"/>
      <c r="G5181" s="1566"/>
      <c r="H5181" s="1568">
        <v>1</v>
      </c>
      <c r="I5181" s="1571">
        <v>14</v>
      </c>
      <c r="J5181" s="1566"/>
      <c r="K5181" s="1565">
        <v>119876.58</v>
      </c>
      <c r="L5181" s="1565">
        <v>119876.58</v>
      </c>
      <c r="M5181" s="1564"/>
      <c r="N5181" s="1565">
        <v>119876.58</v>
      </c>
      <c r="O5181" s="1565">
        <v>101280.66</v>
      </c>
      <c r="P5181" s="1565">
        <v>14611.08</v>
      </c>
      <c r="Q5181" s="1565">
        <v>3984.84</v>
      </c>
      <c r="R5181" s="1565">
        <v>18595.919999999998</v>
      </c>
      <c r="S5181" s="1562"/>
    </row>
    <row r="5182" spans="2:19" ht="21.75" customHeight="1" outlineLevel="1">
      <c r="B5182" s="1569" t="s">
        <v>7315</v>
      </c>
      <c r="C5182" s="1566" t="s">
        <v>7314</v>
      </c>
      <c r="D5182" s="1566" t="s">
        <v>7313</v>
      </c>
      <c r="E5182" s="1566" t="s">
        <v>2208</v>
      </c>
      <c r="F5182" s="1566"/>
      <c r="G5182" s="1566"/>
      <c r="H5182" s="1568">
        <v>1</v>
      </c>
      <c r="I5182" s="1571">
        <v>19</v>
      </c>
      <c r="J5182" s="1566"/>
      <c r="K5182" s="1565">
        <v>106302.67</v>
      </c>
      <c r="L5182" s="1565">
        <v>106302.67</v>
      </c>
      <c r="M5182" s="1564"/>
      <c r="N5182" s="1565">
        <v>106302.67</v>
      </c>
      <c r="O5182" s="1565">
        <v>90106.82</v>
      </c>
      <c r="P5182" s="1565">
        <v>12662.21</v>
      </c>
      <c r="Q5182" s="1565">
        <v>3533.64</v>
      </c>
      <c r="R5182" s="1565">
        <v>16195.85</v>
      </c>
      <c r="S5182" s="1562"/>
    </row>
    <row r="5183" spans="2:19" ht="25.5" customHeight="1" outlineLevel="1">
      <c r="B5183" s="1569" t="s">
        <v>7312</v>
      </c>
      <c r="C5183" s="1566" t="s">
        <v>3346</v>
      </c>
      <c r="D5183" s="1566" t="s">
        <v>7311</v>
      </c>
      <c r="E5183" s="1566"/>
      <c r="F5183" s="1566"/>
      <c r="G5183" s="1566"/>
      <c r="H5183" s="1566"/>
      <c r="I5183" s="1566"/>
      <c r="J5183" s="1566"/>
      <c r="K5183" s="1565">
        <v>23390563.940000001</v>
      </c>
      <c r="L5183" s="1565">
        <v>23390563.940000001</v>
      </c>
      <c r="M5183" s="1564"/>
      <c r="N5183" s="1565">
        <v>23390563.940000001</v>
      </c>
      <c r="O5183" s="1565">
        <v>19891698.199999999</v>
      </c>
      <c r="P5183" s="1565">
        <v>2721340.02</v>
      </c>
      <c r="Q5183" s="1565">
        <v>777525.72</v>
      </c>
      <c r="R5183" s="1565">
        <v>3498865.74</v>
      </c>
      <c r="S5183" s="1562"/>
    </row>
    <row r="5184" spans="2:19" ht="21.75" customHeight="1" outlineLevel="1">
      <c r="B5184" s="1569" t="s">
        <v>7310</v>
      </c>
      <c r="C5184" s="1566" t="s">
        <v>3346</v>
      </c>
      <c r="D5184" s="1566" t="s">
        <v>7309</v>
      </c>
      <c r="E5184" s="1566"/>
      <c r="F5184" s="1566"/>
      <c r="G5184" s="1566"/>
      <c r="H5184" s="1566"/>
      <c r="I5184" s="1566"/>
      <c r="J5184" s="1566"/>
      <c r="K5184" s="1565">
        <v>6235033.54</v>
      </c>
      <c r="L5184" s="1565">
        <v>6235033.54</v>
      </c>
      <c r="M5184" s="1564"/>
      <c r="N5184" s="1565">
        <v>6235033.54</v>
      </c>
      <c r="O5184" s="1565">
        <v>5302369.3</v>
      </c>
      <c r="P5184" s="1565">
        <v>725405.52</v>
      </c>
      <c r="Q5184" s="1565">
        <v>207258.72</v>
      </c>
      <c r="R5184" s="1565">
        <v>932664.24</v>
      </c>
      <c r="S5184" s="1562"/>
    </row>
    <row r="5185" spans="2:19" ht="21.75" customHeight="1" outlineLevel="1">
      <c r="B5185" s="1569" t="s">
        <v>7308</v>
      </c>
      <c r="C5185" s="1566" t="s">
        <v>3346</v>
      </c>
      <c r="D5185" s="1566" t="s">
        <v>7307</v>
      </c>
      <c r="E5185" s="1566"/>
      <c r="F5185" s="1566"/>
      <c r="G5185" s="1566"/>
      <c r="H5185" s="1566"/>
      <c r="I5185" s="1566"/>
      <c r="J5185" s="1566"/>
      <c r="K5185" s="1565">
        <v>237662.09</v>
      </c>
      <c r="L5185" s="1565">
        <v>237662.09</v>
      </c>
      <c r="M5185" s="1564"/>
      <c r="N5185" s="1565">
        <v>237662.09</v>
      </c>
      <c r="O5185" s="1565">
        <v>202111.73</v>
      </c>
      <c r="P5185" s="1565">
        <v>27650.28</v>
      </c>
      <c r="Q5185" s="1565">
        <v>7900.08</v>
      </c>
      <c r="R5185" s="1565">
        <v>35550.36</v>
      </c>
      <c r="S5185" s="1562"/>
    </row>
    <row r="5186" spans="2:19" ht="21.75" customHeight="1" outlineLevel="1">
      <c r="B5186" s="1569" t="s">
        <v>7306</v>
      </c>
      <c r="C5186" s="1566" t="s">
        <v>7303</v>
      </c>
      <c r="D5186" s="1566" t="s">
        <v>7305</v>
      </c>
      <c r="E5186" s="1566" t="s">
        <v>2208</v>
      </c>
      <c r="F5186" s="1566"/>
      <c r="G5186" s="1566"/>
      <c r="H5186" s="1568">
        <v>1</v>
      </c>
      <c r="I5186" s="1571">
        <v>5</v>
      </c>
      <c r="J5186" s="1566"/>
      <c r="K5186" s="1565">
        <v>54300.1</v>
      </c>
      <c r="L5186" s="1565">
        <v>54300.1</v>
      </c>
      <c r="M5186" s="1564"/>
      <c r="N5186" s="1565">
        <v>54300.1</v>
      </c>
      <c r="O5186" s="1565">
        <v>46177.42</v>
      </c>
      <c r="P5186" s="1565">
        <v>6317.64</v>
      </c>
      <c r="Q5186" s="1565">
        <v>1805.04</v>
      </c>
      <c r="R5186" s="1565">
        <v>8122.68</v>
      </c>
      <c r="S5186" s="1562"/>
    </row>
    <row r="5187" spans="2:19" ht="21.75" customHeight="1" outlineLevel="1">
      <c r="B5187" s="1569" t="s">
        <v>7304</v>
      </c>
      <c r="C5187" s="1566" t="s">
        <v>7303</v>
      </c>
      <c r="D5187" s="1566" t="s">
        <v>7302</v>
      </c>
      <c r="E5187" s="1566" t="s">
        <v>2208</v>
      </c>
      <c r="F5187" s="1566"/>
      <c r="G5187" s="1566"/>
      <c r="H5187" s="1568">
        <v>1</v>
      </c>
      <c r="I5187" s="1571">
        <v>3</v>
      </c>
      <c r="J5187" s="1566"/>
      <c r="K5187" s="1565">
        <v>44079.91</v>
      </c>
      <c r="L5187" s="1565">
        <v>44079.91</v>
      </c>
      <c r="M5187" s="1564"/>
      <c r="N5187" s="1565">
        <v>44079.91</v>
      </c>
      <c r="O5187" s="1565">
        <v>37486.089999999997</v>
      </c>
      <c r="P5187" s="1565">
        <v>5128.62</v>
      </c>
      <c r="Q5187" s="1565">
        <v>1465.2</v>
      </c>
      <c r="R5187" s="1565">
        <v>6593.82</v>
      </c>
      <c r="S5187" s="1562"/>
    </row>
    <row r="5188" spans="2:19" ht="21.75" customHeight="1" outlineLevel="1">
      <c r="B5188" s="1569" t="s">
        <v>7301</v>
      </c>
      <c r="C5188" s="1566" t="s">
        <v>7297</v>
      </c>
      <c r="D5188" s="1566" t="s">
        <v>7300</v>
      </c>
      <c r="E5188" s="1566" t="s">
        <v>2208</v>
      </c>
      <c r="F5188" s="1566"/>
      <c r="G5188" s="1566" t="s">
        <v>7299</v>
      </c>
      <c r="H5188" s="1568">
        <v>1</v>
      </c>
      <c r="I5188" s="1571">
        <v>10</v>
      </c>
      <c r="J5188" s="1566"/>
      <c r="K5188" s="1565">
        <v>53890.07</v>
      </c>
      <c r="L5188" s="1565">
        <v>53890.07</v>
      </c>
      <c r="M5188" s="1564"/>
      <c r="N5188" s="1565">
        <v>53890.07</v>
      </c>
      <c r="O5188" s="1565">
        <v>45978.23</v>
      </c>
      <c r="P5188" s="1565">
        <v>6120.48</v>
      </c>
      <c r="Q5188" s="1565">
        <v>1791.36</v>
      </c>
      <c r="R5188" s="1565">
        <v>7911.84</v>
      </c>
      <c r="S5188" s="1562"/>
    </row>
    <row r="5189" spans="2:19" ht="21.75" customHeight="1" outlineLevel="1">
      <c r="B5189" s="1569" t="s">
        <v>7298</v>
      </c>
      <c r="C5189" s="1566" t="s">
        <v>7297</v>
      </c>
      <c r="D5189" s="1566" t="s">
        <v>7296</v>
      </c>
      <c r="E5189" s="1566" t="s">
        <v>2208</v>
      </c>
      <c r="F5189" s="1566"/>
      <c r="G5189" s="1566"/>
      <c r="H5189" s="1568">
        <v>1</v>
      </c>
      <c r="I5189" s="1571">
        <v>3</v>
      </c>
      <c r="J5189" s="1566"/>
      <c r="K5189" s="1565">
        <v>49328.76</v>
      </c>
      <c r="L5189" s="1565">
        <v>49328.76</v>
      </c>
      <c r="M5189" s="1564"/>
      <c r="N5189" s="1565">
        <v>49328.76</v>
      </c>
      <c r="O5189" s="1565">
        <v>42086.720000000001</v>
      </c>
      <c r="P5189" s="1565">
        <v>5602.24</v>
      </c>
      <c r="Q5189" s="1565">
        <v>1639.8</v>
      </c>
      <c r="R5189" s="1565">
        <v>7242.04</v>
      </c>
      <c r="S5189" s="1562"/>
    </row>
    <row r="5190" spans="2:19" ht="21.75" customHeight="1" outlineLevel="1">
      <c r="B5190" s="1569" t="s">
        <v>7295</v>
      </c>
      <c r="C5190" s="1566" t="s">
        <v>7294</v>
      </c>
      <c r="D5190" s="1566" t="s">
        <v>7293</v>
      </c>
      <c r="E5190" s="1566" t="s">
        <v>2288</v>
      </c>
      <c r="F5190" s="1566" t="s">
        <v>7292</v>
      </c>
      <c r="G5190" s="1566"/>
      <c r="H5190" s="1568">
        <v>3</v>
      </c>
      <c r="I5190" s="1566"/>
      <c r="J5190" s="1566"/>
      <c r="K5190" s="1565">
        <v>72033.899999999994</v>
      </c>
      <c r="L5190" s="1565">
        <v>72033.899999999994</v>
      </c>
      <c r="M5190" s="1565">
        <v>-72033.899999999994</v>
      </c>
      <c r="N5190" s="1564"/>
      <c r="O5190" s="1564"/>
      <c r="P5190" s="1565">
        <v>47235.199999999997</v>
      </c>
      <c r="Q5190" s="1565">
        <v>-47235.199999999997</v>
      </c>
      <c r="R5190" s="1564"/>
      <c r="S5190" s="1562"/>
    </row>
    <row r="5191" spans="2:19" ht="21.75" customHeight="1" outlineLevel="1">
      <c r="B5191" s="1569" t="s">
        <v>7291</v>
      </c>
      <c r="C5191" s="1566" t="s">
        <v>3339</v>
      </c>
      <c r="D5191" s="1566" t="s">
        <v>7290</v>
      </c>
      <c r="E5191" s="1566" t="s">
        <v>2208</v>
      </c>
      <c r="F5191" s="1566"/>
      <c r="G5191" s="1566"/>
      <c r="H5191" s="1568">
        <v>1</v>
      </c>
      <c r="I5191" s="1566" t="s">
        <v>7289</v>
      </c>
      <c r="J5191" s="1566"/>
      <c r="K5191" s="1565">
        <v>60009.96</v>
      </c>
      <c r="L5191" s="1565">
        <v>60009.96</v>
      </c>
      <c r="M5191" s="1564"/>
      <c r="N5191" s="1565">
        <v>60009.96</v>
      </c>
      <c r="O5191" s="1565">
        <v>51366</v>
      </c>
      <c r="P5191" s="1565">
        <v>6649.2</v>
      </c>
      <c r="Q5191" s="1565">
        <v>1994.76</v>
      </c>
      <c r="R5191" s="1565">
        <v>8643.9599999999991</v>
      </c>
      <c r="S5191" s="1562"/>
    </row>
    <row r="5192" spans="2:19" ht="21.75" customHeight="1" outlineLevel="1">
      <c r="B5192" s="1569" t="s">
        <v>7288</v>
      </c>
      <c r="C5192" s="1566" t="s">
        <v>3339</v>
      </c>
      <c r="D5192" s="1566" t="s">
        <v>7287</v>
      </c>
      <c r="E5192" s="1566" t="s">
        <v>2208</v>
      </c>
      <c r="F5192" s="1566"/>
      <c r="G5192" s="1566"/>
      <c r="H5192" s="1568">
        <v>1</v>
      </c>
      <c r="I5192" s="1571">
        <v>11</v>
      </c>
      <c r="J5192" s="1566"/>
      <c r="K5192" s="1565">
        <v>40814.019999999997</v>
      </c>
      <c r="L5192" s="1565">
        <v>40814.019999999997</v>
      </c>
      <c r="M5192" s="1564"/>
      <c r="N5192" s="1565">
        <v>40814.019999999997</v>
      </c>
      <c r="O5192" s="1565">
        <v>34934.9</v>
      </c>
      <c r="P5192" s="1565">
        <v>4522.3999999999996</v>
      </c>
      <c r="Q5192" s="1565">
        <v>1356.72</v>
      </c>
      <c r="R5192" s="1565">
        <v>5879.12</v>
      </c>
      <c r="S5192" s="1562"/>
    </row>
    <row r="5193" spans="2:19" ht="21.75" customHeight="1" outlineLevel="1">
      <c r="B5193" s="1569" t="s">
        <v>7286</v>
      </c>
      <c r="C5193" s="1566" t="s">
        <v>3339</v>
      </c>
      <c r="D5193" s="1566" t="s">
        <v>7285</v>
      </c>
      <c r="E5193" s="1566" t="s">
        <v>2208</v>
      </c>
      <c r="F5193" s="1566"/>
      <c r="G5193" s="1566"/>
      <c r="H5193" s="1568">
        <v>1</v>
      </c>
      <c r="I5193" s="1570">
        <v>10.5</v>
      </c>
      <c r="J5193" s="1566"/>
      <c r="K5193" s="1565">
        <v>76125.820000000007</v>
      </c>
      <c r="L5193" s="1565">
        <v>76125.820000000007</v>
      </c>
      <c r="M5193" s="1564"/>
      <c r="N5193" s="1565">
        <v>76125.820000000007</v>
      </c>
      <c r="O5193" s="1565">
        <v>65160.46</v>
      </c>
      <c r="P5193" s="1565">
        <v>8434.7999999999993</v>
      </c>
      <c r="Q5193" s="1565">
        <v>2530.56</v>
      </c>
      <c r="R5193" s="1565">
        <v>10965.36</v>
      </c>
      <c r="S5193" s="1562"/>
    </row>
    <row r="5194" spans="2:19" ht="21.75" customHeight="1" outlineLevel="1">
      <c r="B5194" s="1569" t="s">
        <v>7284</v>
      </c>
      <c r="C5194" s="1566" t="s">
        <v>3339</v>
      </c>
      <c r="D5194" s="1566" t="s">
        <v>7283</v>
      </c>
      <c r="E5194" s="1566" t="s">
        <v>2208</v>
      </c>
      <c r="F5194" s="1566"/>
      <c r="G5194" s="1566"/>
      <c r="H5194" s="1568">
        <v>1</v>
      </c>
      <c r="I5194" s="1571">
        <v>5</v>
      </c>
      <c r="J5194" s="1566"/>
      <c r="K5194" s="1565">
        <v>36854.51</v>
      </c>
      <c r="L5194" s="1565">
        <v>36854.51</v>
      </c>
      <c r="M5194" s="1564"/>
      <c r="N5194" s="1565">
        <v>36854.51</v>
      </c>
      <c r="O5194" s="1565">
        <v>31545.83</v>
      </c>
      <c r="P5194" s="1565">
        <v>4083.6</v>
      </c>
      <c r="Q5194" s="1565">
        <v>1225.08</v>
      </c>
      <c r="R5194" s="1565">
        <v>5308.68</v>
      </c>
      <c r="S5194" s="1562"/>
    </row>
    <row r="5195" spans="2:19" ht="21.75" customHeight="1" outlineLevel="1">
      <c r="B5195" s="1569" t="s">
        <v>7282</v>
      </c>
      <c r="C5195" s="1566" t="s">
        <v>3334</v>
      </c>
      <c r="D5195" s="1566" t="s">
        <v>7281</v>
      </c>
      <c r="E5195" s="1566" t="s">
        <v>2219</v>
      </c>
      <c r="F5195" s="1566" t="s">
        <v>7280</v>
      </c>
      <c r="G5195" s="1566"/>
      <c r="H5195" s="1568">
        <v>1</v>
      </c>
      <c r="I5195" s="1571">
        <v>380</v>
      </c>
      <c r="J5195" s="1566"/>
      <c r="K5195" s="1565">
        <v>2802990.46</v>
      </c>
      <c r="L5195" s="1565">
        <v>2802990.46</v>
      </c>
      <c r="M5195" s="1564"/>
      <c r="N5195" s="1565">
        <v>2802990.46</v>
      </c>
      <c r="O5195" s="1565">
        <v>2405900.2599999998</v>
      </c>
      <c r="P5195" s="1565">
        <v>303657.12</v>
      </c>
      <c r="Q5195" s="1565">
        <v>93433.08</v>
      </c>
      <c r="R5195" s="1565">
        <v>397090.2</v>
      </c>
      <c r="S5195" s="1562"/>
    </row>
    <row r="5196" spans="2:19" ht="21.75" customHeight="1" outlineLevel="1">
      <c r="B5196" s="1569" t="s">
        <v>7279</v>
      </c>
      <c r="C5196" s="1566" t="s">
        <v>3334</v>
      </c>
      <c r="D5196" s="1566" t="s">
        <v>7278</v>
      </c>
      <c r="E5196" s="1566" t="s">
        <v>2219</v>
      </c>
      <c r="F5196" s="1566" t="s">
        <v>3332</v>
      </c>
      <c r="G5196" s="1566"/>
      <c r="H5196" s="1568">
        <v>1</v>
      </c>
      <c r="I5196" s="1571">
        <v>275</v>
      </c>
      <c r="J5196" s="1566"/>
      <c r="K5196" s="1565">
        <v>1662501.82</v>
      </c>
      <c r="L5196" s="1565">
        <v>1662501.82</v>
      </c>
      <c r="M5196" s="1564"/>
      <c r="N5196" s="1565">
        <v>1662501.82</v>
      </c>
      <c r="O5196" s="1565">
        <v>1427633.05</v>
      </c>
      <c r="P5196" s="1565">
        <v>179605.53</v>
      </c>
      <c r="Q5196" s="1565">
        <v>55263.24</v>
      </c>
      <c r="R5196" s="1565">
        <v>234868.77</v>
      </c>
      <c r="S5196" s="1562"/>
    </row>
    <row r="5197" spans="2:19" ht="21.75" customHeight="1" outlineLevel="1">
      <c r="B5197" s="1569" t="s">
        <v>7277</v>
      </c>
      <c r="C5197" s="1566" t="s">
        <v>3334</v>
      </c>
      <c r="D5197" s="1566" t="s">
        <v>7276</v>
      </c>
      <c r="E5197" s="1566" t="s">
        <v>2219</v>
      </c>
      <c r="F5197" s="1566" t="s">
        <v>3332</v>
      </c>
      <c r="G5197" s="1566"/>
      <c r="H5197" s="1568">
        <v>1</v>
      </c>
      <c r="I5197" s="1571">
        <v>343</v>
      </c>
      <c r="J5197" s="1566"/>
      <c r="K5197" s="1565">
        <v>1045782.28</v>
      </c>
      <c r="L5197" s="1565">
        <v>1045782.28</v>
      </c>
      <c r="M5197" s="1564"/>
      <c r="N5197" s="1565">
        <v>1045782.28</v>
      </c>
      <c r="O5197" s="1565">
        <v>898040.38</v>
      </c>
      <c r="P5197" s="1565">
        <v>112979.1</v>
      </c>
      <c r="Q5197" s="1565">
        <v>34762.800000000003</v>
      </c>
      <c r="R5197" s="1565">
        <v>147741.9</v>
      </c>
      <c r="S5197" s="1562"/>
    </row>
    <row r="5198" spans="2:19" ht="21.75" customHeight="1" outlineLevel="1">
      <c r="B5198" s="1569" t="s">
        <v>7275</v>
      </c>
      <c r="C5198" s="1566" t="s">
        <v>3334</v>
      </c>
      <c r="D5198" s="1566" t="s">
        <v>7274</v>
      </c>
      <c r="E5198" s="1566" t="s">
        <v>2219</v>
      </c>
      <c r="F5198" s="1566" t="s">
        <v>2892</v>
      </c>
      <c r="G5198" s="1566"/>
      <c r="H5198" s="1568">
        <v>1</v>
      </c>
      <c r="I5198" s="1571">
        <v>130</v>
      </c>
      <c r="J5198" s="1566"/>
      <c r="K5198" s="1565">
        <v>28608.53</v>
      </c>
      <c r="L5198" s="1565">
        <v>28608.53</v>
      </c>
      <c r="M5198" s="1564"/>
      <c r="N5198" s="1565">
        <v>28608.53</v>
      </c>
      <c r="O5198" s="1565">
        <v>20174.66</v>
      </c>
      <c r="P5198" s="1565">
        <v>6449.43</v>
      </c>
      <c r="Q5198" s="1565">
        <v>1984.44</v>
      </c>
      <c r="R5198" s="1565">
        <v>8433.8700000000008</v>
      </c>
      <c r="S5198" s="1562"/>
    </row>
    <row r="5199" spans="2:19" ht="21.75" customHeight="1" outlineLevel="1">
      <c r="B5199" s="1569" t="s">
        <v>7273</v>
      </c>
      <c r="C5199" s="1566" t="s">
        <v>3334</v>
      </c>
      <c r="D5199" s="1566" t="s">
        <v>7272</v>
      </c>
      <c r="E5199" s="1566" t="s">
        <v>2219</v>
      </c>
      <c r="F5199" s="1566" t="s">
        <v>2892</v>
      </c>
      <c r="G5199" s="1566"/>
      <c r="H5199" s="1568">
        <v>1</v>
      </c>
      <c r="I5199" s="1571">
        <v>97</v>
      </c>
      <c r="J5199" s="1566"/>
      <c r="K5199" s="1565">
        <v>385185.02</v>
      </c>
      <c r="L5199" s="1565">
        <v>385185.02</v>
      </c>
      <c r="M5199" s="1564"/>
      <c r="N5199" s="1565">
        <v>385185.02</v>
      </c>
      <c r="O5199" s="1565">
        <v>326893.03999999998</v>
      </c>
      <c r="P5199" s="1565">
        <v>44576.22</v>
      </c>
      <c r="Q5199" s="1565">
        <v>13715.76</v>
      </c>
      <c r="R5199" s="1565">
        <v>58291.98</v>
      </c>
      <c r="S5199" s="1562"/>
    </row>
    <row r="5200" spans="2:19" ht="11.25" customHeight="1" outlineLevel="1">
      <c r="B5200" s="1569" t="s">
        <v>7271</v>
      </c>
      <c r="C5200" s="1566" t="s">
        <v>3334</v>
      </c>
      <c r="D5200" s="1566" t="s">
        <v>7270</v>
      </c>
      <c r="E5200" s="1566" t="s">
        <v>2219</v>
      </c>
      <c r="F5200" s="1566" t="s">
        <v>2892</v>
      </c>
      <c r="G5200" s="1566"/>
      <c r="H5200" s="1568">
        <v>1</v>
      </c>
      <c r="I5200" s="1566"/>
      <c r="J5200" s="1566"/>
      <c r="K5200" s="1565">
        <v>80716.78</v>
      </c>
      <c r="L5200" s="1565">
        <v>80716.78</v>
      </c>
      <c r="M5200" s="1564"/>
      <c r="N5200" s="1565">
        <v>80716.78</v>
      </c>
      <c r="O5200" s="1565">
        <v>31119.79</v>
      </c>
      <c r="P5200" s="1565">
        <v>37927.11</v>
      </c>
      <c r="Q5200" s="1565">
        <v>11669.88</v>
      </c>
      <c r="R5200" s="1565">
        <v>49596.99</v>
      </c>
      <c r="S5200" s="1562"/>
    </row>
    <row r="5201" spans="2:19" ht="11.25" customHeight="1" outlineLevel="1">
      <c r="B5201" s="1569" t="s">
        <v>7269</v>
      </c>
      <c r="C5201" s="1566" t="s">
        <v>3334</v>
      </c>
      <c r="D5201" s="1566" t="s">
        <v>7268</v>
      </c>
      <c r="E5201" s="1566" t="s">
        <v>2219</v>
      </c>
      <c r="F5201" s="1566" t="s">
        <v>2892</v>
      </c>
      <c r="G5201" s="1566"/>
      <c r="H5201" s="1568">
        <v>1</v>
      </c>
      <c r="I5201" s="1571">
        <v>39</v>
      </c>
      <c r="J5201" s="1566"/>
      <c r="K5201" s="1565">
        <v>7299.13</v>
      </c>
      <c r="L5201" s="1565">
        <v>7299.13</v>
      </c>
      <c r="M5201" s="1564"/>
      <c r="N5201" s="1565">
        <v>7299.13</v>
      </c>
      <c r="O5201" s="1565">
        <v>5207.63</v>
      </c>
      <c r="P5201" s="1565">
        <v>1599.39</v>
      </c>
      <c r="Q5201" s="1572">
        <v>492.11</v>
      </c>
      <c r="R5201" s="1565">
        <v>2091.5</v>
      </c>
      <c r="S5201" s="1562"/>
    </row>
    <row r="5202" spans="2:19" ht="21.75" customHeight="1" outlineLevel="1">
      <c r="B5202" s="1569" t="s">
        <v>7267</v>
      </c>
      <c r="C5202" s="1566" t="s">
        <v>3334</v>
      </c>
      <c r="D5202" s="1566" t="s">
        <v>7266</v>
      </c>
      <c r="E5202" s="1566" t="s">
        <v>2219</v>
      </c>
      <c r="F5202" s="1566" t="s">
        <v>2892</v>
      </c>
      <c r="G5202" s="1566"/>
      <c r="H5202" s="1568">
        <v>1</v>
      </c>
      <c r="I5202" s="1571">
        <v>672</v>
      </c>
      <c r="J5202" s="1566"/>
      <c r="K5202" s="1565">
        <v>29465.05</v>
      </c>
      <c r="L5202" s="1565">
        <v>29465.05</v>
      </c>
      <c r="M5202" s="1564"/>
      <c r="N5202" s="1565">
        <v>29465.05</v>
      </c>
      <c r="O5202" s="1565">
        <v>24247.24</v>
      </c>
      <c r="P5202" s="1565">
        <v>3990.09</v>
      </c>
      <c r="Q5202" s="1565">
        <v>1227.72</v>
      </c>
      <c r="R5202" s="1565">
        <v>5217.8100000000004</v>
      </c>
      <c r="S5202" s="1562"/>
    </row>
    <row r="5203" spans="2:19" ht="21.75" customHeight="1" outlineLevel="1">
      <c r="B5203" s="1569" t="s">
        <v>7265</v>
      </c>
      <c r="C5203" s="1566" t="s">
        <v>7264</v>
      </c>
      <c r="D5203" s="1566" t="s">
        <v>7263</v>
      </c>
      <c r="E5203" s="1566" t="s">
        <v>2208</v>
      </c>
      <c r="F5203" s="1566"/>
      <c r="G5203" s="1566"/>
      <c r="H5203" s="1568">
        <v>1</v>
      </c>
      <c r="I5203" s="1571">
        <v>6</v>
      </c>
      <c r="J5203" s="1566"/>
      <c r="K5203" s="1565">
        <v>52280.47</v>
      </c>
      <c r="L5203" s="1565">
        <v>52280.47</v>
      </c>
      <c r="M5203" s="1564"/>
      <c r="N5203" s="1565">
        <v>52280.47</v>
      </c>
      <c r="O5203" s="1565">
        <v>44894.65</v>
      </c>
      <c r="P5203" s="1565">
        <v>5647.98</v>
      </c>
      <c r="Q5203" s="1565">
        <v>1737.84</v>
      </c>
      <c r="R5203" s="1565">
        <v>7385.82</v>
      </c>
      <c r="S5203" s="1562"/>
    </row>
    <row r="5204" spans="2:19" ht="11.25" customHeight="1" outlineLevel="1">
      <c r="B5204" s="1569" t="s">
        <v>7262</v>
      </c>
      <c r="C5204" s="1566" t="s">
        <v>3326</v>
      </c>
      <c r="D5204" s="1566" t="s">
        <v>7261</v>
      </c>
      <c r="E5204" s="1566" t="s">
        <v>2219</v>
      </c>
      <c r="F5204" s="1566" t="s">
        <v>2881</v>
      </c>
      <c r="G5204" s="1566"/>
      <c r="H5204" s="1568">
        <v>1</v>
      </c>
      <c r="I5204" s="1571">
        <v>23</v>
      </c>
      <c r="J5204" s="1566"/>
      <c r="K5204" s="1565">
        <v>12920</v>
      </c>
      <c r="L5204" s="1565">
        <v>12920</v>
      </c>
      <c r="M5204" s="1564"/>
      <c r="N5204" s="1565">
        <v>12920</v>
      </c>
      <c r="O5204" s="1565">
        <v>11130.5</v>
      </c>
      <c r="P5204" s="1565">
        <v>1360.02</v>
      </c>
      <c r="Q5204" s="1572">
        <v>429.48</v>
      </c>
      <c r="R5204" s="1565">
        <v>1789.5</v>
      </c>
      <c r="S5204" s="1562"/>
    </row>
    <row r="5205" spans="2:19" ht="21.75" customHeight="1" outlineLevel="1">
      <c r="B5205" s="1569" t="s">
        <v>7260</v>
      </c>
      <c r="C5205" s="1566" t="s">
        <v>3323</v>
      </c>
      <c r="D5205" s="1566" t="s">
        <v>7259</v>
      </c>
      <c r="E5205" s="1566" t="s">
        <v>2208</v>
      </c>
      <c r="F5205" s="1566"/>
      <c r="G5205" s="1566"/>
      <c r="H5205" s="1568">
        <v>1</v>
      </c>
      <c r="I5205" s="1570">
        <v>3.5</v>
      </c>
      <c r="J5205" s="1566"/>
      <c r="K5205" s="1565">
        <v>83404.27</v>
      </c>
      <c r="L5205" s="1565">
        <v>83404.27</v>
      </c>
      <c r="M5205" s="1564"/>
      <c r="N5205" s="1565">
        <v>83404.27</v>
      </c>
      <c r="O5205" s="1565">
        <v>71852.27</v>
      </c>
      <c r="P5205" s="1565">
        <v>8779.52</v>
      </c>
      <c r="Q5205" s="1565">
        <v>2772.48</v>
      </c>
      <c r="R5205" s="1565">
        <v>11552</v>
      </c>
      <c r="S5205" s="1562"/>
    </row>
    <row r="5206" spans="2:19" ht="21.75" customHeight="1" outlineLevel="1">
      <c r="B5206" s="1569" t="s">
        <v>7258</v>
      </c>
      <c r="C5206" s="1566" t="s">
        <v>3323</v>
      </c>
      <c r="D5206" s="1566" t="s">
        <v>7257</v>
      </c>
      <c r="E5206" s="1566" t="s">
        <v>2208</v>
      </c>
      <c r="F5206" s="1566"/>
      <c r="G5206" s="1566"/>
      <c r="H5206" s="1568">
        <v>1</v>
      </c>
      <c r="I5206" s="1570">
        <v>12.5</v>
      </c>
      <c r="J5206" s="1566"/>
      <c r="K5206" s="1565">
        <v>176424.32000000001</v>
      </c>
      <c r="L5206" s="1565">
        <v>176424.32000000001</v>
      </c>
      <c r="M5206" s="1564"/>
      <c r="N5206" s="1565">
        <v>176424.32000000001</v>
      </c>
      <c r="O5206" s="1565">
        <v>151988.82</v>
      </c>
      <c r="P5206" s="1565">
        <v>18570.98</v>
      </c>
      <c r="Q5206" s="1565">
        <v>5864.52</v>
      </c>
      <c r="R5206" s="1565">
        <v>24435.5</v>
      </c>
      <c r="S5206" s="1562"/>
    </row>
    <row r="5207" spans="2:19" ht="21.75" customHeight="1" outlineLevel="1">
      <c r="B5207" s="1569" t="s">
        <v>7256</v>
      </c>
      <c r="C5207" s="1566" t="s">
        <v>7255</v>
      </c>
      <c r="D5207" s="1566" t="s">
        <v>7254</v>
      </c>
      <c r="E5207" s="1566" t="s">
        <v>2208</v>
      </c>
      <c r="F5207" s="1566"/>
      <c r="G5207" s="1566"/>
      <c r="H5207" s="1568">
        <v>1</v>
      </c>
      <c r="I5207" s="1570">
        <v>7.5</v>
      </c>
      <c r="J5207" s="1566"/>
      <c r="K5207" s="1565">
        <v>51837.05</v>
      </c>
      <c r="L5207" s="1565">
        <v>51837.05</v>
      </c>
      <c r="M5207" s="1564"/>
      <c r="N5207" s="1565">
        <v>51837.05</v>
      </c>
      <c r="O5207" s="1565">
        <v>44657.55</v>
      </c>
      <c r="P5207" s="1565">
        <v>5456.42</v>
      </c>
      <c r="Q5207" s="1565">
        <v>1723.08</v>
      </c>
      <c r="R5207" s="1565">
        <v>7179.5</v>
      </c>
      <c r="S5207" s="1562"/>
    </row>
    <row r="5208" spans="2:19" ht="11.25" customHeight="1" outlineLevel="1">
      <c r="B5208" s="1569" t="s">
        <v>7253</v>
      </c>
      <c r="C5208" s="1566" t="s">
        <v>3320</v>
      </c>
      <c r="D5208" s="1566" t="s">
        <v>7252</v>
      </c>
      <c r="E5208" s="1566"/>
      <c r="F5208" s="1566" t="s">
        <v>7251</v>
      </c>
      <c r="G5208" s="1566"/>
      <c r="H5208" s="1568">
        <v>1</v>
      </c>
      <c r="I5208" s="1566"/>
      <c r="J5208" s="1566"/>
      <c r="K5208" s="1565">
        <v>11716101.689999999</v>
      </c>
      <c r="L5208" s="1565">
        <v>11716101.689999999</v>
      </c>
      <c r="M5208" s="1564"/>
      <c r="N5208" s="1565">
        <v>11716101.689999999</v>
      </c>
      <c r="O5208" s="1565">
        <v>9333989.7200000007</v>
      </c>
      <c r="P5208" s="1565">
        <v>1798737.61</v>
      </c>
      <c r="Q5208" s="1565">
        <v>583374.36</v>
      </c>
      <c r="R5208" s="1565">
        <v>2382111.9700000002</v>
      </c>
      <c r="S5208" s="1562"/>
    </row>
    <row r="5209" spans="2:19" ht="21.75" customHeight="1" outlineLevel="1">
      <c r="B5209" s="1569" t="s">
        <v>7250</v>
      </c>
      <c r="C5209" s="1566" t="s">
        <v>3320</v>
      </c>
      <c r="D5209" s="1566" t="s">
        <v>7249</v>
      </c>
      <c r="E5209" s="1566" t="s">
        <v>2219</v>
      </c>
      <c r="F5209" s="1566" t="s">
        <v>3318</v>
      </c>
      <c r="G5209" s="1566"/>
      <c r="H5209" s="1568">
        <v>1</v>
      </c>
      <c r="I5209" s="1571">
        <v>1646</v>
      </c>
      <c r="J5209" s="1566"/>
      <c r="K5209" s="1565">
        <v>8350000</v>
      </c>
      <c r="L5209" s="1565">
        <v>8350000</v>
      </c>
      <c r="M5209" s="1564"/>
      <c r="N5209" s="1565">
        <v>8350000</v>
      </c>
      <c r="O5209" s="1565">
        <v>7216620.6900000004</v>
      </c>
      <c r="P5209" s="1565">
        <v>855817.03</v>
      </c>
      <c r="Q5209" s="1565">
        <v>277562.28000000003</v>
      </c>
      <c r="R5209" s="1565">
        <v>1133379.31</v>
      </c>
      <c r="S5209" s="1562"/>
    </row>
    <row r="5210" spans="2:19" ht="21.75" customHeight="1" outlineLevel="1">
      <c r="B5210" s="1569" t="s">
        <v>7248</v>
      </c>
      <c r="C5210" s="1566" t="s">
        <v>7247</v>
      </c>
      <c r="D5210" s="1566" t="s">
        <v>7246</v>
      </c>
      <c r="E5210" s="1566" t="s">
        <v>2219</v>
      </c>
      <c r="F5210" s="1566" t="s">
        <v>7245</v>
      </c>
      <c r="G5210" s="1566"/>
      <c r="H5210" s="1568">
        <v>1</v>
      </c>
      <c r="I5210" s="1566"/>
      <c r="J5210" s="1566"/>
      <c r="K5210" s="1565">
        <v>1548800</v>
      </c>
      <c r="L5210" s="1565">
        <v>1548800</v>
      </c>
      <c r="M5210" s="1564"/>
      <c r="N5210" s="1565">
        <v>1548800</v>
      </c>
      <c r="O5210" s="1565">
        <v>1233898.56</v>
      </c>
      <c r="P5210" s="1565">
        <v>237782.72</v>
      </c>
      <c r="Q5210" s="1565">
        <v>77118.720000000001</v>
      </c>
      <c r="R5210" s="1565">
        <v>314901.44</v>
      </c>
      <c r="S5210" s="1562"/>
    </row>
    <row r="5211" spans="2:19" ht="21.75" customHeight="1" outlineLevel="1">
      <c r="B5211" s="1569" t="s">
        <v>7244</v>
      </c>
      <c r="C5211" s="1566" t="s">
        <v>3314</v>
      </c>
      <c r="D5211" s="1566" t="s">
        <v>7243</v>
      </c>
      <c r="E5211" s="1566"/>
      <c r="F5211" s="1566"/>
      <c r="G5211" s="1566"/>
      <c r="H5211" s="1566"/>
      <c r="I5211" s="1566"/>
      <c r="J5211" s="1566"/>
      <c r="K5211" s="1565">
        <v>107440.08</v>
      </c>
      <c r="L5211" s="1565">
        <v>107440.08</v>
      </c>
      <c r="M5211" s="1564"/>
      <c r="N5211" s="1565">
        <v>107440.08</v>
      </c>
      <c r="O5211" s="1565">
        <v>92856.7</v>
      </c>
      <c r="P5211" s="1565">
        <v>11011.94</v>
      </c>
      <c r="Q5211" s="1565">
        <v>3571.44</v>
      </c>
      <c r="R5211" s="1565">
        <v>14583.38</v>
      </c>
      <c r="S5211" s="1562"/>
    </row>
    <row r="5212" spans="2:19" ht="21.75" customHeight="1" outlineLevel="1">
      <c r="B5212" s="1569" t="s">
        <v>7242</v>
      </c>
      <c r="C5212" s="1566" t="s">
        <v>3314</v>
      </c>
      <c r="D5212" s="1566" t="s">
        <v>7241</v>
      </c>
      <c r="E5212" s="1566"/>
      <c r="F5212" s="1566"/>
      <c r="G5212" s="1566"/>
      <c r="H5212" s="1566"/>
      <c r="I5212" s="1566"/>
      <c r="J5212" s="1566"/>
      <c r="K5212" s="1565">
        <v>72362.27</v>
      </c>
      <c r="L5212" s="1565">
        <v>72362.27</v>
      </c>
      <c r="M5212" s="1564"/>
      <c r="N5212" s="1565">
        <v>72362.27</v>
      </c>
      <c r="O5212" s="1565">
        <v>62540.22</v>
      </c>
      <c r="P5212" s="1565">
        <v>7416.65</v>
      </c>
      <c r="Q5212" s="1565">
        <v>2405.4</v>
      </c>
      <c r="R5212" s="1565">
        <v>9822.0499999999993</v>
      </c>
      <c r="S5212" s="1562"/>
    </row>
    <row r="5213" spans="2:19" ht="21.75" customHeight="1" outlineLevel="1">
      <c r="B5213" s="1569" t="s">
        <v>7240</v>
      </c>
      <c r="C5213" s="1566" t="s">
        <v>3314</v>
      </c>
      <c r="D5213" s="1566" t="s">
        <v>7239</v>
      </c>
      <c r="E5213" s="1566"/>
      <c r="F5213" s="1566"/>
      <c r="G5213" s="1566"/>
      <c r="H5213" s="1566"/>
      <c r="I5213" s="1566"/>
      <c r="J5213" s="1566"/>
      <c r="K5213" s="1565">
        <v>1205094.92</v>
      </c>
      <c r="L5213" s="1565">
        <v>1205094.92</v>
      </c>
      <c r="M5213" s="1564"/>
      <c r="N5213" s="1565">
        <v>1205094.92</v>
      </c>
      <c r="O5213" s="1565">
        <v>1041522.63</v>
      </c>
      <c r="P5213" s="1565">
        <v>123513.77</v>
      </c>
      <c r="Q5213" s="1565">
        <v>40058.519999999997</v>
      </c>
      <c r="R5213" s="1565">
        <v>163572.29</v>
      </c>
      <c r="S5213" s="1562"/>
    </row>
    <row r="5214" spans="2:19" ht="21.75" customHeight="1" outlineLevel="1">
      <c r="B5214" s="1569" t="s">
        <v>7238</v>
      </c>
      <c r="C5214" s="1566" t="s">
        <v>3314</v>
      </c>
      <c r="D5214" s="1566" t="s">
        <v>7237</v>
      </c>
      <c r="E5214" s="1566"/>
      <c r="F5214" s="1566"/>
      <c r="G5214" s="1566"/>
      <c r="H5214" s="1566"/>
      <c r="I5214" s="1566"/>
      <c r="J5214" s="1566"/>
      <c r="K5214" s="1565">
        <v>24206.04</v>
      </c>
      <c r="L5214" s="1565">
        <v>24206.04</v>
      </c>
      <c r="M5214" s="1564"/>
      <c r="N5214" s="1565">
        <v>24206.04</v>
      </c>
      <c r="O5214" s="1565">
        <v>20920.59</v>
      </c>
      <c r="P5214" s="1565">
        <v>2480.85</v>
      </c>
      <c r="Q5214" s="1572">
        <v>804.6</v>
      </c>
      <c r="R5214" s="1565">
        <v>3285.45</v>
      </c>
      <c r="S5214" s="1562"/>
    </row>
    <row r="5215" spans="2:19" ht="11.25" customHeight="1" outlineLevel="1">
      <c r="B5215" s="1569" t="s">
        <v>7236</v>
      </c>
      <c r="C5215" s="1566" t="s">
        <v>3311</v>
      </c>
      <c r="D5215" s="1566" t="s">
        <v>7235</v>
      </c>
      <c r="E5215" s="1566"/>
      <c r="F5215" s="1566"/>
      <c r="G5215" s="1566"/>
      <c r="H5215" s="1566"/>
      <c r="I5215" s="1566"/>
      <c r="J5215" s="1566"/>
      <c r="K5215" s="1565">
        <v>4650587.8499999996</v>
      </c>
      <c r="L5215" s="1565">
        <v>4650587.8499999996</v>
      </c>
      <c r="M5215" s="1564"/>
      <c r="N5215" s="1565">
        <v>4650587.8499999996</v>
      </c>
      <c r="O5215" s="1565">
        <v>4032227.25</v>
      </c>
      <c r="P5215" s="1565">
        <v>463770.36</v>
      </c>
      <c r="Q5215" s="1565">
        <v>154590.24</v>
      </c>
      <c r="R5215" s="1565">
        <v>618360.6</v>
      </c>
      <c r="S5215" s="1562"/>
    </row>
    <row r="5216" spans="2:19" ht="11.25" customHeight="1" outlineLevel="1">
      <c r="B5216" s="1569" t="s">
        <v>7234</v>
      </c>
      <c r="C5216" s="1566" t="s">
        <v>3311</v>
      </c>
      <c r="D5216" s="1566" t="s">
        <v>7233</v>
      </c>
      <c r="E5216" s="1566"/>
      <c r="F5216" s="1566"/>
      <c r="G5216" s="1566"/>
      <c r="H5216" s="1566"/>
      <c r="I5216" s="1566"/>
      <c r="J5216" s="1566"/>
      <c r="K5216" s="1565">
        <v>935271.51</v>
      </c>
      <c r="L5216" s="1565">
        <v>935271.51</v>
      </c>
      <c r="M5216" s="1564"/>
      <c r="N5216" s="1565">
        <v>935271.51</v>
      </c>
      <c r="O5216" s="1565">
        <v>810914.07</v>
      </c>
      <c r="P5216" s="1565">
        <v>93268.08</v>
      </c>
      <c r="Q5216" s="1565">
        <v>31089.360000000001</v>
      </c>
      <c r="R5216" s="1565">
        <v>124357.44</v>
      </c>
      <c r="S5216" s="1562"/>
    </row>
    <row r="5217" spans="2:19" ht="21.75" customHeight="1" outlineLevel="1">
      <c r="B5217" s="1569" t="s">
        <v>7232</v>
      </c>
      <c r="C5217" s="1566" t="s">
        <v>3295</v>
      </c>
      <c r="D5217" s="1566" t="s">
        <v>7231</v>
      </c>
      <c r="E5217" s="1566" t="s">
        <v>2208</v>
      </c>
      <c r="F5217" s="1566"/>
      <c r="G5217" s="1566"/>
      <c r="H5217" s="1568">
        <v>2</v>
      </c>
      <c r="I5217" s="1570">
        <v>20.399999999999999</v>
      </c>
      <c r="J5217" s="1566"/>
      <c r="K5217" s="1565">
        <v>221725.96</v>
      </c>
      <c r="L5217" s="1565">
        <v>221725.96</v>
      </c>
      <c r="M5217" s="1564"/>
      <c r="N5217" s="1565">
        <v>221725.96</v>
      </c>
      <c r="O5217" s="1565">
        <v>192244.36</v>
      </c>
      <c r="P5217" s="1565">
        <v>22111.200000000001</v>
      </c>
      <c r="Q5217" s="1565">
        <v>7370.4</v>
      </c>
      <c r="R5217" s="1565">
        <v>29481.599999999999</v>
      </c>
      <c r="S5217" s="1562"/>
    </row>
    <row r="5218" spans="2:19" ht="21.75" customHeight="1" outlineLevel="1">
      <c r="B5218" s="1569" t="s">
        <v>7230</v>
      </c>
      <c r="C5218" s="1566" t="s">
        <v>3295</v>
      </c>
      <c r="D5218" s="1566" t="s">
        <v>7229</v>
      </c>
      <c r="E5218" s="1566" t="s">
        <v>2208</v>
      </c>
      <c r="F5218" s="1566"/>
      <c r="G5218" s="1566"/>
      <c r="H5218" s="1568">
        <v>1</v>
      </c>
      <c r="I5218" s="1571">
        <v>5</v>
      </c>
      <c r="J5218" s="1566"/>
      <c r="K5218" s="1565">
        <v>77049.960000000006</v>
      </c>
      <c r="L5218" s="1565">
        <v>77049.960000000006</v>
      </c>
      <c r="M5218" s="1564"/>
      <c r="N5218" s="1565">
        <v>77049.960000000006</v>
      </c>
      <c r="O5218" s="1565">
        <v>66805.2</v>
      </c>
      <c r="P5218" s="1565">
        <v>7683.48</v>
      </c>
      <c r="Q5218" s="1565">
        <v>2561.2800000000002</v>
      </c>
      <c r="R5218" s="1565">
        <v>10244.76</v>
      </c>
      <c r="S5218" s="1562"/>
    </row>
    <row r="5219" spans="2:19" ht="21.75" customHeight="1" outlineLevel="1">
      <c r="B5219" s="1569" t="s">
        <v>7228</v>
      </c>
      <c r="C5219" s="1566" t="s">
        <v>3295</v>
      </c>
      <c r="D5219" s="1566" t="s">
        <v>7227</v>
      </c>
      <c r="E5219" s="1566" t="s">
        <v>2208</v>
      </c>
      <c r="F5219" s="1566"/>
      <c r="G5219" s="1566"/>
      <c r="H5219" s="1568">
        <v>1</v>
      </c>
      <c r="I5219" s="1570">
        <v>344.5</v>
      </c>
      <c r="J5219" s="1566"/>
      <c r="K5219" s="1565">
        <v>2353057.42</v>
      </c>
      <c r="L5219" s="1565">
        <v>2353057.42</v>
      </c>
      <c r="M5219" s="1564"/>
      <c r="N5219" s="1565">
        <v>2353057.42</v>
      </c>
      <c r="O5219" s="1565">
        <v>2040185.64</v>
      </c>
      <c r="P5219" s="1565">
        <v>234653.76</v>
      </c>
      <c r="Q5219" s="1565">
        <v>78218.02</v>
      </c>
      <c r="R5219" s="1565">
        <v>312871.78000000003</v>
      </c>
      <c r="S5219" s="1562"/>
    </row>
    <row r="5220" spans="2:19" ht="21.75" customHeight="1" outlineLevel="1">
      <c r="B5220" s="1569" t="s">
        <v>7226</v>
      </c>
      <c r="C5220" s="1566" t="s">
        <v>3295</v>
      </c>
      <c r="D5220" s="1566" t="s">
        <v>7225</v>
      </c>
      <c r="E5220" s="1566" t="s">
        <v>2208</v>
      </c>
      <c r="F5220" s="1566"/>
      <c r="G5220" s="1566"/>
      <c r="H5220" s="1568">
        <v>1</v>
      </c>
      <c r="I5220" s="1571">
        <v>45</v>
      </c>
      <c r="J5220" s="1566"/>
      <c r="K5220" s="1565">
        <v>84027.520000000004</v>
      </c>
      <c r="L5220" s="1565">
        <v>84027.520000000004</v>
      </c>
      <c r="M5220" s="1564"/>
      <c r="N5220" s="1565">
        <v>84027.520000000004</v>
      </c>
      <c r="O5220" s="1565">
        <v>72855.039999999994</v>
      </c>
      <c r="P5220" s="1565">
        <v>8379.36</v>
      </c>
      <c r="Q5220" s="1565">
        <v>2793.12</v>
      </c>
      <c r="R5220" s="1565">
        <v>11172.48</v>
      </c>
      <c r="S5220" s="1562"/>
    </row>
    <row r="5221" spans="2:19" ht="21.75" customHeight="1" outlineLevel="1">
      <c r="B5221" s="1569" t="s">
        <v>7224</v>
      </c>
      <c r="C5221" s="1566" t="s">
        <v>3295</v>
      </c>
      <c r="D5221" s="1566" t="s">
        <v>7223</v>
      </c>
      <c r="E5221" s="1566" t="s">
        <v>2208</v>
      </c>
      <c r="F5221" s="1566"/>
      <c r="G5221" s="1566"/>
      <c r="H5221" s="1568">
        <v>1</v>
      </c>
      <c r="I5221" s="1571">
        <v>4</v>
      </c>
      <c r="J5221" s="1566"/>
      <c r="K5221" s="1565">
        <v>129060.53</v>
      </c>
      <c r="L5221" s="1565">
        <v>129060.53</v>
      </c>
      <c r="M5221" s="1564"/>
      <c r="N5221" s="1565">
        <v>129060.53</v>
      </c>
      <c r="O5221" s="1565">
        <v>111900.05</v>
      </c>
      <c r="P5221" s="1565">
        <v>12870.36</v>
      </c>
      <c r="Q5221" s="1565">
        <v>4290.12</v>
      </c>
      <c r="R5221" s="1565">
        <v>17160.48</v>
      </c>
      <c r="S5221" s="1562"/>
    </row>
    <row r="5222" spans="2:19" ht="21.75" customHeight="1" outlineLevel="1">
      <c r="B5222" s="1569" t="s">
        <v>7222</v>
      </c>
      <c r="C5222" s="1566" t="s">
        <v>3295</v>
      </c>
      <c r="D5222" s="1566" t="s">
        <v>7221</v>
      </c>
      <c r="E5222" s="1566" t="s">
        <v>2208</v>
      </c>
      <c r="F5222" s="1566"/>
      <c r="G5222" s="1566"/>
      <c r="H5222" s="1568">
        <v>1</v>
      </c>
      <c r="I5222" s="1571">
        <v>22</v>
      </c>
      <c r="J5222" s="1566"/>
      <c r="K5222" s="1565">
        <v>233013.36</v>
      </c>
      <c r="L5222" s="1565">
        <v>233013.36</v>
      </c>
      <c r="M5222" s="1564"/>
      <c r="N5222" s="1565">
        <v>233013.36</v>
      </c>
      <c r="O5222" s="1565">
        <v>202030.8</v>
      </c>
      <c r="P5222" s="1565">
        <v>23236.92</v>
      </c>
      <c r="Q5222" s="1565">
        <v>7745.64</v>
      </c>
      <c r="R5222" s="1565">
        <v>30982.560000000001</v>
      </c>
      <c r="S5222" s="1562"/>
    </row>
    <row r="5223" spans="2:19" ht="11.25" customHeight="1" outlineLevel="1">
      <c r="B5223" s="1569" t="s">
        <v>7220</v>
      </c>
      <c r="C5223" s="1566" t="s">
        <v>3295</v>
      </c>
      <c r="D5223" s="1566" t="s">
        <v>7219</v>
      </c>
      <c r="E5223" s="1566" t="s">
        <v>2208</v>
      </c>
      <c r="F5223" s="1566"/>
      <c r="G5223" s="1566"/>
      <c r="H5223" s="1568">
        <v>1</v>
      </c>
      <c r="I5223" s="1571">
        <v>14</v>
      </c>
      <c r="J5223" s="1566"/>
      <c r="K5223" s="1565">
        <v>35244.58</v>
      </c>
      <c r="L5223" s="1565">
        <v>35244.58</v>
      </c>
      <c r="M5223" s="1564"/>
      <c r="N5223" s="1565">
        <v>35244.58</v>
      </c>
      <c r="O5223" s="1565">
        <v>30558.34</v>
      </c>
      <c r="P5223" s="1565">
        <v>3514.68</v>
      </c>
      <c r="Q5223" s="1565">
        <v>1171.56</v>
      </c>
      <c r="R5223" s="1565">
        <v>4686.24</v>
      </c>
      <c r="S5223" s="1562"/>
    </row>
    <row r="5224" spans="2:19" ht="21.75" customHeight="1" outlineLevel="1">
      <c r="B5224" s="1569" t="s">
        <v>7218</v>
      </c>
      <c r="C5224" s="1566" t="s">
        <v>3295</v>
      </c>
      <c r="D5224" s="1566" t="s">
        <v>7217</v>
      </c>
      <c r="E5224" s="1566" t="s">
        <v>2208</v>
      </c>
      <c r="F5224" s="1566"/>
      <c r="G5224" s="1566"/>
      <c r="H5224" s="1568">
        <v>1</v>
      </c>
      <c r="I5224" s="1571">
        <v>9</v>
      </c>
      <c r="J5224" s="1566"/>
      <c r="K5224" s="1565">
        <v>123814.26</v>
      </c>
      <c r="L5224" s="1565">
        <v>123814.26</v>
      </c>
      <c r="M5224" s="1564"/>
      <c r="N5224" s="1565">
        <v>123814.26</v>
      </c>
      <c r="O5224" s="1565">
        <v>107351.22</v>
      </c>
      <c r="P5224" s="1565">
        <v>12347.28</v>
      </c>
      <c r="Q5224" s="1565">
        <v>4115.76</v>
      </c>
      <c r="R5224" s="1565">
        <v>16463.04</v>
      </c>
      <c r="S5224" s="1562"/>
    </row>
    <row r="5225" spans="2:19" ht="11.25" customHeight="1" outlineLevel="1">
      <c r="B5225" s="1569" t="s">
        <v>7216</v>
      </c>
      <c r="C5225" s="1566" t="s">
        <v>3295</v>
      </c>
      <c r="D5225" s="1566" t="s">
        <v>7215</v>
      </c>
      <c r="E5225" s="1566" t="s">
        <v>2208</v>
      </c>
      <c r="F5225" s="1566"/>
      <c r="G5225" s="1566"/>
      <c r="H5225" s="1568">
        <v>1</v>
      </c>
      <c r="I5225" s="1571">
        <v>2</v>
      </c>
      <c r="J5225" s="1566"/>
      <c r="K5225" s="1565">
        <v>43484.62</v>
      </c>
      <c r="L5225" s="1565">
        <v>43484.62</v>
      </c>
      <c r="M5225" s="1564"/>
      <c r="N5225" s="1565">
        <v>43484.62</v>
      </c>
      <c r="O5225" s="1565">
        <v>37702.54</v>
      </c>
      <c r="P5225" s="1565">
        <v>4336.5600000000004</v>
      </c>
      <c r="Q5225" s="1565">
        <v>1445.52</v>
      </c>
      <c r="R5225" s="1565">
        <v>5782.08</v>
      </c>
      <c r="S5225" s="1562"/>
    </row>
    <row r="5226" spans="2:19" ht="21.75" customHeight="1" outlineLevel="1">
      <c r="B5226" s="1569" t="s">
        <v>7214</v>
      </c>
      <c r="C5226" s="1566" t="s">
        <v>3295</v>
      </c>
      <c r="D5226" s="1566" t="s">
        <v>7213</v>
      </c>
      <c r="E5226" s="1566" t="s">
        <v>2208</v>
      </c>
      <c r="F5226" s="1566"/>
      <c r="G5226" s="1566"/>
      <c r="H5226" s="1568">
        <v>1</v>
      </c>
      <c r="I5226" s="1570">
        <v>125.5</v>
      </c>
      <c r="J5226" s="1566"/>
      <c r="K5226" s="1565">
        <v>187804.92</v>
      </c>
      <c r="L5226" s="1565">
        <v>187804.92</v>
      </c>
      <c r="M5226" s="1564"/>
      <c r="N5226" s="1565">
        <v>187804.92</v>
      </c>
      <c r="O5226" s="1565">
        <v>162833.51999999999</v>
      </c>
      <c r="P5226" s="1565">
        <v>18728.64</v>
      </c>
      <c r="Q5226" s="1565">
        <v>6242.76</v>
      </c>
      <c r="R5226" s="1565">
        <v>24971.4</v>
      </c>
      <c r="S5226" s="1562"/>
    </row>
    <row r="5227" spans="2:19" ht="21.75" customHeight="1" outlineLevel="1">
      <c r="B5227" s="1569" t="s">
        <v>7212</v>
      </c>
      <c r="C5227" s="1566" t="s">
        <v>3295</v>
      </c>
      <c r="D5227" s="1566" t="s">
        <v>7211</v>
      </c>
      <c r="E5227" s="1566" t="s">
        <v>2266</v>
      </c>
      <c r="F5227" s="1566"/>
      <c r="G5227" s="1566"/>
      <c r="H5227" s="1568">
        <v>1</v>
      </c>
      <c r="I5227" s="1571">
        <v>504</v>
      </c>
      <c r="J5227" s="1566"/>
      <c r="K5227" s="1565">
        <v>3462775.56</v>
      </c>
      <c r="L5227" s="1565">
        <v>3462775.56</v>
      </c>
      <c r="M5227" s="1564"/>
      <c r="N5227" s="1565">
        <v>3462775.56</v>
      </c>
      <c r="O5227" s="1565">
        <v>2544470.2799999998</v>
      </c>
      <c r="P5227" s="1565">
        <v>688728.96</v>
      </c>
      <c r="Q5227" s="1565">
        <v>229576.32000000001</v>
      </c>
      <c r="R5227" s="1565">
        <v>918305.28000000003</v>
      </c>
      <c r="S5227" s="1562"/>
    </row>
    <row r="5228" spans="2:19" ht="11.25" customHeight="1" outlineLevel="1">
      <c r="B5228" s="1569" t="s">
        <v>7210</v>
      </c>
      <c r="C5228" s="1566" t="s">
        <v>3295</v>
      </c>
      <c r="D5228" s="1566" t="s">
        <v>7209</v>
      </c>
      <c r="E5228" s="1566" t="s">
        <v>2208</v>
      </c>
      <c r="F5228" s="1566"/>
      <c r="G5228" s="1566"/>
      <c r="H5228" s="1568">
        <v>1</v>
      </c>
      <c r="I5228" s="1571">
        <v>65</v>
      </c>
      <c r="J5228" s="1566"/>
      <c r="K5228" s="1565">
        <v>261556.16</v>
      </c>
      <c r="L5228" s="1565">
        <v>261556.16</v>
      </c>
      <c r="M5228" s="1564"/>
      <c r="N5228" s="1565">
        <v>261556.16</v>
      </c>
      <c r="O5228" s="1565">
        <v>226778.72</v>
      </c>
      <c r="P5228" s="1565">
        <v>26083.08</v>
      </c>
      <c r="Q5228" s="1565">
        <v>8694.36</v>
      </c>
      <c r="R5228" s="1565">
        <v>34777.440000000002</v>
      </c>
      <c r="S5228" s="1562"/>
    </row>
    <row r="5229" spans="2:19" ht="21.75" customHeight="1" outlineLevel="1">
      <c r="B5229" s="1569" t="s">
        <v>7208</v>
      </c>
      <c r="C5229" s="1566" t="s">
        <v>3295</v>
      </c>
      <c r="D5229" s="1566" t="s">
        <v>7207</v>
      </c>
      <c r="E5229" s="1566" t="s">
        <v>2266</v>
      </c>
      <c r="F5229" s="1566"/>
      <c r="G5229" s="1566"/>
      <c r="H5229" s="1568">
        <v>1</v>
      </c>
      <c r="I5229" s="1571">
        <v>1515</v>
      </c>
      <c r="J5229" s="1566"/>
      <c r="K5229" s="1565">
        <v>13738278.869999999</v>
      </c>
      <c r="L5229" s="1565">
        <v>13738278.869999999</v>
      </c>
      <c r="M5229" s="1564"/>
      <c r="N5229" s="1565">
        <v>13738278.869999999</v>
      </c>
      <c r="O5229" s="1565">
        <v>11911582.710000001</v>
      </c>
      <c r="P5229" s="1565">
        <v>1370022.12</v>
      </c>
      <c r="Q5229" s="1565">
        <v>456674.04</v>
      </c>
      <c r="R5229" s="1565">
        <v>1826696.16</v>
      </c>
      <c r="S5229" s="1562"/>
    </row>
    <row r="5230" spans="2:19" ht="21.75" customHeight="1" outlineLevel="1">
      <c r="B5230" s="1569" t="s">
        <v>7206</v>
      </c>
      <c r="C5230" s="1566" t="s">
        <v>3295</v>
      </c>
      <c r="D5230" s="1566" t="s">
        <v>7205</v>
      </c>
      <c r="E5230" s="1566" t="s">
        <v>2266</v>
      </c>
      <c r="F5230" s="1566"/>
      <c r="G5230" s="1566"/>
      <c r="H5230" s="1568">
        <v>1</v>
      </c>
      <c r="I5230" s="1570">
        <v>671.3</v>
      </c>
      <c r="J5230" s="1566"/>
      <c r="K5230" s="1565">
        <v>13029349.689999999</v>
      </c>
      <c r="L5230" s="1565">
        <v>13029349.689999999</v>
      </c>
      <c r="M5230" s="1564"/>
      <c r="N5230" s="1565">
        <v>13029349.689999999</v>
      </c>
      <c r="O5230" s="1565">
        <v>11296915.449999999</v>
      </c>
      <c r="P5230" s="1565">
        <v>1299325.68</v>
      </c>
      <c r="Q5230" s="1565">
        <v>433108.56</v>
      </c>
      <c r="R5230" s="1565">
        <v>1732434.24</v>
      </c>
      <c r="S5230" s="1562"/>
    </row>
    <row r="5231" spans="2:19" ht="21.75" customHeight="1" outlineLevel="1">
      <c r="B5231" s="1569" t="s">
        <v>7204</v>
      </c>
      <c r="C5231" s="1566" t="s">
        <v>3295</v>
      </c>
      <c r="D5231" s="1566" t="s">
        <v>7203</v>
      </c>
      <c r="E5231" s="1566" t="s">
        <v>2266</v>
      </c>
      <c r="F5231" s="1566"/>
      <c r="G5231" s="1566"/>
      <c r="H5231" s="1568">
        <v>1</v>
      </c>
      <c r="I5231" s="1567">
        <v>62.35</v>
      </c>
      <c r="J5231" s="1566"/>
      <c r="K5231" s="1565">
        <v>334834.88</v>
      </c>
      <c r="L5231" s="1565">
        <v>334834.88</v>
      </c>
      <c r="M5231" s="1564"/>
      <c r="N5231" s="1565">
        <v>334834.88</v>
      </c>
      <c r="O5231" s="1565">
        <v>246038.72</v>
      </c>
      <c r="P5231" s="1565">
        <v>66597.119999999995</v>
      </c>
      <c r="Q5231" s="1565">
        <v>22199.040000000001</v>
      </c>
      <c r="R5231" s="1565">
        <v>88796.160000000003</v>
      </c>
      <c r="S5231" s="1562"/>
    </row>
    <row r="5232" spans="2:19" ht="21.75" customHeight="1" outlineLevel="1">
      <c r="B5232" s="1569" t="s">
        <v>7202</v>
      </c>
      <c r="C5232" s="1566" t="s">
        <v>3295</v>
      </c>
      <c r="D5232" s="1566" t="s">
        <v>7201</v>
      </c>
      <c r="E5232" s="1566" t="s">
        <v>2208</v>
      </c>
      <c r="F5232" s="1566"/>
      <c r="G5232" s="1566"/>
      <c r="H5232" s="1568">
        <v>1</v>
      </c>
      <c r="I5232" s="1571">
        <v>19</v>
      </c>
      <c r="J5232" s="1566"/>
      <c r="K5232" s="1565">
        <v>480107.51</v>
      </c>
      <c r="L5232" s="1565">
        <v>480107.51</v>
      </c>
      <c r="M5232" s="1564"/>
      <c r="N5232" s="1565">
        <v>480107.51</v>
      </c>
      <c r="O5232" s="1565">
        <v>416270.39</v>
      </c>
      <c r="P5232" s="1565">
        <v>47877.84</v>
      </c>
      <c r="Q5232" s="1565">
        <v>15959.28</v>
      </c>
      <c r="R5232" s="1565">
        <v>63837.120000000003</v>
      </c>
      <c r="S5232" s="1562"/>
    </row>
    <row r="5233" spans="2:19" ht="21.75" customHeight="1" outlineLevel="1">
      <c r="B5233" s="1569" t="s">
        <v>7200</v>
      </c>
      <c r="C5233" s="1566" t="s">
        <v>3295</v>
      </c>
      <c r="D5233" s="1566" t="s">
        <v>7199</v>
      </c>
      <c r="E5233" s="1566" t="s">
        <v>2208</v>
      </c>
      <c r="F5233" s="1566"/>
      <c r="G5233" s="1566"/>
      <c r="H5233" s="1568">
        <v>1</v>
      </c>
      <c r="I5233" s="1571">
        <v>353</v>
      </c>
      <c r="J5233" s="1566"/>
      <c r="K5233" s="1565">
        <v>1085713.44</v>
      </c>
      <c r="L5233" s="1565">
        <v>1085713.44</v>
      </c>
      <c r="M5233" s="1564"/>
      <c r="N5233" s="1565">
        <v>1085713.44</v>
      </c>
      <c r="O5233" s="1565">
        <v>941352.48</v>
      </c>
      <c r="P5233" s="1565">
        <v>108270.72</v>
      </c>
      <c r="Q5233" s="1565">
        <v>36090.239999999998</v>
      </c>
      <c r="R5233" s="1565">
        <v>144360.95999999999</v>
      </c>
      <c r="S5233" s="1562"/>
    </row>
    <row r="5234" spans="2:19" ht="21.75" customHeight="1" outlineLevel="1">
      <c r="B5234" s="1569" t="s">
        <v>7198</v>
      </c>
      <c r="C5234" s="1566" t="s">
        <v>3295</v>
      </c>
      <c r="D5234" s="1566" t="s">
        <v>7197</v>
      </c>
      <c r="E5234" s="1566" t="s">
        <v>2208</v>
      </c>
      <c r="F5234" s="1566"/>
      <c r="G5234" s="1566"/>
      <c r="H5234" s="1568">
        <v>1</v>
      </c>
      <c r="I5234" s="1566"/>
      <c r="J5234" s="1566"/>
      <c r="K5234" s="1565">
        <v>395056.24</v>
      </c>
      <c r="L5234" s="1565">
        <v>395056.24</v>
      </c>
      <c r="M5234" s="1564"/>
      <c r="N5234" s="1565">
        <v>395056.24</v>
      </c>
      <c r="O5234" s="1565">
        <v>342527.92</v>
      </c>
      <c r="P5234" s="1565">
        <v>39396.239999999998</v>
      </c>
      <c r="Q5234" s="1565">
        <v>13132.08</v>
      </c>
      <c r="R5234" s="1565">
        <v>52528.32</v>
      </c>
      <c r="S5234" s="1562"/>
    </row>
    <row r="5235" spans="2:19" ht="21.75" customHeight="1" outlineLevel="1">
      <c r="B5235" s="1569" t="s">
        <v>7196</v>
      </c>
      <c r="C5235" s="1566" t="s">
        <v>3295</v>
      </c>
      <c r="D5235" s="1566" t="s">
        <v>7195</v>
      </c>
      <c r="E5235" s="1566" t="s">
        <v>2266</v>
      </c>
      <c r="F5235" s="1566"/>
      <c r="G5235" s="1566"/>
      <c r="H5235" s="1568">
        <v>1</v>
      </c>
      <c r="I5235" s="1570">
        <v>67.5</v>
      </c>
      <c r="J5235" s="1566"/>
      <c r="K5235" s="1565">
        <v>446626.98</v>
      </c>
      <c r="L5235" s="1565">
        <v>446626.98</v>
      </c>
      <c r="M5235" s="1564"/>
      <c r="N5235" s="1565">
        <v>446626.98</v>
      </c>
      <c r="O5235" s="1565">
        <v>387241.86</v>
      </c>
      <c r="P5235" s="1565">
        <v>44538.84</v>
      </c>
      <c r="Q5235" s="1565">
        <v>14846.28</v>
      </c>
      <c r="R5235" s="1565">
        <v>59385.120000000003</v>
      </c>
      <c r="S5235" s="1562"/>
    </row>
    <row r="5236" spans="2:19" ht="11.25" customHeight="1" outlineLevel="1">
      <c r="B5236" s="1569" t="s">
        <v>7194</v>
      </c>
      <c r="C5236" s="1566" t="s">
        <v>3295</v>
      </c>
      <c r="D5236" s="1566" t="s">
        <v>7193</v>
      </c>
      <c r="E5236" s="1566" t="s">
        <v>2208</v>
      </c>
      <c r="F5236" s="1566"/>
      <c r="G5236" s="1566"/>
      <c r="H5236" s="1568">
        <v>1</v>
      </c>
      <c r="I5236" s="1570">
        <v>638.1</v>
      </c>
      <c r="J5236" s="1566"/>
      <c r="K5236" s="1565">
        <v>7039290.3899999997</v>
      </c>
      <c r="L5236" s="1565">
        <v>7039290.3899999997</v>
      </c>
      <c r="M5236" s="1564"/>
      <c r="N5236" s="1565">
        <v>7039290.3899999997</v>
      </c>
      <c r="O5236" s="1565">
        <v>6103318.2300000004</v>
      </c>
      <c r="P5236" s="1565">
        <v>701979.12</v>
      </c>
      <c r="Q5236" s="1565">
        <v>233993.04</v>
      </c>
      <c r="R5236" s="1565">
        <v>935972.16</v>
      </c>
      <c r="S5236" s="1562"/>
    </row>
    <row r="5237" spans="2:19" ht="21.75" customHeight="1" outlineLevel="1">
      <c r="B5237" s="1569" t="s">
        <v>7192</v>
      </c>
      <c r="C5237" s="1566" t="s">
        <v>3295</v>
      </c>
      <c r="D5237" s="1566" t="s">
        <v>7191</v>
      </c>
      <c r="E5237" s="1566" t="s">
        <v>2208</v>
      </c>
      <c r="F5237" s="1566"/>
      <c r="G5237" s="1566"/>
      <c r="H5237" s="1568">
        <v>1</v>
      </c>
      <c r="I5237" s="1571">
        <v>56</v>
      </c>
      <c r="J5237" s="1566"/>
      <c r="K5237" s="1565">
        <v>211995.89</v>
      </c>
      <c r="L5237" s="1565">
        <v>211995.89</v>
      </c>
      <c r="M5237" s="1564"/>
      <c r="N5237" s="1565">
        <v>211995.89</v>
      </c>
      <c r="O5237" s="1565">
        <v>183807.89</v>
      </c>
      <c r="P5237" s="1565">
        <v>21141</v>
      </c>
      <c r="Q5237" s="1565">
        <v>7047</v>
      </c>
      <c r="R5237" s="1565">
        <v>28188</v>
      </c>
      <c r="S5237" s="1562"/>
    </row>
    <row r="5238" spans="2:19" ht="21.75" customHeight="1" outlineLevel="1">
      <c r="B5238" s="1569" t="s">
        <v>7190</v>
      </c>
      <c r="C5238" s="1566" t="s">
        <v>3295</v>
      </c>
      <c r="D5238" s="1566" t="s">
        <v>7189</v>
      </c>
      <c r="E5238" s="1566" t="s">
        <v>2208</v>
      </c>
      <c r="F5238" s="1566"/>
      <c r="G5238" s="1566"/>
      <c r="H5238" s="1568">
        <v>1</v>
      </c>
      <c r="I5238" s="1571">
        <v>24</v>
      </c>
      <c r="J5238" s="1566"/>
      <c r="K5238" s="1565">
        <v>64409.42</v>
      </c>
      <c r="L5238" s="1565">
        <v>64409.42</v>
      </c>
      <c r="M5238" s="1564"/>
      <c r="N5238" s="1565">
        <v>64409.42</v>
      </c>
      <c r="O5238" s="1565">
        <v>55845.26</v>
      </c>
      <c r="P5238" s="1565">
        <v>6423.12</v>
      </c>
      <c r="Q5238" s="1565">
        <v>2141.04</v>
      </c>
      <c r="R5238" s="1565">
        <v>8564.16</v>
      </c>
      <c r="S5238" s="1562"/>
    </row>
    <row r="5239" spans="2:19" ht="21.75" customHeight="1" outlineLevel="1">
      <c r="B5239" s="1569" t="s">
        <v>7188</v>
      </c>
      <c r="C5239" s="1566" t="s">
        <v>3295</v>
      </c>
      <c r="D5239" s="1566" t="s">
        <v>7187</v>
      </c>
      <c r="E5239" s="1566" t="s">
        <v>2208</v>
      </c>
      <c r="F5239" s="1566"/>
      <c r="G5239" s="1566"/>
      <c r="H5239" s="1568">
        <v>1</v>
      </c>
      <c r="I5239" s="1571">
        <v>5</v>
      </c>
      <c r="J5239" s="1566"/>
      <c r="K5239" s="1565">
        <v>48173.91</v>
      </c>
      <c r="L5239" s="1565">
        <v>48173.91</v>
      </c>
      <c r="M5239" s="1564"/>
      <c r="N5239" s="1565">
        <v>48173.91</v>
      </c>
      <c r="O5239" s="1565">
        <v>41768.31</v>
      </c>
      <c r="P5239" s="1565">
        <v>4804.2</v>
      </c>
      <c r="Q5239" s="1565">
        <v>1601.4</v>
      </c>
      <c r="R5239" s="1565">
        <v>6405.6</v>
      </c>
      <c r="S5239" s="1562"/>
    </row>
    <row r="5240" spans="2:19" ht="21.75" customHeight="1" outlineLevel="1">
      <c r="B5240" s="1569" t="s">
        <v>7186</v>
      </c>
      <c r="C5240" s="1566" t="s">
        <v>3295</v>
      </c>
      <c r="D5240" s="1566" t="s">
        <v>7185</v>
      </c>
      <c r="E5240" s="1566" t="s">
        <v>2208</v>
      </c>
      <c r="F5240" s="1566"/>
      <c r="G5240" s="1566"/>
      <c r="H5240" s="1568">
        <v>1</v>
      </c>
      <c r="I5240" s="1571">
        <v>5</v>
      </c>
      <c r="J5240" s="1566"/>
      <c r="K5240" s="1565">
        <v>63132.93</v>
      </c>
      <c r="L5240" s="1565">
        <v>63132.93</v>
      </c>
      <c r="M5240" s="1564"/>
      <c r="N5240" s="1565">
        <v>63132.93</v>
      </c>
      <c r="O5240" s="1565">
        <v>54738.69</v>
      </c>
      <c r="P5240" s="1565">
        <v>6295.68</v>
      </c>
      <c r="Q5240" s="1565">
        <v>2098.56</v>
      </c>
      <c r="R5240" s="1565">
        <v>8394.24</v>
      </c>
      <c r="S5240" s="1562"/>
    </row>
    <row r="5241" spans="2:19" ht="21.75" customHeight="1" outlineLevel="1">
      <c r="B5241" s="1569" t="s">
        <v>7184</v>
      </c>
      <c r="C5241" s="1566" t="s">
        <v>3295</v>
      </c>
      <c r="D5241" s="1566" t="s">
        <v>7183</v>
      </c>
      <c r="E5241" s="1566" t="s">
        <v>2208</v>
      </c>
      <c r="F5241" s="1566"/>
      <c r="G5241" s="1566"/>
      <c r="H5241" s="1568">
        <v>1</v>
      </c>
      <c r="I5241" s="1571">
        <v>12</v>
      </c>
      <c r="J5241" s="1566"/>
      <c r="K5241" s="1565">
        <v>307121.44</v>
      </c>
      <c r="L5241" s="1565">
        <v>307121.44</v>
      </c>
      <c r="M5241" s="1564"/>
      <c r="N5241" s="1565">
        <v>307121.44</v>
      </c>
      <c r="O5241" s="1565">
        <v>266285.44</v>
      </c>
      <c r="P5241" s="1565">
        <v>30627</v>
      </c>
      <c r="Q5241" s="1565">
        <v>10209</v>
      </c>
      <c r="R5241" s="1565">
        <v>40836</v>
      </c>
      <c r="S5241" s="1562"/>
    </row>
    <row r="5242" spans="2:19" ht="21.75" customHeight="1" outlineLevel="1">
      <c r="B5242" s="1569" t="s">
        <v>7182</v>
      </c>
      <c r="C5242" s="1566" t="s">
        <v>3290</v>
      </c>
      <c r="D5242" s="1566" t="s">
        <v>7181</v>
      </c>
      <c r="E5242" s="1566" t="s">
        <v>2266</v>
      </c>
      <c r="F5242" s="1566"/>
      <c r="G5242" s="1566"/>
      <c r="H5242" s="1568">
        <v>1</v>
      </c>
      <c r="I5242" s="1570">
        <v>42.5</v>
      </c>
      <c r="J5242" s="1566"/>
      <c r="K5242" s="1565">
        <v>157532.24</v>
      </c>
      <c r="L5242" s="1565">
        <v>157532.24</v>
      </c>
      <c r="M5242" s="1564"/>
      <c r="N5242" s="1565">
        <v>157532.24</v>
      </c>
      <c r="O5242" s="1565">
        <v>136586</v>
      </c>
      <c r="P5242" s="1565">
        <v>15709.68</v>
      </c>
      <c r="Q5242" s="1565">
        <v>5236.5600000000004</v>
      </c>
      <c r="R5242" s="1565">
        <v>20946.240000000002</v>
      </c>
      <c r="S5242" s="1562"/>
    </row>
    <row r="5243" spans="2:19" ht="11.25" customHeight="1" outlineLevel="1">
      <c r="B5243" s="1569" t="s">
        <v>7180</v>
      </c>
      <c r="C5243" s="1566" t="s">
        <v>7179</v>
      </c>
      <c r="D5243" s="1566" t="s">
        <v>7178</v>
      </c>
      <c r="E5243" s="1566" t="s">
        <v>2288</v>
      </c>
      <c r="F5243" s="1566" t="s">
        <v>7177</v>
      </c>
      <c r="G5243" s="1566"/>
      <c r="H5243" s="1568">
        <v>3</v>
      </c>
      <c r="I5243" s="1566"/>
      <c r="J5243" s="1566"/>
      <c r="K5243" s="1565">
        <v>95833.33</v>
      </c>
      <c r="L5243" s="1565">
        <v>95833.33</v>
      </c>
      <c r="M5243" s="1565">
        <v>-95833.33</v>
      </c>
      <c r="N5243" s="1564"/>
      <c r="O5243" s="1564"/>
      <c r="P5243" s="1565">
        <v>95833.33</v>
      </c>
      <c r="Q5243" s="1565">
        <v>-95833.33</v>
      </c>
      <c r="R5243" s="1564"/>
      <c r="S5243" s="1562"/>
    </row>
    <row r="5244" spans="2:19" ht="21.75" customHeight="1" outlineLevel="1">
      <c r="B5244" s="1569" t="s">
        <v>7176</v>
      </c>
      <c r="C5244" s="1566" t="s">
        <v>7175</v>
      </c>
      <c r="D5244" s="1566" t="s">
        <v>7174</v>
      </c>
      <c r="E5244" s="1566" t="s">
        <v>2208</v>
      </c>
      <c r="F5244" s="1566"/>
      <c r="G5244" s="1566"/>
      <c r="H5244" s="1568">
        <v>1</v>
      </c>
      <c r="I5244" s="1570">
        <v>3.5</v>
      </c>
      <c r="J5244" s="1566"/>
      <c r="K5244" s="1565">
        <v>56161.25</v>
      </c>
      <c r="L5244" s="1565">
        <v>56161.25</v>
      </c>
      <c r="M5244" s="1564"/>
      <c r="N5244" s="1565">
        <v>56161.25</v>
      </c>
      <c r="O5244" s="1565">
        <v>49160.6</v>
      </c>
      <c r="P5244" s="1565">
        <v>5133.8100000000004</v>
      </c>
      <c r="Q5244" s="1565">
        <v>1866.84</v>
      </c>
      <c r="R5244" s="1565">
        <v>7000.65</v>
      </c>
      <c r="S5244" s="1562"/>
    </row>
    <row r="5245" spans="2:19" ht="21.75" customHeight="1" outlineLevel="1">
      <c r="B5245" s="1569" t="s">
        <v>7173</v>
      </c>
      <c r="C5245" s="1566" t="s">
        <v>7172</v>
      </c>
      <c r="D5245" s="1566" t="s">
        <v>7171</v>
      </c>
      <c r="E5245" s="1566" t="s">
        <v>2208</v>
      </c>
      <c r="F5245" s="1566"/>
      <c r="G5245" s="1566"/>
      <c r="H5245" s="1568">
        <v>1</v>
      </c>
      <c r="I5245" s="1570">
        <v>16.5</v>
      </c>
      <c r="J5245" s="1566"/>
      <c r="K5245" s="1565">
        <v>156705.28</v>
      </c>
      <c r="L5245" s="1565">
        <v>156705.28</v>
      </c>
      <c r="M5245" s="1564"/>
      <c r="N5245" s="1565">
        <v>156705.28</v>
      </c>
      <c r="O5245" s="1565">
        <v>137171.23000000001</v>
      </c>
      <c r="P5245" s="1565">
        <v>14324.97</v>
      </c>
      <c r="Q5245" s="1565">
        <v>5209.08</v>
      </c>
      <c r="R5245" s="1565">
        <v>19534.05</v>
      </c>
      <c r="S5245" s="1562"/>
    </row>
    <row r="5246" spans="2:19" ht="11.25" customHeight="1" outlineLevel="1">
      <c r="B5246" s="1569" t="s">
        <v>7170</v>
      </c>
      <c r="C5246" s="1566" t="s">
        <v>7169</v>
      </c>
      <c r="D5246" s="1566" t="s">
        <v>7168</v>
      </c>
      <c r="E5246" s="1566" t="s">
        <v>2219</v>
      </c>
      <c r="F5246" s="1566" t="s">
        <v>7167</v>
      </c>
      <c r="G5246" s="1566"/>
      <c r="H5246" s="1568">
        <v>1</v>
      </c>
      <c r="I5246" s="1571">
        <v>2115</v>
      </c>
      <c r="J5246" s="1566"/>
      <c r="K5246" s="1565">
        <v>8489717.6899999995</v>
      </c>
      <c r="L5246" s="1565">
        <v>8489717.6899999995</v>
      </c>
      <c r="M5246" s="1564"/>
      <c r="N5246" s="1565">
        <v>8489717.6899999995</v>
      </c>
      <c r="O5246" s="1565">
        <v>7454960.0099999998</v>
      </c>
      <c r="P5246" s="1565">
        <v>752551.04</v>
      </c>
      <c r="Q5246" s="1565">
        <v>282206.64</v>
      </c>
      <c r="R5246" s="1565">
        <v>1034757.68</v>
      </c>
      <c r="S5246" s="1562"/>
    </row>
    <row r="5247" spans="2:19" ht="21.75" customHeight="1" outlineLevel="1">
      <c r="B5247" s="1569" t="s">
        <v>7166</v>
      </c>
      <c r="C5247" s="1566" t="s">
        <v>3278</v>
      </c>
      <c r="D5247" s="1566" t="s">
        <v>7165</v>
      </c>
      <c r="E5247" s="1566" t="s">
        <v>2266</v>
      </c>
      <c r="F5247" s="1566"/>
      <c r="G5247" s="1566"/>
      <c r="H5247" s="1568">
        <v>1</v>
      </c>
      <c r="I5247" s="1571">
        <v>14</v>
      </c>
      <c r="J5247" s="1566"/>
      <c r="K5247" s="1565">
        <v>278583.40000000002</v>
      </c>
      <c r="L5247" s="1565">
        <v>278583.40000000002</v>
      </c>
      <c r="M5247" s="1564"/>
      <c r="N5247" s="1565">
        <v>278583.40000000002</v>
      </c>
      <c r="O5247" s="1565">
        <v>245400.3</v>
      </c>
      <c r="P5247" s="1565">
        <v>23922.7</v>
      </c>
      <c r="Q5247" s="1565">
        <v>9260.4</v>
      </c>
      <c r="R5247" s="1565">
        <v>33183.1</v>
      </c>
      <c r="S5247" s="1562"/>
    </row>
    <row r="5248" spans="2:19" ht="21.75" customHeight="1" outlineLevel="1">
      <c r="B5248" s="1569" t="s">
        <v>7164</v>
      </c>
      <c r="C5248" s="1566" t="s">
        <v>3278</v>
      </c>
      <c r="D5248" s="1566" t="s">
        <v>7163</v>
      </c>
      <c r="E5248" s="1566" t="s">
        <v>2208</v>
      </c>
      <c r="F5248" s="1566"/>
      <c r="G5248" s="1566"/>
      <c r="H5248" s="1568">
        <v>1</v>
      </c>
      <c r="I5248" s="1571">
        <v>9</v>
      </c>
      <c r="J5248" s="1566"/>
      <c r="K5248" s="1565">
        <v>123165.73</v>
      </c>
      <c r="L5248" s="1565">
        <v>123165.73</v>
      </c>
      <c r="M5248" s="1564"/>
      <c r="N5248" s="1565">
        <v>123165.73</v>
      </c>
      <c r="O5248" s="1565">
        <v>108494.99</v>
      </c>
      <c r="P5248" s="1565">
        <v>10576.58</v>
      </c>
      <c r="Q5248" s="1565">
        <v>4094.16</v>
      </c>
      <c r="R5248" s="1565">
        <v>14670.74</v>
      </c>
      <c r="S5248" s="1562"/>
    </row>
    <row r="5249" spans="2:19" ht="11.25" customHeight="1" outlineLevel="1">
      <c r="B5249" s="1569" t="s">
        <v>7162</v>
      </c>
      <c r="C5249" s="1566" t="s">
        <v>7161</v>
      </c>
      <c r="D5249" s="1566" t="s">
        <v>7160</v>
      </c>
      <c r="E5249" s="1566" t="s">
        <v>2288</v>
      </c>
      <c r="F5249" s="1566" t="s">
        <v>7159</v>
      </c>
      <c r="G5249" s="1566"/>
      <c r="H5249" s="1568">
        <v>3</v>
      </c>
      <c r="I5249" s="1566"/>
      <c r="J5249" s="1566"/>
      <c r="K5249" s="1565">
        <v>111862.5</v>
      </c>
      <c r="L5249" s="1565">
        <v>111862.5</v>
      </c>
      <c r="M5249" s="1564"/>
      <c r="N5249" s="1565">
        <v>111862.5</v>
      </c>
      <c r="O5249" s="1565">
        <v>5157.7</v>
      </c>
      <c r="P5249" s="1565">
        <v>79901.7</v>
      </c>
      <c r="Q5249" s="1565">
        <v>26803.1</v>
      </c>
      <c r="R5249" s="1565">
        <v>106704.8</v>
      </c>
      <c r="S5249" s="1562"/>
    </row>
    <row r="5250" spans="2:19" ht="21.75" customHeight="1" outlineLevel="1">
      <c r="B5250" s="1569" t="s">
        <v>7158</v>
      </c>
      <c r="C5250" s="1566" t="s">
        <v>3275</v>
      </c>
      <c r="D5250" s="1566" t="s">
        <v>7157</v>
      </c>
      <c r="E5250" s="1566" t="s">
        <v>2208</v>
      </c>
      <c r="F5250" s="1566"/>
      <c r="G5250" s="1566"/>
      <c r="H5250" s="1568">
        <v>1</v>
      </c>
      <c r="I5250" s="1570">
        <v>3.5</v>
      </c>
      <c r="J5250" s="1566"/>
      <c r="K5250" s="1565">
        <v>21491.88</v>
      </c>
      <c r="L5250" s="1565">
        <v>21491.88</v>
      </c>
      <c r="M5250" s="1564"/>
      <c r="N5250" s="1565">
        <v>21491.88</v>
      </c>
      <c r="O5250" s="1565">
        <v>18991.62</v>
      </c>
      <c r="P5250" s="1565">
        <v>1785.9</v>
      </c>
      <c r="Q5250" s="1572">
        <v>714.36</v>
      </c>
      <c r="R5250" s="1565">
        <v>2500.2600000000002</v>
      </c>
      <c r="S5250" s="1562"/>
    </row>
    <row r="5251" spans="2:19" ht="21.75" customHeight="1" outlineLevel="1">
      <c r="B5251" s="1569" t="s">
        <v>7156</v>
      </c>
      <c r="C5251" s="1566" t="s">
        <v>3275</v>
      </c>
      <c r="D5251" s="1566" t="s">
        <v>7155</v>
      </c>
      <c r="E5251" s="1566" t="s">
        <v>2208</v>
      </c>
      <c r="F5251" s="1566"/>
      <c r="G5251" s="1566"/>
      <c r="H5251" s="1568">
        <v>1</v>
      </c>
      <c r="I5251" s="1570">
        <v>8.5</v>
      </c>
      <c r="J5251" s="1566"/>
      <c r="K5251" s="1565">
        <v>91753.15</v>
      </c>
      <c r="L5251" s="1565">
        <v>91753.15</v>
      </c>
      <c r="M5251" s="1564"/>
      <c r="N5251" s="1565">
        <v>91753.15</v>
      </c>
      <c r="O5251" s="1565">
        <v>81078.429999999993</v>
      </c>
      <c r="P5251" s="1565">
        <v>7624.8</v>
      </c>
      <c r="Q5251" s="1565">
        <v>3049.92</v>
      </c>
      <c r="R5251" s="1565">
        <v>10674.72</v>
      </c>
      <c r="S5251" s="1562"/>
    </row>
    <row r="5252" spans="2:19" ht="21.75" customHeight="1" outlineLevel="1">
      <c r="B5252" s="1569" t="s">
        <v>7154</v>
      </c>
      <c r="C5252" s="1566" t="s">
        <v>3275</v>
      </c>
      <c r="D5252" s="1566" t="s">
        <v>7153</v>
      </c>
      <c r="E5252" s="1566" t="s">
        <v>2208</v>
      </c>
      <c r="F5252" s="1566"/>
      <c r="G5252" s="1566"/>
      <c r="H5252" s="1568">
        <v>1</v>
      </c>
      <c r="I5252" s="1571">
        <v>18</v>
      </c>
      <c r="J5252" s="1566"/>
      <c r="K5252" s="1565">
        <v>97339.44</v>
      </c>
      <c r="L5252" s="1565">
        <v>97339.44</v>
      </c>
      <c r="M5252" s="1564"/>
      <c r="N5252" s="1565">
        <v>97339.44</v>
      </c>
      <c r="O5252" s="1565">
        <v>86014.56</v>
      </c>
      <c r="P5252" s="1565">
        <v>8089.2</v>
      </c>
      <c r="Q5252" s="1565">
        <v>3235.68</v>
      </c>
      <c r="R5252" s="1565">
        <v>11324.88</v>
      </c>
      <c r="S5252" s="1562"/>
    </row>
    <row r="5253" spans="2:19" ht="21.75" customHeight="1" outlineLevel="1">
      <c r="B5253" s="1569" t="s">
        <v>7152</v>
      </c>
      <c r="C5253" s="1566" t="s">
        <v>7145</v>
      </c>
      <c r="D5253" s="1566" t="s">
        <v>7151</v>
      </c>
      <c r="E5253" s="1566" t="s">
        <v>2208</v>
      </c>
      <c r="F5253" s="1566"/>
      <c r="G5253" s="1566" t="s">
        <v>7150</v>
      </c>
      <c r="H5253" s="1568">
        <v>1</v>
      </c>
      <c r="I5253" s="1571">
        <v>6</v>
      </c>
      <c r="J5253" s="1566"/>
      <c r="K5253" s="1565">
        <v>22319.439999999999</v>
      </c>
      <c r="L5253" s="1565">
        <v>22319.439999999999</v>
      </c>
      <c r="M5253" s="1564"/>
      <c r="N5253" s="1565">
        <v>22319.439999999999</v>
      </c>
      <c r="O5253" s="1565">
        <v>19784.41</v>
      </c>
      <c r="P5253" s="1565">
        <v>1793.07</v>
      </c>
      <c r="Q5253" s="1572">
        <v>741.96</v>
      </c>
      <c r="R5253" s="1565">
        <v>2535.0300000000002</v>
      </c>
      <c r="S5253" s="1562"/>
    </row>
    <row r="5254" spans="2:19" ht="21.75" customHeight="1" outlineLevel="1">
      <c r="B5254" s="1569" t="s">
        <v>7149</v>
      </c>
      <c r="C5254" s="1566" t="s">
        <v>7145</v>
      </c>
      <c r="D5254" s="1566" t="s">
        <v>7148</v>
      </c>
      <c r="E5254" s="1566" t="s">
        <v>2208</v>
      </c>
      <c r="F5254" s="1566"/>
      <c r="G5254" s="1566" t="s">
        <v>7147</v>
      </c>
      <c r="H5254" s="1568">
        <v>1</v>
      </c>
      <c r="I5254" s="1571">
        <v>3</v>
      </c>
      <c r="J5254" s="1566"/>
      <c r="K5254" s="1565">
        <v>22234.77</v>
      </c>
      <c r="L5254" s="1565">
        <v>22234.77</v>
      </c>
      <c r="M5254" s="1564"/>
      <c r="N5254" s="1565">
        <v>22234.77</v>
      </c>
      <c r="O5254" s="1565">
        <v>19709.580000000002</v>
      </c>
      <c r="P5254" s="1565">
        <v>1786.11</v>
      </c>
      <c r="Q5254" s="1572">
        <v>739.08</v>
      </c>
      <c r="R5254" s="1565">
        <v>2525.19</v>
      </c>
      <c r="S5254" s="1562"/>
    </row>
    <row r="5255" spans="2:19" ht="21.75" customHeight="1" outlineLevel="1">
      <c r="B5255" s="1569" t="s">
        <v>7146</v>
      </c>
      <c r="C5255" s="1566" t="s">
        <v>7145</v>
      </c>
      <c r="D5255" s="1566" t="s">
        <v>7144</v>
      </c>
      <c r="E5255" s="1566" t="s">
        <v>2208</v>
      </c>
      <c r="F5255" s="1566"/>
      <c r="G5255" s="1566" t="s">
        <v>7143</v>
      </c>
      <c r="H5255" s="1568">
        <v>1</v>
      </c>
      <c r="I5255" s="1571">
        <v>38</v>
      </c>
      <c r="J5255" s="1566"/>
      <c r="K5255" s="1565">
        <v>128321.62</v>
      </c>
      <c r="L5255" s="1565">
        <v>128321.62</v>
      </c>
      <c r="M5255" s="1564"/>
      <c r="N5255" s="1565">
        <v>128321.62</v>
      </c>
      <c r="O5255" s="1565">
        <v>113747.76</v>
      </c>
      <c r="P5255" s="1565">
        <v>10308.34</v>
      </c>
      <c r="Q5255" s="1565">
        <v>4265.5200000000004</v>
      </c>
      <c r="R5255" s="1565">
        <v>14573.86</v>
      </c>
      <c r="S5255" s="1562"/>
    </row>
    <row r="5256" spans="2:19" ht="21.75" customHeight="1" outlineLevel="1">
      <c r="B5256" s="1569" t="s">
        <v>7142</v>
      </c>
      <c r="C5256" s="1566" t="s">
        <v>3266</v>
      </c>
      <c r="D5256" s="1566" t="s">
        <v>7141</v>
      </c>
      <c r="E5256" s="1566" t="s">
        <v>2219</v>
      </c>
      <c r="F5256" s="1566" t="s">
        <v>3264</v>
      </c>
      <c r="G5256" s="1566"/>
      <c r="H5256" s="1568">
        <v>1</v>
      </c>
      <c r="I5256" s="1571">
        <v>3280</v>
      </c>
      <c r="J5256" s="1566"/>
      <c r="K5256" s="1565">
        <v>58586848.450000003</v>
      </c>
      <c r="L5256" s="1565">
        <v>58586848.450000003</v>
      </c>
      <c r="M5256" s="1564"/>
      <c r="N5256" s="1565">
        <v>58586848.450000003</v>
      </c>
      <c r="O5256" s="1565">
        <v>52095230.850000001</v>
      </c>
      <c r="P5256" s="1565">
        <v>4544132.32</v>
      </c>
      <c r="Q5256" s="1565">
        <v>1947485.28</v>
      </c>
      <c r="R5256" s="1565">
        <v>6491617.5999999996</v>
      </c>
      <c r="S5256" s="1562"/>
    </row>
    <row r="5257" spans="2:19" ht="11.25" customHeight="1" outlineLevel="1">
      <c r="B5257" s="1569" t="s">
        <v>7140</v>
      </c>
      <c r="C5257" s="1566" t="s">
        <v>3266</v>
      </c>
      <c r="D5257" s="1566" t="s">
        <v>7139</v>
      </c>
      <c r="E5257" s="1566" t="s">
        <v>2219</v>
      </c>
      <c r="F5257" s="1566" t="s">
        <v>3264</v>
      </c>
      <c r="G5257" s="1566"/>
      <c r="H5257" s="1568">
        <v>1</v>
      </c>
      <c r="I5257" s="1571">
        <v>1639</v>
      </c>
      <c r="J5257" s="1566"/>
      <c r="K5257" s="1565">
        <v>17187261.890000001</v>
      </c>
      <c r="L5257" s="1565">
        <v>17187261.890000001</v>
      </c>
      <c r="M5257" s="1564"/>
      <c r="N5257" s="1565">
        <v>17187261.890000001</v>
      </c>
      <c r="O5257" s="1565">
        <v>15282856.289999999</v>
      </c>
      <c r="P5257" s="1565">
        <v>1333083.92</v>
      </c>
      <c r="Q5257" s="1565">
        <v>571321.68000000005</v>
      </c>
      <c r="R5257" s="1565">
        <v>1904405.6</v>
      </c>
      <c r="S5257" s="1562"/>
    </row>
    <row r="5258" spans="2:19" ht="11.25" customHeight="1" outlineLevel="1">
      <c r="B5258" s="1569" t="s">
        <v>7138</v>
      </c>
      <c r="C5258" s="1566" t="s">
        <v>3266</v>
      </c>
      <c r="D5258" s="1566" t="s">
        <v>7137</v>
      </c>
      <c r="E5258" s="1566" t="s">
        <v>2219</v>
      </c>
      <c r="F5258" s="1566" t="s">
        <v>3264</v>
      </c>
      <c r="G5258" s="1566"/>
      <c r="H5258" s="1568">
        <v>1</v>
      </c>
      <c r="I5258" s="1566"/>
      <c r="J5258" s="1566"/>
      <c r="K5258" s="1565">
        <v>17985689.98</v>
      </c>
      <c r="L5258" s="1565">
        <v>17985689.98</v>
      </c>
      <c r="M5258" s="1564"/>
      <c r="N5258" s="1565">
        <v>17985689.98</v>
      </c>
      <c r="O5258" s="1565">
        <v>15992815.58</v>
      </c>
      <c r="P5258" s="1565">
        <v>1395012.08</v>
      </c>
      <c r="Q5258" s="1565">
        <v>597862.31999999995</v>
      </c>
      <c r="R5258" s="1565">
        <v>1992874.4</v>
      </c>
      <c r="S5258" s="1562"/>
    </row>
    <row r="5259" spans="2:19" ht="21.75" customHeight="1" outlineLevel="1">
      <c r="B5259" s="1569" t="s">
        <v>7136</v>
      </c>
      <c r="C5259" s="1566" t="s">
        <v>7133</v>
      </c>
      <c r="D5259" s="1566" t="s">
        <v>7135</v>
      </c>
      <c r="E5259" s="1566" t="s">
        <v>2208</v>
      </c>
      <c r="F5259" s="1566"/>
      <c r="G5259" s="1566"/>
      <c r="H5259" s="1568">
        <v>1</v>
      </c>
      <c r="I5259" s="1570">
        <v>8.5</v>
      </c>
      <c r="J5259" s="1566"/>
      <c r="K5259" s="1565">
        <v>39695</v>
      </c>
      <c r="L5259" s="1565">
        <v>39695</v>
      </c>
      <c r="M5259" s="1564"/>
      <c r="N5259" s="1565">
        <v>39695</v>
      </c>
      <c r="O5259" s="1565">
        <v>35296.6</v>
      </c>
      <c r="P5259" s="1565">
        <v>3078.88</v>
      </c>
      <c r="Q5259" s="1565">
        <v>1319.52</v>
      </c>
      <c r="R5259" s="1565">
        <v>4398.3999999999996</v>
      </c>
      <c r="S5259" s="1562"/>
    </row>
    <row r="5260" spans="2:19" ht="21.75" customHeight="1" outlineLevel="1">
      <c r="B5260" s="1569" t="s">
        <v>7134</v>
      </c>
      <c r="C5260" s="1566" t="s">
        <v>7133</v>
      </c>
      <c r="D5260" s="1566" t="s">
        <v>7132</v>
      </c>
      <c r="E5260" s="1566" t="s">
        <v>2208</v>
      </c>
      <c r="F5260" s="1566"/>
      <c r="G5260" s="1566"/>
      <c r="H5260" s="1568">
        <v>1</v>
      </c>
      <c r="I5260" s="1571">
        <v>13</v>
      </c>
      <c r="J5260" s="1566"/>
      <c r="K5260" s="1565">
        <v>49132.160000000003</v>
      </c>
      <c r="L5260" s="1565">
        <v>49132.160000000003</v>
      </c>
      <c r="M5260" s="1564"/>
      <c r="N5260" s="1565">
        <v>49132.160000000003</v>
      </c>
      <c r="O5260" s="1565">
        <v>43688.160000000003</v>
      </c>
      <c r="P5260" s="1565">
        <v>3810.8</v>
      </c>
      <c r="Q5260" s="1565">
        <v>1633.2</v>
      </c>
      <c r="R5260" s="1565">
        <v>5444</v>
      </c>
      <c r="S5260" s="1562"/>
    </row>
    <row r="5261" spans="2:19" ht="21.75" customHeight="1" outlineLevel="1">
      <c r="B5261" s="1569" t="s">
        <v>7131</v>
      </c>
      <c r="C5261" s="1566" t="s">
        <v>3262</v>
      </c>
      <c r="D5261" s="1566" t="s">
        <v>7130</v>
      </c>
      <c r="E5261" s="1566" t="s">
        <v>2208</v>
      </c>
      <c r="F5261" s="1566"/>
      <c r="G5261" s="1566"/>
      <c r="H5261" s="1568">
        <v>1</v>
      </c>
      <c r="I5261" s="1566"/>
      <c r="J5261" s="1566"/>
      <c r="K5261" s="1565">
        <v>1074.52</v>
      </c>
      <c r="L5261" s="1565">
        <v>1074.52</v>
      </c>
      <c r="M5261" s="1564"/>
      <c r="N5261" s="1565">
        <v>1074.52</v>
      </c>
      <c r="O5261" s="1572">
        <v>958.3</v>
      </c>
      <c r="P5261" s="1572">
        <v>80.459999999999994</v>
      </c>
      <c r="Q5261" s="1572">
        <v>35.76</v>
      </c>
      <c r="R5261" s="1572">
        <v>116.22</v>
      </c>
      <c r="S5261" s="1562"/>
    </row>
    <row r="5262" spans="2:19" ht="21.75" customHeight="1" outlineLevel="1">
      <c r="B5262" s="1569" t="s">
        <v>7129</v>
      </c>
      <c r="C5262" s="1566" t="s">
        <v>3262</v>
      </c>
      <c r="D5262" s="1566" t="s">
        <v>7128</v>
      </c>
      <c r="E5262" s="1566" t="s">
        <v>2208</v>
      </c>
      <c r="F5262" s="1566"/>
      <c r="G5262" s="1566"/>
      <c r="H5262" s="1568">
        <v>1</v>
      </c>
      <c r="I5262" s="1566"/>
      <c r="J5262" s="1566"/>
      <c r="K5262" s="1565">
        <v>39744.35</v>
      </c>
      <c r="L5262" s="1565">
        <v>39744.35</v>
      </c>
      <c r="M5262" s="1564"/>
      <c r="N5262" s="1565">
        <v>39744.35</v>
      </c>
      <c r="O5262" s="1565">
        <v>35450.57</v>
      </c>
      <c r="P5262" s="1565">
        <v>2972.7</v>
      </c>
      <c r="Q5262" s="1565">
        <v>1321.08</v>
      </c>
      <c r="R5262" s="1565">
        <v>4293.78</v>
      </c>
      <c r="S5262" s="1562"/>
    </row>
    <row r="5263" spans="2:19" ht="21.75" customHeight="1" outlineLevel="1">
      <c r="B5263" s="1569" t="s">
        <v>7127</v>
      </c>
      <c r="C5263" s="1566" t="s">
        <v>3262</v>
      </c>
      <c r="D5263" s="1566" t="s">
        <v>7126</v>
      </c>
      <c r="E5263" s="1566" t="s">
        <v>2208</v>
      </c>
      <c r="F5263" s="1566"/>
      <c r="G5263" s="1566"/>
      <c r="H5263" s="1568">
        <v>1</v>
      </c>
      <c r="I5263" s="1566"/>
      <c r="J5263" s="1566"/>
      <c r="K5263" s="1565">
        <v>20622</v>
      </c>
      <c r="L5263" s="1565">
        <v>20622</v>
      </c>
      <c r="M5263" s="1564"/>
      <c r="N5263" s="1565">
        <v>20622</v>
      </c>
      <c r="O5263" s="1565">
        <v>18394.25</v>
      </c>
      <c r="P5263" s="1565">
        <v>1542.24</v>
      </c>
      <c r="Q5263" s="1572">
        <v>685.51</v>
      </c>
      <c r="R5263" s="1565">
        <v>2227.75</v>
      </c>
      <c r="S5263" s="1562"/>
    </row>
    <row r="5264" spans="2:19" ht="11.25" customHeight="1" outlineLevel="1">
      <c r="B5264" s="1569" t="s">
        <v>7125</v>
      </c>
      <c r="C5264" s="1566" t="s">
        <v>3257</v>
      </c>
      <c r="D5264" s="1566" t="s">
        <v>7124</v>
      </c>
      <c r="E5264" s="1566" t="s">
        <v>2266</v>
      </c>
      <c r="F5264" s="1566"/>
      <c r="G5264" s="1566"/>
      <c r="H5264" s="1568">
        <v>1</v>
      </c>
      <c r="I5264" s="1571">
        <v>45</v>
      </c>
      <c r="J5264" s="1566"/>
      <c r="K5264" s="1565">
        <v>126889.57</v>
      </c>
      <c r="L5264" s="1565">
        <v>126889.57</v>
      </c>
      <c r="M5264" s="1564"/>
      <c r="N5264" s="1565">
        <v>126889.57</v>
      </c>
      <c r="O5264" s="1565">
        <v>113532.88</v>
      </c>
      <c r="P5264" s="1565">
        <v>9138.74</v>
      </c>
      <c r="Q5264" s="1565">
        <v>4217.95</v>
      </c>
      <c r="R5264" s="1565">
        <v>13356.69</v>
      </c>
      <c r="S5264" s="1562"/>
    </row>
    <row r="5265" spans="2:19" ht="21.75" customHeight="1" outlineLevel="1">
      <c r="B5265" s="1569" t="s">
        <v>7123</v>
      </c>
      <c r="C5265" s="1566" t="s">
        <v>3257</v>
      </c>
      <c r="D5265" s="1566" t="s">
        <v>7122</v>
      </c>
      <c r="E5265" s="1566" t="s">
        <v>2208</v>
      </c>
      <c r="F5265" s="1566"/>
      <c r="G5265" s="1566"/>
      <c r="H5265" s="1568">
        <v>1</v>
      </c>
      <c r="I5265" s="1571">
        <v>95</v>
      </c>
      <c r="J5265" s="1566"/>
      <c r="K5265" s="1565">
        <v>12636.12</v>
      </c>
      <c r="L5265" s="1565">
        <v>12636.12</v>
      </c>
      <c r="M5265" s="1564"/>
      <c r="N5265" s="1565">
        <v>12636.12</v>
      </c>
      <c r="O5265" s="1565">
        <v>11306.12</v>
      </c>
      <c r="P5265" s="1572">
        <v>910</v>
      </c>
      <c r="Q5265" s="1572">
        <v>420</v>
      </c>
      <c r="R5265" s="1565">
        <v>1330</v>
      </c>
      <c r="S5265" s="1562"/>
    </row>
    <row r="5266" spans="2:19" ht="21.75" customHeight="1" outlineLevel="1">
      <c r="B5266" s="1569" t="s">
        <v>7121</v>
      </c>
      <c r="C5266" s="1566" t="s">
        <v>3257</v>
      </c>
      <c r="D5266" s="1566" t="s">
        <v>7120</v>
      </c>
      <c r="E5266" s="1566" t="s">
        <v>2208</v>
      </c>
      <c r="F5266" s="1566"/>
      <c r="G5266" s="1566"/>
      <c r="H5266" s="1568">
        <v>1</v>
      </c>
      <c r="I5266" s="1570">
        <v>68.5</v>
      </c>
      <c r="J5266" s="1566"/>
      <c r="K5266" s="1565">
        <v>254715.69</v>
      </c>
      <c r="L5266" s="1565">
        <v>254715.69</v>
      </c>
      <c r="M5266" s="1564"/>
      <c r="N5266" s="1565">
        <v>254715.69</v>
      </c>
      <c r="O5266" s="1565">
        <v>227903.65</v>
      </c>
      <c r="P5266" s="1565">
        <v>18345.080000000002</v>
      </c>
      <c r="Q5266" s="1565">
        <v>8466.9599999999991</v>
      </c>
      <c r="R5266" s="1565">
        <v>26812.04</v>
      </c>
      <c r="S5266" s="1562"/>
    </row>
    <row r="5267" spans="2:19" ht="21.75" customHeight="1" outlineLevel="1">
      <c r="B5267" s="1569" t="s">
        <v>7119</v>
      </c>
      <c r="C5267" s="1566" t="s">
        <v>3257</v>
      </c>
      <c r="D5267" s="1566" t="s">
        <v>7118</v>
      </c>
      <c r="E5267" s="1566" t="s">
        <v>2208</v>
      </c>
      <c r="F5267" s="1566"/>
      <c r="G5267" s="1566"/>
      <c r="H5267" s="1568">
        <v>1</v>
      </c>
      <c r="I5267" s="1570">
        <v>2.5</v>
      </c>
      <c r="J5267" s="1566"/>
      <c r="K5267" s="1565">
        <v>26175.27</v>
      </c>
      <c r="L5267" s="1565">
        <v>26175.27</v>
      </c>
      <c r="M5267" s="1564"/>
      <c r="N5267" s="1565">
        <v>26175.27</v>
      </c>
      <c r="O5267" s="1565">
        <v>23419.89</v>
      </c>
      <c r="P5267" s="1565">
        <v>1885.26</v>
      </c>
      <c r="Q5267" s="1572">
        <v>870.12</v>
      </c>
      <c r="R5267" s="1565">
        <v>2755.38</v>
      </c>
      <c r="S5267" s="1562"/>
    </row>
    <row r="5268" spans="2:19" ht="21.75" customHeight="1" outlineLevel="1">
      <c r="B5268" s="1569" t="s">
        <v>7117</v>
      </c>
      <c r="C5268" s="1566" t="s">
        <v>3257</v>
      </c>
      <c r="D5268" s="1566" t="s">
        <v>7116</v>
      </c>
      <c r="E5268" s="1566" t="s">
        <v>2208</v>
      </c>
      <c r="F5268" s="1566"/>
      <c r="G5268" s="1566"/>
      <c r="H5268" s="1568">
        <v>1</v>
      </c>
      <c r="I5268" s="1570">
        <v>3.5</v>
      </c>
      <c r="J5268" s="1566"/>
      <c r="K5268" s="1565">
        <v>33306.44</v>
      </c>
      <c r="L5268" s="1565">
        <v>33306.44</v>
      </c>
      <c r="M5268" s="1564"/>
      <c r="N5268" s="1565">
        <v>33306.44</v>
      </c>
      <c r="O5268" s="1565">
        <v>29800.560000000001</v>
      </c>
      <c r="P5268" s="1565">
        <v>2398.7600000000002</v>
      </c>
      <c r="Q5268" s="1565">
        <v>1107.1199999999999</v>
      </c>
      <c r="R5268" s="1565">
        <v>3505.88</v>
      </c>
      <c r="S5268" s="1562"/>
    </row>
    <row r="5269" spans="2:19" ht="21.75" customHeight="1" outlineLevel="1">
      <c r="B5269" s="1569" t="s">
        <v>7115</v>
      </c>
      <c r="C5269" s="1566" t="s">
        <v>3257</v>
      </c>
      <c r="D5269" s="1566" t="s">
        <v>7114</v>
      </c>
      <c r="E5269" s="1566" t="s">
        <v>2208</v>
      </c>
      <c r="F5269" s="1566"/>
      <c r="G5269" s="1566"/>
      <c r="H5269" s="1568">
        <v>1</v>
      </c>
      <c r="I5269" s="1571">
        <v>47</v>
      </c>
      <c r="J5269" s="1566"/>
      <c r="K5269" s="1565">
        <v>266325.57</v>
      </c>
      <c r="L5269" s="1565">
        <v>266325.57</v>
      </c>
      <c r="M5269" s="1564"/>
      <c r="N5269" s="1565">
        <v>266325.57</v>
      </c>
      <c r="O5269" s="1565">
        <v>238291.45</v>
      </c>
      <c r="P5269" s="1565">
        <v>19181.240000000002</v>
      </c>
      <c r="Q5269" s="1565">
        <v>8852.8799999999992</v>
      </c>
      <c r="R5269" s="1565">
        <v>28034.12</v>
      </c>
      <c r="S5269" s="1562"/>
    </row>
    <row r="5270" spans="2:19" ht="21.75" customHeight="1" outlineLevel="1">
      <c r="B5270" s="1569" t="s">
        <v>7113</v>
      </c>
      <c r="C5270" s="1566" t="s">
        <v>3257</v>
      </c>
      <c r="D5270" s="1566" t="s">
        <v>7112</v>
      </c>
      <c r="E5270" s="1566" t="s">
        <v>2266</v>
      </c>
      <c r="F5270" s="1566"/>
      <c r="G5270" s="1566"/>
      <c r="H5270" s="1568">
        <v>1</v>
      </c>
      <c r="I5270" s="1571">
        <v>148</v>
      </c>
      <c r="J5270" s="1566"/>
      <c r="K5270" s="1565">
        <v>1070319.6499999999</v>
      </c>
      <c r="L5270" s="1565">
        <v>1070319.6499999999</v>
      </c>
      <c r="M5270" s="1564"/>
      <c r="N5270" s="1565">
        <v>1070319.6499999999</v>
      </c>
      <c r="O5270" s="1565">
        <v>957654.59</v>
      </c>
      <c r="P5270" s="1565">
        <v>77086.62</v>
      </c>
      <c r="Q5270" s="1565">
        <v>35578.44</v>
      </c>
      <c r="R5270" s="1565">
        <v>112665.06</v>
      </c>
      <c r="S5270" s="1562"/>
    </row>
    <row r="5271" spans="2:19" ht="21.75" customHeight="1" outlineLevel="1">
      <c r="B5271" s="1569" t="s">
        <v>7111</v>
      </c>
      <c r="C5271" s="1566" t="s">
        <v>3257</v>
      </c>
      <c r="D5271" s="1566" t="s">
        <v>7110</v>
      </c>
      <c r="E5271" s="1566" t="s">
        <v>2208</v>
      </c>
      <c r="F5271" s="1566"/>
      <c r="G5271" s="1566"/>
      <c r="H5271" s="1568">
        <v>1</v>
      </c>
      <c r="I5271" s="1570">
        <v>10.5</v>
      </c>
      <c r="J5271" s="1566"/>
      <c r="K5271" s="1565">
        <v>60678.58</v>
      </c>
      <c r="L5271" s="1565">
        <v>60678.58</v>
      </c>
      <c r="M5271" s="1564"/>
      <c r="N5271" s="1565">
        <v>60678.58</v>
      </c>
      <c r="O5271" s="1565">
        <v>54291.45</v>
      </c>
      <c r="P5271" s="1565">
        <v>4370.08</v>
      </c>
      <c r="Q5271" s="1565">
        <v>2017.05</v>
      </c>
      <c r="R5271" s="1565">
        <v>6387.13</v>
      </c>
      <c r="S5271" s="1562"/>
    </row>
    <row r="5272" spans="2:19" ht="21.75" customHeight="1" outlineLevel="1">
      <c r="B5272" s="1569" t="s">
        <v>7109</v>
      </c>
      <c r="C5272" s="1566" t="s">
        <v>7108</v>
      </c>
      <c r="D5272" s="1566" t="s">
        <v>7107</v>
      </c>
      <c r="E5272" s="1566" t="s">
        <v>2266</v>
      </c>
      <c r="F5272" s="1566"/>
      <c r="G5272" s="1566"/>
      <c r="H5272" s="1568">
        <v>1</v>
      </c>
      <c r="I5272" s="1566"/>
      <c r="J5272" s="1566"/>
      <c r="K5272" s="1565">
        <v>118546</v>
      </c>
      <c r="L5272" s="1565">
        <v>118546</v>
      </c>
      <c r="M5272" s="1564"/>
      <c r="N5272" s="1565">
        <v>118546</v>
      </c>
      <c r="O5272" s="1565">
        <v>106395.94</v>
      </c>
      <c r="P5272" s="1565">
        <v>8209.5</v>
      </c>
      <c r="Q5272" s="1565">
        <v>3940.56</v>
      </c>
      <c r="R5272" s="1565">
        <v>12150.06</v>
      </c>
      <c r="S5272" s="1562"/>
    </row>
    <row r="5273" spans="2:19" ht="21.75" customHeight="1" outlineLevel="1">
      <c r="B5273" s="1569" t="s">
        <v>7106</v>
      </c>
      <c r="C5273" s="1566" t="s">
        <v>3248</v>
      </c>
      <c r="D5273" s="1566" t="s">
        <v>7105</v>
      </c>
      <c r="E5273" s="1566" t="s">
        <v>2208</v>
      </c>
      <c r="F5273" s="1566"/>
      <c r="G5273" s="1566"/>
      <c r="H5273" s="1568">
        <v>1</v>
      </c>
      <c r="I5273" s="1571">
        <v>7</v>
      </c>
      <c r="J5273" s="1566"/>
      <c r="K5273" s="1565">
        <v>48034.34</v>
      </c>
      <c r="L5273" s="1565">
        <v>48034.34</v>
      </c>
      <c r="M5273" s="1564"/>
      <c r="N5273" s="1565">
        <v>48034.34</v>
      </c>
      <c r="O5273" s="1565">
        <v>43111.12</v>
      </c>
      <c r="P5273" s="1565">
        <v>3326.5</v>
      </c>
      <c r="Q5273" s="1565">
        <v>1596.72</v>
      </c>
      <c r="R5273" s="1565">
        <v>4923.22</v>
      </c>
      <c r="S5273" s="1562"/>
    </row>
    <row r="5274" spans="2:19" ht="21.75" customHeight="1" outlineLevel="1">
      <c r="B5274" s="1569" t="s">
        <v>7104</v>
      </c>
      <c r="C5274" s="1566" t="s">
        <v>3248</v>
      </c>
      <c r="D5274" s="1566" t="s">
        <v>7103</v>
      </c>
      <c r="E5274" s="1566" t="s">
        <v>2208</v>
      </c>
      <c r="F5274" s="1566"/>
      <c r="G5274" s="1566"/>
      <c r="H5274" s="1568">
        <v>1</v>
      </c>
      <c r="I5274" s="1566"/>
      <c r="J5274" s="1566"/>
      <c r="K5274" s="1565">
        <v>187086.2</v>
      </c>
      <c r="L5274" s="1565">
        <v>187086.2</v>
      </c>
      <c r="M5274" s="1564"/>
      <c r="N5274" s="1565">
        <v>187086.2</v>
      </c>
      <c r="O5274" s="1565">
        <v>167911.32</v>
      </c>
      <c r="P5274" s="1565">
        <v>12956</v>
      </c>
      <c r="Q5274" s="1565">
        <v>6218.88</v>
      </c>
      <c r="R5274" s="1565">
        <v>19174.88</v>
      </c>
      <c r="S5274" s="1562"/>
    </row>
    <row r="5275" spans="2:19" ht="21.75" customHeight="1" outlineLevel="1">
      <c r="B5275" s="1569" t="s">
        <v>7102</v>
      </c>
      <c r="C5275" s="1566" t="s">
        <v>3248</v>
      </c>
      <c r="D5275" s="1566" t="s">
        <v>7101</v>
      </c>
      <c r="E5275" s="1566" t="s">
        <v>2208</v>
      </c>
      <c r="F5275" s="1566"/>
      <c r="G5275" s="1566"/>
      <c r="H5275" s="1568">
        <v>1</v>
      </c>
      <c r="I5275" s="1566"/>
      <c r="J5275" s="1566"/>
      <c r="K5275" s="1565">
        <v>23123.1</v>
      </c>
      <c r="L5275" s="1565">
        <v>23123.1</v>
      </c>
      <c r="M5275" s="1564"/>
      <c r="N5275" s="1565">
        <v>23123.1</v>
      </c>
      <c r="O5275" s="1565">
        <v>20753.25</v>
      </c>
      <c r="P5275" s="1565">
        <v>1601.25</v>
      </c>
      <c r="Q5275" s="1572">
        <v>768.6</v>
      </c>
      <c r="R5275" s="1565">
        <v>2369.85</v>
      </c>
      <c r="S5275" s="1562"/>
    </row>
    <row r="5276" spans="2:19" ht="21.75" customHeight="1" outlineLevel="1">
      <c r="B5276" s="1569" t="s">
        <v>7100</v>
      </c>
      <c r="C5276" s="1566" t="s">
        <v>3248</v>
      </c>
      <c r="D5276" s="1566" t="s">
        <v>7099</v>
      </c>
      <c r="E5276" s="1566" t="s">
        <v>2208</v>
      </c>
      <c r="F5276" s="1566"/>
      <c r="G5276" s="1566"/>
      <c r="H5276" s="1568">
        <v>1</v>
      </c>
      <c r="I5276" s="1566"/>
      <c r="J5276" s="1566"/>
      <c r="K5276" s="1565">
        <v>80775.86</v>
      </c>
      <c r="L5276" s="1565">
        <v>80775.86</v>
      </c>
      <c r="M5276" s="1564"/>
      <c r="N5276" s="1565">
        <v>80775.86</v>
      </c>
      <c r="O5276" s="1565">
        <v>72496.740000000005</v>
      </c>
      <c r="P5276" s="1565">
        <v>5594</v>
      </c>
      <c r="Q5276" s="1565">
        <v>2685.12</v>
      </c>
      <c r="R5276" s="1565">
        <v>8279.1200000000008</v>
      </c>
      <c r="S5276" s="1562"/>
    </row>
    <row r="5277" spans="2:19" ht="21.75" customHeight="1" outlineLevel="1">
      <c r="B5277" s="1569" t="s">
        <v>7098</v>
      </c>
      <c r="C5277" s="1566" t="s">
        <v>3248</v>
      </c>
      <c r="D5277" s="1566" t="s">
        <v>7097</v>
      </c>
      <c r="E5277" s="1566" t="s">
        <v>2208</v>
      </c>
      <c r="F5277" s="1566"/>
      <c r="G5277" s="1566"/>
      <c r="H5277" s="1568">
        <v>1</v>
      </c>
      <c r="I5277" s="1566"/>
      <c r="J5277" s="1566"/>
      <c r="K5277" s="1565">
        <v>47231.3</v>
      </c>
      <c r="L5277" s="1565">
        <v>47231.3</v>
      </c>
      <c r="M5277" s="1564"/>
      <c r="N5277" s="1565">
        <v>47231.3</v>
      </c>
      <c r="O5277" s="1565">
        <v>42390.54</v>
      </c>
      <c r="P5277" s="1565">
        <v>3270.75</v>
      </c>
      <c r="Q5277" s="1565">
        <v>1570.01</v>
      </c>
      <c r="R5277" s="1565">
        <v>4840.76</v>
      </c>
      <c r="S5277" s="1562"/>
    </row>
    <row r="5278" spans="2:19" ht="21.75" customHeight="1" outlineLevel="1">
      <c r="B5278" s="1569" t="s">
        <v>7096</v>
      </c>
      <c r="C5278" s="1566" t="s">
        <v>3248</v>
      </c>
      <c r="D5278" s="1566" t="s">
        <v>7095</v>
      </c>
      <c r="E5278" s="1566" t="s">
        <v>2208</v>
      </c>
      <c r="F5278" s="1566"/>
      <c r="G5278" s="1566"/>
      <c r="H5278" s="1568">
        <v>1</v>
      </c>
      <c r="I5278" s="1566"/>
      <c r="J5278" s="1566"/>
      <c r="K5278" s="1565">
        <v>30452.18</v>
      </c>
      <c r="L5278" s="1565">
        <v>30452.18</v>
      </c>
      <c r="M5278" s="1564"/>
      <c r="N5278" s="1565">
        <v>30452.18</v>
      </c>
      <c r="O5278" s="1565">
        <v>27330.98</v>
      </c>
      <c r="P5278" s="1565">
        <v>2109</v>
      </c>
      <c r="Q5278" s="1565">
        <v>1012.2</v>
      </c>
      <c r="R5278" s="1565">
        <v>3121.2</v>
      </c>
      <c r="S5278" s="1562"/>
    </row>
    <row r="5279" spans="2:19" ht="21.75" customHeight="1" outlineLevel="1">
      <c r="B5279" s="1569" t="s">
        <v>7094</v>
      </c>
      <c r="C5279" s="1566" t="s">
        <v>3239</v>
      </c>
      <c r="D5279" s="1566" t="s">
        <v>7093</v>
      </c>
      <c r="E5279" s="1566" t="s">
        <v>2208</v>
      </c>
      <c r="F5279" s="1566"/>
      <c r="G5279" s="1566"/>
      <c r="H5279" s="1568">
        <v>1</v>
      </c>
      <c r="I5279" s="1570">
        <v>14.5</v>
      </c>
      <c r="J5279" s="1566"/>
      <c r="K5279" s="1565">
        <v>78055.429999999993</v>
      </c>
      <c r="L5279" s="1565">
        <v>78055.429999999993</v>
      </c>
      <c r="M5279" s="1564"/>
      <c r="N5279" s="1565">
        <v>78055.429999999993</v>
      </c>
      <c r="O5279" s="1565">
        <v>70271.509999999995</v>
      </c>
      <c r="P5279" s="1565">
        <v>5189.28</v>
      </c>
      <c r="Q5279" s="1565">
        <v>2594.64</v>
      </c>
      <c r="R5279" s="1565">
        <v>7783.92</v>
      </c>
      <c r="S5279" s="1562"/>
    </row>
    <row r="5280" spans="2:19" ht="21.75" customHeight="1" outlineLevel="1">
      <c r="B5280" s="1569" t="s">
        <v>7092</v>
      </c>
      <c r="C5280" s="1566" t="s">
        <v>3239</v>
      </c>
      <c r="D5280" s="1566" t="s">
        <v>7091</v>
      </c>
      <c r="E5280" s="1566" t="s">
        <v>2208</v>
      </c>
      <c r="F5280" s="1566"/>
      <c r="G5280" s="1566"/>
      <c r="H5280" s="1568">
        <v>1</v>
      </c>
      <c r="I5280" s="1570">
        <v>41.5</v>
      </c>
      <c r="J5280" s="1566"/>
      <c r="K5280" s="1565">
        <v>116863.72</v>
      </c>
      <c r="L5280" s="1565">
        <v>116863.72</v>
      </c>
      <c r="M5280" s="1564"/>
      <c r="N5280" s="1565">
        <v>116863.72</v>
      </c>
      <c r="O5280" s="1565">
        <v>105209.8</v>
      </c>
      <c r="P5280" s="1565">
        <v>7769.28</v>
      </c>
      <c r="Q5280" s="1565">
        <v>3884.64</v>
      </c>
      <c r="R5280" s="1565">
        <v>11653.92</v>
      </c>
      <c r="S5280" s="1562"/>
    </row>
    <row r="5281" spans="2:19" ht="21.75" customHeight="1" outlineLevel="1">
      <c r="B5281" s="1569" t="s">
        <v>7090</v>
      </c>
      <c r="C5281" s="1566" t="s">
        <v>3239</v>
      </c>
      <c r="D5281" s="1566" t="s">
        <v>7089</v>
      </c>
      <c r="E5281" s="1566" t="s">
        <v>2208</v>
      </c>
      <c r="F5281" s="1566"/>
      <c r="G5281" s="1566"/>
      <c r="H5281" s="1568">
        <v>1</v>
      </c>
      <c r="I5281" s="1571">
        <v>6</v>
      </c>
      <c r="J5281" s="1566"/>
      <c r="K5281" s="1565">
        <v>156443.93</v>
      </c>
      <c r="L5281" s="1565">
        <v>156443.93</v>
      </c>
      <c r="M5281" s="1564"/>
      <c r="N5281" s="1565">
        <v>156443.93</v>
      </c>
      <c r="O5281" s="1565">
        <v>140842.97</v>
      </c>
      <c r="P5281" s="1565">
        <v>10400.64</v>
      </c>
      <c r="Q5281" s="1565">
        <v>5200.32</v>
      </c>
      <c r="R5281" s="1565">
        <v>15600.96</v>
      </c>
      <c r="S5281" s="1562"/>
    </row>
    <row r="5282" spans="2:19" ht="21.75" customHeight="1" outlineLevel="1">
      <c r="B5282" s="1569" t="s">
        <v>7088</v>
      </c>
      <c r="C5282" s="1566" t="s">
        <v>3239</v>
      </c>
      <c r="D5282" s="1566" t="s">
        <v>7087</v>
      </c>
      <c r="E5282" s="1566" t="s">
        <v>2208</v>
      </c>
      <c r="F5282" s="1566"/>
      <c r="G5282" s="1566"/>
      <c r="H5282" s="1566"/>
      <c r="I5282" s="1566"/>
      <c r="J5282" s="1566"/>
      <c r="K5282" s="1565">
        <v>138456.17000000001</v>
      </c>
      <c r="L5282" s="1565">
        <v>138456.17000000001</v>
      </c>
      <c r="M5282" s="1564"/>
      <c r="N5282" s="1565">
        <v>138456.17000000001</v>
      </c>
      <c r="O5282" s="1565">
        <v>124648.85</v>
      </c>
      <c r="P5282" s="1565">
        <v>9204.9599999999991</v>
      </c>
      <c r="Q5282" s="1565">
        <v>4602.3599999999997</v>
      </c>
      <c r="R5282" s="1565">
        <v>13807.32</v>
      </c>
      <c r="S5282" s="1562"/>
    </row>
    <row r="5283" spans="2:19" ht="21.75" customHeight="1" outlineLevel="1">
      <c r="B5283" s="1569" t="s">
        <v>7086</v>
      </c>
      <c r="C5283" s="1566" t="s">
        <v>3239</v>
      </c>
      <c r="D5283" s="1566" t="s">
        <v>7085</v>
      </c>
      <c r="E5283" s="1566" t="s">
        <v>2208</v>
      </c>
      <c r="F5283" s="1566"/>
      <c r="G5283" s="1566"/>
      <c r="H5283" s="1568">
        <v>1</v>
      </c>
      <c r="I5283" s="1571">
        <v>404</v>
      </c>
      <c r="J5283" s="1566"/>
      <c r="K5283" s="1565">
        <v>2101872.5</v>
      </c>
      <c r="L5283" s="1565">
        <v>2101872.5</v>
      </c>
      <c r="M5283" s="1564"/>
      <c r="N5283" s="1565">
        <v>2101872.5</v>
      </c>
      <c r="O5283" s="1565">
        <v>1892267.54</v>
      </c>
      <c r="P5283" s="1565">
        <v>139736.64000000001</v>
      </c>
      <c r="Q5283" s="1565">
        <v>69868.320000000007</v>
      </c>
      <c r="R5283" s="1565">
        <v>209604.96</v>
      </c>
      <c r="S5283" s="1562"/>
    </row>
    <row r="5284" spans="2:19" ht="21.75" customHeight="1" outlineLevel="1">
      <c r="B5284" s="1569" t="s">
        <v>7084</v>
      </c>
      <c r="C5284" s="1566" t="s">
        <v>3239</v>
      </c>
      <c r="D5284" s="1566" t="s">
        <v>7083</v>
      </c>
      <c r="E5284" s="1566" t="s">
        <v>2208</v>
      </c>
      <c r="F5284" s="1566"/>
      <c r="G5284" s="1566"/>
      <c r="H5284" s="1568">
        <v>1</v>
      </c>
      <c r="I5284" s="1571">
        <v>373</v>
      </c>
      <c r="J5284" s="1566"/>
      <c r="K5284" s="1565">
        <v>3046116.54</v>
      </c>
      <c r="L5284" s="1565">
        <v>3046116.54</v>
      </c>
      <c r="M5284" s="1564"/>
      <c r="N5284" s="1565">
        <v>3046116.54</v>
      </c>
      <c r="O5284" s="1565">
        <v>2742348.54</v>
      </c>
      <c r="P5284" s="1565">
        <v>202512</v>
      </c>
      <c r="Q5284" s="1565">
        <v>101256</v>
      </c>
      <c r="R5284" s="1565">
        <v>303768</v>
      </c>
      <c r="S5284" s="1562"/>
    </row>
    <row r="5285" spans="2:19" ht="21.75" customHeight="1" outlineLevel="1">
      <c r="B5285" s="1569" t="s">
        <v>7082</v>
      </c>
      <c r="C5285" s="1566" t="s">
        <v>3239</v>
      </c>
      <c r="D5285" s="1566" t="s">
        <v>7081</v>
      </c>
      <c r="E5285" s="1566" t="s">
        <v>2208</v>
      </c>
      <c r="F5285" s="1566"/>
      <c r="G5285" s="1566"/>
      <c r="H5285" s="1568">
        <v>1</v>
      </c>
      <c r="I5285" s="1571">
        <v>42</v>
      </c>
      <c r="J5285" s="1566"/>
      <c r="K5285" s="1565">
        <v>472177.19</v>
      </c>
      <c r="L5285" s="1565">
        <v>472177.19</v>
      </c>
      <c r="M5285" s="1564"/>
      <c r="N5285" s="1565">
        <v>472177.19</v>
      </c>
      <c r="O5285" s="1565">
        <v>425090.27</v>
      </c>
      <c r="P5285" s="1565">
        <v>31391.279999999999</v>
      </c>
      <c r="Q5285" s="1565">
        <v>15695.64</v>
      </c>
      <c r="R5285" s="1565">
        <v>47086.92</v>
      </c>
      <c r="S5285" s="1562"/>
    </row>
    <row r="5286" spans="2:19" ht="21.75" customHeight="1" outlineLevel="1">
      <c r="B5286" s="1569" t="s">
        <v>7080</v>
      </c>
      <c r="C5286" s="1566" t="s">
        <v>3232</v>
      </c>
      <c r="D5286" s="1566" t="s">
        <v>7079</v>
      </c>
      <c r="E5286" s="1566" t="s">
        <v>2266</v>
      </c>
      <c r="F5286" s="1566"/>
      <c r="G5286" s="1566" t="s">
        <v>7078</v>
      </c>
      <c r="H5286" s="1568">
        <v>1</v>
      </c>
      <c r="I5286" s="1571">
        <v>335</v>
      </c>
      <c r="J5286" s="1566"/>
      <c r="K5286" s="1565">
        <v>1845539.99</v>
      </c>
      <c r="L5286" s="1565">
        <v>1845539.99</v>
      </c>
      <c r="M5286" s="1564"/>
      <c r="N5286" s="1565">
        <v>1845539.99</v>
      </c>
      <c r="O5286" s="1565">
        <v>1666609.49</v>
      </c>
      <c r="P5286" s="1565">
        <v>117582.9</v>
      </c>
      <c r="Q5286" s="1565">
        <v>61347.6</v>
      </c>
      <c r="R5286" s="1565">
        <v>178930.5</v>
      </c>
      <c r="S5286" s="1562"/>
    </row>
    <row r="5287" spans="2:19" ht="21.75" customHeight="1" outlineLevel="1">
      <c r="B5287" s="1569" t="s">
        <v>7077</v>
      </c>
      <c r="C5287" s="1566" t="s">
        <v>3232</v>
      </c>
      <c r="D5287" s="1566" t="s">
        <v>7076</v>
      </c>
      <c r="E5287" s="1566" t="s">
        <v>2208</v>
      </c>
      <c r="F5287" s="1566"/>
      <c r="G5287" s="1566"/>
      <c r="H5287" s="1568">
        <v>1</v>
      </c>
      <c r="I5287" s="1570">
        <v>17.5</v>
      </c>
      <c r="J5287" s="1566"/>
      <c r="K5287" s="1565">
        <v>170096.64000000001</v>
      </c>
      <c r="L5287" s="1565">
        <v>170096.64000000001</v>
      </c>
      <c r="M5287" s="1564"/>
      <c r="N5287" s="1565">
        <v>170096.64000000001</v>
      </c>
      <c r="O5287" s="1565">
        <v>153605.34</v>
      </c>
      <c r="P5287" s="1565">
        <v>10837.14</v>
      </c>
      <c r="Q5287" s="1565">
        <v>5654.16</v>
      </c>
      <c r="R5287" s="1565">
        <v>16491.3</v>
      </c>
      <c r="S5287" s="1562"/>
    </row>
    <row r="5288" spans="2:19" ht="21.75" customHeight="1" outlineLevel="1">
      <c r="B5288" s="1569" t="s">
        <v>7075</v>
      </c>
      <c r="C5288" s="1566" t="s">
        <v>3232</v>
      </c>
      <c r="D5288" s="1566" t="s">
        <v>7074</v>
      </c>
      <c r="E5288" s="1566" t="s">
        <v>2208</v>
      </c>
      <c r="F5288" s="1566"/>
      <c r="G5288" s="1566"/>
      <c r="H5288" s="1566"/>
      <c r="I5288" s="1570">
        <v>9.5</v>
      </c>
      <c r="J5288" s="1566"/>
      <c r="K5288" s="1565">
        <v>236778.57</v>
      </c>
      <c r="L5288" s="1565">
        <v>236778.57</v>
      </c>
      <c r="M5288" s="1564"/>
      <c r="N5288" s="1565">
        <v>236778.57</v>
      </c>
      <c r="O5288" s="1565">
        <v>213822.07</v>
      </c>
      <c r="P5288" s="1565">
        <v>15085.7</v>
      </c>
      <c r="Q5288" s="1565">
        <v>7870.8</v>
      </c>
      <c r="R5288" s="1565">
        <v>22956.5</v>
      </c>
      <c r="S5288" s="1562"/>
    </row>
    <row r="5289" spans="2:19" ht="21.75" customHeight="1" outlineLevel="1">
      <c r="B5289" s="1569" t="s">
        <v>7073</v>
      </c>
      <c r="C5289" s="1566" t="s">
        <v>3232</v>
      </c>
      <c r="D5289" s="1566" t="s">
        <v>7072</v>
      </c>
      <c r="E5289" s="1566" t="s">
        <v>2208</v>
      </c>
      <c r="F5289" s="1566"/>
      <c r="G5289" s="1566"/>
      <c r="H5289" s="1568">
        <v>1</v>
      </c>
      <c r="I5289" s="1571">
        <v>15</v>
      </c>
      <c r="J5289" s="1566"/>
      <c r="K5289" s="1565">
        <v>65961</v>
      </c>
      <c r="L5289" s="1565">
        <v>65961</v>
      </c>
      <c r="M5289" s="1564"/>
      <c r="N5289" s="1565">
        <v>65961</v>
      </c>
      <c r="O5289" s="1565">
        <v>59565.8</v>
      </c>
      <c r="P5289" s="1565">
        <v>4202.5600000000004</v>
      </c>
      <c r="Q5289" s="1565">
        <v>2192.64</v>
      </c>
      <c r="R5289" s="1565">
        <v>6395.2</v>
      </c>
      <c r="S5289" s="1562"/>
    </row>
    <row r="5290" spans="2:19" ht="21.75" customHeight="1" outlineLevel="1">
      <c r="B5290" s="1569" t="s">
        <v>7071</v>
      </c>
      <c r="C5290" s="1566" t="s">
        <v>3232</v>
      </c>
      <c r="D5290" s="1566" t="s">
        <v>7070</v>
      </c>
      <c r="E5290" s="1566" t="s">
        <v>2208</v>
      </c>
      <c r="F5290" s="1566"/>
      <c r="G5290" s="1566"/>
      <c r="H5290" s="1568">
        <v>1</v>
      </c>
      <c r="I5290" s="1571">
        <v>20</v>
      </c>
      <c r="J5290" s="1566"/>
      <c r="K5290" s="1565">
        <v>139986.26</v>
      </c>
      <c r="L5290" s="1565">
        <v>139986.26</v>
      </c>
      <c r="M5290" s="1564"/>
      <c r="N5290" s="1565">
        <v>139986.26</v>
      </c>
      <c r="O5290" s="1565">
        <v>126414.31</v>
      </c>
      <c r="P5290" s="1565">
        <v>8918.7099999999991</v>
      </c>
      <c r="Q5290" s="1565">
        <v>4653.24</v>
      </c>
      <c r="R5290" s="1565">
        <v>13571.95</v>
      </c>
      <c r="S5290" s="1562"/>
    </row>
    <row r="5291" spans="2:19" ht="21.75" customHeight="1" outlineLevel="1">
      <c r="B5291" s="1569" t="s">
        <v>7069</v>
      </c>
      <c r="C5291" s="1566" t="s">
        <v>3232</v>
      </c>
      <c r="D5291" s="1566" t="s">
        <v>7068</v>
      </c>
      <c r="E5291" s="1566" t="s">
        <v>2208</v>
      </c>
      <c r="F5291" s="1566"/>
      <c r="G5291" s="1566"/>
      <c r="H5291" s="1568">
        <v>1</v>
      </c>
      <c r="I5291" s="1571">
        <v>12</v>
      </c>
      <c r="J5291" s="1566"/>
      <c r="K5291" s="1565">
        <v>30535.360000000001</v>
      </c>
      <c r="L5291" s="1565">
        <v>30535.360000000001</v>
      </c>
      <c r="M5291" s="1564"/>
      <c r="N5291" s="1565">
        <v>30535.360000000001</v>
      </c>
      <c r="O5291" s="1565">
        <v>27574.71</v>
      </c>
      <c r="P5291" s="1565">
        <v>1945.57</v>
      </c>
      <c r="Q5291" s="1565">
        <v>1015.08</v>
      </c>
      <c r="R5291" s="1565">
        <v>2960.65</v>
      </c>
      <c r="S5291" s="1562"/>
    </row>
    <row r="5292" spans="2:19" ht="11.25" customHeight="1" outlineLevel="1">
      <c r="B5292" s="1569" t="s">
        <v>7067</v>
      </c>
      <c r="C5292" s="1566" t="s">
        <v>7053</v>
      </c>
      <c r="D5292" s="1566" t="s">
        <v>7066</v>
      </c>
      <c r="E5292" s="1566" t="s">
        <v>2288</v>
      </c>
      <c r="F5292" s="1566" t="s">
        <v>7051</v>
      </c>
      <c r="G5292" s="1566"/>
      <c r="H5292" s="1568">
        <v>1</v>
      </c>
      <c r="I5292" s="1566"/>
      <c r="J5292" s="1566"/>
      <c r="K5292" s="1565">
        <v>140411.31</v>
      </c>
      <c r="L5292" s="1565">
        <v>140411.31</v>
      </c>
      <c r="M5292" s="1564"/>
      <c r="N5292" s="1565">
        <v>140411.31</v>
      </c>
      <c r="O5292" s="1565">
        <v>7997.31</v>
      </c>
      <c r="P5292" s="1565">
        <v>90854.28</v>
      </c>
      <c r="Q5292" s="1565">
        <v>41559.72</v>
      </c>
      <c r="R5292" s="1565">
        <v>132414</v>
      </c>
      <c r="S5292" s="1562"/>
    </row>
    <row r="5293" spans="2:19" ht="11.25" customHeight="1" outlineLevel="1">
      <c r="B5293" s="1569" t="s">
        <v>7065</v>
      </c>
      <c r="C5293" s="1566" t="s">
        <v>7053</v>
      </c>
      <c r="D5293" s="1566" t="s">
        <v>7064</v>
      </c>
      <c r="E5293" s="1566" t="s">
        <v>2288</v>
      </c>
      <c r="F5293" s="1566" t="s">
        <v>7051</v>
      </c>
      <c r="G5293" s="1566"/>
      <c r="H5293" s="1566"/>
      <c r="I5293" s="1566"/>
      <c r="J5293" s="1566"/>
      <c r="K5293" s="1565">
        <v>140411.31</v>
      </c>
      <c r="L5293" s="1565">
        <v>140411.31</v>
      </c>
      <c r="M5293" s="1564"/>
      <c r="N5293" s="1565">
        <v>140411.31</v>
      </c>
      <c r="O5293" s="1565">
        <v>7997.31</v>
      </c>
      <c r="P5293" s="1565">
        <v>90854.28</v>
      </c>
      <c r="Q5293" s="1565">
        <v>41559.72</v>
      </c>
      <c r="R5293" s="1565">
        <v>132414</v>
      </c>
      <c r="S5293" s="1562"/>
    </row>
    <row r="5294" spans="2:19" ht="11.25" customHeight="1" outlineLevel="1">
      <c r="B5294" s="1569" t="s">
        <v>7063</v>
      </c>
      <c r="C5294" s="1566" t="s">
        <v>7053</v>
      </c>
      <c r="D5294" s="1566" t="s">
        <v>7062</v>
      </c>
      <c r="E5294" s="1566" t="s">
        <v>2288</v>
      </c>
      <c r="F5294" s="1566" t="s">
        <v>7051</v>
      </c>
      <c r="G5294" s="1566"/>
      <c r="H5294" s="1566"/>
      <c r="I5294" s="1566"/>
      <c r="J5294" s="1566"/>
      <c r="K5294" s="1565">
        <v>140411.29999999999</v>
      </c>
      <c r="L5294" s="1565">
        <v>140411.29999999999</v>
      </c>
      <c r="M5294" s="1564"/>
      <c r="N5294" s="1565">
        <v>140411.29999999999</v>
      </c>
      <c r="O5294" s="1565">
        <v>7997.31</v>
      </c>
      <c r="P5294" s="1565">
        <v>90854.28</v>
      </c>
      <c r="Q5294" s="1565">
        <v>41559.71</v>
      </c>
      <c r="R5294" s="1565">
        <v>132413.99</v>
      </c>
      <c r="S5294" s="1562"/>
    </row>
    <row r="5295" spans="2:19" ht="11.25" customHeight="1" outlineLevel="1">
      <c r="B5295" s="1569" t="s">
        <v>7061</v>
      </c>
      <c r="C5295" s="1566" t="s">
        <v>7053</v>
      </c>
      <c r="D5295" s="1566" t="s">
        <v>7060</v>
      </c>
      <c r="E5295" s="1566" t="s">
        <v>2288</v>
      </c>
      <c r="F5295" s="1566" t="s">
        <v>7051</v>
      </c>
      <c r="G5295" s="1566"/>
      <c r="H5295" s="1566"/>
      <c r="I5295" s="1566"/>
      <c r="J5295" s="1566"/>
      <c r="K5295" s="1565">
        <v>149586.01999999999</v>
      </c>
      <c r="L5295" s="1565">
        <v>149586.01999999999</v>
      </c>
      <c r="M5295" s="1564"/>
      <c r="N5295" s="1565">
        <v>149586.01999999999</v>
      </c>
      <c r="O5295" s="1565">
        <v>8519.83</v>
      </c>
      <c r="P5295" s="1565">
        <v>96790.98</v>
      </c>
      <c r="Q5295" s="1565">
        <v>44275.21</v>
      </c>
      <c r="R5295" s="1565">
        <v>141066.19</v>
      </c>
      <c r="S5295" s="1562"/>
    </row>
    <row r="5296" spans="2:19" ht="11.25" customHeight="1" outlineLevel="1">
      <c r="B5296" s="1569" t="s">
        <v>7059</v>
      </c>
      <c r="C5296" s="1566" t="s">
        <v>7053</v>
      </c>
      <c r="D5296" s="1566" t="s">
        <v>7058</v>
      </c>
      <c r="E5296" s="1566" t="s">
        <v>2288</v>
      </c>
      <c r="F5296" s="1566" t="s">
        <v>7051</v>
      </c>
      <c r="G5296" s="1566"/>
      <c r="H5296" s="1566"/>
      <c r="I5296" s="1566"/>
      <c r="J5296" s="1566"/>
      <c r="K5296" s="1565">
        <v>149586.01</v>
      </c>
      <c r="L5296" s="1565">
        <v>149586.01</v>
      </c>
      <c r="M5296" s="1564"/>
      <c r="N5296" s="1565">
        <v>149586.01</v>
      </c>
      <c r="O5296" s="1565">
        <v>8519.83</v>
      </c>
      <c r="P5296" s="1565">
        <v>96790.98</v>
      </c>
      <c r="Q5296" s="1565">
        <v>44275.199999999997</v>
      </c>
      <c r="R5296" s="1565">
        <v>141066.18</v>
      </c>
      <c r="S5296" s="1562"/>
    </row>
    <row r="5297" spans="2:19" ht="11.25" customHeight="1" outlineLevel="1">
      <c r="B5297" s="1569" t="s">
        <v>7057</v>
      </c>
      <c r="C5297" s="1566" t="s">
        <v>7053</v>
      </c>
      <c r="D5297" s="1566" t="s">
        <v>7056</v>
      </c>
      <c r="E5297" s="1566" t="s">
        <v>2288</v>
      </c>
      <c r="F5297" s="1566" t="s">
        <v>7055</v>
      </c>
      <c r="G5297" s="1566"/>
      <c r="H5297" s="1566"/>
      <c r="I5297" s="1566"/>
      <c r="J5297" s="1566"/>
      <c r="K5297" s="1565">
        <v>234605.01</v>
      </c>
      <c r="L5297" s="1565">
        <v>234605.01</v>
      </c>
      <c r="M5297" s="1564"/>
      <c r="N5297" s="1565">
        <v>234605.01</v>
      </c>
      <c r="O5297" s="1565">
        <v>13362.19</v>
      </c>
      <c r="P5297" s="1565">
        <v>151803.29999999999</v>
      </c>
      <c r="Q5297" s="1565">
        <v>69439.520000000004</v>
      </c>
      <c r="R5297" s="1565">
        <v>221242.82</v>
      </c>
      <c r="S5297" s="1562"/>
    </row>
    <row r="5298" spans="2:19" ht="11.25" customHeight="1" outlineLevel="1">
      <c r="B5298" s="1569" t="s">
        <v>7054</v>
      </c>
      <c r="C5298" s="1566" t="s">
        <v>7053</v>
      </c>
      <c r="D5298" s="1566" t="s">
        <v>7052</v>
      </c>
      <c r="E5298" s="1566" t="s">
        <v>2288</v>
      </c>
      <c r="F5298" s="1566" t="s">
        <v>7051</v>
      </c>
      <c r="G5298" s="1566"/>
      <c r="H5298" s="1566"/>
      <c r="I5298" s="1566"/>
      <c r="J5298" s="1566"/>
      <c r="K5298" s="1565">
        <v>234605.01</v>
      </c>
      <c r="L5298" s="1565">
        <v>234605.01</v>
      </c>
      <c r="M5298" s="1564"/>
      <c r="N5298" s="1565">
        <v>234605.01</v>
      </c>
      <c r="O5298" s="1565">
        <v>13362.19</v>
      </c>
      <c r="P5298" s="1565">
        <v>151803.29999999999</v>
      </c>
      <c r="Q5298" s="1565">
        <v>69439.520000000004</v>
      </c>
      <c r="R5298" s="1565">
        <v>221242.82</v>
      </c>
      <c r="S5298" s="1562"/>
    </row>
    <row r="5299" spans="2:19" ht="21.75" customHeight="1" outlineLevel="1">
      <c r="B5299" s="1569" t="s">
        <v>7050</v>
      </c>
      <c r="C5299" s="1566" t="s">
        <v>7047</v>
      </c>
      <c r="D5299" s="1566" t="s">
        <v>7049</v>
      </c>
      <c r="E5299" s="1566" t="s">
        <v>2208</v>
      </c>
      <c r="F5299" s="1566"/>
      <c r="G5299" s="1566"/>
      <c r="H5299" s="1568">
        <v>1</v>
      </c>
      <c r="I5299" s="1570">
        <v>5.5</v>
      </c>
      <c r="J5299" s="1566"/>
      <c r="K5299" s="1565">
        <v>46122.080000000002</v>
      </c>
      <c r="L5299" s="1565">
        <v>46122.080000000002</v>
      </c>
      <c r="M5299" s="1564"/>
      <c r="N5299" s="1565">
        <v>46122.080000000002</v>
      </c>
      <c r="O5299" s="1565">
        <v>41778.239999999998</v>
      </c>
      <c r="P5299" s="1565">
        <v>2810.72</v>
      </c>
      <c r="Q5299" s="1565">
        <v>1533.12</v>
      </c>
      <c r="R5299" s="1565">
        <v>4343.84</v>
      </c>
      <c r="S5299" s="1562"/>
    </row>
    <row r="5300" spans="2:19" ht="21.75" customHeight="1" outlineLevel="1">
      <c r="B5300" s="1569" t="s">
        <v>7048</v>
      </c>
      <c r="C5300" s="1566" t="s">
        <v>7047</v>
      </c>
      <c r="D5300" s="1566" t="s">
        <v>7046</v>
      </c>
      <c r="E5300" s="1566" t="s">
        <v>2208</v>
      </c>
      <c r="F5300" s="1566"/>
      <c r="G5300" s="1566"/>
      <c r="H5300" s="1568">
        <v>1</v>
      </c>
      <c r="I5300" s="1570">
        <v>4.5</v>
      </c>
      <c r="J5300" s="1566"/>
      <c r="K5300" s="1565">
        <v>38189.68</v>
      </c>
      <c r="L5300" s="1565">
        <v>38189.68</v>
      </c>
      <c r="M5300" s="1564"/>
      <c r="N5300" s="1565">
        <v>38189.68</v>
      </c>
      <c r="O5300" s="1565">
        <v>34592.82</v>
      </c>
      <c r="P5300" s="1565">
        <v>2327.38</v>
      </c>
      <c r="Q5300" s="1565">
        <v>1269.48</v>
      </c>
      <c r="R5300" s="1565">
        <v>3596.86</v>
      </c>
      <c r="S5300" s="1562"/>
    </row>
    <row r="5301" spans="2:19" ht="21.75" customHeight="1" outlineLevel="1">
      <c r="B5301" s="1569" t="s">
        <v>7045</v>
      </c>
      <c r="C5301" s="1566" t="s">
        <v>7044</v>
      </c>
      <c r="D5301" s="1566" t="s">
        <v>7043</v>
      </c>
      <c r="E5301" s="1566" t="s">
        <v>2208</v>
      </c>
      <c r="F5301" s="1566"/>
      <c r="G5301" s="1566"/>
      <c r="H5301" s="1568">
        <v>1</v>
      </c>
      <c r="I5301" s="1571">
        <v>6</v>
      </c>
      <c r="J5301" s="1566"/>
      <c r="K5301" s="1565">
        <v>59196.98</v>
      </c>
      <c r="L5301" s="1565">
        <v>59196.98</v>
      </c>
      <c r="M5301" s="1564"/>
      <c r="N5301" s="1565">
        <v>59196.98</v>
      </c>
      <c r="O5301" s="1565">
        <v>53621.66</v>
      </c>
      <c r="P5301" s="1565">
        <v>3607.56</v>
      </c>
      <c r="Q5301" s="1565">
        <v>1967.76</v>
      </c>
      <c r="R5301" s="1565">
        <v>5575.32</v>
      </c>
      <c r="S5301" s="1562"/>
    </row>
    <row r="5302" spans="2:19" ht="21.75" customHeight="1" outlineLevel="1">
      <c r="B5302" s="1569" t="s">
        <v>7042</v>
      </c>
      <c r="C5302" s="1566" t="s">
        <v>7041</v>
      </c>
      <c r="D5302" s="1566" t="s">
        <v>7040</v>
      </c>
      <c r="E5302" s="1566" t="s">
        <v>2288</v>
      </c>
      <c r="F5302" s="1566" t="s">
        <v>7039</v>
      </c>
      <c r="G5302" s="1566"/>
      <c r="H5302" s="1568">
        <v>3</v>
      </c>
      <c r="I5302" s="1566"/>
      <c r="J5302" s="1566"/>
      <c r="K5302" s="1565">
        <v>685000</v>
      </c>
      <c r="L5302" s="1565">
        <v>685000</v>
      </c>
      <c r="M5302" s="1564"/>
      <c r="N5302" s="1565">
        <v>685000</v>
      </c>
      <c r="O5302" s="1565">
        <v>314426.17</v>
      </c>
      <c r="P5302" s="1565">
        <v>235819.71</v>
      </c>
      <c r="Q5302" s="1565">
        <v>134754.12</v>
      </c>
      <c r="R5302" s="1565">
        <v>370573.83</v>
      </c>
      <c r="S5302" s="1562"/>
    </row>
    <row r="5303" spans="2:19" ht="11.25" customHeight="1" outlineLevel="1">
      <c r="B5303" s="1569" t="s">
        <v>7038</v>
      </c>
      <c r="C5303" s="1566" t="s">
        <v>7037</v>
      </c>
      <c r="D5303" s="1566" t="s">
        <v>7036</v>
      </c>
      <c r="E5303" s="1566" t="s">
        <v>2288</v>
      </c>
      <c r="F5303" s="1566"/>
      <c r="G5303" s="1566"/>
      <c r="H5303" s="1566"/>
      <c r="I5303" s="1566"/>
      <c r="J5303" s="1566"/>
      <c r="K5303" s="1565">
        <v>242750</v>
      </c>
      <c r="L5303" s="1565">
        <v>242750</v>
      </c>
      <c r="M5303" s="1564"/>
      <c r="N5303" s="1565">
        <v>242750</v>
      </c>
      <c r="O5303" s="1565">
        <v>26243.26</v>
      </c>
      <c r="P5303" s="1565">
        <v>137777.01</v>
      </c>
      <c r="Q5303" s="1565">
        <v>78729.73</v>
      </c>
      <c r="R5303" s="1565">
        <v>216506.74</v>
      </c>
      <c r="S5303" s="1562"/>
    </row>
    <row r="5304" spans="2:19" ht="21.75" customHeight="1" outlineLevel="1">
      <c r="B5304" s="1569" t="s">
        <v>7035</v>
      </c>
      <c r="C5304" s="1566" t="s">
        <v>7032</v>
      </c>
      <c r="D5304" s="1566" t="s">
        <v>7034</v>
      </c>
      <c r="E5304" s="1566" t="s">
        <v>2208</v>
      </c>
      <c r="F5304" s="1566"/>
      <c r="G5304" s="1566"/>
      <c r="H5304" s="1568">
        <v>1</v>
      </c>
      <c r="I5304" s="1571">
        <v>11</v>
      </c>
      <c r="J5304" s="1566"/>
      <c r="K5304" s="1565">
        <v>167620.29999999999</v>
      </c>
      <c r="L5304" s="1565">
        <v>167620.29999999999</v>
      </c>
      <c r="M5304" s="1564"/>
      <c r="N5304" s="1565">
        <v>167620.29999999999</v>
      </c>
      <c r="O5304" s="1565">
        <v>152297.74</v>
      </c>
      <c r="P5304" s="1565">
        <v>9750.7199999999993</v>
      </c>
      <c r="Q5304" s="1565">
        <v>5571.84</v>
      </c>
      <c r="R5304" s="1565">
        <v>15322.56</v>
      </c>
      <c r="S5304" s="1562"/>
    </row>
    <row r="5305" spans="2:19" ht="21.75" customHeight="1" outlineLevel="1">
      <c r="B5305" s="1569" t="s">
        <v>7033</v>
      </c>
      <c r="C5305" s="1566" t="s">
        <v>7032</v>
      </c>
      <c r="D5305" s="1566" t="s">
        <v>7031</v>
      </c>
      <c r="E5305" s="1566" t="s">
        <v>2266</v>
      </c>
      <c r="F5305" s="1566"/>
      <c r="G5305" s="1566"/>
      <c r="H5305" s="1568">
        <v>1</v>
      </c>
      <c r="I5305" s="1571">
        <v>49</v>
      </c>
      <c r="J5305" s="1566"/>
      <c r="K5305" s="1565">
        <v>657079.31999999995</v>
      </c>
      <c r="L5305" s="1565">
        <v>657079.31999999995</v>
      </c>
      <c r="M5305" s="1564"/>
      <c r="N5305" s="1565">
        <v>657079.31999999995</v>
      </c>
      <c r="O5305" s="1565">
        <v>597014.04</v>
      </c>
      <c r="P5305" s="1565">
        <v>38223.360000000001</v>
      </c>
      <c r="Q5305" s="1565">
        <v>21841.919999999998</v>
      </c>
      <c r="R5305" s="1565">
        <v>60065.279999999999</v>
      </c>
      <c r="S5305" s="1562"/>
    </row>
    <row r="5306" spans="2:19" ht="11.25" customHeight="1" outlineLevel="1">
      <c r="B5306" s="1569" t="s">
        <v>7030</v>
      </c>
      <c r="C5306" s="1566" t="s">
        <v>7029</v>
      </c>
      <c r="D5306" s="1566" t="s">
        <v>7028</v>
      </c>
      <c r="E5306" s="1566" t="s">
        <v>2219</v>
      </c>
      <c r="F5306" s="1566" t="s">
        <v>2678</v>
      </c>
      <c r="G5306" s="1566" t="s">
        <v>7027</v>
      </c>
      <c r="H5306" s="1568">
        <v>1</v>
      </c>
      <c r="I5306" s="1571">
        <v>60</v>
      </c>
      <c r="J5306" s="1566"/>
      <c r="K5306" s="1565">
        <v>44046.35</v>
      </c>
      <c r="L5306" s="1565">
        <v>44046.35</v>
      </c>
      <c r="M5306" s="1564"/>
      <c r="N5306" s="1565">
        <v>44046.35</v>
      </c>
      <c r="O5306" s="1565">
        <v>6117.54</v>
      </c>
      <c r="P5306" s="1565">
        <v>23246.69</v>
      </c>
      <c r="Q5306" s="1565">
        <v>14682.12</v>
      </c>
      <c r="R5306" s="1565">
        <v>37928.81</v>
      </c>
      <c r="S5306" s="1562"/>
    </row>
    <row r="5307" spans="2:19" ht="21.75" customHeight="1" outlineLevel="1">
      <c r="B5307" s="1569" t="s">
        <v>7026</v>
      </c>
      <c r="C5307" s="1566" t="s">
        <v>7020</v>
      </c>
      <c r="D5307" s="1566" t="s">
        <v>7025</v>
      </c>
      <c r="E5307" s="1566" t="s">
        <v>2208</v>
      </c>
      <c r="F5307" s="1566"/>
      <c r="G5307" s="1566" t="s">
        <v>7024</v>
      </c>
      <c r="H5307" s="1568">
        <v>1</v>
      </c>
      <c r="I5307" s="1571">
        <v>3</v>
      </c>
      <c r="J5307" s="1566"/>
      <c r="K5307" s="1565">
        <v>46482.85</v>
      </c>
      <c r="L5307" s="1565">
        <v>46482.85</v>
      </c>
      <c r="M5307" s="1564"/>
      <c r="N5307" s="1565">
        <v>46482.85</v>
      </c>
      <c r="O5307" s="1565">
        <v>42491.29</v>
      </c>
      <c r="P5307" s="1565">
        <v>2446.44</v>
      </c>
      <c r="Q5307" s="1565">
        <v>1545.12</v>
      </c>
      <c r="R5307" s="1565">
        <v>3991.56</v>
      </c>
      <c r="S5307" s="1562"/>
    </row>
    <row r="5308" spans="2:19" ht="21.75" customHeight="1" outlineLevel="1">
      <c r="B5308" s="1569" t="s">
        <v>7023</v>
      </c>
      <c r="C5308" s="1566" t="s">
        <v>7020</v>
      </c>
      <c r="D5308" s="1566" t="s">
        <v>7022</v>
      </c>
      <c r="E5308" s="1566" t="s">
        <v>2208</v>
      </c>
      <c r="F5308" s="1566"/>
      <c r="G5308" s="1566"/>
      <c r="H5308" s="1568">
        <v>1</v>
      </c>
      <c r="I5308" s="1571">
        <v>30</v>
      </c>
      <c r="J5308" s="1566"/>
      <c r="K5308" s="1565">
        <v>115308.87</v>
      </c>
      <c r="L5308" s="1565">
        <v>115308.87</v>
      </c>
      <c r="M5308" s="1564"/>
      <c r="N5308" s="1565">
        <v>115308.87</v>
      </c>
      <c r="O5308" s="1565">
        <v>105406.95</v>
      </c>
      <c r="P5308" s="1565">
        <v>6068.98</v>
      </c>
      <c r="Q5308" s="1565">
        <v>3832.94</v>
      </c>
      <c r="R5308" s="1565">
        <v>9901.92</v>
      </c>
      <c r="S5308" s="1562"/>
    </row>
    <row r="5309" spans="2:19" ht="21.75" customHeight="1" outlineLevel="1">
      <c r="B5309" s="1569" t="s">
        <v>7021</v>
      </c>
      <c r="C5309" s="1566" t="s">
        <v>7020</v>
      </c>
      <c r="D5309" s="1566" t="s">
        <v>7019</v>
      </c>
      <c r="E5309" s="1566" t="s">
        <v>2208</v>
      </c>
      <c r="F5309" s="1566"/>
      <c r="G5309" s="1566" t="s">
        <v>7018</v>
      </c>
      <c r="H5309" s="1568">
        <v>1</v>
      </c>
      <c r="I5309" s="1571">
        <v>10</v>
      </c>
      <c r="J5309" s="1566"/>
      <c r="K5309" s="1565">
        <v>80795.990000000005</v>
      </c>
      <c r="L5309" s="1565">
        <v>80795.990000000005</v>
      </c>
      <c r="M5309" s="1564"/>
      <c r="N5309" s="1565">
        <v>80795.990000000005</v>
      </c>
      <c r="O5309" s="1565">
        <v>73857.88</v>
      </c>
      <c r="P5309" s="1565">
        <v>4252.3900000000003</v>
      </c>
      <c r="Q5309" s="1565">
        <v>2685.72</v>
      </c>
      <c r="R5309" s="1565">
        <v>6938.11</v>
      </c>
      <c r="S5309" s="1562"/>
    </row>
    <row r="5310" spans="2:19" ht="11.25" customHeight="1" outlineLevel="1">
      <c r="B5310" s="1569" t="s">
        <v>7017</v>
      </c>
      <c r="C5310" s="1566" t="s">
        <v>3225</v>
      </c>
      <c r="D5310" s="1566" t="s">
        <v>7016</v>
      </c>
      <c r="E5310" s="1566" t="s">
        <v>2219</v>
      </c>
      <c r="F5310" s="1566" t="s">
        <v>3223</v>
      </c>
      <c r="G5310" s="1566"/>
      <c r="H5310" s="1568">
        <v>1</v>
      </c>
      <c r="I5310" s="1571">
        <v>36</v>
      </c>
      <c r="J5310" s="1566"/>
      <c r="K5310" s="1565">
        <v>113517.18</v>
      </c>
      <c r="L5310" s="1565">
        <v>113517.18</v>
      </c>
      <c r="M5310" s="1564"/>
      <c r="N5310" s="1565">
        <v>113517.18</v>
      </c>
      <c r="O5310" s="1565">
        <v>104083.68</v>
      </c>
      <c r="P5310" s="1565">
        <v>5660.1</v>
      </c>
      <c r="Q5310" s="1565">
        <v>3773.4</v>
      </c>
      <c r="R5310" s="1565">
        <v>9433.5</v>
      </c>
      <c r="S5310" s="1562"/>
    </row>
    <row r="5311" spans="2:19" ht="11.25" customHeight="1" outlineLevel="1">
      <c r="B5311" s="1569" t="s">
        <v>7015</v>
      </c>
      <c r="C5311" s="1566" t="s">
        <v>3221</v>
      </c>
      <c r="D5311" s="1566" t="s">
        <v>7014</v>
      </c>
      <c r="E5311" s="1566" t="s">
        <v>2219</v>
      </c>
      <c r="F5311" s="1566" t="s">
        <v>2674</v>
      </c>
      <c r="G5311" s="1566"/>
      <c r="H5311" s="1568">
        <v>1</v>
      </c>
      <c r="I5311" s="1571">
        <v>33</v>
      </c>
      <c r="J5311" s="1566" t="s">
        <v>7013</v>
      </c>
      <c r="K5311" s="1565">
        <v>22203.61</v>
      </c>
      <c r="L5311" s="1565">
        <v>22203.61</v>
      </c>
      <c r="M5311" s="1564"/>
      <c r="N5311" s="1565">
        <v>22203.61</v>
      </c>
      <c r="O5311" s="1565">
        <v>16698.61</v>
      </c>
      <c r="P5311" s="1565">
        <v>3303</v>
      </c>
      <c r="Q5311" s="1565">
        <v>2202</v>
      </c>
      <c r="R5311" s="1565">
        <v>5505</v>
      </c>
      <c r="S5311" s="1562"/>
    </row>
    <row r="5312" spans="2:19" ht="11.25" customHeight="1" outlineLevel="1">
      <c r="B5312" s="1569" t="s">
        <v>7012</v>
      </c>
      <c r="C5312" s="1566" t="s">
        <v>3221</v>
      </c>
      <c r="D5312" s="1566" t="s">
        <v>7011</v>
      </c>
      <c r="E5312" s="1566" t="s">
        <v>2219</v>
      </c>
      <c r="F5312" s="1566" t="s">
        <v>2674</v>
      </c>
      <c r="G5312" s="1566"/>
      <c r="H5312" s="1568">
        <v>1</v>
      </c>
      <c r="I5312" s="1571">
        <v>6</v>
      </c>
      <c r="J5312" s="1566" t="s">
        <v>7010</v>
      </c>
      <c r="K5312" s="1565">
        <v>4037.02</v>
      </c>
      <c r="L5312" s="1565">
        <v>4037.02</v>
      </c>
      <c r="M5312" s="1564"/>
      <c r="N5312" s="1565">
        <v>4037.02</v>
      </c>
      <c r="O5312" s="1565">
        <v>3036.21</v>
      </c>
      <c r="P5312" s="1572">
        <v>600.48</v>
      </c>
      <c r="Q5312" s="1572">
        <v>400.33</v>
      </c>
      <c r="R5312" s="1565">
        <v>1000.81</v>
      </c>
      <c r="S5312" s="1562"/>
    </row>
    <row r="5313" spans="2:19" ht="21.75" customHeight="1" outlineLevel="1">
      <c r="B5313" s="1569" t="s">
        <v>7009</v>
      </c>
      <c r="C5313" s="1566" t="s">
        <v>3217</v>
      </c>
      <c r="D5313" s="1566" t="s">
        <v>7008</v>
      </c>
      <c r="E5313" s="1566" t="s">
        <v>2208</v>
      </c>
      <c r="F5313" s="1566"/>
      <c r="G5313" s="1566"/>
      <c r="H5313" s="1568">
        <v>1</v>
      </c>
      <c r="I5313" s="1571">
        <v>13</v>
      </c>
      <c r="J5313" s="1566"/>
      <c r="K5313" s="1565">
        <v>64110.46</v>
      </c>
      <c r="L5313" s="1565">
        <v>64110.46</v>
      </c>
      <c r="M5313" s="1564"/>
      <c r="N5313" s="1565">
        <v>64110.46</v>
      </c>
      <c r="O5313" s="1565">
        <v>58782.76</v>
      </c>
      <c r="P5313" s="1565">
        <v>3196.62</v>
      </c>
      <c r="Q5313" s="1565">
        <v>2131.08</v>
      </c>
      <c r="R5313" s="1565">
        <v>5327.7</v>
      </c>
      <c r="S5313" s="1562"/>
    </row>
    <row r="5314" spans="2:19" ht="21.75" customHeight="1" outlineLevel="1">
      <c r="B5314" s="1569" t="s">
        <v>7007</v>
      </c>
      <c r="C5314" s="1566" t="s">
        <v>3217</v>
      </c>
      <c r="D5314" s="1566" t="s">
        <v>7006</v>
      </c>
      <c r="E5314" s="1566" t="s">
        <v>2208</v>
      </c>
      <c r="F5314" s="1566"/>
      <c r="G5314" s="1566"/>
      <c r="H5314" s="1568">
        <v>1</v>
      </c>
      <c r="I5314" s="1571">
        <v>5</v>
      </c>
      <c r="J5314" s="1566"/>
      <c r="K5314" s="1565">
        <v>149920.44</v>
      </c>
      <c r="L5314" s="1565">
        <v>149920.44</v>
      </c>
      <c r="M5314" s="1564"/>
      <c r="N5314" s="1565">
        <v>149920.44</v>
      </c>
      <c r="O5314" s="1565">
        <v>137461.74</v>
      </c>
      <c r="P5314" s="1565">
        <v>7475.22</v>
      </c>
      <c r="Q5314" s="1565">
        <v>4983.4799999999996</v>
      </c>
      <c r="R5314" s="1565">
        <v>12458.7</v>
      </c>
      <c r="S5314" s="1562"/>
    </row>
    <row r="5315" spans="2:19" ht="21.75" customHeight="1" outlineLevel="1">
      <c r="B5315" s="1569" t="s">
        <v>7005</v>
      </c>
      <c r="C5315" s="1566" t="s">
        <v>3217</v>
      </c>
      <c r="D5315" s="1566" t="s">
        <v>7004</v>
      </c>
      <c r="E5315" s="1566" t="s">
        <v>2208</v>
      </c>
      <c r="F5315" s="1566"/>
      <c r="G5315" s="1566"/>
      <c r="H5315" s="1568">
        <v>1</v>
      </c>
      <c r="I5315" s="1571">
        <v>18</v>
      </c>
      <c r="J5315" s="1566"/>
      <c r="K5315" s="1565">
        <v>109351.47</v>
      </c>
      <c r="L5315" s="1565">
        <v>109351.47</v>
      </c>
      <c r="M5315" s="1564"/>
      <c r="N5315" s="1565">
        <v>109351.47</v>
      </c>
      <c r="O5315" s="1565">
        <v>100264.17</v>
      </c>
      <c r="P5315" s="1565">
        <v>5452.38</v>
      </c>
      <c r="Q5315" s="1565">
        <v>3634.92</v>
      </c>
      <c r="R5315" s="1565">
        <v>9087.2999999999993</v>
      </c>
      <c r="S5315" s="1562"/>
    </row>
    <row r="5316" spans="2:19" ht="11.25" customHeight="1" outlineLevel="1">
      <c r="B5316" s="1569" t="s">
        <v>7003</v>
      </c>
      <c r="C5316" s="1566" t="s">
        <v>7002</v>
      </c>
      <c r="D5316" s="1566" t="s">
        <v>7001</v>
      </c>
      <c r="E5316" s="1566" t="s">
        <v>2288</v>
      </c>
      <c r="F5316" s="1566" t="s">
        <v>7000</v>
      </c>
      <c r="G5316" s="1566"/>
      <c r="H5316" s="1566"/>
      <c r="I5316" s="1566"/>
      <c r="J5316" s="1566"/>
      <c r="K5316" s="1565">
        <v>50825</v>
      </c>
      <c r="L5316" s="1565">
        <v>50825</v>
      </c>
      <c r="M5316" s="1565">
        <v>-50825</v>
      </c>
      <c r="N5316" s="1564"/>
      <c r="O5316" s="1564"/>
      <c r="P5316" s="1565">
        <v>34561</v>
      </c>
      <c r="Q5316" s="1565">
        <v>-34561</v>
      </c>
      <c r="R5316" s="1564"/>
      <c r="S5316" s="1562"/>
    </row>
    <row r="5317" spans="2:19" ht="21.75" customHeight="1" outlineLevel="1">
      <c r="B5317" s="1569" t="s">
        <v>6999</v>
      </c>
      <c r="C5317" s="1566" t="s">
        <v>3212</v>
      </c>
      <c r="D5317" s="1566" t="s">
        <v>6998</v>
      </c>
      <c r="E5317" s="1566" t="s">
        <v>2208</v>
      </c>
      <c r="F5317" s="1566"/>
      <c r="G5317" s="1566"/>
      <c r="H5317" s="1568">
        <v>1</v>
      </c>
      <c r="I5317" s="1570">
        <v>8.6999999999999993</v>
      </c>
      <c r="J5317" s="1566"/>
      <c r="K5317" s="1565">
        <v>30446.79</v>
      </c>
      <c r="L5317" s="1565">
        <v>30446.79</v>
      </c>
      <c r="M5317" s="1564"/>
      <c r="N5317" s="1565">
        <v>30446.79</v>
      </c>
      <c r="O5317" s="1565">
        <v>28000.93</v>
      </c>
      <c r="P5317" s="1565">
        <v>1433.78</v>
      </c>
      <c r="Q5317" s="1565">
        <v>1012.08</v>
      </c>
      <c r="R5317" s="1565">
        <v>2445.86</v>
      </c>
      <c r="S5317" s="1562"/>
    </row>
    <row r="5318" spans="2:19" ht="21.75" customHeight="1" outlineLevel="1">
      <c r="B5318" s="1569" t="s">
        <v>6997</v>
      </c>
      <c r="C5318" s="1566" t="s">
        <v>3212</v>
      </c>
      <c r="D5318" s="1566" t="s">
        <v>6996</v>
      </c>
      <c r="E5318" s="1566" t="s">
        <v>2208</v>
      </c>
      <c r="F5318" s="1566"/>
      <c r="G5318" s="1566"/>
      <c r="H5318" s="1568">
        <v>1</v>
      </c>
      <c r="I5318" s="1570">
        <v>4.8</v>
      </c>
      <c r="J5318" s="1566"/>
      <c r="K5318" s="1565">
        <v>33325.78</v>
      </c>
      <c r="L5318" s="1565">
        <v>33325.78</v>
      </c>
      <c r="M5318" s="1564"/>
      <c r="N5318" s="1565">
        <v>33325.78</v>
      </c>
      <c r="O5318" s="1565">
        <v>30648.58</v>
      </c>
      <c r="P5318" s="1565">
        <v>1569.44</v>
      </c>
      <c r="Q5318" s="1565">
        <v>1107.76</v>
      </c>
      <c r="R5318" s="1565">
        <v>2677.2</v>
      </c>
      <c r="S5318" s="1562"/>
    </row>
    <row r="5319" spans="2:19" ht="21.75" customHeight="1" outlineLevel="1">
      <c r="B5319" s="1569" t="s">
        <v>6995</v>
      </c>
      <c r="C5319" s="1566" t="s">
        <v>3212</v>
      </c>
      <c r="D5319" s="1566" t="s">
        <v>6994</v>
      </c>
      <c r="E5319" s="1566" t="s">
        <v>2208</v>
      </c>
      <c r="F5319" s="1566"/>
      <c r="G5319" s="1566"/>
      <c r="H5319" s="1568">
        <v>1</v>
      </c>
      <c r="I5319" s="1570">
        <v>13.5</v>
      </c>
      <c r="J5319" s="1566"/>
      <c r="K5319" s="1565">
        <v>83363.66</v>
      </c>
      <c r="L5319" s="1565">
        <v>83363.66</v>
      </c>
      <c r="M5319" s="1564"/>
      <c r="N5319" s="1565">
        <v>83363.66</v>
      </c>
      <c r="O5319" s="1565">
        <v>76666.98</v>
      </c>
      <c r="P5319" s="1565">
        <v>3925.64</v>
      </c>
      <c r="Q5319" s="1565">
        <v>2771.04</v>
      </c>
      <c r="R5319" s="1565">
        <v>6696.68</v>
      </c>
      <c r="S5319" s="1562"/>
    </row>
    <row r="5320" spans="2:19" ht="21.75" customHeight="1" outlineLevel="1">
      <c r="B5320" s="1569" t="s">
        <v>6993</v>
      </c>
      <c r="C5320" s="1566" t="s">
        <v>3212</v>
      </c>
      <c r="D5320" s="1566" t="s">
        <v>6992</v>
      </c>
      <c r="E5320" s="1566" t="s">
        <v>2208</v>
      </c>
      <c r="F5320" s="1566"/>
      <c r="G5320" s="1566"/>
      <c r="H5320" s="1568">
        <v>1</v>
      </c>
      <c r="I5320" s="1571">
        <v>8</v>
      </c>
      <c r="J5320" s="1566"/>
      <c r="K5320" s="1565">
        <v>27948.02</v>
      </c>
      <c r="L5320" s="1565">
        <v>27948.02</v>
      </c>
      <c r="M5320" s="1564"/>
      <c r="N5320" s="1565">
        <v>27948.02</v>
      </c>
      <c r="O5320" s="1565">
        <v>25702.84</v>
      </c>
      <c r="P5320" s="1565">
        <v>1316.14</v>
      </c>
      <c r="Q5320" s="1572">
        <v>929.04</v>
      </c>
      <c r="R5320" s="1565">
        <v>2245.1799999999998</v>
      </c>
      <c r="S5320" s="1562"/>
    </row>
    <row r="5321" spans="2:19" ht="21.75" customHeight="1" outlineLevel="1">
      <c r="B5321" s="1569" t="s">
        <v>6991</v>
      </c>
      <c r="C5321" s="1566" t="s">
        <v>3212</v>
      </c>
      <c r="D5321" s="1566" t="s">
        <v>6990</v>
      </c>
      <c r="E5321" s="1566" t="s">
        <v>2266</v>
      </c>
      <c r="F5321" s="1566" t="s">
        <v>3210</v>
      </c>
      <c r="G5321" s="1566"/>
      <c r="H5321" s="1568">
        <v>1</v>
      </c>
      <c r="I5321" s="1567">
        <v>4.78</v>
      </c>
      <c r="J5321" s="1566"/>
      <c r="K5321" s="1565">
        <v>134433.92000000001</v>
      </c>
      <c r="L5321" s="1565">
        <v>134433.92000000001</v>
      </c>
      <c r="M5321" s="1564"/>
      <c r="N5321" s="1565">
        <v>134433.92000000001</v>
      </c>
      <c r="O5321" s="1565">
        <v>123634.61</v>
      </c>
      <c r="P5321" s="1565">
        <v>6330.63</v>
      </c>
      <c r="Q5321" s="1565">
        <v>4468.68</v>
      </c>
      <c r="R5321" s="1565">
        <v>10799.31</v>
      </c>
      <c r="S5321" s="1562"/>
    </row>
    <row r="5322" spans="2:19" ht="21.75" customHeight="1" outlineLevel="1">
      <c r="B5322" s="1569" t="s">
        <v>6989</v>
      </c>
      <c r="C5322" s="1566" t="s">
        <v>3212</v>
      </c>
      <c r="D5322" s="1566" t="s">
        <v>6988</v>
      </c>
      <c r="E5322" s="1566" t="s">
        <v>2266</v>
      </c>
      <c r="F5322" s="1566" t="s">
        <v>6987</v>
      </c>
      <c r="G5322" s="1566"/>
      <c r="H5322" s="1568">
        <v>1</v>
      </c>
      <c r="I5322" s="1566"/>
      <c r="J5322" s="1566"/>
      <c r="K5322" s="1565">
        <v>160418</v>
      </c>
      <c r="L5322" s="1565">
        <v>160418</v>
      </c>
      <c r="M5322" s="1564"/>
      <c r="N5322" s="1565">
        <v>160418</v>
      </c>
      <c r="O5322" s="1565">
        <v>147531.26999999999</v>
      </c>
      <c r="P5322" s="1565">
        <v>7554.29</v>
      </c>
      <c r="Q5322" s="1565">
        <v>5332.44</v>
      </c>
      <c r="R5322" s="1565">
        <v>12886.73</v>
      </c>
      <c r="S5322" s="1562"/>
    </row>
    <row r="5323" spans="2:19" ht="21.75" customHeight="1" outlineLevel="1">
      <c r="B5323" s="1569" t="s">
        <v>6986</v>
      </c>
      <c r="C5323" s="1566" t="s">
        <v>3208</v>
      </c>
      <c r="D5323" s="1566" t="s">
        <v>6985</v>
      </c>
      <c r="E5323" s="1566" t="s">
        <v>2208</v>
      </c>
      <c r="F5323" s="1566"/>
      <c r="G5323" s="1566"/>
      <c r="H5323" s="1568">
        <v>1</v>
      </c>
      <c r="I5323" s="1570">
        <v>13.5</v>
      </c>
      <c r="J5323" s="1566"/>
      <c r="K5323" s="1565">
        <v>35592.78</v>
      </c>
      <c r="L5323" s="1565">
        <v>35592.78</v>
      </c>
      <c r="M5323" s="1564"/>
      <c r="N5323" s="1565">
        <v>35592.78</v>
      </c>
      <c r="O5323" s="1565">
        <v>27356.41</v>
      </c>
      <c r="P5323" s="1565">
        <v>4706.5600000000004</v>
      </c>
      <c r="Q5323" s="1565">
        <v>3529.81</v>
      </c>
      <c r="R5323" s="1565">
        <v>8236.3700000000008</v>
      </c>
      <c r="S5323" s="1562"/>
    </row>
    <row r="5324" spans="2:19" ht="21.75" customHeight="1" outlineLevel="1">
      <c r="B5324" s="1569" t="s">
        <v>6984</v>
      </c>
      <c r="C5324" s="1566" t="s">
        <v>3208</v>
      </c>
      <c r="D5324" s="1566" t="s">
        <v>6983</v>
      </c>
      <c r="E5324" s="1566" t="s">
        <v>2208</v>
      </c>
      <c r="F5324" s="1566"/>
      <c r="G5324" s="1566"/>
      <c r="H5324" s="1568">
        <v>1</v>
      </c>
      <c r="I5324" s="1571">
        <v>12</v>
      </c>
      <c r="J5324" s="1566"/>
      <c r="K5324" s="1565">
        <v>63670.65</v>
      </c>
      <c r="L5324" s="1565">
        <v>63670.65</v>
      </c>
      <c r="M5324" s="1564"/>
      <c r="N5324" s="1565">
        <v>63670.65</v>
      </c>
      <c r="O5324" s="1565">
        <v>48937.05</v>
      </c>
      <c r="P5324" s="1565">
        <v>8419.2000000000007</v>
      </c>
      <c r="Q5324" s="1565">
        <v>6314.4</v>
      </c>
      <c r="R5324" s="1565">
        <v>14733.6</v>
      </c>
      <c r="S5324" s="1562"/>
    </row>
    <row r="5325" spans="2:19" ht="11.25" customHeight="1" outlineLevel="1">
      <c r="B5325" s="1569" t="s">
        <v>6982</v>
      </c>
      <c r="C5325" s="1566" t="s">
        <v>3208</v>
      </c>
      <c r="D5325" s="1566" t="s">
        <v>6981</v>
      </c>
      <c r="E5325" s="1566" t="s">
        <v>2208</v>
      </c>
      <c r="F5325" s="1566"/>
      <c r="G5325" s="1566"/>
      <c r="H5325" s="1568">
        <v>1</v>
      </c>
      <c r="I5325" s="1571">
        <v>2</v>
      </c>
      <c r="J5325" s="1566"/>
      <c r="K5325" s="1565">
        <v>26851.84</v>
      </c>
      <c r="L5325" s="1565">
        <v>26851.84</v>
      </c>
      <c r="M5325" s="1564"/>
      <c r="N5325" s="1565">
        <v>26851.84</v>
      </c>
      <c r="O5325" s="1565">
        <v>20638.09</v>
      </c>
      <c r="P5325" s="1565">
        <v>3550.72</v>
      </c>
      <c r="Q5325" s="1565">
        <v>2663.03</v>
      </c>
      <c r="R5325" s="1565">
        <v>6213.75</v>
      </c>
      <c r="S5325" s="1562"/>
    </row>
    <row r="5326" spans="2:19" ht="21.75" customHeight="1" outlineLevel="1">
      <c r="B5326" s="1569" t="s">
        <v>6980</v>
      </c>
      <c r="C5326" s="1566" t="s">
        <v>3208</v>
      </c>
      <c r="D5326" s="1566" t="s">
        <v>6979</v>
      </c>
      <c r="E5326" s="1566" t="s">
        <v>2208</v>
      </c>
      <c r="F5326" s="1566"/>
      <c r="G5326" s="1566"/>
      <c r="H5326" s="1568">
        <v>1</v>
      </c>
      <c r="I5326" s="1571">
        <v>8</v>
      </c>
      <c r="J5326" s="1566"/>
      <c r="K5326" s="1565">
        <v>85263.46</v>
      </c>
      <c r="L5326" s="1565">
        <v>85263.46</v>
      </c>
      <c r="M5326" s="1564"/>
      <c r="N5326" s="1565">
        <v>85263.46</v>
      </c>
      <c r="O5326" s="1565">
        <v>65532.98</v>
      </c>
      <c r="P5326" s="1565">
        <v>11274.56</v>
      </c>
      <c r="Q5326" s="1565">
        <v>8455.92</v>
      </c>
      <c r="R5326" s="1565">
        <v>19730.48</v>
      </c>
      <c r="S5326" s="1562"/>
    </row>
    <row r="5327" spans="2:19" ht="21.75" customHeight="1" outlineLevel="1">
      <c r="B5327" s="1569" t="s">
        <v>6978</v>
      </c>
      <c r="C5327" s="1566" t="s">
        <v>3208</v>
      </c>
      <c r="D5327" s="1566" t="s">
        <v>6977</v>
      </c>
      <c r="E5327" s="1566" t="s">
        <v>2208</v>
      </c>
      <c r="F5327" s="1566"/>
      <c r="G5327" s="1566"/>
      <c r="H5327" s="1568">
        <v>1</v>
      </c>
      <c r="I5327" s="1571">
        <v>19</v>
      </c>
      <c r="J5327" s="1566"/>
      <c r="K5327" s="1565">
        <v>171057.02</v>
      </c>
      <c r="L5327" s="1565">
        <v>171057.02</v>
      </c>
      <c r="M5327" s="1564"/>
      <c r="N5327" s="1565">
        <v>171057.02</v>
      </c>
      <c r="O5327" s="1565">
        <v>131473.63</v>
      </c>
      <c r="P5327" s="1565">
        <v>22619.040000000001</v>
      </c>
      <c r="Q5327" s="1565">
        <v>16964.349999999999</v>
      </c>
      <c r="R5327" s="1565">
        <v>39583.39</v>
      </c>
      <c r="S5327" s="1562"/>
    </row>
    <row r="5328" spans="2:19" ht="11.25" customHeight="1" outlineLevel="1">
      <c r="B5328" s="1569" t="s">
        <v>6976</v>
      </c>
      <c r="C5328" s="1566" t="s">
        <v>3201</v>
      </c>
      <c r="D5328" s="1566" t="s">
        <v>6975</v>
      </c>
      <c r="E5328" s="1566" t="s">
        <v>2219</v>
      </c>
      <c r="F5328" s="1566" t="s">
        <v>6969</v>
      </c>
      <c r="G5328" s="1566" t="s">
        <v>3204</v>
      </c>
      <c r="H5328" s="1568">
        <v>1</v>
      </c>
      <c r="I5328" s="1571">
        <v>117</v>
      </c>
      <c r="J5328" s="1566"/>
      <c r="K5328" s="1565">
        <v>958937.43</v>
      </c>
      <c r="L5328" s="1565">
        <v>958937.43</v>
      </c>
      <c r="M5328" s="1564"/>
      <c r="N5328" s="1565">
        <v>958937.43</v>
      </c>
      <c r="O5328" s="1565">
        <v>887216.25</v>
      </c>
      <c r="P5328" s="1565">
        <v>39845.1</v>
      </c>
      <c r="Q5328" s="1565">
        <v>31876.080000000002</v>
      </c>
      <c r="R5328" s="1565">
        <v>71721.179999999993</v>
      </c>
      <c r="S5328" s="1562"/>
    </row>
    <row r="5329" spans="2:19" ht="11.25" customHeight="1" outlineLevel="1">
      <c r="B5329" s="1569" t="s">
        <v>6974</v>
      </c>
      <c r="C5329" s="1566" t="s">
        <v>3201</v>
      </c>
      <c r="D5329" s="1566" t="s">
        <v>6973</v>
      </c>
      <c r="E5329" s="1566" t="s">
        <v>2219</v>
      </c>
      <c r="F5329" s="1566" t="s">
        <v>6969</v>
      </c>
      <c r="G5329" s="1566" t="s">
        <v>6972</v>
      </c>
      <c r="H5329" s="1568">
        <v>1</v>
      </c>
      <c r="I5329" s="1571">
        <v>233</v>
      </c>
      <c r="J5329" s="1566"/>
      <c r="K5329" s="1565">
        <v>2700194</v>
      </c>
      <c r="L5329" s="1565">
        <v>2700194</v>
      </c>
      <c r="M5329" s="1564"/>
      <c r="N5329" s="1565">
        <v>2700194</v>
      </c>
      <c r="O5329" s="1565">
        <v>2498240.48</v>
      </c>
      <c r="P5329" s="1565">
        <v>112196.4</v>
      </c>
      <c r="Q5329" s="1565">
        <v>89757.119999999995</v>
      </c>
      <c r="R5329" s="1565">
        <v>201953.52</v>
      </c>
      <c r="S5329" s="1562"/>
    </row>
    <row r="5330" spans="2:19" ht="11.25" customHeight="1" outlineLevel="1">
      <c r="B5330" s="1569" t="s">
        <v>6971</v>
      </c>
      <c r="C5330" s="1566" t="s">
        <v>3201</v>
      </c>
      <c r="D5330" s="1566" t="s">
        <v>6970</v>
      </c>
      <c r="E5330" s="1566" t="s">
        <v>2219</v>
      </c>
      <c r="F5330" s="1566" t="s">
        <v>6969</v>
      </c>
      <c r="G5330" s="1566" t="s">
        <v>3198</v>
      </c>
      <c r="H5330" s="1568">
        <v>1</v>
      </c>
      <c r="I5330" s="1571">
        <v>832</v>
      </c>
      <c r="J5330" s="1566"/>
      <c r="K5330" s="1565">
        <v>4506278.4000000004</v>
      </c>
      <c r="L5330" s="1565">
        <v>4506278.4000000004</v>
      </c>
      <c r="M5330" s="1564"/>
      <c r="N5330" s="1565">
        <v>4506278.4000000004</v>
      </c>
      <c r="O5330" s="1565">
        <v>4169243.61</v>
      </c>
      <c r="P5330" s="1565">
        <v>187241.55</v>
      </c>
      <c r="Q5330" s="1565">
        <v>149793.24</v>
      </c>
      <c r="R5330" s="1565">
        <v>337034.79</v>
      </c>
      <c r="S5330" s="1562"/>
    </row>
    <row r="5331" spans="2:19" ht="11.25" customHeight="1" outlineLevel="1">
      <c r="B5331" s="1569" t="s">
        <v>6968</v>
      </c>
      <c r="C5331" s="1566" t="s">
        <v>6967</v>
      </c>
      <c r="D5331" s="1566" t="s">
        <v>6966</v>
      </c>
      <c r="E5331" s="1566" t="s">
        <v>2288</v>
      </c>
      <c r="F5331" s="1566" t="s">
        <v>6965</v>
      </c>
      <c r="G5331" s="1566"/>
      <c r="H5331" s="1568">
        <v>3</v>
      </c>
      <c r="I5331" s="1566"/>
      <c r="J5331" s="1566"/>
      <c r="K5331" s="1565">
        <v>120000</v>
      </c>
      <c r="L5331" s="1565">
        <v>120000</v>
      </c>
      <c r="M5331" s="1564"/>
      <c r="N5331" s="1565">
        <v>120000</v>
      </c>
      <c r="O5331" s="1565">
        <v>66885.31</v>
      </c>
      <c r="P5331" s="1565">
        <v>29508.15</v>
      </c>
      <c r="Q5331" s="1565">
        <v>23606.54</v>
      </c>
      <c r="R5331" s="1565">
        <v>53114.69</v>
      </c>
      <c r="S5331" s="1562"/>
    </row>
    <row r="5332" spans="2:19" ht="21.75" customHeight="1" outlineLevel="1">
      <c r="B5332" s="1569" t="s">
        <v>6964</v>
      </c>
      <c r="C5332" s="1566" t="s">
        <v>3191</v>
      </c>
      <c r="D5332" s="1566" t="s">
        <v>6963</v>
      </c>
      <c r="E5332" s="1566" t="s">
        <v>2208</v>
      </c>
      <c r="F5332" s="1566"/>
      <c r="G5332" s="1566"/>
      <c r="H5332" s="1568">
        <v>1</v>
      </c>
      <c r="I5332" s="1571">
        <v>21</v>
      </c>
      <c r="J5332" s="1566"/>
      <c r="K5332" s="1565">
        <v>205064.98</v>
      </c>
      <c r="L5332" s="1565">
        <v>205064.98</v>
      </c>
      <c r="M5332" s="1564"/>
      <c r="N5332" s="1565">
        <v>205064.98</v>
      </c>
      <c r="O5332" s="1565">
        <v>159306.73000000001</v>
      </c>
      <c r="P5332" s="1565">
        <v>25421.25</v>
      </c>
      <c r="Q5332" s="1565">
        <v>20337</v>
      </c>
      <c r="R5332" s="1565">
        <v>45758.25</v>
      </c>
      <c r="S5332" s="1562"/>
    </row>
    <row r="5333" spans="2:19" ht="21.75" customHeight="1" outlineLevel="1">
      <c r="B5333" s="1569" t="s">
        <v>6962</v>
      </c>
      <c r="C5333" s="1566" t="s">
        <v>3191</v>
      </c>
      <c r="D5333" s="1566" t="s">
        <v>6961</v>
      </c>
      <c r="E5333" s="1566" t="s">
        <v>2208</v>
      </c>
      <c r="F5333" s="1566"/>
      <c r="G5333" s="1566"/>
      <c r="H5333" s="1568">
        <v>1</v>
      </c>
      <c r="I5333" s="1571">
        <v>8</v>
      </c>
      <c r="J5333" s="1566"/>
      <c r="K5333" s="1565">
        <v>20947.330000000002</v>
      </c>
      <c r="L5333" s="1565">
        <v>20947.330000000002</v>
      </c>
      <c r="M5333" s="1564"/>
      <c r="N5333" s="1565">
        <v>20947.330000000002</v>
      </c>
      <c r="O5333" s="1565">
        <v>16273.09</v>
      </c>
      <c r="P5333" s="1565">
        <v>2596.8000000000002</v>
      </c>
      <c r="Q5333" s="1565">
        <v>2077.44</v>
      </c>
      <c r="R5333" s="1565">
        <v>4674.24</v>
      </c>
      <c r="S5333" s="1562"/>
    </row>
    <row r="5334" spans="2:19" ht="21.75" customHeight="1" outlineLevel="1">
      <c r="B5334" s="1569" t="s">
        <v>6960</v>
      </c>
      <c r="C5334" s="1566" t="s">
        <v>3191</v>
      </c>
      <c r="D5334" s="1566" t="s">
        <v>6959</v>
      </c>
      <c r="E5334" s="1566" t="s">
        <v>2208</v>
      </c>
      <c r="F5334" s="1566"/>
      <c r="G5334" s="1566"/>
      <c r="H5334" s="1568">
        <v>1</v>
      </c>
      <c r="I5334" s="1570">
        <v>11.5</v>
      </c>
      <c r="J5334" s="1566"/>
      <c r="K5334" s="1565">
        <v>217013.35</v>
      </c>
      <c r="L5334" s="1565">
        <v>217013.35</v>
      </c>
      <c r="M5334" s="1564"/>
      <c r="N5334" s="1565">
        <v>217013.35</v>
      </c>
      <c r="O5334" s="1565">
        <v>168588.85</v>
      </c>
      <c r="P5334" s="1565">
        <v>26902.5</v>
      </c>
      <c r="Q5334" s="1565">
        <v>21522</v>
      </c>
      <c r="R5334" s="1565">
        <v>48424.5</v>
      </c>
      <c r="S5334" s="1562"/>
    </row>
    <row r="5335" spans="2:19" ht="21.75" customHeight="1" outlineLevel="1">
      <c r="B5335" s="1569" t="s">
        <v>6958</v>
      </c>
      <c r="C5335" s="1566" t="s">
        <v>3191</v>
      </c>
      <c r="D5335" s="1566" t="s">
        <v>6957</v>
      </c>
      <c r="E5335" s="1566" t="s">
        <v>2208</v>
      </c>
      <c r="F5335" s="1566"/>
      <c r="G5335" s="1566"/>
      <c r="H5335" s="1568">
        <v>1</v>
      </c>
      <c r="I5335" s="1571">
        <v>60</v>
      </c>
      <c r="J5335" s="1566"/>
      <c r="K5335" s="1565">
        <v>312447.43</v>
      </c>
      <c r="L5335" s="1565">
        <v>312447.43</v>
      </c>
      <c r="M5335" s="1564"/>
      <c r="N5335" s="1565">
        <v>312447.43</v>
      </c>
      <c r="O5335" s="1565">
        <v>242727.76</v>
      </c>
      <c r="P5335" s="1565">
        <v>38733.15</v>
      </c>
      <c r="Q5335" s="1565">
        <v>30986.52</v>
      </c>
      <c r="R5335" s="1565">
        <v>69719.67</v>
      </c>
      <c r="S5335" s="1562"/>
    </row>
    <row r="5336" spans="2:19" ht="21.75" customHeight="1" outlineLevel="1">
      <c r="B5336" s="1569" t="s">
        <v>6956</v>
      </c>
      <c r="C5336" s="1566" t="s">
        <v>3191</v>
      </c>
      <c r="D5336" s="1566" t="s">
        <v>6955</v>
      </c>
      <c r="E5336" s="1566" t="s">
        <v>2208</v>
      </c>
      <c r="F5336" s="1566"/>
      <c r="G5336" s="1566"/>
      <c r="H5336" s="1568">
        <v>1</v>
      </c>
      <c r="I5336" s="1571">
        <v>28</v>
      </c>
      <c r="J5336" s="1566"/>
      <c r="K5336" s="1565">
        <v>141147.01999999999</v>
      </c>
      <c r="L5336" s="1565">
        <v>141147.01999999999</v>
      </c>
      <c r="M5336" s="1564"/>
      <c r="N5336" s="1565">
        <v>141147.01999999999</v>
      </c>
      <c r="O5336" s="1565">
        <v>109651.47</v>
      </c>
      <c r="P5336" s="1565">
        <v>17497.5</v>
      </c>
      <c r="Q5336" s="1565">
        <v>13998.05</v>
      </c>
      <c r="R5336" s="1565">
        <v>31495.55</v>
      </c>
      <c r="S5336" s="1562"/>
    </row>
    <row r="5337" spans="2:19" ht="21.75" customHeight="1" outlineLevel="1">
      <c r="B5337" s="1569" t="s">
        <v>6954</v>
      </c>
      <c r="C5337" s="1566" t="s">
        <v>6951</v>
      </c>
      <c r="D5337" s="1566" t="s">
        <v>6953</v>
      </c>
      <c r="E5337" s="1566" t="s">
        <v>2208</v>
      </c>
      <c r="F5337" s="1566"/>
      <c r="G5337" s="1566"/>
      <c r="H5337" s="1568">
        <v>1</v>
      </c>
      <c r="I5337" s="1571">
        <v>6</v>
      </c>
      <c r="J5337" s="1566"/>
      <c r="K5337" s="1565">
        <v>165690.18</v>
      </c>
      <c r="L5337" s="1565">
        <v>165690.18</v>
      </c>
      <c r="M5337" s="1564"/>
      <c r="N5337" s="1565">
        <v>165690.18</v>
      </c>
      <c r="O5337" s="1565">
        <v>130087.34</v>
      </c>
      <c r="P5337" s="1565">
        <v>19170.759999999998</v>
      </c>
      <c r="Q5337" s="1565">
        <v>16432.080000000002</v>
      </c>
      <c r="R5337" s="1565">
        <v>35602.839999999997</v>
      </c>
      <c r="S5337" s="1562"/>
    </row>
    <row r="5338" spans="2:19" ht="21.75" customHeight="1" outlineLevel="1">
      <c r="B5338" s="1569" t="s">
        <v>6952</v>
      </c>
      <c r="C5338" s="1566" t="s">
        <v>6951</v>
      </c>
      <c r="D5338" s="1566" t="s">
        <v>6950</v>
      </c>
      <c r="E5338" s="1566" t="s">
        <v>2208</v>
      </c>
      <c r="F5338" s="1566"/>
      <c r="G5338" s="1566"/>
      <c r="H5338" s="1568">
        <v>1</v>
      </c>
      <c r="I5338" s="1571">
        <v>27</v>
      </c>
      <c r="J5338" s="1566"/>
      <c r="K5338" s="1565">
        <v>114603.82</v>
      </c>
      <c r="L5338" s="1565">
        <v>114603.82</v>
      </c>
      <c r="M5338" s="1564"/>
      <c r="N5338" s="1565">
        <v>114603.82</v>
      </c>
      <c r="O5338" s="1565">
        <v>89978.18</v>
      </c>
      <c r="P5338" s="1565">
        <v>13259.96</v>
      </c>
      <c r="Q5338" s="1565">
        <v>11365.68</v>
      </c>
      <c r="R5338" s="1565">
        <v>24625.64</v>
      </c>
      <c r="S5338" s="1562"/>
    </row>
    <row r="5339" spans="2:19" ht="11.25" customHeight="1" outlineLevel="1">
      <c r="B5339" s="1569" t="s">
        <v>6949</v>
      </c>
      <c r="C5339" s="1566" t="s">
        <v>6948</v>
      </c>
      <c r="D5339" s="1566" t="s">
        <v>6947</v>
      </c>
      <c r="E5339" s="1566" t="s">
        <v>2219</v>
      </c>
      <c r="F5339" s="1566" t="s">
        <v>2580</v>
      </c>
      <c r="G5339" s="1566" t="s">
        <v>6946</v>
      </c>
      <c r="H5339" s="1568">
        <v>1</v>
      </c>
      <c r="I5339" s="1571">
        <v>106</v>
      </c>
      <c r="J5339" s="1566"/>
      <c r="K5339" s="1565">
        <v>238975.4</v>
      </c>
      <c r="L5339" s="1565">
        <v>238975.4</v>
      </c>
      <c r="M5339" s="1564"/>
      <c r="N5339" s="1565">
        <v>238975.4</v>
      </c>
      <c r="O5339" s="1565">
        <v>206149.15</v>
      </c>
      <c r="P5339" s="1565">
        <v>17069.650000000001</v>
      </c>
      <c r="Q5339" s="1565">
        <v>15756.6</v>
      </c>
      <c r="R5339" s="1565">
        <v>32826.25</v>
      </c>
      <c r="S5339" s="1562"/>
    </row>
    <row r="5340" spans="2:19" ht="21.75" customHeight="1" outlineLevel="1">
      <c r="B5340" s="1569" t="s">
        <v>6945</v>
      </c>
      <c r="C5340" s="1566" t="s">
        <v>6940</v>
      </c>
      <c r="D5340" s="1566" t="s">
        <v>6944</v>
      </c>
      <c r="E5340" s="1566" t="s">
        <v>2208</v>
      </c>
      <c r="F5340" s="1566"/>
      <c r="G5340" s="1566"/>
      <c r="H5340" s="1568">
        <v>1</v>
      </c>
      <c r="I5340" s="1570">
        <v>406.6</v>
      </c>
      <c r="J5340" s="1566"/>
      <c r="K5340" s="1565">
        <v>1869648.46</v>
      </c>
      <c r="L5340" s="1565">
        <v>1869648.46</v>
      </c>
      <c r="M5340" s="1564"/>
      <c r="N5340" s="1565">
        <v>1869648.46</v>
      </c>
      <c r="O5340" s="1565">
        <v>1483357.46</v>
      </c>
      <c r="P5340" s="1565">
        <v>200871.32</v>
      </c>
      <c r="Q5340" s="1565">
        <v>185419.68</v>
      </c>
      <c r="R5340" s="1565">
        <v>386291</v>
      </c>
      <c r="S5340" s="1562"/>
    </row>
    <row r="5341" spans="2:19" ht="11.25" customHeight="1" outlineLevel="1">
      <c r="B5341" s="1569" t="s">
        <v>6943</v>
      </c>
      <c r="C5341" s="1566" t="s">
        <v>6940</v>
      </c>
      <c r="D5341" s="1566" t="s">
        <v>6942</v>
      </c>
      <c r="E5341" s="1566" t="s">
        <v>2208</v>
      </c>
      <c r="F5341" s="1566"/>
      <c r="G5341" s="1566"/>
      <c r="H5341" s="1568">
        <v>1</v>
      </c>
      <c r="I5341" s="1570">
        <v>4.5</v>
      </c>
      <c r="J5341" s="1566"/>
      <c r="K5341" s="1565">
        <v>18648.12</v>
      </c>
      <c r="L5341" s="1565">
        <v>18648.12</v>
      </c>
      <c r="M5341" s="1564"/>
      <c r="N5341" s="1565">
        <v>18648.12</v>
      </c>
      <c r="O5341" s="1565">
        <v>14795.12</v>
      </c>
      <c r="P5341" s="1565">
        <v>2003.56</v>
      </c>
      <c r="Q5341" s="1565">
        <v>1849.44</v>
      </c>
      <c r="R5341" s="1565">
        <v>3853</v>
      </c>
      <c r="S5341" s="1562"/>
    </row>
    <row r="5342" spans="2:19" ht="21.75" customHeight="1" outlineLevel="1">
      <c r="B5342" s="1569" t="s">
        <v>6941</v>
      </c>
      <c r="C5342" s="1566" t="s">
        <v>6940</v>
      </c>
      <c r="D5342" s="1566" t="s">
        <v>6939</v>
      </c>
      <c r="E5342" s="1566" t="s">
        <v>2208</v>
      </c>
      <c r="F5342" s="1566"/>
      <c r="G5342" s="1566"/>
      <c r="H5342" s="1568">
        <v>1</v>
      </c>
      <c r="I5342" s="1571">
        <v>7</v>
      </c>
      <c r="J5342" s="1566"/>
      <c r="K5342" s="1565">
        <v>60615.59</v>
      </c>
      <c r="L5342" s="1565">
        <v>60615.59</v>
      </c>
      <c r="M5342" s="1564"/>
      <c r="N5342" s="1565">
        <v>60615.59</v>
      </c>
      <c r="O5342" s="1565">
        <v>48091.68</v>
      </c>
      <c r="P5342" s="1565">
        <v>6512.48</v>
      </c>
      <c r="Q5342" s="1565">
        <v>6011.43</v>
      </c>
      <c r="R5342" s="1565">
        <v>12523.91</v>
      </c>
      <c r="S5342" s="1562"/>
    </row>
    <row r="5343" spans="2:19" ht="21.75" customHeight="1" outlineLevel="1">
      <c r="B5343" s="1569" t="s">
        <v>6938</v>
      </c>
      <c r="C5343" s="1566" t="s">
        <v>6937</v>
      </c>
      <c r="D5343" s="1566" t="s">
        <v>6936</v>
      </c>
      <c r="E5343" s="1566" t="s">
        <v>2219</v>
      </c>
      <c r="F5343" s="1566" t="s">
        <v>6935</v>
      </c>
      <c r="G5343" s="1566" t="s">
        <v>2294</v>
      </c>
      <c r="H5343" s="1568">
        <v>1</v>
      </c>
      <c r="I5343" s="1571">
        <v>16</v>
      </c>
      <c r="J5343" s="1566"/>
      <c r="K5343" s="1565">
        <v>162821.01999999999</v>
      </c>
      <c r="L5343" s="1565">
        <v>162821.01999999999</v>
      </c>
      <c r="M5343" s="1564"/>
      <c r="N5343" s="1565">
        <v>162821.01999999999</v>
      </c>
      <c r="O5343" s="1565">
        <v>151996.29999999999</v>
      </c>
      <c r="P5343" s="1565">
        <v>5412.36</v>
      </c>
      <c r="Q5343" s="1565">
        <v>5412.36</v>
      </c>
      <c r="R5343" s="1565">
        <v>10824.72</v>
      </c>
      <c r="S5343" s="1562"/>
    </row>
    <row r="5344" spans="2:19" ht="11.25" customHeight="1" outlineLevel="1">
      <c r="B5344" s="1569" t="s">
        <v>6934</v>
      </c>
      <c r="C5344" s="1566" t="s">
        <v>3178</v>
      </c>
      <c r="D5344" s="1566" t="s">
        <v>6933</v>
      </c>
      <c r="E5344" s="1566" t="s">
        <v>2208</v>
      </c>
      <c r="F5344" s="1566"/>
      <c r="G5344" s="1566"/>
      <c r="H5344" s="1568">
        <v>1</v>
      </c>
      <c r="I5344" s="1571">
        <v>27</v>
      </c>
      <c r="J5344" s="1566"/>
      <c r="K5344" s="1565">
        <v>66442.19</v>
      </c>
      <c r="L5344" s="1565">
        <v>66442.19</v>
      </c>
      <c r="M5344" s="1564"/>
      <c r="N5344" s="1565">
        <v>66442.19</v>
      </c>
      <c r="O5344" s="1565">
        <v>53263.55</v>
      </c>
      <c r="P5344" s="1565">
        <v>6589.32</v>
      </c>
      <c r="Q5344" s="1565">
        <v>6589.32</v>
      </c>
      <c r="R5344" s="1565">
        <v>13178.64</v>
      </c>
      <c r="S5344" s="1562"/>
    </row>
    <row r="5345" spans="2:19" ht="21.75" customHeight="1" outlineLevel="1">
      <c r="B5345" s="1569" t="s">
        <v>6932</v>
      </c>
      <c r="C5345" s="1566" t="s">
        <v>3178</v>
      </c>
      <c r="D5345" s="1566" t="s">
        <v>6931</v>
      </c>
      <c r="E5345" s="1566" t="s">
        <v>2208</v>
      </c>
      <c r="F5345" s="1566"/>
      <c r="G5345" s="1566"/>
      <c r="H5345" s="1568">
        <v>1</v>
      </c>
      <c r="I5345" s="1571">
        <v>12</v>
      </c>
      <c r="J5345" s="1566"/>
      <c r="K5345" s="1565">
        <v>114523.17</v>
      </c>
      <c r="L5345" s="1565">
        <v>114523.17</v>
      </c>
      <c r="M5345" s="1564"/>
      <c r="N5345" s="1565">
        <v>114523.17</v>
      </c>
      <c r="O5345" s="1565">
        <v>91807.89</v>
      </c>
      <c r="P5345" s="1565">
        <v>11357.64</v>
      </c>
      <c r="Q5345" s="1565">
        <v>11357.64</v>
      </c>
      <c r="R5345" s="1565">
        <v>22715.279999999999</v>
      </c>
      <c r="S5345" s="1562"/>
    </row>
    <row r="5346" spans="2:19" ht="21.75" customHeight="1" outlineLevel="1">
      <c r="B5346" s="1569" t="s">
        <v>6930</v>
      </c>
      <c r="C5346" s="1566" t="s">
        <v>3178</v>
      </c>
      <c r="D5346" s="1566" t="s">
        <v>6929</v>
      </c>
      <c r="E5346" s="1566" t="s">
        <v>2208</v>
      </c>
      <c r="F5346" s="1566"/>
      <c r="G5346" s="1566"/>
      <c r="H5346" s="1568">
        <v>1</v>
      </c>
      <c r="I5346" s="1571">
        <v>11</v>
      </c>
      <c r="J5346" s="1566"/>
      <c r="K5346" s="1565">
        <v>270709.69</v>
      </c>
      <c r="L5346" s="1565">
        <v>270709.69</v>
      </c>
      <c r="M5346" s="1564"/>
      <c r="N5346" s="1565">
        <v>270709.69</v>
      </c>
      <c r="O5346" s="1565">
        <v>217015.21</v>
      </c>
      <c r="P5346" s="1565">
        <v>26847.24</v>
      </c>
      <c r="Q5346" s="1565">
        <v>26847.24</v>
      </c>
      <c r="R5346" s="1565">
        <v>53694.48</v>
      </c>
      <c r="S5346" s="1562"/>
    </row>
    <row r="5347" spans="2:19" ht="21.75" customHeight="1" outlineLevel="1">
      <c r="B5347" s="1569" t="s">
        <v>6928</v>
      </c>
      <c r="C5347" s="1566" t="s">
        <v>3178</v>
      </c>
      <c r="D5347" s="1566" t="s">
        <v>6927</v>
      </c>
      <c r="E5347" s="1566" t="s">
        <v>2266</v>
      </c>
      <c r="F5347" s="1566"/>
      <c r="G5347" s="1566"/>
      <c r="H5347" s="1568">
        <v>1</v>
      </c>
      <c r="I5347" s="1567">
        <v>70.16</v>
      </c>
      <c r="J5347" s="1566"/>
      <c r="K5347" s="1565">
        <v>2313507.2200000002</v>
      </c>
      <c r="L5347" s="1565">
        <v>2313507.2200000002</v>
      </c>
      <c r="M5347" s="1564"/>
      <c r="N5347" s="1565">
        <v>2313507.2200000002</v>
      </c>
      <c r="O5347" s="1565">
        <v>1854629.81</v>
      </c>
      <c r="P5347" s="1565">
        <v>229438.68</v>
      </c>
      <c r="Q5347" s="1565">
        <v>229438.73</v>
      </c>
      <c r="R5347" s="1565">
        <v>458877.41</v>
      </c>
      <c r="S5347" s="1562"/>
    </row>
    <row r="5348" spans="2:19" ht="21.75" customHeight="1" outlineLevel="1">
      <c r="B5348" s="1569" t="s">
        <v>6926</v>
      </c>
      <c r="C5348" s="1566" t="s">
        <v>3173</v>
      </c>
      <c r="D5348" s="1566" t="s">
        <v>6925</v>
      </c>
      <c r="E5348" s="1566" t="s">
        <v>2208</v>
      </c>
      <c r="F5348" s="1566"/>
      <c r="G5348" s="1566"/>
      <c r="H5348" s="1568">
        <v>1</v>
      </c>
      <c r="I5348" s="1571">
        <v>27</v>
      </c>
      <c r="J5348" s="1566"/>
      <c r="K5348" s="1565">
        <v>368950.32</v>
      </c>
      <c r="L5348" s="1565">
        <v>368950.32</v>
      </c>
      <c r="M5348" s="1564"/>
      <c r="N5348" s="1565">
        <v>368950.32</v>
      </c>
      <c r="O5348" s="1565">
        <v>298819.18</v>
      </c>
      <c r="P5348" s="1565">
        <v>33540.980000000003</v>
      </c>
      <c r="Q5348" s="1565">
        <v>36590.160000000003</v>
      </c>
      <c r="R5348" s="1565">
        <v>70131.14</v>
      </c>
      <c r="S5348" s="1562"/>
    </row>
    <row r="5349" spans="2:19" ht="21.75" customHeight="1" outlineLevel="1">
      <c r="B5349" s="1569" t="s">
        <v>6924</v>
      </c>
      <c r="C5349" s="1566" t="s">
        <v>3173</v>
      </c>
      <c r="D5349" s="1566" t="s">
        <v>6923</v>
      </c>
      <c r="E5349" s="1566" t="s">
        <v>2208</v>
      </c>
      <c r="F5349" s="1566"/>
      <c r="G5349" s="1566"/>
      <c r="H5349" s="1568">
        <v>1</v>
      </c>
      <c r="I5349" s="1571">
        <v>30</v>
      </c>
      <c r="J5349" s="1566"/>
      <c r="K5349" s="1565">
        <v>143450.82999999999</v>
      </c>
      <c r="L5349" s="1565">
        <v>143450.82999999999</v>
      </c>
      <c r="M5349" s="1564"/>
      <c r="N5349" s="1565">
        <v>143450.82999999999</v>
      </c>
      <c r="O5349" s="1565">
        <v>116183.41</v>
      </c>
      <c r="P5349" s="1565">
        <v>13040.94</v>
      </c>
      <c r="Q5349" s="1565">
        <v>14226.48</v>
      </c>
      <c r="R5349" s="1565">
        <v>27267.42</v>
      </c>
      <c r="S5349" s="1562"/>
    </row>
    <row r="5350" spans="2:19" ht="21.75" customHeight="1" outlineLevel="1">
      <c r="B5350" s="1569" t="s">
        <v>6922</v>
      </c>
      <c r="C5350" s="1566" t="s">
        <v>3173</v>
      </c>
      <c r="D5350" s="1566" t="s">
        <v>6921</v>
      </c>
      <c r="E5350" s="1566" t="s">
        <v>2208</v>
      </c>
      <c r="F5350" s="1566"/>
      <c r="G5350" s="1566"/>
      <c r="H5350" s="1568">
        <v>1</v>
      </c>
      <c r="I5350" s="1570">
        <v>90.7</v>
      </c>
      <c r="J5350" s="1566"/>
      <c r="K5350" s="1565">
        <v>583014.32999999996</v>
      </c>
      <c r="L5350" s="1565">
        <v>583014.32999999996</v>
      </c>
      <c r="M5350" s="1564"/>
      <c r="N5350" s="1565">
        <v>583014.32999999996</v>
      </c>
      <c r="O5350" s="1565">
        <v>472193.43</v>
      </c>
      <c r="P5350" s="1565">
        <v>53001.3</v>
      </c>
      <c r="Q5350" s="1565">
        <v>57819.6</v>
      </c>
      <c r="R5350" s="1565">
        <v>110820.9</v>
      </c>
      <c r="S5350" s="1562"/>
    </row>
    <row r="5351" spans="2:19" ht="21.75" customHeight="1" outlineLevel="1">
      <c r="B5351" s="1569" t="s">
        <v>6920</v>
      </c>
      <c r="C5351" s="1566" t="s">
        <v>3173</v>
      </c>
      <c r="D5351" s="1566" t="s">
        <v>6919</v>
      </c>
      <c r="E5351" s="1566" t="s">
        <v>2208</v>
      </c>
      <c r="F5351" s="1566"/>
      <c r="G5351" s="1566"/>
      <c r="H5351" s="1568">
        <v>1</v>
      </c>
      <c r="I5351" s="1570">
        <v>10.5</v>
      </c>
      <c r="J5351" s="1566"/>
      <c r="K5351" s="1565">
        <v>242485.42</v>
      </c>
      <c r="L5351" s="1565">
        <v>242485.42</v>
      </c>
      <c r="M5351" s="1564"/>
      <c r="N5351" s="1565">
        <v>242485.42</v>
      </c>
      <c r="O5351" s="1565">
        <v>196393.19</v>
      </c>
      <c r="P5351" s="1565">
        <v>22044.11</v>
      </c>
      <c r="Q5351" s="1565">
        <v>24048.12</v>
      </c>
      <c r="R5351" s="1565">
        <v>46092.23</v>
      </c>
      <c r="S5351" s="1562"/>
    </row>
    <row r="5352" spans="2:19" ht="21.75" customHeight="1" outlineLevel="1">
      <c r="B5352" s="1569" t="s">
        <v>6918</v>
      </c>
      <c r="C5352" s="1566" t="s">
        <v>6909</v>
      </c>
      <c r="D5352" s="1566" t="s">
        <v>6917</v>
      </c>
      <c r="E5352" s="1566" t="s">
        <v>2208</v>
      </c>
      <c r="F5352" s="1566"/>
      <c r="G5352" s="1566"/>
      <c r="H5352" s="1568">
        <v>1</v>
      </c>
      <c r="I5352" s="1571">
        <v>12</v>
      </c>
      <c r="J5352" s="1566"/>
      <c r="K5352" s="1565">
        <v>72521.919999999998</v>
      </c>
      <c r="L5352" s="1565">
        <v>72521.919999999998</v>
      </c>
      <c r="M5352" s="1564"/>
      <c r="N5352" s="1565">
        <v>72521.919999999998</v>
      </c>
      <c r="O5352" s="1565">
        <v>59336.14</v>
      </c>
      <c r="P5352" s="1565">
        <v>5993.5</v>
      </c>
      <c r="Q5352" s="1565">
        <v>7192.28</v>
      </c>
      <c r="R5352" s="1565">
        <v>13185.78</v>
      </c>
      <c r="S5352" s="1562"/>
    </row>
    <row r="5353" spans="2:19" ht="21.75" customHeight="1" outlineLevel="1">
      <c r="B5353" s="1569" t="s">
        <v>6916</v>
      </c>
      <c r="C5353" s="1566" t="s">
        <v>6909</v>
      </c>
      <c r="D5353" s="1566" t="s">
        <v>6915</v>
      </c>
      <c r="E5353" s="1566" t="s">
        <v>2208</v>
      </c>
      <c r="F5353" s="1566"/>
      <c r="G5353" s="1566"/>
      <c r="H5353" s="1568">
        <v>1</v>
      </c>
      <c r="I5353" s="1571">
        <v>18</v>
      </c>
      <c r="J5353" s="1566"/>
      <c r="K5353" s="1565">
        <v>281089.13</v>
      </c>
      <c r="L5353" s="1565">
        <v>281089.13</v>
      </c>
      <c r="M5353" s="1564"/>
      <c r="N5353" s="1565">
        <v>281089.13</v>
      </c>
      <c r="O5353" s="1565">
        <v>229982.03</v>
      </c>
      <c r="P5353" s="1565">
        <v>23230.5</v>
      </c>
      <c r="Q5353" s="1565">
        <v>27876.6</v>
      </c>
      <c r="R5353" s="1565">
        <v>51107.1</v>
      </c>
      <c r="S5353" s="1562"/>
    </row>
    <row r="5354" spans="2:19" ht="21.75" customHeight="1" outlineLevel="1">
      <c r="B5354" s="1569" t="s">
        <v>6914</v>
      </c>
      <c r="C5354" s="1566" t="s">
        <v>6909</v>
      </c>
      <c r="D5354" s="1566" t="s">
        <v>6913</v>
      </c>
      <c r="E5354" s="1566" t="s">
        <v>2208</v>
      </c>
      <c r="F5354" s="1566"/>
      <c r="G5354" s="1566"/>
      <c r="H5354" s="1568">
        <v>1</v>
      </c>
      <c r="I5354" s="1571">
        <v>50</v>
      </c>
      <c r="J5354" s="1566"/>
      <c r="K5354" s="1565">
        <v>351795.89</v>
      </c>
      <c r="L5354" s="1565">
        <v>351795.89</v>
      </c>
      <c r="M5354" s="1564"/>
      <c r="N5354" s="1565">
        <v>351795.89</v>
      </c>
      <c r="O5354" s="1565">
        <v>287833.09000000003</v>
      </c>
      <c r="P5354" s="1565">
        <v>29074</v>
      </c>
      <c r="Q5354" s="1565">
        <v>34888.800000000003</v>
      </c>
      <c r="R5354" s="1565">
        <v>63962.8</v>
      </c>
      <c r="S5354" s="1562"/>
    </row>
    <row r="5355" spans="2:19" ht="21.75" customHeight="1" outlineLevel="1">
      <c r="B5355" s="1569" t="s">
        <v>6912</v>
      </c>
      <c r="C5355" s="1566" t="s">
        <v>6909</v>
      </c>
      <c r="D5355" s="1566" t="s">
        <v>6911</v>
      </c>
      <c r="E5355" s="1566" t="s">
        <v>2208</v>
      </c>
      <c r="F5355" s="1566"/>
      <c r="G5355" s="1566"/>
      <c r="H5355" s="1568">
        <v>1</v>
      </c>
      <c r="I5355" s="1571">
        <v>25</v>
      </c>
      <c r="J5355" s="1566"/>
      <c r="K5355" s="1565">
        <v>438433.29</v>
      </c>
      <c r="L5355" s="1565">
        <v>438433.29</v>
      </c>
      <c r="M5355" s="1564"/>
      <c r="N5355" s="1565">
        <v>438433.29</v>
      </c>
      <c r="O5355" s="1565">
        <v>358718.08</v>
      </c>
      <c r="P5355" s="1565">
        <v>36234.199999999997</v>
      </c>
      <c r="Q5355" s="1565">
        <v>43481.01</v>
      </c>
      <c r="R5355" s="1565">
        <v>79715.210000000006</v>
      </c>
      <c r="S5355" s="1562"/>
    </row>
    <row r="5356" spans="2:19" ht="21.75" customHeight="1" outlineLevel="1">
      <c r="B5356" s="1569" t="s">
        <v>6910</v>
      </c>
      <c r="C5356" s="1566" t="s">
        <v>6909</v>
      </c>
      <c r="D5356" s="1566" t="s">
        <v>6908</v>
      </c>
      <c r="E5356" s="1566" t="s">
        <v>2208</v>
      </c>
      <c r="F5356" s="1566"/>
      <c r="G5356" s="1566"/>
      <c r="H5356" s="1568">
        <v>1</v>
      </c>
      <c r="I5356" s="1571">
        <v>7</v>
      </c>
      <c r="J5356" s="1566"/>
      <c r="K5356" s="1565">
        <v>94318.97</v>
      </c>
      <c r="L5356" s="1565">
        <v>94318.97</v>
      </c>
      <c r="M5356" s="1564"/>
      <c r="N5356" s="1565">
        <v>94318.97</v>
      </c>
      <c r="O5356" s="1565">
        <v>77170</v>
      </c>
      <c r="P5356" s="1565">
        <v>7795</v>
      </c>
      <c r="Q5356" s="1565">
        <v>9353.9699999999993</v>
      </c>
      <c r="R5356" s="1565">
        <v>17148.97</v>
      </c>
      <c r="S5356" s="1562"/>
    </row>
    <row r="5357" spans="2:19" ht="21.75" customHeight="1" outlineLevel="1">
      <c r="B5357" s="1569" t="s">
        <v>6907</v>
      </c>
      <c r="C5357" s="1566" t="s">
        <v>3165</v>
      </c>
      <c r="D5357" s="1566" t="s">
        <v>6906</v>
      </c>
      <c r="E5357" s="1566" t="s">
        <v>2208</v>
      </c>
      <c r="F5357" s="1566"/>
      <c r="G5357" s="1566"/>
      <c r="H5357" s="1568">
        <v>1</v>
      </c>
      <c r="I5357" s="1571">
        <v>56</v>
      </c>
      <c r="J5357" s="1566"/>
      <c r="K5357" s="1565">
        <v>180913.22</v>
      </c>
      <c r="L5357" s="1565">
        <v>180913.22</v>
      </c>
      <c r="M5357" s="1564"/>
      <c r="N5357" s="1565">
        <v>180913.22</v>
      </c>
      <c r="O5357" s="1565">
        <v>151010.22</v>
      </c>
      <c r="P5357" s="1565">
        <v>11961.2</v>
      </c>
      <c r="Q5357" s="1565">
        <v>17941.8</v>
      </c>
      <c r="R5357" s="1565">
        <v>29903</v>
      </c>
      <c r="S5357" s="1562"/>
    </row>
    <row r="5358" spans="2:19" ht="21.75" customHeight="1" outlineLevel="1">
      <c r="B5358" s="1569" t="s">
        <v>6905</v>
      </c>
      <c r="C5358" s="1566" t="s">
        <v>3162</v>
      </c>
      <c r="D5358" s="1566" t="s">
        <v>6904</v>
      </c>
      <c r="E5358" s="1566" t="s">
        <v>2208</v>
      </c>
      <c r="F5358" s="1566"/>
      <c r="G5358" s="1566"/>
      <c r="H5358" s="1568">
        <v>1</v>
      </c>
      <c r="I5358" s="1570">
        <v>8.5</v>
      </c>
      <c r="J5358" s="1566"/>
      <c r="K5358" s="1565">
        <v>119020.73</v>
      </c>
      <c r="L5358" s="1565">
        <v>119020.73</v>
      </c>
      <c r="M5358" s="1564"/>
      <c r="N5358" s="1565">
        <v>119020.73</v>
      </c>
      <c r="O5358" s="1565">
        <v>99347.93</v>
      </c>
      <c r="P5358" s="1565">
        <v>7869.12</v>
      </c>
      <c r="Q5358" s="1565">
        <v>11803.68</v>
      </c>
      <c r="R5358" s="1565">
        <v>19672.8</v>
      </c>
      <c r="S5358" s="1562"/>
    </row>
    <row r="5359" spans="2:19" ht="11.25" customHeight="1" outlineLevel="1">
      <c r="B5359" s="1569" t="s">
        <v>6903</v>
      </c>
      <c r="C5359" s="1566" t="s">
        <v>3162</v>
      </c>
      <c r="D5359" s="1566" t="s">
        <v>6902</v>
      </c>
      <c r="E5359" s="1566" t="s">
        <v>2208</v>
      </c>
      <c r="F5359" s="1566"/>
      <c r="G5359" s="1566"/>
      <c r="H5359" s="1568">
        <v>1</v>
      </c>
      <c r="I5359" s="1571">
        <v>46</v>
      </c>
      <c r="J5359" s="1566"/>
      <c r="K5359" s="1565">
        <v>281739.69</v>
      </c>
      <c r="L5359" s="1565">
        <v>281739.69</v>
      </c>
      <c r="M5359" s="1564"/>
      <c r="N5359" s="1565">
        <v>281739.69</v>
      </c>
      <c r="O5359" s="1565">
        <v>235171.09</v>
      </c>
      <c r="P5359" s="1565">
        <v>18627.439999999999</v>
      </c>
      <c r="Q5359" s="1565">
        <v>27941.16</v>
      </c>
      <c r="R5359" s="1565">
        <v>46568.6</v>
      </c>
      <c r="S5359" s="1562"/>
    </row>
    <row r="5360" spans="2:19" ht="11.25" customHeight="1" outlineLevel="1">
      <c r="B5360" s="1569" t="s">
        <v>6901</v>
      </c>
      <c r="C5360" s="1566" t="s">
        <v>3162</v>
      </c>
      <c r="D5360" s="1566" t="s">
        <v>6900</v>
      </c>
      <c r="E5360" s="1566" t="s">
        <v>2208</v>
      </c>
      <c r="F5360" s="1566"/>
      <c r="G5360" s="1566"/>
      <c r="H5360" s="1568">
        <v>1</v>
      </c>
      <c r="I5360" s="1571">
        <v>77</v>
      </c>
      <c r="J5360" s="1566"/>
      <c r="K5360" s="1565">
        <v>391297.76</v>
      </c>
      <c r="L5360" s="1565">
        <v>391297.76</v>
      </c>
      <c r="M5360" s="1564"/>
      <c r="N5360" s="1565">
        <v>391297.76</v>
      </c>
      <c r="O5360" s="1565">
        <v>326620.36</v>
      </c>
      <c r="P5360" s="1565">
        <v>25870.959999999999</v>
      </c>
      <c r="Q5360" s="1565">
        <v>38806.44</v>
      </c>
      <c r="R5360" s="1565">
        <v>64677.4</v>
      </c>
      <c r="S5360" s="1562"/>
    </row>
    <row r="5361" spans="2:19" ht="21.75" customHeight="1" outlineLevel="1">
      <c r="B5361" s="1569" t="s">
        <v>6899</v>
      </c>
      <c r="C5361" s="1566" t="s">
        <v>3162</v>
      </c>
      <c r="D5361" s="1566" t="s">
        <v>6898</v>
      </c>
      <c r="E5361" s="1566" t="s">
        <v>2208</v>
      </c>
      <c r="F5361" s="1566"/>
      <c r="G5361" s="1566"/>
      <c r="H5361" s="1568">
        <v>1</v>
      </c>
      <c r="I5361" s="1570">
        <v>6.8</v>
      </c>
      <c r="J5361" s="1566"/>
      <c r="K5361" s="1565">
        <v>66215.33</v>
      </c>
      <c r="L5361" s="1565">
        <v>66215.33</v>
      </c>
      <c r="M5361" s="1564"/>
      <c r="N5361" s="1565">
        <v>66215.33</v>
      </c>
      <c r="O5361" s="1565">
        <v>55270.73</v>
      </c>
      <c r="P5361" s="1565">
        <v>4377.84</v>
      </c>
      <c r="Q5361" s="1565">
        <v>6566.76</v>
      </c>
      <c r="R5361" s="1565">
        <v>10944.6</v>
      </c>
      <c r="S5361" s="1562"/>
    </row>
    <row r="5362" spans="2:19" ht="11.25" customHeight="1" outlineLevel="1">
      <c r="B5362" s="1569" t="s">
        <v>6897</v>
      </c>
      <c r="C5362" s="1566" t="s">
        <v>3157</v>
      </c>
      <c r="D5362" s="1566" t="s">
        <v>6896</v>
      </c>
      <c r="E5362" s="1566" t="s">
        <v>2208</v>
      </c>
      <c r="F5362" s="1566"/>
      <c r="G5362" s="1566"/>
      <c r="H5362" s="1568">
        <v>1</v>
      </c>
      <c r="I5362" s="1571">
        <v>8</v>
      </c>
      <c r="J5362" s="1566"/>
      <c r="K5362" s="1565">
        <v>29477.89</v>
      </c>
      <c r="L5362" s="1565">
        <v>29477.89</v>
      </c>
      <c r="M5362" s="1564"/>
      <c r="N5362" s="1565">
        <v>29477.89</v>
      </c>
      <c r="O5362" s="1565">
        <v>24849.11</v>
      </c>
      <c r="P5362" s="1565">
        <v>1705.34</v>
      </c>
      <c r="Q5362" s="1565">
        <v>2923.44</v>
      </c>
      <c r="R5362" s="1565">
        <v>4628.78</v>
      </c>
      <c r="S5362" s="1562"/>
    </row>
    <row r="5363" spans="2:19" ht="21.75" customHeight="1" outlineLevel="1">
      <c r="B5363" s="1569" t="s">
        <v>6895</v>
      </c>
      <c r="C5363" s="1566" t="s">
        <v>3157</v>
      </c>
      <c r="D5363" s="1566" t="s">
        <v>6894</v>
      </c>
      <c r="E5363" s="1566" t="s">
        <v>2208</v>
      </c>
      <c r="F5363" s="1566"/>
      <c r="G5363" s="1566"/>
      <c r="H5363" s="1568">
        <v>1</v>
      </c>
      <c r="I5363" s="1571">
        <v>22</v>
      </c>
      <c r="J5363" s="1566"/>
      <c r="K5363" s="1565">
        <v>80763.009999999995</v>
      </c>
      <c r="L5363" s="1565">
        <v>80763.009999999995</v>
      </c>
      <c r="M5363" s="1564"/>
      <c r="N5363" s="1565">
        <v>80763.009999999995</v>
      </c>
      <c r="O5363" s="1565">
        <v>68081.27</v>
      </c>
      <c r="P5363" s="1565">
        <v>4672.22</v>
      </c>
      <c r="Q5363" s="1565">
        <v>8009.52</v>
      </c>
      <c r="R5363" s="1565">
        <v>12681.74</v>
      </c>
      <c r="S5363" s="1562"/>
    </row>
    <row r="5364" spans="2:19" ht="21.75" customHeight="1" outlineLevel="1">
      <c r="B5364" s="1569" t="s">
        <v>6893</v>
      </c>
      <c r="C5364" s="1566" t="s">
        <v>3157</v>
      </c>
      <c r="D5364" s="1566" t="s">
        <v>6892</v>
      </c>
      <c r="E5364" s="1566" t="s">
        <v>2208</v>
      </c>
      <c r="F5364" s="1566"/>
      <c r="G5364" s="1566"/>
      <c r="H5364" s="1568">
        <v>1</v>
      </c>
      <c r="I5364" s="1571">
        <v>14</v>
      </c>
      <c r="J5364" s="1566"/>
      <c r="K5364" s="1565">
        <v>141283.51</v>
      </c>
      <c r="L5364" s="1565">
        <v>141283.51</v>
      </c>
      <c r="M5364" s="1564"/>
      <c r="N5364" s="1565">
        <v>141283.51</v>
      </c>
      <c r="O5364" s="1565">
        <v>119098.54</v>
      </c>
      <c r="P5364" s="1565">
        <v>8173.41</v>
      </c>
      <c r="Q5364" s="1565">
        <v>14011.56</v>
      </c>
      <c r="R5364" s="1565">
        <v>22184.97</v>
      </c>
      <c r="S5364" s="1562"/>
    </row>
    <row r="5365" spans="2:19" ht="11.25" customHeight="1" outlineLevel="1">
      <c r="B5365" s="1569" t="s">
        <v>6891</v>
      </c>
      <c r="C5365" s="1566" t="s">
        <v>3152</v>
      </c>
      <c r="D5365" s="1566" t="s">
        <v>6890</v>
      </c>
      <c r="E5365" s="1566" t="s">
        <v>2208</v>
      </c>
      <c r="F5365" s="1566"/>
      <c r="G5365" s="1566"/>
      <c r="H5365" s="1568">
        <v>1</v>
      </c>
      <c r="I5365" s="1571">
        <v>11</v>
      </c>
      <c r="J5365" s="1566"/>
      <c r="K5365" s="1565">
        <v>139523.82</v>
      </c>
      <c r="L5365" s="1565">
        <v>139523.82</v>
      </c>
      <c r="M5365" s="1564"/>
      <c r="N5365" s="1565">
        <v>139523.82</v>
      </c>
      <c r="O5365" s="1565">
        <v>118768.2</v>
      </c>
      <c r="P5365" s="1565">
        <v>6918.54</v>
      </c>
      <c r="Q5365" s="1565">
        <v>13837.08</v>
      </c>
      <c r="R5365" s="1565">
        <v>20755.62</v>
      </c>
      <c r="S5365" s="1562"/>
    </row>
    <row r="5366" spans="2:19" ht="21.75" customHeight="1" outlineLevel="1">
      <c r="B5366" s="1569" t="s">
        <v>6889</v>
      </c>
      <c r="C5366" s="1566" t="s">
        <v>3152</v>
      </c>
      <c r="D5366" s="1566" t="s">
        <v>6888</v>
      </c>
      <c r="E5366" s="1566" t="s">
        <v>2208</v>
      </c>
      <c r="F5366" s="1566"/>
      <c r="G5366" s="1566"/>
      <c r="H5366" s="1568">
        <v>1</v>
      </c>
      <c r="I5366" s="1571">
        <v>10</v>
      </c>
      <c r="J5366" s="1566"/>
      <c r="K5366" s="1565">
        <v>377171.64</v>
      </c>
      <c r="L5366" s="1565">
        <v>377171.64</v>
      </c>
      <c r="M5366" s="1564"/>
      <c r="N5366" s="1565">
        <v>377171.64</v>
      </c>
      <c r="O5366" s="1565">
        <v>321063.48</v>
      </c>
      <c r="P5366" s="1565">
        <v>18702.72</v>
      </c>
      <c r="Q5366" s="1565">
        <v>37405.440000000002</v>
      </c>
      <c r="R5366" s="1565">
        <v>56108.160000000003</v>
      </c>
      <c r="S5366" s="1562"/>
    </row>
    <row r="5367" spans="2:19" ht="21.75" customHeight="1" outlineLevel="1">
      <c r="B5367" s="1569" t="s">
        <v>6887</v>
      </c>
      <c r="C5367" s="1566" t="s">
        <v>3152</v>
      </c>
      <c r="D5367" s="1566" t="s">
        <v>6886</v>
      </c>
      <c r="E5367" s="1566" t="s">
        <v>2208</v>
      </c>
      <c r="F5367" s="1566"/>
      <c r="G5367" s="1566"/>
      <c r="H5367" s="1568">
        <v>1</v>
      </c>
      <c r="I5367" s="1567">
        <v>88.19</v>
      </c>
      <c r="J5367" s="1566"/>
      <c r="K5367" s="1565">
        <v>776093.76</v>
      </c>
      <c r="L5367" s="1565">
        <v>776093.76</v>
      </c>
      <c r="M5367" s="1564"/>
      <c r="N5367" s="1565">
        <v>776093.76</v>
      </c>
      <c r="O5367" s="1565">
        <v>660641.76</v>
      </c>
      <c r="P5367" s="1565">
        <v>38484</v>
      </c>
      <c r="Q5367" s="1565">
        <v>76968</v>
      </c>
      <c r="R5367" s="1565">
        <v>115452</v>
      </c>
      <c r="S5367" s="1562"/>
    </row>
    <row r="5368" spans="2:19" ht="21.75" customHeight="1" outlineLevel="1">
      <c r="B5368" s="1569" t="s">
        <v>6885</v>
      </c>
      <c r="C5368" s="1566" t="s">
        <v>3152</v>
      </c>
      <c r="D5368" s="1566" t="s">
        <v>6884</v>
      </c>
      <c r="E5368" s="1566" t="s">
        <v>2208</v>
      </c>
      <c r="F5368" s="1566"/>
      <c r="G5368" s="1566"/>
      <c r="H5368" s="1568">
        <v>1</v>
      </c>
      <c r="I5368" s="1570">
        <v>13.5</v>
      </c>
      <c r="J5368" s="1566"/>
      <c r="K5368" s="1565">
        <v>93236.89</v>
      </c>
      <c r="L5368" s="1565">
        <v>93236.89</v>
      </c>
      <c r="M5368" s="1564"/>
      <c r="N5368" s="1565">
        <v>93236.89</v>
      </c>
      <c r="O5368" s="1565">
        <v>79366.990000000005</v>
      </c>
      <c r="P5368" s="1565">
        <v>4623.3</v>
      </c>
      <c r="Q5368" s="1565">
        <v>9246.6</v>
      </c>
      <c r="R5368" s="1565">
        <v>13869.9</v>
      </c>
      <c r="S5368" s="1562"/>
    </row>
    <row r="5369" spans="2:19" ht="11.25" customHeight="1" outlineLevel="1">
      <c r="B5369" s="1569" t="s">
        <v>6883</v>
      </c>
      <c r="C5369" s="1566" t="s">
        <v>3152</v>
      </c>
      <c r="D5369" s="1566" t="s">
        <v>6882</v>
      </c>
      <c r="E5369" s="1566" t="s">
        <v>2208</v>
      </c>
      <c r="F5369" s="1566"/>
      <c r="G5369" s="1566"/>
      <c r="H5369" s="1568">
        <v>1</v>
      </c>
      <c r="I5369" s="1570">
        <v>5.5</v>
      </c>
      <c r="J5369" s="1566"/>
      <c r="K5369" s="1565">
        <v>60103.22</v>
      </c>
      <c r="L5369" s="1565">
        <v>60103.22</v>
      </c>
      <c r="M5369" s="1564"/>
      <c r="N5369" s="1565">
        <v>60103.22</v>
      </c>
      <c r="O5369" s="1565">
        <v>51162.26</v>
      </c>
      <c r="P5369" s="1565">
        <v>2980.32</v>
      </c>
      <c r="Q5369" s="1565">
        <v>5960.64</v>
      </c>
      <c r="R5369" s="1565">
        <v>8940.9599999999991</v>
      </c>
      <c r="S5369" s="1562"/>
    </row>
    <row r="5370" spans="2:19" ht="21.75" customHeight="1" outlineLevel="1">
      <c r="B5370" s="1569" t="s">
        <v>6881</v>
      </c>
      <c r="C5370" s="1566" t="s">
        <v>3152</v>
      </c>
      <c r="D5370" s="1566" t="s">
        <v>6880</v>
      </c>
      <c r="E5370" s="1566" t="s">
        <v>2266</v>
      </c>
      <c r="F5370" s="1566"/>
      <c r="G5370" s="1566"/>
      <c r="H5370" s="1568">
        <v>1</v>
      </c>
      <c r="I5370" s="1567">
        <v>245.16</v>
      </c>
      <c r="J5370" s="1566"/>
      <c r="K5370" s="1565">
        <v>4321232.7699999996</v>
      </c>
      <c r="L5370" s="1565">
        <v>4321232.7699999996</v>
      </c>
      <c r="M5370" s="1564"/>
      <c r="N5370" s="1565">
        <v>4321232.7699999996</v>
      </c>
      <c r="O5370" s="1565">
        <v>4105769.71</v>
      </c>
      <c r="P5370" s="1565">
        <v>71821.02</v>
      </c>
      <c r="Q5370" s="1565">
        <v>143642.04</v>
      </c>
      <c r="R5370" s="1565">
        <v>215463.06</v>
      </c>
      <c r="S5370" s="1562"/>
    </row>
    <row r="5371" spans="2:19" ht="21.75" customHeight="1" outlineLevel="1">
      <c r="B5371" s="1569" t="s">
        <v>6879</v>
      </c>
      <c r="C5371" s="1566" t="s">
        <v>3152</v>
      </c>
      <c r="D5371" s="1566" t="s">
        <v>6878</v>
      </c>
      <c r="E5371" s="1566" t="s">
        <v>2266</v>
      </c>
      <c r="F5371" s="1566"/>
      <c r="G5371" s="1566"/>
      <c r="H5371" s="1568">
        <v>1</v>
      </c>
      <c r="I5371" s="1571">
        <v>25</v>
      </c>
      <c r="J5371" s="1566"/>
      <c r="K5371" s="1565">
        <v>1466330.4</v>
      </c>
      <c r="L5371" s="1565">
        <v>1466330.4</v>
      </c>
      <c r="M5371" s="1564"/>
      <c r="N5371" s="1565">
        <v>1466330.4</v>
      </c>
      <c r="O5371" s="1565">
        <v>1393216.92</v>
      </c>
      <c r="P5371" s="1565">
        <v>24371.16</v>
      </c>
      <c r="Q5371" s="1565">
        <v>48742.32</v>
      </c>
      <c r="R5371" s="1565">
        <v>73113.48</v>
      </c>
      <c r="S5371" s="1562"/>
    </row>
    <row r="5372" spans="2:19" ht="11.25" customHeight="1" outlineLevel="1">
      <c r="B5372" s="1569" t="s">
        <v>6877</v>
      </c>
      <c r="C5372" s="1566" t="s">
        <v>6876</v>
      </c>
      <c r="D5372" s="1566" t="s">
        <v>6875</v>
      </c>
      <c r="E5372" s="1566" t="s">
        <v>2288</v>
      </c>
      <c r="F5372" s="1566" t="s">
        <v>6874</v>
      </c>
      <c r="G5372" s="1566"/>
      <c r="H5372" s="1568">
        <v>1</v>
      </c>
      <c r="I5372" s="1566"/>
      <c r="J5372" s="1566"/>
      <c r="K5372" s="1565">
        <v>55057.5</v>
      </c>
      <c r="L5372" s="1565">
        <v>55057.5</v>
      </c>
      <c r="M5372" s="1565">
        <v>-55057.5</v>
      </c>
      <c r="N5372" s="1564"/>
      <c r="O5372" s="1564"/>
      <c r="P5372" s="1565">
        <v>11011.5</v>
      </c>
      <c r="Q5372" s="1565">
        <v>-11011.5</v>
      </c>
      <c r="R5372" s="1564"/>
      <c r="S5372" s="1562"/>
    </row>
    <row r="5373" spans="2:19" ht="21.75" customHeight="1" outlineLevel="1">
      <c r="B5373" s="1569" t="s">
        <v>6873</v>
      </c>
      <c r="C5373" s="1566" t="s">
        <v>3141</v>
      </c>
      <c r="D5373" s="1566" t="s">
        <v>6872</v>
      </c>
      <c r="E5373" s="1566" t="s">
        <v>2208</v>
      </c>
      <c r="F5373" s="1566"/>
      <c r="G5373" s="1566"/>
      <c r="H5373" s="1568">
        <v>1</v>
      </c>
      <c r="I5373" s="1571">
        <v>12</v>
      </c>
      <c r="J5373" s="1566"/>
      <c r="K5373" s="1565">
        <v>124894.69</v>
      </c>
      <c r="L5373" s="1565">
        <v>124894.69</v>
      </c>
      <c r="M5373" s="1564"/>
      <c r="N5373" s="1565">
        <v>124894.69</v>
      </c>
      <c r="O5373" s="1565">
        <v>107347.46</v>
      </c>
      <c r="P5373" s="1565">
        <v>5160.95</v>
      </c>
      <c r="Q5373" s="1565">
        <v>12386.28</v>
      </c>
      <c r="R5373" s="1565">
        <v>17547.23</v>
      </c>
      <c r="S5373" s="1562"/>
    </row>
    <row r="5374" spans="2:19" ht="21.75" customHeight="1" outlineLevel="1">
      <c r="B5374" s="1569" t="s">
        <v>6871</v>
      </c>
      <c r="C5374" s="1566" t="s">
        <v>3141</v>
      </c>
      <c r="D5374" s="1566" t="s">
        <v>6870</v>
      </c>
      <c r="E5374" s="1566" t="s">
        <v>2208</v>
      </c>
      <c r="F5374" s="1566"/>
      <c r="G5374" s="1566"/>
      <c r="H5374" s="1568">
        <v>1</v>
      </c>
      <c r="I5374" s="1570">
        <v>22.5</v>
      </c>
      <c r="J5374" s="1566"/>
      <c r="K5374" s="1565">
        <v>237983.05</v>
      </c>
      <c r="L5374" s="1565">
        <v>237983.05</v>
      </c>
      <c r="M5374" s="1564"/>
      <c r="N5374" s="1565">
        <v>237983.05</v>
      </c>
      <c r="O5374" s="1565">
        <v>204547.45</v>
      </c>
      <c r="P5374" s="1565">
        <v>9834</v>
      </c>
      <c r="Q5374" s="1565">
        <v>23601.599999999999</v>
      </c>
      <c r="R5374" s="1565">
        <v>33435.599999999999</v>
      </c>
      <c r="S5374" s="1562"/>
    </row>
    <row r="5375" spans="2:19" ht="21.75" customHeight="1" outlineLevel="1">
      <c r="B5375" s="1569" t="s">
        <v>6869</v>
      </c>
      <c r="C5375" s="1566" t="s">
        <v>3141</v>
      </c>
      <c r="D5375" s="1566" t="s">
        <v>6868</v>
      </c>
      <c r="E5375" s="1566" t="s">
        <v>2208</v>
      </c>
      <c r="F5375" s="1566"/>
      <c r="G5375" s="1566"/>
      <c r="H5375" s="1568">
        <v>1</v>
      </c>
      <c r="I5375" s="1571">
        <v>13</v>
      </c>
      <c r="J5375" s="1566"/>
      <c r="K5375" s="1565">
        <v>163788.51</v>
      </c>
      <c r="L5375" s="1565">
        <v>163788.51</v>
      </c>
      <c r="M5375" s="1564"/>
      <c r="N5375" s="1565">
        <v>163788.51</v>
      </c>
      <c r="O5375" s="1565">
        <v>140776.97</v>
      </c>
      <c r="P5375" s="1565">
        <v>6768.1</v>
      </c>
      <c r="Q5375" s="1565">
        <v>16243.44</v>
      </c>
      <c r="R5375" s="1565">
        <v>23011.54</v>
      </c>
      <c r="S5375" s="1562"/>
    </row>
    <row r="5376" spans="2:19" ht="21.75" customHeight="1" outlineLevel="1">
      <c r="B5376" s="1569" t="s">
        <v>6867</v>
      </c>
      <c r="C5376" s="1566" t="s">
        <v>3134</v>
      </c>
      <c r="D5376" s="1566" t="s">
        <v>6866</v>
      </c>
      <c r="E5376" s="1566" t="s">
        <v>2208</v>
      </c>
      <c r="F5376" s="1566"/>
      <c r="G5376" s="1566"/>
      <c r="H5376" s="1568">
        <v>1</v>
      </c>
      <c r="I5376" s="1570">
        <v>93.5</v>
      </c>
      <c r="J5376" s="1566"/>
      <c r="K5376" s="1565">
        <v>690053.94</v>
      </c>
      <c r="L5376" s="1565">
        <v>690053.94</v>
      </c>
      <c r="M5376" s="1564"/>
      <c r="N5376" s="1565">
        <v>690053.94</v>
      </c>
      <c r="O5376" s="1565">
        <v>598807.12</v>
      </c>
      <c r="P5376" s="1565">
        <v>22811.72</v>
      </c>
      <c r="Q5376" s="1565">
        <v>68435.100000000006</v>
      </c>
      <c r="R5376" s="1565">
        <v>91246.82</v>
      </c>
      <c r="S5376" s="1562"/>
    </row>
    <row r="5377" spans="2:19" ht="11.25" customHeight="1" outlineLevel="1">
      <c r="B5377" s="1569" t="s">
        <v>6865</v>
      </c>
      <c r="C5377" s="1566" t="s">
        <v>3134</v>
      </c>
      <c r="D5377" s="1566" t="s">
        <v>6864</v>
      </c>
      <c r="E5377" s="1566" t="s">
        <v>2208</v>
      </c>
      <c r="F5377" s="1566"/>
      <c r="G5377" s="1566"/>
      <c r="H5377" s="1568">
        <v>1</v>
      </c>
      <c r="I5377" s="1570">
        <v>6.5</v>
      </c>
      <c r="J5377" s="1566"/>
      <c r="K5377" s="1565">
        <v>225548.75</v>
      </c>
      <c r="L5377" s="1565">
        <v>225548.75</v>
      </c>
      <c r="M5377" s="1564"/>
      <c r="N5377" s="1565">
        <v>225548.75</v>
      </c>
      <c r="O5377" s="1565">
        <v>195724.11</v>
      </c>
      <c r="P5377" s="1565">
        <v>7456.16</v>
      </c>
      <c r="Q5377" s="1565">
        <v>22368.48</v>
      </c>
      <c r="R5377" s="1565">
        <v>29824.639999999999</v>
      </c>
      <c r="S5377" s="1562"/>
    </row>
    <row r="5378" spans="2:19" ht="21.75" customHeight="1" outlineLevel="1">
      <c r="B5378" s="1569" t="s">
        <v>6863</v>
      </c>
      <c r="C5378" s="1566" t="s">
        <v>3134</v>
      </c>
      <c r="D5378" s="1566" t="s">
        <v>6862</v>
      </c>
      <c r="E5378" s="1566" t="s">
        <v>2208</v>
      </c>
      <c r="F5378" s="1566"/>
      <c r="G5378" s="1566"/>
      <c r="H5378" s="1568">
        <v>1</v>
      </c>
      <c r="I5378" s="1571">
        <v>5</v>
      </c>
      <c r="J5378" s="1566"/>
      <c r="K5378" s="1565">
        <v>88838.36</v>
      </c>
      <c r="L5378" s="1565">
        <v>88838.36</v>
      </c>
      <c r="M5378" s="1564"/>
      <c r="N5378" s="1565">
        <v>88838.36</v>
      </c>
      <c r="O5378" s="1565">
        <v>77091.16</v>
      </c>
      <c r="P5378" s="1565">
        <v>2936.8</v>
      </c>
      <c r="Q5378" s="1565">
        <v>8810.4</v>
      </c>
      <c r="R5378" s="1565">
        <v>11747.2</v>
      </c>
      <c r="S5378" s="1562"/>
    </row>
    <row r="5379" spans="2:19" ht="11.25" customHeight="1" outlineLevel="1">
      <c r="B5379" s="1569" t="s">
        <v>6861</v>
      </c>
      <c r="C5379" s="1566" t="s">
        <v>6860</v>
      </c>
      <c r="D5379" s="1566" t="s">
        <v>6859</v>
      </c>
      <c r="E5379" s="1566" t="s">
        <v>2288</v>
      </c>
      <c r="F5379" s="1566" t="s">
        <v>6858</v>
      </c>
      <c r="G5379" s="1566"/>
      <c r="H5379" s="1566"/>
      <c r="I5379" s="1566"/>
      <c r="J5379" s="1566"/>
      <c r="K5379" s="1565">
        <v>52935.83</v>
      </c>
      <c r="L5379" s="1565">
        <v>52935.83</v>
      </c>
      <c r="M5379" s="1565">
        <v>-52935.83</v>
      </c>
      <c r="N5379" s="1564"/>
      <c r="O5379" s="1564"/>
      <c r="P5379" s="1565">
        <v>6352.29</v>
      </c>
      <c r="Q5379" s="1565">
        <v>-6352.29</v>
      </c>
      <c r="R5379" s="1564"/>
      <c r="S5379" s="1562"/>
    </row>
    <row r="5380" spans="2:19" ht="21.75" customHeight="1" outlineLevel="1">
      <c r="B5380" s="1569" t="s">
        <v>6857</v>
      </c>
      <c r="C5380" s="1566" t="s">
        <v>3131</v>
      </c>
      <c r="D5380" s="1566" t="s">
        <v>6856</v>
      </c>
      <c r="E5380" s="1566" t="s">
        <v>2208</v>
      </c>
      <c r="F5380" s="1566"/>
      <c r="G5380" s="1566"/>
      <c r="H5380" s="1568">
        <v>1</v>
      </c>
      <c r="I5380" s="1571">
        <v>6</v>
      </c>
      <c r="J5380" s="1566"/>
      <c r="K5380" s="1565">
        <v>121648.48</v>
      </c>
      <c r="L5380" s="1565">
        <v>121648.48</v>
      </c>
      <c r="M5380" s="1564"/>
      <c r="N5380" s="1565">
        <v>121648.48</v>
      </c>
      <c r="O5380" s="1565">
        <v>106568.08</v>
      </c>
      <c r="P5380" s="1565">
        <v>3016.08</v>
      </c>
      <c r="Q5380" s="1565">
        <v>12064.32</v>
      </c>
      <c r="R5380" s="1565">
        <v>15080.4</v>
      </c>
      <c r="S5380" s="1562"/>
    </row>
    <row r="5381" spans="2:19" ht="21.75" customHeight="1" outlineLevel="1">
      <c r="B5381" s="1569" t="s">
        <v>6855</v>
      </c>
      <c r="C5381" s="1566" t="s">
        <v>3131</v>
      </c>
      <c r="D5381" s="1566" t="s">
        <v>6854</v>
      </c>
      <c r="E5381" s="1566" t="s">
        <v>2208</v>
      </c>
      <c r="F5381" s="1566"/>
      <c r="G5381" s="1566"/>
      <c r="H5381" s="1568">
        <v>1</v>
      </c>
      <c r="I5381" s="1571">
        <v>13</v>
      </c>
      <c r="J5381" s="1566"/>
      <c r="K5381" s="1565">
        <v>158636.68</v>
      </c>
      <c r="L5381" s="1565">
        <v>158636.68</v>
      </c>
      <c r="M5381" s="1564"/>
      <c r="N5381" s="1565">
        <v>158636.68</v>
      </c>
      <c r="O5381" s="1565">
        <v>138970.93</v>
      </c>
      <c r="P5381" s="1565">
        <v>3933.15</v>
      </c>
      <c r="Q5381" s="1565">
        <v>15732.6</v>
      </c>
      <c r="R5381" s="1565">
        <v>19665.75</v>
      </c>
      <c r="S5381" s="1562"/>
    </row>
    <row r="5382" spans="2:19" ht="21.75" customHeight="1" outlineLevel="1">
      <c r="B5382" s="1569" t="s">
        <v>6853</v>
      </c>
      <c r="C5382" s="1566" t="s">
        <v>3131</v>
      </c>
      <c r="D5382" s="1566" t="s">
        <v>6852</v>
      </c>
      <c r="E5382" s="1566" t="s">
        <v>2208</v>
      </c>
      <c r="F5382" s="1566"/>
      <c r="G5382" s="1566"/>
      <c r="H5382" s="1568">
        <v>1</v>
      </c>
      <c r="I5382" s="1571">
        <v>63</v>
      </c>
      <c r="J5382" s="1566"/>
      <c r="K5382" s="1565">
        <v>103430.79</v>
      </c>
      <c r="L5382" s="1565">
        <v>103430.79</v>
      </c>
      <c r="M5382" s="1564"/>
      <c r="N5382" s="1565">
        <v>103430.79</v>
      </c>
      <c r="O5382" s="1565">
        <v>99133.14</v>
      </c>
      <c r="P5382" s="1572">
        <v>859.53</v>
      </c>
      <c r="Q5382" s="1565">
        <v>3438.12</v>
      </c>
      <c r="R5382" s="1565">
        <v>4297.6499999999996</v>
      </c>
      <c r="S5382" s="1562"/>
    </row>
    <row r="5383" spans="2:19" ht="21.75" customHeight="1" outlineLevel="1">
      <c r="B5383" s="1569" t="s">
        <v>6851</v>
      </c>
      <c r="C5383" s="1566" t="s">
        <v>3131</v>
      </c>
      <c r="D5383" s="1566" t="s">
        <v>6850</v>
      </c>
      <c r="E5383" s="1566" t="s">
        <v>2208</v>
      </c>
      <c r="F5383" s="1566"/>
      <c r="G5383" s="1566"/>
      <c r="H5383" s="1568">
        <v>1</v>
      </c>
      <c r="I5383" s="1571">
        <v>185</v>
      </c>
      <c r="J5383" s="1566"/>
      <c r="K5383" s="1565">
        <v>278989.46000000002</v>
      </c>
      <c r="L5383" s="1565">
        <v>278989.46000000002</v>
      </c>
      <c r="M5383" s="1564"/>
      <c r="N5383" s="1565">
        <v>278989.46000000002</v>
      </c>
      <c r="O5383" s="1565">
        <v>267397.15999999997</v>
      </c>
      <c r="P5383" s="1565">
        <v>2318.46</v>
      </c>
      <c r="Q5383" s="1565">
        <v>9273.84</v>
      </c>
      <c r="R5383" s="1565">
        <v>11592.3</v>
      </c>
      <c r="S5383" s="1562"/>
    </row>
    <row r="5384" spans="2:19" ht="21.75" customHeight="1" outlineLevel="1">
      <c r="B5384" s="1569" t="s">
        <v>6849</v>
      </c>
      <c r="C5384" s="1566" t="s">
        <v>6848</v>
      </c>
      <c r="D5384" s="1566" t="s">
        <v>6847</v>
      </c>
      <c r="E5384" s="1566" t="s">
        <v>2208</v>
      </c>
      <c r="F5384" s="1566"/>
      <c r="G5384" s="1566"/>
      <c r="H5384" s="1568">
        <v>1</v>
      </c>
      <c r="I5384" s="1570">
        <v>3.5</v>
      </c>
      <c r="J5384" s="1566"/>
      <c r="K5384" s="1565">
        <v>209177.59</v>
      </c>
      <c r="L5384" s="1565">
        <v>209177.59</v>
      </c>
      <c r="M5384" s="1564"/>
      <c r="N5384" s="1565">
        <v>209177.59</v>
      </c>
      <c r="O5384" s="1565">
        <v>184975.23</v>
      </c>
      <c r="P5384" s="1565">
        <v>3457.48</v>
      </c>
      <c r="Q5384" s="1565">
        <v>20744.88</v>
      </c>
      <c r="R5384" s="1565">
        <v>24202.36</v>
      </c>
      <c r="S5384" s="1562"/>
    </row>
    <row r="5385" spans="2:19" ht="21.75" customHeight="1" outlineLevel="1">
      <c r="B5385" s="1569" t="s">
        <v>6846</v>
      </c>
      <c r="C5385" s="1566" t="s">
        <v>6843</v>
      </c>
      <c r="D5385" s="1566" t="s">
        <v>6845</v>
      </c>
      <c r="E5385" s="1566" t="s">
        <v>2208</v>
      </c>
      <c r="F5385" s="1566"/>
      <c r="G5385" s="1566"/>
      <c r="H5385" s="1568">
        <v>1</v>
      </c>
      <c r="I5385" s="1571">
        <v>7</v>
      </c>
      <c r="J5385" s="1566"/>
      <c r="K5385" s="1565">
        <v>40316.33</v>
      </c>
      <c r="L5385" s="1565">
        <v>40316.33</v>
      </c>
      <c r="M5385" s="1564"/>
      <c r="N5385" s="1565">
        <v>40316.33</v>
      </c>
      <c r="O5385" s="1565">
        <v>35984.86</v>
      </c>
      <c r="P5385" s="1572">
        <v>333.19</v>
      </c>
      <c r="Q5385" s="1565">
        <v>3998.28</v>
      </c>
      <c r="R5385" s="1565">
        <v>4331.47</v>
      </c>
      <c r="S5385" s="1562"/>
    </row>
    <row r="5386" spans="2:19" ht="21.75" customHeight="1" outlineLevel="1">
      <c r="B5386" s="1569" t="s">
        <v>6844</v>
      </c>
      <c r="C5386" s="1566" t="s">
        <v>6843</v>
      </c>
      <c r="D5386" s="1566" t="s">
        <v>6842</v>
      </c>
      <c r="E5386" s="1566" t="s">
        <v>2208</v>
      </c>
      <c r="F5386" s="1566"/>
      <c r="G5386" s="1566"/>
      <c r="H5386" s="1568">
        <v>1</v>
      </c>
      <c r="I5386" s="1571">
        <v>47</v>
      </c>
      <c r="J5386" s="1566"/>
      <c r="K5386" s="1565">
        <v>428939.54</v>
      </c>
      <c r="L5386" s="1565">
        <v>428939.54</v>
      </c>
      <c r="M5386" s="1564"/>
      <c r="N5386" s="1565">
        <v>428939.54</v>
      </c>
      <c r="O5386" s="1565">
        <v>382855.14</v>
      </c>
      <c r="P5386" s="1565">
        <v>3544.95</v>
      </c>
      <c r="Q5386" s="1565">
        <v>42539.45</v>
      </c>
      <c r="R5386" s="1565">
        <v>46084.4</v>
      </c>
      <c r="S5386" s="1562"/>
    </row>
    <row r="5387" spans="2:19" ht="11.25" customHeight="1" outlineLevel="1">
      <c r="B5387" s="1569" t="s">
        <v>6841</v>
      </c>
      <c r="C5387" s="1566" t="s">
        <v>6837</v>
      </c>
      <c r="D5387" s="1566" t="s">
        <v>6840</v>
      </c>
      <c r="E5387" s="1566" t="s">
        <v>2219</v>
      </c>
      <c r="F5387" s="1566" t="s">
        <v>6839</v>
      </c>
      <c r="G5387" s="1566"/>
      <c r="H5387" s="1568">
        <v>1</v>
      </c>
      <c r="I5387" s="1571">
        <v>357</v>
      </c>
      <c r="J5387" s="1566"/>
      <c r="K5387" s="1565">
        <v>8309180.6200000001</v>
      </c>
      <c r="L5387" s="1565">
        <v>8309180.6200000001</v>
      </c>
      <c r="M5387" s="1564"/>
      <c r="N5387" s="1565">
        <v>8309180.6200000001</v>
      </c>
      <c r="O5387" s="1565">
        <v>8032207.9000000004</v>
      </c>
      <c r="P5387" s="1564"/>
      <c r="Q5387" s="1565">
        <v>276972.71999999997</v>
      </c>
      <c r="R5387" s="1565">
        <v>276972.71999999997</v>
      </c>
      <c r="S5387" s="1562"/>
    </row>
    <row r="5388" spans="2:19" ht="11.25" customHeight="1" outlineLevel="1">
      <c r="B5388" s="1569" t="s">
        <v>6838</v>
      </c>
      <c r="C5388" s="1566" t="s">
        <v>6837</v>
      </c>
      <c r="D5388" s="1566" t="s">
        <v>6836</v>
      </c>
      <c r="E5388" s="1566" t="s">
        <v>2219</v>
      </c>
      <c r="F5388" s="1566" t="s">
        <v>6835</v>
      </c>
      <c r="G5388" s="1566"/>
      <c r="H5388" s="1568">
        <v>1</v>
      </c>
      <c r="I5388" s="1571">
        <v>20</v>
      </c>
      <c r="J5388" s="1566"/>
      <c r="K5388" s="1565">
        <v>273736.90000000002</v>
      </c>
      <c r="L5388" s="1565">
        <v>273736.90000000002</v>
      </c>
      <c r="M5388" s="1564"/>
      <c r="N5388" s="1565">
        <v>273736.90000000002</v>
      </c>
      <c r="O5388" s="1565">
        <v>264612.34000000003</v>
      </c>
      <c r="P5388" s="1564"/>
      <c r="Q5388" s="1565">
        <v>9124.56</v>
      </c>
      <c r="R5388" s="1565">
        <v>9124.56</v>
      </c>
      <c r="S5388" s="1562"/>
    </row>
    <row r="5389" spans="2:19" ht="21.75" customHeight="1" outlineLevel="1">
      <c r="B5389" s="1569" t="s">
        <v>6834</v>
      </c>
      <c r="C5389" s="1566" t="s">
        <v>2414</v>
      </c>
      <c r="D5389" s="1566" t="s">
        <v>6833</v>
      </c>
      <c r="E5389" s="1566"/>
      <c r="F5389" s="1566"/>
      <c r="G5389" s="1566"/>
      <c r="H5389" s="1566"/>
      <c r="I5389" s="1566"/>
      <c r="J5389" s="1566"/>
      <c r="K5389" s="1565">
        <v>94110.95</v>
      </c>
      <c r="L5389" s="1565">
        <v>94110.95</v>
      </c>
      <c r="M5389" s="1564"/>
      <c r="N5389" s="1565">
        <v>94110.95</v>
      </c>
      <c r="O5389" s="1565">
        <v>84777.59</v>
      </c>
      <c r="P5389" s="1564"/>
      <c r="Q5389" s="1565">
        <v>9333.36</v>
      </c>
      <c r="R5389" s="1565">
        <v>9333.36</v>
      </c>
      <c r="S5389" s="1562"/>
    </row>
    <row r="5390" spans="2:19" ht="21.75" customHeight="1" outlineLevel="1">
      <c r="B5390" s="1569" t="s">
        <v>6832</v>
      </c>
      <c r="C5390" s="1566" t="s">
        <v>2414</v>
      </c>
      <c r="D5390" s="1566" t="s">
        <v>6831</v>
      </c>
      <c r="E5390" s="1566"/>
      <c r="F5390" s="1566"/>
      <c r="G5390" s="1566"/>
      <c r="H5390" s="1566"/>
      <c r="I5390" s="1566"/>
      <c r="J5390" s="1566"/>
      <c r="K5390" s="1565">
        <v>20334.53</v>
      </c>
      <c r="L5390" s="1565">
        <v>20334.53</v>
      </c>
      <c r="M5390" s="1564"/>
      <c r="N5390" s="1565">
        <v>20334.53</v>
      </c>
      <c r="O5390" s="1565">
        <v>14659.74</v>
      </c>
      <c r="P5390" s="1564"/>
      <c r="Q5390" s="1565">
        <v>5674.79</v>
      </c>
      <c r="R5390" s="1565">
        <v>5674.79</v>
      </c>
      <c r="S5390" s="1562"/>
    </row>
    <row r="5391" spans="2:19" ht="21.75" customHeight="1" outlineLevel="1">
      <c r="B5391" s="1569" t="s">
        <v>6830</v>
      </c>
      <c r="C5391" s="1566" t="s">
        <v>2414</v>
      </c>
      <c r="D5391" s="1566" t="s">
        <v>6829</v>
      </c>
      <c r="E5391" s="1566"/>
      <c r="F5391" s="1566"/>
      <c r="G5391" s="1566"/>
      <c r="H5391" s="1566"/>
      <c r="I5391" s="1566"/>
      <c r="J5391" s="1566"/>
      <c r="K5391" s="1565">
        <v>24317.58</v>
      </c>
      <c r="L5391" s="1565">
        <v>24317.58</v>
      </c>
      <c r="M5391" s="1564"/>
      <c r="N5391" s="1565">
        <v>24317.58</v>
      </c>
      <c r="O5391" s="1565">
        <v>18595.78</v>
      </c>
      <c r="P5391" s="1564"/>
      <c r="Q5391" s="1565">
        <v>5721.8</v>
      </c>
      <c r="R5391" s="1565">
        <v>5721.8</v>
      </c>
      <c r="S5391" s="1562"/>
    </row>
    <row r="5392" spans="2:19" ht="21.75" customHeight="1" outlineLevel="1">
      <c r="B5392" s="1569" t="s">
        <v>6828</v>
      </c>
      <c r="C5392" s="1566" t="s">
        <v>2414</v>
      </c>
      <c r="D5392" s="1566" t="s">
        <v>6827</v>
      </c>
      <c r="E5392" s="1566"/>
      <c r="F5392" s="1566"/>
      <c r="G5392" s="1566"/>
      <c r="H5392" s="1566"/>
      <c r="I5392" s="1566"/>
      <c r="J5392" s="1566"/>
      <c r="K5392" s="1565">
        <v>67734.990000000005</v>
      </c>
      <c r="L5392" s="1565">
        <v>67734.990000000005</v>
      </c>
      <c r="M5392" s="1564"/>
      <c r="N5392" s="1565">
        <v>67734.990000000005</v>
      </c>
      <c r="O5392" s="1565">
        <v>65464.59</v>
      </c>
      <c r="P5392" s="1564"/>
      <c r="Q5392" s="1565">
        <v>2270.4</v>
      </c>
      <c r="R5392" s="1565">
        <v>2270.4</v>
      </c>
      <c r="S5392" s="1562"/>
    </row>
    <row r="5393" spans="2:19" ht="21.75" customHeight="1" outlineLevel="1">
      <c r="B5393" s="1569" t="s">
        <v>6826</v>
      </c>
      <c r="C5393" s="1566" t="s">
        <v>2414</v>
      </c>
      <c r="D5393" s="1566" t="s">
        <v>6825</v>
      </c>
      <c r="E5393" s="1566"/>
      <c r="F5393" s="1566"/>
      <c r="G5393" s="1566"/>
      <c r="H5393" s="1566"/>
      <c r="I5393" s="1566"/>
      <c r="J5393" s="1566"/>
      <c r="K5393" s="1565">
        <v>19775.93</v>
      </c>
      <c r="L5393" s="1565">
        <v>19775.93</v>
      </c>
      <c r="M5393" s="1565">
        <v>-19775.93</v>
      </c>
      <c r="N5393" s="1564"/>
      <c r="O5393" s="1564"/>
      <c r="P5393" s="1564"/>
      <c r="Q5393" s="1564"/>
      <c r="R5393" s="1564"/>
      <c r="S5393" s="1562"/>
    </row>
    <row r="5394" spans="2:19" ht="21.75" customHeight="1" outlineLevel="1">
      <c r="B5394" s="1569" t="s">
        <v>6824</v>
      </c>
      <c r="C5394" s="1566" t="s">
        <v>2414</v>
      </c>
      <c r="D5394" s="1566" t="s">
        <v>6823</v>
      </c>
      <c r="E5394" s="1566"/>
      <c r="F5394" s="1566"/>
      <c r="G5394" s="1566"/>
      <c r="H5394" s="1566"/>
      <c r="I5394" s="1566"/>
      <c r="J5394" s="1566"/>
      <c r="K5394" s="1565">
        <v>26845.09</v>
      </c>
      <c r="L5394" s="1565">
        <v>26845.09</v>
      </c>
      <c r="M5394" s="1565">
        <v>-26845.09</v>
      </c>
      <c r="N5394" s="1564"/>
      <c r="O5394" s="1564"/>
      <c r="P5394" s="1564"/>
      <c r="Q5394" s="1564"/>
      <c r="R5394" s="1564"/>
      <c r="S5394" s="1562"/>
    </row>
    <row r="5395" spans="2:19" ht="21.75" customHeight="1" outlineLevel="1">
      <c r="B5395" s="1569" t="s">
        <v>6822</v>
      </c>
      <c r="C5395" s="1566" t="s">
        <v>2414</v>
      </c>
      <c r="D5395" s="1566" t="s">
        <v>6821</v>
      </c>
      <c r="E5395" s="1566"/>
      <c r="F5395" s="1566"/>
      <c r="G5395" s="1566"/>
      <c r="H5395" s="1566"/>
      <c r="I5395" s="1566"/>
      <c r="J5395" s="1566"/>
      <c r="K5395" s="1565">
        <v>65202.879999999997</v>
      </c>
      <c r="L5395" s="1565">
        <v>65202.879999999997</v>
      </c>
      <c r="M5395" s="1565">
        <v>-65202.879999999997</v>
      </c>
      <c r="N5395" s="1564"/>
      <c r="O5395" s="1564"/>
      <c r="P5395" s="1564"/>
      <c r="Q5395" s="1564"/>
      <c r="R5395" s="1564"/>
      <c r="S5395" s="1562"/>
    </row>
    <row r="5396" spans="2:19" ht="21.75" customHeight="1" outlineLevel="1">
      <c r="B5396" s="1569" t="s">
        <v>6820</v>
      </c>
      <c r="C5396" s="1566" t="s">
        <v>2414</v>
      </c>
      <c r="D5396" s="1566" t="s">
        <v>6819</v>
      </c>
      <c r="E5396" s="1566"/>
      <c r="F5396" s="1566"/>
      <c r="G5396" s="1566"/>
      <c r="H5396" s="1566"/>
      <c r="I5396" s="1566"/>
      <c r="J5396" s="1566"/>
      <c r="K5396" s="1565">
        <v>202098.07</v>
      </c>
      <c r="L5396" s="1565">
        <v>202098.07</v>
      </c>
      <c r="M5396" s="1565">
        <v>-202098.07</v>
      </c>
      <c r="N5396" s="1564"/>
      <c r="O5396" s="1564"/>
      <c r="P5396" s="1564"/>
      <c r="Q5396" s="1564"/>
      <c r="R5396" s="1564"/>
      <c r="S5396" s="1562"/>
    </row>
    <row r="5397" spans="2:19" ht="21.75" customHeight="1" outlineLevel="1">
      <c r="B5397" s="1569" t="s">
        <v>6818</v>
      </c>
      <c r="C5397" s="1566" t="s">
        <v>2414</v>
      </c>
      <c r="D5397" s="1566" t="s">
        <v>6817</v>
      </c>
      <c r="E5397" s="1566"/>
      <c r="F5397" s="1566"/>
      <c r="G5397" s="1566"/>
      <c r="H5397" s="1566"/>
      <c r="I5397" s="1566"/>
      <c r="J5397" s="1566"/>
      <c r="K5397" s="1565">
        <v>185775.99</v>
      </c>
      <c r="L5397" s="1565">
        <v>185775.99</v>
      </c>
      <c r="M5397" s="1565">
        <v>-185775.99</v>
      </c>
      <c r="N5397" s="1564"/>
      <c r="O5397" s="1564"/>
      <c r="P5397" s="1564"/>
      <c r="Q5397" s="1564"/>
      <c r="R5397" s="1564"/>
      <c r="S5397" s="1562"/>
    </row>
    <row r="5398" spans="2:19" ht="21.75" customHeight="1" outlineLevel="1">
      <c r="B5398" s="1569" t="s">
        <v>6816</v>
      </c>
      <c r="C5398" s="1566" t="s">
        <v>2414</v>
      </c>
      <c r="D5398" s="1566" t="s">
        <v>6815</v>
      </c>
      <c r="E5398" s="1566"/>
      <c r="F5398" s="1566"/>
      <c r="G5398" s="1566"/>
      <c r="H5398" s="1566"/>
      <c r="I5398" s="1566"/>
      <c r="J5398" s="1566"/>
      <c r="K5398" s="1565">
        <v>3700515.66</v>
      </c>
      <c r="L5398" s="1565">
        <v>3700515.66</v>
      </c>
      <c r="M5398" s="1564"/>
      <c r="N5398" s="1565">
        <v>3700515.66</v>
      </c>
      <c r="O5398" s="1565">
        <v>3277599.54</v>
      </c>
      <c r="P5398" s="1564"/>
      <c r="Q5398" s="1565">
        <v>422916.12</v>
      </c>
      <c r="R5398" s="1565">
        <v>422916.12</v>
      </c>
      <c r="S5398" s="1562"/>
    </row>
    <row r="5399" spans="2:19" ht="11.25" customHeight="1" outlineLevel="1">
      <c r="B5399" s="1569" t="s">
        <v>6814</v>
      </c>
      <c r="C5399" s="1566" t="s">
        <v>2414</v>
      </c>
      <c r="D5399" s="1566" t="s">
        <v>6813</v>
      </c>
      <c r="E5399" s="1566"/>
      <c r="F5399" s="1566"/>
      <c r="G5399" s="1566" t="s">
        <v>6812</v>
      </c>
      <c r="H5399" s="1568">
        <v>1</v>
      </c>
      <c r="I5399" s="1566"/>
      <c r="J5399" s="1566"/>
      <c r="K5399" s="1565">
        <v>5702.65</v>
      </c>
      <c r="L5399" s="1565">
        <v>5702.65</v>
      </c>
      <c r="M5399" s="1564"/>
      <c r="N5399" s="1565">
        <v>5702.65</v>
      </c>
      <c r="O5399" s="1565">
        <v>5269.57</v>
      </c>
      <c r="P5399" s="1564"/>
      <c r="Q5399" s="1572">
        <v>433.08</v>
      </c>
      <c r="R5399" s="1572">
        <v>433.08</v>
      </c>
      <c r="S5399" s="1562"/>
    </row>
    <row r="5400" spans="2:19" ht="11.25" customHeight="1" outlineLevel="1">
      <c r="B5400" s="1569" t="s">
        <v>6811</v>
      </c>
      <c r="C5400" s="1566" t="s">
        <v>2414</v>
      </c>
      <c r="D5400" s="1566" t="s">
        <v>6810</v>
      </c>
      <c r="E5400" s="1566"/>
      <c r="F5400" s="1566"/>
      <c r="G5400" s="1566" t="s">
        <v>6809</v>
      </c>
      <c r="H5400" s="1568">
        <v>1</v>
      </c>
      <c r="I5400" s="1566"/>
      <c r="J5400" s="1566"/>
      <c r="K5400" s="1565">
        <v>13634.56</v>
      </c>
      <c r="L5400" s="1565">
        <v>13634.56</v>
      </c>
      <c r="M5400" s="1564"/>
      <c r="N5400" s="1565">
        <v>13634.56</v>
      </c>
      <c r="O5400" s="1565">
        <v>12599.07</v>
      </c>
      <c r="P5400" s="1564"/>
      <c r="Q5400" s="1565">
        <v>1035.49</v>
      </c>
      <c r="R5400" s="1565">
        <v>1035.49</v>
      </c>
      <c r="S5400" s="1562"/>
    </row>
    <row r="5401" spans="2:19" ht="11.25" customHeight="1" outlineLevel="1">
      <c r="B5401" s="1569" t="s">
        <v>6808</v>
      </c>
      <c r="C5401" s="1566" t="s">
        <v>2414</v>
      </c>
      <c r="D5401" s="1566" t="s">
        <v>6807</v>
      </c>
      <c r="E5401" s="1566"/>
      <c r="F5401" s="1566"/>
      <c r="G5401" s="1566" t="s">
        <v>6806</v>
      </c>
      <c r="H5401" s="1568">
        <v>1</v>
      </c>
      <c r="I5401" s="1566"/>
      <c r="J5401" s="1566"/>
      <c r="K5401" s="1565">
        <v>6885.45</v>
      </c>
      <c r="L5401" s="1565">
        <v>6885.45</v>
      </c>
      <c r="M5401" s="1564"/>
      <c r="N5401" s="1565">
        <v>6885.45</v>
      </c>
      <c r="O5401" s="1565">
        <v>6362.49</v>
      </c>
      <c r="P5401" s="1564"/>
      <c r="Q5401" s="1572">
        <v>522.96</v>
      </c>
      <c r="R5401" s="1572">
        <v>522.96</v>
      </c>
      <c r="S5401" s="1562"/>
    </row>
    <row r="5402" spans="2:19" ht="11.25" customHeight="1" outlineLevel="1">
      <c r="B5402" s="1569" t="s">
        <v>6805</v>
      </c>
      <c r="C5402" s="1566" t="s">
        <v>2414</v>
      </c>
      <c r="D5402" s="1566" t="s">
        <v>6804</v>
      </c>
      <c r="E5402" s="1566"/>
      <c r="F5402" s="1566"/>
      <c r="G5402" s="1566" t="s">
        <v>6803</v>
      </c>
      <c r="H5402" s="1568">
        <v>1</v>
      </c>
      <c r="I5402" s="1566"/>
      <c r="J5402" s="1566"/>
      <c r="K5402" s="1565">
        <v>4414.1899999999996</v>
      </c>
      <c r="L5402" s="1565">
        <v>4414.1899999999996</v>
      </c>
      <c r="M5402" s="1564"/>
      <c r="N5402" s="1565">
        <v>4414.1899999999996</v>
      </c>
      <c r="O5402" s="1565">
        <v>4078.91</v>
      </c>
      <c r="P5402" s="1564"/>
      <c r="Q5402" s="1572">
        <v>335.28</v>
      </c>
      <c r="R5402" s="1572">
        <v>335.28</v>
      </c>
      <c r="S5402" s="1562"/>
    </row>
    <row r="5403" spans="2:19" ht="11.25" customHeight="1" outlineLevel="1">
      <c r="B5403" s="1569" t="s">
        <v>6802</v>
      </c>
      <c r="C5403" s="1566" t="s">
        <v>2414</v>
      </c>
      <c r="D5403" s="1566" t="s">
        <v>6801</v>
      </c>
      <c r="E5403" s="1566"/>
      <c r="F5403" s="1566"/>
      <c r="G5403" s="1566" t="s">
        <v>6800</v>
      </c>
      <c r="H5403" s="1568">
        <v>1</v>
      </c>
      <c r="I5403" s="1566"/>
      <c r="J5403" s="1566"/>
      <c r="K5403" s="1565">
        <v>3221.16</v>
      </c>
      <c r="L5403" s="1565">
        <v>3221.16</v>
      </c>
      <c r="M5403" s="1564"/>
      <c r="N5403" s="1565">
        <v>3221.16</v>
      </c>
      <c r="O5403" s="1565">
        <v>2976.48</v>
      </c>
      <c r="P5403" s="1564"/>
      <c r="Q5403" s="1572">
        <v>244.68</v>
      </c>
      <c r="R5403" s="1572">
        <v>244.68</v>
      </c>
      <c r="S5403" s="1562"/>
    </row>
    <row r="5404" spans="2:19" ht="11.25" customHeight="1" outlineLevel="1">
      <c r="B5404" s="1569" t="s">
        <v>6799</v>
      </c>
      <c r="C5404" s="1566" t="s">
        <v>2414</v>
      </c>
      <c r="D5404" s="1566" t="s">
        <v>6798</v>
      </c>
      <c r="E5404" s="1566" t="s">
        <v>2219</v>
      </c>
      <c r="F5404" s="1566"/>
      <c r="G5404" s="1566" t="s">
        <v>6797</v>
      </c>
      <c r="H5404" s="1568">
        <v>1</v>
      </c>
      <c r="I5404" s="1566"/>
      <c r="J5404" s="1566"/>
      <c r="K5404" s="1565">
        <v>84225.87</v>
      </c>
      <c r="L5404" s="1565">
        <v>84225.87</v>
      </c>
      <c r="M5404" s="1564"/>
      <c r="N5404" s="1565">
        <v>84225.87</v>
      </c>
      <c r="O5404" s="1565">
        <v>77828.95</v>
      </c>
      <c r="P5404" s="1564"/>
      <c r="Q5404" s="1565">
        <v>6396.92</v>
      </c>
      <c r="R5404" s="1565">
        <v>6396.92</v>
      </c>
      <c r="S5404" s="1562"/>
    </row>
    <row r="5405" spans="2:19" ht="11.25" customHeight="1" outlineLevel="1">
      <c r="B5405" s="1569" t="s">
        <v>6796</v>
      </c>
      <c r="C5405" s="1566" t="s">
        <v>2414</v>
      </c>
      <c r="D5405" s="1566" t="s">
        <v>6795</v>
      </c>
      <c r="E5405" s="1566"/>
      <c r="F5405" s="1566"/>
      <c r="G5405" s="1566" t="s">
        <v>6794</v>
      </c>
      <c r="H5405" s="1568">
        <v>1</v>
      </c>
      <c r="I5405" s="1566"/>
      <c r="J5405" s="1566"/>
      <c r="K5405" s="1565">
        <v>1268.42</v>
      </c>
      <c r="L5405" s="1565">
        <v>1268.42</v>
      </c>
      <c r="M5405" s="1564"/>
      <c r="N5405" s="1565">
        <v>1268.42</v>
      </c>
      <c r="O5405" s="1565">
        <v>1172.06</v>
      </c>
      <c r="P5405" s="1564"/>
      <c r="Q5405" s="1572">
        <v>96.36</v>
      </c>
      <c r="R5405" s="1572">
        <v>96.36</v>
      </c>
      <c r="S5405" s="1562"/>
    </row>
    <row r="5406" spans="2:19" ht="11.25" customHeight="1" outlineLevel="1">
      <c r="B5406" s="1569" t="s">
        <v>6793</v>
      </c>
      <c r="C5406" s="1566" t="s">
        <v>2414</v>
      </c>
      <c r="D5406" s="1566" t="s">
        <v>6792</v>
      </c>
      <c r="E5406" s="1566"/>
      <c r="F5406" s="1566"/>
      <c r="G5406" s="1566" t="s">
        <v>6791</v>
      </c>
      <c r="H5406" s="1568">
        <v>1</v>
      </c>
      <c r="I5406" s="1566"/>
      <c r="J5406" s="1566"/>
      <c r="K5406" s="1565">
        <v>5725.27</v>
      </c>
      <c r="L5406" s="1565">
        <v>5725.27</v>
      </c>
      <c r="M5406" s="1564"/>
      <c r="N5406" s="1565">
        <v>5725.27</v>
      </c>
      <c r="O5406" s="1565">
        <v>5290.39</v>
      </c>
      <c r="P5406" s="1564"/>
      <c r="Q5406" s="1572">
        <v>434.88</v>
      </c>
      <c r="R5406" s="1572">
        <v>434.88</v>
      </c>
      <c r="S5406" s="1562"/>
    </row>
    <row r="5407" spans="2:19" ht="11.25" customHeight="1" outlineLevel="1">
      <c r="B5407" s="1569" t="s">
        <v>6790</v>
      </c>
      <c r="C5407" s="1566" t="s">
        <v>2414</v>
      </c>
      <c r="D5407" s="1566" t="s">
        <v>6789</v>
      </c>
      <c r="E5407" s="1566"/>
      <c r="F5407" s="1566"/>
      <c r="G5407" s="1566" t="s">
        <v>6788</v>
      </c>
      <c r="H5407" s="1568">
        <v>1</v>
      </c>
      <c r="I5407" s="1566"/>
      <c r="J5407" s="1566"/>
      <c r="K5407" s="1565">
        <v>18562.18</v>
      </c>
      <c r="L5407" s="1565">
        <v>18562.18</v>
      </c>
      <c r="M5407" s="1564"/>
      <c r="N5407" s="1565">
        <v>18562.18</v>
      </c>
      <c r="O5407" s="1565">
        <v>17152.419999999998</v>
      </c>
      <c r="P5407" s="1564"/>
      <c r="Q5407" s="1565">
        <v>1409.76</v>
      </c>
      <c r="R5407" s="1565">
        <v>1409.76</v>
      </c>
      <c r="S5407" s="1562"/>
    </row>
    <row r="5408" spans="2:19" ht="11.25" customHeight="1" outlineLevel="1">
      <c r="B5408" s="1569" t="s">
        <v>6787</v>
      </c>
      <c r="C5408" s="1566" t="s">
        <v>2414</v>
      </c>
      <c r="D5408" s="1566" t="s">
        <v>6786</v>
      </c>
      <c r="E5408" s="1566"/>
      <c r="F5408" s="1566"/>
      <c r="G5408" s="1566" t="s">
        <v>6785</v>
      </c>
      <c r="H5408" s="1568">
        <v>1</v>
      </c>
      <c r="I5408" s="1566"/>
      <c r="J5408" s="1566"/>
      <c r="K5408" s="1565">
        <v>14793.5</v>
      </c>
      <c r="L5408" s="1565">
        <v>14793.5</v>
      </c>
      <c r="M5408" s="1564"/>
      <c r="N5408" s="1565">
        <v>14793.5</v>
      </c>
      <c r="O5408" s="1565">
        <v>13669.94</v>
      </c>
      <c r="P5408" s="1564"/>
      <c r="Q5408" s="1565">
        <v>1123.56</v>
      </c>
      <c r="R5408" s="1565">
        <v>1123.56</v>
      </c>
      <c r="S5408" s="1562"/>
    </row>
    <row r="5409" spans="2:19" ht="11.25" customHeight="1" outlineLevel="1">
      <c r="B5409" s="1569" t="s">
        <v>6784</v>
      </c>
      <c r="C5409" s="1566" t="s">
        <v>2414</v>
      </c>
      <c r="D5409" s="1566" t="s">
        <v>6783</v>
      </c>
      <c r="E5409" s="1566"/>
      <c r="F5409" s="1566"/>
      <c r="G5409" s="1566" t="s">
        <v>6782</v>
      </c>
      <c r="H5409" s="1568">
        <v>1</v>
      </c>
      <c r="I5409" s="1566"/>
      <c r="J5409" s="1566"/>
      <c r="K5409" s="1565">
        <v>10847.27</v>
      </c>
      <c r="L5409" s="1565">
        <v>10847.27</v>
      </c>
      <c r="M5409" s="1564"/>
      <c r="N5409" s="1565">
        <v>10847.27</v>
      </c>
      <c r="O5409" s="1565">
        <v>10023.469999999999</v>
      </c>
      <c r="P5409" s="1564"/>
      <c r="Q5409" s="1572">
        <v>823.8</v>
      </c>
      <c r="R5409" s="1572">
        <v>823.8</v>
      </c>
      <c r="S5409" s="1562"/>
    </row>
    <row r="5410" spans="2:19" ht="11.25" customHeight="1" outlineLevel="1">
      <c r="B5410" s="1569" t="s">
        <v>6781</v>
      </c>
      <c r="C5410" s="1566" t="s">
        <v>2414</v>
      </c>
      <c r="D5410" s="1566" t="s">
        <v>6780</v>
      </c>
      <c r="E5410" s="1566"/>
      <c r="F5410" s="1566"/>
      <c r="G5410" s="1566" t="s">
        <v>6779</v>
      </c>
      <c r="H5410" s="1568">
        <v>1</v>
      </c>
      <c r="I5410" s="1566"/>
      <c r="J5410" s="1566"/>
      <c r="K5410" s="1565">
        <v>1515.14</v>
      </c>
      <c r="L5410" s="1565">
        <v>1515.14</v>
      </c>
      <c r="M5410" s="1564"/>
      <c r="N5410" s="1565">
        <v>1515.14</v>
      </c>
      <c r="O5410" s="1565">
        <v>1400.06</v>
      </c>
      <c r="P5410" s="1564"/>
      <c r="Q5410" s="1572">
        <v>115.08</v>
      </c>
      <c r="R5410" s="1572">
        <v>115.08</v>
      </c>
      <c r="S5410" s="1562"/>
    </row>
    <row r="5411" spans="2:19" ht="11.25" customHeight="1" outlineLevel="1">
      <c r="B5411" s="1569" t="s">
        <v>6778</v>
      </c>
      <c r="C5411" s="1566" t="s">
        <v>2414</v>
      </c>
      <c r="D5411" s="1566" t="s">
        <v>6777</v>
      </c>
      <c r="E5411" s="1566"/>
      <c r="F5411" s="1566"/>
      <c r="G5411" s="1566" t="s">
        <v>6776</v>
      </c>
      <c r="H5411" s="1568">
        <v>1</v>
      </c>
      <c r="I5411" s="1566"/>
      <c r="J5411" s="1566"/>
      <c r="K5411" s="1565">
        <v>2658.74</v>
      </c>
      <c r="L5411" s="1565">
        <v>2658.74</v>
      </c>
      <c r="M5411" s="1564"/>
      <c r="N5411" s="1565">
        <v>2658.74</v>
      </c>
      <c r="O5411" s="1565">
        <v>2456.7800000000002</v>
      </c>
      <c r="P5411" s="1564"/>
      <c r="Q5411" s="1572">
        <v>201.96</v>
      </c>
      <c r="R5411" s="1572">
        <v>201.96</v>
      </c>
      <c r="S5411" s="1562"/>
    </row>
    <row r="5412" spans="2:19" ht="11.25" customHeight="1" outlineLevel="1">
      <c r="B5412" s="1569" t="s">
        <v>6775</v>
      </c>
      <c r="C5412" s="1566" t="s">
        <v>2414</v>
      </c>
      <c r="D5412" s="1566" t="s">
        <v>6774</v>
      </c>
      <c r="E5412" s="1566"/>
      <c r="F5412" s="1566"/>
      <c r="G5412" s="1566" t="s">
        <v>6773</v>
      </c>
      <c r="H5412" s="1568">
        <v>1</v>
      </c>
      <c r="I5412" s="1566"/>
      <c r="J5412" s="1566"/>
      <c r="K5412" s="1565">
        <v>52360.800000000003</v>
      </c>
      <c r="L5412" s="1565">
        <v>52360.800000000003</v>
      </c>
      <c r="M5412" s="1564"/>
      <c r="N5412" s="1565">
        <v>52360.800000000003</v>
      </c>
      <c r="O5412" s="1565">
        <v>48384</v>
      </c>
      <c r="P5412" s="1564"/>
      <c r="Q5412" s="1565">
        <v>3976.8</v>
      </c>
      <c r="R5412" s="1565">
        <v>3976.8</v>
      </c>
      <c r="S5412" s="1562"/>
    </row>
    <row r="5413" spans="2:19" ht="11.25" customHeight="1" outlineLevel="1">
      <c r="B5413" s="1569" t="s">
        <v>6772</v>
      </c>
      <c r="C5413" s="1566" t="s">
        <v>2414</v>
      </c>
      <c r="D5413" s="1566" t="s">
        <v>6771</v>
      </c>
      <c r="E5413" s="1566"/>
      <c r="F5413" s="1566"/>
      <c r="G5413" s="1566" t="s">
        <v>6770</v>
      </c>
      <c r="H5413" s="1568">
        <v>1</v>
      </c>
      <c r="I5413" s="1566"/>
      <c r="J5413" s="1566"/>
      <c r="K5413" s="1565">
        <v>4447.1899999999996</v>
      </c>
      <c r="L5413" s="1565">
        <v>4447.1899999999996</v>
      </c>
      <c r="M5413" s="1564"/>
      <c r="N5413" s="1565">
        <v>4447.1899999999996</v>
      </c>
      <c r="O5413" s="1565">
        <v>4109.3900000000003</v>
      </c>
      <c r="P5413" s="1564"/>
      <c r="Q5413" s="1572">
        <v>337.8</v>
      </c>
      <c r="R5413" s="1572">
        <v>337.8</v>
      </c>
      <c r="S5413" s="1562"/>
    </row>
    <row r="5414" spans="2:19" ht="11.25" customHeight="1" outlineLevel="1">
      <c r="B5414" s="1569" t="s">
        <v>6769</v>
      </c>
      <c r="C5414" s="1566" t="s">
        <v>2414</v>
      </c>
      <c r="D5414" s="1566" t="s">
        <v>6768</v>
      </c>
      <c r="E5414" s="1566"/>
      <c r="F5414" s="1566"/>
      <c r="G5414" s="1566" t="s">
        <v>3097</v>
      </c>
      <c r="H5414" s="1568">
        <v>1</v>
      </c>
      <c r="I5414" s="1566"/>
      <c r="J5414" s="1566"/>
      <c r="K5414" s="1565">
        <v>3673.76</v>
      </c>
      <c r="L5414" s="1565">
        <v>3673.76</v>
      </c>
      <c r="M5414" s="1564"/>
      <c r="N5414" s="1565">
        <v>3673.76</v>
      </c>
      <c r="O5414" s="1565">
        <v>3394.76</v>
      </c>
      <c r="P5414" s="1564"/>
      <c r="Q5414" s="1572">
        <v>279</v>
      </c>
      <c r="R5414" s="1572">
        <v>279</v>
      </c>
      <c r="S5414" s="1562"/>
    </row>
    <row r="5415" spans="2:19" ht="11.25" customHeight="1" outlineLevel="1">
      <c r="B5415" s="1569" t="s">
        <v>6767</v>
      </c>
      <c r="C5415" s="1566" t="s">
        <v>2414</v>
      </c>
      <c r="D5415" s="1566" t="s">
        <v>6766</v>
      </c>
      <c r="E5415" s="1566"/>
      <c r="F5415" s="1566"/>
      <c r="G5415" s="1566" t="s">
        <v>6765</v>
      </c>
      <c r="H5415" s="1568">
        <v>1</v>
      </c>
      <c r="I5415" s="1566"/>
      <c r="J5415" s="1566"/>
      <c r="K5415" s="1565">
        <v>4833.8999999999996</v>
      </c>
      <c r="L5415" s="1565">
        <v>4833.8999999999996</v>
      </c>
      <c r="M5415" s="1564"/>
      <c r="N5415" s="1565">
        <v>4833.8999999999996</v>
      </c>
      <c r="O5415" s="1565">
        <v>4466.82</v>
      </c>
      <c r="P5415" s="1564"/>
      <c r="Q5415" s="1572">
        <v>367.08</v>
      </c>
      <c r="R5415" s="1572">
        <v>367.08</v>
      </c>
      <c r="S5415" s="1562"/>
    </row>
    <row r="5416" spans="2:19" ht="11.25" customHeight="1" outlineLevel="1">
      <c r="B5416" s="1569" t="s">
        <v>6764</v>
      </c>
      <c r="C5416" s="1566" t="s">
        <v>2414</v>
      </c>
      <c r="D5416" s="1566" t="s">
        <v>6763</v>
      </c>
      <c r="E5416" s="1566"/>
      <c r="F5416" s="1566"/>
      <c r="G5416" s="1566" t="s">
        <v>6762</v>
      </c>
      <c r="H5416" s="1568">
        <v>1</v>
      </c>
      <c r="I5416" s="1566"/>
      <c r="J5416" s="1566"/>
      <c r="K5416" s="1565">
        <v>9850.9699999999993</v>
      </c>
      <c r="L5416" s="1565">
        <v>9850.9699999999993</v>
      </c>
      <c r="M5416" s="1564"/>
      <c r="N5416" s="1565">
        <v>9850.9699999999993</v>
      </c>
      <c r="O5416" s="1565">
        <v>9102.77</v>
      </c>
      <c r="P5416" s="1564"/>
      <c r="Q5416" s="1572">
        <v>748.2</v>
      </c>
      <c r="R5416" s="1572">
        <v>748.2</v>
      </c>
      <c r="S5416" s="1562"/>
    </row>
    <row r="5417" spans="2:19" ht="11.25" customHeight="1" outlineLevel="1">
      <c r="B5417" s="1569" t="s">
        <v>6761</v>
      </c>
      <c r="C5417" s="1566" t="s">
        <v>2414</v>
      </c>
      <c r="D5417" s="1566" t="s">
        <v>6760</v>
      </c>
      <c r="E5417" s="1566"/>
      <c r="F5417" s="1566"/>
      <c r="G5417" s="1566" t="s">
        <v>6759</v>
      </c>
      <c r="H5417" s="1568">
        <v>1</v>
      </c>
      <c r="I5417" s="1566"/>
      <c r="J5417" s="1566"/>
      <c r="K5417" s="1565">
        <v>4331.17</v>
      </c>
      <c r="L5417" s="1565">
        <v>4331.17</v>
      </c>
      <c r="M5417" s="1564"/>
      <c r="N5417" s="1565">
        <v>4331.17</v>
      </c>
      <c r="O5417" s="1565">
        <v>4002.25</v>
      </c>
      <c r="P5417" s="1564"/>
      <c r="Q5417" s="1572">
        <v>328.92</v>
      </c>
      <c r="R5417" s="1572">
        <v>328.92</v>
      </c>
      <c r="S5417" s="1562"/>
    </row>
    <row r="5418" spans="2:19" ht="11.25" customHeight="1" outlineLevel="1">
      <c r="B5418" s="1569" t="s">
        <v>6758</v>
      </c>
      <c r="C5418" s="1566" t="s">
        <v>2414</v>
      </c>
      <c r="D5418" s="1566" t="s">
        <v>6757</v>
      </c>
      <c r="E5418" s="1566"/>
      <c r="F5418" s="1566"/>
      <c r="G5418" s="1566" t="s">
        <v>6756</v>
      </c>
      <c r="H5418" s="1568">
        <v>1</v>
      </c>
      <c r="I5418" s="1566"/>
      <c r="J5418" s="1566"/>
      <c r="K5418" s="1565">
        <v>2513.63</v>
      </c>
      <c r="L5418" s="1565">
        <v>2513.63</v>
      </c>
      <c r="M5418" s="1564"/>
      <c r="N5418" s="1565">
        <v>2513.63</v>
      </c>
      <c r="O5418" s="1565">
        <v>2322.71</v>
      </c>
      <c r="P5418" s="1564"/>
      <c r="Q5418" s="1572">
        <v>190.92</v>
      </c>
      <c r="R5418" s="1572">
        <v>190.92</v>
      </c>
      <c r="S5418" s="1562"/>
    </row>
    <row r="5419" spans="2:19" ht="11.25" customHeight="1" outlineLevel="1">
      <c r="B5419" s="1569" t="s">
        <v>6755</v>
      </c>
      <c r="C5419" s="1566" t="s">
        <v>2414</v>
      </c>
      <c r="D5419" s="1566" t="s">
        <v>6754</v>
      </c>
      <c r="E5419" s="1566"/>
      <c r="F5419" s="1566"/>
      <c r="G5419" s="1566" t="s">
        <v>6753</v>
      </c>
      <c r="H5419" s="1568">
        <v>1</v>
      </c>
      <c r="I5419" s="1566"/>
      <c r="J5419" s="1566"/>
      <c r="K5419" s="1565">
        <v>5413.97</v>
      </c>
      <c r="L5419" s="1565">
        <v>5413.97</v>
      </c>
      <c r="M5419" s="1564"/>
      <c r="N5419" s="1565">
        <v>5413.97</v>
      </c>
      <c r="O5419" s="1565">
        <v>5002.7299999999996</v>
      </c>
      <c r="P5419" s="1564"/>
      <c r="Q5419" s="1572">
        <v>411.24</v>
      </c>
      <c r="R5419" s="1572">
        <v>411.24</v>
      </c>
      <c r="S5419" s="1562"/>
    </row>
    <row r="5420" spans="2:19" ht="11.25" customHeight="1" outlineLevel="1">
      <c r="B5420" s="1569" t="s">
        <v>6752</v>
      </c>
      <c r="C5420" s="1566" t="s">
        <v>2414</v>
      </c>
      <c r="D5420" s="1566" t="s">
        <v>6751</v>
      </c>
      <c r="E5420" s="1566"/>
      <c r="F5420" s="1566"/>
      <c r="G5420" s="1566" t="s">
        <v>6750</v>
      </c>
      <c r="H5420" s="1568">
        <v>1</v>
      </c>
      <c r="I5420" s="1566"/>
      <c r="J5420" s="1566"/>
      <c r="K5420" s="1565">
        <v>3410.8</v>
      </c>
      <c r="L5420" s="1565">
        <v>3410.8</v>
      </c>
      <c r="M5420" s="1564"/>
      <c r="N5420" s="1565">
        <v>3410.8</v>
      </c>
      <c r="O5420" s="1565">
        <v>3151.72</v>
      </c>
      <c r="P5420" s="1564"/>
      <c r="Q5420" s="1572">
        <v>259.08</v>
      </c>
      <c r="R5420" s="1572">
        <v>259.08</v>
      </c>
      <c r="S5420" s="1562"/>
    </row>
    <row r="5421" spans="2:19" ht="11.25" customHeight="1" outlineLevel="1">
      <c r="B5421" s="1569" t="s">
        <v>6749</v>
      </c>
      <c r="C5421" s="1566" t="s">
        <v>2414</v>
      </c>
      <c r="D5421" s="1566" t="s">
        <v>6748</v>
      </c>
      <c r="E5421" s="1566"/>
      <c r="F5421" s="1566"/>
      <c r="G5421" s="1566" t="s">
        <v>6747</v>
      </c>
      <c r="H5421" s="1568">
        <v>1</v>
      </c>
      <c r="I5421" s="1566"/>
      <c r="J5421" s="1566"/>
      <c r="K5421" s="1565">
        <v>1278.24</v>
      </c>
      <c r="L5421" s="1565">
        <v>1278.24</v>
      </c>
      <c r="M5421" s="1564"/>
      <c r="N5421" s="1565">
        <v>1278.24</v>
      </c>
      <c r="O5421" s="1565">
        <v>1181.1600000000001</v>
      </c>
      <c r="P5421" s="1564"/>
      <c r="Q5421" s="1572">
        <v>97.08</v>
      </c>
      <c r="R5421" s="1572">
        <v>97.08</v>
      </c>
      <c r="S5421" s="1562"/>
    </row>
    <row r="5422" spans="2:19" ht="11.25" customHeight="1" outlineLevel="1">
      <c r="B5422" s="1569" t="s">
        <v>6746</v>
      </c>
      <c r="C5422" s="1566" t="s">
        <v>2414</v>
      </c>
      <c r="D5422" s="1566" t="s">
        <v>6745</v>
      </c>
      <c r="E5422" s="1566"/>
      <c r="F5422" s="1566"/>
      <c r="G5422" s="1566" t="s">
        <v>6744</v>
      </c>
      <c r="H5422" s="1568">
        <v>1</v>
      </c>
      <c r="I5422" s="1566"/>
      <c r="J5422" s="1566"/>
      <c r="K5422" s="1565">
        <v>18747.52</v>
      </c>
      <c r="L5422" s="1565">
        <v>18747.52</v>
      </c>
      <c r="M5422" s="1564"/>
      <c r="N5422" s="1565">
        <v>18747.52</v>
      </c>
      <c r="O5422" s="1565">
        <v>17323.63</v>
      </c>
      <c r="P5422" s="1564"/>
      <c r="Q5422" s="1565">
        <v>1423.89</v>
      </c>
      <c r="R5422" s="1565">
        <v>1423.89</v>
      </c>
      <c r="S5422" s="1562"/>
    </row>
    <row r="5423" spans="2:19" ht="11.25" customHeight="1" outlineLevel="1">
      <c r="B5423" s="1569" t="s">
        <v>6743</v>
      </c>
      <c r="C5423" s="1566" t="s">
        <v>2414</v>
      </c>
      <c r="D5423" s="1566" t="s">
        <v>6742</v>
      </c>
      <c r="E5423" s="1566"/>
      <c r="F5423" s="1566"/>
      <c r="G5423" s="1566" t="s">
        <v>6741</v>
      </c>
      <c r="H5423" s="1568">
        <v>1</v>
      </c>
      <c r="I5423" s="1566"/>
      <c r="J5423" s="1566"/>
      <c r="K5423" s="1565">
        <v>2457.63</v>
      </c>
      <c r="L5423" s="1565">
        <v>2457.63</v>
      </c>
      <c r="M5423" s="1564"/>
      <c r="N5423" s="1565">
        <v>2457.63</v>
      </c>
      <c r="O5423" s="1565">
        <v>2271.0300000000002</v>
      </c>
      <c r="P5423" s="1564"/>
      <c r="Q5423" s="1572">
        <v>186.6</v>
      </c>
      <c r="R5423" s="1572">
        <v>186.6</v>
      </c>
      <c r="S5423" s="1562"/>
    </row>
    <row r="5424" spans="2:19" ht="11.25" customHeight="1" outlineLevel="1">
      <c r="B5424" s="1569" t="s">
        <v>6740</v>
      </c>
      <c r="C5424" s="1566" t="s">
        <v>2414</v>
      </c>
      <c r="D5424" s="1566" t="s">
        <v>6739</v>
      </c>
      <c r="E5424" s="1566"/>
      <c r="F5424" s="1566"/>
      <c r="G5424" s="1566" t="s">
        <v>6738</v>
      </c>
      <c r="H5424" s="1568">
        <v>1</v>
      </c>
      <c r="I5424" s="1566"/>
      <c r="J5424" s="1566"/>
      <c r="K5424" s="1565">
        <v>2171.3000000000002</v>
      </c>
      <c r="L5424" s="1565">
        <v>2171.3000000000002</v>
      </c>
      <c r="M5424" s="1564"/>
      <c r="N5424" s="1565">
        <v>2171.3000000000002</v>
      </c>
      <c r="O5424" s="1565">
        <v>2006.42</v>
      </c>
      <c r="P5424" s="1564"/>
      <c r="Q5424" s="1572">
        <v>164.88</v>
      </c>
      <c r="R5424" s="1572">
        <v>164.88</v>
      </c>
      <c r="S5424" s="1562"/>
    </row>
    <row r="5425" spans="2:19" ht="11.25" customHeight="1" outlineLevel="1">
      <c r="B5425" s="1569" t="s">
        <v>6737</v>
      </c>
      <c r="C5425" s="1566" t="s">
        <v>2414</v>
      </c>
      <c r="D5425" s="1566" t="s">
        <v>6736</v>
      </c>
      <c r="E5425" s="1566"/>
      <c r="F5425" s="1566"/>
      <c r="G5425" s="1566" t="s">
        <v>6735</v>
      </c>
      <c r="H5425" s="1568">
        <v>1</v>
      </c>
      <c r="I5425" s="1566"/>
      <c r="J5425" s="1566"/>
      <c r="K5425" s="1565">
        <v>17680.62</v>
      </c>
      <c r="L5425" s="1565">
        <v>17680.62</v>
      </c>
      <c r="M5425" s="1564"/>
      <c r="N5425" s="1565">
        <v>17680.62</v>
      </c>
      <c r="O5425" s="1565">
        <v>16337.82</v>
      </c>
      <c r="P5425" s="1564"/>
      <c r="Q5425" s="1565">
        <v>1342.8</v>
      </c>
      <c r="R5425" s="1565">
        <v>1342.8</v>
      </c>
      <c r="S5425" s="1562"/>
    </row>
    <row r="5426" spans="2:19" ht="11.25" customHeight="1" outlineLevel="1">
      <c r="B5426" s="1569" t="s">
        <v>6734</v>
      </c>
      <c r="C5426" s="1566" t="s">
        <v>2414</v>
      </c>
      <c r="D5426" s="1566" t="s">
        <v>6733</v>
      </c>
      <c r="E5426" s="1566"/>
      <c r="F5426" s="1566"/>
      <c r="G5426" s="1566" t="s">
        <v>6732</v>
      </c>
      <c r="H5426" s="1568">
        <v>1</v>
      </c>
      <c r="I5426" s="1566"/>
      <c r="J5426" s="1566"/>
      <c r="K5426" s="1565">
        <v>11195.31</v>
      </c>
      <c r="L5426" s="1565">
        <v>11195.31</v>
      </c>
      <c r="M5426" s="1564"/>
      <c r="N5426" s="1565">
        <v>11195.31</v>
      </c>
      <c r="O5426" s="1565">
        <v>10344.99</v>
      </c>
      <c r="P5426" s="1564"/>
      <c r="Q5426" s="1572">
        <v>850.32</v>
      </c>
      <c r="R5426" s="1572">
        <v>850.32</v>
      </c>
      <c r="S5426" s="1562"/>
    </row>
    <row r="5427" spans="2:19" ht="11.25" customHeight="1" outlineLevel="1">
      <c r="B5427" s="1569" t="s">
        <v>6731</v>
      </c>
      <c r="C5427" s="1566" t="s">
        <v>2414</v>
      </c>
      <c r="D5427" s="1566" t="s">
        <v>6730</v>
      </c>
      <c r="E5427" s="1566"/>
      <c r="F5427" s="1566"/>
      <c r="G5427" s="1566" t="s">
        <v>6729</v>
      </c>
      <c r="H5427" s="1568">
        <v>1</v>
      </c>
      <c r="I5427" s="1566"/>
      <c r="J5427" s="1566"/>
      <c r="K5427" s="1565">
        <v>1421.17</v>
      </c>
      <c r="L5427" s="1565">
        <v>1421.17</v>
      </c>
      <c r="M5427" s="1564"/>
      <c r="N5427" s="1565">
        <v>1421.17</v>
      </c>
      <c r="O5427" s="1565">
        <v>1313.27</v>
      </c>
      <c r="P5427" s="1564"/>
      <c r="Q5427" s="1572">
        <v>107.9</v>
      </c>
      <c r="R5427" s="1572">
        <v>107.9</v>
      </c>
      <c r="S5427" s="1562"/>
    </row>
    <row r="5428" spans="2:19" ht="11.25" customHeight="1" outlineLevel="1">
      <c r="B5428" s="1569" t="s">
        <v>6728</v>
      </c>
      <c r="C5428" s="1566" t="s">
        <v>2414</v>
      </c>
      <c r="D5428" s="1566" t="s">
        <v>6727</v>
      </c>
      <c r="E5428" s="1566"/>
      <c r="F5428" s="1566"/>
      <c r="G5428" s="1566" t="s">
        <v>6726</v>
      </c>
      <c r="H5428" s="1568">
        <v>1</v>
      </c>
      <c r="I5428" s="1566"/>
      <c r="J5428" s="1566"/>
      <c r="K5428" s="1565">
        <v>4790.91</v>
      </c>
      <c r="L5428" s="1565">
        <v>4790.91</v>
      </c>
      <c r="M5428" s="1564"/>
      <c r="N5428" s="1565">
        <v>4790.91</v>
      </c>
      <c r="O5428" s="1565">
        <v>4427.07</v>
      </c>
      <c r="P5428" s="1564"/>
      <c r="Q5428" s="1572">
        <v>363.84</v>
      </c>
      <c r="R5428" s="1572">
        <v>363.84</v>
      </c>
      <c r="S5428" s="1562"/>
    </row>
    <row r="5429" spans="2:19" ht="11.25" customHeight="1" outlineLevel="1">
      <c r="B5429" s="1569" t="s">
        <v>6725</v>
      </c>
      <c r="C5429" s="1566" t="s">
        <v>2414</v>
      </c>
      <c r="D5429" s="1566" t="s">
        <v>6724</v>
      </c>
      <c r="E5429" s="1566"/>
      <c r="F5429" s="1566"/>
      <c r="G5429" s="1566" t="s">
        <v>6723</v>
      </c>
      <c r="H5429" s="1568">
        <v>1</v>
      </c>
      <c r="I5429" s="1566"/>
      <c r="J5429" s="1566"/>
      <c r="K5429" s="1565">
        <v>3673.76</v>
      </c>
      <c r="L5429" s="1565">
        <v>3673.76</v>
      </c>
      <c r="M5429" s="1564"/>
      <c r="N5429" s="1565">
        <v>3673.76</v>
      </c>
      <c r="O5429" s="1565">
        <v>3394.76</v>
      </c>
      <c r="P5429" s="1564"/>
      <c r="Q5429" s="1572">
        <v>279</v>
      </c>
      <c r="R5429" s="1572">
        <v>279</v>
      </c>
      <c r="S5429" s="1562"/>
    </row>
    <row r="5430" spans="2:19" ht="11.25" customHeight="1" outlineLevel="1">
      <c r="B5430" s="1569" t="s">
        <v>6722</v>
      </c>
      <c r="C5430" s="1566" t="s">
        <v>2414</v>
      </c>
      <c r="D5430" s="1566" t="s">
        <v>6721</v>
      </c>
      <c r="E5430" s="1566"/>
      <c r="F5430" s="1566"/>
      <c r="G5430" s="1566" t="s">
        <v>6720</v>
      </c>
      <c r="H5430" s="1568">
        <v>1</v>
      </c>
      <c r="I5430" s="1566"/>
      <c r="J5430" s="1566"/>
      <c r="K5430" s="1565">
        <v>2556.48</v>
      </c>
      <c r="L5430" s="1565">
        <v>2556.48</v>
      </c>
      <c r="M5430" s="1564"/>
      <c r="N5430" s="1565">
        <v>2556.48</v>
      </c>
      <c r="O5430" s="1565">
        <v>2362.3200000000002</v>
      </c>
      <c r="P5430" s="1564"/>
      <c r="Q5430" s="1572">
        <v>194.16</v>
      </c>
      <c r="R5430" s="1572">
        <v>194.16</v>
      </c>
      <c r="S5430" s="1562"/>
    </row>
    <row r="5431" spans="2:19" ht="11.25" customHeight="1" outlineLevel="1">
      <c r="B5431" s="1569" t="s">
        <v>6719</v>
      </c>
      <c r="C5431" s="1566" t="s">
        <v>2414</v>
      </c>
      <c r="D5431" s="1566" t="s">
        <v>6718</v>
      </c>
      <c r="E5431" s="1566"/>
      <c r="F5431" s="1566"/>
      <c r="G5431" s="1566" t="s">
        <v>6717</v>
      </c>
      <c r="H5431" s="1568">
        <v>1</v>
      </c>
      <c r="I5431" s="1566"/>
      <c r="J5431" s="1566"/>
      <c r="K5431" s="1565">
        <v>19066.86</v>
      </c>
      <c r="L5431" s="1565">
        <v>19066.86</v>
      </c>
      <c r="M5431" s="1564"/>
      <c r="N5431" s="1565">
        <v>19066.86</v>
      </c>
      <c r="O5431" s="1565">
        <v>17618.7</v>
      </c>
      <c r="P5431" s="1564"/>
      <c r="Q5431" s="1565">
        <v>1448.16</v>
      </c>
      <c r="R5431" s="1565">
        <v>1448.16</v>
      </c>
      <c r="S5431" s="1562"/>
    </row>
    <row r="5432" spans="2:19" ht="11.25" customHeight="1" outlineLevel="1">
      <c r="B5432" s="1569" t="s">
        <v>6716</v>
      </c>
      <c r="C5432" s="1566" t="s">
        <v>2414</v>
      </c>
      <c r="D5432" s="1566" t="s">
        <v>6715</v>
      </c>
      <c r="E5432" s="1566"/>
      <c r="F5432" s="1566"/>
      <c r="G5432" s="1566" t="s">
        <v>6714</v>
      </c>
      <c r="H5432" s="1568">
        <v>1</v>
      </c>
      <c r="I5432" s="1566"/>
      <c r="J5432" s="1566"/>
      <c r="K5432" s="1565">
        <v>25232.959999999999</v>
      </c>
      <c r="L5432" s="1565">
        <v>25232.959999999999</v>
      </c>
      <c r="M5432" s="1564"/>
      <c r="N5432" s="1565">
        <v>25232.959999999999</v>
      </c>
      <c r="O5432" s="1565">
        <v>23316.560000000001</v>
      </c>
      <c r="P5432" s="1564"/>
      <c r="Q5432" s="1565">
        <v>1916.4</v>
      </c>
      <c r="R5432" s="1565">
        <v>1916.4</v>
      </c>
      <c r="S5432" s="1562"/>
    </row>
    <row r="5433" spans="2:19" ht="11.25" customHeight="1" outlineLevel="1">
      <c r="B5433" s="1569" t="s">
        <v>6713</v>
      </c>
      <c r="C5433" s="1566" t="s">
        <v>2414</v>
      </c>
      <c r="D5433" s="1566" t="s">
        <v>6712</v>
      </c>
      <c r="E5433" s="1566"/>
      <c r="F5433" s="1566"/>
      <c r="G5433" s="1566" t="s">
        <v>6711</v>
      </c>
      <c r="H5433" s="1568">
        <v>1</v>
      </c>
      <c r="I5433" s="1566"/>
      <c r="J5433" s="1566"/>
      <c r="K5433" s="1565">
        <v>49749.1</v>
      </c>
      <c r="L5433" s="1565">
        <v>49749.1</v>
      </c>
      <c r="M5433" s="1564"/>
      <c r="N5433" s="1565">
        <v>49749.1</v>
      </c>
      <c r="O5433" s="1565">
        <v>45970.66</v>
      </c>
      <c r="P5433" s="1564"/>
      <c r="Q5433" s="1565">
        <v>3778.44</v>
      </c>
      <c r="R5433" s="1565">
        <v>3778.44</v>
      </c>
      <c r="S5433" s="1562"/>
    </row>
    <row r="5434" spans="2:19" ht="11.25" customHeight="1" outlineLevel="1">
      <c r="B5434" s="1569" t="s">
        <v>6710</v>
      </c>
      <c r="C5434" s="1566" t="s">
        <v>2414</v>
      </c>
      <c r="D5434" s="1566" t="s">
        <v>6709</v>
      </c>
      <c r="E5434" s="1566"/>
      <c r="F5434" s="1566"/>
      <c r="G5434" s="1566" t="s">
        <v>6708</v>
      </c>
      <c r="H5434" s="1568">
        <v>1</v>
      </c>
      <c r="I5434" s="1566"/>
      <c r="J5434" s="1566"/>
      <c r="K5434" s="1565">
        <v>11814.05</v>
      </c>
      <c r="L5434" s="1565">
        <v>11814.05</v>
      </c>
      <c r="M5434" s="1564"/>
      <c r="N5434" s="1565">
        <v>11814.05</v>
      </c>
      <c r="O5434" s="1565">
        <v>10916.81</v>
      </c>
      <c r="P5434" s="1564"/>
      <c r="Q5434" s="1572">
        <v>897.24</v>
      </c>
      <c r="R5434" s="1572">
        <v>897.24</v>
      </c>
      <c r="S5434" s="1562"/>
    </row>
    <row r="5435" spans="2:19" ht="11.25" customHeight="1" outlineLevel="1">
      <c r="B5435" s="1569" t="s">
        <v>6707</v>
      </c>
      <c r="C5435" s="1566" t="s">
        <v>2414</v>
      </c>
      <c r="D5435" s="1566" t="s">
        <v>6706</v>
      </c>
      <c r="E5435" s="1566"/>
      <c r="F5435" s="1566"/>
      <c r="G5435" s="1566" t="s">
        <v>6705</v>
      </c>
      <c r="H5435" s="1568">
        <v>1</v>
      </c>
      <c r="I5435" s="1566"/>
      <c r="J5435" s="1566"/>
      <c r="K5435" s="1565">
        <v>57980.97</v>
      </c>
      <c r="L5435" s="1565">
        <v>57980.97</v>
      </c>
      <c r="M5435" s="1564"/>
      <c r="N5435" s="1565">
        <v>57980.97</v>
      </c>
      <c r="O5435" s="1565">
        <v>53577.33</v>
      </c>
      <c r="P5435" s="1564"/>
      <c r="Q5435" s="1565">
        <v>4403.6400000000003</v>
      </c>
      <c r="R5435" s="1565">
        <v>4403.6400000000003</v>
      </c>
      <c r="S5435" s="1562"/>
    </row>
    <row r="5436" spans="2:19" ht="11.25" customHeight="1" outlineLevel="1">
      <c r="B5436" s="1569" t="s">
        <v>6704</v>
      </c>
      <c r="C5436" s="1566" t="s">
        <v>2414</v>
      </c>
      <c r="D5436" s="1566" t="s">
        <v>6703</v>
      </c>
      <c r="E5436" s="1566"/>
      <c r="F5436" s="1566"/>
      <c r="G5436" s="1566" t="s">
        <v>6702</v>
      </c>
      <c r="H5436" s="1568">
        <v>1</v>
      </c>
      <c r="I5436" s="1566"/>
      <c r="J5436" s="1566"/>
      <c r="K5436" s="1565">
        <v>9714.6200000000008</v>
      </c>
      <c r="L5436" s="1565">
        <v>9714.6200000000008</v>
      </c>
      <c r="M5436" s="1564"/>
      <c r="N5436" s="1565">
        <v>9714.6200000000008</v>
      </c>
      <c r="O5436" s="1565">
        <v>8976.81</v>
      </c>
      <c r="P5436" s="1564"/>
      <c r="Q5436" s="1572">
        <v>737.81</v>
      </c>
      <c r="R5436" s="1572">
        <v>737.81</v>
      </c>
      <c r="S5436" s="1562"/>
    </row>
    <row r="5437" spans="2:19" ht="11.25" customHeight="1" outlineLevel="1">
      <c r="B5437" s="1569" t="s">
        <v>6701</v>
      </c>
      <c r="C5437" s="1566" t="s">
        <v>2414</v>
      </c>
      <c r="D5437" s="1566" t="s">
        <v>6700</v>
      </c>
      <c r="E5437" s="1566"/>
      <c r="F5437" s="1566"/>
      <c r="G5437" s="1566" t="s">
        <v>6699</v>
      </c>
      <c r="H5437" s="1568">
        <v>1</v>
      </c>
      <c r="I5437" s="1566"/>
      <c r="J5437" s="1566"/>
      <c r="K5437" s="1565">
        <v>27069.84</v>
      </c>
      <c r="L5437" s="1565">
        <v>27069.84</v>
      </c>
      <c r="M5437" s="1564"/>
      <c r="N5437" s="1565">
        <v>27069.84</v>
      </c>
      <c r="O5437" s="1565">
        <v>25013.88</v>
      </c>
      <c r="P5437" s="1564"/>
      <c r="Q5437" s="1565">
        <v>2055.96</v>
      </c>
      <c r="R5437" s="1565">
        <v>2055.96</v>
      </c>
      <c r="S5437" s="1562"/>
    </row>
    <row r="5438" spans="2:19" ht="11.25" customHeight="1" outlineLevel="1">
      <c r="B5438" s="1569" t="s">
        <v>6698</v>
      </c>
      <c r="C5438" s="1566" t="s">
        <v>2414</v>
      </c>
      <c r="D5438" s="1566" t="s">
        <v>6697</v>
      </c>
      <c r="E5438" s="1566"/>
      <c r="F5438" s="1566"/>
      <c r="G5438" s="1566" t="s">
        <v>6696</v>
      </c>
      <c r="H5438" s="1568">
        <v>1</v>
      </c>
      <c r="I5438" s="1566"/>
      <c r="J5438" s="1566"/>
      <c r="K5438" s="1565">
        <v>5738.81</v>
      </c>
      <c r="L5438" s="1565">
        <v>5738.81</v>
      </c>
      <c r="M5438" s="1564"/>
      <c r="N5438" s="1565">
        <v>5738.81</v>
      </c>
      <c r="O5438" s="1565">
        <v>5302.97</v>
      </c>
      <c r="P5438" s="1564"/>
      <c r="Q5438" s="1572">
        <v>435.84</v>
      </c>
      <c r="R5438" s="1572">
        <v>435.84</v>
      </c>
      <c r="S5438" s="1562"/>
    </row>
    <row r="5439" spans="2:19" ht="11.25" customHeight="1" outlineLevel="1">
      <c r="B5439" s="1569" t="s">
        <v>6695</v>
      </c>
      <c r="C5439" s="1566" t="s">
        <v>2414</v>
      </c>
      <c r="D5439" s="1566" t="s">
        <v>6694</v>
      </c>
      <c r="E5439" s="1566"/>
      <c r="F5439" s="1566"/>
      <c r="G5439" s="1566" t="s">
        <v>6693</v>
      </c>
      <c r="H5439" s="1568">
        <v>1</v>
      </c>
      <c r="I5439" s="1566"/>
      <c r="J5439" s="1566"/>
      <c r="K5439" s="1565">
        <v>2861.67</v>
      </c>
      <c r="L5439" s="1565">
        <v>2861.67</v>
      </c>
      <c r="M5439" s="1564"/>
      <c r="N5439" s="1565">
        <v>2861.67</v>
      </c>
      <c r="O5439" s="1565">
        <v>2644.35</v>
      </c>
      <c r="P5439" s="1564"/>
      <c r="Q5439" s="1572">
        <v>217.32</v>
      </c>
      <c r="R5439" s="1572">
        <v>217.32</v>
      </c>
      <c r="S5439" s="1562"/>
    </row>
    <row r="5440" spans="2:19" ht="11.25" customHeight="1" outlineLevel="1">
      <c r="B5440" s="1569" t="s">
        <v>6692</v>
      </c>
      <c r="C5440" s="1566" t="s">
        <v>2414</v>
      </c>
      <c r="D5440" s="1566" t="s">
        <v>6691</v>
      </c>
      <c r="E5440" s="1566"/>
      <c r="F5440" s="1566"/>
      <c r="G5440" s="1566" t="s">
        <v>6690</v>
      </c>
      <c r="H5440" s="1568">
        <v>1</v>
      </c>
      <c r="I5440" s="1566"/>
      <c r="J5440" s="1566"/>
      <c r="K5440" s="1565">
        <v>1141.8900000000001</v>
      </c>
      <c r="L5440" s="1565">
        <v>1141.8900000000001</v>
      </c>
      <c r="M5440" s="1564"/>
      <c r="N5440" s="1565">
        <v>1141.8900000000001</v>
      </c>
      <c r="O5440" s="1565">
        <v>1055.1300000000001</v>
      </c>
      <c r="P5440" s="1564"/>
      <c r="Q5440" s="1572">
        <v>86.76</v>
      </c>
      <c r="R5440" s="1572">
        <v>86.76</v>
      </c>
      <c r="S5440" s="1562"/>
    </row>
    <row r="5441" spans="2:19" ht="11.25" customHeight="1" outlineLevel="1">
      <c r="B5441" s="1569" t="s">
        <v>6689</v>
      </c>
      <c r="C5441" s="1566" t="s">
        <v>2414</v>
      </c>
      <c r="D5441" s="1566" t="s">
        <v>6688</v>
      </c>
      <c r="E5441" s="1566"/>
      <c r="F5441" s="1566"/>
      <c r="G5441" s="1566" t="s">
        <v>6687</v>
      </c>
      <c r="H5441" s="1568">
        <v>1</v>
      </c>
      <c r="I5441" s="1566"/>
      <c r="J5441" s="1566"/>
      <c r="K5441" s="1565">
        <v>6109.99</v>
      </c>
      <c r="L5441" s="1565">
        <v>6109.99</v>
      </c>
      <c r="M5441" s="1564"/>
      <c r="N5441" s="1565">
        <v>6109.99</v>
      </c>
      <c r="O5441" s="1565">
        <v>5645.95</v>
      </c>
      <c r="P5441" s="1564"/>
      <c r="Q5441" s="1572">
        <v>464.04</v>
      </c>
      <c r="R5441" s="1572">
        <v>464.04</v>
      </c>
      <c r="S5441" s="1562"/>
    </row>
    <row r="5442" spans="2:19" ht="11.25" customHeight="1" outlineLevel="1">
      <c r="B5442" s="1569" t="s">
        <v>6686</v>
      </c>
      <c r="C5442" s="1566" t="s">
        <v>2414</v>
      </c>
      <c r="D5442" s="1566" t="s">
        <v>6685</v>
      </c>
      <c r="E5442" s="1566"/>
      <c r="F5442" s="1566"/>
      <c r="G5442" s="1566" t="s">
        <v>6684</v>
      </c>
      <c r="H5442" s="1568">
        <v>1</v>
      </c>
      <c r="I5442" s="1566"/>
      <c r="J5442" s="1566"/>
      <c r="K5442" s="1565">
        <v>20495.740000000002</v>
      </c>
      <c r="L5442" s="1565">
        <v>20495.740000000002</v>
      </c>
      <c r="M5442" s="1564"/>
      <c r="N5442" s="1565">
        <v>20495.740000000002</v>
      </c>
      <c r="O5442" s="1565">
        <v>18939.099999999999</v>
      </c>
      <c r="P5442" s="1564"/>
      <c r="Q5442" s="1565">
        <v>1556.64</v>
      </c>
      <c r="R5442" s="1565">
        <v>1556.64</v>
      </c>
      <c r="S5442" s="1562"/>
    </row>
    <row r="5443" spans="2:19" ht="11.25" customHeight="1" outlineLevel="1">
      <c r="B5443" s="1569" t="s">
        <v>6683</v>
      </c>
      <c r="C5443" s="1566" t="s">
        <v>2414</v>
      </c>
      <c r="D5443" s="1566" t="s">
        <v>6682</v>
      </c>
      <c r="E5443" s="1566"/>
      <c r="F5443" s="1566"/>
      <c r="G5443" s="1566" t="s">
        <v>6681</v>
      </c>
      <c r="H5443" s="1568">
        <v>1</v>
      </c>
      <c r="I5443" s="1566"/>
      <c r="J5443" s="1566"/>
      <c r="K5443" s="1565">
        <v>1150.47</v>
      </c>
      <c r="L5443" s="1565">
        <v>1150.47</v>
      </c>
      <c r="M5443" s="1564"/>
      <c r="N5443" s="1565">
        <v>1150.47</v>
      </c>
      <c r="O5443" s="1565">
        <v>1063.1099999999999</v>
      </c>
      <c r="P5443" s="1564"/>
      <c r="Q5443" s="1572">
        <v>87.36</v>
      </c>
      <c r="R5443" s="1572">
        <v>87.36</v>
      </c>
      <c r="S5443" s="1562"/>
    </row>
    <row r="5444" spans="2:19" ht="11.25" customHeight="1" outlineLevel="1">
      <c r="B5444" s="1569" t="s">
        <v>6680</v>
      </c>
      <c r="C5444" s="1566" t="s">
        <v>2414</v>
      </c>
      <c r="D5444" s="1566" t="s">
        <v>6679</v>
      </c>
      <c r="E5444" s="1566"/>
      <c r="F5444" s="1566"/>
      <c r="G5444" s="1566" t="s">
        <v>6678</v>
      </c>
      <c r="H5444" s="1568">
        <v>1</v>
      </c>
      <c r="I5444" s="1566"/>
      <c r="J5444" s="1566"/>
      <c r="K5444" s="1565">
        <v>1711.2</v>
      </c>
      <c r="L5444" s="1565">
        <v>1711.2</v>
      </c>
      <c r="M5444" s="1564"/>
      <c r="N5444" s="1565">
        <v>1711.2</v>
      </c>
      <c r="O5444" s="1565">
        <v>1581.24</v>
      </c>
      <c r="P5444" s="1564"/>
      <c r="Q5444" s="1572">
        <v>129.96</v>
      </c>
      <c r="R5444" s="1572">
        <v>129.96</v>
      </c>
      <c r="S5444" s="1562"/>
    </row>
    <row r="5445" spans="2:19" ht="11.25" customHeight="1" outlineLevel="1">
      <c r="B5445" s="1569" t="s">
        <v>6677</v>
      </c>
      <c r="C5445" s="1566" t="s">
        <v>2414</v>
      </c>
      <c r="D5445" s="1566" t="s">
        <v>6676</v>
      </c>
      <c r="E5445" s="1566"/>
      <c r="F5445" s="1566"/>
      <c r="G5445" s="1566" t="s">
        <v>6675</v>
      </c>
      <c r="H5445" s="1568">
        <v>1</v>
      </c>
      <c r="I5445" s="1566"/>
      <c r="J5445" s="1566"/>
      <c r="K5445" s="1565">
        <v>9126.6299999999992</v>
      </c>
      <c r="L5445" s="1565">
        <v>9126.6299999999992</v>
      </c>
      <c r="M5445" s="1564"/>
      <c r="N5445" s="1565">
        <v>9126.6299999999992</v>
      </c>
      <c r="O5445" s="1565">
        <v>8433.51</v>
      </c>
      <c r="P5445" s="1564"/>
      <c r="Q5445" s="1572">
        <v>693.12</v>
      </c>
      <c r="R5445" s="1572">
        <v>693.12</v>
      </c>
      <c r="S5445" s="1562"/>
    </row>
    <row r="5446" spans="2:19" ht="11.25" customHeight="1" outlineLevel="1">
      <c r="B5446" s="1569" t="s">
        <v>6674</v>
      </c>
      <c r="C5446" s="1566" t="s">
        <v>2414</v>
      </c>
      <c r="D5446" s="1566" t="s">
        <v>6673</v>
      </c>
      <c r="E5446" s="1566"/>
      <c r="F5446" s="1566"/>
      <c r="G5446" s="1566" t="s">
        <v>6672</v>
      </c>
      <c r="H5446" s="1568">
        <v>1</v>
      </c>
      <c r="I5446" s="1566"/>
      <c r="J5446" s="1566"/>
      <c r="K5446" s="1565">
        <v>2045.18</v>
      </c>
      <c r="L5446" s="1565">
        <v>2045.18</v>
      </c>
      <c r="M5446" s="1564"/>
      <c r="N5446" s="1565">
        <v>2045.18</v>
      </c>
      <c r="O5446" s="1565">
        <v>1889.9</v>
      </c>
      <c r="P5446" s="1564"/>
      <c r="Q5446" s="1572">
        <v>155.28</v>
      </c>
      <c r="R5446" s="1572">
        <v>155.28</v>
      </c>
      <c r="S5446" s="1562"/>
    </row>
    <row r="5447" spans="2:19" ht="11.25" customHeight="1" outlineLevel="1">
      <c r="B5447" s="1569" t="s">
        <v>6671</v>
      </c>
      <c r="C5447" s="1566" t="s">
        <v>2414</v>
      </c>
      <c r="D5447" s="1566" t="s">
        <v>6670</v>
      </c>
      <c r="E5447" s="1566"/>
      <c r="F5447" s="1566"/>
      <c r="G5447" s="1566" t="s">
        <v>6669</v>
      </c>
      <c r="H5447" s="1568">
        <v>1</v>
      </c>
      <c r="I5447" s="1566"/>
      <c r="J5447" s="1566"/>
      <c r="K5447" s="1565">
        <v>4033.41</v>
      </c>
      <c r="L5447" s="1565">
        <v>4033.41</v>
      </c>
      <c r="M5447" s="1564"/>
      <c r="N5447" s="1565">
        <v>4033.41</v>
      </c>
      <c r="O5447" s="1565">
        <v>3727.05</v>
      </c>
      <c r="P5447" s="1564"/>
      <c r="Q5447" s="1572">
        <v>306.36</v>
      </c>
      <c r="R5447" s="1572">
        <v>306.36</v>
      </c>
      <c r="S5447" s="1562"/>
    </row>
    <row r="5448" spans="2:19" ht="11.25" customHeight="1" outlineLevel="1">
      <c r="B5448" s="1569" t="s">
        <v>6668</v>
      </c>
      <c r="C5448" s="1566" t="s">
        <v>2414</v>
      </c>
      <c r="D5448" s="1566" t="s">
        <v>6667</v>
      </c>
      <c r="E5448" s="1566"/>
      <c r="F5448" s="1566"/>
      <c r="G5448" s="1566" t="s">
        <v>6666</v>
      </c>
      <c r="H5448" s="1568">
        <v>1</v>
      </c>
      <c r="I5448" s="1566"/>
      <c r="J5448" s="1566"/>
      <c r="K5448" s="1565">
        <v>15202.53</v>
      </c>
      <c r="L5448" s="1565">
        <v>15202.53</v>
      </c>
      <c r="M5448" s="1564"/>
      <c r="N5448" s="1565">
        <v>15202.53</v>
      </c>
      <c r="O5448" s="1565">
        <v>14047.89</v>
      </c>
      <c r="P5448" s="1564"/>
      <c r="Q5448" s="1565">
        <v>1154.6400000000001</v>
      </c>
      <c r="R5448" s="1565">
        <v>1154.6400000000001</v>
      </c>
      <c r="S5448" s="1562"/>
    </row>
    <row r="5449" spans="2:19" ht="11.25" customHeight="1" outlineLevel="1">
      <c r="B5449" s="1569" t="s">
        <v>6665</v>
      </c>
      <c r="C5449" s="1566" t="s">
        <v>2414</v>
      </c>
      <c r="D5449" s="1566" t="s">
        <v>6664</v>
      </c>
      <c r="E5449" s="1566"/>
      <c r="F5449" s="1566"/>
      <c r="G5449" s="1566" t="s">
        <v>6663</v>
      </c>
      <c r="H5449" s="1568">
        <v>1</v>
      </c>
      <c r="I5449" s="1566"/>
      <c r="J5449" s="1566"/>
      <c r="K5449" s="1565">
        <v>3480.41</v>
      </c>
      <c r="L5449" s="1565">
        <v>3480.41</v>
      </c>
      <c r="M5449" s="1564"/>
      <c r="N5449" s="1565">
        <v>3480.41</v>
      </c>
      <c r="O5449" s="1565">
        <v>3216.05</v>
      </c>
      <c r="P5449" s="1564"/>
      <c r="Q5449" s="1572">
        <v>264.36</v>
      </c>
      <c r="R5449" s="1572">
        <v>264.36</v>
      </c>
      <c r="S5449" s="1562"/>
    </row>
    <row r="5450" spans="2:19" ht="11.25" customHeight="1" outlineLevel="1">
      <c r="B5450" s="1569" t="s">
        <v>6662</v>
      </c>
      <c r="C5450" s="1566" t="s">
        <v>2414</v>
      </c>
      <c r="D5450" s="1566" t="s">
        <v>6661</v>
      </c>
      <c r="E5450" s="1566"/>
      <c r="F5450" s="1566"/>
      <c r="G5450" s="1566" t="s">
        <v>6660</v>
      </c>
      <c r="H5450" s="1568">
        <v>1</v>
      </c>
      <c r="I5450" s="1566"/>
      <c r="J5450" s="1566"/>
      <c r="K5450" s="1565">
        <v>3093.7</v>
      </c>
      <c r="L5450" s="1565">
        <v>3093.7</v>
      </c>
      <c r="M5450" s="1564"/>
      <c r="N5450" s="1565">
        <v>3093.7</v>
      </c>
      <c r="O5450" s="1565">
        <v>2858.74</v>
      </c>
      <c r="P5450" s="1564"/>
      <c r="Q5450" s="1572">
        <v>234.96</v>
      </c>
      <c r="R5450" s="1572">
        <v>234.96</v>
      </c>
      <c r="S5450" s="1562"/>
    </row>
    <row r="5451" spans="2:19" ht="11.25" customHeight="1" outlineLevel="1">
      <c r="B5451" s="1569" t="s">
        <v>6659</v>
      </c>
      <c r="C5451" s="1566" t="s">
        <v>2414</v>
      </c>
      <c r="D5451" s="1566" t="s">
        <v>6658</v>
      </c>
      <c r="E5451" s="1566"/>
      <c r="F5451" s="1566"/>
      <c r="G5451" s="1566" t="s">
        <v>6657</v>
      </c>
      <c r="H5451" s="1568">
        <v>1</v>
      </c>
      <c r="I5451" s="1566"/>
      <c r="J5451" s="1566"/>
      <c r="K5451" s="1565">
        <v>6510.3</v>
      </c>
      <c r="L5451" s="1565">
        <v>6510.3</v>
      </c>
      <c r="M5451" s="1564"/>
      <c r="N5451" s="1565">
        <v>6510.3</v>
      </c>
      <c r="O5451" s="1565">
        <v>6015.9</v>
      </c>
      <c r="P5451" s="1564"/>
      <c r="Q5451" s="1572">
        <v>494.4</v>
      </c>
      <c r="R5451" s="1572">
        <v>494.4</v>
      </c>
      <c r="S5451" s="1562"/>
    </row>
    <row r="5452" spans="2:19" ht="11.25" customHeight="1" outlineLevel="1">
      <c r="B5452" s="1569" t="s">
        <v>6656</v>
      </c>
      <c r="C5452" s="1566" t="s">
        <v>2414</v>
      </c>
      <c r="D5452" s="1566" t="s">
        <v>6655</v>
      </c>
      <c r="E5452" s="1566"/>
      <c r="F5452" s="1566"/>
      <c r="G5452" s="1566" t="s">
        <v>6654</v>
      </c>
      <c r="H5452" s="1568">
        <v>1</v>
      </c>
      <c r="I5452" s="1566"/>
      <c r="J5452" s="1566"/>
      <c r="K5452" s="1565">
        <v>1942.92</v>
      </c>
      <c r="L5452" s="1565">
        <v>1942.92</v>
      </c>
      <c r="M5452" s="1564"/>
      <c r="N5452" s="1565">
        <v>1942.92</v>
      </c>
      <c r="O5452" s="1565">
        <v>1795.32</v>
      </c>
      <c r="P5452" s="1564"/>
      <c r="Q5452" s="1572">
        <v>147.6</v>
      </c>
      <c r="R5452" s="1572">
        <v>147.6</v>
      </c>
      <c r="S5452" s="1562"/>
    </row>
    <row r="5453" spans="2:19" ht="11.25" customHeight="1" outlineLevel="1">
      <c r="B5453" s="1569" t="s">
        <v>6653</v>
      </c>
      <c r="C5453" s="1566" t="s">
        <v>2414</v>
      </c>
      <c r="D5453" s="1566" t="s">
        <v>6652</v>
      </c>
      <c r="E5453" s="1566"/>
      <c r="F5453" s="1566"/>
      <c r="G5453" s="1566" t="s">
        <v>6651</v>
      </c>
      <c r="H5453" s="1568">
        <v>1</v>
      </c>
      <c r="I5453" s="1566"/>
      <c r="J5453" s="1566"/>
      <c r="K5453" s="1565">
        <v>22854.68</v>
      </c>
      <c r="L5453" s="1565">
        <v>22854.68</v>
      </c>
      <c r="M5453" s="1564"/>
      <c r="N5453" s="1565">
        <v>22854.68</v>
      </c>
      <c r="O5453" s="1565">
        <v>21118.880000000001</v>
      </c>
      <c r="P5453" s="1564"/>
      <c r="Q5453" s="1565">
        <v>1735.8</v>
      </c>
      <c r="R5453" s="1565">
        <v>1735.8</v>
      </c>
      <c r="S5453" s="1562"/>
    </row>
    <row r="5454" spans="2:19" ht="11.25" customHeight="1" outlineLevel="1">
      <c r="B5454" s="1569" t="s">
        <v>6650</v>
      </c>
      <c r="C5454" s="1566" t="s">
        <v>2414</v>
      </c>
      <c r="D5454" s="1566" t="s">
        <v>6649</v>
      </c>
      <c r="E5454" s="1566"/>
      <c r="F5454" s="1566"/>
      <c r="G5454" s="1566" t="s">
        <v>6648</v>
      </c>
      <c r="H5454" s="1568">
        <v>1</v>
      </c>
      <c r="I5454" s="1566"/>
      <c r="J5454" s="1566"/>
      <c r="K5454" s="1565">
        <v>24236</v>
      </c>
      <c r="L5454" s="1565">
        <v>24236</v>
      </c>
      <c r="M5454" s="1564"/>
      <c r="N5454" s="1565">
        <v>24236</v>
      </c>
      <c r="O5454" s="1565">
        <v>23197.279999999999</v>
      </c>
      <c r="P5454" s="1564"/>
      <c r="Q5454" s="1565">
        <v>1038.72</v>
      </c>
      <c r="R5454" s="1565">
        <v>1038.72</v>
      </c>
      <c r="S5454" s="1562"/>
    </row>
    <row r="5455" spans="2:19" ht="21.75" customHeight="1" outlineLevel="1">
      <c r="B5455" s="1569" t="s">
        <v>6647</v>
      </c>
      <c r="C5455" s="1566" t="s">
        <v>2414</v>
      </c>
      <c r="D5455" s="1566" t="s">
        <v>6646</v>
      </c>
      <c r="E5455" s="1566"/>
      <c r="F5455" s="1566"/>
      <c r="G5455" s="1566" t="s">
        <v>6640</v>
      </c>
      <c r="H5455" s="1568">
        <v>1</v>
      </c>
      <c r="I5455" s="1566"/>
      <c r="J5455" s="1566" t="s">
        <v>6645</v>
      </c>
      <c r="K5455" s="1565">
        <v>1106157.6000000001</v>
      </c>
      <c r="L5455" s="1565">
        <v>1106157.6000000001</v>
      </c>
      <c r="M5455" s="1564"/>
      <c r="N5455" s="1565">
        <v>1106157.6000000001</v>
      </c>
      <c r="O5455" s="1565">
        <v>1047682.32</v>
      </c>
      <c r="P5455" s="1564"/>
      <c r="Q5455" s="1565">
        <v>58475.28</v>
      </c>
      <c r="R5455" s="1565">
        <v>58475.28</v>
      </c>
      <c r="S5455" s="1562"/>
    </row>
    <row r="5456" spans="2:19" ht="11.25" customHeight="1" outlineLevel="1">
      <c r="B5456" s="1569" t="s">
        <v>6644</v>
      </c>
      <c r="C5456" s="1566" t="s">
        <v>2414</v>
      </c>
      <c r="D5456" s="1566" t="s">
        <v>6643</v>
      </c>
      <c r="E5456" s="1566"/>
      <c r="F5456" s="1566"/>
      <c r="G5456" s="1566" t="s">
        <v>6640</v>
      </c>
      <c r="H5456" s="1568">
        <v>1</v>
      </c>
      <c r="I5456" s="1566"/>
      <c r="J5456" s="1566"/>
      <c r="K5456" s="1565">
        <v>366254.94</v>
      </c>
      <c r="L5456" s="1565">
        <v>366254.94</v>
      </c>
      <c r="M5456" s="1564"/>
      <c r="N5456" s="1565">
        <v>366254.94</v>
      </c>
      <c r="O5456" s="1565">
        <v>156966.42000000001</v>
      </c>
      <c r="P5456" s="1564"/>
      <c r="Q5456" s="1565">
        <v>209288.52</v>
      </c>
      <c r="R5456" s="1565">
        <v>209288.52</v>
      </c>
      <c r="S5456" s="1562"/>
    </row>
    <row r="5457" spans="2:19" ht="11.25" customHeight="1" outlineLevel="1">
      <c r="B5457" s="1569" t="s">
        <v>6642</v>
      </c>
      <c r="C5457" s="1566" t="s">
        <v>2414</v>
      </c>
      <c r="D5457" s="1566" t="s">
        <v>6641</v>
      </c>
      <c r="E5457" s="1566"/>
      <c r="F5457" s="1566"/>
      <c r="G5457" s="1566" t="s">
        <v>6640</v>
      </c>
      <c r="H5457" s="1568">
        <v>1</v>
      </c>
      <c r="I5457" s="1566"/>
      <c r="J5457" s="1566"/>
      <c r="K5457" s="1565">
        <v>24633.55</v>
      </c>
      <c r="L5457" s="1565">
        <v>24633.55</v>
      </c>
      <c r="M5457" s="1564"/>
      <c r="N5457" s="1565">
        <v>24633.55</v>
      </c>
      <c r="O5457" s="1565">
        <v>23446.39</v>
      </c>
      <c r="P5457" s="1564"/>
      <c r="Q5457" s="1565">
        <v>1187.1600000000001</v>
      </c>
      <c r="R5457" s="1565">
        <v>1187.1600000000001</v>
      </c>
      <c r="S5457" s="1562"/>
    </row>
    <row r="5458" spans="2:19" ht="21.75" customHeight="1" outlineLevel="1">
      <c r="B5458" s="1569" t="s">
        <v>6639</v>
      </c>
      <c r="C5458" s="1566" t="s">
        <v>2414</v>
      </c>
      <c r="D5458" s="1566" t="s">
        <v>6638</v>
      </c>
      <c r="E5458" s="1566" t="s">
        <v>2219</v>
      </c>
      <c r="F5458" s="1566"/>
      <c r="G5458" s="1566" t="s">
        <v>6637</v>
      </c>
      <c r="H5458" s="1568">
        <v>1</v>
      </c>
      <c r="I5458" s="1566"/>
      <c r="J5458" s="1566"/>
      <c r="K5458" s="1565">
        <v>1218.1400000000001</v>
      </c>
      <c r="L5458" s="1565">
        <v>1218.1400000000001</v>
      </c>
      <c r="M5458" s="1564"/>
      <c r="N5458" s="1565">
        <v>1218.1400000000001</v>
      </c>
      <c r="O5458" s="1565">
        <v>1082.78</v>
      </c>
      <c r="P5458" s="1564"/>
      <c r="Q5458" s="1572">
        <v>135.36000000000001</v>
      </c>
      <c r="R5458" s="1572">
        <v>135.36000000000001</v>
      </c>
      <c r="S5458" s="1562"/>
    </row>
    <row r="5459" spans="2:19" ht="21.75" customHeight="1" outlineLevel="1">
      <c r="B5459" s="1569" t="s">
        <v>6636</v>
      </c>
      <c r="C5459" s="1566" t="s">
        <v>2414</v>
      </c>
      <c r="D5459" s="1566" t="s">
        <v>6635</v>
      </c>
      <c r="E5459" s="1566" t="s">
        <v>2219</v>
      </c>
      <c r="F5459" s="1566"/>
      <c r="G5459" s="1566" t="s">
        <v>6634</v>
      </c>
      <c r="H5459" s="1568">
        <v>1</v>
      </c>
      <c r="I5459" s="1566"/>
      <c r="J5459" s="1566"/>
      <c r="K5459" s="1565">
        <v>5027.26</v>
      </c>
      <c r="L5459" s="1565">
        <v>5027.26</v>
      </c>
      <c r="M5459" s="1564"/>
      <c r="N5459" s="1565">
        <v>5027.26</v>
      </c>
      <c r="O5459" s="1565">
        <v>4468.66</v>
      </c>
      <c r="P5459" s="1564"/>
      <c r="Q5459" s="1572">
        <v>558.6</v>
      </c>
      <c r="R5459" s="1572">
        <v>558.6</v>
      </c>
      <c r="S5459" s="1562"/>
    </row>
    <row r="5460" spans="2:19" ht="21.75" customHeight="1" outlineLevel="1">
      <c r="B5460" s="1569" t="s">
        <v>6633</v>
      </c>
      <c r="C5460" s="1566" t="s">
        <v>2414</v>
      </c>
      <c r="D5460" s="1566" t="s">
        <v>6632</v>
      </c>
      <c r="E5460" s="1566" t="s">
        <v>2219</v>
      </c>
      <c r="F5460" s="1566"/>
      <c r="G5460" s="1566" t="s">
        <v>6631</v>
      </c>
      <c r="H5460" s="1568">
        <v>1</v>
      </c>
      <c r="I5460" s="1566"/>
      <c r="J5460" s="1566"/>
      <c r="K5460" s="1565">
        <v>1546.85</v>
      </c>
      <c r="L5460" s="1565">
        <v>1546.85</v>
      </c>
      <c r="M5460" s="1564"/>
      <c r="N5460" s="1565">
        <v>1546.85</v>
      </c>
      <c r="O5460" s="1565">
        <v>1375.01</v>
      </c>
      <c r="P5460" s="1564"/>
      <c r="Q5460" s="1572">
        <v>171.84</v>
      </c>
      <c r="R5460" s="1572">
        <v>171.84</v>
      </c>
      <c r="S5460" s="1562"/>
    </row>
    <row r="5461" spans="2:19" ht="21.75" customHeight="1" outlineLevel="1">
      <c r="B5461" s="1569" t="s">
        <v>6630</v>
      </c>
      <c r="C5461" s="1566" t="s">
        <v>2414</v>
      </c>
      <c r="D5461" s="1566" t="s">
        <v>6629</v>
      </c>
      <c r="E5461" s="1566" t="s">
        <v>2219</v>
      </c>
      <c r="F5461" s="1566"/>
      <c r="G5461" s="1566" t="s">
        <v>6628</v>
      </c>
      <c r="H5461" s="1568">
        <v>1</v>
      </c>
      <c r="I5461" s="1566"/>
      <c r="J5461" s="1566"/>
      <c r="K5461" s="1565">
        <v>5800.68</v>
      </c>
      <c r="L5461" s="1565">
        <v>5800.68</v>
      </c>
      <c r="M5461" s="1564"/>
      <c r="N5461" s="1565">
        <v>5800.68</v>
      </c>
      <c r="O5461" s="1565">
        <v>5156.16</v>
      </c>
      <c r="P5461" s="1564"/>
      <c r="Q5461" s="1572">
        <v>644.52</v>
      </c>
      <c r="R5461" s="1572">
        <v>644.52</v>
      </c>
      <c r="S5461" s="1562"/>
    </row>
    <row r="5462" spans="2:19" ht="21.75" customHeight="1" outlineLevel="1">
      <c r="B5462" s="1569" t="s">
        <v>6627</v>
      </c>
      <c r="C5462" s="1566" t="s">
        <v>2414</v>
      </c>
      <c r="D5462" s="1566" t="s">
        <v>6626</v>
      </c>
      <c r="E5462" s="1566" t="s">
        <v>2219</v>
      </c>
      <c r="F5462" s="1566"/>
      <c r="G5462" s="1566" t="s">
        <v>6625</v>
      </c>
      <c r="H5462" s="1568">
        <v>1</v>
      </c>
      <c r="I5462" s="1566"/>
      <c r="J5462" s="1566"/>
      <c r="K5462" s="1565">
        <v>2126.92</v>
      </c>
      <c r="L5462" s="1565">
        <v>2126.92</v>
      </c>
      <c r="M5462" s="1564"/>
      <c r="N5462" s="1565">
        <v>2126.92</v>
      </c>
      <c r="O5462" s="1565">
        <v>1890.64</v>
      </c>
      <c r="P5462" s="1564"/>
      <c r="Q5462" s="1572">
        <v>236.28</v>
      </c>
      <c r="R5462" s="1572">
        <v>236.28</v>
      </c>
      <c r="S5462" s="1562"/>
    </row>
    <row r="5463" spans="2:19" ht="21.75" customHeight="1" outlineLevel="1">
      <c r="B5463" s="1569" t="s">
        <v>6624</v>
      </c>
      <c r="C5463" s="1566" t="s">
        <v>2414</v>
      </c>
      <c r="D5463" s="1566" t="s">
        <v>6623</v>
      </c>
      <c r="E5463" s="1566" t="s">
        <v>2219</v>
      </c>
      <c r="F5463" s="1566"/>
      <c r="G5463" s="1566" t="s">
        <v>6622</v>
      </c>
      <c r="H5463" s="1568">
        <v>1</v>
      </c>
      <c r="I5463" s="1566"/>
      <c r="J5463" s="1566"/>
      <c r="K5463" s="1565">
        <v>4833.8999999999996</v>
      </c>
      <c r="L5463" s="1565">
        <v>4833.8999999999996</v>
      </c>
      <c r="M5463" s="1564"/>
      <c r="N5463" s="1565">
        <v>4833.8999999999996</v>
      </c>
      <c r="O5463" s="1565">
        <v>4296.78</v>
      </c>
      <c r="P5463" s="1564"/>
      <c r="Q5463" s="1572">
        <v>537.12</v>
      </c>
      <c r="R5463" s="1572">
        <v>537.12</v>
      </c>
      <c r="S5463" s="1562"/>
    </row>
    <row r="5464" spans="2:19" ht="21.75" customHeight="1" outlineLevel="1">
      <c r="B5464" s="1569" t="s">
        <v>6621</v>
      </c>
      <c r="C5464" s="1566" t="s">
        <v>2414</v>
      </c>
      <c r="D5464" s="1566" t="s">
        <v>6620</v>
      </c>
      <c r="E5464" s="1566" t="s">
        <v>2219</v>
      </c>
      <c r="F5464" s="1566"/>
      <c r="G5464" s="1566" t="s">
        <v>6619</v>
      </c>
      <c r="H5464" s="1568">
        <v>1</v>
      </c>
      <c r="I5464" s="1566"/>
      <c r="J5464" s="1566"/>
      <c r="K5464" s="1565">
        <v>5220.6099999999997</v>
      </c>
      <c r="L5464" s="1565">
        <v>5220.6099999999997</v>
      </c>
      <c r="M5464" s="1564"/>
      <c r="N5464" s="1565">
        <v>5220.6099999999997</v>
      </c>
      <c r="O5464" s="1565">
        <v>4640.53</v>
      </c>
      <c r="P5464" s="1564"/>
      <c r="Q5464" s="1572">
        <v>580.08000000000004</v>
      </c>
      <c r="R5464" s="1572">
        <v>580.08000000000004</v>
      </c>
      <c r="S5464" s="1562"/>
    </row>
    <row r="5465" spans="2:19" ht="11.25" customHeight="1" outlineLevel="1">
      <c r="B5465" s="1569" t="s">
        <v>6618</v>
      </c>
      <c r="C5465" s="1566" t="s">
        <v>2414</v>
      </c>
      <c r="D5465" s="1566" t="s">
        <v>6617</v>
      </c>
      <c r="E5465" s="1566" t="s">
        <v>2219</v>
      </c>
      <c r="F5465" s="1566" t="s">
        <v>6616</v>
      </c>
      <c r="G5465" s="1566" t="s">
        <v>6615</v>
      </c>
      <c r="H5465" s="1568">
        <v>1</v>
      </c>
      <c r="I5465" s="1571">
        <v>130</v>
      </c>
      <c r="J5465" s="1566" t="s">
        <v>6614</v>
      </c>
      <c r="K5465" s="1565">
        <v>103858.95</v>
      </c>
      <c r="L5465" s="1565">
        <v>103858.95</v>
      </c>
      <c r="M5465" s="1564"/>
      <c r="N5465" s="1565">
        <v>103858.95</v>
      </c>
      <c r="O5465" s="1565">
        <v>92319.03</v>
      </c>
      <c r="P5465" s="1564"/>
      <c r="Q5465" s="1565">
        <v>11539.92</v>
      </c>
      <c r="R5465" s="1565">
        <v>11539.92</v>
      </c>
      <c r="S5465" s="1562"/>
    </row>
    <row r="5466" spans="2:19" ht="21.75" customHeight="1" outlineLevel="1">
      <c r="B5466" s="1569" t="s">
        <v>6613</v>
      </c>
      <c r="C5466" s="1566" t="s">
        <v>2414</v>
      </c>
      <c r="D5466" s="1566" t="s">
        <v>6612</v>
      </c>
      <c r="E5466" s="1566" t="s">
        <v>2219</v>
      </c>
      <c r="F5466" s="1566" t="s">
        <v>6611</v>
      </c>
      <c r="G5466" s="1566" t="s">
        <v>2927</v>
      </c>
      <c r="H5466" s="1568">
        <v>1</v>
      </c>
      <c r="I5466" s="1566"/>
      <c r="J5466" s="1566"/>
      <c r="K5466" s="1565">
        <v>247663.65</v>
      </c>
      <c r="L5466" s="1565">
        <v>247663.65</v>
      </c>
      <c r="M5466" s="1564"/>
      <c r="N5466" s="1565">
        <v>247663.65</v>
      </c>
      <c r="O5466" s="1565">
        <v>220145.49</v>
      </c>
      <c r="P5466" s="1564"/>
      <c r="Q5466" s="1565">
        <v>27518.16</v>
      </c>
      <c r="R5466" s="1565">
        <v>27518.16</v>
      </c>
      <c r="S5466" s="1562"/>
    </row>
    <row r="5467" spans="2:19" ht="11.25" customHeight="1" outlineLevel="1">
      <c r="B5467" s="1569" t="s">
        <v>6610</v>
      </c>
      <c r="C5467" s="1566" t="s">
        <v>2414</v>
      </c>
      <c r="D5467" s="1566" t="s">
        <v>6609</v>
      </c>
      <c r="E5467" s="1566" t="s">
        <v>2219</v>
      </c>
      <c r="F5467" s="1566" t="s">
        <v>6608</v>
      </c>
      <c r="G5467" s="1566"/>
      <c r="H5467" s="1568">
        <v>1</v>
      </c>
      <c r="I5467" s="1566"/>
      <c r="J5467" s="1566"/>
      <c r="K5467" s="1565">
        <v>1808743.56</v>
      </c>
      <c r="L5467" s="1565">
        <v>1808743.56</v>
      </c>
      <c r="M5467" s="1564"/>
      <c r="N5467" s="1565">
        <v>1808743.56</v>
      </c>
      <c r="O5467" s="1565">
        <v>1494179.47</v>
      </c>
      <c r="P5467" s="1564"/>
      <c r="Q5467" s="1565">
        <v>314564.09000000003</v>
      </c>
      <c r="R5467" s="1565">
        <v>314564.09000000003</v>
      </c>
      <c r="S5467" s="1562"/>
    </row>
    <row r="5468" spans="2:19" ht="21.75" customHeight="1" outlineLevel="1">
      <c r="B5468" s="1569" t="s">
        <v>6607</v>
      </c>
      <c r="C5468" s="1566" t="s">
        <v>2414</v>
      </c>
      <c r="D5468" s="1566" t="s">
        <v>6606</v>
      </c>
      <c r="E5468" s="1566" t="s">
        <v>2219</v>
      </c>
      <c r="F5468" s="1566" t="s">
        <v>6579</v>
      </c>
      <c r="G5468" s="1566"/>
      <c r="H5468" s="1568">
        <v>1</v>
      </c>
      <c r="I5468" s="1571">
        <v>45</v>
      </c>
      <c r="J5468" s="1566"/>
      <c r="K5468" s="1565">
        <v>17402.04</v>
      </c>
      <c r="L5468" s="1565">
        <v>17402.04</v>
      </c>
      <c r="M5468" s="1564"/>
      <c r="N5468" s="1565">
        <v>17402.04</v>
      </c>
      <c r="O5468" s="1565">
        <v>15468.48</v>
      </c>
      <c r="P5468" s="1564"/>
      <c r="Q5468" s="1565">
        <v>1933.56</v>
      </c>
      <c r="R5468" s="1565">
        <v>1933.56</v>
      </c>
      <c r="S5468" s="1562"/>
    </row>
    <row r="5469" spans="2:19" ht="21.75" customHeight="1" outlineLevel="1">
      <c r="B5469" s="1569" t="s">
        <v>6605</v>
      </c>
      <c r="C5469" s="1566" t="s">
        <v>2414</v>
      </c>
      <c r="D5469" s="1566" t="s">
        <v>6604</v>
      </c>
      <c r="E5469" s="1566" t="s">
        <v>2219</v>
      </c>
      <c r="F5469" s="1566" t="s">
        <v>6579</v>
      </c>
      <c r="G5469" s="1566"/>
      <c r="H5469" s="1568">
        <v>1</v>
      </c>
      <c r="I5469" s="1571">
        <v>41</v>
      </c>
      <c r="J5469" s="1566"/>
      <c r="K5469" s="1565">
        <v>21837.01</v>
      </c>
      <c r="L5469" s="1565">
        <v>21837.01</v>
      </c>
      <c r="M5469" s="1564"/>
      <c r="N5469" s="1565">
        <v>21837.01</v>
      </c>
      <c r="O5469" s="1565">
        <v>19410.72</v>
      </c>
      <c r="P5469" s="1564"/>
      <c r="Q5469" s="1565">
        <v>2426.29</v>
      </c>
      <c r="R5469" s="1565">
        <v>2426.29</v>
      </c>
      <c r="S5469" s="1562"/>
    </row>
    <row r="5470" spans="2:19" ht="21.75" customHeight="1" outlineLevel="1">
      <c r="B5470" s="1569" t="s">
        <v>6603</v>
      </c>
      <c r="C5470" s="1566" t="s">
        <v>2414</v>
      </c>
      <c r="D5470" s="1566" t="s">
        <v>6602</v>
      </c>
      <c r="E5470" s="1566" t="s">
        <v>2219</v>
      </c>
      <c r="F5470" s="1566" t="s">
        <v>6579</v>
      </c>
      <c r="G5470" s="1566"/>
      <c r="H5470" s="1568">
        <v>1</v>
      </c>
      <c r="I5470" s="1571">
        <v>30</v>
      </c>
      <c r="J5470" s="1566"/>
      <c r="K5470" s="1565">
        <v>11601.36</v>
      </c>
      <c r="L5470" s="1565">
        <v>11601.36</v>
      </c>
      <c r="M5470" s="1564"/>
      <c r="N5470" s="1565">
        <v>11601.36</v>
      </c>
      <c r="O5470" s="1565">
        <v>10312.32</v>
      </c>
      <c r="P5470" s="1564"/>
      <c r="Q5470" s="1565">
        <v>1289.04</v>
      </c>
      <c r="R5470" s="1565">
        <v>1289.04</v>
      </c>
      <c r="S5470" s="1562"/>
    </row>
    <row r="5471" spans="2:19" ht="21.75" customHeight="1" outlineLevel="1">
      <c r="B5471" s="1569" t="s">
        <v>6601</v>
      </c>
      <c r="C5471" s="1566" t="s">
        <v>2414</v>
      </c>
      <c r="D5471" s="1566" t="s">
        <v>6600</v>
      </c>
      <c r="E5471" s="1566" t="s">
        <v>2219</v>
      </c>
      <c r="F5471" s="1566" t="s">
        <v>6579</v>
      </c>
      <c r="G5471" s="1566"/>
      <c r="H5471" s="1568">
        <v>1</v>
      </c>
      <c r="I5471" s="1571">
        <v>23</v>
      </c>
      <c r="J5471" s="1566"/>
      <c r="K5471" s="1565">
        <v>2743.96</v>
      </c>
      <c r="L5471" s="1565">
        <v>2743.96</v>
      </c>
      <c r="M5471" s="1564"/>
      <c r="N5471" s="1565">
        <v>2743.96</v>
      </c>
      <c r="O5471" s="1565">
        <v>2439.04</v>
      </c>
      <c r="P5471" s="1564"/>
      <c r="Q5471" s="1572">
        <v>304.92</v>
      </c>
      <c r="R5471" s="1572">
        <v>304.92</v>
      </c>
      <c r="S5471" s="1562"/>
    </row>
    <row r="5472" spans="2:19" ht="11.25" customHeight="1" outlineLevel="1">
      <c r="B5472" s="1569" t="s">
        <v>6599</v>
      </c>
      <c r="C5472" s="1566" t="s">
        <v>2414</v>
      </c>
      <c r="D5472" s="1566" t="s">
        <v>6598</v>
      </c>
      <c r="E5472" s="1566" t="s">
        <v>2219</v>
      </c>
      <c r="F5472" s="1566" t="s">
        <v>6579</v>
      </c>
      <c r="G5472" s="1566"/>
      <c r="H5472" s="1568">
        <v>1</v>
      </c>
      <c r="I5472" s="1571">
        <v>12</v>
      </c>
      <c r="J5472" s="1566"/>
      <c r="K5472" s="1565">
        <v>3248.38</v>
      </c>
      <c r="L5472" s="1565">
        <v>3248.38</v>
      </c>
      <c r="M5472" s="1564"/>
      <c r="N5472" s="1565">
        <v>3248.38</v>
      </c>
      <c r="O5472" s="1565">
        <v>2887.42</v>
      </c>
      <c r="P5472" s="1564"/>
      <c r="Q5472" s="1572">
        <v>360.96</v>
      </c>
      <c r="R5472" s="1572">
        <v>360.96</v>
      </c>
      <c r="S5472" s="1562"/>
    </row>
    <row r="5473" spans="2:19" ht="21.75" customHeight="1" outlineLevel="1">
      <c r="B5473" s="1569" t="s">
        <v>6597</v>
      </c>
      <c r="C5473" s="1566" t="s">
        <v>2414</v>
      </c>
      <c r="D5473" s="1566" t="s">
        <v>6596</v>
      </c>
      <c r="E5473" s="1566" t="s">
        <v>2219</v>
      </c>
      <c r="F5473" s="1566" t="s">
        <v>6579</v>
      </c>
      <c r="G5473" s="1566"/>
      <c r="H5473" s="1568">
        <v>1</v>
      </c>
      <c r="I5473" s="1571">
        <v>9</v>
      </c>
      <c r="J5473" s="1566"/>
      <c r="K5473" s="1565">
        <v>2436.29</v>
      </c>
      <c r="L5473" s="1565">
        <v>2436.29</v>
      </c>
      <c r="M5473" s="1564"/>
      <c r="N5473" s="1565">
        <v>2436.29</v>
      </c>
      <c r="O5473" s="1565">
        <v>2165.5700000000002</v>
      </c>
      <c r="P5473" s="1564"/>
      <c r="Q5473" s="1572">
        <v>270.72000000000003</v>
      </c>
      <c r="R5473" s="1572">
        <v>270.72000000000003</v>
      </c>
      <c r="S5473" s="1562"/>
    </row>
    <row r="5474" spans="2:19" ht="11.25" customHeight="1" outlineLevel="1">
      <c r="B5474" s="1569" t="s">
        <v>6595</v>
      </c>
      <c r="C5474" s="1566" t="s">
        <v>2414</v>
      </c>
      <c r="D5474" s="1566" t="s">
        <v>6594</v>
      </c>
      <c r="E5474" s="1566" t="s">
        <v>2219</v>
      </c>
      <c r="F5474" s="1566" t="s">
        <v>6579</v>
      </c>
      <c r="G5474" s="1566"/>
      <c r="H5474" s="1568">
        <v>1</v>
      </c>
      <c r="I5474" s="1571">
        <v>4</v>
      </c>
      <c r="J5474" s="1566"/>
      <c r="K5474" s="1572">
        <v>681.73</v>
      </c>
      <c r="L5474" s="1572">
        <v>681.73</v>
      </c>
      <c r="M5474" s="1564"/>
      <c r="N5474" s="1572">
        <v>681.73</v>
      </c>
      <c r="O5474" s="1572">
        <v>606.01</v>
      </c>
      <c r="P5474" s="1564"/>
      <c r="Q5474" s="1572">
        <v>75.72</v>
      </c>
      <c r="R5474" s="1572">
        <v>75.72</v>
      </c>
      <c r="S5474" s="1562"/>
    </row>
    <row r="5475" spans="2:19" ht="11.25" customHeight="1" outlineLevel="1">
      <c r="B5475" s="1569" t="s">
        <v>6593</v>
      </c>
      <c r="C5475" s="1566" t="s">
        <v>2414</v>
      </c>
      <c r="D5475" s="1566" t="s">
        <v>6592</v>
      </c>
      <c r="E5475" s="1566" t="s">
        <v>2219</v>
      </c>
      <c r="F5475" s="1566" t="s">
        <v>6579</v>
      </c>
      <c r="G5475" s="1566"/>
      <c r="H5475" s="1568">
        <v>1</v>
      </c>
      <c r="I5475" s="1571">
        <v>16</v>
      </c>
      <c r="J5475" s="1566"/>
      <c r="K5475" s="1565">
        <v>7308.86</v>
      </c>
      <c r="L5475" s="1565">
        <v>7308.86</v>
      </c>
      <c r="M5475" s="1564"/>
      <c r="N5475" s="1565">
        <v>7308.86</v>
      </c>
      <c r="O5475" s="1565">
        <v>6496.8</v>
      </c>
      <c r="P5475" s="1564"/>
      <c r="Q5475" s="1572">
        <v>812.06</v>
      </c>
      <c r="R5475" s="1572">
        <v>812.06</v>
      </c>
      <c r="S5475" s="1562"/>
    </row>
    <row r="5476" spans="2:19" ht="21.75" customHeight="1" outlineLevel="1">
      <c r="B5476" s="1569" t="s">
        <v>6591</v>
      </c>
      <c r="C5476" s="1566" t="s">
        <v>2414</v>
      </c>
      <c r="D5476" s="1566" t="s">
        <v>6590</v>
      </c>
      <c r="E5476" s="1566" t="s">
        <v>2219</v>
      </c>
      <c r="F5476" s="1566" t="s">
        <v>6579</v>
      </c>
      <c r="G5476" s="1566"/>
      <c r="H5476" s="1568">
        <v>1</v>
      </c>
      <c r="I5476" s="1571">
        <v>99</v>
      </c>
      <c r="J5476" s="1566"/>
      <c r="K5476" s="1565">
        <v>105456.78</v>
      </c>
      <c r="L5476" s="1565">
        <v>105456.78</v>
      </c>
      <c r="M5476" s="1564"/>
      <c r="N5476" s="1565">
        <v>105456.78</v>
      </c>
      <c r="O5476" s="1565">
        <v>93739.38</v>
      </c>
      <c r="P5476" s="1564"/>
      <c r="Q5476" s="1565">
        <v>11717.4</v>
      </c>
      <c r="R5476" s="1565">
        <v>11717.4</v>
      </c>
      <c r="S5476" s="1562"/>
    </row>
    <row r="5477" spans="2:19" ht="11.25" customHeight="1" outlineLevel="1">
      <c r="B5477" s="1569" t="s">
        <v>6589</v>
      </c>
      <c r="C5477" s="1566" t="s">
        <v>2414</v>
      </c>
      <c r="D5477" s="1566" t="s">
        <v>6588</v>
      </c>
      <c r="E5477" s="1566" t="s">
        <v>2219</v>
      </c>
      <c r="F5477" s="1566" t="s">
        <v>6579</v>
      </c>
      <c r="G5477" s="1566"/>
      <c r="H5477" s="1568">
        <v>1</v>
      </c>
      <c r="I5477" s="1571">
        <v>31</v>
      </c>
      <c r="J5477" s="1566"/>
      <c r="K5477" s="1565">
        <v>5283.39</v>
      </c>
      <c r="L5477" s="1565">
        <v>5283.39</v>
      </c>
      <c r="M5477" s="1564"/>
      <c r="N5477" s="1565">
        <v>5283.39</v>
      </c>
      <c r="O5477" s="1565">
        <v>4696.3500000000004</v>
      </c>
      <c r="P5477" s="1564"/>
      <c r="Q5477" s="1572">
        <v>587.04</v>
      </c>
      <c r="R5477" s="1572">
        <v>587.04</v>
      </c>
      <c r="S5477" s="1562"/>
    </row>
    <row r="5478" spans="2:19" ht="11.25" customHeight="1" outlineLevel="1">
      <c r="B5478" s="1569" t="s">
        <v>6587</v>
      </c>
      <c r="C5478" s="1566" t="s">
        <v>2414</v>
      </c>
      <c r="D5478" s="1566" t="s">
        <v>6586</v>
      </c>
      <c r="E5478" s="1566" t="s">
        <v>2219</v>
      </c>
      <c r="F5478" s="1566" t="s">
        <v>6579</v>
      </c>
      <c r="G5478" s="1566"/>
      <c r="H5478" s="1568">
        <v>1</v>
      </c>
      <c r="I5478" s="1571">
        <v>159</v>
      </c>
      <c r="J5478" s="1566"/>
      <c r="K5478" s="1565">
        <v>43041.05</v>
      </c>
      <c r="L5478" s="1565">
        <v>43041.05</v>
      </c>
      <c r="M5478" s="1564"/>
      <c r="N5478" s="1565">
        <v>43041.05</v>
      </c>
      <c r="O5478" s="1565">
        <v>38258.69</v>
      </c>
      <c r="P5478" s="1564"/>
      <c r="Q5478" s="1565">
        <v>4782.3599999999997</v>
      </c>
      <c r="R5478" s="1565">
        <v>4782.3599999999997</v>
      </c>
      <c r="S5478" s="1562"/>
    </row>
    <row r="5479" spans="2:19" ht="11.25" customHeight="1" outlineLevel="1">
      <c r="B5479" s="1569" t="s">
        <v>6585</v>
      </c>
      <c r="C5479" s="1566" t="s">
        <v>2414</v>
      </c>
      <c r="D5479" s="1566" t="s">
        <v>6584</v>
      </c>
      <c r="E5479" s="1566" t="s">
        <v>2219</v>
      </c>
      <c r="F5479" s="1566" t="s">
        <v>6579</v>
      </c>
      <c r="G5479" s="1566"/>
      <c r="H5479" s="1568">
        <v>1</v>
      </c>
      <c r="I5479" s="1571">
        <v>30</v>
      </c>
      <c r="J5479" s="1566"/>
      <c r="K5479" s="1565">
        <v>11601.36</v>
      </c>
      <c r="L5479" s="1565">
        <v>11601.36</v>
      </c>
      <c r="M5479" s="1564"/>
      <c r="N5479" s="1565">
        <v>11601.36</v>
      </c>
      <c r="O5479" s="1565">
        <v>10312.32</v>
      </c>
      <c r="P5479" s="1564"/>
      <c r="Q5479" s="1565">
        <v>1289.04</v>
      </c>
      <c r="R5479" s="1565">
        <v>1289.04</v>
      </c>
      <c r="S5479" s="1562"/>
    </row>
    <row r="5480" spans="2:19" ht="21.75" customHeight="1" outlineLevel="1">
      <c r="B5480" s="1569" t="s">
        <v>6583</v>
      </c>
      <c r="C5480" s="1566" t="s">
        <v>2414</v>
      </c>
      <c r="D5480" s="1566" t="s">
        <v>6582</v>
      </c>
      <c r="E5480" s="1566" t="s">
        <v>2219</v>
      </c>
      <c r="F5480" s="1566" t="s">
        <v>6579</v>
      </c>
      <c r="G5480" s="1566"/>
      <c r="H5480" s="1568">
        <v>1</v>
      </c>
      <c r="I5480" s="1571">
        <v>35</v>
      </c>
      <c r="J5480" s="1566"/>
      <c r="K5480" s="1565">
        <v>13534.92</v>
      </c>
      <c r="L5480" s="1565">
        <v>13534.92</v>
      </c>
      <c r="M5480" s="1564"/>
      <c r="N5480" s="1565">
        <v>13534.92</v>
      </c>
      <c r="O5480" s="1565">
        <v>12031.08</v>
      </c>
      <c r="P5480" s="1564"/>
      <c r="Q5480" s="1565">
        <v>1503.84</v>
      </c>
      <c r="R5480" s="1565">
        <v>1503.84</v>
      </c>
      <c r="S5480" s="1562"/>
    </row>
    <row r="5481" spans="2:19" ht="11.25" customHeight="1" outlineLevel="1">
      <c r="B5481" s="1569" t="s">
        <v>6581</v>
      </c>
      <c r="C5481" s="1566" t="s">
        <v>2414</v>
      </c>
      <c r="D5481" s="1566" t="s">
        <v>6580</v>
      </c>
      <c r="E5481" s="1566" t="s">
        <v>2219</v>
      </c>
      <c r="F5481" s="1566" t="s">
        <v>6579</v>
      </c>
      <c r="G5481" s="1566"/>
      <c r="H5481" s="1568">
        <v>1</v>
      </c>
      <c r="I5481" s="1571">
        <v>35</v>
      </c>
      <c r="J5481" s="1566"/>
      <c r="K5481" s="1565">
        <v>4737.22</v>
      </c>
      <c r="L5481" s="1565">
        <v>4737.22</v>
      </c>
      <c r="M5481" s="1564"/>
      <c r="N5481" s="1565">
        <v>4737.22</v>
      </c>
      <c r="O5481" s="1565">
        <v>4210.8999999999996</v>
      </c>
      <c r="P5481" s="1564"/>
      <c r="Q5481" s="1572">
        <v>526.32000000000005</v>
      </c>
      <c r="R5481" s="1572">
        <v>526.32000000000005</v>
      </c>
      <c r="S5481" s="1562"/>
    </row>
    <row r="5482" spans="2:19" ht="21.75" customHeight="1" outlineLevel="1">
      <c r="B5482" s="1569" t="s">
        <v>6578</v>
      </c>
      <c r="C5482" s="1566" t="s">
        <v>2414</v>
      </c>
      <c r="D5482" s="1566" t="s">
        <v>6577</v>
      </c>
      <c r="E5482" s="1566" t="s">
        <v>2219</v>
      </c>
      <c r="F5482" s="1566" t="s">
        <v>2924</v>
      </c>
      <c r="G5482" s="1566"/>
      <c r="H5482" s="1568">
        <v>1</v>
      </c>
      <c r="I5482" s="1571">
        <v>466</v>
      </c>
      <c r="J5482" s="1566"/>
      <c r="K5482" s="1565">
        <v>682539.72</v>
      </c>
      <c r="L5482" s="1565">
        <v>682539.72</v>
      </c>
      <c r="M5482" s="1564"/>
      <c r="N5482" s="1565">
        <v>682539.72</v>
      </c>
      <c r="O5482" s="1565">
        <v>606702</v>
      </c>
      <c r="P5482" s="1564"/>
      <c r="Q5482" s="1565">
        <v>75837.72</v>
      </c>
      <c r="R5482" s="1565">
        <v>75837.72</v>
      </c>
      <c r="S5482" s="1562"/>
    </row>
    <row r="5483" spans="2:19" ht="21.75" customHeight="1" outlineLevel="1">
      <c r="B5483" s="1569" t="s">
        <v>6576</v>
      </c>
      <c r="C5483" s="1566" t="s">
        <v>2414</v>
      </c>
      <c r="D5483" s="1566" t="s">
        <v>6575</v>
      </c>
      <c r="E5483" s="1566" t="s">
        <v>2219</v>
      </c>
      <c r="F5483" s="1566" t="s">
        <v>2921</v>
      </c>
      <c r="G5483" s="1566"/>
      <c r="H5483" s="1568">
        <v>1</v>
      </c>
      <c r="I5483" s="1566"/>
      <c r="J5483" s="1566"/>
      <c r="K5483" s="1565">
        <v>477484.87</v>
      </c>
      <c r="L5483" s="1565">
        <v>477484.87</v>
      </c>
      <c r="M5483" s="1564"/>
      <c r="N5483" s="1565">
        <v>477484.87</v>
      </c>
      <c r="O5483" s="1565">
        <v>424430.95</v>
      </c>
      <c r="P5483" s="1564"/>
      <c r="Q5483" s="1565">
        <v>53053.919999999998</v>
      </c>
      <c r="R5483" s="1565">
        <v>53053.919999999998</v>
      </c>
      <c r="S5483" s="1562"/>
    </row>
    <row r="5484" spans="2:19" ht="21.75" customHeight="1" outlineLevel="1">
      <c r="B5484" s="1569" t="s">
        <v>6574</v>
      </c>
      <c r="C5484" s="1566" t="s">
        <v>2414</v>
      </c>
      <c r="D5484" s="1566" t="s">
        <v>6573</v>
      </c>
      <c r="E5484" s="1566" t="s">
        <v>2219</v>
      </c>
      <c r="F5484" s="1566" t="s">
        <v>2912</v>
      </c>
      <c r="G5484" s="1566" t="s">
        <v>6572</v>
      </c>
      <c r="H5484" s="1568">
        <v>1</v>
      </c>
      <c r="I5484" s="1566"/>
      <c r="J5484" s="1566"/>
      <c r="K5484" s="1565">
        <v>4601.87</v>
      </c>
      <c r="L5484" s="1565">
        <v>4601.87</v>
      </c>
      <c r="M5484" s="1564"/>
      <c r="N5484" s="1565">
        <v>4601.87</v>
      </c>
      <c r="O5484" s="1565">
        <v>3834.9</v>
      </c>
      <c r="P5484" s="1564"/>
      <c r="Q5484" s="1572">
        <v>766.97</v>
      </c>
      <c r="R5484" s="1572">
        <v>766.97</v>
      </c>
      <c r="S5484" s="1562"/>
    </row>
    <row r="5485" spans="2:19" ht="21.75" customHeight="1" outlineLevel="1">
      <c r="B5485" s="1569" t="s">
        <v>6571</v>
      </c>
      <c r="C5485" s="1566" t="s">
        <v>2414</v>
      </c>
      <c r="D5485" s="1566" t="s">
        <v>6570</v>
      </c>
      <c r="E5485" s="1566" t="s">
        <v>2219</v>
      </c>
      <c r="F5485" s="1566" t="s">
        <v>2912</v>
      </c>
      <c r="G5485" s="1566" t="s">
        <v>6569</v>
      </c>
      <c r="H5485" s="1568">
        <v>1</v>
      </c>
      <c r="I5485" s="1566"/>
      <c r="J5485" s="1566"/>
      <c r="K5485" s="1565">
        <v>7038.16</v>
      </c>
      <c r="L5485" s="1565">
        <v>7038.16</v>
      </c>
      <c r="M5485" s="1564"/>
      <c r="N5485" s="1565">
        <v>7038.16</v>
      </c>
      <c r="O5485" s="1565">
        <v>5865.16</v>
      </c>
      <c r="P5485" s="1564"/>
      <c r="Q5485" s="1565">
        <v>1173</v>
      </c>
      <c r="R5485" s="1565">
        <v>1173</v>
      </c>
      <c r="S5485" s="1562"/>
    </row>
    <row r="5486" spans="2:19" ht="21.75" customHeight="1" outlineLevel="1">
      <c r="B5486" s="1569" t="s">
        <v>6568</v>
      </c>
      <c r="C5486" s="1566" t="s">
        <v>2414</v>
      </c>
      <c r="D5486" s="1566" t="s">
        <v>6567</v>
      </c>
      <c r="E5486" s="1566" t="s">
        <v>2219</v>
      </c>
      <c r="F5486" s="1566" t="s">
        <v>6548</v>
      </c>
      <c r="G5486" s="1566" t="s">
        <v>6566</v>
      </c>
      <c r="H5486" s="1568">
        <v>1</v>
      </c>
      <c r="I5486" s="1571">
        <v>9</v>
      </c>
      <c r="J5486" s="1566"/>
      <c r="K5486" s="1565">
        <v>2436.29</v>
      </c>
      <c r="L5486" s="1565">
        <v>2436.29</v>
      </c>
      <c r="M5486" s="1564"/>
      <c r="N5486" s="1565">
        <v>2436.29</v>
      </c>
      <c r="O5486" s="1565">
        <v>2030.21</v>
      </c>
      <c r="P5486" s="1564"/>
      <c r="Q5486" s="1572">
        <v>406.08</v>
      </c>
      <c r="R5486" s="1572">
        <v>406.08</v>
      </c>
      <c r="S5486" s="1562"/>
    </row>
    <row r="5487" spans="2:19" ht="21.75" customHeight="1" outlineLevel="1">
      <c r="B5487" s="1569" t="s">
        <v>6565</v>
      </c>
      <c r="C5487" s="1566" t="s">
        <v>2414</v>
      </c>
      <c r="D5487" s="1566" t="s">
        <v>6564</v>
      </c>
      <c r="E5487" s="1566" t="s">
        <v>2219</v>
      </c>
      <c r="F5487" s="1566" t="s">
        <v>6548</v>
      </c>
      <c r="G5487" s="1566" t="s">
        <v>6563</v>
      </c>
      <c r="H5487" s="1568">
        <v>1</v>
      </c>
      <c r="I5487" s="1571">
        <v>17</v>
      </c>
      <c r="J5487" s="1566"/>
      <c r="K5487" s="1565">
        <v>4601.87</v>
      </c>
      <c r="L5487" s="1565">
        <v>4601.87</v>
      </c>
      <c r="M5487" s="1564"/>
      <c r="N5487" s="1565">
        <v>4601.87</v>
      </c>
      <c r="O5487" s="1565">
        <v>3834.9</v>
      </c>
      <c r="P5487" s="1564"/>
      <c r="Q5487" s="1572">
        <v>766.97</v>
      </c>
      <c r="R5487" s="1572">
        <v>766.97</v>
      </c>
      <c r="S5487" s="1562"/>
    </row>
    <row r="5488" spans="2:19" ht="21.75" customHeight="1" outlineLevel="1">
      <c r="B5488" s="1569" t="s">
        <v>6562</v>
      </c>
      <c r="C5488" s="1566" t="s">
        <v>2414</v>
      </c>
      <c r="D5488" s="1566" t="s">
        <v>6561</v>
      </c>
      <c r="E5488" s="1566" t="s">
        <v>2219</v>
      </c>
      <c r="F5488" s="1566" t="s">
        <v>6548</v>
      </c>
      <c r="G5488" s="1566" t="s">
        <v>6560</v>
      </c>
      <c r="H5488" s="1568">
        <v>1</v>
      </c>
      <c r="I5488" s="1571">
        <v>19</v>
      </c>
      <c r="J5488" s="1566"/>
      <c r="K5488" s="1565">
        <v>5143.2700000000004</v>
      </c>
      <c r="L5488" s="1565">
        <v>5143.2700000000004</v>
      </c>
      <c r="M5488" s="1564"/>
      <c r="N5488" s="1565">
        <v>5143.2700000000004</v>
      </c>
      <c r="O5488" s="1565">
        <v>4286.1000000000004</v>
      </c>
      <c r="P5488" s="1564"/>
      <c r="Q5488" s="1572">
        <v>857.17</v>
      </c>
      <c r="R5488" s="1572">
        <v>857.17</v>
      </c>
      <c r="S5488" s="1562"/>
    </row>
    <row r="5489" spans="2:19" ht="21.75" customHeight="1" outlineLevel="1">
      <c r="B5489" s="1569" t="s">
        <v>6559</v>
      </c>
      <c r="C5489" s="1566" t="s">
        <v>2414</v>
      </c>
      <c r="D5489" s="1566" t="s">
        <v>6558</v>
      </c>
      <c r="E5489" s="1566" t="s">
        <v>2219</v>
      </c>
      <c r="F5489" s="1566" t="s">
        <v>6548</v>
      </c>
      <c r="G5489" s="1566" t="s">
        <v>6557</v>
      </c>
      <c r="H5489" s="1568">
        <v>1</v>
      </c>
      <c r="I5489" s="1571">
        <v>10</v>
      </c>
      <c r="J5489" s="1566"/>
      <c r="K5489" s="1565">
        <v>2706.98</v>
      </c>
      <c r="L5489" s="1565">
        <v>2706.98</v>
      </c>
      <c r="M5489" s="1564"/>
      <c r="N5489" s="1565">
        <v>2706.98</v>
      </c>
      <c r="O5489" s="1565">
        <v>2255.7800000000002</v>
      </c>
      <c r="P5489" s="1564"/>
      <c r="Q5489" s="1572">
        <v>451.2</v>
      </c>
      <c r="R5489" s="1572">
        <v>451.2</v>
      </c>
      <c r="S5489" s="1562"/>
    </row>
    <row r="5490" spans="2:19" ht="21.75" customHeight="1" outlineLevel="1">
      <c r="B5490" s="1569" t="s">
        <v>6556</v>
      </c>
      <c r="C5490" s="1566" t="s">
        <v>2414</v>
      </c>
      <c r="D5490" s="1566" t="s">
        <v>6555</v>
      </c>
      <c r="E5490" s="1566" t="s">
        <v>2219</v>
      </c>
      <c r="F5490" s="1566" t="s">
        <v>2912</v>
      </c>
      <c r="G5490" s="1566" t="s">
        <v>6554</v>
      </c>
      <c r="H5490" s="1568">
        <v>1</v>
      </c>
      <c r="I5490" s="1571">
        <v>7</v>
      </c>
      <c r="J5490" s="1566"/>
      <c r="K5490" s="1565">
        <v>1193.02</v>
      </c>
      <c r="L5490" s="1565">
        <v>1193.02</v>
      </c>
      <c r="M5490" s="1564"/>
      <c r="N5490" s="1565">
        <v>1193.02</v>
      </c>
      <c r="O5490" s="1572">
        <v>994.18</v>
      </c>
      <c r="P5490" s="1564"/>
      <c r="Q5490" s="1572">
        <v>198.84</v>
      </c>
      <c r="R5490" s="1572">
        <v>198.84</v>
      </c>
      <c r="S5490" s="1562"/>
    </row>
    <row r="5491" spans="2:19" ht="21.75" customHeight="1" outlineLevel="1">
      <c r="B5491" s="1569" t="s">
        <v>6553</v>
      </c>
      <c r="C5491" s="1566" t="s">
        <v>2414</v>
      </c>
      <c r="D5491" s="1566" t="s">
        <v>6552</v>
      </c>
      <c r="E5491" s="1566" t="s">
        <v>2219</v>
      </c>
      <c r="F5491" s="1566" t="s">
        <v>6548</v>
      </c>
      <c r="G5491" s="1566" t="s">
        <v>6551</v>
      </c>
      <c r="H5491" s="1568">
        <v>1</v>
      </c>
      <c r="I5491" s="1571">
        <v>26</v>
      </c>
      <c r="J5491" s="1566"/>
      <c r="K5491" s="1565">
        <v>7038.16</v>
      </c>
      <c r="L5491" s="1565">
        <v>7038.16</v>
      </c>
      <c r="M5491" s="1564"/>
      <c r="N5491" s="1565">
        <v>7038.16</v>
      </c>
      <c r="O5491" s="1565">
        <v>5865.16</v>
      </c>
      <c r="P5491" s="1564"/>
      <c r="Q5491" s="1565">
        <v>1173</v>
      </c>
      <c r="R5491" s="1565">
        <v>1173</v>
      </c>
      <c r="S5491" s="1562"/>
    </row>
    <row r="5492" spans="2:19" ht="11.25" customHeight="1" outlineLevel="1">
      <c r="B5492" s="1569" t="s">
        <v>6550</v>
      </c>
      <c r="C5492" s="1566" t="s">
        <v>2414</v>
      </c>
      <c r="D5492" s="1566" t="s">
        <v>6549</v>
      </c>
      <c r="E5492" s="1566" t="s">
        <v>2219</v>
      </c>
      <c r="F5492" s="1566" t="s">
        <v>6548</v>
      </c>
      <c r="G5492" s="1566" t="s">
        <v>6547</v>
      </c>
      <c r="H5492" s="1568">
        <v>1</v>
      </c>
      <c r="I5492" s="1571">
        <v>23</v>
      </c>
      <c r="J5492" s="1566"/>
      <c r="K5492" s="1565">
        <v>12862.53</v>
      </c>
      <c r="L5492" s="1565">
        <v>12862.53</v>
      </c>
      <c r="M5492" s="1564"/>
      <c r="N5492" s="1565">
        <v>12862.53</v>
      </c>
      <c r="O5492" s="1565">
        <v>10718.73</v>
      </c>
      <c r="P5492" s="1564"/>
      <c r="Q5492" s="1565">
        <v>2143.8000000000002</v>
      </c>
      <c r="R5492" s="1565">
        <v>2143.8000000000002</v>
      </c>
      <c r="S5492" s="1562"/>
    </row>
    <row r="5493" spans="2:19" ht="21.75" customHeight="1" outlineLevel="1">
      <c r="B5493" s="1569" t="s">
        <v>6546</v>
      </c>
      <c r="C5493" s="1566" t="s">
        <v>2414</v>
      </c>
      <c r="D5493" s="1566" t="s">
        <v>6545</v>
      </c>
      <c r="E5493" s="1566" t="s">
        <v>2219</v>
      </c>
      <c r="F5493" s="1566" t="s">
        <v>2912</v>
      </c>
      <c r="G5493" s="1566" t="s">
        <v>6544</v>
      </c>
      <c r="H5493" s="1568">
        <v>1</v>
      </c>
      <c r="I5493" s="1571">
        <v>6</v>
      </c>
      <c r="J5493" s="1566"/>
      <c r="K5493" s="1565">
        <v>1624.19</v>
      </c>
      <c r="L5493" s="1565">
        <v>1624.19</v>
      </c>
      <c r="M5493" s="1564"/>
      <c r="N5493" s="1565">
        <v>1624.19</v>
      </c>
      <c r="O5493" s="1565">
        <v>1353.47</v>
      </c>
      <c r="P5493" s="1564"/>
      <c r="Q5493" s="1572">
        <v>270.72000000000003</v>
      </c>
      <c r="R5493" s="1572">
        <v>270.72000000000003</v>
      </c>
      <c r="S5493" s="1562"/>
    </row>
    <row r="5494" spans="2:19" ht="21.75" customHeight="1" outlineLevel="1">
      <c r="B5494" s="1569" t="s">
        <v>6543</v>
      </c>
      <c r="C5494" s="1566" t="s">
        <v>2414</v>
      </c>
      <c r="D5494" s="1566" t="s">
        <v>6542</v>
      </c>
      <c r="E5494" s="1566" t="s">
        <v>2219</v>
      </c>
      <c r="F5494" s="1566" t="s">
        <v>2912</v>
      </c>
      <c r="G5494" s="1566" t="s">
        <v>6541</v>
      </c>
      <c r="H5494" s="1568">
        <v>1</v>
      </c>
      <c r="I5494" s="1571">
        <v>22</v>
      </c>
      <c r="J5494" s="1566"/>
      <c r="K5494" s="1565">
        <v>5955.36</v>
      </c>
      <c r="L5494" s="1565">
        <v>5955.36</v>
      </c>
      <c r="M5494" s="1564"/>
      <c r="N5494" s="1565">
        <v>5955.36</v>
      </c>
      <c r="O5494" s="1565">
        <v>4962.84</v>
      </c>
      <c r="P5494" s="1564"/>
      <c r="Q5494" s="1572">
        <v>992.52</v>
      </c>
      <c r="R5494" s="1572">
        <v>992.52</v>
      </c>
      <c r="S5494" s="1562"/>
    </row>
    <row r="5495" spans="2:19" ht="11.25" customHeight="1" outlineLevel="1">
      <c r="B5495" s="1569" t="s">
        <v>6540</v>
      </c>
      <c r="C5495" s="1566" t="s">
        <v>2414</v>
      </c>
      <c r="D5495" s="1566" t="s">
        <v>6539</v>
      </c>
      <c r="E5495" s="1566" t="s">
        <v>2219</v>
      </c>
      <c r="F5495" s="1566" t="s">
        <v>2912</v>
      </c>
      <c r="G5495" s="1566" t="s">
        <v>6538</v>
      </c>
      <c r="H5495" s="1568">
        <v>1</v>
      </c>
      <c r="I5495" s="1571">
        <v>6</v>
      </c>
      <c r="J5495" s="1566"/>
      <c r="K5495" s="1565">
        <v>4640.54</v>
      </c>
      <c r="L5495" s="1565">
        <v>4640.54</v>
      </c>
      <c r="M5495" s="1564"/>
      <c r="N5495" s="1565">
        <v>4640.54</v>
      </c>
      <c r="O5495" s="1565">
        <v>3867.14</v>
      </c>
      <c r="P5495" s="1564"/>
      <c r="Q5495" s="1572">
        <v>773.4</v>
      </c>
      <c r="R5495" s="1572">
        <v>773.4</v>
      </c>
      <c r="S5495" s="1562"/>
    </row>
    <row r="5496" spans="2:19" ht="21.75" customHeight="1" outlineLevel="1">
      <c r="B5496" s="1569" t="s">
        <v>6537</v>
      </c>
      <c r="C5496" s="1566" t="s">
        <v>2414</v>
      </c>
      <c r="D5496" s="1566" t="s">
        <v>6536</v>
      </c>
      <c r="E5496" s="1566" t="s">
        <v>2219</v>
      </c>
      <c r="F5496" s="1566" t="s">
        <v>2912</v>
      </c>
      <c r="G5496" s="1566" t="s">
        <v>6535</v>
      </c>
      <c r="H5496" s="1568">
        <v>1</v>
      </c>
      <c r="I5496" s="1571">
        <v>36</v>
      </c>
      <c r="J5496" s="1566"/>
      <c r="K5496" s="1565">
        <v>14380.47</v>
      </c>
      <c r="L5496" s="1565">
        <v>14380.47</v>
      </c>
      <c r="M5496" s="1564"/>
      <c r="N5496" s="1565">
        <v>14380.47</v>
      </c>
      <c r="O5496" s="1565">
        <v>11983.71</v>
      </c>
      <c r="P5496" s="1564"/>
      <c r="Q5496" s="1565">
        <v>2396.7600000000002</v>
      </c>
      <c r="R5496" s="1565">
        <v>2396.7600000000002</v>
      </c>
      <c r="S5496" s="1562"/>
    </row>
    <row r="5497" spans="2:19" ht="21.75" customHeight="1" outlineLevel="1">
      <c r="B5497" s="1569" t="s">
        <v>6534</v>
      </c>
      <c r="C5497" s="1566" t="s">
        <v>2414</v>
      </c>
      <c r="D5497" s="1566" t="s">
        <v>6533</v>
      </c>
      <c r="E5497" s="1566" t="s">
        <v>2219</v>
      </c>
      <c r="F5497" s="1566" t="s">
        <v>2912</v>
      </c>
      <c r="G5497" s="1566" t="s">
        <v>6532</v>
      </c>
      <c r="H5497" s="1568">
        <v>1</v>
      </c>
      <c r="I5497" s="1571">
        <v>4</v>
      </c>
      <c r="J5497" s="1566"/>
      <c r="K5497" s="1565">
        <v>1624.19</v>
      </c>
      <c r="L5497" s="1565">
        <v>1624.19</v>
      </c>
      <c r="M5497" s="1564"/>
      <c r="N5497" s="1565">
        <v>1624.19</v>
      </c>
      <c r="O5497" s="1565">
        <v>1353.47</v>
      </c>
      <c r="P5497" s="1564"/>
      <c r="Q5497" s="1572">
        <v>270.72000000000003</v>
      </c>
      <c r="R5497" s="1572">
        <v>270.72000000000003</v>
      </c>
      <c r="S5497" s="1562"/>
    </row>
    <row r="5498" spans="2:19" ht="21.75" customHeight="1" outlineLevel="1">
      <c r="B5498" s="1569" t="s">
        <v>6531</v>
      </c>
      <c r="C5498" s="1566" t="s">
        <v>2414</v>
      </c>
      <c r="D5498" s="1566" t="s">
        <v>6530</v>
      </c>
      <c r="E5498" s="1566" t="s">
        <v>2219</v>
      </c>
      <c r="F5498" s="1566" t="s">
        <v>2912</v>
      </c>
      <c r="G5498" s="1566" t="s">
        <v>6529</v>
      </c>
      <c r="H5498" s="1568">
        <v>1</v>
      </c>
      <c r="I5498" s="1571">
        <v>51</v>
      </c>
      <c r="J5498" s="1566"/>
      <c r="K5498" s="1565">
        <v>39444.620000000003</v>
      </c>
      <c r="L5498" s="1565">
        <v>39444.620000000003</v>
      </c>
      <c r="M5498" s="1564"/>
      <c r="N5498" s="1565">
        <v>39444.620000000003</v>
      </c>
      <c r="O5498" s="1565">
        <v>32870.54</v>
      </c>
      <c r="P5498" s="1564"/>
      <c r="Q5498" s="1565">
        <v>6574.08</v>
      </c>
      <c r="R5498" s="1565">
        <v>6574.08</v>
      </c>
      <c r="S5498" s="1562"/>
    </row>
    <row r="5499" spans="2:19" ht="21.75" customHeight="1" outlineLevel="1">
      <c r="B5499" s="1569" t="s">
        <v>6528</v>
      </c>
      <c r="C5499" s="1566" t="s">
        <v>2414</v>
      </c>
      <c r="D5499" s="1566" t="s">
        <v>6527</v>
      </c>
      <c r="E5499" s="1566" t="s">
        <v>2219</v>
      </c>
      <c r="F5499" s="1566" t="s">
        <v>2912</v>
      </c>
      <c r="G5499" s="1566" t="s">
        <v>6526</v>
      </c>
      <c r="H5499" s="1568">
        <v>1</v>
      </c>
      <c r="I5499" s="1571">
        <v>33</v>
      </c>
      <c r="J5499" s="1566"/>
      <c r="K5499" s="1565">
        <v>25522.99</v>
      </c>
      <c r="L5499" s="1565">
        <v>25522.99</v>
      </c>
      <c r="M5499" s="1564"/>
      <c r="N5499" s="1565">
        <v>25522.99</v>
      </c>
      <c r="O5499" s="1565">
        <v>21269.11</v>
      </c>
      <c r="P5499" s="1564"/>
      <c r="Q5499" s="1565">
        <v>4253.88</v>
      </c>
      <c r="R5499" s="1565">
        <v>4253.88</v>
      </c>
      <c r="S5499" s="1562"/>
    </row>
    <row r="5500" spans="2:19" ht="21.75" customHeight="1" outlineLevel="1">
      <c r="B5500" s="1569" t="s">
        <v>6525</v>
      </c>
      <c r="C5500" s="1566" t="s">
        <v>2414</v>
      </c>
      <c r="D5500" s="1566" t="s">
        <v>6524</v>
      </c>
      <c r="E5500" s="1566" t="s">
        <v>2219</v>
      </c>
      <c r="F5500" s="1566" t="s">
        <v>2912</v>
      </c>
      <c r="G5500" s="1566" t="s">
        <v>6523</v>
      </c>
      <c r="H5500" s="1568">
        <v>1</v>
      </c>
      <c r="I5500" s="1571">
        <v>84</v>
      </c>
      <c r="J5500" s="1566"/>
      <c r="K5500" s="1565">
        <v>64967.62</v>
      </c>
      <c r="L5500" s="1565">
        <v>64967.62</v>
      </c>
      <c r="M5500" s="1564"/>
      <c r="N5500" s="1565">
        <v>64967.62</v>
      </c>
      <c r="O5500" s="1565">
        <v>54139.66</v>
      </c>
      <c r="P5500" s="1564"/>
      <c r="Q5500" s="1565">
        <v>10827.96</v>
      </c>
      <c r="R5500" s="1565">
        <v>10827.96</v>
      </c>
      <c r="S5500" s="1562"/>
    </row>
    <row r="5501" spans="2:19" ht="21.75" customHeight="1" outlineLevel="1">
      <c r="B5501" s="1569" t="s">
        <v>6522</v>
      </c>
      <c r="C5501" s="1566" t="s">
        <v>2414</v>
      </c>
      <c r="D5501" s="1566" t="s">
        <v>6521</v>
      </c>
      <c r="E5501" s="1566" t="s">
        <v>2219</v>
      </c>
      <c r="F5501" s="1566" t="s">
        <v>2912</v>
      </c>
      <c r="G5501" s="1566" t="s">
        <v>6520</v>
      </c>
      <c r="H5501" s="1568">
        <v>1</v>
      </c>
      <c r="I5501" s="1571">
        <v>11</v>
      </c>
      <c r="J5501" s="1566"/>
      <c r="K5501" s="1565">
        <v>5955.36</v>
      </c>
      <c r="L5501" s="1565">
        <v>5955.36</v>
      </c>
      <c r="M5501" s="1564"/>
      <c r="N5501" s="1565">
        <v>5955.36</v>
      </c>
      <c r="O5501" s="1565">
        <v>4962.84</v>
      </c>
      <c r="P5501" s="1564"/>
      <c r="Q5501" s="1572">
        <v>992.52</v>
      </c>
      <c r="R5501" s="1572">
        <v>992.52</v>
      </c>
      <c r="S5501" s="1562"/>
    </row>
    <row r="5502" spans="2:19" ht="21.75" customHeight="1" outlineLevel="1">
      <c r="B5502" s="1569" t="s">
        <v>6519</v>
      </c>
      <c r="C5502" s="1566" t="s">
        <v>2414</v>
      </c>
      <c r="D5502" s="1566" t="s">
        <v>6518</v>
      </c>
      <c r="E5502" s="1566" t="s">
        <v>2219</v>
      </c>
      <c r="F5502" s="1566" t="s">
        <v>2912</v>
      </c>
      <c r="G5502" s="1566" t="s">
        <v>6517</v>
      </c>
      <c r="H5502" s="1568">
        <v>1</v>
      </c>
      <c r="I5502" s="1571">
        <v>14</v>
      </c>
      <c r="J5502" s="1566"/>
      <c r="K5502" s="1565">
        <v>10827.94</v>
      </c>
      <c r="L5502" s="1565">
        <v>10827.94</v>
      </c>
      <c r="M5502" s="1564"/>
      <c r="N5502" s="1565">
        <v>10827.94</v>
      </c>
      <c r="O5502" s="1565">
        <v>9023.26</v>
      </c>
      <c r="P5502" s="1564"/>
      <c r="Q5502" s="1565">
        <v>1804.68</v>
      </c>
      <c r="R5502" s="1565">
        <v>1804.68</v>
      </c>
      <c r="S5502" s="1562"/>
    </row>
    <row r="5503" spans="2:19" ht="21.75" customHeight="1" outlineLevel="1">
      <c r="B5503" s="1569" t="s">
        <v>6516</v>
      </c>
      <c r="C5503" s="1566" t="s">
        <v>2414</v>
      </c>
      <c r="D5503" s="1566" t="s">
        <v>6515</v>
      </c>
      <c r="E5503" s="1566" t="s">
        <v>2219</v>
      </c>
      <c r="F5503" s="1566" t="s">
        <v>2912</v>
      </c>
      <c r="G5503" s="1566" t="s">
        <v>6514</v>
      </c>
      <c r="H5503" s="1568">
        <v>1</v>
      </c>
      <c r="I5503" s="1571">
        <v>14</v>
      </c>
      <c r="J5503" s="1566"/>
      <c r="K5503" s="1565">
        <v>10827.94</v>
      </c>
      <c r="L5503" s="1565">
        <v>10827.94</v>
      </c>
      <c r="M5503" s="1564"/>
      <c r="N5503" s="1565">
        <v>10827.94</v>
      </c>
      <c r="O5503" s="1565">
        <v>9023.26</v>
      </c>
      <c r="P5503" s="1564"/>
      <c r="Q5503" s="1565">
        <v>1804.68</v>
      </c>
      <c r="R5503" s="1565">
        <v>1804.68</v>
      </c>
      <c r="S5503" s="1562"/>
    </row>
    <row r="5504" spans="2:19" ht="21.75" customHeight="1" outlineLevel="1">
      <c r="B5504" s="1569" t="s">
        <v>6513</v>
      </c>
      <c r="C5504" s="1566" t="s">
        <v>2414</v>
      </c>
      <c r="D5504" s="1566" t="s">
        <v>6512</v>
      </c>
      <c r="E5504" s="1566" t="s">
        <v>2219</v>
      </c>
      <c r="F5504" s="1566" t="s">
        <v>2912</v>
      </c>
      <c r="G5504" s="1566" t="s">
        <v>6511</v>
      </c>
      <c r="H5504" s="1568">
        <v>1</v>
      </c>
      <c r="I5504" s="1571">
        <v>14</v>
      </c>
      <c r="J5504" s="1566"/>
      <c r="K5504" s="1565">
        <v>10827.94</v>
      </c>
      <c r="L5504" s="1565">
        <v>10827.94</v>
      </c>
      <c r="M5504" s="1564"/>
      <c r="N5504" s="1565">
        <v>10827.94</v>
      </c>
      <c r="O5504" s="1565">
        <v>9023.26</v>
      </c>
      <c r="P5504" s="1564"/>
      <c r="Q5504" s="1565">
        <v>1804.68</v>
      </c>
      <c r="R5504" s="1565">
        <v>1804.68</v>
      </c>
      <c r="S5504" s="1562"/>
    </row>
    <row r="5505" spans="2:19" ht="21.75" customHeight="1" outlineLevel="1">
      <c r="B5505" s="1569" t="s">
        <v>6510</v>
      </c>
      <c r="C5505" s="1566" t="s">
        <v>2414</v>
      </c>
      <c r="D5505" s="1566" t="s">
        <v>6509</v>
      </c>
      <c r="E5505" s="1566" t="s">
        <v>2219</v>
      </c>
      <c r="F5505" s="1566" t="s">
        <v>2912</v>
      </c>
      <c r="G5505" s="1566" t="s">
        <v>6508</v>
      </c>
      <c r="H5505" s="1568">
        <v>1</v>
      </c>
      <c r="I5505" s="1571">
        <v>25</v>
      </c>
      <c r="J5505" s="1566"/>
      <c r="K5505" s="1565">
        <v>19972.88</v>
      </c>
      <c r="L5505" s="1565">
        <v>19972.88</v>
      </c>
      <c r="M5505" s="1564"/>
      <c r="N5505" s="1565">
        <v>19972.88</v>
      </c>
      <c r="O5505" s="1565">
        <v>16644.080000000002</v>
      </c>
      <c r="P5505" s="1564"/>
      <c r="Q5505" s="1565">
        <v>3328.8</v>
      </c>
      <c r="R5505" s="1565">
        <v>3328.8</v>
      </c>
      <c r="S5505" s="1562"/>
    </row>
    <row r="5506" spans="2:19" ht="21.75" customHeight="1" outlineLevel="1">
      <c r="B5506" s="1569" t="s">
        <v>6507</v>
      </c>
      <c r="C5506" s="1566" t="s">
        <v>2414</v>
      </c>
      <c r="D5506" s="1566" t="s">
        <v>6506</v>
      </c>
      <c r="E5506" s="1566" t="s">
        <v>2219</v>
      </c>
      <c r="F5506" s="1566" t="s">
        <v>2912</v>
      </c>
      <c r="G5506" s="1566" t="s">
        <v>6505</v>
      </c>
      <c r="H5506" s="1568">
        <v>1</v>
      </c>
      <c r="I5506" s="1571">
        <v>18</v>
      </c>
      <c r="J5506" s="1566"/>
      <c r="K5506" s="1565">
        <v>4872.57</v>
      </c>
      <c r="L5506" s="1565">
        <v>4872.57</v>
      </c>
      <c r="M5506" s="1564"/>
      <c r="N5506" s="1565">
        <v>4872.57</v>
      </c>
      <c r="O5506" s="1565">
        <v>4060.5</v>
      </c>
      <c r="P5506" s="1564"/>
      <c r="Q5506" s="1572">
        <v>812.07</v>
      </c>
      <c r="R5506" s="1572">
        <v>812.07</v>
      </c>
      <c r="S5506" s="1562"/>
    </row>
    <row r="5507" spans="2:19" ht="21.75" customHeight="1" outlineLevel="1">
      <c r="B5507" s="1569" t="s">
        <v>6504</v>
      </c>
      <c r="C5507" s="1566" t="s">
        <v>2414</v>
      </c>
      <c r="D5507" s="1566" t="s">
        <v>6503</v>
      </c>
      <c r="E5507" s="1566" t="s">
        <v>2219</v>
      </c>
      <c r="F5507" s="1566" t="s">
        <v>2912</v>
      </c>
      <c r="G5507" s="1566" t="s">
        <v>6502</v>
      </c>
      <c r="H5507" s="1568">
        <v>1</v>
      </c>
      <c r="I5507" s="1571">
        <v>3</v>
      </c>
      <c r="J5507" s="1566"/>
      <c r="K5507" s="1572">
        <v>812.1</v>
      </c>
      <c r="L5507" s="1572">
        <v>812.1</v>
      </c>
      <c r="M5507" s="1564"/>
      <c r="N5507" s="1572">
        <v>812.1</v>
      </c>
      <c r="O5507" s="1572">
        <v>676.74</v>
      </c>
      <c r="P5507" s="1564"/>
      <c r="Q5507" s="1572">
        <v>135.36000000000001</v>
      </c>
      <c r="R5507" s="1572">
        <v>135.36000000000001</v>
      </c>
      <c r="S5507" s="1562"/>
    </row>
    <row r="5508" spans="2:19" ht="21.75" customHeight="1" outlineLevel="1">
      <c r="B5508" s="1569" t="s">
        <v>6501</v>
      </c>
      <c r="C5508" s="1566" t="s">
        <v>2414</v>
      </c>
      <c r="D5508" s="1566" t="s">
        <v>6500</v>
      </c>
      <c r="E5508" s="1566" t="s">
        <v>2219</v>
      </c>
      <c r="F5508" s="1566" t="s">
        <v>2912</v>
      </c>
      <c r="G5508" s="1566" t="s">
        <v>6499</v>
      </c>
      <c r="H5508" s="1568">
        <v>1</v>
      </c>
      <c r="I5508" s="1571">
        <v>7</v>
      </c>
      <c r="J5508" s="1566"/>
      <c r="K5508" s="1565">
        <v>2796.2</v>
      </c>
      <c r="L5508" s="1565">
        <v>2796.2</v>
      </c>
      <c r="M5508" s="1564"/>
      <c r="N5508" s="1565">
        <v>2796.2</v>
      </c>
      <c r="O5508" s="1565">
        <v>2330.12</v>
      </c>
      <c r="P5508" s="1564"/>
      <c r="Q5508" s="1572">
        <v>466.08</v>
      </c>
      <c r="R5508" s="1572">
        <v>466.08</v>
      </c>
      <c r="S5508" s="1562"/>
    </row>
    <row r="5509" spans="2:19" ht="21.75" customHeight="1" outlineLevel="1">
      <c r="B5509" s="1569" t="s">
        <v>6498</v>
      </c>
      <c r="C5509" s="1566" t="s">
        <v>2414</v>
      </c>
      <c r="D5509" s="1566" t="s">
        <v>6497</v>
      </c>
      <c r="E5509" s="1566" t="s">
        <v>2219</v>
      </c>
      <c r="F5509" s="1566" t="s">
        <v>2912</v>
      </c>
      <c r="G5509" s="1566" t="s">
        <v>6496</v>
      </c>
      <c r="H5509" s="1568">
        <v>1</v>
      </c>
      <c r="I5509" s="1571">
        <v>17</v>
      </c>
      <c r="J5509" s="1566"/>
      <c r="K5509" s="1565">
        <v>9203.75</v>
      </c>
      <c r="L5509" s="1565">
        <v>9203.75</v>
      </c>
      <c r="M5509" s="1564"/>
      <c r="N5509" s="1565">
        <v>9203.75</v>
      </c>
      <c r="O5509" s="1565">
        <v>7669.79</v>
      </c>
      <c r="P5509" s="1564"/>
      <c r="Q5509" s="1565">
        <v>1533.96</v>
      </c>
      <c r="R5509" s="1565">
        <v>1533.96</v>
      </c>
      <c r="S5509" s="1562"/>
    </row>
    <row r="5510" spans="2:19" ht="11.25" customHeight="1" outlineLevel="1">
      <c r="B5510" s="1569" t="s">
        <v>6495</v>
      </c>
      <c r="C5510" s="1566" t="s">
        <v>2414</v>
      </c>
      <c r="D5510" s="1566" t="s">
        <v>6494</v>
      </c>
      <c r="E5510" s="1566" t="s">
        <v>2219</v>
      </c>
      <c r="F5510" s="1566" t="s">
        <v>2912</v>
      </c>
      <c r="G5510" s="1566" t="s">
        <v>6491</v>
      </c>
      <c r="H5510" s="1568">
        <v>1</v>
      </c>
      <c r="I5510" s="1566"/>
      <c r="J5510" s="1566"/>
      <c r="K5510" s="1565">
        <v>12118</v>
      </c>
      <c r="L5510" s="1565">
        <v>12118</v>
      </c>
      <c r="M5510" s="1564"/>
      <c r="N5510" s="1565">
        <v>12118</v>
      </c>
      <c r="O5510" s="1565">
        <v>10098.299999999999</v>
      </c>
      <c r="P5510" s="1564"/>
      <c r="Q5510" s="1565">
        <v>2019.7</v>
      </c>
      <c r="R5510" s="1565">
        <v>2019.7</v>
      </c>
      <c r="S5510" s="1562"/>
    </row>
    <row r="5511" spans="2:19" ht="11.25" customHeight="1" outlineLevel="1">
      <c r="B5511" s="1569" t="s">
        <v>6493</v>
      </c>
      <c r="C5511" s="1566" t="s">
        <v>2414</v>
      </c>
      <c r="D5511" s="1566" t="s">
        <v>6492</v>
      </c>
      <c r="E5511" s="1566" t="s">
        <v>2219</v>
      </c>
      <c r="F5511" s="1566" t="s">
        <v>2912</v>
      </c>
      <c r="G5511" s="1566" t="s">
        <v>6491</v>
      </c>
      <c r="H5511" s="1568">
        <v>1</v>
      </c>
      <c r="I5511" s="1571">
        <v>66</v>
      </c>
      <c r="J5511" s="1566"/>
      <c r="K5511" s="1565">
        <v>7873.96</v>
      </c>
      <c r="L5511" s="1565">
        <v>7873.96</v>
      </c>
      <c r="M5511" s="1564"/>
      <c r="N5511" s="1565">
        <v>7873.96</v>
      </c>
      <c r="O5511" s="1565">
        <v>6561.64</v>
      </c>
      <c r="P5511" s="1564"/>
      <c r="Q5511" s="1565">
        <v>1312.32</v>
      </c>
      <c r="R5511" s="1565">
        <v>1312.32</v>
      </c>
      <c r="S5511" s="1562"/>
    </row>
    <row r="5512" spans="2:19" ht="21.75" customHeight="1" outlineLevel="1">
      <c r="B5512" s="1569" t="s">
        <v>6490</v>
      </c>
      <c r="C5512" s="1566" t="s">
        <v>2414</v>
      </c>
      <c r="D5512" s="1566" t="s">
        <v>6489</v>
      </c>
      <c r="E5512" s="1566" t="s">
        <v>2219</v>
      </c>
      <c r="F5512" s="1566" t="s">
        <v>2912</v>
      </c>
      <c r="G5512" s="1566" t="s">
        <v>6488</v>
      </c>
      <c r="H5512" s="1568">
        <v>1</v>
      </c>
      <c r="I5512" s="1571">
        <v>71</v>
      </c>
      <c r="J5512" s="1566"/>
      <c r="K5512" s="1565">
        <v>41184.83</v>
      </c>
      <c r="L5512" s="1565">
        <v>41184.83</v>
      </c>
      <c r="M5512" s="1564"/>
      <c r="N5512" s="1565">
        <v>41184.83</v>
      </c>
      <c r="O5512" s="1565">
        <v>34320.71</v>
      </c>
      <c r="P5512" s="1564"/>
      <c r="Q5512" s="1565">
        <v>6864.12</v>
      </c>
      <c r="R5512" s="1565">
        <v>6864.12</v>
      </c>
      <c r="S5512" s="1562"/>
    </row>
    <row r="5513" spans="2:19" ht="21.75" customHeight="1" outlineLevel="1">
      <c r="B5513" s="1569" t="s">
        <v>6487</v>
      </c>
      <c r="C5513" s="1566" t="s">
        <v>2414</v>
      </c>
      <c r="D5513" s="1566" t="s">
        <v>6486</v>
      </c>
      <c r="E5513" s="1566" t="s">
        <v>2219</v>
      </c>
      <c r="F5513" s="1566" t="s">
        <v>2912</v>
      </c>
      <c r="G5513" s="1566" t="s">
        <v>6485</v>
      </c>
      <c r="H5513" s="1568">
        <v>1</v>
      </c>
      <c r="I5513" s="1571">
        <v>7</v>
      </c>
      <c r="J5513" s="1566"/>
      <c r="K5513" s="1572">
        <v>835.12</v>
      </c>
      <c r="L5513" s="1572">
        <v>835.12</v>
      </c>
      <c r="M5513" s="1564"/>
      <c r="N5513" s="1572">
        <v>835.12</v>
      </c>
      <c r="O5513" s="1572">
        <v>695.92</v>
      </c>
      <c r="P5513" s="1564"/>
      <c r="Q5513" s="1572">
        <v>139.19999999999999</v>
      </c>
      <c r="R5513" s="1572">
        <v>139.19999999999999</v>
      </c>
      <c r="S5513" s="1562"/>
    </row>
    <row r="5514" spans="2:19" ht="21.75" customHeight="1" outlineLevel="1">
      <c r="B5514" s="1569" t="s">
        <v>6484</v>
      </c>
      <c r="C5514" s="1566" t="s">
        <v>2414</v>
      </c>
      <c r="D5514" s="1566" t="s">
        <v>6483</v>
      </c>
      <c r="E5514" s="1566" t="s">
        <v>2219</v>
      </c>
      <c r="F5514" s="1566" t="s">
        <v>6479</v>
      </c>
      <c r="G5514" s="1566" t="s">
        <v>6482</v>
      </c>
      <c r="H5514" s="1568">
        <v>1</v>
      </c>
      <c r="I5514" s="1571">
        <v>2056</v>
      </c>
      <c r="J5514" s="1566"/>
      <c r="K5514" s="1565">
        <v>1590159.74</v>
      </c>
      <c r="L5514" s="1565">
        <v>1590159.74</v>
      </c>
      <c r="M5514" s="1564"/>
      <c r="N5514" s="1565">
        <v>1590159.74</v>
      </c>
      <c r="O5514" s="1565">
        <v>1413475.34</v>
      </c>
      <c r="P5514" s="1564"/>
      <c r="Q5514" s="1565">
        <v>176684.4</v>
      </c>
      <c r="R5514" s="1565">
        <v>176684.4</v>
      </c>
      <c r="S5514" s="1562"/>
    </row>
    <row r="5515" spans="2:19" ht="21.75" customHeight="1" outlineLevel="1">
      <c r="B5515" s="1569" t="s">
        <v>6481</v>
      </c>
      <c r="C5515" s="1566" t="s">
        <v>2414</v>
      </c>
      <c r="D5515" s="1566" t="s">
        <v>6480</v>
      </c>
      <c r="E5515" s="1566" t="s">
        <v>2219</v>
      </c>
      <c r="F5515" s="1566" t="s">
        <v>6479</v>
      </c>
      <c r="G5515" s="1566" t="s">
        <v>6478</v>
      </c>
      <c r="H5515" s="1568">
        <v>1</v>
      </c>
      <c r="I5515" s="1571">
        <v>68</v>
      </c>
      <c r="J5515" s="1566"/>
      <c r="K5515" s="1565">
        <v>8112.56</v>
      </c>
      <c r="L5515" s="1565">
        <v>8112.56</v>
      </c>
      <c r="M5515" s="1564"/>
      <c r="N5515" s="1565">
        <v>8112.56</v>
      </c>
      <c r="O5515" s="1565">
        <v>7211.12</v>
      </c>
      <c r="P5515" s="1564"/>
      <c r="Q5515" s="1572">
        <v>901.44</v>
      </c>
      <c r="R5515" s="1572">
        <v>901.44</v>
      </c>
      <c r="S5515" s="1562"/>
    </row>
    <row r="5516" spans="2:19" ht="21.75" customHeight="1" outlineLevel="1">
      <c r="B5516" s="1569" t="s">
        <v>6477</v>
      </c>
      <c r="C5516" s="1566" t="s">
        <v>2414</v>
      </c>
      <c r="D5516" s="1566" t="s">
        <v>6476</v>
      </c>
      <c r="E5516" s="1566" t="s">
        <v>2219</v>
      </c>
      <c r="F5516" s="1566" t="s">
        <v>2899</v>
      </c>
      <c r="G5516" s="1566"/>
      <c r="H5516" s="1568">
        <v>1</v>
      </c>
      <c r="I5516" s="1571">
        <v>8</v>
      </c>
      <c r="J5516" s="1566"/>
      <c r="K5516" s="1565">
        <v>1082.79</v>
      </c>
      <c r="L5516" s="1565">
        <v>1082.79</v>
      </c>
      <c r="M5516" s="1564"/>
      <c r="N5516" s="1565">
        <v>1082.79</v>
      </c>
      <c r="O5516" s="1572">
        <v>962.43</v>
      </c>
      <c r="P5516" s="1564"/>
      <c r="Q5516" s="1572">
        <v>120.36</v>
      </c>
      <c r="R5516" s="1572">
        <v>120.36</v>
      </c>
      <c r="S5516" s="1562"/>
    </row>
    <row r="5517" spans="2:19" ht="21.75" customHeight="1" outlineLevel="1">
      <c r="B5517" s="1569" t="s">
        <v>6475</v>
      </c>
      <c r="C5517" s="1566" t="s">
        <v>2414</v>
      </c>
      <c r="D5517" s="1566" t="s">
        <v>6474</v>
      </c>
      <c r="E5517" s="1566" t="s">
        <v>2219</v>
      </c>
      <c r="F5517" s="1566" t="s">
        <v>2892</v>
      </c>
      <c r="G5517" s="1566"/>
      <c r="H5517" s="1568">
        <v>1</v>
      </c>
      <c r="I5517" s="1571">
        <v>24</v>
      </c>
      <c r="J5517" s="1566"/>
      <c r="K5517" s="1565">
        <v>6496.76</v>
      </c>
      <c r="L5517" s="1565">
        <v>6496.76</v>
      </c>
      <c r="M5517" s="1564"/>
      <c r="N5517" s="1565">
        <v>6496.76</v>
      </c>
      <c r="O5517" s="1565">
        <v>5774.88</v>
      </c>
      <c r="P5517" s="1564"/>
      <c r="Q5517" s="1572">
        <v>721.88</v>
      </c>
      <c r="R5517" s="1572">
        <v>721.88</v>
      </c>
      <c r="S5517" s="1562"/>
    </row>
    <row r="5518" spans="2:19" ht="21.75" customHeight="1" outlineLevel="1">
      <c r="B5518" s="1569" t="s">
        <v>6473</v>
      </c>
      <c r="C5518" s="1566" t="s">
        <v>2414</v>
      </c>
      <c r="D5518" s="1566" t="s">
        <v>6472</v>
      </c>
      <c r="E5518" s="1566" t="s">
        <v>2219</v>
      </c>
      <c r="F5518" s="1566" t="s">
        <v>2892</v>
      </c>
      <c r="G5518" s="1566"/>
      <c r="H5518" s="1568">
        <v>1</v>
      </c>
      <c r="I5518" s="1570">
        <v>17.2</v>
      </c>
      <c r="J5518" s="1566"/>
      <c r="K5518" s="1565">
        <v>6984.02</v>
      </c>
      <c r="L5518" s="1565">
        <v>6984.02</v>
      </c>
      <c r="M5518" s="1564"/>
      <c r="N5518" s="1565">
        <v>6984.02</v>
      </c>
      <c r="O5518" s="1565">
        <v>6207.98</v>
      </c>
      <c r="P5518" s="1564"/>
      <c r="Q5518" s="1572">
        <v>776.04</v>
      </c>
      <c r="R5518" s="1572">
        <v>776.04</v>
      </c>
      <c r="S5518" s="1562"/>
    </row>
    <row r="5519" spans="2:19" ht="21.75" customHeight="1" outlineLevel="1">
      <c r="B5519" s="1569" t="s">
        <v>6471</v>
      </c>
      <c r="C5519" s="1566" t="s">
        <v>2414</v>
      </c>
      <c r="D5519" s="1566" t="s">
        <v>6470</v>
      </c>
      <c r="E5519" s="1566" t="s">
        <v>2219</v>
      </c>
      <c r="F5519" s="1566" t="s">
        <v>2892</v>
      </c>
      <c r="G5519" s="1566"/>
      <c r="H5519" s="1568">
        <v>1</v>
      </c>
      <c r="I5519" s="1571">
        <v>35</v>
      </c>
      <c r="J5519" s="1566"/>
      <c r="K5519" s="1565">
        <v>4737.22</v>
      </c>
      <c r="L5519" s="1565">
        <v>4737.22</v>
      </c>
      <c r="M5519" s="1564"/>
      <c r="N5519" s="1565">
        <v>4737.22</v>
      </c>
      <c r="O5519" s="1565">
        <v>4210.8999999999996</v>
      </c>
      <c r="P5519" s="1564"/>
      <c r="Q5519" s="1572">
        <v>526.32000000000005</v>
      </c>
      <c r="R5519" s="1572">
        <v>526.32000000000005</v>
      </c>
      <c r="S5519" s="1562"/>
    </row>
    <row r="5520" spans="2:19" ht="21.75" customHeight="1" outlineLevel="1">
      <c r="B5520" s="1569" t="s">
        <v>6469</v>
      </c>
      <c r="C5520" s="1566" t="s">
        <v>2414</v>
      </c>
      <c r="D5520" s="1566" t="s">
        <v>6468</v>
      </c>
      <c r="E5520" s="1566" t="s">
        <v>2219</v>
      </c>
      <c r="F5520" s="1566" t="s">
        <v>2892</v>
      </c>
      <c r="G5520" s="1566"/>
      <c r="H5520" s="1568">
        <v>1</v>
      </c>
      <c r="I5520" s="1571">
        <v>9</v>
      </c>
      <c r="J5520" s="1566"/>
      <c r="K5520" s="1565">
        <v>2436.29</v>
      </c>
      <c r="L5520" s="1565">
        <v>2436.29</v>
      </c>
      <c r="M5520" s="1564"/>
      <c r="N5520" s="1565">
        <v>2436.29</v>
      </c>
      <c r="O5520" s="1565">
        <v>2165.5700000000002</v>
      </c>
      <c r="P5520" s="1564"/>
      <c r="Q5520" s="1572">
        <v>270.72000000000003</v>
      </c>
      <c r="R5520" s="1572">
        <v>270.72000000000003</v>
      </c>
      <c r="S5520" s="1562"/>
    </row>
    <row r="5521" spans="2:19" ht="11.25" customHeight="1" outlineLevel="1">
      <c r="B5521" s="1569" t="s">
        <v>6467</v>
      </c>
      <c r="C5521" s="1566" t="s">
        <v>2414</v>
      </c>
      <c r="D5521" s="1566" t="s">
        <v>6466</v>
      </c>
      <c r="E5521" s="1566" t="s">
        <v>2219</v>
      </c>
      <c r="F5521" s="1566" t="s">
        <v>2881</v>
      </c>
      <c r="G5521" s="1566"/>
      <c r="H5521" s="1568">
        <v>1</v>
      </c>
      <c r="I5521" s="1571">
        <v>15</v>
      </c>
      <c r="J5521" s="1566"/>
      <c r="K5521" s="1565">
        <v>11601.36</v>
      </c>
      <c r="L5521" s="1565">
        <v>11601.36</v>
      </c>
      <c r="M5521" s="1564"/>
      <c r="N5521" s="1565">
        <v>11601.36</v>
      </c>
      <c r="O5521" s="1565">
        <v>10312.32</v>
      </c>
      <c r="P5521" s="1564"/>
      <c r="Q5521" s="1565">
        <v>1289.04</v>
      </c>
      <c r="R5521" s="1565">
        <v>1289.04</v>
      </c>
      <c r="S5521" s="1562"/>
    </row>
    <row r="5522" spans="2:19" ht="11.25" customHeight="1" outlineLevel="1">
      <c r="B5522" s="1569" t="s">
        <v>6465</v>
      </c>
      <c r="C5522" s="1566" t="s">
        <v>2414</v>
      </c>
      <c r="D5522" s="1566" t="s">
        <v>6464</v>
      </c>
      <c r="E5522" s="1566" t="s">
        <v>2219</v>
      </c>
      <c r="F5522" s="1566" t="s">
        <v>2881</v>
      </c>
      <c r="G5522" s="1566"/>
      <c r="H5522" s="1568">
        <v>1</v>
      </c>
      <c r="I5522" s="1571">
        <v>84</v>
      </c>
      <c r="J5522" s="1566"/>
      <c r="K5522" s="1565">
        <v>11369.33</v>
      </c>
      <c r="L5522" s="1565">
        <v>11369.33</v>
      </c>
      <c r="M5522" s="1564"/>
      <c r="N5522" s="1565">
        <v>11369.33</v>
      </c>
      <c r="O5522" s="1565">
        <v>10106.09</v>
      </c>
      <c r="P5522" s="1564"/>
      <c r="Q5522" s="1565">
        <v>1263.24</v>
      </c>
      <c r="R5522" s="1565">
        <v>1263.24</v>
      </c>
      <c r="S5522" s="1562"/>
    </row>
    <row r="5523" spans="2:19" ht="11.25" customHeight="1" outlineLevel="1">
      <c r="B5523" s="1569" t="s">
        <v>6463</v>
      </c>
      <c r="C5523" s="1566" t="s">
        <v>2414</v>
      </c>
      <c r="D5523" s="1566" t="s">
        <v>6462</v>
      </c>
      <c r="E5523" s="1566" t="s">
        <v>2219</v>
      </c>
      <c r="F5523" s="1566" t="s">
        <v>6461</v>
      </c>
      <c r="G5523" s="1566"/>
      <c r="H5523" s="1568">
        <v>1</v>
      </c>
      <c r="I5523" s="1571">
        <v>54</v>
      </c>
      <c r="J5523" s="1566"/>
      <c r="K5523" s="1565">
        <v>20882.45</v>
      </c>
      <c r="L5523" s="1565">
        <v>20882.45</v>
      </c>
      <c r="M5523" s="1564"/>
      <c r="N5523" s="1565">
        <v>20882.45</v>
      </c>
      <c r="O5523" s="1565">
        <v>18562.13</v>
      </c>
      <c r="P5523" s="1564"/>
      <c r="Q5523" s="1565">
        <v>2320.3200000000002</v>
      </c>
      <c r="R5523" s="1565">
        <v>2320.3200000000002</v>
      </c>
      <c r="S5523" s="1562"/>
    </row>
    <row r="5524" spans="2:19" ht="11.25" customHeight="1" outlineLevel="1">
      <c r="B5524" s="1569" t="s">
        <v>6460</v>
      </c>
      <c r="C5524" s="1566" t="s">
        <v>2414</v>
      </c>
      <c r="D5524" s="1566" t="s">
        <v>6459</v>
      </c>
      <c r="E5524" s="1566" t="s">
        <v>2219</v>
      </c>
      <c r="F5524" s="1566" t="s">
        <v>2881</v>
      </c>
      <c r="G5524" s="1566"/>
      <c r="H5524" s="1568">
        <v>1</v>
      </c>
      <c r="I5524" s="1571">
        <v>21</v>
      </c>
      <c r="J5524" s="1566"/>
      <c r="K5524" s="1565">
        <v>8120.95</v>
      </c>
      <c r="L5524" s="1565">
        <v>8120.95</v>
      </c>
      <c r="M5524" s="1564"/>
      <c r="N5524" s="1565">
        <v>8120.95</v>
      </c>
      <c r="O5524" s="1565">
        <v>7218.67</v>
      </c>
      <c r="P5524" s="1564"/>
      <c r="Q5524" s="1572">
        <v>902.28</v>
      </c>
      <c r="R5524" s="1572">
        <v>902.28</v>
      </c>
      <c r="S5524" s="1562"/>
    </row>
    <row r="5525" spans="2:19" ht="21.75" customHeight="1" outlineLevel="1">
      <c r="B5525" s="1569" t="s">
        <v>6458</v>
      </c>
      <c r="C5525" s="1566" t="s">
        <v>2414</v>
      </c>
      <c r="D5525" s="1566" t="s">
        <v>6457</v>
      </c>
      <c r="E5525" s="1566" t="s">
        <v>2219</v>
      </c>
      <c r="F5525" s="1566" t="s">
        <v>2881</v>
      </c>
      <c r="G5525" s="1566"/>
      <c r="H5525" s="1568">
        <v>1</v>
      </c>
      <c r="I5525" s="1571">
        <v>37</v>
      </c>
      <c r="J5525" s="1566"/>
      <c r="K5525" s="1565">
        <v>10015.84</v>
      </c>
      <c r="L5525" s="1565">
        <v>10015.84</v>
      </c>
      <c r="M5525" s="1564"/>
      <c r="N5525" s="1565">
        <v>10015.84</v>
      </c>
      <c r="O5525" s="1565">
        <v>8902.9599999999991</v>
      </c>
      <c r="P5525" s="1564"/>
      <c r="Q5525" s="1565">
        <v>1112.8800000000001</v>
      </c>
      <c r="R5525" s="1565">
        <v>1112.8800000000001</v>
      </c>
      <c r="S5525" s="1562"/>
    </row>
    <row r="5526" spans="2:19" ht="11.25" customHeight="1" outlineLevel="1">
      <c r="B5526" s="1569" t="s">
        <v>6456</v>
      </c>
      <c r="C5526" s="1566" t="s">
        <v>2414</v>
      </c>
      <c r="D5526" s="1566" t="s">
        <v>6455</v>
      </c>
      <c r="E5526" s="1566" t="s">
        <v>2219</v>
      </c>
      <c r="F5526" s="1566" t="s">
        <v>2881</v>
      </c>
      <c r="G5526" s="1566"/>
      <c r="H5526" s="1568">
        <v>1</v>
      </c>
      <c r="I5526" s="1571">
        <v>10</v>
      </c>
      <c r="J5526" s="1566"/>
      <c r="K5526" s="1565">
        <v>2706.98</v>
      </c>
      <c r="L5526" s="1565">
        <v>2706.98</v>
      </c>
      <c r="M5526" s="1564"/>
      <c r="N5526" s="1565">
        <v>2706.98</v>
      </c>
      <c r="O5526" s="1565">
        <v>2406.2399999999998</v>
      </c>
      <c r="P5526" s="1564"/>
      <c r="Q5526" s="1572">
        <v>300.74</v>
      </c>
      <c r="R5526" s="1572">
        <v>300.74</v>
      </c>
      <c r="S5526" s="1562"/>
    </row>
    <row r="5527" spans="2:19" ht="21.75" customHeight="1" outlineLevel="1">
      <c r="B5527" s="1569" t="s">
        <v>6454</v>
      </c>
      <c r="C5527" s="1566" t="s">
        <v>2414</v>
      </c>
      <c r="D5527" s="1566" t="s">
        <v>6453</v>
      </c>
      <c r="E5527" s="1566" t="s">
        <v>2219</v>
      </c>
      <c r="F5527" s="1566" t="s">
        <v>2881</v>
      </c>
      <c r="G5527" s="1566"/>
      <c r="H5527" s="1568">
        <v>1</v>
      </c>
      <c r="I5527" s="1571">
        <v>33</v>
      </c>
      <c r="J5527" s="1566"/>
      <c r="K5527" s="1565">
        <v>8933.0499999999993</v>
      </c>
      <c r="L5527" s="1565">
        <v>8933.0499999999993</v>
      </c>
      <c r="M5527" s="1564"/>
      <c r="N5527" s="1565">
        <v>8933.0499999999993</v>
      </c>
      <c r="O5527" s="1565">
        <v>7940.53</v>
      </c>
      <c r="P5527" s="1564"/>
      <c r="Q5527" s="1572">
        <v>992.52</v>
      </c>
      <c r="R5527" s="1572">
        <v>992.52</v>
      </c>
      <c r="S5527" s="1562"/>
    </row>
    <row r="5528" spans="2:19" ht="11.25" customHeight="1" outlineLevel="1">
      <c r="B5528" s="1569" t="s">
        <v>6452</v>
      </c>
      <c r="C5528" s="1566" t="s">
        <v>2414</v>
      </c>
      <c r="D5528" s="1566" t="s">
        <v>6451</v>
      </c>
      <c r="E5528" s="1566" t="s">
        <v>2219</v>
      </c>
      <c r="F5528" s="1566" t="s">
        <v>2881</v>
      </c>
      <c r="G5528" s="1566"/>
      <c r="H5528" s="1568">
        <v>1</v>
      </c>
      <c r="I5528" s="1571">
        <v>27</v>
      </c>
      <c r="J5528" s="1566"/>
      <c r="K5528" s="1565">
        <v>7308.86</v>
      </c>
      <c r="L5528" s="1565">
        <v>7308.86</v>
      </c>
      <c r="M5528" s="1564"/>
      <c r="N5528" s="1565">
        <v>7308.86</v>
      </c>
      <c r="O5528" s="1565">
        <v>6496.8</v>
      </c>
      <c r="P5528" s="1564"/>
      <c r="Q5528" s="1572">
        <v>812.06</v>
      </c>
      <c r="R5528" s="1572">
        <v>812.06</v>
      </c>
      <c r="S5528" s="1562"/>
    </row>
    <row r="5529" spans="2:19" ht="21.75" customHeight="1" outlineLevel="1">
      <c r="B5529" s="1569" t="s">
        <v>6450</v>
      </c>
      <c r="C5529" s="1566" t="s">
        <v>2414</v>
      </c>
      <c r="D5529" s="1566" t="s">
        <v>6449</v>
      </c>
      <c r="E5529" s="1566" t="s">
        <v>2219</v>
      </c>
      <c r="F5529" s="1566" t="s">
        <v>2881</v>
      </c>
      <c r="G5529" s="1566"/>
      <c r="H5529" s="1568">
        <v>1</v>
      </c>
      <c r="I5529" s="1571">
        <v>10</v>
      </c>
      <c r="J5529" s="1566"/>
      <c r="K5529" s="1565">
        <v>1704.32</v>
      </c>
      <c r="L5529" s="1565">
        <v>1704.32</v>
      </c>
      <c r="M5529" s="1564"/>
      <c r="N5529" s="1565">
        <v>1704.32</v>
      </c>
      <c r="O5529" s="1565">
        <v>1514.96</v>
      </c>
      <c r="P5529" s="1564"/>
      <c r="Q5529" s="1572">
        <v>189.36</v>
      </c>
      <c r="R5529" s="1572">
        <v>189.36</v>
      </c>
      <c r="S5529" s="1562"/>
    </row>
    <row r="5530" spans="2:19" ht="11.25" customHeight="1" outlineLevel="1">
      <c r="B5530" s="1569" t="s">
        <v>6448</v>
      </c>
      <c r="C5530" s="1566" t="s">
        <v>2414</v>
      </c>
      <c r="D5530" s="1566" t="s">
        <v>6447</v>
      </c>
      <c r="E5530" s="1566" t="s">
        <v>2219</v>
      </c>
      <c r="F5530" s="1566" t="s">
        <v>2881</v>
      </c>
      <c r="G5530" s="1566"/>
      <c r="H5530" s="1568">
        <v>1</v>
      </c>
      <c r="I5530" s="1571">
        <v>14</v>
      </c>
      <c r="J5530" s="1566"/>
      <c r="K5530" s="1565">
        <v>7579.56</v>
      </c>
      <c r="L5530" s="1565">
        <v>7579.56</v>
      </c>
      <c r="M5530" s="1564"/>
      <c r="N5530" s="1565">
        <v>7579.56</v>
      </c>
      <c r="O5530" s="1565">
        <v>6737.4</v>
      </c>
      <c r="P5530" s="1564"/>
      <c r="Q5530" s="1572">
        <v>842.16</v>
      </c>
      <c r="R5530" s="1572">
        <v>842.16</v>
      </c>
      <c r="S5530" s="1562"/>
    </row>
    <row r="5531" spans="2:19" ht="11.25" customHeight="1" outlineLevel="1">
      <c r="B5531" s="1569" t="s">
        <v>6446</v>
      </c>
      <c r="C5531" s="1566" t="s">
        <v>2414</v>
      </c>
      <c r="D5531" s="1566" t="s">
        <v>6445</v>
      </c>
      <c r="E5531" s="1566" t="s">
        <v>2219</v>
      </c>
      <c r="F5531" s="1566" t="s">
        <v>2881</v>
      </c>
      <c r="G5531" s="1566"/>
      <c r="H5531" s="1568">
        <v>1</v>
      </c>
      <c r="I5531" s="1571">
        <v>22</v>
      </c>
      <c r="J5531" s="1566"/>
      <c r="K5531" s="1565">
        <v>11910.73</v>
      </c>
      <c r="L5531" s="1565">
        <v>11910.73</v>
      </c>
      <c r="M5531" s="1564"/>
      <c r="N5531" s="1565">
        <v>11910.73</v>
      </c>
      <c r="O5531" s="1565">
        <v>10587.36</v>
      </c>
      <c r="P5531" s="1564"/>
      <c r="Q5531" s="1565">
        <v>1323.37</v>
      </c>
      <c r="R5531" s="1565">
        <v>1323.37</v>
      </c>
      <c r="S5531" s="1562"/>
    </row>
    <row r="5532" spans="2:19" ht="11.25" customHeight="1" outlineLevel="1">
      <c r="B5532" s="1569" t="s">
        <v>6444</v>
      </c>
      <c r="C5532" s="1566" t="s">
        <v>2414</v>
      </c>
      <c r="D5532" s="1566" t="s">
        <v>6443</v>
      </c>
      <c r="E5532" s="1566" t="s">
        <v>2219</v>
      </c>
      <c r="F5532" s="1566" t="s">
        <v>2881</v>
      </c>
      <c r="G5532" s="1566"/>
      <c r="H5532" s="1568">
        <v>1</v>
      </c>
      <c r="I5532" s="1571">
        <v>3</v>
      </c>
      <c r="J5532" s="1566"/>
      <c r="K5532" s="1565">
        <v>2320.27</v>
      </c>
      <c r="L5532" s="1565">
        <v>2320.27</v>
      </c>
      <c r="M5532" s="1564"/>
      <c r="N5532" s="1565">
        <v>2320.27</v>
      </c>
      <c r="O5532" s="1565">
        <v>2062.5100000000002</v>
      </c>
      <c r="P5532" s="1564"/>
      <c r="Q5532" s="1572">
        <v>257.76</v>
      </c>
      <c r="R5532" s="1572">
        <v>257.76</v>
      </c>
      <c r="S5532" s="1562"/>
    </row>
    <row r="5533" spans="2:19" ht="11.25" customHeight="1" outlineLevel="1">
      <c r="B5533" s="1569" t="s">
        <v>6442</v>
      </c>
      <c r="C5533" s="1566" t="s">
        <v>2414</v>
      </c>
      <c r="D5533" s="1566" t="s">
        <v>6441</v>
      </c>
      <c r="E5533" s="1566" t="s">
        <v>2219</v>
      </c>
      <c r="F5533" s="1566" t="s">
        <v>6440</v>
      </c>
      <c r="G5533" s="1566"/>
      <c r="H5533" s="1568">
        <v>1</v>
      </c>
      <c r="I5533" s="1571">
        <v>15</v>
      </c>
      <c r="J5533" s="1566"/>
      <c r="K5533" s="1565">
        <v>11601.36</v>
      </c>
      <c r="L5533" s="1565">
        <v>11601.36</v>
      </c>
      <c r="M5533" s="1564"/>
      <c r="N5533" s="1565">
        <v>11601.36</v>
      </c>
      <c r="O5533" s="1565">
        <v>10312.32</v>
      </c>
      <c r="P5533" s="1564"/>
      <c r="Q5533" s="1565">
        <v>1289.04</v>
      </c>
      <c r="R5533" s="1565">
        <v>1289.04</v>
      </c>
      <c r="S5533" s="1562"/>
    </row>
    <row r="5534" spans="2:19" ht="11.25" customHeight="1" outlineLevel="1">
      <c r="B5534" s="1569" t="s">
        <v>6439</v>
      </c>
      <c r="C5534" s="1566" t="s">
        <v>2414</v>
      </c>
      <c r="D5534" s="1566" t="s">
        <v>6438</v>
      </c>
      <c r="E5534" s="1566" t="s">
        <v>2219</v>
      </c>
      <c r="F5534" s="1566" t="s">
        <v>2881</v>
      </c>
      <c r="G5534" s="1566"/>
      <c r="H5534" s="1568">
        <v>1</v>
      </c>
      <c r="I5534" s="1571">
        <v>29</v>
      </c>
      <c r="J5534" s="1566"/>
      <c r="K5534" s="1565">
        <v>7850.25</v>
      </c>
      <c r="L5534" s="1565">
        <v>7850.25</v>
      </c>
      <c r="M5534" s="1564"/>
      <c r="N5534" s="1565">
        <v>7850.25</v>
      </c>
      <c r="O5534" s="1565">
        <v>6977.97</v>
      </c>
      <c r="P5534" s="1564"/>
      <c r="Q5534" s="1572">
        <v>872.28</v>
      </c>
      <c r="R5534" s="1572">
        <v>872.28</v>
      </c>
      <c r="S5534" s="1562"/>
    </row>
    <row r="5535" spans="2:19" ht="11.25" customHeight="1" outlineLevel="1">
      <c r="B5535" s="1569" t="s">
        <v>6437</v>
      </c>
      <c r="C5535" s="1566" t="s">
        <v>2414</v>
      </c>
      <c r="D5535" s="1566" t="s">
        <v>6436</v>
      </c>
      <c r="E5535" s="1566" t="s">
        <v>2219</v>
      </c>
      <c r="F5535" s="1566" t="s">
        <v>2860</v>
      </c>
      <c r="G5535" s="1566"/>
      <c r="H5535" s="1568">
        <v>1</v>
      </c>
      <c r="I5535" s="1571">
        <v>25</v>
      </c>
      <c r="J5535" s="1566"/>
      <c r="K5535" s="1565">
        <v>9667.7999999999993</v>
      </c>
      <c r="L5535" s="1565">
        <v>9667.7999999999993</v>
      </c>
      <c r="M5535" s="1564"/>
      <c r="N5535" s="1565">
        <v>9667.7999999999993</v>
      </c>
      <c r="O5535" s="1565">
        <v>8593.56</v>
      </c>
      <c r="P5535" s="1564"/>
      <c r="Q5535" s="1565">
        <v>1074.24</v>
      </c>
      <c r="R5535" s="1565">
        <v>1074.24</v>
      </c>
      <c r="S5535" s="1562"/>
    </row>
    <row r="5536" spans="2:19" ht="21.75" customHeight="1" outlineLevel="1">
      <c r="B5536" s="1569" t="s">
        <v>6435</v>
      </c>
      <c r="C5536" s="1566" t="s">
        <v>2414</v>
      </c>
      <c r="D5536" s="1566" t="s">
        <v>6434</v>
      </c>
      <c r="E5536" s="1566" t="s">
        <v>2219</v>
      </c>
      <c r="F5536" s="1566" t="s">
        <v>2860</v>
      </c>
      <c r="G5536" s="1566"/>
      <c r="H5536" s="1568">
        <v>1</v>
      </c>
      <c r="I5536" s="1571">
        <v>113</v>
      </c>
      <c r="J5536" s="1566"/>
      <c r="K5536" s="1565">
        <v>87396.91</v>
      </c>
      <c r="L5536" s="1565">
        <v>87396.91</v>
      </c>
      <c r="M5536" s="1564"/>
      <c r="N5536" s="1565">
        <v>87396.91</v>
      </c>
      <c r="O5536" s="1565">
        <v>77686.149999999994</v>
      </c>
      <c r="P5536" s="1564"/>
      <c r="Q5536" s="1565">
        <v>9710.76</v>
      </c>
      <c r="R5536" s="1565">
        <v>9710.76</v>
      </c>
      <c r="S5536" s="1562"/>
    </row>
    <row r="5537" spans="2:19" ht="21.75" customHeight="1" outlineLevel="1">
      <c r="B5537" s="1569" t="s">
        <v>6433</v>
      </c>
      <c r="C5537" s="1566" t="s">
        <v>2414</v>
      </c>
      <c r="D5537" s="1566" t="s">
        <v>6432</v>
      </c>
      <c r="E5537" s="1566" t="s">
        <v>2219</v>
      </c>
      <c r="F5537" s="1566" t="s">
        <v>2860</v>
      </c>
      <c r="G5537" s="1566"/>
      <c r="H5537" s="1568">
        <v>1</v>
      </c>
      <c r="I5537" s="1571">
        <v>22</v>
      </c>
      <c r="J5537" s="1566"/>
      <c r="K5537" s="1565">
        <v>8507.66</v>
      </c>
      <c r="L5537" s="1565">
        <v>8507.66</v>
      </c>
      <c r="M5537" s="1564"/>
      <c r="N5537" s="1565">
        <v>8507.66</v>
      </c>
      <c r="O5537" s="1565">
        <v>7562.4</v>
      </c>
      <c r="P5537" s="1564"/>
      <c r="Q5537" s="1572">
        <v>945.26</v>
      </c>
      <c r="R5537" s="1572">
        <v>945.26</v>
      </c>
      <c r="S5537" s="1562"/>
    </row>
    <row r="5538" spans="2:19" ht="21.75" customHeight="1" outlineLevel="1">
      <c r="B5538" s="1569" t="s">
        <v>6431</v>
      </c>
      <c r="C5538" s="1566" t="s">
        <v>2414</v>
      </c>
      <c r="D5538" s="1566" t="s">
        <v>6430</v>
      </c>
      <c r="E5538" s="1566" t="s">
        <v>2219</v>
      </c>
      <c r="F5538" s="1566" t="s">
        <v>2860</v>
      </c>
      <c r="G5538" s="1566"/>
      <c r="H5538" s="1568">
        <v>1</v>
      </c>
      <c r="I5538" s="1571">
        <v>45</v>
      </c>
      <c r="J5538" s="1566"/>
      <c r="K5538" s="1565">
        <v>17402.04</v>
      </c>
      <c r="L5538" s="1565">
        <v>17402.04</v>
      </c>
      <c r="M5538" s="1564"/>
      <c r="N5538" s="1565">
        <v>17402.04</v>
      </c>
      <c r="O5538" s="1565">
        <v>15468.48</v>
      </c>
      <c r="P5538" s="1564"/>
      <c r="Q5538" s="1565">
        <v>1933.56</v>
      </c>
      <c r="R5538" s="1565">
        <v>1933.56</v>
      </c>
      <c r="S5538" s="1562"/>
    </row>
    <row r="5539" spans="2:19" ht="21.75" customHeight="1" outlineLevel="1">
      <c r="B5539" s="1569" t="s">
        <v>6429</v>
      </c>
      <c r="C5539" s="1566" t="s">
        <v>2414</v>
      </c>
      <c r="D5539" s="1566" t="s">
        <v>6428</v>
      </c>
      <c r="E5539" s="1566" t="s">
        <v>2219</v>
      </c>
      <c r="F5539" s="1566" t="s">
        <v>2860</v>
      </c>
      <c r="G5539" s="1566"/>
      <c r="H5539" s="1568">
        <v>1</v>
      </c>
      <c r="I5539" s="1571">
        <v>49</v>
      </c>
      <c r="J5539" s="1566"/>
      <c r="K5539" s="1565">
        <v>6632.11</v>
      </c>
      <c r="L5539" s="1565">
        <v>6632.11</v>
      </c>
      <c r="M5539" s="1564"/>
      <c r="N5539" s="1565">
        <v>6632.11</v>
      </c>
      <c r="O5539" s="1565">
        <v>5895.19</v>
      </c>
      <c r="P5539" s="1564"/>
      <c r="Q5539" s="1572">
        <v>736.92</v>
      </c>
      <c r="R5539" s="1572">
        <v>736.92</v>
      </c>
      <c r="S5539" s="1562"/>
    </row>
    <row r="5540" spans="2:19" ht="21.75" customHeight="1" outlineLevel="1">
      <c r="B5540" s="1569" t="s">
        <v>6427</v>
      </c>
      <c r="C5540" s="1566" t="s">
        <v>2414</v>
      </c>
      <c r="D5540" s="1566" t="s">
        <v>6426</v>
      </c>
      <c r="E5540" s="1566" t="s">
        <v>2219</v>
      </c>
      <c r="F5540" s="1566" t="s">
        <v>2860</v>
      </c>
      <c r="G5540" s="1566"/>
      <c r="H5540" s="1568">
        <v>1</v>
      </c>
      <c r="I5540" s="1571">
        <v>6</v>
      </c>
      <c r="J5540" s="1566"/>
      <c r="K5540" s="1565">
        <v>1160.1400000000001</v>
      </c>
      <c r="L5540" s="1565">
        <v>1160.1400000000001</v>
      </c>
      <c r="M5540" s="1564"/>
      <c r="N5540" s="1565">
        <v>1160.1400000000001</v>
      </c>
      <c r="O5540" s="1565">
        <v>1031.26</v>
      </c>
      <c r="P5540" s="1564"/>
      <c r="Q5540" s="1572">
        <v>128.88</v>
      </c>
      <c r="R5540" s="1572">
        <v>128.88</v>
      </c>
      <c r="S5540" s="1562"/>
    </row>
    <row r="5541" spans="2:19" ht="11.25" customHeight="1" outlineLevel="1">
      <c r="B5541" s="1569" t="s">
        <v>6425</v>
      </c>
      <c r="C5541" s="1566" t="s">
        <v>2414</v>
      </c>
      <c r="D5541" s="1566" t="s">
        <v>6424</v>
      </c>
      <c r="E5541" s="1566" t="s">
        <v>2219</v>
      </c>
      <c r="F5541" s="1566" t="s">
        <v>2860</v>
      </c>
      <c r="G5541" s="1566"/>
      <c r="H5541" s="1568">
        <v>1</v>
      </c>
      <c r="I5541" s="1571">
        <v>19</v>
      </c>
      <c r="J5541" s="1566"/>
      <c r="K5541" s="1565">
        <v>5143.2700000000004</v>
      </c>
      <c r="L5541" s="1565">
        <v>5143.2700000000004</v>
      </c>
      <c r="M5541" s="1564"/>
      <c r="N5541" s="1565">
        <v>5143.2700000000004</v>
      </c>
      <c r="O5541" s="1565">
        <v>4571.83</v>
      </c>
      <c r="P5541" s="1564"/>
      <c r="Q5541" s="1572">
        <v>571.44000000000005</v>
      </c>
      <c r="R5541" s="1572">
        <v>571.44000000000005</v>
      </c>
      <c r="S5541" s="1562"/>
    </row>
    <row r="5542" spans="2:19" ht="11.25" customHeight="1" outlineLevel="1">
      <c r="B5542" s="1569" t="s">
        <v>6423</v>
      </c>
      <c r="C5542" s="1566" t="s">
        <v>2414</v>
      </c>
      <c r="D5542" s="1566" t="s">
        <v>6422</v>
      </c>
      <c r="E5542" s="1566" t="s">
        <v>2219</v>
      </c>
      <c r="F5542" s="1566" t="s">
        <v>2860</v>
      </c>
      <c r="G5542" s="1566"/>
      <c r="H5542" s="1568">
        <v>1</v>
      </c>
      <c r="I5542" s="1571">
        <v>43</v>
      </c>
      <c r="J5542" s="1566"/>
      <c r="K5542" s="1565">
        <v>16628.62</v>
      </c>
      <c r="L5542" s="1565">
        <v>16628.62</v>
      </c>
      <c r="M5542" s="1564"/>
      <c r="N5542" s="1565">
        <v>16628.62</v>
      </c>
      <c r="O5542" s="1565">
        <v>14780.98</v>
      </c>
      <c r="P5542" s="1564"/>
      <c r="Q5542" s="1565">
        <v>1847.64</v>
      </c>
      <c r="R5542" s="1565">
        <v>1847.64</v>
      </c>
      <c r="S5542" s="1562"/>
    </row>
    <row r="5543" spans="2:19" ht="21.75" customHeight="1" outlineLevel="1">
      <c r="B5543" s="1569" t="s">
        <v>6421</v>
      </c>
      <c r="C5543" s="1566" t="s">
        <v>2414</v>
      </c>
      <c r="D5543" s="1566" t="s">
        <v>6420</v>
      </c>
      <c r="E5543" s="1566" t="s">
        <v>2219</v>
      </c>
      <c r="F5543" s="1566" t="s">
        <v>2860</v>
      </c>
      <c r="G5543" s="1566"/>
      <c r="H5543" s="1568">
        <v>1</v>
      </c>
      <c r="I5543" s="1571">
        <v>166</v>
      </c>
      <c r="J5543" s="1566"/>
      <c r="K5543" s="1565">
        <v>56583.42</v>
      </c>
      <c r="L5543" s="1565">
        <v>56583.42</v>
      </c>
      <c r="M5543" s="1564"/>
      <c r="N5543" s="1565">
        <v>56583.42</v>
      </c>
      <c r="O5543" s="1565">
        <v>50296.38</v>
      </c>
      <c r="P5543" s="1564"/>
      <c r="Q5543" s="1565">
        <v>6287.04</v>
      </c>
      <c r="R5543" s="1565">
        <v>6287.04</v>
      </c>
      <c r="S5543" s="1562"/>
    </row>
    <row r="5544" spans="2:19" ht="11.25" customHeight="1" outlineLevel="1">
      <c r="B5544" s="1569" t="s">
        <v>6419</v>
      </c>
      <c r="C5544" s="1566" t="s">
        <v>2414</v>
      </c>
      <c r="D5544" s="1566" t="s">
        <v>6418</v>
      </c>
      <c r="E5544" s="1566" t="s">
        <v>2219</v>
      </c>
      <c r="F5544" s="1566" t="s">
        <v>2860</v>
      </c>
      <c r="G5544" s="1566"/>
      <c r="H5544" s="1568">
        <v>1</v>
      </c>
      <c r="I5544" s="1571">
        <v>14</v>
      </c>
      <c r="J5544" s="1566"/>
      <c r="K5544" s="1565">
        <v>5413.97</v>
      </c>
      <c r="L5544" s="1565">
        <v>5413.97</v>
      </c>
      <c r="M5544" s="1564"/>
      <c r="N5544" s="1565">
        <v>5413.97</v>
      </c>
      <c r="O5544" s="1565">
        <v>4812.41</v>
      </c>
      <c r="P5544" s="1564"/>
      <c r="Q5544" s="1572">
        <v>601.55999999999995</v>
      </c>
      <c r="R5544" s="1572">
        <v>601.55999999999995</v>
      </c>
      <c r="S5544" s="1562"/>
    </row>
    <row r="5545" spans="2:19" ht="21.75" customHeight="1" outlineLevel="1">
      <c r="B5545" s="1569" t="s">
        <v>6417</v>
      </c>
      <c r="C5545" s="1566" t="s">
        <v>2414</v>
      </c>
      <c r="D5545" s="1566" t="s">
        <v>6416</v>
      </c>
      <c r="E5545" s="1566" t="s">
        <v>2219</v>
      </c>
      <c r="F5545" s="1566" t="s">
        <v>2833</v>
      </c>
      <c r="G5545" s="1566"/>
      <c r="H5545" s="1568">
        <v>1</v>
      </c>
      <c r="I5545" s="1571">
        <v>38</v>
      </c>
      <c r="J5545" s="1566"/>
      <c r="K5545" s="1565">
        <v>10286.540000000001</v>
      </c>
      <c r="L5545" s="1565">
        <v>10286.540000000001</v>
      </c>
      <c r="M5545" s="1564"/>
      <c r="N5545" s="1565">
        <v>10286.540000000001</v>
      </c>
      <c r="O5545" s="1565">
        <v>9143.5400000000009</v>
      </c>
      <c r="P5545" s="1564"/>
      <c r="Q5545" s="1565">
        <v>1143</v>
      </c>
      <c r="R5545" s="1565">
        <v>1143</v>
      </c>
      <c r="S5545" s="1562"/>
    </row>
    <row r="5546" spans="2:19" ht="21.75" customHeight="1" outlineLevel="1">
      <c r="B5546" s="1569" t="s">
        <v>6415</v>
      </c>
      <c r="C5546" s="1566" t="s">
        <v>2414</v>
      </c>
      <c r="D5546" s="1566" t="s">
        <v>6414</v>
      </c>
      <c r="E5546" s="1566" t="s">
        <v>2219</v>
      </c>
      <c r="F5546" s="1566" t="s">
        <v>2833</v>
      </c>
      <c r="G5546" s="1566"/>
      <c r="H5546" s="1568">
        <v>1</v>
      </c>
      <c r="I5546" s="1571">
        <v>18</v>
      </c>
      <c r="J5546" s="1566"/>
      <c r="K5546" s="1565">
        <v>4872.57</v>
      </c>
      <c r="L5546" s="1565">
        <v>4872.57</v>
      </c>
      <c r="M5546" s="1564"/>
      <c r="N5546" s="1565">
        <v>4872.57</v>
      </c>
      <c r="O5546" s="1565">
        <v>4331.13</v>
      </c>
      <c r="P5546" s="1564"/>
      <c r="Q5546" s="1572">
        <v>541.44000000000005</v>
      </c>
      <c r="R5546" s="1572">
        <v>541.44000000000005</v>
      </c>
      <c r="S5546" s="1562"/>
    </row>
    <row r="5547" spans="2:19" ht="21.75" customHeight="1" outlineLevel="1">
      <c r="B5547" s="1569" t="s">
        <v>6413</v>
      </c>
      <c r="C5547" s="1566" t="s">
        <v>2414</v>
      </c>
      <c r="D5547" s="1566" t="s">
        <v>6412</v>
      </c>
      <c r="E5547" s="1566" t="s">
        <v>2219</v>
      </c>
      <c r="F5547" s="1566" t="s">
        <v>2833</v>
      </c>
      <c r="G5547" s="1566"/>
      <c r="H5547" s="1568">
        <v>1</v>
      </c>
      <c r="I5547" s="1571">
        <v>121</v>
      </c>
      <c r="J5547" s="1566"/>
      <c r="K5547" s="1565">
        <v>46792.15</v>
      </c>
      <c r="L5547" s="1565">
        <v>46792.15</v>
      </c>
      <c r="M5547" s="1564"/>
      <c r="N5547" s="1565">
        <v>46792.15</v>
      </c>
      <c r="O5547" s="1565">
        <v>41593.03</v>
      </c>
      <c r="P5547" s="1564"/>
      <c r="Q5547" s="1565">
        <v>5199.12</v>
      </c>
      <c r="R5547" s="1565">
        <v>5199.12</v>
      </c>
      <c r="S5547" s="1562"/>
    </row>
    <row r="5548" spans="2:19" ht="21.75" customHeight="1" outlineLevel="1">
      <c r="B5548" s="1569" t="s">
        <v>6411</v>
      </c>
      <c r="C5548" s="1566" t="s">
        <v>2414</v>
      </c>
      <c r="D5548" s="1566" t="s">
        <v>6410</v>
      </c>
      <c r="E5548" s="1566" t="s">
        <v>2219</v>
      </c>
      <c r="F5548" s="1566" t="s">
        <v>2833</v>
      </c>
      <c r="G5548" s="1566"/>
      <c r="H5548" s="1568">
        <v>1</v>
      </c>
      <c r="I5548" s="1571">
        <v>19</v>
      </c>
      <c r="J5548" s="1566"/>
      <c r="K5548" s="1565">
        <v>5143.2700000000004</v>
      </c>
      <c r="L5548" s="1565">
        <v>5143.2700000000004</v>
      </c>
      <c r="M5548" s="1564"/>
      <c r="N5548" s="1565">
        <v>5143.2700000000004</v>
      </c>
      <c r="O5548" s="1565">
        <v>4571.83</v>
      </c>
      <c r="P5548" s="1564"/>
      <c r="Q5548" s="1572">
        <v>571.44000000000005</v>
      </c>
      <c r="R5548" s="1572">
        <v>571.44000000000005</v>
      </c>
      <c r="S5548" s="1562"/>
    </row>
    <row r="5549" spans="2:19" ht="21.75" customHeight="1" outlineLevel="1">
      <c r="B5549" s="1569" t="s">
        <v>6409</v>
      </c>
      <c r="C5549" s="1566" t="s">
        <v>2414</v>
      </c>
      <c r="D5549" s="1566" t="s">
        <v>6408</v>
      </c>
      <c r="E5549" s="1566" t="s">
        <v>2219</v>
      </c>
      <c r="F5549" s="1566" t="s">
        <v>2833</v>
      </c>
      <c r="G5549" s="1566"/>
      <c r="H5549" s="1568">
        <v>1</v>
      </c>
      <c r="I5549" s="1571">
        <v>30</v>
      </c>
      <c r="J5549" s="1566"/>
      <c r="K5549" s="1565">
        <v>11601.36</v>
      </c>
      <c r="L5549" s="1565">
        <v>11601.36</v>
      </c>
      <c r="M5549" s="1564"/>
      <c r="N5549" s="1565">
        <v>11601.36</v>
      </c>
      <c r="O5549" s="1565">
        <v>10312.32</v>
      </c>
      <c r="P5549" s="1564"/>
      <c r="Q5549" s="1565">
        <v>1289.04</v>
      </c>
      <c r="R5549" s="1565">
        <v>1289.04</v>
      </c>
      <c r="S5549" s="1562"/>
    </row>
    <row r="5550" spans="2:19" ht="21.75" customHeight="1" outlineLevel="1">
      <c r="B5550" s="1569" t="s">
        <v>6407</v>
      </c>
      <c r="C5550" s="1566" t="s">
        <v>2414</v>
      </c>
      <c r="D5550" s="1566" t="s">
        <v>6406</v>
      </c>
      <c r="E5550" s="1566" t="s">
        <v>2219</v>
      </c>
      <c r="F5550" s="1566" t="s">
        <v>2833</v>
      </c>
      <c r="G5550" s="1566"/>
      <c r="H5550" s="1568">
        <v>1</v>
      </c>
      <c r="I5550" s="1571">
        <v>6</v>
      </c>
      <c r="J5550" s="1566"/>
      <c r="K5550" s="1565">
        <v>2320.27</v>
      </c>
      <c r="L5550" s="1565">
        <v>2320.27</v>
      </c>
      <c r="M5550" s="1564"/>
      <c r="N5550" s="1565">
        <v>2320.27</v>
      </c>
      <c r="O5550" s="1565">
        <v>2062.5100000000002</v>
      </c>
      <c r="P5550" s="1564"/>
      <c r="Q5550" s="1572">
        <v>257.76</v>
      </c>
      <c r="R5550" s="1572">
        <v>257.76</v>
      </c>
      <c r="S5550" s="1562"/>
    </row>
    <row r="5551" spans="2:19" ht="21.75" customHeight="1" outlineLevel="1">
      <c r="B5551" s="1569" t="s">
        <v>6405</v>
      </c>
      <c r="C5551" s="1566" t="s">
        <v>2414</v>
      </c>
      <c r="D5551" s="1566" t="s">
        <v>6404</v>
      </c>
      <c r="E5551" s="1566" t="s">
        <v>2219</v>
      </c>
      <c r="F5551" s="1566" t="s">
        <v>2833</v>
      </c>
      <c r="G5551" s="1566"/>
      <c r="H5551" s="1568">
        <v>1</v>
      </c>
      <c r="I5551" s="1571">
        <v>23</v>
      </c>
      <c r="J5551" s="1566"/>
      <c r="K5551" s="1565">
        <v>12452.13</v>
      </c>
      <c r="L5551" s="1565">
        <v>12452.13</v>
      </c>
      <c r="M5551" s="1564"/>
      <c r="N5551" s="1565">
        <v>12452.13</v>
      </c>
      <c r="O5551" s="1565">
        <v>11068.53</v>
      </c>
      <c r="P5551" s="1564"/>
      <c r="Q5551" s="1565">
        <v>1383.6</v>
      </c>
      <c r="R5551" s="1565">
        <v>1383.6</v>
      </c>
      <c r="S5551" s="1562"/>
    </row>
    <row r="5552" spans="2:19" ht="21.75" customHeight="1" outlineLevel="1">
      <c r="B5552" s="1569" t="s">
        <v>6403</v>
      </c>
      <c r="C5552" s="1566" t="s">
        <v>2414</v>
      </c>
      <c r="D5552" s="1566" t="s">
        <v>6402</v>
      </c>
      <c r="E5552" s="1566" t="s">
        <v>2219</v>
      </c>
      <c r="F5552" s="1566" t="s">
        <v>2833</v>
      </c>
      <c r="G5552" s="1566"/>
      <c r="H5552" s="1568">
        <v>1</v>
      </c>
      <c r="I5552" s="1571">
        <v>11</v>
      </c>
      <c r="J5552" s="1566"/>
      <c r="K5552" s="1565">
        <v>2977.68</v>
      </c>
      <c r="L5552" s="1565">
        <v>2977.68</v>
      </c>
      <c r="M5552" s="1564"/>
      <c r="N5552" s="1565">
        <v>2977.68</v>
      </c>
      <c r="O5552" s="1565">
        <v>2646.84</v>
      </c>
      <c r="P5552" s="1564"/>
      <c r="Q5552" s="1572">
        <v>330.84</v>
      </c>
      <c r="R5552" s="1572">
        <v>330.84</v>
      </c>
      <c r="S5552" s="1562"/>
    </row>
    <row r="5553" spans="2:19" ht="21.75" customHeight="1" outlineLevel="1">
      <c r="B5553" s="1569" t="s">
        <v>6401</v>
      </c>
      <c r="C5553" s="1566" t="s">
        <v>2414</v>
      </c>
      <c r="D5553" s="1566" t="s">
        <v>6400</v>
      </c>
      <c r="E5553" s="1566" t="s">
        <v>2219</v>
      </c>
      <c r="F5553" s="1566" t="s">
        <v>2833</v>
      </c>
      <c r="G5553" s="1566"/>
      <c r="H5553" s="1568">
        <v>1</v>
      </c>
      <c r="I5553" s="1571">
        <v>8</v>
      </c>
      <c r="J5553" s="1566"/>
      <c r="K5553" s="1565">
        <v>2165.59</v>
      </c>
      <c r="L5553" s="1565">
        <v>2165.59</v>
      </c>
      <c r="M5553" s="1564"/>
      <c r="N5553" s="1565">
        <v>2165.59</v>
      </c>
      <c r="O5553" s="1565">
        <v>1924.99</v>
      </c>
      <c r="P5553" s="1564"/>
      <c r="Q5553" s="1572">
        <v>240.6</v>
      </c>
      <c r="R5553" s="1572">
        <v>240.6</v>
      </c>
      <c r="S5553" s="1562"/>
    </row>
    <row r="5554" spans="2:19" ht="21.75" customHeight="1" outlineLevel="1">
      <c r="B5554" s="1569" t="s">
        <v>6399</v>
      </c>
      <c r="C5554" s="1566" t="s">
        <v>2414</v>
      </c>
      <c r="D5554" s="1566" t="s">
        <v>6398</v>
      </c>
      <c r="E5554" s="1566" t="s">
        <v>2219</v>
      </c>
      <c r="F5554" s="1566" t="s">
        <v>6397</v>
      </c>
      <c r="G5554" s="1566"/>
      <c r="H5554" s="1568">
        <v>1</v>
      </c>
      <c r="I5554" s="1571">
        <v>97</v>
      </c>
      <c r="J5554" s="1566"/>
      <c r="K5554" s="1565">
        <v>37511.06</v>
      </c>
      <c r="L5554" s="1565">
        <v>37511.06</v>
      </c>
      <c r="M5554" s="1564"/>
      <c r="N5554" s="1565">
        <v>37511.06</v>
      </c>
      <c r="O5554" s="1565">
        <v>33343.199999999997</v>
      </c>
      <c r="P5554" s="1564"/>
      <c r="Q5554" s="1565">
        <v>4167.8599999999997</v>
      </c>
      <c r="R5554" s="1565">
        <v>4167.8599999999997</v>
      </c>
      <c r="S5554" s="1562"/>
    </row>
    <row r="5555" spans="2:19" ht="21.75" customHeight="1" outlineLevel="1">
      <c r="B5555" s="1569" t="s">
        <v>6396</v>
      </c>
      <c r="C5555" s="1566" t="s">
        <v>2414</v>
      </c>
      <c r="D5555" s="1566" t="s">
        <v>6395</v>
      </c>
      <c r="E5555" s="1566" t="s">
        <v>2219</v>
      </c>
      <c r="F5555" s="1566" t="s">
        <v>2833</v>
      </c>
      <c r="G5555" s="1566"/>
      <c r="H5555" s="1568">
        <v>1</v>
      </c>
      <c r="I5555" s="1571">
        <v>5</v>
      </c>
      <c r="J5555" s="1566"/>
      <c r="K5555" s="1565">
        <v>1353.49</v>
      </c>
      <c r="L5555" s="1565">
        <v>1353.49</v>
      </c>
      <c r="M5555" s="1564"/>
      <c r="N5555" s="1565">
        <v>1353.49</v>
      </c>
      <c r="O5555" s="1565">
        <v>1203.1300000000001</v>
      </c>
      <c r="P5555" s="1564"/>
      <c r="Q5555" s="1572">
        <v>150.36000000000001</v>
      </c>
      <c r="R5555" s="1572">
        <v>150.36000000000001</v>
      </c>
      <c r="S5555" s="1562"/>
    </row>
    <row r="5556" spans="2:19" ht="21.75" customHeight="1" outlineLevel="1">
      <c r="B5556" s="1569" t="s">
        <v>6394</v>
      </c>
      <c r="C5556" s="1566" t="s">
        <v>2414</v>
      </c>
      <c r="D5556" s="1566" t="s">
        <v>6393</v>
      </c>
      <c r="E5556" s="1566" t="s">
        <v>2219</v>
      </c>
      <c r="F5556" s="1566" t="s">
        <v>2833</v>
      </c>
      <c r="G5556" s="1566"/>
      <c r="H5556" s="1568">
        <v>1</v>
      </c>
      <c r="I5556" s="1571">
        <v>8</v>
      </c>
      <c r="J5556" s="1566"/>
      <c r="K5556" s="1565">
        <v>2165.59</v>
      </c>
      <c r="L5556" s="1565">
        <v>2165.59</v>
      </c>
      <c r="M5556" s="1564"/>
      <c r="N5556" s="1565">
        <v>2165.59</v>
      </c>
      <c r="O5556" s="1565">
        <v>1924.99</v>
      </c>
      <c r="P5556" s="1564"/>
      <c r="Q5556" s="1572">
        <v>240.6</v>
      </c>
      <c r="R5556" s="1572">
        <v>240.6</v>
      </c>
      <c r="S5556" s="1562"/>
    </row>
    <row r="5557" spans="2:19" ht="21.75" customHeight="1" outlineLevel="1">
      <c r="B5557" s="1569" t="s">
        <v>6392</v>
      </c>
      <c r="C5557" s="1566" t="s">
        <v>2414</v>
      </c>
      <c r="D5557" s="1566" t="s">
        <v>6391</v>
      </c>
      <c r="E5557" s="1566" t="s">
        <v>2219</v>
      </c>
      <c r="F5557" s="1566" t="s">
        <v>2833</v>
      </c>
      <c r="G5557" s="1566"/>
      <c r="H5557" s="1568">
        <v>1</v>
      </c>
      <c r="I5557" s="1571">
        <v>22</v>
      </c>
      <c r="J5557" s="1566"/>
      <c r="K5557" s="1565">
        <v>10811.98</v>
      </c>
      <c r="L5557" s="1565">
        <v>10811.98</v>
      </c>
      <c r="M5557" s="1564"/>
      <c r="N5557" s="1565">
        <v>10811.98</v>
      </c>
      <c r="O5557" s="1565">
        <v>9610.66</v>
      </c>
      <c r="P5557" s="1564"/>
      <c r="Q5557" s="1565">
        <v>1201.32</v>
      </c>
      <c r="R5557" s="1565">
        <v>1201.32</v>
      </c>
      <c r="S5557" s="1562"/>
    </row>
    <row r="5558" spans="2:19" ht="21.75" customHeight="1" outlineLevel="1">
      <c r="B5558" s="1569" t="s">
        <v>6390</v>
      </c>
      <c r="C5558" s="1566" t="s">
        <v>2414</v>
      </c>
      <c r="D5558" s="1566" t="s">
        <v>6389</v>
      </c>
      <c r="E5558" s="1566" t="s">
        <v>2219</v>
      </c>
      <c r="F5558" s="1566" t="s">
        <v>2833</v>
      </c>
      <c r="G5558" s="1566"/>
      <c r="H5558" s="1568">
        <v>1</v>
      </c>
      <c r="I5558" s="1571">
        <v>121</v>
      </c>
      <c r="J5558" s="1566"/>
      <c r="K5558" s="1565">
        <v>46792.15</v>
      </c>
      <c r="L5558" s="1565">
        <v>46792.15</v>
      </c>
      <c r="M5558" s="1564"/>
      <c r="N5558" s="1565">
        <v>46792.15</v>
      </c>
      <c r="O5558" s="1565">
        <v>41593.03</v>
      </c>
      <c r="P5558" s="1564"/>
      <c r="Q5558" s="1565">
        <v>5199.12</v>
      </c>
      <c r="R5558" s="1565">
        <v>5199.12</v>
      </c>
      <c r="S5558" s="1562"/>
    </row>
    <row r="5559" spans="2:19" ht="21.75" customHeight="1" outlineLevel="1">
      <c r="B5559" s="1569" t="s">
        <v>6388</v>
      </c>
      <c r="C5559" s="1566" t="s">
        <v>2414</v>
      </c>
      <c r="D5559" s="1566" t="s">
        <v>6387</v>
      </c>
      <c r="E5559" s="1566" t="s">
        <v>2219</v>
      </c>
      <c r="F5559" s="1566" t="s">
        <v>2833</v>
      </c>
      <c r="G5559" s="1566"/>
      <c r="H5559" s="1568">
        <v>1</v>
      </c>
      <c r="I5559" s="1571">
        <v>9</v>
      </c>
      <c r="J5559" s="1566"/>
      <c r="K5559" s="1565">
        <v>2436.29</v>
      </c>
      <c r="L5559" s="1565">
        <v>2436.29</v>
      </c>
      <c r="M5559" s="1564"/>
      <c r="N5559" s="1565">
        <v>2436.29</v>
      </c>
      <c r="O5559" s="1565">
        <v>2165.5700000000002</v>
      </c>
      <c r="P5559" s="1564"/>
      <c r="Q5559" s="1572">
        <v>270.72000000000003</v>
      </c>
      <c r="R5559" s="1572">
        <v>270.72000000000003</v>
      </c>
      <c r="S5559" s="1562"/>
    </row>
    <row r="5560" spans="2:19" ht="21.75" customHeight="1" outlineLevel="1">
      <c r="B5560" s="1569" t="s">
        <v>6386</v>
      </c>
      <c r="C5560" s="1566" t="s">
        <v>2414</v>
      </c>
      <c r="D5560" s="1566" t="s">
        <v>6385</v>
      </c>
      <c r="E5560" s="1566" t="s">
        <v>2219</v>
      </c>
      <c r="F5560" s="1566" t="s">
        <v>2833</v>
      </c>
      <c r="G5560" s="1566"/>
      <c r="H5560" s="1568">
        <v>1</v>
      </c>
      <c r="I5560" s="1571">
        <v>11</v>
      </c>
      <c r="J5560" s="1566"/>
      <c r="K5560" s="1565">
        <v>2977.68</v>
      </c>
      <c r="L5560" s="1565">
        <v>2977.68</v>
      </c>
      <c r="M5560" s="1564"/>
      <c r="N5560" s="1565">
        <v>2977.68</v>
      </c>
      <c r="O5560" s="1565">
        <v>2646.84</v>
      </c>
      <c r="P5560" s="1564"/>
      <c r="Q5560" s="1572">
        <v>330.84</v>
      </c>
      <c r="R5560" s="1572">
        <v>330.84</v>
      </c>
      <c r="S5560" s="1562"/>
    </row>
    <row r="5561" spans="2:19" ht="21.75" customHeight="1" outlineLevel="1">
      <c r="B5561" s="1569" t="s">
        <v>6384</v>
      </c>
      <c r="C5561" s="1566" t="s">
        <v>2414</v>
      </c>
      <c r="D5561" s="1566" t="s">
        <v>6383</v>
      </c>
      <c r="E5561" s="1566" t="s">
        <v>2219</v>
      </c>
      <c r="F5561" s="1566" t="s">
        <v>2833</v>
      </c>
      <c r="G5561" s="1566"/>
      <c r="H5561" s="1568">
        <v>1</v>
      </c>
      <c r="I5561" s="1571">
        <v>18</v>
      </c>
      <c r="J5561" s="1566"/>
      <c r="K5561" s="1565">
        <v>21570.71</v>
      </c>
      <c r="L5561" s="1565">
        <v>21570.71</v>
      </c>
      <c r="M5561" s="1564"/>
      <c r="N5561" s="1565">
        <v>21570.71</v>
      </c>
      <c r="O5561" s="1565">
        <v>19173.95</v>
      </c>
      <c r="P5561" s="1564"/>
      <c r="Q5561" s="1565">
        <v>2396.7600000000002</v>
      </c>
      <c r="R5561" s="1565">
        <v>2396.7600000000002</v>
      </c>
      <c r="S5561" s="1562"/>
    </row>
    <row r="5562" spans="2:19" ht="21.75" customHeight="1" outlineLevel="1">
      <c r="B5562" s="1569" t="s">
        <v>6382</v>
      </c>
      <c r="C5562" s="1566" t="s">
        <v>2414</v>
      </c>
      <c r="D5562" s="1566" t="s">
        <v>6381</v>
      </c>
      <c r="E5562" s="1566" t="s">
        <v>2219</v>
      </c>
      <c r="F5562" s="1566" t="s">
        <v>2833</v>
      </c>
      <c r="G5562" s="1566"/>
      <c r="H5562" s="1568">
        <v>1</v>
      </c>
      <c r="I5562" s="1571">
        <v>9</v>
      </c>
      <c r="J5562" s="1566"/>
      <c r="K5562" s="1565">
        <v>2436.29</v>
      </c>
      <c r="L5562" s="1565">
        <v>2436.29</v>
      </c>
      <c r="M5562" s="1564"/>
      <c r="N5562" s="1565">
        <v>2436.29</v>
      </c>
      <c r="O5562" s="1565">
        <v>2165.5700000000002</v>
      </c>
      <c r="P5562" s="1564"/>
      <c r="Q5562" s="1572">
        <v>270.72000000000003</v>
      </c>
      <c r="R5562" s="1572">
        <v>270.72000000000003</v>
      </c>
      <c r="S5562" s="1562"/>
    </row>
    <row r="5563" spans="2:19" ht="21.75" customHeight="1" outlineLevel="1">
      <c r="B5563" s="1569" t="s">
        <v>6380</v>
      </c>
      <c r="C5563" s="1566" t="s">
        <v>2414</v>
      </c>
      <c r="D5563" s="1566" t="s">
        <v>6379</v>
      </c>
      <c r="E5563" s="1566" t="s">
        <v>2219</v>
      </c>
      <c r="F5563" s="1566" t="s">
        <v>2833</v>
      </c>
      <c r="G5563" s="1566"/>
      <c r="H5563" s="1568">
        <v>1</v>
      </c>
      <c r="I5563" s="1571">
        <v>16</v>
      </c>
      <c r="J5563" s="1566"/>
      <c r="K5563" s="1565">
        <v>8662.35</v>
      </c>
      <c r="L5563" s="1565">
        <v>8662.35</v>
      </c>
      <c r="M5563" s="1564"/>
      <c r="N5563" s="1565">
        <v>8662.35</v>
      </c>
      <c r="O5563" s="1565">
        <v>7699.83</v>
      </c>
      <c r="P5563" s="1564"/>
      <c r="Q5563" s="1572">
        <v>962.52</v>
      </c>
      <c r="R5563" s="1572">
        <v>962.52</v>
      </c>
      <c r="S5563" s="1562"/>
    </row>
    <row r="5564" spans="2:19" ht="21.75" customHeight="1" outlineLevel="1">
      <c r="B5564" s="1569" t="s">
        <v>6378</v>
      </c>
      <c r="C5564" s="1566" t="s">
        <v>2414</v>
      </c>
      <c r="D5564" s="1566" t="s">
        <v>6377</v>
      </c>
      <c r="E5564" s="1566" t="s">
        <v>2219</v>
      </c>
      <c r="F5564" s="1566" t="s">
        <v>2833</v>
      </c>
      <c r="G5564" s="1566"/>
      <c r="H5564" s="1568">
        <v>1</v>
      </c>
      <c r="I5564" s="1571">
        <v>9</v>
      </c>
      <c r="J5564" s="1566"/>
      <c r="K5564" s="1565">
        <v>2436.29</v>
      </c>
      <c r="L5564" s="1565">
        <v>2436.29</v>
      </c>
      <c r="M5564" s="1564"/>
      <c r="N5564" s="1565">
        <v>2436.29</v>
      </c>
      <c r="O5564" s="1565">
        <v>2165.5700000000002</v>
      </c>
      <c r="P5564" s="1564"/>
      <c r="Q5564" s="1572">
        <v>270.72000000000003</v>
      </c>
      <c r="R5564" s="1572">
        <v>270.72000000000003</v>
      </c>
      <c r="S5564" s="1562"/>
    </row>
    <row r="5565" spans="2:19" ht="21.75" customHeight="1" outlineLevel="1">
      <c r="B5565" s="1569" t="s">
        <v>6376</v>
      </c>
      <c r="C5565" s="1566" t="s">
        <v>2414</v>
      </c>
      <c r="D5565" s="1566" t="s">
        <v>6375</v>
      </c>
      <c r="E5565" s="1566" t="s">
        <v>2219</v>
      </c>
      <c r="F5565" s="1566" t="s">
        <v>2833</v>
      </c>
      <c r="G5565" s="1566"/>
      <c r="H5565" s="1568">
        <v>1</v>
      </c>
      <c r="I5565" s="1571">
        <v>79</v>
      </c>
      <c r="J5565" s="1566"/>
      <c r="K5565" s="1565">
        <v>21385.17</v>
      </c>
      <c r="L5565" s="1565">
        <v>21385.17</v>
      </c>
      <c r="M5565" s="1564"/>
      <c r="N5565" s="1565">
        <v>21385.17</v>
      </c>
      <c r="O5565" s="1565">
        <v>19009.05</v>
      </c>
      <c r="P5565" s="1564"/>
      <c r="Q5565" s="1565">
        <v>2376.12</v>
      </c>
      <c r="R5565" s="1565">
        <v>2376.12</v>
      </c>
      <c r="S5565" s="1562"/>
    </row>
    <row r="5566" spans="2:19" ht="21.75" customHeight="1" outlineLevel="1">
      <c r="B5566" s="1569" t="s">
        <v>6374</v>
      </c>
      <c r="C5566" s="1566" t="s">
        <v>2414</v>
      </c>
      <c r="D5566" s="1566" t="s">
        <v>6373</v>
      </c>
      <c r="E5566" s="1566" t="s">
        <v>2219</v>
      </c>
      <c r="F5566" s="1566" t="s">
        <v>2830</v>
      </c>
      <c r="G5566" s="1566"/>
      <c r="H5566" s="1568">
        <v>1</v>
      </c>
      <c r="I5566" s="1571">
        <v>9</v>
      </c>
      <c r="J5566" s="1566"/>
      <c r="K5566" s="1565">
        <v>3067.78</v>
      </c>
      <c r="L5566" s="1565">
        <v>3067.78</v>
      </c>
      <c r="M5566" s="1564"/>
      <c r="N5566" s="1565">
        <v>3067.78</v>
      </c>
      <c r="O5566" s="1565">
        <v>2726.88</v>
      </c>
      <c r="P5566" s="1564"/>
      <c r="Q5566" s="1572">
        <v>340.9</v>
      </c>
      <c r="R5566" s="1572">
        <v>340.9</v>
      </c>
      <c r="S5566" s="1562"/>
    </row>
    <row r="5567" spans="2:19" ht="21.75" customHeight="1" outlineLevel="1">
      <c r="B5567" s="1569" t="s">
        <v>6372</v>
      </c>
      <c r="C5567" s="1566" t="s">
        <v>2414</v>
      </c>
      <c r="D5567" s="1566" t="s">
        <v>6371</v>
      </c>
      <c r="E5567" s="1566" t="s">
        <v>2219</v>
      </c>
      <c r="F5567" s="1566" t="s">
        <v>2830</v>
      </c>
      <c r="G5567" s="1566"/>
      <c r="H5567" s="1568">
        <v>1</v>
      </c>
      <c r="I5567" s="1571">
        <v>89</v>
      </c>
      <c r="J5567" s="1566"/>
      <c r="K5567" s="1565">
        <v>34417.370000000003</v>
      </c>
      <c r="L5567" s="1565">
        <v>34417.370000000003</v>
      </c>
      <c r="M5567" s="1564"/>
      <c r="N5567" s="1565">
        <v>34417.370000000003</v>
      </c>
      <c r="O5567" s="1565">
        <v>30593.21</v>
      </c>
      <c r="P5567" s="1564"/>
      <c r="Q5567" s="1565">
        <v>3824.16</v>
      </c>
      <c r="R5567" s="1565">
        <v>3824.16</v>
      </c>
      <c r="S5567" s="1562"/>
    </row>
    <row r="5568" spans="2:19" ht="21.75" customHeight="1" outlineLevel="1">
      <c r="B5568" s="1569" t="s">
        <v>6370</v>
      </c>
      <c r="C5568" s="1566" t="s">
        <v>2414</v>
      </c>
      <c r="D5568" s="1566" t="s">
        <v>6369</v>
      </c>
      <c r="E5568" s="1566" t="s">
        <v>2219</v>
      </c>
      <c r="F5568" s="1566" t="s">
        <v>2830</v>
      </c>
      <c r="G5568" s="1566"/>
      <c r="H5568" s="1568">
        <v>1</v>
      </c>
      <c r="I5568" s="1571">
        <v>63</v>
      </c>
      <c r="J5568" s="1566"/>
      <c r="K5568" s="1565">
        <v>24362.86</v>
      </c>
      <c r="L5568" s="1565">
        <v>24362.86</v>
      </c>
      <c r="M5568" s="1564"/>
      <c r="N5568" s="1565">
        <v>24362.86</v>
      </c>
      <c r="O5568" s="1565">
        <v>21655.9</v>
      </c>
      <c r="P5568" s="1564"/>
      <c r="Q5568" s="1565">
        <v>2706.96</v>
      </c>
      <c r="R5568" s="1565">
        <v>2706.96</v>
      </c>
      <c r="S5568" s="1562"/>
    </row>
    <row r="5569" spans="2:19" ht="21.75" customHeight="1" outlineLevel="1">
      <c r="B5569" s="1569" t="s">
        <v>6368</v>
      </c>
      <c r="C5569" s="1566" t="s">
        <v>2414</v>
      </c>
      <c r="D5569" s="1566" t="s">
        <v>6367</v>
      </c>
      <c r="E5569" s="1566" t="s">
        <v>2219</v>
      </c>
      <c r="F5569" s="1566" t="s">
        <v>2830</v>
      </c>
      <c r="G5569" s="1566"/>
      <c r="H5569" s="1568">
        <v>1</v>
      </c>
      <c r="I5569" s="1571">
        <v>26</v>
      </c>
      <c r="J5569" s="1566"/>
      <c r="K5569" s="1565">
        <v>6203.72</v>
      </c>
      <c r="L5569" s="1565">
        <v>6203.72</v>
      </c>
      <c r="M5569" s="1564"/>
      <c r="N5569" s="1565">
        <v>6203.72</v>
      </c>
      <c r="O5569" s="1565">
        <v>5514.44</v>
      </c>
      <c r="P5569" s="1564"/>
      <c r="Q5569" s="1572">
        <v>689.28</v>
      </c>
      <c r="R5569" s="1572">
        <v>689.28</v>
      </c>
      <c r="S5569" s="1562"/>
    </row>
    <row r="5570" spans="2:19" ht="21.75" customHeight="1" outlineLevel="1">
      <c r="B5570" s="1569" t="s">
        <v>6366</v>
      </c>
      <c r="C5570" s="1566" t="s">
        <v>2414</v>
      </c>
      <c r="D5570" s="1566" t="s">
        <v>6365</v>
      </c>
      <c r="E5570" s="1566" t="s">
        <v>2219</v>
      </c>
      <c r="F5570" s="1566" t="s">
        <v>2830</v>
      </c>
      <c r="G5570" s="1566"/>
      <c r="H5570" s="1568">
        <v>1</v>
      </c>
      <c r="I5570" s="1571">
        <v>15</v>
      </c>
      <c r="J5570" s="1566"/>
      <c r="K5570" s="1565">
        <v>5800.68</v>
      </c>
      <c r="L5570" s="1565">
        <v>5800.68</v>
      </c>
      <c r="M5570" s="1564"/>
      <c r="N5570" s="1565">
        <v>5800.68</v>
      </c>
      <c r="O5570" s="1565">
        <v>5156.16</v>
      </c>
      <c r="P5570" s="1564"/>
      <c r="Q5570" s="1572">
        <v>644.52</v>
      </c>
      <c r="R5570" s="1572">
        <v>644.52</v>
      </c>
      <c r="S5570" s="1562"/>
    </row>
    <row r="5571" spans="2:19" ht="21.75" customHeight="1" outlineLevel="1">
      <c r="B5571" s="1569" t="s">
        <v>6364</v>
      </c>
      <c r="C5571" s="1566" t="s">
        <v>2414</v>
      </c>
      <c r="D5571" s="1566" t="s">
        <v>6363</v>
      </c>
      <c r="E5571" s="1566" t="s">
        <v>2219</v>
      </c>
      <c r="F5571" s="1566" t="s">
        <v>6352</v>
      </c>
      <c r="G5571" s="1566"/>
      <c r="H5571" s="1568">
        <v>1</v>
      </c>
      <c r="I5571" s="1571">
        <v>12</v>
      </c>
      <c r="J5571" s="1566"/>
      <c r="K5571" s="1565">
        <v>4640.54</v>
      </c>
      <c r="L5571" s="1565">
        <v>4640.54</v>
      </c>
      <c r="M5571" s="1564"/>
      <c r="N5571" s="1565">
        <v>4640.54</v>
      </c>
      <c r="O5571" s="1565">
        <v>4124.8999999999996</v>
      </c>
      <c r="P5571" s="1564"/>
      <c r="Q5571" s="1572">
        <v>515.64</v>
      </c>
      <c r="R5571" s="1572">
        <v>515.64</v>
      </c>
      <c r="S5571" s="1562"/>
    </row>
    <row r="5572" spans="2:19" ht="21.75" customHeight="1" outlineLevel="1">
      <c r="B5572" s="1569" t="s">
        <v>6362</v>
      </c>
      <c r="C5572" s="1566" t="s">
        <v>2414</v>
      </c>
      <c r="D5572" s="1566" t="s">
        <v>6361</v>
      </c>
      <c r="E5572" s="1566" t="s">
        <v>2219</v>
      </c>
      <c r="F5572" s="1566" t="s">
        <v>6352</v>
      </c>
      <c r="G5572" s="1566"/>
      <c r="H5572" s="1568">
        <v>1</v>
      </c>
      <c r="I5572" s="1571">
        <v>124</v>
      </c>
      <c r="J5572" s="1566"/>
      <c r="K5572" s="1565">
        <v>33566.6</v>
      </c>
      <c r="L5572" s="1565">
        <v>33566.6</v>
      </c>
      <c r="M5572" s="1564"/>
      <c r="N5572" s="1565">
        <v>33566.6</v>
      </c>
      <c r="O5572" s="1565">
        <v>29837</v>
      </c>
      <c r="P5572" s="1564"/>
      <c r="Q5572" s="1565">
        <v>3729.6</v>
      </c>
      <c r="R5572" s="1565">
        <v>3729.6</v>
      </c>
      <c r="S5572" s="1562"/>
    </row>
    <row r="5573" spans="2:19" ht="21.75" customHeight="1" outlineLevel="1">
      <c r="B5573" s="1569" t="s">
        <v>6360</v>
      </c>
      <c r="C5573" s="1566" t="s">
        <v>2414</v>
      </c>
      <c r="D5573" s="1566" t="s">
        <v>6359</v>
      </c>
      <c r="E5573" s="1566" t="s">
        <v>2219</v>
      </c>
      <c r="F5573" s="1566" t="s">
        <v>6352</v>
      </c>
      <c r="G5573" s="1566"/>
      <c r="H5573" s="1568">
        <v>1</v>
      </c>
      <c r="I5573" s="1571">
        <v>12</v>
      </c>
      <c r="J5573" s="1566"/>
      <c r="K5573" s="1565">
        <v>4640.54</v>
      </c>
      <c r="L5573" s="1565">
        <v>4640.54</v>
      </c>
      <c r="M5573" s="1564"/>
      <c r="N5573" s="1565">
        <v>4640.54</v>
      </c>
      <c r="O5573" s="1565">
        <v>4124.8999999999996</v>
      </c>
      <c r="P5573" s="1564"/>
      <c r="Q5573" s="1572">
        <v>515.64</v>
      </c>
      <c r="R5573" s="1572">
        <v>515.64</v>
      </c>
      <c r="S5573" s="1562"/>
    </row>
    <row r="5574" spans="2:19" ht="21.75" customHeight="1" outlineLevel="1">
      <c r="B5574" s="1569" t="s">
        <v>6358</v>
      </c>
      <c r="C5574" s="1566" t="s">
        <v>2414</v>
      </c>
      <c r="D5574" s="1566" t="s">
        <v>6357</v>
      </c>
      <c r="E5574" s="1566" t="s">
        <v>2219</v>
      </c>
      <c r="F5574" s="1566" t="s">
        <v>6352</v>
      </c>
      <c r="G5574" s="1566"/>
      <c r="H5574" s="1568">
        <v>1</v>
      </c>
      <c r="I5574" s="1571">
        <v>8</v>
      </c>
      <c r="J5574" s="1566"/>
      <c r="K5574" s="1565">
        <v>3093.7</v>
      </c>
      <c r="L5574" s="1565">
        <v>3093.7</v>
      </c>
      <c r="M5574" s="1564"/>
      <c r="N5574" s="1565">
        <v>3093.7</v>
      </c>
      <c r="O5574" s="1565">
        <v>2749.92</v>
      </c>
      <c r="P5574" s="1564"/>
      <c r="Q5574" s="1572">
        <v>343.78</v>
      </c>
      <c r="R5574" s="1572">
        <v>343.78</v>
      </c>
      <c r="S5574" s="1562"/>
    </row>
    <row r="5575" spans="2:19" ht="21.75" customHeight="1" outlineLevel="1">
      <c r="B5575" s="1569" t="s">
        <v>6356</v>
      </c>
      <c r="C5575" s="1566" t="s">
        <v>2414</v>
      </c>
      <c r="D5575" s="1566" t="s">
        <v>6355</v>
      </c>
      <c r="E5575" s="1566" t="s">
        <v>2219</v>
      </c>
      <c r="F5575" s="1566" t="s">
        <v>6352</v>
      </c>
      <c r="G5575" s="1566"/>
      <c r="H5575" s="1568">
        <v>1</v>
      </c>
      <c r="I5575" s="1571">
        <v>4</v>
      </c>
      <c r="J5575" s="1566"/>
      <c r="K5575" s="1572">
        <v>954.42</v>
      </c>
      <c r="L5575" s="1572">
        <v>954.42</v>
      </c>
      <c r="M5575" s="1564"/>
      <c r="N5575" s="1572">
        <v>954.42</v>
      </c>
      <c r="O5575" s="1572">
        <v>848.34</v>
      </c>
      <c r="P5575" s="1564"/>
      <c r="Q5575" s="1572">
        <v>106.08</v>
      </c>
      <c r="R5575" s="1572">
        <v>106.08</v>
      </c>
      <c r="S5575" s="1562"/>
    </row>
    <row r="5576" spans="2:19" ht="21.75" customHeight="1" outlineLevel="1">
      <c r="B5576" s="1569" t="s">
        <v>6354</v>
      </c>
      <c r="C5576" s="1566" t="s">
        <v>2414</v>
      </c>
      <c r="D5576" s="1566" t="s">
        <v>6353</v>
      </c>
      <c r="E5576" s="1566" t="s">
        <v>2219</v>
      </c>
      <c r="F5576" s="1566" t="s">
        <v>6352</v>
      </c>
      <c r="G5576" s="1566"/>
      <c r="H5576" s="1568">
        <v>1</v>
      </c>
      <c r="I5576" s="1571">
        <v>73</v>
      </c>
      <c r="J5576" s="1566"/>
      <c r="K5576" s="1565">
        <v>17418.150000000001</v>
      </c>
      <c r="L5576" s="1565">
        <v>17418.150000000001</v>
      </c>
      <c r="M5576" s="1564"/>
      <c r="N5576" s="1565">
        <v>17418.150000000001</v>
      </c>
      <c r="O5576" s="1565">
        <v>15482.79</v>
      </c>
      <c r="P5576" s="1564"/>
      <c r="Q5576" s="1565">
        <v>1935.36</v>
      </c>
      <c r="R5576" s="1565">
        <v>1935.36</v>
      </c>
      <c r="S5576" s="1562"/>
    </row>
    <row r="5577" spans="2:19" ht="21.75" customHeight="1" outlineLevel="1">
      <c r="B5577" s="1569" t="s">
        <v>6351</v>
      </c>
      <c r="C5577" s="1566" t="s">
        <v>2414</v>
      </c>
      <c r="D5577" s="1566" t="s">
        <v>6350</v>
      </c>
      <c r="E5577" s="1566" t="s">
        <v>2219</v>
      </c>
      <c r="F5577" s="1566" t="s">
        <v>6349</v>
      </c>
      <c r="G5577" s="1566"/>
      <c r="H5577" s="1568">
        <v>1</v>
      </c>
      <c r="I5577" s="1571">
        <v>37</v>
      </c>
      <c r="J5577" s="1566"/>
      <c r="K5577" s="1565">
        <v>10015.84</v>
      </c>
      <c r="L5577" s="1565">
        <v>10015.84</v>
      </c>
      <c r="M5577" s="1564"/>
      <c r="N5577" s="1565">
        <v>10015.84</v>
      </c>
      <c r="O5577" s="1565">
        <v>8902.9599999999991</v>
      </c>
      <c r="P5577" s="1564"/>
      <c r="Q5577" s="1565">
        <v>1112.8800000000001</v>
      </c>
      <c r="R5577" s="1565">
        <v>1112.8800000000001</v>
      </c>
      <c r="S5577" s="1562"/>
    </row>
    <row r="5578" spans="2:19" ht="21.75" customHeight="1" outlineLevel="1">
      <c r="B5578" s="1569" t="s">
        <v>6348</v>
      </c>
      <c r="C5578" s="1566" t="s">
        <v>2414</v>
      </c>
      <c r="D5578" s="1566" t="s">
        <v>6347</v>
      </c>
      <c r="E5578" s="1566" t="s">
        <v>2219</v>
      </c>
      <c r="F5578" s="1566" t="s">
        <v>2827</v>
      </c>
      <c r="G5578" s="1566"/>
      <c r="H5578" s="1568">
        <v>1</v>
      </c>
      <c r="I5578" s="1571">
        <v>223</v>
      </c>
      <c r="J5578" s="1566"/>
      <c r="K5578" s="1565">
        <v>212148.6</v>
      </c>
      <c r="L5578" s="1565">
        <v>212148.6</v>
      </c>
      <c r="M5578" s="1564"/>
      <c r="N5578" s="1565">
        <v>212148.6</v>
      </c>
      <c r="O5578" s="1565">
        <v>188576.52</v>
      </c>
      <c r="P5578" s="1564"/>
      <c r="Q5578" s="1565">
        <v>23572.080000000002</v>
      </c>
      <c r="R5578" s="1565">
        <v>23572.080000000002</v>
      </c>
      <c r="S5578" s="1562"/>
    </row>
    <row r="5579" spans="2:19" ht="21.75" customHeight="1" outlineLevel="1">
      <c r="B5579" s="1569" t="s">
        <v>6346</v>
      </c>
      <c r="C5579" s="1566" t="s">
        <v>2414</v>
      </c>
      <c r="D5579" s="1566" t="s">
        <v>6345</v>
      </c>
      <c r="E5579" s="1566" t="s">
        <v>2219</v>
      </c>
      <c r="F5579" s="1566" t="s">
        <v>2827</v>
      </c>
      <c r="G5579" s="1566"/>
      <c r="H5579" s="1568">
        <v>1</v>
      </c>
      <c r="I5579" s="1571">
        <v>45</v>
      </c>
      <c r="J5579" s="1566"/>
      <c r="K5579" s="1565">
        <v>17402.04</v>
      </c>
      <c r="L5579" s="1565">
        <v>17402.04</v>
      </c>
      <c r="M5579" s="1564"/>
      <c r="N5579" s="1565">
        <v>17402.04</v>
      </c>
      <c r="O5579" s="1565">
        <v>15468.48</v>
      </c>
      <c r="P5579" s="1564"/>
      <c r="Q5579" s="1565">
        <v>1933.56</v>
      </c>
      <c r="R5579" s="1565">
        <v>1933.56</v>
      </c>
      <c r="S5579" s="1562"/>
    </row>
    <row r="5580" spans="2:19" ht="21.75" customHeight="1" outlineLevel="1">
      <c r="B5580" s="1569" t="s">
        <v>6344</v>
      </c>
      <c r="C5580" s="1566" t="s">
        <v>2414</v>
      </c>
      <c r="D5580" s="1566" t="s">
        <v>6343</v>
      </c>
      <c r="E5580" s="1566" t="s">
        <v>2219</v>
      </c>
      <c r="F5580" s="1566" t="s">
        <v>2818</v>
      </c>
      <c r="G5580" s="1566" t="s">
        <v>6342</v>
      </c>
      <c r="H5580" s="1568">
        <v>1</v>
      </c>
      <c r="I5580" s="1571">
        <v>102</v>
      </c>
      <c r="J5580" s="1566"/>
      <c r="K5580" s="1565">
        <v>19722.310000000001</v>
      </c>
      <c r="L5580" s="1565">
        <v>19722.310000000001</v>
      </c>
      <c r="M5580" s="1564"/>
      <c r="N5580" s="1565">
        <v>19722.310000000001</v>
      </c>
      <c r="O5580" s="1565">
        <v>17530.990000000002</v>
      </c>
      <c r="P5580" s="1564"/>
      <c r="Q5580" s="1565">
        <v>2191.3200000000002</v>
      </c>
      <c r="R5580" s="1565">
        <v>2191.3200000000002</v>
      </c>
      <c r="S5580" s="1562"/>
    </row>
    <row r="5581" spans="2:19" ht="21.75" customHeight="1" outlineLevel="1">
      <c r="B5581" s="1569" t="s">
        <v>6341</v>
      </c>
      <c r="C5581" s="1566" t="s">
        <v>2414</v>
      </c>
      <c r="D5581" s="1566" t="s">
        <v>6340</v>
      </c>
      <c r="E5581" s="1566" t="s">
        <v>2219</v>
      </c>
      <c r="F5581" s="1566" t="s">
        <v>2818</v>
      </c>
      <c r="G5581" s="1566" t="s">
        <v>6339</v>
      </c>
      <c r="H5581" s="1568">
        <v>1</v>
      </c>
      <c r="I5581" s="1571">
        <v>14</v>
      </c>
      <c r="J5581" s="1566"/>
      <c r="K5581" s="1565">
        <v>16241.9</v>
      </c>
      <c r="L5581" s="1565">
        <v>16241.9</v>
      </c>
      <c r="M5581" s="1564"/>
      <c r="N5581" s="1565">
        <v>16241.9</v>
      </c>
      <c r="O5581" s="1565">
        <v>14437.22</v>
      </c>
      <c r="P5581" s="1564"/>
      <c r="Q5581" s="1565">
        <v>1804.68</v>
      </c>
      <c r="R5581" s="1565">
        <v>1804.68</v>
      </c>
      <c r="S5581" s="1562"/>
    </row>
    <row r="5582" spans="2:19" ht="21.75" customHeight="1" outlineLevel="1">
      <c r="B5582" s="1569" t="s">
        <v>6338</v>
      </c>
      <c r="C5582" s="1566" t="s">
        <v>2414</v>
      </c>
      <c r="D5582" s="1566" t="s">
        <v>6337</v>
      </c>
      <c r="E5582" s="1566" t="s">
        <v>2219</v>
      </c>
      <c r="F5582" s="1566" t="s">
        <v>2818</v>
      </c>
      <c r="G5582" s="1566" t="s">
        <v>6336</v>
      </c>
      <c r="H5582" s="1568">
        <v>1</v>
      </c>
      <c r="I5582" s="1571">
        <v>250</v>
      </c>
      <c r="J5582" s="1566"/>
      <c r="K5582" s="1565">
        <v>299593.13</v>
      </c>
      <c r="L5582" s="1565">
        <v>299593.13</v>
      </c>
      <c r="M5582" s="1564"/>
      <c r="N5582" s="1565">
        <v>299593.13</v>
      </c>
      <c r="O5582" s="1565">
        <v>266305.01</v>
      </c>
      <c r="P5582" s="1564"/>
      <c r="Q5582" s="1565">
        <v>33288.120000000003</v>
      </c>
      <c r="R5582" s="1565">
        <v>33288.120000000003</v>
      </c>
      <c r="S5582" s="1562"/>
    </row>
    <row r="5583" spans="2:19" ht="21.75" customHeight="1" outlineLevel="1">
      <c r="B5583" s="1569" t="s">
        <v>6335</v>
      </c>
      <c r="C5583" s="1566" t="s">
        <v>2414</v>
      </c>
      <c r="D5583" s="1566" t="s">
        <v>6334</v>
      </c>
      <c r="E5583" s="1566" t="s">
        <v>2219</v>
      </c>
      <c r="F5583" s="1566" t="s">
        <v>2818</v>
      </c>
      <c r="G5583" s="1566" t="s">
        <v>6333</v>
      </c>
      <c r="H5583" s="1568">
        <v>1</v>
      </c>
      <c r="I5583" s="1571">
        <v>158</v>
      </c>
      <c r="J5583" s="1566"/>
      <c r="K5583" s="1565">
        <v>88360</v>
      </c>
      <c r="L5583" s="1565">
        <v>88360</v>
      </c>
      <c r="M5583" s="1564"/>
      <c r="N5583" s="1565">
        <v>88360</v>
      </c>
      <c r="O5583" s="1565">
        <v>78542.2</v>
      </c>
      <c r="P5583" s="1564"/>
      <c r="Q5583" s="1565">
        <v>9817.7999999999993</v>
      </c>
      <c r="R5583" s="1565">
        <v>9817.7999999999993</v>
      </c>
      <c r="S5583" s="1562"/>
    </row>
    <row r="5584" spans="2:19" ht="21.75" customHeight="1" outlineLevel="1">
      <c r="B5584" s="1569" t="s">
        <v>6332</v>
      </c>
      <c r="C5584" s="1566" t="s">
        <v>2414</v>
      </c>
      <c r="D5584" s="1566" t="s">
        <v>6331</v>
      </c>
      <c r="E5584" s="1566" t="s">
        <v>2219</v>
      </c>
      <c r="F5584" s="1566" t="s">
        <v>2818</v>
      </c>
      <c r="G5584" s="1566" t="s">
        <v>6330</v>
      </c>
      <c r="H5584" s="1568">
        <v>1</v>
      </c>
      <c r="I5584" s="1571">
        <v>7</v>
      </c>
      <c r="J5584" s="1566"/>
      <c r="K5584" s="1572">
        <v>947.44</v>
      </c>
      <c r="L5584" s="1572">
        <v>947.44</v>
      </c>
      <c r="M5584" s="1564"/>
      <c r="N5584" s="1572">
        <v>947.44</v>
      </c>
      <c r="O5584" s="1572">
        <v>842.2</v>
      </c>
      <c r="P5584" s="1564"/>
      <c r="Q5584" s="1572">
        <v>105.24</v>
      </c>
      <c r="R5584" s="1572">
        <v>105.24</v>
      </c>
      <c r="S5584" s="1562"/>
    </row>
    <row r="5585" spans="2:19" ht="21.75" customHeight="1" outlineLevel="1">
      <c r="B5585" s="1569" t="s">
        <v>6329</v>
      </c>
      <c r="C5585" s="1566" t="s">
        <v>2414</v>
      </c>
      <c r="D5585" s="1566" t="s">
        <v>6328</v>
      </c>
      <c r="E5585" s="1566" t="s">
        <v>2219</v>
      </c>
      <c r="F5585" s="1566" t="s">
        <v>2818</v>
      </c>
      <c r="G5585" s="1566" t="s">
        <v>6327</v>
      </c>
      <c r="H5585" s="1568">
        <v>1</v>
      </c>
      <c r="I5585" s="1571">
        <v>19</v>
      </c>
      <c r="J5585" s="1566"/>
      <c r="K5585" s="1565">
        <v>2266.75</v>
      </c>
      <c r="L5585" s="1565">
        <v>2266.75</v>
      </c>
      <c r="M5585" s="1564"/>
      <c r="N5585" s="1565">
        <v>2266.75</v>
      </c>
      <c r="O5585" s="1565">
        <v>2014.87</v>
      </c>
      <c r="P5585" s="1564"/>
      <c r="Q5585" s="1572">
        <v>251.88</v>
      </c>
      <c r="R5585" s="1572">
        <v>251.88</v>
      </c>
      <c r="S5585" s="1562"/>
    </row>
    <row r="5586" spans="2:19" ht="21.75" customHeight="1" outlineLevel="1">
      <c r="B5586" s="1569" t="s">
        <v>6326</v>
      </c>
      <c r="C5586" s="1566" t="s">
        <v>2414</v>
      </c>
      <c r="D5586" s="1566" t="s">
        <v>6325</v>
      </c>
      <c r="E5586" s="1566" t="s">
        <v>2219</v>
      </c>
      <c r="F5586" s="1566" t="s">
        <v>2818</v>
      </c>
      <c r="G5586" s="1566" t="s">
        <v>6324</v>
      </c>
      <c r="H5586" s="1568">
        <v>1</v>
      </c>
      <c r="I5586" s="1571">
        <v>13</v>
      </c>
      <c r="J5586" s="1566"/>
      <c r="K5586" s="1565">
        <v>1759.54</v>
      </c>
      <c r="L5586" s="1565">
        <v>1759.54</v>
      </c>
      <c r="M5586" s="1564"/>
      <c r="N5586" s="1565">
        <v>1759.54</v>
      </c>
      <c r="O5586" s="1565">
        <v>1564.06</v>
      </c>
      <c r="P5586" s="1564"/>
      <c r="Q5586" s="1572">
        <v>195.48</v>
      </c>
      <c r="R5586" s="1572">
        <v>195.48</v>
      </c>
      <c r="S5586" s="1562"/>
    </row>
    <row r="5587" spans="2:19" ht="21.75" customHeight="1" outlineLevel="1">
      <c r="B5587" s="1569" t="s">
        <v>6323</v>
      </c>
      <c r="C5587" s="1566" t="s">
        <v>2414</v>
      </c>
      <c r="D5587" s="1566" t="s">
        <v>6322</v>
      </c>
      <c r="E5587" s="1566" t="s">
        <v>2219</v>
      </c>
      <c r="F5587" s="1566" t="s">
        <v>2818</v>
      </c>
      <c r="G5587" s="1566" t="s">
        <v>6321</v>
      </c>
      <c r="H5587" s="1568">
        <v>1</v>
      </c>
      <c r="I5587" s="1571">
        <v>81</v>
      </c>
      <c r="J5587" s="1566"/>
      <c r="K5587" s="1565">
        <v>64712.12</v>
      </c>
      <c r="L5587" s="1565">
        <v>64712.12</v>
      </c>
      <c r="M5587" s="1564"/>
      <c r="N5587" s="1565">
        <v>64712.12</v>
      </c>
      <c r="O5587" s="1565">
        <v>57521.84</v>
      </c>
      <c r="P5587" s="1564"/>
      <c r="Q5587" s="1565">
        <v>7190.28</v>
      </c>
      <c r="R5587" s="1565">
        <v>7190.28</v>
      </c>
      <c r="S5587" s="1562"/>
    </row>
    <row r="5588" spans="2:19" ht="21.75" customHeight="1" outlineLevel="1">
      <c r="B5588" s="1569" t="s">
        <v>6320</v>
      </c>
      <c r="C5588" s="1566" t="s">
        <v>2414</v>
      </c>
      <c r="D5588" s="1566" t="s">
        <v>6319</v>
      </c>
      <c r="E5588" s="1566" t="s">
        <v>2219</v>
      </c>
      <c r="F5588" s="1566" t="s">
        <v>2818</v>
      </c>
      <c r="G5588" s="1566" t="s">
        <v>6318</v>
      </c>
      <c r="H5588" s="1568">
        <v>1</v>
      </c>
      <c r="I5588" s="1571">
        <v>8</v>
      </c>
      <c r="J5588" s="1566"/>
      <c r="K5588" s="1565">
        <v>2165.59</v>
      </c>
      <c r="L5588" s="1565">
        <v>2165.59</v>
      </c>
      <c r="M5588" s="1564"/>
      <c r="N5588" s="1565">
        <v>2165.59</v>
      </c>
      <c r="O5588" s="1565">
        <v>1924.99</v>
      </c>
      <c r="P5588" s="1564"/>
      <c r="Q5588" s="1572">
        <v>240.6</v>
      </c>
      <c r="R5588" s="1572">
        <v>240.6</v>
      </c>
      <c r="S5588" s="1562"/>
    </row>
    <row r="5589" spans="2:19" ht="21.75" customHeight="1" outlineLevel="1">
      <c r="B5589" s="1569" t="s">
        <v>6317</v>
      </c>
      <c r="C5589" s="1566" t="s">
        <v>2414</v>
      </c>
      <c r="D5589" s="1566" t="s">
        <v>6316</v>
      </c>
      <c r="E5589" s="1566" t="s">
        <v>2219</v>
      </c>
      <c r="F5589" s="1566" t="s">
        <v>2818</v>
      </c>
      <c r="G5589" s="1566" t="s">
        <v>6315</v>
      </c>
      <c r="H5589" s="1568">
        <v>1</v>
      </c>
      <c r="I5589" s="1571">
        <v>13</v>
      </c>
      <c r="J5589" s="1566"/>
      <c r="K5589" s="1565">
        <v>5027.26</v>
      </c>
      <c r="L5589" s="1565">
        <v>5027.26</v>
      </c>
      <c r="M5589" s="1564"/>
      <c r="N5589" s="1565">
        <v>5027.26</v>
      </c>
      <c r="O5589" s="1565">
        <v>4468.66</v>
      </c>
      <c r="P5589" s="1564"/>
      <c r="Q5589" s="1572">
        <v>558.6</v>
      </c>
      <c r="R5589" s="1572">
        <v>558.6</v>
      </c>
      <c r="S5589" s="1562"/>
    </row>
    <row r="5590" spans="2:19" ht="21.75" customHeight="1" outlineLevel="1">
      <c r="B5590" s="1569" t="s">
        <v>6314</v>
      </c>
      <c r="C5590" s="1566" t="s">
        <v>2414</v>
      </c>
      <c r="D5590" s="1566" t="s">
        <v>6313</v>
      </c>
      <c r="E5590" s="1566" t="s">
        <v>2219</v>
      </c>
      <c r="F5590" s="1566" t="s">
        <v>2818</v>
      </c>
      <c r="G5590" s="1566" t="s">
        <v>6312</v>
      </c>
      <c r="H5590" s="1568">
        <v>1</v>
      </c>
      <c r="I5590" s="1571">
        <v>38</v>
      </c>
      <c r="J5590" s="1566"/>
      <c r="K5590" s="1565">
        <v>14695.06</v>
      </c>
      <c r="L5590" s="1565">
        <v>14695.06</v>
      </c>
      <c r="M5590" s="1564"/>
      <c r="N5590" s="1565">
        <v>14695.06</v>
      </c>
      <c r="O5590" s="1565">
        <v>13062.24</v>
      </c>
      <c r="P5590" s="1564"/>
      <c r="Q5590" s="1565">
        <v>1632.82</v>
      </c>
      <c r="R5590" s="1565">
        <v>1632.82</v>
      </c>
      <c r="S5590" s="1562"/>
    </row>
    <row r="5591" spans="2:19" ht="21.75" customHeight="1" outlineLevel="1">
      <c r="B5591" s="1569" t="s">
        <v>6311</v>
      </c>
      <c r="C5591" s="1566" t="s">
        <v>2414</v>
      </c>
      <c r="D5591" s="1566" t="s">
        <v>6310</v>
      </c>
      <c r="E5591" s="1566" t="s">
        <v>2219</v>
      </c>
      <c r="F5591" s="1566" t="s">
        <v>2818</v>
      </c>
      <c r="G5591" s="1566" t="s">
        <v>6309</v>
      </c>
      <c r="H5591" s="1568">
        <v>1</v>
      </c>
      <c r="I5591" s="1571">
        <v>27</v>
      </c>
      <c r="J5591" s="1566"/>
      <c r="K5591" s="1565">
        <v>10441.219999999999</v>
      </c>
      <c r="L5591" s="1565">
        <v>10441.219999999999</v>
      </c>
      <c r="M5591" s="1564"/>
      <c r="N5591" s="1565">
        <v>10441.219999999999</v>
      </c>
      <c r="O5591" s="1565">
        <v>9281.06</v>
      </c>
      <c r="P5591" s="1564"/>
      <c r="Q5591" s="1565">
        <v>1160.1600000000001</v>
      </c>
      <c r="R5591" s="1565">
        <v>1160.1600000000001</v>
      </c>
      <c r="S5591" s="1562"/>
    </row>
    <row r="5592" spans="2:19" ht="21.75" customHeight="1" outlineLevel="1">
      <c r="B5592" s="1569" t="s">
        <v>6308</v>
      </c>
      <c r="C5592" s="1566" t="s">
        <v>2414</v>
      </c>
      <c r="D5592" s="1566" t="s">
        <v>6307</v>
      </c>
      <c r="E5592" s="1566" t="s">
        <v>2219</v>
      </c>
      <c r="F5592" s="1566" t="s">
        <v>6306</v>
      </c>
      <c r="G5592" s="1566" t="s">
        <v>6305</v>
      </c>
      <c r="H5592" s="1568">
        <v>1</v>
      </c>
      <c r="I5592" s="1571">
        <v>92</v>
      </c>
      <c r="J5592" s="1566"/>
      <c r="K5592" s="1565">
        <v>35577.5</v>
      </c>
      <c r="L5592" s="1565">
        <v>35577.5</v>
      </c>
      <c r="M5592" s="1564"/>
      <c r="N5592" s="1565">
        <v>35577.5</v>
      </c>
      <c r="O5592" s="1565">
        <v>31624.46</v>
      </c>
      <c r="P5592" s="1564"/>
      <c r="Q5592" s="1565">
        <v>3953.04</v>
      </c>
      <c r="R5592" s="1565">
        <v>3953.04</v>
      </c>
      <c r="S5592" s="1562"/>
    </row>
    <row r="5593" spans="2:19" ht="21.75" customHeight="1" outlineLevel="1">
      <c r="B5593" s="1569" t="s">
        <v>6304</v>
      </c>
      <c r="C5593" s="1566" t="s">
        <v>2414</v>
      </c>
      <c r="D5593" s="1566" t="s">
        <v>6303</v>
      </c>
      <c r="E5593" s="1566" t="s">
        <v>2219</v>
      </c>
      <c r="F5593" s="1566" t="s">
        <v>2814</v>
      </c>
      <c r="G5593" s="1566"/>
      <c r="H5593" s="1568">
        <v>1</v>
      </c>
      <c r="I5593" s="1571">
        <v>165</v>
      </c>
      <c r="J5593" s="1566"/>
      <c r="K5593" s="1565">
        <v>61516.46</v>
      </c>
      <c r="L5593" s="1565">
        <v>61516.46</v>
      </c>
      <c r="M5593" s="1564"/>
      <c r="N5593" s="1565">
        <v>61516.46</v>
      </c>
      <c r="O5593" s="1565">
        <v>54681.26</v>
      </c>
      <c r="P5593" s="1564"/>
      <c r="Q5593" s="1565">
        <v>6835.2</v>
      </c>
      <c r="R5593" s="1565">
        <v>6835.2</v>
      </c>
      <c r="S5593" s="1562"/>
    </row>
    <row r="5594" spans="2:19" ht="21.75" customHeight="1" outlineLevel="1">
      <c r="B5594" s="1569" t="s">
        <v>6302</v>
      </c>
      <c r="C5594" s="1566" t="s">
        <v>2414</v>
      </c>
      <c r="D5594" s="1566" t="s">
        <v>6301</v>
      </c>
      <c r="E5594" s="1566" t="s">
        <v>2219</v>
      </c>
      <c r="F5594" s="1566" t="s">
        <v>2814</v>
      </c>
      <c r="G5594" s="1566"/>
      <c r="H5594" s="1568">
        <v>1</v>
      </c>
      <c r="I5594" s="1571">
        <v>21</v>
      </c>
      <c r="J5594" s="1566"/>
      <c r="K5594" s="1565">
        <v>7158.14</v>
      </c>
      <c r="L5594" s="1565">
        <v>7158.14</v>
      </c>
      <c r="M5594" s="1564"/>
      <c r="N5594" s="1565">
        <v>7158.14</v>
      </c>
      <c r="O5594" s="1565">
        <v>6362.78</v>
      </c>
      <c r="P5594" s="1564"/>
      <c r="Q5594" s="1572">
        <v>795.36</v>
      </c>
      <c r="R5594" s="1572">
        <v>795.36</v>
      </c>
      <c r="S5594" s="1562"/>
    </row>
    <row r="5595" spans="2:19" ht="21.75" customHeight="1" outlineLevel="1">
      <c r="B5595" s="1569" t="s">
        <v>6300</v>
      </c>
      <c r="C5595" s="1566" t="s">
        <v>2414</v>
      </c>
      <c r="D5595" s="1566" t="s">
        <v>6299</v>
      </c>
      <c r="E5595" s="1566" t="s">
        <v>2219</v>
      </c>
      <c r="F5595" s="1566" t="s">
        <v>2814</v>
      </c>
      <c r="G5595" s="1566"/>
      <c r="H5595" s="1568">
        <v>1</v>
      </c>
      <c r="I5595" s="1571">
        <v>13</v>
      </c>
      <c r="J5595" s="1566"/>
      <c r="K5595" s="1565">
        <v>8654.91</v>
      </c>
      <c r="L5595" s="1565">
        <v>8654.91</v>
      </c>
      <c r="M5595" s="1564"/>
      <c r="N5595" s="1565">
        <v>8654.91</v>
      </c>
      <c r="O5595" s="1565">
        <v>7693.23</v>
      </c>
      <c r="P5595" s="1564"/>
      <c r="Q5595" s="1572">
        <v>961.68</v>
      </c>
      <c r="R5595" s="1572">
        <v>961.68</v>
      </c>
      <c r="S5595" s="1562"/>
    </row>
    <row r="5596" spans="2:19" ht="21.75" customHeight="1" outlineLevel="1">
      <c r="B5596" s="1569" t="s">
        <v>6298</v>
      </c>
      <c r="C5596" s="1566" t="s">
        <v>2414</v>
      </c>
      <c r="D5596" s="1566" t="s">
        <v>6297</v>
      </c>
      <c r="E5596" s="1566" t="s">
        <v>2219</v>
      </c>
      <c r="F5596" s="1566" t="s">
        <v>2814</v>
      </c>
      <c r="G5596" s="1566"/>
      <c r="H5596" s="1568">
        <v>1</v>
      </c>
      <c r="I5596" s="1571">
        <v>83</v>
      </c>
      <c r="J5596" s="1566"/>
      <c r="K5596" s="1565">
        <v>48145.64</v>
      </c>
      <c r="L5596" s="1565">
        <v>48145.64</v>
      </c>
      <c r="M5596" s="1564"/>
      <c r="N5596" s="1565">
        <v>48145.64</v>
      </c>
      <c r="O5596" s="1565">
        <v>42796.160000000003</v>
      </c>
      <c r="P5596" s="1564"/>
      <c r="Q5596" s="1565">
        <v>5349.48</v>
      </c>
      <c r="R5596" s="1565">
        <v>5349.48</v>
      </c>
      <c r="S5596" s="1562"/>
    </row>
    <row r="5597" spans="2:19" ht="21.75" customHeight="1" outlineLevel="1">
      <c r="B5597" s="1569" t="s">
        <v>6296</v>
      </c>
      <c r="C5597" s="1566" t="s">
        <v>2414</v>
      </c>
      <c r="D5597" s="1566" t="s">
        <v>6295</v>
      </c>
      <c r="E5597" s="1566" t="s">
        <v>2219</v>
      </c>
      <c r="F5597" s="1566" t="s">
        <v>2814</v>
      </c>
      <c r="G5597" s="1566"/>
      <c r="H5597" s="1568">
        <v>1</v>
      </c>
      <c r="I5597" s="1571">
        <v>88</v>
      </c>
      <c r="J5597" s="1566"/>
      <c r="K5597" s="1565">
        <v>34030.660000000003</v>
      </c>
      <c r="L5597" s="1565">
        <v>34030.660000000003</v>
      </c>
      <c r="M5597" s="1564"/>
      <c r="N5597" s="1565">
        <v>34030.660000000003</v>
      </c>
      <c r="O5597" s="1565">
        <v>30249.46</v>
      </c>
      <c r="P5597" s="1564"/>
      <c r="Q5597" s="1565">
        <v>3781.2</v>
      </c>
      <c r="R5597" s="1565">
        <v>3781.2</v>
      </c>
      <c r="S5597" s="1562"/>
    </row>
    <row r="5598" spans="2:19" ht="21.75" customHeight="1" outlineLevel="1">
      <c r="B5598" s="1569" t="s">
        <v>6294</v>
      </c>
      <c r="C5598" s="1566" t="s">
        <v>2414</v>
      </c>
      <c r="D5598" s="1566" t="s">
        <v>6293</v>
      </c>
      <c r="E5598" s="1566" t="s">
        <v>2219</v>
      </c>
      <c r="F5598" s="1566" t="s">
        <v>2814</v>
      </c>
      <c r="G5598" s="1566"/>
      <c r="H5598" s="1568">
        <v>1</v>
      </c>
      <c r="I5598" s="1571">
        <v>43</v>
      </c>
      <c r="J5598" s="1566"/>
      <c r="K5598" s="1565">
        <v>16628.62</v>
      </c>
      <c r="L5598" s="1565">
        <v>16628.62</v>
      </c>
      <c r="M5598" s="1564"/>
      <c r="N5598" s="1565">
        <v>16628.62</v>
      </c>
      <c r="O5598" s="1565">
        <v>14780.98</v>
      </c>
      <c r="P5598" s="1564"/>
      <c r="Q5598" s="1565">
        <v>1847.64</v>
      </c>
      <c r="R5598" s="1565">
        <v>1847.64</v>
      </c>
      <c r="S5598" s="1562"/>
    </row>
    <row r="5599" spans="2:19" ht="21.75" customHeight="1" outlineLevel="1">
      <c r="B5599" s="1569" t="s">
        <v>6292</v>
      </c>
      <c r="C5599" s="1566" t="s">
        <v>2414</v>
      </c>
      <c r="D5599" s="1566" t="s">
        <v>6291</v>
      </c>
      <c r="E5599" s="1566" t="s">
        <v>2219</v>
      </c>
      <c r="F5599" s="1566" t="s">
        <v>2814</v>
      </c>
      <c r="G5599" s="1566"/>
      <c r="H5599" s="1568">
        <v>1</v>
      </c>
      <c r="I5599" s="1571">
        <v>176</v>
      </c>
      <c r="J5599" s="1566"/>
      <c r="K5599" s="1565">
        <v>136122.62</v>
      </c>
      <c r="L5599" s="1565">
        <v>136122.62</v>
      </c>
      <c r="M5599" s="1564"/>
      <c r="N5599" s="1565">
        <v>136122.62</v>
      </c>
      <c r="O5599" s="1565">
        <v>120997.92</v>
      </c>
      <c r="P5599" s="1564"/>
      <c r="Q5599" s="1565">
        <v>15124.7</v>
      </c>
      <c r="R5599" s="1565">
        <v>15124.7</v>
      </c>
      <c r="S5599" s="1562"/>
    </row>
    <row r="5600" spans="2:19" ht="21.75" customHeight="1" outlineLevel="1">
      <c r="B5600" s="1569" t="s">
        <v>6290</v>
      </c>
      <c r="C5600" s="1566" t="s">
        <v>2414</v>
      </c>
      <c r="D5600" s="1566" t="s">
        <v>6289</v>
      </c>
      <c r="E5600" s="1566" t="s">
        <v>2219</v>
      </c>
      <c r="F5600" s="1566" t="s">
        <v>2809</v>
      </c>
      <c r="G5600" s="1566"/>
      <c r="H5600" s="1568">
        <v>1</v>
      </c>
      <c r="I5600" s="1571">
        <v>9</v>
      </c>
      <c r="J5600" s="1566"/>
      <c r="K5600" s="1565">
        <v>2436.29</v>
      </c>
      <c r="L5600" s="1565">
        <v>2436.29</v>
      </c>
      <c r="M5600" s="1564"/>
      <c r="N5600" s="1565">
        <v>2436.29</v>
      </c>
      <c r="O5600" s="1565">
        <v>2165.5700000000002</v>
      </c>
      <c r="P5600" s="1564"/>
      <c r="Q5600" s="1572">
        <v>270.72000000000003</v>
      </c>
      <c r="R5600" s="1572">
        <v>270.72000000000003</v>
      </c>
      <c r="S5600" s="1562"/>
    </row>
    <row r="5601" spans="2:19" ht="21.75" customHeight="1" outlineLevel="1">
      <c r="B5601" s="1569" t="s">
        <v>6288</v>
      </c>
      <c r="C5601" s="1566" t="s">
        <v>2414</v>
      </c>
      <c r="D5601" s="1566" t="s">
        <v>6287</v>
      </c>
      <c r="E5601" s="1566" t="s">
        <v>2219</v>
      </c>
      <c r="F5601" s="1566" t="s">
        <v>2814</v>
      </c>
      <c r="G5601" s="1566"/>
      <c r="H5601" s="1568">
        <v>1</v>
      </c>
      <c r="I5601" s="1571">
        <v>122</v>
      </c>
      <c r="J5601" s="1566"/>
      <c r="K5601" s="1565">
        <v>118079.01</v>
      </c>
      <c r="L5601" s="1565">
        <v>118079.01</v>
      </c>
      <c r="M5601" s="1564"/>
      <c r="N5601" s="1565">
        <v>118079.01</v>
      </c>
      <c r="O5601" s="1565">
        <v>104959.17</v>
      </c>
      <c r="P5601" s="1564"/>
      <c r="Q5601" s="1565">
        <v>13119.84</v>
      </c>
      <c r="R5601" s="1565">
        <v>13119.84</v>
      </c>
      <c r="S5601" s="1562"/>
    </row>
    <row r="5602" spans="2:19" ht="21.75" customHeight="1" outlineLevel="1">
      <c r="B5602" s="1569" t="s">
        <v>6286</v>
      </c>
      <c r="C5602" s="1566" t="s">
        <v>2414</v>
      </c>
      <c r="D5602" s="1566" t="s">
        <v>6285</v>
      </c>
      <c r="E5602" s="1566" t="s">
        <v>2219</v>
      </c>
      <c r="F5602" s="1566" t="s">
        <v>2809</v>
      </c>
      <c r="G5602" s="1566"/>
      <c r="H5602" s="1568">
        <v>1</v>
      </c>
      <c r="I5602" s="1571">
        <v>42</v>
      </c>
      <c r="J5602" s="1566"/>
      <c r="K5602" s="1565">
        <v>23488.1</v>
      </c>
      <c r="L5602" s="1565">
        <v>23488.1</v>
      </c>
      <c r="M5602" s="1564"/>
      <c r="N5602" s="1565">
        <v>23488.1</v>
      </c>
      <c r="O5602" s="1565">
        <v>20878.34</v>
      </c>
      <c r="P5602" s="1564"/>
      <c r="Q5602" s="1565">
        <v>2609.7600000000002</v>
      </c>
      <c r="R5602" s="1565">
        <v>2609.7600000000002</v>
      </c>
      <c r="S5602" s="1562"/>
    </row>
    <row r="5603" spans="2:19" ht="21.75" customHeight="1" outlineLevel="1">
      <c r="B5603" s="1569" t="s">
        <v>6284</v>
      </c>
      <c r="C5603" s="1566" t="s">
        <v>2414</v>
      </c>
      <c r="D5603" s="1566" t="s">
        <v>6283</v>
      </c>
      <c r="E5603" s="1566" t="s">
        <v>2219</v>
      </c>
      <c r="F5603" s="1566" t="s">
        <v>2814</v>
      </c>
      <c r="G5603" s="1566"/>
      <c r="H5603" s="1568">
        <v>1</v>
      </c>
      <c r="I5603" s="1571">
        <v>84</v>
      </c>
      <c r="J5603" s="1566"/>
      <c r="K5603" s="1565">
        <v>67108.86</v>
      </c>
      <c r="L5603" s="1565">
        <v>67108.86</v>
      </c>
      <c r="M5603" s="1564"/>
      <c r="N5603" s="1565">
        <v>67108.86</v>
      </c>
      <c r="O5603" s="1565">
        <v>59652.3</v>
      </c>
      <c r="P5603" s="1564"/>
      <c r="Q5603" s="1565">
        <v>7456.56</v>
      </c>
      <c r="R5603" s="1565">
        <v>7456.56</v>
      </c>
      <c r="S5603" s="1562"/>
    </row>
    <row r="5604" spans="2:19" ht="21.75" customHeight="1" outlineLevel="1">
      <c r="B5604" s="1569" t="s">
        <v>6282</v>
      </c>
      <c r="C5604" s="1566" t="s">
        <v>2414</v>
      </c>
      <c r="D5604" s="1566" t="s">
        <v>6281</v>
      </c>
      <c r="E5604" s="1566" t="s">
        <v>2219</v>
      </c>
      <c r="F5604" s="1566" t="s">
        <v>2814</v>
      </c>
      <c r="G5604" s="1566"/>
      <c r="H5604" s="1568">
        <v>1</v>
      </c>
      <c r="I5604" s="1571">
        <v>77</v>
      </c>
      <c r="J5604" s="1566"/>
      <c r="K5604" s="1565">
        <v>14353.84</v>
      </c>
      <c r="L5604" s="1565">
        <v>14353.84</v>
      </c>
      <c r="M5604" s="1564"/>
      <c r="N5604" s="1565">
        <v>14353.84</v>
      </c>
      <c r="O5604" s="1565">
        <v>12758.92</v>
      </c>
      <c r="P5604" s="1564"/>
      <c r="Q5604" s="1565">
        <v>1594.92</v>
      </c>
      <c r="R5604" s="1565">
        <v>1594.92</v>
      </c>
      <c r="S5604" s="1562"/>
    </row>
    <row r="5605" spans="2:19" ht="21.75" customHeight="1" outlineLevel="1">
      <c r="B5605" s="1569" t="s">
        <v>6280</v>
      </c>
      <c r="C5605" s="1566" t="s">
        <v>2414</v>
      </c>
      <c r="D5605" s="1566" t="s">
        <v>6279</v>
      </c>
      <c r="E5605" s="1566" t="s">
        <v>2219</v>
      </c>
      <c r="F5605" s="1566" t="s">
        <v>2814</v>
      </c>
      <c r="G5605" s="1566"/>
      <c r="H5605" s="1568">
        <v>1</v>
      </c>
      <c r="I5605" s="1571">
        <v>21</v>
      </c>
      <c r="J5605" s="1566"/>
      <c r="K5605" s="1565">
        <v>21474.43</v>
      </c>
      <c r="L5605" s="1565">
        <v>21474.43</v>
      </c>
      <c r="M5605" s="1564"/>
      <c r="N5605" s="1565">
        <v>21474.43</v>
      </c>
      <c r="O5605" s="1565">
        <v>19088.349999999999</v>
      </c>
      <c r="P5605" s="1564"/>
      <c r="Q5605" s="1565">
        <v>2386.08</v>
      </c>
      <c r="R5605" s="1565">
        <v>2386.08</v>
      </c>
      <c r="S5605" s="1562"/>
    </row>
    <row r="5606" spans="2:19" ht="21.75" customHeight="1" outlineLevel="1">
      <c r="B5606" s="1569" t="s">
        <v>6278</v>
      </c>
      <c r="C5606" s="1566" t="s">
        <v>2414</v>
      </c>
      <c r="D5606" s="1566" t="s">
        <v>6277</v>
      </c>
      <c r="E5606" s="1566" t="s">
        <v>2219</v>
      </c>
      <c r="F5606" s="1566" t="s">
        <v>2814</v>
      </c>
      <c r="G5606" s="1566"/>
      <c r="H5606" s="1568">
        <v>1</v>
      </c>
      <c r="I5606" s="1571">
        <v>104</v>
      </c>
      <c r="J5606" s="1566"/>
      <c r="K5606" s="1565">
        <v>80436.100000000006</v>
      </c>
      <c r="L5606" s="1565">
        <v>80436.100000000006</v>
      </c>
      <c r="M5606" s="1564"/>
      <c r="N5606" s="1565">
        <v>80436.100000000006</v>
      </c>
      <c r="O5606" s="1565">
        <v>71498.740000000005</v>
      </c>
      <c r="P5606" s="1564"/>
      <c r="Q5606" s="1565">
        <v>8937.36</v>
      </c>
      <c r="R5606" s="1565">
        <v>8937.36</v>
      </c>
      <c r="S5606" s="1562"/>
    </row>
    <row r="5607" spans="2:19" ht="21.75" customHeight="1" outlineLevel="1">
      <c r="B5607" s="1569" t="s">
        <v>6276</v>
      </c>
      <c r="C5607" s="1566" t="s">
        <v>2414</v>
      </c>
      <c r="D5607" s="1566" t="s">
        <v>6275</v>
      </c>
      <c r="E5607" s="1566" t="s">
        <v>2219</v>
      </c>
      <c r="F5607" s="1566" t="s">
        <v>6274</v>
      </c>
      <c r="G5607" s="1566"/>
      <c r="H5607" s="1568">
        <v>1</v>
      </c>
      <c r="I5607" s="1571">
        <v>812</v>
      </c>
      <c r="J5607" s="1566"/>
      <c r="K5607" s="1565">
        <v>219807.1</v>
      </c>
      <c r="L5607" s="1565">
        <v>219807.1</v>
      </c>
      <c r="M5607" s="1564"/>
      <c r="N5607" s="1565">
        <v>219807.1</v>
      </c>
      <c r="O5607" s="1565">
        <v>195384.1</v>
      </c>
      <c r="P5607" s="1564"/>
      <c r="Q5607" s="1565">
        <v>24423</v>
      </c>
      <c r="R5607" s="1565">
        <v>24423</v>
      </c>
      <c r="S5607" s="1562"/>
    </row>
    <row r="5608" spans="2:19" ht="11.25" customHeight="1" outlineLevel="1">
      <c r="B5608" s="1569" t="s">
        <v>6273</v>
      </c>
      <c r="C5608" s="1566" t="s">
        <v>2414</v>
      </c>
      <c r="D5608" s="1566" t="s">
        <v>6272</v>
      </c>
      <c r="E5608" s="1566" t="s">
        <v>2219</v>
      </c>
      <c r="F5608" s="1566" t="s">
        <v>2796</v>
      </c>
      <c r="G5608" s="1566"/>
      <c r="H5608" s="1568">
        <v>1</v>
      </c>
      <c r="I5608" s="1571">
        <v>32</v>
      </c>
      <c r="J5608" s="1566"/>
      <c r="K5608" s="1565">
        <v>8662.35</v>
      </c>
      <c r="L5608" s="1565">
        <v>8662.35</v>
      </c>
      <c r="M5608" s="1564"/>
      <c r="N5608" s="1565">
        <v>8662.35</v>
      </c>
      <c r="O5608" s="1565">
        <v>7699.83</v>
      </c>
      <c r="P5608" s="1564"/>
      <c r="Q5608" s="1572">
        <v>962.52</v>
      </c>
      <c r="R5608" s="1572">
        <v>962.52</v>
      </c>
      <c r="S5608" s="1562"/>
    </row>
    <row r="5609" spans="2:19" ht="21.75" customHeight="1" outlineLevel="1">
      <c r="B5609" s="1569" t="s">
        <v>6271</v>
      </c>
      <c r="C5609" s="1566" t="s">
        <v>2414</v>
      </c>
      <c r="D5609" s="1566" t="s">
        <v>6270</v>
      </c>
      <c r="E5609" s="1566" t="s">
        <v>2219</v>
      </c>
      <c r="F5609" s="1566" t="s">
        <v>2796</v>
      </c>
      <c r="G5609" s="1566"/>
      <c r="H5609" s="1568">
        <v>1</v>
      </c>
      <c r="I5609" s="1571">
        <v>28</v>
      </c>
      <c r="J5609" s="1566"/>
      <c r="K5609" s="1565">
        <v>15159.11</v>
      </c>
      <c r="L5609" s="1565">
        <v>15159.11</v>
      </c>
      <c r="M5609" s="1564"/>
      <c r="N5609" s="1565">
        <v>15159.11</v>
      </c>
      <c r="O5609" s="1565">
        <v>13474.79</v>
      </c>
      <c r="P5609" s="1564"/>
      <c r="Q5609" s="1565">
        <v>1684.32</v>
      </c>
      <c r="R5609" s="1565">
        <v>1684.32</v>
      </c>
      <c r="S5609" s="1562"/>
    </row>
    <row r="5610" spans="2:19" ht="11.25" customHeight="1" outlineLevel="1">
      <c r="B5610" s="1569" t="s">
        <v>6269</v>
      </c>
      <c r="C5610" s="1566" t="s">
        <v>2414</v>
      </c>
      <c r="D5610" s="1566" t="s">
        <v>6268</v>
      </c>
      <c r="E5610" s="1566" t="s">
        <v>2219</v>
      </c>
      <c r="F5610" s="1566" t="s">
        <v>2796</v>
      </c>
      <c r="G5610" s="1566"/>
      <c r="H5610" s="1568">
        <v>1</v>
      </c>
      <c r="I5610" s="1571">
        <v>842</v>
      </c>
      <c r="J5610" s="1566"/>
      <c r="K5610" s="1565">
        <v>336343.22</v>
      </c>
      <c r="L5610" s="1565">
        <v>336343.22</v>
      </c>
      <c r="M5610" s="1564"/>
      <c r="N5610" s="1565">
        <v>336343.22</v>
      </c>
      <c r="O5610" s="1565">
        <v>298971.74</v>
      </c>
      <c r="P5610" s="1564"/>
      <c r="Q5610" s="1565">
        <v>37371.480000000003</v>
      </c>
      <c r="R5610" s="1565">
        <v>37371.480000000003</v>
      </c>
      <c r="S5610" s="1562"/>
    </row>
    <row r="5611" spans="2:19" ht="21.75" customHeight="1" outlineLevel="1">
      <c r="B5611" s="1569" t="s">
        <v>6267</v>
      </c>
      <c r="C5611" s="1566" t="s">
        <v>2414</v>
      </c>
      <c r="D5611" s="1566" t="s">
        <v>6266</v>
      </c>
      <c r="E5611" s="1566" t="s">
        <v>2219</v>
      </c>
      <c r="F5611" s="1566" t="s">
        <v>2796</v>
      </c>
      <c r="G5611" s="1566"/>
      <c r="H5611" s="1566"/>
      <c r="I5611" s="1571">
        <v>15</v>
      </c>
      <c r="J5611" s="1566"/>
      <c r="K5611" s="1565">
        <v>11601.36</v>
      </c>
      <c r="L5611" s="1565">
        <v>11601.36</v>
      </c>
      <c r="M5611" s="1564"/>
      <c r="N5611" s="1565">
        <v>11601.36</v>
      </c>
      <c r="O5611" s="1565">
        <v>10312.32</v>
      </c>
      <c r="P5611" s="1564"/>
      <c r="Q5611" s="1565">
        <v>1289.04</v>
      </c>
      <c r="R5611" s="1565">
        <v>1289.04</v>
      </c>
      <c r="S5611" s="1562"/>
    </row>
    <row r="5612" spans="2:19" ht="21.75" customHeight="1" outlineLevel="1">
      <c r="B5612" s="1569" t="s">
        <v>6265</v>
      </c>
      <c r="C5612" s="1566" t="s">
        <v>2414</v>
      </c>
      <c r="D5612" s="1566" t="s">
        <v>6264</v>
      </c>
      <c r="E5612" s="1566" t="s">
        <v>2219</v>
      </c>
      <c r="F5612" s="1566" t="s">
        <v>2796</v>
      </c>
      <c r="G5612" s="1566"/>
      <c r="H5612" s="1568">
        <v>1</v>
      </c>
      <c r="I5612" s="1571">
        <v>10</v>
      </c>
      <c r="J5612" s="1566"/>
      <c r="K5612" s="1565">
        <v>1193.02</v>
      </c>
      <c r="L5612" s="1565">
        <v>1193.02</v>
      </c>
      <c r="M5612" s="1564"/>
      <c r="N5612" s="1565">
        <v>1193.02</v>
      </c>
      <c r="O5612" s="1565">
        <v>1060.42</v>
      </c>
      <c r="P5612" s="1564"/>
      <c r="Q5612" s="1572">
        <v>132.6</v>
      </c>
      <c r="R5612" s="1572">
        <v>132.6</v>
      </c>
      <c r="S5612" s="1562"/>
    </row>
    <row r="5613" spans="2:19" ht="21.75" customHeight="1" outlineLevel="1">
      <c r="B5613" s="1569" t="s">
        <v>6263</v>
      </c>
      <c r="C5613" s="1566" t="s">
        <v>2414</v>
      </c>
      <c r="D5613" s="1566" t="s">
        <v>6262</v>
      </c>
      <c r="E5613" s="1566" t="s">
        <v>2219</v>
      </c>
      <c r="F5613" s="1566" t="s">
        <v>2796</v>
      </c>
      <c r="G5613" s="1566"/>
      <c r="H5613" s="1568">
        <v>1</v>
      </c>
      <c r="I5613" s="1571">
        <v>12</v>
      </c>
      <c r="J5613" s="1566"/>
      <c r="K5613" s="1565">
        <v>2045.18</v>
      </c>
      <c r="L5613" s="1565">
        <v>2045.18</v>
      </c>
      <c r="M5613" s="1564"/>
      <c r="N5613" s="1565">
        <v>2045.18</v>
      </c>
      <c r="O5613" s="1565">
        <v>1817.9</v>
      </c>
      <c r="P5613" s="1564"/>
      <c r="Q5613" s="1572">
        <v>227.28</v>
      </c>
      <c r="R5613" s="1572">
        <v>227.28</v>
      </c>
      <c r="S5613" s="1562"/>
    </row>
    <row r="5614" spans="2:19" ht="21.75" customHeight="1" outlineLevel="1">
      <c r="B5614" s="1569" t="s">
        <v>6261</v>
      </c>
      <c r="C5614" s="1566" t="s">
        <v>2414</v>
      </c>
      <c r="D5614" s="1566" t="s">
        <v>6260</v>
      </c>
      <c r="E5614" s="1566" t="s">
        <v>2219</v>
      </c>
      <c r="F5614" s="1566" t="s">
        <v>2796</v>
      </c>
      <c r="G5614" s="1566"/>
      <c r="H5614" s="1568">
        <v>1</v>
      </c>
      <c r="I5614" s="1571">
        <v>19</v>
      </c>
      <c r="J5614" s="1566"/>
      <c r="K5614" s="1565">
        <v>10286.540000000001</v>
      </c>
      <c r="L5614" s="1565">
        <v>10286.540000000001</v>
      </c>
      <c r="M5614" s="1564"/>
      <c r="N5614" s="1565">
        <v>10286.540000000001</v>
      </c>
      <c r="O5614" s="1565">
        <v>9143.5400000000009</v>
      </c>
      <c r="P5614" s="1564"/>
      <c r="Q5614" s="1565">
        <v>1143</v>
      </c>
      <c r="R5614" s="1565">
        <v>1143</v>
      </c>
      <c r="S5614" s="1562"/>
    </row>
    <row r="5615" spans="2:19" ht="21.75" customHeight="1" outlineLevel="1">
      <c r="B5615" s="1569" t="s">
        <v>6259</v>
      </c>
      <c r="C5615" s="1566" t="s">
        <v>2414</v>
      </c>
      <c r="D5615" s="1566" t="s">
        <v>6258</v>
      </c>
      <c r="E5615" s="1566" t="s">
        <v>2219</v>
      </c>
      <c r="F5615" s="1566" t="s">
        <v>2796</v>
      </c>
      <c r="G5615" s="1566"/>
      <c r="H5615" s="1568">
        <v>1</v>
      </c>
      <c r="I5615" s="1571">
        <v>70</v>
      </c>
      <c r="J5615" s="1566"/>
      <c r="K5615" s="1565">
        <v>54139.68</v>
      </c>
      <c r="L5615" s="1565">
        <v>54139.68</v>
      </c>
      <c r="M5615" s="1564"/>
      <c r="N5615" s="1565">
        <v>54139.68</v>
      </c>
      <c r="O5615" s="1565">
        <v>48124.2</v>
      </c>
      <c r="P5615" s="1564"/>
      <c r="Q5615" s="1565">
        <v>6015.48</v>
      </c>
      <c r="R5615" s="1565">
        <v>6015.48</v>
      </c>
      <c r="S5615" s="1562"/>
    </row>
    <row r="5616" spans="2:19" ht="21.75" customHeight="1" outlineLevel="1">
      <c r="B5616" s="1569" t="s">
        <v>6257</v>
      </c>
      <c r="C5616" s="1566" t="s">
        <v>2414</v>
      </c>
      <c r="D5616" s="1566" t="s">
        <v>6256</v>
      </c>
      <c r="E5616" s="1566" t="s">
        <v>2219</v>
      </c>
      <c r="F5616" s="1566" t="s">
        <v>2796</v>
      </c>
      <c r="G5616" s="1566"/>
      <c r="H5616" s="1568">
        <v>1</v>
      </c>
      <c r="I5616" s="1571">
        <v>126</v>
      </c>
      <c r="J5616" s="1566"/>
      <c r="K5616" s="1565">
        <v>67108.86</v>
      </c>
      <c r="L5616" s="1565">
        <v>67108.86</v>
      </c>
      <c r="M5616" s="1564"/>
      <c r="N5616" s="1565">
        <v>67108.86</v>
      </c>
      <c r="O5616" s="1565">
        <v>59652.3</v>
      </c>
      <c r="P5616" s="1564"/>
      <c r="Q5616" s="1565">
        <v>7456.56</v>
      </c>
      <c r="R5616" s="1565">
        <v>7456.56</v>
      </c>
      <c r="S5616" s="1562"/>
    </row>
    <row r="5617" spans="2:19" ht="21.75" customHeight="1" outlineLevel="1">
      <c r="B5617" s="1569" t="s">
        <v>6255</v>
      </c>
      <c r="C5617" s="1566" t="s">
        <v>2414</v>
      </c>
      <c r="D5617" s="1566" t="s">
        <v>6254</v>
      </c>
      <c r="E5617" s="1566" t="s">
        <v>2219</v>
      </c>
      <c r="F5617" s="1566" t="s">
        <v>2781</v>
      </c>
      <c r="G5617" s="1566"/>
      <c r="H5617" s="1568">
        <v>1</v>
      </c>
      <c r="I5617" s="1566"/>
      <c r="J5617" s="1566"/>
      <c r="K5617" s="1572">
        <v>773.42</v>
      </c>
      <c r="L5617" s="1572">
        <v>773.42</v>
      </c>
      <c r="M5617" s="1564"/>
      <c r="N5617" s="1572">
        <v>773.42</v>
      </c>
      <c r="O5617" s="1572">
        <v>687.5</v>
      </c>
      <c r="P5617" s="1564"/>
      <c r="Q5617" s="1572">
        <v>85.92</v>
      </c>
      <c r="R5617" s="1572">
        <v>85.92</v>
      </c>
      <c r="S5617" s="1562"/>
    </row>
    <row r="5618" spans="2:19" ht="21.75" customHeight="1" outlineLevel="1">
      <c r="B5618" s="1569" t="s">
        <v>6253</v>
      </c>
      <c r="C5618" s="1566" t="s">
        <v>2414</v>
      </c>
      <c r="D5618" s="1566" t="s">
        <v>6252</v>
      </c>
      <c r="E5618" s="1566" t="s">
        <v>2219</v>
      </c>
      <c r="F5618" s="1566" t="s">
        <v>6229</v>
      </c>
      <c r="G5618" s="1566"/>
      <c r="H5618" s="1568">
        <v>1</v>
      </c>
      <c r="I5618" s="1566"/>
      <c r="J5618" s="1566"/>
      <c r="K5618" s="1565">
        <v>2513.63</v>
      </c>
      <c r="L5618" s="1565">
        <v>2513.63</v>
      </c>
      <c r="M5618" s="1564"/>
      <c r="N5618" s="1565">
        <v>2513.63</v>
      </c>
      <c r="O5618" s="1565">
        <v>2234.39</v>
      </c>
      <c r="P5618" s="1564"/>
      <c r="Q5618" s="1572">
        <v>279.24</v>
      </c>
      <c r="R5618" s="1572">
        <v>279.24</v>
      </c>
      <c r="S5618" s="1562"/>
    </row>
    <row r="5619" spans="2:19" ht="21.75" customHeight="1" outlineLevel="1">
      <c r="B5619" s="1569" t="s">
        <v>6251</v>
      </c>
      <c r="C5619" s="1566" t="s">
        <v>2414</v>
      </c>
      <c r="D5619" s="1566" t="s">
        <v>6250</v>
      </c>
      <c r="E5619" s="1566" t="s">
        <v>2219</v>
      </c>
      <c r="F5619" s="1566" t="s">
        <v>6229</v>
      </c>
      <c r="G5619" s="1566"/>
      <c r="H5619" s="1568">
        <v>1</v>
      </c>
      <c r="I5619" s="1566"/>
      <c r="J5619" s="1566"/>
      <c r="K5619" s="1565">
        <v>4772.1000000000004</v>
      </c>
      <c r="L5619" s="1565">
        <v>4772.1000000000004</v>
      </c>
      <c r="M5619" s="1564"/>
      <c r="N5619" s="1565">
        <v>4772.1000000000004</v>
      </c>
      <c r="O5619" s="1565">
        <v>4241.82</v>
      </c>
      <c r="P5619" s="1564"/>
      <c r="Q5619" s="1572">
        <v>530.28</v>
      </c>
      <c r="R5619" s="1572">
        <v>530.28</v>
      </c>
      <c r="S5619" s="1562"/>
    </row>
    <row r="5620" spans="2:19" ht="21.75" customHeight="1" outlineLevel="1">
      <c r="B5620" s="1569" t="s">
        <v>6249</v>
      </c>
      <c r="C5620" s="1566" t="s">
        <v>2414</v>
      </c>
      <c r="D5620" s="1566" t="s">
        <v>6248</v>
      </c>
      <c r="E5620" s="1566" t="s">
        <v>2219</v>
      </c>
      <c r="F5620" s="1566" t="s">
        <v>6229</v>
      </c>
      <c r="G5620" s="1566"/>
      <c r="H5620" s="1568">
        <v>1</v>
      </c>
      <c r="I5620" s="1566"/>
      <c r="J5620" s="1566"/>
      <c r="K5620" s="1565">
        <v>3408.64</v>
      </c>
      <c r="L5620" s="1565">
        <v>3408.64</v>
      </c>
      <c r="M5620" s="1564"/>
      <c r="N5620" s="1565">
        <v>3408.64</v>
      </c>
      <c r="O5620" s="1565">
        <v>3029.92</v>
      </c>
      <c r="P5620" s="1564"/>
      <c r="Q5620" s="1572">
        <v>378.72</v>
      </c>
      <c r="R5620" s="1572">
        <v>378.72</v>
      </c>
      <c r="S5620" s="1562"/>
    </row>
    <row r="5621" spans="2:19" ht="21.75" customHeight="1" outlineLevel="1">
      <c r="B5621" s="1569" t="s">
        <v>6247</v>
      </c>
      <c r="C5621" s="1566" t="s">
        <v>2414</v>
      </c>
      <c r="D5621" s="1566" t="s">
        <v>6246</v>
      </c>
      <c r="E5621" s="1566" t="s">
        <v>2219</v>
      </c>
      <c r="F5621" s="1566" t="s">
        <v>2781</v>
      </c>
      <c r="G5621" s="1566"/>
      <c r="H5621" s="1566"/>
      <c r="I5621" s="1566"/>
      <c r="J5621" s="1566"/>
      <c r="K5621" s="1565">
        <v>626349.36</v>
      </c>
      <c r="L5621" s="1565">
        <v>626349.36</v>
      </c>
      <c r="M5621" s="1564"/>
      <c r="N5621" s="1565">
        <v>626349.36</v>
      </c>
      <c r="O5621" s="1565">
        <v>556755</v>
      </c>
      <c r="P5621" s="1564"/>
      <c r="Q5621" s="1565">
        <v>69594.36</v>
      </c>
      <c r="R5621" s="1565">
        <v>69594.36</v>
      </c>
      <c r="S5621" s="1562"/>
    </row>
    <row r="5622" spans="2:19" ht="21.75" customHeight="1" outlineLevel="1">
      <c r="B5622" s="1569" t="s">
        <v>6245</v>
      </c>
      <c r="C5622" s="1566" t="s">
        <v>2414</v>
      </c>
      <c r="D5622" s="1566" t="s">
        <v>6244</v>
      </c>
      <c r="E5622" s="1566" t="s">
        <v>2219</v>
      </c>
      <c r="F5622" s="1566" t="s">
        <v>6229</v>
      </c>
      <c r="G5622" s="1566"/>
      <c r="H5622" s="1568">
        <v>1</v>
      </c>
      <c r="I5622" s="1566"/>
      <c r="J5622" s="1566"/>
      <c r="K5622" s="1565">
        <v>3480.41</v>
      </c>
      <c r="L5622" s="1565">
        <v>3480.41</v>
      </c>
      <c r="M5622" s="1564"/>
      <c r="N5622" s="1565">
        <v>3480.41</v>
      </c>
      <c r="O5622" s="1565">
        <v>3093.65</v>
      </c>
      <c r="P5622" s="1564"/>
      <c r="Q5622" s="1572">
        <v>386.76</v>
      </c>
      <c r="R5622" s="1572">
        <v>386.76</v>
      </c>
      <c r="S5622" s="1562"/>
    </row>
    <row r="5623" spans="2:19" ht="21.75" customHeight="1" outlineLevel="1">
      <c r="B5623" s="1569" t="s">
        <v>6243</v>
      </c>
      <c r="C5623" s="1566" t="s">
        <v>2414</v>
      </c>
      <c r="D5623" s="1566" t="s">
        <v>6242</v>
      </c>
      <c r="E5623" s="1566" t="s">
        <v>2219</v>
      </c>
      <c r="F5623" s="1566" t="s">
        <v>2781</v>
      </c>
      <c r="G5623" s="1566"/>
      <c r="H5623" s="1568">
        <v>1</v>
      </c>
      <c r="I5623" s="1566"/>
      <c r="J5623" s="1566"/>
      <c r="K5623" s="1565">
        <v>4253.83</v>
      </c>
      <c r="L5623" s="1565">
        <v>4253.83</v>
      </c>
      <c r="M5623" s="1564"/>
      <c r="N5623" s="1565">
        <v>4253.83</v>
      </c>
      <c r="O5623" s="1565">
        <v>3781.15</v>
      </c>
      <c r="P5623" s="1564"/>
      <c r="Q5623" s="1572">
        <v>472.68</v>
      </c>
      <c r="R5623" s="1572">
        <v>472.68</v>
      </c>
      <c r="S5623" s="1562"/>
    </row>
    <row r="5624" spans="2:19" ht="21.75" customHeight="1" outlineLevel="1">
      <c r="B5624" s="1569" t="s">
        <v>6241</v>
      </c>
      <c r="C5624" s="1566" t="s">
        <v>2414</v>
      </c>
      <c r="D5624" s="1566" t="s">
        <v>6240</v>
      </c>
      <c r="E5624" s="1566" t="s">
        <v>2219</v>
      </c>
      <c r="F5624" s="1566" t="s">
        <v>2781</v>
      </c>
      <c r="G5624" s="1566"/>
      <c r="H5624" s="1568">
        <v>1</v>
      </c>
      <c r="I5624" s="1566"/>
      <c r="J5624" s="1566"/>
      <c r="K5624" s="1565">
        <v>6574.1</v>
      </c>
      <c r="L5624" s="1565">
        <v>6574.1</v>
      </c>
      <c r="M5624" s="1564"/>
      <c r="N5624" s="1565">
        <v>6574.1</v>
      </c>
      <c r="O5624" s="1565">
        <v>5843.66</v>
      </c>
      <c r="P5624" s="1564"/>
      <c r="Q5624" s="1572">
        <v>730.44</v>
      </c>
      <c r="R5624" s="1572">
        <v>730.44</v>
      </c>
      <c r="S5624" s="1562"/>
    </row>
    <row r="5625" spans="2:19" ht="21.75" customHeight="1" outlineLevel="1">
      <c r="B5625" s="1569" t="s">
        <v>6239</v>
      </c>
      <c r="C5625" s="1566" t="s">
        <v>2414</v>
      </c>
      <c r="D5625" s="1566" t="s">
        <v>6238</v>
      </c>
      <c r="E5625" s="1566" t="s">
        <v>2219</v>
      </c>
      <c r="F5625" s="1566" t="s">
        <v>2781</v>
      </c>
      <c r="G5625" s="1566"/>
      <c r="H5625" s="1568">
        <v>1</v>
      </c>
      <c r="I5625" s="1566"/>
      <c r="J5625" s="1566"/>
      <c r="K5625" s="1565">
        <v>66514.460000000006</v>
      </c>
      <c r="L5625" s="1565">
        <v>66514.460000000006</v>
      </c>
      <c r="M5625" s="1564"/>
      <c r="N5625" s="1565">
        <v>66514.460000000006</v>
      </c>
      <c r="O5625" s="1565">
        <v>59124</v>
      </c>
      <c r="P5625" s="1564"/>
      <c r="Q5625" s="1565">
        <v>7390.46</v>
      </c>
      <c r="R5625" s="1565">
        <v>7390.46</v>
      </c>
      <c r="S5625" s="1562"/>
    </row>
    <row r="5626" spans="2:19" ht="21.75" customHeight="1" outlineLevel="1">
      <c r="B5626" s="1569" t="s">
        <v>6237</v>
      </c>
      <c r="C5626" s="1566" t="s">
        <v>2414</v>
      </c>
      <c r="D5626" s="1566" t="s">
        <v>6236</v>
      </c>
      <c r="E5626" s="1566" t="s">
        <v>2219</v>
      </c>
      <c r="F5626" s="1566" t="s">
        <v>2781</v>
      </c>
      <c r="G5626" s="1566"/>
      <c r="H5626" s="1568">
        <v>1</v>
      </c>
      <c r="I5626" s="1566"/>
      <c r="J5626" s="1566"/>
      <c r="K5626" s="1565">
        <v>41943.040000000001</v>
      </c>
      <c r="L5626" s="1565">
        <v>41943.040000000001</v>
      </c>
      <c r="M5626" s="1564"/>
      <c r="N5626" s="1565">
        <v>41943.040000000001</v>
      </c>
      <c r="O5626" s="1565">
        <v>37282.720000000001</v>
      </c>
      <c r="P5626" s="1564"/>
      <c r="Q5626" s="1565">
        <v>4660.32</v>
      </c>
      <c r="R5626" s="1565">
        <v>4660.32</v>
      </c>
      <c r="S5626" s="1562"/>
    </row>
    <row r="5627" spans="2:19" ht="21.75" customHeight="1" outlineLevel="1">
      <c r="B5627" s="1569" t="s">
        <v>6235</v>
      </c>
      <c r="C5627" s="1566" t="s">
        <v>2414</v>
      </c>
      <c r="D5627" s="1566" t="s">
        <v>6234</v>
      </c>
      <c r="E5627" s="1566" t="s">
        <v>2219</v>
      </c>
      <c r="F5627" s="1566" t="s">
        <v>2781</v>
      </c>
      <c r="G5627" s="1566"/>
      <c r="H5627" s="1566"/>
      <c r="I5627" s="1566"/>
      <c r="J5627" s="1566"/>
      <c r="K5627" s="1565">
        <v>15081.77</v>
      </c>
      <c r="L5627" s="1565">
        <v>15081.77</v>
      </c>
      <c r="M5627" s="1564"/>
      <c r="N5627" s="1565">
        <v>15081.77</v>
      </c>
      <c r="O5627" s="1565">
        <v>13405.97</v>
      </c>
      <c r="P5627" s="1564"/>
      <c r="Q5627" s="1565">
        <v>1675.8</v>
      </c>
      <c r="R5627" s="1565">
        <v>1675.8</v>
      </c>
      <c r="S5627" s="1562"/>
    </row>
    <row r="5628" spans="2:19" ht="21.75" customHeight="1" outlineLevel="1">
      <c r="B5628" s="1569" t="s">
        <v>6233</v>
      </c>
      <c r="C5628" s="1566" t="s">
        <v>2414</v>
      </c>
      <c r="D5628" s="1566" t="s">
        <v>6232</v>
      </c>
      <c r="E5628" s="1566" t="s">
        <v>2219</v>
      </c>
      <c r="F5628" s="1566" t="s">
        <v>2781</v>
      </c>
      <c r="G5628" s="1566"/>
      <c r="H5628" s="1568">
        <v>1</v>
      </c>
      <c r="I5628" s="1566"/>
      <c r="J5628" s="1566"/>
      <c r="K5628" s="1565">
        <v>25352.240000000002</v>
      </c>
      <c r="L5628" s="1565">
        <v>25352.240000000002</v>
      </c>
      <c r="M5628" s="1564"/>
      <c r="N5628" s="1565">
        <v>25352.240000000002</v>
      </c>
      <c r="O5628" s="1565">
        <v>22535.360000000001</v>
      </c>
      <c r="P5628" s="1564"/>
      <c r="Q5628" s="1565">
        <v>2816.88</v>
      </c>
      <c r="R5628" s="1565">
        <v>2816.88</v>
      </c>
      <c r="S5628" s="1562"/>
    </row>
    <row r="5629" spans="2:19" ht="21.75" customHeight="1" outlineLevel="1">
      <c r="B5629" s="1569" t="s">
        <v>6231</v>
      </c>
      <c r="C5629" s="1566" t="s">
        <v>2414</v>
      </c>
      <c r="D5629" s="1566" t="s">
        <v>6230</v>
      </c>
      <c r="E5629" s="1566" t="s">
        <v>2219</v>
      </c>
      <c r="F5629" s="1566" t="s">
        <v>6229</v>
      </c>
      <c r="G5629" s="1566"/>
      <c r="H5629" s="1568">
        <v>1</v>
      </c>
      <c r="I5629" s="1566"/>
      <c r="J5629" s="1566"/>
      <c r="K5629" s="1565">
        <v>3728.27</v>
      </c>
      <c r="L5629" s="1565">
        <v>3728.27</v>
      </c>
      <c r="M5629" s="1564"/>
      <c r="N5629" s="1565">
        <v>3728.27</v>
      </c>
      <c r="O5629" s="1565">
        <v>3314.03</v>
      </c>
      <c r="P5629" s="1564"/>
      <c r="Q5629" s="1572">
        <v>414.24</v>
      </c>
      <c r="R5629" s="1572">
        <v>414.24</v>
      </c>
      <c r="S5629" s="1562"/>
    </row>
    <row r="5630" spans="2:19" ht="21.75" customHeight="1" outlineLevel="1">
      <c r="B5630" s="1569" t="s">
        <v>6228</v>
      </c>
      <c r="C5630" s="1566" t="s">
        <v>2414</v>
      </c>
      <c r="D5630" s="1566" t="s">
        <v>6227</v>
      </c>
      <c r="E5630" s="1566" t="s">
        <v>2219</v>
      </c>
      <c r="F5630" s="1566" t="s">
        <v>2764</v>
      </c>
      <c r="G5630" s="1566"/>
      <c r="H5630" s="1568">
        <v>1</v>
      </c>
      <c r="I5630" s="1571">
        <v>74</v>
      </c>
      <c r="J5630" s="1566"/>
      <c r="K5630" s="1565">
        <v>12611.97</v>
      </c>
      <c r="L5630" s="1565">
        <v>12611.97</v>
      </c>
      <c r="M5630" s="1564"/>
      <c r="N5630" s="1565">
        <v>12611.97</v>
      </c>
      <c r="O5630" s="1565">
        <v>11210.61</v>
      </c>
      <c r="P5630" s="1564"/>
      <c r="Q5630" s="1565">
        <v>1401.36</v>
      </c>
      <c r="R5630" s="1565">
        <v>1401.36</v>
      </c>
      <c r="S5630" s="1562"/>
    </row>
    <row r="5631" spans="2:19" ht="21.75" customHeight="1" outlineLevel="1">
      <c r="B5631" s="1569" t="s">
        <v>6226</v>
      </c>
      <c r="C5631" s="1566" t="s">
        <v>2414</v>
      </c>
      <c r="D5631" s="1566" t="s">
        <v>6225</v>
      </c>
      <c r="E5631" s="1566" t="s">
        <v>2219</v>
      </c>
      <c r="F5631" s="1566" t="s">
        <v>2764</v>
      </c>
      <c r="G5631" s="1566"/>
      <c r="H5631" s="1568">
        <v>1</v>
      </c>
      <c r="I5631" s="1571">
        <v>36</v>
      </c>
      <c r="J5631" s="1566"/>
      <c r="K5631" s="1565">
        <v>52728.39</v>
      </c>
      <c r="L5631" s="1565">
        <v>52728.39</v>
      </c>
      <c r="M5631" s="1564"/>
      <c r="N5631" s="1565">
        <v>52728.39</v>
      </c>
      <c r="O5631" s="1565">
        <v>46869.63</v>
      </c>
      <c r="P5631" s="1564"/>
      <c r="Q5631" s="1565">
        <v>5858.76</v>
      </c>
      <c r="R5631" s="1565">
        <v>5858.76</v>
      </c>
      <c r="S5631" s="1562"/>
    </row>
    <row r="5632" spans="2:19" ht="21.75" customHeight="1" outlineLevel="1">
      <c r="B5632" s="1569" t="s">
        <v>6224</v>
      </c>
      <c r="C5632" s="1566" t="s">
        <v>2414</v>
      </c>
      <c r="D5632" s="1566" t="s">
        <v>6223</v>
      </c>
      <c r="E5632" s="1566" t="s">
        <v>2219</v>
      </c>
      <c r="F5632" s="1566" t="s">
        <v>2764</v>
      </c>
      <c r="G5632" s="1566"/>
      <c r="H5632" s="1568">
        <v>1</v>
      </c>
      <c r="I5632" s="1571">
        <v>422</v>
      </c>
      <c r="J5632" s="1566"/>
      <c r="K5632" s="1565">
        <v>408437.23</v>
      </c>
      <c r="L5632" s="1565">
        <v>408437.23</v>
      </c>
      <c r="M5632" s="1564"/>
      <c r="N5632" s="1565">
        <v>408437.23</v>
      </c>
      <c r="O5632" s="1565">
        <v>363055.27</v>
      </c>
      <c r="P5632" s="1564"/>
      <c r="Q5632" s="1565">
        <v>45381.96</v>
      </c>
      <c r="R5632" s="1565">
        <v>45381.96</v>
      </c>
      <c r="S5632" s="1562"/>
    </row>
    <row r="5633" spans="2:19" ht="21.75" customHeight="1" outlineLevel="1">
      <c r="B5633" s="1569" t="s">
        <v>6222</v>
      </c>
      <c r="C5633" s="1566" t="s">
        <v>2414</v>
      </c>
      <c r="D5633" s="1566" t="s">
        <v>6221</v>
      </c>
      <c r="E5633" s="1566" t="s">
        <v>2219</v>
      </c>
      <c r="F5633" s="1566" t="s">
        <v>2764</v>
      </c>
      <c r="G5633" s="1566"/>
      <c r="H5633" s="1568">
        <v>1</v>
      </c>
      <c r="I5633" s="1571">
        <v>13</v>
      </c>
      <c r="J5633" s="1566"/>
      <c r="K5633" s="1565">
        <v>10054.51</v>
      </c>
      <c r="L5633" s="1565">
        <v>10054.51</v>
      </c>
      <c r="M5633" s="1564"/>
      <c r="N5633" s="1565">
        <v>10054.51</v>
      </c>
      <c r="O5633" s="1565">
        <v>8937.31</v>
      </c>
      <c r="P5633" s="1564"/>
      <c r="Q5633" s="1565">
        <v>1117.2</v>
      </c>
      <c r="R5633" s="1565">
        <v>1117.2</v>
      </c>
      <c r="S5633" s="1562"/>
    </row>
    <row r="5634" spans="2:19" ht="21.75" customHeight="1" outlineLevel="1">
      <c r="B5634" s="1569" t="s">
        <v>6220</v>
      </c>
      <c r="C5634" s="1566" t="s">
        <v>2414</v>
      </c>
      <c r="D5634" s="1566" t="s">
        <v>6219</v>
      </c>
      <c r="E5634" s="1566" t="s">
        <v>2219</v>
      </c>
      <c r="F5634" s="1566" t="s">
        <v>2764</v>
      </c>
      <c r="G5634" s="1566"/>
      <c r="H5634" s="1568">
        <v>1</v>
      </c>
      <c r="I5634" s="1571">
        <v>9</v>
      </c>
      <c r="J5634" s="1566"/>
      <c r="K5634" s="1565">
        <v>1740.2</v>
      </c>
      <c r="L5634" s="1565">
        <v>1740.2</v>
      </c>
      <c r="M5634" s="1564"/>
      <c r="N5634" s="1565">
        <v>1740.2</v>
      </c>
      <c r="O5634" s="1565">
        <v>1546.88</v>
      </c>
      <c r="P5634" s="1564"/>
      <c r="Q5634" s="1572">
        <v>193.32</v>
      </c>
      <c r="R5634" s="1572">
        <v>193.32</v>
      </c>
      <c r="S5634" s="1562"/>
    </row>
    <row r="5635" spans="2:19" ht="21.75" customHeight="1" outlineLevel="1">
      <c r="B5635" s="1569" t="s">
        <v>6218</v>
      </c>
      <c r="C5635" s="1566" t="s">
        <v>2414</v>
      </c>
      <c r="D5635" s="1566" t="s">
        <v>6217</v>
      </c>
      <c r="E5635" s="1566" t="s">
        <v>2219</v>
      </c>
      <c r="F5635" s="1566" t="s">
        <v>2764</v>
      </c>
      <c r="G5635" s="1566"/>
      <c r="H5635" s="1568">
        <v>1</v>
      </c>
      <c r="I5635" s="1571">
        <v>15</v>
      </c>
      <c r="J5635" s="1566"/>
      <c r="K5635" s="1565">
        <v>1278.24</v>
      </c>
      <c r="L5635" s="1565">
        <v>1278.24</v>
      </c>
      <c r="M5635" s="1564"/>
      <c r="N5635" s="1565">
        <v>1278.24</v>
      </c>
      <c r="O5635" s="1565">
        <v>1136.1600000000001</v>
      </c>
      <c r="P5635" s="1564"/>
      <c r="Q5635" s="1572">
        <v>142.08000000000001</v>
      </c>
      <c r="R5635" s="1572">
        <v>142.08000000000001</v>
      </c>
      <c r="S5635" s="1562"/>
    </row>
    <row r="5636" spans="2:19" ht="21.75" customHeight="1" outlineLevel="1">
      <c r="B5636" s="1569" t="s">
        <v>6216</v>
      </c>
      <c r="C5636" s="1566" t="s">
        <v>2414</v>
      </c>
      <c r="D5636" s="1566" t="s">
        <v>6215</v>
      </c>
      <c r="E5636" s="1566" t="s">
        <v>2219</v>
      </c>
      <c r="F5636" s="1566" t="s">
        <v>2764</v>
      </c>
      <c r="G5636" s="1566"/>
      <c r="H5636" s="1568">
        <v>1</v>
      </c>
      <c r="I5636" s="1571">
        <v>37</v>
      </c>
      <c r="J5636" s="1566"/>
      <c r="K5636" s="1565">
        <v>29559.86</v>
      </c>
      <c r="L5636" s="1565">
        <v>29559.86</v>
      </c>
      <c r="M5636" s="1564"/>
      <c r="N5636" s="1565">
        <v>29559.86</v>
      </c>
      <c r="O5636" s="1565">
        <v>26275.46</v>
      </c>
      <c r="P5636" s="1564"/>
      <c r="Q5636" s="1565">
        <v>3284.4</v>
      </c>
      <c r="R5636" s="1565">
        <v>3284.4</v>
      </c>
      <c r="S5636" s="1562"/>
    </row>
    <row r="5637" spans="2:19" ht="21.75" customHeight="1" outlineLevel="1">
      <c r="B5637" s="1569" t="s">
        <v>6214</v>
      </c>
      <c r="C5637" s="1566" t="s">
        <v>2414</v>
      </c>
      <c r="D5637" s="1566" t="s">
        <v>6213</v>
      </c>
      <c r="E5637" s="1566" t="s">
        <v>2219</v>
      </c>
      <c r="F5637" s="1566" t="s">
        <v>2764</v>
      </c>
      <c r="G5637" s="1566"/>
      <c r="H5637" s="1568">
        <v>1</v>
      </c>
      <c r="I5637" s="1571">
        <v>30</v>
      </c>
      <c r="J5637" s="1566"/>
      <c r="K5637" s="1565">
        <v>16777.22</v>
      </c>
      <c r="L5637" s="1565">
        <v>16777.22</v>
      </c>
      <c r="M5637" s="1564"/>
      <c r="N5637" s="1565">
        <v>16777.22</v>
      </c>
      <c r="O5637" s="1565">
        <v>14913.12</v>
      </c>
      <c r="P5637" s="1564"/>
      <c r="Q5637" s="1565">
        <v>1864.1</v>
      </c>
      <c r="R5637" s="1565">
        <v>1864.1</v>
      </c>
      <c r="S5637" s="1562"/>
    </row>
    <row r="5638" spans="2:19" ht="21.75" customHeight="1" outlineLevel="1">
      <c r="B5638" s="1569" t="s">
        <v>6212</v>
      </c>
      <c r="C5638" s="1566" t="s">
        <v>2414</v>
      </c>
      <c r="D5638" s="1566" t="s">
        <v>6211</v>
      </c>
      <c r="E5638" s="1566" t="s">
        <v>2219</v>
      </c>
      <c r="F5638" s="1566" t="s">
        <v>2764</v>
      </c>
      <c r="G5638" s="1566"/>
      <c r="H5638" s="1568">
        <v>1</v>
      </c>
      <c r="I5638" s="1571">
        <v>14</v>
      </c>
      <c r="J5638" s="1566"/>
      <c r="K5638" s="1565">
        <v>11184.81</v>
      </c>
      <c r="L5638" s="1565">
        <v>11184.81</v>
      </c>
      <c r="M5638" s="1564"/>
      <c r="N5638" s="1565">
        <v>11184.81</v>
      </c>
      <c r="O5638" s="1565">
        <v>9942.09</v>
      </c>
      <c r="P5638" s="1564"/>
      <c r="Q5638" s="1565">
        <v>1242.72</v>
      </c>
      <c r="R5638" s="1565">
        <v>1242.72</v>
      </c>
      <c r="S5638" s="1562"/>
    </row>
    <row r="5639" spans="2:19" ht="11.25" customHeight="1" outlineLevel="1">
      <c r="B5639" s="1569" t="s">
        <v>6210</v>
      </c>
      <c r="C5639" s="1566" t="s">
        <v>2414</v>
      </c>
      <c r="D5639" s="1566" t="s">
        <v>6209</v>
      </c>
      <c r="E5639" s="1566" t="s">
        <v>2219</v>
      </c>
      <c r="F5639" s="1566" t="s">
        <v>2764</v>
      </c>
      <c r="G5639" s="1566"/>
      <c r="H5639" s="1568">
        <v>1</v>
      </c>
      <c r="I5639" s="1571">
        <v>83</v>
      </c>
      <c r="J5639" s="1566"/>
      <c r="K5639" s="1565">
        <v>64194.19</v>
      </c>
      <c r="L5639" s="1565">
        <v>64194.19</v>
      </c>
      <c r="M5639" s="1564"/>
      <c r="N5639" s="1565">
        <v>64194.19</v>
      </c>
      <c r="O5639" s="1565">
        <v>57061.51</v>
      </c>
      <c r="P5639" s="1564"/>
      <c r="Q5639" s="1565">
        <v>7132.68</v>
      </c>
      <c r="R5639" s="1565">
        <v>7132.68</v>
      </c>
      <c r="S5639" s="1562"/>
    </row>
    <row r="5640" spans="2:19" ht="21.75" customHeight="1" outlineLevel="1">
      <c r="B5640" s="1569" t="s">
        <v>6208</v>
      </c>
      <c r="C5640" s="1566" t="s">
        <v>2414</v>
      </c>
      <c r="D5640" s="1566" t="s">
        <v>6207</v>
      </c>
      <c r="E5640" s="1566" t="s">
        <v>2219</v>
      </c>
      <c r="F5640" s="1566" t="s">
        <v>2764</v>
      </c>
      <c r="G5640" s="1566"/>
      <c r="H5640" s="1568">
        <v>1</v>
      </c>
      <c r="I5640" s="1571">
        <v>100</v>
      </c>
      <c r="J5640" s="1566"/>
      <c r="K5640" s="1565">
        <v>119837.25</v>
      </c>
      <c r="L5640" s="1565">
        <v>119837.25</v>
      </c>
      <c r="M5640" s="1564"/>
      <c r="N5640" s="1565">
        <v>119837.25</v>
      </c>
      <c r="O5640" s="1565">
        <v>106522.05</v>
      </c>
      <c r="P5640" s="1564"/>
      <c r="Q5640" s="1565">
        <v>13315.2</v>
      </c>
      <c r="R5640" s="1565">
        <v>13315.2</v>
      </c>
      <c r="S5640" s="1562"/>
    </row>
    <row r="5641" spans="2:19" ht="21.75" customHeight="1" outlineLevel="1">
      <c r="B5641" s="1569" t="s">
        <v>6206</v>
      </c>
      <c r="C5641" s="1566" t="s">
        <v>2414</v>
      </c>
      <c r="D5641" s="1566" t="s">
        <v>6205</v>
      </c>
      <c r="E5641" s="1566" t="s">
        <v>2219</v>
      </c>
      <c r="F5641" s="1566" t="s">
        <v>2764</v>
      </c>
      <c r="G5641" s="1566"/>
      <c r="H5641" s="1568">
        <v>1</v>
      </c>
      <c r="I5641" s="1571">
        <v>104</v>
      </c>
      <c r="J5641" s="1566"/>
      <c r="K5641" s="1565">
        <v>17724.93</v>
      </c>
      <c r="L5641" s="1565">
        <v>17724.93</v>
      </c>
      <c r="M5641" s="1564"/>
      <c r="N5641" s="1565">
        <v>17724.93</v>
      </c>
      <c r="O5641" s="1565">
        <v>15755.49</v>
      </c>
      <c r="P5641" s="1564"/>
      <c r="Q5641" s="1565">
        <v>1969.44</v>
      </c>
      <c r="R5641" s="1565">
        <v>1969.44</v>
      </c>
      <c r="S5641" s="1562"/>
    </row>
    <row r="5642" spans="2:19" ht="21.75" customHeight="1" outlineLevel="1">
      <c r="B5642" s="1569" t="s">
        <v>6204</v>
      </c>
      <c r="C5642" s="1566" t="s">
        <v>2414</v>
      </c>
      <c r="D5642" s="1566" t="s">
        <v>6203</v>
      </c>
      <c r="E5642" s="1566" t="s">
        <v>2219</v>
      </c>
      <c r="F5642" s="1566" t="s">
        <v>2764</v>
      </c>
      <c r="G5642" s="1566"/>
      <c r="H5642" s="1568">
        <v>1</v>
      </c>
      <c r="I5642" s="1571">
        <v>89</v>
      </c>
      <c r="J5642" s="1566"/>
      <c r="K5642" s="1565">
        <v>12046.08</v>
      </c>
      <c r="L5642" s="1565">
        <v>12046.08</v>
      </c>
      <c r="M5642" s="1564"/>
      <c r="N5642" s="1565">
        <v>12046.08</v>
      </c>
      <c r="O5642" s="1565">
        <v>10707.6</v>
      </c>
      <c r="P5642" s="1564"/>
      <c r="Q5642" s="1565">
        <v>1338.48</v>
      </c>
      <c r="R5642" s="1565">
        <v>1338.48</v>
      </c>
      <c r="S5642" s="1562"/>
    </row>
    <row r="5643" spans="2:19" ht="21.75" customHeight="1" outlineLevel="1">
      <c r="B5643" s="1569" t="s">
        <v>6202</v>
      </c>
      <c r="C5643" s="1566" t="s">
        <v>2414</v>
      </c>
      <c r="D5643" s="1566" t="s">
        <v>6201</v>
      </c>
      <c r="E5643" s="1566" t="s">
        <v>2219</v>
      </c>
      <c r="F5643" s="1566" t="s">
        <v>2764</v>
      </c>
      <c r="G5643" s="1566"/>
      <c r="H5643" s="1568">
        <v>1</v>
      </c>
      <c r="I5643" s="1571">
        <v>17</v>
      </c>
      <c r="J5643" s="1566"/>
      <c r="K5643" s="1565">
        <v>5794.69</v>
      </c>
      <c r="L5643" s="1565">
        <v>5794.69</v>
      </c>
      <c r="M5643" s="1564"/>
      <c r="N5643" s="1565">
        <v>5794.69</v>
      </c>
      <c r="O5643" s="1565">
        <v>5150.88</v>
      </c>
      <c r="P5643" s="1564"/>
      <c r="Q5643" s="1572">
        <v>643.80999999999995</v>
      </c>
      <c r="R5643" s="1572">
        <v>643.80999999999995</v>
      </c>
      <c r="S5643" s="1562"/>
    </row>
    <row r="5644" spans="2:19" ht="21.75" customHeight="1" outlineLevel="1">
      <c r="B5644" s="1569" t="s">
        <v>6200</v>
      </c>
      <c r="C5644" s="1566" t="s">
        <v>2414</v>
      </c>
      <c r="D5644" s="1566" t="s">
        <v>6199</v>
      </c>
      <c r="E5644" s="1566" t="s">
        <v>2219</v>
      </c>
      <c r="F5644" s="1566" t="s">
        <v>2764</v>
      </c>
      <c r="G5644" s="1566"/>
      <c r="H5644" s="1568">
        <v>1</v>
      </c>
      <c r="I5644" s="1571">
        <v>13</v>
      </c>
      <c r="J5644" s="1566"/>
      <c r="K5644" s="1565">
        <v>7038.16</v>
      </c>
      <c r="L5644" s="1565">
        <v>7038.16</v>
      </c>
      <c r="M5644" s="1564"/>
      <c r="N5644" s="1565">
        <v>7038.16</v>
      </c>
      <c r="O5644" s="1565">
        <v>6256.12</v>
      </c>
      <c r="P5644" s="1564"/>
      <c r="Q5644" s="1572">
        <v>782.04</v>
      </c>
      <c r="R5644" s="1572">
        <v>782.04</v>
      </c>
      <c r="S5644" s="1562"/>
    </row>
    <row r="5645" spans="2:19" ht="21.75" customHeight="1" outlineLevel="1">
      <c r="B5645" s="1569" t="s">
        <v>6198</v>
      </c>
      <c r="C5645" s="1566" t="s">
        <v>2414</v>
      </c>
      <c r="D5645" s="1566" t="s">
        <v>6197</v>
      </c>
      <c r="E5645" s="1566" t="s">
        <v>2219</v>
      </c>
      <c r="F5645" s="1566" t="s">
        <v>2764</v>
      </c>
      <c r="G5645" s="1566"/>
      <c r="H5645" s="1568">
        <v>1</v>
      </c>
      <c r="I5645" s="1571">
        <v>9</v>
      </c>
      <c r="J5645" s="1566"/>
      <c r="K5645" s="1565">
        <v>6710.89</v>
      </c>
      <c r="L5645" s="1565">
        <v>6710.89</v>
      </c>
      <c r="M5645" s="1564"/>
      <c r="N5645" s="1565">
        <v>6710.89</v>
      </c>
      <c r="O5645" s="1565">
        <v>5965.21</v>
      </c>
      <c r="P5645" s="1564"/>
      <c r="Q5645" s="1572">
        <v>745.68</v>
      </c>
      <c r="R5645" s="1572">
        <v>745.68</v>
      </c>
      <c r="S5645" s="1562"/>
    </row>
    <row r="5646" spans="2:19" ht="21.75" customHeight="1" outlineLevel="1">
      <c r="B5646" s="1569" t="s">
        <v>6196</v>
      </c>
      <c r="C5646" s="1566" t="s">
        <v>2414</v>
      </c>
      <c r="D5646" s="1566" t="s">
        <v>6195</v>
      </c>
      <c r="E5646" s="1566" t="s">
        <v>2219</v>
      </c>
      <c r="F5646" s="1566" t="s">
        <v>2764</v>
      </c>
      <c r="G5646" s="1566"/>
      <c r="H5646" s="1568">
        <v>1</v>
      </c>
      <c r="I5646" s="1571">
        <v>18</v>
      </c>
      <c r="J5646" s="1566"/>
      <c r="K5646" s="1565">
        <v>2147.44</v>
      </c>
      <c r="L5646" s="1565">
        <v>2147.44</v>
      </c>
      <c r="M5646" s="1564"/>
      <c r="N5646" s="1565">
        <v>2147.44</v>
      </c>
      <c r="O5646" s="1565">
        <v>1908.88</v>
      </c>
      <c r="P5646" s="1564"/>
      <c r="Q5646" s="1572">
        <v>238.56</v>
      </c>
      <c r="R5646" s="1572">
        <v>238.56</v>
      </c>
      <c r="S5646" s="1562"/>
    </row>
    <row r="5647" spans="2:19" s="1766" customFormat="1" ht="21.75" customHeight="1" outlineLevel="1">
      <c r="B5647" s="1759" t="s">
        <v>6194</v>
      </c>
      <c r="C5647" s="1760" t="s">
        <v>2414</v>
      </c>
      <c r="D5647" s="1760" t="s">
        <v>6193</v>
      </c>
      <c r="E5647" s="1760" t="s">
        <v>2219</v>
      </c>
      <c r="F5647" s="1760" t="s">
        <v>2764</v>
      </c>
      <c r="G5647" s="1760"/>
      <c r="H5647" s="1761">
        <v>1</v>
      </c>
      <c r="I5647" s="1762">
        <v>1128</v>
      </c>
      <c r="J5647" s="1760"/>
      <c r="K5647" s="1763">
        <v>384494.59</v>
      </c>
      <c r="L5647" s="1763">
        <v>384494.59</v>
      </c>
      <c r="M5647" s="1764"/>
      <c r="N5647" s="1763">
        <v>384494.59</v>
      </c>
      <c r="O5647" s="1763">
        <v>341772.96</v>
      </c>
      <c r="P5647" s="1764"/>
      <c r="Q5647" s="1763">
        <v>42721.63</v>
      </c>
      <c r="R5647" s="1763">
        <v>42721.63</v>
      </c>
      <c r="S5647" s="1765"/>
    </row>
    <row r="5648" spans="2:19" ht="21.75" customHeight="1" outlineLevel="1">
      <c r="B5648" s="1569" t="s">
        <v>6192</v>
      </c>
      <c r="C5648" s="1566" t="s">
        <v>2414</v>
      </c>
      <c r="D5648" s="1566" t="s">
        <v>6191</v>
      </c>
      <c r="E5648" s="1566" t="s">
        <v>2219</v>
      </c>
      <c r="F5648" s="1566" t="s">
        <v>2764</v>
      </c>
      <c r="G5648" s="1566"/>
      <c r="H5648" s="1568">
        <v>1</v>
      </c>
      <c r="I5648" s="1571">
        <v>328</v>
      </c>
      <c r="J5648" s="1566"/>
      <c r="K5648" s="1565">
        <v>55901.7</v>
      </c>
      <c r="L5648" s="1565">
        <v>55901.7</v>
      </c>
      <c r="M5648" s="1564"/>
      <c r="N5648" s="1565">
        <v>55901.7</v>
      </c>
      <c r="O5648" s="1565">
        <v>49690.38</v>
      </c>
      <c r="P5648" s="1564"/>
      <c r="Q5648" s="1565">
        <v>6211.32</v>
      </c>
      <c r="R5648" s="1565">
        <v>6211.32</v>
      </c>
      <c r="S5648" s="1562"/>
    </row>
    <row r="5649" spans="2:19" ht="21.75" customHeight="1" outlineLevel="1">
      <c r="B5649" s="1569" t="s">
        <v>6190</v>
      </c>
      <c r="C5649" s="1566" t="s">
        <v>2414</v>
      </c>
      <c r="D5649" s="1566" t="s">
        <v>6189</v>
      </c>
      <c r="E5649" s="1566" t="s">
        <v>2219</v>
      </c>
      <c r="F5649" s="1566" t="s">
        <v>2764</v>
      </c>
      <c r="G5649" s="1566"/>
      <c r="H5649" s="1568">
        <v>1</v>
      </c>
      <c r="I5649" s="1571">
        <v>28</v>
      </c>
      <c r="J5649" s="1566"/>
      <c r="K5649" s="1565">
        <v>10827.94</v>
      </c>
      <c r="L5649" s="1565">
        <v>10827.94</v>
      </c>
      <c r="M5649" s="1564"/>
      <c r="N5649" s="1565">
        <v>10827.94</v>
      </c>
      <c r="O5649" s="1565">
        <v>9624.82</v>
      </c>
      <c r="P5649" s="1564"/>
      <c r="Q5649" s="1565">
        <v>1203.1199999999999</v>
      </c>
      <c r="R5649" s="1565">
        <v>1203.1199999999999</v>
      </c>
      <c r="S5649" s="1562"/>
    </row>
    <row r="5650" spans="2:19" ht="11.25" customHeight="1" outlineLevel="1">
      <c r="B5650" s="1569" t="s">
        <v>6188</v>
      </c>
      <c r="C5650" s="1566" t="s">
        <v>2414</v>
      </c>
      <c r="D5650" s="1566" t="s">
        <v>6187</v>
      </c>
      <c r="E5650" s="1566" t="s">
        <v>2219</v>
      </c>
      <c r="F5650" s="1566" t="s">
        <v>2764</v>
      </c>
      <c r="G5650" s="1566"/>
      <c r="H5650" s="1568">
        <v>1</v>
      </c>
      <c r="I5650" s="1571">
        <v>4</v>
      </c>
      <c r="J5650" s="1566"/>
      <c r="K5650" s="1572">
        <v>681.73</v>
      </c>
      <c r="L5650" s="1572">
        <v>681.73</v>
      </c>
      <c r="M5650" s="1564"/>
      <c r="N5650" s="1572">
        <v>681.73</v>
      </c>
      <c r="O5650" s="1572">
        <v>606.01</v>
      </c>
      <c r="P5650" s="1564"/>
      <c r="Q5650" s="1572">
        <v>75.72</v>
      </c>
      <c r="R5650" s="1572">
        <v>75.72</v>
      </c>
      <c r="S5650" s="1562"/>
    </row>
    <row r="5651" spans="2:19" ht="21.75" customHeight="1" outlineLevel="1">
      <c r="B5651" s="1569" t="s">
        <v>6186</v>
      </c>
      <c r="C5651" s="1566" t="s">
        <v>2414</v>
      </c>
      <c r="D5651" s="1566" t="s">
        <v>6185</v>
      </c>
      <c r="E5651" s="1566" t="s">
        <v>2219</v>
      </c>
      <c r="F5651" s="1566" t="s">
        <v>2764</v>
      </c>
      <c r="G5651" s="1566"/>
      <c r="H5651" s="1568">
        <v>1</v>
      </c>
      <c r="I5651" s="1571">
        <v>78</v>
      </c>
      <c r="J5651" s="1566"/>
      <c r="K5651" s="1565">
        <v>60327.07</v>
      </c>
      <c r="L5651" s="1565">
        <v>60327.07</v>
      </c>
      <c r="M5651" s="1564"/>
      <c r="N5651" s="1565">
        <v>60327.07</v>
      </c>
      <c r="O5651" s="1565">
        <v>53624.11</v>
      </c>
      <c r="P5651" s="1564"/>
      <c r="Q5651" s="1565">
        <v>6702.96</v>
      </c>
      <c r="R5651" s="1565">
        <v>6702.96</v>
      </c>
      <c r="S5651" s="1562"/>
    </row>
    <row r="5652" spans="2:19" ht="21.75" customHeight="1" outlineLevel="1">
      <c r="B5652" s="1569" t="s">
        <v>6184</v>
      </c>
      <c r="C5652" s="1566" t="s">
        <v>2414</v>
      </c>
      <c r="D5652" s="1566" t="s">
        <v>6183</v>
      </c>
      <c r="E5652" s="1566" t="s">
        <v>2219</v>
      </c>
      <c r="F5652" s="1566" t="s">
        <v>6182</v>
      </c>
      <c r="G5652" s="1566"/>
      <c r="H5652" s="1568">
        <v>1</v>
      </c>
      <c r="I5652" s="1571">
        <v>10</v>
      </c>
      <c r="J5652" s="1566"/>
      <c r="K5652" s="1565">
        <v>3867.12</v>
      </c>
      <c r="L5652" s="1565">
        <v>3867.12</v>
      </c>
      <c r="M5652" s="1564"/>
      <c r="N5652" s="1565">
        <v>3867.12</v>
      </c>
      <c r="O5652" s="1565">
        <v>3437.4</v>
      </c>
      <c r="P5652" s="1564"/>
      <c r="Q5652" s="1572">
        <v>429.72</v>
      </c>
      <c r="R5652" s="1572">
        <v>429.72</v>
      </c>
      <c r="S5652" s="1562"/>
    </row>
    <row r="5653" spans="2:19" ht="21.75" customHeight="1" outlineLevel="1">
      <c r="B5653" s="1569" t="s">
        <v>6181</v>
      </c>
      <c r="C5653" s="1566" t="s">
        <v>2414</v>
      </c>
      <c r="D5653" s="1566" t="s">
        <v>6180</v>
      </c>
      <c r="E5653" s="1566" t="s">
        <v>2219</v>
      </c>
      <c r="F5653" s="1566" t="s">
        <v>2755</v>
      </c>
      <c r="G5653" s="1566"/>
      <c r="H5653" s="1568">
        <v>1</v>
      </c>
      <c r="I5653" s="1571">
        <v>13</v>
      </c>
      <c r="J5653" s="1566"/>
      <c r="K5653" s="1565">
        <v>5027.26</v>
      </c>
      <c r="L5653" s="1565">
        <v>5027.26</v>
      </c>
      <c r="M5653" s="1564"/>
      <c r="N5653" s="1565">
        <v>5027.26</v>
      </c>
      <c r="O5653" s="1565">
        <v>4468.66</v>
      </c>
      <c r="P5653" s="1564"/>
      <c r="Q5653" s="1572">
        <v>558.6</v>
      </c>
      <c r="R5653" s="1572">
        <v>558.6</v>
      </c>
      <c r="S5653" s="1562"/>
    </row>
    <row r="5654" spans="2:19" ht="21.75" customHeight="1" outlineLevel="1">
      <c r="B5654" s="1569" t="s">
        <v>6179</v>
      </c>
      <c r="C5654" s="1566" t="s">
        <v>2414</v>
      </c>
      <c r="D5654" s="1566" t="s">
        <v>6178</v>
      </c>
      <c r="E5654" s="1566" t="s">
        <v>2219</v>
      </c>
      <c r="F5654" s="1566" t="s">
        <v>2755</v>
      </c>
      <c r="G5654" s="1566"/>
      <c r="H5654" s="1568">
        <v>1</v>
      </c>
      <c r="I5654" s="1571">
        <v>14</v>
      </c>
      <c r="J5654" s="1566"/>
      <c r="K5654" s="1565">
        <v>1193.02</v>
      </c>
      <c r="L5654" s="1565">
        <v>1193.02</v>
      </c>
      <c r="M5654" s="1564"/>
      <c r="N5654" s="1565">
        <v>1193.02</v>
      </c>
      <c r="O5654" s="1565">
        <v>1060.42</v>
      </c>
      <c r="P5654" s="1564"/>
      <c r="Q5654" s="1572">
        <v>132.6</v>
      </c>
      <c r="R5654" s="1572">
        <v>132.6</v>
      </c>
      <c r="S5654" s="1562"/>
    </row>
    <row r="5655" spans="2:19" ht="21.75" customHeight="1" outlineLevel="1">
      <c r="B5655" s="1569" t="s">
        <v>6177</v>
      </c>
      <c r="C5655" s="1566" t="s">
        <v>2414</v>
      </c>
      <c r="D5655" s="1566" t="s">
        <v>6176</v>
      </c>
      <c r="E5655" s="1566" t="s">
        <v>2219</v>
      </c>
      <c r="F5655" s="1566" t="s">
        <v>2755</v>
      </c>
      <c r="G5655" s="1566"/>
      <c r="H5655" s="1568">
        <v>1</v>
      </c>
      <c r="I5655" s="1571">
        <v>26</v>
      </c>
      <c r="J5655" s="1566"/>
      <c r="K5655" s="1565">
        <v>4431.2299999999996</v>
      </c>
      <c r="L5655" s="1565">
        <v>4431.2299999999996</v>
      </c>
      <c r="M5655" s="1564"/>
      <c r="N5655" s="1565">
        <v>4431.2299999999996</v>
      </c>
      <c r="O5655" s="1565">
        <v>3938.87</v>
      </c>
      <c r="P5655" s="1564"/>
      <c r="Q5655" s="1572">
        <v>492.36</v>
      </c>
      <c r="R5655" s="1572">
        <v>492.36</v>
      </c>
      <c r="S5655" s="1562"/>
    </row>
    <row r="5656" spans="2:19" ht="21.75" customHeight="1" outlineLevel="1">
      <c r="B5656" s="1569" t="s">
        <v>6175</v>
      </c>
      <c r="C5656" s="1566" t="s">
        <v>2414</v>
      </c>
      <c r="D5656" s="1566" t="s">
        <v>6174</v>
      </c>
      <c r="E5656" s="1566" t="s">
        <v>2219</v>
      </c>
      <c r="F5656" s="1566" t="s">
        <v>2755</v>
      </c>
      <c r="G5656" s="1566"/>
      <c r="H5656" s="1568">
        <v>1</v>
      </c>
      <c r="I5656" s="1571">
        <v>28</v>
      </c>
      <c r="J5656" s="1566"/>
      <c r="K5656" s="1565">
        <v>10598.66</v>
      </c>
      <c r="L5656" s="1565">
        <v>10598.66</v>
      </c>
      <c r="M5656" s="1564"/>
      <c r="N5656" s="1565">
        <v>10598.66</v>
      </c>
      <c r="O5656" s="1565">
        <v>9420.98</v>
      </c>
      <c r="P5656" s="1564"/>
      <c r="Q5656" s="1565">
        <v>1177.68</v>
      </c>
      <c r="R5656" s="1565">
        <v>1177.68</v>
      </c>
      <c r="S5656" s="1562"/>
    </row>
    <row r="5657" spans="2:19" ht="21.75" customHeight="1" outlineLevel="1">
      <c r="B5657" s="1569" t="s">
        <v>6173</v>
      </c>
      <c r="C5657" s="1566" t="s">
        <v>2414</v>
      </c>
      <c r="D5657" s="1566" t="s">
        <v>6172</v>
      </c>
      <c r="E5657" s="1566" t="s">
        <v>2219</v>
      </c>
      <c r="F5657" s="1566" t="s">
        <v>2755</v>
      </c>
      <c r="G5657" s="1566"/>
      <c r="H5657" s="1568">
        <v>1</v>
      </c>
      <c r="I5657" s="1571">
        <v>35</v>
      </c>
      <c r="J5657" s="1566"/>
      <c r="K5657" s="1565">
        <v>18641.349999999999</v>
      </c>
      <c r="L5657" s="1565">
        <v>18641.349999999999</v>
      </c>
      <c r="M5657" s="1564"/>
      <c r="N5657" s="1565">
        <v>18641.349999999999</v>
      </c>
      <c r="O5657" s="1565">
        <v>16570.080000000002</v>
      </c>
      <c r="P5657" s="1564"/>
      <c r="Q5657" s="1565">
        <v>2071.27</v>
      </c>
      <c r="R5657" s="1565">
        <v>2071.27</v>
      </c>
      <c r="S5657" s="1562"/>
    </row>
    <row r="5658" spans="2:19" ht="21.75" customHeight="1" outlineLevel="1">
      <c r="B5658" s="1569" t="s">
        <v>6171</v>
      </c>
      <c r="C5658" s="1566" t="s">
        <v>2414</v>
      </c>
      <c r="D5658" s="1566" t="s">
        <v>6170</v>
      </c>
      <c r="E5658" s="1566" t="s">
        <v>2219</v>
      </c>
      <c r="F5658" s="1566" t="s">
        <v>2755</v>
      </c>
      <c r="G5658" s="1566"/>
      <c r="H5658" s="1568">
        <v>1</v>
      </c>
      <c r="I5658" s="1571">
        <v>361</v>
      </c>
      <c r="J5658" s="1566"/>
      <c r="K5658" s="1565">
        <v>288408.32000000001</v>
      </c>
      <c r="L5658" s="1565">
        <v>288408.32000000001</v>
      </c>
      <c r="M5658" s="1564"/>
      <c r="N5658" s="1565">
        <v>288408.32000000001</v>
      </c>
      <c r="O5658" s="1565">
        <v>256362.92</v>
      </c>
      <c r="P5658" s="1564"/>
      <c r="Q5658" s="1565">
        <v>32045.4</v>
      </c>
      <c r="R5658" s="1565">
        <v>32045.4</v>
      </c>
      <c r="S5658" s="1562"/>
    </row>
    <row r="5659" spans="2:19" ht="21.75" customHeight="1" outlineLevel="1">
      <c r="B5659" s="1569" t="s">
        <v>6169</v>
      </c>
      <c r="C5659" s="1566" t="s">
        <v>2414</v>
      </c>
      <c r="D5659" s="1566" t="s">
        <v>6168</v>
      </c>
      <c r="E5659" s="1566" t="s">
        <v>2219</v>
      </c>
      <c r="F5659" s="1566" t="s">
        <v>2755</v>
      </c>
      <c r="G5659" s="1566"/>
      <c r="H5659" s="1568">
        <v>1</v>
      </c>
      <c r="I5659" s="1571">
        <v>42</v>
      </c>
      <c r="J5659" s="1566"/>
      <c r="K5659" s="1565">
        <v>14316.29</v>
      </c>
      <c r="L5659" s="1565">
        <v>14316.29</v>
      </c>
      <c r="M5659" s="1564"/>
      <c r="N5659" s="1565">
        <v>14316.29</v>
      </c>
      <c r="O5659" s="1565">
        <v>12725.57</v>
      </c>
      <c r="P5659" s="1564"/>
      <c r="Q5659" s="1565">
        <v>1590.72</v>
      </c>
      <c r="R5659" s="1565">
        <v>1590.72</v>
      </c>
      <c r="S5659" s="1562"/>
    </row>
    <row r="5660" spans="2:19" ht="21.75" customHeight="1" outlineLevel="1">
      <c r="B5660" s="1569" t="s">
        <v>6167</v>
      </c>
      <c r="C5660" s="1566" t="s">
        <v>2414</v>
      </c>
      <c r="D5660" s="1566" t="s">
        <v>6166</v>
      </c>
      <c r="E5660" s="1566" t="s">
        <v>2219</v>
      </c>
      <c r="F5660" s="1566" t="s">
        <v>2755</v>
      </c>
      <c r="G5660" s="1566"/>
      <c r="H5660" s="1568">
        <v>1</v>
      </c>
      <c r="I5660" s="1571">
        <v>65</v>
      </c>
      <c r="J5660" s="1566"/>
      <c r="K5660" s="1565">
        <v>25136.28</v>
      </c>
      <c r="L5660" s="1565">
        <v>25136.28</v>
      </c>
      <c r="M5660" s="1564"/>
      <c r="N5660" s="1565">
        <v>25136.28</v>
      </c>
      <c r="O5660" s="1565">
        <v>22343.4</v>
      </c>
      <c r="P5660" s="1564"/>
      <c r="Q5660" s="1565">
        <v>2792.88</v>
      </c>
      <c r="R5660" s="1565">
        <v>2792.88</v>
      </c>
      <c r="S5660" s="1562"/>
    </row>
    <row r="5661" spans="2:19" ht="21.75" customHeight="1" outlineLevel="1">
      <c r="B5661" s="1569" t="s">
        <v>6165</v>
      </c>
      <c r="C5661" s="1566" t="s">
        <v>2414</v>
      </c>
      <c r="D5661" s="1566" t="s">
        <v>6164</v>
      </c>
      <c r="E5661" s="1566" t="s">
        <v>2219</v>
      </c>
      <c r="F5661" s="1566" t="s">
        <v>2755</v>
      </c>
      <c r="G5661" s="1566"/>
      <c r="H5661" s="1568">
        <v>1</v>
      </c>
      <c r="I5661" s="1571">
        <v>73</v>
      </c>
      <c r="J5661" s="1566"/>
      <c r="K5661" s="1565">
        <v>48600.66</v>
      </c>
      <c r="L5661" s="1565">
        <v>48600.66</v>
      </c>
      <c r="M5661" s="1564"/>
      <c r="N5661" s="1565">
        <v>48600.66</v>
      </c>
      <c r="O5661" s="1565">
        <v>43200.54</v>
      </c>
      <c r="P5661" s="1564"/>
      <c r="Q5661" s="1565">
        <v>5400.12</v>
      </c>
      <c r="R5661" s="1565">
        <v>5400.12</v>
      </c>
      <c r="S5661" s="1562"/>
    </row>
    <row r="5662" spans="2:19" ht="21.75" customHeight="1" outlineLevel="1">
      <c r="B5662" s="1569" t="s">
        <v>6163</v>
      </c>
      <c r="C5662" s="1566" t="s">
        <v>2414</v>
      </c>
      <c r="D5662" s="1566" t="s">
        <v>6162</v>
      </c>
      <c r="E5662" s="1566" t="s">
        <v>2219</v>
      </c>
      <c r="F5662" s="1566" t="s">
        <v>2755</v>
      </c>
      <c r="G5662" s="1566"/>
      <c r="H5662" s="1568">
        <v>1</v>
      </c>
      <c r="I5662" s="1571">
        <v>81</v>
      </c>
      <c r="J5662" s="1566"/>
      <c r="K5662" s="1565">
        <v>27609.98</v>
      </c>
      <c r="L5662" s="1565">
        <v>27609.98</v>
      </c>
      <c r="M5662" s="1564"/>
      <c r="N5662" s="1565">
        <v>27609.98</v>
      </c>
      <c r="O5662" s="1565">
        <v>24542.18</v>
      </c>
      <c r="P5662" s="1564"/>
      <c r="Q5662" s="1565">
        <v>3067.8</v>
      </c>
      <c r="R5662" s="1565">
        <v>3067.8</v>
      </c>
      <c r="S5662" s="1562"/>
    </row>
    <row r="5663" spans="2:19" ht="21.75" customHeight="1" outlineLevel="1">
      <c r="B5663" s="1569" t="s">
        <v>6161</v>
      </c>
      <c r="C5663" s="1566" t="s">
        <v>2414</v>
      </c>
      <c r="D5663" s="1566" t="s">
        <v>6160</v>
      </c>
      <c r="E5663" s="1566" t="s">
        <v>2219</v>
      </c>
      <c r="F5663" s="1566" t="s">
        <v>2755</v>
      </c>
      <c r="G5663" s="1566"/>
      <c r="H5663" s="1568">
        <v>1</v>
      </c>
      <c r="I5663" s="1571">
        <v>9</v>
      </c>
      <c r="J5663" s="1566"/>
      <c r="K5663" s="1565">
        <v>1218.1400000000001</v>
      </c>
      <c r="L5663" s="1565">
        <v>1218.1400000000001</v>
      </c>
      <c r="M5663" s="1564"/>
      <c r="N5663" s="1565">
        <v>1218.1400000000001</v>
      </c>
      <c r="O5663" s="1565">
        <v>1082.78</v>
      </c>
      <c r="P5663" s="1564"/>
      <c r="Q5663" s="1572">
        <v>135.36000000000001</v>
      </c>
      <c r="R5663" s="1572">
        <v>135.36000000000001</v>
      </c>
      <c r="S5663" s="1562"/>
    </row>
    <row r="5664" spans="2:19" ht="21.75" customHeight="1" outlineLevel="1">
      <c r="B5664" s="1569" t="s">
        <v>6159</v>
      </c>
      <c r="C5664" s="1566" t="s">
        <v>2414</v>
      </c>
      <c r="D5664" s="1566" t="s">
        <v>6158</v>
      </c>
      <c r="E5664" s="1566" t="s">
        <v>2219</v>
      </c>
      <c r="F5664" s="1566" t="s">
        <v>2729</v>
      </c>
      <c r="G5664" s="1566"/>
      <c r="H5664" s="1568">
        <v>1</v>
      </c>
      <c r="I5664" s="1571">
        <v>143</v>
      </c>
      <c r="J5664" s="1566"/>
      <c r="K5664" s="1565">
        <v>48743.55</v>
      </c>
      <c r="L5664" s="1565">
        <v>48743.55</v>
      </c>
      <c r="M5664" s="1564"/>
      <c r="N5664" s="1565">
        <v>48743.55</v>
      </c>
      <c r="O5664" s="1565">
        <v>43327.59</v>
      </c>
      <c r="P5664" s="1564"/>
      <c r="Q5664" s="1565">
        <v>5415.96</v>
      </c>
      <c r="R5664" s="1565">
        <v>5415.96</v>
      </c>
      <c r="S5664" s="1562"/>
    </row>
    <row r="5665" spans="2:19" ht="11.25" customHeight="1" outlineLevel="1">
      <c r="B5665" s="1569" t="s">
        <v>6157</v>
      </c>
      <c r="C5665" s="1566" t="s">
        <v>2414</v>
      </c>
      <c r="D5665" s="1566" t="s">
        <v>6156</v>
      </c>
      <c r="E5665" s="1566" t="s">
        <v>2219</v>
      </c>
      <c r="F5665" s="1566" t="s">
        <v>2729</v>
      </c>
      <c r="G5665" s="1566"/>
      <c r="H5665" s="1568">
        <v>1</v>
      </c>
      <c r="I5665" s="1571">
        <v>166</v>
      </c>
      <c r="J5665" s="1566"/>
      <c r="K5665" s="1565">
        <v>110516.58</v>
      </c>
      <c r="L5665" s="1565">
        <v>110516.58</v>
      </c>
      <c r="M5665" s="1564"/>
      <c r="N5665" s="1565">
        <v>110516.58</v>
      </c>
      <c r="O5665" s="1565">
        <v>98236.98</v>
      </c>
      <c r="P5665" s="1564"/>
      <c r="Q5665" s="1565">
        <v>12279.6</v>
      </c>
      <c r="R5665" s="1565">
        <v>12279.6</v>
      </c>
      <c r="S5665" s="1562"/>
    </row>
    <row r="5666" spans="2:19" ht="21.75" customHeight="1" outlineLevel="1">
      <c r="B5666" s="1569" t="s">
        <v>6155</v>
      </c>
      <c r="C5666" s="1566" t="s">
        <v>2414</v>
      </c>
      <c r="D5666" s="1566" t="s">
        <v>6154</v>
      </c>
      <c r="E5666" s="1566" t="s">
        <v>2219</v>
      </c>
      <c r="F5666" s="1566" t="s">
        <v>2729</v>
      </c>
      <c r="G5666" s="1566"/>
      <c r="H5666" s="1568">
        <v>1</v>
      </c>
      <c r="I5666" s="1571">
        <v>17</v>
      </c>
      <c r="J5666" s="1566"/>
      <c r="K5666" s="1565">
        <v>9507.09</v>
      </c>
      <c r="L5666" s="1565">
        <v>9507.09</v>
      </c>
      <c r="M5666" s="1564"/>
      <c r="N5666" s="1565">
        <v>9507.09</v>
      </c>
      <c r="O5666" s="1565">
        <v>8450.73</v>
      </c>
      <c r="P5666" s="1564"/>
      <c r="Q5666" s="1565">
        <v>1056.3599999999999</v>
      </c>
      <c r="R5666" s="1565">
        <v>1056.3599999999999</v>
      </c>
      <c r="S5666" s="1562"/>
    </row>
    <row r="5667" spans="2:19" ht="11.25" customHeight="1" outlineLevel="1">
      <c r="B5667" s="1569" t="s">
        <v>6153</v>
      </c>
      <c r="C5667" s="1566" t="s">
        <v>2414</v>
      </c>
      <c r="D5667" s="1566" t="s">
        <v>6152</v>
      </c>
      <c r="E5667" s="1566" t="s">
        <v>2219</v>
      </c>
      <c r="F5667" s="1566" t="s">
        <v>2729</v>
      </c>
      <c r="G5667" s="1566"/>
      <c r="H5667" s="1568">
        <v>1</v>
      </c>
      <c r="I5667" s="1571">
        <v>176</v>
      </c>
      <c r="J5667" s="1566"/>
      <c r="K5667" s="1565">
        <v>140609.04</v>
      </c>
      <c r="L5667" s="1565">
        <v>140609.04</v>
      </c>
      <c r="M5667" s="1564"/>
      <c r="N5667" s="1565">
        <v>140609.04</v>
      </c>
      <c r="O5667" s="1565">
        <v>124985.76</v>
      </c>
      <c r="P5667" s="1564"/>
      <c r="Q5667" s="1565">
        <v>15623.28</v>
      </c>
      <c r="R5667" s="1565">
        <v>15623.28</v>
      </c>
      <c r="S5667" s="1562"/>
    </row>
    <row r="5668" spans="2:19" ht="21.75" customHeight="1" outlineLevel="1">
      <c r="B5668" s="1569" t="s">
        <v>6151</v>
      </c>
      <c r="C5668" s="1566" t="s">
        <v>2414</v>
      </c>
      <c r="D5668" s="1566" t="s">
        <v>6150</v>
      </c>
      <c r="E5668" s="1566" t="s">
        <v>2219</v>
      </c>
      <c r="F5668" s="1566" t="s">
        <v>2729</v>
      </c>
      <c r="G5668" s="1566"/>
      <c r="H5668" s="1568">
        <v>1</v>
      </c>
      <c r="I5668" s="1571">
        <v>22</v>
      </c>
      <c r="J5668" s="1566"/>
      <c r="K5668" s="1565">
        <v>8507.66</v>
      </c>
      <c r="L5668" s="1565">
        <v>8507.66</v>
      </c>
      <c r="M5668" s="1564"/>
      <c r="N5668" s="1565">
        <v>8507.66</v>
      </c>
      <c r="O5668" s="1565">
        <v>7562.4</v>
      </c>
      <c r="P5668" s="1564"/>
      <c r="Q5668" s="1572">
        <v>945.26</v>
      </c>
      <c r="R5668" s="1572">
        <v>945.26</v>
      </c>
      <c r="S5668" s="1562"/>
    </row>
    <row r="5669" spans="2:19" ht="21.75" customHeight="1" outlineLevel="1">
      <c r="B5669" s="1569" t="s">
        <v>6149</v>
      </c>
      <c r="C5669" s="1566" t="s">
        <v>2414</v>
      </c>
      <c r="D5669" s="1566" t="s">
        <v>6148</v>
      </c>
      <c r="E5669" s="1566" t="s">
        <v>2219</v>
      </c>
      <c r="F5669" s="1566" t="s">
        <v>2729</v>
      </c>
      <c r="G5669" s="1566"/>
      <c r="H5669" s="1568">
        <v>1</v>
      </c>
      <c r="I5669" s="1571">
        <v>341</v>
      </c>
      <c r="J5669" s="1566"/>
      <c r="K5669" s="1565">
        <v>272430.02</v>
      </c>
      <c r="L5669" s="1565">
        <v>272430.02</v>
      </c>
      <c r="M5669" s="1564"/>
      <c r="N5669" s="1565">
        <v>272430.02</v>
      </c>
      <c r="O5669" s="1565">
        <v>242160.02</v>
      </c>
      <c r="P5669" s="1564"/>
      <c r="Q5669" s="1565">
        <v>30270</v>
      </c>
      <c r="R5669" s="1565">
        <v>30270</v>
      </c>
      <c r="S5669" s="1562"/>
    </row>
    <row r="5670" spans="2:19" ht="21.75" customHeight="1" outlineLevel="1">
      <c r="B5670" s="1569" t="s">
        <v>6147</v>
      </c>
      <c r="C5670" s="1566" t="s">
        <v>2414</v>
      </c>
      <c r="D5670" s="1566" t="s">
        <v>6146</v>
      </c>
      <c r="E5670" s="1566" t="s">
        <v>2219</v>
      </c>
      <c r="F5670" s="1566" t="s">
        <v>2729</v>
      </c>
      <c r="G5670" s="1566"/>
      <c r="H5670" s="1568">
        <v>1</v>
      </c>
      <c r="I5670" s="1571">
        <v>465</v>
      </c>
      <c r="J5670" s="1566"/>
      <c r="K5670" s="1565">
        <v>359642.16</v>
      </c>
      <c r="L5670" s="1565">
        <v>359642.16</v>
      </c>
      <c r="M5670" s="1564"/>
      <c r="N5670" s="1565">
        <v>359642.16</v>
      </c>
      <c r="O5670" s="1565">
        <v>319681.91999999998</v>
      </c>
      <c r="P5670" s="1564"/>
      <c r="Q5670" s="1565">
        <v>39960.239999999998</v>
      </c>
      <c r="R5670" s="1565">
        <v>39960.239999999998</v>
      </c>
      <c r="S5670" s="1562"/>
    </row>
    <row r="5671" spans="2:19" ht="21.75" customHeight="1" outlineLevel="1">
      <c r="B5671" s="1569" t="s">
        <v>6145</v>
      </c>
      <c r="C5671" s="1566" t="s">
        <v>2414</v>
      </c>
      <c r="D5671" s="1566" t="s">
        <v>6144</v>
      </c>
      <c r="E5671" s="1566" t="s">
        <v>2219</v>
      </c>
      <c r="F5671" s="1566" t="s">
        <v>2729</v>
      </c>
      <c r="G5671" s="1566"/>
      <c r="H5671" s="1568">
        <v>1</v>
      </c>
      <c r="I5671" s="1571">
        <v>472</v>
      </c>
      <c r="J5671" s="1566"/>
      <c r="K5671" s="1565">
        <v>160887.81</v>
      </c>
      <c r="L5671" s="1565">
        <v>160887.81</v>
      </c>
      <c r="M5671" s="1564"/>
      <c r="N5671" s="1565">
        <v>160887.81</v>
      </c>
      <c r="O5671" s="1565">
        <v>143011.41</v>
      </c>
      <c r="P5671" s="1564"/>
      <c r="Q5671" s="1565">
        <v>17876.400000000001</v>
      </c>
      <c r="R5671" s="1565">
        <v>17876.400000000001</v>
      </c>
      <c r="S5671" s="1562"/>
    </row>
    <row r="5672" spans="2:19" ht="21.75" customHeight="1" outlineLevel="1">
      <c r="B5672" s="1569" t="s">
        <v>6143</v>
      </c>
      <c r="C5672" s="1566" t="s">
        <v>2414</v>
      </c>
      <c r="D5672" s="1566" t="s">
        <v>6142</v>
      </c>
      <c r="E5672" s="1566" t="s">
        <v>2219</v>
      </c>
      <c r="F5672" s="1566" t="s">
        <v>2729</v>
      </c>
      <c r="G5672" s="1566"/>
      <c r="H5672" s="1568">
        <v>1</v>
      </c>
      <c r="I5672" s="1571">
        <v>50</v>
      </c>
      <c r="J5672" s="1566"/>
      <c r="K5672" s="1565">
        <v>39945.75</v>
      </c>
      <c r="L5672" s="1565">
        <v>39945.75</v>
      </c>
      <c r="M5672" s="1564"/>
      <c r="N5672" s="1565">
        <v>39945.75</v>
      </c>
      <c r="O5672" s="1565">
        <v>35507.31</v>
      </c>
      <c r="P5672" s="1564"/>
      <c r="Q5672" s="1565">
        <v>4438.4399999999996</v>
      </c>
      <c r="R5672" s="1565">
        <v>4438.4399999999996</v>
      </c>
      <c r="S5672" s="1562"/>
    </row>
    <row r="5673" spans="2:19" ht="21.75" customHeight="1" outlineLevel="1">
      <c r="B5673" s="1569" t="s">
        <v>6141</v>
      </c>
      <c r="C5673" s="1566" t="s">
        <v>2414</v>
      </c>
      <c r="D5673" s="1566" t="s">
        <v>6140</v>
      </c>
      <c r="E5673" s="1566" t="s">
        <v>2219</v>
      </c>
      <c r="F5673" s="1566" t="s">
        <v>2729</v>
      </c>
      <c r="G5673" s="1566"/>
      <c r="H5673" s="1568">
        <v>1</v>
      </c>
      <c r="I5673" s="1571">
        <v>529</v>
      </c>
      <c r="J5673" s="1566"/>
      <c r="K5673" s="1565">
        <v>422626.04</v>
      </c>
      <c r="L5673" s="1565">
        <v>422626.04</v>
      </c>
      <c r="M5673" s="1564"/>
      <c r="N5673" s="1565">
        <v>422626.04</v>
      </c>
      <c r="O5673" s="1565">
        <v>375667.64</v>
      </c>
      <c r="P5673" s="1564"/>
      <c r="Q5673" s="1565">
        <v>46958.400000000001</v>
      </c>
      <c r="R5673" s="1565">
        <v>46958.400000000001</v>
      </c>
      <c r="S5673" s="1562"/>
    </row>
    <row r="5674" spans="2:19" ht="21.75" customHeight="1" outlineLevel="1">
      <c r="B5674" s="1569" t="s">
        <v>6139</v>
      </c>
      <c r="C5674" s="1566" t="s">
        <v>2414</v>
      </c>
      <c r="D5674" s="1566" t="s">
        <v>6138</v>
      </c>
      <c r="E5674" s="1566" t="s">
        <v>2219</v>
      </c>
      <c r="F5674" s="1566" t="s">
        <v>2729</v>
      </c>
      <c r="G5674" s="1566"/>
      <c r="H5674" s="1568">
        <v>1</v>
      </c>
      <c r="I5674" s="1571">
        <v>61</v>
      </c>
      <c r="J5674" s="1566"/>
      <c r="K5674" s="1565">
        <v>33025.199999999997</v>
      </c>
      <c r="L5674" s="1565">
        <v>33025.199999999997</v>
      </c>
      <c r="M5674" s="1564"/>
      <c r="N5674" s="1565">
        <v>33025.199999999997</v>
      </c>
      <c r="O5674" s="1565">
        <v>29355.72</v>
      </c>
      <c r="P5674" s="1564"/>
      <c r="Q5674" s="1565">
        <v>3669.48</v>
      </c>
      <c r="R5674" s="1565">
        <v>3669.48</v>
      </c>
      <c r="S5674" s="1562"/>
    </row>
    <row r="5675" spans="2:19" ht="21.75" customHeight="1" outlineLevel="1">
      <c r="B5675" s="1569" t="s">
        <v>6137</v>
      </c>
      <c r="C5675" s="1566" t="s">
        <v>2414</v>
      </c>
      <c r="D5675" s="1566" t="s">
        <v>6136</v>
      </c>
      <c r="E5675" s="1566" t="s">
        <v>2219</v>
      </c>
      <c r="F5675" s="1566" t="s">
        <v>2729</v>
      </c>
      <c r="G5675" s="1566"/>
      <c r="H5675" s="1568">
        <v>1</v>
      </c>
      <c r="I5675" s="1571">
        <v>69</v>
      </c>
      <c r="J5675" s="1566"/>
      <c r="K5675" s="1565">
        <v>53366.26</v>
      </c>
      <c r="L5675" s="1565">
        <v>53366.26</v>
      </c>
      <c r="M5675" s="1564"/>
      <c r="N5675" s="1565">
        <v>53366.26</v>
      </c>
      <c r="O5675" s="1565">
        <v>47436.7</v>
      </c>
      <c r="P5675" s="1564"/>
      <c r="Q5675" s="1565">
        <v>5929.56</v>
      </c>
      <c r="R5675" s="1565">
        <v>5929.56</v>
      </c>
      <c r="S5675" s="1562"/>
    </row>
    <row r="5676" spans="2:19" ht="11.25" customHeight="1" outlineLevel="1">
      <c r="B5676" s="1569" t="s">
        <v>6135</v>
      </c>
      <c r="C5676" s="1566" t="s">
        <v>2414</v>
      </c>
      <c r="D5676" s="1566" t="s">
        <v>6134</v>
      </c>
      <c r="E5676" s="1566" t="s">
        <v>2219</v>
      </c>
      <c r="F5676" s="1566" t="s">
        <v>2716</v>
      </c>
      <c r="G5676" s="1566"/>
      <c r="H5676" s="1568">
        <v>1</v>
      </c>
      <c r="I5676" s="1571">
        <v>10</v>
      </c>
      <c r="J5676" s="1566"/>
      <c r="K5676" s="1565">
        <v>2706.98</v>
      </c>
      <c r="L5676" s="1565">
        <v>2706.98</v>
      </c>
      <c r="M5676" s="1564"/>
      <c r="N5676" s="1565">
        <v>2706.98</v>
      </c>
      <c r="O5676" s="1565">
        <v>2406.2399999999998</v>
      </c>
      <c r="P5676" s="1564"/>
      <c r="Q5676" s="1572">
        <v>300.74</v>
      </c>
      <c r="R5676" s="1572">
        <v>300.74</v>
      </c>
      <c r="S5676" s="1562"/>
    </row>
    <row r="5677" spans="2:19" ht="11.25" customHeight="1" outlineLevel="1">
      <c r="B5677" s="1569" t="s">
        <v>6133</v>
      </c>
      <c r="C5677" s="1566" t="s">
        <v>2414</v>
      </c>
      <c r="D5677" s="1566" t="s">
        <v>6132</v>
      </c>
      <c r="E5677" s="1566" t="s">
        <v>2219</v>
      </c>
      <c r="F5677" s="1566" t="s">
        <v>2716</v>
      </c>
      <c r="G5677" s="1566"/>
      <c r="H5677" s="1568">
        <v>1</v>
      </c>
      <c r="I5677" s="1571">
        <v>12</v>
      </c>
      <c r="J5677" s="1566"/>
      <c r="K5677" s="1565">
        <v>3248.38</v>
      </c>
      <c r="L5677" s="1565">
        <v>3248.38</v>
      </c>
      <c r="M5677" s="1564"/>
      <c r="N5677" s="1565">
        <v>3248.38</v>
      </c>
      <c r="O5677" s="1565">
        <v>2887.42</v>
      </c>
      <c r="P5677" s="1564"/>
      <c r="Q5677" s="1572">
        <v>360.96</v>
      </c>
      <c r="R5677" s="1572">
        <v>360.96</v>
      </c>
      <c r="S5677" s="1562"/>
    </row>
    <row r="5678" spans="2:19" ht="11.25" customHeight="1" outlineLevel="1">
      <c r="B5678" s="1569" t="s">
        <v>6131</v>
      </c>
      <c r="C5678" s="1566" t="s">
        <v>2414</v>
      </c>
      <c r="D5678" s="1566" t="s">
        <v>6130</v>
      </c>
      <c r="E5678" s="1566" t="s">
        <v>2219</v>
      </c>
      <c r="F5678" s="1566" t="s">
        <v>2716</v>
      </c>
      <c r="G5678" s="1566" t="s">
        <v>6129</v>
      </c>
      <c r="H5678" s="1568">
        <v>1</v>
      </c>
      <c r="I5678" s="1571">
        <v>13</v>
      </c>
      <c r="J5678" s="1566"/>
      <c r="K5678" s="1565">
        <v>3519.08</v>
      </c>
      <c r="L5678" s="1565">
        <v>3519.08</v>
      </c>
      <c r="M5678" s="1564"/>
      <c r="N5678" s="1565">
        <v>3519.08</v>
      </c>
      <c r="O5678" s="1565">
        <v>3128.12</v>
      </c>
      <c r="P5678" s="1564"/>
      <c r="Q5678" s="1572">
        <v>390.96</v>
      </c>
      <c r="R5678" s="1572">
        <v>390.96</v>
      </c>
      <c r="S5678" s="1562"/>
    </row>
    <row r="5679" spans="2:19" ht="11.25" customHeight="1" outlineLevel="1">
      <c r="B5679" s="1569" t="s">
        <v>6128</v>
      </c>
      <c r="C5679" s="1566" t="s">
        <v>2414</v>
      </c>
      <c r="D5679" s="1566" t="s">
        <v>6127</v>
      </c>
      <c r="E5679" s="1566" t="s">
        <v>2219</v>
      </c>
      <c r="F5679" s="1566" t="s">
        <v>2716</v>
      </c>
      <c r="G5679" s="1566"/>
      <c r="H5679" s="1568">
        <v>1</v>
      </c>
      <c r="I5679" s="1571">
        <v>13</v>
      </c>
      <c r="J5679" s="1566"/>
      <c r="K5679" s="1565">
        <v>3519.08</v>
      </c>
      <c r="L5679" s="1565">
        <v>3519.08</v>
      </c>
      <c r="M5679" s="1564"/>
      <c r="N5679" s="1565">
        <v>3519.08</v>
      </c>
      <c r="O5679" s="1565">
        <v>3128.12</v>
      </c>
      <c r="P5679" s="1564"/>
      <c r="Q5679" s="1572">
        <v>390.96</v>
      </c>
      <c r="R5679" s="1572">
        <v>390.96</v>
      </c>
      <c r="S5679" s="1562"/>
    </row>
    <row r="5680" spans="2:19" ht="11.25" customHeight="1" outlineLevel="1">
      <c r="B5680" s="1569" t="s">
        <v>6126</v>
      </c>
      <c r="C5680" s="1566" t="s">
        <v>2414</v>
      </c>
      <c r="D5680" s="1566" t="s">
        <v>6125</v>
      </c>
      <c r="E5680" s="1566" t="s">
        <v>2219</v>
      </c>
      <c r="F5680" s="1566" t="s">
        <v>2716</v>
      </c>
      <c r="G5680" s="1566"/>
      <c r="H5680" s="1568">
        <v>1</v>
      </c>
      <c r="I5680" s="1571">
        <v>15</v>
      </c>
      <c r="J5680" s="1566"/>
      <c r="K5680" s="1565">
        <v>4060.48</v>
      </c>
      <c r="L5680" s="1565">
        <v>4060.48</v>
      </c>
      <c r="M5680" s="1564"/>
      <c r="N5680" s="1565">
        <v>4060.48</v>
      </c>
      <c r="O5680" s="1565">
        <v>3609.28</v>
      </c>
      <c r="P5680" s="1564"/>
      <c r="Q5680" s="1572">
        <v>451.2</v>
      </c>
      <c r="R5680" s="1572">
        <v>451.2</v>
      </c>
      <c r="S5680" s="1562"/>
    </row>
    <row r="5681" spans="2:19" ht="21.75" customHeight="1" outlineLevel="1">
      <c r="B5681" s="1569" t="s">
        <v>6124</v>
      </c>
      <c r="C5681" s="1566" t="s">
        <v>2414</v>
      </c>
      <c r="D5681" s="1566" t="s">
        <v>6123</v>
      </c>
      <c r="E5681" s="1566" t="s">
        <v>2219</v>
      </c>
      <c r="F5681" s="1566" t="s">
        <v>2716</v>
      </c>
      <c r="G5681" s="1566"/>
      <c r="H5681" s="1568">
        <v>1</v>
      </c>
      <c r="I5681" s="1571">
        <v>44</v>
      </c>
      <c r="J5681" s="1566"/>
      <c r="K5681" s="1565">
        <v>17015.330000000002</v>
      </c>
      <c r="L5681" s="1565">
        <v>17015.330000000002</v>
      </c>
      <c r="M5681" s="1564"/>
      <c r="N5681" s="1565">
        <v>17015.330000000002</v>
      </c>
      <c r="O5681" s="1565">
        <v>15124.73</v>
      </c>
      <c r="P5681" s="1564"/>
      <c r="Q5681" s="1565">
        <v>1890.6</v>
      </c>
      <c r="R5681" s="1565">
        <v>1890.6</v>
      </c>
      <c r="S5681" s="1562"/>
    </row>
    <row r="5682" spans="2:19" ht="11.25" customHeight="1" outlineLevel="1">
      <c r="B5682" s="1569" t="s">
        <v>6122</v>
      </c>
      <c r="C5682" s="1566" t="s">
        <v>2414</v>
      </c>
      <c r="D5682" s="1566" t="s">
        <v>6121</v>
      </c>
      <c r="E5682" s="1566" t="s">
        <v>2219</v>
      </c>
      <c r="F5682" s="1566" t="s">
        <v>2716</v>
      </c>
      <c r="G5682" s="1566"/>
      <c r="H5682" s="1568">
        <v>1</v>
      </c>
      <c r="I5682" s="1571">
        <v>5</v>
      </c>
      <c r="J5682" s="1566"/>
      <c r="K5682" s="1565">
        <v>1353.49</v>
      </c>
      <c r="L5682" s="1565">
        <v>1353.49</v>
      </c>
      <c r="M5682" s="1564"/>
      <c r="N5682" s="1565">
        <v>1353.49</v>
      </c>
      <c r="O5682" s="1565">
        <v>1203.1300000000001</v>
      </c>
      <c r="P5682" s="1564"/>
      <c r="Q5682" s="1572">
        <v>150.36000000000001</v>
      </c>
      <c r="R5682" s="1572">
        <v>150.36000000000001</v>
      </c>
      <c r="S5682" s="1562"/>
    </row>
    <row r="5683" spans="2:19" ht="11.25" customHeight="1" outlineLevel="1">
      <c r="B5683" s="1569" t="s">
        <v>6120</v>
      </c>
      <c r="C5683" s="1566" t="s">
        <v>2414</v>
      </c>
      <c r="D5683" s="1566" t="s">
        <v>6119</v>
      </c>
      <c r="E5683" s="1566" t="s">
        <v>2219</v>
      </c>
      <c r="F5683" s="1566" t="s">
        <v>2716</v>
      </c>
      <c r="G5683" s="1566" t="s">
        <v>6118</v>
      </c>
      <c r="H5683" s="1568">
        <v>1</v>
      </c>
      <c r="I5683" s="1571">
        <v>72</v>
      </c>
      <c r="J5683" s="1566"/>
      <c r="K5683" s="1565">
        <v>19490.28</v>
      </c>
      <c r="L5683" s="1565">
        <v>19490.28</v>
      </c>
      <c r="M5683" s="1564"/>
      <c r="N5683" s="1565">
        <v>19490.28</v>
      </c>
      <c r="O5683" s="1565">
        <v>17324.64</v>
      </c>
      <c r="P5683" s="1564"/>
      <c r="Q5683" s="1565">
        <v>2165.64</v>
      </c>
      <c r="R5683" s="1565">
        <v>2165.64</v>
      </c>
      <c r="S5683" s="1562"/>
    </row>
    <row r="5684" spans="2:19" ht="21.75" customHeight="1" outlineLevel="1">
      <c r="B5684" s="1569" t="s">
        <v>6117</v>
      </c>
      <c r="C5684" s="1566" t="s">
        <v>2414</v>
      </c>
      <c r="D5684" s="1566" t="s">
        <v>6116</v>
      </c>
      <c r="E5684" s="1566" t="s">
        <v>2219</v>
      </c>
      <c r="F5684" s="1566" t="s">
        <v>2716</v>
      </c>
      <c r="G5684" s="1566" t="s">
        <v>6115</v>
      </c>
      <c r="H5684" s="1568">
        <v>1</v>
      </c>
      <c r="I5684" s="1571">
        <v>83</v>
      </c>
      <c r="J5684" s="1566"/>
      <c r="K5684" s="1565">
        <v>28291.71</v>
      </c>
      <c r="L5684" s="1565">
        <v>28291.71</v>
      </c>
      <c r="M5684" s="1564"/>
      <c r="N5684" s="1565">
        <v>28291.71</v>
      </c>
      <c r="O5684" s="1565">
        <v>25148.19</v>
      </c>
      <c r="P5684" s="1564"/>
      <c r="Q5684" s="1565">
        <v>3143.52</v>
      </c>
      <c r="R5684" s="1565">
        <v>3143.52</v>
      </c>
      <c r="S5684" s="1562"/>
    </row>
    <row r="5685" spans="2:19" ht="21.75" customHeight="1" outlineLevel="1">
      <c r="B5685" s="1569" t="s">
        <v>6114</v>
      </c>
      <c r="C5685" s="1566" t="s">
        <v>2414</v>
      </c>
      <c r="D5685" s="1566" t="s">
        <v>6113</v>
      </c>
      <c r="E5685" s="1566" t="s">
        <v>2219</v>
      </c>
      <c r="F5685" s="1566" t="s">
        <v>2707</v>
      </c>
      <c r="G5685" s="1566" t="s">
        <v>6112</v>
      </c>
      <c r="H5685" s="1568">
        <v>1</v>
      </c>
      <c r="I5685" s="1566"/>
      <c r="J5685" s="1566"/>
      <c r="K5685" s="1565">
        <v>101791.2</v>
      </c>
      <c r="L5685" s="1565">
        <v>101791.2</v>
      </c>
      <c r="M5685" s="1564"/>
      <c r="N5685" s="1565">
        <v>101791.2</v>
      </c>
      <c r="O5685" s="1565">
        <v>84825.96</v>
      </c>
      <c r="P5685" s="1564"/>
      <c r="Q5685" s="1565">
        <v>16965.240000000002</v>
      </c>
      <c r="R5685" s="1565">
        <v>16965.240000000002</v>
      </c>
      <c r="S5685" s="1562"/>
    </row>
    <row r="5686" spans="2:19" ht="11.25" customHeight="1" outlineLevel="1">
      <c r="B5686" s="1569" t="s">
        <v>6111</v>
      </c>
      <c r="C5686" s="1566" t="s">
        <v>2414</v>
      </c>
      <c r="D5686" s="1566" t="s">
        <v>6110</v>
      </c>
      <c r="E5686" s="1566" t="s">
        <v>2219</v>
      </c>
      <c r="F5686" s="1566" t="s">
        <v>2707</v>
      </c>
      <c r="G5686" s="1566" t="s">
        <v>6109</v>
      </c>
      <c r="H5686" s="1566"/>
      <c r="I5686" s="1571">
        <v>11</v>
      </c>
      <c r="J5686" s="1566"/>
      <c r="K5686" s="1565">
        <v>2977.68</v>
      </c>
      <c r="L5686" s="1565">
        <v>2977.68</v>
      </c>
      <c r="M5686" s="1564"/>
      <c r="N5686" s="1565">
        <v>2977.68</v>
      </c>
      <c r="O5686" s="1565">
        <v>2646.84</v>
      </c>
      <c r="P5686" s="1564"/>
      <c r="Q5686" s="1572">
        <v>330.84</v>
      </c>
      <c r="R5686" s="1572">
        <v>330.84</v>
      </c>
      <c r="S5686" s="1562"/>
    </row>
    <row r="5687" spans="2:19" ht="11.25" customHeight="1" outlineLevel="1">
      <c r="B5687" s="1569" t="s">
        <v>6108</v>
      </c>
      <c r="C5687" s="1566" t="s">
        <v>2414</v>
      </c>
      <c r="D5687" s="1566" t="s">
        <v>6107</v>
      </c>
      <c r="E5687" s="1566" t="s">
        <v>2219</v>
      </c>
      <c r="F5687" s="1566" t="s">
        <v>2707</v>
      </c>
      <c r="G5687" s="1566" t="s">
        <v>6106</v>
      </c>
      <c r="H5687" s="1568">
        <v>1</v>
      </c>
      <c r="I5687" s="1571">
        <v>27</v>
      </c>
      <c r="J5687" s="1566"/>
      <c r="K5687" s="1565">
        <v>10441.219999999999</v>
      </c>
      <c r="L5687" s="1565">
        <v>10441.219999999999</v>
      </c>
      <c r="M5687" s="1564"/>
      <c r="N5687" s="1565">
        <v>10441.219999999999</v>
      </c>
      <c r="O5687" s="1565">
        <v>9281.06</v>
      </c>
      <c r="P5687" s="1564"/>
      <c r="Q5687" s="1565">
        <v>1160.1600000000001</v>
      </c>
      <c r="R5687" s="1565">
        <v>1160.1600000000001</v>
      </c>
      <c r="S5687" s="1562"/>
    </row>
    <row r="5688" spans="2:19" ht="11.25" customHeight="1" outlineLevel="1">
      <c r="B5688" s="1569" t="s">
        <v>6105</v>
      </c>
      <c r="C5688" s="1566" t="s">
        <v>2414</v>
      </c>
      <c r="D5688" s="1566" t="s">
        <v>6104</v>
      </c>
      <c r="E5688" s="1566" t="s">
        <v>2219</v>
      </c>
      <c r="F5688" s="1566" t="s">
        <v>2707</v>
      </c>
      <c r="G5688" s="1566" t="s">
        <v>6103</v>
      </c>
      <c r="H5688" s="1568">
        <v>1</v>
      </c>
      <c r="I5688" s="1571">
        <v>53</v>
      </c>
      <c r="J5688" s="1566"/>
      <c r="K5688" s="1565">
        <v>18065.79</v>
      </c>
      <c r="L5688" s="1565">
        <v>18065.79</v>
      </c>
      <c r="M5688" s="1564"/>
      <c r="N5688" s="1565">
        <v>18065.79</v>
      </c>
      <c r="O5688" s="1565">
        <v>16058.43</v>
      </c>
      <c r="P5688" s="1564"/>
      <c r="Q5688" s="1565">
        <v>2007.36</v>
      </c>
      <c r="R5688" s="1565">
        <v>2007.36</v>
      </c>
      <c r="S5688" s="1562"/>
    </row>
    <row r="5689" spans="2:19" ht="11.25" customHeight="1" outlineLevel="1">
      <c r="B5689" s="1569" t="s">
        <v>6102</v>
      </c>
      <c r="C5689" s="1566" t="s">
        <v>2414</v>
      </c>
      <c r="D5689" s="1566" t="s">
        <v>6101</v>
      </c>
      <c r="E5689" s="1566" t="s">
        <v>2219</v>
      </c>
      <c r="F5689" s="1566" t="s">
        <v>2707</v>
      </c>
      <c r="G5689" s="1566" t="s">
        <v>6100</v>
      </c>
      <c r="H5689" s="1568">
        <v>1</v>
      </c>
      <c r="I5689" s="1571">
        <v>75</v>
      </c>
      <c r="J5689" s="1566"/>
      <c r="K5689" s="1565">
        <v>58006.8</v>
      </c>
      <c r="L5689" s="1565">
        <v>58006.8</v>
      </c>
      <c r="M5689" s="1564"/>
      <c r="N5689" s="1565">
        <v>58006.8</v>
      </c>
      <c r="O5689" s="1565">
        <v>51561.599999999999</v>
      </c>
      <c r="P5689" s="1564"/>
      <c r="Q5689" s="1565">
        <v>6445.2</v>
      </c>
      <c r="R5689" s="1565">
        <v>6445.2</v>
      </c>
      <c r="S5689" s="1562"/>
    </row>
    <row r="5690" spans="2:19" ht="11.25" customHeight="1" outlineLevel="1">
      <c r="B5690" s="1569" t="s">
        <v>6099</v>
      </c>
      <c r="C5690" s="1566" t="s">
        <v>2414</v>
      </c>
      <c r="D5690" s="1566" t="s">
        <v>6098</v>
      </c>
      <c r="E5690" s="1566" t="s">
        <v>2219</v>
      </c>
      <c r="F5690" s="1566" t="s">
        <v>2707</v>
      </c>
      <c r="G5690" s="1566" t="s">
        <v>6097</v>
      </c>
      <c r="H5690" s="1568">
        <v>1</v>
      </c>
      <c r="I5690" s="1571">
        <v>84</v>
      </c>
      <c r="J5690" s="1566"/>
      <c r="K5690" s="1565">
        <v>22369.62</v>
      </c>
      <c r="L5690" s="1565">
        <v>22369.62</v>
      </c>
      <c r="M5690" s="1564"/>
      <c r="N5690" s="1565">
        <v>22369.62</v>
      </c>
      <c r="O5690" s="1565">
        <v>19884.060000000001</v>
      </c>
      <c r="P5690" s="1564"/>
      <c r="Q5690" s="1565">
        <v>2485.56</v>
      </c>
      <c r="R5690" s="1565">
        <v>2485.56</v>
      </c>
      <c r="S5690" s="1562"/>
    </row>
    <row r="5691" spans="2:19" ht="11.25" customHeight="1" outlineLevel="1">
      <c r="B5691" s="1569" t="s">
        <v>6096</v>
      </c>
      <c r="C5691" s="1566" t="s">
        <v>2414</v>
      </c>
      <c r="D5691" s="1566" t="s">
        <v>6095</v>
      </c>
      <c r="E5691" s="1566" t="s">
        <v>2219</v>
      </c>
      <c r="F5691" s="1566" t="s">
        <v>2707</v>
      </c>
      <c r="G5691" s="1566" t="s">
        <v>6094</v>
      </c>
      <c r="H5691" s="1568">
        <v>1</v>
      </c>
      <c r="I5691" s="1566"/>
      <c r="J5691" s="1566"/>
      <c r="K5691" s="1565">
        <v>92179.8</v>
      </c>
      <c r="L5691" s="1565">
        <v>92179.8</v>
      </c>
      <c r="M5691" s="1564"/>
      <c r="N5691" s="1565">
        <v>92179.8</v>
      </c>
      <c r="O5691" s="1565">
        <v>73743.839999999997</v>
      </c>
      <c r="P5691" s="1564"/>
      <c r="Q5691" s="1565">
        <v>18435.96</v>
      </c>
      <c r="R5691" s="1565">
        <v>18435.96</v>
      </c>
      <c r="S5691" s="1562"/>
    </row>
    <row r="5692" spans="2:19" ht="21.75" customHeight="1" outlineLevel="1">
      <c r="B5692" s="1569" t="s">
        <v>6093</v>
      </c>
      <c r="C5692" s="1566" t="s">
        <v>2414</v>
      </c>
      <c r="D5692" s="1566" t="s">
        <v>6092</v>
      </c>
      <c r="E5692" s="1566" t="s">
        <v>2219</v>
      </c>
      <c r="F5692" s="1566" t="s">
        <v>6091</v>
      </c>
      <c r="G5692" s="1566" t="s">
        <v>6090</v>
      </c>
      <c r="H5692" s="1568">
        <v>1</v>
      </c>
      <c r="I5692" s="1566"/>
      <c r="J5692" s="1566"/>
      <c r="K5692" s="1565">
        <v>180865.51</v>
      </c>
      <c r="L5692" s="1565">
        <v>180865.51</v>
      </c>
      <c r="M5692" s="1564"/>
      <c r="N5692" s="1565">
        <v>180865.51</v>
      </c>
      <c r="O5692" s="1565">
        <v>150721.26999999999</v>
      </c>
      <c r="P5692" s="1564"/>
      <c r="Q5692" s="1565">
        <v>30144.240000000002</v>
      </c>
      <c r="R5692" s="1565">
        <v>30144.240000000002</v>
      </c>
      <c r="S5692" s="1562"/>
    </row>
    <row r="5693" spans="2:19" ht="21.75" customHeight="1" outlineLevel="1">
      <c r="B5693" s="1569" t="s">
        <v>6089</v>
      </c>
      <c r="C5693" s="1566" t="s">
        <v>2414</v>
      </c>
      <c r="D5693" s="1566" t="s">
        <v>6088</v>
      </c>
      <c r="E5693" s="1566" t="s">
        <v>2219</v>
      </c>
      <c r="F5693" s="1566" t="s">
        <v>2691</v>
      </c>
      <c r="G5693" s="1566" t="s">
        <v>2697</v>
      </c>
      <c r="H5693" s="1568">
        <v>1</v>
      </c>
      <c r="I5693" s="1571">
        <v>105</v>
      </c>
      <c r="J5693" s="1566"/>
      <c r="K5693" s="1565">
        <v>153791.14000000001</v>
      </c>
      <c r="L5693" s="1565">
        <v>153791.14000000001</v>
      </c>
      <c r="M5693" s="1564"/>
      <c r="N5693" s="1565">
        <v>153791.14000000001</v>
      </c>
      <c r="O5693" s="1565">
        <v>136703.26</v>
      </c>
      <c r="P5693" s="1564"/>
      <c r="Q5693" s="1565">
        <v>17087.88</v>
      </c>
      <c r="R5693" s="1565">
        <v>17087.88</v>
      </c>
      <c r="S5693" s="1562"/>
    </row>
    <row r="5694" spans="2:19" ht="21.75" customHeight="1" outlineLevel="1">
      <c r="B5694" s="1569" t="s">
        <v>6087</v>
      </c>
      <c r="C5694" s="1566" t="s">
        <v>2414</v>
      </c>
      <c r="D5694" s="1566" t="s">
        <v>6086</v>
      </c>
      <c r="E5694" s="1566" t="s">
        <v>2219</v>
      </c>
      <c r="F5694" s="1566" t="s">
        <v>2691</v>
      </c>
      <c r="G5694" s="1566" t="s">
        <v>2690</v>
      </c>
      <c r="H5694" s="1568">
        <v>1</v>
      </c>
      <c r="I5694" s="1571">
        <v>122</v>
      </c>
      <c r="J5694" s="1566"/>
      <c r="K5694" s="1565">
        <v>178690.66</v>
      </c>
      <c r="L5694" s="1565">
        <v>178690.66</v>
      </c>
      <c r="M5694" s="1564"/>
      <c r="N5694" s="1565">
        <v>178690.66</v>
      </c>
      <c r="O5694" s="1565">
        <v>158836.18</v>
      </c>
      <c r="P5694" s="1564"/>
      <c r="Q5694" s="1565">
        <v>19854.48</v>
      </c>
      <c r="R5694" s="1565">
        <v>19854.48</v>
      </c>
      <c r="S5694" s="1562"/>
    </row>
    <row r="5695" spans="2:19" ht="11.25" customHeight="1" outlineLevel="1">
      <c r="B5695" s="1569" t="s">
        <v>6085</v>
      </c>
      <c r="C5695" s="1566" t="s">
        <v>2414</v>
      </c>
      <c r="D5695" s="1566" t="s">
        <v>6084</v>
      </c>
      <c r="E5695" s="1566" t="s">
        <v>2219</v>
      </c>
      <c r="F5695" s="1566" t="s">
        <v>2691</v>
      </c>
      <c r="G5695" s="1566" t="s">
        <v>2700</v>
      </c>
      <c r="H5695" s="1568">
        <v>1</v>
      </c>
      <c r="I5695" s="1571">
        <v>24</v>
      </c>
      <c r="J5695" s="1566"/>
      <c r="K5695" s="1565">
        <v>35152.26</v>
      </c>
      <c r="L5695" s="1565">
        <v>35152.26</v>
      </c>
      <c r="M5695" s="1564"/>
      <c r="N5695" s="1565">
        <v>35152.26</v>
      </c>
      <c r="O5695" s="1565">
        <v>31246.5</v>
      </c>
      <c r="P5695" s="1564"/>
      <c r="Q5695" s="1565">
        <v>3905.76</v>
      </c>
      <c r="R5695" s="1565">
        <v>3905.76</v>
      </c>
      <c r="S5695" s="1562"/>
    </row>
    <row r="5696" spans="2:19" ht="11.25" customHeight="1" outlineLevel="1">
      <c r="B5696" s="1569" t="s">
        <v>6083</v>
      </c>
      <c r="C5696" s="1566" t="s">
        <v>2414</v>
      </c>
      <c r="D5696" s="1566" t="s">
        <v>6082</v>
      </c>
      <c r="E5696" s="1566" t="s">
        <v>2219</v>
      </c>
      <c r="F5696" s="1566" t="s">
        <v>2691</v>
      </c>
      <c r="G5696" s="1566" t="s">
        <v>6081</v>
      </c>
      <c r="H5696" s="1568">
        <v>1</v>
      </c>
      <c r="I5696" s="1571">
        <v>41</v>
      </c>
      <c r="J5696" s="1566"/>
      <c r="K5696" s="1565">
        <v>60051.78</v>
      </c>
      <c r="L5696" s="1565">
        <v>60051.78</v>
      </c>
      <c r="M5696" s="1564"/>
      <c r="N5696" s="1565">
        <v>60051.78</v>
      </c>
      <c r="O5696" s="1565">
        <v>53379.360000000001</v>
      </c>
      <c r="P5696" s="1564"/>
      <c r="Q5696" s="1565">
        <v>6672.42</v>
      </c>
      <c r="R5696" s="1565">
        <v>6672.42</v>
      </c>
      <c r="S5696" s="1562"/>
    </row>
    <row r="5697" spans="2:19" ht="11.25" customHeight="1" outlineLevel="1">
      <c r="B5697" s="1569" t="s">
        <v>6080</v>
      </c>
      <c r="C5697" s="1566" t="s">
        <v>2414</v>
      </c>
      <c r="D5697" s="1566" t="s">
        <v>6079</v>
      </c>
      <c r="E5697" s="1566" t="s">
        <v>2219</v>
      </c>
      <c r="F5697" s="1566" t="s">
        <v>2691</v>
      </c>
      <c r="G5697" s="1566" t="s">
        <v>2703</v>
      </c>
      <c r="H5697" s="1568">
        <v>1</v>
      </c>
      <c r="I5697" s="1571">
        <v>44</v>
      </c>
      <c r="J5697" s="1566"/>
      <c r="K5697" s="1565">
        <v>64445.81</v>
      </c>
      <c r="L5697" s="1565">
        <v>64445.81</v>
      </c>
      <c r="M5697" s="1564"/>
      <c r="N5697" s="1565">
        <v>64445.81</v>
      </c>
      <c r="O5697" s="1565">
        <v>57285.17</v>
      </c>
      <c r="P5697" s="1564"/>
      <c r="Q5697" s="1565">
        <v>7160.64</v>
      </c>
      <c r="R5697" s="1565">
        <v>7160.64</v>
      </c>
      <c r="S5697" s="1562"/>
    </row>
    <row r="5698" spans="2:19" ht="11.25" customHeight="1" outlineLevel="1">
      <c r="B5698" s="1569" t="s">
        <v>6078</v>
      </c>
      <c r="C5698" s="1566" t="s">
        <v>2414</v>
      </c>
      <c r="D5698" s="1566" t="s">
        <v>6077</v>
      </c>
      <c r="E5698" s="1566" t="s">
        <v>2219</v>
      </c>
      <c r="F5698" s="1566" t="s">
        <v>2691</v>
      </c>
      <c r="G5698" s="1566" t="s">
        <v>2694</v>
      </c>
      <c r="H5698" s="1568">
        <v>1</v>
      </c>
      <c r="I5698" s="1571">
        <v>84</v>
      </c>
      <c r="J5698" s="1566"/>
      <c r="K5698" s="1565">
        <v>123032.91</v>
      </c>
      <c r="L5698" s="1565">
        <v>123032.91</v>
      </c>
      <c r="M5698" s="1564"/>
      <c r="N5698" s="1565">
        <v>123032.91</v>
      </c>
      <c r="O5698" s="1565">
        <v>109362.63</v>
      </c>
      <c r="P5698" s="1564"/>
      <c r="Q5698" s="1565">
        <v>13670.28</v>
      </c>
      <c r="R5698" s="1565">
        <v>13670.28</v>
      </c>
      <c r="S5698" s="1562"/>
    </row>
    <row r="5699" spans="2:19" ht="11.25" customHeight="1" outlineLevel="1">
      <c r="B5699" s="1569" t="s">
        <v>6076</v>
      </c>
      <c r="C5699" s="1566" t="s">
        <v>2414</v>
      </c>
      <c r="D5699" s="1566" t="s">
        <v>6075</v>
      </c>
      <c r="E5699" s="1566" t="s">
        <v>2219</v>
      </c>
      <c r="F5699" s="1566" t="s">
        <v>2678</v>
      </c>
      <c r="G5699" s="1566" t="s">
        <v>6074</v>
      </c>
      <c r="H5699" s="1568">
        <v>1</v>
      </c>
      <c r="I5699" s="1571">
        <v>16</v>
      </c>
      <c r="J5699" s="1566"/>
      <c r="K5699" s="1565">
        <v>4331.17</v>
      </c>
      <c r="L5699" s="1565">
        <v>4331.17</v>
      </c>
      <c r="M5699" s="1564"/>
      <c r="N5699" s="1565">
        <v>4331.17</v>
      </c>
      <c r="O5699" s="1565">
        <v>3849.97</v>
      </c>
      <c r="P5699" s="1564"/>
      <c r="Q5699" s="1572">
        <v>481.2</v>
      </c>
      <c r="R5699" s="1572">
        <v>481.2</v>
      </c>
      <c r="S5699" s="1562"/>
    </row>
    <row r="5700" spans="2:19" ht="21.75" customHeight="1" outlineLevel="1">
      <c r="B5700" s="1569" t="s">
        <v>6073</v>
      </c>
      <c r="C5700" s="1566" t="s">
        <v>2414</v>
      </c>
      <c r="D5700" s="1566" t="s">
        <v>6072</v>
      </c>
      <c r="E5700" s="1566" t="s">
        <v>2219</v>
      </c>
      <c r="F5700" s="1566" t="s">
        <v>2678</v>
      </c>
      <c r="G5700" s="1566" t="s">
        <v>6071</v>
      </c>
      <c r="H5700" s="1568">
        <v>1</v>
      </c>
      <c r="I5700" s="1571">
        <v>32</v>
      </c>
      <c r="J5700" s="1566"/>
      <c r="K5700" s="1565">
        <v>42608.800000000003</v>
      </c>
      <c r="L5700" s="1565">
        <v>42608.800000000003</v>
      </c>
      <c r="M5700" s="1564"/>
      <c r="N5700" s="1565">
        <v>42608.800000000003</v>
      </c>
      <c r="O5700" s="1565">
        <v>37874.44</v>
      </c>
      <c r="P5700" s="1564"/>
      <c r="Q5700" s="1565">
        <v>4734.3599999999997</v>
      </c>
      <c r="R5700" s="1565">
        <v>4734.3599999999997</v>
      </c>
      <c r="S5700" s="1562"/>
    </row>
    <row r="5701" spans="2:19" ht="11.25" customHeight="1" outlineLevel="1">
      <c r="B5701" s="1569" t="s">
        <v>6070</v>
      </c>
      <c r="C5701" s="1566" t="s">
        <v>2414</v>
      </c>
      <c r="D5701" s="1566" t="s">
        <v>6069</v>
      </c>
      <c r="E5701" s="1566" t="s">
        <v>2219</v>
      </c>
      <c r="F5701" s="1566" t="s">
        <v>2678</v>
      </c>
      <c r="G5701" s="1566" t="s">
        <v>6068</v>
      </c>
      <c r="H5701" s="1568">
        <v>1</v>
      </c>
      <c r="I5701" s="1571">
        <v>80</v>
      </c>
      <c r="J5701" s="1566"/>
      <c r="K5701" s="1565">
        <v>21304.400000000001</v>
      </c>
      <c r="L5701" s="1565">
        <v>21304.400000000001</v>
      </c>
      <c r="M5701" s="1564"/>
      <c r="N5701" s="1565">
        <v>21304.400000000001</v>
      </c>
      <c r="O5701" s="1565">
        <v>18937.28</v>
      </c>
      <c r="P5701" s="1564"/>
      <c r="Q5701" s="1565">
        <v>2367.12</v>
      </c>
      <c r="R5701" s="1565">
        <v>2367.12</v>
      </c>
      <c r="S5701" s="1562"/>
    </row>
    <row r="5702" spans="2:19" ht="11.25" customHeight="1" outlineLevel="1">
      <c r="B5702" s="1569" t="s">
        <v>6067</v>
      </c>
      <c r="C5702" s="1566" t="s">
        <v>2414</v>
      </c>
      <c r="D5702" s="1566" t="s">
        <v>6066</v>
      </c>
      <c r="E5702" s="1566" t="s">
        <v>2219</v>
      </c>
      <c r="F5702" s="1566" t="s">
        <v>2678</v>
      </c>
      <c r="G5702" s="1566" t="s">
        <v>6065</v>
      </c>
      <c r="H5702" s="1568">
        <v>1</v>
      </c>
      <c r="I5702" s="1571">
        <v>8</v>
      </c>
      <c r="J5702" s="1566"/>
      <c r="K5702" s="1565">
        <v>1082.79</v>
      </c>
      <c r="L5702" s="1565">
        <v>1082.79</v>
      </c>
      <c r="M5702" s="1564"/>
      <c r="N5702" s="1565">
        <v>1082.79</v>
      </c>
      <c r="O5702" s="1572">
        <v>962.43</v>
      </c>
      <c r="P5702" s="1564"/>
      <c r="Q5702" s="1572">
        <v>120.36</v>
      </c>
      <c r="R5702" s="1572">
        <v>120.36</v>
      </c>
      <c r="S5702" s="1562"/>
    </row>
    <row r="5703" spans="2:19" ht="11.25" customHeight="1" outlineLevel="1">
      <c r="B5703" s="1569" t="s">
        <v>6064</v>
      </c>
      <c r="C5703" s="1566" t="s">
        <v>2414</v>
      </c>
      <c r="D5703" s="1566" t="s">
        <v>6063</v>
      </c>
      <c r="E5703" s="1566" t="s">
        <v>2219</v>
      </c>
      <c r="F5703" s="1566" t="s">
        <v>2678</v>
      </c>
      <c r="G5703" s="1566" t="s">
        <v>6062</v>
      </c>
      <c r="H5703" s="1568">
        <v>1</v>
      </c>
      <c r="I5703" s="1571">
        <v>17</v>
      </c>
      <c r="J5703" s="1566"/>
      <c r="K5703" s="1565">
        <v>6574.1</v>
      </c>
      <c r="L5703" s="1565">
        <v>6574.1</v>
      </c>
      <c r="M5703" s="1564"/>
      <c r="N5703" s="1565">
        <v>6574.1</v>
      </c>
      <c r="O5703" s="1565">
        <v>5843.66</v>
      </c>
      <c r="P5703" s="1564"/>
      <c r="Q5703" s="1572">
        <v>730.44</v>
      </c>
      <c r="R5703" s="1572">
        <v>730.44</v>
      </c>
      <c r="S5703" s="1562"/>
    </row>
    <row r="5704" spans="2:19" ht="11.25" customHeight="1" outlineLevel="1">
      <c r="B5704" s="1569" t="s">
        <v>6061</v>
      </c>
      <c r="C5704" s="1566" t="s">
        <v>2414</v>
      </c>
      <c r="D5704" s="1566" t="s">
        <v>6060</v>
      </c>
      <c r="E5704" s="1566" t="s">
        <v>2219</v>
      </c>
      <c r="F5704" s="1566" t="s">
        <v>2674</v>
      </c>
      <c r="G5704" s="1566"/>
      <c r="H5704" s="1568">
        <v>1</v>
      </c>
      <c r="I5704" s="1571">
        <v>9</v>
      </c>
      <c r="J5704" s="1566" t="s">
        <v>6059</v>
      </c>
      <c r="K5704" s="1565">
        <v>3480.41</v>
      </c>
      <c r="L5704" s="1565">
        <v>3480.41</v>
      </c>
      <c r="M5704" s="1564"/>
      <c r="N5704" s="1565">
        <v>3480.41</v>
      </c>
      <c r="O5704" s="1565">
        <v>3093.65</v>
      </c>
      <c r="P5704" s="1564"/>
      <c r="Q5704" s="1572">
        <v>386.76</v>
      </c>
      <c r="R5704" s="1572">
        <v>386.76</v>
      </c>
      <c r="S5704" s="1562"/>
    </row>
    <row r="5705" spans="2:19" ht="11.25" customHeight="1" outlineLevel="1">
      <c r="B5705" s="1569" t="s">
        <v>6058</v>
      </c>
      <c r="C5705" s="1566" t="s">
        <v>2414</v>
      </c>
      <c r="D5705" s="1566" t="s">
        <v>6057</v>
      </c>
      <c r="E5705" s="1566" t="s">
        <v>2219</v>
      </c>
      <c r="F5705" s="1566" t="s">
        <v>2674</v>
      </c>
      <c r="G5705" s="1566"/>
      <c r="H5705" s="1568">
        <v>1</v>
      </c>
      <c r="I5705" s="1571">
        <v>13</v>
      </c>
      <c r="J5705" s="1566" t="s">
        <v>6056</v>
      </c>
      <c r="K5705" s="1565">
        <v>3519.08</v>
      </c>
      <c r="L5705" s="1565">
        <v>3519.08</v>
      </c>
      <c r="M5705" s="1564"/>
      <c r="N5705" s="1565">
        <v>3519.08</v>
      </c>
      <c r="O5705" s="1565">
        <v>3128.12</v>
      </c>
      <c r="P5705" s="1564"/>
      <c r="Q5705" s="1572">
        <v>390.96</v>
      </c>
      <c r="R5705" s="1572">
        <v>390.96</v>
      </c>
      <c r="S5705" s="1562"/>
    </row>
    <row r="5706" spans="2:19" ht="11.25" customHeight="1" outlineLevel="1">
      <c r="B5706" s="1569" t="s">
        <v>6055</v>
      </c>
      <c r="C5706" s="1566" t="s">
        <v>2414</v>
      </c>
      <c r="D5706" s="1566" t="s">
        <v>6054</v>
      </c>
      <c r="E5706" s="1566" t="s">
        <v>2219</v>
      </c>
      <c r="F5706" s="1566" t="s">
        <v>2674</v>
      </c>
      <c r="G5706" s="1566"/>
      <c r="H5706" s="1568">
        <v>1</v>
      </c>
      <c r="I5706" s="1571">
        <v>7</v>
      </c>
      <c r="J5706" s="1566" t="s">
        <v>6053</v>
      </c>
      <c r="K5706" s="1565">
        <v>4772.1000000000004</v>
      </c>
      <c r="L5706" s="1565">
        <v>4772.1000000000004</v>
      </c>
      <c r="M5706" s="1564"/>
      <c r="N5706" s="1565">
        <v>4772.1000000000004</v>
      </c>
      <c r="O5706" s="1565">
        <v>4241.82</v>
      </c>
      <c r="P5706" s="1564"/>
      <c r="Q5706" s="1572">
        <v>530.28</v>
      </c>
      <c r="R5706" s="1572">
        <v>530.28</v>
      </c>
      <c r="S5706" s="1562"/>
    </row>
    <row r="5707" spans="2:19" ht="21.75" customHeight="1" outlineLevel="1">
      <c r="B5707" s="1569" t="s">
        <v>6052</v>
      </c>
      <c r="C5707" s="1566" t="s">
        <v>2414</v>
      </c>
      <c r="D5707" s="1566" t="s">
        <v>6051</v>
      </c>
      <c r="E5707" s="1566" t="s">
        <v>2219</v>
      </c>
      <c r="F5707" s="1566" t="s">
        <v>2674</v>
      </c>
      <c r="G5707" s="1566"/>
      <c r="H5707" s="1568">
        <v>1</v>
      </c>
      <c r="I5707" s="1571">
        <v>138</v>
      </c>
      <c r="J5707" s="1566" t="s">
        <v>6050</v>
      </c>
      <c r="K5707" s="1565">
        <v>16463.73</v>
      </c>
      <c r="L5707" s="1565">
        <v>16463.73</v>
      </c>
      <c r="M5707" s="1564"/>
      <c r="N5707" s="1565">
        <v>16463.73</v>
      </c>
      <c r="O5707" s="1565">
        <v>14634.45</v>
      </c>
      <c r="P5707" s="1564"/>
      <c r="Q5707" s="1565">
        <v>1829.28</v>
      </c>
      <c r="R5707" s="1565">
        <v>1829.28</v>
      </c>
      <c r="S5707" s="1562"/>
    </row>
    <row r="5708" spans="2:19" ht="11.25" customHeight="1" outlineLevel="1">
      <c r="B5708" s="1569" t="s">
        <v>6049</v>
      </c>
      <c r="C5708" s="1566" t="s">
        <v>2414</v>
      </c>
      <c r="D5708" s="1566" t="s">
        <v>6048</v>
      </c>
      <c r="E5708" s="1566" t="s">
        <v>2219</v>
      </c>
      <c r="F5708" s="1566" t="s">
        <v>2674</v>
      </c>
      <c r="G5708" s="1566"/>
      <c r="H5708" s="1568">
        <v>1</v>
      </c>
      <c r="I5708" s="1571">
        <v>53</v>
      </c>
      <c r="J5708" s="1566" t="s">
        <v>6047</v>
      </c>
      <c r="K5708" s="1565">
        <v>20495.740000000002</v>
      </c>
      <c r="L5708" s="1565">
        <v>20495.740000000002</v>
      </c>
      <c r="M5708" s="1564"/>
      <c r="N5708" s="1565">
        <v>20495.740000000002</v>
      </c>
      <c r="O5708" s="1565">
        <v>18218.400000000001</v>
      </c>
      <c r="P5708" s="1564"/>
      <c r="Q5708" s="1565">
        <v>2277.34</v>
      </c>
      <c r="R5708" s="1565">
        <v>2277.34</v>
      </c>
      <c r="S5708" s="1562"/>
    </row>
    <row r="5709" spans="2:19" ht="11.25" customHeight="1" outlineLevel="1">
      <c r="B5709" s="1569" t="s">
        <v>6046</v>
      </c>
      <c r="C5709" s="1566" t="s">
        <v>2414</v>
      </c>
      <c r="D5709" s="1566" t="s">
        <v>6045</v>
      </c>
      <c r="E5709" s="1566" t="s">
        <v>2219</v>
      </c>
      <c r="F5709" s="1566" t="s">
        <v>2674</v>
      </c>
      <c r="G5709" s="1566"/>
      <c r="H5709" s="1568">
        <v>1</v>
      </c>
      <c r="I5709" s="1571">
        <v>10</v>
      </c>
      <c r="J5709" s="1566" t="s">
        <v>6044</v>
      </c>
      <c r="K5709" s="1565">
        <v>2706.98</v>
      </c>
      <c r="L5709" s="1565">
        <v>2706.98</v>
      </c>
      <c r="M5709" s="1564"/>
      <c r="N5709" s="1565">
        <v>2706.98</v>
      </c>
      <c r="O5709" s="1565">
        <v>2406.2399999999998</v>
      </c>
      <c r="P5709" s="1564"/>
      <c r="Q5709" s="1572">
        <v>300.74</v>
      </c>
      <c r="R5709" s="1572">
        <v>300.74</v>
      </c>
      <c r="S5709" s="1562"/>
    </row>
    <row r="5710" spans="2:19" ht="11.25" customHeight="1" outlineLevel="1">
      <c r="B5710" s="1569" t="s">
        <v>6043</v>
      </c>
      <c r="C5710" s="1566" t="s">
        <v>2414</v>
      </c>
      <c r="D5710" s="1566" t="s">
        <v>6042</v>
      </c>
      <c r="E5710" s="1566" t="s">
        <v>2219</v>
      </c>
      <c r="F5710" s="1566" t="s">
        <v>2657</v>
      </c>
      <c r="G5710" s="1566"/>
      <c r="H5710" s="1568">
        <v>1</v>
      </c>
      <c r="I5710" s="1571">
        <v>52</v>
      </c>
      <c r="J5710" s="1566"/>
      <c r="K5710" s="1565">
        <v>2436.29</v>
      </c>
      <c r="L5710" s="1565">
        <v>2436.29</v>
      </c>
      <c r="M5710" s="1564"/>
      <c r="N5710" s="1565">
        <v>2436.29</v>
      </c>
      <c r="O5710" s="1565">
        <v>2165.5700000000002</v>
      </c>
      <c r="P5710" s="1564"/>
      <c r="Q5710" s="1572">
        <v>270.72000000000003</v>
      </c>
      <c r="R5710" s="1572">
        <v>270.72000000000003</v>
      </c>
      <c r="S5710" s="1562"/>
    </row>
    <row r="5711" spans="2:19" ht="11.25" customHeight="1" outlineLevel="1">
      <c r="B5711" s="1569" t="s">
        <v>6041</v>
      </c>
      <c r="C5711" s="1566" t="s">
        <v>2414</v>
      </c>
      <c r="D5711" s="1566" t="s">
        <v>6040</v>
      </c>
      <c r="E5711" s="1566" t="s">
        <v>2219</v>
      </c>
      <c r="F5711" s="1566" t="s">
        <v>2657</v>
      </c>
      <c r="G5711" s="1566"/>
      <c r="H5711" s="1568">
        <v>1</v>
      </c>
      <c r="I5711" s="1571">
        <v>24</v>
      </c>
      <c r="J5711" s="1566"/>
      <c r="K5711" s="1565">
        <v>18562.18</v>
      </c>
      <c r="L5711" s="1565">
        <v>18562.18</v>
      </c>
      <c r="M5711" s="1564"/>
      <c r="N5711" s="1565">
        <v>18562.18</v>
      </c>
      <c r="O5711" s="1565">
        <v>16499.740000000002</v>
      </c>
      <c r="P5711" s="1564"/>
      <c r="Q5711" s="1565">
        <v>2062.44</v>
      </c>
      <c r="R5711" s="1565">
        <v>2062.44</v>
      </c>
      <c r="S5711" s="1562"/>
    </row>
    <row r="5712" spans="2:19" ht="11.25" customHeight="1" outlineLevel="1">
      <c r="B5712" s="1569" t="s">
        <v>6039</v>
      </c>
      <c r="C5712" s="1566" t="s">
        <v>2414</v>
      </c>
      <c r="D5712" s="1566" t="s">
        <v>6038</v>
      </c>
      <c r="E5712" s="1566" t="s">
        <v>2219</v>
      </c>
      <c r="F5712" s="1566" t="s">
        <v>2657</v>
      </c>
      <c r="G5712" s="1566"/>
      <c r="H5712" s="1568">
        <v>1</v>
      </c>
      <c r="I5712" s="1571">
        <v>17</v>
      </c>
      <c r="J5712" s="1566"/>
      <c r="K5712" s="1565">
        <v>2897.34</v>
      </c>
      <c r="L5712" s="1565">
        <v>2897.34</v>
      </c>
      <c r="M5712" s="1564"/>
      <c r="N5712" s="1565">
        <v>2897.34</v>
      </c>
      <c r="O5712" s="1565">
        <v>2575.38</v>
      </c>
      <c r="P5712" s="1564"/>
      <c r="Q5712" s="1572">
        <v>321.95999999999998</v>
      </c>
      <c r="R5712" s="1572">
        <v>321.95999999999998</v>
      </c>
      <c r="S5712" s="1562"/>
    </row>
    <row r="5713" spans="2:19" ht="11.25" customHeight="1" outlineLevel="1">
      <c r="B5713" s="1569" t="s">
        <v>6037</v>
      </c>
      <c r="C5713" s="1566" t="s">
        <v>2414</v>
      </c>
      <c r="D5713" s="1566" t="s">
        <v>6036</v>
      </c>
      <c r="E5713" s="1566" t="s">
        <v>2219</v>
      </c>
      <c r="F5713" s="1566" t="s">
        <v>2657</v>
      </c>
      <c r="G5713" s="1566"/>
      <c r="H5713" s="1568">
        <v>1</v>
      </c>
      <c r="I5713" s="1571">
        <v>11</v>
      </c>
      <c r="J5713" s="1566"/>
      <c r="K5713" s="1565">
        <v>2977.68</v>
      </c>
      <c r="L5713" s="1565">
        <v>2977.68</v>
      </c>
      <c r="M5713" s="1564"/>
      <c r="N5713" s="1565">
        <v>2977.68</v>
      </c>
      <c r="O5713" s="1565">
        <v>2646.84</v>
      </c>
      <c r="P5713" s="1564"/>
      <c r="Q5713" s="1572">
        <v>330.84</v>
      </c>
      <c r="R5713" s="1572">
        <v>330.84</v>
      </c>
      <c r="S5713" s="1562"/>
    </row>
    <row r="5714" spans="2:19" ht="21.75" customHeight="1" outlineLevel="1">
      <c r="B5714" s="1569" t="s">
        <v>6035</v>
      </c>
      <c r="C5714" s="1566" t="s">
        <v>2414</v>
      </c>
      <c r="D5714" s="1566" t="s">
        <v>6034</v>
      </c>
      <c r="E5714" s="1566" t="s">
        <v>2219</v>
      </c>
      <c r="F5714" s="1566" t="s">
        <v>2657</v>
      </c>
      <c r="G5714" s="1566"/>
      <c r="H5714" s="1568">
        <v>1</v>
      </c>
      <c r="I5714" s="1571">
        <v>440</v>
      </c>
      <c r="J5714" s="1566"/>
      <c r="K5714" s="1565">
        <v>510459.84</v>
      </c>
      <c r="L5714" s="1565">
        <v>510459.84</v>
      </c>
      <c r="M5714" s="1564"/>
      <c r="N5714" s="1565">
        <v>510459.84</v>
      </c>
      <c r="O5714" s="1565">
        <v>453742.08000000002</v>
      </c>
      <c r="P5714" s="1564"/>
      <c r="Q5714" s="1565">
        <v>56717.760000000002</v>
      </c>
      <c r="R5714" s="1565">
        <v>56717.760000000002</v>
      </c>
      <c r="S5714" s="1562"/>
    </row>
    <row r="5715" spans="2:19" ht="21.75" customHeight="1" outlineLevel="1">
      <c r="B5715" s="1569" t="s">
        <v>6033</v>
      </c>
      <c r="C5715" s="1566" t="s">
        <v>2414</v>
      </c>
      <c r="D5715" s="1566" t="s">
        <v>6032</v>
      </c>
      <c r="E5715" s="1566" t="s">
        <v>2219</v>
      </c>
      <c r="F5715" s="1566" t="s">
        <v>2657</v>
      </c>
      <c r="G5715" s="1566"/>
      <c r="H5715" s="1568">
        <v>1</v>
      </c>
      <c r="I5715" s="1571">
        <v>105</v>
      </c>
      <c r="J5715" s="1566"/>
      <c r="K5715" s="1565">
        <v>58720.25</v>
      </c>
      <c r="L5715" s="1565">
        <v>58720.25</v>
      </c>
      <c r="M5715" s="1564"/>
      <c r="N5715" s="1565">
        <v>58720.25</v>
      </c>
      <c r="O5715" s="1565">
        <v>52195.73</v>
      </c>
      <c r="P5715" s="1564"/>
      <c r="Q5715" s="1565">
        <v>6524.52</v>
      </c>
      <c r="R5715" s="1565">
        <v>6524.52</v>
      </c>
      <c r="S5715" s="1562"/>
    </row>
    <row r="5716" spans="2:19" ht="11.25" customHeight="1" outlineLevel="1">
      <c r="B5716" s="1569" t="s">
        <v>6031</v>
      </c>
      <c r="C5716" s="1566" t="s">
        <v>2414</v>
      </c>
      <c r="D5716" s="1566" t="s">
        <v>6030</v>
      </c>
      <c r="E5716" s="1566" t="s">
        <v>2219</v>
      </c>
      <c r="F5716" s="1566" t="s">
        <v>2657</v>
      </c>
      <c r="G5716" s="1566"/>
      <c r="H5716" s="1568">
        <v>1</v>
      </c>
      <c r="I5716" s="1571">
        <v>17</v>
      </c>
      <c r="J5716" s="1566"/>
      <c r="K5716" s="1565">
        <v>6574.1</v>
      </c>
      <c r="L5716" s="1565">
        <v>6574.1</v>
      </c>
      <c r="M5716" s="1564"/>
      <c r="N5716" s="1565">
        <v>6574.1</v>
      </c>
      <c r="O5716" s="1565">
        <v>5843.66</v>
      </c>
      <c r="P5716" s="1564"/>
      <c r="Q5716" s="1572">
        <v>730.44</v>
      </c>
      <c r="R5716" s="1572">
        <v>730.44</v>
      </c>
      <c r="S5716" s="1562"/>
    </row>
    <row r="5717" spans="2:19" ht="11.25" customHeight="1" outlineLevel="1">
      <c r="B5717" s="1569" t="s">
        <v>6029</v>
      </c>
      <c r="C5717" s="1566" t="s">
        <v>2414</v>
      </c>
      <c r="D5717" s="1566" t="s">
        <v>6028</v>
      </c>
      <c r="E5717" s="1566" t="s">
        <v>2219</v>
      </c>
      <c r="F5717" s="1566" t="s">
        <v>2674</v>
      </c>
      <c r="G5717" s="1566"/>
      <c r="H5717" s="1568">
        <v>1</v>
      </c>
      <c r="I5717" s="1571">
        <v>218</v>
      </c>
      <c r="J5717" s="1566"/>
      <c r="K5717" s="1565">
        <v>74308.350000000006</v>
      </c>
      <c r="L5717" s="1565">
        <v>74308.350000000006</v>
      </c>
      <c r="M5717" s="1564"/>
      <c r="N5717" s="1565">
        <v>74308.350000000006</v>
      </c>
      <c r="O5717" s="1565">
        <v>66051.87</v>
      </c>
      <c r="P5717" s="1564"/>
      <c r="Q5717" s="1565">
        <v>8256.48</v>
      </c>
      <c r="R5717" s="1565">
        <v>8256.48</v>
      </c>
      <c r="S5717" s="1562"/>
    </row>
    <row r="5718" spans="2:19" ht="11.25" customHeight="1" outlineLevel="1">
      <c r="B5718" s="1569" t="s">
        <v>6027</v>
      </c>
      <c r="C5718" s="1566" t="s">
        <v>2414</v>
      </c>
      <c r="D5718" s="1566" t="s">
        <v>6026</v>
      </c>
      <c r="E5718" s="1566" t="s">
        <v>2219</v>
      </c>
      <c r="F5718" s="1566" t="s">
        <v>2607</v>
      </c>
      <c r="G5718" s="1566" t="s">
        <v>6025</v>
      </c>
      <c r="H5718" s="1568">
        <v>1</v>
      </c>
      <c r="I5718" s="1571">
        <v>27</v>
      </c>
      <c r="J5718" s="1566"/>
      <c r="K5718" s="1565">
        <v>7308.86</v>
      </c>
      <c r="L5718" s="1565">
        <v>7308.86</v>
      </c>
      <c r="M5718" s="1564"/>
      <c r="N5718" s="1565">
        <v>7308.86</v>
      </c>
      <c r="O5718" s="1565">
        <v>6496.8</v>
      </c>
      <c r="P5718" s="1564"/>
      <c r="Q5718" s="1572">
        <v>812.06</v>
      </c>
      <c r="R5718" s="1572">
        <v>812.06</v>
      </c>
      <c r="S5718" s="1562"/>
    </row>
    <row r="5719" spans="2:19" ht="11.25" customHeight="1" outlineLevel="1">
      <c r="B5719" s="1569" t="s">
        <v>6024</v>
      </c>
      <c r="C5719" s="1566" t="s">
        <v>2414</v>
      </c>
      <c r="D5719" s="1566" t="s">
        <v>6023</v>
      </c>
      <c r="E5719" s="1566" t="s">
        <v>2219</v>
      </c>
      <c r="F5719" s="1566" t="s">
        <v>2607</v>
      </c>
      <c r="G5719" s="1566" t="s">
        <v>6022</v>
      </c>
      <c r="H5719" s="1568">
        <v>1</v>
      </c>
      <c r="I5719" s="1571">
        <v>56</v>
      </c>
      <c r="J5719" s="1566"/>
      <c r="K5719" s="1565">
        <v>21655.87</v>
      </c>
      <c r="L5719" s="1565">
        <v>21655.87</v>
      </c>
      <c r="M5719" s="1564"/>
      <c r="N5719" s="1565">
        <v>21655.87</v>
      </c>
      <c r="O5719" s="1565">
        <v>19249.63</v>
      </c>
      <c r="P5719" s="1564"/>
      <c r="Q5719" s="1565">
        <v>2406.2399999999998</v>
      </c>
      <c r="R5719" s="1565">
        <v>2406.2399999999998</v>
      </c>
      <c r="S5719" s="1562"/>
    </row>
    <row r="5720" spans="2:19" ht="11.25" customHeight="1" outlineLevel="1">
      <c r="B5720" s="1569" t="s">
        <v>6021</v>
      </c>
      <c r="C5720" s="1566" t="s">
        <v>2414</v>
      </c>
      <c r="D5720" s="1566" t="s">
        <v>6020</v>
      </c>
      <c r="E5720" s="1566" t="s">
        <v>2219</v>
      </c>
      <c r="F5720" s="1566" t="s">
        <v>2607</v>
      </c>
      <c r="G5720" s="1566" t="s">
        <v>6019</v>
      </c>
      <c r="H5720" s="1568">
        <v>1</v>
      </c>
      <c r="I5720" s="1571">
        <v>7</v>
      </c>
      <c r="J5720" s="1566"/>
      <c r="K5720" s="1565">
        <v>5413.97</v>
      </c>
      <c r="L5720" s="1565">
        <v>5413.97</v>
      </c>
      <c r="M5720" s="1564"/>
      <c r="N5720" s="1565">
        <v>5413.97</v>
      </c>
      <c r="O5720" s="1565">
        <v>4812.41</v>
      </c>
      <c r="P5720" s="1564"/>
      <c r="Q5720" s="1572">
        <v>601.55999999999995</v>
      </c>
      <c r="R5720" s="1572">
        <v>601.55999999999995</v>
      </c>
      <c r="S5720" s="1562"/>
    </row>
    <row r="5721" spans="2:19" ht="11.25" customHeight="1" outlineLevel="1">
      <c r="B5721" s="1569" t="s">
        <v>6018</v>
      </c>
      <c r="C5721" s="1566" t="s">
        <v>2414</v>
      </c>
      <c r="D5721" s="1566" t="s">
        <v>6017</v>
      </c>
      <c r="E5721" s="1566" t="s">
        <v>2219</v>
      </c>
      <c r="F5721" s="1566" t="s">
        <v>2607</v>
      </c>
      <c r="G5721" s="1566" t="s">
        <v>6016</v>
      </c>
      <c r="H5721" s="1568">
        <v>1</v>
      </c>
      <c r="I5721" s="1571">
        <v>30</v>
      </c>
      <c r="J5721" s="1566"/>
      <c r="K5721" s="1565">
        <v>8120.95</v>
      </c>
      <c r="L5721" s="1565">
        <v>8120.95</v>
      </c>
      <c r="M5721" s="1564"/>
      <c r="N5721" s="1565">
        <v>8120.95</v>
      </c>
      <c r="O5721" s="1565">
        <v>7218.67</v>
      </c>
      <c r="P5721" s="1564"/>
      <c r="Q5721" s="1572">
        <v>902.28</v>
      </c>
      <c r="R5721" s="1572">
        <v>902.28</v>
      </c>
      <c r="S5721" s="1562"/>
    </row>
    <row r="5722" spans="2:19" ht="11.25" customHeight="1" outlineLevel="1">
      <c r="B5722" s="1569" t="s">
        <v>6015</v>
      </c>
      <c r="C5722" s="1566" t="s">
        <v>2414</v>
      </c>
      <c r="D5722" s="1566" t="s">
        <v>6014</v>
      </c>
      <c r="E5722" s="1566" t="s">
        <v>2219</v>
      </c>
      <c r="F5722" s="1566" t="s">
        <v>2607</v>
      </c>
      <c r="G5722" s="1566" t="s">
        <v>6013</v>
      </c>
      <c r="H5722" s="1568">
        <v>1</v>
      </c>
      <c r="I5722" s="1571">
        <v>97</v>
      </c>
      <c r="J5722" s="1566"/>
      <c r="K5722" s="1565">
        <v>23144.67</v>
      </c>
      <c r="L5722" s="1565">
        <v>23144.67</v>
      </c>
      <c r="M5722" s="1564"/>
      <c r="N5722" s="1565">
        <v>23144.67</v>
      </c>
      <c r="O5722" s="1565">
        <v>20573.07</v>
      </c>
      <c r="P5722" s="1564"/>
      <c r="Q5722" s="1565">
        <v>2571.6</v>
      </c>
      <c r="R5722" s="1565">
        <v>2571.6</v>
      </c>
      <c r="S5722" s="1562"/>
    </row>
    <row r="5723" spans="2:19" ht="11.25" customHeight="1" outlineLevel="1">
      <c r="B5723" s="1569" t="s">
        <v>6012</v>
      </c>
      <c r="C5723" s="1566" t="s">
        <v>2414</v>
      </c>
      <c r="D5723" s="1566" t="s">
        <v>6011</v>
      </c>
      <c r="E5723" s="1566" t="s">
        <v>2219</v>
      </c>
      <c r="F5723" s="1566" t="s">
        <v>2607</v>
      </c>
      <c r="G5723" s="1566" t="s">
        <v>6010</v>
      </c>
      <c r="H5723" s="1568">
        <v>1</v>
      </c>
      <c r="I5723" s="1571">
        <v>4</v>
      </c>
      <c r="J5723" s="1566"/>
      <c r="K5723" s="1565">
        <v>1082.79</v>
      </c>
      <c r="L5723" s="1565">
        <v>1082.79</v>
      </c>
      <c r="M5723" s="1564"/>
      <c r="N5723" s="1565">
        <v>1082.79</v>
      </c>
      <c r="O5723" s="1572">
        <v>962.43</v>
      </c>
      <c r="P5723" s="1564"/>
      <c r="Q5723" s="1572">
        <v>120.36</v>
      </c>
      <c r="R5723" s="1572">
        <v>120.36</v>
      </c>
      <c r="S5723" s="1562"/>
    </row>
    <row r="5724" spans="2:19" ht="11.25" customHeight="1" outlineLevel="1">
      <c r="B5724" s="1569" t="s">
        <v>6009</v>
      </c>
      <c r="C5724" s="1566" t="s">
        <v>2414</v>
      </c>
      <c r="D5724" s="1566" t="s">
        <v>6008</v>
      </c>
      <c r="E5724" s="1566" t="s">
        <v>2219</v>
      </c>
      <c r="F5724" s="1566" t="s">
        <v>2607</v>
      </c>
      <c r="G5724" s="1566" t="s">
        <v>6007</v>
      </c>
      <c r="H5724" s="1568">
        <v>1</v>
      </c>
      <c r="I5724" s="1571">
        <v>9</v>
      </c>
      <c r="J5724" s="1566"/>
      <c r="K5724" s="1565">
        <v>1218.1400000000001</v>
      </c>
      <c r="L5724" s="1565">
        <v>1218.1400000000001</v>
      </c>
      <c r="M5724" s="1564"/>
      <c r="N5724" s="1565">
        <v>1218.1400000000001</v>
      </c>
      <c r="O5724" s="1565">
        <v>1082.78</v>
      </c>
      <c r="P5724" s="1564"/>
      <c r="Q5724" s="1572">
        <v>135.36000000000001</v>
      </c>
      <c r="R5724" s="1572">
        <v>135.36000000000001</v>
      </c>
      <c r="S5724" s="1562"/>
    </row>
    <row r="5725" spans="2:19" ht="11.25" customHeight="1" outlineLevel="1">
      <c r="B5725" s="1569" t="s">
        <v>6006</v>
      </c>
      <c r="C5725" s="1566" t="s">
        <v>2414</v>
      </c>
      <c r="D5725" s="1566" t="s">
        <v>6005</v>
      </c>
      <c r="E5725" s="1566" t="s">
        <v>2219</v>
      </c>
      <c r="F5725" s="1566" t="s">
        <v>2607</v>
      </c>
      <c r="G5725" s="1566" t="s">
        <v>6004</v>
      </c>
      <c r="H5725" s="1568">
        <v>1</v>
      </c>
      <c r="I5725" s="1571">
        <v>151</v>
      </c>
      <c r="J5725" s="1566"/>
      <c r="K5725" s="1565">
        <v>58393.51</v>
      </c>
      <c r="L5725" s="1565">
        <v>58393.51</v>
      </c>
      <c r="M5725" s="1564"/>
      <c r="N5725" s="1565">
        <v>58393.51</v>
      </c>
      <c r="O5725" s="1565">
        <v>51905.35</v>
      </c>
      <c r="P5725" s="1564"/>
      <c r="Q5725" s="1565">
        <v>6488.16</v>
      </c>
      <c r="R5725" s="1565">
        <v>6488.16</v>
      </c>
      <c r="S5725" s="1562"/>
    </row>
    <row r="5726" spans="2:19" ht="11.25" customHeight="1" outlineLevel="1">
      <c r="B5726" s="1569" t="s">
        <v>6003</v>
      </c>
      <c r="C5726" s="1566" t="s">
        <v>2414</v>
      </c>
      <c r="D5726" s="1566" t="s">
        <v>6002</v>
      </c>
      <c r="E5726" s="1566" t="s">
        <v>2219</v>
      </c>
      <c r="F5726" s="1566" t="s">
        <v>2607</v>
      </c>
      <c r="G5726" s="1566" t="s">
        <v>6001</v>
      </c>
      <c r="H5726" s="1568">
        <v>1</v>
      </c>
      <c r="I5726" s="1571">
        <v>8</v>
      </c>
      <c r="J5726" s="1566"/>
      <c r="K5726" s="1565">
        <v>2165.59</v>
      </c>
      <c r="L5726" s="1565">
        <v>2165.59</v>
      </c>
      <c r="M5726" s="1564"/>
      <c r="N5726" s="1565">
        <v>2165.59</v>
      </c>
      <c r="O5726" s="1565">
        <v>1924.99</v>
      </c>
      <c r="P5726" s="1564"/>
      <c r="Q5726" s="1572">
        <v>240.6</v>
      </c>
      <c r="R5726" s="1572">
        <v>240.6</v>
      </c>
      <c r="S5726" s="1562"/>
    </row>
    <row r="5727" spans="2:19" ht="11.25" customHeight="1" outlineLevel="1">
      <c r="B5727" s="1569" t="s">
        <v>6000</v>
      </c>
      <c r="C5727" s="1566" t="s">
        <v>2414</v>
      </c>
      <c r="D5727" s="1566" t="s">
        <v>5999</v>
      </c>
      <c r="E5727" s="1566" t="s">
        <v>2219</v>
      </c>
      <c r="F5727" s="1566" t="s">
        <v>2607</v>
      </c>
      <c r="G5727" s="1566" t="s">
        <v>5998</v>
      </c>
      <c r="H5727" s="1568">
        <v>1</v>
      </c>
      <c r="I5727" s="1571">
        <v>151</v>
      </c>
      <c r="J5727" s="1566"/>
      <c r="K5727" s="1565">
        <v>146146.97</v>
      </c>
      <c r="L5727" s="1565">
        <v>146146.97</v>
      </c>
      <c r="M5727" s="1564"/>
      <c r="N5727" s="1565">
        <v>146146.97</v>
      </c>
      <c r="O5727" s="1565">
        <v>129908.45</v>
      </c>
      <c r="P5727" s="1564"/>
      <c r="Q5727" s="1565">
        <v>16238.52</v>
      </c>
      <c r="R5727" s="1565">
        <v>16238.52</v>
      </c>
      <c r="S5727" s="1562"/>
    </row>
    <row r="5728" spans="2:19" ht="11.25" customHeight="1" outlineLevel="1">
      <c r="B5728" s="1569" t="s">
        <v>5997</v>
      </c>
      <c r="C5728" s="1566" t="s">
        <v>2414</v>
      </c>
      <c r="D5728" s="1566" t="s">
        <v>5996</v>
      </c>
      <c r="E5728" s="1566" t="s">
        <v>2219</v>
      </c>
      <c r="F5728" s="1566" t="s">
        <v>2607</v>
      </c>
      <c r="G5728" s="1566" t="s">
        <v>5995</v>
      </c>
      <c r="H5728" s="1568">
        <v>1</v>
      </c>
      <c r="I5728" s="1571">
        <v>97</v>
      </c>
      <c r="J5728" s="1566"/>
      <c r="K5728" s="1565">
        <v>18358.39</v>
      </c>
      <c r="L5728" s="1565">
        <v>18358.39</v>
      </c>
      <c r="M5728" s="1564"/>
      <c r="N5728" s="1565">
        <v>18358.39</v>
      </c>
      <c r="O5728" s="1565">
        <v>16318.56</v>
      </c>
      <c r="P5728" s="1564"/>
      <c r="Q5728" s="1565">
        <v>2039.83</v>
      </c>
      <c r="R5728" s="1565">
        <v>2039.83</v>
      </c>
      <c r="S5728" s="1562"/>
    </row>
    <row r="5729" spans="2:19" ht="11.25" customHeight="1" outlineLevel="1">
      <c r="B5729" s="1569" t="s">
        <v>5994</v>
      </c>
      <c r="C5729" s="1566" t="s">
        <v>2414</v>
      </c>
      <c r="D5729" s="1566" t="s">
        <v>5993</v>
      </c>
      <c r="E5729" s="1566" t="s">
        <v>2219</v>
      </c>
      <c r="F5729" s="1566" t="s">
        <v>2635</v>
      </c>
      <c r="G5729" s="1566" t="s">
        <v>5992</v>
      </c>
      <c r="H5729" s="1568">
        <v>1</v>
      </c>
      <c r="I5729" s="1571">
        <v>60</v>
      </c>
      <c r="J5729" s="1566"/>
      <c r="K5729" s="1565">
        <v>23202.720000000001</v>
      </c>
      <c r="L5729" s="1565">
        <v>23202.720000000001</v>
      </c>
      <c r="M5729" s="1564"/>
      <c r="N5729" s="1565">
        <v>23202.720000000001</v>
      </c>
      <c r="O5729" s="1565">
        <v>20624.64</v>
      </c>
      <c r="P5729" s="1564"/>
      <c r="Q5729" s="1565">
        <v>2578.08</v>
      </c>
      <c r="R5729" s="1565">
        <v>2578.08</v>
      </c>
      <c r="S5729" s="1562"/>
    </row>
    <row r="5730" spans="2:19" ht="11.25" customHeight="1" outlineLevel="1">
      <c r="B5730" s="1569" t="s">
        <v>5991</v>
      </c>
      <c r="C5730" s="1566" t="s">
        <v>2414</v>
      </c>
      <c r="D5730" s="1566" t="s">
        <v>5990</v>
      </c>
      <c r="E5730" s="1566" t="s">
        <v>2219</v>
      </c>
      <c r="F5730" s="1566" t="s">
        <v>2607</v>
      </c>
      <c r="G5730" s="1566" t="s">
        <v>5989</v>
      </c>
      <c r="H5730" s="1568">
        <v>1</v>
      </c>
      <c r="I5730" s="1571">
        <v>53</v>
      </c>
      <c r="J5730" s="1566"/>
      <c r="K5730" s="1565">
        <v>10247.870000000001</v>
      </c>
      <c r="L5730" s="1565">
        <v>10247.870000000001</v>
      </c>
      <c r="M5730" s="1564"/>
      <c r="N5730" s="1565">
        <v>10247.870000000001</v>
      </c>
      <c r="O5730" s="1565">
        <v>9109.19</v>
      </c>
      <c r="P5730" s="1564"/>
      <c r="Q5730" s="1565">
        <v>1138.68</v>
      </c>
      <c r="R5730" s="1565">
        <v>1138.68</v>
      </c>
      <c r="S5730" s="1562"/>
    </row>
    <row r="5731" spans="2:19" ht="11.25" customHeight="1" outlineLevel="1">
      <c r="B5731" s="1569" t="s">
        <v>5988</v>
      </c>
      <c r="C5731" s="1566" t="s">
        <v>2414</v>
      </c>
      <c r="D5731" s="1566" t="s">
        <v>5987</v>
      </c>
      <c r="E5731" s="1566" t="s">
        <v>2219</v>
      </c>
      <c r="F5731" s="1566" t="s">
        <v>5986</v>
      </c>
      <c r="G5731" s="1566" t="s">
        <v>3167</v>
      </c>
      <c r="H5731" s="1568">
        <v>1</v>
      </c>
      <c r="I5731" s="1571">
        <v>5746</v>
      </c>
      <c r="J5731" s="1566"/>
      <c r="K5731" s="1565">
        <v>6120754.1200000001</v>
      </c>
      <c r="L5731" s="1565">
        <v>6120754.1200000001</v>
      </c>
      <c r="M5731" s="1564"/>
      <c r="N5731" s="1565">
        <v>6120754.1200000001</v>
      </c>
      <c r="O5731" s="1565">
        <v>5440670.3200000003</v>
      </c>
      <c r="P5731" s="1564"/>
      <c r="Q5731" s="1565">
        <v>680083.8</v>
      </c>
      <c r="R5731" s="1565">
        <v>680083.8</v>
      </c>
      <c r="S5731" s="1562"/>
    </row>
    <row r="5732" spans="2:19" ht="21.75" customHeight="1" outlineLevel="1">
      <c r="B5732" s="1569" t="s">
        <v>5985</v>
      </c>
      <c r="C5732" s="1566" t="s">
        <v>2414</v>
      </c>
      <c r="D5732" s="1566" t="s">
        <v>5984</v>
      </c>
      <c r="E5732" s="1566" t="s">
        <v>2219</v>
      </c>
      <c r="F5732" s="1566" t="s">
        <v>2587</v>
      </c>
      <c r="G5732" s="1566" t="s">
        <v>5983</v>
      </c>
      <c r="H5732" s="1568">
        <v>1</v>
      </c>
      <c r="I5732" s="1571">
        <v>173</v>
      </c>
      <c r="J5732" s="1566"/>
      <c r="K5732" s="1565">
        <v>184283.06</v>
      </c>
      <c r="L5732" s="1565">
        <v>184283.06</v>
      </c>
      <c r="M5732" s="1564"/>
      <c r="N5732" s="1565">
        <v>184283.06</v>
      </c>
      <c r="O5732" s="1565">
        <v>163807.20000000001</v>
      </c>
      <c r="P5732" s="1564"/>
      <c r="Q5732" s="1565">
        <v>20475.86</v>
      </c>
      <c r="R5732" s="1565">
        <v>20475.86</v>
      </c>
      <c r="S5732" s="1562"/>
    </row>
    <row r="5733" spans="2:19" ht="11.25" customHeight="1" outlineLevel="1">
      <c r="B5733" s="1569" t="s">
        <v>5982</v>
      </c>
      <c r="C5733" s="1566" t="s">
        <v>2414</v>
      </c>
      <c r="D5733" s="1566" t="s">
        <v>5981</v>
      </c>
      <c r="E5733" s="1566" t="s">
        <v>2219</v>
      </c>
      <c r="F5733" s="1566" t="s">
        <v>2594</v>
      </c>
      <c r="G5733" s="1566" t="s">
        <v>5980</v>
      </c>
      <c r="H5733" s="1568">
        <v>1</v>
      </c>
      <c r="I5733" s="1571">
        <v>26</v>
      </c>
      <c r="J5733" s="1566"/>
      <c r="K5733" s="1565">
        <v>14076.32</v>
      </c>
      <c r="L5733" s="1565">
        <v>14076.32</v>
      </c>
      <c r="M5733" s="1564"/>
      <c r="N5733" s="1565">
        <v>14076.32</v>
      </c>
      <c r="O5733" s="1565">
        <v>12512.24</v>
      </c>
      <c r="P5733" s="1564"/>
      <c r="Q5733" s="1565">
        <v>1564.08</v>
      </c>
      <c r="R5733" s="1565">
        <v>1564.08</v>
      </c>
      <c r="S5733" s="1562"/>
    </row>
    <row r="5734" spans="2:19" ht="11.25" customHeight="1" outlineLevel="1">
      <c r="B5734" s="1569" t="s">
        <v>5979</v>
      </c>
      <c r="C5734" s="1566" t="s">
        <v>2414</v>
      </c>
      <c r="D5734" s="1566" t="s">
        <v>5978</v>
      </c>
      <c r="E5734" s="1566" t="s">
        <v>2219</v>
      </c>
      <c r="F5734" s="1566" t="s">
        <v>2587</v>
      </c>
      <c r="G5734" s="1566" t="s">
        <v>5977</v>
      </c>
      <c r="H5734" s="1568">
        <v>1</v>
      </c>
      <c r="I5734" s="1571">
        <v>4</v>
      </c>
      <c r="J5734" s="1566"/>
      <c r="K5734" s="1565">
        <v>3871.44</v>
      </c>
      <c r="L5734" s="1565">
        <v>3871.44</v>
      </c>
      <c r="M5734" s="1564"/>
      <c r="N5734" s="1565">
        <v>3871.44</v>
      </c>
      <c r="O5734" s="1565">
        <v>3441.24</v>
      </c>
      <c r="P5734" s="1564"/>
      <c r="Q5734" s="1572">
        <v>430.2</v>
      </c>
      <c r="R5734" s="1572">
        <v>430.2</v>
      </c>
      <c r="S5734" s="1562"/>
    </row>
    <row r="5735" spans="2:19" ht="21.75" customHeight="1" outlineLevel="1">
      <c r="B5735" s="1569" t="s">
        <v>5976</v>
      </c>
      <c r="C5735" s="1566" t="s">
        <v>2414</v>
      </c>
      <c r="D5735" s="1566" t="s">
        <v>5975</v>
      </c>
      <c r="E5735" s="1566" t="s">
        <v>2219</v>
      </c>
      <c r="F5735" s="1566" t="s">
        <v>2587</v>
      </c>
      <c r="G5735" s="1566" t="s">
        <v>5974</v>
      </c>
      <c r="H5735" s="1568">
        <v>1</v>
      </c>
      <c r="I5735" s="1571">
        <v>403</v>
      </c>
      <c r="J5735" s="1566"/>
      <c r="K5735" s="1565">
        <v>225373.92</v>
      </c>
      <c r="L5735" s="1565">
        <v>225373.92</v>
      </c>
      <c r="M5735" s="1564"/>
      <c r="N5735" s="1565">
        <v>225373.92</v>
      </c>
      <c r="O5735" s="1565">
        <v>200332.32</v>
      </c>
      <c r="P5735" s="1564"/>
      <c r="Q5735" s="1565">
        <v>25041.599999999999</v>
      </c>
      <c r="R5735" s="1565">
        <v>25041.599999999999</v>
      </c>
      <c r="S5735" s="1562"/>
    </row>
    <row r="5736" spans="2:19" ht="11.25" customHeight="1" outlineLevel="1">
      <c r="B5736" s="1569" t="s">
        <v>5973</v>
      </c>
      <c r="C5736" s="1566" t="s">
        <v>2414</v>
      </c>
      <c r="D5736" s="1566" t="s">
        <v>5972</v>
      </c>
      <c r="E5736" s="1566" t="s">
        <v>2219</v>
      </c>
      <c r="F5736" s="1566" t="s">
        <v>2580</v>
      </c>
      <c r="G5736" s="1566" t="s">
        <v>2579</v>
      </c>
      <c r="H5736" s="1568">
        <v>1</v>
      </c>
      <c r="I5736" s="1571">
        <v>37</v>
      </c>
      <c r="J5736" s="1566"/>
      <c r="K5736" s="1565">
        <v>35810.85</v>
      </c>
      <c r="L5736" s="1565">
        <v>35810.85</v>
      </c>
      <c r="M5736" s="1564"/>
      <c r="N5736" s="1565">
        <v>35810.85</v>
      </c>
      <c r="O5736" s="1565">
        <v>31831.89</v>
      </c>
      <c r="P5736" s="1564"/>
      <c r="Q5736" s="1565">
        <v>3978.96</v>
      </c>
      <c r="R5736" s="1565">
        <v>3978.96</v>
      </c>
      <c r="S5736" s="1562"/>
    </row>
    <row r="5737" spans="2:19" ht="21.75" customHeight="1" outlineLevel="1">
      <c r="B5737" s="1569" t="s">
        <v>5971</v>
      </c>
      <c r="C5737" s="1566" t="s">
        <v>2414</v>
      </c>
      <c r="D5737" s="1566" t="s">
        <v>5970</v>
      </c>
      <c r="E5737" s="1566" t="s">
        <v>2219</v>
      </c>
      <c r="F5737" s="1566" t="s">
        <v>2580</v>
      </c>
      <c r="G5737" s="1566" t="s">
        <v>5969</v>
      </c>
      <c r="H5737" s="1568">
        <v>1</v>
      </c>
      <c r="I5737" s="1571">
        <v>107</v>
      </c>
      <c r="J5737" s="1566"/>
      <c r="K5737" s="1565">
        <v>72944.899999999994</v>
      </c>
      <c r="L5737" s="1565">
        <v>72944.899999999994</v>
      </c>
      <c r="M5737" s="1564"/>
      <c r="N5737" s="1565">
        <v>72944.899999999994</v>
      </c>
      <c r="O5737" s="1565">
        <v>64839.86</v>
      </c>
      <c r="P5737" s="1564"/>
      <c r="Q5737" s="1565">
        <v>8105.04</v>
      </c>
      <c r="R5737" s="1565">
        <v>8105.04</v>
      </c>
      <c r="S5737" s="1562"/>
    </row>
    <row r="5738" spans="2:19" ht="21.75" customHeight="1" outlineLevel="1">
      <c r="B5738" s="1569" t="s">
        <v>5968</v>
      </c>
      <c r="C5738" s="1566" t="s">
        <v>2414</v>
      </c>
      <c r="D5738" s="1566" t="s">
        <v>5967</v>
      </c>
      <c r="E5738" s="1566" t="s">
        <v>2219</v>
      </c>
      <c r="F5738" s="1566" t="s">
        <v>2580</v>
      </c>
      <c r="G5738" s="1566" t="s">
        <v>5966</v>
      </c>
      <c r="H5738" s="1568">
        <v>1</v>
      </c>
      <c r="I5738" s="1571">
        <v>17</v>
      </c>
      <c r="J5738" s="1566"/>
      <c r="K5738" s="1565">
        <v>11589.38</v>
      </c>
      <c r="L5738" s="1565">
        <v>11589.38</v>
      </c>
      <c r="M5738" s="1564"/>
      <c r="N5738" s="1565">
        <v>11589.38</v>
      </c>
      <c r="O5738" s="1565">
        <v>10301.66</v>
      </c>
      <c r="P5738" s="1564"/>
      <c r="Q5738" s="1565">
        <v>1287.72</v>
      </c>
      <c r="R5738" s="1565">
        <v>1287.72</v>
      </c>
      <c r="S5738" s="1562"/>
    </row>
    <row r="5739" spans="2:19" ht="11.25" customHeight="1" outlineLevel="1">
      <c r="B5739" s="1569" t="s">
        <v>5965</v>
      </c>
      <c r="C5739" s="1566" t="s">
        <v>2414</v>
      </c>
      <c r="D5739" s="1566" t="s">
        <v>5964</v>
      </c>
      <c r="E5739" s="1566" t="s">
        <v>2219</v>
      </c>
      <c r="F5739" s="1566" t="s">
        <v>2563</v>
      </c>
      <c r="G5739" s="1566" t="s">
        <v>5963</v>
      </c>
      <c r="H5739" s="1568">
        <v>1</v>
      </c>
      <c r="I5739" s="1571">
        <v>30</v>
      </c>
      <c r="J5739" s="1566"/>
      <c r="K5739" s="1565">
        <v>29035.82</v>
      </c>
      <c r="L5739" s="1565">
        <v>29035.82</v>
      </c>
      <c r="M5739" s="1564"/>
      <c r="N5739" s="1565">
        <v>29035.82</v>
      </c>
      <c r="O5739" s="1565">
        <v>25809.62</v>
      </c>
      <c r="P5739" s="1564"/>
      <c r="Q5739" s="1565">
        <v>3226.2</v>
      </c>
      <c r="R5739" s="1565">
        <v>3226.2</v>
      </c>
      <c r="S5739" s="1562"/>
    </row>
    <row r="5740" spans="2:19" ht="11.25" customHeight="1" outlineLevel="1">
      <c r="B5740" s="1569" t="s">
        <v>5962</v>
      </c>
      <c r="C5740" s="1566" t="s">
        <v>2414</v>
      </c>
      <c r="D5740" s="1566" t="s">
        <v>5961</v>
      </c>
      <c r="E5740" s="1566" t="s">
        <v>2219</v>
      </c>
      <c r="F5740" s="1566" t="s">
        <v>2563</v>
      </c>
      <c r="G5740" s="1566" t="s">
        <v>5960</v>
      </c>
      <c r="H5740" s="1568">
        <v>1</v>
      </c>
      <c r="I5740" s="1571">
        <v>19</v>
      </c>
      <c r="J5740" s="1566"/>
      <c r="K5740" s="1565">
        <v>14695.06</v>
      </c>
      <c r="L5740" s="1565">
        <v>14695.06</v>
      </c>
      <c r="M5740" s="1564"/>
      <c r="N5740" s="1565">
        <v>14695.06</v>
      </c>
      <c r="O5740" s="1565">
        <v>13062.24</v>
      </c>
      <c r="P5740" s="1564"/>
      <c r="Q5740" s="1565">
        <v>1632.82</v>
      </c>
      <c r="R5740" s="1565">
        <v>1632.82</v>
      </c>
      <c r="S5740" s="1562"/>
    </row>
    <row r="5741" spans="2:19" ht="21.75" customHeight="1" outlineLevel="1">
      <c r="B5741" s="1569" t="s">
        <v>5959</v>
      </c>
      <c r="C5741" s="1566" t="s">
        <v>2414</v>
      </c>
      <c r="D5741" s="1566" t="s">
        <v>5958</v>
      </c>
      <c r="E5741" s="1566" t="s">
        <v>2219</v>
      </c>
      <c r="F5741" s="1566" t="s">
        <v>2563</v>
      </c>
      <c r="G5741" s="1566" t="s">
        <v>5957</v>
      </c>
      <c r="H5741" s="1568">
        <v>1</v>
      </c>
      <c r="I5741" s="1571">
        <v>67</v>
      </c>
      <c r="J5741" s="1566"/>
      <c r="K5741" s="1565">
        <v>51819.41</v>
      </c>
      <c r="L5741" s="1565">
        <v>51819.41</v>
      </c>
      <c r="M5741" s="1564"/>
      <c r="N5741" s="1565">
        <v>51819.41</v>
      </c>
      <c r="O5741" s="1565">
        <v>46061.69</v>
      </c>
      <c r="P5741" s="1564"/>
      <c r="Q5741" s="1565">
        <v>5757.72</v>
      </c>
      <c r="R5741" s="1565">
        <v>5757.72</v>
      </c>
      <c r="S5741" s="1562"/>
    </row>
    <row r="5742" spans="2:19" ht="11.25" customHeight="1" outlineLevel="1">
      <c r="B5742" s="1569" t="s">
        <v>5956</v>
      </c>
      <c r="C5742" s="1566" t="s">
        <v>2414</v>
      </c>
      <c r="D5742" s="1566" t="s">
        <v>5955</v>
      </c>
      <c r="E5742" s="1566" t="s">
        <v>2219</v>
      </c>
      <c r="F5742" s="1566" t="s">
        <v>2563</v>
      </c>
      <c r="G5742" s="1566" t="s">
        <v>5954</v>
      </c>
      <c r="H5742" s="1568">
        <v>1</v>
      </c>
      <c r="I5742" s="1571">
        <v>7</v>
      </c>
      <c r="J5742" s="1566"/>
      <c r="K5742" s="1565">
        <v>1894.89</v>
      </c>
      <c r="L5742" s="1565">
        <v>1894.89</v>
      </c>
      <c r="M5742" s="1564"/>
      <c r="N5742" s="1565">
        <v>1894.89</v>
      </c>
      <c r="O5742" s="1565">
        <v>1684.32</v>
      </c>
      <c r="P5742" s="1564"/>
      <c r="Q5742" s="1572">
        <v>210.57</v>
      </c>
      <c r="R5742" s="1572">
        <v>210.57</v>
      </c>
      <c r="S5742" s="1562"/>
    </row>
    <row r="5743" spans="2:19" ht="21.75" customHeight="1" outlineLevel="1">
      <c r="B5743" s="1569" t="s">
        <v>5953</v>
      </c>
      <c r="C5743" s="1566" t="s">
        <v>2414</v>
      </c>
      <c r="D5743" s="1566" t="s">
        <v>5952</v>
      </c>
      <c r="E5743" s="1566" t="s">
        <v>2219</v>
      </c>
      <c r="F5743" s="1566" t="s">
        <v>2563</v>
      </c>
      <c r="G5743" s="1566" t="s">
        <v>5951</v>
      </c>
      <c r="H5743" s="1568">
        <v>1</v>
      </c>
      <c r="I5743" s="1571">
        <v>311</v>
      </c>
      <c r="J5743" s="1566"/>
      <c r="K5743" s="1565">
        <v>53004.35</v>
      </c>
      <c r="L5743" s="1565">
        <v>53004.35</v>
      </c>
      <c r="M5743" s="1564"/>
      <c r="N5743" s="1565">
        <v>53004.35</v>
      </c>
      <c r="O5743" s="1565">
        <v>47114.99</v>
      </c>
      <c r="P5743" s="1564"/>
      <c r="Q5743" s="1565">
        <v>5889.36</v>
      </c>
      <c r="R5743" s="1565">
        <v>5889.36</v>
      </c>
      <c r="S5743" s="1562"/>
    </row>
    <row r="5744" spans="2:19" ht="32.25" customHeight="1" outlineLevel="1">
      <c r="B5744" s="1569" t="s">
        <v>5950</v>
      </c>
      <c r="C5744" s="1566" t="s">
        <v>2414</v>
      </c>
      <c r="D5744" s="1566" t="s">
        <v>5949</v>
      </c>
      <c r="E5744" s="1566" t="s">
        <v>2219</v>
      </c>
      <c r="F5744" s="1566" t="s">
        <v>2538</v>
      </c>
      <c r="G5744" s="1566" t="s">
        <v>5948</v>
      </c>
      <c r="H5744" s="1568">
        <v>1</v>
      </c>
      <c r="I5744" s="1571">
        <v>1559</v>
      </c>
      <c r="J5744" s="1566"/>
      <c r="K5744" s="1565">
        <v>2640566.06</v>
      </c>
      <c r="L5744" s="1565">
        <v>2640566.06</v>
      </c>
      <c r="M5744" s="1564"/>
      <c r="N5744" s="1565">
        <v>2640566.06</v>
      </c>
      <c r="O5744" s="1565">
        <v>2347169.7799999998</v>
      </c>
      <c r="P5744" s="1564"/>
      <c r="Q5744" s="1565">
        <v>293396.28000000003</v>
      </c>
      <c r="R5744" s="1565">
        <v>293396.28000000003</v>
      </c>
      <c r="S5744" s="1562"/>
    </row>
    <row r="5745" spans="2:19" ht="21.75" customHeight="1" outlineLevel="1">
      <c r="B5745" s="1569" t="s">
        <v>5947</v>
      </c>
      <c r="C5745" s="1566" t="s">
        <v>2414</v>
      </c>
      <c r="D5745" s="1566" t="s">
        <v>5946</v>
      </c>
      <c r="E5745" s="1566" t="s">
        <v>2219</v>
      </c>
      <c r="F5745" s="1566" t="s">
        <v>2538</v>
      </c>
      <c r="G5745" s="1566" t="s">
        <v>5945</v>
      </c>
      <c r="H5745" s="1568">
        <v>1</v>
      </c>
      <c r="I5745" s="1571">
        <v>3256</v>
      </c>
      <c r="J5745" s="1566"/>
      <c r="K5745" s="1565">
        <v>1734178.16</v>
      </c>
      <c r="L5745" s="1565">
        <v>1734178.16</v>
      </c>
      <c r="M5745" s="1564"/>
      <c r="N5745" s="1565">
        <v>1734178.16</v>
      </c>
      <c r="O5745" s="1565">
        <v>1541491.68</v>
      </c>
      <c r="P5745" s="1564"/>
      <c r="Q5745" s="1565">
        <v>192686.48</v>
      </c>
      <c r="R5745" s="1565">
        <v>192686.48</v>
      </c>
      <c r="S5745" s="1562"/>
    </row>
    <row r="5746" spans="2:19" ht="21.75" customHeight="1" outlineLevel="1">
      <c r="B5746" s="1569" t="s">
        <v>5944</v>
      </c>
      <c r="C5746" s="1566" t="s">
        <v>2414</v>
      </c>
      <c r="D5746" s="1566" t="s">
        <v>5943</v>
      </c>
      <c r="E5746" s="1566" t="s">
        <v>2219</v>
      </c>
      <c r="F5746" s="1566" t="s">
        <v>2538</v>
      </c>
      <c r="G5746" s="1566" t="s">
        <v>5942</v>
      </c>
      <c r="H5746" s="1568">
        <v>1</v>
      </c>
      <c r="I5746" s="1571">
        <v>173</v>
      </c>
      <c r="J5746" s="1566"/>
      <c r="K5746" s="1565">
        <v>164043.88</v>
      </c>
      <c r="L5746" s="1565">
        <v>164043.88</v>
      </c>
      <c r="M5746" s="1564"/>
      <c r="N5746" s="1565">
        <v>164043.88</v>
      </c>
      <c r="O5746" s="1565">
        <v>145816.79999999999</v>
      </c>
      <c r="P5746" s="1564"/>
      <c r="Q5746" s="1565">
        <v>18227.080000000002</v>
      </c>
      <c r="R5746" s="1565">
        <v>18227.080000000002</v>
      </c>
      <c r="S5746" s="1562"/>
    </row>
    <row r="5747" spans="2:19" ht="11.25" customHeight="1" outlineLevel="1">
      <c r="B5747" s="1569" t="s">
        <v>5941</v>
      </c>
      <c r="C5747" s="1566" t="s">
        <v>2414</v>
      </c>
      <c r="D5747" s="1566" t="s">
        <v>5940</v>
      </c>
      <c r="E5747" s="1566" t="s">
        <v>2219</v>
      </c>
      <c r="F5747" s="1566" t="s">
        <v>2538</v>
      </c>
      <c r="G5747" s="1566" t="s">
        <v>5939</v>
      </c>
      <c r="H5747" s="1568">
        <v>1</v>
      </c>
      <c r="I5747" s="1571">
        <v>26</v>
      </c>
      <c r="J5747" s="1566"/>
      <c r="K5747" s="1565">
        <v>14076.32</v>
      </c>
      <c r="L5747" s="1565">
        <v>14076.32</v>
      </c>
      <c r="M5747" s="1564"/>
      <c r="N5747" s="1565">
        <v>14076.32</v>
      </c>
      <c r="O5747" s="1565">
        <v>12512.24</v>
      </c>
      <c r="P5747" s="1564"/>
      <c r="Q5747" s="1565">
        <v>1564.08</v>
      </c>
      <c r="R5747" s="1565">
        <v>1564.08</v>
      </c>
      <c r="S5747" s="1562"/>
    </row>
    <row r="5748" spans="2:19" ht="11.25" customHeight="1" outlineLevel="1">
      <c r="B5748" s="1569" t="s">
        <v>5938</v>
      </c>
      <c r="C5748" s="1566" t="s">
        <v>2414</v>
      </c>
      <c r="D5748" s="1566" t="s">
        <v>5937</v>
      </c>
      <c r="E5748" s="1566" t="s">
        <v>2219</v>
      </c>
      <c r="F5748" s="1566" t="s">
        <v>2538</v>
      </c>
      <c r="G5748" s="1566" t="s">
        <v>5936</v>
      </c>
      <c r="H5748" s="1568">
        <v>1</v>
      </c>
      <c r="I5748" s="1571">
        <v>66</v>
      </c>
      <c r="J5748" s="1566"/>
      <c r="K5748" s="1565">
        <v>51045.98</v>
      </c>
      <c r="L5748" s="1565">
        <v>51045.98</v>
      </c>
      <c r="M5748" s="1564"/>
      <c r="N5748" s="1565">
        <v>51045.98</v>
      </c>
      <c r="O5748" s="1565">
        <v>45374.18</v>
      </c>
      <c r="P5748" s="1564"/>
      <c r="Q5748" s="1565">
        <v>5671.8</v>
      </c>
      <c r="R5748" s="1565">
        <v>5671.8</v>
      </c>
      <c r="S5748" s="1562"/>
    </row>
    <row r="5749" spans="2:19" ht="11.25" customHeight="1" outlineLevel="1">
      <c r="B5749" s="1569" t="s">
        <v>5935</v>
      </c>
      <c r="C5749" s="1566" t="s">
        <v>2414</v>
      </c>
      <c r="D5749" s="1566" t="s">
        <v>5934</v>
      </c>
      <c r="E5749" s="1566" t="s">
        <v>2219</v>
      </c>
      <c r="F5749" s="1566" t="s">
        <v>2538</v>
      </c>
      <c r="G5749" s="1566" t="s">
        <v>2638</v>
      </c>
      <c r="H5749" s="1568">
        <v>1</v>
      </c>
      <c r="I5749" s="1571">
        <v>19</v>
      </c>
      <c r="J5749" s="1566"/>
      <c r="K5749" s="1565">
        <v>10286.540000000001</v>
      </c>
      <c r="L5749" s="1565">
        <v>10286.540000000001</v>
      </c>
      <c r="M5749" s="1564"/>
      <c r="N5749" s="1565">
        <v>10286.540000000001</v>
      </c>
      <c r="O5749" s="1565">
        <v>9143.5400000000009</v>
      </c>
      <c r="P5749" s="1564"/>
      <c r="Q5749" s="1565">
        <v>1143</v>
      </c>
      <c r="R5749" s="1565">
        <v>1143</v>
      </c>
      <c r="S5749" s="1562"/>
    </row>
    <row r="5750" spans="2:19" ht="21.75" customHeight="1" outlineLevel="1">
      <c r="B5750" s="1569" t="s">
        <v>5933</v>
      </c>
      <c r="C5750" s="1566" t="s">
        <v>2414</v>
      </c>
      <c r="D5750" s="1566" t="s">
        <v>5932</v>
      </c>
      <c r="E5750" s="1566" t="s">
        <v>2219</v>
      </c>
      <c r="F5750" s="1566" t="s">
        <v>5931</v>
      </c>
      <c r="G5750" s="1566" t="s">
        <v>5930</v>
      </c>
      <c r="H5750" s="1568">
        <v>1</v>
      </c>
      <c r="I5750" s="1571">
        <v>24</v>
      </c>
      <c r="J5750" s="1566"/>
      <c r="K5750" s="1565">
        <v>8180.74</v>
      </c>
      <c r="L5750" s="1565">
        <v>8180.74</v>
      </c>
      <c r="M5750" s="1564"/>
      <c r="N5750" s="1565">
        <v>8180.74</v>
      </c>
      <c r="O5750" s="1565">
        <v>7271.74</v>
      </c>
      <c r="P5750" s="1564"/>
      <c r="Q5750" s="1572">
        <v>909</v>
      </c>
      <c r="R5750" s="1572">
        <v>909</v>
      </c>
      <c r="S5750" s="1562"/>
    </row>
    <row r="5751" spans="2:19" ht="11.25" customHeight="1" outlineLevel="1">
      <c r="B5751" s="1569" t="s">
        <v>5929</v>
      </c>
      <c r="C5751" s="1566" t="s">
        <v>2414</v>
      </c>
      <c r="D5751" s="1566" t="s">
        <v>5928</v>
      </c>
      <c r="E5751" s="1566" t="s">
        <v>2219</v>
      </c>
      <c r="F5751" s="1566" t="s">
        <v>5899</v>
      </c>
      <c r="G5751" s="1566"/>
      <c r="H5751" s="1568">
        <v>1</v>
      </c>
      <c r="I5751" s="1571">
        <v>13</v>
      </c>
      <c r="J5751" s="1566"/>
      <c r="K5751" s="1565">
        <v>2513.63</v>
      </c>
      <c r="L5751" s="1565">
        <v>2513.63</v>
      </c>
      <c r="M5751" s="1564"/>
      <c r="N5751" s="1565">
        <v>2513.63</v>
      </c>
      <c r="O5751" s="1565">
        <v>2234.39</v>
      </c>
      <c r="P5751" s="1564"/>
      <c r="Q5751" s="1572">
        <v>279.24</v>
      </c>
      <c r="R5751" s="1572">
        <v>279.24</v>
      </c>
      <c r="S5751" s="1562"/>
    </row>
    <row r="5752" spans="2:19" ht="11.25" customHeight="1" outlineLevel="1">
      <c r="B5752" s="1569" t="s">
        <v>5927</v>
      </c>
      <c r="C5752" s="1566" t="s">
        <v>2414</v>
      </c>
      <c r="D5752" s="1566" t="s">
        <v>5926</v>
      </c>
      <c r="E5752" s="1566" t="s">
        <v>2219</v>
      </c>
      <c r="F5752" s="1566" t="s">
        <v>5899</v>
      </c>
      <c r="G5752" s="1566"/>
      <c r="H5752" s="1568">
        <v>1</v>
      </c>
      <c r="I5752" s="1571">
        <v>24</v>
      </c>
      <c r="J5752" s="1566"/>
      <c r="K5752" s="1565">
        <v>3248.38</v>
      </c>
      <c r="L5752" s="1565">
        <v>3248.38</v>
      </c>
      <c r="M5752" s="1564"/>
      <c r="N5752" s="1565">
        <v>3248.38</v>
      </c>
      <c r="O5752" s="1565">
        <v>2887.42</v>
      </c>
      <c r="P5752" s="1564"/>
      <c r="Q5752" s="1572">
        <v>360.96</v>
      </c>
      <c r="R5752" s="1572">
        <v>360.96</v>
      </c>
      <c r="S5752" s="1562"/>
    </row>
    <row r="5753" spans="2:19" ht="11.25" customHeight="1" outlineLevel="1">
      <c r="B5753" s="1569" t="s">
        <v>5925</v>
      </c>
      <c r="C5753" s="1566" t="s">
        <v>2414</v>
      </c>
      <c r="D5753" s="1566" t="s">
        <v>5924</v>
      </c>
      <c r="E5753" s="1566" t="s">
        <v>2219</v>
      </c>
      <c r="F5753" s="1566" t="s">
        <v>5921</v>
      </c>
      <c r="G5753" s="1566"/>
      <c r="H5753" s="1568">
        <v>1</v>
      </c>
      <c r="I5753" s="1571">
        <v>5</v>
      </c>
      <c r="J5753" s="1566"/>
      <c r="K5753" s="1565">
        <v>6657.63</v>
      </c>
      <c r="L5753" s="1565">
        <v>6657.63</v>
      </c>
      <c r="M5753" s="1564"/>
      <c r="N5753" s="1565">
        <v>6657.63</v>
      </c>
      <c r="O5753" s="1565">
        <v>5917.92</v>
      </c>
      <c r="P5753" s="1564"/>
      <c r="Q5753" s="1572">
        <v>739.71</v>
      </c>
      <c r="R5753" s="1572">
        <v>739.71</v>
      </c>
      <c r="S5753" s="1562"/>
    </row>
    <row r="5754" spans="2:19" ht="11.25" customHeight="1" outlineLevel="1">
      <c r="B5754" s="1569" t="s">
        <v>5923</v>
      </c>
      <c r="C5754" s="1566" t="s">
        <v>2414</v>
      </c>
      <c r="D5754" s="1566" t="s">
        <v>5922</v>
      </c>
      <c r="E5754" s="1566" t="s">
        <v>2219</v>
      </c>
      <c r="F5754" s="1566" t="s">
        <v>5921</v>
      </c>
      <c r="G5754" s="1566"/>
      <c r="H5754" s="1568">
        <v>1</v>
      </c>
      <c r="I5754" s="1571">
        <v>11</v>
      </c>
      <c r="J5754" s="1566"/>
      <c r="K5754" s="1565">
        <v>1488.84</v>
      </c>
      <c r="L5754" s="1565">
        <v>1488.84</v>
      </c>
      <c r="M5754" s="1564"/>
      <c r="N5754" s="1565">
        <v>1488.84</v>
      </c>
      <c r="O5754" s="1565">
        <v>1323.36</v>
      </c>
      <c r="P5754" s="1564"/>
      <c r="Q5754" s="1572">
        <v>165.48</v>
      </c>
      <c r="R5754" s="1572">
        <v>165.48</v>
      </c>
      <c r="S5754" s="1562"/>
    </row>
    <row r="5755" spans="2:19" ht="11.25" customHeight="1" outlineLevel="1">
      <c r="B5755" s="1569" t="s">
        <v>5920</v>
      </c>
      <c r="C5755" s="1566" t="s">
        <v>2414</v>
      </c>
      <c r="D5755" s="1566" t="s">
        <v>5919</v>
      </c>
      <c r="E5755" s="1566" t="s">
        <v>2219</v>
      </c>
      <c r="F5755" s="1566" t="s">
        <v>5899</v>
      </c>
      <c r="G5755" s="1566"/>
      <c r="H5755" s="1568">
        <v>1</v>
      </c>
      <c r="I5755" s="1571">
        <v>8</v>
      </c>
      <c r="J5755" s="1566"/>
      <c r="K5755" s="1565">
        <v>1082.79</v>
      </c>
      <c r="L5755" s="1565">
        <v>1082.79</v>
      </c>
      <c r="M5755" s="1564"/>
      <c r="N5755" s="1565">
        <v>1082.79</v>
      </c>
      <c r="O5755" s="1572">
        <v>962.43</v>
      </c>
      <c r="P5755" s="1564"/>
      <c r="Q5755" s="1572">
        <v>120.36</v>
      </c>
      <c r="R5755" s="1572">
        <v>120.36</v>
      </c>
      <c r="S5755" s="1562"/>
    </row>
    <row r="5756" spans="2:19" ht="11.25" customHeight="1" outlineLevel="1">
      <c r="B5756" s="1569" t="s">
        <v>5918</v>
      </c>
      <c r="C5756" s="1566" t="s">
        <v>2414</v>
      </c>
      <c r="D5756" s="1566" t="s">
        <v>5917</v>
      </c>
      <c r="E5756" s="1566" t="s">
        <v>2219</v>
      </c>
      <c r="F5756" s="1566" t="s">
        <v>5902</v>
      </c>
      <c r="G5756" s="1566"/>
      <c r="H5756" s="1568">
        <v>1</v>
      </c>
      <c r="I5756" s="1571">
        <v>18</v>
      </c>
      <c r="J5756" s="1566"/>
      <c r="K5756" s="1565">
        <v>3480.41</v>
      </c>
      <c r="L5756" s="1565">
        <v>3480.41</v>
      </c>
      <c r="M5756" s="1564"/>
      <c r="N5756" s="1565">
        <v>3480.41</v>
      </c>
      <c r="O5756" s="1565">
        <v>3093.65</v>
      </c>
      <c r="P5756" s="1564"/>
      <c r="Q5756" s="1572">
        <v>386.76</v>
      </c>
      <c r="R5756" s="1572">
        <v>386.76</v>
      </c>
      <c r="S5756" s="1562"/>
    </row>
    <row r="5757" spans="2:19" ht="11.25" customHeight="1" outlineLevel="1">
      <c r="B5757" s="1569" t="s">
        <v>5916</v>
      </c>
      <c r="C5757" s="1566" t="s">
        <v>2414</v>
      </c>
      <c r="D5757" s="1566" t="s">
        <v>5915</v>
      </c>
      <c r="E5757" s="1566" t="s">
        <v>2219</v>
      </c>
      <c r="F5757" s="1566" t="s">
        <v>5902</v>
      </c>
      <c r="G5757" s="1566"/>
      <c r="H5757" s="1568">
        <v>1</v>
      </c>
      <c r="I5757" s="1571">
        <v>11</v>
      </c>
      <c r="J5757" s="1566"/>
      <c r="K5757" s="1565">
        <v>2126.92</v>
      </c>
      <c r="L5757" s="1565">
        <v>2126.92</v>
      </c>
      <c r="M5757" s="1564"/>
      <c r="N5757" s="1565">
        <v>2126.92</v>
      </c>
      <c r="O5757" s="1565">
        <v>1890.64</v>
      </c>
      <c r="P5757" s="1564"/>
      <c r="Q5757" s="1572">
        <v>236.28</v>
      </c>
      <c r="R5757" s="1572">
        <v>236.28</v>
      </c>
      <c r="S5757" s="1562"/>
    </row>
    <row r="5758" spans="2:19" ht="11.25" customHeight="1" outlineLevel="1">
      <c r="B5758" s="1569" t="s">
        <v>5914</v>
      </c>
      <c r="C5758" s="1566" t="s">
        <v>2414</v>
      </c>
      <c r="D5758" s="1566" t="s">
        <v>5913</v>
      </c>
      <c r="E5758" s="1566" t="s">
        <v>2219</v>
      </c>
      <c r="F5758" s="1566" t="s">
        <v>5902</v>
      </c>
      <c r="G5758" s="1566"/>
      <c r="H5758" s="1568">
        <v>1</v>
      </c>
      <c r="I5758" s="1571">
        <v>15</v>
      </c>
      <c r="J5758" s="1566"/>
      <c r="K5758" s="1565">
        <v>8701.02</v>
      </c>
      <c r="L5758" s="1565">
        <v>8701.02</v>
      </c>
      <c r="M5758" s="1564"/>
      <c r="N5758" s="1565">
        <v>8701.02</v>
      </c>
      <c r="O5758" s="1565">
        <v>7734.24</v>
      </c>
      <c r="P5758" s="1564"/>
      <c r="Q5758" s="1572">
        <v>966.78</v>
      </c>
      <c r="R5758" s="1572">
        <v>966.78</v>
      </c>
      <c r="S5758" s="1562"/>
    </row>
    <row r="5759" spans="2:19" ht="21.75" customHeight="1" outlineLevel="1">
      <c r="B5759" s="1569" t="s">
        <v>5912</v>
      </c>
      <c r="C5759" s="1566" t="s">
        <v>2414</v>
      </c>
      <c r="D5759" s="1566" t="s">
        <v>5911</v>
      </c>
      <c r="E5759" s="1566" t="s">
        <v>2219</v>
      </c>
      <c r="F5759" s="1566" t="s">
        <v>5902</v>
      </c>
      <c r="G5759" s="1566"/>
      <c r="H5759" s="1568">
        <v>1</v>
      </c>
      <c r="I5759" s="1571">
        <v>37</v>
      </c>
      <c r="J5759" s="1566"/>
      <c r="K5759" s="1565">
        <v>14308.34</v>
      </c>
      <c r="L5759" s="1565">
        <v>14308.34</v>
      </c>
      <c r="M5759" s="1564"/>
      <c r="N5759" s="1565">
        <v>14308.34</v>
      </c>
      <c r="O5759" s="1565">
        <v>12718.56</v>
      </c>
      <c r="P5759" s="1564"/>
      <c r="Q5759" s="1565">
        <v>1589.78</v>
      </c>
      <c r="R5759" s="1565">
        <v>1589.78</v>
      </c>
      <c r="S5759" s="1562"/>
    </row>
    <row r="5760" spans="2:19" ht="11.25" customHeight="1" outlineLevel="1">
      <c r="B5760" s="1569" t="s">
        <v>5910</v>
      </c>
      <c r="C5760" s="1566" t="s">
        <v>2414</v>
      </c>
      <c r="D5760" s="1566" t="s">
        <v>5909</v>
      </c>
      <c r="E5760" s="1566" t="s">
        <v>2219</v>
      </c>
      <c r="F5760" s="1566" t="s">
        <v>5902</v>
      </c>
      <c r="G5760" s="1566"/>
      <c r="H5760" s="1568">
        <v>1</v>
      </c>
      <c r="I5760" s="1571">
        <v>21</v>
      </c>
      <c r="J5760" s="1566"/>
      <c r="K5760" s="1565">
        <v>1789.54</v>
      </c>
      <c r="L5760" s="1565">
        <v>1789.54</v>
      </c>
      <c r="M5760" s="1564"/>
      <c r="N5760" s="1565">
        <v>1789.54</v>
      </c>
      <c r="O5760" s="1565">
        <v>1590.7</v>
      </c>
      <c r="P5760" s="1564"/>
      <c r="Q5760" s="1572">
        <v>198.84</v>
      </c>
      <c r="R5760" s="1572">
        <v>198.84</v>
      </c>
      <c r="S5760" s="1562"/>
    </row>
    <row r="5761" spans="2:19" ht="11.25" customHeight="1" outlineLevel="1">
      <c r="B5761" s="1569" t="s">
        <v>5908</v>
      </c>
      <c r="C5761" s="1566" t="s">
        <v>2414</v>
      </c>
      <c r="D5761" s="1566" t="s">
        <v>5907</v>
      </c>
      <c r="E5761" s="1566" t="s">
        <v>2219</v>
      </c>
      <c r="F5761" s="1566" t="s">
        <v>5902</v>
      </c>
      <c r="G5761" s="1566"/>
      <c r="H5761" s="1568">
        <v>1</v>
      </c>
      <c r="I5761" s="1571">
        <v>59</v>
      </c>
      <c r="J5761" s="1566"/>
      <c r="K5761" s="1565">
        <v>24367.94</v>
      </c>
      <c r="L5761" s="1565">
        <v>24367.94</v>
      </c>
      <c r="M5761" s="1564"/>
      <c r="N5761" s="1565">
        <v>24367.94</v>
      </c>
      <c r="O5761" s="1565">
        <v>21660.38</v>
      </c>
      <c r="P5761" s="1564"/>
      <c r="Q5761" s="1565">
        <v>2707.56</v>
      </c>
      <c r="R5761" s="1565">
        <v>2707.56</v>
      </c>
      <c r="S5761" s="1562"/>
    </row>
    <row r="5762" spans="2:19" ht="11.25" customHeight="1" outlineLevel="1">
      <c r="B5762" s="1569" t="s">
        <v>5906</v>
      </c>
      <c r="C5762" s="1566" t="s">
        <v>2414</v>
      </c>
      <c r="D5762" s="1566" t="s">
        <v>5905</v>
      </c>
      <c r="E5762" s="1566" t="s">
        <v>2219</v>
      </c>
      <c r="F5762" s="1566" t="s">
        <v>5902</v>
      </c>
      <c r="G5762" s="1566"/>
      <c r="H5762" s="1568">
        <v>1</v>
      </c>
      <c r="I5762" s="1571">
        <v>51</v>
      </c>
      <c r="J5762" s="1566"/>
      <c r="K5762" s="1565">
        <v>8692.0300000000007</v>
      </c>
      <c r="L5762" s="1565">
        <v>8692.0300000000007</v>
      </c>
      <c r="M5762" s="1564"/>
      <c r="N5762" s="1565">
        <v>8692.0300000000007</v>
      </c>
      <c r="O5762" s="1565">
        <v>7726.27</v>
      </c>
      <c r="P5762" s="1564"/>
      <c r="Q5762" s="1572">
        <v>965.76</v>
      </c>
      <c r="R5762" s="1572">
        <v>965.76</v>
      </c>
      <c r="S5762" s="1562"/>
    </row>
    <row r="5763" spans="2:19" ht="11.25" customHeight="1" outlineLevel="1">
      <c r="B5763" s="1569" t="s">
        <v>5904</v>
      </c>
      <c r="C5763" s="1566" t="s">
        <v>2414</v>
      </c>
      <c r="D5763" s="1566" t="s">
        <v>5903</v>
      </c>
      <c r="E5763" s="1566" t="s">
        <v>2219</v>
      </c>
      <c r="F5763" s="1566" t="s">
        <v>5902</v>
      </c>
      <c r="G5763" s="1566"/>
      <c r="H5763" s="1568">
        <v>1</v>
      </c>
      <c r="I5763" s="1571">
        <v>12</v>
      </c>
      <c r="J5763" s="1566"/>
      <c r="K5763" s="1565">
        <v>4640.54</v>
      </c>
      <c r="L5763" s="1565">
        <v>4640.54</v>
      </c>
      <c r="M5763" s="1564"/>
      <c r="N5763" s="1565">
        <v>4640.54</v>
      </c>
      <c r="O5763" s="1565">
        <v>4124.8999999999996</v>
      </c>
      <c r="P5763" s="1564"/>
      <c r="Q5763" s="1572">
        <v>515.64</v>
      </c>
      <c r="R5763" s="1572">
        <v>515.64</v>
      </c>
      <c r="S5763" s="1562"/>
    </row>
    <row r="5764" spans="2:19" ht="11.25" customHeight="1" outlineLevel="1">
      <c r="B5764" s="1569" t="s">
        <v>5901</v>
      </c>
      <c r="C5764" s="1566" t="s">
        <v>2414</v>
      </c>
      <c r="D5764" s="1566" t="s">
        <v>5900</v>
      </c>
      <c r="E5764" s="1566" t="s">
        <v>2219</v>
      </c>
      <c r="F5764" s="1566" t="s">
        <v>5899</v>
      </c>
      <c r="G5764" s="1566"/>
      <c r="H5764" s="1568">
        <v>1</v>
      </c>
      <c r="I5764" s="1571">
        <v>18</v>
      </c>
      <c r="J5764" s="1566"/>
      <c r="K5764" s="1565">
        <v>4872.57</v>
      </c>
      <c r="L5764" s="1565">
        <v>4872.57</v>
      </c>
      <c r="M5764" s="1564"/>
      <c r="N5764" s="1565">
        <v>4872.57</v>
      </c>
      <c r="O5764" s="1565">
        <v>4331.13</v>
      </c>
      <c r="P5764" s="1564"/>
      <c r="Q5764" s="1572">
        <v>541.44000000000005</v>
      </c>
      <c r="R5764" s="1572">
        <v>541.44000000000005</v>
      </c>
      <c r="S5764" s="1562"/>
    </row>
    <row r="5765" spans="2:19" ht="11.25" customHeight="1" outlineLevel="1">
      <c r="B5765" s="1569" t="s">
        <v>5898</v>
      </c>
      <c r="C5765" s="1566" t="s">
        <v>2414</v>
      </c>
      <c r="D5765" s="1566" t="s">
        <v>5897</v>
      </c>
      <c r="E5765" s="1566" t="s">
        <v>2219</v>
      </c>
      <c r="F5765" s="1566" t="s">
        <v>2534</v>
      </c>
      <c r="G5765" s="1566"/>
      <c r="H5765" s="1568">
        <v>1</v>
      </c>
      <c r="I5765" s="1571">
        <v>11</v>
      </c>
      <c r="J5765" s="1566"/>
      <c r="K5765" s="1565">
        <v>1488.84</v>
      </c>
      <c r="L5765" s="1565">
        <v>1488.84</v>
      </c>
      <c r="M5765" s="1564"/>
      <c r="N5765" s="1565">
        <v>1488.84</v>
      </c>
      <c r="O5765" s="1565">
        <v>1323.36</v>
      </c>
      <c r="P5765" s="1564"/>
      <c r="Q5765" s="1572">
        <v>165.48</v>
      </c>
      <c r="R5765" s="1572">
        <v>165.48</v>
      </c>
      <c r="S5765" s="1562"/>
    </row>
    <row r="5766" spans="2:19" ht="11.25" customHeight="1" outlineLevel="1">
      <c r="B5766" s="1569" t="s">
        <v>5896</v>
      </c>
      <c r="C5766" s="1566" t="s">
        <v>2414</v>
      </c>
      <c r="D5766" s="1566" t="s">
        <v>5895</v>
      </c>
      <c r="E5766" s="1566" t="s">
        <v>2219</v>
      </c>
      <c r="F5766" s="1566" t="s">
        <v>2534</v>
      </c>
      <c r="G5766" s="1566"/>
      <c r="H5766" s="1568">
        <v>1</v>
      </c>
      <c r="I5766" s="1571">
        <v>27</v>
      </c>
      <c r="J5766" s="1566"/>
      <c r="K5766" s="1565">
        <v>4601.66</v>
      </c>
      <c r="L5766" s="1565">
        <v>4601.66</v>
      </c>
      <c r="M5766" s="1564"/>
      <c r="N5766" s="1565">
        <v>4601.66</v>
      </c>
      <c r="O5766" s="1565">
        <v>4090.34</v>
      </c>
      <c r="P5766" s="1564"/>
      <c r="Q5766" s="1572">
        <v>511.32</v>
      </c>
      <c r="R5766" s="1572">
        <v>511.32</v>
      </c>
      <c r="S5766" s="1562"/>
    </row>
    <row r="5767" spans="2:19" ht="21.75" customHeight="1" outlineLevel="1">
      <c r="B5767" s="1569" t="s">
        <v>5894</v>
      </c>
      <c r="C5767" s="1566" t="s">
        <v>2414</v>
      </c>
      <c r="D5767" s="1566" t="s">
        <v>5893</v>
      </c>
      <c r="E5767" s="1566" t="s">
        <v>2219</v>
      </c>
      <c r="F5767" s="1566" t="s">
        <v>5871</v>
      </c>
      <c r="G5767" s="1566" t="s">
        <v>5892</v>
      </c>
      <c r="H5767" s="1568">
        <v>1</v>
      </c>
      <c r="I5767" s="1571">
        <v>43</v>
      </c>
      <c r="J5767" s="1566"/>
      <c r="K5767" s="1565">
        <v>8314.31</v>
      </c>
      <c r="L5767" s="1565">
        <v>8314.31</v>
      </c>
      <c r="M5767" s="1564"/>
      <c r="N5767" s="1565">
        <v>8314.31</v>
      </c>
      <c r="O5767" s="1565">
        <v>7558.43</v>
      </c>
      <c r="P5767" s="1564"/>
      <c r="Q5767" s="1572">
        <v>755.88</v>
      </c>
      <c r="R5767" s="1572">
        <v>755.88</v>
      </c>
      <c r="S5767" s="1562"/>
    </row>
    <row r="5768" spans="2:19" ht="11.25" customHeight="1" outlineLevel="1">
      <c r="B5768" s="1569" t="s">
        <v>5891</v>
      </c>
      <c r="C5768" s="1566" t="s">
        <v>2414</v>
      </c>
      <c r="D5768" s="1566" t="s">
        <v>5890</v>
      </c>
      <c r="E5768" s="1566" t="s">
        <v>2219</v>
      </c>
      <c r="F5768" s="1566" t="s">
        <v>5871</v>
      </c>
      <c r="G5768" s="1566" t="s">
        <v>5889</v>
      </c>
      <c r="H5768" s="1568">
        <v>1</v>
      </c>
      <c r="I5768" s="1571">
        <v>12</v>
      </c>
      <c r="J5768" s="1566"/>
      <c r="K5768" s="1565">
        <v>4640.54</v>
      </c>
      <c r="L5768" s="1565">
        <v>4640.54</v>
      </c>
      <c r="M5768" s="1564"/>
      <c r="N5768" s="1565">
        <v>4640.54</v>
      </c>
      <c r="O5768" s="1565">
        <v>3569.66</v>
      </c>
      <c r="P5768" s="1564"/>
      <c r="Q5768" s="1565">
        <v>1070.8800000000001</v>
      </c>
      <c r="R5768" s="1565">
        <v>1070.8800000000001</v>
      </c>
      <c r="S5768" s="1562"/>
    </row>
    <row r="5769" spans="2:19" ht="11.25" customHeight="1" outlineLevel="1">
      <c r="B5769" s="1569" t="s">
        <v>5888</v>
      </c>
      <c r="C5769" s="1566" t="s">
        <v>2414</v>
      </c>
      <c r="D5769" s="1566" t="s">
        <v>5887</v>
      </c>
      <c r="E5769" s="1566" t="s">
        <v>2219</v>
      </c>
      <c r="F5769" s="1566" t="s">
        <v>5871</v>
      </c>
      <c r="G5769" s="1566" t="s">
        <v>5886</v>
      </c>
      <c r="H5769" s="1568">
        <v>1</v>
      </c>
      <c r="I5769" s="1571">
        <v>6</v>
      </c>
      <c r="J5769" s="1566"/>
      <c r="K5769" s="1572">
        <v>812.1</v>
      </c>
      <c r="L5769" s="1572">
        <v>812.1</v>
      </c>
      <c r="M5769" s="1564"/>
      <c r="N5769" s="1572">
        <v>812.1</v>
      </c>
      <c r="O5769" s="1572">
        <v>725.1</v>
      </c>
      <c r="P5769" s="1564"/>
      <c r="Q5769" s="1572">
        <v>87</v>
      </c>
      <c r="R5769" s="1572">
        <v>87</v>
      </c>
      <c r="S5769" s="1562"/>
    </row>
    <row r="5770" spans="2:19" ht="11.25" customHeight="1" outlineLevel="1">
      <c r="B5770" s="1569" t="s">
        <v>5885</v>
      </c>
      <c r="C5770" s="1566" t="s">
        <v>2414</v>
      </c>
      <c r="D5770" s="1566" t="s">
        <v>5884</v>
      </c>
      <c r="E5770" s="1566" t="s">
        <v>2219</v>
      </c>
      <c r="F5770" s="1566" t="s">
        <v>5871</v>
      </c>
      <c r="G5770" s="1566" t="s">
        <v>5883</v>
      </c>
      <c r="H5770" s="1568">
        <v>1</v>
      </c>
      <c r="I5770" s="1571">
        <v>11</v>
      </c>
      <c r="J5770" s="1566"/>
      <c r="K5770" s="1565">
        <v>1488.84</v>
      </c>
      <c r="L5770" s="1565">
        <v>1488.84</v>
      </c>
      <c r="M5770" s="1564"/>
      <c r="N5770" s="1565">
        <v>1488.84</v>
      </c>
      <c r="O5770" s="1565">
        <v>1329.36</v>
      </c>
      <c r="P5770" s="1564"/>
      <c r="Q5770" s="1572">
        <v>159.47999999999999</v>
      </c>
      <c r="R5770" s="1572">
        <v>159.47999999999999</v>
      </c>
      <c r="S5770" s="1562"/>
    </row>
    <row r="5771" spans="2:19" ht="11.25" customHeight="1" outlineLevel="1">
      <c r="B5771" s="1569" t="s">
        <v>5882</v>
      </c>
      <c r="C5771" s="1566" t="s">
        <v>2414</v>
      </c>
      <c r="D5771" s="1566" t="s">
        <v>5881</v>
      </c>
      <c r="E5771" s="1566" t="s">
        <v>2219</v>
      </c>
      <c r="F5771" s="1566" t="s">
        <v>5871</v>
      </c>
      <c r="G5771" s="1566" t="s">
        <v>5880</v>
      </c>
      <c r="H5771" s="1568">
        <v>1</v>
      </c>
      <c r="I5771" s="1571">
        <v>47</v>
      </c>
      <c r="J5771" s="1566"/>
      <c r="K5771" s="1565">
        <v>6361.41</v>
      </c>
      <c r="L5771" s="1565">
        <v>6361.41</v>
      </c>
      <c r="M5771" s="1564"/>
      <c r="N5771" s="1565">
        <v>6361.41</v>
      </c>
      <c r="O5771" s="1565">
        <v>5301.21</v>
      </c>
      <c r="P5771" s="1564"/>
      <c r="Q5771" s="1565">
        <v>1060.2</v>
      </c>
      <c r="R5771" s="1565">
        <v>1060.2</v>
      </c>
      <c r="S5771" s="1562"/>
    </row>
    <row r="5772" spans="2:19" ht="11.25" customHeight="1" outlineLevel="1">
      <c r="B5772" s="1569" t="s">
        <v>5879</v>
      </c>
      <c r="C5772" s="1566" t="s">
        <v>2414</v>
      </c>
      <c r="D5772" s="1566" t="s">
        <v>5878</v>
      </c>
      <c r="E5772" s="1566" t="s">
        <v>2219</v>
      </c>
      <c r="F5772" s="1566" t="s">
        <v>5871</v>
      </c>
      <c r="G5772" s="1566" t="s">
        <v>5877</v>
      </c>
      <c r="H5772" s="1568">
        <v>1</v>
      </c>
      <c r="I5772" s="1571">
        <v>25</v>
      </c>
      <c r="J5772" s="1566"/>
      <c r="K5772" s="1565">
        <v>2130.4</v>
      </c>
      <c r="L5772" s="1565">
        <v>2130.4</v>
      </c>
      <c r="M5772" s="1564"/>
      <c r="N5772" s="1565">
        <v>2130.4</v>
      </c>
      <c r="O5772" s="1565">
        <v>1775.32</v>
      </c>
      <c r="P5772" s="1564"/>
      <c r="Q5772" s="1572">
        <v>355.08</v>
      </c>
      <c r="R5772" s="1572">
        <v>355.08</v>
      </c>
      <c r="S5772" s="1562"/>
    </row>
    <row r="5773" spans="2:19" ht="11.25" customHeight="1" outlineLevel="1">
      <c r="B5773" s="1569" t="s">
        <v>5876</v>
      </c>
      <c r="C5773" s="1566" t="s">
        <v>2414</v>
      </c>
      <c r="D5773" s="1566" t="s">
        <v>5875</v>
      </c>
      <c r="E5773" s="1566" t="s">
        <v>2219</v>
      </c>
      <c r="F5773" s="1566" t="s">
        <v>5871</v>
      </c>
      <c r="G5773" s="1566" t="s">
        <v>5874</v>
      </c>
      <c r="H5773" s="1568">
        <v>1</v>
      </c>
      <c r="I5773" s="1571">
        <v>11</v>
      </c>
      <c r="J5773" s="1566"/>
      <c r="K5773" s="1565">
        <v>1488.84</v>
      </c>
      <c r="L5773" s="1565">
        <v>1488.84</v>
      </c>
      <c r="M5773" s="1564"/>
      <c r="N5773" s="1565">
        <v>1488.84</v>
      </c>
      <c r="O5773" s="1565">
        <v>1371.3</v>
      </c>
      <c r="P5773" s="1564"/>
      <c r="Q5773" s="1572">
        <v>117.54</v>
      </c>
      <c r="R5773" s="1572">
        <v>117.54</v>
      </c>
      <c r="S5773" s="1562"/>
    </row>
    <row r="5774" spans="2:19" ht="21.75" customHeight="1" outlineLevel="1">
      <c r="B5774" s="1569" t="s">
        <v>5873</v>
      </c>
      <c r="C5774" s="1566" t="s">
        <v>2414</v>
      </c>
      <c r="D5774" s="1566" t="s">
        <v>5872</v>
      </c>
      <c r="E5774" s="1566" t="s">
        <v>2219</v>
      </c>
      <c r="F5774" s="1566" t="s">
        <v>5871</v>
      </c>
      <c r="G5774" s="1566" t="s">
        <v>5870</v>
      </c>
      <c r="H5774" s="1568">
        <v>1</v>
      </c>
      <c r="I5774" s="1571">
        <v>71</v>
      </c>
      <c r="J5774" s="1566"/>
      <c r="K5774" s="1565">
        <v>16473.93</v>
      </c>
      <c r="L5774" s="1565">
        <v>16473.93</v>
      </c>
      <c r="M5774" s="1564"/>
      <c r="N5774" s="1565">
        <v>16473.93</v>
      </c>
      <c r="O5774" s="1565">
        <v>12672.21</v>
      </c>
      <c r="P5774" s="1564"/>
      <c r="Q5774" s="1565">
        <v>3801.72</v>
      </c>
      <c r="R5774" s="1565">
        <v>3801.72</v>
      </c>
      <c r="S5774" s="1562"/>
    </row>
    <row r="5775" spans="2:19" ht="11.25" customHeight="1" outlineLevel="1">
      <c r="B5775" s="1569" t="s">
        <v>5869</v>
      </c>
      <c r="C5775" s="1566" t="s">
        <v>2414</v>
      </c>
      <c r="D5775" s="1566" t="s">
        <v>5868</v>
      </c>
      <c r="E5775" s="1566" t="s">
        <v>2219</v>
      </c>
      <c r="F5775" s="1566"/>
      <c r="G5775" s="1566"/>
      <c r="H5775" s="1566"/>
      <c r="I5775" s="1566"/>
      <c r="J5775" s="1566"/>
      <c r="K5775" s="1565">
        <v>1144667.52</v>
      </c>
      <c r="L5775" s="1565">
        <v>1144667.52</v>
      </c>
      <c r="M5775" s="1564"/>
      <c r="N5775" s="1565">
        <v>1144667.52</v>
      </c>
      <c r="O5775" s="1565">
        <v>1085460.6000000001</v>
      </c>
      <c r="P5775" s="1564"/>
      <c r="Q5775" s="1565">
        <v>59206.92</v>
      </c>
      <c r="R5775" s="1565">
        <v>59206.92</v>
      </c>
      <c r="S5775" s="1562"/>
    </row>
    <row r="5776" spans="2:19" ht="11.25" customHeight="1" outlineLevel="1">
      <c r="B5776" s="1569" t="s">
        <v>5867</v>
      </c>
      <c r="C5776" s="1566" t="s">
        <v>2414</v>
      </c>
      <c r="D5776" s="1566" t="s">
        <v>5866</v>
      </c>
      <c r="E5776" s="1566" t="s">
        <v>2219</v>
      </c>
      <c r="F5776" s="1566"/>
      <c r="G5776" s="1566"/>
      <c r="H5776" s="1566"/>
      <c r="I5776" s="1566"/>
      <c r="J5776" s="1566"/>
      <c r="K5776" s="1565">
        <v>1709773.82</v>
      </c>
      <c r="L5776" s="1565">
        <v>1709773.82</v>
      </c>
      <c r="M5776" s="1564"/>
      <c r="N5776" s="1565">
        <v>1709773.82</v>
      </c>
      <c r="O5776" s="1565">
        <v>1602912.98</v>
      </c>
      <c r="P5776" s="1564"/>
      <c r="Q5776" s="1565">
        <v>106860.84</v>
      </c>
      <c r="R5776" s="1565">
        <v>106860.84</v>
      </c>
      <c r="S5776" s="1562"/>
    </row>
    <row r="5777" spans="2:19" ht="11.25" customHeight="1" outlineLevel="1">
      <c r="B5777" s="1569" t="s">
        <v>5865</v>
      </c>
      <c r="C5777" s="1566" t="s">
        <v>2414</v>
      </c>
      <c r="D5777" s="1566" t="s">
        <v>5864</v>
      </c>
      <c r="E5777" s="1566" t="s">
        <v>2219</v>
      </c>
      <c r="F5777" s="1566"/>
      <c r="G5777" s="1566"/>
      <c r="H5777" s="1566"/>
      <c r="I5777" s="1566"/>
      <c r="J5777" s="1566"/>
      <c r="K5777" s="1565">
        <v>342626.83</v>
      </c>
      <c r="L5777" s="1565">
        <v>342626.83</v>
      </c>
      <c r="M5777" s="1564"/>
      <c r="N5777" s="1565">
        <v>342626.83</v>
      </c>
      <c r="O5777" s="1565">
        <v>324904.75</v>
      </c>
      <c r="P5777" s="1564"/>
      <c r="Q5777" s="1565">
        <v>17722.080000000002</v>
      </c>
      <c r="R5777" s="1565">
        <v>17722.080000000002</v>
      </c>
      <c r="S5777" s="1562"/>
    </row>
    <row r="5778" spans="2:19" ht="21.75" customHeight="1" outlineLevel="1">
      <c r="B5778" s="1569" t="s">
        <v>5863</v>
      </c>
      <c r="C5778" s="1566" t="s">
        <v>2414</v>
      </c>
      <c r="D5778" s="1566" t="s">
        <v>5862</v>
      </c>
      <c r="E5778" s="1566" t="s">
        <v>2219</v>
      </c>
      <c r="F5778" s="1566" t="s">
        <v>2498</v>
      </c>
      <c r="G5778" s="1566"/>
      <c r="H5778" s="1568">
        <v>1</v>
      </c>
      <c r="I5778" s="1571">
        <v>9</v>
      </c>
      <c r="J5778" s="1566"/>
      <c r="K5778" s="1565">
        <v>6960.82</v>
      </c>
      <c r="L5778" s="1565">
        <v>6960.82</v>
      </c>
      <c r="M5778" s="1564"/>
      <c r="N5778" s="1565">
        <v>6960.82</v>
      </c>
      <c r="O5778" s="1565">
        <v>6603.82</v>
      </c>
      <c r="P5778" s="1564"/>
      <c r="Q5778" s="1572">
        <v>357</v>
      </c>
      <c r="R5778" s="1572">
        <v>357</v>
      </c>
      <c r="S5778" s="1562"/>
    </row>
    <row r="5779" spans="2:19" ht="21.75" customHeight="1" outlineLevel="1">
      <c r="B5779" s="1569" t="s">
        <v>5861</v>
      </c>
      <c r="C5779" s="1566" t="s">
        <v>2414</v>
      </c>
      <c r="D5779" s="1566" t="s">
        <v>5860</v>
      </c>
      <c r="E5779" s="1566" t="s">
        <v>2219</v>
      </c>
      <c r="F5779" s="1566" t="s">
        <v>2498</v>
      </c>
      <c r="G5779" s="1566"/>
      <c r="H5779" s="1566"/>
      <c r="I5779" s="1566"/>
      <c r="J5779" s="1566"/>
      <c r="K5779" s="1565">
        <v>3519.08</v>
      </c>
      <c r="L5779" s="1565">
        <v>3519.08</v>
      </c>
      <c r="M5779" s="1564"/>
      <c r="N5779" s="1565">
        <v>3519.08</v>
      </c>
      <c r="O5779" s="1565">
        <v>2737.04</v>
      </c>
      <c r="P5779" s="1564"/>
      <c r="Q5779" s="1572">
        <v>782.04</v>
      </c>
      <c r="R5779" s="1572">
        <v>782.04</v>
      </c>
      <c r="S5779" s="1562"/>
    </row>
    <row r="5780" spans="2:19" ht="21.75" customHeight="1" outlineLevel="1">
      <c r="B5780" s="1569" t="s">
        <v>5859</v>
      </c>
      <c r="C5780" s="1566" t="s">
        <v>2414</v>
      </c>
      <c r="D5780" s="1566" t="s">
        <v>5858</v>
      </c>
      <c r="E5780" s="1566" t="s">
        <v>2219</v>
      </c>
      <c r="F5780" s="1566" t="s">
        <v>2498</v>
      </c>
      <c r="G5780" s="1566"/>
      <c r="H5780" s="1566"/>
      <c r="I5780" s="1566"/>
      <c r="J5780" s="1566"/>
      <c r="K5780" s="1565">
        <v>12374.78</v>
      </c>
      <c r="L5780" s="1565">
        <v>12374.78</v>
      </c>
      <c r="M5780" s="1564"/>
      <c r="N5780" s="1565">
        <v>12374.78</v>
      </c>
      <c r="O5780" s="1565">
        <v>11740.22</v>
      </c>
      <c r="P5780" s="1564"/>
      <c r="Q5780" s="1572">
        <v>634.55999999999995</v>
      </c>
      <c r="R5780" s="1572">
        <v>634.55999999999995</v>
      </c>
      <c r="S5780" s="1562"/>
    </row>
    <row r="5781" spans="2:19" ht="11.25" customHeight="1" outlineLevel="1">
      <c r="B5781" s="1569" t="s">
        <v>5857</v>
      </c>
      <c r="C5781" s="1566" t="s">
        <v>2414</v>
      </c>
      <c r="D5781" s="1566" t="s">
        <v>5856</v>
      </c>
      <c r="E5781" s="1566" t="s">
        <v>2219</v>
      </c>
      <c r="F5781" s="1566" t="s">
        <v>2498</v>
      </c>
      <c r="G5781" s="1566"/>
      <c r="H5781" s="1566"/>
      <c r="I5781" s="1566"/>
      <c r="J5781" s="1566"/>
      <c r="K5781" s="1565">
        <v>6187.39</v>
      </c>
      <c r="L5781" s="1565">
        <v>6187.39</v>
      </c>
      <c r="M5781" s="1564"/>
      <c r="N5781" s="1565">
        <v>6187.39</v>
      </c>
      <c r="O5781" s="1565">
        <v>5760.67</v>
      </c>
      <c r="P5781" s="1564"/>
      <c r="Q5781" s="1572">
        <v>426.72</v>
      </c>
      <c r="R5781" s="1572">
        <v>426.72</v>
      </c>
      <c r="S5781" s="1562"/>
    </row>
    <row r="5782" spans="2:19" ht="21.75" customHeight="1" outlineLevel="1">
      <c r="B5782" s="1569" t="s">
        <v>5855</v>
      </c>
      <c r="C5782" s="1566" t="s">
        <v>2414</v>
      </c>
      <c r="D5782" s="1566" t="s">
        <v>5854</v>
      </c>
      <c r="E5782" s="1566" t="s">
        <v>2219</v>
      </c>
      <c r="F5782" s="1566" t="s">
        <v>2498</v>
      </c>
      <c r="G5782" s="1566"/>
      <c r="H5782" s="1566"/>
      <c r="I5782" s="1566"/>
      <c r="J5782" s="1566"/>
      <c r="K5782" s="1565">
        <v>9281.09</v>
      </c>
      <c r="L5782" s="1565">
        <v>9281.09</v>
      </c>
      <c r="M5782" s="1564"/>
      <c r="N5782" s="1565">
        <v>9281.09</v>
      </c>
      <c r="O5782" s="1565">
        <v>8805.17</v>
      </c>
      <c r="P5782" s="1564"/>
      <c r="Q5782" s="1572">
        <v>475.92</v>
      </c>
      <c r="R5782" s="1572">
        <v>475.92</v>
      </c>
      <c r="S5782" s="1562"/>
    </row>
    <row r="5783" spans="2:19" ht="21.75" customHeight="1" outlineLevel="1">
      <c r="B5783" s="1569" t="s">
        <v>5853</v>
      </c>
      <c r="C5783" s="1566" t="s">
        <v>2414</v>
      </c>
      <c r="D5783" s="1566" t="s">
        <v>5852</v>
      </c>
      <c r="E5783" s="1566" t="s">
        <v>2219</v>
      </c>
      <c r="F5783" s="1566" t="s">
        <v>2498</v>
      </c>
      <c r="G5783" s="1566"/>
      <c r="H5783" s="1566"/>
      <c r="I5783" s="1566"/>
      <c r="J5783" s="1566"/>
      <c r="K5783" s="1565">
        <v>13921.63</v>
      </c>
      <c r="L5783" s="1565">
        <v>13921.63</v>
      </c>
      <c r="M5783" s="1564"/>
      <c r="N5783" s="1565">
        <v>13921.63</v>
      </c>
      <c r="O5783" s="1565">
        <v>13207.75</v>
      </c>
      <c r="P5783" s="1564"/>
      <c r="Q5783" s="1572">
        <v>713.88</v>
      </c>
      <c r="R5783" s="1572">
        <v>713.88</v>
      </c>
      <c r="S5783" s="1562"/>
    </row>
    <row r="5784" spans="2:19" ht="21.75" customHeight="1" outlineLevel="1">
      <c r="B5784" s="1569" t="s">
        <v>5851</v>
      </c>
      <c r="C5784" s="1566" t="s">
        <v>2414</v>
      </c>
      <c r="D5784" s="1566" t="s">
        <v>5850</v>
      </c>
      <c r="E5784" s="1566" t="s">
        <v>2219</v>
      </c>
      <c r="F5784" s="1566" t="s">
        <v>2498</v>
      </c>
      <c r="G5784" s="1566"/>
      <c r="H5784" s="1566"/>
      <c r="I5784" s="1566"/>
      <c r="J5784" s="1566"/>
      <c r="K5784" s="1565">
        <v>16241.9</v>
      </c>
      <c r="L5784" s="1565">
        <v>16241.9</v>
      </c>
      <c r="M5784" s="1564"/>
      <c r="N5784" s="1565">
        <v>16241.9</v>
      </c>
      <c r="O5784" s="1565">
        <v>12632.55</v>
      </c>
      <c r="P5784" s="1564"/>
      <c r="Q5784" s="1565">
        <v>3609.35</v>
      </c>
      <c r="R5784" s="1565">
        <v>3609.35</v>
      </c>
      <c r="S5784" s="1562"/>
    </row>
    <row r="5785" spans="2:19" ht="21.75" customHeight="1" outlineLevel="1">
      <c r="B5785" s="1569" t="s">
        <v>5849</v>
      </c>
      <c r="C5785" s="1566" t="s">
        <v>2414</v>
      </c>
      <c r="D5785" s="1566" t="s">
        <v>5848</v>
      </c>
      <c r="E5785" s="1566" t="s">
        <v>2219</v>
      </c>
      <c r="F5785" s="1566" t="s">
        <v>2498</v>
      </c>
      <c r="G5785" s="1566"/>
      <c r="H5785" s="1566"/>
      <c r="I5785" s="1566"/>
      <c r="J5785" s="1566"/>
      <c r="K5785" s="1565">
        <v>5413.97</v>
      </c>
      <c r="L5785" s="1565">
        <v>5413.97</v>
      </c>
      <c r="M5785" s="1564"/>
      <c r="N5785" s="1565">
        <v>5413.97</v>
      </c>
      <c r="O5785" s="1565">
        <v>4210.8500000000004</v>
      </c>
      <c r="P5785" s="1564"/>
      <c r="Q5785" s="1565">
        <v>1203.1199999999999</v>
      </c>
      <c r="R5785" s="1565">
        <v>1203.1199999999999</v>
      </c>
      <c r="S5785" s="1562"/>
    </row>
    <row r="5786" spans="2:19" ht="21.75" customHeight="1" outlineLevel="1">
      <c r="B5786" s="1569" t="s">
        <v>5847</v>
      </c>
      <c r="C5786" s="1566" t="s">
        <v>2414</v>
      </c>
      <c r="D5786" s="1566" t="s">
        <v>5846</v>
      </c>
      <c r="E5786" s="1566" t="s">
        <v>2219</v>
      </c>
      <c r="F5786" s="1566" t="s">
        <v>2498</v>
      </c>
      <c r="G5786" s="1566"/>
      <c r="H5786" s="1566"/>
      <c r="I5786" s="1566"/>
      <c r="J5786" s="1566"/>
      <c r="K5786" s="1565">
        <v>11601.36</v>
      </c>
      <c r="L5786" s="1565">
        <v>11601.36</v>
      </c>
      <c r="M5786" s="1564"/>
      <c r="N5786" s="1565">
        <v>11601.36</v>
      </c>
      <c r="O5786" s="1565">
        <v>9023.2800000000007</v>
      </c>
      <c r="P5786" s="1564"/>
      <c r="Q5786" s="1565">
        <v>2578.08</v>
      </c>
      <c r="R5786" s="1565">
        <v>2578.08</v>
      </c>
      <c r="S5786" s="1562"/>
    </row>
    <row r="5787" spans="2:19" ht="21.75" customHeight="1" outlineLevel="1">
      <c r="B5787" s="1569" t="s">
        <v>5845</v>
      </c>
      <c r="C5787" s="1566" t="s">
        <v>2414</v>
      </c>
      <c r="D5787" s="1566" t="s">
        <v>5844</v>
      </c>
      <c r="E5787" s="1566" t="s">
        <v>2219</v>
      </c>
      <c r="F5787" s="1566" t="s">
        <v>2498</v>
      </c>
      <c r="G5787" s="1566"/>
      <c r="H5787" s="1566"/>
      <c r="I5787" s="1566"/>
      <c r="J5787" s="1566"/>
      <c r="K5787" s="1565">
        <v>13921.63</v>
      </c>
      <c r="L5787" s="1565">
        <v>13921.63</v>
      </c>
      <c r="M5787" s="1564"/>
      <c r="N5787" s="1565">
        <v>13921.63</v>
      </c>
      <c r="O5787" s="1565">
        <v>10827.91</v>
      </c>
      <c r="P5787" s="1564"/>
      <c r="Q5787" s="1565">
        <v>3093.72</v>
      </c>
      <c r="R5787" s="1565">
        <v>3093.72</v>
      </c>
      <c r="S5787" s="1562"/>
    </row>
    <row r="5788" spans="2:19" ht="11.25" customHeight="1" outlineLevel="1">
      <c r="B5788" s="1569" t="s">
        <v>5843</v>
      </c>
      <c r="C5788" s="1566" t="s">
        <v>2414</v>
      </c>
      <c r="D5788" s="1566" t="s">
        <v>5842</v>
      </c>
      <c r="E5788" s="1566" t="s">
        <v>2219</v>
      </c>
      <c r="F5788" s="1566" t="s">
        <v>2488</v>
      </c>
      <c r="G5788" s="1566"/>
      <c r="H5788" s="1568">
        <v>1</v>
      </c>
      <c r="I5788" s="1571">
        <v>11</v>
      </c>
      <c r="J5788" s="1566"/>
      <c r="K5788" s="1565">
        <v>5955.36</v>
      </c>
      <c r="L5788" s="1565">
        <v>5955.36</v>
      </c>
      <c r="M5788" s="1564"/>
      <c r="N5788" s="1565">
        <v>5955.36</v>
      </c>
      <c r="O5788" s="1565">
        <v>5293.68</v>
      </c>
      <c r="P5788" s="1564"/>
      <c r="Q5788" s="1572">
        <v>661.68</v>
      </c>
      <c r="R5788" s="1572">
        <v>661.68</v>
      </c>
      <c r="S5788" s="1562"/>
    </row>
    <row r="5789" spans="2:19" ht="11.25" customHeight="1" outlineLevel="1">
      <c r="B5789" s="1569" t="s">
        <v>5841</v>
      </c>
      <c r="C5789" s="1566" t="s">
        <v>2414</v>
      </c>
      <c r="D5789" s="1566" t="s">
        <v>5840</v>
      </c>
      <c r="E5789" s="1566" t="s">
        <v>2219</v>
      </c>
      <c r="F5789" s="1566" t="s">
        <v>2488</v>
      </c>
      <c r="G5789" s="1566"/>
      <c r="H5789" s="1568">
        <v>1</v>
      </c>
      <c r="I5789" s="1571">
        <v>20</v>
      </c>
      <c r="J5789" s="1566"/>
      <c r="K5789" s="1565">
        <v>15468.48</v>
      </c>
      <c r="L5789" s="1565">
        <v>15468.48</v>
      </c>
      <c r="M5789" s="1564"/>
      <c r="N5789" s="1565">
        <v>15468.48</v>
      </c>
      <c r="O5789" s="1565">
        <v>13749.72</v>
      </c>
      <c r="P5789" s="1564"/>
      <c r="Q5789" s="1565">
        <v>1718.76</v>
      </c>
      <c r="R5789" s="1565">
        <v>1718.76</v>
      </c>
      <c r="S5789" s="1562"/>
    </row>
    <row r="5790" spans="2:19" ht="11.25" customHeight="1" outlineLevel="1">
      <c r="B5790" s="1569" t="s">
        <v>5839</v>
      </c>
      <c r="C5790" s="1566" t="s">
        <v>2414</v>
      </c>
      <c r="D5790" s="1566" t="s">
        <v>5838</v>
      </c>
      <c r="E5790" s="1566" t="s">
        <v>2219</v>
      </c>
      <c r="F5790" s="1566" t="s">
        <v>2488</v>
      </c>
      <c r="G5790" s="1566"/>
      <c r="H5790" s="1568">
        <v>1</v>
      </c>
      <c r="I5790" s="1571">
        <v>4</v>
      </c>
      <c r="J5790" s="1566"/>
      <c r="K5790" s="1565">
        <v>2165.59</v>
      </c>
      <c r="L5790" s="1565">
        <v>2165.59</v>
      </c>
      <c r="M5790" s="1564"/>
      <c r="N5790" s="1565">
        <v>2165.59</v>
      </c>
      <c r="O5790" s="1565">
        <v>1924.99</v>
      </c>
      <c r="P5790" s="1564"/>
      <c r="Q5790" s="1572">
        <v>240.6</v>
      </c>
      <c r="R5790" s="1572">
        <v>240.6</v>
      </c>
      <c r="S5790" s="1562"/>
    </row>
    <row r="5791" spans="2:19" ht="11.25" customHeight="1" outlineLevel="1">
      <c r="B5791" s="1569" t="s">
        <v>5837</v>
      </c>
      <c r="C5791" s="1566" t="s">
        <v>2414</v>
      </c>
      <c r="D5791" s="1566" t="s">
        <v>5836</v>
      </c>
      <c r="E5791" s="1566" t="s">
        <v>2219</v>
      </c>
      <c r="F5791" s="1566" t="s">
        <v>2488</v>
      </c>
      <c r="G5791" s="1566"/>
      <c r="H5791" s="1568">
        <v>1</v>
      </c>
      <c r="I5791" s="1571">
        <v>19</v>
      </c>
      <c r="J5791" s="1566"/>
      <c r="K5791" s="1565">
        <v>10286.540000000001</v>
      </c>
      <c r="L5791" s="1565">
        <v>10286.540000000001</v>
      </c>
      <c r="M5791" s="1564"/>
      <c r="N5791" s="1565">
        <v>10286.540000000001</v>
      </c>
      <c r="O5791" s="1565">
        <v>9143.5400000000009</v>
      </c>
      <c r="P5791" s="1564"/>
      <c r="Q5791" s="1565">
        <v>1143</v>
      </c>
      <c r="R5791" s="1565">
        <v>1143</v>
      </c>
      <c r="S5791" s="1562"/>
    </row>
    <row r="5792" spans="2:19" ht="11.25" customHeight="1" outlineLevel="1">
      <c r="B5792" s="1569" t="s">
        <v>5835</v>
      </c>
      <c r="C5792" s="1566" t="s">
        <v>2414</v>
      </c>
      <c r="D5792" s="1566" t="s">
        <v>5834</v>
      </c>
      <c r="E5792" s="1566" t="s">
        <v>2219</v>
      </c>
      <c r="F5792" s="1566" t="s">
        <v>2488</v>
      </c>
      <c r="G5792" s="1566"/>
      <c r="H5792" s="1568">
        <v>1</v>
      </c>
      <c r="I5792" s="1571">
        <v>17</v>
      </c>
      <c r="J5792" s="1566"/>
      <c r="K5792" s="1565">
        <v>4601.87</v>
      </c>
      <c r="L5792" s="1565">
        <v>4601.87</v>
      </c>
      <c r="M5792" s="1564"/>
      <c r="N5792" s="1565">
        <v>4601.87</v>
      </c>
      <c r="O5792" s="1565">
        <v>4090.55</v>
      </c>
      <c r="P5792" s="1564"/>
      <c r="Q5792" s="1572">
        <v>511.32</v>
      </c>
      <c r="R5792" s="1572">
        <v>511.32</v>
      </c>
      <c r="S5792" s="1562"/>
    </row>
    <row r="5793" spans="2:19" ht="21.75" customHeight="1" outlineLevel="1">
      <c r="B5793" s="1569" t="s">
        <v>5833</v>
      </c>
      <c r="C5793" s="1566" t="s">
        <v>2414</v>
      </c>
      <c r="D5793" s="1566" t="s">
        <v>5832</v>
      </c>
      <c r="E5793" s="1566" t="s">
        <v>2219</v>
      </c>
      <c r="F5793" s="1566" t="s">
        <v>2488</v>
      </c>
      <c r="G5793" s="1566"/>
      <c r="H5793" s="1568">
        <v>1</v>
      </c>
      <c r="I5793" s="1571">
        <v>13</v>
      </c>
      <c r="J5793" s="1566"/>
      <c r="K5793" s="1565">
        <v>7038.16</v>
      </c>
      <c r="L5793" s="1565">
        <v>7038.16</v>
      </c>
      <c r="M5793" s="1564"/>
      <c r="N5793" s="1565">
        <v>7038.16</v>
      </c>
      <c r="O5793" s="1565">
        <v>6256.12</v>
      </c>
      <c r="P5793" s="1564"/>
      <c r="Q5793" s="1572">
        <v>782.04</v>
      </c>
      <c r="R5793" s="1572">
        <v>782.04</v>
      </c>
      <c r="S5793" s="1562"/>
    </row>
    <row r="5794" spans="2:19" ht="11.25" customHeight="1" outlineLevel="1">
      <c r="B5794" s="1569" t="s">
        <v>5831</v>
      </c>
      <c r="C5794" s="1566" t="s">
        <v>2414</v>
      </c>
      <c r="D5794" s="1566" t="s">
        <v>5830</v>
      </c>
      <c r="E5794" s="1566" t="s">
        <v>2219</v>
      </c>
      <c r="F5794" s="1566" t="s">
        <v>5829</v>
      </c>
      <c r="G5794" s="1566"/>
      <c r="H5794" s="1568">
        <v>1</v>
      </c>
      <c r="I5794" s="1571">
        <v>26</v>
      </c>
      <c r="J5794" s="1566"/>
      <c r="K5794" s="1565">
        <v>30163.54</v>
      </c>
      <c r="L5794" s="1565">
        <v>30163.54</v>
      </c>
      <c r="M5794" s="1564"/>
      <c r="N5794" s="1565">
        <v>30163.54</v>
      </c>
      <c r="O5794" s="1565">
        <v>26812.06</v>
      </c>
      <c r="P5794" s="1564"/>
      <c r="Q5794" s="1565">
        <v>3351.48</v>
      </c>
      <c r="R5794" s="1565">
        <v>3351.48</v>
      </c>
      <c r="S5794" s="1562"/>
    </row>
    <row r="5795" spans="2:19" ht="11.25" customHeight="1" outlineLevel="1">
      <c r="B5795" s="1569" t="s">
        <v>5828</v>
      </c>
      <c r="C5795" s="1566" t="s">
        <v>2414</v>
      </c>
      <c r="D5795" s="1566" t="s">
        <v>5827</v>
      </c>
      <c r="E5795" s="1566" t="s">
        <v>2219</v>
      </c>
      <c r="F5795" s="1566" t="s">
        <v>2483</v>
      </c>
      <c r="G5795" s="1566"/>
      <c r="H5795" s="1568">
        <v>1</v>
      </c>
      <c r="I5795" s="1571">
        <v>18</v>
      </c>
      <c r="J5795" s="1566"/>
      <c r="K5795" s="1565">
        <v>9745.14</v>
      </c>
      <c r="L5795" s="1565">
        <v>9745.14</v>
      </c>
      <c r="M5795" s="1564"/>
      <c r="N5795" s="1565">
        <v>9745.14</v>
      </c>
      <c r="O5795" s="1565">
        <v>8662.3799999999992</v>
      </c>
      <c r="P5795" s="1564"/>
      <c r="Q5795" s="1565">
        <v>1082.76</v>
      </c>
      <c r="R5795" s="1565">
        <v>1082.76</v>
      </c>
      <c r="S5795" s="1562"/>
    </row>
    <row r="5796" spans="2:19" ht="11.25" customHeight="1" outlineLevel="1">
      <c r="B5796" s="1569" t="s">
        <v>5826</v>
      </c>
      <c r="C5796" s="1566" t="s">
        <v>2414</v>
      </c>
      <c r="D5796" s="1566" t="s">
        <v>5825</v>
      </c>
      <c r="E5796" s="1566" t="s">
        <v>2219</v>
      </c>
      <c r="F5796" s="1566" t="s">
        <v>2483</v>
      </c>
      <c r="G5796" s="1566"/>
      <c r="H5796" s="1568">
        <v>1</v>
      </c>
      <c r="I5796" s="1571">
        <v>6</v>
      </c>
      <c r="J5796" s="1566"/>
      <c r="K5796" s="1565">
        <v>3248.38</v>
      </c>
      <c r="L5796" s="1565">
        <v>3248.38</v>
      </c>
      <c r="M5796" s="1564"/>
      <c r="N5796" s="1565">
        <v>3248.38</v>
      </c>
      <c r="O5796" s="1565">
        <v>2887.42</v>
      </c>
      <c r="P5796" s="1564"/>
      <c r="Q5796" s="1572">
        <v>360.96</v>
      </c>
      <c r="R5796" s="1572">
        <v>360.96</v>
      </c>
      <c r="S5796" s="1562"/>
    </row>
    <row r="5797" spans="2:19" ht="11.25" customHeight="1" outlineLevel="1">
      <c r="B5797" s="1569" t="s">
        <v>5824</v>
      </c>
      <c r="C5797" s="1566" t="s">
        <v>2414</v>
      </c>
      <c r="D5797" s="1566" t="s">
        <v>5823</v>
      </c>
      <c r="E5797" s="1566" t="s">
        <v>2219</v>
      </c>
      <c r="F5797" s="1566" t="s">
        <v>2483</v>
      </c>
      <c r="G5797" s="1566"/>
      <c r="H5797" s="1568">
        <v>1</v>
      </c>
      <c r="I5797" s="1571">
        <v>10</v>
      </c>
      <c r="J5797" s="1566"/>
      <c r="K5797" s="1565">
        <v>7734.24</v>
      </c>
      <c r="L5797" s="1565">
        <v>7734.24</v>
      </c>
      <c r="M5797" s="1564"/>
      <c r="N5797" s="1565">
        <v>7734.24</v>
      </c>
      <c r="O5797" s="1565">
        <v>6874.92</v>
      </c>
      <c r="P5797" s="1564"/>
      <c r="Q5797" s="1572">
        <v>859.32</v>
      </c>
      <c r="R5797" s="1572">
        <v>859.32</v>
      </c>
      <c r="S5797" s="1562"/>
    </row>
    <row r="5798" spans="2:19" ht="11.25" customHeight="1" outlineLevel="1">
      <c r="B5798" s="1569" t="s">
        <v>5822</v>
      </c>
      <c r="C5798" s="1566" t="s">
        <v>2414</v>
      </c>
      <c r="D5798" s="1566" t="s">
        <v>5821</v>
      </c>
      <c r="E5798" s="1566" t="s">
        <v>2219</v>
      </c>
      <c r="F5798" s="1566" t="s">
        <v>2483</v>
      </c>
      <c r="G5798" s="1566"/>
      <c r="H5798" s="1568">
        <v>1</v>
      </c>
      <c r="I5798" s="1571">
        <v>107</v>
      </c>
      <c r="J5798" s="1566"/>
      <c r="K5798" s="1565">
        <v>103445.46</v>
      </c>
      <c r="L5798" s="1565">
        <v>103445.46</v>
      </c>
      <c r="M5798" s="1564"/>
      <c r="N5798" s="1565">
        <v>103445.46</v>
      </c>
      <c r="O5798" s="1565">
        <v>91951.5</v>
      </c>
      <c r="P5798" s="1564"/>
      <c r="Q5798" s="1565">
        <v>11493.96</v>
      </c>
      <c r="R5798" s="1565">
        <v>11493.96</v>
      </c>
      <c r="S5798" s="1562"/>
    </row>
    <row r="5799" spans="2:19" ht="11.25" customHeight="1" outlineLevel="1">
      <c r="B5799" s="1569" t="s">
        <v>5820</v>
      </c>
      <c r="C5799" s="1566" t="s">
        <v>2414</v>
      </c>
      <c r="D5799" s="1566" t="s">
        <v>5819</v>
      </c>
      <c r="E5799" s="1566" t="s">
        <v>2219</v>
      </c>
      <c r="F5799" s="1566" t="s">
        <v>2480</v>
      </c>
      <c r="G5799" s="1566"/>
      <c r="H5799" s="1568">
        <v>1</v>
      </c>
      <c r="I5799" s="1571">
        <v>9</v>
      </c>
      <c r="J5799" s="1566"/>
      <c r="K5799" s="1565">
        <v>4872.57</v>
      </c>
      <c r="L5799" s="1565">
        <v>4872.57</v>
      </c>
      <c r="M5799" s="1564"/>
      <c r="N5799" s="1565">
        <v>4872.57</v>
      </c>
      <c r="O5799" s="1565">
        <v>4331.13</v>
      </c>
      <c r="P5799" s="1564"/>
      <c r="Q5799" s="1572">
        <v>541.44000000000005</v>
      </c>
      <c r="R5799" s="1572">
        <v>541.44000000000005</v>
      </c>
      <c r="S5799" s="1562"/>
    </row>
    <row r="5800" spans="2:19" ht="21.75" customHeight="1" outlineLevel="1">
      <c r="B5800" s="1569" t="s">
        <v>5818</v>
      </c>
      <c r="C5800" s="1566" t="s">
        <v>2414</v>
      </c>
      <c r="D5800" s="1566" t="s">
        <v>5817</v>
      </c>
      <c r="E5800" s="1566" t="s">
        <v>2219</v>
      </c>
      <c r="F5800" s="1566" t="s">
        <v>2458</v>
      </c>
      <c r="G5800" s="1566"/>
      <c r="H5800" s="1568">
        <v>1</v>
      </c>
      <c r="I5800" s="1571">
        <v>119</v>
      </c>
      <c r="J5800" s="1566"/>
      <c r="K5800" s="1565">
        <v>92037.46</v>
      </c>
      <c r="L5800" s="1565">
        <v>92037.46</v>
      </c>
      <c r="M5800" s="1564"/>
      <c r="N5800" s="1565">
        <v>92037.46</v>
      </c>
      <c r="O5800" s="1565">
        <v>81811.06</v>
      </c>
      <c r="P5800" s="1564"/>
      <c r="Q5800" s="1565">
        <v>10226.4</v>
      </c>
      <c r="R5800" s="1565">
        <v>10226.4</v>
      </c>
      <c r="S5800" s="1562"/>
    </row>
    <row r="5801" spans="2:19" ht="11.25" customHeight="1" outlineLevel="1">
      <c r="B5801" s="1569" t="s">
        <v>5816</v>
      </c>
      <c r="C5801" s="1566" t="s">
        <v>2414</v>
      </c>
      <c r="D5801" s="1566" t="s">
        <v>5815</v>
      </c>
      <c r="E5801" s="1566" t="s">
        <v>2219</v>
      </c>
      <c r="F5801" s="1566" t="s">
        <v>2458</v>
      </c>
      <c r="G5801" s="1566"/>
      <c r="H5801" s="1568">
        <v>1</v>
      </c>
      <c r="I5801" s="1571">
        <v>9</v>
      </c>
      <c r="J5801" s="1566"/>
      <c r="K5801" s="1565">
        <v>4872.57</v>
      </c>
      <c r="L5801" s="1565">
        <v>4872.57</v>
      </c>
      <c r="M5801" s="1564"/>
      <c r="N5801" s="1565">
        <v>4872.57</v>
      </c>
      <c r="O5801" s="1565">
        <v>4331.13</v>
      </c>
      <c r="P5801" s="1564"/>
      <c r="Q5801" s="1572">
        <v>541.44000000000005</v>
      </c>
      <c r="R5801" s="1572">
        <v>541.44000000000005</v>
      </c>
      <c r="S5801" s="1562"/>
    </row>
    <row r="5802" spans="2:19" ht="11.25" customHeight="1" outlineLevel="1">
      <c r="B5802" s="1569" t="s">
        <v>5814</v>
      </c>
      <c r="C5802" s="1566" t="s">
        <v>2414</v>
      </c>
      <c r="D5802" s="1566" t="s">
        <v>5813</v>
      </c>
      <c r="E5802" s="1566" t="s">
        <v>2219</v>
      </c>
      <c r="F5802" s="1566" t="s">
        <v>2458</v>
      </c>
      <c r="G5802" s="1566"/>
      <c r="H5802" s="1568">
        <v>1</v>
      </c>
      <c r="I5802" s="1571">
        <v>9</v>
      </c>
      <c r="J5802" s="1566"/>
      <c r="K5802" s="1565">
        <v>6960.82</v>
      </c>
      <c r="L5802" s="1565">
        <v>6960.82</v>
      </c>
      <c r="M5802" s="1564"/>
      <c r="N5802" s="1565">
        <v>6960.82</v>
      </c>
      <c r="O5802" s="1565">
        <v>6187.42</v>
      </c>
      <c r="P5802" s="1564"/>
      <c r="Q5802" s="1572">
        <v>773.4</v>
      </c>
      <c r="R5802" s="1572">
        <v>773.4</v>
      </c>
      <c r="S5802" s="1562"/>
    </row>
    <row r="5803" spans="2:19" ht="11.25" customHeight="1" outlineLevel="1">
      <c r="B5803" s="1569" t="s">
        <v>5812</v>
      </c>
      <c r="C5803" s="1566" t="s">
        <v>2414</v>
      </c>
      <c r="D5803" s="1566" t="s">
        <v>5811</v>
      </c>
      <c r="E5803" s="1566" t="s">
        <v>2219</v>
      </c>
      <c r="F5803" s="1566" t="s">
        <v>2458</v>
      </c>
      <c r="G5803" s="1566"/>
      <c r="H5803" s="1568">
        <v>1</v>
      </c>
      <c r="I5803" s="1571">
        <v>23</v>
      </c>
      <c r="J5803" s="1566"/>
      <c r="K5803" s="1565">
        <v>15679.74</v>
      </c>
      <c r="L5803" s="1565">
        <v>15679.74</v>
      </c>
      <c r="M5803" s="1564"/>
      <c r="N5803" s="1565">
        <v>15679.74</v>
      </c>
      <c r="O5803" s="1565">
        <v>13937.58</v>
      </c>
      <c r="P5803" s="1564"/>
      <c r="Q5803" s="1565">
        <v>1742.16</v>
      </c>
      <c r="R5803" s="1565">
        <v>1742.16</v>
      </c>
      <c r="S5803" s="1562"/>
    </row>
    <row r="5804" spans="2:19" ht="11.25" customHeight="1" outlineLevel="1">
      <c r="B5804" s="1569" t="s">
        <v>5810</v>
      </c>
      <c r="C5804" s="1566" t="s">
        <v>2414</v>
      </c>
      <c r="D5804" s="1566" t="s">
        <v>5809</v>
      </c>
      <c r="E5804" s="1566" t="s">
        <v>2219</v>
      </c>
      <c r="F5804" s="1566" t="s">
        <v>2458</v>
      </c>
      <c r="G5804" s="1566"/>
      <c r="H5804" s="1568">
        <v>1</v>
      </c>
      <c r="I5804" s="1571">
        <v>17</v>
      </c>
      <c r="J5804" s="1566"/>
      <c r="K5804" s="1565">
        <v>13148.21</v>
      </c>
      <c r="L5804" s="1565">
        <v>13148.21</v>
      </c>
      <c r="M5804" s="1564"/>
      <c r="N5804" s="1565">
        <v>13148.21</v>
      </c>
      <c r="O5804" s="1565">
        <v>11687.33</v>
      </c>
      <c r="P5804" s="1564"/>
      <c r="Q5804" s="1565">
        <v>1460.88</v>
      </c>
      <c r="R5804" s="1565">
        <v>1460.88</v>
      </c>
      <c r="S5804" s="1562"/>
    </row>
    <row r="5805" spans="2:19" ht="11.25" customHeight="1" outlineLevel="1">
      <c r="B5805" s="1569" t="s">
        <v>5808</v>
      </c>
      <c r="C5805" s="1566" t="s">
        <v>2414</v>
      </c>
      <c r="D5805" s="1566" t="s">
        <v>5807</v>
      </c>
      <c r="E5805" s="1566" t="s">
        <v>2219</v>
      </c>
      <c r="F5805" s="1566" t="s">
        <v>2458</v>
      </c>
      <c r="G5805" s="1566"/>
      <c r="H5805" s="1568">
        <v>1</v>
      </c>
      <c r="I5805" s="1571">
        <v>22</v>
      </c>
      <c r="J5805" s="1566"/>
      <c r="K5805" s="1565">
        <v>11910.73</v>
      </c>
      <c r="L5805" s="1565">
        <v>11910.73</v>
      </c>
      <c r="M5805" s="1564"/>
      <c r="N5805" s="1565">
        <v>11910.73</v>
      </c>
      <c r="O5805" s="1565">
        <v>10587.36</v>
      </c>
      <c r="P5805" s="1564"/>
      <c r="Q5805" s="1565">
        <v>1323.37</v>
      </c>
      <c r="R5805" s="1565">
        <v>1323.37</v>
      </c>
      <c r="S5805" s="1562"/>
    </row>
    <row r="5806" spans="2:19" ht="11.25" customHeight="1" outlineLevel="1">
      <c r="B5806" s="1569" t="s">
        <v>5806</v>
      </c>
      <c r="C5806" s="1566" t="s">
        <v>2414</v>
      </c>
      <c r="D5806" s="1566" t="s">
        <v>5805</v>
      </c>
      <c r="E5806" s="1566"/>
      <c r="F5806" s="1566"/>
      <c r="G5806" s="1566"/>
      <c r="H5806" s="1566"/>
      <c r="I5806" s="1566"/>
      <c r="J5806" s="1566"/>
      <c r="K5806" s="1565">
        <v>6960.82</v>
      </c>
      <c r="L5806" s="1565">
        <v>6960.82</v>
      </c>
      <c r="M5806" s="1564"/>
      <c r="N5806" s="1565">
        <v>6960.82</v>
      </c>
      <c r="O5806" s="1565">
        <v>6376.66</v>
      </c>
      <c r="P5806" s="1564"/>
      <c r="Q5806" s="1572">
        <v>584.16</v>
      </c>
      <c r="R5806" s="1572">
        <v>584.16</v>
      </c>
      <c r="S5806" s="1562"/>
    </row>
    <row r="5807" spans="2:19" ht="21.75" customHeight="1" outlineLevel="1">
      <c r="B5807" s="1569" t="s">
        <v>5804</v>
      </c>
      <c r="C5807" s="1566" t="s">
        <v>2414</v>
      </c>
      <c r="D5807" s="1566" t="s">
        <v>5803</v>
      </c>
      <c r="E5807" s="1566"/>
      <c r="F5807" s="1566"/>
      <c r="G5807" s="1566"/>
      <c r="H5807" s="1566"/>
      <c r="I5807" s="1566"/>
      <c r="J5807" s="1566"/>
      <c r="K5807" s="1565">
        <v>20109.02</v>
      </c>
      <c r="L5807" s="1565">
        <v>20109.02</v>
      </c>
      <c r="M5807" s="1564"/>
      <c r="N5807" s="1565">
        <v>20109.02</v>
      </c>
      <c r="O5807" s="1565">
        <v>18845.66</v>
      </c>
      <c r="P5807" s="1564"/>
      <c r="Q5807" s="1565">
        <v>1263.3599999999999</v>
      </c>
      <c r="R5807" s="1565">
        <v>1263.3599999999999</v>
      </c>
      <c r="S5807" s="1562"/>
    </row>
    <row r="5808" spans="2:19" ht="21.75" customHeight="1" outlineLevel="1">
      <c r="B5808" s="1569" t="s">
        <v>5802</v>
      </c>
      <c r="C5808" s="1566" t="s">
        <v>2414</v>
      </c>
      <c r="D5808" s="1566" t="s">
        <v>5801</v>
      </c>
      <c r="E5808" s="1566"/>
      <c r="F5808" s="1566"/>
      <c r="G5808" s="1566"/>
      <c r="H5808" s="1566"/>
      <c r="I5808" s="1566"/>
      <c r="J5808" s="1566"/>
      <c r="K5808" s="1565">
        <v>10151.19</v>
      </c>
      <c r="L5808" s="1565">
        <v>10151.19</v>
      </c>
      <c r="M5808" s="1564"/>
      <c r="N5808" s="1565">
        <v>10151.19</v>
      </c>
      <c r="O5808" s="1565">
        <v>9421.7099999999991</v>
      </c>
      <c r="P5808" s="1564"/>
      <c r="Q5808" s="1572">
        <v>729.48</v>
      </c>
      <c r="R5808" s="1572">
        <v>729.48</v>
      </c>
      <c r="S5808" s="1562"/>
    </row>
    <row r="5809" spans="2:19" ht="21.75" customHeight="1" outlineLevel="1">
      <c r="B5809" s="1569" t="s">
        <v>5800</v>
      </c>
      <c r="C5809" s="1566" t="s">
        <v>2414</v>
      </c>
      <c r="D5809" s="1566" t="s">
        <v>5799</v>
      </c>
      <c r="E5809" s="1566"/>
      <c r="F5809" s="1566"/>
      <c r="G5809" s="1566"/>
      <c r="H5809" s="1566"/>
      <c r="I5809" s="1566"/>
      <c r="J5809" s="1566"/>
      <c r="K5809" s="1565">
        <v>10151.19</v>
      </c>
      <c r="L5809" s="1565">
        <v>10151.19</v>
      </c>
      <c r="M5809" s="1564"/>
      <c r="N5809" s="1565">
        <v>10151.19</v>
      </c>
      <c r="O5809" s="1565">
        <v>9421.7099999999991</v>
      </c>
      <c r="P5809" s="1564"/>
      <c r="Q5809" s="1572">
        <v>729.48</v>
      </c>
      <c r="R5809" s="1572">
        <v>729.48</v>
      </c>
      <c r="S5809" s="1562"/>
    </row>
    <row r="5810" spans="2:19" ht="11.25" customHeight="1" outlineLevel="1">
      <c r="B5810" s="1569" t="s">
        <v>5798</v>
      </c>
      <c r="C5810" s="1566" t="s">
        <v>2414</v>
      </c>
      <c r="D5810" s="1566" t="s">
        <v>5797</v>
      </c>
      <c r="E5810" s="1566"/>
      <c r="F5810" s="1566"/>
      <c r="G5810" s="1566"/>
      <c r="H5810" s="1566"/>
      <c r="I5810" s="1566"/>
      <c r="J5810" s="1566"/>
      <c r="K5810" s="1565">
        <v>587868.29</v>
      </c>
      <c r="L5810" s="1565">
        <v>587868.29</v>
      </c>
      <c r="M5810" s="1564"/>
      <c r="N5810" s="1565">
        <v>587868.29</v>
      </c>
      <c r="O5810" s="1565">
        <v>545626.25</v>
      </c>
      <c r="P5810" s="1564"/>
      <c r="Q5810" s="1565">
        <v>42242.04</v>
      </c>
      <c r="R5810" s="1565">
        <v>42242.04</v>
      </c>
      <c r="S5810" s="1562"/>
    </row>
    <row r="5811" spans="2:19" ht="21.75" customHeight="1" outlineLevel="1">
      <c r="B5811" s="1569" t="s">
        <v>5796</v>
      </c>
      <c r="C5811" s="1566" t="s">
        <v>2414</v>
      </c>
      <c r="D5811" s="1566" t="s">
        <v>5795</v>
      </c>
      <c r="E5811" s="1566" t="s">
        <v>2219</v>
      </c>
      <c r="F5811" s="1566" t="s">
        <v>5792</v>
      </c>
      <c r="G5811" s="1566"/>
      <c r="H5811" s="1568">
        <v>1</v>
      </c>
      <c r="I5811" s="1571">
        <v>15</v>
      </c>
      <c r="J5811" s="1566"/>
      <c r="K5811" s="1565">
        <v>8120.95</v>
      </c>
      <c r="L5811" s="1565">
        <v>8120.95</v>
      </c>
      <c r="M5811" s="1564"/>
      <c r="N5811" s="1565">
        <v>8120.95</v>
      </c>
      <c r="O5811" s="1565">
        <v>7444.15</v>
      </c>
      <c r="P5811" s="1564"/>
      <c r="Q5811" s="1572">
        <v>676.8</v>
      </c>
      <c r="R5811" s="1572">
        <v>676.8</v>
      </c>
      <c r="S5811" s="1562"/>
    </row>
    <row r="5812" spans="2:19" ht="11.25" customHeight="1" outlineLevel="1">
      <c r="B5812" s="1569" t="s">
        <v>5794</v>
      </c>
      <c r="C5812" s="1566" t="s">
        <v>2414</v>
      </c>
      <c r="D5812" s="1566" t="s">
        <v>5793</v>
      </c>
      <c r="E5812" s="1566" t="s">
        <v>2219</v>
      </c>
      <c r="F5812" s="1566" t="s">
        <v>5792</v>
      </c>
      <c r="G5812" s="1566"/>
      <c r="H5812" s="1568">
        <v>1</v>
      </c>
      <c r="I5812" s="1571">
        <v>10</v>
      </c>
      <c r="J5812" s="1566"/>
      <c r="K5812" s="1565">
        <v>2386.0500000000002</v>
      </c>
      <c r="L5812" s="1565">
        <v>2386.0500000000002</v>
      </c>
      <c r="M5812" s="1564"/>
      <c r="N5812" s="1565">
        <v>2386.0500000000002</v>
      </c>
      <c r="O5812" s="1565">
        <v>2187.21</v>
      </c>
      <c r="P5812" s="1564"/>
      <c r="Q5812" s="1572">
        <v>198.84</v>
      </c>
      <c r="R5812" s="1572">
        <v>198.84</v>
      </c>
      <c r="S5812" s="1562"/>
    </row>
    <row r="5813" spans="2:19" ht="21.75" customHeight="1" outlineLevel="1">
      <c r="B5813" s="1569" t="s">
        <v>5791</v>
      </c>
      <c r="C5813" s="1566" t="s">
        <v>2414</v>
      </c>
      <c r="D5813" s="1566" t="s">
        <v>5790</v>
      </c>
      <c r="E5813" s="1566" t="s">
        <v>2219</v>
      </c>
      <c r="F5813" s="1566" t="s">
        <v>5789</v>
      </c>
      <c r="G5813" s="1566"/>
      <c r="H5813" s="1568">
        <v>1</v>
      </c>
      <c r="I5813" s="1571">
        <v>13</v>
      </c>
      <c r="J5813" s="1566"/>
      <c r="K5813" s="1565">
        <v>7038.16</v>
      </c>
      <c r="L5813" s="1565">
        <v>7038.16</v>
      </c>
      <c r="M5813" s="1564"/>
      <c r="N5813" s="1565">
        <v>7038.16</v>
      </c>
      <c r="O5813" s="1565">
        <v>6451.6</v>
      </c>
      <c r="P5813" s="1564"/>
      <c r="Q5813" s="1572">
        <v>586.55999999999995</v>
      </c>
      <c r="R5813" s="1572">
        <v>586.55999999999995</v>
      </c>
      <c r="S5813" s="1562"/>
    </row>
    <row r="5814" spans="2:19" ht="11.25" customHeight="1" outlineLevel="1">
      <c r="B5814" s="1569" t="s">
        <v>5788</v>
      </c>
      <c r="C5814" s="1566" t="s">
        <v>2414</v>
      </c>
      <c r="D5814" s="1566" t="s">
        <v>5787</v>
      </c>
      <c r="E5814" s="1566" t="s">
        <v>2219</v>
      </c>
      <c r="F5814" s="1566" t="s">
        <v>2420</v>
      </c>
      <c r="G5814" s="1566"/>
      <c r="H5814" s="1568">
        <v>1</v>
      </c>
      <c r="I5814" s="1571">
        <v>35</v>
      </c>
      <c r="J5814" s="1566"/>
      <c r="K5814" s="1565">
        <v>9474.44</v>
      </c>
      <c r="L5814" s="1565">
        <v>9474.44</v>
      </c>
      <c r="M5814" s="1564"/>
      <c r="N5814" s="1565">
        <v>9474.44</v>
      </c>
      <c r="O5814" s="1565">
        <v>8797.64</v>
      </c>
      <c r="P5814" s="1564"/>
      <c r="Q5814" s="1572">
        <v>676.8</v>
      </c>
      <c r="R5814" s="1572">
        <v>676.8</v>
      </c>
      <c r="S5814" s="1562"/>
    </row>
    <row r="5815" spans="2:19" ht="21.75" customHeight="1" outlineLevel="1">
      <c r="B5815" s="1569" t="s">
        <v>5786</v>
      </c>
      <c r="C5815" s="1566" t="s">
        <v>2414</v>
      </c>
      <c r="D5815" s="1566" t="s">
        <v>5785</v>
      </c>
      <c r="E5815" s="1566" t="s">
        <v>2208</v>
      </c>
      <c r="F5815" s="1566"/>
      <c r="G5815" s="1566"/>
      <c r="H5815" s="1568">
        <v>1</v>
      </c>
      <c r="I5815" s="1567">
        <v>10.69</v>
      </c>
      <c r="J5815" s="1566"/>
      <c r="K5815" s="1565">
        <v>105320.78</v>
      </c>
      <c r="L5815" s="1565">
        <v>105320.78</v>
      </c>
      <c r="M5815" s="1564"/>
      <c r="N5815" s="1565">
        <v>105320.78</v>
      </c>
      <c r="O5815" s="1565">
        <v>94875.74</v>
      </c>
      <c r="P5815" s="1564"/>
      <c r="Q5815" s="1565">
        <v>10445.040000000001</v>
      </c>
      <c r="R5815" s="1565">
        <v>10445.040000000001</v>
      </c>
      <c r="S5815" s="1562"/>
    </row>
    <row r="5816" spans="2:19" ht="21.75" customHeight="1" outlineLevel="1">
      <c r="B5816" s="1569" t="s">
        <v>5784</v>
      </c>
      <c r="C5816" s="1566" t="s">
        <v>2414</v>
      </c>
      <c r="D5816" s="1566" t="s">
        <v>5783</v>
      </c>
      <c r="E5816" s="1566" t="s">
        <v>2208</v>
      </c>
      <c r="F5816" s="1566"/>
      <c r="G5816" s="1566"/>
      <c r="H5816" s="1568">
        <v>1</v>
      </c>
      <c r="I5816" s="1571">
        <v>30</v>
      </c>
      <c r="J5816" s="1566"/>
      <c r="K5816" s="1565">
        <v>228179.14</v>
      </c>
      <c r="L5816" s="1565">
        <v>228179.14</v>
      </c>
      <c r="M5816" s="1564"/>
      <c r="N5816" s="1565">
        <v>228179.14</v>
      </c>
      <c r="O5816" s="1565">
        <v>205549.78</v>
      </c>
      <c r="P5816" s="1564"/>
      <c r="Q5816" s="1565">
        <v>22629.360000000001</v>
      </c>
      <c r="R5816" s="1565">
        <v>22629.360000000001</v>
      </c>
      <c r="S5816" s="1562"/>
    </row>
    <row r="5817" spans="2:19" ht="21.75" customHeight="1" outlineLevel="1">
      <c r="B5817" s="1569" t="s">
        <v>5782</v>
      </c>
      <c r="C5817" s="1566" t="s">
        <v>2414</v>
      </c>
      <c r="D5817" s="1566" t="s">
        <v>5781</v>
      </c>
      <c r="E5817" s="1566" t="s">
        <v>2208</v>
      </c>
      <c r="F5817" s="1566"/>
      <c r="G5817" s="1566"/>
      <c r="H5817" s="1568">
        <v>1</v>
      </c>
      <c r="I5817" s="1571">
        <v>23</v>
      </c>
      <c r="J5817" s="1566"/>
      <c r="K5817" s="1565">
        <v>237618.88</v>
      </c>
      <c r="L5817" s="1565">
        <v>237618.88</v>
      </c>
      <c r="M5817" s="1564"/>
      <c r="N5817" s="1565">
        <v>237618.88</v>
      </c>
      <c r="O5817" s="1565">
        <v>214053.4</v>
      </c>
      <c r="P5817" s="1564"/>
      <c r="Q5817" s="1565">
        <v>23565.48</v>
      </c>
      <c r="R5817" s="1565">
        <v>23565.48</v>
      </c>
      <c r="S5817" s="1562"/>
    </row>
    <row r="5818" spans="2:19" ht="21.75" customHeight="1" outlineLevel="1">
      <c r="B5818" s="1569" t="s">
        <v>5780</v>
      </c>
      <c r="C5818" s="1566" t="s">
        <v>2414</v>
      </c>
      <c r="D5818" s="1566" t="s">
        <v>5779</v>
      </c>
      <c r="E5818" s="1566" t="s">
        <v>2208</v>
      </c>
      <c r="F5818" s="1566"/>
      <c r="G5818" s="1566"/>
      <c r="H5818" s="1568">
        <v>1</v>
      </c>
      <c r="I5818" s="1571">
        <v>152</v>
      </c>
      <c r="J5818" s="1566"/>
      <c r="K5818" s="1565">
        <v>2223948.4900000002</v>
      </c>
      <c r="L5818" s="1565">
        <v>2223948.4900000002</v>
      </c>
      <c r="M5818" s="1564"/>
      <c r="N5818" s="1565">
        <v>2223948.4900000002</v>
      </c>
      <c r="O5818" s="1565">
        <v>2150022.25</v>
      </c>
      <c r="P5818" s="1564"/>
      <c r="Q5818" s="1565">
        <v>73926.240000000005</v>
      </c>
      <c r="R5818" s="1565">
        <v>73926.240000000005</v>
      </c>
      <c r="S5818" s="1562"/>
    </row>
    <row r="5819" spans="2:19" ht="21.75" customHeight="1" outlineLevel="1">
      <c r="B5819" s="1569" t="s">
        <v>5778</v>
      </c>
      <c r="C5819" s="1566" t="s">
        <v>2414</v>
      </c>
      <c r="D5819" s="1566" t="s">
        <v>5777</v>
      </c>
      <c r="E5819" s="1566" t="s">
        <v>2208</v>
      </c>
      <c r="F5819" s="1566"/>
      <c r="G5819" s="1566"/>
      <c r="H5819" s="1568">
        <v>1</v>
      </c>
      <c r="I5819" s="1567">
        <v>576.87</v>
      </c>
      <c r="J5819" s="1566"/>
      <c r="K5819" s="1565">
        <v>5684586.3300000001</v>
      </c>
      <c r="L5819" s="1565">
        <v>5684586.3300000001</v>
      </c>
      <c r="M5819" s="1564"/>
      <c r="N5819" s="1565">
        <v>5684586.3300000001</v>
      </c>
      <c r="O5819" s="1565">
        <v>5495624.9699999997</v>
      </c>
      <c r="P5819" s="1564"/>
      <c r="Q5819" s="1565">
        <v>188961.36</v>
      </c>
      <c r="R5819" s="1565">
        <v>188961.36</v>
      </c>
      <c r="S5819" s="1562"/>
    </row>
    <row r="5820" spans="2:19" ht="21.75" customHeight="1" outlineLevel="1">
      <c r="B5820" s="1569" t="s">
        <v>5776</v>
      </c>
      <c r="C5820" s="1566" t="s">
        <v>2414</v>
      </c>
      <c r="D5820" s="1566" t="s">
        <v>5775</v>
      </c>
      <c r="E5820" s="1566" t="s">
        <v>2208</v>
      </c>
      <c r="F5820" s="1566"/>
      <c r="G5820" s="1566"/>
      <c r="H5820" s="1568">
        <v>1</v>
      </c>
      <c r="I5820" s="1571">
        <v>6</v>
      </c>
      <c r="J5820" s="1566"/>
      <c r="K5820" s="1565">
        <v>22947.54</v>
      </c>
      <c r="L5820" s="1565">
        <v>22947.54</v>
      </c>
      <c r="M5820" s="1564"/>
      <c r="N5820" s="1565">
        <v>22947.54</v>
      </c>
      <c r="O5820" s="1565">
        <v>20671.740000000002</v>
      </c>
      <c r="P5820" s="1564"/>
      <c r="Q5820" s="1565">
        <v>2275.8000000000002</v>
      </c>
      <c r="R5820" s="1565">
        <v>2275.8000000000002</v>
      </c>
      <c r="S5820" s="1562"/>
    </row>
    <row r="5821" spans="2:19" ht="21.75" customHeight="1" outlineLevel="1">
      <c r="B5821" s="1569" t="s">
        <v>5774</v>
      </c>
      <c r="C5821" s="1566" t="s">
        <v>2411</v>
      </c>
      <c r="D5821" s="1566" t="s">
        <v>5773</v>
      </c>
      <c r="E5821" s="1566" t="s">
        <v>2219</v>
      </c>
      <c r="F5821" s="1566" t="s">
        <v>2409</v>
      </c>
      <c r="G5821" s="1566" t="s">
        <v>5772</v>
      </c>
      <c r="H5821" s="1568">
        <v>1</v>
      </c>
      <c r="I5821" s="1571">
        <v>9</v>
      </c>
      <c r="J5821" s="1566"/>
      <c r="K5821" s="1565">
        <v>29583.5</v>
      </c>
      <c r="L5821" s="1564"/>
      <c r="M5821" s="1565">
        <v>29583.5</v>
      </c>
      <c r="N5821" s="1565">
        <v>29583.5</v>
      </c>
      <c r="O5821" s="1565">
        <v>24159.84</v>
      </c>
      <c r="P5821" s="1564"/>
      <c r="Q5821" s="1565">
        <v>5423.66</v>
      </c>
      <c r="R5821" s="1565">
        <v>5423.66</v>
      </c>
      <c r="S5821" s="1562"/>
    </row>
    <row r="5822" spans="2:19" ht="21.75" customHeight="1" outlineLevel="1">
      <c r="B5822" s="1569" t="s">
        <v>5771</v>
      </c>
      <c r="C5822" s="1566" t="s">
        <v>2411</v>
      </c>
      <c r="D5822" s="1566" t="s">
        <v>5770</v>
      </c>
      <c r="E5822" s="1566" t="s">
        <v>2219</v>
      </c>
      <c r="F5822" s="1566" t="s">
        <v>2409</v>
      </c>
      <c r="G5822" s="1566" t="s">
        <v>5769</v>
      </c>
      <c r="H5822" s="1568">
        <v>1</v>
      </c>
      <c r="I5822" s="1571">
        <v>6</v>
      </c>
      <c r="J5822" s="1566"/>
      <c r="K5822" s="1565">
        <v>19722.34</v>
      </c>
      <c r="L5822" s="1564"/>
      <c r="M5822" s="1565">
        <v>19722.34</v>
      </c>
      <c r="N5822" s="1565">
        <v>19722.34</v>
      </c>
      <c r="O5822" s="1565">
        <v>16106.54</v>
      </c>
      <c r="P5822" s="1564"/>
      <c r="Q5822" s="1565">
        <v>3615.8</v>
      </c>
      <c r="R5822" s="1565">
        <v>3615.8</v>
      </c>
      <c r="S5822" s="1562"/>
    </row>
    <row r="5823" spans="2:19" ht="21.75" customHeight="1" outlineLevel="1">
      <c r="B5823" s="1569" t="s">
        <v>5768</v>
      </c>
      <c r="C5823" s="1566" t="s">
        <v>2411</v>
      </c>
      <c r="D5823" s="1566" t="s">
        <v>5767</v>
      </c>
      <c r="E5823" s="1566" t="s">
        <v>2219</v>
      </c>
      <c r="F5823" s="1566" t="s">
        <v>2409</v>
      </c>
      <c r="G5823" s="1566" t="s">
        <v>5766</v>
      </c>
      <c r="H5823" s="1568">
        <v>1</v>
      </c>
      <c r="I5823" s="1571">
        <v>14</v>
      </c>
      <c r="J5823" s="1566"/>
      <c r="K5823" s="1565">
        <v>40604.81</v>
      </c>
      <c r="L5823" s="1564"/>
      <c r="M5823" s="1565">
        <v>40604.81</v>
      </c>
      <c r="N5823" s="1565">
        <v>40604.81</v>
      </c>
      <c r="O5823" s="1565">
        <v>36882.74</v>
      </c>
      <c r="P5823" s="1564"/>
      <c r="Q5823" s="1565">
        <v>3722.07</v>
      </c>
      <c r="R5823" s="1565">
        <v>3722.07</v>
      </c>
      <c r="S5823" s="1562"/>
    </row>
    <row r="5824" spans="2:19" ht="21.75" customHeight="1" outlineLevel="1">
      <c r="B5824" s="1569" t="s">
        <v>5765</v>
      </c>
      <c r="C5824" s="1566" t="s">
        <v>2411</v>
      </c>
      <c r="D5824" s="1566" t="s">
        <v>5764</v>
      </c>
      <c r="E5824" s="1566" t="s">
        <v>2219</v>
      </c>
      <c r="F5824" s="1566" t="s">
        <v>2409</v>
      </c>
      <c r="G5824" s="1566" t="s">
        <v>5763</v>
      </c>
      <c r="H5824" s="1568">
        <v>1</v>
      </c>
      <c r="I5824" s="1571">
        <v>16</v>
      </c>
      <c r="J5824" s="1566"/>
      <c r="K5824" s="1565">
        <v>52592.9</v>
      </c>
      <c r="L5824" s="1564"/>
      <c r="M5824" s="1565">
        <v>52592.9</v>
      </c>
      <c r="N5824" s="1565">
        <v>52592.9</v>
      </c>
      <c r="O5824" s="1565">
        <v>42950.85</v>
      </c>
      <c r="P5824" s="1564"/>
      <c r="Q5824" s="1565">
        <v>9642.0499999999993</v>
      </c>
      <c r="R5824" s="1565">
        <v>9642.0499999999993</v>
      </c>
      <c r="S5824" s="1562"/>
    </row>
    <row r="5825" spans="2:19" ht="21.75" customHeight="1" outlineLevel="1">
      <c r="B5825" s="1569" t="s">
        <v>5762</v>
      </c>
      <c r="C5825" s="1566" t="s">
        <v>2411</v>
      </c>
      <c r="D5825" s="1566" t="s">
        <v>5761</v>
      </c>
      <c r="E5825" s="1566" t="s">
        <v>2219</v>
      </c>
      <c r="F5825" s="1566" t="s">
        <v>2409</v>
      </c>
      <c r="G5825" s="1566" t="s">
        <v>5760</v>
      </c>
      <c r="H5825" s="1568">
        <v>1</v>
      </c>
      <c r="I5825" s="1571">
        <v>11</v>
      </c>
      <c r="J5825" s="1566"/>
      <c r="K5825" s="1565">
        <v>22497.05</v>
      </c>
      <c r="L5825" s="1564"/>
      <c r="M5825" s="1565">
        <v>22497.05</v>
      </c>
      <c r="N5825" s="1565">
        <v>22497.05</v>
      </c>
      <c r="O5825" s="1565">
        <v>21465.91</v>
      </c>
      <c r="P5825" s="1564"/>
      <c r="Q5825" s="1565">
        <v>1031.1400000000001</v>
      </c>
      <c r="R5825" s="1565">
        <v>1031.1400000000001</v>
      </c>
      <c r="S5825" s="1562"/>
    </row>
    <row r="5826" spans="2:19" ht="21.75" customHeight="1" outlineLevel="1">
      <c r="B5826" s="1569" t="s">
        <v>5759</v>
      </c>
      <c r="C5826" s="1566" t="s">
        <v>2411</v>
      </c>
      <c r="D5826" s="1566" t="s">
        <v>5758</v>
      </c>
      <c r="E5826" s="1566" t="s">
        <v>2219</v>
      </c>
      <c r="F5826" s="1566" t="s">
        <v>2409</v>
      </c>
      <c r="G5826" s="1566" t="s">
        <v>5757</v>
      </c>
      <c r="H5826" s="1568">
        <v>1</v>
      </c>
      <c r="I5826" s="1571">
        <v>59</v>
      </c>
      <c r="J5826" s="1566"/>
      <c r="K5826" s="1565">
        <v>193936.31</v>
      </c>
      <c r="L5826" s="1564"/>
      <c r="M5826" s="1565">
        <v>193936.31</v>
      </c>
      <c r="N5826" s="1565">
        <v>193936.31</v>
      </c>
      <c r="O5826" s="1565">
        <v>158381.34</v>
      </c>
      <c r="P5826" s="1564"/>
      <c r="Q5826" s="1565">
        <v>35554.97</v>
      </c>
      <c r="R5826" s="1565">
        <v>35554.97</v>
      </c>
      <c r="S5826" s="1562"/>
    </row>
    <row r="5827" spans="2:19" ht="21.75" customHeight="1" outlineLevel="1">
      <c r="B5827" s="1569" t="s">
        <v>5756</v>
      </c>
      <c r="C5827" s="1566" t="s">
        <v>2411</v>
      </c>
      <c r="D5827" s="1566" t="s">
        <v>5755</v>
      </c>
      <c r="E5827" s="1566" t="s">
        <v>2219</v>
      </c>
      <c r="F5827" s="1566" t="s">
        <v>2409</v>
      </c>
      <c r="G5827" s="1566" t="s">
        <v>5754</v>
      </c>
      <c r="H5827" s="1568">
        <v>1</v>
      </c>
      <c r="I5827" s="1571">
        <v>16</v>
      </c>
      <c r="J5827" s="1566"/>
      <c r="K5827" s="1565">
        <v>52592.9</v>
      </c>
      <c r="L5827" s="1564"/>
      <c r="M5827" s="1565">
        <v>52592.9</v>
      </c>
      <c r="N5827" s="1565">
        <v>52592.9</v>
      </c>
      <c r="O5827" s="1565">
        <v>42950.85</v>
      </c>
      <c r="P5827" s="1564"/>
      <c r="Q5827" s="1565">
        <v>9642.0499999999993</v>
      </c>
      <c r="R5827" s="1565">
        <v>9642.0499999999993</v>
      </c>
      <c r="S5827" s="1562"/>
    </row>
    <row r="5828" spans="2:19" ht="21.75" customHeight="1" outlineLevel="1">
      <c r="B5828" s="1569" t="s">
        <v>5753</v>
      </c>
      <c r="C5828" s="1566" t="s">
        <v>2411</v>
      </c>
      <c r="D5828" s="1566" t="s">
        <v>5752</v>
      </c>
      <c r="E5828" s="1566" t="s">
        <v>2219</v>
      </c>
      <c r="F5828" s="1566" t="s">
        <v>2409</v>
      </c>
      <c r="G5828" s="1566" t="s">
        <v>2408</v>
      </c>
      <c r="H5828" s="1568">
        <v>1</v>
      </c>
      <c r="I5828" s="1571">
        <v>5</v>
      </c>
      <c r="J5828" s="1566"/>
      <c r="K5828" s="1565">
        <v>14501.72</v>
      </c>
      <c r="L5828" s="1564"/>
      <c r="M5828" s="1565">
        <v>14501.72</v>
      </c>
      <c r="N5828" s="1565">
        <v>14501.72</v>
      </c>
      <c r="O5828" s="1565">
        <v>13172.37</v>
      </c>
      <c r="P5828" s="1564"/>
      <c r="Q5828" s="1565">
        <v>1329.35</v>
      </c>
      <c r="R5828" s="1565">
        <v>1329.35</v>
      </c>
      <c r="S5828" s="1562"/>
    </row>
    <row r="5829" spans="2:19" ht="11.25" customHeight="1" outlineLevel="1">
      <c r="B5829" s="1569" t="s">
        <v>5751</v>
      </c>
      <c r="C5829" s="1566" t="s">
        <v>5748</v>
      </c>
      <c r="D5829" s="1566" t="s">
        <v>5750</v>
      </c>
      <c r="E5829" s="1566" t="s">
        <v>2288</v>
      </c>
      <c r="F5829" s="1566" t="s">
        <v>5746</v>
      </c>
      <c r="G5829" s="1566"/>
      <c r="H5829" s="1566"/>
      <c r="I5829" s="1566"/>
      <c r="J5829" s="1566"/>
      <c r="K5829" s="1565">
        <v>15733.34</v>
      </c>
      <c r="L5829" s="1564"/>
      <c r="M5829" s="1565">
        <v>15733.34</v>
      </c>
      <c r="N5829" s="1565">
        <v>15733.34</v>
      </c>
      <c r="O5829" s="1565">
        <v>12848.92</v>
      </c>
      <c r="P5829" s="1564"/>
      <c r="Q5829" s="1565">
        <v>2884.42</v>
      </c>
      <c r="R5829" s="1565">
        <v>2884.42</v>
      </c>
      <c r="S5829" s="1562"/>
    </row>
    <row r="5830" spans="2:19" ht="11.25" customHeight="1" outlineLevel="1">
      <c r="B5830" s="1569" t="s">
        <v>5749</v>
      </c>
      <c r="C5830" s="1566" t="s">
        <v>5748</v>
      </c>
      <c r="D5830" s="1566" t="s">
        <v>5747</v>
      </c>
      <c r="E5830" s="1566" t="s">
        <v>2288</v>
      </c>
      <c r="F5830" s="1566" t="s">
        <v>5746</v>
      </c>
      <c r="G5830" s="1566"/>
      <c r="H5830" s="1566"/>
      <c r="I5830" s="1566"/>
      <c r="J5830" s="1566"/>
      <c r="K5830" s="1565">
        <v>15733.33</v>
      </c>
      <c r="L5830" s="1564"/>
      <c r="M5830" s="1565">
        <v>15733.33</v>
      </c>
      <c r="N5830" s="1565">
        <v>15733.33</v>
      </c>
      <c r="O5830" s="1565">
        <v>12848.91</v>
      </c>
      <c r="P5830" s="1564"/>
      <c r="Q5830" s="1565">
        <v>2884.42</v>
      </c>
      <c r="R5830" s="1565">
        <v>2884.42</v>
      </c>
      <c r="S5830" s="1562"/>
    </row>
    <row r="5831" spans="2:19" ht="21.75" customHeight="1" outlineLevel="1">
      <c r="B5831" s="1569" t="s">
        <v>5745</v>
      </c>
      <c r="C5831" s="1566" t="s">
        <v>2406</v>
      </c>
      <c r="D5831" s="1566" t="s">
        <v>5744</v>
      </c>
      <c r="E5831" s="1566" t="s">
        <v>2208</v>
      </c>
      <c r="F5831" s="1566"/>
      <c r="G5831" s="1566"/>
      <c r="H5831" s="1568">
        <v>1</v>
      </c>
      <c r="I5831" s="1567">
        <v>9.93</v>
      </c>
      <c r="J5831" s="1566"/>
      <c r="K5831" s="1565">
        <v>231304.83</v>
      </c>
      <c r="L5831" s="1564"/>
      <c r="M5831" s="1565">
        <v>231304.83</v>
      </c>
      <c r="N5831" s="1565">
        <v>231304.83</v>
      </c>
      <c r="O5831" s="1565">
        <v>224256.8</v>
      </c>
      <c r="P5831" s="1564"/>
      <c r="Q5831" s="1565">
        <v>7048.03</v>
      </c>
      <c r="R5831" s="1565">
        <v>7048.03</v>
      </c>
      <c r="S5831" s="1562"/>
    </row>
    <row r="5832" spans="2:19" ht="21.75" customHeight="1" outlineLevel="1">
      <c r="B5832" s="1569" t="s">
        <v>5743</v>
      </c>
      <c r="C5832" s="1566" t="s">
        <v>2406</v>
      </c>
      <c r="D5832" s="1566" t="s">
        <v>5742</v>
      </c>
      <c r="E5832" s="1566" t="s">
        <v>2208</v>
      </c>
      <c r="F5832" s="1566"/>
      <c r="G5832" s="1566"/>
      <c r="H5832" s="1568">
        <v>1</v>
      </c>
      <c r="I5832" s="1567">
        <v>61.67</v>
      </c>
      <c r="J5832" s="1566"/>
      <c r="K5832" s="1565">
        <v>241080.13</v>
      </c>
      <c r="L5832" s="1564"/>
      <c r="M5832" s="1565">
        <v>241080.13</v>
      </c>
      <c r="N5832" s="1565">
        <v>241080.13</v>
      </c>
      <c r="O5832" s="1565">
        <v>233734.22</v>
      </c>
      <c r="P5832" s="1564"/>
      <c r="Q5832" s="1565">
        <v>7345.91</v>
      </c>
      <c r="R5832" s="1565">
        <v>7345.91</v>
      </c>
      <c r="S5832" s="1562"/>
    </row>
    <row r="5833" spans="2:19" ht="21.75" customHeight="1" outlineLevel="1">
      <c r="B5833" s="1569" t="s">
        <v>5741</v>
      </c>
      <c r="C5833" s="1566" t="s">
        <v>2406</v>
      </c>
      <c r="D5833" s="1566" t="s">
        <v>5740</v>
      </c>
      <c r="E5833" s="1566" t="s">
        <v>2208</v>
      </c>
      <c r="F5833" s="1566"/>
      <c r="G5833" s="1566"/>
      <c r="H5833" s="1568">
        <v>1</v>
      </c>
      <c r="I5833" s="1567">
        <v>99.57</v>
      </c>
      <c r="J5833" s="1566"/>
      <c r="K5833" s="1565">
        <v>424853.46</v>
      </c>
      <c r="L5833" s="1564"/>
      <c r="M5833" s="1565">
        <v>424853.46</v>
      </c>
      <c r="N5833" s="1565">
        <v>424853.46</v>
      </c>
      <c r="O5833" s="1565">
        <v>411907.78</v>
      </c>
      <c r="P5833" s="1564"/>
      <c r="Q5833" s="1565">
        <v>12945.68</v>
      </c>
      <c r="R5833" s="1565">
        <v>12945.68</v>
      </c>
      <c r="S5833" s="1562"/>
    </row>
    <row r="5834" spans="2:19" ht="21.75" customHeight="1" outlineLevel="1">
      <c r="B5834" s="1569" t="s">
        <v>5739</v>
      </c>
      <c r="C5834" s="1566" t="s">
        <v>2400</v>
      </c>
      <c r="D5834" s="1566" t="s">
        <v>5738</v>
      </c>
      <c r="E5834" s="1566" t="s">
        <v>2208</v>
      </c>
      <c r="F5834" s="1566"/>
      <c r="G5834" s="1566"/>
      <c r="H5834" s="1568">
        <v>1</v>
      </c>
      <c r="I5834" s="1567">
        <v>19.37</v>
      </c>
      <c r="J5834" s="1566"/>
      <c r="K5834" s="1565">
        <v>214000.84</v>
      </c>
      <c r="L5834" s="1564"/>
      <c r="M5834" s="1565">
        <v>214000.84</v>
      </c>
      <c r="N5834" s="1565">
        <v>214000.84</v>
      </c>
      <c r="O5834" s="1565">
        <v>208072.84</v>
      </c>
      <c r="P5834" s="1564"/>
      <c r="Q5834" s="1565">
        <v>5928</v>
      </c>
      <c r="R5834" s="1565">
        <v>5928</v>
      </c>
      <c r="S5834" s="1562"/>
    </row>
    <row r="5835" spans="2:19" ht="21.75" customHeight="1" outlineLevel="1">
      <c r="B5835" s="1569" t="s">
        <v>5737</v>
      </c>
      <c r="C5835" s="1566" t="s">
        <v>5732</v>
      </c>
      <c r="D5835" s="1566" t="s">
        <v>5736</v>
      </c>
      <c r="E5835" s="1566" t="s">
        <v>2208</v>
      </c>
      <c r="F5835" s="1566"/>
      <c r="G5835" s="1566"/>
      <c r="H5835" s="1568">
        <v>1</v>
      </c>
      <c r="I5835" s="1570">
        <v>2.5</v>
      </c>
      <c r="J5835" s="1566"/>
      <c r="K5835" s="1565">
        <v>113222.36</v>
      </c>
      <c r="L5835" s="1564"/>
      <c r="M5835" s="1565">
        <v>113222.36</v>
      </c>
      <c r="N5835" s="1565">
        <v>113222.36</v>
      </c>
      <c r="O5835" s="1565">
        <v>110399.6</v>
      </c>
      <c r="P5835" s="1564"/>
      <c r="Q5835" s="1565">
        <v>2822.76</v>
      </c>
      <c r="R5835" s="1565">
        <v>2822.76</v>
      </c>
      <c r="S5835" s="1562"/>
    </row>
    <row r="5836" spans="2:19" ht="21.75" customHeight="1" outlineLevel="1">
      <c r="B5836" s="1569" t="s">
        <v>5735</v>
      </c>
      <c r="C5836" s="1566" t="s">
        <v>5732</v>
      </c>
      <c r="D5836" s="1566" t="s">
        <v>5734</v>
      </c>
      <c r="E5836" s="1566" t="s">
        <v>2208</v>
      </c>
      <c r="F5836" s="1566"/>
      <c r="G5836" s="1566"/>
      <c r="H5836" s="1568">
        <v>1</v>
      </c>
      <c r="I5836" s="1567">
        <v>6.41</v>
      </c>
      <c r="J5836" s="1566"/>
      <c r="K5836" s="1565">
        <v>207832.48</v>
      </c>
      <c r="L5836" s="1564"/>
      <c r="M5836" s="1565">
        <v>207832.48</v>
      </c>
      <c r="N5836" s="1565">
        <v>207832.48</v>
      </c>
      <c r="O5836" s="1565">
        <v>202651.09</v>
      </c>
      <c r="P5836" s="1564"/>
      <c r="Q5836" s="1565">
        <v>5181.3900000000003</v>
      </c>
      <c r="R5836" s="1565">
        <v>5181.3900000000003</v>
      </c>
      <c r="S5836" s="1562"/>
    </row>
    <row r="5837" spans="2:19" ht="21.75" customHeight="1" outlineLevel="1">
      <c r="B5837" s="1569" t="s">
        <v>5733</v>
      </c>
      <c r="C5837" s="1566" t="s">
        <v>5732</v>
      </c>
      <c r="D5837" s="1566" t="s">
        <v>5731</v>
      </c>
      <c r="E5837" s="1566" t="s">
        <v>2208</v>
      </c>
      <c r="F5837" s="1566"/>
      <c r="G5837" s="1566"/>
      <c r="H5837" s="1568">
        <v>1</v>
      </c>
      <c r="I5837" s="1570">
        <v>1508.5</v>
      </c>
      <c r="J5837" s="1566"/>
      <c r="K5837" s="1565">
        <v>26518500.449999999</v>
      </c>
      <c r="L5837" s="1564"/>
      <c r="M5837" s="1565">
        <v>26518500.449999999</v>
      </c>
      <c r="N5837" s="1565">
        <v>26518500.449999999</v>
      </c>
      <c r="O5837" s="1565">
        <v>25857374.399999999</v>
      </c>
      <c r="P5837" s="1564"/>
      <c r="Q5837" s="1565">
        <v>661126.05000000005</v>
      </c>
      <c r="R5837" s="1565">
        <v>661126.05000000005</v>
      </c>
      <c r="S5837" s="1562"/>
    </row>
    <row r="5838" spans="2:19" ht="21.75" customHeight="1" outlineLevel="1">
      <c r="B5838" s="1569" t="s">
        <v>5730</v>
      </c>
      <c r="C5838" s="1566" t="s">
        <v>5723</v>
      </c>
      <c r="D5838" s="1566" t="s">
        <v>5729</v>
      </c>
      <c r="E5838" s="1566" t="s">
        <v>2219</v>
      </c>
      <c r="F5838" s="1566" t="s">
        <v>5719</v>
      </c>
      <c r="G5838" s="1566"/>
      <c r="H5838" s="1568">
        <v>1</v>
      </c>
      <c r="I5838" s="1571">
        <v>45</v>
      </c>
      <c r="J5838" s="1566"/>
      <c r="K5838" s="1565">
        <v>156618.54999999999</v>
      </c>
      <c r="L5838" s="1564"/>
      <c r="M5838" s="1565">
        <v>156618.54999999999</v>
      </c>
      <c r="N5838" s="1565">
        <v>156618.54999999999</v>
      </c>
      <c r="O5838" s="1565">
        <v>135736.07</v>
      </c>
      <c r="P5838" s="1564"/>
      <c r="Q5838" s="1565">
        <v>20882.48</v>
      </c>
      <c r="R5838" s="1565">
        <v>20882.48</v>
      </c>
      <c r="S5838" s="1562"/>
    </row>
    <row r="5839" spans="2:19" ht="21.75" customHeight="1" outlineLevel="1">
      <c r="B5839" s="1569" t="s">
        <v>5728</v>
      </c>
      <c r="C5839" s="1566" t="s">
        <v>5723</v>
      </c>
      <c r="D5839" s="1566" t="s">
        <v>5727</v>
      </c>
      <c r="E5839" s="1566" t="s">
        <v>2219</v>
      </c>
      <c r="F5839" s="1566" t="s">
        <v>5719</v>
      </c>
      <c r="G5839" s="1566"/>
      <c r="H5839" s="1568">
        <v>1</v>
      </c>
      <c r="I5839" s="1571">
        <v>11</v>
      </c>
      <c r="J5839" s="1566"/>
      <c r="K5839" s="1565">
        <v>34030.699999999997</v>
      </c>
      <c r="L5839" s="1564"/>
      <c r="M5839" s="1565">
        <v>34030.699999999997</v>
      </c>
      <c r="N5839" s="1565">
        <v>34030.699999999997</v>
      </c>
      <c r="O5839" s="1565">
        <v>31761.98</v>
      </c>
      <c r="P5839" s="1564"/>
      <c r="Q5839" s="1565">
        <v>2268.7199999999998</v>
      </c>
      <c r="R5839" s="1565">
        <v>2268.7199999999998</v>
      </c>
      <c r="S5839" s="1562"/>
    </row>
    <row r="5840" spans="2:19" ht="21.75" customHeight="1" outlineLevel="1">
      <c r="B5840" s="1569" t="s">
        <v>5726</v>
      </c>
      <c r="C5840" s="1566" t="s">
        <v>5723</v>
      </c>
      <c r="D5840" s="1566" t="s">
        <v>5725</v>
      </c>
      <c r="E5840" s="1566" t="s">
        <v>2219</v>
      </c>
      <c r="F5840" s="1566" t="s">
        <v>5719</v>
      </c>
      <c r="G5840" s="1566"/>
      <c r="H5840" s="1568">
        <v>1</v>
      </c>
      <c r="I5840" s="1571">
        <v>13</v>
      </c>
      <c r="J5840" s="1566"/>
      <c r="K5840" s="1565">
        <v>40218.1</v>
      </c>
      <c r="L5840" s="1564"/>
      <c r="M5840" s="1565">
        <v>40218.1</v>
      </c>
      <c r="N5840" s="1565">
        <v>40218.1</v>
      </c>
      <c r="O5840" s="1565">
        <v>37536.9</v>
      </c>
      <c r="P5840" s="1564"/>
      <c r="Q5840" s="1565">
        <v>2681.2</v>
      </c>
      <c r="R5840" s="1565">
        <v>2681.2</v>
      </c>
      <c r="S5840" s="1562"/>
    </row>
    <row r="5841" spans="2:19" ht="21.75" customHeight="1" outlineLevel="1">
      <c r="B5841" s="1569" t="s">
        <v>5724</v>
      </c>
      <c r="C5841" s="1566" t="s">
        <v>5723</v>
      </c>
      <c r="D5841" s="1566" t="s">
        <v>5722</v>
      </c>
      <c r="E5841" s="1566" t="s">
        <v>2219</v>
      </c>
      <c r="F5841" s="1566" t="s">
        <v>5719</v>
      </c>
      <c r="G5841" s="1566"/>
      <c r="H5841" s="1568">
        <v>1</v>
      </c>
      <c r="I5841" s="1571">
        <v>12</v>
      </c>
      <c r="J5841" s="1566"/>
      <c r="K5841" s="1565">
        <v>37124.400000000001</v>
      </c>
      <c r="L5841" s="1564"/>
      <c r="M5841" s="1565">
        <v>37124.400000000001</v>
      </c>
      <c r="N5841" s="1565">
        <v>37124.400000000001</v>
      </c>
      <c r="O5841" s="1565">
        <v>34649.440000000002</v>
      </c>
      <c r="P5841" s="1564"/>
      <c r="Q5841" s="1565">
        <v>2474.96</v>
      </c>
      <c r="R5841" s="1565">
        <v>2474.96</v>
      </c>
      <c r="S5841" s="1562"/>
    </row>
    <row r="5842" spans="2:19" ht="21.75" customHeight="1" outlineLevel="1">
      <c r="B5842" s="1569" t="s">
        <v>5721</v>
      </c>
      <c r="C5842" s="1566" t="s">
        <v>2386</v>
      </c>
      <c r="D5842" s="1566" t="s">
        <v>5720</v>
      </c>
      <c r="E5842" s="1566" t="s">
        <v>2219</v>
      </c>
      <c r="F5842" s="1566" t="s">
        <v>5719</v>
      </c>
      <c r="G5842" s="1566"/>
      <c r="H5842" s="1568">
        <v>1</v>
      </c>
      <c r="I5842" s="1571">
        <v>114</v>
      </c>
      <c r="J5842" s="1566"/>
      <c r="K5842" s="1565">
        <v>2519.67</v>
      </c>
      <c r="L5842" s="1564"/>
      <c r="M5842" s="1565">
        <v>2519.67</v>
      </c>
      <c r="N5842" s="1565">
        <v>2519.67</v>
      </c>
      <c r="O5842" s="1565">
        <v>2183.7399999999998</v>
      </c>
      <c r="P5842" s="1564"/>
      <c r="Q5842" s="1572">
        <v>335.93</v>
      </c>
      <c r="R5842" s="1572">
        <v>335.93</v>
      </c>
      <c r="S5842" s="1562"/>
    </row>
    <row r="5843" spans="2:19" ht="11.25" customHeight="1" outlineLevel="1">
      <c r="B5843" s="1569" t="s">
        <v>5718</v>
      </c>
      <c r="C5843" s="1566" t="s">
        <v>2386</v>
      </c>
      <c r="D5843" s="1566" t="s">
        <v>5717</v>
      </c>
      <c r="E5843" s="1566" t="s">
        <v>2219</v>
      </c>
      <c r="F5843" s="1566" t="s">
        <v>2388</v>
      </c>
      <c r="G5843" s="1566"/>
      <c r="H5843" s="1568">
        <v>1</v>
      </c>
      <c r="I5843" s="1571">
        <v>22</v>
      </c>
      <c r="J5843" s="1566"/>
      <c r="K5843" s="1565">
        <v>63807.48</v>
      </c>
      <c r="L5843" s="1564"/>
      <c r="M5843" s="1565">
        <v>63807.48</v>
      </c>
      <c r="N5843" s="1565">
        <v>63807.48</v>
      </c>
      <c r="O5843" s="1565">
        <v>60404.44</v>
      </c>
      <c r="P5843" s="1564"/>
      <c r="Q5843" s="1565">
        <v>3403.04</v>
      </c>
      <c r="R5843" s="1565">
        <v>3403.04</v>
      </c>
      <c r="S5843" s="1562"/>
    </row>
    <row r="5844" spans="2:19" ht="21.75" customHeight="1" outlineLevel="1">
      <c r="B5844" s="1569" t="s">
        <v>5716</v>
      </c>
      <c r="C5844" s="1566" t="s">
        <v>2386</v>
      </c>
      <c r="D5844" s="1566" t="s">
        <v>5715</v>
      </c>
      <c r="E5844" s="1566" t="s">
        <v>2219</v>
      </c>
      <c r="F5844" s="1566" t="s">
        <v>2388</v>
      </c>
      <c r="G5844" s="1566"/>
      <c r="H5844" s="1568">
        <v>1</v>
      </c>
      <c r="I5844" s="1571">
        <v>757</v>
      </c>
      <c r="J5844" s="1566"/>
      <c r="K5844" s="1565">
        <v>766052.96</v>
      </c>
      <c r="L5844" s="1564"/>
      <c r="M5844" s="1565">
        <v>991053.98</v>
      </c>
      <c r="N5844" s="1565">
        <v>991053.98</v>
      </c>
      <c r="O5844" s="1565">
        <v>974030.62</v>
      </c>
      <c r="P5844" s="1564"/>
      <c r="Q5844" s="1565">
        <v>17023.36</v>
      </c>
      <c r="R5844" s="1565">
        <v>17023.36</v>
      </c>
      <c r="S5844" s="1562"/>
    </row>
    <row r="5845" spans="2:19" ht="11.25" customHeight="1" outlineLevel="1">
      <c r="B5845" s="1569" t="s">
        <v>5714</v>
      </c>
      <c r="C5845" s="1566" t="s">
        <v>2386</v>
      </c>
      <c r="D5845" s="1566" t="s">
        <v>5713</v>
      </c>
      <c r="E5845" s="1566" t="s">
        <v>2219</v>
      </c>
      <c r="F5845" s="1566" t="s">
        <v>2388</v>
      </c>
      <c r="G5845" s="1566"/>
      <c r="H5845" s="1568">
        <v>1</v>
      </c>
      <c r="I5845" s="1571">
        <v>135</v>
      </c>
      <c r="J5845" s="1566"/>
      <c r="K5845" s="1565">
        <v>391545.9</v>
      </c>
      <c r="L5845" s="1564"/>
      <c r="M5845" s="1565">
        <v>391545.9</v>
      </c>
      <c r="N5845" s="1565">
        <v>391545.9</v>
      </c>
      <c r="O5845" s="1565">
        <v>370663.42</v>
      </c>
      <c r="P5845" s="1564"/>
      <c r="Q5845" s="1565">
        <v>20882.48</v>
      </c>
      <c r="R5845" s="1565">
        <v>20882.48</v>
      </c>
      <c r="S5845" s="1562"/>
    </row>
    <row r="5846" spans="2:19" ht="21.75" customHeight="1" outlineLevel="1">
      <c r="B5846" s="1569" t="s">
        <v>5712</v>
      </c>
      <c r="C5846" s="1566" t="s">
        <v>2386</v>
      </c>
      <c r="D5846" s="1566" t="s">
        <v>5711</v>
      </c>
      <c r="E5846" s="1566" t="s">
        <v>2208</v>
      </c>
      <c r="F5846" s="1566"/>
      <c r="G5846" s="1566"/>
      <c r="H5846" s="1568">
        <v>1</v>
      </c>
      <c r="I5846" s="1567">
        <v>15.31</v>
      </c>
      <c r="J5846" s="1566"/>
      <c r="K5846" s="1565">
        <v>275123.11</v>
      </c>
      <c r="L5846" s="1564"/>
      <c r="M5846" s="1565">
        <v>275123.11</v>
      </c>
      <c r="N5846" s="1565">
        <v>275123.11</v>
      </c>
      <c r="O5846" s="1565">
        <v>269026.23</v>
      </c>
      <c r="P5846" s="1564"/>
      <c r="Q5846" s="1565">
        <v>6096.88</v>
      </c>
      <c r="R5846" s="1565">
        <v>6096.88</v>
      </c>
      <c r="S5846" s="1562"/>
    </row>
    <row r="5847" spans="2:19" ht="21.75" customHeight="1" outlineLevel="1">
      <c r="B5847" s="1569" t="s">
        <v>5710</v>
      </c>
      <c r="C5847" s="1566" t="s">
        <v>2386</v>
      </c>
      <c r="D5847" s="1566" t="s">
        <v>5709</v>
      </c>
      <c r="E5847" s="1566" t="s">
        <v>2208</v>
      </c>
      <c r="F5847" s="1566"/>
      <c r="G5847" s="1566"/>
      <c r="H5847" s="1568">
        <v>1</v>
      </c>
      <c r="I5847" s="1567">
        <v>6.17</v>
      </c>
      <c r="J5847" s="1566"/>
      <c r="K5847" s="1565">
        <v>46999.28</v>
      </c>
      <c r="L5847" s="1564"/>
      <c r="M5847" s="1565">
        <v>46999.28</v>
      </c>
      <c r="N5847" s="1565">
        <v>46999.28</v>
      </c>
      <c r="O5847" s="1565">
        <v>45957.760000000002</v>
      </c>
      <c r="P5847" s="1564"/>
      <c r="Q5847" s="1565">
        <v>1041.52</v>
      </c>
      <c r="R5847" s="1565">
        <v>1041.52</v>
      </c>
      <c r="S5847" s="1562"/>
    </row>
    <row r="5848" spans="2:19" ht="21.75" customHeight="1" outlineLevel="1">
      <c r="B5848" s="1569" t="s">
        <v>5708</v>
      </c>
      <c r="C5848" s="1566" t="s">
        <v>2386</v>
      </c>
      <c r="D5848" s="1566" t="s">
        <v>5707</v>
      </c>
      <c r="E5848" s="1566" t="s">
        <v>2208</v>
      </c>
      <c r="F5848" s="1566"/>
      <c r="G5848" s="1566"/>
      <c r="H5848" s="1568">
        <v>1</v>
      </c>
      <c r="I5848" s="1566"/>
      <c r="J5848" s="1566"/>
      <c r="K5848" s="1565">
        <v>145458.23999999999</v>
      </c>
      <c r="L5848" s="1564"/>
      <c r="M5848" s="1565">
        <v>145458.23999999999</v>
      </c>
      <c r="N5848" s="1565">
        <v>145458.23999999999</v>
      </c>
      <c r="O5848" s="1565">
        <v>142234.79999999999</v>
      </c>
      <c r="P5848" s="1564"/>
      <c r="Q5848" s="1565">
        <v>3223.44</v>
      </c>
      <c r="R5848" s="1565">
        <v>3223.44</v>
      </c>
      <c r="S5848" s="1562"/>
    </row>
    <row r="5849" spans="2:19" ht="21.75" customHeight="1" outlineLevel="1">
      <c r="B5849" s="1569" t="s">
        <v>5706</v>
      </c>
      <c r="C5849" s="1566" t="s">
        <v>2383</v>
      </c>
      <c r="D5849" s="1566" t="s">
        <v>5705</v>
      </c>
      <c r="E5849" s="1566" t="s">
        <v>2208</v>
      </c>
      <c r="F5849" s="1566"/>
      <c r="G5849" s="1566"/>
      <c r="H5849" s="1568">
        <v>1</v>
      </c>
      <c r="I5849" s="1567">
        <v>115.38</v>
      </c>
      <c r="J5849" s="1566"/>
      <c r="K5849" s="1565">
        <v>436301.63</v>
      </c>
      <c r="L5849" s="1564"/>
      <c r="M5849" s="1565">
        <v>436301.63</v>
      </c>
      <c r="N5849" s="1565">
        <v>436301.63</v>
      </c>
      <c r="O5849" s="1565">
        <v>427841.5</v>
      </c>
      <c r="P5849" s="1564"/>
      <c r="Q5849" s="1565">
        <v>8460.1299999999992</v>
      </c>
      <c r="R5849" s="1565">
        <v>8460.1299999999992</v>
      </c>
      <c r="S5849" s="1562"/>
    </row>
    <row r="5850" spans="2:19" ht="21.75" customHeight="1" outlineLevel="1">
      <c r="B5850" s="1569" t="s">
        <v>5704</v>
      </c>
      <c r="C5850" s="1566" t="s">
        <v>2383</v>
      </c>
      <c r="D5850" s="1566" t="s">
        <v>5703</v>
      </c>
      <c r="E5850" s="1566" t="s">
        <v>2208</v>
      </c>
      <c r="F5850" s="1566"/>
      <c r="G5850" s="1566"/>
      <c r="H5850" s="1568">
        <v>1</v>
      </c>
      <c r="I5850" s="1567">
        <v>22.46</v>
      </c>
      <c r="J5850" s="1566"/>
      <c r="K5850" s="1565">
        <v>200180.37</v>
      </c>
      <c r="L5850" s="1564"/>
      <c r="M5850" s="1565">
        <v>200180.37</v>
      </c>
      <c r="N5850" s="1565">
        <v>200180.37</v>
      </c>
      <c r="O5850" s="1565">
        <v>196298.73</v>
      </c>
      <c r="P5850" s="1564"/>
      <c r="Q5850" s="1565">
        <v>3881.64</v>
      </c>
      <c r="R5850" s="1565">
        <v>3881.64</v>
      </c>
      <c r="S5850" s="1562"/>
    </row>
    <row r="5851" spans="2:19" ht="21.75" customHeight="1" outlineLevel="1">
      <c r="B5851" s="1569" t="s">
        <v>5702</v>
      </c>
      <c r="C5851" s="1566" t="s">
        <v>2383</v>
      </c>
      <c r="D5851" s="1566" t="s">
        <v>5701</v>
      </c>
      <c r="E5851" s="1566" t="s">
        <v>2208</v>
      </c>
      <c r="F5851" s="1566"/>
      <c r="G5851" s="1566"/>
      <c r="H5851" s="1568">
        <v>1</v>
      </c>
      <c r="I5851" s="1567">
        <v>53.02</v>
      </c>
      <c r="J5851" s="1566"/>
      <c r="K5851" s="1565">
        <v>88485.21</v>
      </c>
      <c r="L5851" s="1564"/>
      <c r="M5851" s="1565">
        <v>88485.21</v>
      </c>
      <c r="N5851" s="1565">
        <v>88485.21</v>
      </c>
      <c r="O5851" s="1565">
        <v>86769.44</v>
      </c>
      <c r="P5851" s="1564"/>
      <c r="Q5851" s="1565">
        <v>1715.77</v>
      </c>
      <c r="R5851" s="1565">
        <v>1715.77</v>
      </c>
      <c r="S5851" s="1562"/>
    </row>
    <row r="5852" spans="2:19" ht="11.25" customHeight="1" outlineLevel="1">
      <c r="B5852" s="1569" t="s">
        <v>5700</v>
      </c>
      <c r="C5852" s="1566" t="s">
        <v>2383</v>
      </c>
      <c r="D5852" s="1566" t="s">
        <v>5699</v>
      </c>
      <c r="E5852" s="1566" t="s">
        <v>2208</v>
      </c>
      <c r="F5852" s="1566"/>
      <c r="G5852" s="1566"/>
      <c r="H5852" s="1568">
        <v>1</v>
      </c>
      <c r="I5852" s="1571">
        <v>5</v>
      </c>
      <c r="J5852" s="1566"/>
      <c r="K5852" s="1565">
        <v>155474.91</v>
      </c>
      <c r="L5852" s="1564"/>
      <c r="M5852" s="1565">
        <v>155474.91</v>
      </c>
      <c r="N5852" s="1565">
        <v>155474.91</v>
      </c>
      <c r="O5852" s="1565">
        <v>152460.15</v>
      </c>
      <c r="P5852" s="1564"/>
      <c r="Q5852" s="1565">
        <v>3014.76</v>
      </c>
      <c r="R5852" s="1565">
        <v>3014.76</v>
      </c>
      <c r="S5852" s="1562"/>
    </row>
    <row r="5853" spans="2:19" ht="11.25" customHeight="1" outlineLevel="1">
      <c r="B5853" s="1569" t="s">
        <v>5698</v>
      </c>
      <c r="C5853" s="1566" t="s">
        <v>2359</v>
      </c>
      <c r="D5853" s="1566" t="s">
        <v>5697</v>
      </c>
      <c r="E5853" s="1566"/>
      <c r="F5853" s="1566"/>
      <c r="G5853" s="1566"/>
      <c r="H5853" s="1568">
        <v>1</v>
      </c>
      <c r="I5853" s="1566"/>
      <c r="J5853" s="1566"/>
      <c r="K5853" s="1565">
        <v>269367.51</v>
      </c>
      <c r="L5853" s="1564"/>
      <c r="M5853" s="1565">
        <v>269367.51</v>
      </c>
      <c r="N5853" s="1565">
        <v>269367.51</v>
      </c>
      <c r="O5853" s="1565">
        <v>266198.49</v>
      </c>
      <c r="P5853" s="1564"/>
      <c r="Q5853" s="1565">
        <v>3169.02</v>
      </c>
      <c r="R5853" s="1565">
        <v>3169.02</v>
      </c>
      <c r="S5853" s="1562"/>
    </row>
    <row r="5854" spans="2:19" ht="11.25" customHeight="1" outlineLevel="1">
      <c r="B5854" s="1569" t="s">
        <v>5696</v>
      </c>
      <c r="C5854" s="1566" t="s">
        <v>2359</v>
      </c>
      <c r="D5854" s="1566" t="s">
        <v>5695</v>
      </c>
      <c r="E5854" s="1566"/>
      <c r="F5854" s="1566"/>
      <c r="G5854" s="1566"/>
      <c r="H5854" s="1566"/>
      <c r="I5854" s="1566"/>
      <c r="J5854" s="1566"/>
      <c r="K5854" s="1565">
        <v>6090.71</v>
      </c>
      <c r="L5854" s="1564"/>
      <c r="M5854" s="1565">
        <v>6090.71</v>
      </c>
      <c r="N5854" s="1565">
        <v>6090.71</v>
      </c>
      <c r="O5854" s="1565">
        <v>5684.69</v>
      </c>
      <c r="P5854" s="1564"/>
      <c r="Q5854" s="1572">
        <v>406.02</v>
      </c>
      <c r="R5854" s="1572">
        <v>406.02</v>
      </c>
      <c r="S5854" s="1562"/>
    </row>
    <row r="5855" spans="2:19" ht="11.25" customHeight="1" outlineLevel="1">
      <c r="B5855" s="1569" t="s">
        <v>5694</v>
      </c>
      <c r="C5855" s="1566" t="s">
        <v>2359</v>
      </c>
      <c r="D5855" s="1566" t="s">
        <v>5693</v>
      </c>
      <c r="E5855" s="1566"/>
      <c r="F5855" s="1566"/>
      <c r="G5855" s="1566"/>
      <c r="H5855" s="1568">
        <v>1</v>
      </c>
      <c r="I5855" s="1566"/>
      <c r="J5855" s="1566"/>
      <c r="K5855" s="1565">
        <v>72434.960000000006</v>
      </c>
      <c r="L5855" s="1564"/>
      <c r="M5855" s="1565">
        <v>72434.960000000006</v>
      </c>
      <c r="N5855" s="1565">
        <v>72434.960000000006</v>
      </c>
      <c r="O5855" s="1565">
        <v>71582.78</v>
      </c>
      <c r="P5855" s="1564"/>
      <c r="Q5855" s="1572">
        <v>852.18</v>
      </c>
      <c r="R5855" s="1572">
        <v>852.18</v>
      </c>
      <c r="S5855" s="1562"/>
    </row>
    <row r="5856" spans="2:19" ht="21.75" customHeight="1" outlineLevel="1">
      <c r="B5856" s="1569" t="s">
        <v>5692</v>
      </c>
      <c r="C5856" s="1566" t="s">
        <v>2359</v>
      </c>
      <c r="D5856" s="1566" t="s">
        <v>5691</v>
      </c>
      <c r="E5856" s="1566"/>
      <c r="F5856" s="1566"/>
      <c r="G5856" s="1566"/>
      <c r="H5856" s="1568">
        <v>1</v>
      </c>
      <c r="I5856" s="1566"/>
      <c r="J5856" s="1566"/>
      <c r="K5856" s="1565">
        <v>324748.18</v>
      </c>
      <c r="L5856" s="1564"/>
      <c r="M5856" s="1565">
        <v>324748.18</v>
      </c>
      <c r="N5856" s="1565">
        <v>324748.18</v>
      </c>
      <c r="O5856" s="1565">
        <v>320319.82</v>
      </c>
      <c r="P5856" s="1564"/>
      <c r="Q5856" s="1565">
        <v>4428.3599999999997</v>
      </c>
      <c r="R5856" s="1565">
        <v>4428.3599999999997</v>
      </c>
      <c r="S5856" s="1562"/>
    </row>
    <row r="5857" spans="2:19" ht="11.25" customHeight="1" outlineLevel="1">
      <c r="B5857" s="1569" t="s">
        <v>5690</v>
      </c>
      <c r="C5857" s="1566" t="s">
        <v>2359</v>
      </c>
      <c r="D5857" s="1566" t="s">
        <v>5689</v>
      </c>
      <c r="E5857" s="1566"/>
      <c r="F5857" s="1566"/>
      <c r="G5857" s="1566"/>
      <c r="H5857" s="1568">
        <v>1</v>
      </c>
      <c r="I5857" s="1566"/>
      <c r="J5857" s="1566"/>
      <c r="K5857" s="1565">
        <v>35449.89</v>
      </c>
      <c r="L5857" s="1564"/>
      <c r="M5857" s="1565">
        <v>35449.89</v>
      </c>
      <c r="N5857" s="1565">
        <v>35449.89</v>
      </c>
      <c r="O5857" s="1565">
        <v>33234.269999999997</v>
      </c>
      <c r="P5857" s="1564"/>
      <c r="Q5857" s="1565">
        <v>2215.62</v>
      </c>
      <c r="R5857" s="1565">
        <v>2215.62</v>
      </c>
      <c r="S5857" s="1562"/>
    </row>
    <row r="5858" spans="2:19" ht="21.75" customHeight="1" outlineLevel="1">
      <c r="B5858" s="1569" t="s">
        <v>5688</v>
      </c>
      <c r="C5858" s="1566" t="s">
        <v>2359</v>
      </c>
      <c r="D5858" s="1566" t="s">
        <v>5687</v>
      </c>
      <c r="E5858" s="1566"/>
      <c r="F5858" s="1566"/>
      <c r="G5858" s="1566"/>
      <c r="H5858" s="1568">
        <v>1</v>
      </c>
      <c r="I5858" s="1566"/>
      <c r="J5858" s="1566"/>
      <c r="K5858" s="1565">
        <v>367500.9</v>
      </c>
      <c r="L5858" s="1564"/>
      <c r="M5858" s="1565">
        <v>367500.9</v>
      </c>
      <c r="N5858" s="1565">
        <v>367500.9</v>
      </c>
      <c r="O5858" s="1565">
        <v>362600.88</v>
      </c>
      <c r="P5858" s="1564"/>
      <c r="Q5858" s="1565">
        <v>4900.0200000000004</v>
      </c>
      <c r="R5858" s="1565">
        <v>4900.0200000000004</v>
      </c>
      <c r="S5858" s="1562"/>
    </row>
    <row r="5859" spans="2:19" ht="11.25" customHeight="1" outlineLevel="1">
      <c r="B5859" s="1569" t="s">
        <v>5686</v>
      </c>
      <c r="C5859" s="1566" t="s">
        <v>2359</v>
      </c>
      <c r="D5859" s="1566" t="s">
        <v>5685</v>
      </c>
      <c r="E5859" s="1566"/>
      <c r="F5859" s="1566"/>
      <c r="G5859" s="1566"/>
      <c r="H5859" s="1566"/>
      <c r="I5859" s="1566"/>
      <c r="J5859" s="1566"/>
      <c r="K5859" s="1565">
        <v>10557.24</v>
      </c>
      <c r="L5859" s="1564"/>
      <c r="M5859" s="1565">
        <v>10557.24</v>
      </c>
      <c r="N5859" s="1565">
        <v>10557.24</v>
      </c>
      <c r="O5859" s="1565">
        <v>9853.44</v>
      </c>
      <c r="P5859" s="1564"/>
      <c r="Q5859" s="1572">
        <v>703.8</v>
      </c>
      <c r="R5859" s="1572">
        <v>703.8</v>
      </c>
      <c r="S5859" s="1562"/>
    </row>
    <row r="5860" spans="2:19" ht="21.75" customHeight="1" outlineLevel="1">
      <c r="B5860" s="1569" t="s">
        <v>5684</v>
      </c>
      <c r="C5860" s="1566" t="s">
        <v>2354</v>
      </c>
      <c r="D5860" s="1566" t="s">
        <v>5683</v>
      </c>
      <c r="E5860" s="1566" t="s">
        <v>2208</v>
      </c>
      <c r="F5860" s="1566"/>
      <c r="G5860" s="1566"/>
      <c r="H5860" s="1568">
        <v>1</v>
      </c>
      <c r="I5860" s="1567">
        <v>13.43</v>
      </c>
      <c r="J5860" s="1566"/>
      <c r="K5860" s="1565">
        <v>120316.86</v>
      </c>
      <c r="L5860" s="1564"/>
      <c r="M5860" s="1565">
        <v>120316.86</v>
      </c>
      <c r="N5860" s="1565">
        <v>120316.86</v>
      </c>
      <c r="O5860" s="1565">
        <v>118317.12</v>
      </c>
      <c r="P5860" s="1564"/>
      <c r="Q5860" s="1565">
        <v>1999.74</v>
      </c>
      <c r="R5860" s="1565">
        <v>1999.74</v>
      </c>
      <c r="S5860" s="1562"/>
    </row>
    <row r="5861" spans="2:19" ht="21.75" customHeight="1" outlineLevel="1">
      <c r="B5861" s="1569" t="s">
        <v>5682</v>
      </c>
      <c r="C5861" s="1566" t="s">
        <v>2354</v>
      </c>
      <c r="D5861" s="1566" t="s">
        <v>5681</v>
      </c>
      <c r="E5861" s="1566" t="s">
        <v>2208</v>
      </c>
      <c r="F5861" s="1566"/>
      <c r="G5861" s="1566"/>
      <c r="H5861" s="1568">
        <v>1</v>
      </c>
      <c r="I5861" s="1567">
        <v>2.41</v>
      </c>
      <c r="J5861" s="1566"/>
      <c r="K5861" s="1565">
        <v>94631.38</v>
      </c>
      <c r="L5861" s="1564"/>
      <c r="M5861" s="1565">
        <v>94631.38</v>
      </c>
      <c r="N5861" s="1565">
        <v>94631.38</v>
      </c>
      <c r="O5861" s="1565">
        <v>93058.54</v>
      </c>
      <c r="P5861" s="1564"/>
      <c r="Q5861" s="1565">
        <v>1572.84</v>
      </c>
      <c r="R5861" s="1565">
        <v>1572.84</v>
      </c>
      <c r="S5861" s="1562"/>
    </row>
    <row r="5862" spans="2:19" ht="21.75" customHeight="1" outlineLevel="1">
      <c r="B5862" s="1569" t="s">
        <v>5680</v>
      </c>
      <c r="C5862" s="1566" t="s">
        <v>2354</v>
      </c>
      <c r="D5862" s="1566" t="s">
        <v>5679</v>
      </c>
      <c r="E5862" s="1566" t="s">
        <v>2208</v>
      </c>
      <c r="F5862" s="1566"/>
      <c r="G5862" s="1566"/>
      <c r="H5862" s="1568">
        <v>1</v>
      </c>
      <c r="I5862" s="1567">
        <v>58.69</v>
      </c>
      <c r="J5862" s="1566"/>
      <c r="K5862" s="1565">
        <v>178940.15</v>
      </c>
      <c r="L5862" s="1564"/>
      <c r="M5862" s="1565">
        <v>178940.15</v>
      </c>
      <c r="N5862" s="1565">
        <v>178940.15</v>
      </c>
      <c r="O5862" s="1565">
        <v>175966.07</v>
      </c>
      <c r="P5862" s="1564"/>
      <c r="Q5862" s="1565">
        <v>2974.08</v>
      </c>
      <c r="R5862" s="1565">
        <v>2974.08</v>
      </c>
      <c r="S5862" s="1562"/>
    </row>
    <row r="5863" spans="2:19" ht="21.75" customHeight="1" outlineLevel="1">
      <c r="B5863" s="1569" t="s">
        <v>5678</v>
      </c>
      <c r="C5863" s="1566" t="s">
        <v>2354</v>
      </c>
      <c r="D5863" s="1566" t="s">
        <v>5677</v>
      </c>
      <c r="E5863" s="1566" t="s">
        <v>2208</v>
      </c>
      <c r="F5863" s="1566"/>
      <c r="G5863" s="1566"/>
      <c r="H5863" s="1568">
        <v>1</v>
      </c>
      <c r="I5863" s="1567">
        <v>10.61</v>
      </c>
      <c r="J5863" s="1566"/>
      <c r="K5863" s="1565">
        <v>413957.56</v>
      </c>
      <c r="L5863" s="1564"/>
      <c r="M5863" s="1565">
        <v>413957.56</v>
      </c>
      <c r="N5863" s="1565">
        <v>413957.56</v>
      </c>
      <c r="O5863" s="1565">
        <v>407077.36</v>
      </c>
      <c r="P5863" s="1564"/>
      <c r="Q5863" s="1565">
        <v>6880.2</v>
      </c>
      <c r="R5863" s="1565">
        <v>6880.2</v>
      </c>
      <c r="S5863" s="1562"/>
    </row>
    <row r="5864" spans="2:19" ht="21.75" customHeight="1" outlineLevel="1">
      <c r="B5864" s="1569" t="s">
        <v>5676</v>
      </c>
      <c r="C5864" s="1566" t="s">
        <v>2343</v>
      </c>
      <c r="D5864" s="1566" t="s">
        <v>5675</v>
      </c>
      <c r="E5864" s="1566" t="s">
        <v>2219</v>
      </c>
      <c r="F5864" s="1566" t="s">
        <v>5672</v>
      </c>
      <c r="G5864" s="1566" t="s">
        <v>2345</v>
      </c>
      <c r="H5864" s="1568">
        <v>1</v>
      </c>
      <c r="I5864" s="1571">
        <v>163</v>
      </c>
      <c r="J5864" s="1566"/>
      <c r="K5864" s="1565">
        <v>45160.92</v>
      </c>
      <c r="L5864" s="1564"/>
      <c r="M5864" s="1565">
        <v>45160.92</v>
      </c>
      <c r="N5864" s="1565">
        <v>45160.92</v>
      </c>
      <c r="O5864" s="1565">
        <v>44751.87</v>
      </c>
      <c r="P5864" s="1564"/>
      <c r="Q5864" s="1572">
        <v>409.05</v>
      </c>
      <c r="R5864" s="1572">
        <v>409.05</v>
      </c>
      <c r="S5864" s="1562"/>
    </row>
    <row r="5865" spans="2:19" ht="21.75" customHeight="1" outlineLevel="1">
      <c r="B5865" s="1569" t="s">
        <v>5674</v>
      </c>
      <c r="C5865" s="1566" t="s">
        <v>2343</v>
      </c>
      <c r="D5865" s="1566" t="s">
        <v>5673</v>
      </c>
      <c r="E5865" s="1566" t="s">
        <v>2219</v>
      </c>
      <c r="F5865" s="1566" t="s">
        <v>5672</v>
      </c>
      <c r="G5865" s="1566" t="s">
        <v>2340</v>
      </c>
      <c r="H5865" s="1568">
        <v>1</v>
      </c>
      <c r="I5865" s="1571">
        <v>240</v>
      </c>
      <c r="J5865" s="1566"/>
      <c r="K5865" s="1565">
        <v>81854.16</v>
      </c>
      <c r="L5865" s="1564"/>
      <c r="M5865" s="1565">
        <v>81854.16</v>
      </c>
      <c r="N5865" s="1565">
        <v>81854.16</v>
      </c>
      <c r="O5865" s="1565">
        <v>81112.710000000006</v>
      </c>
      <c r="P5865" s="1564"/>
      <c r="Q5865" s="1572">
        <v>741.45</v>
      </c>
      <c r="R5865" s="1572">
        <v>741.45</v>
      </c>
      <c r="S5865" s="1562"/>
    </row>
    <row r="5866" spans="2:19" ht="21.75" customHeight="1" outlineLevel="1">
      <c r="B5866" s="1569" t="s">
        <v>5671</v>
      </c>
      <c r="C5866" s="1566" t="s">
        <v>2338</v>
      </c>
      <c r="D5866" s="1566" t="s">
        <v>5670</v>
      </c>
      <c r="E5866" s="1566" t="s">
        <v>2208</v>
      </c>
      <c r="F5866" s="1566"/>
      <c r="G5866" s="1566"/>
      <c r="H5866" s="1568">
        <v>1</v>
      </c>
      <c r="I5866" s="1570">
        <v>3.5</v>
      </c>
      <c r="J5866" s="1566"/>
      <c r="K5866" s="1565">
        <v>58408.59</v>
      </c>
      <c r="L5866" s="1564"/>
      <c r="M5866" s="1565">
        <v>58408.59</v>
      </c>
      <c r="N5866" s="1565">
        <v>58408.59</v>
      </c>
      <c r="O5866" s="1565">
        <v>57599.59</v>
      </c>
      <c r="P5866" s="1564"/>
      <c r="Q5866" s="1572">
        <v>809</v>
      </c>
      <c r="R5866" s="1572">
        <v>809</v>
      </c>
      <c r="S5866" s="1562"/>
    </row>
    <row r="5867" spans="2:19" ht="21.75" customHeight="1" outlineLevel="1">
      <c r="B5867" s="1569" t="s">
        <v>5669</v>
      </c>
      <c r="C5867" s="1566" t="s">
        <v>2338</v>
      </c>
      <c r="D5867" s="1566" t="s">
        <v>5668</v>
      </c>
      <c r="E5867" s="1566" t="s">
        <v>2208</v>
      </c>
      <c r="F5867" s="1566"/>
      <c r="G5867" s="1566"/>
      <c r="H5867" s="1568">
        <v>1</v>
      </c>
      <c r="I5867" s="1571">
        <v>854</v>
      </c>
      <c r="J5867" s="1566"/>
      <c r="K5867" s="1565">
        <v>11256196.27</v>
      </c>
      <c r="L5867" s="1564"/>
      <c r="M5867" s="1565">
        <v>11256196.27</v>
      </c>
      <c r="N5867" s="1565">
        <v>11256196.27</v>
      </c>
      <c r="O5867" s="1565">
        <v>11100293.27</v>
      </c>
      <c r="P5867" s="1564"/>
      <c r="Q5867" s="1565">
        <v>155903</v>
      </c>
      <c r="R5867" s="1565">
        <v>155903</v>
      </c>
      <c r="S5867" s="1562"/>
    </row>
    <row r="5868" spans="2:19" ht="21.75" customHeight="1" outlineLevel="1">
      <c r="B5868" s="1569" t="s">
        <v>5667</v>
      </c>
      <c r="C5868" s="1566" t="s">
        <v>2338</v>
      </c>
      <c r="D5868" s="1566" t="s">
        <v>5666</v>
      </c>
      <c r="E5868" s="1566" t="s">
        <v>2208</v>
      </c>
      <c r="F5868" s="1566"/>
      <c r="G5868" s="1566"/>
      <c r="H5868" s="1568">
        <v>1</v>
      </c>
      <c r="I5868" s="1571">
        <v>438</v>
      </c>
      <c r="J5868" s="1566"/>
      <c r="K5868" s="1565">
        <v>4080872.2</v>
      </c>
      <c r="L5868" s="1564"/>
      <c r="M5868" s="1565">
        <v>4080872.2</v>
      </c>
      <c r="N5868" s="1565">
        <v>4080872.2</v>
      </c>
      <c r="O5868" s="1565">
        <v>4024350.4</v>
      </c>
      <c r="P5868" s="1564"/>
      <c r="Q5868" s="1565">
        <v>56521.8</v>
      </c>
      <c r="R5868" s="1565">
        <v>56521.8</v>
      </c>
      <c r="S5868" s="1562"/>
    </row>
    <row r="5869" spans="2:19" ht="21.75" customHeight="1" outlineLevel="1">
      <c r="B5869" s="1569" t="s">
        <v>5665</v>
      </c>
      <c r="C5869" s="1566" t="s">
        <v>2331</v>
      </c>
      <c r="D5869" s="1566" t="s">
        <v>5664</v>
      </c>
      <c r="E5869" s="1566" t="s">
        <v>2208</v>
      </c>
      <c r="F5869" s="1566"/>
      <c r="G5869" s="1566"/>
      <c r="H5869" s="1568">
        <v>1</v>
      </c>
      <c r="I5869" s="1571">
        <v>1046</v>
      </c>
      <c r="J5869" s="1566"/>
      <c r="K5869" s="1565">
        <v>30257316.039999999</v>
      </c>
      <c r="L5869" s="1564"/>
      <c r="M5869" s="1565">
        <v>30257316.039999999</v>
      </c>
      <c r="N5869" s="1565">
        <v>30257316.039999999</v>
      </c>
      <c r="O5869" s="1565">
        <v>29922054.920000002</v>
      </c>
      <c r="P5869" s="1564"/>
      <c r="Q5869" s="1565">
        <v>335261.12</v>
      </c>
      <c r="R5869" s="1565">
        <v>335261.12</v>
      </c>
      <c r="S5869" s="1562"/>
    </row>
    <row r="5870" spans="2:19" ht="11.25" customHeight="1" outlineLevel="1">
      <c r="B5870" s="1569" t="s">
        <v>5663</v>
      </c>
      <c r="C5870" s="1566" t="s">
        <v>2331</v>
      </c>
      <c r="D5870" s="1566" t="s">
        <v>5662</v>
      </c>
      <c r="E5870" s="1566" t="s">
        <v>2208</v>
      </c>
      <c r="F5870" s="1566"/>
      <c r="G5870" s="1566"/>
      <c r="H5870" s="1568">
        <v>1</v>
      </c>
      <c r="I5870" s="1571">
        <v>13</v>
      </c>
      <c r="J5870" s="1566"/>
      <c r="K5870" s="1565">
        <v>64372.54</v>
      </c>
      <c r="L5870" s="1564"/>
      <c r="M5870" s="1565">
        <v>64372.54</v>
      </c>
      <c r="N5870" s="1565">
        <v>64372.54</v>
      </c>
      <c r="O5870" s="1565">
        <v>63659.26</v>
      </c>
      <c r="P5870" s="1564"/>
      <c r="Q5870" s="1572">
        <v>713.28</v>
      </c>
      <c r="R5870" s="1572">
        <v>713.28</v>
      </c>
      <c r="S5870" s="1562"/>
    </row>
    <row r="5871" spans="2:19" ht="21.75" customHeight="1" outlineLevel="1">
      <c r="B5871" s="1569" t="s">
        <v>5661</v>
      </c>
      <c r="C5871" s="1566" t="s">
        <v>2331</v>
      </c>
      <c r="D5871" s="1566" t="s">
        <v>5660</v>
      </c>
      <c r="E5871" s="1566" t="s">
        <v>2208</v>
      </c>
      <c r="F5871" s="1566"/>
      <c r="G5871" s="1566"/>
      <c r="H5871" s="1568">
        <v>1</v>
      </c>
      <c r="I5871" s="1571">
        <v>9</v>
      </c>
      <c r="J5871" s="1566"/>
      <c r="K5871" s="1565">
        <v>45465.18</v>
      </c>
      <c r="L5871" s="1564"/>
      <c r="M5871" s="1565">
        <v>45465.18</v>
      </c>
      <c r="N5871" s="1565">
        <v>45465.18</v>
      </c>
      <c r="O5871" s="1565">
        <v>44961.42</v>
      </c>
      <c r="P5871" s="1564"/>
      <c r="Q5871" s="1572">
        <v>503.76</v>
      </c>
      <c r="R5871" s="1572">
        <v>503.76</v>
      </c>
      <c r="S5871" s="1562"/>
    </row>
    <row r="5872" spans="2:19" ht="11.25" customHeight="1" outlineLevel="1">
      <c r="B5872" s="1569" t="s">
        <v>5659</v>
      </c>
      <c r="C5872" s="1566" t="s">
        <v>2306</v>
      </c>
      <c r="D5872" s="1566" t="s">
        <v>5658</v>
      </c>
      <c r="E5872" s="1566" t="s">
        <v>2219</v>
      </c>
      <c r="F5872" s="1566" t="s">
        <v>5655</v>
      </c>
      <c r="G5872" s="1566"/>
      <c r="H5872" s="1568">
        <v>1</v>
      </c>
      <c r="I5872" s="1571">
        <v>229</v>
      </c>
      <c r="J5872" s="1566"/>
      <c r="K5872" s="1565">
        <v>247959.73</v>
      </c>
      <c r="L5872" s="1564"/>
      <c r="M5872" s="1565">
        <v>247959.73</v>
      </c>
      <c r="N5872" s="1565">
        <v>247959.73</v>
      </c>
      <c r="O5872" s="1565">
        <v>243531.88</v>
      </c>
      <c r="P5872" s="1564"/>
      <c r="Q5872" s="1565">
        <v>4427.8500000000004</v>
      </c>
      <c r="R5872" s="1565">
        <v>4427.8500000000004</v>
      </c>
      <c r="S5872" s="1562"/>
    </row>
    <row r="5873" spans="2:19" ht="11.25" customHeight="1" outlineLevel="1">
      <c r="B5873" s="1569" t="s">
        <v>5657</v>
      </c>
      <c r="C5873" s="1566" t="s">
        <v>2306</v>
      </c>
      <c r="D5873" s="1566" t="s">
        <v>5656</v>
      </c>
      <c r="E5873" s="1566" t="s">
        <v>2219</v>
      </c>
      <c r="F5873" s="1566" t="s">
        <v>5655</v>
      </c>
      <c r="G5873" s="1566"/>
      <c r="H5873" s="1568">
        <v>1</v>
      </c>
      <c r="I5873" s="1571">
        <v>36</v>
      </c>
      <c r="J5873" s="1566"/>
      <c r="K5873" s="1565">
        <v>38980.57</v>
      </c>
      <c r="L5873" s="1564"/>
      <c r="M5873" s="1565">
        <v>38980.57</v>
      </c>
      <c r="N5873" s="1565">
        <v>38980.57</v>
      </c>
      <c r="O5873" s="1565">
        <v>38284.480000000003</v>
      </c>
      <c r="P5873" s="1564"/>
      <c r="Q5873" s="1572">
        <v>696.09</v>
      </c>
      <c r="R5873" s="1572">
        <v>696.09</v>
      </c>
      <c r="S5873" s="1562"/>
    </row>
    <row r="5874" spans="2:19" ht="11.25" customHeight="1" outlineLevel="1">
      <c r="B5874" s="1569" t="s">
        <v>5654</v>
      </c>
      <c r="C5874" s="1566" t="s">
        <v>2306</v>
      </c>
      <c r="D5874" s="1566" t="s">
        <v>5653</v>
      </c>
      <c r="E5874" s="1566"/>
      <c r="F5874" s="1566"/>
      <c r="G5874" s="1566"/>
      <c r="H5874" s="1566"/>
      <c r="I5874" s="1566"/>
      <c r="J5874" s="1566"/>
      <c r="K5874" s="1565">
        <v>21926.57</v>
      </c>
      <c r="L5874" s="1564"/>
      <c r="M5874" s="1565">
        <v>21926.57</v>
      </c>
      <c r="N5874" s="1565">
        <v>21926.57</v>
      </c>
      <c r="O5874" s="1565">
        <v>21195.68</v>
      </c>
      <c r="P5874" s="1564"/>
      <c r="Q5874" s="1572">
        <v>730.89</v>
      </c>
      <c r="R5874" s="1572">
        <v>730.89</v>
      </c>
      <c r="S5874" s="1562"/>
    </row>
    <row r="5875" spans="2:19" ht="11.25" customHeight="1" outlineLevel="1">
      <c r="B5875" s="1569" t="s">
        <v>5652</v>
      </c>
      <c r="C5875" s="1566" t="s">
        <v>2306</v>
      </c>
      <c r="D5875" s="1566" t="s">
        <v>5651</v>
      </c>
      <c r="E5875" s="1566"/>
      <c r="F5875" s="1566"/>
      <c r="G5875" s="1566"/>
      <c r="H5875" s="1566"/>
      <c r="I5875" s="1566"/>
      <c r="J5875" s="1566"/>
      <c r="K5875" s="1565">
        <v>18407.490000000002</v>
      </c>
      <c r="L5875" s="1564"/>
      <c r="M5875" s="1565">
        <v>18407.490000000002</v>
      </c>
      <c r="N5875" s="1565">
        <v>18407.490000000002</v>
      </c>
      <c r="O5875" s="1565">
        <v>18078.78</v>
      </c>
      <c r="P5875" s="1564"/>
      <c r="Q5875" s="1572">
        <v>328.71</v>
      </c>
      <c r="R5875" s="1572">
        <v>328.71</v>
      </c>
      <c r="S5875" s="1562"/>
    </row>
    <row r="5876" spans="2:19" ht="11.25" customHeight="1" outlineLevel="1">
      <c r="B5876" s="1569" t="s">
        <v>5650</v>
      </c>
      <c r="C5876" s="1566" t="s">
        <v>2306</v>
      </c>
      <c r="D5876" s="1566" t="s">
        <v>5649</v>
      </c>
      <c r="E5876" s="1566"/>
      <c r="F5876" s="1566"/>
      <c r="G5876" s="1566"/>
      <c r="H5876" s="1566"/>
      <c r="I5876" s="1566"/>
      <c r="J5876" s="1566"/>
      <c r="K5876" s="1565">
        <v>69028.09</v>
      </c>
      <c r="L5876" s="1564"/>
      <c r="M5876" s="1565">
        <v>69028.09</v>
      </c>
      <c r="N5876" s="1565">
        <v>69028.09</v>
      </c>
      <c r="O5876" s="1565">
        <v>66727.149999999994</v>
      </c>
      <c r="P5876" s="1564"/>
      <c r="Q5876" s="1565">
        <v>2300.94</v>
      </c>
      <c r="R5876" s="1565">
        <v>2300.94</v>
      </c>
      <c r="S5876" s="1562"/>
    </row>
    <row r="5877" spans="2:19" ht="21.75" customHeight="1" outlineLevel="1">
      <c r="B5877" s="1569" t="s">
        <v>5648</v>
      </c>
      <c r="C5877" s="1566" t="s">
        <v>2306</v>
      </c>
      <c r="D5877" s="1566" t="s">
        <v>5647</v>
      </c>
      <c r="E5877" s="1566"/>
      <c r="F5877" s="1566"/>
      <c r="G5877" s="1566"/>
      <c r="H5877" s="1566"/>
      <c r="I5877" s="1566"/>
      <c r="J5877" s="1566"/>
      <c r="K5877" s="1565">
        <v>76878.350000000006</v>
      </c>
      <c r="L5877" s="1564"/>
      <c r="M5877" s="1565">
        <v>76878.350000000006</v>
      </c>
      <c r="N5877" s="1565">
        <v>76878.350000000006</v>
      </c>
      <c r="O5877" s="1565">
        <v>73034.42</v>
      </c>
      <c r="P5877" s="1564"/>
      <c r="Q5877" s="1565">
        <v>3843.93</v>
      </c>
      <c r="R5877" s="1565">
        <v>3843.93</v>
      </c>
      <c r="S5877" s="1562"/>
    </row>
    <row r="5878" spans="2:19" ht="11.25" customHeight="1" outlineLevel="1">
      <c r="B5878" s="1569" t="s">
        <v>5646</v>
      </c>
      <c r="C5878" s="1566" t="s">
        <v>2306</v>
      </c>
      <c r="D5878" s="1566" t="s">
        <v>5645</v>
      </c>
      <c r="E5878" s="1566"/>
      <c r="F5878" s="1566"/>
      <c r="G5878" s="1566"/>
      <c r="H5878" s="1566"/>
      <c r="I5878" s="1566"/>
      <c r="J5878" s="1566"/>
      <c r="K5878" s="1565">
        <v>16241.9</v>
      </c>
      <c r="L5878" s="1564"/>
      <c r="M5878" s="1565">
        <v>16241.9</v>
      </c>
      <c r="N5878" s="1565">
        <v>16241.9</v>
      </c>
      <c r="O5878" s="1565">
        <v>15951.86</v>
      </c>
      <c r="P5878" s="1564"/>
      <c r="Q5878" s="1572">
        <v>290.04000000000002</v>
      </c>
      <c r="R5878" s="1572">
        <v>290.04000000000002</v>
      </c>
      <c r="S5878" s="1562"/>
    </row>
    <row r="5879" spans="2:19" ht="11.25" customHeight="1" outlineLevel="1">
      <c r="B5879" s="1569" t="s">
        <v>5644</v>
      </c>
      <c r="C5879" s="1566" t="s">
        <v>2306</v>
      </c>
      <c r="D5879" s="1566" t="s">
        <v>5643</v>
      </c>
      <c r="E5879" s="1566"/>
      <c r="F5879" s="1566"/>
      <c r="G5879" s="1566"/>
      <c r="H5879" s="1566"/>
      <c r="I5879" s="1566"/>
      <c r="J5879" s="1566"/>
      <c r="K5879" s="1565">
        <v>6380.75</v>
      </c>
      <c r="L5879" s="1564"/>
      <c r="M5879" s="1565">
        <v>6380.75</v>
      </c>
      <c r="N5879" s="1565">
        <v>6380.75</v>
      </c>
      <c r="O5879" s="1565">
        <v>6168.05</v>
      </c>
      <c r="P5879" s="1564"/>
      <c r="Q5879" s="1572">
        <v>212.7</v>
      </c>
      <c r="R5879" s="1572">
        <v>212.7</v>
      </c>
      <c r="S5879" s="1562"/>
    </row>
    <row r="5880" spans="2:19" ht="11.25" customHeight="1" outlineLevel="1">
      <c r="B5880" s="1569" t="s">
        <v>5642</v>
      </c>
      <c r="C5880" s="1566" t="s">
        <v>2306</v>
      </c>
      <c r="D5880" s="1566" t="s">
        <v>5641</v>
      </c>
      <c r="E5880" s="1566"/>
      <c r="F5880" s="1566"/>
      <c r="G5880" s="1566"/>
      <c r="H5880" s="1566"/>
      <c r="I5880" s="1566"/>
      <c r="J5880" s="1566"/>
      <c r="K5880" s="1565">
        <v>5278.62</v>
      </c>
      <c r="L5880" s="1564"/>
      <c r="M5880" s="1565">
        <v>5278.62</v>
      </c>
      <c r="N5880" s="1565">
        <v>5278.62</v>
      </c>
      <c r="O5880" s="1565">
        <v>5102.67</v>
      </c>
      <c r="P5880" s="1564"/>
      <c r="Q5880" s="1572">
        <v>175.95</v>
      </c>
      <c r="R5880" s="1572">
        <v>175.95</v>
      </c>
      <c r="S5880" s="1562"/>
    </row>
    <row r="5881" spans="2:19" ht="11.25" customHeight="1" outlineLevel="1">
      <c r="B5881" s="1569" t="s">
        <v>5640</v>
      </c>
      <c r="C5881" s="1566" t="s">
        <v>2306</v>
      </c>
      <c r="D5881" s="1566" t="s">
        <v>5639</v>
      </c>
      <c r="E5881" s="1566"/>
      <c r="F5881" s="1566"/>
      <c r="G5881" s="1566"/>
      <c r="H5881" s="1566"/>
      <c r="I5881" s="1566"/>
      <c r="J5881" s="1566"/>
      <c r="K5881" s="1565">
        <v>24362.86</v>
      </c>
      <c r="L5881" s="1564"/>
      <c r="M5881" s="1565">
        <v>24362.86</v>
      </c>
      <c r="N5881" s="1565">
        <v>24362.86</v>
      </c>
      <c r="O5881" s="1565">
        <v>23550.76</v>
      </c>
      <c r="P5881" s="1564"/>
      <c r="Q5881" s="1572">
        <v>812.1</v>
      </c>
      <c r="R5881" s="1572">
        <v>812.1</v>
      </c>
      <c r="S5881" s="1562"/>
    </row>
    <row r="5882" spans="2:19" ht="21.75" customHeight="1" outlineLevel="1">
      <c r="B5882" s="1569" t="s">
        <v>5638</v>
      </c>
      <c r="C5882" s="1566" t="s">
        <v>2306</v>
      </c>
      <c r="D5882" s="1566" t="s">
        <v>5637</v>
      </c>
      <c r="E5882" s="1566"/>
      <c r="F5882" s="1566"/>
      <c r="G5882" s="1566"/>
      <c r="H5882" s="1566"/>
      <c r="I5882" s="1566"/>
      <c r="J5882" s="1566"/>
      <c r="K5882" s="1565">
        <v>92351.52</v>
      </c>
      <c r="L5882" s="1564"/>
      <c r="M5882" s="1565">
        <v>92351.52</v>
      </c>
      <c r="N5882" s="1565">
        <v>92351.52</v>
      </c>
      <c r="O5882" s="1565">
        <v>89273.13</v>
      </c>
      <c r="P5882" s="1564"/>
      <c r="Q5882" s="1565">
        <v>3078.39</v>
      </c>
      <c r="R5882" s="1565">
        <v>3078.39</v>
      </c>
      <c r="S5882" s="1562"/>
    </row>
    <row r="5883" spans="2:19" ht="11.25" customHeight="1" outlineLevel="1">
      <c r="B5883" s="1569" t="s">
        <v>5636</v>
      </c>
      <c r="C5883" s="1566" t="s">
        <v>2306</v>
      </c>
      <c r="D5883" s="1566" t="s">
        <v>5635</v>
      </c>
      <c r="E5883" s="1566"/>
      <c r="F5883" s="1566"/>
      <c r="G5883" s="1566"/>
      <c r="H5883" s="1566"/>
      <c r="I5883" s="1566"/>
      <c r="J5883" s="1566"/>
      <c r="K5883" s="1565">
        <v>134217.72</v>
      </c>
      <c r="L5883" s="1564"/>
      <c r="M5883" s="1565">
        <v>134217.72</v>
      </c>
      <c r="N5883" s="1565">
        <v>134217.72</v>
      </c>
      <c r="O5883" s="1565">
        <v>133285.65</v>
      </c>
      <c r="P5883" s="1564"/>
      <c r="Q5883" s="1572">
        <v>932.07</v>
      </c>
      <c r="R5883" s="1572">
        <v>932.07</v>
      </c>
      <c r="S5883" s="1562"/>
    </row>
    <row r="5884" spans="2:19" ht="11.25" customHeight="1" outlineLevel="1">
      <c r="B5884" s="1569" t="s">
        <v>5634</v>
      </c>
      <c r="C5884" s="1566" t="s">
        <v>2306</v>
      </c>
      <c r="D5884" s="1566" t="s">
        <v>5633</v>
      </c>
      <c r="E5884" s="1566"/>
      <c r="F5884" s="1566"/>
      <c r="G5884" s="1566"/>
      <c r="H5884" s="1566"/>
      <c r="I5884" s="1566"/>
      <c r="J5884" s="1566"/>
      <c r="K5884" s="1565">
        <v>19040.810000000001</v>
      </c>
      <c r="L5884" s="1564"/>
      <c r="M5884" s="1565">
        <v>19040.810000000001</v>
      </c>
      <c r="N5884" s="1565">
        <v>19040.810000000001</v>
      </c>
      <c r="O5884" s="1565">
        <v>18894.349999999999</v>
      </c>
      <c r="P5884" s="1564"/>
      <c r="Q5884" s="1572">
        <v>146.46</v>
      </c>
      <c r="R5884" s="1572">
        <v>146.46</v>
      </c>
      <c r="S5884" s="1562"/>
    </row>
    <row r="5885" spans="2:19" ht="11.25" customHeight="1" outlineLevel="1">
      <c r="B5885" s="1569" t="s">
        <v>5632</v>
      </c>
      <c r="C5885" s="1566" t="s">
        <v>2306</v>
      </c>
      <c r="D5885" s="1566" t="s">
        <v>5631</v>
      </c>
      <c r="E5885" s="1566"/>
      <c r="F5885" s="1566"/>
      <c r="G5885" s="1566"/>
      <c r="H5885" s="1566"/>
      <c r="I5885" s="1566"/>
      <c r="J5885" s="1566"/>
      <c r="K5885" s="1565">
        <v>2571.63</v>
      </c>
      <c r="L5885" s="1564"/>
      <c r="M5885" s="1565">
        <v>2571.63</v>
      </c>
      <c r="N5885" s="1565">
        <v>2571.63</v>
      </c>
      <c r="O5885" s="1565">
        <v>2357.34</v>
      </c>
      <c r="P5885" s="1564"/>
      <c r="Q5885" s="1572">
        <v>214.29</v>
      </c>
      <c r="R5885" s="1572">
        <v>214.29</v>
      </c>
      <c r="S5885" s="1562"/>
    </row>
    <row r="5886" spans="2:19" ht="11.25" customHeight="1" outlineLevel="1">
      <c r="B5886" s="1569" t="s">
        <v>5630</v>
      </c>
      <c r="C5886" s="1566" t="s">
        <v>2306</v>
      </c>
      <c r="D5886" s="1566" t="s">
        <v>5629</v>
      </c>
      <c r="E5886" s="1566"/>
      <c r="F5886" s="1566"/>
      <c r="G5886" s="1566"/>
      <c r="H5886" s="1566"/>
      <c r="I5886" s="1566"/>
      <c r="J5886" s="1566"/>
      <c r="K5886" s="1565">
        <v>9861.16</v>
      </c>
      <c r="L5886" s="1564"/>
      <c r="M5886" s="1565">
        <v>9861.16</v>
      </c>
      <c r="N5886" s="1565">
        <v>9861.16</v>
      </c>
      <c r="O5886" s="1565">
        <v>9532.4500000000007</v>
      </c>
      <c r="P5886" s="1564"/>
      <c r="Q5886" s="1572">
        <v>328.71</v>
      </c>
      <c r="R5886" s="1572">
        <v>328.71</v>
      </c>
      <c r="S5886" s="1562"/>
    </row>
    <row r="5887" spans="2:19" ht="11.25" customHeight="1" outlineLevel="1">
      <c r="B5887" s="1569" t="s">
        <v>5628</v>
      </c>
      <c r="C5887" s="1566" t="s">
        <v>2297</v>
      </c>
      <c r="D5887" s="1566" t="s">
        <v>5627</v>
      </c>
      <c r="E5887" s="1566" t="s">
        <v>2219</v>
      </c>
      <c r="F5887" s="1566" t="s">
        <v>5626</v>
      </c>
      <c r="G5887" s="1566" t="s">
        <v>2299</v>
      </c>
      <c r="H5887" s="1568">
        <v>1</v>
      </c>
      <c r="I5887" s="1571">
        <v>363</v>
      </c>
      <c r="J5887" s="1566"/>
      <c r="K5887" s="1565">
        <v>3390895.29</v>
      </c>
      <c r="L5887" s="1564"/>
      <c r="M5887" s="1565">
        <v>3390895.29</v>
      </c>
      <c r="N5887" s="1565">
        <v>3390895.29</v>
      </c>
      <c r="O5887" s="1565">
        <v>3373940.82</v>
      </c>
      <c r="P5887" s="1564"/>
      <c r="Q5887" s="1565">
        <v>16954.47</v>
      </c>
      <c r="R5887" s="1565">
        <v>16954.47</v>
      </c>
      <c r="S5887" s="1562"/>
    </row>
    <row r="5888" spans="2:19" ht="11.25" customHeight="1" outlineLevel="1">
      <c r="B5888" s="1569" t="s">
        <v>5625</v>
      </c>
      <c r="C5888" s="1566" t="s">
        <v>5621</v>
      </c>
      <c r="D5888" s="1566" t="s">
        <v>5624</v>
      </c>
      <c r="E5888" s="1566" t="s">
        <v>2266</v>
      </c>
      <c r="F5888" s="1566" t="s">
        <v>5623</v>
      </c>
      <c r="G5888" s="1566"/>
      <c r="H5888" s="1568">
        <v>1</v>
      </c>
      <c r="I5888" s="1571">
        <v>200</v>
      </c>
      <c r="J5888" s="1566"/>
      <c r="K5888" s="1565">
        <v>99999.32</v>
      </c>
      <c r="L5888" s="1564"/>
      <c r="M5888" s="1565">
        <v>99999.32</v>
      </c>
      <c r="N5888" s="1565">
        <v>99999.32</v>
      </c>
      <c r="O5888" s="1565">
        <v>99168.29</v>
      </c>
      <c r="P5888" s="1564"/>
      <c r="Q5888" s="1572">
        <v>831.03</v>
      </c>
      <c r="R5888" s="1572">
        <v>831.03</v>
      </c>
      <c r="S5888" s="1562"/>
    </row>
    <row r="5889" spans="2:19" ht="21.75" customHeight="1" outlineLevel="1">
      <c r="B5889" s="1569" t="s">
        <v>5622</v>
      </c>
      <c r="C5889" s="1566" t="s">
        <v>5621</v>
      </c>
      <c r="D5889" s="1566" t="s">
        <v>5620</v>
      </c>
      <c r="E5889" s="1566" t="s">
        <v>2208</v>
      </c>
      <c r="F5889" s="1566"/>
      <c r="G5889" s="1566"/>
      <c r="H5889" s="1568">
        <v>1</v>
      </c>
      <c r="I5889" s="1567">
        <v>10.39</v>
      </c>
      <c r="J5889" s="1566"/>
      <c r="K5889" s="1565">
        <v>174876.09</v>
      </c>
      <c r="L5889" s="1564"/>
      <c r="M5889" s="1565">
        <v>174876.09</v>
      </c>
      <c r="N5889" s="1565">
        <v>174876.09</v>
      </c>
      <c r="O5889" s="1565">
        <v>173422.83</v>
      </c>
      <c r="P5889" s="1564"/>
      <c r="Q5889" s="1565">
        <v>1453.26</v>
      </c>
      <c r="R5889" s="1565">
        <v>1453.26</v>
      </c>
      <c r="S5889" s="1562"/>
    </row>
    <row r="5890" spans="2:19" ht="21.75" customHeight="1" outlineLevel="1">
      <c r="B5890" s="1569" t="s">
        <v>5619</v>
      </c>
      <c r="C5890" s="1566" t="s">
        <v>2278</v>
      </c>
      <c r="D5890" s="1566" t="s">
        <v>5618</v>
      </c>
      <c r="E5890" s="1566" t="s">
        <v>2208</v>
      </c>
      <c r="F5890" s="1566"/>
      <c r="G5890" s="1566"/>
      <c r="H5890" s="1568">
        <v>1</v>
      </c>
      <c r="I5890" s="1570">
        <v>3.5</v>
      </c>
      <c r="J5890" s="1566"/>
      <c r="K5890" s="1565">
        <v>56978.6</v>
      </c>
      <c r="L5890" s="1564"/>
      <c r="M5890" s="1565">
        <v>56978.6</v>
      </c>
      <c r="N5890" s="1565">
        <v>56978.6</v>
      </c>
      <c r="O5890" s="1565">
        <v>56662.92</v>
      </c>
      <c r="P5890" s="1564"/>
      <c r="Q5890" s="1572">
        <v>315.68</v>
      </c>
      <c r="R5890" s="1572">
        <v>315.68</v>
      </c>
      <c r="S5890" s="1562"/>
    </row>
    <row r="5891" spans="2:19" ht="21.75" customHeight="1" outlineLevel="1">
      <c r="B5891" s="1569" t="s">
        <v>5617</v>
      </c>
      <c r="C5891" s="1566" t="s">
        <v>2278</v>
      </c>
      <c r="D5891" s="1566" t="s">
        <v>5616</v>
      </c>
      <c r="E5891" s="1566" t="s">
        <v>2208</v>
      </c>
      <c r="F5891" s="1566"/>
      <c r="G5891" s="1566"/>
      <c r="H5891" s="1568">
        <v>1</v>
      </c>
      <c r="I5891" s="1570">
        <v>27.5</v>
      </c>
      <c r="J5891" s="1566"/>
      <c r="K5891" s="1565">
        <v>105570.07</v>
      </c>
      <c r="L5891" s="1564"/>
      <c r="M5891" s="1565">
        <v>105570.07</v>
      </c>
      <c r="N5891" s="1565">
        <v>105570.07</v>
      </c>
      <c r="O5891" s="1565">
        <v>104985.19</v>
      </c>
      <c r="P5891" s="1564"/>
      <c r="Q5891" s="1572">
        <v>584.88</v>
      </c>
      <c r="R5891" s="1572">
        <v>584.88</v>
      </c>
      <c r="S5891" s="1562"/>
    </row>
    <row r="5892" spans="2:19" ht="21.75" customHeight="1" outlineLevel="1">
      <c r="B5892" s="1569" t="s">
        <v>5615</v>
      </c>
      <c r="C5892" s="1566" t="s">
        <v>2278</v>
      </c>
      <c r="D5892" s="1566" t="s">
        <v>5614</v>
      </c>
      <c r="E5892" s="1566" t="s">
        <v>2208</v>
      </c>
      <c r="F5892" s="1566"/>
      <c r="G5892" s="1566"/>
      <c r="H5892" s="1568">
        <v>1</v>
      </c>
      <c r="I5892" s="1567">
        <v>5.45</v>
      </c>
      <c r="J5892" s="1566"/>
      <c r="K5892" s="1565">
        <v>102806.49</v>
      </c>
      <c r="L5892" s="1564"/>
      <c r="M5892" s="1565">
        <v>102806.49</v>
      </c>
      <c r="N5892" s="1565">
        <v>102806.49</v>
      </c>
      <c r="O5892" s="1565">
        <v>102236.93</v>
      </c>
      <c r="P5892" s="1564"/>
      <c r="Q5892" s="1572">
        <v>569.55999999999995</v>
      </c>
      <c r="R5892" s="1572">
        <v>569.55999999999995</v>
      </c>
      <c r="S5892" s="1562"/>
    </row>
    <row r="5893" spans="2:19" ht="21.75" customHeight="1" outlineLevel="1">
      <c r="B5893" s="1569" t="s">
        <v>5613</v>
      </c>
      <c r="C5893" s="1566" t="s">
        <v>2278</v>
      </c>
      <c r="D5893" s="1566" t="s">
        <v>5612</v>
      </c>
      <c r="E5893" s="1566" t="s">
        <v>2208</v>
      </c>
      <c r="F5893" s="1566"/>
      <c r="G5893" s="1566"/>
      <c r="H5893" s="1568">
        <v>1</v>
      </c>
      <c r="I5893" s="1571">
        <v>6</v>
      </c>
      <c r="J5893" s="1566"/>
      <c r="K5893" s="1565">
        <v>4889.59</v>
      </c>
      <c r="L5893" s="1564"/>
      <c r="M5893" s="1565">
        <v>4889.59</v>
      </c>
      <c r="N5893" s="1565">
        <v>4889.59</v>
      </c>
      <c r="O5893" s="1565">
        <v>4862.51</v>
      </c>
      <c r="P5893" s="1564"/>
      <c r="Q5893" s="1572">
        <v>27.08</v>
      </c>
      <c r="R5893" s="1572">
        <v>27.08</v>
      </c>
      <c r="S5893" s="1562"/>
    </row>
    <row r="5894" spans="2:19" ht="21.75" customHeight="1" outlineLevel="1">
      <c r="B5894" s="1569" t="s">
        <v>5611</v>
      </c>
      <c r="C5894" s="1566" t="s">
        <v>2278</v>
      </c>
      <c r="D5894" s="1566" t="s">
        <v>5610</v>
      </c>
      <c r="E5894" s="1566" t="s">
        <v>2208</v>
      </c>
      <c r="F5894" s="1566"/>
      <c r="G5894" s="1566"/>
      <c r="H5894" s="1568">
        <v>1</v>
      </c>
      <c r="I5894" s="1567">
        <v>24.66</v>
      </c>
      <c r="J5894" s="1566"/>
      <c r="K5894" s="1565">
        <v>121717.8</v>
      </c>
      <c r="L5894" s="1564"/>
      <c r="M5894" s="1565">
        <v>121717.8</v>
      </c>
      <c r="N5894" s="1565">
        <v>121717.8</v>
      </c>
      <c r="O5894" s="1565">
        <v>121043.46</v>
      </c>
      <c r="P5894" s="1564"/>
      <c r="Q5894" s="1572">
        <v>674.34</v>
      </c>
      <c r="R5894" s="1572">
        <v>674.34</v>
      </c>
      <c r="S5894" s="1562"/>
    </row>
    <row r="5895" spans="2:19" ht="21.75" customHeight="1" outlineLevel="1">
      <c r="B5895" s="1569" t="s">
        <v>5609</v>
      </c>
      <c r="C5895" s="1566" t="s">
        <v>2226</v>
      </c>
      <c r="D5895" s="1566" t="s">
        <v>5608</v>
      </c>
      <c r="E5895" s="1566" t="s">
        <v>2208</v>
      </c>
      <c r="F5895" s="1566"/>
      <c r="G5895" s="1566"/>
      <c r="H5895" s="1568">
        <v>1</v>
      </c>
      <c r="I5895" s="1571">
        <v>148</v>
      </c>
      <c r="J5895" s="1566"/>
      <c r="K5895" s="1565">
        <v>2187986.0499999998</v>
      </c>
      <c r="L5895" s="1564"/>
      <c r="M5895" s="1565">
        <v>2187986.0499999998</v>
      </c>
      <c r="N5895" s="1565">
        <v>2187986.0499999998</v>
      </c>
      <c r="O5895" s="1565">
        <v>2181925.15</v>
      </c>
      <c r="P5895" s="1564"/>
      <c r="Q5895" s="1565">
        <v>6060.9</v>
      </c>
      <c r="R5895" s="1565">
        <v>6060.9</v>
      </c>
      <c r="S5895" s="1562"/>
    </row>
    <row r="5896" spans="2:19" ht="21.75" customHeight="1" outlineLevel="1">
      <c r="B5896" s="1569" t="s">
        <v>5607</v>
      </c>
      <c r="C5896" s="1566" t="s">
        <v>2226</v>
      </c>
      <c r="D5896" s="1566" t="s">
        <v>5606</v>
      </c>
      <c r="E5896" s="1566" t="s">
        <v>2208</v>
      </c>
      <c r="F5896" s="1566"/>
      <c r="G5896" s="1566"/>
      <c r="H5896" s="1568">
        <v>1</v>
      </c>
      <c r="I5896" s="1567">
        <v>10.91</v>
      </c>
      <c r="J5896" s="1566"/>
      <c r="K5896" s="1565">
        <v>158258.99</v>
      </c>
      <c r="L5896" s="1564"/>
      <c r="M5896" s="1565">
        <v>158258.99</v>
      </c>
      <c r="N5896" s="1565">
        <v>158258.99</v>
      </c>
      <c r="O5896" s="1565">
        <v>157820.6</v>
      </c>
      <c r="P5896" s="1564"/>
      <c r="Q5896" s="1572">
        <v>438.39</v>
      </c>
      <c r="R5896" s="1572">
        <v>438.39</v>
      </c>
      <c r="S5896" s="1562"/>
    </row>
    <row r="5897" spans="2:19" ht="21.75" customHeight="1" outlineLevel="1">
      <c r="B5897" s="1569" t="s">
        <v>5605</v>
      </c>
      <c r="C5897" s="1566" t="s">
        <v>2226</v>
      </c>
      <c r="D5897" s="1566" t="s">
        <v>5604</v>
      </c>
      <c r="E5897" s="1566" t="s">
        <v>2208</v>
      </c>
      <c r="F5897" s="1566"/>
      <c r="G5897" s="1566"/>
      <c r="H5897" s="1568">
        <v>1</v>
      </c>
      <c r="I5897" s="1567">
        <v>15.24</v>
      </c>
      <c r="J5897" s="1566"/>
      <c r="K5897" s="1565">
        <v>72334.25</v>
      </c>
      <c r="L5897" s="1564"/>
      <c r="M5897" s="1565">
        <v>72334.25</v>
      </c>
      <c r="N5897" s="1565">
        <v>72334.25</v>
      </c>
      <c r="O5897" s="1565">
        <v>72133.88</v>
      </c>
      <c r="P5897" s="1564"/>
      <c r="Q5897" s="1572">
        <v>200.37</v>
      </c>
      <c r="R5897" s="1572">
        <v>200.37</v>
      </c>
      <c r="S5897" s="1562"/>
    </row>
    <row r="5898" spans="2:19" ht="21.75" customHeight="1" outlineLevel="1">
      <c r="B5898" s="1569" t="s">
        <v>5603</v>
      </c>
      <c r="C5898" s="1566" t="s">
        <v>2226</v>
      </c>
      <c r="D5898" s="1566" t="s">
        <v>5602</v>
      </c>
      <c r="E5898" s="1566" t="s">
        <v>2208</v>
      </c>
      <c r="F5898" s="1566"/>
      <c r="G5898" s="1566"/>
      <c r="H5898" s="1568">
        <v>1</v>
      </c>
      <c r="I5898" s="1567">
        <v>10.29</v>
      </c>
      <c r="J5898" s="1566"/>
      <c r="K5898" s="1565">
        <v>199315.49</v>
      </c>
      <c r="L5898" s="1564"/>
      <c r="M5898" s="1565">
        <v>199315.49</v>
      </c>
      <c r="N5898" s="1565">
        <v>199315.49</v>
      </c>
      <c r="O5898" s="1565">
        <v>198763.37</v>
      </c>
      <c r="P5898" s="1564"/>
      <c r="Q5898" s="1572">
        <v>552.12</v>
      </c>
      <c r="R5898" s="1572">
        <v>552.12</v>
      </c>
      <c r="S5898" s="1562"/>
    </row>
    <row r="5899" spans="2:19" ht="21.75" customHeight="1" outlineLevel="1">
      <c r="B5899" s="1569" t="s">
        <v>5601</v>
      </c>
      <c r="C5899" s="1566" t="s">
        <v>2221</v>
      </c>
      <c r="D5899" s="1566" t="s">
        <v>5600</v>
      </c>
      <c r="E5899" s="1566" t="s">
        <v>2219</v>
      </c>
      <c r="F5899" s="1566" t="s">
        <v>5538</v>
      </c>
      <c r="G5899" s="1566" t="s">
        <v>5599</v>
      </c>
      <c r="H5899" s="1568">
        <v>1</v>
      </c>
      <c r="I5899" s="1571">
        <v>131</v>
      </c>
      <c r="J5899" s="1566"/>
      <c r="K5899" s="1565">
        <v>50659.27</v>
      </c>
      <c r="L5899" s="1564"/>
      <c r="M5899" s="1565">
        <v>50659.27</v>
      </c>
      <c r="N5899" s="1565">
        <v>50659.27</v>
      </c>
      <c r="O5899" s="1565">
        <v>50659.27</v>
      </c>
      <c r="P5899" s="1564"/>
      <c r="Q5899" s="1564"/>
      <c r="R5899" s="1564"/>
      <c r="S5899" s="1562"/>
    </row>
    <row r="5900" spans="2:19" ht="21.75" customHeight="1" outlineLevel="1">
      <c r="B5900" s="1569" t="s">
        <v>5598</v>
      </c>
      <c r="C5900" s="1566" t="s">
        <v>2221</v>
      </c>
      <c r="D5900" s="1566" t="s">
        <v>5597</v>
      </c>
      <c r="E5900" s="1566" t="s">
        <v>2219</v>
      </c>
      <c r="F5900" s="1566" t="s">
        <v>5538</v>
      </c>
      <c r="G5900" s="1566" t="s">
        <v>5596</v>
      </c>
      <c r="H5900" s="1568">
        <v>1</v>
      </c>
      <c r="I5900" s="1571">
        <v>51</v>
      </c>
      <c r="J5900" s="1566"/>
      <c r="K5900" s="1565">
        <v>9861.16</v>
      </c>
      <c r="L5900" s="1564"/>
      <c r="M5900" s="1565">
        <v>9861.16</v>
      </c>
      <c r="N5900" s="1565">
        <v>9861.16</v>
      </c>
      <c r="O5900" s="1565">
        <v>9861.16</v>
      </c>
      <c r="P5900" s="1564"/>
      <c r="Q5900" s="1564"/>
      <c r="R5900" s="1564"/>
      <c r="S5900" s="1562"/>
    </row>
    <row r="5901" spans="2:19" ht="11.25" customHeight="1" outlineLevel="1">
      <c r="B5901" s="1569" t="s">
        <v>5595</v>
      </c>
      <c r="C5901" s="1566" t="s">
        <v>2221</v>
      </c>
      <c r="D5901" s="1566" t="s">
        <v>5594</v>
      </c>
      <c r="E5901" s="1566" t="s">
        <v>2219</v>
      </c>
      <c r="F5901" s="1566" t="s">
        <v>5538</v>
      </c>
      <c r="G5901" s="1566" t="s">
        <v>5593</v>
      </c>
      <c r="H5901" s="1568">
        <v>1</v>
      </c>
      <c r="I5901" s="1571">
        <v>17</v>
      </c>
      <c r="J5901" s="1566"/>
      <c r="K5901" s="1565">
        <v>10518.57</v>
      </c>
      <c r="L5901" s="1564"/>
      <c r="M5901" s="1565">
        <v>10518.57</v>
      </c>
      <c r="N5901" s="1565">
        <v>10518.57</v>
      </c>
      <c r="O5901" s="1565">
        <v>10518.57</v>
      </c>
      <c r="P5901" s="1564"/>
      <c r="Q5901" s="1564"/>
      <c r="R5901" s="1564"/>
      <c r="S5901" s="1562"/>
    </row>
    <row r="5902" spans="2:19" ht="11.25" customHeight="1" outlineLevel="1">
      <c r="B5902" s="1569" t="s">
        <v>5592</v>
      </c>
      <c r="C5902" s="1566" t="s">
        <v>2221</v>
      </c>
      <c r="D5902" s="1566" t="s">
        <v>5591</v>
      </c>
      <c r="E5902" s="1566" t="s">
        <v>2219</v>
      </c>
      <c r="F5902" s="1566" t="s">
        <v>5538</v>
      </c>
      <c r="G5902" s="1566" t="s">
        <v>5590</v>
      </c>
      <c r="H5902" s="1568">
        <v>1</v>
      </c>
      <c r="I5902" s="1571">
        <v>36</v>
      </c>
      <c r="J5902" s="1566"/>
      <c r="K5902" s="1565">
        <v>22274.61</v>
      </c>
      <c r="L5902" s="1564"/>
      <c r="M5902" s="1565">
        <v>22274.61</v>
      </c>
      <c r="N5902" s="1565">
        <v>22274.61</v>
      </c>
      <c r="O5902" s="1565">
        <v>22274.61</v>
      </c>
      <c r="P5902" s="1564"/>
      <c r="Q5902" s="1564"/>
      <c r="R5902" s="1564"/>
      <c r="S5902" s="1562"/>
    </row>
    <row r="5903" spans="2:19" ht="11.25" customHeight="1" outlineLevel="1">
      <c r="B5903" s="1569" t="s">
        <v>5589</v>
      </c>
      <c r="C5903" s="1566" t="s">
        <v>2221</v>
      </c>
      <c r="D5903" s="1566" t="s">
        <v>5588</v>
      </c>
      <c r="E5903" s="1566" t="s">
        <v>2219</v>
      </c>
      <c r="F5903" s="1566" t="s">
        <v>5538</v>
      </c>
      <c r="G5903" s="1566" t="s">
        <v>5587</v>
      </c>
      <c r="H5903" s="1568">
        <v>1</v>
      </c>
      <c r="I5903" s="1571">
        <v>21</v>
      </c>
      <c r="J5903" s="1566"/>
      <c r="K5903" s="1565">
        <v>4060.48</v>
      </c>
      <c r="L5903" s="1564"/>
      <c r="M5903" s="1565">
        <v>4060.48</v>
      </c>
      <c r="N5903" s="1565">
        <v>4060.48</v>
      </c>
      <c r="O5903" s="1565">
        <v>4060.48</v>
      </c>
      <c r="P5903" s="1564"/>
      <c r="Q5903" s="1564"/>
      <c r="R5903" s="1564"/>
      <c r="S5903" s="1562"/>
    </row>
    <row r="5904" spans="2:19" ht="11.25" customHeight="1" outlineLevel="1">
      <c r="B5904" s="1569" t="s">
        <v>5586</v>
      </c>
      <c r="C5904" s="1566" t="s">
        <v>2221</v>
      </c>
      <c r="D5904" s="1566" t="s">
        <v>5585</v>
      </c>
      <c r="E5904" s="1566" t="s">
        <v>2219</v>
      </c>
      <c r="F5904" s="1566" t="s">
        <v>5538</v>
      </c>
      <c r="G5904" s="1566" t="s">
        <v>5584</v>
      </c>
      <c r="H5904" s="1568">
        <v>1</v>
      </c>
      <c r="I5904" s="1571">
        <v>124</v>
      </c>
      <c r="J5904" s="1566"/>
      <c r="K5904" s="1565">
        <v>47952.29</v>
      </c>
      <c r="L5904" s="1564"/>
      <c r="M5904" s="1565">
        <v>47952.29</v>
      </c>
      <c r="N5904" s="1565">
        <v>47952.29</v>
      </c>
      <c r="O5904" s="1565">
        <v>47952.29</v>
      </c>
      <c r="P5904" s="1564"/>
      <c r="Q5904" s="1564"/>
      <c r="R5904" s="1564"/>
      <c r="S5904" s="1562"/>
    </row>
    <row r="5905" spans="2:19" ht="11.25" customHeight="1" outlineLevel="1">
      <c r="B5905" s="1569" t="s">
        <v>5583</v>
      </c>
      <c r="C5905" s="1566" t="s">
        <v>2221</v>
      </c>
      <c r="D5905" s="1566" t="s">
        <v>5582</v>
      </c>
      <c r="E5905" s="1566" t="s">
        <v>2219</v>
      </c>
      <c r="F5905" s="1566" t="s">
        <v>5538</v>
      </c>
      <c r="G5905" s="1566" t="s">
        <v>5581</v>
      </c>
      <c r="H5905" s="1568">
        <v>1</v>
      </c>
      <c r="I5905" s="1571">
        <v>12</v>
      </c>
      <c r="J5905" s="1566"/>
      <c r="K5905" s="1565">
        <v>12993.52</v>
      </c>
      <c r="L5905" s="1564"/>
      <c r="M5905" s="1565">
        <v>12993.52</v>
      </c>
      <c r="N5905" s="1565">
        <v>12993.52</v>
      </c>
      <c r="O5905" s="1565">
        <v>12993.52</v>
      </c>
      <c r="P5905" s="1564"/>
      <c r="Q5905" s="1564"/>
      <c r="R5905" s="1564"/>
      <c r="S5905" s="1562"/>
    </row>
    <row r="5906" spans="2:19" ht="11.25" customHeight="1" outlineLevel="1">
      <c r="B5906" s="1569" t="s">
        <v>5580</v>
      </c>
      <c r="C5906" s="1566" t="s">
        <v>2221</v>
      </c>
      <c r="D5906" s="1566" t="s">
        <v>5579</v>
      </c>
      <c r="E5906" s="1566" t="s">
        <v>2219</v>
      </c>
      <c r="F5906" s="1566" t="s">
        <v>5538</v>
      </c>
      <c r="G5906" s="1566" t="s">
        <v>5578</v>
      </c>
      <c r="H5906" s="1568">
        <v>1</v>
      </c>
      <c r="I5906" s="1571">
        <v>10</v>
      </c>
      <c r="J5906" s="1566"/>
      <c r="K5906" s="1565">
        <v>3867.12</v>
      </c>
      <c r="L5906" s="1564"/>
      <c r="M5906" s="1565">
        <v>3867.12</v>
      </c>
      <c r="N5906" s="1565">
        <v>3867.12</v>
      </c>
      <c r="O5906" s="1565">
        <v>3867.12</v>
      </c>
      <c r="P5906" s="1564"/>
      <c r="Q5906" s="1564"/>
      <c r="R5906" s="1564"/>
      <c r="S5906" s="1562"/>
    </row>
    <row r="5907" spans="2:19" ht="21.75" customHeight="1" outlineLevel="1">
      <c r="B5907" s="1569" t="s">
        <v>5577</v>
      </c>
      <c r="C5907" s="1566" t="s">
        <v>2221</v>
      </c>
      <c r="D5907" s="1566" t="s">
        <v>5576</v>
      </c>
      <c r="E5907" s="1566" t="s">
        <v>2219</v>
      </c>
      <c r="F5907" s="1566" t="s">
        <v>5538</v>
      </c>
      <c r="G5907" s="1566" t="s">
        <v>5575</v>
      </c>
      <c r="H5907" s="1568">
        <v>1</v>
      </c>
      <c r="I5907" s="1571">
        <v>95</v>
      </c>
      <c r="J5907" s="1566"/>
      <c r="K5907" s="1565">
        <v>36737.64</v>
      </c>
      <c r="L5907" s="1564"/>
      <c r="M5907" s="1565">
        <v>36737.64</v>
      </c>
      <c r="N5907" s="1565">
        <v>36737.64</v>
      </c>
      <c r="O5907" s="1565">
        <v>36737.64</v>
      </c>
      <c r="P5907" s="1564"/>
      <c r="Q5907" s="1564"/>
      <c r="R5907" s="1564"/>
      <c r="S5907" s="1562"/>
    </row>
    <row r="5908" spans="2:19" ht="11.25" customHeight="1" outlineLevel="1">
      <c r="B5908" s="1569" t="s">
        <v>5574</v>
      </c>
      <c r="C5908" s="1566" t="s">
        <v>2221</v>
      </c>
      <c r="D5908" s="1566" t="s">
        <v>5573</v>
      </c>
      <c r="E5908" s="1566" t="s">
        <v>2219</v>
      </c>
      <c r="F5908" s="1566" t="s">
        <v>5538</v>
      </c>
      <c r="G5908" s="1566" t="s">
        <v>5572</v>
      </c>
      <c r="H5908" s="1568">
        <v>1</v>
      </c>
      <c r="I5908" s="1571">
        <v>16</v>
      </c>
      <c r="J5908" s="1566"/>
      <c r="K5908" s="1565">
        <v>31530.51</v>
      </c>
      <c r="L5908" s="1564"/>
      <c r="M5908" s="1565">
        <v>31530.51</v>
      </c>
      <c r="N5908" s="1565">
        <v>31530.51</v>
      </c>
      <c r="O5908" s="1565">
        <v>31530.51</v>
      </c>
      <c r="P5908" s="1564"/>
      <c r="Q5908" s="1564"/>
      <c r="R5908" s="1564"/>
      <c r="S5908" s="1562"/>
    </row>
    <row r="5909" spans="2:19" ht="11.25" customHeight="1" outlineLevel="1">
      <c r="B5909" s="1569" t="s">
        <v>5571</v>
      </c>
      <c r="C5909" s="1566" t="s">
        <v>2221</v>
      </c>
      <c r="D5909" s="1566" t="s">
        <v>5570</v>
      </c>
      <c r="E5909" s="1566" t="s">
        <v>2219</v>
      </c>
      <c r="F5909" s="1566" t="s">
        <v>5538</v>
      </c>
      <c r="G5909" s="1566" t="s">
        <v>5569</v>
      </c>
      <c r="H5909" s="1568">
        <v>1</v>
      </c>
      <c r="I5909" s="1571">
        <v>285</v>
      </c>
      <c r="J5909" s="1566"/>
      <c r="K5909" s="1565">
        <v>871733.87</v>
      </c>
      <c r="L5909" s="1564"/>
      <c r="M5909" s="1565">
        <v>871733.87</v>
      </c>
      <c r="N5909" s="1565">
        <v>871733.87</v>
      </c>
      <c r="O5909" s="1565">
        <v>871733.87</v>
      </c>
      <c r="P5909" s="1564"/>
      <c r="Q5909" s="1564"/>
      <c r="R5909" s="1564"/>
      <c r="S5909" s="1562"/>
    </row>
    <row r="5910" spans="2:19" ht="11.25" customHeight="1" outlineLevel="1">
      <c r="B5910" s="1569" t="s">
        <v>5568</v>
      </c>
      <c r="C5910" s="1566" t="s">
        <v>2221</v>
      </c>
      <c r="D5910" s="1566" t="s">
        <v>5567</v>
      </c>
      <c r="E5910" s="1566" t="s">
        <v>2219</v>
      </c>
      <c r="F5910" s="1566" t="s">
        <v>5538</v>
      </c>
      <c r="G5910" s="1566" t="s">
        <v>5566</v>
      </c>
      <c r="H5910" s="1568">
        <v>1</v>
      </c>
      <c r="I5910" s="1571">
        <v>10</v>
      </c>
      <c r="J5910" s="1566"/>
      <c r="K5910" s="1565">
        <v>20239.18</v>
      </c>
      <c r="L5910" s="1564"/>
      <c r="M5910" s="1565">
        <v>20239.18</v>
      </c>
      <c r="N5910" s="1565">
        <v>20239.18</v>
      </c>
      <c r="O5910" s="1565">
        <v>20239.18</v>
      </c>
      <c r="P5910" s="1564"/>
      <c r="Q5910" s="1564"/>
      <c r="R5910" s="1564"/>
      <c r="S5910" s="1562"/>
    </row>
    <row r="5911" spans="2:19" ht="11.25" customHeight="1" outlineLevel="1">
      <c r="B5911" s="1569" t="s">
        <v>5565</v>
      </c>
      <c r="C5911" s="1566" t="s">
        <v>2221</v>
      </c>
      <c r="D5911" s="1566" t="s">
        <v>5564</v>
      </c>
      <c r="E5911" s="1566" t="s">
        <v>2219</v>
      </c>
      <c r="F5911" s="1566" t="s">
        <v>5538</v>
      </c>
      <c r="G5911" s="1566" t="s">
        <v>5563</v>
      </c>
      <c r="H5911" s="1568">
        <v>1</v>
      </c>
      <c r="I5911" s="1571">
        <v>12</v>
      </c>
      <c r="J5911" s="1566"/>
      <c r="K5911" s="1565">
        <v>3248.38</v>
      </c>
      <c r="L5911" s="1564"/>
      <c r="M5911" s="1565">
        <v>3248.38</v>
      </c>
      <c r="N5911" s="1565">
        <v>3248.38</v>
      </c>
      <c r="O5911" s="1565">
        <v>3248.38</v>
      </c>
      <c r="P5911" s="1564"/>
      <c r="Q5911" s="1564"/>
      <c r="R5911" s="1564"/>
      <c r="S5911" s="1562"/>
    </row>
    <row r="5912" spans="2:19" ht="11.25" customHeight="1" outlineLevel="1">
      <c r="B5912" s="1569" t="s">
        <v>5562</v>
      </c>
      <c r="C5912" s="1566" t="s">
        <v>2221</v>
      </c>
      <c r="D5912" s="1566" t="s">
        <v>5561</v>
      </c>
      <c r="E5912" s="1566" t="s">
        <v>2219</v>
      </c>
      <c r="F5912" s="1566" t="s">
        <v>5538</v>
      </c>
      <c r="G5912" s="1566"/>
      <c r="H5912" s="1568">
        <v>1</v>
      </c>
      <c r="I5912" s="1571">
        <v>21</v>
      </c>
      <c r="J5912" s="1566"/>
      <c r="K5912" s="1565">
        <v>48094.68</v>
      </c>
      <c r="L5912" s="1564"/>
      <c r="M5912" s="1565">
        <v>48094.68</v>
      </c>
      <c r="N5912" s="1565">
        <v>48094.68</v>
      </c>
      <c r="O5912" s="1565">
        <v>48094.68</v>
      </c>
      <c r="P5912" s="1564"/>
      <c r="Q5912" s="1564"/>
      <c r="R5912" s="1564"/>
      <c r="S5912" s="1562"/>
    </row>
    <row r="5913" spans="2:19" ht="11.25" customHeight="1" outlineLevel="1">
      <c r="B5913" s="1569" t="s">
        <v>5560</v>
      </c>
      <c r="C5913" s="1566" t="s">
        <v>2221</v>
      </c>
      <c r="D5913" s="1566" t="s">
        <v>5559</v>
      </c>
      <c r="E5913" s="1566" t="s">
        <v>2219</v>
      </c>
      <c r="F5913" s="1566" t="s">
        <v>5538</v>
      </c>
      <c r="G5913" s="1566"/>
      <c r="H5913" s="1568">
        <v>1</v>
      </c>
      <c r="I5913" s="1571">
        <v>11</v>
      </c>
      <c r="J5913" s="1566"/>
      <c r="K5913" s="1565">
        <v>6806.13</v>
      </c>
      <c r="L5913" s="1564"/>
      <c r="M5913" s="1565">
        <v>6806.13</v>
      </c>
      <c r="N5913" s="1565">
        <v>6806.13</v>
      </c>
      <c r="O5913" s="1565">
        <v>6806.13</v>
      </c>
      <c r="P5913" s="1564"/>
      <c r="Q5913" s="1564"/>
      <c r="R5913" s="1564"/>
      <c r="S5913" s="1562"/>
    </row>
    <row r="5914" spans="2:19" ht="11.25" customHeight="1" outlineLevel="1">
      <c r="B5914" s="1569" t="s">
        <v>5558</v>
      </c>
      <c r="C5914" s="1566" t="s">
        <v>2221</v>
      </c>
      <c r="D5914" s="1566" t="s">
        <v>5557</v>
      </c>
      <c r="E5914" s="1566" t="s">
        <v>2219</v>
      </c>
      <c r="F5914" s="1566" t="s">
        <v>5538</v>
      </c>
      <c r="G5914" s="1566"/>
      <c r="H5914" s="1568">
        <v>1</v>
      </c>
      <c r="I5914" s="1571">
        <v>16</v>
      </c>
      <c r="J5914" s="1566"/>
      <c r="K5914" s="1565">
        <v>21037.13</v>
      </c>
      <c r="L5914" s="1564"/>
      <c r="M5914" s="1565">
        <v>21037.13</v>
      </c>
      <c r="N5914" s="1565">
        <v>21037.13</v>
      </c>
      <c r="O5914" s="1565">
        <v>21037.13</v>
      </c>
      <c r="P5914" s="1564"/>
      <c r="Q5914" s="1564"/>
      <c r="R5914" s="1564"/>
      <c r="S5914" s="1562"/>
    </row>
    <row r="5915" spans="2:19" ht="11.25" customHeight="1" outlineLevel="1">
      <c r="B5915" s="1569" t="s">
        <v>5556</v>
      </c>
      <c r="C5915" s="1566" t="s">
        <v>2221</v>
      </c>
      <c r="D5915" s="1566" t="s">
        <v>5555</v>
      </c>
      <c r="E5915" s="1566" t="s">
        <v>2219</v>
      </c>
      <c r="F5915" s="1566" t="s">
        <v>5538</v>
      </c>
      <c r="G5915" s="1566"/>
      <c r="H5915" s="1568">
        <v>1</v>
      </c>
      <c r="I5915" s="1571">
        <v>148</v>
      </c>
      <c r="J5915" s="1566"/>
      <c r="K5915" s="1565">
        <v>236478.84</v>
      </c>
      <c r="L5915" s="1564"/>
      <c r="M5915" s="1565">
        <v>236478.84</v>
      </c>
      <c r="N5915" s="1565">
        <v>236478.84</v>
      </c>
      <c r="O5915" s="1565">
        <v>236478.84</v>
      </c>
      <c r="P5915" s="1564"/>
      <c r="Q5915" s="1564"/>
      <c r="R5915" s="1564"/>
      <c r="S5915" s="1562"/>
    </row>
    <row r="5916" spans="2:19" ht="11.25" customHeight="1" outlineLevel="1">
      <c r="B5916" s="1569" t="s">
        <v>5554</v>
      </c>
      <c r="C5916" s="1566" t="s">
        <v>2221</v>
      </c>
      <c r="D5916" s="1566" t="s">
        <v>5553</v>
      </c>
      <c r="E5916" s="1566" t="s">
        <v>2219</v>
      </c>
      <c r="F5916" s="1566" t="s">
        <v>5538</v>
      </c>
      <c r="G5916" s="1566"/>
      <c r="H5916" s="1568">
        <v>1</v>
      </c>
      <c r="I5916" s="1571">
        <v>16</v>
      </c>
      <c r="J5916" s="1566"/>
      <c r="K5916" s="1565">
        <v>6063.64</v>
      </c>
      <c r="L5916" s="1564"/>
      <c r="M5916" s="1565">
        <v>6063.64</v>
      </c>
      <c r="N5916" s="1565">
        <v>6063.64</v>
      </c>
      <c r="O5916" s="1565">
        <v>6063.64</v>
      </c>
      <c r="P5916" s="1564"/>
      <c r="Q5916" s="1564"/>
      <c r="R5916" s="1564"/>
      <c r="S5916" s="1562"/>
    </row>
    <row r="5917" spans="2:19" ht="11.25" customHeight="1" outlineLevel="1">
      <c r="B5917" s="1569" t="s">
        <v>5552</v>
      </c>
      <c r="C5917" s="1566" t="s">
        <v>2221</v>
      </c>
      <c r="D5917" s="1566" t="s">
        <v>5551</v>
      </c>
      <c r="E5917" s="1566" t="s">
        <v>2219</v>
      </c>
      <c r="F5917" s="1566" t="s">
        <v>5538</v>
      </c>
      <c r="G5917" s="1566"/>
      <c r="H5917" s="1568">
        <v>1</v>
      </c>
      <c r="I5917" s="1571">
        <v>13</v>
      </c>
      <c r="J5917" s="1566"/>
      <c r="K5917" s="1565">
        <v>5027.26</v>
      </c>
      <c r="L5917" s="1564"/>
      <c r="M5917" s="1565">
        <v>5027.26</v>
      </c>
      <c r="N5917" s="1565">
        <v>5027.26</v>
      </c>
      <c r="O5917" s="1565">
        <v>5027.26</v>
      </c>
      <c r="P5917" s="1564"/>
      <c r="Q5917" s="1564"/>
      <c r="R5917" s="1564"/>
      <c r="S5917" s="1562"/>
    </row>
    <row r="5918" spans="2:19" ht="11.25" customHeight="1" outlineLevel="1">
      <c r="B5918" s="1569" t="s">
        <v>5550</v>
      </c>
      <c r="C5918" s="1566" t="s">
        <v>2221</v>
      </c>
      <c r="D5918" s="1566" t="s">
        <v>5549</v>
      </c>
      <c r="E5918" s="1566" t="s">
        <v>2219</v>
      </c>
      <c r="F5918" s="1566" t="s">
        <v>5538</v>
      </c>
      <c r="G5918" s="1566"/>
      <c r="H5918" s="1568">
        <v>1</v>
      </c>
      <c r="I5918" s="1571">
        <v>258</v>
      </c>
      <c r="J5918" s="1566"/>
      <c r="K5918" s="1565">
        <v>765205.86</v>
      </c>
      <c r="L5918" s="1564"/>
      <c r="M5918" s="1565">
        <v>765205.86</v>
      </c>
      <c r="N5918" s="1565">
        <v>765205.86</v>
      </c>
      <c r="O5918" s="1565">
        <v>765205.86</v>
      </c>
      <c r="P5918" s="1564"/>
      <c r="Q5918" s="1564"/>
      <c r="R5918" s="1564"/>
      <c r="S5918" s="1562"/>
    </row>
    <row r="5919" spans="2:19" ht="11.25" customHeight="1" outlineLevel="1">
      <c r="B5919" s="1569" t="s">
        <v>5548</v>
      </c>
      <c r="C5919" s="1566" t="s">
        <v>2221</v>
      </c>
      <c r="D5919" s="1566" t="s">
        <v>5547</v>
      </c>
      <c r="E5919" s="1566" t="s">
        <v>2219</v>
      </c>
      <c r="F5919" s="1566" t="s">
        <v>5538</v>
      </c>
      <c r="G5919" s="1566"/>
      <c r="H5919" s="1568">
        <v>1</v>
      </c>
      <c r="I5919" s="1571">
        <v>17</v>
      </c>
      <c r="J5919" s="1566"/>
      <c r="K5919" s="1565">
        <v>24446.799999999999</v>
      </c>
      <c r="L5919" s="1564"/>
      <c r="M5919" s="1565">
        <v>24446.799999999999</v>
      </c>
      <c r="N5919" s="1565">
        <v>24446.799999999999</v>
      </c>
      <c r="O5919" s="1565">
        <v>24446.799999999999</v>
      </c>
      <c r="P5919" s="1564"/>
      <c r="Q5919" s="1564"/>
      <c r="R5919" s="1564"/>
      <c r="S5919" s="1562"/>
    </row>
    <row r="5920" spans="2:19" ht="11.25" customHeight="1" outlineLevel="1">
      <c r="B5920" s="1569" t="s">
        <v>5546</v>
      </c>
      <c r="C5920" s="1566" t="s">
        <v>2221</v>
      </c>
      <c r="D5920" s="1566" t="s">
        <v>5545</v>
      </c>
      <c r="E5920" s="1566" t="s">
        <v>2219</v>
      </c>
      <c r="F5920" s="1566" t="s">
        <v>5538</v>
      </c>
      <c r="G5920" s="1566"/>
      <c r="H5920" s="1568">
        <v>1</v>
      </c>
      <c r="I5920" s="1571">
        <v>8</v>
      </c>
      <c r="J5920" s="1566"/>
      <c r="K5920" s="1565">
        <v>1082.79</v>
      </c>
      <c r="L5920" s="1564"/>
      <c r="M5920" s="1565">
        <v>1082.79</v>
      </c>
      <c r="N5920" s="1565">
        <v>1082.79</v>
      </c>
      <c r="O5920" s="1565">
        <v>1082.79</v>
      </c>
      <c r="P5920" s="1564"/>
      <c r="Q5920" s="1564"/>
      <c r="R5920" s="1564"/>
      <c r="S5920" s="1562"/>
    </row>
    <row r="5921" spans="2:21" ht="11.25" customHeight="1" outlineLevel="1">
      <c r="B5921" s="1569" t="s">
        <v>5544</v>
      </c>
      <c r="C5921" s="1566" t="s">
        <v>2221</v>
      </c>
      <c r="D5921" s="1566" t="s">
        <v>5543</v>
      </c>
      <c r="E5921" s="1566" t="s">
        <v>2219</v>
      </c>
      <c r="F5921" s="1566" t="s">
        <v>5538</v>
      </c>
      <c r="G5921" s="1566"/>
      <c r="H5921" s="1568">
        <v>1</v>
      </c>
      <c r="I5921" s="1571">
        <v>19</v>
      </c>
      <c r="J5921" s="1566"/>
      <c r="K5921" s="1565">
        <v>11033.61</v>
      </c>
      <c r="L5921" s="1564"/>
      <c r="M5921" s="1565">
        <v>11033.61</v>
      </c>
      <c r="N5921" s="1565">
        <v>11033.61</v>
      </c>
      <c r="O5921" s="1565">
        <v>11033.61</v>
      </c>
      <c r="P5921" s="1564"/>
      <c r="Q5921" s="1564"/>
      <c r="R5921" s="1564"/>
      <c r="S5921" s="1562"/>
    </row>
    <row r="5922" spans="2:21" ht="11.25" customHeight="1" outlineLevel="1">
      <c r="B5922" s="1569" t="s">
        <v>5542</v>
      </c>
      <c r="C5922" s="1566" t="s">
        <v>2221</v>
      </c>
      <c r="D5922" s="1566" t="s">
        <v>5541</v>
      </c>
      <c r="E5922" s="1566" t="s">
        <v>2219</v>
      </c>
      <c r="F5922" s="1566" t="s">
        <v>5538</v>
      </c>
      <c r="G5922" s="1566"/>
      <c r="H5922" s="1568">
        <v>1</v>
      </c>
      <c r="I5922" s="1571">
        <v>5</v>
      </c>
      <c r="J5922" s="1566"/>
      <c r="K5922" s="1572">
        <v>270.7</v>
      </c>
      <c r="L5922" s="1564"/>
      <c r="M5922" s="1572">
        <v>270.7</v>
      </c>
      <c r="N5922" s="1572">
        <v>270.7</v>
      </c>
      <c r="O5922" s="1572">
        <v>270.7</v>
      </c>
      <c r="P5922" s="1564"/>
      <c r="Q5922" s="1564"/>
      <c r="R5922" s="1564"/>
      <c r="S5922" s="1562"/>
    </row>
    <row r="5923" spans="2:21" ht="11.25" customHeight="1" outlineLevel="1">
      <c r="B5923" s="1569" t="s">
        <v>5540</v>
      </c>
      <c r="C5923" s="1566" t="s">
        <v>2221</v>
      </c>
      <c r="D5923" s="1566" t="s">
        <v>5539</v>
      </c>
      <c r="E5923" s="1566" t="s">
        <v>2219</v>
      </c>
      <c r="F5923" s="1566" t="s">
        <v>5538</v>
      </c>
      <c r="G5923" s="1566"/>
      <c r="H5923" s="1568">
        <v>1</v>
      </c>
      <c r="I5923" s="1571">
        <v>299</v>
      </c>
      <c r="J5923" s="1566"/>
      <c r="K5923" s="1565">
        <v>1088102.46</v>
      </c>
      <c r="L5923" s="1564"/>
      <c r="M5923" s="1565">
        <v>1088102.46</v>
      </c>
      <c r="N5923" s="1565">
        <v>1088102.46</v>
      </c>
      <c r="O5923" s="1565">
        <v>1088102.46</v>
      </c>
      <c r="P5923" s="1564"/>
      <c r="Q5923" s="1564"/>
      <c r="R5923" s="1564"/>
      <c r="S5923" s="1562"/>
    </row>
    <row r="5924" spans="2:21" ht="21.75" customHeight="1" outlineLevel="1">
      <c r="B5924" s="1569" t="s">
        <v>5537</v>
      </c>
      <c r="C5924" s="1566" t="s">
        <v>2210</v>
      </c>
      <c r="D5924" s="1566" t="s">
        <v>5536</v>
      </c>
      <c r="E5924" s="1566" t="s">
        <v>2214</v>
      </c>
      <c r="F5924" s="1566"/>
      <c r="G5924" s="1566"/>
      <c r="H5924" s="1568">
        <v>1</v>
      </c>
      <c r="I5924" s="1570">
        <v>18.5</v>
      </c>
      <c r="J5924" s="1566"/>
      <c r="K5924" s="1565">
        <v>39703.11</v>
      </c>
      <c r="L5924" s="1564"/>
      <c r="M5924" s="1565">
        <v>39703.11</v>
      </c>
      <c r="N5924" s="1565">
        <v>39703.11</v>
      </c>
      <c r="O5924" s="1565">
        <v>39703.11</v>
      </c>
      <c r="P5924" s="1564"/>
      <c r="Q5924" s="1564"/>
      <c r="R5924" s="1564"/>
      <c r="S5924" s="1562"/>
    </row>
    <row r="5925" spans="2:21" ht="21.75" customHeight="1" outlineLevel="1">
      <c r="B5925" s="1569" t="s">
        <v>5535</v>
      </c>
      <c r="C5925" s="1566" t="s">
        <v>2210</v>
      </c>
      <c r="D5925" s="1566" t="s">
        <v>5534</v>
      </c>
      <c r="E5925" s="1566" t="s">
        <v>2208</v>
      </c>
      <c r="F5925" s="1566"/>
      <c r="G5925" s="1566"/>
      <c r="H5925" s="1568">
        <v>1</v>
      </c>
      <c r="I5925" s="1567">
        <v>10.91</v>
      </c>
      <c r="J5925" s="1566"/>
      <c r="K5925" s="1565">
        <v>78638.13</v>
      </c>
      <c r="L5925" s="1564"/>
      <c r="M5925" s="1565">
        <v>78638.13</v>
      </c>
      <c r="N5925" s="1565">
        <v>78638.13</v>
      </c>
      <c r="O5925" s="1565">
        <v>78638.13</v>
      </c>
      <c r="P5925" s="1564"/>
      <c r="Q5925" s="1564"/>
      <c r="R5925" s="1564"/>
      <c r="S5925" s="1562"/>
    </row>
    <row r="5926" spans="2:21" ht="21.75" customHeight="1" outlineLevel="1">
      <c r="B5926" s="1569" t="s">
        <v>5533</v>
      </c>
      <c r="C5926" s="1566" t="s">
        <v>2210</v>
      </c>
      <c r="D5926" s="1566" t="s">
        <v>5532</v>
      </c>
      <c r="E5926" s="1566" t="s">
        <v>2208</v>
      </c>
      <c r="F5926" s="1566"/>
      <c r="G5926" s="1566"/>
      <c r="H5926" s="1568">
        <v>1</v>
      </c>
      <c r="I5926" s="1570">
        <v>7.9</v>
      </c>
      <c r="J5926" s="1566"/>
      <c r="K5926" s="1565">
        <v>153618.49</v>
      </c>
      <c r="L5926" s="1564"/>
      <c r="M5926" s="1565">
        <v>153618.49</v>
      </c>
      <c r="N5926" s="1565">
        <v>153618.49</v>
      </c>
      <c r="O5926" s="1565">
        <v>153618.49</v>
      </c>
      <c r="P5926" s="1564"/>
      <c r="Q5926" s="1564"/>
      <c r="R5926" s="1564"/>
      <c r="S5926" s="1562"/>
    </row>
    <row r="5927" spans="2:21" ht="21.75" customHeight="1" outlineLevel="1">
      <c r="B5927" s="1569" t="s">
        <v>5531</v>
      </c>
      <c r="C5927" s="1566" t="s">
        <v>2210</v>
      </c>
      <c r="D5927" s="1566" t="s">
        <v>5530</v>
      </c>
      <c r="E5927" s="1566" t="s">
        <v>2208</v>
      </c>
      <c r="F5927" s="1566"/>
      <c r="G5927" s="1566"/>
      <c r="H5927" s="1568">
        <v>1</v>
      </c>
      <c r="I5927" s="1567">
        <v>8.73</v>
      </c>
      <c r="J5927" s="1566"/>
      <c r="K5927" s="1565">
        <v>37722.720000000001</v>
      </c>
      <c r="L5927" s="1564"/>
      <c r="M5927" s="1565">
        <v>37722.720000000001</v>
      </c>
      <c r="N5927" s="1565">
        <v>37722.720000000001</v>
      </c>
      <c r="O5927" s="1565">
        <v>37722.720000000001</v>
      </c>
      <c r="P5927" s="1564"/>
      <c r="Q5927" s="1564"/>
      <c r="R5927" s="1564"/>
      <c r="S5927" s="1562"/>
    </row>
    <row r="5928" spans="2:21" ht="21.75" customHeight="1" outlineLevel="1">
      <c r="B5928" s="1569" t="s">
        <v>5529</v>
      </c>
      <c r="C5928" s="1566" t="s">
        <v>2210</v>
      </c>
      <c r="D5928" s="1566" t="s">
        <v>5528</v>
      </c>
      <c r="E5928" s="1566" t="s">
        <v>2208</v>
      </c>
      <c r="F5928" s="1566"/>
      <c r="G5928" s="1566"/>
      <c r="H5928" s="1568">
        <v>1</v>
      </c>
      <c r="I5928" s="1571">
        <v>129</v>
      </c>
      <c r="J5928" s="1566"/>
      <c r="K5928" s="1565">
        <v>2484037.7799999998</v>
      </c>
      <c r="L5928" s="1564"/>
      <c r="M5928" s="1565">
        <v>2484037.7799999998</v>
      </c>
      <c r="N5928" s="1565">
        <v>2484037.7799999998</v>
      </c>
      <c r="O5928" s="1565">
        <v>2484037.7799999998</v>
      </c>
      <c r="P5928" s="1564"/>
      <c r="Q5928" s="1564"/>
      <c r="R5928" s="1564"/>
      <c r="S5928" s="1562"/>
    </row>
    <row r="5929" spans="2:21" ht="21.75" customHeight="1" outlineLevel="1">
      <c r="B5929" s="1569" t="s">
        <v>5527</v>
      </c>
      <c r="C5929" s="1566" t="s">
        <v>2210</v>
      </c>
      <c r="D5929" s="1566" t="s">
        <v>5526</v>
      </c>
      <c r="E5929" s="1566" t="s">
        <v>2208</v>
      </c>
      <c r="F5929" s="1566"/>
      <c r="G5929" s="1566"/>
      <c r="H5929" s="1568">
        <v>1</v>
      </c>
      <c r="I5929" s="1570">
        <v>14.5</v>
      </c>
      <c r="J5929" s="1566"/>
      <c r="K5929" s="1565">
        <v>354138.4</v>
      </c>
      <c r="L5929" s="1564"/>
      <c r="M5929" s="1565">
        <v>354138.4</v>
      </c>
      <c r="N5929" s="1565">
        <v>354138.4</v>
      </c>
      <c r="O5929" s="1565">
        <v>354138.4</v>
      </c>
      <c r="P5929" s="1564"/>
      <c r="Q5929" s="1564"/>
      <c r="R5929" s="1564"/>
      <c r="S5929" s="1562"/>
    </row>
    <row r="5930" spans="2:21" ht="21.75" customHeight="1" outlineLevel="1">
      <c r="B5930" s="1569" t="s">
        <v>5525</v>
      </c>
      <c r="C5930" s="1566" t="s">
        <v>2210</v>
      </c>
      <c r="D5930" s="1566" t="s">
        <v>5524</v>
      </c>
      <c r="E5930" s="1566" t="s">
        <v>2208</v>
      </c>
      <c r="F5930" s="1566"/>
      <c r="G5930" s="1566"/>
      <c r="H5930" s="1568">
        <v>1</v>
      </c>
      <c r="I5930" s="1571">
        <v>99</v>
      </c>
      <c r="J5930" s="1566"/>
      <c r="K5930" s="1565">
        <v>322423.07</v>
      </c>
      <c r="L5930" s="1564"/>
      <c r="M5930" s="1565">
        <v>322423.07</v>
      </c>
      <c r="N5930" s="1565">
        <v>322423.07</v>
      </c>
      <c r="O5930" s="1565">
        <v>322423.07</v>
      </c>
      <c r="P5930" s="1564"/>
      <c r="Q5930" s="1564"/>
      <c r="R5930" s="1564"/>
      <c r="S5930" s="1562"/>
    </row>
    <row r="5931" spans="2:21" ht="21.75" customHeight="1" outlineLevel="1">
      <c r="B5931" s="1569" t="s">
        <v>5523</v>
      </c>
      <c r="C5931" s="1566" t="s">
        <v>2210</v>
      </c>
      <c r="D5931" s="1566" t="s">
        <v>5522</v>
      </c>
      <c r="E5931" s="1566" t="s">
        <v>2208</v>
      </c>
      <c r="F5931" s="1566"/>
      <c r="G5931" s="1566"/>
      <c r="H5931" s="1568">
        <v>1</v>
      </c>
      <c r="I5931" s="1571">
        <v>13</v>
      </c>
      <c r="J5931" s="1566"/>
      <c r="K5931" s="1565">
        <v>39285.07</v>
      </c>
      <c r="L5931" s="1564"/>
      <c r="M5931" s="1565">
        <v>39285.07</v>
      </c>
      <c r="N5931" s="1565">
        <v>39285.07</v>
      </c>
      <c r="O5931" s="1565">
        <v>39285.07</v>
      </c>
      <c r="P5931" s="1564"/>
      <c r="Q5931" s="1564"/>
      <c r="R5931" s="1564"/>
      <c r="S5931" s="1562"/>
    </row>
    <row r="5932" spans="2:21" ht="21.75" customHeight="1" outlineLevel="1">
      <c r="B5932" s="1569" t="s">
        <v>5521</v>
      </c>
      <c r="C5932" s="1566" t="s">
        <v>2210</v>
      </c>
      <c r="D5932" s="1566" t="s">
        <v>5520</v>
      </c>
      <c r="E5932" s="1566" t="s">
        <v>2208</v>
      </c>
      <c r="F5932" s="1566"/>
      <c r="G5932" s="1566"/>
      <c r="H5932" s="1568">
        <v>1</v>
      </c>
      <c r="I5932" s="1570">
        <v>45.5</v>
      </c>
      <c r="J5932" s="1566"/>
      <c r="K5932" s="1565">
        <v>515353.82</v>
      </c>
      <c r="L5932" s="1564"/>
      <c r="M5932" s="1565">
        <v>515353.82</v>
      </c>
      <c r="N5932" s="1565">
        <v>515353.82</v>
      </c>
      <c r="O5932" s="1565">
        <v>515353.82</v>
      </c>
      <c r="P5932" s="1564"/>
      <c r="Q5932" s="1564"/>
      <c r="R5932" s="1564"/>
      <c r="S5932" s="1562"/>
    </row>
    <row r="5933" spans="2:21" ht="21.75" customHeight="1" outlineLevel="1">
      <c r="B5933" s="1569" t="s">
        <v>5519</v>
      </c>
      <c r="C5933" s="1566" t="s">
        <v>2210</v>
      </c>
      <c r="D5933" s="1566" t="s">
        <v>5518</v>
      </c>
      <c r="E5933" s="1566" t="s">
        <v>2208</v>
      </c>
      <c r="F5933" s="1566"/>
      <c r="G5933" s="1566"/>
      <c r="H5933" s="1568">
        <v>1</v>
      </c>
      <c r="I5933" s="1571">
        <v>160</v>
      </c>
      <c r="J5933" s="1566"/>
      <c r="K5933" s="1565">
        <v>105124.26</v>
      </c>
      <c r="L5933" s="1564"/>
      <c r="M5933" s="1565">
        <v>105124.26</v>
      </c>
      <c r="N5933" s="1565">
        <v>105124.26</v>
      </c>
      <c r="O5933" s="1565">
        <v>105124.26</v>
      </c>
      <c r="P5933" s="1564"/>
      <c r="Q5933" s="1564"/>
      <c r="R5933" s="1564"/>
      <c r="S5933" s="1562"/>
    </row>
    <row r="5934" spans="2:21" ht="5.0999999999999996" customHeight="1">
      <c r="S5934" s="1562"/>
    </row>
    <row r="5935" spans="2:21" ht="11.25" customHeight="1">
      <c r="B5935" s="1575" t="s">
        <v>5517</v>
      </c>
      <c r="C5935" s="1575"/>
      <c r="D5935" s="1575" t="s">
        <v>5516</v>
      </c>
      <c r="E5935" s="1575"/>
      <c r="F5935" s="1575"/>
      <c r="G5935" s="1575"/>
      <c r="H5935" s="1575">
        <v>2</v>
      </c>
      <c r="I5935" s="1575"/>
      <c r="J5935" s="1575"/>
      <c r="K5935" s="1574">
        <v>411982981.82999998</v>
      </c>
      <c r="L5935" s="1574">
        <v>535667819.80000001</v>
      </c>
      <c r="M5935" s="1574">
        <v>93382472.659999996</v>
      </c>
      <c r="N5935" s="1574">
        <v>629050292.46000004</v>
      </c>
      <c r="O5935" s="1574">
        <v>426904620.22000003</v>
      </c>
      <c r="P5935" s="1574">
        <v>172199139.13999999</v>
      </c>
      <c r="Q5935" s="1574">
        <v>29946533.100000001</v>
      </c>
      <c r="R5935" s="1574">
        <v>202145672.24000001</v>
      </c>
      <c r="S5935" s="1562">
        <f>R5935/N5935</f>
        <v>0.32135057349624241</v>
      </c>
      <c r="U5935" s="1632"/>
    </row>
    <row r="5936" spans="2:21" ht="11.25" customHeight="1" outlineLevel="1">
      <c r="B5936" s="1573">
        <v>10180</v>
      </c>
      <c r="C5936" s="1566" t="s">
        <v>5403</v>
      </c>
      <c r="D5936" s="1566" t="s">
        <v>5515</v>
      </c>
      <c r="E5936" s="1566"/>
      <c r="F5936" s="1566"/>
      <c r="G5936" s="1566" t="s">
        <v>5514</v>
      </c>
      <c r="H5936" s="1568">
        <v>2</v>
      </c>
      <c r="I5936" s="1566"/>
      <c r="J5936" s="1566"/>
      <c r="K5936" s="1565">
        <v>1162</v>
      </c>
      <c r="L5936" s="1565">
        <v>2326861</v>
      </c>
      <c r="M5936" s="1564"/>
      <c r="N5936" s="1565">
        <v>2326861</v>
      </c>
      <c r="O5936" s="1565">
        <v>447269.9</v>
      </c>
      <c r="P5936" s="1565">
        <v>1815695.42</v>
      </c>
      <c r="Q5936" s="1565">
        <v>63895.68</v>
      </c>
      <c r="R5936" s="1565">
        <v>1879591.1</v>
      </c>
      <c r="S5936" s="1562"/>
    </row>
    <row r="5937" spans="2:19" ht="11.25" customHeight="1" outlineLevel="1">
      <c r="B5937" s="1573">
        <v>10322</v>
      </c>
      <c r="C5937" s="1566" t="s">
        <v>5403</v>
      </c>
      <c r="D5937" s="1566" t="s">
        <v>5513</v>
      </c>
      <c r="E5937" s="1566"/>
      <c r="F5937" s="1566"/>
      <c r="G5937" s="1566" t="s">
        <v>3734</v>
      </c>
      <c r="H5937" s="1568">
        <v>2</v>
      </c>
      <c r="I5937" s="1566"/>
      <c r="J5937" s="1566"/>
      <c r="K5937" s="1572">
        <v>118</v>
      </c>
      <c r="L5937" s="1565">
        <v>173949</v>
      </c>
      <c r="M5937" s="1564"/>
      <c r="N5937" s="1565">
        <v>173949</v>
      </c>
      <c r="O5937" s="1565">
        <v>25272.22</v>
      </c>
      <c r="P5937" s="1565">
        <v>143622.38</v>
      </c>
      <c r="Q5937" s="1565">
        <v>5054.3999999999996</v>
      </c>
      <c r="R5937" s="1565">
        <v>148676.78</v>
      </c>
      <c r="S5937" s="1562"/>
    </row>
    <row r="5938" spans="2:19" ht="11.25" customHeight="1" outlineLevel="1">
      <c r="B5938" s="1573">
        <v>10323</v>
      </c>
      <c r="C5938" s="1566" t="s">
        <v>5403</v>
      </c>
      <c r="D5938" s="1566" t="s">
        <v>5512</v>
      </c>
      <c r="E5938" s="1566"/>
      <c r="F5938" s="1566"/>
      <c r="G5938" s="1566" t="s">
        <v>3734</v>
      </c>
      <c r="H5938" s="1568">
        <v>2</v>
      </c>
      <c r="I5938" s="1566"/>
      <c r="J5938" s="1566"/>
      <c r="K5938" s="1572">
        <v>22</v>
      </c>
      <c r="L5938" s="1565">
        <v>37645</v>
      </c>
      <c r="M5938" s="1564"/>
      <c r="N5938" s="1565">
        <v>37645</v>
      </c>
      <c r="O5938" s="1565">
        <v>5469.05</v>
      </c>
      <c r="P5938" s="1565">
        <v>31082.15</v>
      </c>
      <c r="Q5938" s="1565">
        <v>1093.8</v>
      </c>
      <c r="R5938" s="1565">
        <v>32175.95</v>
      </c>
      <c r="S5938" s="1562"/>
    </row>
    <row r="5939" spans="2:19" s="1609" customFormat="1" ht="11.25" customHeight="1" outlineLevel="1">
      <c r="B5939" s="1602">
        <v>10324</v>
      </c>
      <c r="C5939" s="1603" t="s">
        <v>5403</v>
      </c>
      <c r="D5939" s="1603" t="s">
        <v>5511</v>
      </c>
      <c r="E5939" s="1603"/>
      <c r="F5939" s="1603"/>
      <c r="G5939" s="1603" t="s">
        <v>3734</v>
      </c>
      <c r="H5939" s="1604">
        <v>2</v>
      </c>
      <c r="I5939" s="1603"/>
      <c r="J5939" s="1603"/>
      <c r="K5939" s="1605">
        <v>897</v>
      </c>
      <c r="L5939" s="1606">
        <v>1111976</v>
      </c>
      <c r="M5939" s="1607"/>
      <c r="N5939" s="1606">
        <v>1111976</v>
      </c>
      <c r="O5939" s="1606">
        <v>161544.92000000001</v>
      </c>
      <c r="P5939" s="1606">
        <v>918122.04</v>
      </c>
      <c r="Q5939" s="1606">
        <v>32309.040000000001</v>
      </c>
      <c r="R5939" s="1606">
        <v>950431.08</v>
      </c>
      <c r="S5939" s="1608"/>
    </row>
    <row r="5940" spans="2:19" s="1609" customFormat="1" ht="11.25" customHeight="1" outlineLevel="1">
      <c r="B5940" s="1602">
        <v>10325</v>
      </c>
      <c r="C5940" s="1603" t="s">
        <v>5403</v>
      </c>
      <c r="D5940" s="1603" t="s">
        <v>5510</v>
      </c>
      <c r="E5940" s="1603"/>
      <c r="F5940" s="1603"/>
      <c r="G5940" s="1603" t="s">
        <v>3734</v>
      </c>
      <c r="H5940" s="1604">
        <v>2</v>
      </c>
      <c r="I5940" s="1603"/>
      <c r="J5940" s="1603"/>
      <c r="K5940" s="1606">
        <v>96202</v>
      </c>
      <c r="L5940" s="1606">
        <v>96202</v>
      </c>
      <c r="M5940" s="1607"/>
      <c r="N5940" s="1606">
        <v>96202</v>
      </c>
      <c r="O5940" s="1606">
        <v>13977.35</v>
      </c>
      <c r="P5940" s="1606">
        <v>79429.13</v>
      </c>
      <c r="Q5940" s="1606">
        <v>2795.52</v>
      </c>
      <c r="R5940" s="1606">
        <v>82224.649999999994</v>
      </c>
      <c r="S5940" s="1608"/>
    </row>
    <row r="5941" spans="2:19" s="1609" customFormat="1" ht="11.25" customHeight="1" outlineLevel="1">
      <c r="B5941" s="1602">
        <v>10326</v>
      </c>
      <c r="C5941" s="1603" t="s">
        <v>5403</v>
      </c>
      <c r="D5941" s="1603" t="s">
        <v>5509</v>
      </c>
      <c r="E5941" s="1603"/>
      <c r="F5941" s="1603"/>
      <c r="G5941" s="1603" t="s">
        <v>3734</v>
      </c>
      <c r="H5941" s="1604">
        <v>2</v>
      </c>
      <c r="I5941" s="1603"/>
      <c r="J5941" s="1603"/>
      <c r="K5941" s="1605">
        <v>22</v>
      </c>
      <c r="L5941" s="1606">
        <v>65805</v>
      </c>
      <c r="M5941" s="1607"/>
      <c r="N5941" s="1606">
        <v>65805</v>
      </c>
      <c r="O5941" s="1606">
        <v>9561.27</v>
      </c>
      <c r="P5941" s="1606">
        <v>54331.53</v>
      </c>
      <c r="Q5941" s="1606">
        <v>1912.2</v>
      </c>
      <c r="R5941" s="1606">
        <v>56243.73</v>
      </c>
      <c r="S5941" s="1608"/>
    </row>
    <row r="5942" spans="2:19" s="1609" customFormat="1" ht="21.75" customHeight="1" outlineLevel="1">
      <c r="B5942" s="1602">
        <v>10327</v>
      </c>
      <c r="C5942" s="1603" t="s">
        <v>5403</v>
      </c>
      <c r="D5942" s="1603" t="s">
        <v>5508</v>
      </c>
      <c r="E5942" s="1603" t="s">
        <v>3732</v>
      </c>
      <c r="F5942" s="1603"/>
      <c r="G5942" s="1603" t="s">
        <v>3734</v>
      </c>
      <c r="H5942" s="1604">
        <v>2</v>
      </c>
      <c r="I5942" s="1603"/>
      <c r="J5942" s="1603"/>
      <c r="K5942" s="1605">
        <v>109</v>
      </c>
      <c r="L5942" s="1606">
        <v>65170605.18</v>
      </c>
      <c r="M5942" s="1607"/>
      <c r="N5942" s="1606">
        <v>65170605.18</v>
      </c>
      <c r="O5942" s="1606">
        <v>59990781.520000003</v>
      </c>
      <c r="P5942" s="1606">
        <v>3628337.9</v>
      </c>
      <c r="Q5942" s="1606">
        <v>1551485.76</v>
      </c>
      <c r="R5942" s="1606">
        <v>5179823.66</v>
      </c>
      <c r="S5942" s="1608"/>
    </row>
    <row r="5943" spans="2:19" s="1609" customFormat="1" ht="11.25" customHeight="1" outlineLevel="1">
      <c r="B5943" s="1602">
        <v>10328</v>
      </c>
      <c r="C5943" s="1603" t="s">
        <v>5403</v>
      </c>
      <c r="D5943" s="1603" t="s">
        <v>5507</v>
      </c>
      <c r="E5943" s="1603"/>
      <c r="F5943" s="1603"/>
      <c r="G5943" s="1603" t="s">
        <v>3734</v>
      </c>
      <c r="H5943" s="1604">
        <v>2</v>
      </c>
      <c r="I5943" s="1603"/>
      <c r="J5943" s="1603"/>
      <c r="K5943" s="1605">
        <v>257</v>
      </c>
      <c r="L5943" s="1606">
        <v>988915</v>
      </c>
      <c r="M5943" s="1607"/>
      <c r="N5943" s="1606">
        <v>988915</v>
      </c>
      <c r="O5943" s="1606">
        <v>143667.29999999999</v>
      </c>
      <c r="P5943" s="1606">
        <v>816514.27</v>
      </c>
      <c r="Q5943" s="1606">
        <v>28733.43</v>
      </c>
      <c r="R5943" s="1606">
        <v>845247.7</v>
      </c>
      <c r="S5943" s="1608"/>
    </row>
    <row r="5944" spans="2:19" s="1609" customFormat="1" ht="11.25" customHeight="1" outlineLevel="1">
      <c r="B5944" s="1602">
        <v>10329</v>
      </c>
      <c r="C5944" s="1603" t="s">
        <v>5403</v>
      </c>
      <c r="D5944" s="1603" t="s">
        <v>5506</v>
      </c>
      <c r="E5944" s="1603"/>
      <c r="F5944" s="1603"/>
      <c r="G5944" s="1603" t="s">
        <v>5505</v>
      </c>
      <c r="H5944" s="1604">
        <v>2</v>
      </c>
      <c r="I5944" s="1603"/>
      <c r="J5944" s="1603"/>
      <c r="K5944" s="1605">
        <v>59</v>
      </c>
      <c r="L5944" s="1606">
        <v>68421</v>
      </c>
      <c r="M5944" s="1607"/>
      <c r="N5944" s="1606">
        <v>68421</v>
      </c>
      <c r="O5944" s="1606">
        <v>11591.53</v>
      </c>
      <c r="P5944" s="1606">
        <v>54897.59</v>
      </c>
      <c r="Q5944" s="1606">
        <v>1931.88</v>
      </c>
      <c r="R5944" s="1606">
        <v>56829.47</v>
      </c>
      <c r="S5944" s="1608"/>
    </row>
    <row r="5945" spans="2:19" s="1609" customFormat="1" ht="11.25" customHeight="1" outlineLevel="1">
      <c r="B5945" s="1602">
        <v>10330</v>
      </c>
      <c r="C5945" s="1603" t="s">
        <v>5403</v>
      </c>
      <c r="D5945" s="1603" t="s">
        <v>5504</v>
      </c>
      <c r="E5945" s="1603"/>
      <c r="F5945" s="1603"/>
      <c r="G5945" s="1603" t="s">
        <v>3734</v>
      </c>
      <c r="H5945" s="1604">
        <v>2</v>
      </c>
      <c r="I5945" s="1603"/>
      <c r="J5945" s="1603"/>
      <c r="K5945" s="1605">
        <v>54</v>
      </c>
      <c r="L5945" s="1606">
        <v>87684</v>
      </c>
      <c r="M5945" s="1607"/>
      <c r="N5945" s="1606">
        <v>87684</v>
      </c>
      <c r="O5945" s="1606">
        <v>23198.2</v>
      </c>
      <c r="P5945" s="1606">
        <v>62293.88</v>
      </c>
      <c r="Q5945" s="1606">
        <v>2191.92</v>
      </c>
      <c r="R5945" s="1606">
        <v>64485.8</v>
      </c>
      <c r="S5945" s="1608"/>
    </row>
    <row r="5946" spans="2:19" s="1609" customFormat="1" ht="11.25" customHeight="1" outlineLevel="1">
      <c r="B5946" s="1602">
        <v>10331</v>
      </c>
      <c r="C5946" s="1603" t="s">
        <v>5403</v>
      </c>
      <c r="D5946" s="1603" t="s">
        <v>5503</v>
      </c>
      <c r="E5946" s="1603"/>
      <c r="F5946" s="1603"/>
      <c r="G5946" s="1603" t="s">
        <v>3664</v>
      </c>
      <c r="H5946" s="1604">
        <v>2</v>
      </c>
      <c r="I5946" s="1603"/>
      <c r="J5946" s="1603"/>
      <c r="K5946" s="1605">
        <v>307</v>
      </c>
      <c r="L5946" s="1606">
        <v>18013</v>
      </c>
      <c r="M5946" s="1607"/>
      <c r="N5946" s="1606">
        <v>18013</v>
      </c>
      <c r="O5946" s="1606">
        <v>3052.62</v>
      </c>
      <c r="P5946" s="1606">
        <v>14451.58</v>
      </c>
      <c r="Q5946" s="1605">
        <v>508.8</v>
      </c>
      <c r="R5946" s="1606">
        <v>14960.38</v>
      </c>
      <c r="S5946" s="1608"/>
    </row>
    <row r="5947" spans="2:19" s="1609" customFormat="1" ht="11.25" customHeight="1" outlineLevel="1">
      <c r="B5947" s="1602">
        <v>10332</v>
      </c>
      <c r="C5947" s="1603" t="s">
        <v>5403</v>
      </c>
      <c r="D5947" s="1603" t="s">
        <v>5502</v>
      </c>
      <c r="E5947" s="1603"/>
      <c r="F5947" s="1603"/>
      <c r="G5947" s="1603" t="s">
        <v>5501</v>
      </c>
      <c r="H5947" s="1604">
        <v>2</v>
      </c>
      <c r="I5947" s="1603"/>
      <c r="J5947" s="1603"/>
      <c r="K5947" s="1605">
        <v>626</v>
      </c>
      <c r="L5947" s="1606">
        <v>1001815</v>
      </c>
      <c r="M5947" s="1607"/>
      <c r="N5947" s="1606">
        <v>1001815</v>
      </c>
      <c r="O5947" s="1606">
        <v>412414.43</v>
      </c>
      <c r="P5947" s="1606">
        <v>569364.29</v>
      </c>
      <c r="Q5947" s="1606">
        <v>20036.28</v>
      </c>
      <c r="R5947" s="1606">
        <v>589400.56999999995</v>
      </c>
      <c r="S5947" s="1608"/>
    </row>
    <row r="5948" spans="2:19" s="1609" customFormat="1" ht="11.25" customHeight="1" outlineLevel="1">
      <c r="B5948" s="1602">
        <v>10333</v>
      </c>
      <c r="C5948" s="1603" t="s">
        <v>5403</v>
      </c>
      <c r="D5948" s="1603" t="s">
        <v>5500</v>
      </c>
      <c r="E5948" s="1603"/>
      <c r="F5948" s="1603"/>
      <c r="G5948" s="1603" t="s">
        <v>5499</v>
      </c>
      <c r="H5948" s="1604">
        <v>2</v>
      </c>
      <c r="I5948" s="1603"/>
      <c r="J5948" s="1603"/>
      <c r="K5948" s="1605">
        <v>2</v>
      </c>
      <c r="L5948" s="1606">
        <v>1446</v>
      </c>
      <c r="M5948" s="1607"/>
      <c r="N5948" s="1606">
        <v>1446</v>
      </c>
      <c r="O5948" s="1605">
        <v>210.38</v>
      </c>
      <c r="P5948" s="1606">
        <v>1193.5</v>
      </c>
      <c r="Q5948" s="1605">
        <v>42.12</v>
      </c>
      <c r="R5948" s="1606">
        <v>1235.6199999999999</v>
      </c>
      <c r="S5948" s="1608"/>
    </row>
    <row r="5949" spans="2:19" s="1609" customFormat="1" ht="11.25" customHeight="1" outlineLevel="1">
      <c r="B5949" s="1602">
        <v>10347</v>
      </c>
      <c r="C5949" s="1603" t="s">
        <v>5403</v>
      </c>
      <c r="D5949" s="1603" t="s">
        <v>5498</v>
      </c>
      <c r="E5949" s="1603"/>
      <c r="F5949" s="1603"/>
      <c r="G5949" s="1603" t="s">
        <v>5497</v>
      </c>
      <c r="H5949" s="1604">
        <v>2</v>
      </c>
      <c r="I5949" s="1603"/>
      <c r="J5949" s="1603"/>
      <c r="K5949" s="1606">
        <v>16334</v>
      </c>
      <c r="L5949" s="1606">
        <v>16334</v>
      </c>
      <c r="M5949" s="1607"/>
      <c r="N5949" s="1606">
        <v>16334</v>
      </c>
      <c r="O5949" s="1606">
        <v>4321.41</v>
      </c>
      <c r="P5949" s="1606">
        <v>11604.23</v>
      </c>
      <c r="Q5949" s="1605">
        <v>408.36</v>
      </c>
      <c r="R5949" s="1606">
        <v>12012.59</v>
      </c>
      <c r="S5949" s="1608"/>
    </row>
    <row r="5950" spans="2:19" s="1609" customFormat="1" ht="11.25" customHeight="1" outlineLevel="1">
      <c r="B5950" s="1602">
        <v>10408</v>
      </c>
      <c r="C5950" s="1603" t="s">
        <v>5403</v>
      </c>
      <c r="D5950" s="1603" t="s">
        <v>5496</v>
      </c>
      <c r="E5950" s="1603"/>
      <c r="F5950" s="1603"/>
      <c r="G5950" s="1603" t="s">
        <v>3664</v>
      </c>
      <c r="H5950" s="1604">
        <v>2</v>
      </c>
      <c r="I5950" s="1603"/>
      <c r="J5950" s="1603"/>
      <c r="K5950" s="1606">
        <v>73544</v>
      </c>
      <c r="L5950" s="1606">
        <v>73544</v>
      </c>
      <c r="M5950" s="1607"/>
      <c r="N5950" s="1606">
        <v>73544</v>
      </c>
      <c r="O5950" s="1606">
        <v>19457.46</v>
      </c>
      <c r="P5950" s="1606">
        <v>52248.02</v>
      </c>
      <c r="Q5950" s="1606">
        <v>1838.52</v>
      </c>
      <c r="R5950" s="1606">
        <v>54086.54</v>
      </c>
      <c r="S5950" s="1608"/>
    </row>
    <row r="5951" spans="2:19" s="1609" customFormat="1" ht="11.25" customHeight="1" outlineLevel="1">
      <c r="B5951" s="1602">
        <v>10409</v>
      </c>
      <c r="C5951" s="1603" t="s">
        <v>5403</v>
      </c>
      <c r="D5951" s="1603" t="s">
        <v>5495</v>
      </c>
      <c r="E5951" s="1603"/>
      <c r="F5951" s="1603"/>
      <c r="G5951" s="1603" t="s">
        <v>3734</v>
      </c>
      <c r="H5951" s="1604">
        <v>2</v>
      </c>
      <c r="I5951" s="1603"/>
      <c r="J5951" s="1603"/>
      <c r="K5951" s="1606">
        <v>2425066</v>
      </c>
      <c r="L5951" s="1606">
        <v>2425066</v>
      </c>
      <c r="M5951" s="1607"/>
      <c r="N5951" s="1606">
        <v>2425066</v>
      </c>
      <c r="O5951" s="1606">
        <v>998317.78</v>
      </c>
      <c r="P5951" s="1606">
        <v>1378246.98</v>
      </c>
      <c r="Q5951" s="1606">
        <v>48501.24</v>
      </c>
      <c r="R5951" s="1606">
        <v>1426748.22</v>
      </c>
      <c r="S5951" s="1608"/>
    </row>
    <row r="5952" spans="2:19" s="1609" customFormat="1" ht="11.25" customHeight="1" outlineLevel="1">
      <c r="B5952" s="1602">
        <v>10416</v>
      </c>
      <c r="C5952" s="1603" t="s">
        <v>5403</v>
      </c>
      <c r="D5952" s="1603" t="s">
        <v>5494</v>
      </c>
      <c r="E5952" s="1603"/>
      <c r="F5952" s="1603"/>
      <c r="G5952" s="1603" t="s">
        <v>3734</v>
      </c>
      <c r="H5952" s="1604">
        <v>2</v>
      </c>
      <c r="I5952" s="1603"/>
      <c r="J5952" s="1603"/>
      <c r="K5952" s="1606">
        <v>125216</v>
      </c>
      <c r="L5952" s="1606">
        <v>125216</v>
      </c>
      <c r="M5952" s="1607"/>
      <c r="N5952" s="1606">
        <v>125216</v>
      </c>
      <c r="O5952" s="1606">
        <v>33129.01</v>
      </c>
      <c r="P5952" s="1606">
        <v>88956.67</v>
      </c>
      <c r="Q5952" s="1606">
        <v>3130.32</v>
      </c>
      <c r="R5952" s="1606">
        <v>92086.99</v>
      </c>
      <c r="S5952" s="1608"/>
    </row>
    <row r="5953" spans="2:19" s="1609" customFormat="1" ht="11.25" customHeight="1" outlineLevel="1">
      <c r="B5953" s="1602">
        <v>10417</v>
      </c>
      <c r="C5953" s="1603" t="s">
        <v>5403</v>
      </c>
      <c r="D5953" s="1603" t="s">
        <v>5493</v>
      </c>
      <c r="E5953" s="1603"/>
      <c r="F5953" s="1603"/>
      <c r="G5953" s="1603" t="s">
        <v>3734</v>
      </c>
      <c r="H5953" s="1604">
        <v>2</v>
      </c>
      <c r="I5953" s="1603"/>
      <c r="J5953" s="1603"/>
      <c r="K5953" s="1606">
        <v>52865</v>
      </c>
      <c r="L5953" s="1606">
        <v>52865</v>
      </c>
      <c r="M5953" s="1607"/>
      <c r="N5953" s="1606">
        <v>52865</v>
      </c>
      <c r="O5953" s="1606">
        <v>13985.82</v>
      </c>
      <c r="P5953" s="1606">
        <v>37557.74</v>
      </c>
      <c r="Q5953" s="1606">
        <v>1321.44</v>
      </c>
      <c r="R5953" s="1606">
        <v>38879.18</v>
      </c>
      <c r="S5953" s="1608"/>
    </row>
    <row r="5954" spans="2:19" s="1609" customFormat="1" ht="11.25" customHeight="1" outlineLevel="1">
      <c r="B5954" s="1602">
        <v>10419</v>
      </c>
      <c r="C5954" s="1603" t="s">
        <v>5403</v>
      </c>
      <c r="D5954" s="1603" t="s">
        <v>5492</v>
      </c>
      <c r="E5954" s="1603"/>
      <c r="F5954" s="1603"/>
      <c r="G5954" s="1603" t="s">
        <v>3734</v>
      </c>
      <c r="H5954" s="1604">
        <v>2</v>
      </c>
      <c r="I5954" s="1603"/>
      <c r="J5954" s="1603"/>
      <c r="K5954" s="1606">
        <v>59601</v>
      </c>
      <c r="L5954" s="1606">
        <v>59601</v>
      </c>
      <c r="M5954" s="1607"/>
      <c r="N5954" s="1606">
        <v>59601</v>
      </c>
      <c r="O5954" s="1606">
        <v>15768.99</v>
      </c>
      <c r="P5954" s="1606">
        <v>42341.97</v>
      </c>
      <c r="Q5954" s="1606">
        <v>1490.04</v>
      </c>
      <c r="R5954" s="1606">
        <v>43832.01</v>
      </c>
      <c r="S5954" s="1608"/>
    </row>
    <row r="5955" spans="2:19" s="1609" customFormat="1" ht="11.25" customHeight="1" outlineLevel="1">
      <c r="B5955" s="1602">
        <v>10420</v>
      </c>
      <c r="C5955" s="1603" t="s">
        <v>5403</v>
      </c>
      <c r="D5955" s="1603" t="s">
        <v>5491</v>
      </c>
      <c r="E5955" s="1603"/>
      <c r="F5955" s="1603"/>
      <c r="G5955" s="1603" t="s">
        <v>3664</v>
      </c>
      <c r="H5955" s="1604">
        <v>2</v>
      </c>
      <c r="I5955" s="1603"/>
      <c r="J5955" s="1603"/>
      <c r="K5955" s="1606">
        <v>19581</v>
      </c>
      <c r="L5955" s="1606">
        <v>19581</v>
      </c>
      <c r="M5955" s="1607"/>
      <c r="N5955" s="1606">
        <v>19581</v>
      </c>
      <c r="O5955" s="1606">
        <v>3318.12</v>
      </c>
      <c r="P5955" s="1606">
        <v>15709.87</v>
      </c>
      <c r="Q5955" s="1605">
        <v>553.01</v>
      </c>
      <c r="R5955" s="1606">
        <v>16262.88</v>
      </c>
      <c r="S5955" s="1608"/>
    </row>
    <row r="5956" spans="2:19" s="1609" customFormat="1" ht="11.25" customHeight="1" outlineLevel="1">
      <c r="B5956" s="1602">
        <v>10421</v>
      </c>
      <c r="C5956" s="1603" t="s">
        <v>5403</v>
      </c>
      <c r="D5956" s="1603" t="s">
        <v>5490</v>
      </c>
      <c r="E5956" s="1603"/>
      <c r="F5956" s="1603"/>
      <c r="G5956" s="1603" t="s">
        <v>3734</v>
      </c>
      <c r="H5956" s="1604">
        <v>2</v>
      </c>
      <c r="I5956" s="1603"/>
      <c r="J5956" s="1603"/>
      <c r="K5956" s="1606">
        <v>28930</v>
      </c>
      <c r="L5956" s="1606">
        <v>28930</v>
      </c>
      <c r="M5956" s="1607"/>
      <c r="N5956" s="1606">
        <v>28930</v>
      </c>
      <c r="O5956" s="1606">
        <v>7654.69</v>
      </c>
      <c r="P5956" s="1606">
        <v>20552.07</v>
      </c>
      <c r="Q5956" s="1605">
        <v>723.24</v>
      </c>
      <c r="R5956" s="1606">
        <v>21275.31</v>
      </c>
      <c r="S5956" s="1608"/>
    </row>
    <row r="5957" spans="2:19" s="1609" customFormat="1" ht="11.25" customHeight="1" outlineLevel="1">
      <c r="B5957" s="1602">
        <v>10439</v>
      </c>
      <c r="C5957" s="1603" t="s">
        <v>5403</v>
      </c>
      <c r="D5957" s="1603" t="s">
        <v>5489</v>
      </c>
      <c r="E5957" s="1603"/>
      <c r="F5957" s="1603"/>
      <c r="G5957" s="1603" t="s">
        <v>3734</v>
      </c>
      <c r="H5957" s="1604">
        <v>2</v>
      </c>
      <c r="I5957" s="1603"/>
      <c r="J5957" s="1603"/>
      <c r="K5957" s="1606">
        <v>289656</v>
      </c>
      <c r="L5957" s="1606">
        <v>289656</v>
      </c>
      <c r="M5957" s="1607"/>
      <c r="N5957" s="1606">
        <v>289656</v>
      </c>
      <c r="O5957" s="1606">
        <v>42079.69</v>
      </c>
      <c r="P5957" s="1606">
        <v>239160.35</v>
      </c>
      <c r="Q5957" s="1606">
        <v>8415.9599999999991</v>
      </c>
      <c r="R5957" s="1606">
        <v>247576.31</v>
      </c>
      <c r="S5957" s="1608"/>
    </row>
    <row r="5958" spans="2:19" s="1609" customFormat="1" ht="11.25" customHeight="1" outlineLevel="1">
      <c r="B5958" s="1602">
        <v>10440</v>
      </c>
      <c r="C5958" s="1603" t="s">
        <v>5403</v>
      </c>
      <c r="D5958" s="1603" t="s">
        <v>5488</v>
      </c>
      <c r="E5958" s="1603"/>
      <c r="F5958" s="1603"/>
      <c r="G5958" s="1603" t="s">
        <v>3734</v>
      </c>
      <c r="H5958" s="1604">
        <v>2</v>
      </c>
      <c r="I5958" s="1603"/>
      <c r="J5958" s="1603"/>
      <c r="K5958" s="1606">
        <v>77302</v>
      </c>
      <c r="L5958" s="1606">
        <v>77302</v>
      </c>
      <c r="M5958" s="1607"/>
      <c r="N5958" s="1606">
        <v>77302</v>
      </c>
      <c r="O5958" s="1606">
        <v>13095</v>
      </c>
      <c r="P5958" s="1606">
        <v>62024.49</v>
      </c>
      <c r="Q5958" s="1606">
        <v>2182.5100000000002</v>
      </c>
      <c r="R5958" s="1606">
        <v>64207</v>
      </c>
      <c r="S5958" s="1608"/>
    </row>
    <row r="5959" spans="2:19" s="1609" customFormat="1" ht="11.25" customHeight="1" outlineLevel="1">
      <c r="B5959" s="1602">
        <v>10441</v>
      </c>
      <c r="C5959" s="1603" t="s">
        <v>5403</v>
      </c>
      <c r="D5959" s="1603" t="s">
        <v>5487</v>
      </c>
      <c r="E5959" s="1603"/>
      <c r="F5959" s="1603"/>
      <c r="G5959" s="1603" t="s">
        <v>3734</v>
      </c>
      <c r="H5959" s="1604">
        <v>2</v>
      </c>
      <c r="I5959" s="1603"/>
      <c r="J5959" s="1603"/>
      <c r="K5959" s="1606">
        <v>2156342</v>
      </c>
      <c r="L5959" s="1606">
        <v>2156342</v>
      </c>
      <c r="M5959" s="1607"/>
      <c r="N5959" s="1606">
        <v>2156342</v>
      </c>
      <c r="O5959" s="1606">
        <v>199557.54</v>
      </c>
      <c r="P5959" s="1606">
        <v>1890265.3</v>
      </c>
      <c r="Q5959" s="1606">
        <v>66519.16</v>
      </c>
      <c r="R5959" s="1606">
        <v>1956784.46</v>
      </c>
      <c r="S5959" s="1608"/>
    </row>
    <row r="5960" spans="2:19" s="1609" customFormat="1" ht="11.25" customHeight="1" outlineLevel="1">
      <c r="B5960" s="1602">
        <v>10442</v>
      </c>
      <c r="C5960" s="1603" t="s">
        <v>5403</v>
      </c>
      <c r="D5960" s="1603" t="s">
        <v>5486</v>
      </c>
      <c r="E5960" s="1603"/>
      <c r="F5960" s="1603"/>
      <c r="G5960" s="1603" t="s">
        <v>3734</v>
      </c>
      <c r="H5960" s="1604">
        <v>2</v>
      </c>
      <c r="I5960" s="1603"/>
      <c r="J5960" s="1603"/>
      <c r="K5960" s="1606">
        <v>790178</v>
      </c>
      <c r="L5960" s="1606">
        <v>790178</v>
      </c>
      <c r="M5960" s="1607"/>
      <c r="N5960" s="1606">
        <v>790178</v>
      </c>
      <c r="O5960" s="1606">
        <v>114796.98</v>
      </c>
      <c r="P5960" s="1606">
        <v>652421.66</v>
      </c>
      <c r="Q5960" s="1606">
        <v>22959.360000000001</v>
      </c>
      <c r="R5960" s="1606">
        <v>675381.02</v>
      </c>
      <c r="S5960" s="1608"/>
    </row>
    <row r="5961" spans="2:19" s="1609" customFormat="1" ht="11.25" customHeight="1" outlineLevel="1">
      <c r="B5961" s="1602">
        <v>10443</v>
      </c>
      <c r="C5961" s="1603" t="s">
        <v>5403</v>
      </c>
      <c r="D5961" s="1603" t="s">
        <v>5485</v>
      </c>
      <c r="E5961" s="1603"/>
      <c r="F5961" s="1603"/>
      <c r="G5961" s="1603" t="s">
        <v>3734</v>
      </c>
      <c r="H5961" s="1604">
        <v>2</v>
      </c>
      <c r="I5961" s="1603"/>
      <c r="J5961" s="1603"/>
      <c r="K5961" s="1606">
        <v>135127</v>
      </c>
      <c r="L5961" s="1606">
        <v>135127</v>
      </c>
      <c r="M5961" s="1607"/>
      <c r="N5961" s="1606">
        <v>135127</v>
      </c>
      <c r="O5961" s="1606">
        <v>19632.22</v>
      </c>
      <c r="P5961" s="1606">
        <v>111568.38</v>
      </c>
      <c r="Q5961" s="1606">
        <v>3926.4</v>
      </c>
      <c r="R5961" s="1606">
        <v>115494.78</v>
      </c>
      <c r="S5961" s="1608"/>
    </row>
    <row r="5962" spans="2:19" s="1609" customFormat="1" ht="11.25" customHeight="1" outlineLevel="1">
      <c r="B5962" s="1602">
        <v>10444</v>
      </c>
      <c r="C5962" s="1603" t="s">
        <v>5403</v>
      </c>
      <c r="D5962" s="1603" t="s">
        <v>5484</v>
      </c>
      <c r="E5962" s="1603"/>
      <c r="F5962" s="1603"/>
      <c r="G5962" s="1603" t="s">
        <v>5483</v>
      </c>
      <c r="H5962" s="1604">
        <v>2</v>
      </c>
      <c r="I5962" s="1603"/>
      <c r="J5962" s="1603"/>
      <c r="K5962" s="1606">
        <v>2436809</v>
      </c>
      <c r="L5962" s="1606">
        <v>2436809</v>
      </c>
      <c r="M5962" s="1607"/>
      <c r="N5962" s="1606">
        <v>2436809</v>
      </c>
      <c r="O5962" s="1606">
        <v>354016.98</v>
      </c>
      <c r="P5962" s="1606">
        <v>2011988.66</v>
      </c>
      <c r="Q5962" s="1606">
        <v>70803.360000000001</v>
      </c>
      <c r="R5962" s="1606">
        <v>2082792.02</v>
      </c>
      <c r="S5962" s="1608"/>
    </row>
    <row r="5963" spans="2:19" s="1758" customFormat="1" ht="11.25" customHeight="1" outlineLevel="1">
      <c r="B5963" s="1752">
        <v>10445</v>
      </c>
      <c r="C5963" s="1753" t="s">
        <v>5403</v>
      </c>
      <c r="D5963" s="1753" t="s">
        <v>5482</v>
      </c>
      <c r="E5963" s="1753"/>
      <c r="F5963" s="1753"/>
      <c r="G5963" s="1753" t="s">
        <v>3734</v>
      </c>
      <c r="H5963" s="1754">
        <v>2</v>
      </c>
      <c r="I5963" s="1753"/>
      <c r="J5963" s="1753"/>
      <c r="K5963" s="1755">
        <v>140498</v>
      </c>
      <c r="L5963" s="1755">
        <v>140498</v>
      </c>
      <c r="M5963" s="1756"/>
      <c r="N5963" s="1755">
        <v>140498</v>
      </c>
      <c r="O5963" s="1755">
        <v>23803.02</v>
      </c>
      <c r="P5963" s="1755">
        <v>112727.78</v>
      </c>
      <c r="Q5963" s="1755">
        <v>3967.2</v>
      </c>
      <c r="R5963" s="1755">
        <v>116694.98</v>
      </c>
      <c r="S5963" s="1757"/>
    </row>
    <row r="5964" spans="2:19" s="1758" customFormat="1" ht="11.25" customHeight="1" outlineLevel="1">
      <c r="B5964" s="1752">
        <v>10446</v>
      </c>
      <c r="C5964" s="1753" t="s">
        <v>5403</v>
      </c>
      <c r="D5964" s="1753" t="s">
        <v>5481</v>
      </c>
      <c r="E5964" s="1753"/>
      <c r="F5964" s="1753"/>
      <c r="G5964" s="1753" t="s">
        <v>3734</v>
      </c>
      <c r="H5964" s="1754">
        <v>2</v>
      </c>
      <c r="I5964" s="1753"/>
      <c r="J5964" s="1753"/>
      <c r="K5964" s="1755">
        <v>431565</v>
      </c>
      <c r="L5964" s="1755">
        <v>431565</v>
      </c>
      <c r="M5964" s="1756"/>
      <c r="N5964" s="1755">
        <v>431565</v>
      </c>
      <c r="O5964" s="1755">
        <v>73111.320000000007</v>
      </c>
      <c r="P5964" s="1755">
        <v>346268.45</v>
      </c>
      <c r="Q5964" s="1755">
        <v>12185.23</v>
      </c>
      <c r="R5964" s="1755">
        <v>358453.68</v>
      </c>
      <c r="S5964" s="1757"/>
    </row>
    <row r="5965" spans="2:19" s="1609" customFormat="1" ht="11.25" customHeight="1" outlineLevel="1">
      <c r="B5965" s="1602">
        <v>10924</v>
      </c>
      <c r="C5965" s="1603" t="s">
        <v>5403</v>
      </c>
      <c r="D5965" s="1603" t="s">
        <v>5480</v>
      </c>
      <c r="E5965" s="1603"/>
      <c r="F5965" s="1603"/>
      <c r="G5965" s="1603" t="s">
        <v>3734</v>
      </c>
      <c r="H5965" s="1604">
        <v>2</v>
      </c>
      <c r="I5965" s="1603"/>
      <c r="J5965" s="1603"/>
      <c r="K5965" s="1606">
        <v>2327</v>
      </c>
      <c r="L5965" s="1606">
        <v>2327</v>
      </c>
      <c r="M5965" s="1607"/>
      <c r="N5965" s="1606">
        <v>2327</v>
      </c>
      <c r="O5965" s="1605">
        <v>339.3</v>
      </c>
      <c r="P5965" s="1606">
        <v>1919.83</v>
      </c>
      <c r="Q5965" s="1605">
        <v>67.87</v>
      </c>
      <c r="R5965" s="1606">
        <v>1987.7</v>
      </c>
      <c r="S5965" s="1608"/>
    </row>
    <row r="5966" spans="2:19" s="1758" customFormat="1" ht="11.25" customHeight="1" outlineLevel="1">
      <c r="B5966" s="1752">
        <v>11024</v>
      </c>
      <c r="C5966" s="1753" t="s">
        <v>5403</v>
      </c>
      <c r="D5966" s="1753" t="s">
        <v>5479</v>
      </c>
      <c r="E5966" s="1753"/>
      <c r="F5966" s="1753"/>
      <c r="G5966" s="1753" t="s">
        <v>3734</v>
      </c>
      <c r="H5966" s="1754">
        <v>2</v>
      </c>
      <c r="I5966" s="1753"/>
      <c r="J5966" s="1753"/>
      <c r="K5966" s="1755">
        <v>1200470</v>
      </c>
      <c r="L5966" s="1755">
        <v>1200470</v>
      </c>
      <c r="M5966" s="1756"/>
      <c r="N5966" s="1755">
        <v>1200470</v>
      </c>
      <c r="O5966" s="1755">
        <v>174401.61</v>
      </c>
      <c r="P5966" s="1755">
        <v>991188.11</v>
      </c>
      <c r="Q5966" s="1755">
        <v>34880.28</v>
      </c>
      <c r="R5966" s="1755">
        <v>1026068.39</v>
      </c>
      <c r="S5966" s="1757"/>
    </row>
    <row r="5967" spans="2:19" s="1609" customFormat="1" ht="11.25" customHeight="1" outlineLevel="1">
      <c r="B5967" s="1602">
        <v>11026</v>
      </c>
      <c r="C5967" s="1603" t="s">
        <v>5403</v>
      </c>
      <c r="D5967" s="1603" t="s">
        <v>5478</v>
      </c>
      <c r="E5967" s="1603"/>
      <c r="F5967" s="1603"/>
      <c r="G5967" s="1603" t="s">
        <v>3734</v>
      </c>
      <c r="H5967" s="1604">
        <v>2</v>
      </c>
      <c r="I5967" s="1603"/>
      <c r="J5967" s="1603"/>
      <c r="K5967" s="1606">
        <v>509783</v>
      </c>
      <c r="L5967" s="1606">
        <v>509783</v>
      </c>
      <c r="M5967" s="1607"/>
      <c r="N5967" s="1606">
        <v>509783</v>
      </c>
      <c r="O5967" s="1606">
        <v>97990.73</v>
      </c>
      <c r="P5967" s="1606">
        <v>397793.55</v>
      </c>
      <c r="Q5967" s="1606">
        <v>13998.72</v>
      </c>
      <c r="R5967" s="1606">
        <v>411792.27</v>
      </c>
      <c r="S5967" s="1608"/>
    </row>
    <row r="5968" spans="2:19" s="1609" customFormat="1" ht="11.25" customHeight="1" outlineLevel="1">
      <c r="B5968" s="1602">
        <v>11027</v>
      </c>
      <c r="C5968" s="1603" t="s">
        <v>5403</v>
      </c>
      <c r="D5968" s="1603" t="s">
        <v>5477</v>
      </c>
      <c r="E5968" s="1603"/>
      <c r="F5968" s="1603"/>
      <c r="G5968" s="1603" t="s">
        <v>3734</v>
      </c>
      <c r="H5968" s="1604">
        <v>2</v>
      </c>
      <c r="I5968" s="1603"/>
      <c r="J5968" s="1603"/>
      <c r="K5968" s="1606">
        <v>254026</v>
      </c>
      <c r="L5968" s="1606">
        <v>2616603.71</v>
      </c>
      <c r="M5968" s="1607"/>
      <c r="N5968" s="1606">
        <v>2616603.71</v>
      </c>
      <c r="O5968" s="1606">
        <v>1500665.71</v>
      </c>
      <c r="P5968" s="1606">
        <v>1076359.96</v>
      </c>
      <c r="Q5968" s="1606">
        <v>39578.04</v>
      </c>
      <c r="R5968" s="1606">
        <v>1115938</v>
      </c>
      <c r="S5968" s="1608"/>
    </row>
    <row r="5969" spans="2:19" s="1609" customFormat="1" ht="11.25" customHeight="1" outlineLevel="1">
      <c r="B5969" s="1602">
        <v>11130</v>
      </c>
      <c r="C5969" s="1603" t="s">
        <v>5403</v>
      </c>
      <c r="D5969" s="1603" t="s">
        <v>5476</v>
      </c>
      <c r="E5969" s="1603"/>
      <c r="F5969" s="1603"/>
      <c r="G5969" s="1603" t="s">
        <v>3664</v>
      </c>
      <c r="H5969" s="1604">
        <v>2</v>
      </c>
      <c r="I5969" s="1603"/>
      <c r="J5969" s="1603"/>
      <c r="K5969" s="1606">
        <v>27195</v>
      </c>
      <c r="L5969" s="1606">
        <v>27195</v>
      </c>
      <c r="M5969" s="1607"/>
      <c r="N5969" s="1606">
        <v>27195</v>
      </c>
      <c r="O5969" s="1606">
        <v>3950.1</v>
      </c>
      <c r="P5969" s="1606">
        <v>22454.85</v>
      </c>
      <c r="Q5969" s="1605">
        <v>790.05</v>
      </c>
      <c r="R5969" s="1606">
        <v>23244.9</v>
      </c>
      <c r="S5969" s="1608"/>
    </row>
    <row r="5970" spans="2:19" s="1609" customFormat="1" ht="11.25" customHeight="1" outlineLevel="1">
      <c r="B5970" s="1602">
        <v>11131</v>
      </c>
      <c r="C5970" s="1603" t="s">
        <v>5403</v>
      </c>
      <c r="D5970" s="1603" t="s">
        <v>5475</v>
      </c>
      <c r="E5970" s="1603"/>
      <c r="F5970" s="1603"/>
      <c r="G5970" s="1603" t="s">
        <v>3734</v>
      </c>
      <c r="H5970" s="1604">
        <v>2</v>
      </c>
      <c r="I5970" s="1603"/>
      <c r="J5970" s="1603"/>
      <c r="K5970" s="1606">
        <v>607129</v>
      </c>
      <c r="L5970" s="1606">
        <v>607129</v>
      </c>
      <c r="M5970" s="1607"/>
      <c r="N5970" s="1606">
        <v>607129</v>
      </c>
      <c r="O5970" s="1606">
        <v>249935.35999999999</v>
      </c>
      <c r="P5970" s="1606">
        <v>345051.08</v>
      </c>
      <c r="Q5970" s="1606">
        <v>12142.56</v>
      </c>
      <c r="R5970" s="1606">
        <v>357193.64</v>
      </c>
      <c r="S5970" s="1608"/>
    </row>
    <row r="5971" spans="2:19" s="1609" customFormat="1" ht="11.25" customHeight="1" outlineLevel="1">
      <c r="B5971" s="1602">
        <v>11132</v>
      </c>
      <c r="C5971" s="1603" t="s">
        <v>5403</v>
      </c>
      <c r="D5971" s="1603" t="s">
        <v>5474</v>
      </c>
      <c r="E5971" s="1603"/>
      <c r="F5971" s="1603"/>
      <c r="G5971" s="1603" t="s">
        <v>3734</v>
      </c>
      <c r="H5971" s="1604">
        <v>2</v>
      </c>
      <c r="I5971" s="1603"/>
      <c r="J5971" s="1603"/>
      <c r="K5971" s="1606">
        <v>12240</v>
      </c>
      <c r="L5971" s="1606">
        <v>12240</v>
      </c>
      <c r="M5971" s="1607"/>
      <c r="N5971" s="1606">
        <v>12240</v>
      </c>
      <c r="O5971" s="1606">
        <v>1777.32</v>
      </c>
      <c r="P5971" s="1606">
        <v>10107.24</v>
      </c>
      <c r="Q5971" s="1605">
        <v>355.44</v>
      </c>
      <c r="R5971" s="1606">
        <v>10462.68</v>
      </c>
      <c r="S5971" s="1608"/>
    </row>
    <row r="5972" spans="2:19" s="1609" customFormat="1" ht="11.25" customHeight="1" outlineLevel="1">
      <c r="B5972" s="1602">
        <v>11133</v>
      </c>
      <c r="C5972" s="1603" t="s">
        <v>5403</v>
      </c>
      <c r="D5972" s="1603" t="s">
        <v>5473</v>
      </c>
      <c r="E5972" s="1603"/>
      <c r="F5972" s="1603"/>
      <c r="G5972" s="1603" t="s">
        <v>3664</v>
      </c>
      <c r="H5972" s="1604">
        <v>2</v>
      </c>
      <c r="I5972" s="1603"/>
      <c r="J5972" s="1603"/>
      <c r="K5972" s="1606">
        <v>62338</v>
      </c>
      <c r="L5972" s="1606">
        <v>62338</v>
      </c>
      <c r="M5972" s="1607"/>
      <c r="N5972" s="1606">
        <v>62338</v>
      </c>
      <c r="O5972" s="1606">
        <v>9056.18</v>
      </c>
      <c r="P5972" s="1606">
        <v>51470.54</v>
      </c>
      <c r="Q5972" s="1606">
        <v>1811.28</v>
      </c>
      <c r="R5972" s="1606">
        <v>53281.82</v>
      </c>
      <c r="S5972" s="1608"/>
    </row>
    <row r="5973" spans="2:19" s="1609" customFormat="1" ht="11.25" customHeight="1" outlineLevel="1">
      <c r="B5973" s="1602">
        <v>11135</v>
      </c>
      <c r="C5973" s="1603" t="s">
        <v>5403</v>
      </c>
      <c r="D5973" s="1603" t="s">
        <v>5472</v>
      </c>
      <c r="E5973" s="1603"/>
      <c r="F5973" s="1603"/>
      <c r="G5973" s="1603" t="s">
        <v>3664</v>
      </c>
      <c r="H5973" s="1604">
        <v>2</v>
      </c>
      <c r="I5973" s="1603"/>
      <c r="J5973" s="1603"/>
      <c r="K5973" s="1606">
        <v>5811</v>
      </c>
      <c r="L5973" s="1606">
        <v>5811</v>
      </c>
      <c r="M5973" s="1607"/>
      <c r="N5973" s="1606">
        <v>5811</v>
      </c>
      <c r="O5973" s="1606">
        <v>2390.5500000000002</v>
      </c>
      <c r="P5973" s="1606">
        <v>3304.29</v>
      </c>
      <c r="Q5973" s="1605">
        <v>116.16</v>
      </c>
      <c r="R5973" s="1606">
        <v>3420.45</v>
      </c>
      <c r="S5973" s="1608"/>
    </row>
    <row r="5974" spans="2:19" s="1609" customFormat="1" ht="11.25" customHeight="1" outlineLevel="1">
      <c r="B5974" s="1602">
        <v>11136</v>
      </c>
      <c r="C5974" s="1603" t="s">
        <v>5403</v>
      </c>
      <c r="D5974" s="1603" t="s">
        <v>5471</v>
      </c>
      <c r="E5974" s="1603"/>
      <c r="F5974" s="1603"/>
      <c r="G5974" s="1603" t="s">
        <v>3664</v>
      </c>
      <c r="H5974" s="1604">
        <v>2</v>
      </c>
      <c r="I5974" s="1603"/>
      <c r="J5974" s="1603"/>
      <c r="K5974" s="1606">
        <v>31344</v>
      </c>
      <c r="L5974" s="1606">
        <v>31344</v>
      </c>
      <c r="M5974" s="1607"/>
      <c r="N5974" s="1606">
        <v>31344</v>
      </c>
      <c r="O5974" s="1606">
        <v>5310.25</v>
      </c>
      <c r="P5974" s="1606">
        <v>25148.75</v>
      </c>
      <c r="Q5974" s="1605">
        <v>885</v>
      </c>
      <c r="R5974" s="1606">
        <v>26033.75</v>
      </c>
      <c r="S5974" s="1608"/>
    </row>
    <row r="5975" spans="2:19" s="1609" customFormat="1" ht="11.25" customHeight="1" outlineLevel="1">
      <c r="B5975" s="1602">
        <v>11137</v>
      </c>
      <c r="C5975" s="1603" t="s">
        <v>5403</v>
      </c>
      <c r="D5975" s="1603" t="s">
        <v>5470</v>
      </c>
      <c r="E5975" s="1603"/>
      <c r="F5975" s="1603"/>
      <c r="G5975" s="1603" t="s">
        <v>3734</v>
      </c>
      <c r="H5975" s="1604">
        <v>2</v>
      </c>
      <c r="I5975" s="1603"/>
      <c r="J5975" s="1603"/>
      <c r="K5975" s="1606">
        <v>4020</v>
      </c>
      <c r="L5975" s="1606">
        <v>4020</v>
      </c>
      <c r="M5975" s="1607"/>
      <c r="N5975" s="1606">
        <v>4020</v>
      </c>
      <c r="O5975" s="1606">
        <v>1654.9</v>
      </c>
      <c r="P5975" s="1606">
        <v>2284.6999999999998</v>
      </c>
      <c r="Q5975" s="1605">
        <v>80.400000000000006</v>
      </c>
      <c r="R5975" s="1606">
        <v>2365.1</v>
      </c>
      <c r="S5975" s="1608"/>
    </row>
    <row r="5976" spans="2:19" s="1717" customFormat="1" ht="11.25" customHeight="1" outlineLevel="1">
      <c r="B5976" s="1711">
        <v>11138</v>
      </c>
      <c r="C5976" s="1712" t="s">
        <v>5403</v>
      </c>
      <c r="D5976" s="1712" t="s">
        <v>5469</v>
      </c>
      <c r="E5976" s="1712"/>
      <c r="F5976" s="1712"/>
      <c r="G5976" s="1712" t="s">
        <v>3734</v>
      </c>
      <c r="H5976" s="1713">
        <v>2</v>
      </c>
      <c r="I5976" s="1726">
        <v>1034</v>
      </c>
      <c r="J5976" s="1712"/>
      <c r="K5976" s="1714">
        <v>30140</v>
      </c>
      <c r="L5976" s="1714">
        <v>38459575.560000002</v>
      </c>
      <c r="M5976" s="1715"/>
      <c r="N5976" s="1714">
        <v>38459575.560000002</v>
      </c>
      <c r="O5976" s="1714">
        <v>26006401.84</v>
      </c>
      <c r="P5976" s="1714">
        <v>11558970.800000001</v>
      </c>
      <c r="Q5976" s="1714">
        <v>894202.92</v>
      </c>
      <c r="R5976" s="1714">
        <v>12453173.720000001</v>
      </c>
      <c r="S5976" s="1716"/>
    </row>
    <row r="5977" spans="2:19" s="1717" customFormat="1" ht="11.25" customHeight="1" outlineLevel="1">
      <c r="B5977" s="1711">
        <v>11139</v>
      </c>
      <c r="C5977" s="1712" t="s">
        <v>5403</v>
      </c>
      <c r="D5977" s="1712" t="s">
        <v>5468</v>
      </c>
      <c r="E5977" s="1712"/>
      <c r="F5977" s="1712"/>
      <c r="G5977" s="1712" t="s">
        <v>3664</v>
      </c>
      <c r="H5977" s="1713">
        <v>2</v>
      </c>
      <c r="I5977" s="1712"/>
      <c r="J5977" s="1712"/>
      <c r="K5977" s="1714">
        <v>2129868</v>
      </c>
      <c r="L5977" s="1714">
        <v>2129868</v>
      </c>
      <c r="M5977" s="1715"/>
      <c r="N5977" s="1714">
        <v>2129868</v>
      </c>
      <c r="O5977" s="1714">
        <v>309422.65000000002</v>
      </c>
      <c r="P5977" s="1714">
        <v>1758560.87</v>
      </c>
      <c r="Q5977" s="1714">
        <v>61884.480000000003</v>
      </c>
      <c r="R5977" s="1714">
        <v>1820445.35</v>
      </c>
      <c r="S5977" s="1716"/>
    </row>
    <row r="5978" spans="2:19" s="1609" customFormat="1" ht="11.25" customHeight="1" outlineLevel="1">
      <c r="B5978" s="1602">
        <v>11140</v>
      </c>
      <c r="C5978" s="1603" t="s">
        <v>5403</v>
      </c>
      <c r="D5978" s="1603" t="s">
        <v>5467</v>
      </c>
      <c r="E5978" s="1603"/>
      <c r="F5978" s="1603"/>
      <c r="G5978" s="1603" t="s">
        <v>3664</v>
      </c>
      <c r="H5978" s="1604">
        <v>2</v>
      </c>
      <c r="I5978" s="1603"/>
      <c r="J5978" s="1603"/>
      <c r="K5978" s="1606">
        <v>27628</v>
      </c>
      <c r="L5978" s="1606">
        <v>27628</v>
      </c>
      <c r="M5978" s="1607"/>
      <c r="N5978" s="1606">
        <v>27628</v>
      </c>
      <c r="O5978" s="1606">
        <v>4012.54</v>
      </c>
      <c r="P5978" s="1606">
        <v>22812.9</v>
      </c>
      <c r="Q5978" s="1605">
        <v>802.56</v>
      </c>
      <c r="R5978" s="1606">
        <v>23615.46</v>
      </c>
      <c r="S5978" s="1608"/>
    </row>
    <row r="5979" spans="2:19" s="1609" customFormat="1" ht="11.25" customHeight="1" outlineLevel="1">
      <c r="B5979" s="1602">
        <v>11141</v>
      </c>
      <c r="C5979" s="1603" t="s">
        <v>5403</v>
      </c>
      <c r="D5979" s="1603" t="s">
        <v>5466</v>
      </c>
      <c r="E5979" s="1603"/>
      <c r="F5979" s="1603"/>
      <c r="G5979" s="1603" t="s">
        <v>5465</v>
      </c>
      <c r="H5979" s="1604">
        <v>2</v>
      </c>
      <c r="I5979" s="1603"/>
      <c r="J5979" s="1603"/>
      <c r="K5979" s="1606">
        <v>13048</v>
      </c>
      <c r="L5979" s="1606">
        <v>13048</v>
      </c>
      <c r="M5979" s="1607"/>
      <c r="N5979" s="1606">
        <v>13048</v>
      </c>
      <c r="O5979" s="1606">
        <v>1896.49</v>
      </c>
      <c r="P5979" s="1606">
        <v>10772.19</v>
      </c>
      <c r="Q5979" s="1605">
        <v>379.32</v>
      </c>
      <c r="R5979" s="1606">
        <v>11151.51</v>
      </c>
      <c r="S5979" s="1608"/>
    </row>
    <row r="5980" spans="2:19" s="1609" customFormat="1" ht="11.25" customHeight="1" outlineLevel="1">
      <c r="B5980" s="1602">
        <v>11142</v>
      </c>
      <c r="C5980" s="1603" t="s">
        <v>5403</v>
      </c>
      <c r="D5980" s="1603" t="s">
        <v>5464</v>
      </c>
      <c r="E5980" s="1603"/>
      <c r="F5980" s="1603"/>
      <c r="G5980" s="1603" t="s">
        <v>3761</v>
      </c>
      <c r="H5980" s="1604">
        <v>2</v>
      </c>
      <c r="I5980" s="1603"/>
      <c r="J5980" s="1603"/>
      <c r="K5980" s="1606">
        <v>150696</v>
      </c>
      <c r="L5980" s="1606">
        <v>150696</v>
      </c>
      <c r="M5980" s="1607"/>
      <c r="N5980" s="1606">
        <v>150696</v>
      </c>
      <c r="O5980" s="1606">
        <v>39871.65</v>
      </c>
      <c r="P5980" s="1606">
        <v>107056.95</v>
      </c>
      <c r="Q5980" s="1606">
        <v>3767.4</v>
      </c>
      <c r="R5980" s="1606">
        <v>110824.35</v>
      </c>
      <c r="S5980" s="1608"/>
    </row>
    <row r="5981" spans="2:19" s="1609" customFormat="1" ht="11.25" customHeight="1" outlineLevel="1">
      <c r="B5981" s="1602">
        <v>11143</v>
      </c>
      <c r="C5981" s="1603" t="s">
        <v>5403</v>
      </c>
      <c r="D5981" s="1603" t="s">
        <v>5463</v>
      </c>
      <c r="E5981" s="1603"/>
      <c r="F5981" s="1603"/>
      <c r="G5981" s="1603" t="s">
        <v>3664</v>
      </c>
      <c r="H5981" s="1604">
        <v>2</v>
      </c>
      <c r="I5981" s="1603"/>
      <c r="J5981" s="1603"/>
      <c r="K5981" s="1606">
        <v>84906</v>
      </c>
      <c r="L5981" s="1606">
        <v>84906</v>
      </c>
      <c r="M5981" s="1607"/>
      <c r="N5981" s="1606">
        <v>84906</v>
      </c>
      <c r="O5981" s="1606">
        <v>34952.97</v>
      </c>
      <c r="P5981" s="1606">
        <v>48254.91</v>
      </c>
      <c r="Q5981" s="1606">
        <v>1698.12</v>
      </c>
      <c r="R5981" s="1606">
        <v>49953.03</v>
      </c>
      <c r="S5981" s="1608"/>
    </row>
    <row r="5982" spans="2:19" s="1609" customFormat="1" ht="11.25" customHeight="1" outlineLevel="1">
      <c r="B5982" s="1602">
        <v>11144</v>
      </c>
      <c r="C5982" s="1603" t="s">
        <v>5403</v>
      </c>
      <c r="D5982" s="1603" t="s">
        <v>5462</v>
      </c>
      <c r="E5982" s="1603"/>
      <c r="F5982" s="1603"/>
      <c r="G5982" s="1603" t="s">
        <v>3734</v>
      </c>
      <c r="H5982" s="1604">
        <v>2</v>
      </c>
      <c r="I5982" s="1603"/>
      <c r="J5982" s="1603"/>
      <c r="K5982" s="1606">
        <v>997306</v>
      </c>
      <c r="L5982" s="1606">
        <v>997306</v>
      </c>
      <c r="M5982" s="1607"/>
      <c r="N5982" s="1606">
        <v>997306</v>
      </c>
      <c r="O5982" s="1606">
        <v>144888.29999999999</v>
      </c>
      <c r="P5982" s="1606">
        <v>823439.98</v>
      </c>
      <c r="Q5982" s="1606">
        <v>28977.72</v>
      </c>
      <c r="R5982" s="1606">
        <v>852417.7</v>
      </c>
      <c r="S5982" s="1608"/>
    </row>
    <row r="5983" spans="2:19" s="1717" customFormat="1" ht="11.25" customHeight="1" outlineLevel="1">
      <c r="B5983" s="1711">
        <v>11184</v>
      </c>
      <c r="C5983" s="1712" t="s">
        <v>5403</v>
      </c>
      <c r="D5983" s="1712" t="s">
        <v>5461</v>
      </c>
      <c r="E5983" s="1712"/>
      <c r="F5983" s="1712"/>
      <c r="G5983" s="1712" t="s">
        <v>3664</v>
      </c>
      <c r="H5983" s="1713">
        <v>2</v>
      </c>
      <c r="I5983" s="1712"/>
      <c r="J5983" s="1712"/>
      <c r="K5983" s="1727">
        <v>5</v>
      </c>
      <c r="L5983" s="1714">
        <v>5912</v>
      </c>
      <c r="M5983" s="1715"/>
      <c r="N5983" s="1714">
        <v>5912</v>
      </c>
      <c r="O5983" s="1727">
        <v>860.21</v>
      </c>
      <c r="P5983" s="1714">
        <v>4879.71</v>
      </c>
      <c r="Q5983" s="1727">
        <v>172.08</v>
      </c>
      <c r="R5983" s="1714">
        <v>5051.79</v>
      </c>
      <c r="S5983" s="1716"/>
    </row>
    <row r="5984" spans="2:19" s="1609" customFormat="1" ht="11.25" customHeight="1" outlineLevel="1">
      <c r="B5984" s="1602">
        <v>11188</v>
      </c>
      <c r="C5984" s="1603" t="s">
        <v>5403</v>
      </c>
      <c r="D5984" s="1603" t="s">
        <v>5460</v>
      </c>
      <c r="E5984" s="1603"/>
      <c r="F5984" s="1603"/>
      <c r="G5984" s="1603" t="s">
        <v>5425</v>
      </c>
      <c r="H5984" s="1604">
        <v>2</v>
      </c>
      <c r="I5984" s="1603"/>
      <c r="J5984" s="1603"/>
      <c r="K5984" s="1606">
        <v>11187</v>
      </c>
      <c r="L5984" s="1606">
        <v>11187</v>
      </c>
      <c r="M5984" s="1607"/>
      <c r="N5984" s="1606">
        <v>11187</v>
      </c>
      <c r="O5984" s="1606">
        <v>2958.69</v>
      </c>
      <c r="P5984" s="1606">
        <v>7948.71</v>
      </c>
      <c r="Q5984" s="1605">
        <v>279.60000000000002</v>
      </c>
      <c r="R5984" s="1606">
        <v>8228.31</v>
      </c>
      <c r="S5984" s="1608"/>
    </row>
    <row r="5985" spans="2:19" s="1609" customFormat="1" ht="11.25" customHeight="1" outlineLevel="1">
      <c r="B5985" s="1602">
        <v>11196</v>
      </c>
      <c r="C5985" s="1603" t="s">
        <v>5403</v>
      </c>
      <c r="D5985" s="1603" t="s">
        <v>5459</v>
      </c>
      <c r="E5985" s="1603"/>
      <c r="F5985" s="1603"/>
      <c r="G5985" s="1603" t="s">
        <v>5458</v>
      </c>
      <c r="H5985" s="1604">
        <v>2</v>
      </c>
      <c r="I5985" s="1603"/>
      <c r="J5985" s="1603"/>
      <c r="K5985" s="1605">
        <v>72</v>
      </c>
      <c r="L5985" s="1606">
        <v>83577</v>
      </c>
      <c r="M5985" s="1607"/>
      <c r="N5985" s="1606">
        <v>83577</v>
      </c>
      <c r="O5985" s="1606">
        <v>22112.639999999999</v>
      </c>
      <c r="P5985" s="1606">
        <v>59374.92</v>
      </c>
      <c r="Q5985" s="1606">
        <v>2089.44</v>
      </c>
      <c r="R5985" s="1606">
        <v>61464.36</v>
      </c>
      <c r="S5985" s="1608"/>
    </row>
    <row r="5986" spans="2:19" s="1609" customFormat="1" ht="11.25" customHeight="1" outlineLevel="1">
      <c r="B5986" s="1602">
        <v>11201</v>
      </c>
      <c r="C5986" s="1603" t="s">
        <v>5403</v>
      </c>
      <c r="D5986" s="1603" t="s">
        <v>5457</v>
      </c>
      <c r="E5986" s="1603"/>
      <c r="F5986" s="1603"/>
      <c r="G5986" s="1603" t="s">
        <v>5425</v>
      </c>
      <c r="H5986" s="1604">
        <v>2</v>
      </c>
      <c r="I5986" s="1603"/>
      <c r="J5986" s="1603"/>
      <c r="K5986" s="1606">
        <v>7404</v>
      </c>
      <c r="L5986" s="1606">
        <v>2384489.38</v>
      </c>
      <c r="M5986" s="1607"/>
      <c r="N5986" s="1606">
        <v>2384489.38</v>
      </c>
      <c r="O5986" s="1606">
        <v>2080244.04</v>
      </c>
      <c r="P5986" s="1606">
        <v>210399.7</v>
      </c>
      <c r="Q5986" s="1606">
        <v>93845.64</v>
      </c>
      <c r="R5986" s="1606">
        <v>304245.34000000003</v>
      </c>
      <c r="S5986" s="1608"/>
    </row>
    <row r="5987" spans="2:19" s="1609" customFormat="1" ht="11.25" customHeight="1" outlineLevel="1">
      <c r="B5987" s="1602">
        <v>11202</v>
      </c>
      <c r="C5987" s="1603" t="s">
        <v>5403</v>
      </c>
      <c r="D5987" s="1603" t="s">
        <v>5456</v>
      </c>
      <c r="E5987" s="1603"/>
      <c r="F5987" s="1603"/>
      <c r="G5987" s="1603" t="s">
        <v>5442</v>
      </c>
      <c r="H5987" s="1604">
        <v>2</v>
      </c>
      <c r="I5987" s="1603"/>
      <c r="J5987" s="1603"/>
      <c r="K5987" s="1605">
        <v>3</v>
      </c>
      <c r="L5987" s="1606">
        <v>1682</v>
      </c>
      <c r="M5987" s="1607"/>
      <c r="N5987" s="1606">
        <v>1682</v>
      </c>
      <c r="O5987" s="1605">
        <v>446.38</v>
      </c>
      <c r="P5987" s="1606">
        <v>1193.5</v>
      </c>
      <c r="Q5987" s="1605">
        <v>42.12</v>
      </c>
      <c r="R5987" s="1606">
        <v>1235.6199999999999</v>
      </c>
      <c r="S5987" s="1608"/>
    </row>
    <row r="5988" spans="2:19" s="1609" customFormat="1" ht="11.25" customHeight="1" outlineLevel="1">
      <c r="B5988" s="1602">
        <v>11203</v>
      </c>
      <c r="C5988" s="1603" t="s">
        <v>5403</v>
      </c>
      <c r="D5988" s="1603" t="s">
        <v>5455</v>
      </c>
      <c r="E5988" s="1603"/>
      <c r="F5988" s="1603"/>
      <c r="G5988" s="1603" t="s">
        <v>3734</v>
      </c>
      <c r="H5988" s="1604">
        <v>2</v>
      </c>
      <c r="I5988" s="1603"/>
      <c r="J5988" s="1603"/>
      <c r="K5988" s="1605">
        <v>73</v>
      </c>
      <c r="L5988" s="1606">
        <v>71693</v>
      </c>
      <c r="M5988" s="1607"/>
      <c r="N5988" s="1606">
        <v>71693</v>
      </c>
      <c r="O5988" s="1606">
        <v>2166.36</v>
      </c>
      <c r="P5988" s="1606">
        <v>67163.360000000001</v>
      </c>
      <c r="Q5988" s="1606">
        <v>2363.2800000000002</v>
      </c>
      <c r="R5988" s="1606">
        <v>69526.64</v>
      </c>
      <c r="S5988" s="1608"/>
    </row>
    <row r="5989" spans="2:19" s="1609" customFormat="1" ht="11.25" customHeight="1" outlineLevel="1">
      <c r="B5989" s="1602">
        <v>11228</v>
      </c>
      <c r="C5989" s="1603" t="s">
        <v>5403</v>
      </c>
      <c r="D5989" s="1603" t="s">
        <v>5454</v>
      </c>
      <c r="E5989" s="1603"/>
      <c r="F5989" s="1603"/>
      <c r="G5989" s="1603" t="s">
        <v>3734</v>
      </c>
      <c r="H5989" s="1604">
        <v>2</v>
      </c>
      <c r="I5989" s="1603"/>
      <c r="J5989" s="1603"/>
      <c r="K5989" s="1606">
        <v>15195</v>
      </c>
      <c r="L5989" s="1606">
        <v>15195</v>
      </c>
      <c r="M5989" s="1607"/>
      <c r="N5989" s="1606">
        <v>15195</v>
      </c>
      <c r="O5989" s="1606">
        <v>2921.1</v>
      </c>
      <c r="P5989" s="1606">
        <v>11856.57</v>
      </c>
      <c r="Q5989" s="1605">
        <v>417.33</v>
      </c>
      <c r="R5989" s="1606">
        <v>12273.9</v>
      </c>
      <c r="S5989" s="1608"/>
    </row>
    <row r="5990" spans="2:19" s="1609" customFormat="1" ht="11.25" customHeight="1" outlineLevel="1">
      <c r="B5990" s="1602">
        <v>11229</v>
      </c>
      <c r="C5990" s="1603" t="s">
        <v>5403</v>
      </c>
      <c r="D5990" s="1603" t="s">
        <v>5453</v>
      </c>
      <c r="E5990" s="1603"/>
      <c r="F5990" s="1603"/>
      <c r="G5990" s="1603" t="s">
        <v>3734</v>
      </c>
      <c r="H5990" s="1604">
        <v>2</v>
      </c>
      <c r="I5990" s="1603"/>
      <c r="J5990" s="1603"/>
      <c r="K5990" s="1606">
        <v>3769</v>
      </c>
      <c r="L5990" s="1606">
        <v>3769</v>
      </c>
      <c r="M5990" s="1607"/>
      <c r="N5990" s="1606">
        <v>3769</v>
      </c>
      <c r="O5990" s="1606">
        <v>1552.16</v>
      </c>
      <c r="P5990" s="1606">
        <v>2141.48</v>
      </c>
      <c r="Q5990" s="1605">
        <v>75.36</v>
      </c>
      <c r="R5990" s="1606">
        <v>2216.84</v>
      </c>
      <c r="S5990" s="1608"/>
    </row>
    <row r="5991" spans="2:19" s="1609" customFormat="1" ht="11.25" customHeight="1" outlineLevel="1">
      <c r="B5991" s="1602">
        <v>11235</v>
      </c>
      <c r="C5991" s="1603" t="s">
        <v>5403</v>
      </c>
      <c r="D5991" s="1603" t="s">
        <v>5452</v>
      </c>
      <c r="E5991" s="1603"/>
      <c r="F5991" s="1603"/>
      <c r="G5991" s="1603" t="s">
        <v>3734</v>
      </c>
      <c r="H5991" s="1604">
        <v>2</v>
      </c>
      <c r="I5991" s="1603"/>
      <c r="J5991" s="1603"/>
      <c r="K5991" s="1606">
        <v>27898</v>
      </c>
      <c r="L5991" s="1606">
        <v>55796</v>
      </c>
      <c r="M5991" s="1607"/>
      <c r="N5991" s="1606">
        <v>55796</v>
      </c>
      <c r="O5991" s="1606">
        <v>10724.96</v>
      </c>
      <c r="P5991" s="1606">
        <v>43538.879999999997</v>
      </c>
      <c r="Q5991" s="1606">
        <v>1532.16</v>
      </c>
      <c r="R5991" s="1606">
        <v>45071.040000000001</v>
      </c>
      <c r="S5991" s="1608"/>
    </row>
    <row r="5992" spans="2:19" s="1609" customFormat="1" ht="11.25" customHeight="1" outlineLevel="1">
      <c r="B5992" s="1602">
        <v>11252</v>
      </c>
      <c r="C5992" s="1603" t="s">
        <v>5403</v>
      </c>
      <c r="D5992" s="1603" t="s">
        <v>5451</v>
      </c>
      <c r="E5992" s="1603"/>
      <c r="F5992" s="1603"/>
      <c r="G5992" s="1603" t="s">
        <v>5450</v>
      </c>
      <c r="H5992" s="1604">
        <v>2</v>
      </c>
      <c r="I5992" s="1603"/>
      <c r="J5992" s="1603"/>
      <c r="K5992" s="1605">
        <v>105</v>
      </c>
      <c r="L5992" s="1605">
        <v>105</v>
      </c>
      <c r="M5992" s="1607"/>
      <c r="N5992" s="1605">
        <v>105</v>
      </c>
      <c r="O5992" s="1605">
        <v>2.91</v>
      </c>
      <c r="P5992" s="1605">
        <v>98.89</v>
      </c>
      <c r="Q5992" s="1605">
        <v>3.2</v>
      </c>
      <c r="R5992" s="1605">
        <v>102.09</v>
      </c>
      <c r="S5992" s="1608"/>
    </row>
    <row r="5993" spans="2:19" s="1609" customFormat="1" ht="11.25" customHeight="1" outlineLevel="1">
      <c r="B5993" s="1602">
        <v>11253</v>
      </c>
      <c r="C5993" s="1603" t="s">
        <v>5403</v>
      </c>
      <c r="D5993" s="1603" t="s">
        <v>5449</v>
      </c>
      <c r="E5993" s="1603"/>
      <c r="F5993" s="1603"/>
      <c r="G5993" s="1603" t="s">
        <v>5448</v>
      </c>
      <c r="H5993" s="1604">
        <v>2</v>
      </c>
      <c r="I5993" s="1603"/>
      <c r="J5993" s="1603"/>
      <c r="K5993" s="1605">
        <v>61</v>
      </c>
      <c r="L5993" s="1605">
        <v>61</v>
      </c>
      <c r="M5993" s="1607"/>
      <c r="N5993" s="1605">
        <v>61</v>
      </c>
      <c r="O5993" s="1605">
        <v>1.47</v>
      </c>
      <c r="P5993" s="1605">
        <v>57.97</v>
      </c>
      <c r="Q5993" s="1605">
        <v>1.56</v>
      </c>
      <c r="R5993" s="1605">
        <v>59.53</v>
      </c>
      <c r="S5993" s="1608"/>
    </row>
    <row r="5994" spans="2:19" s="1609" customFormat="1" ht="11.25" customHeight="1" outlineLevel="1">
      <c r="B5994" s="1602">
        <v>11254</v>
      </c>
      <c r="C5994" s="1603" t="s">
        <v>5403</v>
      </c>
      <c r="D5994" s="1603" t="s">
        <v>5447</v>
      </c>
      <c r="E5994" s="1603"/>
      <c r="F5994" s="1603"/>
      <c r="G5994" s="1603" t="s">
        <v>5446</v>
      </c>
      <c r="H5994" s="1604">
        <v>2</v>
      </c>
      <c r="I5994" s="1603"/>
      <c r="J5994" s="1603"/>
      <c r="K5994" s="1605">
        <v>55</v>
      </c>
      <c r="L5994" s="1605">
        <v>55</v>
      </c>
      <c r="M5994" s="1607"/>
      <c r="N5994" s="1605">
        <v>55</v>
      </c>
      <c r="O5994" s="1605">
        <v>1.81</v>
      </c>
      <c r="P5994" s="1605">
        <v>51.15</v>
      </c>
      <c r="Q5994" s="1605">
        <v>2.04</v>
      </c>
      <c r="R5994" s="1605">
        <v>53.19</v>
      </c>
      <c r="S5994" s="1608"/>
    </row>
    <row r="5995" spans="2:19" s="1609" customFormat="1" ht="11.25" customHeight="1" outlineLevel="1">
      <c r="B5995" s="1602">
        <v>11255</v>
      </c>
      <c r="C5995" s="1603" t="s">
        <v>5403</v>
      </c>
      <c r="D5995" s="1603" t="s">
        <v>5445</v>
      </c>
      <c r="E5995" s="1603"/>
      <c r="F5995" s="1603"/>
      <c r="G5995" s="1603" t="s">
        <v>5444</v>
      </c>
      <c r="H5995" s="1604">
        <v>2</v>
      </c>
      <c r="I5995" s="1603"/>
      <c r="J5995" s="1603"/>
      <c r="K5995" s="1605">
        <v>53</v>
      </c>
      <c r="L5995" s="1605">
        <v>53</v>
      </c>
      <c r="M5995" s="1607"/>
      <c r="N5995" s="1605">
        <v>53</v>
      </c>
      <c r="O5995" s="1605">
        <v>0.89</v>
      </c>
      <c r="P5995" s="1605">
        <v>51.15</v>
      </c>
      <c r="Q5995" s="1605">
        <v>0.96</v>
      </c>
      <c r="R5995" s="1605">
        <v>52.11</v>
      </c>
      <c r="S5995" s="1608"/>
    </row>
    <row r="5996" spans="2:19" s="1609" customFormat="1" ht="11.25" customHeight="1" outlineLevel="1">
      <c r="B5996" s="1602">
        <v>11256</v>
      </c>
      <c r="C5996" s="1603" t="s">
        <v>5403</v>
      </c>
      <c r="D5996" s="1603" t="s">
        <v>5443</v>
      </c>
      <c r="E5996" s="1603"/>
      <c r="F5996" s="1603"/>
      <c r="G5996" s="1603" t="s">
        <v>5442</v>
      </c>
      <c r="H5996" s="1604">
        <v>2</v>
      </c>
      <c r="I5996" s="1603"/>
      <c r="J5996" s="1603"/>
      <c r="K5996" s="1605">
        <v>322</v>
      </c>
      <c r="L5996" s="1605">
        <v>322</v>
      </c>
      <c r="M5996" s="1607"/>
      <c r="N5996" s="1605">
        <v>322</v>
      </c>
      <c r="O5996" s="1605">
        <v>10.5</v>
      </c>
      <c r="P5996" s="1605">
        <v>300.08</v>
      </c>
      <c r="Q5996" s="1605">
        <v>11.42</v>
      </c>
      <c r="R5996" s="1605">
        <v>311.5</v>
      </c>
      <c r="S5996" s="1608"/>
    </row>
    <row r="5997" spans="2:19" s="1609" customFormat="1" ht="11.25" customHeight="1" outlineLevel="1">
      <c r="B5997" s="1602">
        <v>11471</v>
      </c>
      <c r="C5997" s="1603" t="s">
        <v>5403</v>
      </c>
      <c r="D5997" s="1603" t="s">
        <v>5441</v>
      </c>
      <c r="E5997" s="1603"/>
      <c r="F5997" s="1603"/>
      <c r="G5997" s="1603" t="s">
        <v>4654</v>
      </c>
      <c r="H5997" s="1604">
        <v>2</v>
      </c>
      <c r="I5997" s="1603"/>
      <c r="J5997" s="1603"/>
      <c r="K5997" s="1605">
        <v>316</v>
      </c>
      <c r="L5997" s="1606">
        <v>581715</v>
      </c>
      <c r="M5997" s="1607"/>
      <c r="N5997" s="1606">
        <v>581715</v>
      </c>
      <c r="O5997" s="1606">
        <v>3242.13</v>
      </c>
      <c r="P5997" s="1606">
        <v>561940.72</v>
      </c>
      <c r="Q5997" s="1606">
        <v>16532.150000000001</v>
      </c>
      <c r="R5997" s="1606">
        <v>578472.87</v>
      </c>
      <c r="S5997" s="1608"/>
    </row>
    <row r="5998" spans="2:19" s="1609" customFormat="1" ht="11.25" customHeight="1" outlineLevel="1">
      <c r="B5998" s="1602">
        <v>11473</v>
      </c>
      <c r="C5998" s="1603" t="s">
        <v>5403</v>
      </c>
      <c r="D5998" s="1603" t="s">
        <v>5440</v>
      </c>
      <c r="E5998" s="1603"/>
      <c r="F5998" s="1603"/>
      <c r="G5998" s="1603" t="s">
        <v>4654</v>
      </c>
      <c r="H5998" s="1604">
        <v>2</v>
      </c>
      <c r="I5998" s="1603"/>
      <c r="J5998" s="1603"/>
      <c r="K5998" s="1605">
        <v>14</v>
      </c>
      <c r="L5998" s="1606">
        <v>1478</v>
      </c>
      <c r="M5998" s="1607"/>
      <c r="N5998" s="1606">
        <v>1478</v>
      </c>
      <c r="O5998" s="1605">
        <v>249.68</v>
      </c>
      <c r="P5998" s="1606">
        <v>1186.68</v>
      </c>
      <c r="Q5998" s="1605">
        <v>41.64</v>
      </c>
      <c r="R5998" s="1606">
        <v>1228.32</v>
      </c>
      <c r="S5998" s="1608"/>
    </row>
    <row r="5999" spans="2:19" s="1609" customFormat="1" ht="11.25" customHeight="1" outlineLevel="1">
      <c r="B5999" s="1602">
        <v>11478</v>
      </c>
      <c r="C5999" s="1603" t="s">
        <v>5403</v>
      </c>
      <c r="D5999" s="1603" t="s">
        <v>5439</v>
      </c>
      <c r="E5999" s="1603"/>
      <c r="F5999" s="1603"/>
      <c r="G5999" s="1603" t="s">
        <v>5438</v>
      </c>
      <c r="H5999" s="1604">
        <v>2</v>
      </c>
      <c r="I5999" s="1603"/>
      <c r="J5999" s="1603"/>
      <c r="K5999" s="1606">
        <v>579311</v>
      </c>
      <c r="L5999" s="1606">
        <v>579311</v>
      </c>
      <c r="M5999" s="1607"/>
      <c r="N5999" s="1606">
        <v>579311</v>
      </c>
      <c r="O5999" s="1606">
        <v>84161.43</v>
      </c>
      <c r="P5999" s="1606">
        <v>478317.29</v>
      </c>
      <c r="Q5999" s="1606">
        <v>16832.28</v>
      </c>
      <c r="R5999" s="1606">
        <v>495149.57</v>
      </c>
      <c r="S5999" s="1608"/>
    </row>
    <row r="6000" spans="2:19" s="1609" customFormat="1" ht="11.25" customHeight="1" outlineLevel="1">
      <c r="B6000" s="1602">
        <v>11479</v>
      </c>
      <c r="C6000" s="1603" t="s">
        <v>5403</v>
      </c>
      <c r="D6000" s="1603" t="s">
        <v>5437</v>
      </c>
      <c r="E6000" s="1603"/>
      <c r="F6000" s="1603"/>
      <c r="G6000" s="1603" t="s">
        <v>3649</v>
      </c>
      <c r="H6000" s="1604">
        <v>2</v>
      </c>
      <c r="I6000" s="1603"/>
      <c r="J6000" s="1603"/>
      <c r="K6000" s="1606">
        <v>579311</v>
      </c>
      <c r="L6000" s="1606">
        <v>579311</v>
      </c>
      <c r="M6000" s="1607"/>
      <c r="N6000" s="1606">
        <v>579311</v>
      </c>
      <c r="O6000" s="1606">
        <v>238482.44</v>
      </c>
      <c r="P6000" s="1606">
        <v>329242.32</v>
      </c>
      <c r="Q6000" s="1606">
        <v>11586.24</v>
      </c>
      <c r="R6000" s="1606">
        <v>340828.56</v>
      </c>
      <c r="S6000" s="1608"/>
    </row>
    <row r="6001" spans="2:19" s="1609" customFormat="1" ht="11.25" customHeight="1" outlineLevel="1">
      <c r="B6001" s="1602">
        <v>11480</v>
      </c>
      <c r="C6001" s="1603" t="s">
        <v>5403</v>
      </c>
      <c r="D6001" s="1603" t="s">
        <v>5436</v>
      </c>
      <c r="E6001" s="1603"/>
      <c r="F6001" s="1603"/>
      <c r="G6001" s="1603" t="s">
        <v>5435</v>
      </c>
      <c r="H6001" s="1604">
        <v>2</v>
      </c>
      <c r="I6001" s="1603"/>
      <c r="J6001" s="1603"/>
      <c r="K6001" s="1606">
        <v>2017575.53</v>
      </c>
      <c r="L6001" s="1606">
        <v>2017575.53</v>
      </c>
      <c r="M6001" s="1607"/>
      <c r="N6001" s="1606">
        <v>2017575.53</v>
      </c>
      <c r="O6001" s="1606">
        <v>293110.5</v>
      </c>
      <c r="P6001" s="1606">
        <v>1665842.97</v>
      </c>
      <c r="Q6001" s="1606">
        <v>58622.06</v>
      </c>
      <c r="R6001" s="1606">
        <v>1724465.03</v>
      </c>
      <c r="S6001" s="1608"/>
    </row>
    <row r="6002" spans="2:19" s="1609" customFormat="1" ht="11.25" customHeight="1" outlineLevel="1">
      <c r="B6002" s="1602">
        <v>11481</v>
      </c>
      <c r="C6002" s="1603" t="s">
        <v>5403</v>
      </c>
      <c r="D6002" s="1603" t="s">
        <v>5434</v>
      </c>
      <c r="E6002" s="1603"/>
      <c r="F6002" s="1603"/>
      <c r="G6002" s="1603" t="s">
        <v>5433</v>
      </c>
      <c r="H6002" s="1604">
        <v>2</v>
      </c>
      <c r="I6002" s="1603"/>
      <c r="J6002" s="1603"/>
      <c r="K6002" s="1606">
        <v>6469025</v>
      </c>
      <c r="L6002" s="1606">
        <v>6469025</v>
      </c>
      <c r="M6002" s="1607"/>
      <c r="N6002" s="1606">
        <v>6469025</v>
      </c>
      <c r="O6002" s="1606">
        <v>939809.62</v>
      </c>
      <c r="P6002" s="1606">
        <v>5341253.5</v>
      </c>
      <c r="Q6002" s="1606">
        <v>187961.88</v>
      </c>
      <c r="R6002" s="1606">
        <v>5529215.3799999999</v>
      </c>
      <c r="S6002" s="1608"/>
    </row>
    <row r="6003" spans="2:19" s="1609" customFormat="1" ht="11.25" customHeight="1" outlineLevel="1">
      <c r="B6003" s="1602">
        <v>11482</v>
      </c>
      <c r="C6003" s="1603" t="s">
        <v>5403</v>
      </c>
      <c r="D6003" s="1603" t="s">
        <v>5432</v>
      </c>
      <c r="E6003" s="1603"/>
      <c r="F6003" s="1603"/>
      <c r="G6003" s="1603" t="s">
        <v>3664</v>
      </c>
      <c r="H6003" s="1604">
        <v>2</v>
      </c>
      <c r="I6003" s="1603"/>
      <c r="J6003" s="1603"/>
      <c r="K6003" s="1606">
        <v>790178</v>
      </c>
      <c r="L6003" s="1606">
        <v>790178</v>
      </c>
      <c r="M6003" s="1607"/>
      <c r="N6003" s="1606">
        <v>790178</v>
      </c>
      <c r="O6003" s="1606">
        <v>114796.98</v>
      </c>
      <c r="P6003" s="1606">
        <v>652421.66</v>
      </c>
      <c r="Q6003" s="1606">
        <v>22959.360000000001</v>
      </c>
      <c r="R6003" s="1606">
        <v>675381.02</v>
      </c>
      <c r="S6003" s="1608"/>
    </row>
    <row r="6004" spans="2:19" s="1609" customFormat="1" ht="11.25" customHeight="1" outlineLevel="1">
      <c r="B6004" s="1602">
        <v>11483</v>
      </c>
      <c r="C6004" s="1603" t="s">
        <v>5403</v>
      </c>
      <c r="D6004" s="1603" t="s">
        <v>5431</v>
      </c>
      <c r="E6004" s="1603"/>
      <c r="F6004" s="1603"/>
      <c r="G6004" s="1603" t="s">
        <v>3664</v>
      </c>
      <c r="H6004" s="1604">
        <v>2</v>
      </c>
      <c r="I6004" s="1603"/>
      <c r="J6004" s="1603"/>
      <c r="K6004" s="1606">
        <v>395089</v>
      </c>
      <c r="L6004" s="1606">
        <v>395089</v>
      </c>
      <c r="M6004" s="1607"/>
      <c r="N6004" s="1606">
        <v>395089</v>
      </c>
      <c r="O6004" s="1606">
        <v>66933.02</v>
      </c>
      <c r="P6004" s="1606">
        <v>317000.42</v>
      </c>
      <c r="Q6004" s="1606">
        <v>11155.56</v>
      </c>
      <c r="R6004" s="1606">
        <v>328155.98</v>
      </c>
      <c r="S6004" s="1608"/>
    </row>
    <row r="6005" spans="2:19" s="1609" customFormat="1" ht="11.25" customHeight="1" outlineLevel="1">
      <c r="B6005" s="1602">
        <v>11484</v>
      </c>
      <c r="C6005" s="1603" t="s">
        <v>5403</v>
      </c>
      <c r="D6005" s="1603" t="s">
        <v>5430</v>
      </c>
      <c r="E6005" s="1603"/>
      <c r="F6005" s="1603"/>
      <c r="G6005" s="1603" t="s">
        <v>5429</v>
      </c>
      <c r="H6005" s="1604">
        <v>2</v>
      </c>
      <c r="I6005" s="1603"/>
      <c r="J6005" s="1603"/>
      <c r="K6005" s="1606">
        <v>135127</v>
      </c>
      <c r="L6005" s="1606">
        <v>135127</v>
      </c>
      <c r="M6005" s="1607"/>
      <c r="N6005" s="1606">
        <v>135127</v>
      </c>
      <c r="O6005" s="1606">
        <v>19632.22</v>
      </c>
      <c r="P6005" s="1606">
        <v>111568.38</v>
      </c>
      <c r="Q6005" s="1606">
        <v>3926.4</v>
      </c>
      <c r="R6005" s="1606">
        <v>115494.78</v>
      </c>
      <c r="S6005" s="1608"/>
    </row>
    <row r="6006" spans="2:19" s="1609" customFormat="1" ht="11.25" customHeight="1" outlineLevel="1">
      <c r="B6006" s="1602">
        <v>11485</v>
      </c>
      <c r="C6006" s="1603" t="s">
        <v>5403</v>
      </c>
      <c r="D6006" s="1603" t="s">
        <v>5428</v>
      </c>
      <c r="E6006" s="1603"/>
      <c r="F6006" s="1603"/>
      <c r="G6006" s="1603" t="s">
        <v>5427</v>
      </c>
      <c r="H6006" s="1604">
        <v>2</v>
      </c>
      <c r="I6006" s="1603"/>
      <c r="J6006" s="1603"/>
      <c r="K6006" s="1606">
        <v>405382</v>
      </c>
      <c r="L6006" s="1606">
        <v>405382</v>
      </c>
      <c r="M6006" s="1607"/>
      <c r="N6006" s="1606">
        <v>405382</v>
      </c>
      <c r="O6006" s="1606">
        <v>68676.479999999996</v>
      </c>
      <c r="P6006" s="1606">
        <v>325259.44</v>
      </c>
      <c r="Q6006" s="1606">
        <v>11446.08</v>
      </c>
      <c r="R6006" s="1606">
        <v>336705.52</v>
      </c>
      <c r="S6006" s="1608"/>
    </row>
    <row r="6007" spans="2:19" s="1609" customFormat="1" ht="11.25" customHeight="1" outlineLevel="1">
      <c r="B6007" s="1602">
        <v>11486</v>
      </c>
      <c r="C6007" s="1603" t="s">
        <v>5403</v>
      </c>
      <c r="D6007" s="1603" t="s">
        <v>5426</v>
      </c>
      <c r="E6007" s="1603"/>
      <c r="F6007" s="1603"/>
      <c r="G6007" s="1603" t="s">
        <v>5425</v>
      </c>
      <c r="H6007" s="1604">
        <v>2</v>
      </c>
      <c r="I6007" s="1603"/>
      <c r="J6007" s="1603"/>
      <c r="K6007" s="1606">
        <v>1624539</v>
      </c>
      <c r="L6007" s="1606">
        <v>1624539</v>
      </c>
      <c r="M6007" s="1607"/>
      <c r="N6007" s="1606">
        <v>1624539</v>
      </c>
      <c r="O6007" s="1606">
        <v>275217.44</v>
      </c>
      <c r="P6007" s="1606">
        <v>1303452.04</v>
      </c>
      <c r="Q6007" s="1606">
        <v>45869.52</v>
      </c>
      <c r="R6007" s="1606">
        <v>1349321.56</v>
      </c>
      <c r="S6007" s="1608"/>
    </row>
    <row r="6008" spans="2:19" s="1609" customFormat="1" ht="11.25" customHeight="1" outlineLevel="1">
      <c r="B6008" s="1602">
        <v>11487</v>
      </c>
      <c r="C6008" s="1603" t="s">
        <v>5403</v>
      </c>
      <c r="D6008" s="1603" t="s">
        <v>5424</v>
      </c>
      <c r="E6008" s="1603"/>
      <c r="F6008" s="1603"/>
      <c r="G6008" s="1603" t="s">
        <v>5423</v>
      </c>
      <c r="H6008" s="1604">
        <v>2</v>
      </c>
      <c r="I6008" s="1603"/>
      <c r="J6008" s="1603"/>
      <c r="K6008" s="1605">
        <v>822</v>
      </c>
      <c r="L6008" s="1606">
        <v>260924</v>
      </c>
      <c r="M6008" s="1607"/>
      <c r="N6008" s="1606">
        <v>260924</v>
      </c>
      <c r="O6008" s="1606">
        <v>107414.77</v>
      </c>
      <c r="P6008" s="1606">
        <v>148290.67000000001</v>
      </c>
      <c r="Q6008" s="1606">
        <v>5218.5600000000004</v>
      </c>
      <c r="R6008" s="1606">
        <v>153509.23000000001</v>
      </c>
      <c r="S6008" s="1608"/>
    </row>
    <row r="6009" spans="2:19" s="1609" customFormat="1" ht="11.25" customHeight="1" outlineLevel="1">
      <c r="B6009" s="1602">
        <v>11488</v>
      </c>
      <c r="C6009" s="1603" t="s">
        <v>5403</v>
      </c>
      <c r="D6009" s="1603" t="s">
        <v>5422</v>
      </c>
      <c r="E6009" s="1603"/>
      <c r="F6009" s="1603"/>
      <c r="G6009" s="1603" t="s">
        <v>3664</v>
      </c>
      <c r="H6009" s="1604">
        <v>2</v>
      </c>
      <c r="I6009" s="1603"/>
      <c r="J6009" s="1603"/>
      <c r="K6009" s="1605">
        <v>448</v>
      </c>
      <c r="L6009" s="1606">
        <v>434873</v>
      </c>
      <c r="M6009" s="1607"/>
      <c r="N6009" s="1606">
        <v>434873</v>
      </c>
      <c r="O6009" s="1606">
        <v>179022.13</v>
      </c>
      <c r="P6009" s="1606">
        <v>247153.39</v>
      </c>
      <c r="Q6009" s="1606">
        <v>8697.48</v>
      </c>
      <c r="R6009" s="1606">
        <v>255850.87</v>
      </c>
      <c r="S6009" s="1608"/>
    </row>
    <row r="6010" spans="2:19" s="1609" customFormat="1" ht="11.25" customHeight="1" outlineLevel="1">
      <c r="B6010" s="1602">
        <v>11489</v>
      </c>
      <c r="C6010" s="1603" t="s">
        <v>5403</v>
      </c>
      <c r="D6010" s="1603" t="s">
        <v>5421</v>
      </c>
      <c r="E6010" s="1603"/>
      <c r="F6010" s="1603"/>
      <c r="G6010" s="1603" t="s">
        <v>5420</v>
      </c>
      <c r="H6010" s="1604">
        <v>2</v>
      </c>
      <c r="I6010" s="1603"/>
      <c r="J6010" s="1603"/>
      <c r="K6010" s="1605">
        <v>756</v>
      </c>
      <c r="L6010" s="1606">
        <v>1667964</v>
      </c>
      <c r="M6010" s="1607"/>
      <c r="N6010" s="1606">
        <v>1667964</v>
      </c>
      <c r="O6010" s="1606">
        <v>242320.31</v>
      </c>
      <c r="P6010" s="1606">
        <v>1377179.65</v>
      </c>
      <c r="Q6010" s="1606">
        <v>48464.04</v>
      </c>
      <c r="R6010" s="1606">
        <v>1425643.69</v>
      </c>
      <c r="S6010" s="1608"/>
    </row>
    <row r="6011" spans="2:19" s="1609" customFormat="1" ht="11.25" customHeight="1" outlineLevel="1">
      <c r="B6011" s="1602">
        <v>11490</v>
      </c>
      <c r="C6011" s="1603" t="s">
        <v>5403</v>
      </c>
      <c r="D6011" s="1603" t="s">
        <v>5419</v>
      </c>
      <c r="E6011" s="1603"/>
      <c r="F6011" s="1603"/>
      <c r="G6011" s="1603" t="s">
        <v>5418</v>
      </c>
      <c r="H6011" s="1604">
        <v>2</v>
      </c>
      <c r="I6011" s="1603"/>
      <c r="J6011" s="1603"/>
      <c r="K6011" s="1606">
        <v>1151</v>
      </c>
      <c r="L6011" s="1606">
        <v>2779939</v>
      </c>
      <c r="M6011" s="1607"/>
      <c r="N6011" s="1606">
        <v>2779939</v>
      </c>
      <c r="O6011" s="1606">
        <v>735525.38</v>
      </c>
      <c r="P6011" s="1606">
        <v>1974915.14</v>
      </c>
      <c r="Q6011" s="1606">
        <v>69498.48</v>
      </c>
      <c r="R6011" s="1606">
        <v>2044413.62</v>
      </c>
      <c r="S6011" s="1608"/>
    </row>
    <row r="6012" spans="2:19" s="1609" customFormat="1" ht="11.25" customHeight="1" outlineLevel="1">
      <c r="B6012" s="1602">
        <v>11491</v>
      </c>
      <c r="C6012" s="1603" t="s">
        <v>5403</v>
      </c>
      <c r="D6012" s="1603" t="s">
        <v>5417</v>
      </c>
      <c r="E6012" s="1603"/>
      <c r="F6012" s="1603"/>
      <c r="G6012" s="1603" t="s">
        <v>3664</v>
      </c>
      <c r="H6012" s="1604">
        <v>2</v>
      </c>
      <c r="I6012" s="1603"/>
      <c r="J6012" s="1603"/>
      <c r="K6012" s="1605">
        <v>71</v>
      </c>
      <c r="L6012" s="1606">
        <v>96202</v>
      </c>
      <c r="M6012" s="1607"/>
      <c r="N6012" s="1606">
        <v>96202</v>
      </c>
      <c r="O6012" s="1606">
        <v>13977.35</v>
      </c>
      <c r="P6012" s="1606">
        <v>79429.13</v>
      </c>
      <c r="Q6012" s="1606">
        <v>2795.52</v>
      </c>
      <c r="R6012" s="1606">
        <v>82224.649999999994</v>
      </c>
      <c r="S6012" s="1608"/>
    </row>
    <row r="6013" spans="2:19" s="1609" customFormat="1" ht="11.25" customHeight="1" outlineLevel="1">
      <c r="B6013" s="1602">
        <v>11492</v>
      </c>
      <c r="C6013" s="1603" t="s">
        <v>5403</v>
      </c>
      <c r="D6013" s="1603" t="s">
        <v>5416</v>
      </c>
      <c r="E6013" s="1603"/>
      <c r="F6013" s="1603"/>
      <c r="G6013" s="1603" t="s">
        <v>5415</v>
      </c>
      <c r="H6013" s="1604">
        <v>2</v>
      </c>
      <c r="I6013" s="1603"/>
      <c r="J6013" s="1603"/>
      <c r="K6013" s="1605">
        <v>180</v>
      </c>
      <c r="L6013" s="1606">
        <v>288606</v>
      </c>
      <c r="M6013" s="1607"/>
      <c r="N6013" s="1606">
        <v>288606</v>
      </c>
      <c r="O6013" s="1606">
        <v>41929.360000000001</v>
      </c>
      <c r="P6013" s="1606">
        <v>238290.8</v>
      </c>
      <c r="Q6013" s="1606">
        <v>8385.84</v>
      </c>
      <c r="R6013" s="1606">
        <v>246676.64</v>
      </c>
      <c r="S6013" s="1608"/>
    </row>
    <row r="6014" spans="2:19" s="1609" customFormat="1" ht="11.25" customHeight="1" outlineLevel="1">
      <c r="B6014" s="1602">
        <v>11493</v>
      </c>
      <c r="C6014" s="1603" t="s">
        <v>5403</v>
      </c>
      <c r="D6014" s="1603" t="s">
        <v>5414</v>
      </c>
      <c r="E6014" s="1603"/>
      <c r="F6014" s="1603"/>
      <c r="G6014" s="1603" t="s">
        <v>4658</v>
      </c>
      <c r="H6014" s="1604">
        <v>2</v>
      </c>
      <c r="I6014" s="1603"/>
      <c r="J6014" s="1603"/>
      <c r="K6014" s="1605">
        <v>288</v>
      </c>
      <c r="L6014" s="1606">
        <v>4166567.08</v>
      </c>
      <c r="M6014" s="1607"/>
      <c r="N6014" s="1606">
        <v>4166567.08</v>
      </c>
      <c r="O6014" s="1606">
        <v>3034351.19</v>
      </c>
      <c r="P6014" s="1606">
        <v>1030789.13</v>
      </c>
      <c r="Q6014" s="1606">
        <v>101426.76</v>
      </c>
      <c r="R6014" s="1606">
        <v>1132215.8899999999</v>
      </c>
      <c r="S6014" s="1608"/>
    </row>
    <row r="6015" spans="2:19" s="1609" customFormat="1" ht="11.25" customHeight="1" outlineLevel="1">
      <c r="B6015" s="1602">
        <v>11494</v>
      </c>
      <c r="C6015" s="1603" t="s">
        <v>5403</v>
      </c>
      <c r="D6015" s="1603" t="s">
        <v>5413</v>
      </c>
      <c r="E6015" s="1603"/>
      <c r="F6015" s="1603"/>
      <c r="G6015" s="1603" t="s">
        <v>5412</v>
      </c>
      <c r="H6015" s="1604">
        <v>2</v>
      </c>
      <c r="I6015" s="1603"/>
      <c r="J6015" s="1603"/>
      <c r="K6015" s="1605">
        <v>645</v>
      </c>
      <c r="L6015" s="1606">
        <v>98708</v>
      </c>
      <c r="M6015" s="1607"/>
      <c r="N6015" s="1606">
        <v>98708</v>
      </c>
      <c r="O6015" s="1606">
        <v>14340.88</v>
      </c>
      <c r="P6015" s="1606">
        <v>81499</v>
      </c>
      <c r="Q6015" s="1606">
        <v>2868.12</v>
      </c>
      <c r="R6015" s="1606">
        <v>84367.12</v>
      </c>
      <c r="S6015" s="1608"/>
    </row>
    <row r="6016" spans="2:19" s="1609" customFormat="1" ht="11.25" customHeight="1" outlineLevel="1">
      <c r="B6016" s="1602">
        <v>11495</v>
      </c>
      <c r="C6016" s="1603" t="s">
        <v>5403</v>
      </c>
      <c r="D6016" s="1603" t="s">
        <v>5411</v>
      </c>
      <c r="E6016" s="1603"/>
      <c r="F6016" s="1603"/>
      <c r="G6016" s="1603" t="s">
        <v>3664</v>
      </c>
      <c r="H6016" s="1604">
        <v>2</v>
      </c>
      <c r="I6016" s="1603"/>
      <c r="J6016" s="1603"/>
      <c r="K6016" s="1605">
        <v>548</v>
      </c>
      <c r="L6016" s="1606">
        <v>1817013</v>
      </c>
      <c r="M6016" s="1607"/>
      <c r="N6016" s="1606">
        <v>1817013</v>
      </c>
      <c r="O6016" s="1606">
        <v>125739.25</v>
      </c>
      <c r="P6016" s="1606">
        <v>1050107.51</v>
      </c>
      <c r="Q6016" s="1606">
        <v>641166.24</v>
      </c>
      <c r="R6016" s="1606">
        <v>1691273.75</v>
      </c>
      <c r="S6016" s="1608"/>
    </row>
    <row r="6017" spans="2:19" s="1609" customFormat="1" ht="11.25" customHeight="1" outlineLevel="1">
      <c r="B6017" s="1602">
        <v>11496</v>
      </c>
      <c r="C6017" s="1603" t="s">
        <v>5403</v>
      </c>
      <c r="D6017" s="1603" t="s">
        <v>5410</v>
      </c>
      <c r="E6017" s="1603"/>
      <c r="F6017" s="1603"/>
      <c r="G6017" s="1603" t="s">
        <v>5409</v>
      </c>
      <c r="H6017" s="1604">
        <v>2</v>
      </c>
      <c r="I6017" s="1603"/>
      <c r="J6017" s="1603"/>
      <c r="K6017" s="1606">
        <v>1377</v>
      </c>
      <c r="L6017" s="1606">
        <v>988915</v>
      </c>
      <c r="M6017" s="1607"/>
      <c r="N6017" s="1606">
        <v>988915</v>
      </c>
      <c r="O6017" s="1606">
        <v>167533.54</v>
      </c>
      <c r="P6017" s="1606">
        <v>793459.26</v>
      </c>
      <c r="Q6017" s="1606">
        <v>27922.2</v>
      </c>
      <c r="R6017" s="1606">
        <v>821381.46</v>
      </c>
      <c r="S6017" s="1608"/>
    </row>
    <row r="6018" spans="2:19" s="1609" customFormat="1" ht="11.25" customHeight="1" outlineLevel="1">
      <c r="B6018" s="1602">
        <v>20995</v>
      </c>
      <c r="C6018" s="1603" t="s">
        <v>5403</v>
      </c>
      <c r="D6018" s="1603" t="s">
        <v>5408</v>
      </c>
      <c r="E6018" s="1603"/>
      <c r="F6018" s="1603"/>
      <c r="G6018" s="1603" t="s">
        <v>5407</v>
      </c>
      <c r="H6018" s="1604">
        <v>2</v>
      </c>
      <c r="I6018" s="1603"/>
      <c r="J6018" s="1603"/>
      <c r="K6018" s="1606">
        <v>74937</v>
      </c>
      <c r="L6018" s="1606">
        <v>74937</v>
      </c>
      <c r="M6018" s="1607"/>
      <c r="N6018" s="1606">
        <v>74937</v>
      </c>
      <c r="O6018" s="1606">
        <v>30847.42</v>
      </c>
      <c r="P6018" s="1606">
        <v>42590.9</v>
      </c>
      <c r="Q6018" s="1606">
        <v>1498.68</v>
      </c>
      <c r="R6018" s="1606">
        <v>44089.58</v>
      </c>
      <c r="S6018" s="1608"/>
    </row>
    <row r="6019" spans="2:19" s="1609" customFormat="1" ht="11.25" customHeight="1" outlineLevel="1">
      <c r="B6019" s="1602">
        <v>20997</v>
      </c>
      <c r="C6019" s="1603" t="s">
        <v>5403</v>
      </c>
      <c r="D6019" s="1603" t="s">
        <v>5406</v>
      </c>
      <c r="E6019" s="1603"/>
      <c r="F6019" s="1603"/>
      <c r="G6019" s="1603" t="s">
        <v>3734</v>
      </c>
      <c r="H6019" s="1604">
        <v>2</v>
      </c>
      <c r="I6019" s="1603"/>
      <c r="J6019" s="1603"/>
      <c r="K6019" s="1606">
        <v>67430</v>
      </c>
      <c r="L6019" s="1606">
        <v>67430</v>
      </c>
      <c r="M6019" s="1607"/>
      <c r="N6019" s="1606">
        <v>67430</v>
      </c>
      <c r="O6019" s="1606">
        <v>17840.560000000001</v>
      </c>
      <c r="P6019" s="1606">
        <v>47903.68</v>
      </c>
      <c r="Q6019" s="1606">
        <v>1685.76</v>
      </c>
      <c r="R6019" s="1606">
        <v>49589.440000000002</v>
      </c>
      <c r="S6019" s="1608"/>
    </row>
    <row r="6020" spans="2:19" s="1609" customFormat="1" ht="11.25" customHeight="1" outlineLevel="1">
      <c r="B6020" s="1602">
        <v>24580</v>
      </c>
      <c r="C6020" s="1603" t="s">
        <v>5403</v>
      </c>
      <c r="D6020" s="1603" t="s">
        <v>5405</v>
      </c>
      <c r="E6020" s="1603"/>
      <c r="F6020" s="1603"/>
      <c r="G6020" s="1603" t="s">
        <v>5404</v>
      </c>
      <c r="H6020" s="1604">
        <v>2</v>
      </c>
      <c r="I6020" s="1603"/>
      <c r="J6020" s="1603"/>
      <c r="K6020" s="1605">
        <v>619</v>
      </c>
      <c r="L6020" s="1606">
        <v>21662</v>
      </c>
      <c r="M6020" s="1607"/>
      <c r="N6020" s="1606">
        <v>21662</v>
      </c>
      <c r="O6020" s="1606">
        <v>8918.58</v>
      </c>
      <c r="P6020" s="1606">
        <v>12310.1</v>
      </c>
      <c r="Q6020" s="1605">
        <v>433.32</v>
      </c>
      <c r="R6020" s="1606">
        <v>12743.42</v>
      </c>
      <c r="S6020" s="1608"/>
    </row>
    <row r="6021" spans="2:19" s="1609" customFormat="1" ht="11.25" customHeight="1" outlineLevel="1">
      <c r="B6021" s="1602">
        <v>26380</v>
      </c>
      <c r="C6021" s="1603" t="s">
        <v>5403</v>
      </c>
      <c r="D6021" s="1603" t="s">
        <v>5402</v>
      </c>
      <c r="E6021" s="1603"/>
      <c r="F6021" s="1603"/>
      <c r="G6021" s="1603" t="s">
        <v>5401</v>
      </c>
      <c r="H6021" s="1604">
        <v>2</v>
      </c>
      <c r="I6021" s="1603"/>
      <c r="J6021" s="1603"/>
      <c r="K6021" s="1605">
        <v>132</v>
      </c>
      <c r="L6021" s="1606">
        <v>18984</v>
      </c>
      <c r="M6021" s="1607"/>
      <c r="N6021" s="1606">
        <v>18984</v>
      </c>
      <c r="O6021" s="1606">
        <v>7815.08</v>
      </c>
      <c r="P6021" s="1606">
        <v>10789.24</v>
      </c>
      <c r="Q6021" s="1605">
        <v>379.68</v>
      </c>
      <c r="R6021" s="1606">
        <v>11168.92</v>
      </c>
      <c r="S6021" s="1608"/>
    </row>
    <row r="6022" spans="2:19" s="1609" customFormat="1" ht="11.25" customHeight="1" outlineLevel="1">
      <c r="B6022" s="1602">
        <v>11272</v>
      </c>
      <c r="C6022" s="1603" t="s">
        <v>5398</v>
      </c>
      <c r="D6022" s="1603" t="s">
        <v>5400</v>
      </c>
      <c r="E6022" s="1603"/>
      <c r="F6022" s="1603"/>
      <c r="G6022" s="1603" t="s">
        <v>5399</v>
      </c>
      <c r="H6022" s="1604">
        <v>2</v>
      </c>
      <c r="I6022" s="1603"/>
      <c r="J6022" s="1603"/>
      <c r="K6022" s="1605">
        <v>231</v>
      </c>
      <c r="L6022" s="1605">
        <v>231</v>
      </c>
      <c r="M6022" s="1607"/>
      <c r="N6022" s="1605">
        <v>231</v>
      </c>
      <c r="O6022" s="1605">
        <v>8.4</v>
      </c>
      <c r="P6022" s="1605">
        <v>214.2</v>
      </c>
      <c r="Q6022" s="1605">
        <v>8.4</v>
      </c>
      <c r="R6022" s="1605">
        <v>222.6</v>
      </c>
      <c r="S6022" s="1608"/>
    </row>
    <row r="6023" spans="2:19" s="1609" customFormat="1" ht="11.25" customHeight="1" outlineLevel="1">
      <c r="B6023" s="1602">
        <v>11273</v>
      </c>
      <c r="C6023" s="1603" t="s">
        <v>5398</v>
      </c>
      <c r="D6023" s="1603" t="s">
        <v>5397</v>
      </c>
      <c r="E6023" s="1603"/>
      <c r="F6023" s="1603"/>
      <c r="G6023" s="1603" t="s">
        <v>3734</v>
      </c>
      <c r="H6023" s="1604">
        <v>2</v>
      </c>
      <c r="I6023" s="1603"/>
      <c r="J6023" s="1603"/>
      <c r="K6023" s="1605">
        <v>240</v>
      </c>
      <c r="L6023" s="1605">
        <v>240</v>
      </c>
      <c r="M6023" s="1607"/>
      <c r="N6023" s="1605">
        <v>240</v>
      </c>
      <c r="O6023" s="1605">
        <v>64</v>
      </c>
      <c r="P6023" s="1605">
        <v>170</v>
      </c>
      <c r="Q6023" s="1605">
        <v>6</v>
      </c>
      <c r="R6023" s="1605">
        <v>176</v>
      </c>
      <c r="S6023" s="1608"/>
    </row>
    <row r="6024" spans="2:19" s="1609" customFormat="1" ht="11.25" customHeight="1" outlineLevel="1">
      <c r="B6024" s="1602">
        <v>11278</v>
      </c>
      <c r="C6024" s="1603" t="s">
        <v>5395</v>
      </c>
      <c r="D6024" s="1603" t="s">
        <v>5396</v>
      </c>
      <c r="E6024" s="1603"/>
      <c r="F6024" s="1603"/>
      <c r="G6024" s="1603" t="s">
        <v>3734</v>
      </c>
      <c r="H6024" s="1604">
        <v>2</v>
      </c>
      <c r="I6024" s="1603"/>
      <c r="J6024" s="1603"/>
      <c r="K6024" s="1606">
        <v>13622</v>
      </c>
      <c r="L6024" s="1606">
        <v>13622</v>
      </c>
      <c r="M6024" s="1607"/>
      <c r="N6024" s="1606">
        <v>13622</v>
      </c>
      <c r="O6024" s="1606">
        <v>3660.62</v>
      </c>
      <c r="P6024" s="1606">
        <v>9620.82</v>
      </c>
      <c r="Q6024" s="1605">
        <v>340.56</v>
      </c>
      <c r="R6024" s="1606">
        <v>9961.3799999999992</v>
      </c>
      <c r="S6024" s="1608"/>
    </row>
    <row r="6025" spans="2:19" s="1609" customFormat="1" ht="11.25" customHeight="1" outlineLevel="1">
      <c r="B6025" s="1602">
        <v>11279</v>
      </c>
      <c r="C6025" s="1603" t="s">
        <v>5395</v>
      </c>
      <c r="D6025" s="1603" t="s">
        <v>5394</v>
      </c>
      <c r="E6025" s="1603"/>
      <c r="F6025" s="1603"/>
      <c r="G6025" s="1603" t="s">
        <v>3734</v>
      </c>
      <c r="H6025" s="1604">
        <v>2</v>
      </c>
      <c r="I6025" s="1603"/>
      <c r="J6025" s="1603"/>
      <c r="K6025" s="1606">
        <v>42600</v>
      </c>
      <c r="L6025" s="1606">
        <v>2215387.7999999998</v>
      </c>
      <c r="M6025" s="1607"/>
      <c r="N6025" s="1606">
        <v>2215387.7999999998</v>
      </c>
      <c r="O6025" s="1606">
        <v>2054996.84</v>
      </c>
      <c r="P6025" s="1606">
        <v>73253.320000000007</v>
      </c>
      <c r="Q6025" s="1606">
        <v>87137.64</v>
      </c>
      <c r="R6025" s="1606">
        <v>160390.96</v>
      </c>
      <c r="S6025" s="1608"/>
    </row>
    <row r="6026" spans="2:19" s="1609" customFormat="1" ht="11.25" customHeight="1" outlineLevel="1">
      <c r="B6026" s="1602">
        <v>11285</v>
      </c>
      <c r="C6026" s="1603" t="s">
        <v>5393</v>
      </c>
      <c r="D6026" s="1603" t="s">
        <v>5392</v>
      </c>
      <c r="E6026" s="1603"/>
      <c r="F6026" s="1603"/>
      <c r="G6026" s="1603" t="s">
        <v>3734</v>
      </c>
      <c r="H6026" s="1604">
        <v>2</v>
      </c>
      <c r="I6026" s="1603"/>
      <c r="J6026" s="1603"/>
      <c r="K6026" s="1606">
        <v>1389</v>
      </c>
      <c r="L6026" s="1606">
        <v>1389</v>
      </c>
      <c r="M6026" s="1607"/>
      <c r="N6026" s="1606">
        <v>1389</v>
      </c>
      <c r="O6026" s="1605">
        <v>377.38</v>
      </c>
      <c r="P6026" s="1605">
        <v>976.82</v>
      </c>
      <c r="Q6026" s="1605">
        <v>34.799999999999997</v>
      </c>
      <c r="R6026" s="1606">
        <v>1011.62</v>
      </c>
      <c r="S6026" s="1608"/>
    </row>
    <row r="6027" spans="2:19" s="1609" customFormat="1" ht="11.25" customHeight="1" outlineLevel="1">
      <c r="B6027" s="1602">
        <v>11293</v>
      </c>
      <c r="C6027" s="1603" t="s">
        <v>5390</v>
      </c>
      <c r="D6027" s="1603" t="s">
        <v>5391</v>
      </c>
      <c r="E6027" s="1603"/>
      <c r="F6027" s="1603"/>
      <c r="G6027" s="1603" t="s">
        <v>3734</v>
      </c>
      <c r="H6027" s="1604">
        <v>2</v>
      </c>
      <c r="I6027" s="1603"/>
      <c r="J6027" s="1603"/>
      <c r="K6027" s="1605">
        <v>58</v>
      </c>
      <c r="L6027" s="1605">
        <v>58</v>
      </c>
      <c r="M6027" s="1607"/>
      <c r="N6027" s="1605">
        <v>58</v>
      </c>
      <c r="O6027" s="1605">
        <v>16.239999999999998</v>
      </c>
      <c r="P6027" s="1605">
        <v>40.32</v>
      </c>
      <c r="Q6027" s="1605">
        <v>1.44</v>
      </c>
      <c r="R6027" s="1605">
        <v>41.76</v>
      </c>
      <c r="S6027" s="1608"/>
    </row>
    <row r="6028" spans="2:19" s="1609" customFormat="1" ht="11.25" customHeight="1" outlineLevel="1">
      <c r="B6028" s="1602">
        <v>11300</v>
      </c>
      <c r="C6028" s="1603" t="s">
        <v>5390</v>
      </c>
      <c r="D6028" s="1603" t="s">
        <v>5389</v>
      </c>
      <c r="E6028" s="1603"/>
      <c r="F6028" s="1603"/>
      <c r="G6028" s="1603" t="s">
        <v>4130</v>
      </c>
      <c r="H6028" s="1604">
        <v>2</v>
      </c>
      <c r="I6028" s="1603"/>
      <c r="J6028" s="1603"/>
      <c r="K6028" s="1605">
        <v>454</v>
      </c>
      <c r="L6028" s="1605">
        <v>454</v>
      </c>
      <c r="M6028" s="1607"/>
      <c r="N6028" s="1605">
        <v>454</v>
      </c>
      <c r="O6028" s="1605">
        <v>189.64</v>
      </c>
      <c r="P6028" s="1605">
        <v>255.36</v>
      </c>
      <c r="Q6028" s="1605">
        <v>9</v>
      </c>
      <c r="R6028" s="1605">
        <v>264.36</v>
      </c>
      <c r="S6028" s="1608"/>
    </row>
    <row r="6029" spans="2:19" s="1609" customFormat="1" ht="21.75" customHeight="1" outlineLevel="1">
      <c r="B6029" s="1602">
        <v>11310</v>
      </c>
      <c r="C6029" s="1603" t="s">
        <v>5384</v>
      </c>
      <c r="D6029" s="1603" t="s">
        <v>5388</v>
      </c>
      <c r="E6029" s="1603"/>
      <c r="F6029" s="1603"/>
      <c r="G6029" s="1603" t="s">
        <v>5387</v>
      </c>
      <c r="H6029" s="1604">
        <v>2</v>
      </c>
      <c r="I6029" s="1603"/>
      <c r="J6029" s="1603"/>
      <c r="K6029" s="1605">
        <v>11</v>
      </c>
      <c r="L6029" s="1605">
        <v>756</v>
      </c>
      <c r="M6029" s="1607"/>
      <c r="N6029" s="1605">
        <v>756</v>
      </c>
      <c r="O6029" s="1605">
        <v>209.56</v>
      </c>
      <c r="P6029" s="1605">
        <v>527.72</v>
      </c>
      <c r="Q6029" s="1605">
        <v>18.72</v>
      </c>
      <c r="R6029" s="1605">
        <v>546.44000000000005</v>
      </c>
      <c r="S6029" s="1608"/>
    </row>
    <row r="6030" spans="2:19" s="1609" customFormat="1" ht="11.25" customHeight="1" outlineLevel="1">
      <c r="B6030" s="1602">
        <v>11312</v>
      </c>
      <c r="C6030" s="1603" t="s">
        <v>5384</v>
      </c>
      <c r="D6030" s="1603" t="s">
        <v>5386</v>
      </c>
      <c r="E6030" s="1603"/>
      <c r="F6030" s="1603"/>
      <c r="G6030" s="1603" t="s">
        <v>5385</v>
      </c>
      <c r="H6030" s="1604">
        <v>2</v>
      </c>
      <c r="I6030" s="1603"/>
      <c r="J6030" s="1603"/>
      <c r="K6030" s="1605">
        <v>23</v>
      </c>
      <c r="L6030" s="1605">
        <v>23</v>
      </c>
      <c r="M6030" s="1607"/>
      <c r="N6030" s="1605">
        <v>23</v>
      </c>
      <c r="O6030" s="1605">
        <v>1.76</v>
      </c>
      <c r="P6030" s="1605">
        <v>20.04</v>
      </c>
      <c r="Q6030" s="1605">
        <v>1.2</v>
      </c>
      <c r="R6030" s="1605">
        <v>21.24</v>
      </c>
      <c r="S6030" s="1608"/>
    </row>
    <row r="6031" spans="2:19" s="1609" customFormat="1" ht="11.25" customHeight="1" outlineLevel="1">
      <c r="B6031" s="1602">
        <v>11314</v>
      </c>
      <c r="C6031" s="1603" t="s">
        <v>5384</v>
      </c>
      <c r="D6031" s="1603" t="s">
        <v>5383</v>
      </c>
      <c r="E6031" s="1603"/>
      <c r="F6031" s="1603"/>
      <c r="G6031" s="1603" t="s">
        <v>3734</v>
      </c>
      <c r="H6031" s="1604">
        <v>2</v>
      </c>
      <c r="I6031" s="1603"/>
      <c r="J6031" s="1603"/>
      <c r="K6031" s="1606">
        <v>11905</v>
      </c>
      <c r="L6031" s="1606">
        <v>11905</v>
      </c>
      <c r="M6031" s="1607"/>
      <c r="N6031" s="1606">
        <v>11905</v>
      </c>
      <c r="O6031" s="1606">
        <v>5040.3599999999997</v>
      </c>
      <c r="P6031" s="1606">
        <v>6626.56</v>
      </c>
      <c r="Q6031" s="1605">
        <v>238.08</v>
      </c>
      <c r="R6031" s="1606">
        <v>6864.64</v>
      </c>
      <c r="S6031" s="1608"/>
    </row>
    <row r="6032" spans="2:19" s="1758" customFormat="1" ht="11.25" customHeight="1" outlineLevel="1">
      <c r="B6032" s="1752">
        <v>11330</v>
      </c>
      <c r="C6032" s="1753" t="s">
        <v>5381</v>
      </c>
      <c r="D6032" s="1753" t="s">
        <v>5382</v>
      </c>
      <c r="E6032" s="1753"/>
      <c r="F6032" s="1753"/>
      <c r="G6032" s="1753" t="s">
        <v>3734</v>
      </c>
      <c r="H6032" s="1754">
        <v>2</v>
      </c>
      <c r="I6032" s="1753"/>
      <c r="J6032" s="1753"/>
      <c r="K6032" s="1755">
        <v>249505</v>
      </c>
      <c r="L6032" s="1755">
        <v>249505</v>
      </c>
      <c r="M6032" s="1756"/>
      <c r="N6032" s="1755">
        <v>249505</v>
      </c>
      <c r="O6032" s="1755">
        <v>48853.14</v>
      </c>
      <c r="P6032" s="1755">
        <v>193672.8</v>
      </c>
      <c r="Q6032" s="1755">
        <v>6979.06</v>
      </c>
      <c r="R6032" s="1755">
        <v>200651.86</v>
      </c>
      <c r="S6032" s="1757"/>
    </row>
    <row r="6033" spans="2:19" s="1609" customFormat="1" ht="11.25" customHeight="1" outlineLevel="1">
      <c r="B6033" s="1602">
        <v>11339</v>
      </c>
      <c r="C6033" s="1603" t="s">
        <v>5381</v>
      </c>
      <c r="D6033" s="1603" t="s">
        <v>5380</v>
      </c>
      <c r="E6033" s="1603"/>
      <c r="F6033" s="1603"/>
      <c r="G6033" s="1603" t="s">
        <v>5379</v>
      </c>
      <c r="H6033" s="1604">
        <v>2</v>
      </c>
      <c r="I6033" s="1603"/>
      <c r="J6033" s="1603"/>
      <c r="K6033" s="1606">
        <v>6448</v>
      </c>
      <c r="L6033" s="1606">
        <v>6448</v>
      </c>
      <c r="M6033" s="1607"/>
      <c r="N6033" s="1606">
        <v>6448</v>
      </c>
      <c r="O6033" s="1606">
        <v>1814.53</v>
      </c>
      <c r="P6033" s="1606">
        <v>4472.1899999999996</v>
      </c>
      <c r="Q6033" s="1605">
        <v>161.28</v>
      </c>
      <c r="R6033" s="1606">
        <v>4633.47</v>
      </c>
      <c r="S6033" s="1608"/>
    </row>
    <row r="6034" spans="2:19" s="1609" customFormat="1" ht="11.25" customHeight="1" outlineLevel="1">
      <c r="B6034" s="1602">
        <v>11337</v>
      </c>
      <c r="C6034" s="1603" t="s">
        <v>5378</v>
      </c>
      <c r="D6034" s="1603" t="s">
        <v>5377</v>
      </c>
      <c r="E6034" s="1603"/>
      <c r="F6034" s="1603"/>
      <c r="G6034" s="1603" t="s">
        <v>3734</v>
      </c>
      <c r="H6034" s="1604">
        <v>2</v>
      </c>
      <c r="I6034" s="1603"/>
      <c r="J6034" s="1603"/>
      <c r="K6034" s="1606">
        <v>39520</v>
      </c>
      <c r="L6034" s="1606">
        <v>39520</v>
      </c>
      <c r="M6034" s="1607"/>
      <c r="N6034" s="1606">
        <v>39520</v>
      </c>
      <c r="O6034" s="1606">
        <v>2171.6999999999998</v>
      </c>
      <c r="P6034" s="1606">
        <v>36045.24</v>
      </c>
      <c r="Q6034" s="1606">
        <v>1303.06</v>
      </c>
      <c r="R6034" s="1606">
        <v>37348.300000000003</v>
      </c>
      <c r="S6034" s="1608"/>
    </row>
    <row r="6035" spans="2:19" s="1609" customFormat="1" ht="11.25" customHeight="1" outlineLevel="1">
      <c r="B6035" s="1602">
        <v>11349</v>
      </c>
      <c r="C6035" s="1603" t="s">
        <v>5374</v>
      </c>
      <c r="D6035" s="1603" t="s">
        <v>5376</v>
      </c>
      <c r="E6035" s="1603"/>
      <c r="F6035" s="1603"/>
      <c r="G6035" s="1603" t="s">
        <v>3734</v>
      </c>
      <c r="H6035" s="1604">
        <v>2</v>
      </c>
      <c r="I6035" s="1603"/>
      <c r="J6035" s="1603"/>
      <c r="K6035" s="1606">
        <v>54330</v>
      </c>
      <c r="L6035" s="1606">
        <v>54330</v>
      </c>
      <c r="M6035" s="1607"/>
      <c r="N6035" s="1606">
        <v>54330</v>
      </c>
      <c r="O6035" s="1606">
        <v>3581.84</v>
      </c>
      <c r="P6035" s="1606">
        <v>48957.279999999999</v>
      </c>
      <c r="Q6035" s="1606">
        <v>1790.88</v>
      </c>
      <c r="R6035" s="1606">
        <v>50748.160000000003</v>
      </c>
      <c r="S6035" s="1608"/>
    </row>
    <row r="6036" spans="2:19" s="1609" customFormat="1" ht="11.25" customHeight="1" outlineLevel="1">
      <c r="B6036" s="1602">
        <v>11350</v>
      </c>
      <c r="C6036" s="1603" t="s">
        <v>5374</v>
      </c>
      <c r="D6036" s="1603" t="s">
        <v>5375</v>
      </c>
      <c r="E6036" s="1603"/>
      <c r="F6036" s="1603"/>
      <c r="G6036" s="1603" t="s">
        <v>3664</v>
      </c>
      <c r="H6036" s="1604">
        <v>2</v>
      </c>
      <c r="I6036" s="1603"/>
      <c r="J6036" s="1603"/>
      <c r="K6036" s="1606">
        <v>1778</v>
      </c>
      <c r="L6036" s="1606">
        <v>1778</v>
      </c>
      <c r="M6036" s="1607"/>
      <c r="N6036" s="1606">
        <v>1778</v>
      </c>
      <c r="O6036" s="1605">
        <v>519.88</v>
      </c>
      <c r="P6036" s="1606">
        <v>1213.5999999999999</v>
      </c>
      <c r="Q6036" s="1605">
        <v>44.52</v>
      </c>
      <c r="R6036" s="1606">
        <v>1258.1199999999999</v>
      </c>
      <c r="S6036" s="1608"/>
    </row>
    <row r="6037" spans="2:19" s="1609" customFormat="1" ht="11.25" customHeight="1" outlineLevel="1">
      <c r="B6037" s="1602">
        <v>11353</v>
      </c>
      <c r="C6037" s="1603" t="s">
        <v>5374</v>
      </c>
      <c r="D6037" s="1603" t="s">
        <v>5373</v>
      </c>
      <c r="E6037" s="1603"/>
      <c r="F6037" s="1603"/>
      <c r="G6037" s="1603" t="s">
        <v>3734</v>
      </c>
      <c r="H6037" s="1604">
        <v>2</v>
      </c>
      <c r="I6037" s="1603"/>
      <c r="J6037" s="1603"/>
      <c r="K6037" s="1606">
        <v>36192</v>
      </c>
      <c r="L6037" s="1606">
        <v>36192</v>
      </c>
      <c r="M6037" s="1607"/>
      <c r="N6037" s="1606">
        <v>36192</v>
      </c>
      <c r="O6037" s="1606">
        <v>10556</v>
      </c>
      <c r="P6037" s="1606">
        <v>24731.200000000001</v>
      </c>
      <c r="Q6037" s="1605">
        <v>904.8</v>
      </c>
      <c r="R6037" s="1606">
        <v>25636</v>
      </c>
      <c r="S6037" s="1608"/>
    </row>
    <row r="6038" spans="2:19" s="1609" customFormat="1" ht="11.25" customHeight="1" outlineLevel="1">
      <c r="B6038" s="1602">
        <v>11366</v>
      </c>
      <c r="C6038" s="1603" t="s">
        <v>5372</v>
      </c>
      <c r="D6038" s="1603" t="s">
        <v>5371</v>
      </c>
      <c r="E6038" s="1603"/>
      <c r="F6038" s="1603"/>
      <c r="G6038" s="1603" t="s">
        <v>3734</v>
      </c>
      <c r="H6038" s="1604">
        <v>2</v>
      </c>
      <c r="I6038" s="1603"/>
      <c r="J6038" s="1603"/>
      <c r="K6038" s="1605">
        <v>27</v>
      </c>
      <c r="L6038" s="1605">
        <v>27</v>
      </c>
      <c r="M6038" s="1607"/>
      <c r="N6038" s="1605">
        <v>27</v>
      </c>
      <c r="O6038" s="1605">
        <v>6.78</v>
      </c>
      <c r="P6038" s="1605">
        <v>19.62</v>
      </c>
      <c r="Q6038" s="1605">
        <v>0.6</v>
      </c>
      <c r="R6038" s="1605">
        <v>20.22</v>
      </c>
      <c r="S6038" s="1608"/>
    </row>
    <row r="6039" spans="2:19" s="1609" customFormat="1" ht="11.25" customHeight="1" outlineLevel="1">
      <c r="B6039" s="1602">
        <v>11380</v>
      </c>
      <c r="C6039" s="1603" t="s">
        <v>5364</v>
      </c>
      <c r="D6039" s="1603" t="s">
        <v>5370</v>
      </c>
      <c r="E6039" s="1603"/>
      <c r="F6039" s="1603"/>
      <c r="G6039" s="1603" t="s">
        <v>4017</v>
      </c>
      <c r="H6039" s="1604">
        <v>2</v>
      </c>
      <c r="I6039" s="1603"/>
      <c r="J6039" s="1603"/>
      <c r="K6039" s="1605">
        <v>462</v>
      </c>
      <c r="L6039" s="1605">
        <v>462</v>
      </c>
      <c r="M6039" s="1607"/>
      <c r="N6039" s="1605">
        <v>462</v>
      </c>
      <c r="O6039" s="1605">
        <v>34.130000000000003</v>
      </c>
      <c r="P6039" s="1605">
        <v>412.75</v>
      </c>
      <c r="Q6039" s="1605">
        <v>15.12</v>
      </c>
      <c r="R6039" s="1605">
        <v>427.87</v>
      </c>
      <c r="S6039" s="1608"/>
    </row>
    <row r="6040" spans="2:19" s="1609" customFormat="1" ht="11.25" customHeight="1" outlineLevel="1">
      <c r="B6040" s="1602">
        <v>11383</v>
      </c>
      <c r="C6040" s="1603" t="s">
        <v>5364</v>
      </c>
      <c r="D6040" s="1603" t="s">
        <v>5369</v>
      </c>
      <c r="E6040" s="1603"/>
      <c r="F6040" s="1603"/>
      <c r="G6040" s="1603" t="s">
        <v>3664</v>
      </c>
      <c r="H6040" s="1604">
        <v>2</v>
      </c>
      <c r="I6040" s="1603"/>
      <c r="J6040" s="1603"/>
      <c r="K6040" s="1605">
        <v>197</v>
      </c>
      <c r="L6040" s="1605">
        <v>197</v>
      </c>
      <c r="M6040" s="1607"/>
      <c r="N6040" s="1605">
        <v>197</v>
      </c>
      <c r="O6040" s="1605">
        <v>38.729999999999997</v>
      </c>
      <c r="P6040" s="1605">
        <v>152.75</v>
      </c>
      <c r="Q6040" s="1605">
        <v>5.52</v>
      </c>
      <c r="R6040" s="1605">
        <v>158.27000000000001</v>
      </c>
      <c r="S6040" s="1608"/>
    </row>
    <row r="6041" spans="2:19" s="1609" customFormat="1" ht="11.25" customHeight="1" outlineLevel="1">
      <c r="B6041" s="1602">
        <v>11385</v>
      </c>
      <c r="C6041" s="1603" t="s">
        <v>5364</v>
      </c>
      <c r="D6041" s="1603" t="s">
        <v>5368</v>
      </c>
      <c r="E6041" s="1603"/>
      <c r="F6041" s="1603"/>
      <c r="G6041" s="1603" t="s">
        <v>5367</v>
      </c>
      <c r="H6041" s="1604">
        <v>2</v>
      </c>
      <c r="I6041" s="1603"/>
      <c r="J6041" s="1603"/>
      <c r="K6041" s="1606">
        <v>9735</v>
      </c>
      <c r="L6041" s="1606">
        <v>9735</v>
      </c>
      <c r="M6041" s="1607"/>
      <c r="N6041" s="1606">
        <v>9735</v>
      </c>
      <c r="O6041" s="1606">
        <v>2900.64</v>
      </c>
      <c r="P6041" s="1606">
        <v>6591</v>
      </c>
      <c r="Q6041" s="1605">
        <v>243.36</v>
      </c>
      <c r="R6041" s="1606">
        <v>6834.36</v>
      </c>
      <c r="S6041" s="1608"/>
    </row>
    <row r="6042" spans="2:19" s="1609" customFormat="1" ht="11.25" customHeight="1" outlineLevel="1">
      <c r="B6042" s="1602">
        <v>11386</v>
      </c>
      <c r="C6042" s="1603" t="s">
        <v>5364</v>
      </c>
      <c r="D6042" s="1603" t="s">
        <v>5366</v>
      </c>
      <c r="E6042" s="1603"/>
      <c r="F6042" s="1603"/>
      <c r="G6042" s="1603" t="s">
        <v>5365</v>
      </c>
      <c r="H6042" s="1604">
        <v>2</v>
      </c>
      <c r="I6042" s="1603"/>
      <c r="J6042" s="1603"/>
      <c r="K6042" s="1606">
        <v>1062</v>
      </c>
      <c r="L6042" s="1606">
        <v>1062</v>
      </c>
      <c r="M6042" s="1607"/>
      <c r="N6042" s="1606">
        <v>1062</v>
      </c>
      <c r="O6042" s="1605">
        <v>78.2</v>
      </c>
      <c r="P6042" s="1605">
        <v>949</v>
      </c>
      <c r="Q6042" s="1605">
        <v>34.799999999999997</v>
      </c>
      <c r="R6042" s="1605">
        <v>983.8</v>
      </c>
      <c r="S6042" s="1608"/>
    </row>
    <row r="6043" spans="2:19" s="1609" customFormat="1" ht="11.25" customHeight="1" outlineLevel="1">
      <c r="B6043" s="1602">
        <v>11388</v>
      </c>
      <c r="C6043" s="1603" t="s">
        <v>5364</v>
      </c>
      <c r="D6043" s="1603" t="s">
        <v>5363</v>
      </c>
      <c r="E6043" s="1603"/>
      <c r="F6043" s="1603"/>
      <c r="G6043" s="1603" t="s">
        <v>3664</v>
      </c>
      <c r="H6043" s="1604">
        <v>2</v>
      </c>
      <c r="I6043" s="1603"/>
      <c r="J6043" s="1603"/>
      <c r="K6043" s="1606">
        <v>146205</v>
      </c>
      <c r="L6043" s="1606">
        <v>146205</v>
      </c>
      <c r="M6043" s="1607"/>
      <c r="N6043" s="1606">
        <v>146205</v>
      </c>
      <c r="O6043" s="1606">
        <v>29171.64</v>
      </c>
      <c r="P6043" s="1606">
        <v>112866</v>
      </c>
      <c r="Q6043" s="1606">
        <v>4167.3599999999997</v>
      </c>
      <c r="R6043" s="1606">
        <v>117033.36</v>
      </c>
      <c r="S6043" s="1608"/>
    </row>
    <row r="6044" spans="2:19" s="1609" customFormat="1" ht="11.25" customHeight="1" outlineLevel="1">
      <c r="B6044" s="1602">
        <v>11397</v>
      </c>
      <c r="C6044" s="1603" t="s">
        <v>5358</v>
      </c>
      <c r="D6044" s="1603" t="s">
        <v>5362</v>
      </c>
      <c r="E6044" s="1603"/>
      <c r="F6044" s="1603"/>
      <c r="G6044" s="1603" t="s">
        <v>5361</v>
      </c>
      <c r="H6044" s="1604">
        <v>2</v>
      </c>
      <c r="I6044" s="1603"/>
      <c r="J6044" s="1603"/>
      <c r="K6044" s="1605">
        <v>23</v>
      </c>
      <c r="L6044" s="1606">
        <v>1672</v>
      </c>
      <c r="M6044" s="1607"/>
      <c r="N6044" s="1606">
        <v>1672</v>
      </c>
      <c r="O6044" s="1605">
        <v>129.4</v>
      </c>
      <c r="P6044" s="1606">
        <v>1487.16</v>
      </c>
      <c r="Q6044" s="1605">
        <v>55.44</v>
      </c>
      <c r="R6044" s="1606">
        <v>1542.6</v>
      </c>
      <c r="S6044" s="1608"/>
    </row>
    <row r="6045" spans="2:19" s="1609" customFormat="1" ht="11.25" customHeight="1" outlineLevel="1">
      <c r="B6045" s="1602">
        <v>11399</v>
      </c>
      <c r="C6045" s="1603" t="s">
        <v>5358</v>
      </c>
      <c r="D6045" s="1603" t="s">
        <v>5360</v>
      </c>
      <c r="E6045" s="1603"/>
      <c r="F6045" s="1603"/>
      <c r="G6045" s="1603" t="s">
        <v>5359</v>
      </c>
      <c r="H6045" s="1604">
        <v>2</v>
      </c>
      <c r="I6045" s="1603"/>
      <c r="J6045" s="1603"/>
      <c r="K6045" s="1605">
        <v>15</v>
      </c>
      <c r="L6045" s="1606">
        <v>2097</v>
      </c>
      <c r="M6045" s="1607"/>
      <c r="N6045" s="1606">
        <v>2097</v>
      </c>
      <c r="O6045" s="1605">
        <v>161.52000000000001</v>
      </c>
      <c r="P6045" s="1606">
        <v>1866.24</v>
      </c>
      <c r="Q6045" s="1605">
        <v>69.239999999999995</v>
      </c>
      <c r="R6045" s="1606">
        <v>1935.48</v>
      </c>
      <c r="S6045" s="1608"/>
    </row>
    <row r="6046" spans="2:19" s="1609" customFormat="1" ht="11.25" customHeight="1" outlineLevel="1">
      <c r="B6046" s="1602">
        <v>11402</v>
      </c>
      <c r="C6046" s="1603" t="s">
        <v>5358</v>
      </c>
      <c r="D6046" s="1603" t="s">
        <v>5357</v>
      </c>
      <c r="E6046" s="1603"/>
      <c r="F6046" s="1603"/>
      <c r="G6046" s="1603" t="s">
        <v>5356</v>
      </c>
      <c r="H6046" s="1604">
        <v>2</v>
      </c>
      <c r="I6046" s="1603"/>
      <c r="J6046" s="1603"/>
      <c r="K6046" s="1605">
        <v>25</v>
      </c>
      <c r="L6046" s="1606">
        <v>3192</v>
      </c>
      <c r="M6046" s="1607"/>
      <c r="N6046" s="1606">
        <v>3192</v>
      </c>
      <c r="O6046" s="1605">
        <v>245.4</v>
      </c>
      <c r="P6046" s="1606">
        <v>2841.48</v>
      </c>
      <c r="Q6046" s="1605">
        <v>105.12</v>
      </c>
      <c r="R6046" s="1606">
        <v>2946.6</v>
      </c>
      <c r="S6046" s="1608"/>
    </row>
    <row r="6047" spans="2:19" s="1609" customFormat="1" ht="11.25" customHeight="1" outlineLevel="1">
      <c r="B6047" s="1602">
        <v>11406</v>
      </c>
      <c r="C6047" s="1603" t="s">
        <v>5351</v>
      </c>
      <c r="D6047" s="1603" t="s">
        <v>5355</v>
      </c>
      <c r="E6047" s="1603"/>
      <c r="F6047" s="1603"/>
      <c r="G6047" s="1603" t="s">
        <v>5354</v>
      </c>
      <c r="H6047" s="1604">
        <v>2</v>
      </c>
      <c r="I6047" s="1603"/>
      <c r="J6047" s="1603"/>
      <c r="K6047" s="1605">
        <v>724</v>
      </c>
      <c r="L6047" s="1606">
        <v>62808</v>
      </c>
      <c r="M6047" s="1607"/>
      <c r="N6047" s="1606">
        <v>62808</v>
      </c>
      <c r="O6047" s="1606">
        <v>18973.25</v>
      </c>
      <c r="P6047" s="1606">
        <v>42264.55</v>
      </c>
      <c r="Q6047" s="1606">
        <v>1570.2</v>
      </c>
      <c r="R6047" s="1606">
        <v>43834.75</v>
      </c>
      <c r="S6047" s="1608"/>
    </row>
    <row r="6048" spans="2:19" s="1609" customFormat="1" ht="11.25" customHeight="1" outlineLevel="1">
      <c r="B6048" s="1602">
        <v>11408</v>
      </c>
      <c r="C6048" s="1603" t="s">
        <v>5351</v>
      </c>
      <c r="D6048" s="1603" t="s">
        <v>5353</v>
      </c>
      <c r="E6048" s="1603"/>
      <c r="F6048" s="1603"/>
      <c r="G6048" s="1603" t="s">
        <v>5352</v>
      </c>
      <c r="H6048" s="1604">
        <v>2</v>
      </c>
      <c r="I6048" s="1603"/>
      <c r="J6048" s="1603"/>
      <c r="K6048" s="1606">
        <v>10121</v>
      </c>
      <c r="L6048" s="1606">
        <v>10121</v>
      </c>
      <c r="M6048" s="1607"/>
      <c r="N6048" s="1606">
        <v>10121</v>
      </c>
      <c r="O6048" s="1606">
        <v>4469.55</v>
      </c>
      <c r="P6048" s="1606">
        <v>5449.01</v>
      </c>
      <c r="Q6048" s="1605">
        <v>202.44</v>
      </c>
      <c r="R6048" s="1606">
        <v>5651.45</v>
      </c>
      <c r="S6048" s="1608"/>
    </row>
    <row r="6049" spans="2:19" s="1609" customFormat="1" ht="11.25" customHeight="1" outlineLevel="1">
      <c r="B6049" s="1602">
        <v>11409</v>
      </c>
      <c r="C6049" s="1603" t="s">
        <v>5351</v>
      </c>
      <c r="D6049" s="1603" t="s">
        <v>5350</v>
      </c>
      <c r="E6049" s="1603"/>
      <c r="F6049" s="1603"/>
      <c r="G6049" s="1603" t="s">
        <v>5349</v>
      </c>
      <c r="H6049" s="1604">
        <v>2</v>
      </c>
      <c r="I6049" s="1603"/>
      <c r="J6049" s="1603"/>
      <c r="K6049" s="1605">
        <v>107</v>
      </c>
      <c r="L6049" s="1606">
        <v>4090</v>
      </c>
      <c r="M6049" s="1607"/>
      <c r="N6049" s="1606">
        <v>4090</v>
      </c>
      <c r="O6049" s="1606">
        <v>1235.8</v>
      </c>
      <c r="P6049" s="1606">
        <v>2751.96</v>
      </c>
      <c r="Q6049" s="1605">
        <v>102.24</v>
      </c>
      <c r="R6049" s="1606">
        <v>2854.2</v>
      </c>
      <c r="S6049" s="1608"/>
    </row>
    <row r="6050" spans="2:19" s="1609" customFormat="1" ht="11.25" customHeight="1" outlineLevel="1">
      <c r="B6050" s="1602">
        <v>11431</v>
      </c>
      <c r="C6050" s="1603" t="s">
        <v>5335</v>
      </c>
      <c r="D6050" s="1603" t="s">
        <v>5348</v>
      </c>
      <c r="E6050" s="1603"/>
      <c r="F6050" s="1603"/>
      <c r="G6050" s="1603" t="s">
        <v>5347</v>
      </c>
      <c r="H6050" s="1604">
        <v>2</v>
      </c>
      <c r="I6050" s="1603"/>
      <c r="J6050" s="1603"/>
      <c r="K6050" s="1605">
        <v>188</v>
      </c>
      <c r="L6050" s="1606">
        <v>3388</v>
      </c>
      <c r="M6050" s="1607"/>
      <c r="N6050" s="1606">
        <v>3388</v>
      </c>
      <c r="O6050" s="1605">
        <v>288.01</v>
      </c>
      <c r="P6050" s="1606">
        <v>2988.51</v>
      </c>
      <c r="Q6050" s="1605">
        <v>111.48</v>
      </c>
      <c r="R6050" s="1606">
        <v>3099.99</v>
      </c>
      <c r="S6050" s="1608"/>
    </row>
    <row r="6051" spans="2:19" s="1609" customFormat="1" ht="11.25" customHeight="1" outlineLevel="1">
      <c r="B6051" s="1602">
        <v>11432</v>
      </c>
      <c r="C6051" s="1603" t="s">
        <v>5335</v>
      </c>
      <c r="D6051" s="1603" t="s">
        <v>5346</v>
      </c>
      <c r="E6051" s="1603"/>
      <c r="F6051" s="1603"/>
      <c r="G6051" s="1603" t="s">
        <v>5345</v>
      </c>
      <c r="H6051" s="1604">
        <v>2</v>
      </c>
      <c r="I6051" s="1603"/>
      <c r="J6051" s="1603"/>
      <c r="K6051" s="1605">
        <v>114</v>
      </c>
      <c r="L6051" s="1606">
        <v>6944</v>
      </c>
      <c r="M6051" s="1607"/>
      <c r="N6051" s="1606">
        <v>6944</v>
      </c>
      <c r="O6051" s="1605">
        <v>590.70000000000005</v>
      </c>
      <c r="P6051" s="1606">
        <v>6124.68</v>
      </c>
      <c r="Q6051" s="1605">
        <v>228.62</v>
      </c>
      <c r="R6051" s="1606">
        <v>6353.3</v>
      </c>
      <c r="S6051" s="1608"/>
    </row>
    <row r="6052" spans="2:19" s="1609" customFormat="1" ht="11.25" customHeight="1" outlineLevel="1">
      <c r="B6052" s="1602">
        <v>11434</v>
      </c>
      <c r="C6052" s="1603" t="s">
        <v>5335</v>
      </c>
      <c r="D6052" s="1603" t="s">
        <v>5344</v>
      </c>
      <c r="E6052" s="1603"/>
      <c r="F6052" s="1603"/>
      <c r="G6052" s="1603" t="s">
        <v>5342</v>
      </c>
      <c r="H6052" s="1604">
        <v>2</v>
      </c>
      <c r="I6052" s="1603"/>
      <c r="J6052" s="1603"/>
      <c r="K6052" s="1605">
        <v>144</v>
      </c>
      <c r="L6052" s="1606">
        <v>9773</v>
      </c>
      <c r="M6052" s="1607"/>
      <c r="N6052" s="1606">
        <v>9773</v>
      </c>
      <c r="O6052" s="1605">
        <v>832.07</v>
      </c>
      <c r="P6052" s="1606">
        <v>8618.85</v>
      </c>
      <c r="Q6052" s="1605">
        <v>322.08</v>
      </c>
      <c r="R6052" s="1606">
        <v>8940.93</v>
      </c>
      <c r="S6052" s="1608"/>
    </row>
    <row r="6053" spans="2:19" s="1609" customFormat="1" ht="11.25" customHeight="1" outlineLevel="1">
      <c r="B6053" s="1602">
        <v>11435</v>
      </c>
      <c r="C6053" s="1603" t="s">
        <v>5335</v>
      </c>
      <c r="D6053" s="1603" t="s">
        <v>5343</v>
      </c>
      <c r="E6053" s="1603"/>
      <c r="F6053" s="1603"/>
      <c r="G6053" s="1603" t="s">
        <v>5342</v>
      </c>
      <c r="H6053" s="1604">
        <v>2</v>
      </c>
      <c r="I6053" s="1603"/>
      <c r="J6053" s="1603"/>
      <c r="K6053" s="1605">
        <v>208</v>
      </c>
      <c r="L6053" s="1606">
        <v>88929</v>
      </c>
      <c r="M6053" s="1607"/>
      <c r="N6053" s="1606">
        <v>88929</v>
      </c>
      <c r="O6053" s="1606">
        <v>7573.76</v>
      </c>
      <c r="P6053" s="1606">
        <v>78423.509999999995</v>
      </c>
      <c r="Q6053" s="1606">
        <v>2931.73</v>
      </c>
      <c r="R6053" s="1606">
        <v>81355.240000000005</v>
      </c>
      <c r="S6053" s="1608"/>
    </row>
    <row r="6054" spans="2:19" s="1609" customFormat="1" ht="11.25" customHeight="1" outlineLevel="1">
      <c r="B6054" s="1602">
        <v>11437</v>
      </c>
      <c r="C6054" s="1603" t="s">
        <v>5335</v>
      </c>
      <c r="D6054" s="1603" t="s">
        <v>5341</v>
      </c>
      <c r="E6054" s="1603"/>
      <c r="F6054" s="1603"/>
      <c r="G6054" s="1603" t="s">
        <v>5340</v>
      </c>
      <c r="H6054" s="1604">
        <v>2</v>
      </c>
      <c r="I6054" s="1603"/>
      <c r="J6054" s="1603"/>
      <c r="K6054" s="1605">
        <v>7</v>
      </c>
      <c r="L6054" s="1606">
        <v>17058</v>
      </c>
      <c r="M6054" s="1607"/>
      <c r="N6054" s="1606">
        <v>17058</v>
      </c>
      <c r="O6054" s="1606">
        <v>5223.3</v>
      </c>
      <c r="P6054" s="1606">
        <v>11408.34</v>
      </c>
      <c r="Q6054" s="1605">
        <v>426.36</v>
      </c>
      <c r="R6054" s="1606">
        <v>11834.7</v>
      </c>
      <c r="S6054" s="1608"/>
    </row>
    <row r="6055" spans="2:19" s="1609" customFormat="1" ht="11.25" customHeight="1" outlineLevel="1">
      <c r="B6055" s="1602">
        <v>11442</v>
      </c>
      <c r="C6055" s="1603" t="s">
        <v>5335</v>
      </c>
      <c r="D6055" s="1603" t="s">
        <v>5339</v>
      </c>
      <c r="E6055" s="1603"/>
      <c r="F6055" s="1603"/>
      <c r="G6055" s="1603" t="s">
        <v>5338</v>
      </c>
      <c r="H6055" s="1604">
        <v>2</v>
      </c>
      <c r="I6055" s="1603"/>
      <c r="J6055" s="1603"/>
      <c r="K6055" s="1605">
        <v>79</v>
      </c>
      <c r="L6055" s="1606">
        <v>10096</v>
      </c>
      <c r="M6055" s="1607"/>
      <c r="N6055" s="1606">
        <v>10096</v>
      </c>
      <c r="O6055" s="1606">
        <v>3092.89</v>
      </c>
      <c r="P6055" s="1606">
        <v>6750.63</v>
      </c>
      <c r="Q6055" s="1605">
        <v>252.48</v>
      </c>
      <c r="R6055" s="1606">
        <v>7003.11</v>
      </c>
      <c r="S6055" s="1608"/>
    </row>
    <row r="6056" spans="2:19" s="1609" customFormat="1" ht="11.25" customHeight="1" outlineLevel="1">
      <c r="B6056" s="1602">
        <v>11443</v>
      </c>
      <c r="C6056" s="1603" t="s">
        <v>5335</v>
      </c>
      <c r="D6056" s="1603" t="s">
        <v>5337</v>
      </c>
      <c r="E6056" s="1603"/>
      <c r="F6056" s="1603"/>
      <c r="G6056" s="1603" t="s">
        <v>5336</v>
      </c>
      <c r="H6056" s="1604">
        <v>2</v>
      </c>
      <c r="I6056" s="1603"/>
      <c r="J6056" s="1603"/>
      <c r="K6056" s="1605">
        <v>466</v>
      </c>
      <c r="L6056" s="1606">
        <v>20580</v>
      </c>
      <c r="M6056" s="1607"/>
      <c r="N6056" s="1606">
        <v>20580</v>
      </c>
      <c r="O6056" s="1606">
        <v>9158.1</v>
      </c>
      <c r="P6056" s="1606">
        <v>11010.3</v>
      </c>
      <c r="Q6056" s="1605">
        <v>411.6</v>
      </c>
      <c r="R6056" s="1606">
        <v>11421.9</v>
      </c>
      <c r="S6056" s="1608"/>
    </row>
    <row r="6057" spans="2:19" s="1609" customFormat="1" ht="11.25" customHeight="1" outlineLevel="1">
      <c r="B6057" s="1602">
        <v>11447</v>
      </c>
      <c r="C6057" s="1603" t="s">
        <v>5335</v>
      </c>
      <c r="D6057" s="1603" t="s">
        <v>5334</v>
      </c>
      <c r="E6057" s="1603"/>
      <c r="F6057" s="1603"/>
      <c r="G6057" s="1603" t="s">
        <v>5333</v>
      </c>
      <c r="H6057" s="1604">
        <v>2</v>
      </c>
      <c r="I6057" s="1603"/>
      <c r="J6057" s="1603"/>
      <c r="K6057" s="1605">
        <v>79</v>
      </c>
      <c r="L6057" s="1606">
        <v>8106</v>
      </c>
      <c r="M6057" s="1607"/>
      <c r="N6057" s="1606">
        <v>8106</v>
      </c>
      <c r="O6057" s="1606">
        <v>2481.75</v>
      </c>
      <c r="P6057" s="1606">
        <v>5421.69</v>
      </c>
      <c r="Q6057" s="1605">
        <v>202.56</v>
      </c>
      <c r="R6057" s="1606">
        <v>5624.25</v>
      </c>
      <c r="S6057" s="1608"/>
    </row>
    <row r="6058" spans="2:19" s="1609" customFormat="1" ht="11.25" customHeight="1" outlineLevel="1">
      <c r="B6058" s="1602">
        <v>11463</v>
      </c>
      <c r="C6058" s="1603" t="s">
        <v>5328</v>
      </c>
      <c r="D6058" s="1603" t="s">
        <v>5332</v>
      </c>
      <c r="E6058" s="1603"/>
      <c r="F6058" s="1603"/>
      <c r="G6058" s="1603" t="s">
        <v>5331</v>
      </c>
      <c r="H6058" s="1604">
        <v>2</v>
      </c>
      <c r="I6058" s="1603"/>
      <c r="J6058" s="1603"/>
      <c r="K6058" s="1605">
        <v>38</v>
      </c>
      <c r="L6058" s="1605">
        <v>209</v>
      </c>
      <c r="M6058" s="1607"/>
      <c r="N6058" s="1605">
        <v>209</v>
      </c>
      <c r="O6058" s="1605">
        <v>92.8</v>
      </c>
      <c r="P6058" s="1605">
        <v>112</v>
      </c>
      <c r="Q6058" s="1605">
        <v>4.2</v>
      </c>
      <c r="R6058" s="1605">
        <v>116.2</v>
      </c>
      <c r="S6058" s="1608"/>
    </row>
    <row r="6059" spans="2:19" s="1609" customFormat="1" ht="11.25" customHeight="1" outlineLevel="1">
      <c r="B6059" s="1602">
        <v>11464</v>
      </c>
      <c r="C6059" s="1603" t="s">
        <v>5328</v>
      </c>
      <c r="D6059" s="1603" t="s">
        <v>5330</v>
      </c>
      <c r="E6059" s="1603"/>
      <c r="F6059" s="1603"/>
      <c r="G6059" s="1603" t="s">
        <v>5329</v>
      </c>
      <c r="H6059" s="1604">
        <v>2</v>
      </c>
      <c r="I6059" s="1603"/>
      <c r="J6059" s="1603"/>
      <c r="K6059" s="1605">
        <v>60</v>
      </c>
      <c r="L6059" s="1606">
        <v>6675</v>
      </c>
      <c r="M6059" s="1607"/>
      <c r="N6059" s="1606">
        <v>6675</v>
      </c>
      <c r="O6059" s="1605">
        <v>586.36</v>
      </c>
      <c r="P6059" s="1606">
        <v>5868.8</v>
      </c>
      <c r="Q6059" s="1605">
        <v>219.84</v>
      </c>
      <c r="R6059" s="1606">
        <v>6088.64</v>
      </c>
      <c r="S6059" s="1608"/>
    </row>
    <row r="6060" spans="2:19" s="1609" customFormat="1" ht="11.25" customHeight="1" outlineLevel="1">
      <c r="B6060" s="1602">
        <v>11465</v>
      </c>
      <c r="C6060" s="1603" t="s">
        <v>5328</v>
      </c>
      <c r="D6060" s="1603" t="s">
        <v>5327</v>
      </c>
      <c r="E6060" s="1603"/>
      <c r="F6060" s="1603"/>
      <c r="G6060" s="1603" t="s">
        <v>5326</v>
      </c>
      <c r="H6060" s="1604">
        <v>2</v>
      </c>
      <c r="I6060" s="1603"/>
      <c r="J6060" s="1603"/>
      <c r="K6060" s="1605">
        <v>10</v>
      </c>
      <c r="L6060" s="1606">
        <v>1306</v>
      </c>
      <c r="M6060" s="1607"/>
      <c r="N6060" s="1606">
        <v>1306</v>
      </c>
      <c r="O6060" s="1605">
        <v>402.96</v>
      </c>
      <c r="P6060" s="1605">
        <v>870.4</v>
      </c>
      <c r="Q6060" s="1605">
        <v>32.64</v>
      </c>
      <c r="R6060" s="1605">
        <v>903.04</v>
      </c>
      <c r="S6060" s="1608"/>
    </row>
    <row r="6061" spans="2:19" s="1609" customFormat="1" ht="11.25" customHeight="1" outlineLevel="1">
      <c r="B6061" s="1602">
        <v>23369</v>
      </c>
      <c r="C6061" s="1603" t="s">
        <v>5313</v>
      </c>
      <c r="D6061" s="1603" t="s">
        <v>5325</v>
      </c>
      <c r="E6061" s="1603"/>
      <c r="F6061" s="1603"/>
      <c r="G6061" s="1603" t="s">
        <v>5324</v>
      </c>
      <c r="H6061" s="1604">
        <v>2</v>
      </c>
      <c r="I6061" s="1603"/>
      <c r="J6061" s="1603"/>
      <c r="K6061" s="1605">
        <v>2</v>
      </c>
      <c r="L6061" s="1605">
        <v>345</v>
      </c>
      <c r="M6061" s="1607"/>
      <c r="N6061" s="1605">
        <v>345</v>
      </c>
      <c r="O6061" s="1605">
        <v>106.68</v>
      </c>
      <c r="P6061" s="1605">
        <v>229.68</v>
      </c>
      <c r="Q6061" s="1605">
        <v>8.64</v>
      </c>
      <c r="R6061" s="1605">
        <v>238.32</v>
      </c>
      <c r="S6061" s="1608"/>
    </row>
    <row r="6062" spans="2:19" s="1609" customFormat="1" ht="11.25" customHeight="1" outlineLevel="1">
      <c r="B6062" s="1602">
        <v>23370</v>
      </c>
      <c r="C6062" s="1603" t="s">
        <v>5313</v>
      </c>
      <c r="D6062" s="1603" t="s">
        <v>5323</v>
      </c>
      <c r="E6062" s="1603"/>
      <c r="F6062" s="1603"/>
      <c r="G6062" s="1603" t="s">
        <v>5322</v>
      </c>
      <c r="H6062" s="1604">
        <v>2</v>
      </c>
      <c r="I6062" s="1603"/>
      <c r="J6062" s="1603"/>
      <c r="K6062" s="1605">
        <v>94</v>
      </c>
      <c r="L6062" s="1606">
        <v>2501</v>
      </c>
      <c r="M6062" s="1607"/>
      <c r="N6062" s="1606">
        <v>2501</v>
      </c>
      <c r="O6062" s="1605">
        <v>776.49</v>
      </c>
      <c r="P6062" s="1606">
        <v>1661.99</v>
      </c>
      <c r="Q6062" s="1605">
        <v>62.52</v>
      </c>
      <c r="R6062" s="1606">
        <v>1724.51</v>
      </c>
      <c r="S6062" s="1608"/>
    </row>
    <row r="6063" spans="2:19" s="1609" customFormat="1" ht="11.25" customHeight="1" outlineLevel="1">
      <c r="B6063" s="1602">
        <v>23371</v>
      </c>
      <c r="C6063" s="1603" t="s">
        <v>5313</v>
      </c>
      <c r="D6063" s="1603" t="s">
        <v>5321</v>
      </c>
      <c r="E6063" s="1603"/>
      <c r="F6063" s="1603"/>
      <c r="G6063" s="1603" t="s">
        <v>5320</v>
      </c>
      <c r="H6063" s="1604">
        <v>2</v>
      </c>
      <c r="I6063" s="1603"/>
      <c r="J6063" s="1603"/>
      <c r="K6063" s="1605">
        <v>94</v>
      </c>
      <c r="L6063" s="1606">
        <v>4392</v>
      </c>
      <c r="M6063" s="1607"/>
      <c r="N6063" s="1606">
        <v>4392</v>
      </c>
      <c r="O6063" s="1606">
        <v>1363.35</v>
      </c>
      <c r="P6063" s="1606">
        <v>2918.85</v>
      </c>
      <c r="Q6063" s="1605">
        <v>109.8</v>
      </c>
      <c r="R6063" s="1606">
        <v>3028.65</v>
      </c>
      <c r="S6063" s="1608"/>
    </row>
    <row r="6064" spans="2:19" s="1609" customFormat="1" ht="11.25" customHeight="1" outlineLevel="1">
      <c r="B6064" s="1602">
        <v>23372</v>
      </c>
      <c r="C6064" s="1603" t="s">
        <v>5313</v>
      </c>
      <c r="D6064" s="1603" t="s">
        <v>5319</v>
      </c>
      <c r="E6064" s="1603"/>
      <c r="F6064" s="1603"/>
      <c r="G6064" s="1603" t="s">
        <v>5318</v>
      </c>
      <c r="H6064" s="1604">
        <v>2</v>
      </c>
      <c r="I6064" s="1603"/>
      <c r="J6064" s="1603"/>
      <c r="K6064" s="1605">
        <v>94</v>
      </c>
      <c r="L6064" s="1606">
        <v>6442</v>
      </c>
      <c r="M6064" s="1607"/>
      <c r="N6064" s="1606">
        <v>6442</v>
      </c>
      <c r="O6064" s="1606">
        <v>1999.98</v>
      </c>
      <c r="P6064" s="1606">
        <v>4280.9799999999996</v>
      </c>
      <c r="Q6064" s="1605">
        <v>161.04</v>
      </c>
      <c r="R6064" s="1606">
        <v>4442.0200000000004</v>
      </c>
      <c r="S6064" s="1608"/>
    </row>
    <row r="6065" spans="2:19" s="1609" customFormat="1" ht="11.25" customHeight="1" outlineLevel="1">
      <c r="B6065" s="1602">
        <v>23373</v>
      </c>
      <c r="C6065" s="1603" t="s">
        <v>5313</v>
      </c>
      <c r="D6065" s="1603" t="s">
        <v>5317</v>
      </c>
      <c r="E6065" s="1603"/>
      <c r="F6065" s="1603"/>
      <c r="G6065" s="1603" t="s">
        <v>5316</v>
      </c>
      <c r="H6065" s="1604">
        <v>2</v>
      </c>
      <c r="I6065" s="1603"/>
      <c r="J6065" s="1603"/>
      <c r="K6065" s="1605">
        <v>94</v>
      </c>
      <c r="L6065" s="1606">
        <v>8106</v>
      </c>
      <c r="M6065" s="1607"/>
      <c r="N6065" s="1606">
        <v>8106</v>
      </c>
      <c r="O6065" s="1606">
        <v>2515.5300000000002</v>
      </c>
      <c r="P6065" s="1606">
        <v>5387.91</v>
      </c>
      <c r="Q6065" s="1605">
        <v>202.56</v>
      </c>
      <c r="R6065" s="1606">
        <v>5590.47</v>
      </c>
      <c r="S6065" s="1608"/>
    </row>
    <row r="6066" spans="2:19" s="1609" customFormat="1" ht="11.25" customHeight="1" outlineLevel="1">
      <c r="B6066" s="1602">
        <v>23374</v>
      </c>
      <c r="C6066" s="1603" t="s">
        <v>5313</v>
      </c>
      <c r="D6066" s="1603" t="s">
        <v>5315</v>
      </c>
      <c r="E6066" s="1603"/>
      <c r="F6066" s="1603"/>
      <c r="G6066" s="1603" t="s">
        <v>5314</v>
      </c>
      <c r="H6066" s="1604">
        <v>2</v>
      </c>
      <c r="I6066" s="1603"/>
      <c r="J6066" s="1603"/>
      <c r="K6066" s="1605">
        <v>94</v>
      </c>
      <c r="L6066" s="1606">
        <v>5454</v>
      </c>
      <c r="M6066" s="1607"/>
      <c r="N6066" s="1606">
        <v>5454</v>
      </c>
      <c r="O6066" s="1606">
        <v>1693.72</v>
      </c>
      <c r="P6066" s="1606">
        <v>3623.84</v>
      </c>
      <c r="Q6066" s="1605">
        <v>136.44</v>
      </c>
      <c r="R6066" s="1606">
        <v>3760.28</v>
      </c>
      <c r="S6066" s="1608"/>
    </row>
    <row r="6067" spans="2:19" s="1609" customFormat="1" ht="11.25" customHeight="1" outlineLevel="1">
      <c r="B6067" s="1602">
        <v>23375</v>
      </c>
      <c r="C6067" s="1603" t="s">
        <v>5313</v>
      </c>
      <c r="D6067" s="1603" t="s">
        <v>5312</v>
      </c>
      <c r="E6067" s="1603"/>
      <c r="F6067" s="1603"/>
      <c r="G6067" s="1603" t="s">
        <v>5311</v>
      </c>
      <c r="H6067" s="1604">
        <v>2</v>
      </c>
      <c r="I6067" s="1603"/>
      <c r="J6067" s="1603"/>
      <c r="K6067" s="1605">
        <v>839</v>
      </c>
      <c r="L6067" s="1606">
        <v>578755</v>
      </c>
      <c r="M6067" s="1607"/>
      <c r="N6067" s="1606">
        <v>578755</v>
      </c>
      <c r="O6067" s="1606">
        <v>117145.71</v>
      </c>
      <c r="P6067" s="1606">
        <v>444874.21</v>
      </c>
      <c r="Q6067" s="1606">
        <v>16735.080000000002</v>
      </c>
      <c r="R6067" s="1606">
        <v>461609.29</v>
      </c>
      <c r="S6067" s="1608"/>
    </row>
    <row r="6068" spans="2:19" s="1609" customFormat="1" ht="11.25" customHeight="1" outlineLevel="1">
      <c r="B6068" s="1602">
        <v>23391</v>
      </c>
      <c r="C6068" s="1603" t="s">
        <v>5308</v>
      </c>
      <c r="D6068" s="1603" t="s">
        <v>5310</v>
      </c>
      <c r="E6068" s="1603"/>
      <c r="F6068" s="1603"/>
      <c r="G6068" s="1603" t="s">
        <v>5309</v>
      </c>
      <c r="H6068" s="1604">
        <v>2</v>
      </c>
      <c r="I6068" s="1603"/>
      <c r="J6068" s="1603"/>
      <c r="K6068" s="1605">
        <v>34</v>
      </c>
      <c r="L6068" s="1605">
        <v>500</v>
      </c>
      <c r="M6068" s="1607"/>
      <c r="N6068" s="1605">
        <v>500</v>
      </c>
      <c r="O6068" s="1605">
        <v>156.75</v>
      </c>
      <c r="P6068" s="1605">
        <v>330.72</v>
      </c>
      <c r="Q6068" s="1605">
        <v>12.53</v>
      </c>
      <c r="R6068" s="1605">
        <v>343.25</v>
      </c>
      <c r="S6068" s="1608"/>
    </row>
    <row r="6069" spans="2:19" s="1609" customFormat="1" ht="11.25" customHeight="1" outlineLevel="1">
      <c r="B6069" s="1602">
        <v>23392</v>
      </c>
      <c r="C6069" s="1603" t="s">
        <v>5308</v>
      </c>
      <c r="D6069" s="1603" t="s">
        <v>5307</v>
      </c>
      <c r="E6069" s="1603"/>
      <c r="F6069" s="1603"/>
      <c r="G6069" s="1603" t="s">
        <v>5306</v>
      </c>
      <c r="H6069" s="1604">
        <v>2</v>
      </c>
      <c r="I6069" s="1603"/>
      <c r="J6069" s="1603"/>
      <c r="K6069" s="1605">
        <v>113</v>
      </c>
      <c r="L6069" s="1606">
        <v>2200</v>
      </c>
      <c r="M6069" s="1607"/>
      <c r="N6069" s="1606">
        <v>2200</v>
      </c>
      <c r="O6069" s="1605">
        <v>206.44</v>
      </c>
      <c r="P6069" s="1606">
        <v>1920.72</v>
      </c>
      <c r="Q6069" s="1605">
        <v>72.84</v>
      </c>
      <c r="R6069" s="1606">
        <v>1993.56</v>
      </c>
      <c r="S6069" s="1608"/>
    </row>
    <row r="6070" spans="2:19" s="1609" customFormat="1" ht="11.25" customHeight="1" outlineLevel="1">
      <c r="B6070" s="1602">
        <v>23452</v>
      </c>
      <c r="C6070" s="1603" t="s">
        <v>5230</v>
      </c>
      <c r="D6070" s="1603" t="s">
        <v>5305</v>
      </c>
      <c r="E6070" s="1603"/>
      <c r="F6070" s="1603"/>
      <c r="G6070" s="1603" t="s">
        <v>5304</v>
      </c>
      <c r="H6070" s="1604">
        <v>2</v>
      </c>
      <c r="I6070" s="1603"/>
      <c r="J6070" s="1603"/>
      <c r="K6070" s="1605">
        <v>38</v>
      </c>
      <c r="L6070" s="1606">
        <v>4995</v>
      </c>
      <c r="M6070" s="1607"/>
      <c r="N6070" s="1606">
        <v>4995</v>
      </c>
      <c r="O6070" s="1605">
        <v>480.88</v>
      </c>
      <c r="P6070" s="1606">
        <v>4349.24</v>
      </c>
      <c r="Q6070" s="1605">
        <v>164.88</v>
      </c>
      <c r="R6070" s="1606">
        <v>4514.12</v>
      </c>
      <c r="S6070" s="1608"/>
    </row>
    <row r="6071" spans="2:19" s="1609" customFormat="1" ht="11.25" customHeight="1" outlineLevel="1">
      <c r="B6071" s="1602">
        <v>23453</v>
      </c>
      <c r="C6071" s="1603" t="s">
        <v>5230</v>
      </c>
      <c r="D6071" s="1603" t="s">
        <v>5303</v>
      </c>
      <c r="E6071" s="1603"/>
      <c r="F6071" s="1603"/>
      <c r="G6071" s="1603" t="s">
        <v>5302</v>
      </c>
      <c r="H6071" s="1604">
        <v>2</v>
      </c>
      <c r="I6071" s="1603"/>
      <c r="J6071" s="1603"/>
      <c r="K6071" s="1605">
        <v>6</v>
      </c>
      <c r="L6071" s="1605">
        <v>584</v>
      </c>
      <c r="M6071" s="1607"/>
      <c r="N6071" s="1605">
        <v>584</v>
      </c>
      <c r="O6071" s="1605">
        <v>264.75</v>
      </c>
      <c r="P6071" s="1605">
        <v>307.49</v>
      </c>
      <c r="Q6071" s="1605">
        <v>11.76</v>
      </c>
      <c r="R6071" s="1605">
        <v>319.25</v>
      </c>
      <c r="S6071" s="1608"/>
    </row>
    <row r="6072" spans="2:19" s="1609" customFormat="1" ht="11.25" customHeight="1" outlineLevel="1">
      <c r="B6072" s="1602">
        <v>23454</v>
      </c>
      <c r="C6072" s="1603" t="s">
        <v>5230</v>
      </c>
      <c r="D6072" s="1603" t="s">
        <v>5301</v>
      </c>
      <c r="E6072" s="1603"/>
      <c r="F6072" s="1603"/>
      <c r="G6072" s="1603" t="s">
        <v>4201</v>
      </c>
      <c r="H6072" s="1604">
        <v>2</v>
      </c>
      <c r="I6072" s="1603"/>
      <c r="J6072" s="1603"/>
      <c r="K6072" s="1605">
        <v>63</v>
      </c>
      <c r="L6072" s="1605">
        <v>918</v>
      </c>
      <c r="M6072" s="1607"/>
      <c r="N6072" s="1605">
        <v>918</v>
      </c>
      <c r="O6072" s="1605">
        <v>414.63</v>
      </c>
      <c r="P6072" s="1605">
        <v>485.01</v>
      </c>
      <c r="Q6072" s="1605">
        <v>18.36</v>
      </c>
      <c r="R6072" s="1605">
        <v>503.37</v>
      </c>
      <c r="S6072" s="1608"/>
    </row>
    <row r="6073" spans="2:19" s="1609" customFormat="1" ht="11.25" customHeight="1" outlineLevel="1">
      <c r="B6073" s="1602">
        <v>23455</v>
      </c>
      <c r="C6073" s="1603" t="s">
        <v>5230</v>
      </c>
      <c r="D6073" s="1603" t="s">
        <v>5300</v>
      </c>
      <c r="E6073" s="1603"/>
      <c r="F6073" s="1603"/>
      <c r="G6073" s="1603" t="s">
        <v>5299</v>
      </c>
      <c r="H6073" s="1604">
        <v>2</v>
      </c>
      <c r="I6073" s="1603"/>
      <c r="J6073" s="1603"/>
      <c r="K6073" s="1605">
        <v>67</v>
      </c>
      <c r="L6073" s="1606">
        <v>3056</v>
      </c>
      <c r="M6073" s="1607"/>
      <c r="N6073" s="1606">
        <v>3056</v>
      </c>
      <c r="O6073" s="1605">
        <v>292.77</v>
      </c>
      <c r="P6073" s="1606">
        <v>2662.8</v>
      </c>
      <c r="Q6073" s="1605">
        <v>100.43</v>
      </c>
      <c r="R6073" s="1606">
        <v>2763.23</v>
      </c>
      <c r="S6073" s="1608"/>
    </row>
    <row r="6074" spans="2:19" s="1609" customFormat="1" ht="11.25" customHeight="1" outlineLevel="1">
      <c r="B6074" s="1602">
        <v>23456</v>
      </c>
      <c r="C6074" s="1603" t="s">
        <v>5230</v>
      </c>
      <c r="D6074" s="1603" t="s">
        <v>5298</v>
      </c>
      <c r="E6074" s="1603"/>
      <c r="F6074" s="1603"/>
      <c r="G6074" s="1603" t="s">
        <v>5297</v>
      </c>
      <c r="H6074" s="1604">
        <v>2</v>
      </c>
      <c r="I6074" s="1603"/>
      <c r="J6074" s="1603"/>
      <c r="K6074" s="1605">
        <v>50</v>
      </c>
      <c r="L6074" s="1606">
        <v>3555</v>
      </c>
      <c r="M6074" s="1607"/>
      <c r="N6074" s="1606">
        <v>3555</v>
      </c>
      <c r="O6074" s="1605">
        <v>341.03</v>
      </c>
      <c r="P6074" s="1606">
        <v>3097.09</v>
      </c>
      <c r="Q6074" s="1605">
        <v>116.88</v>
      </c>
      <c r="R6074" s="1606">
        <v>3213.97</v>
      </c>
      <c r="S6074" s="1608"/>
    </row>
    <row r="6075" spans="2:19" s="1609" customFormat="1" ht="11.25" customHeight="1" outlineLevel="1">
      <c r="B6075" s="1602">
        <v>23457</v>
      </c>
      <c r="C6075" s="1603" t="s">
        <v>5230</v>
      </c>
      <c r="D6075" s="1603" t="s">
        <v>5296</v>
      </c>
      <c r="E6075" s="1603"/>
      <c r="F6075" s="1603"/>
      <c r="G6075" s="1603" t="s">
        <v>5295</v>
      </c>
      <c r="H6075" s="1604">
        <v>2</v>
      </c>
      <c r="I6075" s="1603"/>
      <c r="J6075" s="1603"/>
      <c r="K6075" s="1605">
        <v>54</v>
      </c>
      <c r="L6075" s="1606">
        <v>4734</v>
      </c>
      <c r="M6075" s="1607"/>
      <c r="N6075" s="1606">
        <v>4734</v>
      </c>
      <c r="O6075" s="1605">
        <v>454.12</v>
      </c>
      <c r="P6075" s="1606">
        <v>4124.17</v>
      </c>
      <c r="Q6075" s="1605">
        <v>155.71</v>
      </c>
      <c r="R6075" s="1606">
        <v>4279.88</v>
      </c>
      <c r="S6075" s="1608"/>
    </row>
    <row r="6076" spans="2:19" s="1609" customFormat="1" ht="11.25" customHeight="1" outlineLevel="1">
      <c r="B6076" s="1602">
        <v>23458</v>
      </c>
      <c r="C6076" s="1603" t="s">
        <v>5230</v>
      </c>
      <c r="D6076" s="1603" t="s">
        <v>5294</v>
      </c>
      <c r="E6076" s="1603"/>
      <c r="F6076" s="1603"/>
      <c r="G6076" s="1603" t="s">
        <v>5293</v>
      </c>
      <c r="H6076" s="1604">
        <v>2</v>
      </c>
      <c r="I6076" s="1603"/>
      <c r="J6076" s="1603"/>
      <c r="K6076" s="1605">
        <v>61</v>
      </c>
      <c r="L6076" s="1606">
        <v>5476</v>
      </c>
      <c r="M6076" s="1607"/>
      <c r="N6076" s="1606">
        <v>5476</v>
      </c>
      <c r="O6076" s="1605">
        <v>527.48</v>
      </c>
      <c r="P6076" s="1606">
        <v>4767.68</v>
      </c>
      <c r="Q6076" s="1605">
        <v>180.84</v>
      </c>
      <c r="R6076" s="1606">
        <v>4948.5200000000004</v>
      </c>
      <c r="S6076" s="1608"/>
    </row>
    <row r="6077" spans="2:19" s="1609" customFormat="1" ht="11.25" customHeight="1" outlineLevel="1">
      <c r="B6077" s="1602">
        <v>23459</v>
      </c>
      <c r="C6077" s="1603" t="s">
        <v>5230</v>
      </c>
      <c r="D6077" s="1603" t="s">
        <v>5292</v>
      </c>
      <c r="E6077" s="1603"/>
      <c r="F6077" s="1603"/>
      <c r="G6077" s="1603" t="s">
        <v>5291</v>
      </c>
      <c r="H6077" s="1604">
        <v>2</v>
      </c>
      <c r="I6077" s="1603"/>
      <c r="J6077" s="1603"/>
      <c r="K6077" s="1605">
        <v>36</v>
      </c>
      <c r="L6077" s="1606">
        <v>6383</v>
      </c>
      <c r="M6077" s="1607"/>
      <c r="N6077" s="1606">
        <v>6383</v>
      </c>
      <c r="O6077" s="1605">
        <v>612.70000000000005</v>
      </c>
      <c r="P6077" s="1606">
        <v>5560.18</v>
      </c>
      <c r="Q6077" s="1605">
        <v>210.12</v>
      </c>
      <c r="R6077" s="1606">
        <v>5770.3</v>
      </c>
      <c r="S6077" s="1608"/>
    </row>
    <row r="6078" spans="2:19" s="1609" customFormat="1" ht="11.25" customHeight="1" outlineLevel="1">
      <c r="B6078" s="1602">
        <v>23460</v>
      </c>
      <c r="C6078" s="1603" t="s">
        <v>5230</v>
      </c>
      <c r="D6078" s="1603" t="s">
        <v>5290</v>
      </c>
      <c r="E6078" s="1603"/>
      <c r="F6078" s="1603"/>
      <c r="G6078" s="1603" t="s">
        <v>5289</v>
      </c>
      <c r="H6078" s="1604">
        <v>2</v>
      </c>
      <c r="I6078" s="1603"/>
      <c r="J6078" s="1603"/>
      <c r="K6078" s="1605">
        <v>56</v>
      </c>
      <c r="L6078" s="1606">
        <v>6787</v>
      </c>
      <c r="M6078" s="1607"/>
      <c r="N6078" s="1606">
        <v>6787</v>
      </c>
      <c r="O6078" s="1605">
        <v>651.52</v>
      </c>
      <c r="P6078" s="1606">
        <v>5912.05</v>
      </c>
      <c r="Q6078" s="1605">
        <v>223.43</v>
      </c>
      <c r="R6078" s="1606">
        <v>6135.48</v>
      </c>
      <c r="S6078" s="1608"/>
    </row>
    <row r="6079" spans="2:19" s="1609" customFormat="1" ht="11.25" customHeight="1" outlineLevel="1">
      <c r="B6079" s="1602">
        <v>23461</v>
      </c>
      <c r="C6079" s="1603" t="s">
        <v>5230</v>
      </c>
      <c r="D6079" s="1603" t="s">
        <v>5288</v>
      </c>
      <c r="E6079" s="1603"/>
      <c r="F6079" s="1603"/>
      <c r="G6079" s="1603" t="s">
        <v>5287</v>
      </c>
      <c r="H6079" s="1604">
        <v>2</v>
      </c>
      <c r="I6079" s="1603"/>
      <c r="J6079" s="1603"/>
      <c r="K6079" s="1605">
        <v>41</v>
      </c>
      <c r="L6079" s="1606">
        <v>4147</v>
      </c>
      <c r="M6079" s="1607"/>
      <c r="N6079" s="1606">
        <v>4147</v>
      </c>
      <c r="O6079" s="1605">
        <v>399.45</v>
      </c>
      <c r="P6079" s="1606">
        <v>3610.63</v>
      </c>
      <c r="Q6079" s="1605">
        <v>136.91999999999999</v>
      </c>
      <c r="R6079" s="1606">
        <v>3747.55</v>
      </c>
      <c r="S6079" s="1608"/>
    </row>
    <row r="6080" spans="2:19" s="1609" customFormat="1" ht="11.25" customHeight="1" outlineLevel="1">
      <c r="B6080" s="1602">
        <v>23462</v>
      </c>
      <c r="C6080" s="1603" t="s">
        <v>5230</v>
      </c>
      <c r="D6080" s="1603" t="s">
        <v>5286</v>
      </c>
      <c r="E6080" s="1603"/>
      <c r="F6080" s="1603"/>
      <c r="G6080" s="1603" t="s">
        <v>5285</v>
      </c>
      <c r="H6080" s="1604">
        <v>2</v>
      </c>
      <c r="I6080" s="1603"/>
      <c r="J6080" s="1603"/>
      <c r="K6080" s="1605">
        <v>60</v>
      </c>
      <c r="L6080" s="1606">
        <v>6242</v>
      </c>
      <c r="M6080" s="1607"/>
      <c r="N6080" s="1606">
        <v>6242</v>
      </c>
      <c r="O6080" s="1605">
        <v>599.77</v>
      </c>
      <c r="P6080" s="1606">
        <v>5436.55</v>
      </c>
      <c r="Q6080" s="1605">
        <v>205.68</v>
      </c>
      <c r="R6080" s="1606">
        <v>5642.23</v>
      </c>
      <c r="S6080" s="1608"/>
    </row>
    <row r="6081" spans="2:19" s="1609" customFormat="1" ht="11.25" customHeight="1" outlineLevel="1">
      <c r="B6081" s="1602">
        <v>23463</v>
      </c>
      <c r="C6081" s="1603" t="s">
        <v>5230</v>
      </c>
      <c r="D6081" s="1603" t="s">
        <v>5284</v>
      </c>
      <c r="E6081" s="1603"/>
      <c r="F6081" s="1603"/>
      <c r="G6081" s="1603" t="s">
        <v>5283</v>
      </c>
      <c r="H6081" s="1604">
        <v>2</v>
      </c>
      <c r="I6081" s="1603"/>
      <c r="J6081" s="1603"/>
      <c r="K6081" s="1605">
        <v>67</v>
      </c>
      <c r="L6081" s="1606">
        <v>6706</v>
      </c>
      <c r="M6081" s="1607"/>
      <c r="N6081" s="1606">
        <v>6706</v>
      </c>
      <c r="O6081" s="1605">
        <v>645.57000000000005</v>
      </c>
      <c r="P6081" s="1606">
        <v>5839.14</v>
      </c>
      <c r="Q6081" s="1605">
        <v>221.29</v>
      </c>
      <c r="R6081" s="1606">
        <v>6060.43</v>
      </c>
      <c r="S6081" s="1608"/>
    </row>
    <row r="6082" spans="2:19" s="1609" customFormat="1" ht="11.25" customHeight="1" outlineLevel="1">
      <c r="B6082" s="1602">
        <v>23464</v>
      </c>
      <c r="C6082" s="1603" t="s">
        <v>5230</v>
      </c>
      <c r="D6082" s="1603" t="s">
        <v>5282</v>
      </c>
      <c r="E6082" s="1603"/>
      <c r="F6082" s="1603"/>
      <c r="G6082" s="1603" t="s">
        <v>5281</v>
      </c>
      <c r="H6082" s="1604">
        <v>2</v>
      </c>
      <c r="I6082" s="1603"/>
      <c r="J6082" s="1603"/>
      <c r="K6082" s="1605">
        <v>27</v>
      </c>
      <c r="L6082" s="1606">
        <v>3766</v>
      </c>
      <c r="M6082" s="1607"/>
      <c r="N6082" s="1606">
        <v>3766</v>
      </c>
      <c r="O6082" s="1605">
        <v>361.21</v>
      </c>
      <c r="P6082" s="1606">
        <v>3280.95</v>
      </c>
      <c r="Q6082" s="1605">
        <v>123.84</v>
      </c>
      <c r="R6082" s="1606">
        <v>3404.79</v>
      </c>
      <c r="S6082" s="1608"/>
    </row>
    <row r="6083" spans="2:19" s="1609" customFormat="1" ht="11.25" customHeight="1" outlineLevel="1">
      <c r="B6083" s="1602">
        <v>23465</v>
      </c>
      <c r="C6083" s="1603" t="s">
        <v>5230</v>
      </c>
      <c r="D6083" s="1603" t="s">
        <v>5280</v>
      </c>
      <c r="E6083" s="1603"/>
      <c r="F6083" s="1603"/>
      <c r="G6083" s="1603" t="s">
        <v>5279</v>
      </c>
      <c r="H6083" s="1604">
        <v>2</v>
      </c>
      <c r="I6083" s="1603"/>
      <c r="J6083" s="1603"/>
      <c r="K6083" s="1605">
        <v>57</v>
      </c>
      <c r="L6083" s="1606">
        <v>3959</v>
      </c>
      <c r="M6083" s="1607"/>
      <c r="N6083" s="1606">
        <v>3959</v>
      </c>
      <c r="O6083" s="1605">
        <v>379.84</v>
      </c>
      <c r="P6083" s="1606">
        <v>3448.96</v>
      </c>
      <c r="Q6083" s="1605">
        <v>130.19999999999999</v>
      </c>
      <c r="R6083" s="1606">
        <v>3579.16</v>
      </c>
      <c r="S6083" s="1608"/>
    </row>
    <row r="6084" spans="2:19" s="1609" customFormat="1" ht="11.25" customHeight="1" outlineLevel="1">
      <c r="B6084" s="1602">
        <v>23466</v>
      </c>
      <c r="C6084" s="1603" t="s">
        <v>5230</v>
      </c>
      <c r="D6084" s="1603" t="s">
        <v>5278</v>
      </c>
      <c r="E6084" s="1603"/>
      <c r="F6084" s="1603"/>
      <c r="G6084" s="1603" t="s">
        <v>5277</v>
      </c>
      <c r="H6084" s="1604">
        <v>2</v>
      </c>
      <c r="I6084" s="1603"/>
      <c r="J6084" s="1603"/>
      <c r="K6084" s="1605">
        <v>67</v>
      </c>
      <c r="L6084" s="1606">
        <v>3272</v>
      </c>
      <c r="M6084" s="1607"/>
      <c r="N6084" s="1606">
        <v>3272</v>
      </c>
      <c r="O6084" s="1605">
        <v>314.41000000000003</v>
      </c>
      <c r="P6084" s="1606">
        <v>2849.83</v>
      </c>
      <c r="Q6084" s="1605">
        <v>107.76</v>
      </c>
      <c r="R6084" s="1606">
        <v>2957.59</v>
      </c>
      <c r="S6084" s="1608"/>
    </row>
    <row r="6085" spans="2:19" s="1609" customFormat="1" ht="11.25" customHeight="1" outlineLevel="1">
      <c r="B6085" s="1602">
        <v>23467</v>
      </c>
      <c r="C6085" s="1603" t="s">
        <v>5230</v>
      </c>
      <c r="D6085" s="1603" t="s">
        <v>5276</v>
      </c>
      <c r="E6085" s="1603"/>
      <c r="F6085" s="1603"/>
      <c r="G6085" s="1603" t="s">
        <v>5275</v>
      </c>
      <c r="H6085" s="1604">
        <v>2</v>
      </c>
      <c r="I6085" s="1603"/>
      <c r="J6085" s="1603"/>
      <c r="K6085" s="1605">
        <v>67</v>
      </c>
      <c r="L6085" s="1606">
        <v>4648</v>
      </c>
      <c r="M6085" s="1607"/>
      <c r="N6085" s="1606">
        <v>4648</v>
      </c>
      <c r="O6085" s="1605">
        <v>446.77</v>
      </c>
      <c r="P6085" s="1606">
        <v>4048.09</v>
      </c>
      <c r="Q6085" s="1605">
        <v>153.13999999999999</v>
      </c>
      <c r="R6085" s="1606">
        <v>4201.2299999999996</v>
      </c>
      <c r="S6085" s="1608"/>
    </row>
    <row r="6086" spans="2:19" s="1609" customFormat="1" ht="11.25" customHeight="1" outlineLevel="1">
      <c r="B6086" s="1602">
        <v>23468</v>
      </c>
      <c r="C6086" s="1603" t="s">
        <v>5230</v>
      </c>
      <c r="D6086" s="1603" t="s">
        <v>5274</v>
      </c>
      <c r="E6086" s="1603"/>
      <c r="F6086" s="1603"/>
      <c r="G6086" s="1603" t="s">
        <v>5273</v>
      </c>
      <c r="H6086" s="1604">
        <v>2</v>
      </c>
      <c r="I6086" s="1603"/>
      <c r="J6086" s="1603"/>
      <c r="K6086" s="1605">
        <v>56</v>
      </c>
      <c r="L6086" s="1606">
        <v>3149</v>
      </c>
      <c r="M6086" s="1607"/>
      <c r="N6086" s="1606">
        <v>3149</v>
      </c>
      <c r="O6086" s="1605">
        <v>303.02999999999997</v>
      </c>
      <c r="P6086" s="1606">
        <v>2742.05</v>
      </c>
      <c r="Q6086" s="1605">
        <v>103.92</v>
      </c>
      <c r="R6086" s="1606">
        <v>2845.97</v>
      </c>
      <c r="S6086" s="1608"/>
    </row>
    <row r="6087" spans="2:19" s="1609" customFormat="1" ht="11.25" customHeight="1" outlineLevel="1">
      <c r="B6087" s="1602">
        <v>23469</v>
      </c>
      <c r="C6087" s="1603" t="s">
        <v>5230</v>
      </c>
      <c r="D6087" s="1603" t="s">
        <v>5272</v>
      </c>
      <c r="E6087" s="1603"/>
      <c r="F6087" s="1603"/>
      <c r="G6087" s="1603" t="s">
        <v>5271</v>
      </c>
      <c r="H6087" s="1604">
        <v>2</v>
      </c>
      <c r="I6087" s="1603"/>
      <c r="J6087" s="1603"/>
      <c r="K6087" s="1605">
        <v>63</v>
      </c>
      <c r="L6087" s="1606">
        <v>4081</v>
      </c>
      <c r="M6087" s="1607"/>
      <c r="N6087" s="1606">
        <v>4081</v>
      </c>
      <c r="O6087" s="1605">
        <v>392.79</v>
      </c>
      <c r="P6087" s="1606">
        <v>3553.57</v>
      </c>
      <c r="Q6087" s="1605">
        <v>134.63999999999999</v>
      </c>
      <c r="R6087" s="1606">
        <v>3688.21</v>
      </c>
      <c r="S6087" s="1608"/>
    </row>
    <row r="6088" spans="2:19" s="1609" customFormat="1" ht="11.25" customHeight="1" outlineLevel="1">
      <c r="B6088" s="1602">
        <v>23470</v>
      </c>
      <c r="C6088" s="1603" t="s">
        <v>5230</v>
      </c>
      <c r="D6088" s="1603" t="s">
        <v>5270</v>
      </c>
      <c r="E6088" s="1603"/>
      <c r="F6088" s="1603"/>
      <c r="G6088" s="1603" t="s">
        <v>5269</v>
      </c>
      <c r="H6088" s="1604">
        <v>2</v>
      </c>
      <c r="I6088" s="1603"/>
      <c r="J6088" s="1603"/>
      <c r="K6088" s="1605">
        <v>67</v>
      </c>
      <c r="L6088" s="1606">
        <v>5019</v>
      </c>
      <c r="M6088" s="1607"/>
      <c r="N6088" s="1606">
        <v>5019</v>
      </c>
      <c r="O6088" s="1605">
        <v>482.21</v>
      </c>
      <c r="P6088" s="1606">
        <v>4371.43</v>
      </c>
      <c r="Q6088" s="1605">
        <v>165.36</v>
      </c>
      <c r="R6088" s="1606">
        <v>4536.79</v>
      </c>
      <c r="S6088" s="1608"/>
    </row>
    <row r="6089" spans="2:19" s="1609" customFormat="1" ht="11.25" customHeight="1" outlineLevel="1">
      <c r="B6089" s="1602">
        <v>23471</v>
      </c>
      <c r="C6089" s="1603" t="s">
        <v>5230</v>
      </c>
      <c r="D6089" s="1603" t="s">
        <v>5268</v>
      </c>
      <c r="E6089" s="1603"/>
      <c r="F6089" s="1603"/>
      <c r="G6089" s="1603" t="s">
        <v>5267</v>
      </c>
      <c r="H6089" s="1604">
        <v>2</v>
      </c>
      <c r="I6089" s="1603"/>
      <c r="J6089" s="1603"/>
      <c r="K6089" s="1605">
        <v>78</v>
      </c>
      <c r="L6089" s="1606">
        <v>5891</v>
      </c>
      <c r="M6089" s="1607"/>
      <c r="N6089" s="1606">
        <v>5891</v>
      </c>
      <c r="O6089" s="1605">
        <v>567.41999999999996</v>
      </c>
      <c r="P6089" s="1606">
        <v>5129.0600000000004</v>
      </c>
      <c r="Q6089" s="1605">
        <v>194.52</v>
      </c>
      <c r="R6089" s="1606">
        <v>5323.58</v>
      </c>
      <c r="S6089" s="1608"/>
    </row>
    <row r="6090" spans="2:19" s="1609" customFormat="1" ht="11.25" customHeight="1" outlineLevel="1">
      <c r="B6090" s="1602">
        <v>23472</v>
      </c>
      <c r="C6090" s="1603" t="s">
        <v>5230</v>
      </c>
      <c r="D6090" s="1603" t="s">
        <v>5266</v>
      </c>
      <c r="E6090" s="1603"/>
      <c r="F6090" s="1603"/>
      <c r="G6090" s="1603" t="s">
        <v>5265</v>
      </c>
      <c r="H6090" s="1604">
        <v>2</v>
      </c>
      <c r="I6090" s="1603"/>
      <c r="J6090" s="1603"/>
      <c r="K6090" s="1605">
        <v>63</v>
      </c>
      <c r="L6090" s="1606">
        <v>5740</v>
      </c>
      <c r="M6090" s="1607"/>
      <c r="N6090" s="1606">
        <v>5740</v>
      </c>
      <c r="O6090" s="1605">
        <v>551.77</v>
      </c>
      <c r="P6090" s="1606">
        <v>4999.09</v>
      </c>
      <c r="Q6090" s="1605">
        <v>189.14</v>
      </c>
      <c r="R6090" s="1606">
        <v>5188.2299999999996</v>
      </c>
      <c r="S6090" s="1608"/>
    </row>
    <row r="6091" spans="2:19" s="1609" customFormat="1" ht="11.25" customHeight="1" outlineLevel="1">
      <c r="B6091" s="1602">
        <v>23473</v>
      </c>
      <c r="C6091" s="1603" t="s">
        <v>5230</v>
      </c>
      <c r="D6091" s="1603" t="s">
        <v>5264</v>
      </c>
      <c r="E6091" s="1603"/>
      <c r="F6091" s="1603"/>
      <c r="G6091" s="1603" t="s">
        <v>5263</v>
      </c>
      <c r="H6091" s="1604">
        <v>2</v>
      </c>
      <c r="I6091" s="1603"/>
      <c r="J6091" s="1603"/>
      <c r="K6091" s="1605">
        <v>53</v>
      </c>
      <c r="L6091" s="1606">
        <v>2200</v>
      </c>
      <c r="M6091" s="1607"/>
      <c r="N6091" s="1606">
        <v>2200</v>
      </c>
      <c r="O6091" s="1605">
        <v>212.48</v>
      </c>
      <c r="P6091" s="1606">
        <v>1914.68</v>
      </c>
      <c r="Q6091" s="1605">
        <v>72.84</v>
      </c>
      <c r="R6091" s="1606">
        <v>1987.52</v>
      </c>
      <c r="S6091" s="1608"/>
    </row>
    <row r="6092" spans="2:19" s="1609" customFormat="1" ht="11.25" customHeight="1" outlineLevel="1">
      <c r="B6092" s="1602">
        <v>23474</v>
      </c>
      <c r="C6092" s="1603" t="s">
        <v>5230</v>
      </c>
      <c r="D6092" s="1603" t="s">
        <v>5262</v>
      </c>
      <c r="E6092" s="1603"/>
      <c r="F6092" s="1603"/>
      <c r="G6092" s="1603" t="s">
        <v>5261</v>
      </c>
      <c r="H6092" s="1604">
        <v>2</v>
      </c>
      <c r="I6092" s="1603"/>
      <c r="J6092" s="1603"/>
      <c r="K6092" s="1605">
        <v>46</v>
      </c>
      <c r="L6092" s="1606">
        <v>2443</v>
      </c>
      <c r="M6092" s="1607"/>
      <c r="N6092" s="1606">
        <v>2443</v>
      </c>
      <c r="O6092" s="1605">
        <v>235.29</v>
      </c>
      <c r="P6092" s="1606">
        <v>2127.0700000000002</v>
      </c>
      <c r="Q6092" s="1605">
        <v>80.64</v>
      </c>
      <c r="R6092" s="1606">
        <v>2207.71</v>
      </c>
      <c r="S6092" s="1608"/>
    </row>
    <row r="6093" spans="2:19" s="1609" customFormat="1" ht="11.25" customHeight="1" outlineLevel="1">
      <c r="B6093" s="1602">
        <v>23475</v>
      </c>
      <c r="C6093" s="1603" t="s">
        <v>5230</v>
      </c>
      <c r="D6093" s="1603" t="s">
        <v>5260</v>
      </c>
      <c r="E6093" s="1603"/>
      <c r="F6093" s="1603"/>
      <c r="G6093" s="1603" t="s">
        <v>5259</v>
      </c>
      <c r="H6093" s="1604">
        <v>2</v>
      </c>
      <c r="I6093" s="1603"/>
      <c r="J6093" s="1603"/>
      <c r="K6093" s="1605">
        <v>63</v>
      </c>
      <c r="L6093" s="1606">
        <v>4699</v>
      </c>
      <c r="M6093" s="1607"/>
      <c r="N6093" s="1606">
        <v>4699</v>
      </c>
      <c r="O6093" s="1606">
        <v>1478.09</v>
      </c>
      <c r="P6093" s="1606">
        <v>3103.43</v>
      </c>
      <c r="Q6093" s="1605">
        <v>117.48</v>
      </c>
      <c r="R6093" s="1606">
        <v>3220.91</v>
      </c>
      <c r="S6093" s="1608"/>
    </row>
    <row r="6094" spans="2:19" s="1609" customFormat="1" ht="11.25" customHeight="1" outlineLevel="1">
      <c r="B6094" s="1602">
        <v>23476</v>
      </c>
      <c r="C6094" s="1603" t="s">
        <v>5230</v>
      </c>
      <c r="D6094" s="1603" t="s">
        <v>5258</v>
      </c>
      <c r="E6094" s="1603"/>
      <c r="F6094" s="1603"/>
      <c r="G6094" s="1603" t="s">
        <v>5257</v>
      </c>
      <c r="H6094" s="1604">
        <v>2</v>
      </c>
      <c r="I6094" s="1603"/>
      <c r="J6094" s="1603"/>
      <c r="K6094" s="1605">
        <v>67</v>
      </c>
      <c r="L6094" s="1606">
        <v>4837</v>
      </c>
      <c r="M6094" s="1607"/>
      <c r="N6094" s="1606">
        <v>4837</v>
      </c>
      <c r="O6094" s="1605">
        <v>464.71</v>
      </c>
      <c r="P6094" s="1606">
        <v>4212.93</v>
      </c>
      <c r="Q6094" s="1605">
        <v>159.36000000000001</v>
      </c>
      <c r="R6094" s="1606">
        <v>4372.29</v>
      </c>
      <c r="S6094" s="1608"/>
    </row>
    <row r="6095" spans="2:19" s="1609" customFormat="1" ht="11.25" customHeight="1" outlineLevel="1">
      <c r="B6095" s="1602">
        <v>23477</v>
      </c>
      <c r="C6095" s="1603" t="s">
        <v>5230</v>
      </c>
      <c r="D6095" s="1603" t="s">
        <v>5256</v>
      </c>
      <c r="E6095" s="1603"/>
      <c r="F6095" s="1603"/>
      <c r="G6095" s="1603" t="s">
        <v>5255</v>
      </c>
      <c r="H6095" s="1604">
        <v>2</v>
      </c>
      <c r="I6095" s="1603"/>
      <c r="J6095" s="1603"/>
      <c r="K6095" s="1605">
        <v>67</v>
      </c>
      <c r="L6095" s="1606">
        <v>5451</v>
      </c>
      <c r="M6095" s="1607"/>
      <c r="N6095" s="1606">
        <v>5451</v>
      </c>
      <c r="O6095" s="1605">
        <v>523.05999999999995</v>
      </c>
      <c r="P6095" s="1606">
        <v>4748.66</v>
      </c>
      <c r="Q6095" s="1605">
        <v>179.28</v>
      </c>
      <c r="R6095" s="1606">
        <v>4927.9399999999996</v>
      </c>
      <c r="S6095" s="1608"/>
    </row>
    <row r="6096" spans="2:19" s="1609" customFormat="1" ht="11.25" customHeight="1" outlineLevel="1">
      <c r="B6096" s="1602">
        <v>23478</v>
      </c>
      <c r="C6096" s="1603" t="s">
        <v>5230</v>
      </c>
      <c r="D6096" s="1603" t="s">
        <v>5254</v>
      </c>
      <c r="E6096" s="1603"/>
      <c r="F6096" s="1603"/>
      <c r="G6096" s="1603" t="s">
        <v>5253</v>
      </c>
      <c r="H6096" s="1604">
        <v>2</v>
      </c>
      <c r="I6096" s="1603"/>
      <c r="J6096" s="1603"/>
      <c r="K6096" s="1605">
        <v>65</v>
      </c>
      <c r="L6096" s="1606">
        <v>4427</v>
      </c>
      <c r="M6096" s="1607"/>
      <c r="N6096" s="1606">
        <v>4427</v>
      </c>
      <c r="O6096" s="1605">
        <v>426.12</v>
      </c>
      <c r="P6096" s="1606">
        <v>3854.72</v>
      </c>
      <c r="Q6096" s="1605">
        <v>146.16</v>
      </c>
      <c r="R6096" s="1606">
        <v>4000.88</v>
      </c>
      <c r="S6096" s="1608"/>
    </row>
    <row r="6097" spans="2:19" s="1609" customFormat="1" ht="11.25" customHeight="1" outlineLevel="1">
      <c r="B6097" s="1602">
        <v>23479</v>
      </c>
      <c r="C6097" s="1603" t="s">
        <v>5230</v>
      </c>
      <c r="D6097" s="1603" t="s">
        <v>5252</v>
      </c>
      <c r="E6097" s="1603"/>
      <c r="F6097" s="1603"/>
      <c r="G6097" s="1603" t="s">
        <v>5251</v>
      </c>
      <c r="H6097" s="1604">
        <v>2</v>
      </c>
      <c r="I6097" s="1603"/>
      <c r="J6097" s="1603"/>
      <c r="K6097" s="1605">
        <v>133</v>
      </c>
      <c r="L6097" s="1606">
        <v>1197</v>
      </c>
      <c r="M6097" s="1607"/>
      <c r="N6097" s="1606">
        <v>1197</v>
      </c>
      <c r="O6097" s="1605">
        <v>539.12</v>
      </c>
      <c r="P6097" s="1605">
        <v>634</v>
      </c>
      <c r="Q6097" s="1605">
        <v>23.88</v>
      </c>
      <c r="R6097" s="1605">
        <v>657.88</v>
      </c>
      <c r="S6097" s="1608"/>
    </row>
    <row r="6098" spans="2:19" s="1609" customFormat="1" ht="11.25" customHeight="1" outlineLevel="1">
      <c r="B6098" s="1602">
        <v>23480</v>
      </c>
      <c r="C6098" s="1603" t="s">
        <v>5230</v>
      </c>
      <c r="D6098" s="1603" t="s">
        <v>5250</v>
      </c>
      <c r="E6098" s="1603"/>
      <c r="F6098" s="1603"/>
      <c r="G6098" s="1603" t="s">
        <v>5249</v>
      </c>
      <c r="H6098" s="1604">
        <v>2</v>
      </c>
      <c r="I6098" s="1603"/>
      <c r="J6098" s="1603"/>
      <c r="K6098" s="1605">
        <v>67</v>
      </c>
      <c r="L6098" s="1606">
        <v>2503</v>
      </c>
      <c r="M6098" s="1607"/>
      <c r="N6098" s="1606">
        <v>2503</v>
      </c>
      <c r="O6098" s="1605">
        <v>239.84</v>
      </c>
      <c r="P6098" s="1606">
        <v>2180.96</v>
      </c>
      <c r="Q6098" s="1605">
        <v>82.2</v>
      </c>
      <c r="R6098" s="1606">
        <v>2263.16</v>
      </c>
      <c r="S6098" s="1608"/>
    </row>
    <row r="6099" spans="2:19" s="1609" customFormat="1" ht="11.25" customHeight="1" outlineLevel="1">
      <c r="B6099" s="1602">
        <v>23481</v>
      </c>
      <c r="C6099" s="1603" t="s">
        <v>5230</v>
      </c>
      <c r="D6099" s="1603" t="s">
        <v>5248</v>
      </c>
      <c r="E6099" s="1603"/>
      <c r="F6099" s="1603"/>
      <c r="G6099" s="1603" t="s">
        <v>5247</v>
      </c>
      <c r="H6099" s="1604">
        <v>2</v>
      </c>
      <c r="I6099" s="1603"/>
      <c r="J6099" s="1603"/>
      <c r="K6099" s="1605">
        <v>17</v>
      </c>
      <c r="L6099" s="1606">
        <v>1556</v>
      </c>
      <c r="M6099" s="1607"/>
      <c r="N6099" s="1606">
        <v>1556</v>
      </c>
      <c r="O6099" s="1605">
        <v>150.69</v>
      </c>
      <c r="P6099" s="1606">
        <v>1353.59</v>
      </c>
      <c r="Q6099" s="1605">
        <v>51.72</v>
      </c>
      <c r="R6099" s="1606">
        <v>1405.31</v>
      </c>
      <c r="S6099" s="1608"/>
    </row>
    <row r="6100" spans="2:19" s="1609" customFormat="1" ht="11.25" customHeight="1" outlineLevel="1">
      <c r="B6100" s="1602">
        <v>23482</v>
      </c>
      <c r="C6100" s="1603" t="s">
        <v>5230</v>
      </c>
      <c r="D6100" s="1603" t="s">
        <v>5246</v>
      </c>
      <c r="E6100" s="1603"/>
      <c r="F6100" s="1603"/>
      <c r="G6100" s="1603" t="s">
        <v>5245</v>
      </c>
      <c r="H6100" s="1604">
        <v>2</v>
      </c>
      <c r="I6100" s="1603"/>
      <c r="J6100" s="1603"/>
      <c r="K6100" s="1605">
        <v>67</v>
      </c>
      <c r="L6100" s="1605">
        <v>742</v>
      </c>
      <c r="M6100" s="1607"/>
      <c r="N6100" s="1605">
        <v>742</v>
      </c>
      <c r="O6100" s="1605">
        <v>70.959999999999994</v>
      </c>
      <c r="P6100" s="1605">
        <v>646.67999999999995</v>
      </c>
      <c r="Q6100" s="1605">
        <v>24.36</v>
      </c>
      <c r="R6100" s="1605">
        <v>671.04</v>
      </c>
      <c r="S6100" s="1608"/>
    </row>
    <row r="6101" spans="2:19" s="1609" customFormat="1" ht="11.25" customHeight="1" outlineLevel="1">
      <c r="B6101" s="1602">
        <v>23483</v>
      </c>
      <c r="C6101" s="1603" t="s">
        <v>5230</v>
      </c>
      <c r="D6101" s="1603" t="s">
        <v>5244</v>
      </c>
      <c r="E6101" s="1603"/>
      <c r="F6101" s="1603"/>
      <c r="G6101" s="1603" t="s">
        <v>5243</v>
      </c>
      <c r="H6101" s="1604">
        <v>2</v>
      </c>
      <c r="I6101" s="1603"/>
      <c r="J6101" s="1603"/>
      <c r="K6101" s="1605">
        <v>65</v>
      </c>
      <c r="L6101" s="1606">
        <v>5130</v>
      </c>
      <c r="M6101" s="1607"/>
      <c r="N6101" s="1606">
        <v>5130</v>
      </c>
      <c r="O6101" s="1606">
        <v>2317.0500000000002</v>
      </c>
      <c r="P6101" s="1606">
        <v>2710.35</v>
      </c>
      <c r="Q6101" s="1605">
        <v>102.6</v>
      </c>
      <c r="R6101" s="1606">
        <v>2812.95</v>
      </c>
      <c r="S6101" s="1608"/>
    </row>
    <row r="6102" spans="2:19" s="1609" customFormat="1" ht="11.25" customHeight="1" outlineLevel="1">
      <c r="B6102" s="1602">
        <v>23484</v>
      </c>
      <c r="C6102" s="1603" t="s">
        <v>5230</v>
      </c>
      <c r="D6102" s="1603" t="s">
        <v>5242</v>
      </c>
      <c r="E6102" s="1603"/>
      <c r="F6102" s="1603"/>
      <c r="G6102" s="1603" t="s">
        <v>5241</v>
      </c>
      <c r="H6102" s="1604">
        <v>2</v>
      </c>
      <c r="I6102" s="1603"/>
      <c r="J6102" s="1603"/>
      <c r="K6102" s="1605">
        <v>51</v>
      </c>
      <c r="L6102" s="1606">
        <v>2330</v>
      </c>
      <c r="M6102" s="1607"/>
      <c r="N6102" s="1606">
        <v>2330</v>
      </c>
      <c r="O6102" s="1605">
        <v>224.28</v>
      </c>
      <c r="P6102" s="1606">
        <v>2028.8</v>
      </c>
      <c r="Q6102" s="1605">
        <v>76.92</v>
      </c>
      <c r="R6102" s="1606">
        <v>2105.7199999999998</v>
      </c>
      <c r="S6102" s="1608"/>
    </row>
    <row r="6103" spans="2:19" s="1609" customFormat="1" ht="11.25" customHeight="1" outlineLevel="1">
      <c r="B6103" s="1602">
        <v>23485</v>
      </c>
      <c r="C6103" s="1603" t="s">
        <v>5230</v>
      </c>
      <c r="D6103" s="1603" t="s">
        <v>5240</v>
      </c>
      <c r="E6103" s="1603"/>
      <c r="F6103" s="1603"/>
      <c r="G6103" s="1603" t="s">
        <v>5239</v>
      </c>
      <c r="H6103" s="1604">
        <v>2</v>
      </c>
      <c r="I6103" s="1603"/>
      <c r="J6103" s="1603"/>
      <c r="K6103" s="1605">
        <v>67</v>
      </c>
      <c r="L6103" s="1606">
        <v>5647</v>
      </c>
      <c r="M6103" s="1607"/>
      <c r="N6103" s="1606">
        <v>5647</v>
      </c>
      <c r="O6103" s="1605">
        <v>543.85</v>
      </c>
      <c r="P6103" s="1606">
        <v>4916.67</v>
      </c>
      <c r="Q6103" s="1605">
        <v>186.48</v>
      </c>
      <c r="R6103" s="1606">
        <v>5103.1499999999996</v>
      </c>
      <c r="S6103" s="1608"/>
    </row>
    <row r="6104" spans="2:19" s="1609" customFormat="1" ht="11.25" customHeight="1" outlineLevel="1">
      <c r="B6104" s="1602">
        <v>23486</v>
      </c>
      <c r="C6104" s="1603" t="s">
        <v>5230</v>
      </c>
      <c r="D6104" s="1603" t="s">
        <v>5238</v>
      </c>
      <c r="E6104" s="1603"/>
      <c r="F6104" s="1603"/>
      <c r="G6104" s="1603" t="s">
        <v>5237</v>
      </c>
      <c r="H6104" s="1604">
        <v>2</v>
      </c>
      <c r="I6104" s="1603"/>
      <c r="J6104" s="1603"/>
      <c r="K6104" s="1605">
        <v>65</v>
      </c>
      <c r="L6104" s="1606">
        <v>7994</v>
      </c>
      <c r="M6104" s="1607"/>
      <c r="N6104" s="1606">
        <v>7994</v>
      </c>
      <c r="O6104" s="1606">
        <v>2516.0300000000002</v>
      </c>
      <c r="P6104" s="1606">
        <v>5278.05</v>
      </c>
      <c r="Q6104" s="1605">
        <v>199.92</v>
      </c>
      <c r="R6104" s="1606">
        <v>5477.97</v>
      </c>
      <c r="S6104" s="1608"/>
    </row>
    <row r="6105" spans="2:19" s="1609" customFormat="1" ht="11.25" customHeight="1" outlineLevel="1">
      <c r="B6105" s="1602">
        <v>23487</v>
      </c>
      <c r="C6105" s="1603" t="s">
        <v>5230</v>
      </c>
      <c r="D6105" s="1603" t="s">
        <v>5236</v>
      </c>
      <c r="E6105" s="1603"/>
      <c r="F6105" s="1603"/>
      <c r="G6105" s="1603" t="s">
        <v>5235</v>
      </c>
      <c r="H6105" s="1604">
        <v>2</v>
      </c>
      <c r="I6105" s="1603"/>
      <c r="J6105" s="1603"/>
      <c r="K6105" s="1605">
        <v>82</v>
      </c>
      <c r="L6105" s="1606">
        <v>5585</v>
      </c>
      <c r="M6105" s="1607"/>
      <c r="N6105" s="1606">
        <v>5585</v>
      </c>
      <c r="O6105" s="1605">
        <v>537.78</v>
      </c>
      <c r="P6105" s="1606">
        <v>4862.78</v>
      </c>
      <c r="Q6105" s="1605">
        <v>184.44</v>
      </c>
      <c r="R6105" s="1606">
        <v>5047.22</v>
      </c>
      <c r="S6105" s="1608"/>
    </row>
    <row r="6106" spans="2:19" s="1609" customFormat="1" ht="11.25" customHeight="1" outlineLevel="1">
      <c r="B6106" s="1602">
        <v>23488</v>
      </c>
      <c r="C6106" s="1603" t="s">
        <v>5230</v>
      </c>
      <c r="D6106" s="1603" t="s">
        <v>5234</v>
      </c>
      <c r="E6106" s="1603"/>
      <c r="F6106" s="1603"/>
      <c r="G6106" s="1603" t="s">
        <v>5233</v>
      </c>
      <c r="H6106" s="1604">
        <v>2</v>
      </c>
      <c r="I6106" s="1603"/>
      <c r="J6106" s="1603"/>
      <c r="K6106" s="1605">
        <v>29</v>
      </c>
      <c r="L6106" s="1606">
        <v>2666</v>
      </c>
      <c r="M6106" s="1607"/>
      <c r="N6106" s="1606">
        <v>2666</v>
      </c>
      <c r="O6106" s="1605">
        <v>257.36</v>
      </c>
      <c r="P6106" s="1606">
        <v>2320.44</v>
      </c>
      <c r="Q6106" s="1605">
        <v>88.2</v>
      </c>
      <c r="R6106" s="1606">
        <v>2408.64</v>
      </c>
      <c r="S6106" s="1608"/>
    </row>
    <row r="6107" spans="2:19" s="1609" customFormat="1" ht="11.25" customHeight="1" outlineLevel="1">
      <c r="B6107" s="1602">
        <v>23489</v>
      </c>
      <c r="C6107" s="1603" t="s">
        <v>5230</v>
      </c>
      <c r="D6107" s="1603" t="s">
        <v>5232</v>
      </c>
      <c r="E6107" s="1603"/>
      <c r="F6107" s="1603"/>
      <c r="G6107" s="1603" t="s">
        <v>5231</v>
      </c>
      <c r="H6107" s="1604">
        <v>2</v>
      </c>
      <c r="I6107" s="1603"/>
      <c r="J6107" s="1603"/>
      <c r="K6107" s="1605">
        <v>97</v>
      </c>
      <c r="L6107" s="1606">
        <v>53788</v>
      </c>
      <c r="M6107" s="1607"/>
      <c r="N6107" s="1606">
        <v>53788</v>
      </c>
      <c r="O6107" s="1606">
        <v>5171.7700000000004</v>
      </c>
      <c r="P6107" s="1606">
        <v>46843.09</v>
      </c>
      <c r="Q6107" s="1606">
        <v>1773.14</v>
      </c>
      <c r="R6107" s="1606">
        <v>48616.23</v>
      </c>
      <c r="S6107" s="1608"/>
    </row>
    <row r="6108" spans="2:19" s="1609" customFormat="1" ht="11.25" customHeight="1" outlineLevel="1">
      <c r="B6108" s="1602">
        <v>23490</v>
      </c>
      <c r="C6108" s="1603" t="s">
        <v>5230</v>
      </c>
      <c r="D6108" s="1603" t="s">
        <v>5229</v>
      </c>
      <c r="E6108" s="1603"/>
      <c r="F6108" s="1603"/>
      <c r="G6108" s="1603" t="s">
        <v>5228</v>
      </c>
      <c r="H6108" s="1604">
        <v>2</v>
      </c>
      <c r="I6108" s="1603"/>
      <c r="J6108" s="1603"/>
      <c r="K6108" s="1605">
        <v>256</v>
      </c>
      <c r="L6108" s="1606">
        <v>1281</v>
      </c>
      <c r="M6108" s="1607"/>
      <c r="N6108" s="1606">
        <v>1281</v>
      </c>
      <c r="O6108" s="1605">
        <v>577.05999999999995</v>
      </c>
      <c r="P6108" s="1605">
        <v>678.38</v>
      </c>
      <c r="Q6108" s="1605">
        <v>25.56</v>
      </c>
      <c r="R6108" s="1605">
        <v>703.94</v>
      </c>
      <c r="S6108" s="1608"/>
    </row>
    <row r="6109" spans="2:19" s="1609" customFormat="1" ht="11.25" customHeight="1" outlineLevel="1">
      <c r="B6109" s="1602">
        <v>23507</v>
      </c>
      <c r="C6109" s="1603" t="s">
        <v>5227</v>
      </c>
      <c r="D6109" s="1603" t="s">
        <v>5226</v>
      </c>
      <c r="E6109" s="1603"/>
      <c r="F6109" s="1603"/>
      <c r="G6109" s="1603" t="s">
        <v>5225</v>
      </c>
      <c r="H6109" s="1604">
        <v>2</v>
      </c>
      <c r="I6109" s="1603"/>
      <c r="J6109" s="1603"/>
      <c r="K6109" s="1605">
        <v>94</v>
      </c>
      <c r="L6109" s="1606">
        <v>3809</v>
      </c>
      <c r="M6109" s="1607"/>
      <c r="N6109" s="1606">
        <v>3809</v>
      </c>
      <c r="O6109" s="1606">
        <v>1204.8</v>
      </c>
      <c r="P6109" s="1606">
        <v>2509.04</v>
      </c>
      <c r="Q6109" s="1605">
        <v>95.16</v>
      </c>
      <c r="R6109" s="1606">
        <v>2604.1999999999998</v>
      </c>
      <c r="S6109" s="1608"/>
    </row>
    <row r="6110" spans="2:19" s="1609" customFormat="1" ht="11.25" customHeight="1" outlineLevel="1">
      <c r="B6110" s="1602">
        <v>23541</v>
      </c>
      <c r="C6110" s="1603" t="s">
        <v>5223</v>
      </c>
      <c r="D6110" s="1603" t="s">
        <v>5224</v>
      </c>
      <c r="E6110" s="1603"/>
      <c r="F6110" s="1603"/>
      <c r="G6110" s="1603" t="s">
        <v>3727</v>
      </c>
      <c r="H6110" s="1604">
        <v>2</v>
      </c>
      <c r="I6110" s="1603"/>
      <c r="J6110" s="1603"/>
      <c r="K6110" s="1605">
        <v>67</v>
      </c>
      <c r="L6110" s="1606">
        <v>7974</v>
      </c>
      <c r="M6110" s="1607"/>
      <c r="N6110" s="1606">
        <v>7974</v>
      </c>
      <c r="O6110" s="1605">
        <v>809.74</v>
      </c>
      <c r="P6110" s="1606">
        <v>6901.65</v>
      </c>
      <c r="Q6110" s="1605">
        <v>262.61</v>
      </c>
      <c r="R6110" s="1606">
        <v>7164.26</v>
      </c>
      <c r="S6110" s="1608"/>
    </row>
    <row r="6111" spans="2:19" s="1609" customFormat="1" ht="11.25" customHeight="1" outlineLevel="1">
      <c r="B6111" s="1602">
        <v>23543</v>
      </c>
      <c r="C6111" s="1603" t="s">
        <v>5223</v>
      </c>
      <c r="D6111" s="1603" t="s">
        <v>5222</v>
      </c>
      <c r="E6111" s="1603"/>
      <c r="F6111" s="1603"/>
      <c r="G6111" s="1603" t="s">
        <v>5221</v>
      </c>
      <c r="H6111" s="1604">
        <v>2</v>
      </c>
      <c r="I6111" s="1603"/>
      <c r="J6111" s="1603"/>
      <c r="K6111" s="1605">
        <v>146</v>
      </c>
      <c r="L6111" s="1606">
        <v>21658</v>
      </c>
      <c r="M6111" s="1607"/>
      <c r="N6111" s="1606">
        <v>21658</v>
      </c>
      <c r="O6111" s="1606">
        <v>6903.76</v>
      </c>
      <c r="P6111" s="1606">
        <v>14212.8</v>
      </c>
      <c r="Q6111" s="1605">
        <v>541.44000000000005</v>
      </c>
      <c r="R6111" s="1606">
        <v>14754.24</v>
      </c>
      <c r="S6111" s="1608"/>
    </row>
    <row r="6112" spans="2:19" s="1609" customFormat="1" ht="11.25" customHeight="1" outlineLevel="1">
      <c r="B6112" s="1602">
        <v>23572</v>
      </c>
      <c r="C6112" s="1603" t="s">
        <v>5196</v>
      </c>
      <c r="D6112" s="1603" t="s">
        <v>5220</v>
      </c>
      <c r="E6112" s="1603"/>
      <c r="F6112" s="1603"/>
      <c r="G6112" s="1603" t="s">
        <v>5219</v>
      </c>
      <c r="H6112" s="1604">
        <v>2</v>
      </c>
      <c r="I6112" s="1603"/>
      <c r="J6112" s="1603"/>
      <c r="K6112" s="1605">
        <v>107</v>
      </c>
      <c r="L6112" s="1606">
        <v>4768</v>
      </c>
      <c r="M6112" s="1607"/>
      <c r="N6112" s="1606">
        <v>4768</v>
      </c>
      <c r="O6112" s="1606">
        <v>2176.42</v>
      </c>
      <c r="P6112" s="1606">
        <v>2496.3000000000002</v>
      </c>
      <c r="Q6112" s="1605">
        <v>95.28</v>
      </c>
      <c r="R6112" s="1606">
        <v>2591.58</v>
      </c>
      <c r="S6112" s="1608"/>
    </row>
    <row r="6113" spans="2:19" s="1609" customFormat="1" ht="11.25" customHeight="1" outlineLevel="1">
      <c r="B6113" s="1602">
        <v>23574</v>
      </c>
      <c r="C6113" s="1603" t="s">
        <v>5196</v>
      </c>
      <c r="D6113" s="1603" t="s">
        <v>5218</v>
      </c>
      <c r="E6113" s="1603"/>
      <c r="F6113" s="1603"/>
      <c r="G6113" s="1603" t="s">
        <v>5217</v>
      </c>
      <c r="H6113" s="1604">
        <v>2</v>
      </c>
      <c r="I6113" s="1603"/>
      <c r="J6113" s="1603"/>
      <c r="K6113" s="1605">
        <v>102</v>
      </c>
      <c r="L6113" s="1606">
        <v>6518</v>
      </c>
      <c r="M6113" s="1607"/>
      <c r="N6113" s="1606">
        <v>6518</v>
      </c>
      <c r="O6113" s="1606">
        <v>2977.52</v>
      </c>
      <c r="P6113" s="1606">
        <v>3410.04</v>
      </c>
      <c r="Q6113" s="1605">
        <v>130.44</v>
      </c>
      <c r="R6113" s="1606">
        <v>3540.48</v>
      </c>
      <c r="S6113" s="1608"/>
    </row>
    <row r="6114" spans="2:19" s="1609" customFormat="1" ht="11.25" customHeight="1" outlineLevel="1">
      <c r="B6114" s="1602">
        <v>23576</v>
      </c>
      <c r="C6114" s="1603" t="s">
        <v>5196</v>
      </c>
      <c r="D6114" s="1603" t="s">
        <v>5216</v>
      </c>
      <c r="E6114" s="1603"/>
      <c r="F6114" s="1603"/>
      <c r="G6114" s="1603" t="s">
        <v>5215</v>
      </c>
      <c r="H6114" s="1604">
        <v>2</v>
      </c>
      <c r="I6114" s="1603"/>
      <c r="J6114" s="1603"/>
      <c r="K6114" s="1605">
        <v>85</v>
      </c>
      <c r="L6114" s="1606">
        <v>4795</v>
      </c>
      <c r="M6114" s="1607"/>
      <c r="N6114" s="1606">
        <v>4795</v>
      </c>
      <c r="O6114" s="1606">
        <v>2190.2600000000002</v>
      </c>
      <c r="P6114" s="1606">
        <v>2508.86</v>
      </c>
      <c r="Q6114" s="1605">
        <v>95.88</v>
      </c>
      <c r="R6114" s="1606">
        <v>2604.7399999999998</v>
      </c>
      <c r="S6114" s="1608"/>
    </row>
    <row r="6115" spans="2:19" s="1609" customFormat="1" ht="11.25" customHeight="1" outlineLevel="1">
      <c r="B6115" s="1602">
        <v>23578</v>
      </c>
      <c r="C6115" s="1603" t="s">
        <v>5196</v>
      </c>
      <c r="D6115" s="1603" t="s">
        <v>5214</v>
      </c>
      <c r="E6115" s="1603"/>
      <c r="F6115" s="1603"/>
      <c r="G6115" s="1603" t="s">
        <v>5213</v>
      </c>
      <c r="H6115" s="1604">
        <v>2</v>
      </c>
      <c r="I6115" s="1603"/>
      <c r="J6115" s="1603"/>
      <c r="K6115" s="1605">
        <v>105</v>
      </c>
      <c r="L6115" s="1606">
        <v>4907</v>
      </c>
      <c r="M6115" s="1607"/>
      <c r="N6115" s="1606">
        <v>4907</v>
      </c>
      <c r="O6115" s="1606">
        <v>2240.3200000000002</v>
      </c>
      <c r="P6115" s="1606">
        <v>2568.52</v>
      </c>
      <c r="Q6115" s="1605">
        <v>98.16</v>
      </c>
      <c r="R6115" s="1606">
        <v>2666.68</v>
      </c>
      <c r="S6115" s="1608"/>
    </row>
    <row r="6116" spans="2:19" s="1609" customFormat="1" ht="11.25" customHeight="1" outlineLevel="1">
      <c r="B6116" s="1602">
        <v>23579</v>
      </c>
      <c r="C6116" s="1603" t="s">
        <v>5196</v>
      </c>
      <c r="D6116" s="1603" t="s">
        <v>5212</v>
      </c>
      <c r="E6116" s="1603"/>
      <c r="F6116" s="1603"/>
      <c r="G6116" s="1603" t="s">
        <v>5211</v>
      </c>
      <c r="H6116" s="1604">
        <v>2</v>
      </c>
      <c r="I6116" s="1603"/>
      <c r="J6116" s="1603"/>
      <c r="K6116" s="1605">
        <v>64</v>
      </c>
      <c r="L6116" s="1606">
        <v>9779</v>
      </c>
      <c r="M6116" s="1607"/>
      <c r="N6116" s="1606">
        <v>9779</v>
      </c>
      <c r="O6116" s="1606">
        <v>1019.74</v>
      </c>
      <c r="P6116" s="1606">
        <v>8437.18</v>
      </c>
      <c r="Q6116" s="1605">
        <v>322.08</v>
      </c>
      <c r="R6116" s="1606">
        <v>8759.26</v>
      </c>
      <c r="S6116" s="1608"/>
    </row>
    <row r="6117" spans="2:19" s="1609" customFormat="1" ht="11.25" customHeight="1" outlineLevel="1">
      <c r="B6117" s="1602">
        <v>23582</v>
      </c>
      <c r="C6117" s="1603" t="s">
        <v>5196</v>
      </c>
      <c r="D6117" s="1603" t="s">
        <v>5210</v>
      </c>
      <c r="E6117" s="1603"/>
      <c r="F6117" s="1603"/>
      <c r="G6117" s="1603" t="s">
        <v>5209</v>
      </c>
      <c r="H6117" s="1604">
        <v>2</v>
      </c>
      <c r="I6117" s="1603"/>
      <c r="J6117" s="1603"/>
      <c r="K6117" s="1605">
        <v>66</v>
      </c>
      <c r="L6117" s="1606">
        <v>3725</v>
      </c>
      <c r="M6117" s="1607"/>
      <c r="N6117" s="1606">
        <v>3725</v>
      </c>
      <c r="O6117" s="1605">
        <v>389.69</v>
      </c>
      <c r="P6117" s="1606">
        <v>3212.22</v>
      </c>
      <c r="Q6117" s="1605">
        <v>123.09</v>
      </c>
      <c r="R6117" s="1606">
        <v>3335.31</v>
      </c>
      <c r="S6117" s="1608"/>
    </row>
    <row r="6118" spans="2:19" s="1609" customFormat="1" ht="11.25" customHeight="1" outlineLevel="1">
      <c r="B6118" s="1602">
        <v>23584</v>
      </c>
      <c r="C6118" s="1603" t="s">
        <v>5196</v>
      </c>
      <c r="D6118" s="1603" t="s">
        <v>5208</v>
      </c>
      <c r="E6118" s="1603"/>
      <c r="F6118" s="1603"/>
      <c r="G6118" s="1603" t="s">
        <v>5207</v>
      </c>
      <c r="H6118" s="1604">
        <v>2</v>
      </c>
      <c r="I6118" s="1603"/>
      <c r="J6118" s="1603"/>
      <c r="K6118" s="1605">
        <v>48</v>
      </c>
      <c r="L6118" s="1606">
        <v>7663</v>
      </c>
      <c r="M6118" s="1607"/>
      <c r="N6118" s="1606">
        <v>7663</v>
      </c>
      <c r="O6118" s="1605">
        <v>800.47</v>
      </c>
      <c r="P6118" s="1606">
        <v>6609.7</v>
      </c>
      <c r="Q6118" s="1605">
        <v>252.83</v>
      </c>
      <c r="R6118" s="1606">
        <v>6862.53</v>
      </c>
      <c r="S6118" s="1608"/>
    </row>
    <row r="6119" spans="2:19" s="1609" customFormat="1" ht="11.25" customHeight="1" outlineLevel="1">
      <c r="B6119" s="1602">
        <v>23586</v>
      </c>
      <c r="C6119" s="1603" t="s">
        <v>5196</v>
      </c>
      <c r="D6119" s="1603" t="s">
        <v>5206</v>
      </c>
      <c r="E6119" s="1603"/>
      <c r="F6119" s="1603"/>
      <c r="G6119" s="1603" t="s">
        <v>5205</v>
      </c>
      <c r="H6119" s="1604">
        <v>2</v>
      </c>
      <c r="I6119" s="1603"/>
      <c r="J6119" s="1603"/>
      <c r="K6119" s="1605">
        <v>45</v>
      </c>
      <c r="L6119" s="1606">
        <v>8014</v>
      </c>
      <c r="M6119" s="1607"/>
      <c r="N6119" s="1606">
        <v>8014</v>
      </c>
      <c r="O6119" s="1605">
        <v>835.81</v>
      </c>
      <c r="P6119" s="1606">
        <v>6914.28</v>
      </c>
      <c r="Q6119" s="1605">
        <v>263.91000000000003</v>
      </c>
      <c r="R6119" s="1606">
        <v>7178.19</v>
      </c>
      <c r="S6119" s="1608"/>
    </row>
    <row r="6120" spans="2:19" s="1609" customFormat="1" ht="11.25" customHeight="1" outlineLevel="1">
      <c r="B6120" s="1602">
        <v>23588</v>
      </c>
      <c r="C6120" s="1603" t="s">
        <v>5196</v>
      </c>
      <c r="D6120" s="1603" t="s">
        <v>5204</v>
      </c>
      <c r="E6120" s="1603"/>
      <c r="F6120" s="1603"/>
      <c r="G6120" s="1603" t="s">
        <v>5203</v>
      </c>
      <c r="H6120" s="1604">
        <v>2</v>
      </c>
      <c r="I6120" s="1603"/>
      <c r="J6120" s="1603"/>
      <c r="K6120" s="1605">
        <v>57</v>
      </c>
      <c r="L6120" s="1606">
        <v>13136</v>
      </c>
      <c r="M6120" s="1607"/>
      <c r="N6120" s="1606">
        <v>13136</v>
      </c>
      <c r="O6120" s="1606">
        <v>1370.85</v>
      </c>
      <c r="P6120" s="1606">
        <v>11332.26</v>
      </c>
      <c r="Q6120" s="1605">
        <v>432.89</v>
      </c>
      <c r="R6120" s="1606">
        <v>11765.15</v>
      </c>
      <c r="S6120" s="1608"/>
    </row>
    <row r="6121" spans="2:19" s="1609" customFormat="1" ht="11.25" customHeight="1" outlineLevel="1">
      <c r="B6121" s="1602">
        <v>23591</v>
      </c>
      <c r="C6121" s="1603" t="s">
        <v>5196</v>
      </c>
      <c r="D6121" s="1603" t="s">
        <v>5202</v>
      </c>
      <c r="E6121" s="1603"/>
      <c r="F6121" s="1603"/>
      <c r="G6121" s="1603" t="s">
        <v>5201</v>
      </c>
      <c r="H6121" s="1604">
        <v>2</v>
      </c>
      <c r="I6121" s="1603"/>
      <c r="J6121" s="1603"/>
      <c r="K6121" s="1605">
        <v>49</v>
      </c>
      <c r="L6121" s="1606">
        <v>12716</v>
      </c>
      <c r="M6121" s="1607"/>
      <c r="N6121" s="1606">
        <v>12716</v>
      </c>
      <c r="O6121" s="1606">
        <v>1328.46</v>
      </c>
      <c r="P6121" s="1606">
        <v>10968.02</v>
      </c>
      <c r="Q6121" s="1605">
        <v>419.52</v>
      </c>
      <c r="R6121" s="1606">
        <v>11387.54</v>
      </c>
      <c r="S6121" s="1608"/>
    </row>
    <row r="6122" spans="2:19" s="1609" customFormat="1" ht="11.25" customHeight="1" outlineLevel="1">
      <c r="B6122" s="1602">
        <v>23593</v>
      </c>
      <c r="C6122" s="1603" t="s">
        <v>5196</v>
      </c>
      <c r="D6122" s="1603" t="s">
        <v>5200</v>
      </c>
      <c r="E6122" s="1603"/>
      <c r="F6122" s="1603"/>
      <c r="G6122" s="1603" t="s">
        <v>5199</v>
      </c>
      <c r="H6122" s="1604">
        <v>2</v>
      </c>
      <c r="I6122" s="1603"/>
      <c r="J6122" s="1603"/>
      <c r="K6122" s="1605">
        <v>67</v>
      </c>
      <c r="L6122" s="1606">
        <v>14673</v>
      </c>
      <c r="M6122" s="1607"/>
      <c r="N6122" s="1606">
        <v>14673</v>
      </c>
      <c r="O6122" s="1606">
        <v>1531.94</v>
      </c>
      <c r="P6122" s="1606">
        <v>12657.34</v>
      </c>
      <c r="Q6122" s="1605">
        <v>483.72</v>
      </c>
      <c r="R6122" s="1606">
        <v>13141.06</v>
      </c>
      <c r="S6122" s="1608"/>
    </row>
    <row r="6123" spans="2:19" s="1609" customFormat="1" ht="11.25" customHeight="1" outlineLevel="1">
      <c r="B6123" s="1602">
        <v>23595</v>
      </c>
      <c r="C6123" s="1603" t="s">
        <v>5196</v>
      </c>
      <c r="D6123" s="1603" t="s">
        <v>5198</v>
      </c>
      <c r="E6123" s="1603"/>
      <c r="F6123" s="1603"/>
      <c r="G6123" s="1603" t="s">
        <v>5197</v>
      </c>
      <c r="H6123" s="1604">
        <v>2</v>
      </c>
      <c r="I6123" s="1603"/>
      <c r="J6123" s="1603"/>
      <c r="K6123" s="1605">
        <v>42</v>
      </c>
      <c r="L6123" s="1606">
        <v>1707</v>
      </c>
      <c r="M6123" s="1607"/>
      <c r="N6123" s="1606">
        <v>1707</v>
      </c>
      <c r="O6123" s="1605">
        <v>178.06</v>
      </c>
      <c r="P6123" s="1606">
        <v>1472.66</v>
      </c>
      <c r="Q6123" s="1605">
        <v>56.28</v>
      </c>
      <c r="R6123" s="1606">
        <v>1528.94</v>
      </c>
      <c r="S6123" s="1608"/>
    </row>
    <row r="6124" spans="2:19" s="1609" customFormat="1" ht="11.25" customHeight="1" outlineLevel="1">
      <c r="B6124" s="1602">
        <v>23597</v>
      </c>
      <c r="C6124" s="1603" t="s">
        <v>5196</v>
      </c>
      <c r="D6124" s="1603" t="s">
        <v>5195</v>
      </c>
      <c r="E6124" s="1603"/>
      <c r="F6124" s="1603"/>
      <c r="G6124" s="1603" t="s">
        <v>5194</v>
      </c>
      <c r="H6124" s="1604">
        <v>2</v>
      </c>
      <c r="I6124" s="1603"/>
      <c r="J6124" s="1603"/>
      <c r="K6124" s="1605">
        <v>82</v>
      </c>
      <c r="L6124" s="1606">
        <v>8147</v>
      </c>
      <c r="M6124" s="1607"/>
      <c r="N6124" s="1606">
        <v>8147</v>
      </c>
      <c r="O6124" s="1605">
        <v>851</v>
      </c>
      <c r="P6124" s="1606">
        <v>7027.32</v>
      </c>
      <c r="Q6124" s="1605">
        <v>268.68</v>
      </c>
      <c r="R6124" s="1606">
        <v>7296</v>
      </c>
      <c r="S6124" s="1608"/>
    </row>
    <row r="6125" spans="2:19" s="1609" customFormat="1" ht="11.25" customHeight="1" outlineLevel="1">
      <c r="B6125" s="1602">
        <v>23621</v>
      </c>
      <c r="C6125" s="1603" t="s">
        <v>5186</v>
      </c>
      <c r="D6125" s="1603" t="s">
        <v>5193</v>
      </c>
      <c r="E6125" s="1603"/>
      <c r="F6125" s="1603"/>
      <c r="G6125" s="1603" t="s">
        <v>5192</v>
      </c>
      <c r="H6125" s="1604">
        <v>2</v>
      </c>
      <c r="I6125" s="1603"/>
      <c r="J6125" s="1603"/>
      <c r="K6125" s="1605">
        <v>50</v>
      </c>
      <c r="L6125" s="1606">
        <v>2873</v>
      </c>
      <c r="M6125" s="1607"/>
      <c r="N6125" s="1606">
        <v>2873</v>
      </c>
      <c r="O6125" s="1605">
        <v>926.37</v>
      </c>
      <c r="P6125" s="1606">
        <v>1874.87</v>
      </c>
      <c r="Q6125" s="1605">
        <v>71.760000000000005</v>
      </c>
      <c r="R6125" s="1606">
        <v>1946.63</v>
      </c>
      <c r="S6125" s="1608"/>
    </row>
    <row r="6126" spans="2:19" s="1609" customFormat="1" ht="11.25" customHeight="1" outlineLevel="1">
      <c r="B6126" s="1602">
        <v>23623</v>
      </c>
      <c r="C6126" s="1603" t="s">
        <v>5186</v>
      </c>
      <c r="D6126" s="1603" t="s">
        <v>5191</v>
      </c>
      <c r="E6126" s="1603"/>
      <c r="F6126" s="1603"/>
      <c r="G6126" s="1603" t="s">
        <v>5189</v>
      </c>
      <c r="H6126" s="1604">
        <v>2</v>
      </c>
      <c r="I6126" s="1603"/>
      <c r="J6126" s="1603"/>
      <c r="K6126" s="1605">
        <v>234</v>
      </c>
      <c r="L6126" s="1606">
        <v>14556</v>
      </c>
      <c r="M6126" s="1607"/>
      <c r="N6126" s="1606">
        <v>14556</v>
      </c>
      <c r="O6126" s="1606">
        <v>2989.25</v>
      </c>
      <c r="P6126" s="1606">
        <v>11139.67</v>
      </c>
      <c r="Q6126" s="1605">
        <v>427.08</v>
      </c>
      <c r="R6126" s="1606">
        <v>11566.75</v>
      </c>
      <c r="S6126" s="1608"/>
    </row>
    <row r="6127" spans="2:19" s="1609" customFormat="1" ht="11.25" customHeight="1" outlineLevel="1">
      <c r="B6127" s="1602">
        <v>23624</v>
      </c>
      <c r="C6127" s="1603" t="s">
        <v>5186</v>
      </c>
      <c r="D6127" s="1603" t="s">
        <v>5190</v>
      </c>
      <c r="E6127" s="1603"/>
      <c r="F6127" s="1603"/>
      <c r="G6127" s="1603" t="s">
        <v>5189</v>
      </c>
      <c r="H6127" s="1604">
        <v>2</v>
      </c>
      <c r="I6127" s="1603"/>
      <c r="J6127" s="1603"/>
      <c r="K6127" s="1605">
        <v>337</v>
      </c>
      <c r="L6127" s="1606">
        <v>128605</v>
      </c>
      <c r="M6127" s="1607"/>
      <c r="N6127" s="1606">
        <v>128605</v>
      </c>
      <c r="O6127" s="1606">
        <v>26412.12</v>
      </c>
      <c r="P6127" s="1606">
        <v>98419.72</v>
      </c>
      <c r="Q6127" s="1606">
        <v>3773.16</v>
      </c>
      <c r="R6127" s="1606">
        <v>102192.88</v>
      </c>
      <c r="S6127" s="1608"/>
    </row>
    <row r="6128" spans="2:19" s="1609" customFormat="1" ht="11.25" customHeight="1" outlineLevel="1">
      <c r="B6128" s="1602">
        <v>23631</v>
      </c>
      <c r="C6128" s="1603" t="s">
        <v>5186</v>
      </c>
      <c r="D6128" s="1603" t="s">
        <v>5188</v>
      </c>
      <c r="E6128" s="1603"/>
      <c r="F6128" s="1603"/>
      <c r="G6128" s="1603" t="s">
        <v>5187</v>
      </c>
      <c r="H6128" s="1604">
        <v>2</v>
      </c>
      <c r="I6128" s="1603"/>
      <c r="J6128" s="1603"/>
      <c r="K6128" s="1605">
        <v>103</v>
      </c>
      <c r="L6128" s="1606">
        <v>11201</v>
      </c>
      <c r="M6128" s="1607"/>
      <c r="N6128" s="1606">
        <v>11201</v>
      </c>
      <c r="O6128" s="1606">
        <v>5133.25</v>
      </c>
      <c r="P6128" s="1606">
        <v>5843.71</v>
      </c>
      <c r="Q6128" s="1605">
        <v>224.04</v>
      </c>
      <c r="R6128" s="1606">
        <v>6067.75</v>
      </c>
      <c r="S6128" s="1608"/>
    </row>
    <row r="6129" spans="2:19" s="1609" customFormat="1" ht="11.25" customHeight="1" outlineLevel="1">
      <c r="B6129" s="1602">
        <v>23632</v>
      </c>
      <c r="C6129" s="1603" t="s">
        <v>5186</v>
      </c>
      <c r="D6129" s="1603" t="s">
        <v>5185</v>
      </c>
      <c r="E6129" s="1603"/>
      <c r="F6129" s="1603"/>
      <c r="G6129" s="1603" t="s">
        <v>5184</v>
      </c>
      <c r="H6129" s="1604">
        <v>2</v>
      </c>
      <c r="I6129" s="1603"/>
      <c r="J6129" s="1603"/>
      <c r="K6129" s="1605">
        <v>79</v>
      </c>
      <c r="L6129" s="1606">
        <v>9571</v>
      </c>
      <c r="M6129" s="1607"/>
      <c r="N6129" s="1606">
        <v>9571</v>
      </c>
      <c r="O6129" s="1606">
        <v>3090.5</v>
      </c>
      <c r="P6129" s="1606">
        <v>6241.22</v>
      </c>
      <c r="Q6129" s="1605">
        <v>239.28</v>
      </c>
      <c r="R6129" s="1606">
        <v>6480.5</v>
      </c>
      <c r="S6129" s="1608"/>
    </row>
    <row r="6130" spans="2:19" s="1609" customFormat="1" ht="11.25" customHeight="1" outlineLevel="1">
      <c r="B6130" s="1602">
        <v>23694</v>
      </c>
      <c r="C6130" s="1603" t="s">
        <v>5172</v>
      </c>
      <c r="D6130" s="1603" t="s">
        <v>5183</v>
      </c>
      <c r="E6130" s="1603"/>
      <c r="F6130" s="1603"/>
      <c r="G6130" s="1603" t="s">
        <v>5182</v>
      </c>
      <c r="H6130" s="1604">
        <v>2</v>
      </c>
      <c r="I6130" s="1603"/>
      <c r="J6130" s="1603"/>
      <c r="K6130" s="1605">
        <v>113</v>
      </c>
      <c r="L6130" s="1606">
        <v>2836</v>
      </c>
      <c r="M6130" s="1607"/>
      <c r="N6130" s="1606">
        <v>2836</v>
      </c>
      <c r="O6130" s="1606">
        <v>1303.5999999999999</v>
      </c>
      <c r="P6130" s="1606">
        <v>1475.76</v>
      </c>
      <c r="Q6130" s="1605">
        <v>56.64</v>
      </c>
      <c r="R6130" s="1606">
        <v>1532.4</v>
      </c>
      <c r="S6130" s="1608"/>
    </row>
    <row r="6131" spans="2:19" s="1609" customFormat="1" ht="11.25" customHeight="1" outlineLevel="1">
      <c r="B6131" s="1602">
        <v>23696</v>
      </c>
      <c r="C6131" s="1603" t="s">
        <v>5172</v>
      </c>
      <c r="D6131" s="1603" t="s">
        <v>5181</v>
      </c>
      <c r="E6131" s="1603"/>
      <c r="F6131" s="1603"/>
      <c r="G6131" s="1603" t="s">
        <v>5180</v>
      </c>
      <c r="H6131" s="1604">
        <v>2</v>
      </c>
      <c r="I6131" s="1603"/>
      <c r="J6131" s="1603"/>
      <c r="K6131" s="1605">
        <v>79</v>
      </c>
      <c r="L6131" s="1606">
        <v>6368</v>
      </c>
      <c r="M6131" s="1607"/>
      <c r="N6131" s="1606">
        <v>6368</v>
      </c>
      <c r="O6131" s="1606">
        <v>2068.64</v>
      </c>
      <c r="P6131" s="1606">
        <v>4140.24</v>
      </c>
      <c r="Q6131" s="1605">
        <v>159.12</v>
      </c>
      <c r="R6131" s="1606">
        <v>4299.3599999999997</v>
      </c>
      <c r="S6131" s="1608"/>
    </row>
    <row r="6132" spans="2:19" s="1609" customFormat="1" ht="11.25" customHeight="1" outlineLevel="1">
      <c r="B6132" s="1602">
        <v>23698</v>
      </c>
      <c r="C6132" s="1603" t="s">
        <v>5172</v>
      </c>
      <c r="D6132" s="1603" t="s">
        <v>5179</v>
      </c>
      <c r="E6132" s="1603"/>
      <c r="F6132" s="1603"/>
      <c r="G6132" s="1603" t="s">
        <v>5178</v>
      </c>
      <c r="H6132" s="1604">
        <v>2</v>
      </c>
      <c r="I6132" s="1603"/>
      <c r="J6132" s="1603"/>
      <c r="K6132" s="1605">
        <v>113</v>
      </c>
      <c r="L6132" s="1606">
        <v>8688</v>
      </c>
      <c r="M6132" s="1607"/>
      <c r="N6132" s="1606">
        <v>8688</v>
      </c>
      <c r="O6132" s="1605">
        <v>954.24</v>
      </c>
      <c r="P6132" s="1606">
        <v>7447.44</v>
      </c>
      <c r="Q6132" s="1605">
        <v>286.32</v>
      </c>
      <c r="R6132" s="1606">
        <v>7733.76</v>
      </c>
      <c r="S6132" s="1608"/>
    </row>
    <row r="6133" spans="2:19" s="1609" customFormat="1" ht="11.25" customHeight="1" outlineLevel="1">
      <c r="B6133" s="1602">
        <v>23700</v>
      </c>
      <c r="C6133" s="1603" t="s">
        <v>5172</v>
      </c>
      <c r="D6133" s="1603" t="s">
        <v>5177</v>
      </c>
      <c r="E6133" s="1603"/>
      <c r="F6133" s="1603"/>
      <c r="G6133" s="1603" t="s">
        <v>5176</v>
      </c>
      <c r="H6133" s="1604">
        <v>2</v>
      </c>
      <c r="I6133" s="1603"/>
      <c r="J6133" s="1603"/>
      <c r="K6133" s="1605">
        <v>107</v>
      </c>
      <c r="L6133" s="1606">
        <v>6718</v>
      </c>
      <c r="M6133" s="1607"/>
      <c r="N6133" s="1606">
        <v>6718</v>
      </c>
      <c r="O6133" s="1606">
        <v>2182.12</v>
      </c>
      <c r="P6133" s="1606">
        <v>4368</v>
      </c>
      <c r="Q6133" s="1605">
        <v>167.88</v>
      </c>
      <c r="R6133" s="1606">
        <v>4535.88</v>
      </c>
      <c r="S6133" s="1608"/>
    </row>
    <row r="6134" spans="2:19" s="1609" customFormat="1" ht="11.25" customHeight="1" outlineLevel="1">
      <c r="B6134" s="1602">
        <v>24031</v>
      </c>
      <c r="C6134" s="1603" t="s">
        <v>5172</v>
      </c>
      <c r="D6134" s="1603" t="s">
        <v>5175</v>
      </c>
      <c r="E6134" s="1603"/>
      <c r="F6134" s="1603"/>
      <c r="G6134" s="1603" t="s">
        <v>3734</v>
      </c>
      <c r="H6134" s="1604">
        <v>2</v>
      </c>
      <c r="I6134" s="1603"/>
      <c r="J6134" s="1603"/>
      <c r="K6134" s="1606">
        <v>71437</v>
      </c>
      <c r="L6134" s="1606">
        <v>8825629</v>
      </c>
      <c r="M6134" s="1607"/>
      <c r="N6134" s="1606">
        <v>8825629</v>
      </c>
      <c r="O6134" s="1606">
        <v>970678.37</v>
      </c>
      <c r="P6134" s="1606">
        <v>2905293.06</v>
      </c>
      <c r="Q6134" s="1606">
        <v>4949657.57</v>
      </c>
      <c r="R6134" s="1606">
        <v>7854950.6299999999</v>
      </c>
      <c r="S6134" s="1608"/>
    </row>
    <row r="6135" spans="2:19" s="1609" customFormat="1" ht="11.25" customHeight="1" outlineLevel="1">
      <c r="B6135" s="1602">
        <v>24033</v>
      </c>
      <c r="C6135" s="1603" t="s">
        <v>5172</v>
      </c>
      <c r="D6135" s="1603" t="s">
        <v>5174</v>
      </c>
      <c r="E6135" s="1603"/>
      <c r="F6135" s="1603"/>
      <c r="G6135" s="1603" t="s">
        <v>3734</v>
      </c>
      <c r="H6135" s="1604">
        <v>2</v>
      </c>
      <c r="I6135" s="1603"/>
      <c r="J6135" s="1603"/>
      <c r="K6135" s="1606">
        <v>22976</v>
      </c>
      <c r="L6135" s="1606">
        <v>22976</v>
      </c>
      <c r="M6135" s="1607"/>
      <c r="N6135" s="1606">
        <v>22976</v>
      </c>
      <c r="O6135" s="1606">
        <v>10569.92</v>
      </c>
      <c r="P6135" s="1606">
        <v>11946.48</v>
      </c>
      <c r="Q6135" s="1605">
        <v>459.6</v>
      </c>
      <c r="R6135" s="1606">
        <v>12406.08</v>
      </c>
      <c r="S6135" s="1608"/>
    </row>
    <row r="6136" spans="2:19" s="1609" customFormat="1" ht="11.25" customHeight="1" outlineLevel="1">
      <c r="B6136" s="1602">
        <v>24034</v>
      </c>
      <c r="C6136" s="1603" t="s">
        <v>5172</v>
      </c>
      <c r="D6136" s="1603" t="s">
        <v>5173</v>
      </c>
      <c r="E6136" s="1603"/>
      <c r="F6136" s="1603"/>
      <c r="G6136" s="1603" t="s">
        <v>3664</v>
      </c>
      <c r="H6136" s="1604">
        <v>2</v>
      </c>
      <c r="I6136" s="1603"/>
      <c r="J6136" s="1603"/>
      <c r="K6136" s="1606">
        <v>115670</v>
      </c>
      <c r="L6136" s="1606">
        <v>115670</v>
      </c>
      <c r="M6136" s="1607"/>
      <c r="N6136" s="1606">
        <v>115670</v>
      </c>
      <c r="O6136" s="1606">
        <v>37592.480000000003</v>
      </c>
      <c r="P6136" s="1606">
        <v>75185.759999999995</v>
      </c>
      <c r="Q6136" s="1606">
        <v>2891.76</v>
      </c>
      <c r="R6136" s="1606">
        <v>78077.52</v>
      </c>
      <c r="S6136" s="1608"/>
    </row>
    <row r="6137" spans="2:19" s="1609" customFormat="1" ht="11.25" customHeight="1" outlineLevel="1">
      <c r="B6137" s="1602">
        <v>24035</v>
      </c>
      <c r="C6137" s="1603" t="s">
        <v>5172</v>
      </c>
      <c r="D6137" s="1603" t="s">
        <v>5171</v>
      </c>
      <c r="E6137" s="1603"/>
      <c r="F6137" s="1603"/>
      <c r="G6137" s="1603" t="s">
        <v>3734</v>
      </c>
      <c r="H6137" s="1604">
        <v>2</v>
      </c>
      <c r="I6137" s="1603"/>
      <c r="J6137" s="1603"/>
      <c r="K6137" s="1606">
        <v>23039</v>
      </c>
      <c r="L6137" s="1606">
        <v>23039</v>
      </c>
      <c r="M6137" s="1607"/>
      <c r="N6137" s="1606">
        <v>23039</v>
      </c>
      <c r="O6137" s="1606">
        <v>7487.12</v>
      </c>
      <c r="P6137" s="1606">
        <v>14976</v>
      </c>
      <c r="Q6137" s="1605">
        <v>575.88</v>
      </c>
      <c r="R6137" s="1606">
        <v>15551.88</v>
      </c>
      <c r="S6137" s="1608"/>
    </row>
    <row r="6138" spans="2:19" s="1609" customFormat="1" ht="11.25" customHeight="1" outlineLevel="1">
      <c r="B6138" s="1602">
        <v>24067</v>
      </c>
      <c r="C6138" s="1603" t="s">
        <v>5153</v>
      </c>
      <c r="D6138" s="1603" t="s">
        <v>5170</v>
      </c>
      <c r="E6138" s="1603"/>
      <c r="F6138" s="1603"/>
      <c r="G6138" s="1603" t="s">
        <v>5160</v>
      </c>
      <c r="H6138" s="1604">
        <v>2</v>
      </c>
      <c r="I6138" s="1603"/>
      <c r="J6138" s="1603"/>
      <c r="K6138" s="1605">
        <v>98</v>
      </c>
      <c r="L6138" s="1606">
        <v>176247</v>
      </c>
      <c r="M6138" s="1607"/>
      <c r="N6138" s="1606">
        <v>176247</v>
      </c>
      <c r="O6138" s="1606">
        <v>57647.86</v>
      </c>
      <c r="P6138" s="1606">
        <v>114192.98</v>
      </c>
      <c r="Q6138" s="1606">
        <v>4406.16</v>
      </c>
      <c r="R6138" s="1606">
        <v>118599.14</v>
      </c>
      <c r="S6138" s="1608"/>
    </row>
    <row r="6139" spans="2:19" s="1609" customFormat="1" ht="11.25" customHeight="1" outlineLevel="1">
      <c r="B6139" s="1602">
        <v>24068</v>
      </c>
      <c r="C6139" s="1603" t="s">
        <v>5153</v>
      </c>
      <c r="D6139" s="1603" t="s">
        <v>5169</v>
      </c>
      <c r="E6139" s="1603"/>
      <c r="F6139" s="1603"/>
      <c r="G6139" s="1603" t="s">
        <v>5160</v>
      </c>
      <c r="H6139" s="1604">
        <v>2</v>
      </c>
      <c r="I6139" s="1603"/>
      <c r="J6139" s="1603"/>
      <c r="K6139" s="1605">
        <v>107</v>
      </c>
      <c r="L6139" s="1606">
        <v>126902</v>
      </c>
      <c r="M6139" s="1607"/>
      <c r="N6139" s="1606">
        <v>126902</v>
      </c>
      <c r="O6139" s="1606">
        <v>41507.26</v>
      </c>
      <c r="P6139" s="1606">
        <v>82222.179999999993</v>
      </c>
      <c r="Q6139" s="1606">
        <v>3172.56</v>
      </c>
      <c r="R6139" s="1606">
        <v>85394.74</v>
      </c>
      <c r="S6139" s="1608"/>
    </row>
    <row r="6140" spans="2:19" s="1609" customFormat="1" ht="11.25" customHeight="1" outlineLevel="1">
      <c r="B6140" s="1602">
        <v>24069</v>
      </c>
      <c r="C6140" s="1603" t="s">
        <v>5153</v>
      </c>
      <c r="D6140" s="1603" t="s">
        <v>5168</v>
      </c>
      <c r="E6140" s="1603"/>
      <c r="F6140" s="1603"/>
      <c r="G6140" s="1603" t="s">
        <v>5167</v>
      </c>
      <c r="H6140" s="1604">
        <v>2</v>
      </c>
      <c r="I6140" s="1603"/>
      <c r="J6140" s="1603"/>
      <c r="K6140" s="1605">
        <v>124</v>
      </c>
      <c r="L6140" s="1606">
        <v>2221</v>
      </c>
      <c r="M6140" s="1607"/>
      <c r="N6140" s="1606">
        <v>2221</v>
      </c>
      <c r="O6140" s="1605">
        <v>725.63</v>
      </c>
      <c r="P6140" s="1606">
        <v>1439.93</v>
      </c>
      <c r="Q6140" s="1605">
        <v>55.44</v>
      </c>
      <c r="R6140" s="1606">
        <v>1495.37</v>
      </c>
      <c r="S6140" s="1608"/>
    </row>
    <row r="6141" spans="2:19" s="1609" customFormat="1" ht="11.25" customHeight="1" outlineLevel="1">
      <c r="B6141" s="1602">
        <v>24070</v>
      </c>
      <c r="C6141" s="1603" t="s">
        <v>5153</v>
      </c>
      <c r="D6141" s="1603" t="s">
        <v>5166</v>
      </c>
      <c r="E6141" s="1603"/>
      <c r="F6141" s="1603"/>
      <c r="G6141" s="1603" t="s">
        <v>5160</v>
      </c>
      <c r="H6141" s="1604">
        <v>2</v>
      </c>
      <c r="I6141" s="1603"/>
      <c r="J6141" s="1603"/>
      <c r="K6141" s="1605">
        <v>143</v>
      </c>
      <c r="L6141" s="1606">
        <v>31965</v>
      </c>
      <c r="M6141" s="1607"/>
      <c r="N6141" s="1606">
        <v>31965</v>
      </c>
      <c r="O6141" s="1606">
        <v>10456.31</v>
      </c>
      <c r="P6141" s="1606">
        <v>20709.490000000002</v>
      </c>
      <c r="Q6141" s="1605">
        <v>799.2</v>
      </c>
      <c r="R6141" s="1606">
        <v>21508.69</v>
      </c>
      <c r="S6141" s="1608"/>
    </row>
    <row r="6142" spans="2:19" s="1609" customFormat="1" ht="11.25" customHeight="1" outlineLevel="1">
      <c r="B6142" s="1602">
        <v>24071</v>
      </c>
      <c r="C6142" s="1603" t="s">
        <v>5153</v>
      </c>
      <c r="D6142" s="1603" t="s">
        <v>5165</v>
      </c>
      <c r="E6142" s="1603"/>
      <c r="F6142" s="1603"/>
      <c r="G6142" s="1603" t="s">
        <v>5160</v>
      </c>
      <c r="H6142" s="1604">
        <v>2</v>
      </c>
      <c r="I6142" s="1603"/>
      <c r="J6142" s="1603"/>
      <c r="K6142" s="1605">
        <v>94</v>
      </c>
      <c r="L6142" s="1606">
        <v>73819</v>
      </c>
      <c r="M6142" s="1607"/>
      <c r="N6142" s="1606">
        <v>73819</v>
      </c>
      <c r="O6142" s="1606">
        <v>24144.83</v>
      </c>
      <c r="P6142" s="1606">
        <v>47828.69</v>
      </c>
      <c r="Q6142" s="1606">
        <v>1845.48</v>
      </c>
      <c r="R6142" s="1606">
        <v>49674.17</v>
      </c>
      <c r="S6142" s="1608"/>
    </row>
    <row r="6143" spans="2:19" s="1717" customFormat="1" ht="11.25" customHeight="1" outlineLevel="1">
      <c r="B6143" s="1711">
        <v>24072</v>
      </c>
      <c r="C6143" s="1712" t="s">
        <v>5153</v>
      </c>
      <c r="D6143" s="1712" t="s">
        <v>5164</v>
      </c>
      <c r="E6143" s="1712"/>
      <c r="F6143" s="1712"/>
      <c r="G6143" s="1712" t="s">
        <v>5160</v>
      </c>
      <c r="H6143" s="1713">
        <v>2</v>
      </c>
      <c r="I6143" s="1712"/>
      <c r="J6143" s="1712"/>
      <c r="K6143" s="1727">
        <v>98</v>
      </c>
      <c r="L6143" s="1714">
        <v>461238</v>
      </c>
      <c r="M6143" s="1715"/>
      <c r="N6143" s="1714">
        <v>461238</v>
      </c>
      <c r="O6143" s="1714">
        <v>95194.9</v>
      </c>
      <c r="P6143" s="1714">
        <v>352443.86</v>
      </c>
      <c r="Q6143" s="1714">
        <v>13599.24</v>
      </c>
      <c r="R6143" s="1714">
        <v>366043.1</v>
      </c>
      <c r="S6143" s="1716"/>
    </row>
    <row r="6144" spans="2:19" s="1609" customFormat="1" ht="11.25" customHeight="1" outlineLevel="1">
      <c r="B6144" s="1602">
        <v>24073</v>
      </c>
      <c r="C6144" s="1603" t="s">
        <v>5153</v>
      </c>
      <c r="D6144" s="1603" t="s">
        <v>5163</v>
      </c>
      <c r="E6144" s="1603"/>
      <c r="F6144" s="1603"/>
      <c r="G6144" s="1603" t="s">
        <v>5160</v>
      </c>
      <c r="H6144" s="1604">
        <v>2</v>
      </c>
      <c r="I6144" s="1603"/>
      <c r="J6144" s="1603"/>
      <c r="K6144" s="1605">
        <v>95</v>
      </c>
      <c r="L6144" s="1606">
        <v>28225</v>
      </c>
      <c r="M6144" s="1607"/>
      <c r="N6144" s="1606">
        <v>28225</v>
      </c>
      <c r="O6144" s="1606">
        <v>9232.48</v>
      </c>
      <c r="P6144" s="1606">
        <v>18286.8</v>
      </c>
      <c r="Q6144" s="1605">
        <v>705.72</v>
      </c>
      <c r="R6144" s="1606">
        <v>18992.52</v>
      </c>
      <c r="S6144" s="1608"/>
    </row>
    <row r="6145" spans="2:19" s="1609" customFormat="1" ht="11.25" customHeight="1" outlineLevel="1">
      <c r="B6145" s="1602">
        <v>24074</v>
      </c>
      <c r="C6145" s="1603" t="s">
        <v>5153</v>
      </c>
      <c r="D6145" s="1603" t="s">
        <v>5162</v>
      </c>
      <c r="E6145" s="1603"/>
      <c r="F6145" s="1603"/>
      <c r="G6145" s="1603" t="s">
        <v>5160</v>
      </c>
      <c r="H6145" s="1604">
        <v>2</v>
      </c>
      <c r="I6145" s="1603"/>
      <c r="J6145" s="1603"/>
      <c r="K6145" s="1605">
        <v>212</v>
      </c>
      <c r="L6145" s="1606">
        <v>211567</v>
      </c>
      <c r="M6145" s="1607"/>
      <c r="N6145" s="1606">
        <v>211567</v>
      </c>
      <c r="O6145" s="1606">
        <v>43665.14</v>
      </c>
      <c r="P6145" s="1606">
        <v>161664.01999999999</v>
      </c>
      <c r="Q6145" s="1606">
        <v>6237.84</v>
      </c>
      <c r="R6145" s="1606">
        <v>167901.86</v>
      </c>
      <c r="S6145" s="1608"/>
    </row>
    <row r="6146" spans="2:19" s="1609" customFormat="1" ht="11.25" customHeight="1" outlineLevel="1">
      <c r="B6146" s="1602">
        <v>24075</v>
      </c>
      <c r="C6146" s="1603" t="s">
        <v>5153</v>
      </c>
      <c r="D6146" s="1603" t="s">
        <v>5161</v>
      </c>
      <c r="E6146" s="1603"/>
      <c r="F6146" s="1603"/>
      <c r="G6146" s="1603" t="s">
        <v>5160</v>
      </c>
      <c r="H6146" s="1604">
        <v>2</v>
      </c>
      <c r="I6146" s="1603"/>
      <c r="J6146" s="1603"/>
      <c r="K6146" s="1605">
        <v>98</v>
      </c>
      <c r="L6146" s="1606">
        <v>52466</v>
      </c>
      <c r="M6146" s="1607"/>
      <c r="N6146" s="1606">
        <v>52466</v>
      </c>
      <c r="O6146" s="1606">
        <v>5909.02</v>
      </c>
      <c r="P6146" s="1606">
        <v>44827.54</v>
      </c>
      <c r="Q6146" s="1606">
        <v>1729.44</v>
      </c>
      <c r="R6146" s="1606">
        <v>46556.98</v>
      </c>
      <c r="S6146" s="1608"/>
    </row>
    <row r="6147" spans="2:19" s="1609" customFormat="1" ht="11.25" customHeight="1" outlineLevel="1">
      <c r="B6147" s="1602">
        <v>24077</v>
      </c>
      <c r="C6147" s="1603" t="s">
        <v>5153</v>
      </c>
      <c r="D6147" s="1603" t="s">
        <v>5159</v>
      </c>
      <c r="E6147" s="1603"/>
      <c r="F6147" s="1603"/>
      <c r="G6147" s="1603" t="s">
        <v>5158</v>
      </c>
      <c r="H6147" s="1604">
        <v>2</v>
      </c>
      <c r="I6147" s="1603"/>
      <c r="J6147" s="1603"/>
      <c r="K6147" s="1605">
        <v>8</v>
      </c>
      <c r="L6147" s="1605">
        <v>549</v>
      </c>
      <c r="M6147" s="1607"/>
      <c r="N6147" s="1605">
        <v>549</v>
      </c>
      <c r="O6147" s="1605">
        <v>251.96</v>
      </c>
      <c r="P6147" s="1605">
        <v>286.12</v>
      </c>
      <c r="Q6147" s="1605">
        <v>10.92</v>
      </c>
      <c r="R6147" s="1605">
        <v>297.04000000000002</v>
      </c>
      <c r="S6147" s="1608"/>
    </row>
    <row r="6148" spans="2:19" s="1609" customFormat="1" ht="11.25" customHeight="1" outlineLevel="1">
      <c r="B6148" s="1602">
        <v>24080</v>
      </c>
      <c r="C6148" s="1603" t="s">
        <v>5153</v>
      </c>
      <c r="D6148" s="1603" t="s">
        <v>5157</v>
      </c>
      <c r="E6148" s="1603"/>
      <c r="F6148" s="1603"/>
      <c r="G6148" s="1603" t="s">
        <v>5156</v>
      </c>
      <c r="H6148" s="1604">
        <v>2</v>
      </c>
      <c r="I6148" s="1603"/>
      <c r="J6148" s="1603"/>
      <c r="K6148" s="1605">
        <v>67</v>
      </c>
      <c r="L6148" s="1606">
        <v>5776</v>
      </c>
      <c r="M6148" s="1607"/>
      <c r="N6148" s="1606">
        <v>5776</v>
      </c>
      <c r="O6148" s="1606">
        <v>2665.63</v>
      </c>
      <c r="P6148" s="1606">
        <v>2994.93</v>
      </c>
      <c r="Q6148" s="1605">
        <v>115.44</v>
      </c>
      <c r="R6148" s="1606">
        <v>3110.37</v>
      </c>
      <c r="S6148" s="1608"/>
    </row>
    <row r="6149" spans="2:19" s="1609" customFormat="1" ht="11.25" customHeight="1" outlineLevel="1">
      <c r="B6149" s="1602">
        <v>24086</v>
      </c>
      <c r="C6149" s="1603" t="s">
        <v>5153</v>
      </c>
      <c r="D6149" s="1603" t="s">
        <v>5155</v>
      </c>
      <c r="E6149" s="1603"/>
      <c r="F6149" s="1603"/>
      <c r="G6149" s="1603" t="s">
        <v>5154</v>
      </c>
      <c r="H6149" s="1604">
        <v>2</v>
      </c>
      <c r="I6149" s="1603"/>
      <c r="J6149" s="1603"/>
      <c r="K6149" s="1605">
        <v>94</v>
      </c>
      <c r="L6149" s="1606">
        <v>17115</v>
      </c>
      <c r="M6149" s="1607"/>
      <c r="N6149" s="1606">
        <v>17115</v>
      </c>
      <c r="O6149" s="1606">
        <v>5596.94</v>
      </c>
      <c r="P6149" s="1606">
        <v>11090.26</v>
      </c>
      <c r="Q6149" s="1605">
        <v>427.8</v>
      </c>
      <c r="R6149" s="1606">
        <v>11518.06</v>
      </c>
      <c r="S6149" s="1608"/>
    </row>
    <row r="6150" spans="2:19" s="1609" customFormat="1" ht="11.25" customHeight="1" outlineLevel="1">
      <c r="B6150" s="1602">
        <v>24088</v>
      </c>
      <c r="C6150" s="1603" t="s">
        <v>5153</v>
      </c>
      <c r="D6150" s="1603" t="s">
        <v>5152</v>
      </c>
      <c r="E6150" s="1603"/>
      <c r="F6150" s="1603"/>
      <c r="G6150" s="1603" t="s">
        <v>5151</v>
      </c>
      <c r="H6150" s="1604">
        <v>2</v>
      </c>
      <c r="I6150" s="1603"/>
      <c r="J6150" s="1603"/>
      <c r="K6150" s="1605">
        <v>107</v>
      </c>
      <c r="L6150" s="1606">
        <v>5385</v>
      </c>
      <c r="M6150" s="1607"/>
      <c r="N6150" s="1606">
        <v>5385</v>
      </c>
      <c r="O6150" s="1605">
        <v>607.47</v>
      </c>
      <c r="P6150" s="1606">
        <v>4599.6899999999996</v>
      </c>
      <c r="Q6150" s="1605">
        <v>177.84</v>
      </c>
      <c r="R6150" s="1606">
        <v>4777.53</v>
      </c>
      <c r="S6150" s="1608"/>
    </row>
    <row r="6151" spans="2:19" s="1609" customFormat="1" ht="11.25" customHeight="1" outlineLevel="1">
      <c r="B6151" s="1602">
        <v>24119</v>
      </c>
      <c r="C6151" s="1603" t="s">
        <v>5138</v>
      </c>
      <c r="D6151" s="1603" t="s">
        <v>5150</v>
      </c>
      <c r="E6151" s="1603"/>
      <c r="F6151" s="1603"/>
      <c r="G6151" s="1603" t="s">
        <v>5149</v>
      </c>
      <c r="H6151" s="1604">
        <v>2</v>
      </c>
      <c r="I6151" s="1603"/>
      <c r="J6151" s="1603"/>
      <c r="K6151" s="1606">
        <v>127195</v>
      </c>
      <c r="L6151" s="1606">
        <v>127195</v>
      </c>
      <c r="M6151" s="1607"/>
      <c r="N6151" s="1606">
        <v>127195</v>
      </c>
      <c r="O6151" s="1606">
        <v>58934.22</v>
      </c>
      <c r="P6151" s="1606">
        <v>65716.899999999994</v>
      </c>
      <c r="Q6151" s="1606">
        <v>2543.88</v>
      </c>
      <c r="R6151" s="1606">
        <v>68260.78</v>
      </c>
      <c r="S6151" s="1608"/>
    </row>
    <row r="6152" spans="2:19" s="1609" customFormat="1" ht="11.25" customHeight="1" outlineLevel="1">
      <c r="B6152" s="1602">
        <v>24120</v>
      </c>
      <c r="C6152" s="1603" t="s">
        <v>5138</v>
      </c>
      <c r="D6152" s="1603" t="s">
        <v>5148</v>
      </c>
      <c r="E6152" s="1603"/>
      <c r="F6152" s="1603"/>
      <c r="G6152" s="1603" t="s">
        <v>5147</v>
      </c>
      <c r="H6152" s="1604">
        <v>2</v>
      </c>
      <c r="I6152" s="1603"/>
      <c r="J6152" s="1603"/>
      <c r="K6152" s="1605">
        <v>958</v>
      </c>
      <c r="L6152" s="1606">
        <v>28727</v>
      </c>
      <c r="M6152" s="1607"/>
      <c r="N6152" s="1606">
        <v>28727</v>
      </c>
      <c r="O6152" s="1606">
        <v>13309.64</v>
      </c>
      <c r="P6152" s="1606">
        <v>14842.8</v>
      </c>
      <c r="Q6152" s="1605">
        <v>574.55999999999995</v>
      </c>
      <c r="R6152" s="1606">
        <v>15417.36</v>
      </c>
      <c r="S6152" s="1608"/>
    </row>
    <row r="6153" spans="2:19" s="1609" customFormat="1" ht="11.25" customHeight="1" outlineLevel="1">
      <c r="B6153" s="1602">
        <v>24122</v>
      </c>
      <c r="C6153" s="1603" t="s">
        <v>5138</v>
      </c>
      <c r="D6153" s="1603" t="s">
        <v>5146</v>
      </c>
      <c r="E6153" s="1603"/>
      <c r="F6153" s="1603"/>
      <c r="G6153" s="1603" t="s">
        <v>5145</v>
      </c>
      <c r="H6153" s="1604">
        <v>2</v>
      </c>
      <c r="I6153" s="1603"/>
      <c r="J6153" s="1603"/>
      <c r="K6153" s="1605">
        <v>24</v>
      </c>
      <c r="L6153" s="1606">
        <v>1676</v>
      </c>
      <c r="M6153" s="1607"/>
      <c r="N6153" s="1606">
        <v>1676</v>
      </c>
      <c r="O6153" s="1605">
        <v>777.5</v>
      </c>
      <c r="P6153" s="1605">
        <v>864.9</v>
      </c>
      <c r="Q6153" s="1605">
        <v>33.6</v>
      </c>
      <c r="R6153" s="1605">
        <v>898.5</v>
      </c>
      <c r="S6153" s="1608"/>
    </row>
    <row r="6154" spans="2:19" s="1609" customFormat="1" ht="11.25" customHeight="1" outlineLevel="1">
      <c r="B6154" s="1602">
        <v>24124</v>
      </c>
      <c r="C6154" s="1603" t="s">
        <v>5138</v>
      </c>
      <c r="D6154" s="1603" t="s">
        <v>5144</v>
      </c>
      <c r="E6154" s="1603"/>
      <c r="F6154" s="1603"/>
      <c r="G6154" s="1603" t="s">
        <v>5143</v>
      </c>
      <c r="H6154" s="1604">
        <v>2</v>
      </c>
      <c r="I6154" s="1603"/>
      <c r="J6154" s="1603"/>
      <c r="K6154" s="1605">
        <v>79</v>
      </c>
      <c r="L6154" s="1606">
        <v>75631</v>
      </c>
      <c r="M6154" s="1607"/>
      <c r="N6154" s="1606">
        <v>75631</v>
      </c>
      <c r="O6154" s="1606">
        <v>24896.560000000001</v>
      </c>
      <c r="P6154" s="1606">
        <v>48843.6</v>
      </c>
      <c r="Q6154" s="1606">
        <v>1890.84</v>
      </c>
      <c r="R6154" s="1606">
        <v>50734.44</v>
      </c>
      <c r="S6154" s="1608"/>
    </row>
    <row r="6155" spans="2:19" s="1609" customFormat="1" ht="11.25" customHeight="1" outlineLevel="1">
      <c r="B6155" s="1602">
        <v>24126</v>
      </c>
      <c r="C6155" s="1603" t="s">
        <v>5138</v>
      </c>
      <c r="D6155" s="1603" t="s">
        <v>5142</v>
      </c>
      <c r="E6155" s="1603"/>
      <c r="F6155" s="1603"/>
      <c r="G6155" s="1603" t="s">
        <v>5141</v>
      </c>
      <c r="H6155" s="1604">
        <v>2</v>
      </c>
      <c r="I6155" s="1603"/>
      <c r="J6155" s="1603"/>
      <c r="K6155" s="1605">
        <v>113</v>
      </c>
      <c r="L6155" s="1606">
        <v>7293</v>
      </c>
      <c r="M6155" s="1607"/>
      <c r="N6155" s="1606">
        <v>7293</v>
      </c>
      <c r="O6155" s="1606">
        <v>3377.6</v>
      </c>
      <c r="P6155" s="1606">
        <v>3769.6</v>
      </c>
      <c r="Q6155" s="1605">
        <v>145.80000000000001</v>
      </c>
      <c r="R6155" s="1606">
        <v>3915.4</v>
      </c>
      <c r="S6155" s="1608"/>
    </row>
    <row r="6156" spans="2:19" s="1609" customFormat="1" ht="11.25" customHeight="1" outlineLevel="1">
      <c r="B6156" s="1602">
        <v>24128</v>
      </c>
      <c r="C6156" s="1603" t="s">
        <v>5138</v>
      </c>
      <c r="D6156" s="1603" t="s">
        <v>5140</v>
      </c>
      <c r="E6156" s="1603"/>
      <c r="F6156" s="1603"/>
      <c r="G6156" s="1603" t="s">
        <v>5139</v>
      </c>
      <c r="H6156" s="1604">
        <v>2</v>
      </c>
      <c r="I6156" s="1603"/>
      <c r="J6156" s="1603"/>
      <c r="K6156" s="1605">
        <v>113</v>
      </c>
      <c r="L6156" s="1606">
        <v>6000</v>
      </c>
      <c r="M6156" s="1607"/>
      <c r="N6156" s="1606">
        <v>6000</v>
      </c>
      <c r="O6156" s="1606">
        <v>2780</v>
      </c>
      <c r="P6156" s="1606">
        <v>3100</v>
      </c>
      <c r="Q6156" s="1605">
        <v>120</v>
      </c>
      <c r="R6156" s="1606">
        <v>3220</v>
      </c>
      <c r="S6156" s="1608"/>
    </row>
    <row r="6157" spans="2:19" s="1609" customFormat="1" ht="11.25" customHeight="1" outlineLevel="1">
      <c r="B6157" s="1602">
        <v>24135</v>
      </c>
      <c r="C6157" s="1603" t="s">
        <v>5138</v>
      </c>
      <c r="D6157" s="1603" t="s">
        <v>5137</v>
      </c>
      <c r="E6157" s="1603"/>
      <c r="F6157" s="1603"/>
      <c r="G6157" s="1603" t="s">
        <v>5136</v>
      </c>
      <c r="H6157" s="1604">
        <v>2</v>
      </c>
      <c r="I6157" s="1603"/>
      <c r="J6157" s="1603"/>
      <c r="K6157" s="1605">
        <v>382</v>
      </c>
      <c r="L6157" s="1606">
        <v>88595</v>
      </c>
      <c r="M6157" s="1607"/>
      <c r="N6157" s="1606">
        <v>88595</v>
      </c>
      <c r="O6157" s="1606">
        <v>10223.18</v>
      </c>
      <c r="P6157" s="1606">
        <v>75450.899999999994</v>
      </c>
      <c r="Q6157" s="1606">
        <v>2920.92</v>
      </c>
      <c r="R6157" s="1606">
        <v>78371.820000000007</v>
      </c>
      <c r="S6157" s="1608"/>
    </row>
    <row r="6158" spans="2:19" s="1609" customFormat="1" ht="11.25" customHeight="1" outlineLevel="1">
      <c r="B6158" s="1602">
        <v>24159</v>
      </c>
      <c r="C6158" s="1603" t="s">
        <v>5135</v>
      </c>
      <c r="D6158" s="1603" t="s">
        <v>5134</v>
      </c>
      <c r="E6158" s="1603"/>
      <c r="F6158" s="1603"/>
      <c r="G6158" s="1603" t="s">
        <v>5133</v>
      </c>
      <c r="H6158" s="1604">
        <v>2</v>
      </c>
      <c r="I6158" s="1603"/>
      <c r="J6158" s="1603"/>
      <c r="K6158" s="1605">
        <v>580</v>
      </c>
      <c r="L6158" s="1606">
        <v>48226</v>
      </c>
      <c r="M6158" s="1607"/>
      <c r="N6158" s="1606">
        <v>48226</v>
      </c>
      <c r="O6158" s="1606">
        <v>5696.83</v>
      </c>
      <c r="P6158" s="1606">
        <v>40939.410000000003</v>
      </c>
      <c r="Q6158" s="1606">
        <v>1589.76</v>
      </c>
      <c r="R6158" s="1606">
        <v>42529.17</v>
      </c>
      <c r="S6158" s="1608"/>
    </row>
    <row r="6159" spans="2:19" s="1609" customFormat="1" ht="11.25" customHeight="1" outlineLevel="1">
      <c r="B6159" s="1602">
        <v>24213</v>
      </c>
      <c r="C6159" s="1603" t="s">
        <v>5128</v>
      </c>
      <c r="D6159" s="1603" t="s">
        <v>5132</v>
      </c>
      <c r="E6159" s="1603"/>
      <c r="F6159" s="1603"/>
      <c r="G6159" s="1603" t="s">
        <v>5131</v>
      </c>
      <c r="H6159" s="1604">
        <v>2</v>
      </c>
      <c r="I6159" s="1603"/>
      <c r="J6159" s="1603"/>
      <c r="K6159" s="1605">
        <v>113</v>
      </c>
      <c r="L6159" s="1606">
        <v>8411</v>
      </c>
      <c r="M6159" s="1607"/>
      <c r="N6159" s="1606">
        <v>8411</v>
      </c>
      <c r="O6159" s="1606">
        <v>3938.62</v>
      </c>
      <c r="P6159" s="1606">
        <v>4304.1400000000003</v>
      </c>
      <c r="Q6159" s="1605">
        <v>168.24</v>
      </c>
      <c r="R6159" s="1606">
        <v>4472.38</v>
      </c>
      <c r="S6159" s="1608"/>
    </row>
    <row r="6160" spans="2:19" s="1609" customFormat="1" ht="11.25" customHeight="1" outlineLevel="1">
      <c r="B6160" s="1602">
        <v>24217</v>
      </c>
      <c r="C6160" s="1603" t="s">
        <v>5128</v>
      </c>
      <c r="D6160" s="1603" t="s">
        <v>5130</v>
      </c>
      <c r="E6160" s="1603"/>
      <c r="F6160" s="1603"/>
      <c r="G6160" s="1603" t="s">
        <v>5129</v>
      </c>
      <c r="H6160" s="1604">
        <v>2</v>
      </c>
      <c r="I6160" s="1603"/>
      <c r="J6160" s="1603"/>
      <c r="K6160" s="1605">
        <v>398</v>
      </c>
      <c r="L6160" s="1606">
        <v>3778</v>
      </c>
      <c r="M6160" s="1607"/>
      <c r="N6160" s="1606">
        <v>3778</v>
      </c>
      <c r="O6160" s="1606">
        <v>1267.47</v>
      </c>
      <c r="P6160" s="1606">
        <v>2416.09</v>
      </c>
      <c r="Q6160" s="1605">
        <v>94.44</v>
      </c>
      <c r="R6160" s="1606">
        <v>2510.5300000000002</v>
      </c>
      <c r="S6160" s="1608"/>
    </row>
    <row r="6161" spans="2:19" s="1609" customFormat="1" ht="11.25" customHeight="1" outlineLevel="1">
      <c r="B6161" s="1602">
        <v>24219</v>
      </c>
      <c r="C6161" s="1603" t="s">
        <v>5128</v>
      </c>
      <c r="D6161" s="1603" t="s">
        <v>5127</v>
      </c>
      <c r="E6161" s="1603"/>
      <c r="F6161" s="1603"/>
      <c r="G6161" s="1603" t="s">
        <v>5126</v>
      </c>
      <c r="H6161" s="1604">
        <v>2</v>
      </c>
      <c r="I6161" s="1603"/>
      <c r="J6161" s="1603"/>
      <c r="K6161" s="1605">
        <v>74</v>
      </c>
      <c r="L6161" s="1606">
        <v>9004</v>
      </c>
      <c r="M6161" s="1607"/>
      <c r="N6161" s="1606">
        <v>9004</v>
      </c>
      <c r="O6161" s="1606">
        <v>4215.93</v>
      </c>
      <c r="P6161" s="1606">
        <v>4608.07</v>
      </c>
      <c r="Q6161" s="1605">
        <v>180</v>
      </c>
      <c r="R6161" s="1606">
        <v>4788.07</v>
      </c>
      <c r="S6161" s="1608"/>
    </row>
    <row r="6162" spans="2:19" s="1609" customFormat="1" ht="11.25" customHeight="1" outlineLevel="1">
      <c r="B6162" s="1602">
        <v>24235</v>
      </c>
      <c r="C6162" s="1603" t="s">
        <v>5115</v>
      </c>
      <c r="D6162" s="1603" t="s">
        <v>5125</v>
      </c>
      <c r="E6162" s="1603"/>
      <c r="F6162" s="1603"/>
      <c r="G6162" s="1603" t="s">
        <v>5124</v>
      </c>
      <c r="H6162" s="1604">
        <v>2</v>
      </c>
      <c r="I6162" s="1603"/>
      <c r="J6162" s="1603"/>
      <c r="K6162" s="1605">
        <v>113</v>
      </c>
      <c r="L6162" s="1606">
        <v>6976</v>
      </c>
      <c r="M6162" s="1607"/>
      <c r="N6162" s="1606">
        <v>6976</v>
      </c>
      <c r="O6162" s="1605">
        <v>882.76</v>
      </c>
      <c r="P6162" s="1606">
        <v>5862.96</v>
      </c>
      <c r="Q6162" s="1605">
        <v>230.28</v>
      </c>
      <c r="R6162" s="1606">
        <v>6093.24</v>
      </c>
      <c r="S6162" s="1608"/>
    </row>
    <row r="6163" spans="2:19" s="1609" customFormat="1" ht="11.25" customHeight="1" outlineLevel="1">
      <c r="B6163" s="1602">
        <v>24238</v>
      </c>
      <c r="C6163" s="1603" t="s">
        <v>5115</v>
      </c>
      <c r="D6163" s="1603" t="s">
        <v>5123</v>
      </c>
      <c r="E6163" s="1603"/>
      <c r="F6163" s="1603"/>
      <c r="G6163" s="1603" t="s">
        <v>5122</v>
      </c>
      <c r="H6163" s="1604">
        <v>2</v>
      </c>
      <c r="I6163" s="1603"/>
      <c r="J6163" s="1603"/>
      <c r="K6163" s="1605">
        <v>226</v>
      </c>
      <c r="L6163" s="1606">
        <v>10521</v>
      </c>
      <c r="M6163" s="1607"/>
      <c r="N6163" s="1606">
        <v>10521</v>
      </c>
      <c r="O6163" s="1606">
        <v>4943.3999999999996</v>
      </c>
      <c r="P6163" s="1606">
        <v>5367.24</v>
      </c>
      <c r="Q6163" s="1605">
        <v>210.36</v>
      </c>
      <c r="R6163" s="1606">
        <v>5577.6</v>
      </c>
      <c r="S6163" s="1608"/>
    </row>
    <row r="6164" spans="2:19" s="1609" customFormat="1" ht="11.25" customHeight="1" outlineLevel="1">
      <c r="B6164" s="1602">
        <v>24241</v>
      </c>
      <c r="C6164" s="1603" t="s">
        <v>5115</v>
      </c>
      <c r="D6164" s="1603" t="s">
        <v>5121</v>
      </c>
      <c r="E6164" s="1603"/>
      <c r="F6164" s="1603"/>
      <c r="G6164" s="1603" t="s">
        <v>5120</v>
      </c>
      <c r="H6164" s="1604">
        <v>2</v>
      </c>
      <c r="I6164" s="1603"/>
      <c r="J6164" s="1603"/>
      <c r="K6164" s="1605">
        <v>15</v>
      </c>
      <c r="L6164" s="1606">
        <v>56517</v>
      </c>
      <c r="M6164" s="1607"/>
      <c r="N6164" s="1606">
        <v>56517</v>
      </c>
      <c r="O6164" s="1606">
        <v>26561.52</v>
      </c>
      <c r="P6164" s="1606">
        <v>28825.200000000001</v>
      </c>
      <c r="Q6164" s="1606">
        <v>1130.28</v>
      </c>
      <c r="R6164" s="1606">
        <v>29955.48</v>
      </c>
      <c r="S6164" s="1608"/>
    </row>
    <row r="6165" spans="2:19" s="1609" customFormat="1" ht="11.25" customHeight="1" outlineLevel="1">
      <c r="B6165" s="1602">
        <v>24243</v>
      </c>
      <c r="C6165" s="1603" t="s">
        <v>5115</v>
      </c>
      <c r="D6165" s="1603" t="s">
        <v>5119</v>
      </c>
      <c r="E6165" s="1603"/>
      <c r="F6165" s="1603"/>
      <c r="G6165" s="1603" t="s">
        <v>5118</v>
      </c>
      <c r="H6165" s="1604">
        <v>2</v>
      </c>
      <c r="I6165" s="1603"/>
      <c r="J6165" s="1603"/>
      <c r="K6165" s="1606">
        <v>17289</v>
      </c>
      <c r="L6165" s="1606">
        <v>17289</v>
      </c>
      <c r="M6165" s="1607"/>
      <c r="N6165" s="1606">
        <v>17289</v>
      </c>
      <c r="O6165" s="1606">
        <v>2184.2399999999998</v>
      </c>
      <c r="P6165" s="1606">
        <v>14535</v>
      </c>
      <c r="Q6165" s="1605">
        <v>569.76</v>
      </c>
      <c r="R6165" s="1606">
        <v>15104.76</v>
      </c>
      <c r="S6165" s="1608"/>
    </row>
    <row r="6166" spans="2:19" s="1609" customFormat="1" ht="11.25" customHeight="1" outlineLevel="1">
      <c r="B6166" s="1602">
        <v>24245</v>
      </c>
      <c r="C6166" s="1603" t="s">
        <v>5115</v>
      </c>
      <c r="D6166" s="1603" t="s">
        <v>5117</v>
      </c>
      <c r="E6166" s="1603"/>
      <c r="F6166" s="1603"/>
      <c r="G6166" s="1603" t="s">
        <v>5116</v>
      </c>
      <c r="H6166" s="1604">
        <v>2</v>
      </c>
      <c r="I6166" s="1603"/>
      <c r="J6166" s="1603"/>
      <c r="K6166" s="1605">
        <v>97</v>
      </c>
      <c r="L6166" s="1606">
        <v>108918</v>
      </c>
      <c r="M6166" s="1607"/>
      <c r="N6166" s="1606">
        <v>108918</v>
      </c>
      <c r="O6166" s="1606">
        <v>51191.46</v>
      </c>
      <c r="P6166" s="1606">
        <v>55548.18</v>
      </c>
      <c r="Q6166" s="1606">
        <v>2178.36</v>
      </c>
      <c r="R6166" s="1606">
        <v>57726.54</v>
      </c>
      <c r="S6166" s="1608"/>
    </row>
    <row r="6167" spans="2:19" s="1609" customFormat="1" ht="11.25" customHeight="1" outlineLevel="1">
      <c r="B6167" s="1602">
        <v>24246</v>
      </c>
      <c r="C6167" s="1603" t="s">
        <v>5115</v>
      </c>
      <c r="D6167" s="1603" t="s">
        <v>5114</v>
      </c>
      <c r="E6167" s="1603"/>
      <c r="F6167" s="1603"/>
      <c r="G6167" s="1603" t="s">
        <v>5113</v>
      </c>
      <c r="H6167" s="1604">
        <v>2</v>
      </c>
      <c r="I6167" s="1603"/>
      <c r="J6167" s="1603"/>
      <c r="K6167" s="1605">
        <v>109</v>
      </c>
      <c r="L6167" s="1606">
        <v>24821</v>
      </c>
      <c r="M6167" s="1607"/>
      <c r="N6167" s="1606">
        <v>24821</v>
      </c>
      <c r="O6167" s="1606">
        <v>8377.2199999999993</v>
      </c>
      <c r="P6167" s="1606">
        <v>15823.26</v>
      </c>
      <c r="Q6167" s="1605">
        <v>620.52</v>
      </c>
      <c r="R6167" s="1606">
        <v>16443.78</v>
      </c>
      <c r="S6167" s="1608"/>
    </row>
    <row r="6168" spans="2:19" s="1609" customFormat="1" ht="11.25" customHeight="1" outlineLevel="1">
      <c r="B6168" s="1602">
        <v>24260</v>
      </c>
      <c r="C6168" s="1603" t="s">
        <v>5110</v>
      </c>
      <c r="D6168" s="1603" t="s">
        <v>5112</v>
      </c>
      <c r="E6168" s="1603"/>
      <c r="F6168" s="1603"/>
      <c r="G6168" s="1603" t="s">
        <v>5111</v>
      </c>
      <c r="H6168" s="1604">
        <v>2</v>
      </c>
      <c r="I6168" s="1603"/>
      <c r="J6168" s="1603"/>
      <c r="K6168" s="1605">
        <v>501</v>
      </c>
      <c r="L6168" s="1606">
        <v>34081</v>
      </c>
      <c r="M6168" s="1607"/>
      <c r="N6168" s="1606">
        <v>34081</v>
      </c>
      <c r="O6168" s="1606">
        <v>11573.88</v>
      </c>
      <c r="P6168" s="1606">
        <v>21655</v>
      </c>
      <c r="Q6168" s="1605">
        <v>852.12</v>
      </c>
      <c r="R6168" s="1606">
        <v>22507.119999999999</v>
      </c>
      <c r="S6168" s="1608"/>
    </row>
    <row r="6169" spans="2:19" s="1609" customFormat="1" ht="11.25" customHeight="1" outlineLevel="1">
      <c r="B6169" s="1602">
        <v>24261</v>
      </c>
      <c r="C6169" s="1603" t="s">
        <v>5110</v>
      </c>
      <c r="D6169" s="1603" t="s">
        <v>5109</v>
      </c>
      <c r="E6169" s="1603"/>
      <c r="F6169" s="1603"/>
      <c r="G6169" s="1603" t="s">
        <v>5108</v>
      </c>
      <c r="H6169" s="1604">
        <v>2</v>
      </c>
      <c r="I6169" s="1603"/>
      <c r="J6169" s="1603"/>
      <c r="K6169" s="1605">
        <v>79</v>
      </c>
      <c r="L6169" s="1606">
        <v>12083</v>
      </c>
      <c r="M6169" s="1607"/>
      <c r="N6169" s="1606">
        <v>12083</v>
      </c>
      <c r="O6169" s="1606">
        <v>4103.99</v>
      </c>
      <c r="P6169" s="1606">
        <v>7676.85</v>
      </c>
      <c r="Q6169" s="1605">
        <v>302.16000000000003</v>
      </c>
      <c r="R6169" s="1606">
        <v>7979.01</v>
      </c>
      <c r="S6169" s="1608"/>
    </row>
    <row r="6170" spans="2:19" s="1609" customFormat="1" ht="11.25" customHeight="1" outlineLevel="1">
      <c r="B6170" s="1602">
        <v>24304</v>
      </c>
      <c r="C6170" s="1603" t="s">
        <v>5105</v>
      </c>
      <c r="D6170" s="1603" t="s">
        <v>5107</v>
      </c>
      <c r="E6170" s="1603"/>
      <c r="F6170" s="1603"/>
      <c r="G6170" s="1603" t="s">
        <v>5106</v>
      </c>
      <c r="H6170" s="1604">
        <v>2</v>
      </c>
      <c r="I6170" s="1603"/>
      <c r="J6170" s="1603"/>
      <c r="K6170" s="1605">
        <v>52</v>
      </c>
      <c r="L6170" s="1606">
        <v>111362</v>
      </c>
      <c r="M6170" s="1607"/>
      <c r="N6170" s="1606">
        <v>111362</v>
      </c>
      <c r="O6170" s="1606">
        <v>52712.28</v>
      </c>
      <c r="P6170" s="1606">
        <v>56422.400000000001</v>
      </c>
      <c r="Q6170" s="1606">
        <v>2227.3200000000002</v>
      </c>
      <c r="R6170" s="1606">
        <v>58649.72</v>
      </c>
      <c r="S6170" s="1608"/>
    </row>
    <row r="6171" spans="2:19" s="1609" customFormat="1" ht="11.25" customHeight="1" outlineLevel="1">
      <c r="B6171" s="1602">
        <v>24306</v>
      </c>
      <c r="C6171" s="1603" t="s">
        <v>5105</v>
      </c>
      <c r="D6171" s="1603" t="s">
        <v>5104</v>
      </c>
      <c r="E6171" s="1603"/>
      <c r="F6171" s="1603"/>
      <c r="G6171" s="1603" t="s">
        <v>5103</v>
      </c>
      <c r="H6171" s="1604">
        <v>2</v>
      </c>
      <c r="I6171" s="1603"/>
      <c r="J6171" s="1603"/>
      <c r="K6171" s="1605">
        <v>93</v>
      </c>
      <c r="L6171" s="1606">
        <v>6725</v>
      </c>
      <c r="M6171" s="1607"/>
      <c r="N6171" s="1606">
        <v>6725</v>
      </c>
      <c r="O6171" s="1606">
        <v>2297.84</v>
      </c>
      <c r="P6171" s="1606">
        <v>4259.04</v>
      </c>
      <c r="Q6171" s="1605">
        <v>168.12</v>
      </c>
      <c r="R6171" s="1606">
        <v>4427.16</v>
      </c>
      <c r="S6171" s="1608"/>
    </row>
    <row r="6172" spans="2:19" s="1609" customFormat="1" ht="11.25" customHeight="1" outlineLevel="1">
      <c r="B6172" s="1602">
        <v>24327</v>
      </c>
      <c r="C6172" s="1603" t="s">
        <v>5087</v>
      </c>
      <c r="D6172" s="1603" t="s">
        <v>5102</v>
      </c>
      <c r="E6172" s="1603"/>
      <c r="F6172" s="1603"/>
      <c r="G6172" s="1603" t="s">
        <v>5101</v>
      </c>
      <c r="H6172" s="1604">
        <v>2</v>
      </c>
      <c r="I6172" s="1603"/>
      <c r="J6172" s="1603"/>
      <c r="K6172" s="1606">
        <v>5553120</v>
      </c>
      <c r="L6172" s="1606">
        <v>5553120</v>
      </c>
      <c r="M6172" s="1607"/>
      <c r="N6172" s="1606">
        <v>5553120</v>
      </c>
      <c r="O6172" s="1606">
        <v>1169078.9099999999</v>
      </c>
      <c r="P6172" s="1606">
        <v>4217029.7699999996</v>
      </c>
      <c r="Q6172" s="1606">
        <v>167011.32</v>
      </c>
      <c r="R6172" s="1606">
        <v>4384041.09</v>
      </c>
      <c r="S6172" s="1608"/>
    </row>
    <row r="6173" spans="2:19" s="1609" customFormat="1" ht="11.25" customHeight="1" outlineLevel="1">
      <c r="B6173" s="1602">
        <v>24330</v>
      </c>
      <c r="C6173" s="1603" t="s">
        <v>5087</v>
      </c>
      <c r="D6173" s="1603" t="s">
        <v>5100</v>
      </c>
      <c r="E6173" s="1603"/>
      <c r="F6173" s="1603"/>
      <c r="G6173" s="1603" t="s">
        <v>5099</v>
      </c>
      <c r="H6173" s="1604">
        <v>2</v>
      </c>
      <c r="I6173" s="1603"/>
      <c r="J6173" s="1603"/>
      <c r="K6173" s="1605">
        <v>79</v>
      </c>
      <c r="L6173" s="1606">
        <v>14140</v>
      </c>
      <c r="M6173" s="1607"/>
      <c r="N6173" s="1606">
        <v>14140</v>
      </c>
      <c r="O6173" s="1606">
        <v>4860.1000000000004</v>
      </c>
      <c r="P6173" s="1606">
        <v>8926.3799999999992</v>
      </c>
      <c r="Q6173" s="1605">
        <v>353.52</v>
      </c>
      <c r="R6173" s="1606">
        <v>9279.9</v>
      </c>
      <c r="S6173" s="1608"/>
    </row>
    <row r="6174" spans="2:19" s="1609" customFormat="1" ht="11.25" customHeight="1" outlineLevel="1">
      <c r="B6174" s="1602">
        <v>24341</v>
      </c>
      <c r="C6174" s="1603" t="s">
        <v>5087</v>
      </c>
      <c r="D6174" s="1603" t="s">
        <v>5098</v>
      </c>
      <c r="E6174" s="1603"/>
      <c r="F6174" s="1603"/>
      <c r="G6174" s="1603" t="s">
        <v>5085</v>
      </c>
      <c r="H6174" s="1604">
        <v>2</v>
      </c>
      <c r="I6174" s="1603"/>
      <c r="J6174" s="1603"/>
      <c r="K6174" s="1605">
        <v>113</v>
      </c>
      <c r="L6174" s="1606">
        <v>15120</v>
      </c>
      <c r="M6174" s="1607"/>
      <c r="N6174" s="1606">
        <v>15120</v>
      </c>
      <c r="O6174" s="1606">
        <v>7182</v>
      </c>
      <c r="P6174" s="1606">
        <v>7635.6</v>
      </c>
      <c r="Q6174" s="1605">
        <v>302.39999999999998</v>
      </c>
      <c r="R6174" s="1606">
        <v>7938</v>
      </c>
      <c r="S6174" s="1608"/>
    </row>
    <row r="6175" spans="2:19" s="1609" customFormat="1" ht="11.25" customHeight="1" outlineLevel="1">
      <c r="B6175" s="1602">
        <v>24342</v>
      </c>
      <c r="C6175" s="1603" t="s">
        <v>5087</v>
      </c>
      <c r="D6175" s="1603" t="s">
        <v>5097</v>
      </c>
      <c r="E6175" s="1603"/>
      <c r="F6175" s="1603"/>
      <c r="G6175" s="1603" t="s">
        <v>5085</v>
      </c>
      <c r="H6175" s="1604">
        <v>2</v>
      </c>
      <c r="I6175" s="1603"/>
      <c r="J6175" s="1603"/>
      <c r="K6175" s="1605">
        <v>216</v>
      </c>
      <c r="L6175" s="1606">
        <v>63991</v>
      </c>
      <c r="M6175" s="1607"/>
      <c r="N6175" s="1606">
        <v>63991</v>
      </c>
      <c r="O6175" s="1606">
        <v>30396.25</v>
      </c>
      <c r="P6175" s="1606">
        <v>32314.95</v>
      </c>
      <c r="Q6175" s="1606">
        <v>1279.8</v>
      </c>
      <c r="R6175" s="1606">
        <v>33594.75</v>
      </c>
      <c r="S6175" s="1608"/>
    </row>
    <row r="6176" spans="2:19" s="1609" customFormat="1" ht="11.25" customHeight="1" outlineLevel="1">
      <c r="B6176" s="1602">
        <v>24343</v>
      </c>
      <c r="C6176" s="1603" t="s">
        <v>5087</v>
      </c>
      <c r="D6176" s="1603" t="s">
        <v>5096</v>
      </c>
      <c r="E6176" s="1603"/>
      <c r="F6176" s="1603"/>
      <c r="G6176" s="1603" t="s">
        <v>5085</v>
      </c>
      <c r="H6176" s="1604">
        <v>2</v>
      </c>
      <c r="I6176" s="1603"/>
      <c r="J6176" s="1603"/>
      <c r="K6176" s="1605">
        <v>94</v>
      </c>
      <c r="L6176" s="1606">
        <v>46981</v>
      </c>
      <c r="M6176" s="1607"/>
      <c r="N6176" s="1606">
        <v>46981</v>
      </c>
      <c r="O6176" s="1606">
        <v>16148.92</v>
      </c>
      <c r="P6176" s="1606">
        <v>29657.64</v>
      </c>
      <c r="Q6176" s="1606">
        <v>1174.44</v>
      </c>
      <c r="R6176" s="1606">
        <v>30832.080000000002</v>
      </c>
      <c r="S6176" s="1608"/>
    </row>
    <row r="6177" spans="2:19" s="1609" customFormat="1" ht="11.25" customHeight="1" outlineLevel="1">
      <c r="B6177" s="1602">
        <v>24344</v>
      </c>
      <c r="C6177" s="1603" t="s">
        <v>5087</v>
      </c>
      <c r="D6177" s="1603" t="s">
        <v>5095</v>
      </c>
      <c r="E6177" s="1603"/>
      <c r="F6177" s="1603"/>
      <c r="G6177" s="1603" t="s">
        <v>5090</v>
      </c>
      <c r="H6177" s="1604">
        <v>2</v>
      </c>
      <c r="I6177" s="1603"/>
      <c r="J6177" s="1603"/>
      <c r="K6177" s="1605">
        <v>67</v>
      </c>
      <c r="L6177" s="1606">
        <v>95682</v>
      </c>
      <c r="M6177" s="1607"/>
      <c r="N6177" s="1606">
        <v>95682</v>
      </c>
      <c r="O6177" s="1606">
        <v>12880.87</v>
      </c>
      <c r="P6177" s="1606">
        <v>79646.58</v>
      </c>
      <c r="Q6177" s="1606">
        <v>3154.55</v>
      </c>
      <c r="R6177" s="1606">
        <v>82801.13</v>
      </c>
      <c r="S6177" s="1608"/>
    </row>
    <row r="6178" spans="2:19" s="1609" customFormat="1" ht="11.25" customHeight="1" outlineLevel="1">
      <c r="B6178" s="1602">
        <v>24345</v>
      </c>
      <c r="C6178" s="1603" t="s">
        <v>5087</v>
      </c>
      <c r="D6178" s="1603" t="s">
        <v>5094</v>
      </c>
      <c r="E6178" s="1603"/>
      <c r="F6178" s="1603"/>
      <c r="G6178" s="1603" t="s">
        <v>5085</v>
      </c>
      <c r="H6178" s="1604">
        <v>2</v>
      </c>
      <c r="I6178" s="1603"/>
      <c r="J6178" s="1603"/>
      <c r="K6178" s="1605">
        <v>76</v>
      </c>
      <c r="L6178" s="1606">
        <v>35011</v>
      </c>
      <c r="M6178" s="1607"/>
      <c r="N6178" s="1606">
        <v>35011</v>
      </c>
      <c r="O6178" s="1606">
        <v>4714.04</v>
      </c>
      <c r="P6178" s="1606">
        <v>29142.54</v>
      </c>
      <c r="Q6178" s="1606">
        <v>1154.42</v>
      </c>
      <c r="R6178" s="1606">
        <v>30296.959999999999</v>
      </c>
      <c r="S6178" s="1608"/>
    </row>
    <row r="6179" spans="2:19" s="1609" customFormat="1" ht="11.25" customHeight="1" outlineLevel="1">
      <c r="B6179" s="1602">
        <v>24346</v>
      </c>
      <c r="C6179" s="1603" t="s">
        <v>5087</v>
      </c>
      <c r="D6179" s="1603" t="s">
        <v>5093</v>
      </c>
      <c r="E6179" s="1603"/>
      <c r="F6179" s="1603"/>
      <c r="G6179" s="1603" t="s">
        <v>5085</v>
      </c>
      <c r="H6179" s="1604">
        <v>2</v>
      </c>
      <c r="I6179" s="1603"/>
      <c r="J6179" s="1603"/>
      <c r="K6179" s="1605">
        <v>96</v>
      </c>
      <c r="L6179" s="1606">
        <v>53170</v>
      </c>
      <c r="M6179" s="1607"/>
      <c r="N6179" s="1606">
        <v>53170</v>
      </c>
      <c r="O6179" s="1606">
        <v>7157.83</v>
      </c>
      <c r="P6179" s="1606">
        <v>44259.21</v>
      </c>
      <c r="Q6179" s="1606">
        <v>1752.96</v>
      </c>
      <c r="R6179" s="1606">
        <v>46012.17</v>
      </c>
      <c r="S6179" s="1608"/>
    </row>
    <row r="6180" spans="2:19" s="1609" customFormat="1" ht="11.25" customHeight="1" outlineLevel="1">
      <c r="B6180" s="1602">
        <v>24347</v>
      </c>
      <c r="C6180" s="1603" t="s">
        <v>5087</v>
      </c>
      <c r="D6180" s="1603" t="s">
        <v>5092</v>
      </c>
      <c r="E6180" s="1603"/>
      <c r="F6180" s="1603"/>
      <c r="G6180" s="1603" t="s">
        <v>5085</v>
      </c>
      <c r="H6180" s="1604">
        <v>2</v>
      </c>
      <c r="I6180" s="1603"/>
      <c r="J6180" s="1603"/>
      <c r="K6180" s="1605">
        <v>182</v>
      </c>
      <c r="L6180" s="1606">
        <v>41555</v>
      </c>
      <c r="M6180" s="1607"/>
      <c r="N6180" s="1606">
        <v>41555</v>
      </c>
      <c r="O6180" s="1606">
        <v>7730.42</v>
      </c>
      <c r="P6180" s="1606">
        <v>32536.14</v>
      </c>
      <c r="Q6180" s="1606">
        <v>1288.44</v>
      </c>
      <c r="R6180" s="1606">
        <v>33824.58</v>
      </c>
      <c r="S6180" s="1608"/>
    </row>
    <row r="6181" spans="2:19" s="1609" customFormat="1" ht="11.25" customHeight="1" outlineLevel="1">
      <c r="B6181" s="1602">
        <v>24348</v>
      </c>
      <c r="C6181" s="1603" t="s">
        <v>5087</v>
      </c>
      <c r="D6181" s="1603" t="s">
        <v>5091</v>
      </c>
      <c r="E6181" s="1603"/>
      <c r="F6181" s="1603"/>
      <c r="G6181" s="1603" t="s">
        <v>5090</v>
      </c>
      <c r="H6181" s="1604">
        <v>2</v>
      </c>
      <c r="I6181" s="1603"/>
      <c r="J6181" s="1603"/>
      <c r="K6181" s="1605">
        <v>113</v>
      </c>
      <c r="L6181" s="1606">
        <v>25305</v>
      </c>
      <c r="M6181" s="1607"/>
      <c r="N6181" s="1606">
        <v>25305</v>
      </c>
      <c r="O6181" s="1606">
        <v>12018.42</v>
      </c>
      <c r="P6181" s="1606">
        <v>12780.54</v>
      </c>
      <c r="Q6181" s="1605">
        <v>506.04</v>
      </c>
      <c r="R6181" s="1606">
        <v>13286.58</v>
      </c>
      <c r="S6181" s="1608"/>
    </row>
    <row r="6182" spans="2:19" s="1609" customFormat="1" ht="11.25" customHeight="1" outlineLevel="1">
      <c r="B6182" s="1602">
        <v>24349</v>
      </c>
      <c r="C6182" s="1603" t="s">
        <v>5087</v>
      </c>
      <c r="D6182" s="1603" t="s">
        <v>5089</v>
      </c>
      <c r="E6182" s="1603"/>
      <c r="F6182" s="1603"/>
      <c r="G6182" s="1603" t="s">
        <v>5085</v>
      </c>
      <c r="H6182" s="1604">
        <v>2</v>
      </c>
      <c r="I6182" s="1603"/>
      <c r="J6182" s="1603"/>
      <c r="K6182" s="1605">
        <v>90</v>
      </c>
      <c r="L6182" s="1606">
        <v>10458</v>
      </c>
      <c r="M6182" s="1607"/>
      <c r="N6182" s="1606">
        <v>10458</v>
      </c>
      <c r="O6182" s="1606">
        <v>1408.01</v>
      </c>
      <c r="P6182" s="1606">
        <v>8705.19</v>
      </c>
      <c r="Q6182" s="1605">
        <v>344.8</v>
      </c>
      <c r="R6182" s="1606">
        <v>9049.99</v>
      </c>
      <c r="S6182" s="1608"/>
    </row>
    <row r="6183" spans="2:19" s="1609" customFormat="1" ht="11.25" customHeight="1" outlineLevel="1">
      <c r="B6183" s="1602">
        <v>24350</v>
      </c>
      <c r="C6183" s="1603" t="s">
        <v>5087</v>
      </c>
      <c r="D6183" s="1603" t="s">
        <v>5088</v>
      </c>
      <c r="E6183" s="1603"/>
      <c r="F6183" s="1603"/>
      <c r="G6183" s="1603" t="s">
        <v>5085</v>
      </c>
      <c r="H6183" s="1604">
        <v>2</v>
      </c>
      <c r="I6183" s="1603"/>
      <c r="J6183" s="1603"/>
      <c r="K6183" s="1605">
        <v>93</v>
      </c>
      <c r="L6183" s="1606">
        <v>10458</v>
      </c>
      <c r="M6183" s="1607"/>
      <c r="N6183" s="1606">
        <v>10458</v>
      </c>
      <c r="O6183" s="1606">
        <v>3594.27</v>
      </c>
      <c r="P6183" s="1606">
        <v>6602.37</v>
      </c>
      <c r="Q6183" s="1605">
        <v>261.36</v>
      </c>
      <c r="R6183" s="1606">
        <v>6863.73</v>
      </c>
      <c r="S6183" s="1608"/>
    </row>
    <row r="6184" spans="2:19" s="1609" customFormat="1" ht="11.25" customHeight="1" outlineLevel="1">
      <c r="B6184" s="1602">
        <v>24351</v>
      </c>
      <c r="C6184" s="1603" t="s">
        <v>5087</v>
      </c>
      <c r="D6184" s="1603" t="s">
        <v>5086</v>
      </c>
      <c r="E6184" s="1603"/>
      <c r="F6184" s="1603"/>
      <c r="G6184" s="1603" t="s">
        <v>5085</v>
      </c>
      <c r="H6184" s="1604">
        <v>2</v>
      </c>
      <c r="I6184" s="1603"/>
      <c r="J6184" s="1603"/>
      <c r="K6184" s="1605">
        <v>40</v>
      </c>
      <c r="L6184" s="1606">
        <v>2247</v>
      </c>
      <c r="M6184" s="1607"/>
      <c r="N6184" s="1606">
        <v>2247</v>
      </c>
      <c r="O6184" s="1605">
        <v>14.19</v>
      </c>
      <c r="P6184" s="1606">
        <v>2160.39</v>
      </c>
      <c r="Q6184" s="1605">
        <v>72.42</v>
      </c>
      <c r="R6184" s="1606">
        <v>2232.81</v>
      </c>
      <c r="S6184" s="1608"/>
    </row>
    <row r="6185" spans="2:19" s="1609" customFormat="1" ht="11.25" customHeight="1" outlineLevel="1">
      <c r="B6185" s="1602">
        <v>24358</v>
      </c>
      <c r="C6185" s="1603" t="s">
        <v>5082</v>
      </c>
      <c r="D6185" s="1603" t="s">
        <v>5084</v>
      </c>
      <c r="E6185" s="1603"/>
      <c r="F6185" s="1603"/>
      <c r="G6185" s="1603" t="s">
        <v>5083</v>
      </c>
      <c r="H6185" s="1604">
        <v>2</v>
      </c>
      <c r="I6185" s="1603"/>
      <c r="J6185" s="1603"/>
      <c r="K6185" s="1605">
        <v>139</v>
      </c>
      <c r="L6185" s="1606">
        <v>13190</v>
      </c>
      <c r="M6185" s="1607"/>
      <c r="N6185" s="1606">
        <v>13190</v>
      </c>
      <c r="O6185" s="1606">
        <v>1810.88</v>
      </c>
      <c r="P6185" s="1606">
        <v>10944.48</v>
      </c>
      <c r="Q6185" s="1605">
        <v>434.64</v>
      </c>
      <c r="R6185" s="1606">
        <v>11379.12</v>
      </c>
      <c r="S6185" s="1608"/>
    </row>
    <row r="6186" spans="2:19" s="1609" customFormat="1" ht="11.25" customHeight="1" outlineLevel="1">
      <c r="B6186" s="1602">
        <v>24359</v>
      </c>
      <c r="C6186" s="1603" t="s">
        <v>5082</v>
      </c>
      <c r="D6186" s="1603" t="s">
        <v>5081</v>
      </c>
      <c r="E6186" s="1603"/>
      <c r="F6186" s="1603"/>
      <c r="G6186" s="1603" t="s">
        <v>5080</v>
      </c>
      <c r="H6186" s="1604">
        <v>2</v>
      </c>
      <c r="I6186" s="1603"/>
      <c r="J6186" s="1603"/>
      <c r="K6186" s="1605">
        <v>67</v>
      </c>
      <c r="L6186" s="1606">
        <v>5521</v>
      </c>
      <c r="M6186" s="1607"/>
      <c r="N6186" s="1606">
        <v>5521</v>
      </c>
      <c r="O6186" s="1605">
        <v>757.75</v>
      </c>
      <c r="P6186" s="1606">
        <v>4581.34</v>
      </c>
      <c r="Q6186" s="1605">
        <v>181.91</v>
      </c>
      <c r="R6186" s="1606">
        <v>4763.25</v>
      </c>
      <c r="S6186" s="1608"/>
    </row>
    <row r="6187" spans="2:19" s="1609" customFormat="1" ht="11.25" customHeight="1" outlineLevel="1">
      <c r="B6187" s="1602">
        <v>24377</v>
      </c>
      <c r="C6187" s="1603" t="s">
        <v>5077</v>
      </c>
      <c r="D6187" s="1603" t="s">
        <v>5079</v>
      </c>
      <c r="E6187" s="1603"/>
      <c r="F6187" s="1603"/>
      <c r="G6187" s="1603" t="s">
        <v>5078</v>
      </c>
      <c r="H6187" s="1604">
        <v>2</v>
      </c>
      <c r="I6187" s="1603"/>
      <c r="J6187" s="1603"/>
      <c r="K6187" s="1605">
        <v>233</v>
      </c>
      <c r="L6187" s="1606">
        <v>2310</v>
      </c>
      <c r="M6187" s="1607"/>
      <c r="N6187" s="1606">
        <v>2310</v>
      </c>
      <c r="O6187" s="1606">
        <v>1104.95</v>
      </c>
      <c r="P6187" s="1606">
        <v>1158.8499999999999</v>
      </c>
      <c r="Q6187" s="1605">
        <v>46.2</v>
      </c>
      <c r="R6187" s="1606">
        <v>1205.05</v>
      </c>
      <c r="S6187" s="1608"/>
    </row>
    <row r="6188" spans="2:19" s="1609" customFormat="1" ht="11.25" customHeight="1" outlineLevel="1">
      <c r="B6188" s="1602">
        <v>24383</v>
      </c>
      <c r="C6188" s="1603" t="s">
        <v>5077</v>
      </c>
      <c r="D6188" s="1603" t="s">
        <v>5076</v>
      </c>
      <c r="E6188" s="1603"/>
      <c r="F6188" s="1603"/>
      <c r="G6188" s="1603" t="s">
        <v>5075</v>
      </c>
      <c r="H6188" s="1604">
        <v>2</v>
      </c>
      <c r="I6188" s="1603"/>
      <c r="J6188" s="1603"/>
      <c r="K6188" s="1605">
        <v>61</v>
      </c>
      <c r="L6188" s="1606">
        <v>1428</v>
      </c>
      <c r="M6188" s="1607"/>
      <c r="N6188" s="1606">
        <v>1428</v>
      </c>
      <c r="O6188" s="1605">
        <v>683.06</v>
      </c>
      <c r="P6188" s="1605">
        <v>716.38</v>
      </c>
      <c r="Q6188" s="1605">
        <v>28.56</v>
      </c>
      <c r="R6188" s="1605">
        <v>744.94</v>
      </c>
      <c r="S6188" s="1608"/>
    </row>
    <row r="6189" spans="2:19" s="1609" customFormat="1" ht="11.25" customHeight="1" outlineLevel="1">
      <c r="B6189" s="1602">
        <v>24412</v>
      </c>
      <c r="C6189" s="1603" t="s">
        <v>5074</v>
      </c>
      <c r="D6189" s="1603" t="s">
        <v>5073</v>
      </c>
      <c r="E6189" s="1603"/>
      <c r="F6189" s="1603"/>
      <c r="G6189" s="1603" t="s">
        <v>5067</v>
      </c>
      <c r="H6189" s="1604">
        <v>2</v>
      </c>
      <c r="I6189" s="1603"/>
      <c r="J6189" s="1603"/>
      <c r="K6189" s="1605">
        <v>121</v>
      </c>
      <c r="L6189" s="1606">
        <v>6980</v>
      </c>
      <c r="M6189" s="1607"/>
      <c r="N6189" s="1606">
        <v>6980</v>
      </c>
      <c r="O6189" s="1606">
        <v>1479.66</v>
      </c>
      <c r="P6189" s="1606">
        <v>5289</v>
      </c>
      <c r="Q6189" s="1605">
        <v>211.34</v>
      </c>
      <c r="R6189" s="1606">
        <v>5500.34</v>
      </c>
      <c r="S6189" s="1608"/>
    </row>
    <row r="6190" spans="2:19" s="1609" customFormat="1" ht="11.25" customHeight="1" outlineLevel="1">
      <c r="B6190" s="1602">
        <v>24486</v>
      </c>
      <c r="C6190" s="1603" t="s">
        <v>5072</v>
      </c>
      <c r="D6190" s="1603" t="s">
        <v>5071</v>
      </c>
      <c r="E6190" s="1603"/>
      <c r="F6190" s="1603"/>
      <c r="G6190" s="1603" t="s">
        <v>3734</v>
      </c>
      <c r="H6190" s="1604">
        <v>2</v>
      </c>
      <c r="I6190" s="1603"/>
      <c r="J6190" s="1603"/>
      <c r="K6190" s="1605">
        <v>172</v>
      </c>
      <c r="L6190" s="1606">
        <v>18704</v>
      </c>
      <c r="M6190" s="1607"/>
      <c r="N6190" s="1606">
        <v>18704</v>
      </c>
      <c r="O6190" s="1606">
        <v>6584.45</v>
      </c>
      <c r="P6190" s="1606">
        <v>11652.03</v>
      </c>
      <c r="Q6190" s="1605">
        <v>467.52</v>
      </c>
      <c r="R6190" s="1606">
        <v>12119.55</v>
      </c>
      <c r="S6190" s="1608"/>
    </row>
    <row r="6191" spans="2:19" s="1609" customFormat="1" ht="11.25" customHeight="1" outlineLevel="1">
      <c r="B6191" s="1602">
        <v>24494</v>
      </c>
      <c r="C6191" s="1603" t="s">
        <v>5053</v>
      </c>
      <c r="D6191" s="1603" t="s">
        <v>5070</v>
      </c>
      <c r="E6191" s="1603"/>
      <c r="F6191" s="1603"/>
      <c r="G6191" s="1603" t="s">
        <v>4715</v>
      </c>
      <c r="H6191" s="1604">
        <v>2</v>
      </c>
      <c r="I6191" s="1603"/>
      <c r="J6191" s="1603"/>
      <c r="K6191" s="1606">
        <v>1498</v>
      </c>
      <c r="L6191" s="1606">
        <v>104850</v>
      </c>
      <c r="M6191" s="1607"/>
      <c r="N6191" s="1606">
        <v>104850</v>
      </c>
      <c r="O6191" s="1606">
        <v>15554.5</v>
      </c>
      <c r="P6191" s="1606">
        <v>85838.9</v>
      </c>
      <c r="Q6191" s="1606">
        <v>3456.6</v>
      </c>
      <c r="R6191" s="1606">
        <v>89295.5</v>
      </c>
      <c r="S6191" s="1608"/>
    </row>
    <row r="6192" spans="2:19" s="1609" customFormat="1" ht="11.25" customHeight="1" outlineLevel="1">
      <c r="B6192" s="1602">
        <v>24495</v>
      </c>
      <c r="C6192" s="1603" t="s">
        <v>5053</v>
      </c>
      <c r="D6192" s="1603" t="s">
        <v>5069</v>
      </c>
      <c r="E6192" s="1603"/>
      <c r="F6192" s="1603"/>
      <c r="G6192" s="1603" t="s">
        <v>3734</v>
      </c>
      <c r="H6192" s="1604">
        <v>2</v>
      </c>
      <c r="I6192" s="1603"/>
      <c r="J6192" s="1603"/>
      <c r="K6192" s="1605">
        <v>67</v>
      </c>
      <c r="L6192" s="1606">
        <v>3713</v>
      </c>
      <c r="M6192" s="1607"/>
      <c r="N6192" s="1606">
        <v>3713</v>
      </c>
      <c r="O6192" s="1606">
        <v>1313.72</v>
      </c>
      <c r="P6192" s="1606">
        <v>2306.52</v>
      </c>
      <c r="Q6192" s="1605">
        <v>92.76</v>
      </c>
      <c r="R6192" s="1606">
        <v>2399.2800000000002</v>
      </c>
      <c r="S6192" s="1608"/>
    </row>
    <row r="6193" spans="2:19" s="1609" customFormat="1" ht="11.25" customHeight="1" outlineLevel="1">
      <c r="B6193" s="1602">
        <v>24496</v>
      </c>
      <c r="C6193" s="1603" t="s">
        <v>5053</v>
      </c>
      <c r="D6193" s="1603" t="s">
        <v>5068</v>
      </c>
      <c r="E6193" s="1603"/>
      <c r="F6193" s="1603"/>
      <c r="G6193" s="1603" t="s">
        <v>5067</v>
      </c>
      <c r="H6193" s="1604">
        <v>2</v>
      </c>
      <c r="I6193" s="1603"/>
      <c r="J6193" s="1603"/>
      <c r="K6193" s="1605">
        <v>76</v>
      </c>
      <c r="L6193" s="1606">
        <v>11721</v>
      </c>
      <c r="M6193" s="1607"/>
      <c r="N6193" s="1606">
        <v>11721</v>
      </c>
      <c r="O6193" s="1606">
        <v>1739</v>
      </c>
      <c r="P6193" s="1606">
        <v>9595.6</v>
      </c>
      <c r="Q6193" s="1605">
        <v>386.4</v>
      </c>
      <c r="R6193" s="1606">
        <v>9982</v>
      </c>
      <c r="S6193" s="1608"/>
    </row>
    <row r="6194" spans="2:19" s="1609" customFormat="1" ht="11.25" customHeight="1" outlineLevel="1">
      <c r="B6194" s="1602">
        <v>24497</v>
      </c>
      <c r="C6194" s="1603" t="s">
        <v>5053</v>
      </c>
      <c r="D6194" s="1603" t="s">
        <v>5066</v>
      </c>
      <c r="E6194" s="1603"/>
      <c r="F6194" s="1603"/>
      <c r="G6194" s="1603" t="s">
        <v>5064</v>
      </c>
      <c r="H6194" s="1604">
        <v>2</v>
      </c>
      <c r="I6194" s="1603"/>
      <c r="J6194" s="1603"/>
      <c r="K6194" s="1605">
        <v>637</v>
      </c>
      <c r="L6194" s="1606">
        <v>41420</v>
      </c>
      <c r="M6194" s="1607"/>
      <c r="N6194" s="1606">
        <v>41420</v>
      </c>
      <c r="O6194" s="1606">
        <v>6144.98</v>
      </c>
      <c r="P6194" s="1606">
        <v>33909.42</v>
      </c>
      <c r="Q6194" s="1606">
        <v>1365.6</v>
      </c>
      <c r="R6194" s="1606">
        <v>35275.019999999997</v>
      </c>
      <c r="S6194" s="1608"/>
    </row>
    <row r="6195" spans="2:19" s="1609" customFormat="1" ht="11.25" customHeight="1" outlineLevel="1">
      <c r="B6195" s="1602">
        <v>24498</v>
      </c>
      <c r="C6195" s="1603" t="s">
        <v>5053</v>
      </c>
      <c r="D6195" s="1603" t="s">
        <v>5065</v>
      </c>
      <c r="E6195" s="1603"/>
      <c r="F6195" s="1603"/>
      <c r="G6195" s="1603" t="s">
        <v>5064</v>
      </c>
      <c r="H6195" s="1604">
        <v>2</v>
      </c>
      <c r="I6195" s="1603"/>
      <c r="J6195" s="1603"/>
      <c r="K6195" s="1605">
        <v>637</v>
      </c>
      <c r="L6195" s="1606">
        <v>43969</v>
      </c>
      <c r="M6195" s="1607"/>
      <c r="N6195" s="1606">
        <v>43969</v>
      </c>
      <c r="O6195" s="1606">
        <v>21252.2</v>
      </c>
      <c r="P6195" s="1606">
        <v>21837.439999999999</v>
      </c>
      <c r="Q6195" s="1605">
        <v>879.36</v>
      </c>
      <c r="R6195" s="1606">
        <v>22716.799999999999</v>
      </c>
      <c r="S6195" s="1608"/>
    </row>
    <row r="6196" spans="2:19" s="1609" customFormat="1" ht="11.25" customHeight="1" outlineLevel="1">
      <c r="B6196" s="1602">
        <v>24500</v>
      </c>
      <c r="C6196" s="1603" t="s">
        <v>5053</v>
      </c>
      <c r="D6196" s="1603" t="s">
        <v>5063</v>
      </c>
      <c r="E6196" s="1603"/>
      <c r="F6196" s="1603"/>
      <c r="G6196" s="1603" t="s">
        <v>5062</v>
      </c>
      <c r="H6196" s="1604">
        <v>2</v>
      </c>
      <c r="I6196" s="1603"/>
      <c r="J6196" s="1603"/>
      <c r="K6196" s="1605">
        <v>884</v>
      </c>
      <c r="L6196" s="1606">
        <v>47712</v>
      </c>
      <c r="M6196" s="1607"/>
      <c r="N6196" s="1606">
        <v>47712</v>
      </c>
      <c r="O6196" s="1606">
        <v>7077.44</v>
      </c>
      <c r="P6196" s="1606">
        <v>39061.839999999997</v>
      </c>
      <c r="Q6196" s="1606">
        <v>1572.72</v>
      </c>
      <c r="R6196" s="1606">
        <v>40634.559999999998</v>
      </c>
      <c r="S6196" s="1608"/>
    </row>
    <row r="6197" spans="2:19" s="1609" customFormat="1" ht="11.25" customHeight="1" outlineLevel="1">
      <c r="B6197" s="1602">
        <v>24504</v>
      </c>
      <c r="C6197" s="1603" t="s">
        <v>5053</v>
      </c>
      <c r="D6197" s="1603" t="s">
        <v>5061</v>
      </c>
      <c r="E6197" s="1603"/>
      <c r="F6197" s="1603"/>
      <c r="G6197" s="1603" t="s">
        <v>5060</v>
      </c>
      <c r="H6197" s="1604">
        <v>2</v>
      </c>
      <c r="I6197" s="1603"/>
      <c r="J6197" s="1603"/>
      <c r="K6197" s="1605">
        <v>118</v>
      </c>
      <c r="L6197" s="1606">
        <v>4002</v>
      </c>
      <c r="M6197" s="1607"/>
      <c r="N6197" s="1606">
        <v>4002</v>
      </c>
      <c r="O6197" s="1605">
        <v>594.80999999999995</v>
      </c>
      <c r="P6197" s="1606">
        <v>3275.02</v>
      </c>
      <c r="Q6197" s="1605">
        <v>132.16999999999999</v>
      </c>
      <c r="R6197" s="1606">
        <v>3407.19</v>
      </c>
      <c r="S6197" s="1608"/>
    </row>
    <row r="6198" spans="2:19" s="1609" customFormat="1" ht="11.25" customHeight="1" outlineLevel="1">
      <c r="B6198" s="1602">
        <v>24506</v>
      </c>
      <c r="C6198" s="1603" t="s">
        <v>5053</v>
      </c>
      <c r="D6198" s="1603" t="s">
        <v>5059</v>
      </c>
      <c r="E6198" s="1603"/>
      <c r="F6198" s="1603"/>
      <c r="G6198" s="1603" t="s">
        <v>3734</v>
      </c>
      <c r="H6198" s="1604">
        <v>2</v>
      </c>
      <c r="I6198" s="1603"/>
      <c r="J6198" s="1603"/>
      <c r="K6198" s="1605">
        <v>219</v>
      </c>
      <c r="L6198" s="1606">
        <v>58060</v>
      </c>
      <c r="M6198" s="1607"/>
      <c r="N6198" s="1606">
        <v>58060</v>
      </c>
      <c r="O6198" s="1606">
        <v>20562.400000000001</v>
      </c>
      <c r="P6198" s="1606">
        <v>36046.080000000002</v>
      </c>
      <c r="Q6198" s="1606">
        <v>1451.52</v>
      </c>
      <c r="R6198" s="1606">
        <v>37497.599999999999</v>
      </c>
      <c r="S6198" s="1608"/>
    </row>
    <row r="6199" spans="2:19" s="1609" customFormat="1" ht="11.25" customHeight="1" outlineLevel="1">
      <c r="B6199" s="1602">
        <v>24507</v>
      </c>
      <c r="C6199" s="1603" t="s">
        <v>5053</v>
      </c>
      <c r="D6199" s="1603" t="s">
        <v>5058</v>
      </c>
      <c r="E6199" s="1603"/>
      <c r="F6199" s="1603"/>
      <c r="G6199" s="1603" t="s">
        <v>3734</v>
      </c>
      <c r="H6199" s="1604">
        <v>2</v>
      </c>
      <c r="I6199" s="1603"/>
      <c r="J6199" s="1603"/>
      <c r="K6199" s="1605">
        <v>209</v>
      </c>
      <c r="L6199" s="1606">
        <v>26489</v>
      </c>
      <c r="M6199" s="1607"/>
      <c r="N6199" s="1606">
        <v>26489</v>
      </c>
      <c r="O6199" s="1606">
        <v>3930.18</v>
      </c>
      <c r="P6199" s="1606">
        <v>21685.46</v>
      </c>
      <c r="Q6199" s="1605">
        <v>873.36</v>
      </c>
      <c r="R6199" s="1606">
        <v>22558.82</v>
      </c>
      <c r="S6199" s="1608"/>
    </row>
    <row r="6200" spans="2:19" s="1609" customFormat="1" ht="11.25" customHeight="1" outlineLevel="1">
      <c r="B6200" s="1602">
        <v>24509</v>
      </c>
      <c r="C6200" s="1603" t="s">
        <v>5053</v>
      </c>
      <c r="D6200" s="1603" t="s">
        <v>5057</v>
      </c>
      <c r="E6200" s="1603"/>
      <c r="F6200" s="1603"/>
      <c r="G6200" s="1603" t="s">
        <v>3734</v>
      </c>
      <c r="H6200" s="1604">
        <v>2</v>
      </c>
      <c r="I6200" s="1603"/>
      <c r="J6200" s="1603"/>
      <c r="K6200" s="1605">
        <v>238</v>
      </c>
      <c r="L6200" s="1606">
        <v>23039</v>
      </c>
      <c r="M6200" s="1607"/>
      <c r="N6200" s="1606">
        <v>23039</v>
      </c>
      <c r="O6200" s="1606">
        <v>3418.86</v>
      </c>
      <c r="P6200" s="1606">
        <v>18860.419999999998</v>
      </c>
      <c r="Q6200" s="1605">
        <v>759.72</v>
      </c>
      <c r="R6200" s="1606">
        <v>19620.14</v>
      </c>
      <c r="S6200" s="1608"/>
    </row>
    <row r="6201" spans="2:19" s="1609" customFormat="1" ht="11.25" customHeight="1" outlineLevel="1">
      <c r="B6201" s="1602">
        <v>24510</v>
      </c>
      <c r="C6201" s="1603" t="s">
        <v>5053</v>
      </c>
      <c r="D6201" s="1603" t="s">
        <v>5056</v>
      </c>
      <c r="E6201" s="1603"/>
      <c r="F6201" s="1603"/>
      <c r="G6201" s="1603" t="s">
        <v>3734</v>
      </c>
      <c r="H6201" s="1604">
        <v>2</v>
      </c>
      <c r="I6201" s="1603"/>
      <c r="J6201" s="1603"/>
      <c r="K6201" s="1605">
        <v>250</v>
      </c>
      <c r="L6201" s="1606">
        <v>30538</v>
      </c>
      <c r="M6201" s="1607"/>
      <c r="N6201" s="1606">
        <v>30538</v>
      </c>
      <c r="O6201" s="1606">
        <v>6510.02</v>
      </c>
      <c r="P6201" s="1606">
        <v>23097.98</v>
      </c>
      <c r="Q6201" s="1605">
        <v>930</v>
      </c>
      <c r="R6201" s="1606">
        <v>24027.98</v>
      </c>
      <c r="S6201" s="1608"/>
    </row>
    <row r="6202" spans="2:19" s="1609" customFormat="1" ht="11.25" customHeight="1" outlineLevel="1">
      <c r="B6202" s="1602">
        <v>24512</v>
      </c>
      <c r="C6202" s="1603" t="s">
        <v>5053</v>
      </c>
      <c r="D6202" s="1603" t="s">
        <v>5055</v>
      </c>
      <c r="E6202" s="1603"/>
      <c r="F6202" s="1603"/>
      <c r="G6202" s="1603" t="s">
        <v>5054</v>
      </c>
      <c r="H6202" s="1604">
        <v>2</v>
      </c>
      <c r="I6202" s="1603"/>
      <c r="J6202" s="1603"/>
      <c r="K6202" s="1605">
        <v>89</v>
      </c>
      <c r="L6202" s="1606">
        <v>10923</v>
      </c>
      <c r="M6202" s="1607"/>
      <c r="N6202" s="1606">
        <v>10923</v>
      </c>
      <c r="O6202" s="1606">
        <v>3867.52</v>
      </c>
      <c r="P6202" s="1606">
        <v>6782.48</v>
      </c>
      <c r="Q6202" s="1605">
        <v>273</v>
      </c>
      <c r="R6202" s="1606">
        <v>7055.48</v>
      </c>
      <c r="S6202" s="1608"/>
    </row>
    <row r="6203" spans="2:19" s="1609" customFormat="1" ht="11.25" customHeight="1" outlineLevel="1">
      <c r="B6203" s="1602">
        <v>24515</v>
      </c>
      <c r="C6203" s="1603" t="s">
        <v>5053</v>
      </c>
      <c r="D6203" s="1603" t="s">
        <v>5052</v>
      </c>
      <c r="E6203" s="1603"/>
      <c r="F6203" s="1603"/>
      <c r="G6203" s="1603" t="s">
        <v>3734</v>
      </c>
      <c r="H6203" s="1604">
        <v>2</v>
      </c>
      <c r="I6203" s="1603"/>
      <c r="J6203" s="1603"/>
      <c r="K6203" s="1605">
        <v>92</v>
      </c>
      <c r="L6203" s="1606">
        <v>36655</v>
      </c>
      <c r="M6203" s="1607"/>
      <c r="N6203" s="1606">
        <v>36655</v>
      </c>
      <c r="O6203" s="1606">
        <v>12983.28</v>
      </c>
      <c r="P6203" s="1606">
        <v>22755.279999999999</v>
      </c>
      <c r="Q6203" s="1605">
        <v>916.44</v>
      </c>
      <c r="R6203" s="1606">
        <v>23671.72</v>
      </c>
      <c r="S6203" s="1608"/>
    </row>
    <row r="6204" spans="2:19" s="1609" customFormat="1" ht="11.25" customHeight="1" outlineLevel="1">
      <c r="B6204" s="1602">
        <v>24529</v>
      </c>
      <c r="C6204" s="1603" t="s">
        <v>5047</v>
      </c>
      <c r="D6204" s="1603" t="s">
        <v>5051</v>
      </c>
      <c r="E6204" s="1603"/>
      <c r="F6204" s="1603"/>
      <c r="G6204" s="1603" t="s">
        <v>5050</v>
      </c>
      <c r="H6204" s="1604">
        <v>2</v>
      </c>
      <c r="I6204" s="1603"/>
      <c r="J6204" s="1603"/>
      <c r="K6204" s="1606">
        <v>2451</v>
      </c>
      <c r="L6204" s="1606">
        <v>193640</v>
      </c>
      <c r="M6204" s="1607"/>
      <c r="N6204" s="1606">
        <v>193640</v>
      </c>
      <c r="O6204" s="1606">
        <v>93916.31</v>
      </c>
      <c r="P6204" s="1606">
        <v>95850.81</v>
      </c>
      <c r="Q6204" s="1606">
        <v>3872.88</v>
      </c>
      <c r="R6204" s="1606">
        <v>99723.69</v>
      </c>
      <c r="S6204" s="1608"/>
    </row>
    <row r="6205" spans="2:19" s="1609" customFormat="1" ht="11.25" customHeight="1" outlineLevel="1">
      <c r="B6205" s="1602">
        <v>24530</v>
      </c>
      <c r="C6205" s="1603" t="s">
        <v>5047</v>
      </c>
      <c r="D6205" s="1603" t="s">
        <v>5049</v>
      </c>
      <c r="E6205" s="1603"/>
      <c r="F6205" s="1603"/>
      <c r="G6205" s="1603" t="s">
        <v>5048</v>
      </c>
      <c r="H6205" s="1604">
        <v>2</v>
      </c>
      <c r="I6205" s="1603"/>
      <c r="J6205" s="1603"/>
      <c r="K6205" s="1606">
        <v>2323</v>
      </c>
      <c r="L6205" s="1606">
        <v>2172301</v>
      </c>
      <c r="M6205" s="1607"/>
      <c r="N6205" s="1606">
        <v>2172301</v>
      </c>
      <c r="O6205" s="1606">
        <v>464309.56</v>
      </c>
      <c r="P6205" s="1606">
        <v>1641661.56</v>
      </c>
      <c r="Q6205" s="1606">
        <v>66329.88</v>
      </c>
      <c r="R6205" s="1606">
        <v>1707991.44</v>
      </c>
      <c r="S6205" s="1608"/>
    </row>
    <row r="6206" spans="2:19" s="1609" customFormat="1" ht="11.25" customHeight="1" outlineLevel="1">
      <c r="B6206" s="1602">
        <v>24531</v>
      </c>
      <c r="C6206" s="1603" t="s">
        <v>5047</v>
      </c>
      <c r="D6206" s="1603" t="s">
        <v>5046</v>
      </c>
      <c r="E6206" s="1603"/>
      <c r="F6206" s="1603"/>
      <c r="G6206" s="1603" t="s">
        <v>5045</v>
      </c>
      <c r="H6206" s="1604">
        <v>2</v>
      </c>
      <c r="I6206" s="1603"/>
      <c r="J6206" s="1603"/>
      <c r="K6206" s="1606">
        <v>2323</v>
      </c>
      <c r="L6206" s="1606">
        <v>59709</v>
      </c>
      <c r="M6206" s="1607"/>
      <c r="N6206" s="1606">
        <v>59709</v>
      </c>
      <c r="O6206" s="1606">
        <v>28957.439999999999</v>
      </c>
      <c r="P6206" s="1606">
        <v>29557.439999999999</v>
      </c>
      <c r="Q6206" s="1606">
        <v>1194.1199999999999</v>
      </c>
      <c r="R6206" s="1606">
        <v>30751.56</v>
      </c>
      <c r="S6206" s="1608"/>
    </row>
    <row r="6207" spans="2:19" s="1609" customFormat="1" ht="11.25" customHeight="1" outlineLevel="1">
      <c r="B6207" s="1602">
        <v>24567</v>
      </c>
      <c r="C6207" s="1603" t="s">
        <v>5015</v>
      </c>
      <c r="D6207" s="1603" t="s">
        <v>5044</v>
      </c>
      <c r="E6207" s="1603"/>
      <c r="F6207" s="1603"/>
      <c r="G6207" s="1603" t="s">
        <v>5043</v>
      </c>
      <c r="H6207" s="1604">
        <v>2</v>
      </c>
      <c r="I6207" s="1603"/>
      <c r="J6207" s="1603"/>
      <c r="K6207" s="1605">
        <v>151</v>
      </c>
      <c r="L6207" s="1606">
        <v>2269</v>
      </c>
      <c r="M6207" s="1607"/>
      <c r="N6207" s="1606">
        <v>2269</v>
      </c>
      <c r="O6207" s="1605">
        <v>817.01</v>
      </c>
      <c r="P6207" s="1606">
        <v>1395.35</v>
      </c>
      <c r="Q6207" s="1605">
        <v>56.64</v>
      </c>
      <c r="R6207" s="1606">
        <v>1451.99</v>
      </c>
      <c r="S6207" s="1608"/>
    </row>
    <row r="6208" spans="2:19" s="1609" customFormat="1" ht="11.25" customHeight="1" outlineLevel="1">
      <c r="B6208" s="1602">
        <v>24568</v>
      </c>
      <c r="C6208" s="1603" t="s">
        <v>5015</v>
      </c>
      <c r="D6208" s="1603" t="s">
        <v>5042</v>
      </c>
      <c r="E6208" s="1603"/>
      <c r="F6208" s="1603"/>
      <c r="G6208" s="1603" t="s">
        <v>5041</v>
      </c>
      <c r="H6208" s="1604">
        <v>2</v>
      </c>
      <c r="I6208" s="1603"/>
      <c r="J6208" s="1603"/>
      <c r="K6208" s="1605">
        <v>203</v>
      </c>
      <c r="L6208" s="1606">
        <v>15203</v>
      </c>
      <c r="M6208" s="1607"/>
      <c r="N6208" s="1606">
        <v>15203</v>
      </c>
      <c r="O6208" s="1606">
        <v>2379.85</v>
      </c>
      <c r="P6208" s="1606">
        <v>12322.15</v>
      </c>
      <c r="Q6208" s="1605">
        <v>501</v>
      </c>
      <c r="R6208" s="1606">
        <v>12823.15</v>
      </c>
      <c r="S6208" s="1608"/>
    </row>
    <row r="6209" spans="2:19" s="1609" customFormat="1" ht="11.25" customHeight="1" outlineLevel="1">
      <c r="B6209" s="1602">
        <v>24570</v>
      </c>
      <c r="C6209" s="1603" t="s">
        <v>5015</v>
      </c>
      <c r="D6209" s="1603" t="s">
        <v>5040</v>
      </c>
      <c r="E6209" s="1603"/>
      <c r="F6209" s="1603"/>
      <c r="G6209" s="1603" t="s">
        <v>5039</v>
      </c>
      <c r="H6209" s="1604">
        <v>2</v>
      </c>
      <c r="I6209" s="1603"/>
      <c r="J6209" s="1603"/>
      <c r="K6209" s="1605">
        <v>113</v>
      </c>
      <c r="L6209" s="1606">
        <v>28356</v>
      </c>
      <c r="M6209" s="1607"/>
      <c r="N6209" s="1606">
        <v>28356</v>
      </c>
      <c r="O6209" s="1606">
        <v>13847.18</v>
      </c>
      <c r="P6209" s="1606">
        <v>13941.7</v>
      </c>
      <c r="Q6209" s="1605">
        <v>567.12</v>
      </c>
      <c r="R6209" s="1606">
        <v>14508.82</v>
      </c>
      <c r="S6209" s="1608"/>
    </row>
    <row r="6210" spans="2:19" s="1609" customFormat="1" ht="11.25" customHeight="1" outlineLevel="1">
      <c r="B6210" s="1602">
        <v>24572</v>
      </c>
      <c r="C6210" s="1603" t="s">
        <v>5015</v>
      </c>
      <c r="D6210" s="1603" t="s">
        <v>5038</v>
      </c>
      <c r="E6210" s="1603"/>
      <c r="F6210" s="1603"/>
      <c r="G6210" s="1603" t="s">
        <v>5037</v>
      </c>
      <c r="H6210" s="1604">
        <v>2</v>
      </c>
      <c r="I6210" s="1603"/>
      <c r="J6210" s="1603"/>
      <c r="K6210" s="1605">
        <v>53</v>
      </c>
      <c r="L6210" s="1606">
        <v>3732</v>
      </c>
      <c r="M6210" s="1607"/>
      <c r="N6210" s="1606">
        <v>3732</v>
      </c>
      <c r="O6210" s="1606">
        <v>1343.66</v>
      </c>
      <c r="P6210" s="1606">
        <v>2295.1</v>
      </c>
      <c r="Q6210" s="1605">
        <v>93.24</v>
      </c>
      <c r="R6210" s="1606">
        <v>2388.34</v>
      </c>
      <c r="S6210" s="1608"/>
    </row>
    <row r="6211" spans="2:19" s="1609" customFormat="1" ht="11.25" customHeight="1" outlineLevel="1">
      <c r="B6211" s="1602">
        <v>24574</v>
      </c>
      <c r="C6211" s="1603" t="s">
        <v>5015</v>
      </c>
      <c r="D6211" s="1603" t="s">
        <v>5036</v>
      </c>
      <c r="E6211" s="1603"/>
      <c r="F6211" s="1603"/>
      <c r="G6211" s="1603" t="s">
        <v>3709</v>
      </c>
      <c r="H6211" s="1604">
        <v>2</v>
      </c>
      <c r="I6211" s="1603"/>
      <c r="J6211" s="1603"/>
      <c r="K6211" s="1605">
        <v>841</v>
      </c>
      <c r="L6211" s="1606">
        <v>812068</v>
      </c>
      <c r="M6211" s="1607"/>
      <c r="N6211" s="1606">
        <v>812068</v>
      </c>
      <c r="O6211" s="1606">
        <v>132762.96</v>
      </c>
      <c r="P6211" s="1606">
        <v>652752.4</v>
      </c>
      <c r="Q6211" s="1606">
        <v>26552.639999999999</v>
      </c>
      <c r="R6211" s="1606">
        <v>679305.04</v>
      </c>
      <c r="S6211" s="1608"/>
    </row>
    <row r="6212" spans="2:19" s="1609" customFormat="1" ht="11.25" customHeight="1" outlineLevel="1">
      <c r="B6212" s="1602">
        <v>24575</v>
      </c>
      <c r="C6212" s="1603" t="s">
        <v>5015</v>
      </c>
      <c r="D6212" s="1603" t="s">
        <v>5035</v>
      </c>
      <c r="E6212" s="1603"/>
      <c r="F6212" s="1603"/>
      <c r="G6212" s="1603" t="s">
        <v>3709</v>
      </c>
      <c r="H6212" s="1604">
        <v>2</v>
      </c>
      <c r="I6212" s="1603"/>
      <c r="J6212" s="1603"/>
      <c r="K6212" s="1605">
        <v>856</v>
      </c>
      <c r="L6212" s="1606">
        <v>942329</v>
      </c>
      <c r="M6212" s="1607"/>
      <c r="N6212" s="1606">
        <v>942329</v>
      </c>
      <c r="O6212" s="1606">
        <v>154060.21</v>
      </c>
      <c r="P6212" s="1606">
        <v>757456.75</v>
      </c>
      <c r="Q6212" s="1606">
        <v>30812.04</v>
      </c>
      <c r="R6212" s="1606">
        <v>788268.79</v>
      </c>
      <c r="S6212" s="1608"/>
    </row>
    <row r="6213" spans="2:19" s="1609" customFormat="1" ht="11.25" customHeight="1" outlineLevel="1">
      <c r="B6213" s="1602">
        <v>24576</v>
      </c>
      <c r="C6213" s="1603" t="s">
        <v>5015</v>
      </c>
      <c r="D6213" s="1603" t="s">
        <v>5034</v>
      </c>
      <c r="E6213" s="1603"/>
      <c r="F6213" s="1603"/>
      <c r="G6213" s="1603" t="s">
        <v>3709</v>
      </c>
      <c r="H6213" s="1604">
        <v>2</v>
      </c>
      <c r="I6213" s="1603"/>
      <c r="J6213" s="1603"/>
      <c r="K6213" s="1605">
        <v>358</v>
      </c>
      <c r="L6213" s="1606">
        <v>82277</v>
      </c>
      <c r="M6213" s="1607"/>
      <c r="N6213" s="1606">
        <v>82277</v>
      </c>
      <c r="O6213" s="1606">
        <v>15630.37</v>
      </c>
      <c r="P6213" s="1606">
        <v>64041.55</v>
      </c>
      <c r="Q6213" s="1606">
        <v>2605.08</v>
      </c>
      <c r="R6213" s="1606">
        <v>66646.63</v>
      </c>
      <c r="S6213" s="1608"/>
    </row>
    <row r="6214" spans="2:19" s="1609" customFormat="1" ht="11.25" customHeight="1" outlineLevel="1">
      <c r="B6214" s="1602">
        <v>24581</v>
      </c>
      <c r="C6214" s="1603" t="s">
        <v>5015</v>
      </c>
      <c r="D6214" s="1603" t="s">
        <v>5033</v>
      </c>
      <c r="E6214" s="1603"/>
      <c r="F6214" s="1603"/>
      <c r="G6214" s="1603" t="s">
        <v>5032</v>
      </c>
      <c r="H6214" s="1604">
        <v>2</v>
      </c>
      <c r="I6214" s="1603"/>
      <c r="J6214" s="1603"/>
      <c r="K6214" s="1605">
        <v>223</v>
      </c>
      <c r="L6214" s="1606">
        <v>21196</v>
      </c>
      <c r="M6214" s="1607"/>
      <c r="N6214" s="1606">
        <v>21196</v>
      </c>
      <c r="O6214" s="1606">
        <v>3319.39</v>
      </c>
      <c r="P6214" s="1606">
        <v>17177.849999999999</v>
      </c>
      <c r="Q6214" s="1605">
        <v>698.76</v>
      </c>
      <c r="R6214" s="1606">
        <v>17876.61</v>
      </c>
      <c r="S6214" s="1608"/>
    </row>
    <row r="6215" spans="2:19" s="1609" customFormat="1" ht="11.25" customHeight="1" outlineLevel="1">
      <c r="B6215" s="1602">
        <v>24582</v>
      </c>
      <c r="C6215" s="1603" t="s">
        <v>5015</v>
      </c>
      <c r="D6215" s="1603" t="s">
        <v>5031</v>
      </c>
      <c r="E6215" s="1603"/>
      <c r="F6215" s="1603"/>
      <c r="G6215" s="1603" t="s">
        <v>5030</v>
      </c>
      <c r="H6215" s="1604">
        <v>2</v>
      </c>
      <c r="I6215" s="1603"/>
      <c r="J6215" s="1603"/>
      <c r="K6215" s="1605">
        <v>265</v>
      </c>
      <c r="L6215" s="1606">
        <v>19740</v>
      </c>
      <c r="M6215" s="1607"/>
      <c r="N6215" s="1606">
        <v>19740</v>
      </c>
      <c r="O6215" s="1606">
        <v>7113.21</v>
      </c>
      <c r="P6215" s="1606">
        <v>12133.35</v>
      </c>
      <c r="Q6215" s="1605">
        <v>493.44</v>
      </c>
      <c r="R6215" s="1606">
        <v>12626.79</v>
      </c>
      <c r="S6215" s="1608"/>
    </row>
    <row r="6216" spans="2:19" s="1609" customFormat="1" ht="11.25" customHeight="1" outlineLevel="1">
      <c r="B6216" s="1602">
        <v>24583</v>
      </c>
      <c r="C6216" s="1603" t="s">
        <v>5015</v>
      </c>
      <c r="D6216" s="1603" t="s">
        <v>5029</v>
      </c>
      <c r="E6216" s="1603"/>
      <c r="F6216" s="1603"/>
      <c r="G6216" s="1603" t="s">
        <v>5028</v>
      </c>
      <c r="H6216" s="1604">
        <v>2</v>
      </c>
      <c r="I6216" s="1603"/>
      <c r="J6216" s="1603"/>
      <c r="K6216" s="1605">
        <v>203</v>
      </c>
      <c r="L6216" s="1606">
        <v>12202</v>
      </c>
      <c r="M6216" s="1607"/>
      <c r="N6216" s="1606">
        <v>12202</v>
      </c>
      <c r="O6216" s="1606">
        <v>4398.0600000000004</v>
      </c>
      <c r="P6216" s="1606">
        <v>7498.9</v>
      </c>
      <c r="Q6216" s="1605">
        <v>305.04000000000002</v>
      </c>
      <c r="R6216" s="1606">
        <v>7803.94</v>
      </c>
      <c r="S6216" s="1608"/>
    </row>
    <row r="6217" spans="2:19" s="1609" customFormat="1" ht="11.25" customHeight="1" outlineLevel="1">
      <c r="B6217" s="1602">
        <v>24584</v>
      </c>
      <c r="C6217" s="1603" t="s">
        <v>5015</v>
      </c>
      <c r="D6217" s="1603" t="s">
        <v>5027</v>
      </c>
      <c r="E6217" s="1603"/>
      <c r="F6217" s="1603"/>
      <c r="G6217" s="1603" t="s">
        <v>5026</v>
      </c>
      <c r="H6217" s="1604">
        <v>2</v>
      </c>
      <c r="I6217" s="1603"/>
      <c r="J6217" s="1603"/>
      <c r="K6217" s="1605">
        <v>203</v>
      </c>
      <c r="L6217" s="1606">
        <v>11145</v>
      </c>
      <c r="M6217" s="1607"/>
      <c r="N6217" s="1606">
        <v>11145</v>
      </c>
      <c r="O6217" s="1606">
        <v>4016.46</v>
      </c>
      <c r="P6217" s="1606">
        <v>6849.9</v>
      </c>
      <c r="Q6217" s="1605">
        <v>278.64</v>
      </c>
      <c r="R6217" s="1606">
        <v>7128.54</v>
      </c>
      <c r="S6217" s="1608"/>
    </row>
    <row r="6218" spans="2:19" s="1609" customFormat="1" ht="11.25" customHeight="1" outlineLevel="1">
      <c r="B6218" s="1602">
        <v>24585</v>
      </c>
      <c r="C6218" s="1603" t="s">
        <v>5015</v>
      </c>
      <c r="D6218" s="1603" t="s">
        <v>5025</v>
      </c>
      <c r="E6218" s="1603"/>
      <c r="F6218" s="1603"/>
      <c r="G6218" s="1603" t="s">
        <v>5024</v>
      </c>
      <c r="H6218" s="1604">
        <v>2</v>
      </c>
      <c r="I6218" s="1603"/>
      <c r="J6218" s="1603"/>
      <c r="K6218" s="1605">
        <v>203</v>
      </c>
      <c r="L6218" s="1606">
        <v>11490</v>
      </c>
      <c r="M6218" s="1607"/>
      <c r="N6218" s="1606">
        <v>11490</v>
      </c>
      <c r="O6218" s="1606">
        <v>4140.54</v>
      </c>
      <c r="P6218" s="1606">
        <v>7062.3</v>
      </c>
      <c r="Q6218" s="1605">
        <v>287.16000000000003</v>
      </c>
      <c r="R6218" s="1606">
        <v>7349.46</v>
      </c>
      <c r="S6218" s="1608"/>
    </row>
    <row r="6219" spans="2:19" s="1609" customFormat="1" ht="11.25" customHeight="1" outlineLevel="1">
      <c r="B6219" s="1602">
        <v>24586</v>
      </c>
      <c r="C6219" s="1603" t="s">
        <v>5015</v>
      </c>
      <c r="D6219" s="1603" t="s">
        <v>5023</v>
      </c>
      <c r="E6219" s="1603"/>
      <c r="F6219" s="1603"/>
      <c r="G6219" s="1603" t="s">
        <v>5022</v>
      </c>
      <c r="H6219" s="1604">
        <v>2</v>
      </c>
      <c r="I6219" s="1603"/>
      <c r="J6219" s="1603"/>
      <c r="K6219" s="1605">
        <v>240</v>
      </c>
      <c r="L6219" s="1606">
        <v>17156</v>
      </c>
      <c r="M6219" s="1607"/>
      <c r="N6219" s="1606">
        <v>17156</v>
      </c>
      <c r="O6219" s="1606">
        <v>2686.97</v>
      </c>
      <c r="P6219" s="1606">
        <v>13903.35</v>
      </c>
      <c r="Q6219" s="1605">
        <v>565.67999999999995</v>
      </c>
      <c r="R6219" s="1606">
        <v>14469.03</v>
      </c>
      <c r="S6219" s="1608"/>
    </row>
    <row r="6220" spans="2:19" s="1609" customFormat="1" ht="11.25" customHeight="1" outlineLevel="1">
      <c r="B6220" s="1602">
        <v>24587</v>
      </c>
      <c r="C6220" s="1603" t="s">
        <v>5015</v>
      </c>
      <c r="D6220" s="1603" t="s">
        <v>5021</v>
      </c>
      <c r="E6220" s="1603"/>
      <c r="F6220" s="1603"/>
      <c r="G6220" s="1603" t="s">
        <v>5020</v>
      </c>
      <c r="H6220" s="1604">
        <v>2</v>
      </c>
      <c r="I6220" s="1603"/>
      <c r="J6220" s="1603"/>
      <c r="K6220" s="1605">
        <v>619</v>
      </c>
      <c r="L6220" s="1606">
        <v>33359</v>
      </c>
      <c r="M6220" s="1607"/>
      <c r="N6220" s="1606">
        <v>33359</v>
      </c>
      <c r="O6220" s="1606">
        <v>16289.8</v>
      </c>
      <c r="P6220" s="1606">
        <v>16402</v>
      </c>
      <c r="Q6220" s="1605">
        <v>667.2</v>
      </c>
      <c r="R6220" s="1606">
        <v>17069.2</v>
      </c>
      <c r="S6220" s="1608"/>
    </row>
    <row r="6221" spans="2:19" s="1609" customFormat="1" ht="11.25" customHeight="1" outlineLevel="1">
      <c r="B6221" s="1602">
        <v>24593</v>
      </c>
      <c r="C6221" s="1603" t="s">
        <v>5015</v>
      </c>
      <c r="D6221" s="1603" t="s">
        <v>5019</v>
      </c>
      <c r="E6221" s="1603"/>
      <c r="F6221" s="1603"/>
      <c r="G6221" s="1603" t="s">
        <v>5018</v>
      </c>
      <c r="H6221" s="1604">
        <v>2</v>
      </c>
      <c r="I6221" s="1603"/>
      <c r="J6221" s="1603"/>
      <c r="K6221" s="1605">
        <v>226</v>
      </c>
      <c r="L6221" s="1606">
        <v>31222</v>
      </c>
      <c r="M6221" s="1607"/>
      <c r="N6221" s="1606">
        <v>31222</v>
      </c>
      <c r="O6221" s="1606">
        <v>15245.84</v>
      </c>
      <c r="P6221" s="1606">
        <v>15351.8</v>
      </c>
      <c r="Q6221" s="1605">
        <v>624.36</v>
      </c>
      <c r="R6221" s="1606">
        <v>15976.16</v>
      </c>
      <c r="S6221" s="1608"/>
    </row>
    <row r="6222" spans="2:19" s="1609" customFormat="1" ht="11.25" customHeight="1" outlineLevel="1">
      <c r="B6222" s="1602">
        <v>24594</v>
      </c>
      <c r="C6222" s="1603" t="s">
        <v>5015</v>
      </c>
      <c r="D6222" s="1603" t="s">
        <v>5017</v>
      </c>
      <c r="E6222" s="1603"/>
      <c r="F6222" s="1603"/>
      <c r="G6222" s="1603" t="s">
        <v>5016</v>
      </c>
      <c r="H6222" s="1604">
        <v>2</v>
      </c>
      <c r="I6222" s="1603"/>
      <c r="J6222" s="1603"/>
      <c r="K6222" s="1605">
        <v>161</v>
      </c>
      <c r="L6222" s="1606">
        <v>15826</v>
      </c>
      <c r="M6222" s="1607"/>
      <c r="N6222" s="1606">
        <v>15826</v>
      </c>
      <c r="O6222" s="1606">
        <v>5704.21</v>
      </c>
      <c r="P6222" s="1606">
        <v>9726.15</v>
      </c>
      <c r="Q6222" s="1605">
        <v>395.64</v>
      </c>
      <c r="R6222" s="1606">
        <v>10121.790000000001</v>
      </c>
      <c r="S6222" s="1608"/>
    </row>
    <row r="6223" spans="2:19" s="1609" customFormat="1" ht="11.25" customHeight="1" outlineLevel="1">
      <c r="B6223" s="1602">
        <v>24595</v>
      </c>
      <c r="C6223" s="1603" t="s">
        <v>5015</v>
      </c>
      <c r="D6223" s="1603" t="s">
        <v>5014</v>
      </c>
      <c r="E6223" s="1603"/>
      <c r="F6223" s="1603"/>
      <c r="G6223" s="1603" t="s">
        <v>5013</v>
      </c>
      <c r="H6223" s="1604">
        <v>2</v>
      </c>
      <c r="I6223" s="1603"/>
      <c r="J6223" s="1603"/>
      <c r="K6223" s="1605">
        <v>161</v>
      </c>
      <c r="L6223" s="1606">
        <v>12100</v>
      </c>
      <c r="M6223" s="1607"/>
      <c r="N6223" s="1606">
        <v>12100</v>
      </c>
      <c r="O6223" s="1606">
        <v>4360.53</v>
      </c>
      <c r="P6223" s="1606">
        <v>7436.95</v>
      </c>
      <c r="Q6223" s="1605">
        <v>302.52</v>
      </c>
      <c r="R6223" s="1606">
        <v>7739.47</v>
      </c>
      <c r="S6223" s="1608"/>
    </row>
    <row r="6224" spans="2:19" s="1609" customFormat="1" ht="11.25" customHeight="1" outlineLevel="1">
      <c r="B6224" s="1602">
        <v>24729</v>
      </c>
      <c r="C6224" s="1603" t="s">
        <v>5012</v>
      </c>
      <c r="D6224" s="1603" t="s">
        <v>5011</v>
      </c>
      <c r="E6224" s="1603"/>
      <c r="F6224" s="1603"/>
      <c r="G6224" s="1603" t="s">
        <v>5010</v>
      </c>
      <c r="H6224" s="1604">
        <v>2</v>
      </c>
      <c r="I6224" s="1603"/>
      <c r="J6224" s="1603"/>
      <c r="K6224" s="1605">
        <v>94</v>
      </c>
      <c r="L6224" s="1606">
        <v>17820</v>
      </c>
      <c r="M6224" s="1607"/>
      <c r="N6224" s="1606">
        <v>17820</v>
      </c>
      <c r="O6224" s="1606">
        <v>6495.47</v>
      </c>
      <c r="P6224" s="1606">
        <v>10879.09</v>
      </c>
      <c r="Q6224" s="1605">
        <v>445.44</v>
      </c>
      <c r="R6224" s="1606">
        <v>11324.53</v>
      </c>
      <c r="S6224" s="1608"/>
    </row>
    <row r="6225" spans="2:19" s="1609" customFormat="1" ht="11.25" customHeight="1" outlineLevel="1">
      <c r="B6225" s="1602">
        <v>24754</v>
      </c>
      <c r="C6225" s="1603" t="s">
        <v>4952</v>
      </c>
      <c r="D6225" s="1603" t="s">
        <v>5009</v>
      </c>
      <c r="E6225" s="1603"/>
      <c r="F6225" s="1603"/>
      <c r="G6225" s="1603" t="s">
        <v>5008</v>
      </c>
      <c r="H6225" s="1604">
        <v>2</v>
      </c>
      <c r="I6225" s="1603"/>
      <c r="J6225" s="1603"/>
      <c r="K6225" s="1605">
        <v>619</v>
      </c>
      <c r="L6225" s="1606">
        <v>38558</v>
      </c>
      <c r="M6225" s="1607"/>
      <c r="N6225" s="1606">
        <v>38558</v>
      </c>
      <c r="O6225" s="1606">
        <v>19022.84</v>
      </c>
      <c r="P6225" s="1606">
        <v>18763.919999999998</v>
      </c>
      <c r="Q6225" s="1605">
        <v>771.24</v>
      </c>
      <c r="R6225" s="1606">
        <v>19535.16</v>
      </c>
      <c r="S6225" s="1608"/>
    </row>
    <row r="6226" spans="2:19" s="1609" customFormat="1" ht="11.25" customHeight="1" outlineLevel="1">
      <c r="B6226" s="1602">
        <v>24755</v>
      </c>
      <c r="C6226" s="1603" t="s">
        <v>4952</v>
      </c>
      <c r="D6226" s="1603" t="s">
        <v>5007</v>
      </c>
      <c r="E6226" s="1603"/>
      <c r="F6226" s="1603"/>
      <c r="G6226" s="1603" t="s">
        <v>5006</v>
      </c>
      <c r="H6226" s="1604">
        <v>2</v>
      </c>
      <c r="I6226" s="1603"/>
      <c r="J6226" s="1603"/>
      <c r="K6226" s="1605">
        <v>511</v>
      </c>
      <c r="L6226" s="1606">
        <v>34252</v>
      </c>
      <c r="M6226" s="1607"/>
      <c r="N6226" s="1606">
        <v>34252</v>
      </c>
      <c r="O6226" s="1606">
        <v>12558.56</v>
      </c>
      <c r="P6226" s="1606">
        <v>20837.12</v>
      </c>
      <c r="Q6226" s="1605">
        <v>856.32</v>
      </c>
      <c r="R6226" s="1606">
        <v>21693.439999999999</v>
      </c>
      <c r="S6226" s="1608"/>
    </row>
    <row r="6227" spans="2:19" s="1609" customFormat="1" ht="11.25" customHeight="1" outlineLevel="1">
      <c r="B6227" s="1602">
        <v>24756</v>
      </c>
      <c r="C6227" s="1603" t="s">
        <v>4952</v>
      </c>
      <c r="D6227" s="1603" t="s">
        <v>5005</v>
      </c>
      <c r="E6227" s="1603"/>
      <c r="F6227" s="1603"/>
      <c r="G6227" s="1603" t="s">
        <v>5004</v>
      </c>
      <c r="H6227" s="1604">
        <v>2</v>
      </c>
      <c r="I6227" s="1603"/>
      <c r="J6227" s="1603"/>
      <c r="K6227" s="1605">
        <v>511</v>
      </c>
      <c r="L6227" s="1606">
        <v>39926</v>
      </c>
      <c r="M6227" s="1607"/>
      <c r="N6227" s="1606">
        <v>39926</v>
      </c>
      <c r="O6227" s="1606">
        <v>14639.28</v>
      </c>
      <c r="P6227" s="1606">
        <v>24288.560000000001</v>
      </c>
      <c r="Q6227" s="1605">
        <v>998.16</v>
      </c>
      <c r="R6227" s="1606">
        <v>25286.720000000001</v>
      </c>
      <c r="S6227" s="1608"/>
    </row>
    <row r="6228" spans="2:19" s="1609" customFormat="1" ht="11.25" customHeight="1" outlineLevel="1">
      <c r="B6228" s="1602">
        <v>24757</v>
      </c>
      <c r="C6228" s="1603" t="s">
        <v>4952</v>
      </c>
      <c r="D6228" s="1603" t="s">
        <v>5003</v>
      </c>
      <c r="E6228" s="1603"/>
      <c r="F6228" s="1603"/>
      <c r="G6228" s="1603" t="s">
        <v>5001</v>
      </c>
      <c r="H6228" s="1604">
        <v>2</v>
      </c>
      <c r="I6228" s="1603"/>
      <c r="J6228" s="1603"/>
      <c r="K6228" s="1605">
        <v>203</v>
      </c>
      <c r="L6228" s="1606">
        <v>5288</v>
      </c>
      <c r="M6228" s="1607"/>
      <c r="N6228" s="1606">
        <v>5288</v>
      </c>
      <c r="O6228" s="1606">
        <v>1938.04</v>
      </c>
      <c r="P6228" s="1606">
        <v>3217.84</v>
      </c>
      <c r="Q6228" s="1605">
        <v>132.12</v>
      </c>
      <c r="R6228" s="1606">
        <v>3349.96</v>
      </c>
      <c r="S6228" s="1608"/>
    </row>
    <row r="6229" spans="2:19" s="1609" customFormat="1" ht="11.25" customHeight="1" outlineLevel="1">
      <c r="B6229" s="1602">
        <v>24758</v>
      </c>
      <c r="C6229" s="1603" t="s">
        <v>4952</v>
      </c>
      <c r="D6229" s="1603" t="s">
        <v>5002</v>
      </c>
      <c r="E6229" s="1603"/>
      <c r="F6229" s="1603"/>
      <c r="G6229" s="1603" t="s">
        <v>5001</v>
      </c>
      <c r="H6229" s="1604">
        <v>2</v>
      </c>
      <c r="I6229" s="1603"/>
      <c r="J6229" s="1603"/>
      <c r="K6229" s="1605">
        <v>265</v>
      </c>
      <c r="L6229" s="1606">
        <v>6783</v>
      </c>
      <c r="M6229" s="1607"/>
      <c r="N6229" s="1606">
        <v>6783</v>
      </c>
      <c r="O6229" s="1606">
        <v>2487.48</v>
      </c>
      <c r="P6229" s="1606">
        <v>4125.96</v>
      </c>
      <c r="Q6229" s="1605">
        <v>169.56</v>
      </c>
      <c r="R6229" s="1606">
        <v>4295.5200000000004</v>
      </c>
      <c r="S6229" s="1608"/>
    </row>
    <row r="6230" spans="2:19" s="1609" customFormat="1" ht="11.25" customHeight="1" outlineLevel="1">
      <c r="B6230" s="1602">
        <v>24759</v>
      </c>
      <c r="C6230" s="1603" t="s">
        <v>4952</v>
      </c>
      <c r="D6230" s="1603" t="s">
        <v>5000</v>
      </c>
      <c r="E6230" s="1603"/>
      <c r="F6230" s="1603"/>
      <c r="G6230" s="1603" t="s">
        <v>4999</v>
      </c>
      <c r="H6230" s="1604">
        <v>2</v>
      </c>
      <c r="I6230" s="1603"/>
      <c r="J6230" s="1603"/>
      <c r="K6230" s="1605">
        <v>511</v>
      </c>
      <c r="L6230" s="1606">
        <v>34610</v>
      </c>
      <c r="M6230" s="1607"/>
      <c r="N6230" s="1606">
        <v>34610</v>
      </c>
      <c r="O6230" s="1606">
        <v>12691.48</v>
      </c>
      <c r="P6230" s="1606">
        <v>21053.200000000001</v>
      </c>
      <c r="Q6230" s="1605">
        <v>865.32</v>
      </c>
      <c r="R6230" s="1606">
        <v>21918.52</v>
      </c>
      <c r="S6230" s="1608"/>
    </row>
    <row r="6231" spans="2:19" s="1609" customFormat="1" ht="11.25" customHeight="1" outlineLevel="1">
      <c r="B6231" s="1602">
        <v>24760</v>
      </c>
      <c r="C6231" s="1603" t="s">
        <v>4952</v>
      </c>
      <c r="D6231" s="1603" t="s">
        <v>4998</v>
      </c>
      <c r="E6231" s="1603"/>
      <c r="F6231" s="1603"/>
      <c r="G6231" s="1603" t="s">
        <v>4997</v>
      </c>
      <c r="H6231" s="1604">
        <v>2</v>
      </c>
      <c r="I6231" s="1603"/>
      <c r="J6231" s="1603"/>
      <c r="K6231" s="1605">
        <v>511</v>
      </c>
      <c r="L6231" s="1606">
        <v>48975</v>
      </c>
      <c r="M6231" s="1607"/>
      <c r="N6231" s="1606">
        <v>48975</v>
      </c>
      <c r="O6231" s="1606">
        <v>17957.88</v>
      </c>
      <c r="P6231" s="1606">
        <v>29792.76</v>
      </c>
      <c r="Q6231" s="1606">
        <v>1224.3599999999999</v>
      </c>
      <c r="R6231" s="1606">
        <v>31017.119999999999</v>
      </c>
      <c r="S6231" s="1608"/>
    </row>
    <row r="6232" spans="2:19" s="1609" customFormat="1" ht="11.25" customHeight="1" outlineLevel="1">
      <c r="B6232" s="1602">
        <v>24761</v>
      </c>
      <c r="C6232" s="1603" t="s">
        <v>4952</v>
      </c>
      <c r="D6232" s="1603" t="s">
        <v>4996</v>
      </c>
      <c r="E6232" s="1603"/>
      <c r="F6232" s="1603"/>
      <c r="G6232" s="1603" t="s">
        <v>4995</v>
      </c>
      <c r="H6232" s="1604">
        <v>2</v>
      </c>
      <c r="I6232" s="1603"/>
      <c r="J6232" s="1603"/>
      <c r="K6232" s="1605">
        <v>511</v>
      </c>
      <c r="L6232" s="1606">
        <v>44374</v>
      </c>
      <c r="M6232" s="1607"/>
      <c r="N6232" s="1606">
        <v>44374</v>
      </c>
      <c r="O6232" s="1606">
        <v>16269.32</v>
      </c>
      <c r="P6232" s="1606">
        <v>26995.4</v>
      </c>
      <c r="Q6232" s="1606">
        <v>1109.28</v>
      </c>
      <c r="R6232" s="1606">
        <v>28104.68</v>
      </c>
      <c r="S6232" s="1608"/>
    </row>
    <row r="6233" spans="2:19" s="1609" customFormat="1" ht="11.25" customHeight="1" outlineLevel="1">
      <c r="B6233" s="1602">
        <v>24762</v>
      </c>
      <c r="C6233" s="1603" t="s">
        <v>4952</v>
      </c>
      <c r="D6233" s="1603" t="s">
        <v>4994</v>
      </c>
      <c r="E6233" s="1603"/>
      <c r="F6233" s="1603"/>
      <c r="G6233" s="1603" t="s">
        <v>4993</v>
      </c>
      <c r="H6233" s="1604">
        <v>2</v>
      </c>
      <c r="I6233" s="1603"/>
      <c r="J6233" s="1603"/>
      <c r="K6233" s="1605">
        <v>511</v>
      </c>
      <c r="L6233" s="1606">
        <v>9611</v>
      </c>
      <c r="M6233" s="1607"/>
      <c r="N6233" s="1606">
        <v>9611</v>
      </c>
      <c r="O6233" s="1606">
        <v>3524.8</v>
      </c>
      <c r="P6233" s="1606">
        <v>5845.84</v>
      </c>
      <c r="Q6233" s="1605">
        <v>240.36</v>
      </c>
      <c r="R6233" s="1606">
        <v>6086.2</v>
      </c>
      <c r="S6233" s="1608"/>
    </row>
    <row r="6234" spans="2:19" s="1609" customFormat="1" ht="11.25" customHeight="1" outlineLevel="1">
      <c r="B6234" s="1602">
        <v>24773</v>
      </c>
      <c r="C6234" s="1603" t="s">
        <v>4952</v>
      </c>
      <c r="D6234" s="1603" t="s">
        <v>4992</v>
      </c>
      <c r="E6234" s="1603"/>
      <c r="F6234" s="1603"/>
      <c r="G6234" s="1603" t="s">
        <v>4991</v>
      </c>
      <c r="H6234" s="1604">
        <v>2</v>
      </c>
      <c r="I6234" s="1603"/>
      <c r="J6234" s="1603"/>
      <c r="K6234" s="1605">
        <v>252</v>
      </c>
      <c r="L6234" s="1606">
        <v>18919</v>
      </c>
      <c r="M6234" s="1607"/>
      <c r="N6234" s="1606">
        <v>18919</v>
      </c>
      <c r="O6234" s="1606">
        <v>6938.24</v>
      </c>
      <c r="P6234" s="1606">
        <v>11507.72</v>
      </c>
      <c r="Q6234" s="1605">
        <v>473.04</v>
      </c>
      <c r="R6234" s="1606">
        <v>11980.76</v>
      </c>
      <c r="S6234" s="1608"/>
    </row>
    <row r="6235" spans="2:19" s="1609" customFormat="1" ht="11.25" customHeight="1" outlineLevel="1">
      <c r="B6235" s="1602">
        <v>24774</v>
      </c>
      <c r="C6235" s="1603" t="s">
        <v>4952</v>
      </c>
      <c r="D6235" s="1603" t="s">
        <v>4990</v>
      </c>
      <c r="E6235" s="1603"/>
      <c r="F6235" s="1603"/>
      <c r="G6235" s="1603" t="s">
        <v>4989</v>
      </c>
      <c r="H6235" s="1604">
        <v>2</v>
      </c>
      <c r="I6235" s="1603"/>
      <c r="J6235" s="1603"/>
      <c r="K6235" s="1605">
        <v>252</v>
      </c>
      <c r="L6235" s="1606">
        <v>40992</v>
      </c>
      <c r="M6235" s="1607"/>
      <c r="N6235" s="1606">
        <v>40992</v>
      </c>
      <c r="O6235" s="1606">
        <v>15030.4</v>
      </c>
      <c r="P6235" s="1606">
        <v>24936.799999999999</v>
      </c>
      <c r="Q6235" s="1606">
        <v>1024.8</v>
      </c>
      <c r="R6235" s="1606">
        <v>25961.599999999999</v>
      </c>
      <c r="S6235" s="1608"/>
    </row>
    <row r="6236" spans="2:19" s="1609" customFormat="1" ht="11.25" customHeight="1" outlineLevel="1">
      <c r="B6236" s="1602">
        <v>24780</v>
      </c>
      <c r="C6236" s="1603" t="s">
        <v>4952</v>
      </c>
      <c r="D6236" s="1603" t="s">
        <v>4988</v>
      </c>
      <c r="E6236" s="1603"/>
      <c r="F6236" s="1603"/>
      <c r="G6236" s="1603" t="s">
        <v>4987</v>
      </c>
      <c r="H6236" s="1604">
        <v>2</v>
      </c>
      <c r="I6236" s="1603"/>
      <c r="J6236" s="1603"/>
      <c r="K6236" s="1605">
        <v>511</v>
      </c>
      <c r="L6236" s="1606">
        <v>28373</v>
      </c>
      <c r="M6236" s="1607"/>
      <c r="N6236" s="1606">
        <v>28373</v>
      </c>
      <c r="O6236" s="1606">
        <v>10403.56</v>
      </c>
      <c r="P6236" s="1606">
        <v>17260.12</v>
      </c>
      <c r="Q6236" s="1605">
        <v>709.32</v>
      </c>
      <c r="R6236" s="1606">
        <v>17969.439999999999</v>
      </c>
      <c r="S6236" s="1608"/>
    </row>
    <row r="6237" spans="2:19" s="1609" customFormat="1" ht="11.25" customHeight="1" outlineLevel="1">
      <c r="B6237" s="1602">
        <v>24781</v>
      </c>
      <c r="C6237" s="1603" t="s">
        <v>4952</v>
      </c>
      <c r="D6237" s="1603" t="s">
        <v>4986</v>
      </c>
      <c r="E6237" s="1603"/>
      <c r="F6237" s="1603"/>
      <c r="G6237" s="1603" t="s">
        <v>4985</v>
      </c>
      <c r="H6237" s="1604">
        <v>2</v>
      </c>
      <c r="I6237" s="1603"/>
      <c r="J6237" s="1603"/>
      <c r="K6237" s="1605">
        <v>763</v>
      </c>
      <c r="L6237" s="1606">
        <v>62926</v>
      </c>
      <c r="M6237" s="1607"/>
      <c r="N6237" s="1606">
        <v>62926</v>
      </c>
      <c r="O6237" s="1606">
        <v>31042.6</v>
      </c>
      <c r="P6237" s="1606">
        <v>30624.959999999999</v>
      </c>
      <c r="Q6237" s="1606">
        <v>1258.44</v>
      </c>
      <c r="R6237" s="1606">
        <v>31883.4</v>
      </c>
      <c r="S6237" s="1608"/>
    </row>
    <row r="6238" spans="2:19" s="1609" customFormat="1" ht="11.25" customHeight="1" outlineLevel="1">
      <c r="B6238" s="1602">
        <v>24782</v>
      </c>
      <c r="C6238" s="1603" t="s">
        <v>4952</v>
      </c>
      <c r="D6238" s="1603" t="s">
        <v>4984</v>
      </c>
      <c r="E6238" s="1603"/>
      <c r="F6238" s="1603"/>
      <c r="G6238" s="1603" t="s">
        <v>4983</v>
      </c>
      <c r="H6238" s="1604">
        <v>2</v>
      </c>
      <c r="I6238" s="1603"/>
      <c r="J6238" s="1603"/>
      <c r="K6238" s="1605">
        <v>763</v>
      </c>
      <c r="L6238" s="1606">
        <v>30891</v>
      </c>
      <c r="M6238" s="1607"/>
      <c r="N6238" s="1606">
        <v>30891</v>
      </c>
      <c r="O6238" s="1606">
        <v>15238.16</v>
      </c>
      <c r="P6238" s="1606">
        <v>15035.08</v>
      </c>
      <c r="Q6238" s="1605">
        <v>617.76</v>
      </c>
      <c r="R6238" s="1606">
        <v>15652.84</v>
      </c>
      <c r="S6238" s="1608"/>
    </row>
    <row r="6239" spans="2:19" s="1609" customFormat="1" ht="11.25" customHeight="1" outlineLevel="1">
      <c r="B6239" s="1602">
        <v>24783</v>
      </c>
      <c r="C6239" s="1603" t="s">
        <v>4952</v>
      </c>
      <c r="D6239" s="1603" t="s">
        <v>4982</v>
      </c>
      <c r="E6239" s="1603"/>
      <c r="F6239" s="1603"/>
      <c r="G6239" s="1603" t="s">
        <v>4981</v>
      </c>
      <c r="H6239" s="1604">
        <v>2</v>
      </c>
      <c r="I6239" s="1603"/>
      <c r="J6239" s="1603"/>
      <c r="K6239" s="1605">
        <v>763</v>
      </c>
      <c r="L6239" s="1606">
        <v>24408</v>
      </c>
      <c r="M6239" s="1607"/>
      <c r="N6239" s="1606">
        <v>24408</v>
      </c>
      <c r="O6239" s="1606">
        <v>12041.28</v>
      </c>
      <c r="P6239" s="1606">
        <v>11878.56</v>
      </c>
      <c r="Q6239" s="1605">
        <v>488.16</v>
      </c>
      <c r="R6239" s="1606">
        <v>12366.72</v>
      </c>
      <c r="S6239" s="1608"/>
    </row>
    <row r="6240" spans="2:19" s="1609" customFormat="1" ht="11.25" customHeight="1" outlineLevel="1">
      <c r="B6240" s="1602">
        <v>24795</v>
      </c>
      <c r="C6240" s="1603" t="s">
        <v>4952</v>
      </c>
      <c r="D6240" s="1603" t="s">
        <v>4980</v>
      </c>
      <c r="E6240" s="1603"/>
      <c r="F6240" s="1603"/>
      <c r="G6240" s="1603" t="s">
        <v>4979</v>
      </c>
      <c r="H6240" s="1604">
        <v>2</v>
      </c>
      <c r="I6240" s="1603"/>
      <c r="J6240" s="1603"/>
      <c r="K6240" s="1605">
        <v>511</v>
      </c>
      <c r="L6240" s="1606">
        <v>17382</v>
      </c>
      <c r="M6240" s="1607"/>
      <c r="N6240" s="1606">
        <v>17382</v>
      </c>
      <c r="O6240" s="1606">
        <v>6374.04</v>
      </c>
      <c r="P6240" s="1606">
        <v>10573.32</v>
      </c>
      <c r="Q6240" s="1605">
        <v>434.64</v>
      </c>
      <c r="R6240" s="1606">
        <v>11007.96</v>
      </c>
      <c r="S6240" s="1608"/>
    </row>
    <row r="6241" spans="2:19" s="1609" customFormat="1" ht="11.25" customHeight="1" outlineLevel="1">
      <c r="B6241" s="1602">
        <v>24796</v>
      </c>
      <c r="C6241" s="1603" t="s">
        <v>4952</v>
      </c>
      <c r="D6241" s="1603" t="s">
        <v>4978</v>
      </c>
      <c r="E6241" s="1603"/>
      <c r="F6241" s="1603"/>
      <c r="G6241" s="1603" t="s">
        <v>4977</v>
      </c>
      <c r="H6241" s="1604">
        <v>2</v>
      </c>
      <c r="I6241" s="1603"/>
      <c r="J6241" s="1603"/>
      <c r="K6241" s="1605">
        <v>620</v>
      </c>
      <c r="L6241" s="1606">
        <v>39350</v>
      </c>
      <c r="M6241" s="1607"/>
      <c r="N6241" s="1606">
        <v>39350</v>
      </c>
      <c r="O6241" s="1606">
        <v>19413.560000000001</v>
      </c>
      <c r="P6241" s="1606">
        <v>19149.36</v>
      </c>
      <c r="Q6241" s="1605">
        <v>787.08</v>
      </c>
      <c r="R6241" s="1606">
        <v>19936.439999999999</v>
      </c>
      <c r="S6241" s="1608"/>
    </row>
    <row r="6242" spans="2:19" s="1609" customFormat="1" ht="11.25" customHeight="1" outlineLevel="1">
      <c r="B6242" s="1602">
        <v>24797</v>
      </c>
      <c r="C6242" s="1603" t="s">
        <v>4952</v>
      </c>
      <c r="D6242" s="1603" t="s">
        <v>4976</v>
      </c>
      <c r="E6242" s="1603"/>
      <c r="F6242" s="1603"/>
      <c r="G6242" s="1603" t="s">
        <v>4975</v>
      </c>
      <c r="H6242" s="1604">
        <v>2</v>
      </c>
      <c r="I6242" s="1603"/>
      <c r="J6242" s="1603"/>
      <c r="K6242" s="1605">
        <v>620</v>
      </c>
      <c r="L6242" s="1606">
        <v>55153</v>
      </c>
      <c r="M6242" s="1607"/>
      <c r="N6242" s="1606">
        <v>55153</v>
      </c>
      <c r="O6242" s="1606">
        <v>27209.32</v>
      </c>
      <c r="P6242" s="1606">
        <v>26840.639999999999</v>
      </c>
      <c r="Q6242" s="1606">
        <v>1103.04</v>
      </c>
      <c r="R6242" s="1606">
        <v>27943.68</v>
      </c>
      <c r="S6242" s="1608"/>
    </row>
    <row r="6243" spans="2:19" s="1609" customFormat="1" ht="11.25" customHeight="1" outlineLevel="1">
      <c r="B6243" s="1602">
        <v>24798</v>
      </c>
      <c r="C6243" s="1603" t="s">
        <v>4952</v>
      </c>
      <c r="D6243" s="1603" t="s">
        <v>4974</v>
      </c>
      <c r="E6243" s="1603"/>
      <c r="F6243" s="1603"/>
      <c r="G6243" s="1603" t="s">
        <v>4973</v>
      </c>
      <c r="H6243" s="1604">
        <v>2</v>
      </c>
      <c r="I6243" s="1603"/>
      <c r="J6243" s="1603"/>
      <c r="K6243" s="1605">
        <v>511</v>
      </c>
      <c r="L6243" s="1606">
        <v>44783</v>
      </c>
      <c r="M6243" s="1607"/>
      <c r="N6243" s="1606">
        <v>44783</v>
      </c>
      <c r="O6243" s="1606">
        <v>16419.919999999998</v>
      </c>
      <c r="P6243" s="1606">
        <v>27243.599999999999</v>
      </c>
      <c r="Q6243" s="1606">
        <v>1119.48</v>
      </c>
      <c r="R6243" s="1606">
        <v>28363.08</v>
      </c>
      <c r="S6243" s="1608"/>
    </row>
    <row r="6244" spans="2:19" s="1609" customFormat="1" ht="11.25" customHeight="1" outlineLevel="1">
      <c r="B6244" s="1602">
        <v>24799</v>
      </c>
      <c r="C6244" s="1603" t="s">
        <v>4952</v>
      </c>
      <c r="D6244" s="1603" t="s">
        <v>4972</v>
      </c>
      <c r="E6244" s="1603"/>
      <c r="F6244" s="1603"/>
      <c r="G6244" s="1603" t="s">
        <v>4970</v>
      </c>
      <c r="H6244" s="1604">
        <v>2</v>
      </c>
      <c r="I6244" s="1603"/>
      <c r="J6244" s="1603"/>
      <c r="K6244" s="1605">
        <v>244</v>
      </c>
      <c r="L6244" s="1606">
        <v>1464</v>
      </c>
      <c r="M6244" s="1607"/>
      <c r="N6244" s="1606">
        <v>1464</v>
      </c>
      <c r="O6244" s="1605">
        <v>722.24</v>
      </c>
      <c r="P6244" s="1605">
        <v>712.48</v>
      </c>
      <c r="Q6244" s="1605">
        <v>29.28</v>
      </c>
      <c r="R6244" s="1605">
        <v>741.76</v>
      </c>
      <c r="S6244" s="1608"/>
    </row>
    <row r="6245" spans="2:19" s="1609" customFormat="1" ht="11.25" customHeight="1" outlineLevel="1">
      <c r="B6245" s="1602">
        <v>24800</v>
      </c>
      <c r="C6245" s="1603" t="s">
        <v>4952</v>
      </c>
      <c r="D6245" s="1603" t="s">
        <v>4971</v>
      </c>
      <c r="E6245" s="1603"/>
      <c r="F6245" s="1603"/>
      <c r="G6245" s="1603" t="s">
        <v>4970</v>
      </c>
      <c r="H6245" s="1604">
        <v>2</v>
      </c>
      <c r="I6245" s="1603"/>
      <c r="J6245" s="1603"/>
      <c r="K6245" s="1605">
        <v>620</v>
      </c>
      <c r="L6245" s="1606">
        <v>30055</v>
      </c>
      <c r="M6245" s="1607"/>
      <c r="N6245" s="1606">
        <v>30055</v>
      </c>
      <c r="O6245" s="1606">
        <v>14827.64</v>
      </c>
      <c r="P6245" s="1606">
        <v>14626.28</v>
      </c>
      <c r="Q6245" s="1605">
        <v>601.08000000000004</v>
      </c>
      <c r="R6245" s="1606">
        <v>15227.36</v>
      </c>
      <c r="S6245" s="1608"/>
    </row>
    <row r="6246" spans="2:19" s="1609" customFormat="1" ht="11.25" customHeight="1" outlineLevel="1">
      <c r="B6246" s="1602">
        <v>24801</v>
      </c>
      <c r="C6246" s="1603" t="s">
        <v>4952</v>
      </c>
      <c r="D6246" s="1603" t="s">
        <v>4969</v>
      </c>
      <c r="E6246" s="1603"/>
      <c r="F6246" s="1603"/>
      <c r="G6246" s="1603" t="s">
        <v>4967</v>
      </c>
      <c r="H6246" s="1604">
        <v>2</v>
      </c>
      <c r="I6246" s="1603"/>
      <c r="J6246" s="1603"/>
      <c r="K6246" s="1605">
        <v>244</v>
      </c>
      <c r="L6246" s="1606">
        <v>1220</v>
      </c>
      <c r="M6246" s="1607"/>
      <c r="N6246" s="1606">
        <v>1220</v>
      </c>
      <c r="O6246" s="1605">
        <v>602.76</v>
      </c>
      <c r="P6246" s="1605">
        <v>592.76</v>
      </c>
      <c r="Q6246" s="1605">
        <v>24.48</v>
      </c>
      <c r="R6246" s="1605">
        <v>617.24</v>
      </c>
      <c r="S6246" s="1608"/>
    </row>
    <row r="6247" spans="2:19" s="1609" customFormat="1" ht="11.25" customHeight="1" outlineLevel="1">
      <c r="B6247" s="1602">
        <v>24802</v>
      </c>
      <c r="C6247" s="1603" t="s">
        <v>4952</v>
      </c>
      <c r="D6247" s="1603" t="s">
        <v>4968</v>
      </c>
      <c r="E6247" s="1603"/>
      <c r="F6247" s="1603"/>
      <c r="G6247" s="1603" t="s">
        <v>4967</v>
      </c>
      <c r="H6247" s="1604">
        <v>2</v>
      </c>
      <c r="I6247" s="1603"/>
      <c r="J6247" s="1603"/>
      <c r="K6247" s="1605">
        <v>620</v>
      </c>
      <c r="L6247" s="1606">
        <v>17042</v>
      </c>
      <c r="M6247" s="1607"/>
      <c r="N6247" s="1606">
        <v>17042</v>
      </c>
      <c r="O6247" s="1606">
        <v>8408.2800000000007</v>
      </c>
      <c r="P6247" s="1606">
        <v>8292.7999999999993</v>
      </c>
      <c r="Q6247" s="1605">
        <v>340.92</v>
      </c>
      <c r="R6247" s="1606">
        <v>8633.7199999999993</v>
      </c>
      <c r="S6247" s="1608"/>
    </row>
    <row r="6248" spans="2:19" s="1609" customFormat="1" ht="11.25" customHeight="1" outlineLevel="1">
      <c r="B6248" s="1602">
        <v>24803</v>
      </c>
      <c r="C6248" s="1603" t="s">
        <v>4952</v>
      </c>
      <c r="D6248" s="1603" t="s">
        <v>4966</v>
      </c>
      <c r="E6248" s="1603"/>
      <c r="F6248" s="1603"/>
      <c r="G6248" s="1603" t="s">
        <v>4965</v>
      </c>
      <c r="H6248" s="1604">
        <v>2</v>
      </c>
      <c r="I6248" s="1603"/>
      <c r="J6248" s="1603"/>
      <c r="K6248" s="1605">
        <v>620</v>
      </c>
      <c r="L6248" s="1606">
        <v>29126</v>
      </c>
      <c r="M6248" s="1607"/>
      <c r="N6248" s="1606">
        <v>29126</v>
      </c>
      <c r="O6248" s="1606">
        <v>14369.72</v>
      </c>
      <c r="P6248" s="1606">
        <v>14173.68</v>
      </c>
      <c r="Q6248" s="1605">
        <v>582.6</v>
      </c>
      <c r="R6248" s="1606">
        <v>14756.28</v>
      </c>
      <c r="S6248" s="1608"/>
    </row>
    <row r="6249" spans="2:19" s="1609" customFormat="1" ht="11.25" customHeight="1" outlineLevel="1">
      <c r="B6249" s="1602">
        <v>24804</v>
      </c>
      <c r="C6249" s="1603" t="s">
        <v>4952</v>
      </c>
      <c r="D6249" s="1603" t="s">
        <v>4964</v>
      </c>
      <c r="E6249" s="1603"/>
      <c r="F6249" s="1603"/>
      <c r="G6249" s="1603" t="s">
        <v>4963</v>
      </c>
      <c r="H6249" s="1604">
        <v>2</v>
      </c>
      <c r="I6249" s="1603"/>
      <c r="J6249" s="1603"/>
      <c r="K6249" s="1605">
        <v>620</v>
      </c>
      <c r="L6249" s="1606">
        <v>17042</v>
      </c>
      <c r="M6249" s="1607"/>
      <c r="N6249" s="1606">
        <v>17042</v>
      </c>
      <c r="O6249" s="1606">
        <v>8408.2800000000007</v>
      </c>
      <c r="P6249" s="1606">
        <v>8292.7999999999993</v>
      </c>
      <c r="Q6249" s="1605">
        <v>340.92</v>
      </c>
      <c r="R6249" s="1606">
        <v>8633.7199999999993</v>
      </c>
      <c r="S6249" s="1608"/>
    </row>
    <row r="6250" spans="2:19" s="1609" customFormat="1" ht="11.25" customHeight="1" outlineLevel="1">
      <c r="B6250" s="1602">
        <v>24805</v>
      </c>
      <c r="C6250" s="1603" t="s">
        <v>4952</v>
      </c>
      <c r="D6250" s="1603" t="s">
        <v>4962</v>
      </c>
      <c r="E6250" s="1603"/>
      <c r="F6250" s="1603"/>
      <c r="G6250" s="1603" t="s">
        <v>4961</v>
      </c>
      <c r="H6250" s="1604">
        <v>2</v>
      </c>
      <c r="I6250" s="1603"/>
      <c r="J6250" s="1603"/>
      <c r="K6250" s="1605">
        <v>620</v>
      </c>
      <c r="L6250" s="1606">
        <v>29745</v>
      </c>
      <c r="M6250" s="1607"/>
      <c r="N6250" s="1606">
        <v>29745</v>
      </c>
      <c r="O6250" s="1606">
        <v>14672.8</v>
      </c>
      <c r="P6250" s="1606">
        <v>14477.36</v>
      </c>
      <c r="Q6250" s="1605">
        <v>594.84</v>
      </c>
      <c r="R6250" s="1606">
        <v>15072.2</v>
      </c>
      <c r="S6250" s="1608"/>
    </row>
    <row r="6251" spans="2:19" s="1609" customFormat="1" ht="11.25" customHeight="1" outlineLevel="1">
      <c r="B6251" s="1602">
        <v>24806</v>
      </c>
      <c r="C6251" s="1603" t="s">
        <v>4952</v>
      </c>
      <c r="D6251" s="1603" t="s">
        <v>4960</v>
      </c>
      <c r="E6251" s="1603"/>
      <c r="F6251" s="1603"/>
      <c r="G6251" s="1603" t="s">
        <v>4959</v>
      </c>
      <c r="H6251" s="1604">
        <v>2</v>
      </c>
      <c r="I6251" s="1603"/>
      <c r="J6251" s="1603"/>
      <c r="K6251" s="1605">
        <v>511</v>
      </c>
      <c r="L6251" s="1606">
        <v>19682</v>
      </c>
      <c r="M6251" s="1607"/>
      <c r="N6251" s="1606">
        <v>19682</v>
      </c>
      <c r="O6251" s="1606">
        <v>7217.88</v>
      </c>
      <c r="P6251" s="1606">
        <v>11972</v>
      </c>
      <c r="Q6251" s="1605">
        <v>492.12</v>
      </c>
      <c r="R6251" s="1606">
        <v>12464.12</v>
      </c>
      <c r="S6251" s="1608"/>
    </row>
    <row r="6252" spans="2:19" s="1609" customFormat="1" ht="11.25" customHeight="1" outlineLevel="1">
      <c r="B6252" s="1602">
        <v>24807</v>
      </c>
      <c r="C6252" s="1603" t="s">
        <v>4952</v>
      </c>
      <c r="D6252" s="1603" t="s">
        <v>4958</v>
      </c>
      <c r="E6252" s="1603"/>
      <c r="F6252" s="1603"/>
      <c r="G6252" s="1603" t="s">
        <v>4956</v>
      </c>
      <c r="H6252" s="1604">
        <v>2</v>
      </c>
      <c r="I6252" s="1603"/>
      <c r="J6252" s="1603"/>
      <c r="K6252" s="1605">
        <v>252</v>
      </c>
      <c r="L6252" s="1606">
        <v>11982</v>
      </c>
      <c r="M6252" s="1607"/>
      <c r="N6252" s="1606">
        <v>11982</v>
      </c>
      <c r="O6252" s="1606">
        <v>4394.04</v>
      </c>
      <c r="P6252" s="1606">
        <v>7288.32</v>
      </c>
      <c r="Q6252" s="1605">
        <v>299.64</v>
      </c>
      <c r="R6252" s="1606">
        <v>7587.96</v>
      </c>
      <c r="S6252" s="1608"/>
    </row>
    <row r="6253" spans="2:19" s="1609" customFormat="1" ht="11.25" customHeight="1" outlineLevel="1">
      <c r="B6253" s="1602">
        <v>24808</v>
      </c>
      <c r="C6253" s="1603" t="s">
        <v>4952</v>
      </c>
      <c r="D6253" s="1603" t="s">
        <v>4957</v>
      </c>
      <c r="E6253" s="1603"/>
      <c r="F6253" s="1603"/>
      <c r="G6253" s="1603" t="s">
        <v>4956</v>
      </c>
      <c r="H6253" s="1604">
        <v>2</v>
      </c>
      <c r="I6253" s="1603"/>
      <c r="J6253" s="1603"/>
      <c r="K6253" s="1605">
        <v>889</v>
      </c>
      <c r="L6253" s="1606">
        <v>28884</v>
      </c>
      <c r="M6253" s="1607"/>
      <c r="N6253" s="1606">
        <v>28884</v>
      </c>
      <c r="O6253" s="1606">
        <v>4761.4799999999996</v>
      </c>
      <c r="P6253" s="1606">
        <v>23170.2</v>
      </c>
      <c r="Q6253" s="1605">
        <v>952.32</v>
      </c>
      <c r="R6253" s="1606">
        <v>24122.52</v>
      </c>
      <c r="S6253" s="1608"/>
    </row>
    <row r="6254" spans="2:19" s="1609" customFormat="1" ht="11.25" customHeight="1" outlineLevel="1">
      <c r="B6254" s="1602">
        <v>24809</v>
      </c>
      <c r="C6254" s="1603" t="s">
        <v>4952</v>
      </c>
      <c r="D6254" s="1603" t="s">
        <v>4955</v>
      </c>
      <c r="E6254" s="1603"/>
      <c r="F6254" s="1603"/>
      <c r="G6254" s="1603" t="s">
        <v>3746</v>
      </c>
      <c r="H6254" s="1604">
        <v>2</v>
      </c>
      <c r="I6254" s="1603"/>
      <c r="J6254" s="1603"/>
      <c r="K6254" s="1605">
        <v>79</v>
      </c>
      <c r="L6254" s="1606">
        <v>25860</v>
      </c>
      <c r="M6254" s="1607"/>
      <c r="N6254" s="1606">
        <v>25860</v>
      </c>
      <c r="O6254" s="1606">
        <v>9480.6</v>
      </c>
      <c r="P6254" s="1606">
        <v>15732.96</v>
      </c>
      <c r="Q6254" s="1605">
        <v>646.44000000000005</v>
      </c>
      <c r="R6254" s="1606">
        <v>16379.4</v>
      </c>
      <c r="S6254" s="1608"/>
    </row>
    <row r="6255" spans="2:19" s="1609" customFormat="1" ht="11.25" customHeight="1" outlineLevel="1">
      <c r="B6255" s="1602">
        <v>24810</v>
      </c>
      <c r="C6255" s="1603" t="s">
        <v>4952</v>
      </c>
      <c r="D6255" s="1603" t="s">
        <v>4954</v>
      </c>
      <c r="E6255" s="1603"/>
      <c r="F6255" s="1603"/>
      <c r="G6255" s="1603" t="s">
        <v>3746</v>
      </c>
      <c r="H6255" s="1604">
        <v>2</v>
      </c>
      <c r="I6255" s="1603"/>
      <c r="J6255" s="1603"/>
      <c r="K6255" s="1605">
        <v>128</v>
      </c>
      <c r="L6255" s="1606">
        <v>3217419.22</v>
      </c>
      <c r="M6255" s="1607"/>
      <c r="N6255" s="1606">
        <v>3217419.22</v>
      </c>
      <c r="O6255" s="1606">
        <v>2433533.06</v>
      </c>
      <c r="P6255" s="1606">
        <v>711959.12</v>
      </c>
      <c r="Q6255" s="1606">
        <v>71927.039999999994</v>
      </c>
      <c r="R6255" s="1606">
        <v>783886.16</v>
      </c>
      <c r="S6255" s="1608"/>
    </row>
    <row r="6256" spans="2:19" s="1609" customFormat="1" ht="11.25" customHeight="1" outlineLevel="1">
      <c r="B6256" s="1602">
        <v>24811</v>
      </c>
      <c r="C6256" s="1603" t="s">
        <v>4952</v>
      </c>
      <c r="D6256" s="1603" t="s">
        <v>4953</v>
      </c>
      <c r="E6256" s="1603"/>
      <c r="F6256" s="1603"/>
      <c r="G6256" s="1603" t="s">
        <v>3746</v>
      </c>
      <c r="H6256" s="1604">
        <v>2</v>
      </c>
      <c r="I6256" s="1603"/>
      <c r="J6256" s="1603"/>
      <c r="K6256" s="1605">
        <v>52</v>
      </c>
      <c r="L6256" s="1606">
        <v>4397</v>
      </c>
      <c r="M6256" s="1607"/>
      <c r="N6256" s="1606">
        <v>4397</v>
      </c>
      <c r="O6256" s="1606">
        <v>2168.6799999999998</v>
      </c>
      <c r="P6256" s="1606">
        <v>2140.36</v>
      </c>
      <c r="Q6256" s="1605">
        <v>87.96</v>
      </c>
      <c r="R6256" s="1606">
        <v>2228.3200000000002</v>
      </c>
      <c r="S6256" s="1608"/>
    </row>
    <row r="6257" spans="2:19" s="1609" customFormat="1" ht="11.25" customHeight="1" outlineLevel="1">
      <c r="B6257" s="1602">
        <v>24812</v>
      </c>
      <c r="C6257" s="1603" t="s">
        <v>4952</v>
      </c>
      <c r="D6257" s="1603" t="s">
        <v>4951</v>
      </c>
      <c r="E6257" s="1603"/>
      <c r="F6257" s="1603"/>
      <c r="G6257" s="1603" t="s">
        <v>3746</v>
      </c>
      <c r="H6257" s="1604">
        <v>2</v>
      </c>
      <c r="I6257" s="1603"/>
      <c r="J6257" s="1603"/>
      <c r="K6257" s="1605">
        <v>52</v>
      </c>
      <c r="L6257" s="1606">
        <v>8114</v>
      </c>
      <c r="M6257" s="1607"/>
      <c r="N6257" s="1606">
        <v>8114</v>
      </c>
      <c r="O6257" s="1606">
        <v>4003.8</v>
      </c>
      <c r="P6257" s="1606">
        <v>3947.84</v>
      </c>
      <c r="Q6257" s="1605">
        <v>162.36000000000001</v>
      </c>
      <c r="R6257" s="1606">
        <v>4110.2</v>
      </c>
      <c r="S6257" s="1608"/>
    </row>
    <row r="6258" spans="2:19" s="1609" customFormat="1" ht="11.25" customHeight="1" outlineLevel="1">
      <c r="B6258" s="1602">
        <v>24855</v>
      </c>
      <c r="C6258" s="1603" t="s">
        <v>4924</v>
      </c>
      <c r="D6258" s="1603" t="s">
        <v>4950</v>
      </c>
      <c r="E6258" s="1603"/>
      <c r="F6258" s="1603"/>
      <c r="G6258" s="1603" t="s">
        <v>4949</v>
      </c>
      <c r="H6258" s="1604">
        <v>2</v>
      </c>
      <c r="I6258" s="1603"/>
      <c r="J6258" s="1603"/>
      <c r="K6258" s="1605">
        <v>113</v>
      </c>
      <c r="L6258" s="1605">
        <v>947</v>
      </c>
      <c r="M6258" s="1607"/>
      <c r="N6258" s="1605">
        <v>947</v>
      </c>
      <c r="O6258" s="1605">
        <v>159.08000000000001</v>
      </c>
      <c r="P6258" s="1605">
        <v>756.6</v>
      </c>
      <c r="Q6258" s="1605">
        <v>31.32</v>
      </c>
      <c r="R6258" s="1605">
        <v>787.92</v>
      </c>
      <c r="S6258" s="1608"/>
    </row>
    <row r="6259" spans="2:19" s="1609" customFormat="1" ht="11.25" customHeight="1" outlineLevel="1">
      <c r="B6259" s="1602">
        <v>24857</v>
      </c>
      <c r="C6259" s="1603" t="s">
        <v>4924</v>
      </c>
      <c r="D6259" s="1603" t="s">
        <v>4948</v>
      </c>
      <c r="E6259" s="1603"/>
      <c r="F6259" s="1603"/>
      <c r="G6259" s="1603" t="s">
        <v>4265</v>
      </c>
      <c r="H6259" s="1604">
        <v>2</v>
      </c>
      <c r="I6259" s="1603"/>
      <c r="J6259" s="1603"/>
      <c r="K6259" s="1605">
        <v>635</v>
      </c>
      <c r="L6259" s="1606">
        <v>22403</v>
      </c>
      <c r="M6259" s="1607"/>
      <c r="N6259" s="1606">
        <v>22403</v>
      </c>
      <c r="O6259" s="1606">
        <v>3753.59</v>
      </c>
      <c r="P6259" s="1606">
        <v>17911.05</v>
      </c>
      <c r="Q6259" s="1605">
        <v>738.36</v>
      </c>
      <c r="R6259" s="1606">
        <v>18649.41</v>
      </c>
      <c r="S6259" s="1608"/>
    </row>
    <row r="6260" spans="2:19" s="1609" customFormat="1" ht="11.25" customHeight="1" outlineLevel="1">
      <c r="B6260" s="1602">
        <v>24859</v>
      </c>
      <c r="C6260" s="1603" t="s">
        <v>4924</v>
      </c>
      <c r="D6260" s="1603" t="s">
        <v>4947</v>
      </c>
      <c r="E6260" s="1603"/>
      <c r="F6260" s="1603"/>
      <c r="G6260" s="1603" t="s">
        <v>4940</v>
      </c>
      <c r="H6260" s="1604">
        <v>2</v>
      </c>
      <c r="I6260" s="1603"/>
      <c r="J6260" s="1603"/>
      <c r="K6260" s="1605">
        <v>223</v>
      </c>
      <c r="L6260" s="1606">
        <v>21754</v>
      </c>
      <c r="M6260" s="1607"/>
      <c r="N6260" s="1606">
        <v>21754</v>
      </c>
      <c r="O6260" s="1606">
        <v>3646.48</v>
      </c>
      <c r="P6260" s="1606">
        <v>17390.16</v>
      </c>
      <c r="Q6260" s="1605">
        <v>717.36</v>
      </c>
      <c r="R6260" s="1606">
        <v>18107.52</v>
      </c>
      <c r="S6260" s="1608"/>
    </row>
    <row r="6261" spans="2:19" s="1609" customFormat="1" ht="11.25" customHeight="1" outlineLevel="1">
      <c r="B6261" s="1602">
        <v>24860</v>
      </c>
      <c r="C6261" s="1603" t="s">
        <v>4924</v>
      </c>
      <c r="D6261" s="1603" t="s">
        <v>4946</v>
      </c>
      <c r="E6261" s="1603"/>
      <c r="F6261" s="1603"/>
      <c r="G6261" s="1603" t="s">
        <v>4940</v>
      </c>
      <c r="H6261" s="1604">
        <v>2</v>
      </c>
      <c r="I6261" s="1603"/>
      <c r="J6261" s="1603"/>
      <c r="K6261" s="1605">
        <v>236</v>
      </c>
      <c r="L6261" s="1606">
        <v>25331</v>
      </c>
      <c r="M6261" s="1607"/>
      <c r="N6261" s="1606">
        <v>25331</v>
      </c>
      <c r="O6261" s="1606">
        <v>4245.2299999999996</v>
      </c>
      <c r="P6261" s="1606">
        <v>20250.689999999999</v>
      </c>
      <c r="Q6261" s="1605">
        <v>835.08</v>
      </c>
      <c r="R6261" s="1606">
        <v>21085.77</v>
      </c>
      <c r="S6261" s="1608"/>
    </row>
    <row r="6262" spans="2:19" s="1609" customFormat="1" ht="11.25" customHeight="1" outlineLevel="1">
      <c r="B6262" s="1602">
        <v>24863</v>
      </c>
      <c r="C6262" s="1603" t="s">
        <v>4924</v>
      </c>
      <c r="D6262" s="1603" t="s">
        <v>4945</v>
      </c>
      <c r="E6262" s="1603"/>
      <c r="F6262" s="1603"/>
      <c r="G6262" s="1603" t="s">
        <v>4944</v>
      </c>
      <c r="H6262" s="1604">
        <v>2</v>
      </c>
      <c r="I6262" s="1603"/>
      <c r="J6262" s="1603"/>
      <c r="K6262" s="1605">
        <v>252</v>
      </c>
      <c r="L6262" s="1606">
        <v>10090</v>
      </c>
      <c r="M6262" s="1607"/>
      <c r="N6262" s="1606">
        <v>10090</v>
      </c>
      <c r="O6262" s="1606">
        <v>3720.94</v>
      </c>
      <c r="P6262" s="1606">
        <v>6116.82</v>
      </c>
      <c r="Q6262" s="1605">
        <v>252.24</v>
      </c>
      <c r="R6262" s="1606">
        <v>6369.06</v>
      </c>
      <c r="S6262" s="1608"/>
    </row>
    <row r="6263" spans="2:19" s="1609" customFormat="1" ht="11.25" customHeight="1" outlineLevel="1">
      <c r="B6263" s="1602">
        <v>24864</v>
      </c>
      <c r="C6263" s="1603" t="s">
        <v>4924</v>
      </c>
      <c r="D6263" s="1603" t="s">
        <v>4943</v>
      </c>
      <c r="E6263" s="1603"/>
      <c r="F6263" s="1603"/>
      <c r="G6263" s="1603" t="s">
        <v>4942</v>
      </c>
      <c r="H6263" s="1604">
        <v>2</v>
      </c>
      <c r="I6263" s="1603"/>
      <c r="J6263" s="1603"/>
      <c r="K6263" s="1605">
        <v>252</v>
      </c>
      <c r="L6263" s="1606">
        <v>17658</v>
      </c>
      <c r="M6263" s="1607"/>
      <c r="N6263" s="1606">
        <v>17658</v>
      </c>
      <c r="O6263" s="1606">
        <v>6510.75</v>
      </c>
      <c r="P6263" s="1606">
        <v>10705.89</v>
      </c>
      <c r="Q6263" s="1605">
        <v>441.36</v>
      </c>
      <c r="R6263" s="1606">
        <v>11147.25</v>
      </c>
      <c r="S6263" s="1608"/>
    </row>
    <row r="6264" spans="2:19" s="1609" customFormat="1" ht="11.25" customHeight="1" outlineLevel="1">
      <c r="B6264" s="1602">
        <v>24865</v>
      </c>
      <c r="C6264" s="1603" t="s">
        <v>4924</v>
      </c>
      <c r="D6264" s="1603" t="s">
        <v>4941</v>
      </c>
      <c r="E6264" s="1603"/>
      <c r="F6264" s="1603"/>
      <c r="G6264" s="1603" t="s">
        <v>4940</v>
      </c>
      <c r="H6264" s="1604">
        <v>2</v>
      </c>
      <c r="I6264" s="1603"/>
      <c r="J6264" s="1603"/>
      <c r="K6264" s="1605">
        <v>223</v>
      </c>
      <c r="L6264" s="1606">
        <v>9483</v>
      </c>
      <c r="M6264" s="1607"/>
      <c r="N6264" s="1606">
        <v>9483</v>
      </c>
      <c r="O6264" s="1606">
        <v>1589.73</v>
      </c>
      <c r="P6264" s="1606">
        <v>7580.55</v>
      </c>
      <c r="Q6264" s="1605">
        <v>312.72000000000003</v>
      </c>
      <c r="R6264" s="1606">
        <v>7893.27</v>
      </c>
      <c r="S6264" s="1608"/>
    </row>
    <row r="6265" spans="2:19" s="1609" customFormat="1" ht="11.25" customHeight="1" outlineLevel="1">
      <c r="B6265" s="1602">
        <v>24866</v>
      </c>
      <c r="C6265" s="1603" t="s">
        <v>4924</v>
      </c>
      <c r="D6265" s="1603" t="s">
        <v>4939</v>
      </c>
      <c r="E6265" s="1603"/>
      <c r="F6265" s="1603"/>
      <c r="G6265" s="1603" t="s">
        <v>4938</v>
      </c>
      <c r="H6265" s="1604">
        <v>2</v>
      </c>
      <c r="I6265" s="1603"/>
      <c r="J6265" s="1603"/>
      <c r="K6265" s="1605">
        <v>252</v>
      </c>
      <c r="L6265" s="1606">
        <v>15917</v>
      </c>
      <c r="M6265" s="1607"/>
      <c r="N6265" s="1606">
        <v>15917</v>
      </c>
      <c r="O6265" s="1606">
        <v>5869.52</v>
      </c>
      <c r="P6265" s="1606">
        <v>9649.56</v>
      </c>
      <c r="Q6265" s="1605">
        <v>397.92</v>
      </c>
      <c r="R6265" s="1606">
        <v>10047.48</v>
      </c>
      <c r="S6265" s="1608"/>
    </row>
    <row r="6266" spans="2:19" s="1609" customFormat="1" ht="11.25" customHeight="1" outlineLevel="1">
      <c r="B6266" s="1602">
        <v>24867</v>
      </c>
      <c r="C6266" s="1603" t="s">
        <v>4924</v>
      </c>
      <c r="D6266" s="1603" t="s">
        <v>4937</v>
      </c>
      <c r="E6266" s="1603"/>
      <c r="F6266" s="1603"/>
      <c r="G6266" s="1603" t="s">
        <v>4922</v>
      </c>
      <c r="H6266" s="1604">
        <v>2</v>
      </c>
      <c r="I6266" s="1603"/>
      <c r="J6266" s="1603"/>
      <c r="K6266" s="1605">
        <v>252</v>
      </c>
      <c r="L6266" s="1606">
        <v>12184</v>
      </c>
      <c r="M6266" s="1607"/>
      <c r="N6266" s="1606">
        <v>12184</v>
      </c>
      <c r="O6266" s="1606">
        <v>4493.74</v>
      </c>
      <c r="P6266" s="1606">
        <v>7385.58</v>
      </c>
      <c r="Q6266" s="1605">
        <v>304.68</v>
      </c>
      <c r="R6266" s="1606">
        <v>7690.26</v>
      </c>
      <c r="S6266" s="1608"/>
    </row>
    <row r="6267" spans="2:19" s="1609" customFormat="1" ht="11.25" customHeight="1" outlineLevel="1">
      <c r="B6267" s="1602">
        <v>24873</v>
      </c>
      <c r="C6267" s="1603" t="s">
        <v>4924</v>
      </c>
      <c r="D6267" s="1603" t="s">
        <v>4936</v>
      </c>
      <c r="E6267" s="1603"/>
      <c r="F6267" s="1603"/>
      <c r="G6267" s="1603" t="s">
        <v>4935</v>
      </c>
      <c r="H6267" s="1604">
        <v>2</v>
      </c>
      <c r="I6267" s="1603"/>
      <c r="J6267" s="1603"/>
      <c r="K6267" s="1605">
        <v>94</v>
      </c>
      <c r="L6267" s="1606">
        <v>4429</v>
      </c>
      <c r="M6267" s="1607"/>
      <c r="N6267" s="1606">
        <v>4429</v>
      </c>
      <c r="O6267" s="1606">
        <v>1632.43</v>
      </c>
      <c r="P6267" s="1606">
        <v>2685.93</v>
      </c>
      <c r="Q6267" s="1605">
        <v>110.64</v>
      </c>
      <c r="R6267" s="1606">
        <v>2796.57</v>
      </c>
      <c r="S6267" s="1608"/>
    </row>
    <row r="6268" spans="2:19" s="1609" customFormat="1" ht="11.25" customHeight="1" outlineLevel="1">
      <c r="B6268" s="1602">
        <v>24874</v>
      </c>
      <c r="C6268" s="1603" t="s">
        <v>4924</v>
      </c>
      <c r="D6268" s="1603" t="s">
        <v>4934</v>
      </c>
      <c r="E6268" s="1603"/>
      <c r="F6268" s="1603"/>
      <c r="G6268" s="1603" t="s">
        <v>4933</v>
      </c>
      <c r="H6268" s="1604">
        <v>2</v>
      </c>
      <c r="I6268" s="1603"/>
      <c r="J6268" s="1603"/>
      <c r="K6268" s="1605">
        <v>119</v>
      </c>
      <c r="L6268" s="1606">
        <v>2027</v>
      </c>
      <c r="M6268" s="1607"/>
      <c r="N6268" s="1606">
        <v>2027</v>
      </c>
      <c r="O6268" s="1606">
        <v>1002.86</v>
      </c>
      <c r="P6268" s="1605">
        <v>983.58</v>
      </c>
      <c r="Q6268" s="1605">
        <v>40.56</v>
      </c>
      <c r="R6268" s="1606">
        <v>1024.1400000000001</v>
      </c>
      <c r="S6268" s="1608"/>
    </row>
    <row r="6269" spans="2:19" s="1725" customFormat="1" ht="11.25" customHeight="1" outlineLevel="1">
      <c r="B6269" s="1718">
        <v>24896</v>
      </c>
      <c r="C6269" s="1719" t="s">
        <v>4924</v>
      </c>
      <c r="D6269" s="1719" t="s">
        <v>4932</v>
      </c>
      <c r="E6269" s="1719"/>
      <c r="F6269" s="1719"/>
      <c r="G6269" s="1719" t="s">
        <v>4929</v>
      </c>
      <c r="H6269" s="1720">
        <v>2</v>
      </c>
      <c r="I6269" s="1719"/>
      <c r="J6269" s="1719"/>
      <c r="K6269" s="1721">
        <v>821</v>
      </c>
      <c r="L6269" s="1722">
        <v>173050</v>
      </c>
      <c r="M6269" s="1723"/>
      <c r="N6269" s="1722">
        <v>173050</v>
      </c>
      <c r="O6269" s="1722">
        <v>37560.639999999999</v>
      </c>
      <c r="P6269" s="1722">
        <v>130123.56</v>
      </c>
      <c r="Q6269" s="1722">
        <v>5365.8</v>
      </c>
      <c r="R6269" s="1722">
        <v>135489.35999999999</v>
      </c>
      <c r="S6269" s="1724"/>
    </row>
    <row r="6270" spans="2:19" s="1609" customFormat="1" ht="11.25" customHeight="1" outlineLevel="1">
      <c r="B6270" s="1602">
        <v>24897</v>
      </c>
      <c r="C6270" s="1603" t="s">
        <v>4924</v>
      </c>
      <c r="D6270" s="1603" t="s">
        <v>4931</v>
      </c>
      <c r="E6270" s="1603"/>
      <c r="F6270" s="1603"/>
      <c r="G6270" s="1603" t="s">
        <v>4929</v>
      </c>
      <c r="H6270" s="1604">
        <v>2</v>
      </c>
      <c r="I6270" s="1603"/>
      <c r="J6270" s="1603"/>
      <c r="K6270" s="1605">
        <v>82</v>
      </c>
      <c r="L6270" s="1606">
        <v>34914</v>
      </c>
      <c r="M6270" s="1607"/>
      <c r="N6270" s="1606">
        <v>34914</v>
      </c>
      <c r="O6270" s="1606">
        <v>17282.43</v>
      </c>
      <c r="P6270" s="1606">
        <v>16933.29</v>
      </c>
      <c r="Q6270" s="1605">
        <v>698.28</v>
      </c>
      <c r="R6270" s="1606">
        <v>17631.57</v>
      </c>
      <c r="S6270" s="1608"/>
    </row>
    <row r="6271" spans="2:19" s="1609" customFormat="1" ht="11.25" customHeight="1" outlineLevel="1">
      <c r="B6271" s="1602">
        <v>24898</v>
      </c>
      <c r="C6271" s="1603" t="s">
        <v>4924</v>
      </c>
      <c r="D6271" s="1603" t="s">
        <v>4930</v>
      </c>
      <c r="E6271" s="1603"/>
      <c r="F6271" s="1603"/>
      <c r="G6271" s="1603" t="s">
        <v>4929</v>
      </c>
      <c r="H6271" s="1604">
        <v>2</v>
      </c>
      <c r="I6271" s="1603"/>
      <c r="J6271" s="1603"/>
      <c r="K6271" s="1605">
        <v>82</v>
      </c>
      <c r="L6271" s="1606">
        <v>49291</v>
      </c>
      <c r="M6271" s="1607"/>
      <c r="N6271" s="1606">
        <v>49291</v>
      </c>
      <c r="O6271" s="1606">
        <v>24399.55</v>
      </c>
      <c r="P6271" s="1606">
        <v>23905.65</v>
      </c>
      <c r="Q6271" s="1605">
        <v>985.8</v>
      </c>
      <c r="R6271" s="1606">
        <v>24891.45</v>
      </c>
      <c r="S6271" s="1608"/>
    </row>
    <row r="6272" spans="2:19" s="1609" customFormat="1" ht="11.25" customHeight="1" outlineLevel="1">
      <c r="B6272" s="1602">
        <v>24905</v>
      </c>
      <c r="C6272" s="1603" t="s">
        <v>4924</v>
      </c>
      <c r="D6272" s="1603" t="s">
        <v>4928</v>
      </c>
      <c r="E6272" s="1603"/>
      <c r="F6272" s="1603"/>
      <c r="G6272" s="1603" t="s">
        <v>4927</v>
      </c>
      <c r="H6272" s="1604">
        <v>2</v>
      </c>
      <c r="I6272" s="1603"/>
      <c r="J6272" s="1603"/>
      <c r="K6272" s="1606">
        <v>22067</v>
      </c>
      <c r="L6272" s="1606">
        <v>110336</v>
      </c>
      <c r="M6272" s="1607"/>
      <c r="N6272" s="1606">
        <v>110336</v>
      </c>
      <c r="O6272" s="1606">
        <v>18490.62</v>
      </c>
      <c r="P6272" s="1606">
        <v>88207.92</v>
      </c>
      <c r="Q6272" s="1606">
        <v>3637.46</v>
      </c>
      <c r="R6272" s="1606">
        <v>91845.38</v>
      </c>
      <c r="S6272" s="1608"/>
    </row>
    <row r="6273" spans="2:19" s="1609" customFormat="1" ht="11.25" customHeight="1" outlineLevel="1">
      <c r="B6273" s="1602">
        <v>24908</v>
      </c>
      <c r="C6273" s="1603" t="s">
        <v>4924</v>
      </c>
      <c r="D6273" s="1603" t="s">
        <v>4926</v>
      </c>
      <c r="E6273" s="1603"/>
      <c r="F6273" s="1603"/>
      <c r="G6273" s="1603" t="s">
        <v>4925</v>
      </c>
      <c r="H6273" s="1604">
        <v>2</v>
      </c>
      <c r="I6273" s="1603"/>
      <c r="J6273" s="1603"/>
      <c r="K6273" s="1605">
        <v>14</v>
      </c>
      <c r="L6273" s="1606">
        <v>5980</v>
      </c>
      <c r="M6273" s="1607"/>
      <c r="N6273" s="1606">
        <v>5980</v>
      </c>
      <c r="O6273" s="1606">
        <v>2204.62</v>
      </c>
      <c r="P6273" s="1606">
        <v>3625.86</v>
      </c>
      <c r="Q6273" s="1605">
        <v>149.52000000000001</v>
      </c>
      <c r="R6273" s="1606">
        <v>3775.38</v>
      </c>
      <c r="S6273" s="1608"/>
    </row>
    <row r="6274" spans="2:19" s="1609" customFormat="1" ht="11.25" customHeight="1" outlineLevel="1">
      <c r="B6274" s="1602">
        <v>24936</v>
      </c>
      <c r="C6274" s="1603" t="s">
        <v>4924</v>
      </c>
      <c r="D6274" s="1603" t="s">
        <v>4923</v>
      </c>
      <c r="E6274" s="1603"/>
      <c r="F6274" s="1603"/>
      <c r="G6274" s="1603" t="s">
        <v>4922</v>
      </c>
      <c r="H6274" s="1604">
        <v>2</v>
      </c>
      <c r="I6274" s="1603"/>
      <c r="J6274" s="1603"/>
      <c r="K6274" s="1605">
        <v>265</v>
      </c>
      <c r="L6274" s="1606">
        <v>7949</v>
      </c>
      <c r="M6274" s="1607"/>
      <c r="N6274" s="1606">
        <v>7949</v>
      </c>
      <c r="O6274" s="1606">
        <v>2931.32</v>
      </c>
      <c r="P6274" s="1606">
        <v>4818.96</v>
      </c>
      <c r="Q6274" s="1605">
        <v>198.72</v>
      </c>
      <c r="R6274" s="1606">
        <v>5017.68</v>
      </c>
      <c r="S6274" s="1608"/>
    </row>
    <row r="6275" spans="2:19" s="1609" customFormat="1" ht="11.25" customHeight="1" outlineLevel="1">
      <c r="B6275" s="1602">
        <v>24939</v>
      </c>
      <c r="C6275" s="1603" t="s">
        <v>4878</v>
      </c>
      <c r="D6275" s="1603" t="s">
        <v>4921</v>
      </c>
      <c r="E6275" s="1603"/>
      <c r="F6275" s="1603"/>
      <c r="G6275" s="1603" t="s">
        <v>4920</v>
      </c>
      <c r="H6275" s="1604">
        <v>2</v>
      </c>
      <c r="I6275" s="1603"/>
      <c r="J6275" s="1603"/>
      <c r="K6275" s="1605">
        <v>119</v>
      </c>
      <c r="L6275" s="1606">
        <v>8407</v>
      </c>
      <c r="M6275" s="1607"/>
      <c r="N6275" s="1606">
        <v>8407</v>
      </c>
      <c r="O6275" s="1606">
        <v>4175.9799999999996</v>
      </c>
      <c r="P6275" s="1606">
        <v>4062.9</v>
      </c>
      <c r="Q6275" s="1605">
        <v>168.12</v>
      </c>
      <c r="R6275" s="1606">
        <v>4231.0200000000004</v>
      </c>
      <c r="S6275" s="1608"/>
    </row>
    <row r="6276" spans="2:19" s="1609" customFormat="1" ht="11.25" customHeight="1" outlineLevel="1">
      <c r="B6276" s="1602">
        <v>24942</v>
      </c>
      <c r="C6276" s="1603" t="s">
        <v>4878</v>
      </c>
      <c r="D6276" s="1603" t="s">
        <v>4919</v>
      </c>
      <c r="E6276" s="1603"/>
      <c r="F6276" s="1603"/>
      <c r="G6276" s="1603" t="s">
        <v>4917</v>
      </c>
      <c r="H6276" s="1604">
        <v>2</v>
      </c>
      <c r="I6276" s="1603"/>
      <c r="J6276" s="1603"/>
      <c r="K6276" s="1605">
        <v>107</v>
      </c>
      <c r="L6276" s="1606">
        <v>15377</v>
      </c>
      <c r="M6276" s="1607"/>
      <c r="N6276" s="1606">
        <v>15377</v>
      </c>
      <c r="O6276" s="1606">
        <v>5701.04</v>
      </c>
      <c r="P6276" s="1606">
        <v>9291.6</v>
      </c>
      <c r="Q6276" s="1605">
        <v>384.36</v>
      </c>
      <c r="R6276" s="1606">
        <v>9675.9599999999991</v>
      </c>
      <c r="S6276" s="1608"/>
    </row>
    <row r="6277" spans="2:19" s="1609" customFormat="1" ht="11.25" customHeight="1" outlineLevel="1">
      <c r="B6277" s="1602">
        <v>24943</v>
      </c>
      <c r="C6277" s="1603" t="s">
        <v>4878</v>
      </c>
      <c r="D6277" s="1603" t="s">
        <v>4918</v>
      </c>
      <c r="E6277" s="1603"/>
      <c r="F6277" s="1603"/>
      <c r="G6277" s="1603" t="s">
        <v>4917</v>
      </c>
      <c r="H6277" s="1604">
        <v>2</v>
      </c>
      <c r="I6277" s="1603"/>
      <c r="J6277" s="1603"/>
      <c r="K6277" s="1605">
        <v>119</v>
      </c>
      <c r="L6277" s="1606">
        <v>4722</v>
      </c>
      <c r="M6277" s="1607"/>
      <c r="N6277" s="1606">
        <v>4722</v>
      </c>
      <c r="O6277" s="1606">
        <v>2345.2600000000002</v>
      </c>
      <c r="P6277" s="1606">
        <v>2282.3000000000002</v>
      </c>
      <c r="Q6277" s="1605">
        <v>94.44</v>
      </c>
      <c r="R6277" s="1606">
        <v>2376.7399999999998</v>
      </c>
      <c r="S6277" s="1608"/>
    </row>
    <row r="6278" spans="2:19" s="1609" customFormat="1" ht="11.25" customHeight="1" outlineLevel="1">
      <c r="B6278" s="1602">
        <v>24949</v>
      </c>
      <c r="C6278" s="1603" t="s">
        <v>4878</v>
      </c>
      <c r="D6278" s="1603" t="s">
        <v>4916</v>
      </c>
      <c r="E6278" s="1603"/>
      <c r="F6278" s="1603"/>
      <c r="G6278" s="1603" t="s">
        <v>4914</v>
      </c>
      <c r="H6278" s="1604">
        <v>2</v>
      </c>
      <c r="I6278" s="1603"/>
      <c r="J6278" s="1603"/>
      <c r="K6278" s="1605">
        <v>89</v>
      </c>
      <c r="L6278" s="1606">
        <v>1594</v>
      </c>
      <c r="M6278" s="1607"/>
      <c r="N6278" s="1606">
        <v>1594</v>
      </c>
      <c r="O6278" s="1605">
        <v>790.8</v>
      </c>
      <c r="P6278" s="1605">
        <v>771.4</v>
      </c>
      <c r="Q6278" s="1605">
        <v>31.8</v>
      </c>
      <c r="R6278" s="1605">
        <v>803.2</v>
      </c>
      <c r="S6278" s="1608"/>
    </row>
    <row r="6279" spans="2:19" s="1609" customFormat="1" ht="11.25" customHeight="1" outlineLevel="1">
      <c r="B6279" s="1602">
        <v>24950</v>
      </c>
      <c r="C6279" s="1603" t="s">
        <v>4878</v>
      </c>
      <c r="D6279" s="1603" t="s">
        <v>4915</v>
      </c>
      <c r="E6279" s="1603"/>
      <c r="F6279" s="1603"/>
      <c r="G6279" s="1603" t="s">
        <v>4914</v>
      </c>
      <c r="H6279" s="1604">
        <v>2</v>
      </c>
      <c r="I6279" s="1603"/>
      <c r="J6279" s="1603"/>
      <c r="K6279" s="1605">
        <v>88</v>
      </c>
      <c r="L6279" s="1606">
        <v>2431</v>
      </c>
      <c r="M6279" s="1607"/>
      <c r="N6279" s="1606">
        <v>2431</v>
      </c>
      <c r="O6279" s="1606">
        <v>1207.9000000000001</v>
      </c>
      <c r="P6279" s="1606">
        <v>1174.5</v>
      </c>
      <c r="Q6279" s="1605">
        <v>48.6</v>
      </c>
      <c r="R6279" s="1606">
        <v>1223.0999999999999</v>
      </c>
      <c r="S6279" s="1608"/>
    </row>
    <row r="6280" spans="2:19" s="1609" customFormat="1" ht="11.25" customHeight="1" outlineLevel="1">
      <c r="B6280" s="1602">
        <v>24951</v>
      </c>
      <c r="C6280" s="1603" t="s">
        <v>4878</v>
      </c>
      <c r="D6280" s="1603" t="s">
        <v>4913</v>
      </c>
      <c r="E6280" s="1603"/>
      <c r="F6280" s="1603"/>
      <c r="G6280" s="1603" t="s">
        <v>4911</v>
      </c>
      <c r="H6280" s="1604">
        <v>2</v>
      </c>
      <c r="I6280" s="1603"/>
      <c r="J6280" s="1603"/>
      <c r="K6280" s="1605">
        <v>84</v>
      </c>
      <c r="L6280" s="1606">
        <v>1051</v>
      </c>
      <c r="M6280" s="1607"/>
      <c r="N6280" s="1606">
        <v>1051</v>
      </c>
      <c r="O6280" s="1605">
        <v>389.62</v>
      </c>
      <c r="P6280" s="1605">
        <v>635.1</v>
      </c>
      <c r="Q6280" s="1605">
        <v>26.28</v>
      </c>
      <c r="R6280" s="1605">
        <v>661.38</v>
      </c>
      <c r="S6280" s="1608"/>
    </row>
    <row r="6281" spans="2:19" s="1609" customFormat="1" ht="11.25" customHeight="1" outlineLevel="1">
      <c r="B6281" s="1602">
        <v>24952</v>
      </c>
      <c r="C6281" s="1603" t="s">
        <v>4878</v>
      </c>
      <c r="D6281" s="1603" t="s">
        <v>4912</v>
      </c>
      <c r="E6281" s="1603"/>
      <c r="F6281" s="1603"/>
      <c r="G6281" s="1603" t="s">
        <v>4911</v>
      </c>
      <c r="H6281" s="1604">
        <v>2</v>
      </c>
      <c r="I6281" s="1603"/>
      <c r="J6281" s="1603"/>
      <c r="K6281" s="1605">
        <v>70</v>
      </c>
      <c r="L6281" s="1606">
        <v>1394</v>
      </c>
      <c r="M6281" s="1607"/>
      <c r="N6281" s="1606">
        <v>1394</v>
      </c>
      <c r="O6281" s="1605">
        <v>237.34</v>
      </c>
      <c r="P6281" s="1606">
        <v>1110.7</v>
      </c>
      <c r="Q6281" s="1605">
        <v>45.96</v>
      </c>
      <c r="R6281" s="1606">
        <v>1156.6600000000001</v>
      </c>
      <c r="S6281" s="1608"/>
    </row>
    <row r="6282" spans="2:19" s="1609" customFormat="1" ht="11.25" customHeight="1" outlineLevel="1">
      <c r="B6282" s="1602">
        <v>24953</v>
      </c>
      <c r="C6282" s="1603" t="s">
        <v>4878</v>
      </c>
      <c r="D6282" s="1603" t="s">
        <v>4910</v>
      </c>
      <c r="E6282" s="1603"/>
      <c r="F6282" s="1603"/>
      <c r="G6282" s="1603" t="s">
        <v>4909</v>
      </c>
      <c r="H6282" s="1604">
        <v>2</v>
      </c>
      <c r="I6282" s="1603"/>
      <c r="J6282" s="1603"/>
      <c r="K6282" s="1605">
        <v>67</v>
      </c>
      <c r="L6282" s="1606">
        <v>3286</v>
      </c>
      <c r="M6282" s="1607"/>
      <c r="N6282" s="1606">
        <v>3286</v>
      </c>
      <c r="O6282" s="1605">
        <v>559.05999999999995</v>
      </c>
      <c r="P6282" s="1606">
        <v>2618.6999999999998</v>
      </c>
      <c r="Q6282" s="1605">
        <v>108.24</v>
      </c>
      <c r="R6282" s="1606">
        <v>2726.94</v>
      </c>
      <c r="S6282" s="1608"/>
    </row>
    <row r="6283" spans="2:19" s="1609" customFormat="1" ht="11.25" customHeight="1" outlineLevel="1">
      <c r="B6283" s="1602">
        <v>24956</v>
      </c>
      <c r="C6283" s="1603" t="s">
        <v>4878</v>
      </c>
      <c r="D6283" s="1603" t="s">
        <v>4908</v>
      </c>
      <c r="E6283" s="1603"/>
      <c r="F6283" s="1603"/>
      <c r="G6283" s="1603" t="s">
        <v>3709</v>
      </c>
      <c r="H6283" s="1604">
        <v>2</v>
      </c>
      <c r="I6283" s="1603"/>
      <c r="J6283" s="1603"/>
      <c r="K6283" s="1605">
        <v>264</v>
      </c>
      <c r="L6283" s="1606">
        <v>57168</v>
      </c>
      <c r="M6283" s="1607"/>
      <c r="N6283" s="1606">
        <v>57168</v>
      </c>
      <c r="O6283" s="1606">
        <v>21199.8</v>
      </c>
      <c r="P6283" s="1606">
        <v>34539</v>
      </c>
      <c r="Q6283" s="1606">
        <v>1429.2</v>
      </c>
      <c r="R6283" s="1606">
        <v>35968.199999999997</v>
      </c>
      <c r="S6283" s="1608"/>
    </row>
    <row r="6284" spans="2:19" s="1609" customFormat="1" ht="11.25" customHeight="1" outlineLevel="1">
      <c r="B6284" s="1602">
        <v>24974</v>
      </c>
      <c r="C6284" s="1603" t="s">
        <v>4878</v>
      </c>
      <c r="D6284" s="1603" t="s">
        <v>4907</v>
      </c>
      <c r="E6284" s="1603"/>
      <c r="F6284" s="1603"/>
      <c r="G6284" s="1603" t="s">
        <v>4885</v>
      </c>
      <c r="H6284" s="1604">
        <v>2</v>
      </c>
      <c r="I6284" s="1603"/>
      <c r="J6284" s="1603"/>
      <c r="K6284" s="1605">
        <v>209</v>
      </c>
      <c r="L6284" s="1606">
        <v>61229</v>
      </c>
      <c r="M6284" s="1607"/>
      <c r="N6284" s="1606">
        <v>61229</v>
      </c>
      <c r="O6284" s="1606">
        <v>10429.459999999999</v>
      </c>
      <c r="P6284" s="1606">
        <v>48780.9</v>
      </c>
      <c r="Q6284" s="1606">
        <v>2018.64</v>
      </c>
      <c r="R6284" s="1606">
        <v>50799.54</v>
      </c>
      <c r="S6284" s="1608"/>
    </row>
    <row r="6285" spans="2:19" s="1609" customFormat="1" ht="11.25" customHeight="1" outlineLevel="1">
      <c r="B6285" s="1602">
        <v>24975</v>
      </c>
      <c r="C6285" s="1603" t="s">
        <v>4878</v>
      </c>
      <c r="D6285" s="1603" t="s">
        <v>4906</v>
      </c>
      <c r="E6285" s="1603"/>
      <c r="F6285" s="1603"/>
      <c r="G6285" s="1603" t="s">
        <v>4905</v>
      </c>
      <c r="H6285" s="1604">
        <v>2</v>
      </c>
      <c r="I6285" s="1603"/>
      <c r="J6285" s="1603"/>
      <c r="K6285" s="1605">
        <v>209</v>
      </c>
      <c r="L6285" s="1606">
        <v>23914</v>
      </c>
      <c r="M6285" s="1607"/>
      <c r="N6285" s="1606">
        <v>23914</v>
      </c>
      <c r="O6285" s="1606">
        <v>4072.72</v>
      </c>
      <c r="P6285" s="1606">
        <v>19053</v>
      </c>
      <c r="Q6285" s="1605">
        <v>788.28</v>
      </c>
      <c r="R6285" s="1606">
        <v>19841.28</v>
      </c>
      <c r="S6285" s="1608"/>
    </row>
    <row r="6286" spans="2:19" s="1609" customFormat="1" ht="11.25" customHeight="1" outlineLevel="1">
      <c r="B6286" s="1602">
        <v>24976</v>
      </c>
      <c r="C6286" s="1603" t="s">
        <v>4878</v>
      </c>
      <c r="D6286" s="1603" t="s">
        <v>4904</v>
      </c>
      <c r="E6286" s="1603"/>
      <c r="F6286" s="1603"/>
      <c r="G6286" s="1603" t="s">
        <v>4903</v>
      </c>
      <c r="H6286" s="1604">
        <v>2</v>
      </c>
      <c r="I6286" s="1603"/>
      <c r="J6286" s="1603"/>
      <c r="K6286" s="1605">
        <v>160</v>
      </c>
      <c r="L6286" s="1606">
        <v>23451</v>
      </c>
      <c r="M6286" s="1607"/>
      <c r="N6286" s="1606">
        <v>23451</v>
      </c>
      <c r="O6286" s="1606">
        <v>3993.38</v>
      </c>
      <c r="P6286" s="1606">
        <v>18684.7</v>
      </c>
      <c r="Q6286" s="1605">
        <v>772.92</v>
      </c>
      <c r="R6286" s="1606">
        <v>19457.62</v>
      </c>
      <c r="S6286" s="1608"/>
    </row>
    <row r="6287" spans="2:19" s="1609" customFormat="1" ht="11.25" customHeight="1" outlineLevel="1">
      <c r="B6287" s="1602">
        <v>24977</v>
      </c>
      <c r="C6287" s="1603" t="s">
        <v>4878</v>
      </c>
      <c r="D6287" s="1603" t="s">
        <v>4902</v>
      </c>
      <c r="E6287" s="1603"/>
      <c r="F6287" s="1603"/>
      <c r="G6287" s="1603" t="s">
        <v>4901</v>
      </c>
      <c r="H6287" s="1604">
        <v>2</v>
      </c>
      <c r="I6287" s="1603"/>
      <c r="J6287" s="1603"/>
      <c r="K6287" s="1605">
        <v>281</v>
      </c>
      <c r="L6287" s="1606">
        <v>33197</v>
      </c>
      <c r="M6287" s="1607"/>
      <c r="N6287" s="1606">
        <v>33197</v>
      </c>
      <c r="O6287" s="1606">
        <v>12310.68</v>
      </c>
      <c r="P6287" s="1606">
        <v>20056.400000000001</v>
      </c>
      <c r="Q6287" s="1605">
        <v>829.92</v>
      </c>
      <c r="R6287" s="1606">
        <v>20886.32</v>
      </c>
      <c r="S6287" s="1608"/>
    </row>
    <row r="6288" spans="2:19" s="1609" customFormat="1" ht="11.25" customHeight="1" outlineLevel="1">
      <c r="B6288" s="1602">
        <v>24978</v>
      </c>
      <c r="C6288" s="1603" t="s">
        <v>4878</v>
      </c>
      <c r="D6288" s="1603" t="s">
        <v>4900</v>
      </c>
      <c r="E6288" s="1603"/>
      <c r="F6288" s="1603"/>
      <c r="G6288" s="1603" t="s">
        <v>4899</v>
      </c>
      <c r="H6288" s="1604">
        <v>2</v>
      </c>
      <c r="I6288" s="1603"/>
      <c r="J6288" s="1603"/>
      <c r="K6288" s="1605">
        <v>264</v>
      </c>
      <c r="L6288" s="1606">
        <v>16876</v>
      </c>
      <c r="M6288" s="1607"/>
      <c r="N6288" s="1606">
        <v>16876</v>
      </c>
      <c r="O6288" s="1606">
        <v>6257.68</v>
      </c>
      <c r="P6288" s="1606">
        <v>10196.4</v>
      </c>
      <c r="Q6288" s="1605">
        <v>421.92</v>
      </c>
      <c r="R6288" s="1606">
        <v>10618.32</v>
      </c>
      <c r="S6288" s="1608"/>
    </row>
    <row r="6289" spans="2:19" s="1609" customFormat="1" ht="11.25" customHeight="1" outlineLevel="1">
      <c r="B6289" s="1602">
        <v>24979</v>
      </c>
      <c r="C6289" s="1603" t="s">
        <v>4878</v>
      </c>
      <c r="D6289" s="1603" t="s">
        <v>4898</v>
      </c>
      <c r="E6289" s="1603"/>
      <c r="F6289" s="1603"/>
      <c r="G6289" s="1603" t="s">
        <v>4897</v>
      </c>
      <c r="H6289" s="1604">
        <v>2</v>
      </c>
      <c r="I6289" s="1603"/>
      <c r="J6289" s="1603"/>
      <c r="K6289" s="1605">
        <v>264</v>
      </c>
      <c r="L6289" s="1606">
        <v>12341</v>
      </c>
      <c r="M6289" s="1607"/>
      <c r="N6289" s="1606">
        <v>12341</v>
      </c>
      <c r="O6289" s="1606">
        <v>4576.58</v>
      </c>
      <c r="P6289" s="1606">
        <v>7455.9</v>
      </c>
      <c r="Q6289" s="1605">
        <v>308.52</v>
      </c>
      <c r="R6289" s="1606">
        <v>7764.42</v>
      </c>
      <c r="S6289" s="1608"/>
    </row>
    <row r="6290" spans="2:19" s="1609" customFormat="1" ht="11.25" customHeight="1" outlineLevel="1">
      <c r="B6290" s="1602">
        <v>24980</v>
      </c>
      <c r="C6290" s="1603" t="s">
        <v>4878</v>
      </c>
      <c r="D6290" s="1603" t="s">
        <v>4896</v>
      </c>
      <c r="E6290" s="1603"/>
      <c r="F6290" s="1603"/>
      <c r="G6290" s="1603" t="s">
        <v>4895</v>
      </c>
      <c r="H6290" s="1604">
        <v>2</v>
      </c>
      <c r="I6290" s="1603"/>
      <c r="J6290" s="1603"/>
      <c r="K6290" s="1605">
        <v>209</v>
      </c>
      <c r="L6290" s="1606">
        <v>40729</v>
      </c>
      <c r="M6290" s="1607"/>
      <c r="N6290" s="1606">
        <v>40729</v>
      </c>
      <c r="O6290" s="1606">
        <v>6938.1</v>
      </c>
      <c r="P6290" s="1606">
        <v>32448.1</v>
      </c>
      <c r="Q6290" s="1606">
        <v>1342.8</v>
      </c>
      <c r="R6290" s="1606">
        <v>33790.9</v>
      </c>
      <c r="S6290" s="1608"/>
    </row>
    <row r="6291" spans="2:19" s="1609" customFormat="1" ht="11.25" customHeight="1" outlineLevel="1">
      <c r="B6291" s="1602">
        <v>24981</v>
      </c>
      <c r="C6291" s="1603" t="s">
        <v>4878</v>
      </c>
      <c r="D6291" s="1603" t="s">
        <v>4894</v>
      </c>
      <c r="E6291" s="1603"/>
      <c r="F6291" s="1603"/>
      <c r="G6291" s="1603" t="s">
        <v>4893</v>
      </c>
      <c r="H6291" s="1604">
        <v>2</v>
      </c>
      <c r="I6291" s="1603"/>
      <c r="J6291" s="1603"/>
      <c r="K6291" s="1605">
        <v>264</v>
      </c>
      <c r="L6291" s="1606">
        <v>34253</v>
      </c>
      <c r="M6291" s="1607"/>
      <c r="N6291" s="1606">
        <v>34253</v>
      </c>
      <c r="O6291" s="1606">
        <v>12702.28</v>
      </c>
      <c r="P6291" s="1606">
        <v>20694.400000000001</v>
      </c>
      <c r="Q6291" s="1605">
        <v>856.32</v>
      </c>
      <c r="R6291" s="1606">
        <v>21550.720000000001</v>
      </c>
      <c r="S6291" s="1608"/>
    </row>
    <row r="6292" spans="2:19" s="1609" customFormat="1" ht="11.25" customHeight="1" outlineLevel="1">
      <c r="B6292" s="1602">
        <v>24982</v>
      </c>
      <c r="C6292" s="1603" t="s">
        <v>4878</v>
      </c>
      <c r="D6292" s="1603" t="s">
        <v>4892</v>
      </c>
      <c r="E6292" s="1603"/>
      <c r="F6292" s="1603"/>
      <c r="G6292" s="1603" t="s">
        <v>4891</v>
      </c>
      <c r="H6292" s="1604">
        <v>2</v>
      </c>
      <c r="I6292" s="1603"/>
      <c r="J6292" s="1603"/>
      <c r="K6292" s="1605">
        <v>209</v>
      </c>
      <c r="L6292" s="1606">
        <v>27788</v>
      </c>
      <c r="M6292" s="1607"/>
      <c r="N6292" s="1606">
        <v>27788</v>
      </c>
      <c r="O6292" s="1606">
        <v>4733.32</v>
      </c>
      <c r="P6292" s="1606">
        <v>22138.6</v>
      </c>
      <c r="Q6292" s="1605">
        <v>916.08</v>
      </c>
      <c r="R6292" s="1606">
        <v>23054.68</v>
      </c>
      <c r="S6292" s="1608"/>
    </row>
    <row r="6293" spans="2:19" s="1609" customFormat="1" ht="11.25" customHeight="1" outlineLevel="1">
      <c r="B6293" s="1602">
        <v>24983</v>
      </c>
      <c r="C6293" s="1603" t="s">
        <v>4878</v>
      </c>
      <c r="D6293" s="1603" t="s">
        <v>4890</v>
      </c>
      <c r="E6293" s="1603"/>
      <c r="F6293" s="1603"/>
      <c r="G6293" s="1603" t="s">
        <v>4889</v>
      </c>
      <c r="H6293" s="1604">
        <v>2</v>
      </c>
      <c r="I6293" s="1603"/>
      <c r="J6293" s="1603"/>
      <c r="K6293" s="1605">
        <v>199</v>
      </c>
      <c r="L6293" s="1606">
        <v>14707</v>
      </c>
      <c r="M6293" s="1607"/>
      <c r="N6293" s="1606">
        <v>14707</v>
      </c>
      <c r="O6293" s="1606">
        <v>2505.96</v>
      </c>
      <c r="P6293" s="1606">
        <v>11716</v>
      </c>
      <c r="Q6293" s="1605">
        <v>485.04</v>
      </c>
      <c r="R6293" s="1606">
        <v>12201.04</v>
      </c>
      <c r="S6293" s="1608"/>
    </row>
    <row r="6294" spans="2:19" s="1609" customFormat="1" ht="11.25" customHeight="1" outlineLevel="1">
      <c r="B6294" s="1602">
        <v>24984</v>
      </c>
      <c r="C6294" s="1603" t="s">
        <v>4878</v>
      </c>
      <c r="D6294" s="1603" t="s">
        <v>4888</v>
      </c>
      <c r="E6294" s="1603"/>
      <c r="F6294" s="1603"/>
      <c r="G6294" s="1603" t="s">
        <v>4887</v>
      </c>
      <c r="H6294" s="1604">
        <v>2</v>
      </c>
      <c r="I6294" s="1603"/>
      <c r="J6294" s="1603"/>
      <c r="K6294" s="1605">
        <v>209</v>
      </c>
      <c r="L6294" s="1606">
        <v>33504</v>
      </c>
      <c r="M6294" s="1607"/>
      <c r="N6294" s="1606">
        <v>33504</v>
      </c>
      <c r="O6294" s="1606">
        <v>5707.68</v>
      </c>
      <c r="P6294" s="1606">
        <v>26691.599999999999</v>
      </c>
      <c r="Q6294" s="1606">
        <v>1104.72</v>
      </c>
      <c r="R6294" s="1606">
        <v>27796.32</v>
      </c>
      <c r="S6294" s="1608"/>
    </row>
    <row r="6295" spans="2:19" s="1609" customFormat="1" ht="11.25" customHeight="1" outlineLevel="1">
      <c r="B6295" s="1602">
        <v>24985</v>
      </c>
      <c r="C6295" s="1603" t="s">
        <v>4878</v>
      </c>
      <c r="D6295" s="1603" t="s">
        <v>4886</v>
      </c>
      <c r="E6295" s="1603"/>
      <c r="F6295" s="1603"/>
      <c r="G6295" s="1603" t="s">
        <v>4885</v>
      </c>
      <c r="H6295" s="1604">
        <v>2</v>
      </c>
      <c r="I6295" s="1603"/>
      <c r="J6295" s="1603"/>
      <c r="K6295" s="1605">
        <v>305</v>
      </c>
      <c r="L6295" s="1606">
        <v>27973</v>
      </c>
      <c r="M6295" s="1607"/>
      <c r="N6295" s="1606">
        <v>27973</v>
      </c>
      <c r="O6295" s="1606">
        <v>10372.56</v>
      </c>
      <c r="P6295" s="1606">
        <v>16901.2</v>
      </c>
      <c r="Q6295" s="1605">
        <v>699.24</v>
      </c>
      <c r="R6295" s="1606">
        <v>17600.439999999999</v>
      </c>
      <c r="S6295" s="1608"/>
    </row>
    <row r="6296" spans="2:19" s="1609" customFormat="1" ht="11.25" customHeight="1" outlineLevel="1">
      <c r="B6296" s="1602">
        <v>24994</v>
      </c>
      <c r="C6296" s="1603" t="s">
        <v>4878</v>
      </c>
      <c r="D6296" s="1603" t="s">
        <v>4884</v>
      </c>
      <c r="E6296" s="1603"/>
      <c r="F6296" s="1603"/>
      <c r="G6296" s="1603" t="s">
        <v>4883</v>
      </c>
      <c r="H6296" s="1604">
        <v>2</v>
      </c>
      <c r="I6296" s="1603"/>
      <c r="J6296" s="1603"/>
      <c r="K6296" s="1605">
        <v>199</v>
      </c>
      <c r="L6296" s="1606">
        <v>12322</v>
      </c>
      <c r="M6296" s="1607"/>
      <c r="N6296" s="1606">
        <v>12322</v>
      </c>
      <c r="O6296" s="1606">
        <v>2099.1799999999998</v>
      </c>
      <c r="P6296" s="1606">
        <v>9816.5</v>
      </c>
      <c r="Q6296" s="1605">
        <v>406.32</v>
      </c>
      <c r="R6296" s="1606">
        <v>10222.82</v>
      </c>
      <c r="S6296" s="1608"/>
    </row>
    <row r="6297" spans="2:19" s="1609" customFormat="1" ht="11.25" customHeight="1" outlineLevel="1">
      <c r="B6297" s="1602">
        <v>24995</v>
      </c>
      <c r="C6297" s="1603" t="s">
        <v>4878</v>
      </c>
      <c r="D6297" s="1603" t="s">
        <v>4882</v>
      </c>
      <c r="E6297" s="1603"/>
      <c r="F6297" s="1603"/>
      <c r="G6297" s="1603" t="s">
        <v>4881</v>
      </c>
      <c r="H6297" s="1604">
        <v>2</v>
      </c>
      <c r="I6297" s="1603"/>
      <c r="J6297" s="1603"/>
      <c r="K6297" s="1605">
        <v>266</v>
      </c>
      <c r="L6297" s="1606">
        <v>39580</v>
      </c>
      <c r="M6297" s="1607"/>
      <c r="N6297" s="1606">
        <v>39580</v>
      </c>
      <c r="O6297" s="1606">
        <v>14677.08</v>
      </c>
      <c r="P6297" s="1606">
        <v>23913.4</v>
      </c>
      <c r="Q6297" s="1605">
        <v>989.52</v>
      </c>
      <c r="R6297" s="1606">
        <v>24902.92</v>
      </c>
      <c r="S6297" s="1608"/>
    </row>
    <row r="6298" spans="2:19" s="1609" customFormat="1" ht="11.25" customHeight="1" outlineLevel="1">
      <c r="B6298" s="1602">
        <v>24996</v>
      </c>
      <c r="C6298" s="1603" t="s">
        <v>4878</v>
      </c>
      <c r="D6298" s="1603" t="s">
        <v>4880</v>
      </c>
      <c r="E6298" s="1603"/>
      <c r="F6298" s="1603"/>
      <c r="G6298" s="1603" t="s">
        <v>4876</v>
      </c>
      <c r="H6298" s="1604">
        <v>2</v>
      </c>
      <c r="I6298" s="1603"/>
      <c r="J6298" s="1603"/>
      <c r="K6298" s="1605">
        <v>281</v>
      </c>
      <c r="L6298" s="1606">
        <v>33259</v>
      </c>
      <c r="M6298" s="1607"/>
      <c r="N6298" s="1606">
        <v>33259</v>
      </c>
      <c r="O6298" s="1606">
        <v>12333.42</v>
      </c>
      <c r="P6298" s="1606">
        <v>20094.099999999999</v>
      </c>
      <c r="Q6298" s="1605">
        <v>831.48</v>
      </c>
      <c r="R6298" s="1606">
        <v>20925.580000000002</v>
      </c>
      <c r="S6298" s="1608"/>
    </row>
    <row r="6299" spans="2:19" s="1609" customFormat="1" ht="11.25" customHeight="1" outlineLevel="1">
      <c r="B6299" s="1602">
        <v>24997</v>
      </c>
      <c r="C6299" s="1603" t="s">
        <v>4878</v>
      </c>
      <c r="D6299" s="1603" t="s">
        <v>4879</v>
      </c>
      <c r="E6299" s="1603"/>
      <c r="F6299" s="1603"/>
      <c r="G6299" s="1603" t="s">
        <v>4876</v>
      </c>
      <c r="H6299" s="1604">
        <v>2</v>
      </c>
      <c r="I6299" s="1603"/>
      <c r="J6299" s="1603"/>
      <c r="K6299" s="1605">
        <v>216</v>
      </c>
      <c r="L6299" s="1606">
        <v>10809</v>
      </c>
      <c r="M6299" s="1607"/>
      <c r="N6299" s="1606">
        <v>10809</v>
      </c>
      <c r="O6299" s="1606">
        <v>5367.08</v>
      </c>
      <c r="P6299" s="1606">
        <v>5225.8</v>
      </c>
      <c r="Q6299" s="1605">
        <v>216.12</v>
      </c>
      <c r="R6299" s="1606">
        <v>5441.92</v>
      </c>
      <c r="S6299" s="1608"/>
    </row>
    <row r="6300" spans="2:19" s="1609" customFormat="1" ht="11.25" customHeight="1" outlineLevel="1">
      <c r="B6300" s="1602">
        <v>24998</v>
      </c>
      <c r="C6300" s="1603" t="s">
        <v>4878</v>
      </c>
      <c r="D6300" s="1603" t="s">
        <v>4877</v>
      </c>
      <c r="E6300" s="1603"/>
      <c r="F6300" s="1603"/>
      <c r="G6300" s="1603" t="s">
        <v>4876</v>
      </c>
      <c r="H6300" s="1604">
        <v>2</v>
      </c>
      <c r="I6300" s="1603"/>
      <c r="J6300" s="1603"/>
      <c r="K6300" s="1605">
        <v>216</v>
      </c>
      <c r="L6300" s="1606">
        <v>17944</v>
      </c>
      <c r="M6300" s="1607"/>
      <c r="N6300" s="1606">
        <v>17944</v>
      </c>
      <c r="O6300" s="1606">
        <v>8911.2999999999993</v>
      </c>
      <c r="P6300" s="1606">
        <v>8673.9</v>
      </c>
      <c r="Q6300" s="1605">
        <v>358.8</v>
      </c>
      <c r="R6300" s="1606">
        <v>9032.7000000000007</v>
      </c>
      <c r="S6300" s="1608"/>
    </row>
    <row r="6301" spans="2:19" s="1609" customFormat="1" ht="11.25" customHeight="1" outlineLevel="1">
      <c r="B6301" s="1602">
        <v>25330</v>
      </c>
      <c r="C6301" s="1603" t="s">
        <v>4817</v>
      </c>
      <c r="D6301" s="1603" t="s">
        <v>4875</v>
      </c>
      <c r="E6301" s="1603"/>
      <c r="F6301" s="1603"/>
      <c r="G6301" s="1603" t="s">
        <v>4874</v>
      </c>
      <c r="H6301" s="1604">
        <v>2</v>
      </c>
      <c r="I6301" s="1603"/>
      <c r="J6301" s="1603"/>
      <c r="K6301" s="1605">
        <v>94</v>
      </c>
      <c r="L6301" s="1606">
        <v>14143</v>
      </c>
      <c r="M6301" s="1607"/>
      <c r="N6301" s="1606">
        <v>14143</v>
      </c>
      <c r="O6301" s="1606">
        <v>5275.42</v>
      </c>
      <c r="P6301" s="1606">
        <v>8513.94</v>
      </c>
      <c r="Q6301" s="1605">
        <v>353.64</v>
      </c>
      <c r="R6301" s="1606">
        <v>8867.58</v>
      </c>
      <c r="S6301" s="1608"/>
    </row>
    <row r="6302" spans="2:19" s="1609" customFormat="1" ht="11.25" customHeight="1" outlineLevel="1">
      <c r="B6302" s="1602">
        <v>25332</v>
      </c>
      <c r="C6302" s="1603" t="s">
        <v>4817</v>
      </c>
      <c r="D6302" s="1603" t="s">
        <v>4873</v>
      </c>
      <c r="E6302" s="1603"/>
      <c r="F6302" s="1603"/>
      <c r="G6302" s="1603" t="s">
        <v>4872</v>
      </c>
      <c r="H6302" s="1604">
        <v>2</v>
      </c>
      <c r="I6302" s="1603"/>
      <c r="J6302" s="1603"/>
      <c r="K6302" s="1605">
        <v>94</v>
      </c>
      <c r="L6302" s="1606">
        <v>4899</v>
      </c>
      <c r="M6302" s="1607"/>
      <c r="N6302" s="1606">
        <v>4899</v>
      </c>
      <c r="O6302" s="1606">
        <v>1825.91</v>
      </c>
      <c r="P6302" s="1606">
        <v>2950.69</v>
      </c>
      <c r="Q6302" s="1605">
        <v>122.4</v>
      </c>
      <c r="R6302" s="1606">
        <v>3073.09</v>
      </c>
      <c r="S6302" s="1608"/>
    </row>
    <row r="6303" spans="2:19" s="1609" customFormat="1" ht="11.25" customHeight="1" outlineLevel="1">
      <c r="B6303" s="1602">
        <v>25334</v>
      </c>
      <c r="C6303" s="1603" t="s">
        <v>4817</v>
      </c>
      <c r="D6303" s="1603" t="s">
        <v>4871</v>
      </c>
      <c r="E6303" s="1603"/>
      <c r="F6303" s="1603"/>
      <c r="G6303" s="1603" t="s">
        <v>4870</v>
      </c>
      <c r="H6303" s="1604">
        <v>2</v>
      </c>
      <c r="I6303" s="1603"/>
      <c r="J6303" s="1603"/>
      <c r="K6303" s="1605">
        <v>94</v>
      </c>
      <c r="L6303" s="1606">
        <v>13259</v>
      </c>
      <c r="M6303" s="1607"/>
      <c r="N6303" s="1606">
        <v>13259</v>
      </c>
      <c r="O6303" s="1606">
        <v>4945.26</v>
      </c>
      <c r="P6303" s="1606">
        <v>7982.18</v>
      </c>
      <c r="Q6303" s="1605">
        <v>331.56</v>
      </c>
      <c r="R6303" s="1606">
        <v>8313.74</v>
      </c>
      <c r="S6303" s="1608"/>
    </row>
    <row r="6304" spans="2:19" s="1609" customFormat="1" ht="11.25" customHeight="1" outlineLevel="1">
      <c r="B6304" s="1602">
        <v>25339</v>
      </c>
      <c r="C6304" s="1603" t="s">
        <v>4817</v>
      </c>
      <c r="D6304" s="1603" t="s">
        <v>4869</v>
      </c>
      <c r="E6304" s="1603"/>
      <c r="F6304" s="1603"/>
      <c r="G6304" s="1603" t="s">
        <v>4868</v>
      </c>
      <c r="H6304" s="1604">
        <v>2</v>
      </c>
      <c r="I6304" s="1603"/>
      <c r="J6304" s="1603"/>
      <c r="K6304" s="1605">
        <v>107</v>
      </c>
      <c r="L6304" s="1606">
        <v>1280</v>
      </c>
      <c r="M6304" s="1607"/>
      <c r="N6304" s="1606">
        <v>1280</v>
      </c>
      <c r="O6304" s="1605">
        <v>476.45</v>
      </c>
      <c r="P6304" s="1605">
        <v>771.63</v>
      </c>
      <c r="Q6304" s="1605">
        <v>31.92</v>
      </c>
      <c r="R6304" s="1605">
        <v>803.55</v>
      </c>
      <c r="S6304" s="1608"/>
    </row>
    <row r="6305" spans="2:19" s="1609" customFormat="1" ht="11.25" customHeight="1" outlineLevel="1">
      <c r="B6305" s="1602">
        <v>25343</v>
      </c>
      <c r="C6305" s="1603" t="s">
        <v>4817</v>
      </c>
      <c r="D6305" s="1603" t="s">
        <v>4867</v>
      </c>
      <c r="E6305" s="1603"/>
      <c r="F6305" s="1603"/>
      <c r="G6305" s="1603" t="s">
        <v>4866</v>
      </c>
      <c r="H6305" s="1604">
        <v>2</v>
      </c>
      <c r="I6305" s="1603"/>
      <c r="J6305" s="1603"/>
      <c r="K6305" s="1605">
        <v>339</v>
      </c>
      <c r="L6305" s="1606">
        <v>18098</v>
      </c>
      <c r="M6305" s="1607"/>
      <c r="N6305" s="1606">
        <v>18098</v>
      </c>
      <c r="O6305" s="1606">
        <v>6750.18</v>
      </c>
      <c r="P6305" s="1606">
        <v>10895.3</v>
      </c>
      <c r="Q6305" s="1605">
        <v>452.52</v>
      </c>
      <c r="R6305" s="1606">
        <v>11347.82</v>
      </c>
      <c r="S6305" s="1608"/>
    </row>
    <row r="6306" spans="2:19" s="1609" customFormat="1" ht="11.25" customHeight="1" outlineLevel="1">
      <c r="B6306" s="1602">
        <v>25344</v>
      </c>
      <c r="C6306" s="1603" t="s">
        <v>4817</v>
      </c>
      <c r="D6306" s="1603" t="s">
        <v>4865</v>
      </c>
      <c r="E6306" s="1603"/>
      <c r="F6306" s="1603"/>
      <c r="G6306" s="1603" t="s">
        <v>4864</v>
      </c>
      <c r="H6306" s="1604">
        <v>2</v>
      </c>
      <c r="I6306" s="1603"/>
      <c r="J6306" s="1603"/>
      <c r="K6306" s="1605">
        <v>415</v>
      </c>
      <c r="L6306" s="1606">
        <v>17683</v>
      </c>
      <c r="M6306" s="1607"/>
      <c r="N6306" s="1606">
        <v>17683</v>
      </c>
      <c r="O6306" s="1606">
        <v>6594.16</v>
      </c>
      <c r="P6306" s="1606">
        <v>10646.76</v>
      </c>
      <c r="Q6306" s="1605">
        <v>442.08</v>
      </c>
      <c r="R6306" s="1606">
        <v>11088.84</v>
      </c>
      <c r="S6306" s="1608"/>
    </row>
    <row r="6307" spans="2:19" s="1609" customFormat="1" ht="11.25" customHeight="1" outlineLevel="1">
      <c r="B6307" s="1602">
        <v>25345</v>
      </c>
      <c r="C6307" s="1603" t="s">
        <v>4817</v>
      </c>
      <c r="D6307" s="1603" t="s">
        <v>4863</v>
      </c>
      <c r="E6307" s="1603"/>
      <c r="F6307" s="1603"/>
      <c r="G6307" s="1603" t="s">
        <v>4862</v>
      </c>
      <c r="H6307" s="1604">
        <v>2</v>
      </c>
      <c r="I6307" s="1603"/>
      <c r="J6307" s="1603"/>
      <c r="K6307" s="1605">
        <v>459</v>
      </c>
      <c r="L6307" s="1606">
        <v>7804</v>
      </c>
      <c r="M6307" s="1607"/>
      <c r="N6307" s="1606">
        <v>7804</v>
      </c>
      <c r="O6307" s="1606">
        <v>2909.74</v>
      </c>
      <c r="P6307" s="1606">
        <v>4699.1400000000003</v>
      </c>
      <c r="Q6307" s="1605">
        <v>195.12</v>
      </c>
      <c r="R6307" s="1606">
        <v>4894.26</v>
      </c>
      <c r="S6307" s="1608"/>
    </row>
    <row r="6308" spans="2:19" s="1609" customFormat="1" ht="11.25" customHeight="1" outlineLevel="1">
      <c r="B6308" s="1602">
        <v>25346</v>
      </c>
      <c r="C6308" s="1603" t="s">
        <v>4817</v>
      </c>
      <c r="D6308" s="1603" t="s">
        <v>4861</v>
      </c>
      <c r="E6308" s="1603"/>
      <c r="F6308" s="1603"/>
      <c r="G6308" s="1603" t="s">
        <v>4860</v>
      </c>
      <c r="H6308" s="1604">
        <v>2</v>
      </c>
      <c r="I6308" s="1603"/>
      <c r="J6308" s="1603"/>
      <c r="K6308" s="1605">
        <v>92</v>
      </c>
      <c r="L6308" s="1606">
        <v>3761</v>
      </c>
      <c r="M6308" s="1607"/>
      <c r="N6308" s="1606">
        <v>3761</v>
      </c>
      <c r="O6308" s="1606">
        <v>1401.28</v>
      </c>
      <c r="P6308" s="1606">
        <v>2265.7600000000002</v>
      </c>
      <c r="Q6308" s="1605">
        <v>93.96</v>
      </c>
      <c r="R6308" s="1606">
        <v>2359.7199999999998</v>
      </c>
      <c r="S6308" s="1608"/>
    </row>
    <row r="6309" spans="2:19" s="1609" customFormat="1" ht="11.25" customHeight="1" outlineLevel="1">
      <c r="B6309" s="1602">
        <v>25348</v>
      </c>
      <c r="C6309" s="1603" t="s">
        <v>4817</v>
      </c>
      <c r="D6309" s="1603" t="s">
        <v>4859</v>
      </c>
      <c r="E6309" s="1603"/>
      <c r="F6309" s="1603"/>
      <c r="G6309" s="1603" t="s">
        <v>4858</v>
      </c>
      <c r="H6309" s="1604">
        <v>2</v>
      </c>
      <c r="I6309" s="1603"/>
      <c r="J6309" s="1603"/>
      <c r="K6309" s="1605">
        <v>420</v>
      </c>
      <c r="L6309" s="1606">
        <v>22000</v>
      </c>
      <c r="M6309" s="1607"/>
      <c r="N6309" s="1606">
        <v>22000</v>
      </c>
      <c r="O6309" s="1606">
        <v>4800.74</v>
      </c>
      <c r="P6309" s="1606">
        <v>16513.46</v>
      </c>
      <c r="Q6309" s="1605">
        <v>685.8</v>
      </c>
      <c r="R6309" s="1606">
        <v>17199.259999999998</v>
      </c>
      <c r="S6309" s="1608"/>
    </row>
    <row r="6310" spans="2:19" s="1609" customFormat="1" ht="11.25" customHeight="1" outlineLevel="1">
      <c r="B6310" s="1602">
        <v>25362</v>
      </c>
      <c r="C6310" s="1603" t="s">
        <v>4817</v>
      </c>
      <c r="D6310" s="1603" t="s">
        <v>4857</v>
      </c>
      <c r="E6310" s="1603"/>
      <c r="F6310" s="1603"/>
      <c r="G6310" s="1603" t="s">
        <v>4856</v>
      </c>
      <c r="H6310" s="1604">
        <v>2</v>
      </c>
      <c r="I6310" s="1603"/>
      <c r="J6310" s="1603"/>
      <c r="K6310" s="1605">
        <v>264</v>
      </c>
      <c r="L6310" s="1606">
        <v>32750</v>
      </c>
      <c r="M6310" s="1607"/>
      <c r="N6310" s="1606">
        <v>32750</v>
      </c>
      <c r="O6310" s="1606">
        <v>12212.77</v>
      </c>
      <c r="P6310" s="1606">
        <v>19718.47</v>
      </c>
      <c r="Q6310" s="1605">
        <v>818.76</v>
      </c>
      <c r="R6310" s="1606">
        <v>20537.23</v>
      </c>
      <c r="S6310" s="1608"/>
    </row>
    <row r="6311" spans="2:19" s="1609" customFormat="1" ht="11.25" customHeight="1" outlineLevel="1">
      <c r="B6311" s="1602">
        <v>25363</v>
      </c>
      <c r="C6311" s="1603" t="s">
        <v>4817</v>
      </c>
      <c r="D6311" s="1603" t="s">
        <v>4855</v>
      </c>
      <c r="E6311" s="1603"/>
      <c r="F6311" s="1603"/>
      <c r="G6311" s="1603" t="s">
        <v>4854</v>
      </c>
      <c r="H6311" s="1604">
        <v>2</v>
      </c>
      <c r="I6311" s="1603"/>
      <c r="J6311" s="1603"/>
      <c r="K6311" s="1605">
        <v>281</v>
      </c>
      <c r="L6311" s="1606">
        <v>24459</v>
      </c>
      <c r="M6311" s="1607"/>
      <c r="N6311" s="1606">
        <v>24459</v>
      </c>
      <c r="O6311" s="1606">
        <v>9120.16</v>
      </c>
      <c r="P6311" s="1606">
        <v>14727.44</v>
      </c>
      <c r="Q6311" s="1605">
        <v>611.4</v>
      </c>
      <c r="R6311" s="1606">
        <v>15338.84</v>
      </c>
      <c r="S6311" s="1608"/>
    </row>
    <row r="6312" spans="2:19" s="1609" customFormat="1" ht="11.25" customHeight="1" outlineLevel="1">
      <c r="B6312" s="1602">
        <v>25364</v>
      </c>
      <c r="C6312" s="1603" t="s">
        <v>4817</v>
      </c>
      <c r="D6312" s="1603" t="s">
        <v>4853</v>
      </c>
      <c r="E6312" s="1603"/>
      <c r="F6312" s="1603"/>
      <c r="G6312" s="1603" t="s">
        <v>4852</v>
      </c>
      <c r="H6312" s="1604">
        <v>2</v>
      </c>
      <c r="I6312" s="1603"/>
      <c r="J6312" s="1603"/>
      <c r="K6312" s="1605">
        <v>209</v>
      </c>
      <c r="L6312" s="1606">
        <v>22615</v>
      </c>
      <c r="M6312" s="1607"/>
      <c r="N6312" s="1606">
        <v>22615</v>
      </c>
      <c r="O6312" s="1606">
        <v>3913.87</v>
      </c>
      <c r="P6312" s="1606">
        <v>17955.57</v>
      </c>
      <c r="Q6312" s="1605">
        <v>745.56</v>
      </c>
      <c r="R6312" s="1606">
        <v>18701.13</v>
      </c>
      <c r="S6312" s="1608"/>
    </row>
    <row r="6313" spans="2:19" s="1609" customFormat="1" ht="11.25" customHeight="1" outlineLevel="1">
      <c r="B6313" s="1602">
        <v>25365</v>
      </c>
      <c r="C6313" s="1603" t="s">
        <v>4817</v>
      </c>
      <c r="D6313" s="1603" t="s">
        <v>4851</v>
      </c>
      <c r="E6313" s="1603"/>
      <c r="F6313" s="1603"/>
      <c r="G6313" s="1603" t="s">
        <v>4850</v>
      </c>
      <c r="H6313" s="1604">
        <v>2</v>
      </c>
      <c r="I6313" s="1603"/>
      <c r="J6313" s="1603"/>
      <c r="K6313" s="1605">
        <v>209</v>
      </c>
      <c r="L6313" s="1606">
        <v>77269</v>
      </c>
      <c r="M6313" s="1607"/>
      <c r="N6313" s="1606">
        <v>77269</v>
      </c>
      <c r="O6313" s="1606">
        <v>13372.84</v>
      </c>
      <c r="P6313" s="1606">
        <v>61348.92</v>
      </c>
      <c r="Q6313" s="1606">
        <v>2547.2399999999998</v>
      </c>
      <c r="R6313" s="1606">
        <v>63896.160000000003</v>
      </c>
      <c r="S6313" s="1608"/>
    </row>
    <row r="6314" spans="2:19" s="1609" customFormat="1" ht="11.25" customHeight="1" outlineLevel="1">
      <c r="B6314" s="1602">
        <v>25366</v>
      </c>
      <c r="C6314" s="1603" t="s">
        <v>4817</v>
      </c>
      <c r="D6314" s="1603" t="s">
        <v>4849</v>
      </c>
      <c r="E6314" s="1603"/>
      <c r="F6314" s="1603"/>
      <c r="G6314" s="1603" t="s">
        <v>4848</v>
      </c>
      <c r="H6314" s="1604">
        <v>2</v>
      </c>
      <c r="I6314" s="1603"/>
      <c r="J6314" s="1603"/>
      <c r="K6314" s="1605">
        <v>264</v>
      </c>
      <c r="L6314" s="1606">
        <v>9519</v>
      </c>
      <c r="M6314" s="1607"/>
      <c r="N6314" s="1606">
        <v>9519</v>
      </c>
      <c r="O6314" s="1606">
        <v>3550.17</v>
      </c>
      <c r="P6314" s="1606">
        <v>5730.87</v>
      </c>
      <c r="Q6314" s="1605">
        <v>237.96</v>
      </c>
      <c r="R6314" s="1606">
        <v>5968.83</v>
      </c>
      <c r="S6314" s="1608"/>
    </row>
    <row r="6315" spans="2:19" s="1609" customFormat="1" ht="11.25" customHeight="1" outlineLevel="1">
      <c r="B6315" s="1602">
        <v>25367</v>
      </c>
      <c r="C6315" s="1603" t="s">
        <v>4817</v>
      </c>
      <c r="D6315" s="1603" t="s">
        <v>4847</v>
      </c>
      <c r="E6315" s="1603"/>
      <c r="F6315" s="1603"/>
      <c r="G6315" s="1603" t="s">
        <v>4846</v>
      </c>
      <c r="H6315" s="1604">
        <v>2</v>
      </c>
      <c r="I6315" s="1603"/>
      <c r="J6315" s="1603"/>
      <c r="K6315" s="1605">
        <v>264</v>
      </c>
      <c r="L6315" s="1606">
        <v>6592</v>
      </c>
      <c r="M6315" s="1607"/>
      <c r="N6315" s="1606">
        <v>6592</v>
      </c>
      <c r="O6315" s="1606">
        <v>2459.15</v>
      </c>
      <c r="P6315" s="1606">
        <v>3967.97</v>
      </c>
      <c r="Q6315" s="1605">
        <v>164.88</v>
      </c>
      <c r="R6315" s="1606">
        <v>4132.8500000000004</v>
      </c>
      <c r="S6315" s="1608"/>
    </row>
    <row r="6316" spans="2:19" s="1609" customFormat="1" ht="11.25" customHeight="1" outlineLevel="1">
      <c r="B6316" s="1602">
        <v>25368</v>
      </c>
      <c r="C6316" s="1603" t="s">
        <v>4817</v>
      </c>
      <c r="D6316" s="1603" t="s">
        <v>4845</v>
      </c>
      <c r="E6316" s="1603"/>
      <c r="F6316" s="1603"/>
      <c r="G6316" s="1603" t="s">
        <v>4844</v>
      </c>
      <c r="H6316" s="1604">
        <v>2</v>
      </c>
      <c r="I6316" s="1603"/>
      <c r="J6316" s="1603"/>
      <c r="K6316" s="1605">
        <v>209</v>
      </c>
      <c r="L6316" s="1606">
        <v>6806</v>
      </c>
      <c r="M6316" s="1607"/>
      <c r="N6316" s="1606">
        <v>6806</v>
      </c>
      <c r="O6316" s="1606">
        <v>1177.42</v>
      </c>
      <c r="P6316" s="1606">
        <v>5404.3</v>
      </c>
      <c r="Q6316" s="1605">
        <v>224.28</v>
      </c>
      <c r="R6316" s="1606">
        <v>5628.58</v>
      </c>
      <c r="S6316" s="1608"/>
    </row>
    <row r="6317" spans="2:19" s="1609" customFormat="1" ht="11.25" customHeight="1" outlineLevel="1">
      <c r="B6317" s="1602">
        <v>25369</v>
      </c>
      <c r="C6317" s="1603" t="s">
        <v>4817</v>
      </c>
      <c r="D6317" s="1603" t="s">
        <v>4843</v>
      </c>
      <c r="E6317" s="1603"/>
      <c r="F6317" s="1603"/>
      <c r="G6317" s="1603" t="s">
        <v>4842</v>
      </c>
      <c r="H6317" s="1604">
        <v>2</v>
      </c>
      <c r="I6317" s="1603"/>
      <c r="J6317" s="1603"/>
      <c r="K6317" s="1605">
        <v>264</v>
      </c>
      <c r="L6317" s="1606">
        <v>42481</v>
      </c>
      <c r="M6317" s="1607"/>
      <c r="N6317" s="1606">
        <v>42481</v>
      </c>
      <c r="O6317" s="1606">
        <v>15842.39</v>
      </c>
      <c r="P6317" s="1606">
        <v>25576.5</v>
      </c>
      <c r="Q6317" s="1606">
        <v>1062.1099999999999</v>
      </c>
      <c r="R6317" s="1606">
        <v>26638.61</v>
      </c>
      <c r="S6317" s="1608"/>
    </row>
    <row r="6318" spans="2:19" s="1609" customFormat="1" ht="11.25" customHeight="1" outlineLevel="1">
      <c r="B6318" s="1602">
        <v>25370</v>
      </c>
      <c r="C6318" s="1603" t="s">
        <v>4817</v>
      </c>
      <c r="D6318" s="1603" t="s">
        <v>4841</v>
      </c>
      <c r="E6318" s="1603"/>
      <c r="F6318" s="1603"/>
      <c r="G6318" s="1603" t="s">
        <v>4840</v>
      </c>
      <c r="H6318" s="1604">
        <v>2</v>
      </c>
      <c r="I6318" s="1603"/>
      <c r="J6318" s="1603"/>
      <c r="K6318" s="1605">
        <v>199</v>
      </c>
      <c r="L6318" s="1606">
        <v>8267</v>
      </c>
      <c r="M6318" s="1607"/>
      <c r="N6318" s="1606">
        <v>8267</v>
      </c>
      <c r="O6318" s="1606">
        <v>1431.17</v>
      </c>
      <c r="P6318" s="1606">
        <v>6563.19</v>
      </c>
      <c r="Q6318" s="1605">
        <v>272.64</v>
      </c>
      <c r="R6318" s="1606">
        <v>6835.83</v>
      </c>
      <c r="S6318" s="1608"/>
    </row>
    <row r="6319" spans="2:19" s="1609" customFormat="1" ht="11.25" customHeight="1" outlineLevel="1">
      <c r="B6319" s="1602">
        <v>25371</v>
      </c>
      <c r="C6319" s="1603" t="s">
        <v>4817</v>
      </c>
      <c r="D6319" s="1603" t="s">
        <v>4839</v>
      </c>
      <c r="E6319" s="1603"/>
      <c r="F6319" s="1603"/>
      <c r="G6319" s="1603" t="s">
        <v>4838</v>
      </c>
      <c r="H6319" s="1604">
        <v>2</v>
      </c>
      <c r="I6319" s="1603"/>
      <c r="J6319" s="1603"/>
      <c r="K6319" s="1605">
        <v>199</v>
      </c>
      <c r="L6319" s="1606">
        <v>15540</v>
      </c>
      <c r="M6319" s="1607"/>
      <c r="N6319" s="1606">
        <v>15540</v>
      </c>
      <c r="O6319" s="1606">
        <v>2690.19</v>
      </c>
      <c r="P6319" s="1606">
        <v>12337.41</v>
      </c>
      <c r="Q6319" s="1605">
        <v>512.4</v>
      </c>
      <c r="R6319" s="1606">
        <v>12849.81</v>
      </c>
      <c r="S6319" s="1608"/>
    </row>
    <row r="6320" spans="2:19" s="1609" customFormat="1" ht="11.25" customHeight="1" outlineLevel="1">
      <c r="B6320" s="1602">
        <v>25372</v>
      </c>
      <c r="C6320" s="1603" t="s">
        <v>4817</v>
      </c>
      <c r="D6320" s="1603" t="s">
        <v>4837</v>
      </c>
      <c r="E6320" s="1603"/>
      <c r="F6320" s="1603"/>
      <c r="G6320" s="1603" t="s">
        <v>4835</v>
      </c>
      <c r="H6320" s="1604">
        <v>2</v>
      </c>
      <c r="I6320" s="1603"/>
      <c r="J6320" s="1603"/>
      <c r="K6320" s="1605">
        <v>216</v>
      </c>
      <c r="L6320" s="1606">
        <v>15457</v>
      </c>
      <c r="M6320" s="1607"/>
      <c r="N6320" s="1606">
        <v>15457</v>
      </c>
      <c r="O6320" s="1606">
        <v>7703.24</v>
      </c>
      <c r="P6320" s="1606">
        <v>7444.64</v>
      </c>
      <c r="Q6320" s="1605">
        <v>309.12</v>
      </c>
      <c r="R6320" s="1606">
        <v>7753.76</v>
      </c>
      <c r="S6320" s="1608"/>
    </row>
    <row r="6321" spans="2:19" s="1609" customFormat="1" ht="11.25" customHeight="1" outlineLevel="1">
      <c r="B6321" s="1602">
        <v>25373</v>
      </c>
      <c r="C6321" s="1603" t="s">
        <v>4817</v>
      </c>
      <c r="D6321" s="1603" t="s">
        <v>4836</v>
      </c>
      <c r="E6321" s="1603"/>
      <c r="F6321" s="1603"/>
      <c r="G6321" s="1603" t="s">
        <v>4835</v>
      </c>
      <c r="H6321" s="1604">
        <v>2</v>
      </c>
      <c r="I6321" s="1603"/>
      <c r="J6321" s="1603"/>
      <c r="K6321" s="1605">
        <v>216</v>
      </c>
      <c r="L6321" s="1606">
        <v>28969</v>
      </c>
      <c r="M6321" s="1607"/>
      <c r="N6321" s="1606">
        <v>28969</v>
      </c>
      <c r="O6321" s="1606">
        <v>14436.72</v>
      </c>
      <c r="P6321" s="1606">
        <v>13952.92</v>
      </c>
      <c r="Q6321" s="1605">
        <v>579.36</v>
      </c>
      <c r="R6321" s="1606">
        <v>14532.28</v>
      </c>
      <c r="S6321" s="1608"/>
    </row>
    <row r="6322" spans="2:19" s="1609" customFormat="1" ht="11.25" customHeight="1" outlineLevel="1">
      <c r="B6322" s="1602">
        <v>25374</v>
      </c>
      <c r="C6322" s="1603" t="s">
        <v>4817</v>
      </c>
      <c r="D6322" s="1603" t="s">
        <v>4834</v>
      </c>
      <c r="E6322" s="1603"/>
      <c r="F6322" s="1603"/>
      <c r="G6322" s="1603" t="s">
        <v>4833</v>
      </c>
      <c r="H6322" s="1604">
        <v>2</v>
      </c>
      <c r="I6322" s="1603"/>
      <c r="J6322" s="1603"/>
      <c r="K6322" s="1605">
        <v>264</v>
      </c>
      <c r="L6322" s="1606">
        <v>4746</v>
      </c>
      <c r="M6322" s="1607"/>
      <c r="N6322" s="1606">
        <v>4746</v>
      </c>
      <c r="O6322" s="1606">
        <v>1769.23</v>
      </c>
      <c r="P6322" s="1606">
        <v>2858.21</v>
      </c>
      <c r="Q6322" s="1605">
        <v>118.56</v>
      </c>
      <c r="R6322" s="1606">
        <v>2976.77</v>
      </c>
      <c r="S6322" s="1608"/>
    </row>
    <row r="6323" spans="2:19" s="1609" customFormat="1" ht="11.25" customHeight="1" outlineLevel="1">
      <c r="B6323" s="1602">
        <v>25381</v>
      </c>
      <c r="C6323" s="1603" t="s">
        <v>4817</v>
      </c>
      <c r="D6323" s="1603" t="s">
        <v>4832</v>
      </c>
      <c r="E6323" s="1603"/>
      <c r="F6323" s="1603"/>
      <c r="G6323" s="1603" t="s">
        <v>4831</v>
      </c>
      <c r="H6323" s="1604">
        <v>2</v>
      </c>
      <c r="I6323" s="1603"/>
      <c r="J6323" s="1603"/>
      <c r="K6323" s="1605">
        <v>209</v>
      </c>
      <c r="L6323" s="1606">
        <v>7036</v>
      </c>
      <c r="M6323" s="1607"/>
      <c r="N6323" s="1606">
        <v>7036</v>
      </c>
      <c r="O6323" s="1606">
        <v>1217.67</v>
      </c>
      <c r="P6323" s="1606">
        <v>5586.37</v>
      </c>
      <c r="Q6323" s="1605">
        <v>231.96</v>
      </c>
      <c r="R6323" s="1606">
        <v>5818.33</v>
      </c>
      <c r="S6323" s="1608"/>
    </row>
    <row r="6324" spans="2:19" s="1609" customFormat="1" ht="11.25" customHeight="1" outlineLevel="1">
      <c r="B6324" s="1602">
        <v>25382</v>
      </c>
      <c r="C6324" s="1603" t="s">
        <v>4817</v>
      </c>
      <c r="D6324" s="1603" t="s">
        <v>4830</v>
      </c>
      <c r="E6324" s="1603"/>
      <c r="F6324" s="1603"/>
      <c r="G6324" s="1603" t="s">
        <v>4828</v>
      </c>
      <c r="H6324" s="1604">
        <v>2</v>
      </c>
      <c r="I6324" s="1603"/>
      <c r="J6324" s="1603"/>
      <c r="K6324" s="1605">
        <v>216</v>
      </c>
      <c r="L6324" s="1606">
        <v>17727</v>
      </c>
      <c r="M6324" s="1607"/>
      <c r="N6324" s="1606">
        <v>17727</v>
      </c>
      <c r="O6324" s="1606">
        <v>8832.57</v>
      </c>
      <c r="P6324" s="1606">
        <v>8539.9500000000007</v>
      </c>
      <c r="Q6324" s="1605">
        <v>354.48</v>
      </c>
      <c r="R6324" s="1606">
        <v>8894.43</v>
      </c>
      <c r="S6324" s="1608"/>
    </row>
    <row r="6325" spans="2:19" s="1609" customFormat="1" ht="11.25" customHeight="1" outlineLevel="1">
      <c r="B6325" s="1602">
        <v>25383</v>
      </c>
      <c r="C6325" s="1603" t="s">
        <v>4817</v>
      </c>
      <c r="D6325" s="1603" t="s">
        <v>4829</v>
      </c>
      <c r="E6325" s="1603"/>
      <c r="F6325" s="1603"/>
      <c r="G6325" s="1603" t="s">
        <v>4828</v>
      </c>
      <c r="H6325" s="1604">
        <v>2</v>
      </c>
      <c r="I6325" s="1603"/>
      <c r="J6325" s="1603"/>
      <c r="K6325" s="1605">
        <v>209</v>
      </c>
      <c r="L6325" s="1606">
        <v>18993</v>
      </c>
      <c r="M6325" s="1607"/>
      <c r="N6325" s="1606">
        <v>18993</v>
      </c>
      <c r="O6325" s="1606">
        <v>3286.94</v>
      </c>
      <c r="P6325" s="1606">
        <v>15080.02</v>
      </c>
      <c r="Q6325" s="1605">
        <v>626.04</v>
      </c>
      <c r="R6325" s="1606">
        <v>15706.06</v>
      </c>
      <c r="S6325" s="1608"/>
    </row>
    <row r="6326" spans="2:19" s="1609" customFormat="1" ht="11.25" customHeight="1" outlineLevel="1">
      <c r="B6326" s="1602">
        <v>25384</v>
      </c>
      <c r="C6326" s="1603" t="s">
        <v>4817</v>
      </c>
      <c r="D6326" s="1603" t="s">
        <v>4827</v>
      </c>
      <c r="E6326" s="1603"/>
      <c r="F6326" s="1603"/>
      <c r="G6326" s="1603" t="s">
        <v>4826</v>
      </c>
      <c r="H6326" s="1604">
        <v>2</v>
      </c>
      <c r="I6326" s="1603"/>
      <c r="J6326" s="1603"/>
      <c r="K6326" s="1605">
        <v>216</v>
      </c>
      <c r="L6326" s="1606">
        <v>2508</v>
      </c>
      <c r="M6326" s="1607"/>
      <c r="N6326" s="1606">
        <v>2508</v>
      </c>
      <c r="O6326" s="1606">
        <v>1249.82</v>
      </c>
      <c r="P6326" s="1606">
        <v>1208.02</v>
      </c>
      <c r="Q6326" s="1605">
        <v>50.16</v>
      </c>
      <c r="R6326" s="1606">
        <v>1258.18</v>
      </c>
      <c r="S6326" s="1608"/>
    </row>
    <row r="6327" spans="2:19" s="1609" customFormat="1" ht="11.25" customHeight="1" outlineLevel="1">
      <c r="B6327" s="1602">
        <v>25388</v>
      </c>
      <c r="C6327" s="1603" t="s">
        <v>4817</v>
      </c>
      <c r="D6327" s="1603" t="s">
        <v>4825</v>
      </c>
      <c r="E6327" s="1603"/>
      <c r="F6327" s="1603"/>
      <c r="G6327" s="1603" t="s">
        <v>4824</v>
      </c>
      <c r="H6327" s="1604">
        <v>2</v>
      </c>
      <c r="I6327" s="1603"/>
      <c r="J6327" s="1603"/>
      <c r="K6327" s="1605">
        <v>264</v>
      </c>
      <c r="L6327" s="1606">
        <v>71486</v>
      </c>
      <c r="M6327" s="1607"/>
      <c r="N6327" s="1606">
        <v>71486</v>
      </c>
      <c r="O6327" s="1606">
        <v>26658.07</v>
      </c>
      <c r="P6327" s="1606">
        <v>43040.77</v>
      </c>
      <c r="Q6327" s="1606">
        <v>1787.16</v>
      </c>
      <c r="R6327" s="1606">
        <v>44827.93</v>
      </c>
      <c r="S6327" s="1608"/>
    </row>
    <row r="6328" spans="2:19" s="1609" customFormat="1" ht="11.25" customHeight="1" outlineLevel="1">
      <c r="B6328" s="1602">
        <v>25390</v>
      </c>
      <c r="C6328" s="1603" t="s">
        <v>4817</v>
      </c>
      <c r="D6328" s="1603" t="s">
        <v>4823</v>
      </c>
      <c r="E6328" s="1603"/>
      <c r="F6328" s="1603"/>
      <c r="G6328" s="1603" t="s">
        <v>4822</v>
      </c>
      <c r="H6328" s="1604">
        <v>2</v>
      </c>
      <c r="I6328" s="1603"/>
      <c r="J6328" s="1603"/>
      <c r="K6328" s="1605">
        <v>199</v>
      </c>
      <c r="L6328" s="1606">
        <v>13077</v>
      </c>
      <c r="M6328" s="1607"/>
      <c r="N6328" s="1606">
        <v>13077</v>
      </c>
      <c r="O6328" s="1606">
        <v>2262.31</v>
      </c>
      <c r="P6328" s="1606">
        <v>10383.77</v>
      </c>
      <c r="Q6328" s="1605">
        <v>430.92</v>
      </c>
      <c r="R6328" s="1606">
        <v>10814.69</v>
      </c>
      <c r="S6328" s="1608"/>
    </row>
    <row r="6329" spans="2:19" s="1609" customFormat="1" ht="11.25" customHeight="1" outlineLevel="1">
      <c r="B6329" s="1602">
        <v>25391</v>
      </c>
      <c r="C6329" s="1603" t="s">
        <v>4817</v>
      </c>
      <c r="D6329" s="1603" t="s">
        <v>4821</v>
      </c>
      <c r="E6329" s="1603"/>
      <c r="F6329" s="1603"/>
      <c r="G6329" s="1603" t="s">
        <v>4820</v>
      </c>
      <c r="H6329" s="1604">
        <v>2</v>
      </c>
      <c r="I6329" s="1603"/>
      <c r="J6329" s="1603"/>
      <c r="K6329" s="1605">
        <v>199</v>
      </c>
      <c r="L6329" s="1606">
        <v>12296</v>
      </c>
      <c r="M6329" s="1607"/>
      <c r="N6329" s="1606">
        <v>12296</v>
      </c>
      <c r="O6329" s="1606">
        <v>2128.2199999999998</v>
      </c>
      <c r="P6329" s="1606">
        <v>9762.42</v>
      </c>
      <c r="Q6329" s="1605">
        <v>405.36</v>
      </c>
      <c r="R6329" s="1606">
        <v>10167.780000000001</v>
      </c>
      <c r="S6329" s="1608"/>
    </row>
    <row r="6330" spans="2:19" s="1609" customFormat="1" ht="11.25" customHeight="1" outlineLevel="1">
      <c r="B6330" s="1602">
        <v>25392</v>
      </c>
      <c r="C6330" s="1603" t="s">
        <v>4817</v>
      </c>
      <c r="D6330" s="1603" t="s">
        <v>4819</v>
      </c>
      <c r="E6330" s="1603"/>
      <c r="F6330" s="1603"/>
      <c r="G6330" s="1603" t="s">
        <v>4818</v>
      </c>
      <c r="H6330" s="1604">
        <v>2</v>
      </c>
      <c r="I6330" s="1603"/>
      <c r="J6330" s="1603"/>
      <c r="K6330" s="1605">
        <v>199</v>
      </c>
      <c r="L6330" s="1606">
        <v>10454</v>
      </c>
      <c r="M6330" s="1607"/>
      <c r="N6330" s="1606">
        <v>10454</v>
      </c>
      <c r="O6330" s="1606">
        <v>1809.28</v>
      </c>
      <c r="P6330" s="1606">
        <v>8300.08</v>
      </c>
      <c r="Q6330" s="1605">
        <v>344.64</v>
      </c>
      <c r="R6330" s="1606">
        <v>8644.7199999999993</v>
      </c>
      <c r="S6330" s="1608"/>
    </row>
    <row r="6331" spans="2:19" s="1609" customFormat="1" ht="11.25" customHeight="1" outlineLevel="1">
      <c r="B6331" s="1602">
        <v>25656</v>
      </c>
      <c r="C6331" s="1603" t="s">
        <v>4817</v>
      </c>
      <c r="D6331" s="1603" t="s">
        <v>4816</v>
      </c>
      <c r="E6331" s="1603"/>
      <c r="F6331" s="1603"/>
      <c r="G6331" s="1603" t="s">
        <v>3734</v>
      </c>
      <c r="H6331" s="1604">
        <v>2</v>
      </c>
      <c r="I6331" s="1603"/>
      <c r="J6331" s="1603"/>
      <c r="K6331" s="1605">
        <v>546</v>
      </c>
      <c r="L6331" s="1606">
        <v>383136</v>
      </c>
      <c r="M6331" s="1607"/>
      <c r="N6331" s="1606">
        <v>383136</v>
      </c>
      <c r="O6331" s="1606">
        <v>63678.8</v>
      </c>
      <c r="P6331" s="1606">
        <v>306721.48</v>
      </c>
      <c r="Q6331" s="1606">
        <v>12735.72</v>
      </c>
      <c r="R6331" s="1606">
        <v>319457.2</v>
      </c>
      <c r="S6331" s="1608"/>
    </row>
    <row r="6332" spans="2:19" s="1609" customFormat="1" ht="11.25" customHeight="1" outlineLevel="1">
      <c r="B6332" s="1602">
        <v>25686</v>
      </c>
      <c r="C6332" s="1603" t="s">
        <v>4714</v>
      </c>
      <c r="D6332" s="1603" t="s">
        <v>4815</v>
      </c>
      <c r="E6332" s="1603"/>
      <c r="F6332" s="1603"/>
      <c r="G6332" s="1603" t="s">
        <v>4814</v>
      </c>
      <c r="H6332" s="1604">
        <v>2</v>
      </c>
      <c r="I6332" s="1603"/>
      <c r="J6332" s="1603"/>
      <c r="K6332" s="1605">
        <v>163</v>
      </c>
      <c r="L6332" s="1606">
        <v>84576</v>
      </c>
      <c r="M6332" s="1607"/>
      <c r="N6332" s="1606">
        <v>84576</v>
      </c>
      <c r="O6332" s="1606">
        <v>31716</v>
      </c>
      <c r="P6332" s="1606">
        <v>50745.599999999999</v>
      </c>
      <c r="Q6332" s="1606">
        <v>2114.4</v>
      </c>
      <c r="R6332" s="1606">
        <v>52860</v>
      </c>
      <c r="S6332" s="1608"/>
    </row>
    <row r="6333" spans="2:19" s="1609" customFormat="1" ht="11.25" customHeight="1" outlineLevel="1">
      <c r="B6333" s="1602">
        <v>25687</v>
      </c>
      <c r="C6333" s="1603" t="s">
        <v>4714</v>
      </c>
      <c r="D6333" s="1603" t="s">
        <v>4813</v>
      </c>
      <c r="E6333" s="1603"/>
      <c r="F6333" s="1603"/>
      <c r="G6333" s="1603" t="s">
        <v>4812</v>
      </c>
      <c r="H6333" s="1604">
        <v>2</v>
      </c>
      <c r="I6333" s="1603"/>
      <c r="J6333" s="1603"/>
      <c r="K6333" s="1605">
        <v>163</v>
      </c>
      <c r="L6333" s="1606">
        <v>15816</v>
      </c>
      <c r="M6333" s="1607"/>
      <c r="N6333" s="1606">
        <v>15816</v>
      </c>
      <c r="O6333" s="1606">
        <v>5931</v>
      </c>
      <c r="P6333" s="1606">
        <v>9489.6</v>
      </c>
      <c r="Q6333" s="1605">
        <v>395.4</v>
      </c>
      <c r="R6333" s="1606">
        <v>9885</v>
      </c>
      <c r="S6333" s="1608"/>
    </row>
    <row r="6334" spans="2:19" s="1609" customFormat="1" ht="11.25" customHeight="1" outlineLevel="1">
      <c r="B6334" s="1602">
        <v>25688</v>
      </c>
      <c r="C6334" s="1603" t="s">
        <v>4714</v>
      </c>
      <c r="D6334" s="1603" t="s">
        <v>4811</v>
      </c>
      <c r="E6334" s="1603"/>
      <c r="F6334" s="1603"/>
      <c r="G6334" s="1603" t="s">
        <v>4810</v>
      </c>
      <c r="H6334" s="1604">
        <v>2</v>
      </c>
      <c r="I6334" s="1603"/>
      <c r="J6334" s="1603"/>
      <c r="K6334" s="1605">
        <v>163</v>
      </c>
      <c r="L6334" s="1606">
        <v>10046</v>
      </c>
      <c r="M6334" s="1607"/>
      <c r="N6334" s="1606">
        <v>10046</v>
      </c>
      <c r="O6334" s="1606">
        <v>3767</v>
      </c>
      <c r="P6334" s="1606">
        <v>6027.84</v>
      </c>
      <c r="Q6334" s="1605">
        <v>251.16</v>
      </c>
      <c r="R6334" s="1606">
        <v>6279</v>
      </c>
      <c r="S6334" s="1608"/>
    </row>
    <row r="6335" spans="2:19" s="1609" customFormat="1" ht="11.25" customHeight="1" outlineLevel="1">
      <c r="B6335" s="1602">
        <v>25689</v>
      </c>
      <c r="C6335" s="1603" t="s">
        <v>4714</v>
      </c>
      <c r="D6335" s="1603" t="s">
        <v>4809</v>
      </c>
      <c r="E6335" s="1603"/>
      <c r="F6335" s="1603"/>
      <c r="G6335" s="1603" t="s">
        <v>4799</v>
      </c>
      <c r="H6335" s="1604">
        <v>2</v>
      </c>
      <c r="I6335" s="1603"/>
      <c r="J6335" s="1603"/>
      <c r="K6335" s="1605">
        <v>163</v>
      </c>
      <c r="L6335" s="1606">
        <v>15963</v>
      </c>
      <c r="M6335" s="1607"/>
      <c r="N6335" s="1606">
        <v>15963</v>
      </c>
      <c r="O6335" s="1606">
        <v>5985.12</v>
      </c>
      <c r="P6335" s="1606">
        <v>9578.8799999999992</v>
      </c>
      <c r="Q6335" s="1605">
        <v>399</v>
      </c>
      <c r="R6335" s="1606">
        <v>9977.8799999999992</v>
      </c>
      <c r="S6335" s="1608"/>
    </row>
    <row r="6336" spans="2:19" s="1609" customFormat="1" ht="11.25" customHeight="1" outlineLevel="1">
      <c r="B6336" s="1602">
        <v>25690</v>
      </c>
      <c r="C6336" s="1603" t="s">
        <v>4714</v>
      </c>
      <c r="D6336" s="1603" t="s">
        <v>4808</v>
      </c>
      <c r="E6336" s="1603"/>
      <c r="F6336" s="1603"/>
      <c r="G6336" s="1603" t="s">
        <v>4790</v>
      </c>
      <c r="H6336" s="1604">
        <v>2</v>
      </c>
      <c r="I6336" s="1603"/>
      <c r="J6336" s="1603"/>
      <c r="K6336" s="1605">
        <v>304</v>
      </c>
      <c r="L6336" s="1606">
        <v>15963</v>
      </c>
      <c r="M6336" s="1607"/>
      <c r="N6336" s="1606">
        <v>15963</v>
      </c>
      <c r="O6336" s="1606">
        <v>5985.12</v>
      </c>
      <c r="P6336" s="1606">
        <v>9578.8799999999992</v>
      </c>
      <c r="Q6336" s="1605">
        <v>399</v>
      </c>
      <c r="R6336" s="1606">
        <v>9977.8799999999992</v>
      </c>
      <c r="S6336" s="1608"/>
    </row>
    <row r="6337" spans="2:19" s="1609" customFormat="1" ht="11.25" customHeight="1" outlineLevel="1">
      <c r="B6337" s="1602">
        <v>25691</v>
      </c>
      <c r="C6337" s="1603" t="s">
        <v>4714</v>
      </c>
      <c r="D6337" s="1603" t="s">
        <v>4807</v>
      </c>
      <c r="E6337" s="1603"/>
      <c r="F6337" s="1603"/>
      <c r="G6337" s="1603" t="s">
        <v>4804</v>
      </c>
      <c r="H6337" s="1604">
        <v>2</v>
      </c>
      <c r="I6337" s="1603"/>
      <c r="J6337" s="1603"/>
      <c r="K6337" s="1605">
        <v>156</v>
      </c>
      <c r="L6337" s="1606">
        <v>25122</v>
      </c>
      <c r="M6337" s="1607"/>
      <c r="N6337" s="1606">
        <v>25122</v>
      </c>
      <c r="O6337" s="1606">
        <v>4416.24</v>
      </c>
      <c r="P6337" s="1606">
        <v>19877.759999999998</v>
      </c>
      <c r="Q6337" s="1605">
        <v>828</v>
      </c>
      <c r="R6337" s="1606">
        <v>20705.759999999998</v>
      </c>
      <c r="S6337" s="1608"/>
    </row>
    <row r="6338" spans="2:19" s="1609" customFormat="1" ht="11.25" customHeight="1" outlineLevel="1">
      <c r="B6338" s="1602">
        <v>25692</v>
      </c>
      <c r="C6338" s="1603" t="s">
        <v>4714</v>
      </c>
      <c r="D6338" s="1603" t="s">
        <v>4806</v>
      </c>
      <c r="E6338" s="1603"/>
      <c r="F6338" s="1603"/>
      <c r="G6338" s="1603" t="s">
        <v>4799</v>
      </c>
      <c r="H6338" s="1604">
        <v>2</v>
      </c>
      <c r="I6338" s="1603"/>
      <c r="J6338" s="1603"/>
      <c r="K6338" s="1605">
        <v>163</v>
      </c>
      <c r="L6338" s="1606">
        <v>41646</v>
      </c>
      <c r="M6338" s="1607"/>
      <c r="N6338" s="1606">
        <v>41646</v>
      </c>
      <c r="O6338" s="1606">
        <v>15617.88</v>
      </c>
      <c r="P6338" s="1606">
        <v>24986.880000000001</v>
      </c>
      <c r="Q6338" s="1606">
        <v>1041.24</v>
      </c>
      <c r="R6338" s="1606">
        <v>26028.12</v>
      </c>
      <c r="S6338" s="1608"/>
    </row>
    <row r="6339" spans="2:19" s="1609" customFormat="1" ht="11.25" customHeight="1" outlineLevel="1">
      <c r="B6339" s="1602">
        <v>25693</v>
      </c>
      <c r="C6339" s="1603" t="s">
        <v>4714</v>
      </c>
      <c r="D6339" s="1603" t="s">
        <v>4805</v>
      </c>
      <c r="E6339" s="1603"/>
      <c r="F6339" s="1603"/>
      <c r="G6339" s="1603" t="s">
        <v>4804</v>
      </c>
      <c r="H6339" s="1604">
        <v>2</v>
      </c>
      <c r="I6339" s="1603"/>
      <c r="J6339" s="1603"/>
      <c r="K6339" s="1605">
        <v>163</v>
      </c>
      <c r="L6339" s="1606">
        <v>3576</v>
      </c>
      <c r="M6339" s="1607"/>
      <c r="N6339" s="1606">
        <v>3576</v>
      </c>
      <c r="O6339" s="1606">
        <v>1341</v>
      </c>
      <c r="P6339" s="1606">
        <v>2145.6</v>
      </c>
      <c r="Q6339" s="1605">
        <v>89.4</v>
      </c>
      <c r="R6339" s="1606">
        <v>2235</v>
      </c>
      <c r="S6339" s="1608"/>
    </row>
    <row r="6340" spans="2:19" s="1609" customFormat="1" ht="11.25" customHeight="1" outlineLevel="1">
      <c r="B6340" s="1602">
        <v>25694</v>
      </c>
      <c r="C6340" s="1603" t="s">
        <v>4714</v>
      </c>
      <c r="D6340" s="1603" t="s">
        <v>4803</v>
      </c>
      <c r="E6340" s="1603"/>
      <c r="F6340" s="1603"/>
      <c r="G6340" s="1603" t="s">
        <v>4801</v>
      </c>
      <c r="H6340" s="1604">
        <v>2</v>
      </c>
      <c r="I6340" s="1603"/>
      <c r="J6340" s="1603"/>
      <c r="K6340" s="1605">
        <v>163</v>
      </c>
      <c r="L6340" s="1606">
        <v>54463</v>
      </c>
      <c r="M6340" s="1607"/>
      <c r="N6340" s="1606">
        <v>54463</v>
      </c>
      <c r="O6340" s="1606">
        <v>20424.88</v>
      </c>
      <c r="P6340" s="1606">
        <v>32676.48</v>
      </c>
      <c r="Q6340" s="1606">
        <v>1361.64</v>
      </c>
      <c r="R6340" s="1606">
        <v>34038.120000000003</v>
      </c>
      <c r="S6340" s="1608"/>
    </row>
    <row r="6341" spans="2:19" s="1609" customFormat="1" ht="11.25" customHeight="1" outlineLevel="1">
      <c r="B6341" s="1602">
        <v>25695</v>
      </c>
      <c r="C6341" s="1603" t="s">
        <v>4714</v>
      </c>
      <c r="D6341" s="1603" t="s">
        <v>4802</v>
      </c>
      <c r="E6341" s="1603"/>
      <c r="F6341" s="1603"/>
      <c r="G6341" s="1603" t="s">
        <v>4801</v>
      </c>
      <c r="H6341" s="1604">
        <v>2</v>
      </c>
      <c r="I6341" s="1603"/>
      <c r="J6341" s="1603"/>
      <c r="K6341" s="1605">
        <v>152</v>
      </c>
      <c r="L6341" s="1606">
        <v>13955</v>
      </c>
      <c r="M6341" s="1607"/>
      <c r="N6341" s="1606">
        <v>13955</v>
      </c>
      <c r="O6341" s="1606">
        <v>2453.12</v>
      </c>
      <c r="P6341" s="1606">
        <v>11041.92</v>
      </c>
      <c r="Q6341" s="1605">
        <v>459.96</v>
      </c>
      <c r="R6341" s="1606">
        <v>11501.88</v>
      </c>
      <c r="S6341" s="1608"/>
    </row>
    <row r="6342" spans="2:19" s="1609" customFormat="1" ht="11.25" customHeight="1" outlineLevel="1">
      <c r="B6342" s="1602">
        <v>25696</v>
      </c>
      <c r="C6342" s="1603" t="s">
        <v>4714</v>
      </c>
      <c r="D6342" s="1603" t="s">
        <v>4800</v>
      </c>
      <c r="E6342" s="1603"/>
      <c r="F6342" s="1603"/>
      <c r="G6342" s="1603" t="s">
        <v>4799</v>
      </c>
      <c r="H6342" s="1604">
        <v>2</v>
      </c>
      <c r="I6342" s="1603"/>
      <c r="J6342" s="1603"/>
      <c r="K6342" s="1605">
        <v>163</v>
      </c>
      <c r="L6342" s="1606">
        <v>7689</v>
      </c>
      <c r="M6342" s="1607"/>
      <c r="N6342" s="1606">
        <v>7689</v>
      </c>
      <c r="O6342" s="1606">
        <v>3843.12</v>
      </c>
      <c r="P6342" s="1606">
        <v>3692.16</v>
      </c>
      <c r="Q6342" s="1605">
        <v>153.72</v>
      </c>
      <c r="R6342" s="1606">
        <v>3845.88</v>
      </c>
      <c r="S6342" s="1608"/>
    </row>
    <row r="6343" spans="2:19" s="1609" customFormat="1" ht="11.25" customHeight="1" outlineLevel="1">
      <c r="B6343" s="1602">
        <v>25697</v>
      </c>
      <c r="C6343" s="1603" t="s">
        <v>4714</v>
      </c>
      <c r="D6343" s="1603" t="s">
        <v>4798</v>
      </c>
      <c r="E6343" s="1603"/>
      <c r="F6343" s="1603"/>
      <c r="G6343" s="1603" t="s">
        <v>4797</v>
      </c>
      <c r="H6343" s="1604">
        <v>2</v>
      </c>
      <c r="I6343" s="1603"/>
      <c r="J6343" s="1603"/>
      <c r="K6343" s="1605">
        <v>163</v>
      </c>
      <c r="L6343" s="1606">
        <v>20449</v>
      </c>
      <c r="M6343" s="1607"/>
      <c r="N6343" s="1606">
        <v>20449</v>
      </c>
      <c r="O6343" s="1606">
        <v>7668.9</v>
      </c>
      <c r="P6343" s="1606">
        <v>12268.8</v>
      </c>
      <c r="Q6343" s="1605">
        <v>511.3</v>
      </c>
      <c r="R6343" s="1606">
        <v>12780.1</v>
      </c>
      <c r="S6343" s="1608"/>
    </row>
    <row r="6344" spans="2:19" s="1609" customFormat="1" ht="11.25" customHeight="1" outlineLevel="1">
      <c r="B6344" s="1602">
        <v>25698</v>
      </c>
      <c r="C6344" s="1603" t="s">
        <v>4714</v>
      </c>
      <c r="D6344" s="1603" t="s">
        <v>4796</v>
      </c>
      <c r="E6344" s="1603"/>
      <c r="F6344" s="1603"/>
      <c r="G6344" s="1603" t="s">
        <v>4795</v>
      </c>
      <c r="H6344" s="1604">
        <v>2</v>
      </c>
      <c r="I6344" s="1603"/>
      <c r="J6344" s="1603"/>
      <c r="K6344" s="1605">
        <v>163</v>
      </c>
      <c r="L6344" s="1606">
        <v>20693</v>
      </c>
      <c r="M6344" s="1607"/>
      <c r="N6344" s="1606">
        <v>20693</v>
      </c>
      <c r="O6344" s="1606">
        <v>7760</v>
      </c>
      <c r="P6344" s="1606">
        <v>12415.68</v>
      </c>
      <c r="Q6344" s="1605">
        <v>517.32000000000005</v>
      </c>
      <c r="R6344" s="1606">
        <v>12933</v>
      </c>
      <c r="S6344" s="1608"/>
    </row>
    <row r="6345" spans="2:19" s="1609" customFormat="1" ht="11.25" customHeight="1" outlineLevel="1">
      <c r="B6345" s="1602">
        <v>25699</v>
      </c>
      <c r="C6345" s="1603" t="s">
        <v>4714</v>
      </c>
      <c r="D6345" s="1603" t="s">
        <v>4794</v>
      </c>
      <c r="E6345" s="1603"/>
      <c r="F6345" s="1603"/>
      <c r="G6345" s="1603" t="s">
        <v>4792</v>
      </c>
      <c r="H6345" s="1604">
        <v>2</v>
      </c>
      <c r="I6345" s="1603"/>
      <c r="J6345" s="1603"/>
      <c r="K6345" s="1605">
        <v>158</v>
      </c>
      <c r="L6345" s="1606">
        <v>33461</v>
      </c>
      <c r="M6345" s="1607"/>
      <c r="N6345" s="1606">
        <v>33461</v>
      </c>
      <c r="O6345" s="1606">
        <v>5882.24</v>
      </c>
      <c r="P6345" s="1606">
        <v>26475.84</v>
      </c>
      <c r="Q6345" s="1606">
        <v>1102.92</v>
      </c>
      <c r="R6345" s="1606">
        <v>27578.76</v>
      </c>
      <c r="S6345" s="1608"/>
    </row>
    <row r="6346" spans="2:19" s="1609" customFormat="1" ht="11.25" customHeight="1" outlineLevel="1">
      <c r="B6346" s="1602">
        <v>25700</v>
      </c>
      <c r="C6346" s="1603" t="s">
        <v>4714</v>
      </c>
      <c r="D6346" s="1603" t="s">
        <v>4793</v>
      </c>
      <c r="E6346" s="1603"/>
      <c r="F6346" s="1603"/>
      <c r="G6346" s="1603" t="s">
        <v>4792</v>
      </c>
      <c r="H6346" s="1604">
        <v>2</v>
      </c>
      <c r="I6346" s="1603"/>
      <c r="J6346" s="1603"/>
      <c r="K6346" s="1605">
        <v>163</v>
      </c>
      <c r="L6346" s="1606">
        <v>34461</v>
      </c>
      <c r="M6346" s="1607"/>
      <c r="N6346" s="1606">
        <v>34461</v>
      </c>
      <c r="O6346" s="1606">
        <v>17229.12</v>
      </c>
      <c r="P6346" s="1606">
        <v>16542.72</v>
      </c>
      <c r="Q6346" s="1605">
        <v>689.16</v>
      </c>
      <c r="R6346" s="1606">
        <v>17231.88</v>
      </c>
      <c r="S6346" s="1608"/>
    </row>
    <row r="6347" spans="2:19" s="1609" customFormat="1" ht="11.25" customHeight="1" outlineLevel="1">
      <c r="B6347" s="1602">
        <v>25701</v>
      </c>
      <c r="C6347" s="1603" t="s">
        <v>4714</v>
      </c>
      <c r="D6347" s="1603" t="s">
        <v>4791</v>
      </c>
      <c r="E6347" s="1603"/>
      <c r="F6347" s="1603"/>
      <c r="G6347" s="1603" t="s">
        <v>4790</v>
      </c>
      <c r="H6347" s="1604">
        <v>2</v>
      </c>
      <c r="I6347" s="1603"/>
      <c r="J6347" s="1603"/>
      <c r="K6347" s="1605">
        <v>163</v>
      </c>
      <c r="L6347" s="1606">
        <v>123248</v>
      </c>
      <c r="M6347" s="1607"/>
      <c r="N6347" s="1606">
        <v>123248</v>
      </c>
      <c r="O6347" s="1606">
        <v>61624.88</v>
      </c>
      <c r="P6347" s="1606">
        <v>59158.080000000002</v>
      </c>
      <c r="Q6347" s="1606">
        <v>2465.04</v>
      </c>
      <c r="R6347" s="1606">
        <v>61623.12</v>
      </c>
      <c r="S6347" s="1608"/>
    </row>
    <row r="6348" spans="2:19" s="1609" customFormat="1" ht="11.25" customHeight="1" outlineLevel="1">
      <c r="B6348" s="1602">
        <v>25702</v>
      </c>
      <c r="C6348" s="1603" t="s">
        <v>4714</v>
      </c>
      <c r="D6348" s="1603" t="s">
        <v>4789</v>
      </c>
      <c r="E6348" s="1603"/>
      <c r="F6348" s="1603"/>
      <c r="G6348" s="1603" t="s">
        <v>4786</v>
      </c>
      <c r="H6348" s="1604">
        <v>2</v>
      </c>
      <c r="I6348" s="1603"/>
      <c r="J6348" s="1603"/>
      <c r="K6348" s="1605">
        <v>117</v>
      </c>
      <c r="L6348" s="1606">
        <v>7794</v>
      </c>
      <c r="M6348" s="1607"/>
      <c r="N6348" s="1606">
        <v>7794</v>
      </c>
      <c r="O6348" s="1606">
        <v>1299</v>
      </c>
      <c r="P6348" s="1606">
        <v>6235.2</v>
      </c>
      <c r="Q6348" s="1605">
        <v>259.8</v>
      </c>
      <c r="R6348" s="1606">
        <v>6495</v>
      </c>
      <c r="S6348" s="1608"/>
    </row>
    <row r="6349" spans="2:19" s="1609" customFormat="1" ht="11.25" customHeight="1" outlineLevel="1">
      <c r="B6349" s="1602">
        <v>25703</v>
      </c>
      <c r="C6349" s="1603" t="s">
        <v>4714</v>
      </c>
      <c r="D6349" s="1603" t="s">
        <v>4788</v>
      </c>
      <c r="E6349" s="1603"/>
      <c r="F6349" s="1603"/>
      <c r="G6349" s="1603" t="s">
        <v>4786</v>
      </c>
      <c r="H6349" s="1604">
        <v>2</v>
      </c>
      <c r="I6349" s="1603"/>
      <c r="J6349" s="1603"/>
      <c r="K6349" s="1605">
        <v>163</v>
      </c>
      <c r="L6349" s="1606">
        <v>65184</v>
      </c>
      <c r="M6349" s="1607"/>
      <c r="N6349" s="1606">
        <v>65184</v>
      </c>
      <c r="O6349" s="1606">
        <v>24444</v>
      </c>
      <c r="P6349" s="1606">
        <v>39110.400000000001</v>
      </c>
      <c r="Q6349" s="1606">
        <v>1629.6</v>
      </c>
      <c r="R6349" s="1606">
        <v>40740</v>
      </c>
      <c r="S6349" s="1608"/>
    </row>
    <row r="6350" spans="2:19" s="1609" customFormat="1" ht="11.25" customHeight="1" outlineLevel="1">
      <c r="B6350" s="1602">
        <v>25704</v>
      </c>
      <c r="C6350" s="1603" t="s">
        <v>4714</v>
      </c>
      <c r="D6350" s="1603" t="s">
        <v>4787</v>
      </c>
      <c r="E6350" s="1603"/>
      <c r="F6350" s="1603"/>
      <c r="G6350" s="1603" t="s">
        <v>4786</v>
      </c>
      <c r="H6350" s="1604">
        <v>2</v>
      </c>
      <c r="I6350" s="1603"/>
      <c r="J6350" s="1603"/>
      <c r="K6350" s="1605">
        <v>159</v>
      </c>
      <c r="L6350" s="1606">
        <v>70095</v>
      </c>
      <c r="M6350" s="1607"/>
      <c r="N6350" s="1606">
        <v>70095</v>
      </c>
      <c r="O6350" s="1606">
        <v>12324.12</v>
      </c>
      <c r="P6350" s="1606">
        <v>55460.160000000003</v>
      </c>
      <c r="Q6350" s="1606">
        <v>2310.7199999999998</v>
      </c>
      <c r="R6350" s="1606">
        <v>57770.879999999997</v>
      </c>
      <c r="S6350" s="1608"/>
    </row>
    <row r="6351" spans="2:19" s="1609" customFormat="1" ht="11.25" customHeight="1" outlineLevel="1">
      <c r="B6351" s="1602">
        <v>25735</v>
      </c>
      <c r="C6351" s="1603" t="s">
        <v>4714</v>
      </c>
      <c r="D6351" s="1603" t="s">
        <v>4785</v>
      </c>
      <c r="E6351" s="1603"/>
      <c r="F6351" s="1603"/>
      <c r="G6351" s="1603" t="s">
        <v>4784</v>
      </c>
      <c r="H6351" s="1604">
        <v>2</v>
      </c>
      <c r="I6351" s="1603"/>
      <c r="J6351" s="1603"/>
      <c r="K6351" s="1605">
        <v>140</v>
      </c>
      <c r="L6351" s="1606">
        <v>7992</v>
      </c>
      <c r="M6351" s="1607"/>
      <c r="N6351" s="1606">
        <v>7992</v>
      </c>
      <c r="O6351" s="1606">
        <v>2997</v>
      </c>
      <c r="P6351" s="1606">
        <v>4795.2</v>
      </c>
      <c r="Q6351" s="1605">
        <v>199.8</v>
      </c>
      <c r="R6351" s="1606">
        <v>4995</v>
      </c>
      <c r="S6351" s="1608"/>
    </row>
    <row r="6352" spans="2:19" s="1609" customFormat="1" ht="11.25" customHeight="1" outlineLevel="1">
      <c r="B6352" s="1602">
        <v>25737</v>
      </c>
      <c r="C6352" s="1603" t="s">
        <v>4714</v>
      </c>
      <c r="D6352" s="1603" t="s">
        <v>4783</v>
      </c>
      <c r="E6352" s="1603"/>
      <c r="F6352" s="1603"/>
      <c r="G6352" s="1603" t="s">
        <v>4782</v>
      </c>
      <c r="H6352" s="1604">
        <v>2</v>
      </c>
      <c r="I6352" s="1603"/>
      <c r="J6352" s="1603"/>
      <c r="K6352" s="1605">
        <v>64</v>
      </c>
      <c r="L6352" s="1606">
        <v>6681</v>
      </c>
      <c r="M6352" s="1607"/>
      <c r="N6352" s="1606">
        <v>6681</v>
      </c>
      <c r="O6352" s="1606">
        <v>2505</v>
      </c>
      <c r="P6352" s="1606">
        <v>4008.96</v>
      </c>
      <c r="Q6352" s="1605">
        <v>167.04</v>
      </c>
      <c r="R6352" s="1606">
        <v>4176</v>
      </c>
      <c r="S6352" s="1608"/>
    </row>
    <row r="6353" spans="2:19" s="1609" customFormat="1" ht="11.25" customHeight="1" outlineLevel="1">
      <c r="B6353" s="1602">
        <v>25738</v>
      </c>
      <c r="C6353" s="1603" t="s">
        <v>4714</v>
      </c>
      <c r="D6353" s="1603" t="s">
        <v>4781</v>
      </c>
      <c r="E6353" s="1603"/>
      <c r="F6353" s="1603"/>
      <c r="G6353" s="1603" t="s">
        <v>4780</v>
      </c>
      <c r="H6353" s="1604">
        <v>2</v>
      </c>
      <c r="I6353" s="1603"/>
      <c r="J6353" s="1603"/>
      <c r="K6353" s="1605">
        <v>127</v>
      </c>
      <c r="L6353" s="1606">
        <v>7572</v>
      </c>
      <c r="M6353" s="1607"/>
      <c r="N6353" s="1606">
        <v>7572</v>
      </c>
      <c r="O6353" s="1606">
        <v>2838.12</v>
      </c>
      <c r="P6353" s="1606">
        <v>4544.6400000000003</v>
      </c>
      <c r="Q6353" s="1605">
        <v>189.24</v>
      </c>
      <c r="R6353" s="1606">
        <v>4733.88</v>
      </c>
      <c r="S6353" s="1608"/>
    </row>
    <row r="6354" spans="2:19" s="1609" customFormat="1" ht="11.25" customHeight="1" outlineLevel="1">
      <c r="B6354" s="1602">
        <v>25740</v>
      </c>
      <c r="C6354" s="1603" t="s">
        <v>4714</v>
      </c>
      <c r="D6354" s="1603" t="s">
        <v>4779</v>
      </c>
      <c r="E6354" s="1603"/>
      <c r="F6354" s="1603"/>
      <c r="G6354" s="1603" t="s">
        <v>4778</v>
      </c>
      <c r="H6354" s="1604">
        <v>2</v>
      </c>
      <c r="I6354" s="1603"/>
      <c r="J6354" s="1603"/>
      <c r="K6354" s="1605">
        <v>118</v>
      </c>
      <c r="L6354" s="1606">
        <v>6754</v>
      </c>
      <c r="M6354" s="1607"/>
      <c r="N6354" s="1606">
        <v>6754</v>
      </c>
      <c r="O6354" s="1606">
        <v>2533</v>
      </c>
      <c r="P6354" s="1606">
        <v>4052.16</v>
      </c>
      <c r="Q6354" s="1605">
        <v>168.84</v>
      </c>
      <c r="R6354" s="1606">
        <v>4221</v>
      </c>
      <c r="S6354" s="1608"/>
    </row>
    <row r="6355" spans="2:19" s="1609" customFormat="1" ht="11.25" customHeight="1" outlineLevel="1">
      <c r="B6355" s="1602">
        <v>25743</v>
      </c>
      <c r="C6355" s="1603" t="s">
        <v>4714</v>
      </c>
      <c r="D6355" s="1603" t="s">
        <v>4777</v>
      </c>
      <c r="E6355" s="1603"/>
      <c r="F6355" s="1603"/>
      <c r="G6355" s="1603" t="s">
        <v>4776</v>
      </c>
      <c r="H6355" s="1604">
        <v>2</v>
      </c>
      <c r="I6355" s="1603"/>
      <c r="J6355" s="1603"/>
      <c r="K6355" s="1605">
        <v>183</v>
      </c>
      <c r="L6355" s="1606">
        <v>18371</v>
      </c>
      <c r="M6355" s="1607"/>
      <c r="N6355" s="1606">
        <v>18371</v>
      </c>
      <c r="O6355" s="1606">
        <v>6889.88</v>
      </c>
      <c r="P6355" s="1606">
        <v>11021.76</v>
      </c>
      <c r="Q6355" s="1605">
        <v>459.36</v>
      </c>
      <c r="R6355" s="1606">
        <v>11481.12</v>
      </c>
      <c r="S6355" s="1608"/>
    </row>
    <row r="6356" spans="2:19" s="1609" customFormat="1" ht="11.25" customHeight="1" outlineLevel="1">
      <c r="B6356" s="1602">
        <v>25745</v>
      </c>
      <c r="C6356" s="1603" t="s">
        <v>4714</v>
      </c>
      <c r="D6356" s="1603" t="s">
        <v>4775</v>
      </c>
      <c r="E6356" s="1603"/>
      <c r="F6356" s="1603"/>
      <c r="G6356" s="1603" t="s">
        <v>4774</v>
      </c>
      <c r="H6356" s="1604">
        <v>2</v>
      </c>
      <c r="I6356" s="1603"/>
      <c r="J6356" s="1603"/>
      <c r="K6356" s="1605">
        <v>672</v>
      </c>
      <c r="L6356" s="1606">
        <v>28897</v>
      </c>
      <c r="M6356" s="1607"/>
      <c r="N6356" s="1606">
        <v>28897</v>
      </c>
      <c r="O6356" s="1606">
        <v>14449</v>
      </c>
      <c r="P6356" s="1606">
        <v>13870.08</v>
      </c>
      <c r="Q6356" s="1605">
        <v>577.91999999999996</v>
      </c>
      <c r="R6356" s="1606">
        <v>14448</v>
      </c>
      <c r="S6356" s="1608"/>
    </row>
    <row r="6357" spans="2:19" s="1609" customFormat="1" ht="11.25" customHeight="1" outlineLevel="1">
      <c r="B6357" s="1602">
        <v>25747</v>
      </c>
      <c r="C6357" s="1603" t="s">
        <v>4714</v>
      </c>
      <c r="D6357" s="1603" t="s">
        <v>4773</v>
      </c>
      <c r="E6357" s="1603"/>
      <c r="F6357" s="1603"/>
      <c r="G6357" s="1603" t="s">
        <v>4772</v>
      </c>
      <c r="H6357" s="1604">
        <v>2</v>
      </c>
      <c r="I6357" s="1603"/>
      <c r="J6357" s="1603"/>
      <c r="K6357" s="1605">
        <v>404</v>
      </c>
      <c r="L6357" s="1606">
        <v>12533</v>
      </c>
      <c r="M6357" s="1607"/>
      <c r="N6357" s="1606">
        <v>12533</v>
      </c>
      <c r="O6357" s="1606">
        <v>6266</v>
      </c>
      <c r="P6357" s="1606">
        <v>6016.32</v>
      </c>
      <c r="Q6357" s="1605">
        <v>250.68</v>
      </c>
      <c r="R6357" s="1606">
        <v>6267</v>
      </c>
      <c r="S6357" s="1608"/>
    </row>
    <row r="6358" spans="2:19" s="1609" customFormat="1" ht="11.25" customHeight="1" outlineLevel="1">
      <c r="B6358" s="1602">
        <v>25749</v>
      </c>
      <c r="C6358" s="1603" t="s">
        <v>4714</v>
      </c>
      <c r="D6358" s="1603" t="s">
        <v>4771</v>
      </c>
      <c r="E6358" s="1603"/>
      <c r="F6358" s="1603"/>
      <c r="G6358" s="1603" t="s">
        <v>4769</v>
      </c>
      <c r="H6358" s="1604">
        <v>2</v>
      </c>
      <c r="I6358" s="1603"/>
      <c r="J6358" s="1603"/>
      <c r="K6358" s="1605">
        <v>53</v>
      </c>
      <c r="L6358" s="1606">
        <v>4541</v>
      </c>
      <c r="M6358" s="1607"/>
      <c r="N6358" s="1606">
        <v>4541</v>
      </c>
      <c r="O6358" s="1606">
        <v>1703</v>
      </c>
      <c r="P6358" s="1606">
        <v>2724.48</v>
      </c>
      <c r="Q6358" s="1605">
        <v>113.52</v>
      </c>
      <c r="R6358" s="1606">
        <v>2838</v>
      </c>
      <c r="S6358" s="1608"/>
    </row>
    <row r="6359" spans="2:19" s="1609" customFormat="1" ht="11.25" customHeight="1" outlineLevel="1">
      <c r="B6359" s="1602">
        <v>25750</v>
      </c>
      <c r="C6359" s="1603" t="s">
        <v>4714</v>
      </c>
      <c r="D6359" s="1603" t="s">
        <v>4770</v>
      </c>
      <c r="E6359" s="1603"/>
      <c r="F6359" s="1603"/>
      <c r="G6359" s="1603" t="s">
        <v>4769</v>
      </c>
      <c r="H6359" s="1604">
        <v>2</v>
      </c>
      <c r="I6359" s="1603"/>
      <c r="J6359" s="1603"/>
      <c r="K6359" s="1605">
        <v>175</v>
      </c>
      <c r="L6359" s="1606">
        <v>10412</v>
      </c>
      <c r="M6359" s="1607"/>
      <c r="N6359" s="1606">
        <v>10412</v>
      </c>
      <c r="O6359" s="1606">
        <v>3905</v>
      </c>
      <c r="P6359" s="1606">
        <v>6246.72</v>
      </c>
      <c r="Q6359" s="1605">
        <v>260.27999999999997</v>
      </c>
      <c r="R6359" s="1606">
        <v>6507</v>
      </c>
      <c r="S6359" s="1608"/>
    </row>
    <row r="6360" spans="2:19" s="1609" customFormat="1" ht="11.25" customHeight="1" outlineLevel="1">
      <c r="B6360" s="1602">
        <v>25753</v>
      </c>
      <c r="C6360" s="1603" t="s">
        <v>4714</v>
      </c>
      <c r="D6360" s="1603" t="s">
        <v>4768</v>
      </c>
      <c r="E6360" s="1603"/>
      <c r="F6360" s="1603"/>
      <c r="G6360" s="1603" t="s">
        <v>4767</v>
      </c>
      <c r="H6360" s="1604">
        <v>2</v>
      </c>
      <c r="I6360" s="1603"/>
      <c r="J6360" s="1603"/>
      <c r="K6360" s="1605">
        <v>116</v>
      </c>
      <c r="L6360" s="1606">
        <v>4476</v>
      </c>
      <c r="M6360" s="1607"/>
      <c r="N6360" s="1606">
        <v>4476</v>
      </c>
      <c r="O6360" s="1606">
        <v>1677.12</v>
      </c>
      <c r="P6360" s="1606">
        <v>2687.04</v>
      </c>
      <c r="Q6360" s="1605">
        <v>111.84</v>
      </c>
      <c r="R6360" s="1606">
        <v>2798.88</v>
      </c>
      <c r="S6360" s="1608"/>
    </row>
    <row r="6361" spans="2:19" s="1609" customFormat="1" ht="11.25" customHeight="1" outlineLevel="1">
      <c r="B6361" s="1602">
        <v>25755</v>
      </c>
      <c r="C6361" s="1603" t="s">
        <v>4714</v>
      </c>
      <c r="D6361" s="1603" t="s">
        <v>4766</v>
      </c>
      <c r="E6361" s="1603"/>
      <c r="F6361" s="1603"/>
      <c r="G6361" s="1603" t="s">
        <v>4765</v>
      </c>
      <c r="H6361" s="1604">
        <v>2</v>
      </c>
      <c r="I6361" s="1603"/>
      <c r="J6361" s="1603"/>
      <c r="K6361" s="1605">
        <v>116</v>
      </c>
      <c r="L6361" s="1606">
        <v>11984</v>
      </c>
      <c r="M6361" s="1607"/>
      <c r="N6361" s="1606">
        <v>11984</v>
      </c>
      <c r="O6361" s="1606">
        <v>2107.84</v>
      </c>
      <c r="P6361" s="1606">
        <v>9480.9599999999991</v>
      </c>
      <c r="Q6361" s="1605">
        <v>395.2</v>
      </c>
      <c r="R6361" s="1606">
        <v>9876.16</v>
      </c>
      <c r="S6361" s="1608"/>
    </row>
    <row r="6362" spans="2:19" s="1609" customFormat="1" ht="11.25" customHeight="1" outlineLevel="1">
      <c r="B6362" s="1602">
        <v>25757</v>
      </c>
      <c r="C6362" s="1603" t="s">
        <v>4714</v>
      </c>
      <c r="D6362" s="1603" t="s">
        <v>4764</v>
      </c>
      <c r="E6362" s="1603"/>
      <c r="F6362" s="1603"/>
      <c r="G6362" s="1603" t="s">
        <v>4763</v>
      </c>
      <c r="H6362" s="1604">
        <v>2</v>
      </c>
      <c r="I6362" s="1603"/>
      <c r="J6362" s="1603"/>
      <c r="K6362" s="1605">
        <v>157</v>
      </c>
      <c r="L6362" s="1606">
        <v>5768</v>
      </c>
      <c r="M6362" s="1607"/>
      <c r="N6362" s="1606">
        <v>5768</v>
      </c>
      <c r="O6362" s="1606">
        <v>2162.12</v>
      </c>
      <c r="P6362" s="1606">
        <v>3461.76</v>
      </c>
      <c r="Q6362" s="1605">
        <v>144.12</v>
      </c>
      <c r="R6362" s="1606">
        <v>3605.88</v>
      </c>
      <c r="S6362" s="1608"/>
    </row>
    <row r="6363" spans="2:19" s="1609" customFormat="1" ht="11.25" customHeight="1" outlineLevel="1">
      <c r="B6363" s="1602">
        <v>25759</v>
      </c>
      <c r="C6363" s="1603" t="s">
        <v>4714</v>
      </c>
      <c r="D6363" s="1603" t="s">
        <v>4762</v>
      </c>
      <c r="E6363" s="1603"/>
      <c r="F6363" s="1603"/>
      <c r="G6363" s="1603" t="s">
        <v>4759</v>
      </c>
      <c r="H6363" s="1604">
        <v>2</v>
      </c>
      <c r="I6363" s="1603"/>
      <c r="J6363" s="1603"/>
      <c r="K6363" s="1605">
        <v>64</v>
      </c>
      <c r="L6363" s="1606">
        <v>9618</v>
      </c>
      <c r="M6363" s="1607"/>
      <c r="N6363" s="1606">
        <v>9618</v>
      </c>
      <c r="O6363" s="1606">
        <v>3606.12</v>
      </c>
      <c r="P6363" s="1606">
        <v>5771.52</v>
      </c>
      <c r="Q6363" s="1605">
        <v>240.36</v>
      </c>
      <c r="R6363" s="1606">
        <v>6011.88</v>
      </c>
      <c r="S6363" s="1608"/>
    </row>
    <row r="6364" spans="2:19" s="1609" customFormat="1" ht="11.25" customHeight="1" outlineLevel="1">
      <c r="B6364" s="1602">
        <v>25760</v>
      </c>
      <c r="C6364" s="1603" t="s">
        <v>4714</v>
      </c>
      <c r="D6364" s="1603" t="s">
        <v>4761</v>
      </c>
      <c r="E6364" s="1603"/>
      <c r="F6364" s="1603"/>
      <c r="G6364" s="1603" t="s">
        <v>4759</v>
      </c>
      <c r="H6364" s="1604">
        <v>2</v>
      </c>
      <c r="I6364" s="1603"/>
      <c r="J6364" s="1603"/>
      <c r="K6364" s="1605">
        <v>86</v>
      </c>
      <c r="L6364" s="1606">
        <v>3707</v>
      </c>
      <c r="M6364" s="1607"/>
      <c r="N6364" s="1606">
        <v>3707</v>
      </c>
      <c r="O6364" s="1606">
        <v>1390.88</v>
      </c>
      <c r="P6364" s="1606">
        <v>2223.36</v>
      </c>
      <c r="Q6364" s="1605">
        <v>92.76</v>
      </c>
      <c r="R6364" s="1606">
        <v>2316.12</v>
      </c>
      <c r="S6364" s="1608"/>
    </row>
    <row r="6365" spans="2:19" s="1609" customFormat="1" ht="11.25" customHeight="1" outlineLevel="1">
      <c r="B6365" s="1602">
        <v>25761</v>
      </c>
      <c r="C6365" s="1603" t="s">
        <v>4714</v>
      </c>
      <c r="D6365" s="1603" t="s">
        <v>4760</v>
      </c>
      <c r="E6365" s="1603"/>
      <c r="F6365" s="1603"/>
      <c r="G6365" s="1603" t="s">
        <v>4759</v>
      </c>
      <c r="H6365" s="1604">
        <v>2</v>
      </c>
      <c r="I6365" s="1603"/>
      <c r="J6365" s="1603"/>
      <c r="K6365" s="1605">
        <v>107</v>
      </c>
      <c r="L6365" s="1606">
        <v>7812</v>
      </c>
      <c r="M6365" s="1607"/>
      <c r="N6365" s="1606">
        <v>7812</v>
      </c>
      <c r="O6365" s="1606">
        <v>2928.12</v>
      </c>
      <c r="P6365" s="1606">
        <v>4688.6400000000003</v>
      </c>
      <c r="Q6365" s="1605">
        <v>195.24</v>
      </c>
      <c r="R6365" s="1606">
        <v>4883.88</v>
      </c>
      <c r="S6365" s="1608"/>
    </row>
    <row r="6366" spans="2:19" s="1609" customFormat="1" ht="11.25" customHeight="1" outlineLevel="1">
      <c r="B6366" s="1602">
        <v>25762</v>
      </c>
      <c r="C6366" s="1603" t="s">
        <v>4714</v>
      </c>
      <c r="D6366" s="1603" t="s">
        <v>4758</v>
      </c>
      <c r="E6366" s="1603"/>
      <c r="F6366" s="1603"/>
      <c r="G6366" s="1603" t="s">
        <v>4757</v>
      </c>
      <c r="H6366" s="1604">
        <v>2</v>
      </c>
      <c r="I6366" s="1603"/>
      <c r="J6366" s="1603"/>
      <c r="K6366" s="1605">
        <v>86</v>
      </c>
      <c r="L6366" s="1605">
        <v>813</v>
      </c>
      <c r="M6366" s="1607"/>
      <c r="N6366" s="1605">
        <v>813</v>
      </c>
      <c r="O6366" s="1605">
        <v>405.12</v>
      </c>
      <c r="P6366" s="1605">
        <v>391.68</v>
      </c>
      <c r="Q6366" s="1605">
        <v>16.2</v>
      </c>
      <c r="R6366" s="1605">
        <v>407.88</v>
      </c>
      <c r="S6366" s="1608"/>
    </row>
    <row r="6367" spans="2:19" s="1609" customFormat="1" ht="11.25" customHeight="1" outlineLevel="1">
      <c r="B6367" s="1602">
        <v>25763</v>
      </c>
      <c r="C6367" s="1603" t="s">
        <v>4714</v>
      </c>
      <c r="D6367" s="1603" t="s">
        <v>4756</v>
      </c>
      <c r="E6367" s="1603"/>
      <c r="F6367" s="1603"/>
      <c r="G6367" s="1603" t="s">
        <v>4755</v>
      </c>
      <c r="H6367" s="1604">
        <v>2</v>
      </c>
      <c r="I6367" s="1603"/>
      <c r="J6367" s="1603"/>
      <c r="K6367" s="1605">
        <v>86</v>
      </c>
      <c r="L6367" s="1606">
        <v>6763</v>
      </c>
      <c r="M6367" s="1607"/>
      <c r="N6367" s="1606">
        <v>6763</v>
      </c>
      <c r="O6367" s="1606">
        <v>2536</v>
      </c>
      <c r="P6367" s="1606">
        <v>4057.92</v>
      </c>
      <c r="Q6367" s="1605">
        <v>169.08</v>
      </c>
      <c r="R6367" s="1606">
        <v>4227</v>
      </c>
      <c r="S6367" s="1608"/>
    </row>
    <row r="6368" spans="2:19" s="1609" customFormat="1" ht="11.25" customHeight="1" outlineLevel="1">
      <c r="B6368" s="1602">
        <v>25765</v>
      </c>
      <c r="C6368" s="1603" t="s">
        <v>4714</v>
      </c>
      <c r="D6368" s="1603" t="s">
        <v>4754</v>
      </c>
      <c r="E6368" s="1603"/>
      <c r="F6368" s="1603"/>
      <c r="G6368" s="1603" t="s">
        <v>4752</v>
      </c>
      <c r="H6368" s="1604">
        <v>2</v>
      </c>
      <c r="I6368" s="1603"/>
      <c r="J6368" s="1603"/>
      <c r="K6368" s="1606">
        <v>3246</v>
      </c>
      <c r="L6368" s="1606">
        <v>165559</v>
      </c>
      <c r="M6368" s="1607"/>
      <c r="N6368" s="1606">
        <v>165559</v>
      </c>
      <c r="O6368" s="1606">
        <v>29109.88</v>
      </c>
      <c r="P6368" s="1606">
        <v>130991.03999999999</v>
      </c>
      <c r="Q6368" s="1606">
        <v>5458.08</v>
      </c>
      <c r="R6368" s="1606">
        <v>136449.12</v>
      </c>
      <c r="S6368" s="1608"/>
    </row>
    <row r="6369" spans="2:19" s="1609" customFormat="1" ht="11.25" customHeight="1" outlineLevel="1">
      <c r="B6369" s="1602">
        <v>25767</v>
      </c>
      <c r="C6369" s="1603" t="s">
        <v>4714</v>
      </c>
      <c r="D6369" s="1603" t="s">
        <v>4753</v>
      </c>
      <c r="E6369" s="1603"/>
      <c r="F6369" s="1603"/>
      <c r="G6369" s="1603" t="s">
        <v>4752</v>
      </c>
      <c r="H6369" s="1604">
        <v>2</v>
      </c>
      <c r="I6369" s="1603"/>
      <c r="J6369" s="1603"/>
      <c r="K6369" s="1606">
        <v>1211</v>
      </c>
      <c r="L6369" s="1606">
        <v>51152</v>
      </c>
      <c r="M6369" s="1607"/>
      <c r="N6369" s="1606">
        <v>51152</v>
      </c>
      <c r="O6369" s="1606">
        <v>8993.1200000000008</v>
      </c>
      <c r="P6369" s="1606">
        <v>40472.639999999999</v>
      </c>
      <c r="Q6369" s="1606">
        <v>1686.24</v>
      </c>
      <c r="R6369" s="1606">
        <v>42158.879999999997</v>
      </c>
      <c r="S6369" s="1608"/>
    </row>
    <row r="6370" spans="2:19" s="1609" customFormat="1" ht="11.25" customHeight="1" outlineLevel="1">
      <c r="B6370" s="1602">
        <v>25770</v>
      </c>
      <c r="C6370" s="1603" t="s">
        <v>4714</v>
      </c>
      <c r="D6370" s="1603" t="s">
        <v>4751</v>
      </c>
      <c r="E6370" s="1603"/>
      <c r="F6370" s="1603"/>
      <c r="G6370" s="1603" t="s">
        <v>4750</v>
      </c>
      <c r="H6370" s="1604">
        <v>2</v>
      </c>
      <c r="I6370" s="1603"/>
      <c r="J6370" s="1603"/>
      <c r="K6370" s="1605">
        <v>181</v>
      </c>
      <c r="L6370" s="1606">
        <v>61452</v>
      </c>
      <c r="M6370" s="1607"/>
      <c r="N6370" s="1606">
        <v>61452</v>
      </c>
      <c r="O6370" s="1606">
        <v>10805.76</v>
      </c>
      <c r="P6370" s="1606">
        <v>48620.160000000003</v>
      </c>
      <c r="Q6370" s="1606">
        <v>2026.08</v>
      </c>
      <c r="R6370" s="1606">
        <v>50646.239999999998</v>
      </c>
      <c r="S6370" s="1608"/>
    </row>
    <row r="6371" spans="2:19" s="1609" customFormat="1" ht="11.25" customHeight="1" outlineLevel="1">
      <c r="B6371" s="1602">
        <v>25771</v>
      </c>
      <c r="C6371" s="1603" t="s">
        <v>4714</v>
      </c>
      <c r="D6371" s="1603" t="s">
        <v>4749</v>
      </c>
      <c r="E6371" s="1603"/>
      <c r="F6371" s="1603"/>
      <c r="G6371" s="1603" t="s">
        <v>4748</v>
      </c>
      <c r="H6371" s="1604">
        <v>2</v>
      </c>
      <c r="I6371" s="1603"/>
      <c r="J6371" s="1603"/>
      <c r="K6371" s="1605">
        <v>482</v>
      </c>
      <c r="L6371" s="1606">
        <v>144999</v>
      </c>
      <c r="M6371" s="1607"/>
      <c r="N6371" s="1606">
        <v>144999</v>
      </c>
      <c r="O6371" s="1606">
        <v>54375</v>
      </c>
      <c r="P6371" s="1606">
        <v>86999.039999999994</v>
      </c>
      <c r="Q6371" s="1606">
        <v>3624.96</v>
      </c>
      <c r="R6371" s="1606">
        <v>90624</v>
      </c>
      <c r="S6371" s="1608"/>
    </row>
    <row r="6372" spans="2:19" s="1609" customFormat="1" ht="11.25" customHeight="1" outlineLevel="1">
      <c r="B6372" s="1602">
        <v>25772</v>
      </c>
      <c r="C6372" s="1603" t="s">
        <v>4714</v>
      </c>
      <c r="D6372" s="1603" t="s">
        <v>4747</v>
      </c>
      <c r="E6372" s="1603"/>
      <c r="F6372" s="1603"/>
      <c r="G6372" s="1603" t="s">
        <v>4746</v>
      </c>
      <c r="H6372" s="1604">
        <v>2</v>
      </c>
      <c r="I6372" s="1603"/>
      <c r="J6372" s="1603"/>
      <c r="K6372" s="1605">
        <v>482</v>
      </c>
      <c r="L6372" s="1606">
        <v>15121</v>
      </c>
      <c r="M6372" s="1607"/>
      <c r="N6372" s="1606">
        <v>15121</v>
      </c>
      <c r="O6372" s="1606">
        <v>7561</v>
      </c>
      <c r="P6372" s="1606">
        <v>7257.6</v>
      </c>
      <c r="Q6372" s="1605">
        <v>302.39999999999998</v>
      </c>
      <c r="R6372" s="1606">
        <v>7560</v>
      </c>
      <c r="S6372" s="1608"/>
    </row>
    <row r="6373" spans="2:19" s="1609" customFormat="1" ht="11.25" customHeight="1" outlineLevel="1">
      <c r="B6373" s="1602">
        <v>25782</v>
      </c>
      <c r="C6373" s="1603" t="s">
        <v>4714</v>
      </c>
      <c r="D6373" s="1603" t="s">
        <v>4745</v>
      </c>
      <c r="E6373" s="1603"/>
      <c r="F6373" s="1603"/>
      <c r="G6373" s="1603" t="s">
        <v>4744</v>
      </c>
      <c r="H6373" s="1604">
        <v>2</v>
      </c>
      <c r="I6373" s="1603"/>
      <c r="J6373" s="1603"/>
      <c r="K6373" s="1605">
        <v>409</v>
      </c>
      <c r="L6373" s="1606">
        <v>27017</v>
      </c>
      <c r="M6373" s="1607"/>
      <c r="N6373" s="1606">
        <v>27017</v>
      </c>
      <c r="O6373" s="1606">
        <v>10130.120000000001</v>
      </c>
      <c r="P6373" s="1606">
        <v>16211.52</v>
      </c>
      <c r="Q6373" s="1605">
        <v>675.36</v>
      </c>
      <c r="R6373" s="1606">
        <v>16886.88</v>
      </c>
      <c r="S6373" s="1608"/>
    </row>
    <row r="6374" spans="2:19" s="1609" customFormat="1" ht="11.25" customHeight="1" outlineLevel="1">
      <c r="B6374" s="1602">
        <v>25783</v>
      </c>
      <c r="C6374" s="1603" t="s">
        <v>4714</v>
      </c>
      <c r="D6374" s="1603" t="s">
        <v>4743</v>
      </c>
      <c r="E6374" s="1603"/>
      <c r="F6374" s="1603"/>
      <c r="G6374" s="1603" t="s">
        <v>4742</v>
      </c>
      <c r="H6374" s="1604">
        <v>2</v>
      </c>
      <c r="I6374" s="1603"/>
      <c r="J6374" s="1603"/>
      <c r="K6374" s="1605">
        <v>409</v>
      </c>
      <c r="L6374" s="1606">
        <v>31962</v>
      </c>
      <c r="M6374" s="1607"/>
      <c r="N6374" s="1606">
        <v>31962</v>
      </c>
      <c r="O6374" s="1606">
        <v>11985.12</v>
      </c>
      <c r="P6374" s="1606">
        <v>19177.919999999998</v>
      </c>
      <c r="Q6374" s="1605">
        <v>798.96</v>
      </c>
      <c r="R6374" s="1606">
        <v>19976.88</v>
      </c>
      <c r="S6374" s="1608"/>
    </row>
    <row r="6375" spans="2:19" s="1609" customFormat="1" ht="11.25" customHeight="1" outlineLevel="1">
      <c r="B6375" s="1602">
        <v>25784</v>
      </c>
      <c r="C6375" s="1603" t="s">
        <v>4714</v>
      </c>
      <c r="D6375" s="1603" t="s">
        <v>4741</v>
      </c>
      <c r="E6375" s="1603"/>
      <c r="F6375" s="1603"/>
      <c r="G6375" s="1603" t="s">
        <v>4740</v>
      </c>
      <c r="H6375" s="1604">
        <v>2</v>
      </c>
      <c r="I6375" s="1603"/>
      <c r="J6375" s="1603"/>
      <c r="K6375" s="1605">
        <v>409</v>
      </c>
      <c r="L6375" s="1606">
        <v>5109</v>
      </c>
      <c r="M6375" s="1607"/>
      <c r="N6375" s="1606">
        <v>5109</v>
      </c>
      <c r="O6375" s="1606">
        <v>1916.88</v>
      </c>
      <c r="P6375" s="1606">
        <v>3064.32</v>
      </c>
      <c r="Q6375" s="1605">
        <v>127.8</v>
      </c>
      <c r="R6375" s="1606">
        <v>3192.12</v>
      </c>
      <c r="S6375" s="1608"/>
    </row>
    <row r="6376" spans="2:19" s="1609" customFormat="1" ht="11.25" customHeight="1" outlineLevel="1">
      <c r="B6376" s="1602">
        <v>25785</v>
      </c>
      <c r="C6376" s="1603" t="s">
        <v>4714</v>
      </c>
      <c r="D6376" s="1603" t="s">
        <v>4739</v>
      </c>
      <c r="E6376" s="1603"/>
      <c r="F6376" s="1603"/>
      <c r="G6376" s="1603" t="s">
        <v>4738</v>
      </c>
      <c r="H6376" s="1604">
        <v>2</v>
      </c>
      <c r="I6376" s="1603"/>
      <c r="J6376" s="1603"/>
      <c r="K6376" s="1605">
        <v>409</v>
      </c>
      <c r="L6376" s="1606">
        <v>5722</v>
      </c>
      <c r="M6376" s="1607"/>
      <c r="N6376" s="1606">
        <v>5722</v>
      </c>
      <c r="O6376" s="1606">
        <v>2146</v>
      </c>
      <c r="P6376" s="1606">
        <v>3432.96</v>
      </c>
      <c r="Q6376" s="1605">
        <v>143.04</v>
      </c>
      <c r="R6376" s="1606">
        <v>3576</v>
      </c>
      <c r="S6376" s="1608"/>
    </row>
    <row r="6377" spans="2:19" s="1609" customFormat="1" ht="11.25" customHeight="1" outlineLevel="1">
      <c r="B6377" s="1602">
        <v>25786</v>
      </c>
      <c r="C6377" s="1603" t="s">
        <v>4714</v>
      </c>
      <c r="D6377" s="1603" t="s">
        <v>4737</v>
      </c>
      <c r="E6377" s="1603"/>
      <c r="F6377" s="1603"/>
      <c r="G6377" s="1603" t="s">
        <v>4736</v>
      </c>
      <c r="H6377" s="1604">
        <v>2</v>
      </c>
      <c r="I6377" s="1603"/>
      <c r="J6377" s="1603"/>
      <c r="K6377" s="1605">
        <v>409</v>
      </c>
      <c r="L6377" s="1606">
        <v>27384</v>
      </c>
      <c r="M6377" s="1607"/>
      <c r="N6377" s="1606">
        <v>27384</v>
      </c>
      <c r="O6377" s="1606">
        <v>10269</v>
      </c>
      <c r="P6377" s="1606">
        <v>16430.400000000001</v>
      </c>
      <c r="Q6377" s="1605">
        <v>684.6</v>
      </c>
      <c r="R6377" s="1606">
        <v>17115</v>
      </c>
      <c r="S6377" s="1608"/>
    </row>
    <row r="6378" spans="2:19" s="1609" customFormat="1" ht="11.25" customHeight="1" outlineLevel="1">
      <c r="B6378" s="1602">
        <v>25787</v>
      </c>
      <c r="C6378" s="1603" t="s">
        <v>4714</v>
      </c>
      <c r="D6378" s="1603" t="s">
        <v>4735</v>
      </c>
      <c r="E6378" s="1603"/>
      <c r="F6378" s="1603"/>
      <c r="G6378" s="1603" t="s">
        <v>4734</v>
      </c>
      <c r="H6378" s="1604">
        <v>2</v>
      </c>
      <c r="I6378" s="1603"/>
      <c r="J6378" s="1603"/>
      <c r="K6378" s="1605">
        <v>409</v>
      </c>
      <c r="L6378" s="1606">
        <v>25341</v>
      </c>
      <c r="M6378" s="1607"/>
      <c r="N6378" s="1606">
        <v>25341</v>
      </c>
      <c r="O6378" s="1606">
        <v>9503.8799999999992</v>
      </c>
      <c r="P6378" s="1606">
        <v>15203.52</v>
      </c>
      <c r="Q6378" s="1605">
        <v>633.6</v>
      </c>
      <c r="R6378" s="1606">
        <v>15837.12</v>
      </c>
      <c r="S6378" s="1608"/>
    </row>
    <row r="6379" spans="2:19" s="1609" customFormat="1" ht="11.25" customHeight="1" outlineLevel="1">
      <c r="B6379" s="1602">
        <v>25789</v>
      </c>
      <c r="C6379" s="1603" t="s">
        <v>4714</v>
      </c>
      <c r="D6379" s="1603" t="s">
        <v>4733</v>
      </c>
      <c r="E6379" s="1603"/>
      <c r="F6379" s="1603"/>
      <c r="G6379" s="1603" t="s">
        <v>4732</v>
      </c>
      <c r="H6379" s="1604">
        <v>2</v>
      </c>
      <c r="I6379" s="1603"/>
      <c r="J6379" s="1603"/>
      <c r="K6379" s="1605">
        <v>301</v>
      </c>
      <c r="L6379" s="1606">
        <v>30526</v>
      </c>
      <c r="M6379" s="1607"/>
      <c r="N6379" s="1606">
        <v>30526</v>
      </c>
      <c r="O6379" s="1606">
        <v>11446.12</v>
      </c>
      <c r="P6379" s="1606">
        <v>18316.8</v>
      </c>
      <c r="Q6379" s="1605">
        <v>763.08</v>
      </c>
      <c r="R6379" s="1606">
        <v>19079.88</v>
      </c>
      <c r="S6379" s="1608"/>
    </row>
    <row r="6380" spans="2:19" s="1609" customFormat="1" ht="11.25" customHeight="1" outlineLevel="1">
      <c r="B6380" s="1602">
        <v>25799</v>
      </c>
      <c r="C6380" s="1603" t="s">
        <v>4714</v>
      </c>
      <c r="D6380" s="1603" t="s">
        <v>4731</v>
      </c>
      <c r="E6380" s="1603"/>
      <c r="F6380" s="1603"/>
      <c r="G6380" s="1603" t="s">
        <v>4729</v>
      </c>
      <c r="H6380" s="1604">
        <v>2</v>
      </c>
      <c r="I6380" s="1603"/>
      <c r="J6380" s="1603"/>
      <c r="K6380" s="1605">
        <v>889</v>
      </c>
      <c r="L6380" s="1606">
        <v>121758</v>
      </c>
      <c r="M6380" s="1607"/>
      <c r="N6380" s="1606">
        <v>121758</v>
      </c>
      <c r="O6380" s="1606">
        <v>21408</v>
      </c>
      <c r="P6380" s="1606">
        <v>96336</v>
      </c>
      <c r="Q6380" s="1606">
        <v>4014</v>
      </c>
      <c r="R6380" s="1606">
        <v>100350</v>
      </c>
      <c r="S6380" s="1608"/>
    </row>
    <row r="6381" spans="2:19" s="1609" customFormat="1" ht="11.25" customHeight="1" outlineLevel="1">
      <c r="B6381" s="1602">
        <v>25800</v>
      </c>
      <c r="C6381" s="1603" t="s">
        <v>4714</v>
      </c>
      <c r="D6381" s="1603" t="s">
        <v>4730</v>
      </c>
      <c r="E6381" s="1603"/>
      <c r="F6381" s="1603"/>
      <c r="G6381" s="1603" t="s">
        <v>4729</v>
      </c>
      <c r="H6381" s="1604">
        <v>2</v>
      </c>
      <c r="I6381" s="1603"/>
      <c r="J6381" s="1603"/>
      <c r="K6381" s="1605">
        <v>521</v>
      </c>
      <c r="L6381" s="1606">
        <v>26328</v>
      </c>
      <c r="M6381" s="1607"/>
      <c r="N6381" s="1606">
        <v>26328</v>
      </c>
      <c r="O6381" s="1606">
        <v>9873</v>
      </c>
      <c r="P6381" s="1606">
        <v>15796.8</v>
      </c>
      <c r="Q6381" s="1605">
        <v>658.2</v>
      </c>
      <c r="R6381" s="1606">
        <v>16455</v>
      </c>
      <c r="S6381" s="1608"/>
    </row>
    <row r="6382" spans="2:19" s="1609" customFormat="1" ht="11.25" customHeight="1" outlineLevel="1">
      <c r="B6382" s="1602">
        <v>25801</v>
      </c>
      <c r="C6382" s="1603" t="s">
        <v>4714</v>
      </c>
      <c r="D6382" s="1603" t="s">
        <v>4728</v>
      </c>
      <c r="E6382" s="1603"/>
      <c r="F6382" s="1603"/>
      <c r="G6382" s="1603" t="s">
        <v>4727</v>
      </c>
      <c r="H6382" s="1604">
        <v>2</v>
      </c>
      <c r="I6382" s="1603"/>
      <c r="J6382" s="1603"/>
      <c r="K6382" s="1606">
        <v>1672</v>
      </c>
      <c r="L6382" s="1606">
        <v>148000</v>
      </c>
      <c r="M6382" s="1607"/>
      <c r="N6382" s="1606">
        <v>148000</v>
      </c>
      <c r="O6382" s="1606">
        <v>73999.12</v>
      </c>
      <c r="P6382" s="1606">
        <v>71040.960000000006</v>
      </c>
      <c r="Q6382" s="1606">
        <v>2959.92</v>
      </c>
      <c r="R6382" s="1606">
        <v>74000.88</v>
      </c>
      <c r="S6382" s="1608"/>
    </row>
    <row r="6383" spans="2:19" s="1609" customFormat="1" ht="11.25" customHeight="1" outlineLevel="1">
      <c r="B6383" s="1602">
        <v>25802</v>
      </c>
      <c r="C6383" s="1603" t="s">
        <v>4714</v>
      </c>
      <c r="D6383" s="1603" t="s">
        <v>4726</v>
      </c>
      <c r="E6383" s="1603"/>
      <c r="F6383" s="1603"/>
      <c r="G6383" s="1603" t="s">
        <v>4725</v>
      </c>
      <c r="H6383" s="1604">
        <v>2</v>
      </c>
      <c r="I6383" s="1603"/>
      <c r="J6383" s="1603"/>
      <c r="K6383" s="1606">
        <v>1672</v>
      </c>
      <c r="L6383" s="1606">
        <v>55187</v>
      </c>
      <c r="M6383" s="1607"/>
      <c r="N6383" s="1606">
        <v>55187</v>
      </c>
      <c r="O6383" s="1606">
        <v>27593</v>
      </c>
      <c r="P6383" s="1606">
        <v>26490.240000000002</v>
      </c>
      <c r="Q6383" s="1606">
        <v>1103.76</v>
      </c>
      <c r="R6383" s="1606">
        <v>27594</v>
      </c>
      <c r="S6383" s="1608"/>
    </row>
    <row r="6384" spans="2:19" s="1609" customFormat="1" ht="11.25" customHeight="1" outlineLevel="1">
      <c r="B6384" s="1602">
        <v>25803</v>
      </c>
      <c r="C6384" s="1603" t="s">
        <v>4714</v>
      </c>
      <c r="D6384" s="1603" t="s">
        <v>4724</v>
      </c>
      <c r="E6384" s="1603"/>
      <c r="F6384" s="1603"/>
      <c r="G6384" s="1603" t="s">
        <v>4723</v>
      </c>
      <c r="H6384" s="1604">
        <v>2</v>
      </c>
      <c r="I6384" s="1603"/>
      <c r="J6384" s="1603"/>
      <c r="K6384" s="1606">
        <v>1222</v>
      </c>
      <c r="L6384" s="1606">
        <v>9168</v>
      </c>
      <c r="M6384" s="1607"/>
      <c r="N6384" s="1606">
        <v>9168</v>
      </c>
      <c r="O6384" s="1606">
        <v>4584</v>
      </c>
      <c r="P6384" s="1606">
        <v>4400.6400000000003</v>
      </c>
      <c r="Q6384" s="1605">
        <v>183.36</v>
      </c>
      <c r="R6384" s="1606">
        <v>4584</v>
      </c>
      <c r="S6384" s="1608"/>
    </row>
    <row r="6385" spans="2:19" s="1609" customFormat="1" ht="11.25" customHeight="1" outlineLevel="1">
      <c r="B6385" s="1602">
        <v>25804</v>
      </c>
      <c r="C6385" s="1603" t="s">
        <v>4714</v>
      </c>
      <c r="D6385" s="1603" t="s">
        <v>4722</v>
      </c>
      <c r="E6385" s="1603"/>
      <c r="F6385" s="1603"/>
      <c r="G6385" s="1603" t="s">
        <v>4721</v>
      </c>
      <c r="H6385" s="1604">
        <v>2</v>
      </c>
      <c r="I6385" s="1603"/>
      <c r="J6385" s="1603"/>
      <c r="K6385" s="1605">
        <v>713</v>
      </c>
      <c r="L6385" s="1606">
        <v>56364</v>
      </c>
      <c r="M6385" s="1607"/>
      <c r="N6385" s="1606">
        <v>56364</v>
      </c>
      <c r="O6385" s="1606">
        <v>21135.119999999999</v>
      </c>
      <c r="P6385" s="1606">
        <v>33819.839999999997</v>
      </c>
      <c r="Q6385" s="1606">
        <v>1409.04</v>
      </c>
      <c r="R6385" s="1606">
        <v>35228.879999999997</v>
      </c>
      <c r="S6385" s="1608"/>
    </row>
    <row r="6386" spans="2:19" s="1609" customFormat="1" ht="11.25" customHeight="1" outlineLevel="1">
      <c r="B6386" s="1602">
        <v>25805</v>
      </c>
      <c r="C6386" s="1603" t="s">
        <v>4714</v>
      </c>
      <c r="D6386" s="1603" t="s">
        <v>4720</v>
      </c>
      <c r="E6386" s="1603"/>
      <c r="F6386" s="1603"/>
      <c r="G6386" s="1603" t="s">
        <v>4719</v>
      </c>
      <c r="H6386" s="1604">
        <v>2</v>
      </c>
      <c r="I6386" s="1603"/>
      <c r="J6386" s="1603"/>
      <c r="K6386" s="1606">
        <v>1672</v>
      </c>
      <c r="L6386" s="1606">
        <v>45989</v>
      </c>
      <c r="M6386" s="1607"/>
      <c r="N6386" s="1606">
        <v>45989</v>
      </c>
      <c r="O6386" s="1606">
        <v>22994</v>
      </c>
      <c r="P6386" s="1606">
        <v>22075.200000000001</v>
      </c>
      <c r="Q6386" s="1605">
        <v>919.8</v>
      </c>
      <c r="R6386" s="1606">
        <v>22995</v>
      </c>
      <c r="S6386" s="1608"/>
    </row>
    <row r="6387" spans="2:19" s="1609" customFormat="1" ht="11.25" customHeight="1" outlineLevel="1">
      <c r="B6387" s="1602">
        <v>25806</v>
      </c>
      <c r="C6387" s="1603" t="s">
        <v>4714</v>
      </c>
      <c r="D6387" s="1603" t="s">
        <v>4718</v>
      </c>
      <c r="E6387" s="1603"/>
      <c r="F6387" s="1603"/>
      <c r="G6387" s="1603" t="s">
        <v>4717</v>
      </c>
      <c r="H6387" s="1604">
        <v>2</v>
      </c>
      <c r="I6387" s="1603"/>
      <c r="J6387" s="1603"/>
      <c r="K6387" s="1606">
        <v>1672</v>
      </c>
      <c r="L6387" s="1606">
        <v>20904</v>
      </c>
      <c r="M6387" s="1607"/>
      <c r="N6387" s="1606">
        <v>20904</v>
      </c>
      <c r="O6387" s="1606">
        <v>10452</v>
      </c>
      <c r="P6387" s="1606">
        <v>10033.92</v>
      </c>
      <c r="Q6387" s="1605">
        <v>418.08</v>
      </c>
      <c r="R6387" s="1606">
        <v>10452</v>
      </c>
      <c r="S6387" s="1608"/>
    </row>
    <row r="6388" spans="2:19" s="1609" customFormat="1" ht="11.25" customHeight="1" outlineLevel="1">
      <c r="B6388" s="1602">
        <v>25807</v>
      </c>
      <c r="C6388" s="1603" t="s">
        <v>4714</v>
      </c>
      <c r="D6388" s="1603" t="s">
        <v>4716</v>
      </c>
      <c r="E6388" s="1603"/>
      <c r="F6388" s="1603"/>
      <c r="G6388" s="1603" t="s">
        <v>4715</v>
      </c>
      <c r="H6388" s="1604">
        <v>2</v>
      </c>
      <c r="I6388" s="1603"/>
      <c r="J6388" s="1603"/>
      <c r="K6388" s="1606">
        <v>1337</v>
      </c>
      <c r="L6388" s="1606">
        <v>63504</v>
      </c>
      <c r="M6388" s="1607"/>
      <c r="N6388" s="1606">
        <v>63504</v>
      </c>
      <c r="O6388" s="1606">
        <v>31752</v>
      </c>
      <c r="P6388" s="1606">
        <v>30481.919999999998</v>
      </c>
      <c r="Q6388" s="1606">
        <v>1270.08</v>
      </c>
      <c r="R6388" s="1606">
        <v>31752</v>
      </c>
      <c r="S6388" s="1608"/>
    </row>
    <row r="6389" spans="2:19" s="1609" customFormat="1" ht="11.25" customHeight="1" outlineLevel="1">
      <c r="B6389" s="1602">
        <v>25811</v>
      </c>
      <c r="C6389" s="1603" t="s">
        <v>4714</v>
      </c>
      <c r="D6389" s="1603" t="s">
        <v>4713</v>
      </c>
      <c r="E6389" s="1603"/>
      <c r="F6389" s="1603"/>
      <c r="G6389" s="1603" t="s">
        <v>3664</v>
      </c>
      <c r="H6389" s="1604">
        <v>2</v>
      </c>
      <c r="I6389" s="1603"/>
      <c r="J6389" s="1603"/>
      <c r="K6389" s="1605">
        <v>163</v>
      </c>
      <c r="L6389" s="1606">
        <v>4712348.12</v>
      </c>
      <c r="M6389" s="1607"/>
      <c r="N6389" s="1606">
        <v>4712348.12</v>
      </c>
      <c r="O6389" s="1606">
        <v>4357972.2</v>
      </c>
      <c r="P6389" s="1606">
        <v>263742.2</v>
      </c>
      <c r="Q6389" s="1606">
        <v>90633.72</v>
      </c>
      <c r="R6389" s="1606">
        <v>354375.92</v>
      </c>
      <c r="S6389" s="1608"/>
    </row>
    <row r="6390" spans="2:19" s="1609" customFormat="1" ht="11.25" customHeight="1" outlineLevel="1">
      <c r="B6390" s="1602">
        <v>25914</v>
      </c>
      <c r="C6390" s="1603" t="s">
        <v>4703</v>
      </c>
      <c r="D6390" s="1603" t="s">
        <v>4712</v>
      </c>
      <c r="E6390" s="1603"/>
      <c r="F6390" s="1603"/>
      <c r="G6390" s="1603" t="s">
        <v>4711</v>
      </c>
      <c r="H6390" s="1604">
        <v>2</v>
      </c>
      <c r="I6390" s="1603"/>
      <c r="J6390" s="1603"/>
      <c r="K6390" s="1606">
        <v>1931</v>
      </c>
      <c r="L6390" s="1606">
        <v>228484</v>
      </c>
      <c r="M6390" s="1607"/>
      <c r="N6390" s="1606">
        <v>228484</v>
      </c>
      <c r="O6390" s="1606">
        <v>86157.01</v>
      </c>
      <c r="P6390" s="1606">
        <v>136614.87</v>
      </c>
      <c r="Q6390" s="1606">
        <v>5712.12</v>
      </c>
      <c r="R6390" s="1606">
        <v>142326.99</v>
      </c>
      <c r="S6390" s="1608"/>
    </row>
    <row r="6391" spans="2:19" s="1609" customFormat="1" ht="11.25" customHeight="1" outlineLevel="1">
      <c r="B6391" s="1602">
        <v>25915</v>
      </c>
      <c r="C6391" s="1603" t="s">
        <v>4703</v>
      </c>
      <c r="D6391" s="1603" t="s">
        <v>4710</v>
      </c>
      <c r="E6391" s="1603"/>
      <c r="F6391" s="1603"/>
      <c r="G6391" s="1603" t="s">
        <v>4708</v>
      </c>
      <c r="H6391" s="1604">
        <v>2</v>
      </c>
      <c r="I6391" s="1603"/>
      <c r="J6391" s="1603"/>
      <c r="K6391" s="1606">
        <v>2231</v>
      </c>
      <c r="L6391" s="1606">
        <v>111339</v>
      </c>
      <c r="M6391" s="1607"/>
      <c r="N6391" s="1606">
        <v>111339</v>
      </c>
      <c r="O6391" s="1606">
        <v>41983.08</v>
      </c>
      <c r="P6391" s="1606">
        <v>66572.52</v>
      </c>
      <c r="Q6391" s="1606">
        <v>2783.4</v>
      </c>
      <c r="R6391" s="1606">
        <v>69355.92</v>
      </c>
      <c r="S6391" s="1608"/>
    </row>
    <row r="6392" spans="2:19" s="1609" customFormat="1" ht="11.25" customHeight="1" outlineLevel="1">
      <c r="B6392" s="1602">
        <v>25916</v>
      </c>
      <c r="C6392" s="1603" t="s">
        <v>4703</v>
      </c>
      <c r="D6392" s="1603" t="s">
        <v>4709</v>
      </c>
      <c r="E6392" s="1603"/>
      <c r="F6392" s="1603"/>
      <c r="G6392" s="1603" t="s">
        <v>4708</v>
      </c>
      <c r="H6392" s="1604">
        <v>2</v>
      </c>
      <c r="I6392" s="1603"/>
      <c r="J6392" s="1603"/>
      <c r="K6392" s="1605">
        <v>347</v>
      </c>
      <c r="L6392" s="1606">
        <v>6325</v>
      </c>
      <c r="M6392" s="1607"/>
      <c r="N6392" s="1606">
        <v>6325</v>
      </c>
      <c r="O6392" s="1606">
        <v>1128.6199999999999</v>
      </c>
      <c r="P6392" s="1606">
        <v>4988.0600000000004</v>
      </c>
      <c r="Q6392" s="1605">
        <v>208.32</v>
      </c>
      <c r="R6392" s="1606">
        <v>5196.38</v>
      </c>
      <c r="S6392" s="1608"/>
    </row>
    <row r="6393" spans="2:19" s="1609" customFormat="1" ht="11.25" customHeight="1" outlineLevel="1">
      <c r="B6393" s="1602">
        <v>25918</v>
      </c>
      <c r="C6393" s="1603" t="s">
        <v>4703</v>
      </c>
      <c r="D6393" s="1603" t="s">
        <v>4707</v>
      </c>
      <c r="E6393" s="1603"/>
      <c r="F6393" s="1603"/>
      <c r="G6393" s="1603" t="s">
        <v>4706</v>
      </c>
      <c r="H6393" s="1604">
        <v>2</v>
      </c>
      <c r="I6393" s="1603"/>
      <c r="J6393" s="1603"/>
      <c r="K6393" s="1605">
        <v>420</v>
      </c>
      <c r="L6393" s="1606">
        <v>48293</v>
      </c>
      <c r="M6393" s="1607"/>
      <c r="N6393" s="1606">
        <v>48293</v>
      </c>
      <c r="O6393" s="1606">
        <v>18210.61</v>
      </c>
      <c r="P6393" s="1606">
        <v>28875.07</v>
      </c>
      <c r="Q6393" s="1606">
        <v>1207.32</v>
      </c>
      <c r="R6393" s="1606">
        <v>30082.39</v>
      </c>
      <c r="S6393" s="1608"/>
    </row>
    <row r="6394" spans="2:19" s="1609" customFormat="1" ht="11.25" customHeight="1" outlineLevel="1">
      <c r="B6394" s="1602">
        <v>25921</v>
      </c>
      <c r="C6394" s="1603" t="s">
        <v>4703</v>
      </c>
      <c r="D6394" s="1603" t="s">
        <v>4705</v>
      </c>
      <c r="E6394" s="1603"/>
      <c r="F6394" s="1603"/>
      <c r="G6394" s="1603" t="s">
        <v>4704</v>
      </c>
      <c r="H6394" s="1604">
        <v>2</v>
      </c>
      <c r="I6394" s="1603"/>
      <c r="J6394" s="1603"/>
      <c r="K6394" s="1605">
        <v>198</v>
      </c>
      <c r="L6394" s="1606">
        <v>20000</v>
      </c>
      <c r="M6394" s="1607"/>
      <c r="N6394" s="1606">
        <v>20000</v>
      </c>
      <c r="O6394" s="1606">
        <v>7540.79</v>
      </c>
      <c r="P6394" s="1606">
        <v>11959.29</v>
      </c>
      <c r="Q6394" s="1605">
        <v>499.92</v>
      </c>
      <c r="R6394" s="1606">
        <v>12459.21</v>
      </c>
      <c r="S6394" s="1608"/>
    </row>
    <row r="6395" spans="2:19" s="1609" customFormat="1" ht="11.25" customHeight="1" outlineLevel="1">
      <c r="B6395" s="1602">
        <v>26549</v>
      </c>
      <c r="C6395" s="1603" t="s">
        <v>4703</v>
      </c>
      <c r="D6395" s="1603" t="s">
        <v>4702</v>
      </c>
      <c r="E6395" s="1603"/>
      <c r="F6395" s="1603"/>
      <c r="G6395" s="1603" t="s">
        <v>4701</v>
      </c>
      <c r="H6395" s="1604">
        <v>2</v>
      </c>
      <c r="I6395" s="1603"/>
      <c r="J6395" s="1603"/>
      <c r="K6395" s="1605">
        <v>59</v>
      </c>
      <c r="L6395" s="1605">
        <v>850</v>
      </c>
      <c r="M6395" s="1607"/>
      <c r="N6395" s="1605">
        <v>850</v>
      </c>
      <c r="O6395" s="1605">
        <v>425.54</v>
      </c>
      <c r="P6395" s="1605">
        <v>407.54</v>
      </c>
      <c r="Q6395" s="1605">
        <v>16.920000000000002</v>
      </c>
      <c r="R6395" s="1605">
        <v>424.46</v>
      </c>
      <c r="S6395" s="1608"/>
    </row>
    <row r="6396" spans="2:19" s="1609" customFormat="1" ht="11.25" customHeight="1" outlineLevel="1">
      <c r="B6396" s="1602">
        <v>25999</v>
      </c>
      <c r="C6396" s="1603" t="s">
        <v>4680</v>
      </c>
      <c r="D6396" s="1603" t="s">
        <v>4700</v>
      </c>
      <c r="E6396" s="1603"/>
      <c r="F6396" s="1603"/>
      <c r="G6396" s="1603" t="s">
        <v>4698</v>
      </c>
      <c r="H6396" s="1604">
        <v>2</v>
      </c>
      <c r="I6396" s="1603"/>
      <c r="J6396" s="1603"/>
      <c r="K6396" s="1605">
        <v>230</v>
      </c>
      <c r="L6396" s="1606">
        <v>18363</v>
      </c>
      <c r="M6396" s="1607"/>
      <c r="N6396" s="1606">
        <v>18363</v>
      </c>
      <c r="O6396" s="1606">
        <v>3329.02</v>
      </c>
      <c r="P6396" s="1606">
        <v>14428.7</v>
      </c>
      <c r="Q6396" s="1605">
        <v>605.28</v>
      </c>
      <c r="R6396" s="1606">
        <v>15033.98</v>
      </c>
      <c r="S6396" s="1608"/>
    </row>
    <row r="6397" spans="2:19" s="1609" customFormat="1" ht="11.25" customHeight="1" outlineLevel="1">
      <c r="B6397" s="1602">
        <v>26000</v>
      </c>
      <c r="C6397" s="1603" t="s">
        <v>4680</v>
      </c>
      <c r="D6397" s="1603" t="s">
        <v>4699</v>
      </c>
      <c r="E6397" s="1603"/>
      <c r="F6397" s="1603"/>
      <c r="G6397" s="1603" t="s">
        <v>4698</v>
      </c>
      <c r="H6397" s="1604">
        <v>2</v>
      </c>
      <c r="I6397" s="1603"/>
      <c r="J6397" s="1603"/>
      <c r="K6397" s="1605">
        <v>230</v>
      </c>
      <c r="L6397" s="1606">
        <v>19145</v>
      </c>
      <c r="M6397" s="1607"/>
      <c r="N6397" s="1606">
        <v>19145</v>
      </c>
      <c r="O6397" s="1606">
        <v>3470.44</v>
      </c>
      <c r="P6397" s="1606">
        <v>15043.6</v>
      </c>
      <c r="Q6397" s="1605">
        <v>630.96</v>
      </c>
      <c r="R6397" s="1606">
        <v>15674.56</v>
      </c>
      <c r="S6397" s="1608"/>
    </row>
    <row r="6398" spans="2:19" s="1609" customFormat="1" ht="11.25" customHeight="1" outlineLevel="1">
      <c r="B6398" s="1602">
        <v>26002</v>
      </c>
      <c r="C6398" s="1603" t="s">
        <v>4680</v>
      </c>
      <c r="D6398" s="1603" t="s">
        <v>4697</v>
      </c>
      <c r="E6398" s="1603"/>
      <c r="F6398" s="1603"/>
      <c r="G6398" s="1603" t="s">
        <v>4696</v>
      </c>
      <c r="H6398" s="1604">
        <v>2</v>
      </c>
      <c r="I6398" s="1603"/>
      <c r="J6398" s="1603"/>
      <c r="K6398" s="1606">
        <v>2563</v>
      </c>
      <c r="L6398" s="1606">
        <v>74320</v>
      </c>
      <c r="M6398" s="1607"/>
      <c r="N6398" s="1606">
        <v>74320</v>
      </c>
      <c r="O6398" s="1606">
        <v>28180.54</v>
      </c>
      <c r="P6398" s="1606">
        <v>44281.38</v>
      </c>
      <c r="Q6398" s="1606">
        <v>1858.08</v>
      </c>
      <c r="R6398" s="1606">
        <v>46139.46</v>
      </c>
      <c r="S6398" s="1608"/>
    </row>
    <row r="6399" spans="2:19" s="1609" customFormat="1" ht="11.25" customHeight="1" outlineLevel="1">
      <c r="B6399" s="1602">
        <v>26003</v>
      </c>
      <c r="C6399" s="1603" t="s">
        <v>4680</v>
      </c>
      <c r="D6399" s="1603" t="s">
        <v>4695</v>
      </c>
      <c r="E6399" s="1603"/>
      <c r="F6399" s="1603"/>
      <c r="G6399" s="1603" t="s">
        <v>4694</v>
      </c>
      <c r="H6399" s="1604">
        <v>2</v>
      </c>
      <c r="I6399" s="1603"/>
      <c r="J6399" s="1603"/>
      <c r="K6399" s="1606">
        <v>2346</v>
      </c>
      <c r="L6399" s="1606">
        <v>168921</v>
      </c>
      <c r="M6399" s="1607"/>
      <c r="N6399" s="1606">
        <v>168921</v>
      </c>
      <c r="O6399" s="1606">
        <v>64048.84</v>
      </c>
      <c r="P6399" s="1606">
        <v>100649.12</v>
      </c>
      <c r="Q6399" s="1606">
        <v>4223.04</v>
      </c>
      <c r="R6399" s="1606">
        <v>104872.16</v>
      </c>
      <c r="S6399" s="1608"/>
    </row>
    <row r="6400" spans="2:19" s="1609" customFormat="1" ht="11.25" customHeight="1" outlineLevel="1">
      <c r="B6400" s="1602">
        <v>26006</v>
      </c>
      <c r="C6400" s="1603" t="s">
        <v>4680</v>
      </c>
      <c r="D6400" s="1603" t="s">
        <v>4693</v>
      </c>
      <c r="E6400" s="1603"/>
      <c r="F6400" s="1603"/>
      <c r="G6400" s="1603" t="s">
        <v>4691</v>
      </c>
      <c r="H6400" s="1604">
        <v>2</v>
      </c>
      <c r="I6400" s="1603"/>
      <c r="J6400" s="1603"/>
      <c r="K6400" s="1606">
        <v>2328</v>
      </c>
      <c r="L6400" s="1606">
        <v>194131</v>
      </c>
      <c r="M6400" s="1607"/>
      <c r="N6400" s="1606">
        <v>194131</v>
      </c>
      <c r="O6400" s="1606">
        <v>73607.88</v>
      </c>
      <c r="P6400" s="1606">
        <v>115669.84</v>
      </c>
      <c r="Q6400" s="1606">
        <v>4853.28</v>
      </c>
      <c r="R6400" s="1606">
        <v>120523.12</v>
      </c>
      <c r="S6400" s="1608"/>
    </row>
    <row r="6401" spans="2:19" s="1609" customFormat="1" ht="11.25" customHeight="1" outlineLevel="1">
      <c r="B6401" s="1602">
        <v>26007</v>
      </c>
      <c r="C6401" s="1603" t="s">
        <v>4680</v>
      </c>
      <c r="D6401" s="1603" t="s">
        <v>4692</v>
      </c>
      <c r="E6401" s="1603"/>
      <c r="F6401" s="1603"/>
      <c r="G6401" s="1603" t="s">
        <v>4691</v>
      </c>
      <c r="H6401" s="1604">
        <v>2</v>
      </c>
      <c r="I6401" s="1603"/>
      <c r="J6401" s="1603"/>
      <c r="K6401" s="1606">
        <v>3156</v>
      </c>
      <c r="L6401" s="1606">
        <v>664664</v>
      </c>
      <c r="M6401" s="1607"/>
      <c r="N6401" s="1606">
        <v>664664</v>
      </c>
      <c r="O6401" s="1606">
        <v>334548.42</v>
      </c>
      <c r="P6401" s="1606">
        <v>316822.21999999997</v>
      </c>
      <c r="Q6401" s="1606">
        <v>13293.36</v>
      </c>
      <c r="R6401" s="1606">
        <v>330115.58</v>
      </c>
      <c r="S6401" s="1608"/>
    </row>
    <row r="6402" spans="2:19" s="1609" customFormat="1" ht="11.25" customHeight="1" outlineLevel="1">
      <c r="B6402" s="1602">
        <v>26008</v>
      </c>
      <c r="C6402" s="1603" t="s">
        <v>4680</v>
      </c>
      <c r="D6402" s="1603" t="s">
        <v>4690</v>
      </c>
      <c r="E6402" s="1603"/>
      <c r="F6402" s="1603"/>
      <c r="G6402" s="1603" t="s">
        <v>4689</v>
      </c>
      <c r="H6402" s="1604">
        <v>2</v>
      </c>
      <c r="I6402" s="1603"/>
      <c r="J6402" s="1603"/>
      <c r="K6402" s="1606">
        <v>2346</v>
      </c>
      <c r="L6402" s="1606">
        <v>168921</v>
      </c>
      <c r="M6402" s="1607"/>
      <c r="N6402" s="1606">
        <v>168921</v>
      </c>
      <c r="O6402" s="1606">
        <v>64048.84</v>
      </c>
      <c r="P6402" s="1606">
        <v>100649.12</v>
      </c>
      <c r="Q6402" s="1606">
        <v>4223.04</v>
      </c>
      <c r="R6402" s="1606">
        <v>104872.16</v>
      </c>
      <c r="S6402" s="1608"/>
    </row>
    <row r="6403" spans="2:19" s="1609" customFormat="1" ht="11.25" customHeight="1" outlineLevel="1">
      <c r="B6403" s="1602">
        <v>26010</v>
      </c>
      <c r="C6403" s="1603" t="s">
        <v>4680</v>
      </c>
      <c r="D6403" s="1603" t="s">
        <v>4688</v>
      </c>
      <c r="E6403" s="1603"/>
      <c r="F6403" s="1603"/>
      <c r="G6403" s="1603" t="s">
        <v>4687</v>
      </c>
      <c r="H6403" s="1604">
        <v>2</v>
      </c>
      <c r="I6403" s="1603"/>
      <c r="J6403" s="1603"/>
      <c r="K6403" s="1606">
        <v>3400</v>
      </c>
      <c r="L6403" s="1606">
        <v>371676</v>
      </c>
      <c r="M6403" s="1607"/>
      <c r="N6403" s="1606">
        <v>371676</v>
      </c>
      <c r="O6403" s="1606">
        <v>67391.3</v>
      </c>
      <c r="P6403" s="1606">
        <v>292031.74</v>
      </c>
      <c r="Q6403" s="1606">
        <v>12252.96</v>
      </c>
      <c r="R6403" s="1606">
        <v>304284.7</v>
      </c>
      <c r="S6403" s="1608"/>
    </row>
    <row r="6404" spans="2:19" s="1609" customFormat="1" ht="11.25" customHeight="1" outlineLevel="1">
      <c r="B6404" s="1602">
        <v>26012</v>
      </c>
      <c r="C6404" s="1603" t="s">
        <v>4680</v>
      </c>
      <c r="D6404" s="1603" t="s">
        <v>4686</v>
      </c>
      <c r="E6404" s="1603"/>
      <c r="F6404" s="1603"/>
      <c r="G6404" s="1603" t="s">
        <v>4685</v>
      </c>
      <c r="H6404" s="1604">
        <v>2</v>
      </c>
      <c r="I6404" s="1603"/>
      <c r="J6404" s="1603"/>
      <c r="K6404" s="1606">
        <v>2686</v>
      </c>
      <c r="L6404" s="1606">
        <v>231024</v>
      </c>
      <c r="M6404" s="1607"/>
      <c r="N6404" s="1606">
        <v>231024</v>
      </c>
      <c r="O6404" s="1606">
        <v>41889.24</v>
      </c>
      <c r="P6404" s="1606">
        <v>181518.48</v>
      </c>
      <c r="Q6404" s="1606">
        <v>7616.28</v>
      </c>
      <c r="R6404" s="1606">
        <v>189134.76</v>
      </c>
      <c r="S6404" s="1608"/>
    </row>
    <row r="6405" spans="2:19" s="1609" customFormat="1" ht="11.25" customHeight="1" outlineLevel="1">
      <c r="B6405" s="1602">
        <v>26013</v>
      </c>
      <c r="C6405" s="1603" t="s">
        <v>4680</v>
      </c>
      <c r="D6405" s="1603" t="s">
        <v>4684</v>
      </c>
      <c r="E6405" s="1603"/>
      <c r="F6405" s="1603"/>
      <c r="G6405" s="1603" t="s">
        <v>4683</v>
      </c>
      <c r="H6405" s="1604">
        <v>2</v>
      </c>
      <c r="I6405" s="1603"/>
      <c r="J6405" s="1603"/>
      <c r="K6405" s="1606">
        <v>2328</v>
      </c>
      <c r="L6405" s="1606">
        <v>40970</v>
      </c>
      <c r="M6405" s="1607"/>
      <c r="N6405" s="1606">
        <v>40970</v>
      </c>
      <c r="O6405" s="1606">
        <v>15535.58</v>
      </c>
      <c r="P6405" s="1606">
        <v>24410.1</v>
      </c>
      <c r="Q6405" s="1606">
        <v>1024.32</v>
      </c>
      <c r="R6405" s="1606">
        <v>25434.42</v>
      </c>
      <c r="S6405" s="1608"/>
    </row>
    <row r="6406" spans="2:19" s="1609" customFormat="1" ht="11.25" customHeight="1" outlineLevel="1">
      <c r="B6406" s="1602">
        <v>26014</v>
      </c>
      <c r="C6406" s="1603" t="s">
        <v>4680</v>
      </c>
      <c r="D6406" s="1603" t="s">
        <v>4682</v>
      </c>
      <c r="E6406" s="1603"/>
      <c r="F6406" s="1603"/>
      <c r="G6406" s="1603" t="s">
        <v>4681</v>
      </c>
      <c r="H6406" s="1604">
        <v>2</v>
      </c>
      <c r="I6406" s="1603"/>
      <c r="J6406" s="1603"/>
      <c r="K6406" s="1606">
        <v>4658</v>
      </c>
      <c r="L6406" s="1606">
        <v>2966992</v>
      </c>
      <c r="M6406" s="1607"/>
      <c r="N6406" s="1606">
        <v>2966992</v>
      </c>
      <c r="O6406" s="1606">
        <v>577359.92000000004</v>
      </c>
      <c r="P6406" s="1606">
        <v>2293405.4</v>
      </c>
      <c r="Q6406" s="1606">
        <v>96226.68</v>
      </c>
      <c r="R6406" s="1606">
        <v>2389632.08</v>
      </c>
      <c r="S6406" s="1608"/>
    </row>
    <row r="6407" spans="2:19" s="1609" customFormat="1" ht="11.25" customHeight="1" outlineLevel="1">
      <c r="B6407" s="1602">
        <v>26017</v>
      </c>
      <c r="C6407" s="1603" t="s">
        <v>4680</v>
      </c>
      <c r="D6407" s="1603" t="s">
        <v>4679</v>
      </c>
      <c r="E6407" s="1603"/>
      <c r="F6407" s="1603"/>
      <c r="G6407" s="1603" t="s">
        <v>4678</v>
      </c>
      <c r="H6407" s="1604">
        <v>2</v>
      </c>
      <c r="I6407" s="1603"/>
      <c r="J6407" s="1603"/>
      <c r="K6407" s="1605">
        <v>71</v>
      </c>
      <c r="L6407" s="1606">
        <v>9555</v>
      </c>
      <c r="M6407" s="1607"/>
      <c r="N6407" s="1606">
        <v>9555</v>
      </c>
      <c r="O6407" s="1606">
        <v>4807.9799999999996</v>
      </c>
      <c r="P6407" s="1606">
        <v>4555.9799999999996</v>
      </c>
      <c r="Q6407" s="1605">
        <v>191.04</v>
      </c>
      <c r="R6407" s="1606">
        <v>4747.0200000000004</v>
      </c>
      <c r="S6407" s="1608"/>
    </row>
    <row r="6408" spans="2:19" s="1609" customFormat="1" ht="11.25" customHeight="1" outlineLevel="1">
      <c r="B6408" s="1602">
        <v>26047</v>
      </c>
      <c r="C6408" s="1603" t="s">
        <v>4632</v>
      </c>
      <c r="D6408" s="1603" t="s">
        <v>4677</v>
      </c>
      <c r="E6408" s="1603"/>
      <c r="F6408" s="1603"/>
      <c r="G6408" s="1603" t="s">
        <v>4663</v>
      </c>
      <c r="H6408" s="1604">
        <v>2</v>
      </c>
      <c r="I6408" s="1603"/>
      <c r="J6408" s="1603"/>
      <c r="K6408" s="1605">
        <v>159</v>
      </c>
      <c r="L6408" s="1606">
        <v>99769</v>
      </c>
      <c r="M6408" s="1607"/>
      <c r="N6408" s="1606">
        <v>99769</v>
      </c>
      <c r="O6408" s="1606">
        <v>50383.839999999997</v>
      </c>
      <c r="P6408" s="1606">
        <v>47389.8</v>
      </c>
      <c r="Q6408" s="1606">
        <v>1995.36</v>
      </c>
      <c r="R6408" s="1606">
        <v>49385.16</v>
      </c>
      <c r="S6408" s="1608"/>
    </row>
    <row r="6409" spans="2:19" s="1609" customFormat="1" ht="11.25" customHeight="1" outlineLevel="1">
      <c r="B6409" s="1602">
        <v>26048</v>
      </c>
      <c r="C6409" s="1603" t="s">
        <v>4632</v>
      </c>
      <c r="D6409" s="1603" t="s">
        <v>4676</v>
      </c>
      <c r="E6409" s="1603"/>
      <c r="F6409" s="1603"/>
      <c r="G6409" s="1603" t="s">
        <v>4665</v>
      </c>
      <c r="H6409" s="1604">
        <v>2</v>
      </c>
      <c r="I6409" s="1603"/>
      <c r="J6409" s="1603"/>
      <c r="K6409" s="1605">
        <v>94</v>
      </c>
      <c r="L6409" s="1606">
        <v>64728</v>
      </c>
      <c r="M6409" s="1607"/>
      <c r="N6409" s="1606">
        <v>64728</v>
      </c>
      <c r="O6409" s="1606">
        <v>24677.55</v>
      </c>
      <c r="P6409" s="1606">
        <v>38432.25</v>
      </c>
      <c r="Q6409" s="1606">
        <v>1618.2</v>
      </c>
      <c r="R6409" s="1606">
        <v>40050.449999999997</v>
      </c>
      <c r="S6409" s="1608"/>
    </row>
    <row r="6410" spans="2:19" s="1609" customFormat="1" ht="11.25" customHeight="1" outlineLevel="1">
      <c r="B6410" s="1602">
        <v>26049</v>
      </c>
      <c r="C6410" s="1603" t="s">
        <v>4632</v>
      </c>
      <c r="D6410" s="1603" t="s">
        <v>4675</v>
      </c>
      <c r="E6410" s="1603"/>
      <c r="F6410" s="1603"/>
      <c r="G6410" s="1603" t="s">
        <v>4663</v>
      </c>
      <c r="H6410" s="1604">
        <v>2</v>
      </c>
      <c r="I6410" s="1603"/>
      <c r="J6410" s="1603"/>
      <c r="K6410" s="1605">
        <v>157</v>
      </c>
      <c r="L6410" s="1606">
        <v>4230</v>
      </c>
      <c r="M6410" s="1607"/>
      <c r="N6410" s="1606">
        <v>4230</v>
      </c>
      <c r="O6410" s="1606">
        <v>1613.31</v>
      </c>
      <c r="P6410" s="1606">
        <v>2510.85</v>
      </c>
      <c r="Q6410" s="1605">
        <v>105.84</v>
      </c>
      <c r="R6410" s="1606">
        <v>2616.69</v>
      </c>
      <c r="S6410" s="1608"/>
    </row>
    <row r="6411" spans="2:19" s="1609" customFormat="1" ht="11.25" customHeight="1" outlineLevel="1">
      <c r="B6411" s="1602">
        <v>26050</v>
      </c>
      <c r="C6411" s="1603" t="s">
        <v>4632</v>
      </c>
      <c r="D6411" s="1603" t="s">
        <v>4674</v>
      </c>
      <c r="E6411" s="1603"/>
      <c r="F6411" s="1603"/>
      <c r="G6411" s="1603" t="s">
        <v>4663</v>
      </c>
      <c r="H6411" s="1604">
        <v>2</v>
      </c>
      <c r="I6411" s="1603"/>
      <c r="J6411" s="1603"/>
      <c r="K6411" s="1605">
        <v>157</v>
      </c>
      <c r="L6411" s="1606">
        <v>4230</v>
      </c>
      <c r="M6411" s="1607"/>
      <c r="N6411" s="1606">
        <v>4230</v>
      </c>
      <c r="O6411" s="1606">
        <v>1613.31</v>
      </c>
      <c r="P6411" s="1606">
        <v>2510.85</v>
      </c>
      <c r="Q6411" s="1605">
        <v>105.84</v>
      </c>
      <c r="R6411" s="1606">
        <v>2616.69</v>
      </c>
      <c r="S6411" s="1608"/>
    </row>
    <row r="6412" spans="2:19" s="1609" customFormat="1" ht="11.25" customHeight="1" outlineLevel="1">
      <c r="B6412" s="1602">
        <v>26051</v>
      </c>
      <c r="C6412" s="1603" t="s">
        <v>4632</v>
      </c>
      <c r="D6412" s="1603" t="s">
        <v>4673</v>
      </c>
      <c r="E6412" s="1603"/>
      <c r="F6412" s="1603"/>
      <c r="G6412" s="1603" t="s">
        <v>4672</v>
      </c>
      <c r="H6412" s="1604">
        <v>2</v>
      </c>
      <c r="I6412" s="1603"/>
      <c r="J6412" s="1603"/>
      <c r="K6412" s="1605">
        <v>191</v>
      </c>
      <c r="L6412" s="1606">
        <v>5722</v>
      </c>
      <c r="M6412" s="1607"/>
      <c r="N6412" s="1606">
        <v>5722</v>
      </c>
      <c r="O6412" s="1606">
        <v>2181.7600000000002</v>
      </c>
      <c r="P6412" s="1606">
        <v>3397.2</v>
      </c>
      <c r="Q6412" s="1605">
        <v>143.04</v>
      </c>
      <c r="R6412" s="1606">
        <v>3540.24</v>
      </c>
      <c r="S6412" s="1608"/>
    </row>
    <row r="6413" spans="2:19" s="1609" customFormat="1" ht="11.25" customHeight="1" outlineLevel="1">
      <c r="B6413" s="1602">
        <v>26052</v>
      </c>
      <c r="C6413" s="1603" t="s">
        <v>4632</v>
      </c>
      <c r="D6413" s="1603" t="s">
        <v>4671</v>
      </c>
      <c r="E6413" s="1603"/>
      <c r="F6413" s="1603"/>
      <c r="G6413" s="1603" t="s">
        <v>4670</v>
      </c>
      <c r="H6413" s="1604">
        <v>2</v>
      </c>
      <c r="I6413" s="1603"/>
      <c r="J6413" s="1603"/>
      <c r="K6413" s="1605">
        <v>178</v>
      </c>
      <c r="L6413" s="1606">
        <v>6422</v>
      </c>
      <c r="M6413" s="1607"/>
      <c r="N6413" s="1606">
        <v>6422</v>
      </c>
      <c r="O6413" s="1606">
        <v>2448.14</v>
      </c>
      <c r="P6413" s="1606">
        <v>3813.3</v>
      </c>
      <c r="Q6413" s="1605">
        <v>160.56</v>
      </c>
      <c r="R6413" s="1606">
        <v>3973.86</v>
      </c>
      <c r="S6413" s="1608"/>
    </row>
    <row r="6414" spans="2:19" s="1609" customFormat="1" ht="11.25" customHeight="1" outlineLevel="1">
      <c r="B6414" s="1602">
        <v>26053</v>
      </c>
      <c r="C6414" s="1603" t="s">
        <v>4632</v>
      </c>
      <c r="D6414" s="1603" t="s">
        <v>4669</v>
      </c>
      <c r="E6414" s="1603"/>
      <c r="F6414" s="1603"/>
      <c r="G6414" s="1603" t="s">
        <v>4665</v>
      </c>
      <c r="H6414" s="1604">
        <v>2</v>
      </c>
      <c r="I6414" s="1603"/>
      <c r="J6414" s="1603"/>
      <c r="K6414" s="1605">
        <v>61</v>
      </c>
      <c r="L6414" s="1606">
        <v>9686</v>
      </c>
      <c r="M6414" s="1607"/>
      <c r="N6414" s="1606">
        <v>9686</v>
      </c>
      <c r="O6414" s="1606">
        <v>3692.54</v>
      </c>
      <c r="P6414" s="1606">
        <v>5751.3</v>
      </c>
      <c r="Q6414" s="1605">
        <v>242.16</v>
      </c>
      <c r="R6414" s="1606">
        <v>5993.46</v>
      </c>
      <c r="S6414" s="1608"/>
    </row>
    <row r="6415" spans="2:19" s="1609" customFormat="1" ht="11.25" customHeight="1" outlineLevel="1">
      <c r="B6415" s="1602">
        <v>26054</v>
      </c>
      <c r="C6415" s="1603" t="s">
        <v>4632</v>
      </c>
      <c r="D6415" s="1603" t="s">
        <v>4668</v>
      </c>
      <c r="E6415" s="1603"/>
      <c r="F6415" s="1603"/>
      <c r="G6415" s="1603" t="s">
        <v>4663</v>
      </c>
      <c r="H6415" s="1604">
        <v>2</v>
      </c>
      <c r="I6415" s="1603"/>
      <c r="J6415" s="1603"/>
      <c r="K6415" s="1605">
        <v>113</v>
      </c>
      <c r="L6415" s="1606">
        <v>44482</v>
      </c>
      <c r="M6415" s="1607"/>
      <c r="N6415" s="1606">
        <v>44482</v>
      </c>
      <c r="O6415" s="1606">
        <v>16959.009999999998</v>
      </c>
      <c r="P6415" s="1606">
        <v>26410.95</v>
      </c>
      <c r="Q6415" s="1606">
        <v>1112.04</v>
      </c>
      <c r="R6415" s="1606">
        <v>27522.99</v>
      </c>
      <c r="S6415" s="1608"/>
    </row>
    <row r="6416" spans="2:19" s="1609" customFormat="1" ht="11.25" customHeight="1" outlineLevel="1">
      <c r="B6416" s="1602">
        <v>26055</v>
      </c>
      <c r="C6416" s="1603" t="s">
        <v>4632</v>
      </c>
      <c r="D6416" s="1603" t="s">
        <v>4667</v>
      </c>
      <c r="E6416" s="1603"/>
      <c r="F6416" s="1603"/>
      <c r="G6416" s="1603" t="s">
        <v>4665</v>
      </c>
      <c r="H6416" s="1604">
        <v>2</v>
      </c>
      <c r="I6416" s="1603"/>
      <c r="J6416" s="1603"/>
      <c r="K6416" s="1605">
        <v>279</v>
      </c>
      <c r="L6416" s="1606">
        <v>72684</v>
      </c>
      <c r="M6416" s="1607"/>
      <c r="N6416" s="1606">
        <v>72684</v>
      </c>
      <c r="O6416" s="1606">
        <v>27709.41</v>
      </c>
      <c r="P6416" s="1606">
        <v>43157.55</v>
      </c>
      <c r="Q6416" s="1606">
        <v>1817.04</v>
      </c>
      <c r="R6416" s="1606">
        <v>44974.59</v>
      </c>
      <c r="S6416" s="1608"/>
    </row>
    <row r="6417" spans="2:19" s="1609" customFormat="1" ht="11.25" customHeight="1" outlineLevel="1">
      <c r="B6417" s="1602">
        <v>26056</v>
      </c>
      <c r="C6417" s="1603" t="s">
        <v>4632</v>
      </c>
      <c r="D6417" s="1603" t="s">
        <v>4666</v>
      </c>
      <c r="E6417" s="1603"/>
      <c r="F6417" s="1603"/>
      <c r="G6417" s="1603" t="s">
        <v>4665</v>
      </c>
      <c r="H6417" s="1604">
        <v>2</v>
      </c>
      <c r="I6417" s="1603"/>
      <c r="J6417" s="1603"/>
      <c r="K6417" s="1605">
        <v>908</v>
      </c>
      <c r="L6417" s="1606">
        <v>49462</v>
      </c>
      <c r="M6417" s="1607"/>
      <c r="N6417" s="1606">
        <v>49462</v>
      </c>
      <c r="O6417" s="1606">
        <v>18856.27</v>
      </c>
      <c r="P6417" s="1606">
        <v>29369.25</v>
      </c>
      <c r="Q6417" s="1606">
        <v>1236.48</v>
      </c>
      <c r="R6417" s="1606">
        <v>30605.73</v>
      </c>
      <c r="S6417" s="1608"/>
    </row>
    <row r="6418" spans="2:19" s="1609" customFormat="1" ht="11.25" customHeight="1" outlineLevel="1">
      <c r="B6418" s="1602">
        <v>26057</v>
      </c>
      <c r="C6418" s="1603" t="s">
        <v>4632</v>
      </c>
      <c r="D6418" s="1603" t="s">
        <v>4664</v>
      </c>
      <c r="E6418" s="1603"/>
      <c r="F6418" s="1603"/>
      <c r="G6418" s="1603" t="s">
        <v>4663</v>
      </c>
      <c r="H6418" s="1604">
        <v>2</v>
      </c>
      <c r="I6418" s="1603"/>
      <c r="J6418" s="1603"/>
      <c r="K6418" s="1605">
        <v>108</v>
      </c>
      <c r="L6418" s="1606">
        <v>8027</v>
      </c>
      <c r="M6418" s="1607"/>
      <c r="N6418" s="1606">
        <v>8027</v>
      </c>
      <c r="O6418" s="1606">
        <v>3061.04</v>
      </c>
      <c r="P6418" s="1606">
        <v>4765.2</v>
      </c>
      <c r="Q6418" s="1605">
        <v>200.76</v>
      </c>
      <c r="R6418" s="1606">
        <v>4965.96</v>
      </c>
      <c r="S6418" s="1608"/>
    </row>
    <row r="6419" spans="2:19" s="1609" customFormat="1" ht="11.25" customHeight="1" outlineLevel="1">
      <c r="B6419" s="1602">
        <v>26061</v>
      </c>
      <c r="C6419" s="1603" t="s">
        <v>4632</v>
      </c>
      <c r="D6419" s="1603" t="s">
        <v>4662</v>
      </c>
      <c r="E6419" s="1603"/>
      <c r="F6419" s="1603"/>
      <c r="G6419" s="1603" t="s">
        <v>4660</v>
      </c>
      <c r="H6419" s="1604">
        <v>2</v>
      </c>
      <c r="I6419" s="1603"/>
      <c r="J6419" s="1603"/>
      <c r="K6419" s="1605">
        <v>348</v>
      </c>
      <c r="L6419" s="1606">
        <v>246732</v>
      </c>
      <c r="M6419" s="1607"/>
      <c r="N6419" s="1606">
        <v>246732</v>
      </c>
      <c r="O6419" s="1606">
        <v>45413.760000000002</v>
      </c>
      <c r="P6419" s="1606">
        <v>193184.4</v>
      </c>
      <c r="Q6419" s="1606">
        <v>8133.84</v>
      </c>
      <c r="R6419" s="1606">
        <v>201318.24</v>
      </c>
      <c r="S6419" s="1608"/>
    </row>
    <row r="6420" spans="2:19" s="1609" customFormat="1" ht="11.25" customHeight="1" outlineLevel="1">
      <c r="B6420" s="1602">
        <v>26062</v>
      </c>
      <c r="C6420" s="1603" t="s">
        <v>4632</v>
      </c>
      <c r="D6420" s="1603" t="s">
        <v>4661</v>
      </c>
      <c r="E6420" s="1603"/>
      <c r="F6420" s="1603"/>
      <c r="G6420" s="1603" t="s">
        <v>4660</v>
      </c>
      <c r="H6420" s="1604">
        <v>2</v>
      </c>
      <c r="I6420" s="1603"/>
      <c r="J6420" s="1603"/>
      <c r="K6420" s="1605">
        <v>348</v>
      </c>
      <c r="L6420" s="1606">
        <v>193140</v>
      </c>
      <c r="M6420" s="1607"/>
      <c r="N6420" s="1606">
        <v>193140</v>
      </c>
      <c r="O6420" s="1606">
        <v>1931.4</v>
      </c>
      <c r="P6420" s="1606">
        <v>183483</v>
      </c>
      <c r="Q6420" s="1606">
        <v>7725.6</v>
      </c>
      <c r="R6420" s="1606">
        <v>191208.6</v>
      </c>
      <c r="S6420" s="1608"/>
    </row>
    <row r="6421" spans="2:19" s="1609" customFormat="1" ht="11.25" customHeight="1" outlineLevel="1">
      <c r="B6421" s="1602">
        <v>26063</v>
      </c>
      <c r="C6421" s="1603" t="s">
        <v>4632</v>
      </c>
      <c r="D6421" s="1603" t="s">
        <v>4659</v>
      </c>
      <c r="E6421" s="1603"/>
      <c r="F6421" s="1603"/>
      <c r="G6421" s="1603" t="s">
        <v>4658</v>
      </c>
      <c r="H6421" s="1604">
        <v>2</v>
      </c>
      <c r="I6421" s="1603"/>
      <c r="J6421" s="1603"/>
      <c r="K6421" s="1605">
        <v>353</v>
      </c>
      <c r="L6421" s="1606">
        <v>16675</v>
      </c>
      <c r="M6421" s="1607"/>
      <c r="N6421" s="1606">
        <v>16675</v>
      </c>
      <c r="O6421" s="1606">
        <v>2994.94</v>
      </c>
      <c r="P6421" s="1606">
        <v>13127.1</v>
      </c>
      <c r="Q6421" s="1605">
        <v>552.96</v>
      </c>
      <c r="R6421" s="1606">
        <v>13680.06</v>
      </c>
      <c r="S6421" s="1608"/>
    </row>
    <row r="6422" spans="2:19" s="1609" customFormat="1" ht="11.25" customHeight="1" outlineLevel="1">
      <c r="B6422" s="1602">
        <v>26065</v>
      </c>
      <c r="C6422" s="1603" t="s">
        <v>4632</v>
      </c>
      <c r="D6422" s="1603" t="s">
        <v>4657</v>
      </c>
      <c r="E6422" s="1603"/>
      <c r="F6422" s="1603"/>
      <c r="G6422" s="1603" t="s">
        <v>4656</v>
      </c>
      <c r="H6422" s="1604">
        <v>2</v>
      </c>
      <c r="I6422" s="1603"/>
      <c r="J6422" s="1603"/>
      <c r="K6422" s="1605">
        <v>759</v>
      </c>
      <c r="L6422" s="1606">
        <v>43647</v>
      </c>
      <c r="M6422" s="1607"/>
      <c r="N6422" s="1606">
        <v>43647</v>
      </c>
      <c r="O6422" s="1606">
        <v>16640.79</v>
      </c>
      <c r="P6422" s="1606">
        <v>25915.05</v>
      </c>
      <c r="Q6422" s="1606">
        <v>1091.1600000000001</v>
      </c>
      <c r="R6422" s="1606">
        <v>27006.21</v>
      </c>
      <c r="S6422" s="1608"/>
    </row>
    <row r="6423" spans="2:19" s="1609" customFormat="1" ht="11.25" customHeight="1" outlineLevel="1">
      <c r="B6423" s="1602">
        <v>26080</v>
      </c>
      <c r="C6423" s="1603" t="s">
        <v>4632</v>
      </c>
      <c r="D6423" s="1603" t="s">
        <v>4655</v>
      </c>
      <c r="E6423" s="1603"/>
      <c r="F6423" s="1603"/>
      <c r="G6423" s="1603" t="s">
        <v>4654</v>
      </c>
      <c r="H6423" s="1604">
        <v>2</v>
      </c>
      <c r="I6423" s="1603"/>
      <c r="J6423" s="1603"/>
      <c r="K6423" s="1606">
        <v>10001</v>
      </c>
      <c r="L6423" s="1606">
        <v>23013</v>
      </c>
      <c r="M6423" s="1607"/>
      <c r="N6423" s="1606">
        <v>23013</v>
      </c>
      <c r="O6423" s="1606">
        <v>8774.7000000000007</v>
      </c>
      <c r="P6423" s="1606">
        <v>13662.9</v>
      </c>
      <c r="Q6423" s="1605">
        <v>575.4</v>
      </c>
      <c r="R6423" s="1606">
        <v>14238.3</v>
      </c>
      <c r="S6423" s="1608"/>
    </row>
    <row r="6424" spans="2:19" s="1609" customFormat="1" ht="11.25" customHeight="1" outlineLevel="1">
      <c r="B6424" s="1602">
        <v>26081</v>
      </c>
      <c r="C6424" s="1603" t="s">
        <v>4632</v>
      </c>
      <c r="D6424" s="1603" t="s">
        <v>4653</v>
      </c>
      <c r="E6424" s="1603"/>
      <c r="F6424" s="1603"/>
      <c r="G6424" s="1603" t="s">
        <v>4652</v>
      </c>
      <c r="H6424" s="1604">
        <v>2</v>
      </c>
      <c r="I6424" s="1603"/>
      <c r="J6424" s="1603"/>
      <c r="K6424" s="1605">
        <v>149</v>
      </c>
      <c r="L6424" s="1606">
        <v>17511</v>
      </c>
      <c r="M6424" s="1607"/>
      <c r="N6424" s="1606">
        <v>17511</v>
      </c>
      <c r="O6424" s="1606">
        <v>6676.44</v>
      </c>
      <c r="P6424" s="1606">
        <v>10396.799999999999</v>
      </c>
      <c r="Q6424" s="1605">
        <v>437.76</v>
      </c>
      <c r="R6424" s="1606">
        <v>10834.56</v>
      </c>
      <c r="S6424" s="1608"/>
    </row>
    <row r="6425" spans="2:19" s="1609" customFormat="1" ht="11.25" customHeight="1" outlineLevel="1">
      <c r="B6425" s="1602">
        <v>26082</v>
      </c>
      <c r="C6425" s="1603" t="s">
        <v>4632</v>
      </c>
      <c r="D6425" s="1603" t="s">
        <v>4651</v>
      </c>
      <c r="E6425" s="1603"/>
      <c r="F6425" s="1603"/>
      <c r="G6425" s="1603" t="s">
        <v>4650</v>
      </c>
      <c r="H6425" s="1604">
        <v>2</v>
      </c>
      <c r="I6425" s="1603"/>
      <c r="J6425" s="1603"/>
      <c r="K6425" s="1605">
        <v>269</v>
      </c>
      <c r="L6425" s="1606">
        <v>4041</v>
      </c>
      <c r="M6425" s="1607"/>
      <c r="N6425" s="1606">
        <v>4041</v>
      </c>
      <c r="O6425" s="1606">
        <v>1540.26</v>
      </c>
      <c r="P6425" s="1606">
        <v>2399.6999999999998</v>
      </c>
      <c r="Q6425" s="1605">
        <v>101.04</v>
      </c>
      <c r="R6425" s="1606">
        <v>2500.7399999999998</v>
      </c>
      <c r="S6425" s="1608"/>
    </row>
    <row r="6426" spans="2:19" s="1609" customFormat="1" ht="11.25" customHeight="1" outlineLevel="1">
      <c r="B6426" s="1602">
        <v>26083</v>
      </c>
      <c r="C6426" s="1603" t="s">
        <v>4632</v>
      </c>
      <c r="D6426" s="1603" t="s">
        <v>4649</v>
      </c>
      <c r="E6426" s="1603"/>
      <c r="F6426" s="1603"/>
      <c r="G6426" s="1603" t="s">
        <v>4648</v>
      </c>
      <c r="H6426" s="1604">
        <v>2</v>
      </c>
      <c r="I6426" s="1603"/>
      <c r="J6426" s="1603"/>
      <c r="K6426" s="1605">
        <v>293</v>
      </c>
      <c r="L6426" s="1606">
        <v>18464</v>
      </c>
      <c r="M6426" s="1607"/>
      <c r="N6426" s="1606">
        <v>18464</v>
      </c>
      <c r="O6426" s="1606">
        <v>7038.53</v>
      </c>
      <c r="P6426" s="1606">
        <v>10963.95</v>
      </c>
      <c r="Q6426" s="1605">
        <v>461.52</v>
      </c>
      <c r="R6426" s="1606">
        <v>11425.47</v>
      </c>
      <c r="S6426" s="1608"/>
    </row>
    <row r="6427" spans="2:19" s="1609" customFormat="1" ht="11.25" customHeight="1" outlineLevel="1">
      <c r="B6427" s="1602">
        <v>26084</v>
      </c>
      <c r="C6427" s="1603" t="s">
        <v>4632</v>
      </c>
      <c r="D6427" s="1603" t="s">
        <v>4647</v>
      </c>
      <c r="E6427" s="1603"/>
      <c r="F6427" s="1603"/>
      <c r="G6427" s="1603" t="s">
        <v>4646</v>
      </c>
      <c r="H6427" s="1604">
        <v>2</v>
      </c>
      <c r="I6427" s="1603"/>
      <c r="J6427" s="1603"/>
      <c r="K6427" s="1606">
        <v>3726</v>
      </c>
      <c r="L6427" s="1606">
        <v>18631</v>
      </c>
      <c r="M6427" s="1607"/>
      <c r="N6427" s="1606">
        <v>18631</v>
      </c>
      <c r="O6427" s="1606">
        <v>3430.3</v>
      </c>
      <c r="P6427" s="1606">
        <v>14586.3</v>
      </c>
      <c r="Q6427" s="1605">
        <v>614.4</v>
      </c>
      <c r="R6427" s="1606">
        <v>15200.7</v>
      </c>
      <c r="S6427" s="1608"/>
    </row>
    <row r="6428" spans="2:19" s="1609" customFormat="1" ht="11.25" customHeight="1" outlineLevel="1">
      <c r="B6428" s="1602">
        <v>26085</v>
      </c>
      <c r="C6428" s="1603" t="s">
        <v>4632</v>
      </c>
      <c r="D6428" s="1603" t="s">
        <v>4645</v>
      </c>
      <c r="E6428" s="1603"/>
      <c r="F6428" s="1603"/>
      <c r="G6428" s="1603" t="s">
        <v>4644</v>
      </c>
      <c r="H6428" s="1604">
        <v>2</v>
      </c>
      <c r="I6428" s="1603"/>
      <c r="J6428" s="1603"/>
      <c r="K6428" s="1605">
        <v>246</v>
      </c>
      <c r="L6428" s="1606">
        <v>15717</v>
      </c>
      <c r="M6428" s="1607"/>
      <c r="N6428" s="1606">
        <v>15717</v>
      </c>
      <c r="O6428" s="1606">
        <v>5993.1</v>
      </c>
      <c r="P6428" s="1606">
        <v>9330.9</v>
      </c>
      <c r="Q6428" s="1605">
        <v>393</v>
      </c>
      <c r="R6428" s="1606">
        <v>9723.9</v>
      </c>
      <c r="S6428" s="1608"/>
    </row>
    <row r="6429" spans="2:19" s="1609" customFormat="1" ht="11.25" customHeight="1" outlineLevel="1">
      <c r="B6429" s="1602">
        <v>26086</v>
      </c>
      <c r="C6429" s="1603" t="s">
        <v>4632</v>
      </c>
      <c r="D6429" s="1603" t="s">
        <v>4643</v>
      </c>
      <c r="E6429" s="1603"/>
      <c r="F6429" s="1603"/>
      <c r="G6429" s="1603" t="s">
        <v>4642</v>
      </c>
      <c r="H6429" s="1604">
        <v>2</v>
      </c>
      <c r="I6429" s="1603"/>
      <c r="J6429" s="1603"/>
      <c r="K6429" s="1605">
        <v>408</v>
      </c>
      <c r="L6429" s="1606">
        <v>10402</v>
      </c>
      <c r="M6429" s="1607"/>
      <c r="N6429" s="1606">
        <v>10402</v>
      </c>
      <c r="O6429" s="1606">
        <v>3966.01</v>
      </c>
      <c r="P6429" s="1606">
        <v>6175.95</v>
      </c>
      <c r="Q6429" s="1605">
        <v>260.04000000000002</v>
      </c>
      <c r="R6429" s="1606">
        <v>6435.99</v>
      </c>
      <c r="S6429" s="1608"/>
    </row>
    <row r="6430" spans="2:19" s="1609" customFormat="1" ht="11.25" customHeight="1" outlineLevel="1">
      <c r="B6430" s="1602">
        <v>26087</v>
      </c>
      <c r="C6430" s="1603" t="s">
        <v>4632</v>
      </c>
      <c r="D6430" s="1603" t="s">
        <v>4641</v>
      </c>
      <c r="E6430" s="1603"/>
      <c r="F6430" s="1603"/>
      <c r="G6430" s="1603" t="s">
        <v>4640</v>
      </c>
      <c r="H6430" s="1604">
        <v>2</v>
      </c>
      <c r="I6430" s="1603"/>
      <c r="J6430" s="1603"/>
      <c r="K6430" s="1605">
        <v>201</v>
      </c>
      <c r="L6430" s="1606">
        <v>15747</v>
      </c>
      <c r="M6430" s="1607"/>
      <c r="N6430" s="1606">
        <v>15747</v>
      </c>
      <c r="O6430" s="1606">
        <v>6002.55</v>
      </c>
      <c r="P6430" s="1606">
        <v>9350.85</v>
      </c>
      <c r="Q6430" s="1605">
        <v>393.6</v>
      </c>
      <c r="R6430" s="1606">
        <v>9744.4500000000007</v>
      </c>
      <c r="S6430" s="1608"/>
    </row>
    <row r="6431" spans="2:19" s="1609" customFormat="1" ht="11.25" customHeight="1" outlineLevel="1">
      <c r="B6431" s="1602">
        <v>26088</v>
      </c>
      <c r="C6431" s="1603" t="s">
        <v>4632</v>
      </c>
      <c r="D6431" s="1603" t="s">
        <v>4639</v>
      </c>
      <c r="E6431" s="1603"/>
      <c r="F6431" s="1603"/>
      <c r="G6431" s="1603" t="s">
        <v>4638</v>
      </c>
      <c r="H6431" s="1604">
        <v>2</v>
      </c>
      <c r="I6431" s="1603"/>
      <c r="J6431" s="1603"/>
      <c r="K6431" s="1605">
        <v>190</v>
      </c>
      <c r="L6431" s="1606">
        <v>10145</v>
      </c>
      <c r="M6431" s="1607"/>
      <c r="N6431" s="1606">
        <v>10145</v>
      </c>
      <c r="O6431" s="1606">
        <v>3866.54</v>
      </c>
      <c r="P6431" s="1606">
        <v>6024.9</v>
      </c>
      <c r="Q6431" s="1605">
        <v>253.56</v>
      </c>
      <c r="R6431" s="1606">
        <v>6278.46</v>
      </c>
      <c r="S6431" s="1608"/>
    </row>
    <row r="6432" spans="2:19" s="1609" customFormat="1" ht="11.25" customHeight="1" outlineLevel="1">
      <c r="B6432" s="1602">
        <v>26089</v>
      </c>
      <c r="C6432" s="1603" t="s">
        <v>4632</v>
      </c>
      <c r="D6432" s="1603" t="s">
        <v>4637</v>
      </c>
      <c r="E6432" s="1603"/>
      <c r="F6432" s="1603"/>
      <c r="G6432" s="1603" t="s">
        <v>4636</v>
      </c>
      <c r="H6432" s="1604">
        <v>2</v>
      </c>
      <c r="I6432" s="1603"/>
      <c r="J6432" s="1603"/>
      <c r="K6432" s="1605">
        <v>421</v>
      </c>
      <c r="L6432" s="1606">
        <v>15785</v>
      </c>
      <c r="M6432" s="1607"/>
      <c r="N6432" s="1606">
        <v>15785</v>
      </c>
      <c r="O6432" s="1606">
        <v>7970.93</v>
      </c>
      <c r="P6432" s="1606">
        <v>7498.35</v>
      </c>
      <c r="Q6432" s="1605">
        <v>315.72000000000003</v>
      </c>
      <c r="R6432" s="1606">
        <v>7814.07</v>
      </c>
      <c r="S6432" s="1608"/>
    </row>
    <row r="6433" spans="2:19" s="1609" customFormat="1" ht="11.25" customHeight="1" outlineLevel="1">
      <c r="B6433" s="1602">
        <v>26090</v>
      </c>
      <c r="C6433" s="1603" t="s">
        <v>4632</v>
      </c>
      <c r="D6433" s="1603" t="s">
        <v>4635</v>
      </c>
      <c r="E6433" s="1603"/>
      <c r="F6433" s="1603"/>
      <c r="G6433" s="1603" t="s">
        <v>4634</v>
      </c>
      <c r="H6433" s="1604">
        <v>2</v>
      </c>
      <c r="I6433" s="1603"/>
      <c r="J6433" s="1603"/>
      <c r="K6433" s="1605">
        <v>186</v>
      </c>
      <c r="L6433" s="1606">
        <v>18397</v>
      </c>
      <c r="M6433" s="1607"/>
      <c r="N6433" s="1606">
        <v>18397</v>
      </c>
      <c r="O6433" s="1606">
        <v>3386.51</v>
      </c>
      <c r="P6433" s="1606">
        <v>14403.9</v>
      </c>
      <c r="Q6433" s="1605">
        <v>606.59</v>
      </c>
      <c r="R6433" s="1606">
        <v>15010.49</v>
      </c>
      <c r="S6433" s="1608"/>
    </row>
    <row r="6434" spans="2:19" s="1609" customFormat="1" ht="11.25" customHeight="1" outlineLevel="1">
      <c r="B6434" s="1602">
        <v>26091</v>
      </c>
      <c r="C6434" s="1603" t="s">
        <v>4632</v>
      </c>
      <c r="D6434" s="1603" t="s">
        <v>4633</v>
      </c>
      <c r="E6434" s="1603"/>
      <c r="F6434" s="1603"/>
      <c r="G6434" s="1603" t="s">
        <v>4562</v>
      </c>
      <c r="H6434" s="1604">
        <v>2</v>
      </c>
      <c r="I6434" s="1603"/>
      <c r="J6434" s="1603"/>
      <c r="K6434" s="1605">
        <v>199</v>
      </c>
      <c r="L6434" s="1606">
        <v>25777</v>
      </c>
      <c r="M6434" s="1607"/>
      <c r="N6434" s="1606">
        <v>25777</v>
      </c>
      <c r="O6434" s="1606">
        <v>9828.01</v>
      </c>
      <c r="P6434" s="1606">
        <v>15304.5</v>
      </c>
      <c r="Q6434" s="1605">
        <v>644.49</v>
      </c>
      <c r="R6434" s="1606">
        <v>15948.99</v>
      </c>
      <c r="S6434" s="1608"/>
    </row>
    <row r="6435" spans="2:19" s="1609" customFormat="1" ht="11.25" customHeight="1" outlineLevel="1">
      <c r="B6435" s="1602">
        <v>26093</v>
      </c>
      <c r="C6435" s="1603" t="s">
        <v>4632</v>
      </c>
      <c r="D6435" s="1603" t="s">
        <v>4631</v>
      </c>
      <c r="E6435" s="1603"/>
      <c r="F6435" s="1603"/>
      <c r="G6435" s="1603" t="s">
        <v>4630</v>
      </c>
      <c r="H6435" s="1604">
        <v>2</v>
      </c>
      <c r="I6435" s="1603"/>
      <c r="J6435" s="1603"/>
      <c r="K6435" s="1605">
        <v>30</v>
      </c>
      <c r="L6435" s="1606">
        <v>1786</v>
      </c>
      <c r="M6435" s="1607"/>
      <c r="N6435" s="1606">
        <v>1786</v>
      </c>
      <c r="O6435" s="1605">
        <v>681.16</v>
      </c>
      <c r="P6435" s="1606">
        <v>1060.2</v>
      </c>
      <c r="Q6435" s="1605">
        <v>44.64</v>
      </c>
      <c r="R6435" s="1606">
        <v>1104.8399999999999</v>
      </c>
      <c r="S6435" s="1608"/>
    </row>
    <row r="6436" spans="2:19" s="1609" customFormat="1" ht="11.25" customHeight="1" outlineLevel="1">
      <c r="B6436" s="1602">
        <v>26146</v>
      </c>
      <c r="C6436" s="1603" t="s">
        <v>4601</v>
      </c>
      <c r="D6436" s="1603" t="s">
        <v>4629</v>
      </c>
      <c r="E6436" s="1603"/>
      <c r="F6436" s="1603"/>
      <c r="G6436" s="1603" t="s">
        <v>4628</v>
      </c>
      <c r="H6436" s="1604">
        <v>2</v>
      </c>
      <c r="I6436" s="1603"/>
      <c r="J6436" s="1603"/>
      <c r="K6436" s="1605">
        <v>80</v>
      </c>
      <c r="L6436" s="1606">
        <v>2867</v>
      </c>
      <c r="M6436" s="1607"/>
      <c r="N6436" s="1606">
        <v>2867</v>
      </c>
      <c r="O6436" s="1606">
        <v>1105.73</v>
      </c>
      <c r="P6436" s="1606">
        <v>1689.51</v>
      </c>
      <c r="Q6436" s="1605">
        <v>71.760000000000005</v>
      </c>
      <c r="R6436" s="1606">
        <v>1761.27</v>
      </c>
      <c r="S6436" s="1608"/>
    </row>
    <row r="6437" spans="2:19" s="1609" customFormat="1" ht="11.25" customHeight="1" outlineLevel="1">
      <c r="B6437" s="1602">
        <v>26147</v>
      </c>
      <c r="C6437" s="1603" t="s">
        <v>4601</v>
      </c>
      <c r="D6437" s="1603" t="s">
        <v>4627</v>
      </c>
      <c r="E6437" s="1603"/>
      <c r="F6437" s="1603"/>
      <c r="G6437" s="1603" t="s">
        <v>4626</v>
      </c>
      <c r="H6437" s="1604">
        <v>2</v>
      </c>
      <c r="I6437" s="1603"/>
      <c r="J6437" s="1603"/>
      <c r="K6437" s="1605">
        <v>80</v>
      </c>
      <c r="L6437" s="1606">
        <v>1219</v>
      </c>
      <c r="M6437" s="1607"/>
      <c r="N6437" s="1606">
        <v>1219</v>
      </c>
      <c r="O6437" s="1605">
        <v>469.7</v>
      </c>
      <c r="P6437" s="1605">
        <v>718.82</v>
      </c>
      <c r="Q6437" s="1605">
        <v>30.48</v>
      </c>
      <c r="R6437" s="1605">
        <v>749.3</v>
      </c>
      <c r="S6437" s="1608"/>
    </row>
    <row r="6438" spans="2:19" s="1609" customFormat="1" ht="11.25" customHeight="1" outlineLevel="1">
      <c r="B6438" s="1602">
        <v>26148</v>
      </c>
      <c r="C6438" s="1603" t="s">
        <v>4601</v>
      </c>
      <c r="D6438" s="1603" t="s">
        <v>4625</v>
      </c>
      <c r="E6438" s="1603"/>
      <c r="F6438" s="1603"/>
      <c r="G6438" s="1603" t="s">
        <v>4624</v>
      </c>
      <c r="H6438" s="1604">
        <v>2</v>
      </c>
      <c r="I6438" s="1603"/>
      <c r="J6438" s="1603"/>
      <c r="K6438" s="1605">
        <v>157</v>
      </c>
      <c r="L6438" s="1606">
        <v>2290</v>
      </c>
      <c r="M6438" s="1607"/>
      <c r="N6438" s="1606">
        <v>2290</v>
      </c>
      <c r="O6438" s="1605">
        <v>882.85</v>
      </c>
      <c r="P6438" s="1606">
        <v>1349.91</v>
      </c>
      <c r="Q6438" s="1605">
        <v>57.24</v>
      </c>
      <c r="R6438" s="1606">
        <v>1407.15</v>
      </c>
      <c r="S6438" s="1608"/>
    </row>
    <row r="6439" spans="2:19" s="1609" customFormat="1" ht="11.25" customHeight="1" outlineLevel="1">
      <c r="B6439" s="1602">
        <v>26149</v>
      </c>
      <c r="C6439" s="1603" t="s">
        <v>4601</v>
      </c>
      <c r="D6439" s="1603" t="s">
        <v>4623</v>
      </c>
      <c r="E6439" s="1603"/>
      <c r="F6439" s="1603"/>
      <c r="G6439" s="1603" t="s">
        <v>4622</v>
      </c>
      <c r="H6439" s="1604">
        <v>2</v>
      </c>
      <c r="I6439" s="1603"/>
      <c r="J6439" s="1603"/>
      <c r="K6439" s="1605">
        <v>157</v>
      </c>
      <c r="L6439" s="1606">
        <v>6587</v>
      </c>
      <c r="M6439" s="1607"/>
      <c r="N6439" s="1606">
        <v>6587</v>
      </c>
      <c r="O6439" s="1606">
        <v>2539.48</v>
      </c>
      <c r="P6439" s="1606">
        <v>3882.76</v>
      </c>
      <c r="Q6439" s="1605">
        <v>164.76</v>
      </c>
      <c r="R6439" s="1606">
        <v>4047.52</v>
      </c>
      <c r="S6439" s="1608"/>
    </row>
    <row r="6440" spans="2:19" s="1609" customFormat="1" ht="11.25" customHeight="1" outlineLevel="1">
      <c r="B6440" s="1602">
        <v>26150</v>
      </c>
      <c r="C6440" s="1603" t="s">
        <v>4601</v>
      </c>
      <c r="D6440" s="1603" t="s">
        <v>4621</v>
      </c>
      <c r="E6440" s="1603"/>
      <c r="F6440" s="1603"/>
      <c r="G6440" s="1603" t="s">
        <v>4620</v>
      </c>
      <c r="H6440" s="1604">
        <v>2</v>
      </c>
      <c r="I6440" s="1603"/>
      <c r="J6440" s="1603"/>
      <c r="K6440" s="1605">
        <v>157</v>
      </c>
      <c r="L6440" s="1606">
        <v>3466</v>
      </c>
      <c r="M6440" s="1607"/>
      <c r="N6440" s="1606">
        <v>3466</v>
      </c>
      <c r="O6440" s="1606">
        <v>1336.1</v>
      </c>
      <c r="P6440" s="1606">
        <v>2043.26</v>
      </c>
      <c r="Q6440" s="1605">
        <v>86.64</v>
      </c>
      <c r="R6440" s="1606">
        <v>2129.9</v>
      </c>
      <c r="S6440" s="1608"/>
    </row>
    <row r="6441" spans="2:19" s="1609" customFormat="1" ht="11.25" customHeight="1" outlineLevel="1">
      <c r="B6441" s="1602">
        <v>26151</v>
      </c>
      <c r="C6441" s="1603" t="s">
        <v>4601</v>
      </c>
      <c r="D6441" s="1603" t="s">
        <v>4619</v>
      </c>
      <c r="E6441" s="1603"/>
      <c r="F6441" s="1603"/>
      <c r="G6441" s="1603" t="s">
        <v>4618</v>
      </c>
      <c r="H6441" s="1604">
        <v>2</v>
      </c>
      <c r="I6441" s="1603"/>
      <c r="J6441" s="1603"/>
      <c r="K6441" s="1605">
        <v>157</v>
      </c>
      <c r="L6441" s="1606">
        <v>6116</v>
      </c>
      <c r="M6441" s="1607"/>
      <c r="N6441" s="1606">
        <v>6116</v>
      </c>
      <c r="O6441" s="1606">
        <v>2357.6999999999998</v>
      </c>
      <c r="P6441" s="1606">
        <v>3605.42</v>
      </c>
      <c r="Q6441" s="1605">
        <v>152.88</v>
      </c>
      <c r="R6441" s="1606">
        <v>3758.3</v>
      </c>
      <c r="S6441" s="1608"/>
    </row>
    <row r="6442" spans="2:19" s="1609" customFormat="1" ht="11.25" customHeight="1" outlineLevel="1">
      <c r="B6442" s="1602">
        <v>26152</v>
      </c>
      <c r="C6442" s="1603" t="s">
        <v>4601</v>
      </c>
      <c r="D6442" s="1603" t="s">
        <v>4617</v>
      </c>
      <c r="E6442" s="1603"/>
      <c r="F6442" s="1603"/>
      <c r="G6442" s="1603" t="s">
        <v>4616</v>
      </c>
      <c r="H6442" s="1604">
        <v>2</v>
      </c>
      <c r="I6442" s="1603"/>
      <c r="J6442" s="1603"/>
      <c r="K6442" s="1605">
        <v>157</v>
      </c>
      <c r="L6442" s="1606">
        <v>5802</v>
      </c>
      <c r="M6442" s="1607"/>
      <c r="N6442" s="1606">
        <v>5802</v>
      </c>
      <c r="O6442" s="1606">
        <v>2235.5700000000002</v>
      </c>
      <c r="P6442" s="1606">
        <v>3421.47</v>
      </c>
      <c r="Q6442" s="1605">
        <v>144.96</v>
      </c>
      <c r="R6442" s="1606">
        <v>3566.43</v>
      </c>
      <c r="S6442" s="1608"/>
    </row>
    <row r="6443" spans="2:19" s="1609" customFormat="1" ht="11.25" customHeight="1" outlineLevel="1">
      <c r="B6443" s="1602">
        <v>26153</v>
      </c>
      <c r="C6443" s="1603" t="s">
        <v>4601</v>
      </c>
      <c r="D6443" s="1603" t="s">
        <v>4615</v>
      </c>
      <c r="E6443" s="1603"/>
      <c r="F6443" s="1603"/>
      <c r="G6443" s="1603" t="s">
        <v>4614</v>
      </c>
      <c r="H6443" s="1604">
        <v>2</v>
      </c>
      <c r="I6443" s="1603"/>
      <c r="J6443" s="1603"/>
      <c r="K6443" s="1605">
        <v>157</v>
      </c>
      <c r="L6443" s="1606">
        <v>36007</v>
      </c>
      <c r="M6443" s="1607"/>
      <c r="N6443" s="1606">
        <v>36007</v>
      </c>
      <c r="O6443" s="1606">
        <v>13878.93</v>
      </c>
      <c r="P6443" s="1606">
        <v>21227.83</v>
      </c>
      <c r="Q6443" s="1605">
        <v>900.24</v>
      </c>
      <c r="R6443" s="1606">
        <v>22128.07</v>
      </c>
      <c r="S6443" s="1608"/>
    </row>
    <row r="6444" spans="2:19" s="1609" customFormat="1" ht="11.25" customHeight="1" outlineLevel="1">
      <c r="B6444" s="1602">
        <v>26161</v>
      </c>
      <c r="C6444" s="1603" t="s">
        <v>4601</v>
      </c>
      <c r="D6444" s="1603" t="s">
        <v>4613</v>
      </c>
      <c r="E6444" s="1603"/>
      <c r="F6444" s="1603"/>
      <c r="G6444" s="1603" t="s">
        <v>4612</v>
      </c>
      <c r="H6444" s="1604">
        <v>2</v>
      </c>
      <c r="I6444" s="1603"/>
      <c r="J6444" s="1603"/>
      <c r="K6444" s="1605">
        <v>84</v>
      </c>
      <c r="L6444" s="1606">
        <v>98661</v>
      </c>
      <c r="M6444" s="1607"/>
      <c r="N6444" s="1606">
        <v>98661</v>
      </c>
      <c r="O6444" s="1606">
        <v>38026.58</v>
      </c>
      <c r="P6444" s="1606">
        <v>58167.82</v>
      </c>
      <c r="Q6444" s="1606">
        <v>2466.6</v>
      </c>
      <c r="R6444" s="1606">
        <v>60634.42</v>
      </c>
      <c r="S6444" s="1608"/>
    </row>
    <row r="6445" spans="2:19" s="1609" customFormat="1" ht="11.25" customHeight="1" outlineLevel="1">
      <c r="B6445" s="1602">
        <v>26162</v>
      </c>
      <c r="C6445" s="1603" t="s">
        <v>4601</v>
      </c>
      <c r="D6445" s="1603" t="s">
        <v>4611</v>
      </c>
      <c r="E6445" s="1603"/>
      <c r="F6445" s="1603"/>
      <c r="G6445" s="1603" t="s">
        <v>4610</v>
      </c>
      <c r="H6445" s="1604">
        <v>2</v>
      </c>
      <c r="I6445" s="1603"/>
      <c r="J6445" s="1603"/>
      <c r="K6445" s="1605">
        <v>157</v>
      </c>
      <c r="L6445" s="1606">
        <v>2917</v>
      </c>
      <c r="M6445" s="1607"/>
      <c r="N6445" s="1606">
        <v>2917</v>
      </c>
      <c r="O6445" s="1606">
        <v>1123.52</v>
      </c>
      <c r="P6445" s="1606">
        <v>1720.64</v>
      </c>
      <c r="Q6445" s="1605">
        <v>72.84</v>
      </c>
      <c r="R6445" s="1606">
        <v>1793.48</v>
      </c>
      <c r="S6445" s="1608"/>
    </row>
    <row r="6446" spans="2:19" s="1609" customFormat="1" ht="11.25" customHeight="1" outlineLevel="1">
      <c r="B6446" s="1602">
        <v>26163</v>
      </c>
      <c r="C6446" s="1603" t="s">
        <v>4601</v>
      </c>
      <c r="D6446" s="1603" t="s">
        <v>4609</v>
      </c>
      <c r="E6446" s="1603"/>
      <c r="F6446" s="1603"/>
      <c r="G6446" s="1603" t="s">
        <v>4608</v>
      </c>
      <c r="H6446" s="1604">
        <v>2</v>
      </c>
      <c r="I6446" s="1603"/>
      <c r="J6446" s="1603"/>
      <c r="K6446" s="1605">
        <v>157</v>
      </c>
      <c r="L6446" s="1606">
        <v>10633</v>
      </c>
      <c r="M6446" s="1607"/>
      <c r="N6446" s="1606">
        <v>10633</v>
      </c>
      <c r="O6446" s="1606">
        <v>4098.67</v>
      </c>
      <c r="P6446" s="1606">
        <v>6268.45</v>
      </c>
      <c r="Q6446" s="1605">
        <v>265.88</v>
      </c>
      <c r="R6446" s="1606">
        <v>6534.33</v>
      </c>
      <c r="S6446" s="1608"/>
    </row>
    <row r="6447" spans="2:19" s="1609" customFormat="1" ht="11.25" customHeight="1" outlineLevel="1">
      <c r="B6447" s="1602">
        <v>26164</v>
      </c>
      <c r="C6447" s="1603" t="s">
        <v>4601</v>
      </c>
      <c r="D6447" s="1603" t="s">
        <v>4607</v>
      </c>
      <c r="E6447" s="1603"/>
      <c r="F6447" s="1603"/>
      <c r="G6447" s="1603" t="s">
        <v>4606</v>
      </c>
      <c r="H6447" s="1604">
        <v>2</v>
      </c>
      <c r="I6447" s="1603"/>
      <c r="J6447" s="1603"/>
      <c r="K6447" s="1605">
        <v>157</v>
      </c>
      <c r="L6447" s="1606">
        <v>20325</v>
      </c>
      <c r="M6447" s="1607"/>
      <c r="N6447" s="1606">
        <v>20325</v>
      </c>
      <c r="O6447" s="1606">
        <v>7834.58</v>
      </c>
      <c r="P6447" s="1606">
        <v>11982.22</v>
      </c>
      <c r="Q6447" s="1605">
        <v>508.2</v>
      </c>
      <c r="R6447" s="1606">
        <v>12490.42</v>
      </c>
      <c r="S6447" s="1608"/>
    </row>
    <row r="6448" spans="2:19" s="1609" customFormat="1" ht="11.25" customHeight="1" outlineLevel="1">
      <c r="B6448" s="1602">
        <v>26165</v>
      </c>
      <c r="C6448" s="1603" t="s">
        <v>4601</v>
      </c>
      <c r="D6448" s="1603" t="s">
        <v>4605</v>
      </c>
      <c r="E6448" s="1603"/>
      <c r="F6448" s="1603"/>
      <c r="G6448" s="1603" t="s">
        <v>4604</v>
      </c>
      <c r="H6448" s="1604">
        <v>2</v>
      </c>
      <c r="I6448" s="1603"/>
      <c r="J6448" s="1603"/>
      <c r="K6448" s="1605">
        <v>157</v>
      </c>
      <c r="L6448" s="1606">
        <v>5646</v>
      </c>
      <c r="M6448" s="1607"/>
      <c r="N6448" s="1606">
        <v>5646</v>
      </c>
      <c r="O6448" s="1606">
        <v>2176.6799999999998</v>
      </c>
      <c r="P6448" s="1606">
        <v>3328.08</v>
      </c>
      <c r="Q6448" s="1605">
        <v>141.24</v>
      </c>
      <c r="R6448" s="1606">
        <v>3469.32</v>
      </c>
      <c r="S6448" s="1608"/>
    </row>
    <row r="6449" spans="2:19" s="1609" customFormat="1" ht="11.25" customHeight="1" outlineLevel="1">
      <c r="B6449" s="1602">
        <v>26166</v>
      </c>
      <c r="C6449" s="1603" t="s">
        <v>4601</v>
      </c>
      <c r="D6449" s="1603" t="s">
        <v>4603</v>
      </c>
      <c r="E6449" s="1603"/>
      <c r="F6449" s="1603"/>
      <c r="G6449" s="1603" t="s">
        <v>4602</v>
      </c>
      <c r="H6449" s="1604">
        <v>2</v>
      </c>
      <c r="I6449" s="1603"/>
      <c r="J6449" s="1603"/>
      <c r="K6449" s="1605">
        <v>157</v>
      </c>
      <c r="L6449" s="1606">
        <v>7057</v>
      </c>
      <c r="M6449" s="1607"/>
      <c r="N6449" s="1606">
        <v>7057</v>
      </c>
      <c r="O6449" s="1606">
        <v>2720.42</v>
      </c>
      <c r="P6449" s="1606">
        <v>4160.1000000000004</v>
      </c>
      <c r="Q6449" s="1605">
        <v>176.48</v>
      </c>
      <c r="R6449" s="1606">
        <v>4336.58</v>
      </c>
      <c r="S6449" s="1608"/>
    </row>
    <row r="6450" spans="2:19" s="1609" customFormat="1" ht="11.25" customHeight="1" outlineLevel="1">
      <c r="B6450" s="1602">
        <v>26167</v>
      </c>
      <c r="C6450" s="1603" t="s">
        <v>4601</v>
      </c>
      <c r="D6450" s="1603" t="s">
        <v>4600</v>
      </c>
      <c r="E6450" s="1603"/>
      <c r="F6450" s="1603"/>
      <c r="G6450" s="1603" t="s">
        <v>4599</v>
      </c>
      <c r="H6450" s="1604">
        <v>2</v>
      </c>
      <c r="I6450" s="1603"/>
      <c r="J6450" s="1603"/>
      <c r="K6450" s="1605">
        <v>157</v>
      </c>
      <c r="L6450" s="1606">
        <v>21955</v>
      </c>
      <c r="M6450" s="1607"/>
      <c r="N6450" s="1606">
        <v>21955</v>
      </c>
      <c r="O6450" s="1606">
        <v>8461.7000000000007</v>
      </c>
      <c r="P6450" s="1606">
        <v>12944.42</v>
      </c>
      <c r="Q6450" s="1605">
        <v>548.88</v>
      </c>
      <c r="R6450" s="1606">
        <v>13493.3</v>
      </c>
      <c r="S6450" s="1608"/>
    </row>
    <row r="6451" spans="2:19" s="1609" customFormat="1" ht="11.25" customHeight="1" outlineLevel="1">
      <c r="B6451" s="1602">
        <v>26202</v>
      </c>
      <c r="C6451" s="1603" t="s">
        <v>4598</v>
      </c>
      <c r="D6451" s="1603" t="s">
        <v>4597</v>
      </c>
      <c r="E6451" s="1603"/>
      <c r="F6451" s="1603"/>
      <c r="G6451" s="1603" t="s">
        <v>4596</v>
      </c>
      <c r="H6451" s="1604">
        <v>2</v>
      </c>
      <c r="I6451" s="1603"/>
      <c r="J6451" s="1603"/>
      <c r="K6451" s="1606">
        <v>1221</v>
      </c>
      <c r="L6451" s="1606">
        <v>58018</v>
      </c>
      <c r="M6451" s="1607"/>
      <c r="N6451" s="1606">
        <v>58018</v>
      </c>
      <c r="O6451" s="1606">
        <v>11157.34</v>
      </c>
      <c r="P6451" s="1606">
        <v>44947.98</v>
      </c>
      <c r="Q6451" s="1606">
        <v>1912.68</v>
      </c>
      <c r="R6451" s="1606">
        <v>46860.66</v>
      </c>
      <c r="S6451" s="1608"/>
    </row>
    <row r="6452" spans="2:19" s="1609" customFormat="1" ht="11.25" customHeight="1" outlineLevel="1">
      <c r="B6452" s="1602">
        <v>26251</v>
      </c>
      <c r="C6452" s="1603" t="s">
        <v>4591</v>
      </c>
      <c r="D6452" s="1603" t="s">
        <v>4595</v>
      </c>
      <c r="E6452" s="1603"/>
      <c r="F6452" s="1603"/>
      <c r="G6452" s="1603" t="s">
        <v>4594</v>
      </c>
      <c r="H6452" s="1604">
        <v>2</v>
      </c>
      <c r="I6452" s="1603"/>
      <c r="J6452" s="1603"/>
      <c r="K6452" s="1605">
        <v>616</v>
      </c>
      <c r="L6452" s="1606">
        <v>13646</v>
      </c>
      <c r="M6452" s="1607"/>
      <c r="N6452" s="1606">
        <v>13646</v>
      </c>
      <c r="O6452" s="1606">
        <v>7005.8</v>
      </c>
      <c r="P6452" s="1606">
        <v>6367.2</v>
      </c>
      <c r="Q6452" s="1605">
        <v>273</v>
      </c>
      <c r="R6452" s="1606">
        <v>6640.2</v>
      </c>
      <c r="S6452" s="1608"/>
    </row>
    <row r="6453" spans="2:19" s="1609" customFormat="1" ht="11.25" customHeight="1" outlineLevel="1">
      <c r="B6453" s="1602">
        <v>26255</v>
      </c>
      <c r="C6453" s="1603" t="s">
        <v>4591</v>
      </c>
      <c r="D6453" s="1603" t="s">
        <v>4593</v>
      </c>
      <c r="E6453" s="1603"/>
      <c r="F6453" s="1603"/>
      <c r="G6453" s="1603" t="s">
        <v>4589</v>
      </c>
      <c r="H6453" s="1604">
        <v>2</v>
      </c>
      <c r="I6453" s="1603"/>
      <c r="J6453" s="1603"/>
      <c r="K6453" s="1606">
        <v>1971</v>
      </c>
      <c r="L6453" s="1606">
        <v>137966</v>
      </c>
      <c r="M6453" s="1607"/>
      <c r="N6453" s="1606">
        <v>137966</v>
      </c>
      <c r="O6453" s="1606">
        <v>30822.44</v>
      </c>
      <c r="P6453" s="1606">
        <v>102740.4</v>
      </c>
      <c r="Q6453" s="1606">
        <v>4403.16</v>
      </c>
      <c r="R6453" s="1606">
        <v>107143.56</v>
      </c>
      <c r="S6453" s="1608"/>
    </row>
    <row r="6454" spans="2:19" s="1609" customFormat="1" ht="11.25" customHeight="1" outlineLevel="1">
      <c r="B6454" s="1602">
        <v>26256</v>
      </c>
      <c r="C6454" s="1603" t="s">
        <v>4591</v>
      </c>
      <c r="D6454" s="1603" t="s">
        <v>4592</v>
      </c>
      <c r="E6454" s="1603"/>
      <c r="F6454" s="1603"/>
      <c r="G6454" s="1603" t="s">
        <v>4589</v>
      </c>
      <c r="H6454" s="1604">
        <v>2</v>
      </c>
      <c r="I6454" s="1603"/>
      <c r="J6454" s="1603"/>
      <c r="K6454" s="1606">
        <v>1969</v>
      </c>
      <c r="L6454" s="1606">
        <v>68904</v>
      </c>
      <c r="M6454" s="1607"/>
      <c r="N6454" s="1606">
        <v>68904</v>
      </c>
      <c r="O6454" s="1606">
        <v>13628.52</v>
      </c>
      <c r="P6454" s="1606">
        <v>53004</v>
      </c>
      <c r="Q6454" s="1606">
        <v>2271.48</v>
      </c>
      <c r="R6454" s="1606">
        <v>55275.48</v>
      </c>
      <c r="S6454" s="1608"/>
    </row>
    <row r="6455" spans="2:19" s="1609" customFormat="1" ht="11.25" customHeight="1" outlineLevel="1">
      <c r="B6455" s="1602">
        <v>26259</v>
      </c>
      <c r="C6455" s="1603" t="s">
        <v>4591</v>
      </c>
      <c r="D6455" s="1603" t="s">
        <v>4590</v>
      </c>
      <c r="E6455" s="1603"/>
      <c r="F6455" s="1603"/>
      <c r="G6455" s="1603" t="s">
        <v>4589</v>
      </c>
      <c r="H6455" s="1604">
        <v>2</v>
      </c>
      <c r="I6455" s="1603"/>
      <c r="J6455" s="1603"/>
      <c r="K6455" s="1606">
        <v>2456</v>
      </c>
      <c r="L6455" s="1606">
        <v>49129</v>
      </c>
      <c r="M6455" s="1607"/>
      <c r="N6455" s="1606">
        <v>49129</v>
      </c>
      <c r="O6455" s="1606">
        <v>9717.76</v>
      </c>
      <c r="P6455" s="1606">
        <v>37791.599999999999</v>
      </c>
      <c r="Q6455" s="1606">
        <v>1619.64</v>
      </c>
      <c r="R6455" s="1606">
        <v>39411.24</v>
      </c>
      <c r="S6455" s="1608"/>
    </row>
    <row r="6456" spans="2:19" s="1609" customFormat="1" ht="11.25" customHeight="1" outlineLevel="1">
      <c r="B6456" s="1602">
        <v>26290</v>
      </c>
      <c r="C6456" s="1603" t="s">
        <v>4584</v>
      </c>
      <c r="D6456" s="1603" t="s">
        <v>4588</v>
      </c>
      <c r="E6456" s="1603"/>
      <c r="F6456" s="1603"/>
      <c r="G6456" s="1603" t="s">
        <v>4587</v>
      </c>
      <c r="H6456" s="1604">
        <v>2</v>
      </c>
      <c r="I6456" s="1603"/>
      <c r="J6456" s="1603"/>
      <c r="K6456" s="1605">
        <v>332</v>
      </c>
      <c r="L6456" s="1606">
        <v>147971</v>
      </c>
      <c r="M6456" s="1607"/>
      <c r="N6456" s="1606">
        <v>147971</v>
      </c>
      <c r="O6456" s="1606">
        <v>4438.75</v>
      </c>
      <c r="P6456" s="1606">
        <v>137613.96</v>
      </c>
      <c r="Q6456" s="1606">
        <v>5918.29</v>
      </c>
      <c r="R6456" s="1606">
        <v>143532.25</v>
      </c>
      <c r="S6456" s="1608"/>
    </row>
    <row r="6457" spans="2:19" s="1609" customFormat="1" ht="11.25" customHeight="1" outlineLevel="1">
      <c r="B6457" s="1602">
        <v>26292</v>
      </c>
      <c r="C6457" s="1603" t="s">
        <v>4584</v>
      </c>
      <c r="D6457" s="1603" t="s">
        <v>4586</v>
      </c>
      <c r="E6457" s="1603"/>
      <c r="F6457" s="1603"/>
      <c r="G6457" s="1603" t="s">
        <v>4585</v>
      </c>
      <c r="H6457" s="1604">
        <v>2</v>
      </c>
      <c r="I6457" s="1603"/>
      <c r="J6457" s="1603"/>
      <c r="K6457" s="1605">
        <v>313</v>
      </c>
      <c r="L6457" s="1606">
        <v>18388</v>
      </c>
      <c r="M6457" s="1607"/>
      <c r="N6457" s="1606">
        <v>18388</v>
      </c>
      <c r="O6457" s="1606">
        <v>3686.86</v>
      </c>
      <c r="P6457" s="1606">
        <v>14095.08</v>
      </c>
      <c r="Q6457" s="1605">
        <v>606.05999999999995</v>
      </c>
      <c r="R6457" s="1606">
        <v>14701.14</v>
      </c>
      <c r="S6457" s="1608"/>
    </row>
    <row r="6458" spans="2:19" s="1609" customFormat="1" ht="11.25" customHeight="1" outlineLevel="1">
      <c r="B6458" s="1602">
        <v>26293</v>
      </c>
      <c r="C6458" s="1603" t="s">
        <v>4584</v>
      </c>
      <c r="D6458" s="1603" t="s">
        <v>4583</v>
      </c>
      <c r="E6458" s="1603"/>
      <c r="F6458" s="1603"/>
      <c r="G6458" s="1603" t="s">
        <v>4582</v>
      </c>
      <c r="H6458" s="1604">
        <v>2</v>
      </c>
      <c r="I6458" s="1603"/>
      <c r="J6458" s="1603"/>
      <c r="K6458" s="1605">
        <v>202</v>
      </c>
      <c r="L6458" s="1606">
        <v>30517</v>
      </c>
      <c r="M6458" s="1607"/>
      <c r="N6458" s="1606">
        <v>30517</v>
      </c>
      <c r="O6458" s="1606">
        <v>6119.68</v>
      </c>
      <c r="P6458" s="1606">
        <v>23391.360000000001</v>
      </c>
      <c r="Q6458" s="1606">
        <v>1005.96</v>
      </c>
      <c r="R6458" s="1606">
        <v>24397.32</v>
      </c>
      <c r="S6458" s="1608"/>
    </row>
    <row r="6459" spans="2:19" s="1609" customFormat="1" ht="11.25" customHeight="1" outlineLevel="1">
      <c r="B6459" s="1602">
        <v>26333</v>
      </c>
      <c r="C6459" s="1603" t="s">
        <v>4458</v>
      </c>
      <c r="D6459" s="1603" t="s">
        <v>4581</v>
      </c>
      <c r="E6459" s="1603"/>
      <c r="F6459" s="1603"/>
      <c r="G6459" s="1603" t="s">
        <v>4580</v>
      </c>
      <c r="H6459" s="1604">
        <v>2</v>
      </c>
      <c r="I6459" s="1603"/>
      <c r="J6459" s="1603"/>
      <c r="K6459" s="1605">
        <v>398</v>
      </c>
      <c r="L6459" s="1606">
        <v>17704</v>
      </c>
      <c r="M6459" s="1607"/>
      <c r="N6459" s="1606">
        <v>17704</v>
      </c>
      <c r="O6459" s="1606">
        <v>7008.68</v>
      </c>
      <c r="P6459" s="1606">
        <v>10252.64</v>
      </c>
      <c r="Q6459" s="1605">
        <v>442.68</v>
      </c>
      <c r="R6459" s="1606">
        <v>10695.32</v>
      </c>
      <c r="S6459" s="1608"/>
    </row>
    <row r="6460" spans="2:19" s="1609" customFormat="1" ht="11.25" customHeight="1" outlineLevel="1">
      <c r="B6460" s="1602">
        <v>26334</v>
      </c>
      <c r="C6460" s="1603" t="s">
        <v>4458</v>
      </c>
      <c r="D6460" s="1603" t="s">
        <v>4579</v>
      </c>
      <c r="E6460" s="1603"/>
      <c r="F6460" s="1603"/>
      <c r="G6460" s="1603" t="s">
        <v>4578</v>
      </c>
      <c r="H6460" s="1604">
        <v>2</v>
      </c>
      <c r="I6460" s="1603"/>
      <c r="J6460" s="1603"/>
      <c r="K6460" s="1605">
        <v>45</v>
      </c>
      <c r="L6460" s="1606">
        <v>6584</v>
      </c>
      <c r="M6460" s="1607"/>
      <c r="N6460" s="1606">
        <v>6584</v>
      </c>
      <c r="O6460" s="1606">
        <v>2605.3200000000002</v>
      </c>
      <c r="P6460" s="1606">
        <v>3814.16</v>
      </c>
      <c r="Q6460" s="1605">
        <v>164.52</v>
      </c>
      <c r="R6460" s="1606">
        <v>3978.68</v>
      </c>
      <c r="S6460" s="1608"/>
    </row>
    <row r="6461" spans="2:19" s="1609" customFormat="1" ht="11.25" customHeight="1" outlineLevel="1">
      <c r="B6461" s="1602">
        <v>26335</v>
      </c>
      <c r="C6461" s="1603" t="s">
        <v>4458</v>
      </c>
      <c r="D6461" s="1603" t="s">
        <v>4577</v>
      </c>
      <c r="E6461" s="1603"/>
      <c r="F6461" s="1603"/>
      <c r="G6461" s="1603" t="s">
        <v>4576</v>
      </c>
      <c r="H6461" s="1604">
        <v>2</v>
      </c>
      <c r="I6461" s="1603"/>
      <c r="J6461" s="1603"/>
      <c r="K6461" s="1605">
        <v>309</v>
      </c>
      <c r="L6461" s="1606">
        <v>14233</v>
      </c>
      <c r="M6461" s="1607"/>
      <c r="N6461" s="1606">
        <v>14233</v>
      </c>
      <c r="O6461" s="1606">
        <v>5634.45</v>
      </c>
      <c r="P6461" s="1606">
        <v>8242.7000000000007</v>
      </c>
      <c r="Q6461" s="1605">
        <v>355.85</v>
      </c>
      <c r="R6461" s="1606">
        <v>8598.5499999999993</v>
      </c>
      <c r="S6461" s="1608"/>
    </row>
    <row r="6462" spans="2:19" s="1609" customFormat="1" ht="11.25" customHeight="1" outlineLevel="1">
      <c r="B6462" s="1602">
        <v>26336</v>
      </c>
      <c r="C6462" s="1603" t="s">
        <v>4458</v>
      </c>
      <c r="D6462" s="1603" t="s">
        <v>4575</v>
      </c>
      <c r="E6462" s="1603"/>
      <c r="F6462" s="1603"/>
      <c r="G6462" s="1603" t="s">
        <v>4574</v>
      </c>
      <c r="H6462" s="1604">
        <v>2</v>
      </c>
      <c r="I6462" s="1603"/>
      <c r="J6462" s="1603"/>
      <c r="K6462" s="1605">
        <v>10</v>
      </c>
      <c r="L6462" s="1605">
        <v>791</v>
      </c>
      <c r="M6462" s="1607"/>
      <c r="N6462" s="1605">
        <v>791</v>
      </c>
      <c r="O6462" s="1605">
        <v>312.55</v>
      </c>
      <c r="P6462" s="1605">
        <v>458.7</v>
      </c>
      <c r="Q6462" s="1605">
        <v>19.75</v>
      </c>
      <c r="R6462" s="1605">
        <v>478.45</v>
      </c>
      <c r="S6462" s="1608"/>
    </row>
    <row r="6463" spans="2:19" s="1609" customFormat="1" ht="11.25" customHeight="1" outlineLevel="1">
      <c r="B6463" s="1602">
        <v>26337</v>
      </c>
      <c r="C6463" s="1603" t="s">
        <v>4458</v>
      </c>
      <c r="D6463" s="1603" t="s">
        <v>4573</v>
      </c>
      <c r="E6463" s="1603"/>
      <c r="F6463" s="1603"/>
      <c r="G6463" s="1603" t="s">
        <v>4572</v>
      </c>
      <c r="H6463" s="1604">
        <v>2</v>
      </c>
      <c r="I6463" s="1603"/>
      <c r="J6463" s="1603"/>
      <c r="K6463" s="1605">
        <v>85</v>
      </c>
      <c r="L6463" s="1606">
        <v>8539</v>
      </c>
      <c r="M6463" s="1607"/>
      <c r="N6463" s="1606">
        <v>8539</v>
      </c>
      <c r="O6463" s="1606">
        <v>3379.9</v>
      </c>
      <c r="P6463" s="1606">
        <v>4945.62</v>
      </c>
      <c r="Q6463" s="1605">
        <v>213.48</v>
      </c>
      <c r="R6463" s="1606">
        <v>5159.1000000000004</v>
      </c>
      <c r="S6463" s="1608"/>
    </row>
    <row r="6464" spans="2:19" s="1609" customFormat="1" ht="11.25" customHeight="1" outlineLevel="1">
      <c r="B6464" s="1602">
        <v>26338</v>
      </c>
      <c r="C6464" s="1603" t="s">
        <v>4458</v>
      </c>
      <c r="D6464" s="1603" t="s">
        <v>4571</v>
      </c>
      <c r="E6464" s="1603"/>
      <c r="F6464" s="1603"/>
      <c r="G6464" s="1603" t="s">
        <v>4570</v>
      </c>
      <c r="H6464" s="1604">
        <v>2</v>
      </c>
      <c r="I6464" s="1603"/>
      <c r="J6464" s="1603"/>
      <c r="K6464" s="1605">
        <v>138</v>
      </c>
      <c r="L6464" s="1606">
        <v>20126</v>
      </c>
      <c r="M6464" s="1607"/>
      <c r="N6464" s="1606">
        <v>20126</v>
      </c>
      <c r="O6464" s="1606">
        <v>7966.3</v>
      </c>
      <c r="P6464" s="1606">
        <v>11656.54</v>
      </c>
      <c r="Q6464" s="1605">
        <v>503.16</v>
      </c>
      <c r="R6464" s="1606">
        <v>12159.7</v>
      </c>
      <c r="S6464" s="1608"/>
    </row>
    <row r="6465" spans="2:19" s="1609" customFormat="1" ht="11.25" customHeight="1" outlineLevel="1">
      <c r="B6465" s="1602">
        <v>26339</v>
      </c>
      <c r="C6465" s="1603" t="s">
        <v>4458</v>
      </c>
      <c r="D6465" s="1603" t="s">
        <v>4569</v>
      </c>
      <c r="E6465" s="1603"/>
      <c r="F6465" s="1603"/>
      <c r="G6465" s="1603" t="s">
        <v>4568</v>
      </c>
      <c r="H6465" s="1604">
        <v>2</v>
      </c>
      <c r="I6465" s="1603"/>
      <c r="J6465" s="1603"/>
      <c r="K6465" s="1605">
        <v>209</v>
      </c>
      <c r="L6465" s="1606">
        <v>29396</v>
      </c>
      <c r="M6465" s="1607"/>
      <c r="N6465" s="1606">
        <v>29396</v>
      </c>
      <c r="O6465" s="1606">
        <v>11636.4</v>
      </c>
      <c r="P6465" s="1606">
        <v>17024.72</v>
      </c>
      <c r="Q6465" s="1605">
        <v>734.88</v>
      </c>
      <c r="R6465" s="1606">
        <v>17759.599999999999</v>
      </c>
      <c r="S6465" s="1608"/>
    </row>
    <row r="6466" spans="2:19" s="1609" customFormat="1" ht="11.25" customHeight="1" outlineLevel="1">
      <c r="B6466" s="1602">
        <v>26340</v>
      </c>
      <c r="C6466" s="1603" t="s">
        <v>4458</v>
      </c>
      <c r="D6466" s="1603" t="s">
        <v>4567</v>
      </c>
      <c r="E6466" s="1603"/>
      <c r="F6466" s="1603"/>
      <c r="G6466" s="1603" t="s">
        <v>4566</v>
      </c>
      <c r="H6466" s="1604">
        <v>2</v>
      </c>
      <c r="I6466" s="1603"/>
      <c r="J6466" s="1603"/>
      <c r="K6466" s="1605">
        <v>178</v>
      </c>
      <c r="L6466" s="1606">
        <v>23802</v>
      </c>
      <c r="M6466" s="1607"/>
      <c r="N6466" s="1606">
        <v>23802</v>
      </c>
      <c r="O6466" s="1606">
        <v>9421.02</v>
      </c>
      <c r="P6466" s="1606">
        <v>13786.02</v>
      </c>
      <c r="Q6466" s="1605">
        <v>594.96</v>
      </c>
      <c r="R6466" s="1606">
        <v>14380.98</v>
      </c>
      <c r="S6466" s="1608"/>
    </row>
    <row r="6467" spans="2:19" s="1609" customFormat="1" ht="11.25" customHeight="1" outlineLevel="1">
      <c r="B6467" s="1602">
        <v>26341</v>
      </c>
      <c r="C6467" s="1603" t="s">
        <v>4458</v>
      </c>
      <c r="D6467" s="1603" t="s">
        <v>4565</v>
      </c>
      <c r="E6467" s="1603"/>
      <c r="F6467" s="1603"/>
      <c r="G6467" s="1603" t="s">
        <v>4564</v>
      </c>
      <c r="H6467" s="1604">
        <v>2</v>
      </c>
      <c r="I6467" s="1603"/>
      <c r="J6467" s="1603"/>
      <c r="K6467" s="1605">
        <v>713</v>
      </c>
      <c r="L6467" s="1606">
        <v>2637</v>
      </c>
      <c r="M6467" s="1607"/>
      <c r="N6467" s="1606">
        <v>2637</v>
      </c>
      <c r="O6467" s="1606">
        <v>1044.78</v>
      </c>
      <c r="P6467" s="1606">
        <v>1526.22</v>
      </c>
      <c r="Q6467" s="1605">
        <v>66</v>
      </c>
      <c r="R6467" s="1606">
        <v>1592.22</v>
      </c>
      <c r="S6467" s="1608"/>
    </row>
    <row r="6468" spans="2:19" s="1609" customFormat="1" ht="11.25" customHeight="1" outlineLevel="1">
      <c r="B6468" s="1602">
        <v>26342</v>
      </c>
      <c r="C6468" s="1603" t="s">
        <v>4458</v>
      </c>
      <c r="D6468" s="1603" t="s">
        <v>4563</v>
      </c>
      <c r="E6468" s="1603"/>
      <c r="F6468" s="1603"/>
      <c r="G6468" s="1603" t="s">
        <v>4562</v>
      </c>
      <c r="H6468" s="1604">
        <v>2</v>
      </c>
      <c r="I6468" s="1603"/>
      <c r="J6468" s="1603"/>
      <c r="K6468" s="1605">
        <v>121</v>
      </c>
      <c r="L6468" s="1606">
        <v>5775</v>
      </c>
      <c r="M6468" s="1607"/>
      <c r="N6468" s="1606">
        <v>5775</v>
      </c>
      <c r="O6468" s="1606">
        <v>2286.3000000000002</v>
      </c>
      <c r="P6468" s="1606">
        <v>3344.34</v>
      </c>
      <c r="Q6468" s="1605">
        <v>144.36000000000001</v>
      </c>
      <c r="R6468" s="1606">
        <v>3488.7</v>
      </c>
      <c r="S6468" s="1608"/>
    </row>
    <row r="6469" spans="2:19" s="1609" customFormat="1" ht="11.25" customHeight="1" outlineLevel="1">
      <c r="B6469" s="1602">
        <v>26343</v>
      </c>
      <c r="C6469" s="1603" t="s">
        <v>4458</v>
      </c>
      <c r="D6469" s="1603" t="s">
        <v>4561</v>
      </c>
      <c r="E6469" s="1603"/>
      <c r="F6469" s="1603"/>
      <c r="G6469" s="1603" t="s">
        <v>4560</v>
      </c>
      <c r="H6469" s="1604">
        <v>2</v>
      </c>
      <c r="I6469" s="1603"/>
      <c r="J6469" s="1603"/>
      <c r="K6469" s="1605">
        <v>82</v>
      </c>
      <c r="L6469" s="1606">
        <v>6705</v>
      </c>
      <c r="M6469" s="1607"/>
      <c r="N6469" s="1606">
        <v>6705</v>
      </c>
      <c r="O6469" s="1606">
        <v>2653.7</v>
      </c>
      <c r="P6469" s="1606">
        <v>3883.66</v>
      </c>
      <c r="Q6469" s="1605">
        <v>167.64</v>
      </c>
      <c r="R6469" s="1606">
        <v>4051.3</v>
      </c>
      <c r="S6469" s="1608"/>
    </row>
    <row r="6470" spans="2:19" s="1609" customFormat="1" ht="11.25" customHeight="1" outlineLevel="1">
      <c r="B6470" s="1602">
        <v>26344</v>
      </c>
      <c r="C6470" s="1603" t="s">
        <v>4458</v>
      </c>
      <c r="D6470" s="1603" t="s">
        <v>4559</v>
      </c>
      <c r="E6470" s="1603"/>
      <c r="F6470" s="1603"/>
      <c r="G6470" s="1603" t="s">
        <v>4558</v>
      </c>
      <c r="H6470" s="1604">
        <v>2</v>
      </c>
      <c r="I6470" s="1603"/>
      <c r="J6470" s="1603"/>
      <c r="K6470" s="1605">
        <v>82</v>
      </c>
      <c r="L6470" s="1606">
        <v>6574</v>
      </c>
      <c r="M6470" s="1607"/>
      <c r="N6470" s="1606">
        <v>6574</v>
      </c>
      <c r="O6470" s="1606">
        <v>2601.12</v>
      </c>
      <c r="P6470" s="1606">
        <v>3808.6</v>
      </c>
      <c r="Q6470" s="1605">
        <v>164.28</v>
      </c>
      <c r="R6470" s="1606">
        <v>3972.88</v>
      </c>
      <c r="S6470" s="1608"/>
    </row>
    <row r="6471" spans="2:19" s="1609" customFormat="1" ht="11.25" customHeight="1" outlineLevel="1">
      <c r="B6471" s="1602">
        <v>26345</v>
      </c>
      <c r="C6471" s="1603" t="s">
        <v>4458</v>
      </c>
      <c r="D6471" s="1603" t="s">
        <v>4557</v>
      </c>
      <c r="E6471" s="1603"/>
      <c r="F6471" s="1603"/>
      <c r="G6471" s="1603" t="s">
        <v>4556</v>
      </c>
      <c r="H6471" s="1604">
        <v>2</v>
      </c>
      <c r="I6471" s="1603"/>
      <c r="J6471" s="1603"/>
      <c r="K6471" s="1605">
        <v>138</v>
      </c>
      <c r="L6471" s="1606">
        <v>17121</v>
      </c>
      <c r="M6471" s="1607"/>
      <c r="N6471" s="1606">
        <v>17121</v>
      </c>
      <c r="O6471" s="1606">
        <v>6776.7</v>
      </c>
      <c r="P6471" s="1606">
        <v>9916.26</v>
      </c>
      <c r="Q6471" s="1605">
        <v>428.04</v>
      </c>
      <c r="R6471" s="1606">
        <v>10344.299999999999</v>
      </c>
      <c r="S6471" s="1608"/>
    </row>
    <row r="6472" spans="2:19" s="1609" customFormat="1" ht="11.25" customHeight="1" outlineLevel="1">
      <c r="B6472" s="1602">
        <v>26346</v>
      </c>
      <c r="C6472" s="1603" t="s">
        <v>4458</v>
      </c>
      <c r="D6472" s="1603" t="s">
        <v>4555</v>
      </c>
      <c r="E6472" s="1603"/>
      <c r="F6472" s="1603"/>
      <c r="G6472" s="1603" t="s">
        <v>4554</v>
      </c>
      <c r="H6472" s="1604">
        <v>2</v>
      </c>
      <c r="I6472" s="1603"/>
      <c r="J6472" s="1603"/>
      <c r="K6472" s="1605">
        <v>138</v>
      </c>
      <c r="L6472" s="1606">
        <v>20283</v>
      </c>
      <c r="M6472" s="1607"/>
      <c r="N6472" s="1606">
        <v>20283</v>
      </c>
      <c r="O6472" s="1606">
        <v>8027.72</v>
      </c>
      <c r="P6472" s="1606">
        <v>11748.28</v>
      </c>
      <c r="Q6472" s="1605">
        <v>507</v>
      </c>
      <c r="R6472" s="1606">
        <v>12255.28</v>
      </c>
      <c r="S6472" s="1608"/>
    </row>
    <row r="6473" spans="2:19" s="1609" customFormat="1" ht="11.25" customHeight="1" outlineLevel="1">
      <c r="B6473" s="1602">
        <v>26347</v>
      </c>
      <c r="C6473" s="1603" t="s">
        <v>4458</v>
      </c>
      <c r="D6473" s="1603" t="s">
        <v>4553</v>
      </c>
      <c r="E6473" s="1603"/>
      <c r="F6473" s="1603"/>
      <c r="G6473" s="1603" t="s">
        <v>4552</v>
      </c>
      <c r="H6473" s="1604">
        <v>2</v>
      </c>
      <c r="I6473" s="1603"/>
      <c r="J6473" s="1603"/>
      <c r="K6473" s="1605">
        <v>138</v>
      </c>
      <c r="L6473" s="1606">
        <v>8837</v>
      </c>
      <c r="M6473" s="1607"/>
      <c r="N6473" s="1606">
        <v>8837</v>
      </c>
      <c r="O6473" s="1606">
        <v>3498.1</v>
      </c>
      <c r="P6473" s="1606">
        <v>5117.9799999999996</v>
      </c>
      <c r="Q6473" s="1605">
        <v>220.92</v>
      </c>
      <c r="R6473" s="1606">
        <v>5338.9</v>
      </c>
      <c r="S6473" s="1608"/>
    </row>
    <row r="6474" spans="2:19" s="1609" customFormat="1" ht="11.25" customHeight="1" outlineLevel="1">
      <c r="B6474" s="1602">
        <v>26348</v>
      </c>
      <c r="C6474" s="1603" t="s">
        <v>4458</v>
      </c>
      <c r="D6474" s="1603" t="s">
        <v>4551</v>
      </c>
      <c r="E6474" s="1603"/>
      <c r="F6474" s="1603"/>
      <c r="G6474" s="1603" t="s">
        <v>4550</v>
      </c>
      <c r="H6474" s="1604">
        <v>2</v>
      </c>
      <c r="I6474" s="1603"/>
      <c r="J6474" s="1603"/>
      <c r="K6474" s="1605">
        <v>138</v>
      </c>
      <c r="L6474" s="1606">
        <v>8560</v>
      </c>
      <c r="M6474" s="1607"/>
      <c r="N6474" s="1606">
        <v>8560</v>
      </c>
      <c r="O6474" s="1606">
        <v>3389.18</v>
      </c>
      <c r="P6474" s="1606">
        <v>4956.74</v>
      </c>
      <c r="Q6474" s="1605">
        <v>214.08</v>
      </c>
      <c r="R6474" s="1606">
        <v>5170.82</v>
      </c>
      <c r="S6474" s="1608"/>
    </row>
    <row r="6475" spans="2:19" s="1609" customFormat="1" ht="11.25" customHeight="1" outlineLevel="1">
      <c r="B6475" s="1602">
        <v>26349</v>
      </c>
      <c r="C6475" s="1603" t="s">
        <v>4458</v>
      </c>
      <c r="D6475" s="1603" t="s">
        <v>4549</v>
      </c>
      <c r="E6475" s="1603"/>
      <c r="F6475" s="1603"/>
      <c r="G6475" s="1603" t="s">
        <v>4548</v>
      </c>
      <c r="H6475" s="1604">
        <v>2</v>
      </c>
      <c r="I6475" s="1603"/>
      <c r="J6475" s="1603"/>
      <c r="K6475" s="1605">
        <v>138</v>
      </c>
      <c r="L6475" s="1606">
        <v>13214</v>
      </c>
      <c r="M6475" s="1607"/>
      <c r="N6475" s="1606">
        <v>13214</v>
      </c>
      <c r="O6475" s="1606">
        <v>5230.3</v>
      </c>
      <c r="P6475" s="1606">
        <v>7653.34</v>
      </c>
      <c r="Q6475" s="1605">
        <v>330.36</v>
      </c>
      <c r="R6475" s="1606">
        <v>7983.7</v>
      </c>
      <c r="S6475" s="1608"/>
    </row>
    <row r="6476" spans="2:19" s="1609" customFormat="1" ht="11.25" customHeight="1" outlineLevel="1">
      <c r="B6476" s="1602">
        <v>26350</v>
      </c>
      <c r="C6476" s="1603" t="s">
        <v>4458</v>
      </c>
      <c r="D6476" s="1603" t="s">
        <v>4547</v>
      </c>
      <c r="E6476" s="1603"/>
      <c r="F6476" s="1603"/>
      <c r="G6476" s="1603" t="s">
        <v>4546</v>
      </c>
      <c r="H6476" s="1604">
        <v>2</v>
      </c>
      <c r="I6476" s="1603"/>
      <c r="J6476" s="1603"/>
      <c r="K6476" s="1605">
        <v>138</v>
      </c>
      <c r="L6476" s="1606">
        <v>5564</v>
      </c>
      <c r="M6476" s="1607"/>
      <c r="N6476" s="1606">
        <v>5564</v>
      </c>
      <c r="O6476" s="1606">
        <v>2202.9</v>
      </c>
      <c r="P6476" s="1606">
        <v>3222.02</v>
      </c>
      <c r="Q6476" s="1605">
        <v>139.08000000000001</v>
      </c>
      <c r="R6476" s="1606">
        <v>3361.1</v>
      </c>
      <c r="S6476" s="1608"/>
    </row>
    <row r="6477" spans="2:19" s="1609" customFormat="1" ht="11.25" customHeight="1" outlineLevel="1">
      <c r="B6477" s="1602">
        <v>26351</v>
      </c>
      <c r="C6477" s="1603" t="s">
        <v>4458</v>
      </c>
      <c r="D6477" s="1603" t="s">
        <v>4545</v>
      </c>
      <c r="E6477" s="1603"/>
      <c r="F6477" s="1603"/>
      <c r="G6477" s="1603" t="s">
        <v>4544</v>
      </c>
      <c r="H6477" s="1604">
        <v>2</v>
      </c>
      <c r="I6477" s="1603"/>
      <c r="J6477" s="1603"/>
      <c r="K6477" s="1605">
        <v>138</v>
      </c>
      <c r="L6477" s="1606">
        <v>8699</v>
      </c>
      <c r="M6477" s="1607"/>
      <c r="N6477" s="1606">
        <v>8699</v>
      </c>
      <c r="O6477" s="1606">
        <v>3444.08</v>
      </c>
      <c r="P6477" s="1606">
        <v>5037.3599999999997</v>
      </c>
      <c r="Q6477" s="1605">
        <v>217.56</v>
      </c>
      <c r="R6477" s="1606">
        <v>5254.92</v>
      </c>
      <c r="S6477" s="1608"/>
    </row>
    <row r="6478" spans="2:19" s="1609" customFormat="1" ht="11.25" customHeight="1" outlineLevel="1">
      <c r="B6478" s="1602">
        <v>26352</v>
      </c>
      <c r="C6478" s="1603" t="s">
        <v>4458</v>
      </c>
      <c r="D6478" s="1603" t="s">
        <v>4543</v>
      </c>
      <c r="E6478" s="1603"/>
      <c r="F6478" s="1603"/>
      <c r="G6478" s="1603" t="s">
        <v>4542</v>
      </c>
      <c r="H6478" s="1604">
        <v>2</v>
      </c>
      <c r="I6478" s="1603"/>
      <c r="J6478" s="1603"/>
      <c r="K6478" s="1605">
        <v>138</v>
      </c>
      <c r="L6478" s="1606">
        <v>13600</v>
      </c>
      <c r="M6478" s="1607"/>
      <c r="N6478" s="1606">
        <v>13600</v>
      </c>
      <c r="O6478" s="1606">
        <v>5384.18</v>
      </c>
      <c r="P6478" s="1606">
        <v>7875.74</v>
      </c>
      <c r="Q6478" s="1605">
        <v>340.08</v>
      </c>
      <c r="R6478" s="1606">
        <v>8215.82</v>
      </c>
      <c r="S6478" s="1608"/>
    </row>
    <row r="6479" spans="2:19" s="1609" customFormat="1" ht="11.25" customHeight="1" outlineLevel="1">
      <c r="B6479" s="1602">
        <v>26353</v>
      </c>
      <c r="C6479" s="1603" t="s">
        <v>4458</v>
      </c>
      <c r="D6479" s="1603" t="s">
        <v>4541</v>
      </c>
      <c r="E6479" s="1603"/>
      <c r="F6479" s="1603"/>
      <c r="G6479" s="1603" t="s">
        <v>4540</v>
      </c>
      <c r="H6479" s="1604">
        <v>2</v>
      </c>
      <c r="I6479" s="1603"/>
      <c r="J6479" s="1603"/>
      <c r="K6479" s="1605">
        <v>138</v>
      </c>
      <c r="L6479" s="1606">
        <v>13117</v>
      </c>
      <c r="M6479" s="1607"/>
      <c r="N6479" s="1606">
        <v>13117</v>
      </c>
      <c r="O6479" s="1606">
        <v>5191.42</v>
      </c>
      <c r="P6479" s="1606">
        <v>7597.74</v>
      </c>
      <c r="Q6479" s="1605">
        <v>327.84</v>
      </c>
      <c r="R6479" s="1606">
        <v>7925.58</v>
      </c>
      <c r="S6479" s="1608"/>
    </row>
    <row r="6480" spans="2:19" s="1609" customFormat="1" ht="11.25" customHeight="1" outlineLevel="1">
      <c r="B6480" s="1602">
        <v>26354</v>
      </c>
      <c r="C6480" s="1603" t="s">
        <v>4458</v>
      </c>
      <c r="D6480" s="1603" t="s">
        <v>4539</v>
      </c>
      <c r="E6480" s="1603"/>
      <c r="F6480" s="1603"/>
      <c r="G6480" s="1603" t="s">
        <v>4538</v>
      </c>
      <c r="H6480" s="1604">
        <v>2</v>
      </c>
      <c r="I6480" s="1603"/>
      <c r="J6480" s="1603"/>
      <c r="K6480" s="1605">
        <v>138</v>
      </c>
      <c r="L6480" s="1606">
        <v>8975</v>
      </c>
      <c r="M6480" s="1607"/>
      <c r="N6480" s="1606">
        <v>8975</v>
      </c>
      <c r="O6480" s="1606">
        <v>3552.05</v>
      </c>
      <c r="P6480" s="1606">
        <v>5198.6000000000004</v>
      </c>
      <c r="Q6480" s="1605">
        <v>224.35</v>
      </c>
      <c r="R6480" s="1606">
        <v>5422.95</v>
      </c>
      <c r="S6480" s="1608"/>
    </row>
    <row r="6481" spans="2:19" s="1609" customFormat="1" ht="11.25" customHeight="1" outlineLevel="1">
      <c r="B6481" s="1602">
        <v>26355</v>
      </c>
      <c r="C6481" s="1603" t="s">
        <v>4458</v>
      </c>
      <c r="D6481" s="1603" t="s">
        <v>4537</v>
      </c>
      <c r="E6481" s="1603"/>
      <c r="F6481" s="1603"/>
      <c r="G6481" s="1603" t="s">
        <v>4536</v>
      </c>
      <c r="H6481" s="1604">
        <v>2</v>
      </c>
      <c r="I6481" s="1603"/>
      <c r="J6481" s="1603"/>
      <c r="K6481" s="1605">
        <v>138</v>
      </c>
      <c r="L6481" s="1606">
        <v>20228</v>
      </c>
      <c r="M6481" s="1607"/>
      <c r="N6481" s="1606">
        <v>20228</v>
      </c>
      <c r="O6481" s="1606">
        <v>10451.98</v>
      </c>
      <c r="P6481" s="1606">
        <v>9371.3799999999992</v>
      </c>
      <c r="Q6481" s="1605">
        <v>404.64</v>
      </c>
      <c r="R6481" s="1606">
        <v>9776.02</v>
      </c>
      <c r="S6481" s="1608"/>
    </row>
    <row r="6482" spans="2:19" s="1609" customFormat="1" ht="11.25" customHeight="1" outlineLevel="1">
      <c r="B6482" s="1602">
        <v>26356</v>
      </c>
      <c r="C6482" s="1603" t="s">
        <v>4458</v>
      </c>
      <c r="D6482" s="1603" t="s">
        <v>4535</v>
      </c>
      <c r="E6482" s="1603"/>
      <c r="F6482" s="1603"/>
      <c r="G6482" s="1603" t="s">
        <v>4534</v>
      </c>
      <c r="H6482" s="1604">
        <v>2</v>
      </c>
      <c r="I6482" s="1603"/>
      <c r="J6482" s="1603"/>
      <c r="K6482" s="1605">
        <v>138</v>
      </c>
      <c r="L6482" s="1606">
        <v>21332</v>
      </c>
      <c r="M6482" s="1607"/>
      <c r="N6482" s="1606">
        <v>21332</v>
      </c>
      <c r="O6482" s="1606">
        <v>8444.4</v>
      </c>
      <c r="P6482" s="1606">
        <v>12354.32</v>
      </c>
      <c r="Q6482" s="1605">
        <v>533.28</v>
      </c>
      <c r="R6482" s="1606">
        <v>12887.6</v>
      </c>
      <c r="S6482" s="1608"/>
    </row>
    <row r="6483" spans="2:19" s="1609" customFormat="1" ht="11.25" customHeight="1" outlineLevel="1">
      <c r="B6483" s="1602">
        <v>26357</v>
      </c>
      <c r="C6483" s="1603" t="s">
        <v>4458</v>
      </c>
      <c r="D6483" s="1603" t="s">
        <v>4533</v>
      </c>
      <c r="E6483" s="1603"/>
      <c r="F6483" s="1603"/>
      <c r="G6483" s="1603" t="s">
        <v>4532</v>
      </c>
      <c r="H6483" s="1604">
        <v>2</v>
      </c>
      <c r="I6483" s="1603"/>
      <c r="J6483" s="1603"/>
      <c r="K6483" s="1605">
        <v>138</v>
      </c>
      <c r="L6483" s="1606">
        <v>7801</v>
      </c>
      <c r="M6483" s="1607"/>
      <c r="N6483" s="1606">
        <v>7801</v>
      </c>
      <c r="O6483" s="1606">
        <v>3088.45</v>
      </c>
      <c r="P6483" s="1606">
        <v>4517.5</v>
      </c>
      <c r="Q6483" s="1605">
        <v>195.05</v>
      </c>
      <c r="R6483" s="1606">
        <v>4712.55</v>
      </c>
      <c r="S6483" s="1608"/>
    </row>
    <row r="6484" spans="2:19" s="1609" customFormat="1" ht="11.25" customHeight="1" outlineLevel="1">
      <c r="B6484" s="1602">
        <v>26358</v>
      </c>
      <c r="C6484" s="1603" t="s">
        <v>4458</v>
      </c>
      <c r="D6484" s="1603" t="s">
        <v>4531</v>
      </c>
      <c r="E6484" s="1603"/>
      <c r="F6484" s="1603"/>
      <c r="G6484" s="1603" t="s">
        <v>4530</v>
      </c>
      <c r="H6484" s="1604">
        <v>2</v>
      </c>
      <c r="I6484" s="1603"/>
      <c r="J6484" s="1603"/>
      <c r="K6484" s="1605">
        <v>138</v>
      </c>
      <c r="L6484" s="1606">
        <v>18295</v>
      </c>
      <c r="M6484" s="1607"/>
      <c r="N6484" s="1606">
        <v>18295</v>
      </c>
      <c r="O6484" s="1606">
        <v>7242.98</v>
      </c>
      <c r="P6484" s="1606">
        <v>10594.58</v>
      </c>
      <c r="Q6484" s="1605">
        <v>457.44</v>
      </c>
      <c r="R6484" s="1606">
        <v>11052.02</v>
      </c>
      <c r="S6484" s="1608"/>
    </row>
    <row r="6485" spans="2:19" s="1609" customFormat="1" ht="11.25" customHeight="1" outlineLevel="1">
      <c r="B6485" s="1602">
        <v>26359</v>
      </c>
      <c r="C6485" s="1603" t="s">
        <v>4458</v>
      </c>
      <c r="D6485" s="1603" t="s">
        <v>4529</v>
      </c>
      <c r="E6485" s="1603"/>
      <c r="F6485" s="1603"/>
      <c r="G6485" s="1603" t="s">
        <v>4528</v>
      </c>
      <c r="H6485" s="1604">
        <v>2</v>
      </c>
      <c r="I6485" s="1603"/>
      <c r="J6485" s="1603"/>
      <c r="K6485" s="1605">
        <v>138</v>
      </c>
      <c r="L6485" s="1606">
        <v>8975</v>
      </c>
      <c r="M6485" s="1607"/>
      <c r="N6485" s="1606">
        <v>8975</v>
      </c>
      <c r="O6485" s="1606">
        <v>3552.05</v>
      </c>
      <c r="P6485" s="1606">
        <v>5198.6000000000004</v>
      </c>
      <c r="Q6485" s="1605">
        <v>224.35</v>
      </c>
      <c r="R6485" s="1606">
        <v>5422.95</v>
      </c>
      <c r="S6485" s="1608"/>
    </row>
    <row r="6486" spans="2:19" s="1609" customFormat="1" ht="11.25" customHeight="1" outlineLevel="1">
      <c r="B6486" s="1602">
        <v>26360</v>
      </c>
      <c r="C6486" s="1603" t="s">
        <v>4458</v>
      </c>
      <c r="D6486" s="1603" t="s">
        <v>4527</v>
      </c>
      <c r="E6486" s="1603"/>
      <c r="F6486" s="1603"/>
      <c r="G6486" s="1603" t="s">
        <v>4526</v>
      </c>
      <c r="H6486" s="1604">
        <v>2</v>
      </c>
      <c r="I6486" s="1603"/>
      <c r="J6486" s="1603"/>
      <c r="K6486" s="1605">
        <v>138</v>
      </c>
      <c r="L6486" s="1606">
        <v>14843</v>
      </c>
      <c r="M6486" s="1607"/>
      <c r="N6486" s="1606">
        <v>14843</v>
      </c>
      <c r="O6486" s="1606">
        <v>5876.08</v>
      </c>
      <c r="P6486" s="1606">
        <v>8595.76</v>
      </c>
      <c r="Q6486" s="1605">
        <v>371.16</v>
      </c>
      <c r="R6486" s="1606">
        <v>8966.92</v>
      </c>
      <c r="S6486" s="1608"/>
    </row>
    <row r="6487" spans="2:19" s="1609" customFormat="1" ht="11.25" customHeight="1" outlineLevel="1">
      <c r="B6487" s="1602">
        <v>26361</v>
      </c>
      <c r="C6487" s="1603" t="s">
        <v>4458</v>
      </c>
      <c r="D6487" s="1603" t="s">
        <v>4525</v>
      </c>
      <c r="E6487" s="1603"/>
      <c r="F6487" s="1603"/>
      <c r="G6487" s="1603" t="s">
        <v>4524</v>
      </c>
      <c r="H6487" s="1604">
        <v>2</v>
      </c>
      <c r="I6487" s="1603"/>
      <c r="J6487" s="1603"/>
      <c r="K6487" s="1605">
        <v>138</v>
      </c>
      <c r="L6487" s="1606">
        <v>6772</v>
      </c>
      <c r="M6487" s="1607"/>
      <c r="N6487" s="1606">
        <v>6772</v>
      </c>
      <c r="O6487" s="1606">
        <v>3498.02</v>
      </c>
      <c r="P6487" s="1606">
        <v>3138.62</v>
      </c>
      <c r="Q6487" s="1605">
        <v>135.36000000000001</v>
      </c>
      <c r="R6487" s="1606">
        <v>3273.98</v>
      </c>
      <c r="S6487" s="1608"/>
    </row>
    <row r="6488" spans="2:19" s="1609" customFormat="1" ht="11.25" customHeight="1" outlineLevel="1">
      <c r="B6488" s="1602">
        <v>26362</v>
      </c>
      <c r="C6488" s="1603" t="s">
        <v>4458</v>
      </c>
      <c r="D6488" s="1603" t="s">
        <v>4523</v>
      </c>
      <c r="E6488" s="1603"/>
      <c r="F6488" s="1603"/>
      <c r="G6488" s="1603" t="s">
        <v>4522</v>
      </c>
      <c r="H6488" s="1604">
        <v>2</v>
      </c>
      <c r="I6488" s="1603"/>
      <c r="J6488" s="1603"/>
      <c r="K6488" s="1605">
        <v>143</v>
      </c>
      <c r="L6488" s="1606">
        <v>7904</v>
      </c>
      <c r="M6488" s="1607"/>
      <c r="N6488" s="1606">
        <v>7904</v>
      </c>
      <c r="O6488" s="1606">
        <v>3127.82</v>
      </c>
      <c r="P6488" s="1606">
        <v>4578.66</v>
      </c>
      <c r="Q6488" s="1605">
        <v>197.52</v>
      </c>
      <c r="R6488" s="1606">
        <v>4776.18</v>
      </c>
      <c r="S6488" s="1608"/>
    </row>
    <row r="6489" spans="2:19" s="1609" customFormat="1" ht="11.25" customHeight="1" outlineLevel="1">
      <c r="B6489" s="1602">
        <v>26363</v>
      </c>
      <c r="C6489" s="1603" t="s">
        <v>4458</v>
      </c>
      <c r="D6489" s="1603" t="s">
        <v>4521</v>
      </c>
      <c r="E6489" s="1603"/>
      <c r="F6489" s="1603"/>
      <c r="G6489" s="1603" t="s">
        <v>4520</v>
      </c>
      <c r="H6489" s="1604">
        <v>2</v>
      </c>
      <c r="I6489" s="1603"/>
      <c r="J6489" s="1603"/>
      <c r="K6489" s="1605">
        <v>143</v>
      </c>
      <c r="L6489" s="1606">
        <v>8277</v>
      </c>
      <c r="M6489" s="1607"/>
      <c r="N6489" s="1606">
        <v>8277</v>
      </c>
      <c r="O6489" s="1606">
        <v>3277.28</v>
      </c>
      <c r="P6489" s="1606">
        <v>4792.72</v>
      </c>
      <c r="Q6489" s="1605">
        <v>207</v>
      </c>
      <c r="R6489" s="1606">
        <v>4999.72</v>
      </c>
      <c r="S6489" s="1608"/>
    </row>
    <row r="6490" spans="2:19" s="1609" customFormat="1" ht="11.25" customHeight="1" outlineLevel="1">
      <c r="B6490" s="1602">
        <v>26364</v>
      </c>
      <c r="C6490" s="1603" t="s">
        <v>4458</v>
      </c>
      <c r="D6490" s="1603" t="s">
        <v>4519</v>
      </c>
      <c r="E6490" s="1603"/>
      <c r="F6490" s="1603"/>
      <c r="G6490" s="1603" t="s">
        <v>4518</v>
      </c>
      <c r="H6490" s="1604">
        <v>2</v>
      </c>
      <c r="I6490" s="1603"/>
      <c r="J6490" s="1603"/>
      <c r="K6490" s="1605">
        <v>143</v>
      </c>
      <c r="L6490" s="1606">
        <v>11341</v>
      </c>
      <c r="M6490" s="1607"/>
      <c r="N6490" s="1606">
        <v>11341</v>
      </c>
      <c r="O6490" s="1606">
        <v>4488.42</v>
      </c>
      <c r="P6490" s="1606">
        <v>6569.14</v>
      </c>
      <c r="Q6490" s="1605">
        <v>283.44</v>
      </c>
      <c r="R6490" s="1606">
        <v>6852.58</v>
      </c>
      <c r="S6490" s="1608"/>
    </row>
    <row r="6491" spans="2:19" s="1609" customFormat="1" ht="11.25" customHeight="1" outlineLevel="1">
      <c r="B6491" s="1602">
        <v>26365</v>
      </c>
      <c r="C6491" s="1603" t="s">
        <v>4458</v>
      </c>
      <c r="D6491" s="1603" t="s">
        <v>4517</v>
      </c>
      <c r="E6491" s="1603"/>
      <c r="F6491" s="1603"/>
      <c r="G6491" s="1603" t="s">
        <v>4516</v>
      </c>
      <c r="H6491" s="1604">
        <v>2</v>
      </c>
      <c r="I6491" s="1603"/>
      <c r="J6491" s="1603"/>
      <c r="K6491" s="1605">
        <v>143</v>
      </c>
      <c r="L6491" s="1606">
        <v>9007</v>
      </c>
      <c r="M6491" s="1607"/>
      <c r="N6491" s="1606">
        <v>9007</v>
      </c>
      <c r="O6491" s="1606">
        <v>3566.48</v>
      </c>
      <c r="P6491" s="1606">
        <v>5215.28</v>
      </c>
      <c r="Q6491" s="1605">
        <v>225.24</v>
      </c>
      <c r="R6491" s="1606">
        <v>5440.52</v>
      </c>
      <c r="S6491" s="1608"/>
    </row>
    <row r="6492" spans="2:19" s="1609" customFormat="1" ht="11.25" customHeight="1" outlineLevel="1">
      <c r="B6492" s="1602">
        <v>26366</v>
      </c>
      <c r="C6492" s="1603" t="s">
        <v>4458</v>
      </c>
      <c r="D6492" s="1603" t="s">
        <v>4515</v>
      </c>
      <c r="E6492" s="1603"/>
      <c r="F6492" s="1603"/>
      <c r="G6492" s="1603" t="s">
        <v>4514</v>
      </c>
      <c r="H6492" s="1604">
        <v>2</v>
      </c>
      <c r="I6492" s="1603"/>
      <c r="J6492" s="1603"/>
      <c r="K6492" s="1605">
        <v>143</v>
      </c>
      <c r="L6492" s="1606">
        <v>4153</v>
      </c>
      <c r="M6492" s="1607"/>
      <c r="N6492" s="1606">
        <v>4153</v>
      </c>
      <c r="O6492" s="1606">
        <v>1644.45</v>
      </c>
      <c r="P6492" s="1606">
        <v>2404.6999999999998</v>
      </c>
      <c r="Q6492" s="1605">
        <v>103.85</v>
      </c>
      <c r="R6492" s="1606">
        <v>2508.5500000000002</v>
      </c>
      <c r="S6492" s="1608"/>
    </row>
    <row r="6493" spans="2:19" s="1609" customFormat="1" ht="11.25" customHeight="1" outlineLevel="1">
      <c r="B6493" s="1602">
        <v>26367</v>
      </c>
      <c r="C6493" s="1603" t="s">
        <v>4458</v>
      </c>
      <c r="D6493" s="1603" t="s">
        <v>4513</v>
      </c>
      <c r="E6493" s="1603"/>
      <c r="F6493" s="1603"/>
      <c r="G6493" s="1603" t="s">
        <v>4512</v>
      </c>
      <c r="H6493" s="1604">
        <v>2</v>
      </c>
      <c r="I6493" s="1603"/>
      <c r="J6493" s="1603"/>
      <c r="K6493" s="1605">
        <v>143</v>
      </c>
      <c r="L6493" s="1606">
        <v>7876</v>
      </c>
      <c r="M6493" s="1607"/>
      <c r="N6493" s="1606">
        <v>7876</v>
      </c>
      <c r="O6493" s="1606">
        <v>3117.1</v>
      </c>
      <c r="P6493" s="1606">
        <v>4561.9799999999996</v>
      </c>
      <c r="Q6493" s="1605">
        <v>196.92</v>
      </c>
      <c r="R6493" s="1606">
        <v>4758.8999999999996</v>
      </c>
      <c r="S6493" s="1608"/>
    </row>
    <row r="6494" spans="2:19" s="1609" customFormat="1" ht="11.25" customHeight="1" outlineLevel="1">
      <c r="B6494" s="1602">
        <v>26368</v>
      </c>
      <c r="C6494" s="1603" t="s">
        <v>4458</v>
      </c>
      <c r="D6494" s="1603" t="s">
        <v>4511</v>
      </c>
      <c r="E6494" s="1603"/>
      <c r="F6494" s="1603"/>
      <c r="G6494" s="1603" t="s">
        <v>4510</v>
      </c>
      <c r="H6494" s="1604">
        <v>2</v>
      </c>
      <c r="I6494" s="1603"/>
      <c r="J6494" s="1603"/>
      <c r="K6494" s="1605">
        <v>143</v>
      </c>
      <c r="L6494" s="1606">
        <v>7876</v>
      </c>
      <c r="M6494" s="1607"/>
      <c r="N6494" s="1606">
        <v>7876</v>
      </c>
      <c r="O6494" s="1606">
        <v>3117.1</v>
      </c>
      <c r="P6494" s="1606">
        <v>4561.9799999999996</v>
      </c>
      <c r="Q6494" s="1605">
        <v>196.92</v>
      </c>
      <c r="R6494" s="1606">
        <v>4758.8999999999996</v>
      </c>
      <c r="S6494" s="1608"/>
    </row>
    <row r="6495" spans="2:19" s="1609" customFormat="1" ht="11.25" customHeight="1" outlineLevel="1">
      <c r="B6495" s="1602">
        <v>26369</v>
      </c>
      <c r="C6495" s="1603" t="s">
        <v>4458</v>
      </c>
      <c r="D6495" s="1603" t="s">
        <v>4509</v>
      </c>
      <c r="E6495" s="1603"/>
      <c r="F6495" s="1603"/>
      <c r="G6495" s="1603" t="s">
        <v>4508</v>
      </c>
      <c r="H6495" s="1604">
        <v>2</v>
      </c>
      <c r="I6495" s="1603"/>
      <c r="J6495" s="1603"/>
      <c r="K6495" s="1605">
        <v>143</v>
      </c>
      <c r="L6495" s="1606">
        <v>15393</v>
      </c>
      <c r="M6495" s="1607"/>
      <c r="N6495" s="1606">
        <v>15393</v>
      </c>
      <c r="O6495" s="1606">
        <v>6092.7</v>
      </c>
      <c r="P6495" s="1606">
        <v>8915.4599999999991</v>
      </c>
      <c r="Q6495" s="1605">
        <v>384.84</v>
      </c>
      <c r="R6495" s="1606">
        <v>9300.2999999999993</v>
      </c>
      <c r="S6495" s="1608"/>
    </row>
    <row r="6496" spans="2:19" s="1609" customFormat="1" ht="11.25" customHeight="1" outlineLevel="1">
      <c r="B6496" s="1602">
        <v>26370</v>
      </c>
      <c r="C6496" s="1603" t="s">
        <v>4458</v>
      </c>
      <c r="D6496" s="1603" t="s">
        <v>4507</v>
      </c>
      <c r="E6496" s="1603"/>
      <c r="F6496" s="1603"/>
      <c r="G6496" s="1603" t="s">
        <v>4506</v>
      </c>
      <c r="H6496" s="1604">
        <v>2</v>
      </c>
      <c r="I6496" s="1603"/>
      <c r="J6496" s="1603"/>
      <c r="K6496" s="1605">
        <v>161</v>
      </c>
      <c r="L6496" s="1606">
        <v>4834</v>
      </c>
      <c r="M6496" s="1607"/>
      <c r="N6496" s="1606">
        <v>4834</v>
      </c>
      <c r="O6496" s="1606">
        <v>1913.7</v>
      </c>
      <c r="P6496" s="1606">
        <v>2799.46</v>
      </c>
      <c r="Q6496" s="1605">
        <v>120.84</v>
      </c>
      <c r="R6496" s="1606">
        <v>2920.3</v>
      </c>
      <c r="S6496" s="1608"/>
    </row>
    <row r="6497" spans="2:19" s="1609" customFormat="1" ht="11.25" customHeight="1" outlineLevel="1">
      <c r="B6497" s="1602">
        <v>26371</v>
      </c>
      <c r="C6497" s="1603" t="s">
        <v>4458</v>
      </c>
      <c r="D6497" s="1603" t="s">
        <v>4505</v>
      </c>
      <c r="E6497" s="1603"/>
      <c r="F6497" s="1603"/>
      <c r="G6497" s="1603" t="s">
        <v>4504</v>
      </c>
      <c r="H6497" s="1604">
        <v>2</v>
      </c>
      <c r="I6497" s="1603"/>
      <c r="J6497" s="1603"/>
      <c r="K6497" s="1605">
        <v>161</v>
      </c>
      <c r="L6497" s="1606">
        <v>12811</v>
      </c>
      <c r="M6497" s="1607"/>
      <c r="N6497" s="1606">
        <v>12811</v>
      </c>
      <c r="O6497" s="1606">
        <v>5070.8999999999996</v>
      </c>
      <c r="P6497" s="1606">
        <v>7419.82</v>
      </c>
      <c r="Q6497" s="1605">
        <v>320.27999999999997</v>
      </c>
      <c r="R6497" s="1606">
        <v>7740.1</v>
      </c>
      <c r="S6497" s="1608"/>
    </row>
    <row r="6498" spans="2:19" s="1609" customFormat="1" ht="11.25" customHeight="1" outlineLevel="1">
      <c r="B6498" s="1602">
        <v>26372</v>
      </c>
      <c r="C6498" s="1603" t="s">
        <v>4458</v>
      </c>
      <c r="D6498" s="1603" t="s">
        <v>4503</v>
      </c>
      <c r="E6498" s="1603"/>
      <c r="F6498" s="1603"/>
      <c r="G6498" s="1603" t="s">
        <v>4502</v>
      </c>
      <c r="H6498" s="1604">
        <v>2</v>
      </c>
      <c r="I6498" s="1603"/>
      <c r="J6498" s="1603"/>
      <c r="K6498" s="1605">
        <v>161</v>
      </c>
      <c r="L6498" s="1606">
        <v>13455</v>
      </c>
      <c r="M6498" s="1607"/>
      <c r="N6498" s="1606">
        <v>13455</v>
      </c>
      <c r="O6498" s="1606">
        <v>5326.3</v>
      </c>
      <c r="P6498" s="1606">
        <v>7792.34</v>
      </c>
      <c r="Q6498" s="1605">
        <v>336.36</v>
      </c>
      <c r="R6498" s="1606">
        <v>8128.7</v>
      </c>
      <c r="S6498" s="1608"/>
    </row>
    <row r="6499" spans="2:19" s="1609" customFormat="1" ht="11.25" customHeight="1" outlineLevel="1">
      <c r="B6499" s="1602">
        <v>26373</v>
      </c>
      <c r="C6499" s="1603" t="s">
        <v>4458</v>
      </c>
      <c r="D6499" s="1603" t="s">
        <v>4501</v>
      </c>
      <c r="E6499" s="1603"/>
      <c r="F6499" s="1603"/>
      <c r="G6499" s="1603" t="s">
        <v>4500</v>
      </c>
      <c r="H6499" s="1604">
        <v>2</v>
      </c>
      <c r="I6499" s="1603"/>
      <c r="J6499" s="1603"/>
      <c r="K6499" s="1605">
        <v>171</v>
      </c>
      <c r="L6499" s="1606">
        <v>6897</v>
      </c>
      <c r="M6499" s="1607"/>
      <c r="N6499" s="1606">
        <v>6897</v>
      </c>
      <c r="O6499" s="1606">
        <v>2729.7</v>
      </c>
      <c r="P6499" s="1606">
        <v>3994.86</v>
      </c>
      <c r="Q6499" s="1605">
        <v>172.44</v>
      </c>
      <c r="R6499" s="1606">
        <v>4167.3</v>
      </c>
      <c r="S6499" s="1608"/>
    </row>
    <row r="6500" spans="2:19" s="1609" customFormat="1" ht="11.25" customHeight="1" outlineLevel="1">
      <c r="B6500" s="1602">
        <v>26374</v>
      </c>
      <c r="C6500" s="1603" t="s">
        <v>4458</v>
      </c>
      <c r="D6500" s="1603" t="s">
        <v>4499</v>
      </c>
      <c r="E6500" s="1603"/>
      <c r="F6500" s="1603"/>
      <c r="G6500" s="1603" t="s">
        <v>4498</v>
      </c>
      <c r="H6500" s="1604">
        <v>2</v>
      </c>
      <c r="I6500" s="1603"/>
      <c r="J6500" s="1603"/>
      <c r="K6500" s="1605">
        <v>171</v>
      </c>
      <c r="L6500" s="1606">
        <v>6640</v>
      </c>
      <c r="M6500" s="1607"/>
      <c r="N6500" s="1606">
        <v>6640</v>
      </c>
      <c r="O6500" s="1606">
        <v>2629.18</v>
      </c>
      <c r="P6500" s="1606">
        <v>3844.74</v>
      </c>
      <c r="Q6500" s="1605">
        <v>166.08</v>
      </c>
      <c r="R6500" s="1606">
        <v>4010.82</v>
      </c>
      <c r="S6500" s="1608"/>
    </row>
    <row r="6501" spans="2:19" s="1609" customFormat="1" ht="11.25" customHeight="1" outlineLevel="1">
      <c r="B6501" s="1602">
        <v>26375</v>
      </c>
      <c r="C6501" s="1603" t="s">
        <v>4458</v>
      </c>
      <c r="D6501" s="1603" t="s">
        <v>4497</v>
      </c>
      <c r="E6501" s="1603"/>
      <c r="F6501" s="1603"/>
      <c r="G6501" s="1603" t="s">
        <v>4496</v>
      </c>
      <c r="H6501" s="1604">
        <v>2</v>
      </c>
      <c r="I6501" s="1603"/>
      <c r="J6501" s="1603"/>
      <c r="K6501" s="1605">
        <v>171</v>
      </c>
      <c r="L6501" s="1606">
        <v>1831</v>
      </c>
      <c r="M6501" s="1607"/>
      <c r="N6501" s="1606">
        <v>1831</v>
      </c>
      <c r="O6501" s="1605">
        <v>725.98</v>
      </c>
      <c r="P6501" s="1606">
        <v>1059.18</v>
      </c>
      <c r="Q6501" s="1605">
        <v>45.84</v>
      </c>
      <c r="R6501" s="1606">
        <v>1105.02</v>
      </c>
      <c r="S6501" s="1608"/>
    </row>
    <row r="6502" spans="2:19" s="1609" customFormat="1" ht="11.25" customHeight="1" outlineLevel="1">
      <c r="B6502" s="1602">
        <v>26376</v>
      </c>
      <c r="C6502" s="1603" t="s">
        <v>4458</v>
      </c>
      <c r="D6502" s="1603" t="s">
        <v>4495</v>
      </c>
      <c r="E6502" s="1603"/>
      <c r="F6502" s="1603"/>
      <c r="G6502" s="1603" t="s">
        <v>4494</v>
      </c>
      <c r="H6502" s="1604">
        <v>2</v>
      </c>
      <c r="I6502" s="1603"/>
      <c r="J6502" s="1603"/>
      <c r="K6502" s="1605">
        <v>171</v>
      </c>
      <c r="L6502" s="1606">
        <v>7307</v>
      </c>
      <c r="M6502" s="1607"/>
      <c r="N6502" s="1606">
        <v>7307</v>
      </c>
      <c r="O6502" s="1606">
        <v>2893.08</v>
      </c>
      <c r="P6502" s="1606">
        <v>4231.16</v>
      </c>
      <c r="Q6502" s="1605">
        <v>182.76</v>
      </c>
      <c r="R6502" s="1606">
        <v>4413.92</v>
      </c>
      <c r="S6502" s="1608"/>
    </row>
    <row r="6503" spans="2:19" s="1609" customFormat="1" ht="11.25" customHeight="1" outlineLevel="1">
      <c r="B6503" s="1602">
        <v>26377</v>
      </c>
      <c r="C6503" s="1603" t="s">
        <v>4458</v>
      </c>
      <c r="D6503" s="1603" t="s">
        <v>4493</v>
      </c>
      <c r="E6503" s="1603"/>
      <c r="F6503" s="1603"/>
      <c r="G6503" s="1603" t="s">
        <v>4492</v>
      </c>
      <c r="H6503" s="1604">
        <v>2</v>
      </c>
      <c r="I6503" s="1603"/>
      <c r="J6503" s="1603"/>
      <c r="K6503" s="1605">
        <v>171</v>
      </c>
      <c r="L6503" s="1605">
        <v>958</v>
      </c>
      <c r="M6503" s="1607"/>
      <c r="N6503" s="1605">
        <v>958</v>
      </c>
      <c r="O6503" s="1605">
        <v>378.12</v>
      </c>
      <c r="P6503" s="1605">
        <v>556</v>
      </c>
      <c r="Q6503" s="1605">
        <v>23.88</v>
      </c>
      <c r="R6503" s="1605">
        <v>579.88</v>
      </c>
      <c r="S6503" s="1608"/>
    </row>
    <row r="6504" spans="2:19" s="1609" customFormat="1" ht="11.25" customHeight="1" outlineLevel="1">
      <c r="B6504" s="1602">
        <v>26378</v>
      </c>
      <c r="C6504" s="1603" t="s">
        <v>4458</v>
      </c>
      <c r="D6504" s="1603" t="s">
        <v>4491</v>
      </c>
      <c r="E6504" s="1603"/>
      <c r="F6504" s="1603"/>
      <c r="G6504" s="1603" t="s">
        <v>4490</v>
      </c>
      <c r="H6504" s="1604">
        <v>2</v>
      </c>
      <c r="I6504" s="1603"/>
      <c r="J6504" s="1603"/>
      <c r="K6504" s="1605">
        <v>171</v>
      </c>
      <c r="L6504" s="1606">
        <v>5699</v>
      </c>
      <c r="M6504" s="1607"/>
      <c r="N6504" s="1606">
        <v>5699</v>
      </c>
      <c r="O6504" s="1606">
        <v>2256.58</v>
      </c>
      <c r="P6504" s="1606">
        <v>3299.86</v>
      </c>
      <c r="Q6504" s="1605">
        <v>142.56</v>
      </c>
      <c r="R6504" s="1606">
        <v>3442.42</v>
      </c>
      <c r="S6504" s="1608"/>
    </row>
    <row r="6505" spans="2:19" s="1609" customFormat="1" ht="11.25" customHeight="1" outlineLevel="1">
      <c r="B6505" s="1602">
        <v>26379</v>
      </c>
      <c r="C6505" s="1603" t="s">
        <v>4458</v>
      </c>
      <c r="D6505" s="1603" t="s">
        <v>4489</v>
      </c>
      <c r="E6505" s="1603"/>
      <c r="F6505" s="1603"/>
      <c r="G6505" s="1603" t="s">
        <v>4488</v>
      </c>
      <c r="H6505" s="1604">
        <v>2</v>
      </c>
      <c r="I6505" s="1603"/>
      <c r="J6505" s="1603"/>
      <c r="K6505" s="1605">
        <v>132</v>
      </c>
      <c r="L6505" s="1606">
        <v>9934</v>
      </c>
      <c r="M6505" s="1607"/>
      <c r="N6505" s="1606">
        <v>9934</v>
      </c>
      <c r="O6505" s="1606">
        <v>5131.72</v>
      </c>
      <c r="P6505" s="1606">
        <v>4603.68</v>
      </c>
      <c r="Q6505" s="1605">
        <v>198.6</v>
      </c>
      <c r="R6505" s="1606">
        <v>4802.28</v>
      </c>
      <c r="S6505" s="1608"/>
    </row>
    <row r="6506" spans="2:19" s="1609" customFormat="1" ht="11.25" customHeight="1" outlineLevel="1">
      <c r="B6506" s="1602">
        <v>26381</v>
      </c>
      <c r="C6506" s="1603" t="s">
        <v>4458</v>
      </c>
      <c r="D6506" s="1603" t="s">
        <v>4487</v>
      </c>
      <c r="E6506" s="1603"/>
      <c r="F6506" s="1603"/>
      <c r="G6506" s="1603" t="s">
        <v>4486</v>
      </c>
      <c r="H6506" s="1604">
        <v>2</v>
      </c>
      <c r="I6506" s="1603"/>
      <c r="J6506" s="1603"/>
      <c r="K6506" s="1605">
        <v>132</v>
      </c>
      <c r="L6506" s="1606">
        <v>4743</v>
      </c>
      <c r="M6506" s="1607"/>
      <c r="N6506" s="1606">
        <v>4743</v>
      </c>
      <c r="O6506" s="1606">
        <v>1877.8</v>
      </c>
      <c r="P6506" s="1606">
        <v>2746.64</v>
      </c>
      <c r="Q6506" s="1605">
        <v>118.56</v>
      </c>
      <c r="R6506" s="1606">
        <v>2865.2</v>
      </c>
      <c r="S6506" s="1608"/>
    </row>
    <row r="6507" spans="2:19" s="1609" customFormat="1" ht="11.25" customHeight="1" outlineLevel="1">
      <c r="B6507" s="1602">
        <v>26382</v>
      </c>
      <c r="C6507" s="1603" t="s">
        <v>4458</v>
      </c>
      <c r="D6507" s="1603" t="s">
        <v>4485</v>
      </c>
      <c r="E6507" s="1603"/>
      <c r="F6507" s="1603"/>
      <c r="G6507" s="1603" t="s">
        <v>4484</v>
      </c>
      <c r="H6507" s="1604">
        <v>2</v>
      </c>
      <c r="I6507" s="1603"/>
      <c r="J6507" s="1603"/>
      <c r="K6507" s="1605">
        <v>132</v>
      </c>
      <c r="L6507" s="1606">
        <v>16271</v>
      </c>
      <c r="M6507" s="1607"/>
      <c r="N6507" s="1606">
        <v>16271</v>
      </c>
      <c r="O6507" s="1606">
        <v>6440.05</v>
      </c>
      <c r="P6507" s="1606">
        <v>9424.2000000000007</v>
      </c>
      <c r="Q6507" s="1605">
        <v>406.75</v>
      </c>
      <c r="R6507" s="1606">
        <v>9830.9500000000007</v>
      </c>
      <c r="S6507" s="1608"/>
    </row>
    <row r="6508" spans="2:19" s="1609" customFormat="1" ht="11.25" customHeight="1" outlineLevel="1">
      <c r="B6508" s="1602">
        <v>26383</v>
      </c>
      <c r="C6508" s="1603" t="s">
        <v>4458</v>
      </c>
      <c r="D6508" s="1603" t="s">
        <v>4483</v>
      </c>
      <c r="E6508" s="1603"/>
      <c r="F6508" s="1603"/>
      <c r="G6508" s="1603" t="s">
        <v>4482</v>
      </c>
      <c r="H6508" s="1604">
        <v>2</v>
      </c>
      <c r="I6508" s="1603"/>
      <c r="J6508" s="1603"/>
      <c r="K6508" s="1605">
        <v>132</v>
      </c>
      <c r="L6508" s="1605">
        <v>738</v>
      </c>
      <c r="M6508" s="1607"/>
      <c r="N6508" s="1605">
        <v>738</v>
      </c>
      <c r="O6508" s="1605">
        <v>291.52</v>
      </c>
      <c r="P6508" s="1605">
        <v>428.12</v>
      </c>
      <c r="Q6508" s="1605">
        <v>18.36</v>
      </c>
      <c r="R6508" s="1605">
        <v>446.48</v>
      </c>
      <c r="S6508" s="1608"/>
    </row>
    <row r="6509" spans="2:19" s="1609" customFormat="1" ht="11.25" customHeight="1" outlineLevel="1">
      <c r="B6509" s="1602">
        <v>26384</v>
      </c>
      <c r="C6509" s="1603" t="s">
        <v>4458</v>
      </c>
      <c r="D6509" s="1603" t="s">
        <v>4481</v>
      </c>
      <c r="E6509" s="1603"/>
      <c r="F6509" s="1603"/>
      <c r="G6509" s="1603" t="s">
        <v>4480</v>
      </c>
      <c r="H6509" s="1604">
        <v>2</v>
      </c>
      <c r="I6509" s="1603"/>
      <c r="J6509" s="1603"/>
      <c r="K6509" s="1605">
        <v>415</v>
      </c>
      <c r="L6509" s="1606">
        <v>8793</v>
      </c>
      <c r="M6509" s="1607"/>
      <c r="N6509" s="1606">
        <v>8793</v>
      </c>
      <c r="O6509" s="1606">
        <v>4541.72</v>
      </c>
      <c r="P6509" s="1606">
        <v>4075.48</v>
      </c>
      <c r="Q6509" s="1605">
        <v>175.8</v>
      </c>
      <c r="R6509" s="1606">
        <v>4251.28</v>
      </c>
      <c r="S6509" s="1608"/>
    </row>
    <row r="6510" spans="2:19" s="1609" customFormat="1" ht="11.25" customHeight="1" outlineLevel="1">
      <c r="B6510" s="1602">
        <v>26385</v>
      </c>
      <c r="C6510" s="1603" t="s">
        <v>4458</v>
      </c>
      <c r="D6510" s="1603" t="s">
        <v>4479</v>
      </c>
      <c r="E6510" s="1603"/>
      <c r="F6510" s="1603"/>
      <c r="G6510" s="1603" t="s">
        <v>4478</v>
      </c>
      <c r="H6510" s="1604">
        <v>2</v>
      </c>
      <c r="I6510" s="1603"/>
      <c r="J6510" s="1603"/>
      <c r="K6510" s="1605">
        <v>132</v>
      </c>
      <c r="L6510" s="1606">
        <v>7127</v>
      </c>
      <c r="M6510" s="1607"/>
      <c r="N6510" s="1606">
        <v>7127</v>
      </c>
      <c r="O6510" s="1606">
        <v>3681.8</v>
      </c>
      <c r="P6510" s="1606">
        <v>3302.64</v>
      </c>
      <c r="Q6510" s="1605">
        <v>142.56</v>
      </c>
      <c r="R6510" s="1606">
        <v>3445.2</v>
      </c>
      <c r="S6510" s="1608"/>
    </row>
    <row r="6511" spans="2:19" s="1609" customFormat="1" ht="11.25" customHeight="1" outlineLevel="1">
      <c r="B6511" s="1602">
        <v>26386</v>
      </c>
      <c r="C6511" s="1603" t="s">
        <v>4458</v>
      </c>
      <c r="D6511" s="1603" t="s">
        <v>4477</v>
      </c>
      <c r="E6511" s="1603"/>
      <c r="F6511" s="1603"/>
      <c r="G6511" s="1603" t="s">
        <v>4476</v>
      </c>
      <c r="H6511" s="1604">
        <v>2</v>
      </c>
      <c r="I6511" s="1603"/>
      <c r="J6511" s="1603"/>
      <c r="K6511" s="1605">
        <v>132</v>
      </c>
      <c r="L6511" s="1606">
        <v>3004</v>
      </c>
      <c r="M6511" s="1607"/>
      <c r="N6511" s="1606">
        <v>3004</v>
      </c>
      <c r="O6511" s="1606">
        <v>1551.22</v>
      </c>
      <c r="P6511" s="1606">
        <v>1392.78</v>
      </c>
      <c r="Q6511" s="1605">
        <v>60</v>
      </c>
      <c r="R6511" s="1606">
        <v>1452.78</v>
      </c>
      <c r="S6511" s="1608"/>
    </row>
    <row r="6512" spans="2:19" s="1609" customFormat="1" ht="11.25" customHeight="1" outlineLevel="1">
      <c r="B6512" s="1602">
        <v>26387</v>
      </c>
      <c r="C6512" s="1603" t="s">
        <v>4458</v>
      </c>
      <c r="D6512" s="1603" t="s">
        <v>4475</v>
      </c>
      <c r="E6512" s="1603"/>
      <c r="F6512" s="1603"/>
      <c r="G6512" s="1603" t="s">
        <v>4474</v>
      </c>
      <c r="H6512" s="1604">
        <v>2</v>
      </c>
      <c r="I6512" s="1603"/>
      <c r="J6512" s="1603"/>
      <c r="K6512" s="1605">
        <v>49</v>
      </c>
      <c r="L6512" s="1606">
        <v>5850</v>
      </c>
      <c r="M6512" s="1607"/>
      <c r="N6512" s="1606">
        <v>5850</v>
      </c>
      <c r="O6512" s="1606">
        <v>3022.5</v>
      </c>
      <c r="P6512" s="1606">
        <v>2710.5</v>
      </c>
      <c r="Q6512" s="1605">
        <v>117</v>
      </c>
      <c r="R6512" s="1606">
        <v>2827.5</v>
      </c>
      <c r="S6512" s="1608"/>
    </row>
    <row r="6513" spans="2:19" s="1609" customFormat="1" ht="11.25" customHeight="1" outlineLevel="1">
      <c r="B6513" s="1602">
        <v>26388</v>
      </c>
      <c r="C6513" s="1603" t="s">
        <v>4458</v>
      </c>
      <c r="D6513" s="1603" t="s">
        <v>4473</v>
      </c>
      <c r="E6513" s="1603"/>
      <c r="F6513" s="1603"/>
      <c r="G6513" s="1603" t="s">
        <v>4472</v>
      </c>
      <c r="H6513" s="1604">
        <v>2</v>
      </c>
      <c r="I6513" s="1603"/>
      <c r="J6513" s="1603"/>
      <c r="K6513" s="1605">
        <v>49</v>
      </c>
      <c r="L6513" s="1606">
        <v>1588</v>
      </c>
      <c r="M6513" s="1607"/>
      <c r="N6513" s="1606">
        <v>1588</v>
      </c>
      <c r="O6513" s="1605">
        <v>628.1</v>
      </c>
      <c r="P6513" s="1605">
        <v>920.18</v>
      </c>
      <c r="Q6513" s="1605">
        <v>39.72</v>
      </c>
      <c r="R6513" s="1605">
        <v>959.9</v>
      </c>
      <c r="S6513" s="1608"/>
    </row>
    <row r="6514" spans="2:19" s="1609" customFormat="1" ht="11.25" customHeight="1" outlineLevel="1">
      <c r="B6514" s="1602">
        <v>26389</v>
      </c>
      <c r="C6514" s="1603" t="s">
        <v>4458</v>
      </c>
      <c r="D6514" s="1603" t="s">
        <v>4471</v>
      </c>
      <c r="E6514" s="1603"/>
      <c r="F6514" s="1603"/>
      <c r="G6514" s="1603" t="s">
        <v>4470</v>
      </c>
      <c r="H6514" s="1604">
        <v>2</v>
      </c>
      <c r="I6514" s="1603"/>
      <c r="J6514" s="1603"/>
      <c r="K6514" s="1605">
        <v>49</v>
      </c>
      <c r="L6514" s="1606">
        <v>2444</v>
      </c>
      <c r="M6514" s="1607"/>
      <c r="N6514" s="1606">
        <v>2444</v>
      </c>
      <c r="O6514" s="1606">
        <v>1263.58</v>
      </c>
      <c r="P6514" s="1606">
        <v>1131.46</v>
      </c>
      <c r="Q6514" s="1605">
        <v>48.96</v>
      </c>
      <c r="R6514" s="1606">
        <v>1180.42</v>
      </c>
      <c r="S6514" s="1608"/>
    </row>
    <row r="6515" spans="2:19" s="1609" customFormat="1" ht="11.25" customHeight="1" outlineLevel="1">
      <c r="B6515" s="1602">
        <v>26390</v>
      </c>
      <c r="C6515" s="1603" t="s">
        <v>4458</v>
      </c>
      <c r="D6515" s="1603" t="s">
        <v>4469</v>
      </c>
      <c r="E6515" s="1603"/>
      <c r="F6515" s="1603"/>
      <c r="G6515" s="1603" t="s">
        <v>4467</v>
      </c>
      <c r="H6515" s="1604">
        <v>2</v>
      </c>
      <c r="I6515" s="1603"/>
      <c r="J6515" s="1603"/>
      <c r="K6515" s="1605">
        <v>49</v>
      </c>
      <c r="L6515" s="1606">
        <v>7024</v>
      </c>
      <c r="M6515" s="1607"/>
      <c r="N6515" s="1606">
        <v>7024</v>
      </c>
      <c r="O6515" s="1606">
        <v>2781.18</v>
      </c>
      <c r="P6515" s="1606">
        <v>4067.14</v>
      </c>
      <c r="Q6515" s="1605">
        <v>175.68</v>
      </c>
      <c r="R6515" s="1606">
        <v>4242.82</v>
      </c>
      <c r="S6515" s="1608"/>
    </row>
    <row r="6516" spans="2:19" s="1609" customFormat="1" ht="11.25" customHeight="1" outlineLevel="1">
      <c r="B6516" s="1602">
        <v>26391</v>
      </c>
      <c r="C6516" s="1603" t="s">
        <v>4458</v>
      </c>
      <c r="D6516" s="1603" t="s">
        <v>4468</v>
      </c>
      <c r="E6516" s="1603"/>
      <c r="F6516" s="1603"/>
      <c r="G6516" s="1603" t="s">
        <v>4467</v>
      </c>
      <c r="H6516" s="1604">
        <v>2</v>
      </c>
      <c r="I6516" s="1603"/>
      <c r="J6516" s="1603"/>
      <c r="K6516" s="1605">
        <v>49</v>
      </c>
      <c r="L6516" s="1606">
        <v>7894</v>
      </c>
      <c r="M6516" s="1607"/>
      <c r="N6516" s="1606">
        <v>7894</v>
      </c>
      <c r="O6516" s="1606">
        <v>3123.62</v>
      </c>
      <c r="P6516" s="1606">
        <v>4573.1000000000004</v>
      </c>
      <c r="Q6516" s="1605">
        <v>197.28</v>
      </c>
      <c r="R6516" s="1606">
        <v>4770.38</v>
      </c>
      <c r="S6516" s="1608"/>
    </row>
    <row r="6517" spans="2:19" s="1609" customFormat="1" ht="11.25" customHeight="1" outlineLevel="1">
      <c r="B6517" s="1602">
        <v>26393</v>
      </c>
      <c r="C6517" s="1603" t="s">
        <v>4458</v>
      </c>
      <c r="D6517" s="1603" t="s">
        <v>4466</v>
      </c>
      <c r="E6517" s="1603"/>
      <c r="F6517" s="1603"/>
      <c r="G6517" s="1603" t="s">
        <v>4465</v>
      </c>
      <c r="H6517" s="1604">
        <v>2</v>
      </c>
      <c r="I6517" s="1603"/>
      <c r="J6517" s="1603"/>
      <c r="K6517" s="1605">
        <v>106</v>
      </c>
      <c r="L6517" s="1606">
        <v>10447</v>
      </c>
      <c r="M6517" s="1607"/>
      <c r="N6517" s="1606">
        <v>10447</v>
      </c>
      <c r="O6517" s="1606">
        <v>4136.4799999999996</v>
      </c>
      <c r="P6517" s="1606">
        <v>6049.28</v>
      </c>
      <c r="Q6517" s="1605">
        <v>261.24</v>
      </c>
      <c r="R6517" s="1606">
        <v>6310.52</v>
      </c>
      <c r="S6517" s="1608"/>
    </row>
    <row r="6518" spans="2:19" s="1609" customFormat="1" ht="11.25" customHeight="1" outlineLevel="1">
      <c r="B6518" s="1602">
        <v>26394</v>
      </c>
      <c r="C6518" s="1603" t="s">
        <v>4458</v>
      </c>
      <c r="D6518" s="1603" t="s">
        <v>4464</v>
      </c>
      <c r="E6518" s="1603"/>
      <c r="F6518" s="1603"/>
      <c r="G6518" s="1603" t="s">
        <v>4463</v>
      </c>
      <c r="H6518" s="1604">
        <v>2</v>
      </c>
      <c r="I6518" s="1603"/>
      <c r="J6518" s="1603"/>
      <c r="K6518" s="1605">
        <v>497</v>
      </c>
      <c r="L6518" s="1606">
        <v>54851</v>
      </c>
      <c r="M6518" s="1607"/>
      <c r="N6518" s="1606">
        <v>54851</v>
      </c>
      <c r="O6518" s="1606">
        <v>28339.200000000001</v>
      </c>
      <c r="P6518" s="1606">
        <v>25414.76</v>
      </c>
      <c r="Q6518" s="1606">
        <v>1097.04</v>
      </c>
      <c r="R6518" s="1606">
        <v>26511.8</v>
      </c>
      <c r="S6518" s="1608"/>
    </row>
    <row r="6519" spans="2:19" s="1609" customFormat="1" ht="11.25" customHeight="1" outlineLevel="1">
      <c r="B6519" s="1602">
        <v>26416</v>
      </c>
      <c r="C6519" s="1603" t="s">
        <v>4458</v>
      </c>
      <c r="D6519" s="1603" t="s">
        <v>4462</v>
      </c>
      <c r="E6519" s="1603"/>
      <c r="F6519" s="1603"/>
      <c r="G6519" s="1603"/>
      <c r="H6519" s="1604">
        <v>1</v>
      </c>
      <c r="I6519" s="1603"/>
      <c r="J6519" s="1603"/>
      <c r="K6519" s="1606">
        <v>12000</v>
      </c>
      <c r="L6519" s="1606">
        <v>12000</v>
      </c>
      <c r="M6519" s="1606">
        <v>-12000</v>
      </c>
      <c r="N6519" s="1607"/>
      <c r="O6519" s="1607"/>
      <c r="P6519" s="1606">
        <v>12000</v>
      </c>
      <c r="Q6519" s="1606">
        <v>-12000</v>
      </c>
      <c r="R6519" s="1607"/>
      <c r="S6519" s="1608"/>
    </row>
    <row r="6520" spans="2:19" s="1609" customFormat="1" ht="11.25" customHeight="1" outlineLevel="1">
      <c r="B6520" s="1602">
        <v>26421</v>
      </c>
      <c r="C6520" s="1603" t="s">
        <v>4458</v>
      </c>
      <c r="D6520" s="1603" t="s">
        <v>4461</v>
      </c>
      <c r="E6520" s="1603"/>
      <c r="F6520" s="1603"/>
      <c r="G6520" s="1603" t="s">
        <v>3734</v>
      </c>
      <c r="H6520" s="1604">
        <v>2</v>
      </c>
      <c r="I6520" s="1603"/>
      <c r="J6520" s="1603"/>
      <c r="K6520" s="1605">
        <v>273</v>
      </c>
      <c r="L6520" s="1606">
        <v>16365</v>
      </c>
      <c r="M6520" s="1607"/>
      <c r="N6520" s="1606">
        <v>16365</v>
      </c>
      <c r="O6520" s="1606">
        <v>8453.92</v>
      </c>
      <c r="P6520" s="1606">
        <v>7583.84</v>
      </c>
      <c r="Q6520" s="1605">
        <v>327.24</v>
      </c>
      <c r="R6520" s="1606">
        <v>7911.08</v>
      </c>
      <c r="S6520" s="1608"/>
    </row>
    <row r="6521" spans="2:19" s="1609" customFormat="1" ht="11.25" customHeight="1" outlineLevel="1">
      <c r="B6521" s="1602">
        <v>26422</v>
      </c>
      <c r="C6521" s="1603" t="s">
        <v>4458</v>
      </c>
      <c r="D6521" s="1603" t="s">
        <v>4460</v>
      </c>
      <c r="E6521" s="1603"/>
      <c r="F6521" s="1603"/>
      <c r="G6521" s="1603" t="s">
        <v>3664</v>
      </c>
      <c r="H6521" s="1604">
        <v>2</v>
      </c>
      <c r="I6521" s="1603"/>
      <c r="J6521" s="1603"/>
      <c r="K6521" s="1605">
        <v>154</v>
      </c>
      <c r="L6521" s="1606">
        <v>14112</v>
      </c>
      <c r="M6521" s="1607"/>
      <c r="N6521" s="1606">
        <v>14112</v>
      </c>
      <c r="O6521" s="1606">
        <v>5586</v>
      </c>
      <c r="P6521" s="1606">
        <v>8173.2</v>
      </c>
      <c r="Q6521" s="1605">
        <v>352.8</v>
      </c>
      <c r="R6521" s="1606">
        <v>8526</v>
      </c>
      <c r="S6521" s="1608"/>
    </row>
    <row r="6522" spans="2:19" s="1609" customFormat="1" ht="11.25" customHeight="1" outlineLevel="1">
      <c r="B6522" s="1602">
        <v>34182</v>
      </c>
      <c r="C6522" s="1603" t="s">
        <v>4458</v>
      </c>
      <c r="D6522" s="1603" t="s">
        <v>4459</v>
      </c>
      <c r="E6522" s="1603"/>
      <c r="F6522" s="1603"/>
      <c r="G6522" s="1603"/>
      <c r="H6522" s="1604">
        <v>1</v>
      </c>
      <c r="I6522" s="1603"/>
      <c r="J6522" s="1603"/>
      <c r="K6522" s="1606">
        <v>12000</v>
      </c>
      <c r="L6522" s="1606">
        <v>12000</v>
      </c>
      <c r="M6522" s="1606">
        <v>-12000</v>
      </c>
      <c r="N6522" s="1607"/>
      <c r="O6522" s="1607"/>
      <c r="P6522" s="1606">
        <v>12000</v>
      </c>
      <c r="Q6522" s="1606">
        <v>-12000</v>
      </c>
      <c r="R6522" s="1607"/>
      <c r="S6522" s="1608"/>
    </row>
    <row r="6523" spans="2:19" s="1609" customFormat="1" ht="11.25" customHeight="1" outlineLevel="1">
      <c r="B6523" s="1602">
        <v>34183</v>
      </c>
      <c r="C6523" s="1603" t="s">
        <v>4458</v>
      </c>
      <c r="D6523" s="1603" t="s">
        <v>4457</v>
      </c>
      <c r="E6523" s="1603"/>
      <c r="F6523" s="1603"/>
      <c r="G6523" s="1603"/>
      <c r="H6523" s="1604">
        <v>1</v>
      </c>
      <c r="I6523" s="1603"/>
      <c r="J6523" s="1603"/>
      <c r="K6523" s="1606">
        <v>12000</v>
      </c>
      <c r="L6523" s="1606">
        <v>12000</v>
      </c>
      <c r="M6523" s="1606">
        <v>-12000</v>
      </c>
      <c r="N6523" s="1607"/>
      <c r="O6523" s="1607"/>
      <c r="P6523" s="1606">
        <v>12000</v>
      </c>
      <c r="Q6523" s="1606">
        <v>-12000</v>
      </c>
      <c r="R6523" s="1607"/>
      <c r="S6523" s="1608"/>
    </row>
    <row r="6524" spans="2:19" s="1609" customFormat="1" ht="11.25" customHeight="1" outlineLevel="1">
      <c r="B6524" s="1602">
        <v>26426</v>
      </c>
      <c r="C6524" s="1603" t="s">
        <v>4456</v>
      </c>
      <c r="D6524" s="1603" t="s">
        <v>4455</v>
      </c>
      <c r="E6524" s="1603"/>
      <c r="F6524" s="1603"/>
      <c r="G6524" s="1603" t="s">
        <v>4454</v>
      </c>
      <c r="H6524" s="1604">
        <v>2</v>
      </c>
      <c r="I6524" s="1603"/>
      <c r="J6524" s="1603"/>
      <c r="K6524" s="1605">
        <v>466</v>
      </c>
      <c r="L6524" s="1606">
        <v>29259</v>
      </c>
      <c r="M6524" s="1607"/>
      <c r="N6524" s="1606">
        <v>29259</v>
      </c>
      <c r="O6524" s="1606">
        <v>6029.06</v>
      </c>
      <c r="P6524" s="1606">
        <v>22265.26</v>
      </c>
      <c r="Q6524" s="1605">
        <v>964.68</v>
      </c>
      <c r="R6524" s="1606">
        <v>23229.94</v>
      </c>
      <c r="S6524" s="1608"/>
    </row>
    <row r="6525" spans="2:19" s="1609" customFormat="1" ht="11.25" customHeight="1" outlineLevel="1">
      <c r="B6525" s="1602">
        <v>26467</v>
      </c>
      <c r="C6525" s="1603" t="s">
        <v>4447</v>
      </c>
      <c r="D6525" s="1603" t="s">
        <v>4453</v>
      </c>
      <c r="E6525" s="1603"/>
      <c r="F6525" s="1603"/>
      <c r="G6525" s="1603" t="s">
        <v>4451</v>
      </c>
      <c r="H6525" s="1604">
        <v>2</v>
      </c>
      <c r="I6525" s="1603"/>
      <c r="J6525" s="1603"/>
      <c r="K6525" s="1605">
        <v>146</v>
      </c>
      <c r="L6525" s="1606">
        <v>17005</v>
      </c>
      <c r="M6525" s="1607"/>
      <c r="N6525" s="1606">
        <v>17005</v>
      </c>
      <c r="O6525" s="1606">
        <v>6801.28</v>
      </c>
      <c r="P6525" s="1606">
        <v>9778.68</v>
      </c>
      <c r="Q6525" s="1605">
        <v>425.04</v>
      </c>
      <c r="R6525" s="1606">
        <v>10203.719999999999</v>
      </c>
      <c r="S6525" s="1608"/>
    </row>
    <row r="6526" spans="2:19" s="1609" customFormat="1" ht="11.25" customHeight="1" outlineLevel="1">
      <c r="B6526" s="1602">
        <v>26468</v>
      </c>
      <c r="C6526" s="1603" t="s">
        <v>4447</v>
      </c>
      <c r="D6526" s="1603" t="s">
        <v>4452</v>
      </c>
      <c r="E6526" s="1603"/>
      <c r="F6526" s="1603"/>
      <c r="G6526" s="1603" t="s">
        <v>4451</v>
      </c>
      <c r="H6526" s="1604">
        <v>2</v>
      </c>
      <c r="I6526" s="1603"/>
      <c r="J6526" s="1603"/>
      <c r="K6526" s="1605">
        <v>150</v>
      </c>
      <c r="L6526" s="1606">
        <v>2995</v>
      </c>
      <c r="M6526" s="1607"/>
      <c r="N6526" s="1606">
        <v>2995</v>
      </c>
      <c r="O6526" s="1606">
        <v>1557.88</v>
      </c>
      <c r="P6526" s="1606">
        <v>1377.24</v>
      </c>
      <c r="Q6526" s="1605">
        <v>59.88</v>
      </c>
      <c r="R6526" s="1606">
        <v>1437.12</v>
      </c>
      <c r="S6526" s="1608"/>
    </row>
    <row r="6527" spans="2:19" s="1717" customFormat="1" ht="11.25" customHeight="1" outlineLevel="1">
      <c r="B6527" s="1711">
        <v>26484</v>
      </c>
      <c r="C6527" s="1712" t="s">
        <v>4447</v>
      </c>
      <c r="D6527" s="1712" t="s">
        <v>4450</v>
      </c>
      <c r="E6527" s="1712"/>
      <c r="F6527" s="1712"/>
      <c r="G6527" s="1712" t="s">
        <v>4445</v>
      </c>
      <c r="H6527" s="1713">
        <v>2</v>
      </c>
      <c r="I6527" s="1712"/>
      <c r="J6527" s="1712"/>
      <c r="K6527" s="1727">
        <v>139</v>
      </c>
      <c r="L6527" s="1714">
        <v>396951</v>
      </c>
      <c r="M6527" s="1715"/>
      <c r="N6527" s="1714">
        <v>396951</v>
      </c>
      <c r="O6527" s="1714">
        <v>206413.2</v>
      </c>
      <c r="P6527" s="1714">
        <v>182598.84</v>
      </c>
      <c r="Q6527" s="1714">
        <v>7938.96</v>
      </c>
      <c r="R6527" s="1714">
        <v>190537.8</v>
      </c>
      <c r="S6527" s="1716"/>
    </row>
    <row r="6528" spans="2:19" s="1609" customFormat="1" ht="11.25" customHeight="1" outlineLevel="1">
      <c r="B6528" s="1602">
        <v>26485</v>
      </c>
      <c r="C6528" s="1603" t="s">
        <v>4447</v>
      </c>
      <c r="D6528" s="1603" t="s">
        <v>4449</v>
      </c>
      <c r="E6528" s="1603"/>
      <c r="F6528" s="1603"/>
      <c r="G6528" s="1603" t="s">
        <v>4448</v>
      </c>
      <c r="H6528" s="1604">
        <v>2</v>
      </c>
      <c r="I6528" s="1603"/>
      <c r="J6528" s="1603"/>
      <c r="K6528" s="1605">
        <v>138</v>
      </c>
      <c r="L6528" s="1606">
        <v>126247</v>
      </c>
      <c r="M6528" s="1607"/>
      <c r="N6528" s="1606">
        <v>126247</v>
      </c>
      <c r="O6528" s="1606">
        <v>50500</v>
      </c>
      <c r="P6528" s="1606">
        <v>72590.759999999995</v>
      </c>
      <c r="Q6528" s="1606">
        <v>3156.24</v>
      </c>
      <c r="R6528" s="1606">
        <v>75747</v>
      </c>
      <c r="S6528" s="1608"/>
    </row>
    <row r="6529" spans="2:19" s="1609" customFormat="1" ht="11.25" customHeight="1" outlineLevel="1">
      <c r="B6529" s="1602">
        <v>26486</v>
      </c>
      <c r="C6529" s="1603" t="s">
        <v>4447</v>
      </c>
      <c r="D6529" s="1603" t="s">
        <v>4446</v>
      </c>
      <c r="E6529" s="1603"/>
      <c r="F6529" s="1603"/>
      <c r="G6529" s="1603" t="s">
        <v>4445</v>
      </c>
      <c r="H6529" s="1604">
        <v>2</v>
      </c>
      <c r="I6529" s="1603"/>
      <c r="J6529" s="1603"/>
      <c r="K6529" s="1605">
        <v>138</v>
      </c>
      <c r="L6529" s="1606">
        <v>97704</v>
      </c>
      <c r="M6529" s="1607"/>
      <c r="N6529" s="1606">
        <v>97704</v>
      </c>
      <c r="O6529" s="1606">
        <v>39081.599999999999</v>
      </c>
      <c r="P6529" s="1606">
        <v>56179.8</v>
      </c>
      <c r="Q6529" s="1606">
        <v>2442.6</v>
      </c>
      <c r="R6529" s="1606">
        <v>58622.400000000001</v>
      </c>
      <c r="S6529" s="1608"/>
    </row>
    <row r="6530" spans="2:19" s="1609" customFormat="1" ht="11.25" customHeight="1" outlineLevel="1">
      <c r="B6530" s="1602">
        <v>26547</v>
      </c>
      <c r="C6530" s="1603" t="s">
        <v>4423</v>
      </c>
      <c r="D6530" s="1603" t="s">
        <v>4444</v>
      </c>
      <c r="E6530" s="1603"/>
      <c r="F6530" s="1603"/>
      <c r="G6530" s="1603" t="s">
        <v>4443</v>
      </c>
      <c r="H6530" s="1604">
        <v>2</v>
      </c>
      <c r="I6530" s="1603"/>
      <c r="J6530" s="1603"/>
      <c r="K6530" s="1605">
        <v>59</v>
      </c>
      <c r="L6530" s="1606">
        <v>1286</v>
      </c>
      <c r="M6530" s="1607"/>
      <c r="N6530" s="1606">
        <v>1286</v>
      </c>
      <c r="O6530" s="1605">
        <v>516.84</v>
      </c>
      <c r="P6530" s="1605">
        <v>737</v>
      </c>
      <c r="Q6530" s="1605">
        <v>32.159999999999997</v>
      </c>
      <c r="R6530" s="1605">
        <v>769.16</v>
      </c>
      <c r="S6530" s="1608"/>
    </row>
    <row r="6531" spans="2:19" s="1609" customFormat="1" ht="11.25" customHeight="1" outlineLevel="1">
      <c r="B6531" s="1602">
        <v>26551</v>
      </c>
      <c r="C6531" s="1603" t="s">
        <v>4423</v>
      </c>
      <c r="D6531" s="1603" t="s">
        <v>4442</v>
      </c>
      <c r="E6531" s="1603"/>
      <c r="F6531" s="1603"/>
      <c r="G6531" s="1603" t="s">
        <v>4441</v>
      </c>
      <c r="H6531" s="1604">
        <v>2</v>
      </c>
      <c r="I6531" s="1603"/>
      <c r="J6531" s="1603"/>
      <c r="K6531" s="1605">
        <v>59</v>
      </c>
      <c r="L6531" s="1605">
        <v>726</v>
      </c>
      <c r="M6531" s="1607"/>
      <c r="N6531" s="1605">
        <v>726</v>
      </c>
      <c r="O6531" s="1605">
        <v>292.51</v>
      </c>
      <c r="P6531" s="1605">
        <v>415.25</v>
      </c>
      <c r="Q6531" s="1605">
        <v>18.239999999999998</v>
      </c>
      <c r="R6531" s="1605">
        <v>433.49</v>
      </c>
      <c r="S6531" s="1608"/>
    </row>
    <row r="6532" spans="2:19" s="1609" customFormat="1" ht="11.25" customHeight="1" outlineLevel="1">
      <c r="B6532" s="1602">
        <v>26553</v>
      </c>
      <c r="C6532" s="1603" t="s">
        <v>4423</v>
      </c>
      <c r="D6532" s="1603" t="s">
        <v>4440</v>
      </c>
      <c r="E6532" s="1603"/>
      <c r="F6532" s="1603"/>
      <c r="G6532" s="1603" t="s">
        <v>4439</v>
      </c>
      <c r="H6532" s="1604">
        <v>2</v>
      </c>
      <c r="I6532" s="1603"/>
      <c r="J6532" s="1603"/>
      <c r="K6532" s="1605">
        <v>59</v>
      </c>
      <c r="L6532" s="1605">
        <v>401</v>
      </c>
      <c r="M6532" s="1607"/>
      <c r="N6532" s="1605">
        <v>401</v>
      </c>
      <c r="O6532" s="1605">
        <v>160.04</v>
      </c>
      <c r="P6532" s="1605">
        <v>231</v>
      </c>
      <c r="Q6532" s="1605">
        <v>9.9600000000000009</v>
      </c>
      <c r="R6532" s="1605">
        <v>240.96</v>
      </c>
      <c r="S6532" s="1608"/>
    </row>
    <row r="6533" spans="2:19" s="1609" customFormat="1" ht="11.25" customHeight="1" outlineLevel="1">
      <c r="B6533" s="1602">
        <v>26555</v>
      </c>
      <c r="C6533" s="1603" t="s">
        <v>4423</v>
      </c>
      <c r="D6533" s="1603" t="s">
        <v>4438</v>
      </c>
      <c r="E6533" s="1603"/>
      <c r="F6533" s="1603"/>
      <c r="G6533" s="1603" t="s">
        <v>4437</v>
      </c>
      <c r="H6533" s="1604">
        <v>2</v>
      </c>
      <c r="I6533" s="1603"/>
      <c r="J6533" s="1603"/>
      <c r="K6533" s="1605">
        <v>59</v>
      </c>
      <c r="L6533" s="1606">
        <v>5381</v>
      </c>
      <c r="M6533" s="1607"/>
      <c r="N6533" s="1606">
        <v>5381</v>
      </c>
      <c r="O6533" s="1606">
        <v>2163.73</v>
      </c>
      <c r="P6533" s="1606">
        <v>3082.75</v>
      </c>
      <c r="Q6533" s="1605">
        <v>134.52000000000001</v>
      </c>
      <c r="R6533" s="1606">
        <v>3217.27</v>
      </c>
      <c r="S6533" s="1608"/>
    </row>
    <row r="6534" spans="2:19" s="1609" customFormat="1" ht="11.25" customHeight="1" outlineLevel="1">
      <c r="B6534" s="1602">
        <v>26557</v>
      </c>
      <c r="C6534" s="1603" t="s">
        <v>4423</v>
      </c>
      <c r="D6534" s="1603" t="s">
        <v>4436</v>
      </c>
      <c r="E6534" s="1603"/>
      <c r="F6534" s="1603"/>
      <c r="G6534" s="1603" t="s">
        <v>4435</v>
      </c>
      <c r="H6534" s="1604">
        <v>2</v>
      </c>
      <c r="I6534" s="1603"/>
      <c r="J6534" s="1603"/>
      <c r="K6534" s="1605">
        <v>59</v>
      </c>
      <c r="L6534" s="1606">
        <v>4803</v>
      </c>
      <c r="M6534" s="1607"/>
      <c r="N6534" s="1606">
        <v>4803</v>
      </c>
      <c r="O6534" s="1606">
        <v>1930.25</v>
      </c>
      <c r="P6534" s="1606">
        <v>2752.75</v>
      </c>
      <c r="Q6534" s="1605">
        <v>120</v>
      </c>
      <c r="R6534" s="1606">
        <v>2872.75</v>
      </c>
      <c r="S6534" s="1608"/>
    </row>
    <row r="6535" spans="2:19" s="1609" customFormat="1" ht="11.25" customHeight="1" outlineLevel="1">
      <c r="B6535" s="1602">
        <v>26561</v>
      </c>
      <c r="C6535" s="1603" t="s">
        <v>4423</v>
      </c>
      <c r="D6535" s="1603" t="s">
        <v>4434</v>
      </c>
      <c r="E6535" s="1603"/>
      <c r="F6535" s="1603"/>
      <c r="G6535" s="1603" t="s">
        <v>4433</v>
      </c>
      <c r="H6535" s="1604">
        <v>2</v>
      </c>
      <c r="I6535" s="1603"/>
      <c r="J6535" s="1603"/>
      <c r="K6535" s="1605">
        <v>59</v>
      </c>
      <c r="L6535" s="1606">
        <v>2360</v>
      </c>
      <c r="M6535" s="1607"/>
      <c r="N6535" s="1606">
        <v>2360</v>
      </c>
      <c r="O6535" s="1605">
        <v>948.08</v>
      </c>
      <c r="P6535" s="1606">
        <v>1353</v>
      </c>
      <c r="Q6535" s="1605">
        <v>58.92</v>
      </c>
      <c r="R6535" s="1606">
        <v>1411.92</v>
      </c>
      <c r="S6535" s="1608"/>
    </row>
    <row r="6536" spans="2:19" s="1609" customFormat="1" ht="11.25" customHeight="1" outlineLevel="1">
      <c r="B6536" s="1602">
        <v>26563</v>
      </c>
      <c r="C6536" s="1603" t="s">
        <v>4423</v>
      </c>
      <c r="D6536" s="1603" t="s">
        <v>4432</v>
      </c>
      <c r="E6536" s="1603"/>
      <c r="F6536" s="1603"/>
      <c r="G6536" s="1603" t="s">
        <v>4431</v>
      </c>
      <c r="H6536" s="1604">
        <v>2</v>
      </c>
      <c r="I6536" s="1603"/>
      <c r="J6536" s="1603"/>
      <c r="K6536" s="1605">
        <v>59</v>
      </c>
      <c r="L6536" s="1606">
        <v>8048</v>
      </c>
      <c r="M6536" s="1607"/>
      <c r="N6536" s="1606">
        <v>8048</v>
      </c>
      <c r="O6536" s="1606">
        <v>3235.13</v>
      </c>
      <c r="P6536" s="1606">
        <v>4611.75</v>
      </c>
      <c r="Q6536" s="1605">
        <v>201.12</v>
      </c>
      <c r="R6536" s="1606">
        <v>4812.87</v>
      </c>
      <c r="S6536" s="1608"/>
    </row>
    <row r="6537" spans="2:19" s="1609" customFormat="1" ht="11.25" customHeight="1" outlineLevel="1">
      <c r="B6537" s="1602">
        <v>26565</v>
      </c>
      <c r="C6537" s="1603" t="s">
        <v>4423</v>
      </c>
      <c r="D6537" s="1603" t="s">
        <v>4430</v>
      </c>
      <c r="E6537" s="1603"/>
      <c r="F6537" s="1603"/>
      <c r="G6537" s="1603" t="s">
        <v>4429</v>
      </c>
      <c r="H6537" s="1604">
        <v>2</v>
      </c>
      <c r="I6537" s="1603"/>
      <c r="J6537" s="1603"/>
      <c r="K6537" s="1605">
        <v>59</v>
      </c>
      <c r="L6537" s="1606">
        <v>3080</v>
      </c>
      <c r="M6537" s="1607"/>
      <c r="N6537" s="1606">
        <v>3080</v>
      </c>
      <c r="O6537" s="1606">
        <v>1237.58</v>
      </c>
      <c r="P6537" s="1606">
        <v>1765.5</v>
      </c>
      <c r="Q6537" s="1605">
        <v>76.92</v>
      </c>
      <c r="R6537" s="1606">
        <v>1842.42</v>
      </c>
      <c r="S6537" s="1608"/>
    </row>
    <row r="6538" spans="2:19" s="1717" customFormat="1" ht="11.25" customHeight="1" outlineLevel="1">
      <c r="B6538" s="1711">
        <v>26577</v>
      </c>
      <c r="C6538" s="1712" t="s">
        <v>4423</v>
      </c>
      <c r="D6538" s="1712" t="s">
        <v>4428</v>
      </c>
      <c r="E6538" s="1712"/>
      <c r="F6538" s="1712"/>
      <c r="G6538" s="1712" t="s">
        <v>4427</v>
      </c>
      <c r="H6538" s="1713">
        <v>2</v>
      </c>
      <c r="I6538" s="1712"/>
      <c r="J6538" s="1712"/>
      <c r="K6538" s="1727">
        <v>59</v>
      </c>
      <c r="L6538" s="1714">
        <v>30208</v>
      </c>
      <c r="M6538" s="1715"/>
      <c r="N6538" s="1714">
        <v>30208</v>
      </c>
      <c r="O6538" s="1714">
        <v>15757.67</v>
      </c>
      <c r="P6538" s="1714">
        <v>13846.25</v>
      </c>
      <c r="Q6538" s="1727">
        <v>604.08000000000004</v>
      </c>
      <c r="R6538" s="1714">
        <v>14450.33</v>
      </c>
      <c r="S6538" s="1716"/>
    </row>
    <row r="6539" spans="2:19" s="1609" customFormat="1" ht="11.25" customHeight="1" outlineLevel="1">
      <c r="B6539" s="1602">
        <v>26578</v>
      </c>
      <c r="C6539" s="1603" t="s">
        <v>4423</v>
      </c>
      <c r="D6539" s="1603" t="s">
        <v>4426</v>
      </c>
      <c r="E6539" s="1603"/>
      <c r="F6539" s="1603"/>
      <c r="G6539" s="1603" t="s">
        <v>4425</v>
      </c>
      <c r="H6539" s="1604">
        <v>2</v>
      </c>
      <c r="I6539" s="1603"/>
      <c r="J6539" s="1603"/>
      <c r="K6539" s="1605">
        <v>59</v>
      </c>
      <c r="L6539" s="1606">
        <v>26810</v>
      </c>
      <c r="M6539" s="1607"/>
      <c r="N6539" s="1606">
        <v>26810</v>
      </c>
      <c r="O6539" s="1606">
        <v>10780.93</v>
      </c>
      <c r="P6539" s="1606">
        <v>15358.75</v>
      </c>
      <c r="Q6539" s="1605">
        <v>670.32</v>
      </c>
      <c r="R6539" s="1606">
        <v>16029.07</v>
      </c>
      <c r="S6539" s="1608"/>
    </row>
    <row r="6540" spans="2:19" s="1609" customFormat="1" ht="11.25" customHeight="1" outlineLevel="1">
      <c r="B6540" s="1602">
        <v>26579</v>
      </c>
      <c r="C6540" s="1603" t="s">
        <v>4423</v>
      </c>
      <c r="D6540" s="1603" t="s">
        <v>4424</v>
      </c>
      <c r="E6540" s="1603"/>
      <c r="F6540" s="1603"/>
      <c r="G6540" s="1603" t="s">
        <v>3734</v>
      </c>
      <c r="H6540" s="1604">
        <v>2</v>
      </c>
      <c r="I6540" s="1603"/>
      <c r="J6540" s="1603"/>
      <c r="K6540" s="1605">
        <v>59</v>
      </c>
      <c r="L6540" s="1606">
        <v>36636</v>
      </c>
      <c r="M6540" s="1607"/>
      <c r="N6540" s="1606">
        <v>36636</v>
      </c>
      <c r="O6540" s="1606">
        <v>14729.41</v>
      </c>
      <c r="P6540" s="1606">
        <v>20990.75</v>
      </c>
      <c r="Q6540" s="1605">
        <v>915.84</v>
      </c>
      <c r="R6540" s="1606">
        <v>21906.59</v>
      </c>
      <c r="S6540" s="1608"/>
    </row>
    <row r="6541" spans="2:19" s="1609" customFormat="1" ht="11.25" customHeight="1" outlineLevel="1">
      <c r="B6541" s="1602">
        <v>26588</v>
      </c>
      <c r="C6541" s="1603" t="s">
        <v>4423</v>
      </c>
      <c r="D6541" s="1603" t="s">
        <v>4422</v>
      </c>
      <c r="E6541" s="1603"/>
      <c r="F6541" s="1603"/>
      <c r="G6541" s="1603" t="s">
        <v>4421</v>
      </c>
      <c r="H6541" s="1604">
        <v>2</v>
      </c>
      <c r="I6541" s="1603"/>
      <c r="J6541" s="1603"/>
      <c r="K6541" s="1605">
        <v>790</v>
      </c>
      <c r="L6541" s="1606">
        <v>111000</v>
      </c>
      <c r="M6541" s="1607"/>
      <c r="N6541" s="1606">
        <v>111000</v>
      </c>
      <c r="O6541" s="1606">
        <v>57905</v>
      </c>
      <c r="P6541" s="1606">
        <v>50875</v>
      </c>
      <c r="Q6541" s="1606">
        <v>2220</v>
      </c>
      <c r="R6541" s="1606">
        <v>53095</v>
      </c>
      <c r="S6541" s="1608"/>
    </row>
    <row r="6542" spans="2:19" s="1609" customFormat="1" ht="11.25" customHeight="1" outlineLevel="1">
      <c r="B6542" s="1602">
        <v>26756</v>
      </c>
      <c r="C6542" s="1603" t="s">
        <v>4321</v>
      </c>
      <c r="D6542" s="1603" t="s">
        <v>4420</v>
      </c>
      <c r="E6542" s="1603"/>
      <c r="F6542" s="1603"/>
      <c r="G6542" s="1603" t="s">
        <v>4419</v>
      </c>
      <c r="H6542" s="1604">
        <v>2</v>
      </c>
      <c r="I6542" s="1603"/>
      <c r="J6542" s="1603"/>
      <c r="K6542" s="1605">
        <v>31</v>
      </c>
      <c r="L6542" s="1606">
        <v>1946</v>
      </c>
      <c r="M6542" s="1607"/>
      <c r="N6542" s="1606">
        <v>1946</v>
      </c>
      <c r="O6542" s="1605">
        <v>787.58</v>
      </c>
      <c r="P6542" s="1606">
        <v>1109.7</v>
      </c>
      <c r="Q6542" s="1605">
        <v>48.72</v>
      </c>
      <c r="R6542" s="1606">
        <v>1158.42</v>
      </c>
      <c r="S6542" s="1608"/>
    </row>
    <row r="6543" spans="2:19" s="1609" customFormat="1" ht="11.25" customHeight="1" outlineLevel="1">
      <c r="B6543" s="1602">
        <v>26757</v>
      </c>
      <c r="C6543" s="1603" t="s">
        <v>4321</v>
      </c>
      <c r="D6543" s="1603" t="s">
        <v>4418</v>
      </c>
      <c r="E6543" s="1603"/>
      <c r="F6543" s="1603"/>
      <c r="G6543" s="1603" t="s">
        <v>4417</v>
      </c>
      <c r="H6543" s="1604">
        <v>2</v>
      </c>
      <c r="I6543" s="1603"/>
      <c r="J6543" s="1603"/>
      <c r="K6543" s="1605">
        <v>31</v>
      </c>
      <c r="L6543" s="1606">
        <v>3722</v>
      </c>
      <c r="M6543" s="1607"/>
      <c r="N6543" s="1606">
        <v>3722</v>
      </c>
      <c r="O6543" s="1606">
        <v>1505.38</v>
      </c>
      <c r="P6543" s="1606">
        <v>2123.5</v>
      </c>
      <c r="Q6543" s="1605">
        <v>93.12</v>
      </c>
      <c r="R6543" s="1606">
        <v>2216.62</v>
      </c>
      <c r="S6543" s="1608"/>
    </row>
    <row r="6544" spans="2:19" s="1609" customFormat="1" ht="11.25" customHeight="1" outlineLevel="1">
      <c r="B6544" s="1602">
        <v>26758</v>
      </c>
      <c r="C6544" s="1603" t="s">
        <v>4321</v>
      </c>
      <c r="D6544" s="1603" t="s">
        <v>4416</v>
      </c>
      <c r="E6544" s="1603"/>
      <c r="F6544" s="1603"/>
      <c r="G6544" s="1603" t="s">
        <v>4415</v>
      </c>
      <c r="H6544" s="1604">
        <v>2</v>
      </c>
      <c r="I6544" s="1603"/>
      <c r="J6544" s="1603"/>
      <c r="K6544" s="1605">
        <v>31</v>
      </c>
      <c r="L6544" s="1606">
        <v>2903</v>
      </c>
      <c r="M6544" s="1607"/>
      <c r="N6544" s="1606">
        <v>2903</v>
      </c>
      <c r="O6544" s="1606">
        <v>1172.73</v>
      </c>
      <c r="P6544" s="1606">
        <v>1657.7</v>
      </c>
      <c r="Q6544" s="1605">
        <v>72.569999999999993</v>
      </c>
      <c r="R6544" s="1606">
        <v>1730.27</v>
      </c>
      <c r="S6544" s="1608"/>
    </row>
    <row r="6545" spans="2:19" s="1609" customFormat="1" ht="11.25" customHeight="1" outlineLevel="1">
      <c r="B6545" s="1602">
        <v>26759</v>
      </c>
      <c r="C6545" s="1603" t="s">
        <v>4321</v>
      </c>
      <c r="D6545" s="1603" t="s">
        <v>4414</v>
      </c>
      <c r="E6545" s="1603"/>
      <c r="F6545" s="1603"/>
      <c r="G6545" s="1603" t="s">
        <v>4413</v>
      </c>
      <c r="H6545" s="1604">
        <v>2</v>
      </c>
      <c r="I6545" s="1603"/>
      <c r="J6545" s="1603"/>
      <c r="K6545" s="1605">
        <v>31</v>
      </c>
      <c r="L6545" s="1606">
        <v>3027</v>
      </c>
      <c r="M6545" s="1607"/>
      <c r="N6545" s="1606">
        <v>3027</v>
      </c>
      <c r="O6545" s="1606">
        <v>1222.46</v>
      </c>
      <c r="P6545" s="1606">
        <v>1728.94</v>
      </c>
      <c r="Q6545" s="1605">
        <v>75.599999999999994</v>
      </c>
      <c r="R6545" s="1606">
        <v>1804.54</v>
      </c>
      <c r="S6545" s="1608"/>
    </row>
    <row r="6546" spans="2:19" s="1609" customFormat="1" ht="11.25" customHeight="1" outlineLevel="1">
      <c r="B6546" s="1602">
        <v>26760</v>
      </c>
      <c r="C6546" s="1603" t="s">
        <v>4321</v>
      </c>
      <c r="D6546" s="1603" t="s">
        <v>4412</v>
      </c>
      <c r="E6546" s="1603"/>
      <c r="F6546" s="1603"/>
      <c r="G6546" s="1603" t="s">
        <v>4411</v>
      </c>
      <c r="H6546" s="1604">
        <v>2</v>
      </c>
      <c r="I6546" s="1603"/>
      <c r="J6546" s="1603"/>
      <c r="K6546" s="1605">
        <v>31</v>
      </c>
      <c r="L6546" s="1606">
        <v>2285</v>
      </c>
      <c r="M6546" s="1607"/>
      <c r="N6546" s="1606">
        <v>2285</v>
      </c>
      <c r="O6546" s="1605">
        <v>923.64</v>
      </c>
      <c r="P6546" s="1606">
        <v>1304.24</v>
      </c>
      <c r="Q6546" s="1605">
        <v>57.12</v>
      </c>
      <c r="R6546" s="1606">
        <v>1361.36</v>
      </c>
      <c r="S6546" s="1608"/>
    </row>
    <row r="6547" spans="2:19" s="1609" customFormat="1" ht="11.25" customHeight="1" outlineLevel="1">
      <c r="B6547" s="1602">
        <v>26761</v>
      </c>
      <c r="C6547" s="1603" t="s">
        <v>4321</v>
      </c>
      <c r="D6547" s="1603" t="s">
        <v>4410</v>
      </c>
      <c r="E6547" s="1603"/>
      <c r="F6547" s="1603"/>
      <c r="G6547" s="1603" t="s">
        <v>4409</v>
      </c>
      <c r="H6547" s="1604">
        <v>2</v>
      </c>
      <c r="I6547" s="1603"/>
      <c r="J6547" s="1603"/>
      <c r="K6547" s="1605">
        <v>31</v>
      </c>
      <c r="L6547" s="1606">
        <v>1050</v>
      </c>
      <c r="M6547" s="1607"/>
      <c r="N6547" s="1606">
        <v>1050</v>
      </c>
      <c r="O6547" s="1605">
        <v>423.78</v>
      </c>
      <c r="P6547" s="1605">
        <v>600.05999999999995</v>
      </c>
      <c r="Q6547" s="1605">
        <v>26.16</v>
      </c>
      <c r="R6547" s="1605">
        <v>626.22</v>
      </c>
      <c r="S6547" s="1608"/>
    </row>
    <row r="6548" spans="2:19" s="1609" customFormat="1" ht="11.25" customHeight="1" outlineLevel="1">
      <c r="B6548" s="1602">
        <v>26762</v>
      </c>
      <c r="C6548" s="1603" t="s">
        <v>4321</v>
      </c>
      <c r="D6548" s="1603" t="s">
        <v>4408</v>
      </c>
      <c r="E6548" s="1603"/>
      <c r="F6548" s="1603"/>
      <c r="G6548" s="1603" t="s">
        <v>4407</v>
      </c>
      <c r="H6548" s="1604">
        <v>2</v>
      </c>
      <c r="I6548" s="1603"/>
      <c r="J6548" s="1603"/>
      <c r="K6548" s="1605">
        <v>31</v>
      </c>
      <c r="L6548" s="1605">
        <v>834</v>
      </c>
      <c r="M6548" s="1607"/>
      <c r="N6548" s="1605">
        <v>834</v>
      </c>
      <c r="O6548" s="1605">
        <v>336.48</v>
      </c>
      <c r="P6548" s="1605">
        <v>476.76</v>
      </c>
      <c r="Q6548" s="1605">
        <v>20.76</v>
      </c>
      <c r="R6548" s="1605">
        <v>497.52</v>
      </c>
      <c r="S6548" s="1608"/>
    </row>
    <row r="6549" spans="2:19" s="1609" customFormat="1" ht="11.25" customHeight="1" outlineLevel="1">
      <c r="B6549" s="1602">
        <v>26763</v>
      </c>
      <c r="C6549" s="1603" t="s">
        <v>4321</v>
      </c>
      <c r="D6549" s="1603" t="s">
        <v>4406</v>
      </c>
      <c r="E6549" s="1603"/>
      <c r="F6549" s="1603"/>
      <c r="G6549" s="1603" t="s">
        <v>4405</v>
      </c>
      <c r="H6549" s="1604">
        <v>2</v>
      </c>
      <c r="I6549" s="1603"/>
      <c r="J6549" s="1603"/>
      <c r="K6549" s="1605">
        <v>27</v>
      </c>
      <c r="L6549" s="1606">
        <v>2294</v>
      </c>
      <c r="M6549" s="1607"/>
      <c r="N6549" s="1606">
        <v>2294</v>
      </c>
      <c r="O6549" s="1605">
        <v>926.92</v>
      </c>
      <c r="P6549" s="1606">
        <v>1309.72</v>
      </c>
      <c r="Q6549" s="1605">
        <v>57.36</v>
      </c>
      <c r="R6549" s="1606">
        <v>1367.08</v>
      </c>
      <c r="S6549" s="1608"/>
    </row>
    <row r="6550" spans="2:19" s="1609" customFormat="1" ht="11.25" customHeight="1" outlineLevel="1">
      <c r="B6550" s="1602">
        <v>26764</v>
      </c>
      <c r="C6550" s="1603" t="s">
        <v>4321</v>
      </c>
      <c r="D6550" s="1603" t="s">
        <v>4404</v>
      </c>
      <c r="E6550" s="1603"/>
      <c r="F6550" s="1603"/>
      <c r="G6550" s="1603" t="s">
        <v>4403</v>
      </c>
      <c r="H6550" s="1604">
        <v>2</v>
      </c>
      <c r="I6550" s="1603"/>
      <c r="J6550" s="1603"/>
      <c r="K6550" s="1605">
        <v>31</v>
      </c>
      <c r="L6550" s="1606">
        <v>1081</v>
      </c>
      <c r="M6550" s="1607"/>
      <c r="N6550" s="1606">
        <v>1081</v>
      </c>
      <c r="O6550" s="1605">
        <v>437.47</v>
      </c>
      <c r="P6550" s="1605">
        <v>616.5</v>
      </c>
      <c r="Q6550" s="1605">
        <v>27.03</v>
      </c>
      <c r="R6550" s="1605">
        <v>643.53</v>
      </c>
      <c r="S6550" s="1608"/>
    </row>
    <row r="6551" spans="2:19" s="1609" customFormat="1" ht="11.25" customHeight="1" outlineLevel="1">
      <c r="B6551" s="1602">
        <v>26765</v>
      </c>
      <c r="C6551" s="1603" t="s">
        <v>4321</v>
      </c>
      <c r="D6551" s="1603" t="s">
        <v>4402</v>
      </c>
      <c r="E6551" s="1603"/>
      <c r="F6551" s="1603"/>
      <c r="G6551" s="1603" t="s">
        <v>4401</v>
      </c>
      <c r="H6551" s="1604">
        <v>2</v>
      </c>
      <c r="I6551" s="1603"/>
      <c r="J6551" s="1603"/>
      <c r="K6551" s="1605">
        <v>31</v>
      </c>
      <c r="L6551" s="1606">
        <v>1544</v>
      </c>
      <c r="M6551" s="1607"/>
      <c r="N6551" s="1606">
        <v>1544</v>
      </c>
      <c r="O6551" s="1605">
        <v>623.20000000000005</v>
      </c>
      <c r="P6551" s="1605">
        <v>882.28</v>
      </c>
      <c r="Q6551" s="1605">
        <v>38.520000000000003</v>
      </c>
      <c r="R6551" s="1605">
        <v>920.8</v>
      </c>
      <c r="S6551" s="1608"/>
    </row>
    <row r="6552" spans="2:19" s="1609" customFormat="1" ht="11.25" customHeight="1" outlineLevel="1">
      <c r="B6552" s="1602">
        <v>26766</v>
      </c>
      <c r="C6552" s="1603" t="s">
        <v>4321</v>
      </c>
      <c r="D6552" s="1603" t="s">
        <v>4400</v>
      </c>
      <c r="E6552" s="1603"/>
      <c r="F6552" s="1603"/>
      <c r="G6552" s="1603" t="s">
        <v>4399</v>
      </c>
      <c r="H6552" s="1604">
        <v>2</v>
      </c>
      <c r="I6552" s="1603"/>
      <c r="J6552" s="1603"/>
      <c r="K6552" s="1605">
        <v>31</v>
      </c>
      <c r="L6552" s="1606">
        <v>1081</v>
      </c>
      <c r="M6552" s="1607"/>
      <c r="N6552" s="1606">
        <v>1081</v>
      </c>
      <c r="O6552" s="1605">
        <v>437.47</v>
      </c>
      <c r="P6552" s="1605">
        <v>616.5</v>
      </c>
      <c r="Q6552" s="1605">
        <v>27.03</v>
      </c>
      <c r="R6552" s="1605">
        <v>643.53</v>
      </c>
      <c r="S6552" s="1608"/>
    </row>
    <row r="6553" spans="2:19" s="1609" customFormat="1" ht="11.25" customHeight="1" outlineLevel="1">
      <c r="B6553" s="1602">
        <v>26767</v>
      </c>
      <c r="C6553" s="1603" t="s">
        <v>4321</v>
      </c>
      <c r="D6553" s="1603" t="s">
        <v>4398</v>
      </c>
      <c r="E6553" s="1603"/>
      <c r="F6553" s="1603"/>
      <c r="G6553" s="1603" t="s">
        <v>4397</v>
      </c>
      <c r="H6553" s="1604">
        <v>2</v>
      </c>
      <c r="I6553" s="1603"/>
      <c r="J6553" s="1603"/>
      <c r="K6553" s="1605">
        <v>31</v>
      </c>
      <c r="L6553" s="1606">
        <v>2687</v>
      </c>
      <c r="M6553" s="1607"/>
      <c r="N6553" s="1606">
        <v>2687</v>
      </c>
      <c r="O6553" s="1606">
        <v>1085.43</v>
      </c>
      <c r="P6553" s="1606">
        <v>1534.4</v>
      </c>
      <c r="Q6553" s="1605">
        <v>67.17</v>
      </c>
      <c r="R6553" s="1606">
        <v>1601.57</v>
      </c>
      <c r="S6553" s="1608"/>
    </row>
    <row r="6554" spans="2:19" s="1609" customFormat="1" ht="11.25" customHeight="1" outlineLevel="1">
      <c r="B6554" s="1602">
        <v>26768</v>
      </c>
      <c r="C6554" s="1603" t="s">
        <v>4321</v>
      </c>
      <c r="D6554" s="1603" t="s">
        <v>4396</v>
      </c>
      <c r="E6554" s="1603"/>
      <c r="F6554" s="1603"/>
      <c r="G6554" s="1603" t="s">
        <v>4395</v>
      </c>
      <c r="H6554" s="1604">
        <v>2</v>
      </c>
      <c r="I6554" s="1603"/>
      <c r="J6554" s="1603"/>
      <c r="K6554" s="1605">
        <v>31</v>
      </c>
      <c r="L6554" s="1606">
        <v>1915</v>
      </c>
      <c r="M6554" s="1607"/>
      <c r="N6554" s="1606">
        <v>1915</v>
      </c>
      <c r="O6554" s="1605">
        <v>773.86</v>
      </c>
      <c r="P6554" s="1606">
        <v>1093.26</v>
      </c>
      <c r="Q6554" s="1605">
        <v>47.88</v>
      </c>
      <c r="R6554" s="1606">
        <v>1141.1400000000001</v>
      </c>
      <c r="S6554" s="1608"/>
    </row>
    <row r="6555" spans="2:19" s="1609" customFormat="1" ht="11.25" customHeight="1" outlineLevel="1">
      <c r="B6555" s="1602">
        <v>26769</v>
      </c>
      <c r="C6555" s="1603" t="s">
        <v>4321</v>
      </c>
      <c r="D6555" s="1603" t="s">
        <v>4394</v>
      </c>
      <c r="E6555" s="1603"/>
      <c r="F6555" s="1603"/>
      <c r="G6555" s="1603" t="s">
        <v>4392</v>
      </c>
      <c r="H6555" s="1604">
        <v>2</v>
      </c>
      <c r="I6555" s="1603"/>
      <c r="J6555" s="1603"/>
      <c r="K6555" s="1605">
        <v>32</v>
      </c>
      <c r="L6555" s="1605">
        <v>965</v>
      </c>
      <c r="M6555" s="1607"/>
      <c r="N6555" s="1605">
        <v>965</v>
      </c>
      <c r="O6555" s="1605">
        <v>390.14</v>
      </c>
      <c r="P6555" s="1605">
        <v>550.74</v>
      </c>
      <c r="Q6555" s="1605">
        <v>24.12</v>
      </c>
      <c r="R6555" s="1605">
        <v>574.86</v>
      </c>
      <c r="S6555" s="1608"/>
    </row>
    <row r="6556" spans="2:19" s="1609" customFormat="1" ht="11.25" customHeight="1" outlineLevel="1">
      <c r="B6556" s="1602">
        <v>26770</v>
      </c>
      <c r="C6556" s="1603" t="s">
        <v>4321</v>
      </c>
      <c r="D6556" s="1603" t="s">
        <v>4393</v>
      </c>
      <c r="E6556" s="1603"/>
      <c r="F6556" s="1603"/>
      <c r="G6556" s="1603" t="s">
        <v>4392</v>
      </c>
      <c r="H6556" s="1604">
        <v>2</v>
      </c>
      <c r="I6556" s="1603"/>
      <c r="J6556" s="1603"/>
      <c r="K6556" s="1605">
        <v>32</v>
      </c>
      <c r="L6556" s="1605">
        <v>965</v>
      </c>
      <c r="M6556" s="1607"/>
      <c r="N6556" s="1605">
        <v>965</v>
      </c>
      <c r="O6556" s="1605">
        <v>390.14</v>
      </c>
      <c r="P6556" s="1605">
        <v>550.74</v>
      </c>
      <c r="Q6556" s="1605">
        <v>24.12</v>
      </c>
      <c r="R6556" s="1605">
        <v>574.86</v>
      </c>
      <c r="S6556" s="1608"/>
    </row>
    <row r="6557" spans="2:19" s="1609" customFormat="1" ht="11.25" customHeight="1" outlineLevel="1">
      <c r="B6557" s="1602">
        <v>26771</v>
      </c>
      <c r="C6557" s="1603" t="s">
        <v>4321</v>
      </c>
      <c r="D6557" s="1603" t="s">
        <v>4391</v>
      </c>
      <c r="E6557" s="1603"/>
      <c r="F6557" s="1603"/>
      <c r="G6557" s="1603" t="s">
        <v>4390</v>
      </c>
      <c r="H6557" s="1604">
        <v>2</v>
      </c>
      <c r="I6557" s="1603"/>
      <c r="J6557" s="1603"/>
      <c r="K6557" s="1605">
        <v>31</v>
      </c>
      <c r="L6557" s="1606">
        <v>3088</v>
      </c>
      <c r="M6557" s="1607"/>
      <c r="N6557" s="1606">
        <v>3088</v>
      </c>
      <c r="O6557" s="1606">
        <v>1248.9000000000001</v>
      </c>
      <c r="P6557" s="1606">
        <v>1761.82</v>
      </c>
      <c r="Q6557" s="1605">
        <v>77.28</v>
      </c>
      <c r="R6557" s="1606">
        <v>1839.1</v>
      </c>
      <c r="S6557" s="1608"/>
    </row>
    <row r="6558" spans="2:19" s="1609" customFormat="1" ht="11.25" customHeight="1" outlineLevel="1">
      <c r="B6558" s="1602">
        <v>26772</v>
      </c>
      <c r="C6558" s="1603" t="s">
        <v>4321</v>
      </c>
      <c r="D6558" s="1603" t="s">
        <v>4389</v>
      </c>
      <c r="E6558" s="1603"/>
      <c r="F6558" s="1603"/>
      <c r="G6558" s="1603" t="s">
        <v>4388</v>
      </c>
      <c r="H6558" s="1604">
        <v>2</v>
      </c>
      <c r="I6558" s="1603"/>
      <c r="J6558" s="1603"/>
      <c r="K6558" s="1605">
        <v>31</v>
      </c>
      <c r="L6558" s="1606">
        <v>3101</v>
      </c>
      <c r="M6558" s="1607"/>
      <c r="N6558" s="1606">
        <v>3101</v>
      </c>
      <c r="O6558" s="1606">
        <v>1253.44</v>
      </c>
      <c r="P6558" s="1606">
        <v>1770.04</v>
      </c>
      <c r="Q6558" s="1605">
        <v>77.52</v>
      </c>
      <c r="R6558" s="1606">
        <v>1847.56</v>
      </c>
      <c r="S6558" s="1608"/>
    </row>
    <row r="6559" spans="2:19" s="1609" customFormat="1" ht="11.25" customHeight="1" outlineLevel="1">
      <c r="B6559" s="1602">
        <v>26773</v>
      </c>
      <c r="C6559" s="1603" t="s">
        <v>4321</v>
      </c>
      <c r="D6559" s="1603" t="s">
        <v>4387</v>
      </c>
      <c r="E6559" s="1603"/>
      <c r="F6559" s="1603"/>
      <c r="G6559" s="1603" t="s">
        <v>4386</v>
      </c>
      <c r="H6559" s="1604">
        <v>2</v>
      </c>
      <c r="I6559" s="1603"/>
      <c r="J6559" s="1603"/>
      <c r="K6559" s="1605">
        <v>31</v>
      </c>
      <c r="L6559" s="1606">
        <v>7475</v>
      </c>
      <c r="M6559" s="1607"/>
      <c r="N6559" s="1606">
        <v>7475</v>
      </c>
      <c r="O6559" s="1606">
        <v>3021.86</v>
      </c>
      <c r="P6559" s="1606">
        <v>4266.18</v>
      </c>
      <c r="Q6559" s="1605">
        <v>186.96</v>
      </c>
      <c r="R6559" s="1606">
        <v>4453.1400000000003</v>
      </c>
      <c r="S6559" s="1608"/>
    </row>
    <row r="6560" spans="2:19" s="1609" customFormat="1" ht="11.25" customHeight="1" outlineLevel="1">
      <c r="B6560" s="1602">
        <v>26774</v>
      </c>
      <c r="C6560" s="1603" t="s">
        <v>4321</v>
      </c>
      <c r="D6560" s="1603" t="s">
        <v>4385</v>
      </c>
      <c r="E6560" s="1603"/>
      <c r="F6560" s="1603"/>
      <c r="G6560" s="1603" t="s">
        <v>4384</v>
      </c>
      <c r="H6560" s="1604">
        <v>2</v>
      </c>
      <c r="I6560" s="1603"/>
      <c r="J6560" s="1603"/>
      <c r="K6560" s="1605">
        <v>31</v>
      </c>
      <c r="L6560" s="1605">
        <v>556</v>
      </c>
      <c r="M6560" s="1607"/>
      <c r="N6560" s="1605">
        <v>556</v>
      </c>
      <c r="O6560" s="1605">
        <v>224.24</v>
      </c>
      <c r="P6560" s="1605">
        <v>317.83999999999997</v>
      </c>
      <c r="Q6560" s="1605">
        <v>13.92</v>
      </c>
      <c r="R6560" s="1605">
        <v>331.76</v>
      </c>
      <c r="S6560" s="1608"/>
    </row>
    <row r="6561" spans="2:19" s="1609" customFormat="1" ht="11.25" customHeight="1" outlineLevel="1">
      <c r="B6561" s="1602">
        <v>26775</v>
      </c>
      <c r="C6561" s="1603" t="s">
        <v>4321</v>
      </c>
      <c r="D6561" s="1603" t="s">
        <v>4383</v>
      </c>
      <c r="E6561" s="1603"/>
      <c r="F6561" s="1603"/>
      <c r="G6561" s="1603" t="s">
        <v>4382</v>
      </c>
      <c r="H6561" s="1604">
        <v>2</v>
      </c>
      <c r="I6561" s="1603"/>
      <c r="J6561" s="1603"/>
      <c r="K6561" s="1605">
        <v>31</v>
      </c>
      <c r="L6561" s="1606">
        <v>8031</v>
      </c>
      <c r="M6561" s="1607"/>
      <c r="N6561" s="1606">
        <v>8031</v>
      </c>
      <c r="O6561" s="1606">
        <v>3246.22</v>
      </c>
      <c r="P6561" s="1606">
        <v>4584.0200000000004</v>
      </c>
      <c r="Q6561" s="1605">
        <v>200.76</v>
      </c>
      <c r="R6561" s="1606">
        <v>4784.78</v>
      </c>
      <c r="S6561" s="1608"/>
    </row>
    <row r="6562" spans="2:19" s="1609" customFormat="1" ht="11.25" customHeight="1" outlineLevel="1">
      <c r="B6562" s="1602">
        <v>26776</v>
      </c>
      <c r="C6562" s="1603" t="s">
        <v>4321</v>
      </c>
      <c r="D6562" s="1603" t="s">
        <v>4381</v>
      </c>
      <c r="E6562" s="1603"/>
      <c r="F6562" s="1603"/>
      <c r="G6562" s="1603" t="s">
        <v>4380</v>
      </c>
      <c r="H6562" s="1604">
        <v>2</v>
      </c>
      <c r="I6562" s="1603"/>
      <c r="J6562" s="1603"/>
      <c r="K6562" s="1605">
        <v>31</v>
      </c>
      <c r="L6562" s="1606">
        <v>2162</v>
      </c>
      <c r="M6562" s="1607"/>
      <c r="N6562" s="1606">
        <v>2162</v>
      </c>
      <c r="O6562" s="1605">
        <v>874.88</v>
      </c>
      <c r="P6562" s="1606">
        <v>1233</v>
      </c>
      <c r="Q6562" s="1605">
        <v>54.12</v>
      </c>
      <c r="R6562" s="1606">
        <v>1287.1199999999999</v>
      </c>
      <c r="S6562" s="1608"/>
    </row>
    <row r="6563" spans="2:19" s="1609" customFormat="1" ht="11.25" customHeight="1" outlineLevel="1">
      <c r="B6563" s="1602">
        <v>26778</v>
      </c>
      <c r="C6563" s="1603" t="s">
        <v>4321</v>
      </c>
      <c r="D6563" s="1603" t="s">
        <v>4379</v>
      </c>
      <c r="E6563" s="1603"/>
      <c r="F6563" s="1603"/>
      <c r="G6563" s="1603" t="s">
        <v>4378</v>
      </c>
      <c r="H6563" s="1604">
        <v>2</v>
      </c>
      <c r="I6563" s="1603"/>
      <c r="J6563" s="1603"/>
      <c r="K6563" s="1605">
        <v>31</v>
      </c>
      <c r="L6563" s="1606">
        <v>2563</v>
      </c>
      <c r="M6563" s="1607"/>
      <c r="N6563" s="1606">
        <v>2563</v>
      </c>
      <c r="O6563" s="1606">
        <v>1035.76</v>
      </c>
      <c r="P6563" s="1606">
        <v>1463.16</v>
      </c>
      <c r="Q6563" s="1605">
        <v>64.08</v>
      </c>
      <c r="R6563" s="1606">
        <v>1527.24</v>
      </c>
      <c r="S6563" s="1608"/>
    </row>
    <row r="6564" spans="2:19" s="1609" customFormat="1" ht="11.25" customHeight="1" outlineLevel="1">
      <c r="B6564" s="1602">
        <v>26779</v>
      </c>
      <c r="C6564" s="1603" t="s">
        <v>4321</v>
      </c>
      <c r="D6564" s="1603" t="s">
        <v>4377</v>
      </c>
      <c r="E6564" s="1603"/>
      <c r="F6564" s="1603"/>
      <c r="G6564" s="1603" t="s">
        <v>4376</v>
      </c>
      <c r="H6564" s="1604">
        <v>2</v>
      </c>
      <c r="I6564" s="1603"/>
      <c r="J6564" s="1603"/>
      <c r="K6564" s="1605">
        <v>31</v>
      </c>
      <c r="L6564" s="1606">
        <v>1976</v>
      </c>
      <c r="M6564" s="1607"/>
      <c r="N6564" s="1606">
        <v>1976</v>
      </c>
      <c r="O6564" s="1605">
        <v>797.8</v>
      </c>
      <c r="P6564" s="1606">
        <v>1128.8800000000001</v>
      </c>
      <c r="Q6564" s="1605">
        <v>49.32</v>
      </c>
      <c r="R6564" s="1606">
        <v>1178.2</v>
      </c>
      <c r="S6564" s="1608"/>
    </row>
    <row r="6565" spans="2:19" s="1609" customFormat="1" ht="11.25" customHeight="1" outlineLevel="1">
      <c r="B6565" s="1602">
        <v>26780</v>
      </c>
      <c r="C6565" s="1603" t="s">
        <v>4321</v>
      </c>
      <c r="D6565" s="1603" t="s">
        <v>4375</v>
      </c>
      <c r="E6565" s="1603"/>
      <c r="F6565" s="1603"/>
      <c r="G6565" s="1603" t="s">
        <v>4374</v>
      </c>
      <c r="H6565" s="1604">
        <v>2</v>
      </c>
      <c r="I6565" s="1603"/>
      <c r="J6565" s="1603"/>
      <c r="K6565" s="1605">
        <v>31</v>
      </c>
      <c r="L6565" s="1606">
        <v>2378</v>
      </c>
      <c r="M6565" s="1607"/>
      <c r="N6565" s="1606">
        <v>2378</v>
      </c>
      <c r="O6565" s="1605">
        <v>962.18</v>
      </c>
      <c r="P6565" s="1606">
        <v>1356.3</v>
      </c>
      <c r="Q6565" s="1605">
        <v>59.52</v>
      </c>
      <c r="R6565" s="1606">
        <v>1415.82</v>
      </c>
      <c r="S6565" s="1608"/>
    </row>
    <row r="6566" spans="2:19" s="1609" customFormat="1" ht="11.25" customHeight="1" outlineLevel="1">
      <c r="B6566" s="1602">
        <v>26782</v>
      </c>
      <c r="C6566" s="1603" t="s">
        <v>4321</v>
      </c>
      <c r="D6566" s="1603" t="s">
        <v>4373</v>
      </c>
      <c r="E6566" s="1603"/>
      <c r="F6566" s="1603"/>
      <c r="G6566" s="1603" t="s">
        <v>4372</v>
      </c>
      <c r="H6566" s="1604">
        <v>2</v>
      </c>
      <c r="I6566" s="1603"/>
      <c r="J6566" s="1603"/>
      <c r="K6566" s="1605">
        <v>31</v>
      </c>
      <c r="L6566" s="1606">
        <v>2563</v>
      </c>
      <c r="M6566" s="1607"/>
      <c r="N6566" s="1606">
        <v>2563</v>
      </c>
      <c r="O6566" s="1606">
        <v>1035.76</v>
      </c>
      <c r="P6566" s="1606">
        <v>1463.16</v>
      </c>
      <c r="Q6566" s="1605">
        <v>64.08</v>
      </c>
      <c r="R6566" s="1606">
        <v>1527.24</v>
      </c>
      <c r="S6566" s="1608"/>
    </row>
    <row r="6567" spans="2:19" s="1609" customFormat="1" ht="11.25" customHeight="1" outlineLevel="1">
      <c r="B6567" s="1602">
        <v>26783</v>
      </c>
      <c r="C6567" s="1603" t="s">
        <v>4321</v>
      </c>
      <c r="D6567" s="1603" t="s">
        <v>4371</v>
      </c>
      <c r="E6567" s="1603"/>
      <c r="F6567" s="1603"/>
      <c r="G6567" s="1603" t="s">
        <v>4370</v>
      </c>
      <c r="H6567" s="1604">
        <v>2</v>
      </c>
      <c r="I6567" s="1603"/>
      <c r="J6567" s="1603"/>
      <c r="K6567" s="1605">
        <v>31</v>
      </c>
      <c r="L6567" s="1606">
        <v>2841</v>
      </c>
      <c r="M6567" s="1607"/>
      <c r="N6567" s="1606">
        <v>2841</v>
      </c>
      <c r="O6567" s="1606">
        <v>1147.8800000000001</v>
      </c>
      <c r="P6567" s="1606">
        <v>1622.08</v>
      </c>
      <c r="Q6567" s="1605">
        <v>71.040000000000006</v>
      </c>
      <c r="R6567" s="1606">
        <v>1693.12</v>
      </c>
      <c r="S6567" s="1608"/>
    </row>
    <row r="6568" spans="2:19" s="1609" customFormat="1" ht="11.25" customHeight="1" outlineLevel="1">
      <c r="B6568" s="1602">
        <v>26784</v>
      </c>
      <c r="C6568" s="1603" t="s">
        <v>4321</v>
      </c>
      <c r="D6568" s="1603" t="s">
        <v>4369</v>
      </c>
      <c r="E6568" s="1603"/>
      <c r="F6568" s="1603"/>
      <c r="G6568" s="1603" t="s">
        <v>4368</v>
      </c>
      <c r="H6568" s="1604">
        <v>2</v>
      </c>
      <c r="I6568" s="1603"/>
      <c r="J6568" s="1603"/>
      <c r="K6568" s="1605">
        <v>31</v>
      </c>
      <c r="L6568" s="1605">
        <v>767</v>
      </c>
      <c r="M6568" s="1607"/>
      <c r="N6568" s="1605">
        <v>767</v>
      </c>
      <c r="O6568" s="1605">
        <v>309.43</v>
      </c>
      <c r="P6568" s="1605">
        <v>438.4</v>
      </c>
      <c r="Q6568" s="1605">
        <v>19.170000000000002</v>
      </c>
      <c r="R6568" s="1605">
        <v>457.57</v>
      </c>
      <c r="S6568" s="1608"/>
    </row>
    <row r="6569" spans="2:19" s="1609" customFormat="1" ht="11.25" customHeight="1" outlineLevel="1">
      <c r="B6569" s="1602">
        <v>26785</v>
      </c>
      <c r="C6569" s="1603" t="s">
        <v>4321</v>
      </c>
      <c r="D6569" s="1603" t="s">
        <v>4367</v>
      </c>
      <c r="E6569" s="1603"/>
      <c r="F6569" s="1603"/>
      <c r="G6569" s="1603" t="s">
        <v>4366</v>
      </c>
      <c r="H6569" s="1604">
        <v>2</v>
      </c>
      <c r="I6569" s="1603"/>
      <c r="J6569" s="1603"/>
      <c r="K6569" s="1605">
        <v>31</v>
      </c>
      <c r="L6569" s="1606">
        <v>1080</v>
      </c>
      <c r="M6569" s="1607"/>
      <c r="N6569" s="1606">
        <v>1080</v>
      </c>
      <c r="O6569" s="1605">
        <v>436.5</v>
      </c>
      <c r="P6569" s="1605">
        <v>616.5</v>
      </c>
      <c r="Q6569" s="1605">
        <v>27</v>
      </c>
      <c r="R6569" s="1605">
        <v>643.5</v>
      </c>
      <c r="S6569" s="1608"/>
    </row>
    <row r="6570" spans="2:19" s="1609" customFormat="1" ht="11.25" customHeight="1" outlineLevel="1">
      <c r="B6570" s="1602">
        <v>26786</v>
      </c>
      <c r="C6570" s="1603" t="s">
        <v>4321</v>
      </c>
      <c r="D6570" s="1603" t="s">
        <v>4365</v>
      </c>
      <c r="E6570" s="1603"/>
      <c r="F6570" s="1603"/>
      <c r="G6570" s="1603" t="s">
        <v>4364</v>
      </c>
      <c r="H6570" s="1604">
        <v>2</v>
      </c>
      <c r="I6570" s="1603"/>
      <c r="J6570" s="1603"/>
      <c r="K6570" s="1605">
        <v>31</v>
      </c>
      <c r="L6570" s="1605">
        <v>767</v>
      </c>
      <c r="M6570" s="1607"/>
      <c r="N6570" s="1605">
        <v>767</v>
      </c>
      <c r="O6570" s="1605">
        <v>309.43</v>
      </c>
      <c r="P6570" s="1605">
        <v>438.4</v>
      </c>
      <c r="Q6570" s="1605">
        <v>19.170000000000002</v>
      </c>
      <c r="R6570" s="1605">
        <v>457.57</v>
      </c>
      <c r="S6570" s="1608"/>
    </row>
    <row r="6571" spans="2:19" s="1609" customFormat="1" ht="11.25" customHeight="1" outlineLevel="1">
      <c r="B6571" s="1602">
        <v>26787</v>
      </c>
      <c r="C6571" s="1603" t="s">
        <v>4321</v>
      </c>
      <c r="D6571" s="1603" t="s">
        <v>4363</v>
      </c>
      <c r="E6571" s="1603"/>
      <c r="F6571" s="1603"/>
      <c r="G6571" s="1603" t="s">
        <v>4362</v>
      </c>
      <c r="H6571" s="1604">
        <v>2</v>
      </c>
      <c r="I6571" s="1603"/>
      <c r="J6571" s="1603"/>
      <c r="K6571" s="1605">
        <v>31</v>
      </c>
      <c r="L6571" s="1606">
        <v>3799</v>
      </c>
      <c r="M6571" s="1607"/>
      <c r="N6571" s="1606">
        <v>3799</v>
      </c>
      <c r="O6571" s="1606">
        <v>1536.62</v>
      </c>
      <c r="P6571" s="1606">
        <v>2167.34</v>
      </c>
      <c r="Q6571" s="1605">
        <v>95.04</v>
      </c>
      <c r="R6571" s="1606">
        <v>2262.38</v>
      </c>
      <c r="S6571" s="1608"/>
    </row>
    <row r="6572" spans="2:19" s="1609" customFormat="1" ht="11.25" customHeight="1" outlineLevel="1">
      <c r="B6572" s="1602">
        <v>26788</v>
      </c>
      <c r="C6572" s="1603" t="s">
        <v>4321</v>
      </c>
      <c r="D6572" s="1603" t="s">
        <v>4361</v>
      </c>
      <c r="E6572" s="1603"/>
      <c r="F6572" s="1603"/>
      <c r="G6572" s="1603" t="s">
        <v>4360</v>
      </c>
      <c r="H6572" s="1604">
        <v>2</v>
      </c>
      <c r="I6572" s="1603"/>
      <c r="J6572" s="1603"/>
      <c r="K6572" s="1605">
        <v>31</v>
      </c>
      <c r="L6572" s="1606">
        <v>2780</v>
      </c>
      <c r="M6572" s="1607"/>
      <c r="N6572" s="1606">
        <v>2780</v>
      </c>
      <c r="O6572" s="1606">
        <v>1124.06</v>
      </c>
      <c r="P6572" s="1606">
        <v>1586.46</v>
      </c>
      <c r="Q6572" s="1605">
        <v>69.48</v>
      </c>
      <c r="R6572" s="1606">
        <v>1655.94</v>
      </c>
      <c r="S6572" s="1608"/>
    </row>
    <row r="6573" spans="2:19" s="1609" customFormat="1" ht="11.25" customHeight="1" outlineLevel="1">
      <c r="B6573" s="1602">
        <v>26789</v>
      </c>
      <c r="C6573" s="1603" t="s">
        <v>4321</v>
      </c>
      <c r="D6573" s="1603" t="s">
        <v>4359</v>
      </c>
      <c r="E6573" s="1603"/>
      <c r="F6573" s="1603"/>
      <c r="G6573" s="1603" t="s">
        <v>4358</v>
      </c>
      <c r="H6573" s="1604">
        <v>2</v>
      </c>
      <c r="I6573" s="1603"/>
      <c r="J6573" s="1603"/>
      <c r="K6573" s="1605">
        <v>31</v>
      </c>
      <c r="L6573" s="1605">
        <v>247</v>
      </c>
      <c r="M6573" s="1607"/>
      <c r="N6573" s="1605">
        <v>247</v>
      </c>
      <c r="O6573" s="1605">
        <v>101.02</v>
      </c>
      <c r="P6573" s="1605">
        <v>139.74</v>
      </c>
      <c r="Q6573" s="1605">
        <v>6.24</v>
      </c>
      <c r="R6573" s="1605">
        <v>145.97999999999999</v>
      </c>
      <c r="S6573" s="1608"/>
    </row>
    <row r="6574" spans="2:19" s="1609" customFormat="1" ht="11.25" customHeight="1" outlineLevel="1">
      <c r="B6574" s="1602">
        <v>26790</v>
      </c>
      <c r="C6574" s="1603" t="s">
        <v>4321</v>
      </c>
      <c r="D6574" s="1603" t="s">
        <v>4357</v>
      </c>
      <c r="E6574" s="1603"/>
      <c r="F6574" s="1603"/>
      <c r="G6574" s="1603" t="s">
        <v>4356</v>
      </c>
      <c r="H6574" s="1604">
        <v>2</v>
      </c>
      <c r="I6574" s="1603"/>
      <c r="J6574" s="1603"/>
      <c r="K6574" s="1605">
        <v>31</v>
      </c>
      <c r="L6574" s="1606">
        <v>2965</v>
      </c>
      <c r="M6574" s="1607"/>
      <c r="N6574" s="1606">
        <v>2965</v>
      </c>
      <c r="O6574" s="1606">
        <v>1197.6400000000001</v>
      </c>
      <c r="P6574" s="1606">
        <v>1693.32</v>
      </c>
      <c r="Q6574" s="1605">
        <v>74.040000000000006</v>
      </c>
      <c r="R6574" s="1606">
        <v>1767.36</v>
      </c>
      <c r="S6574" s="1608"/>
    </row>
    <row r="6575" spans="2:19" s="1609" customFormat="1" ht="11.25" customHeight="1" outlineLevel="1">
      <c r="B6575" s="1602">
        <v>26791</v>
      </c>
      <c r="C6575" s="1603" t="s">
        <v>4321</v>
      </c>
      <c r="D6575" s="1603" t="s">
        <v>4355</v>
      </c>
      <c r="E6575" s="1603"/>
      <c r="F6575" s="1603"/>
      <c r="G6575" s="1603" t="s">
        <v>4354</v>
      </c>
      <c r="H6575" s="1604">
        <v>2</v>
      </c>
      <c r="I6575" s="1603"/>
      <c r="J6575" s="1603"/>
      <c r="K6575" s="1605">
        <v>31</v>
      </c>
      <c r="L6575" s="1605">
        <v>834</v>
      </c>
      <c r="M6575" s="1607"/>
      <c r="N6575" s="1605">
        <v>834</v>
      </c>
      <c r="O6575" s="1605">
        <v>336.48</v>
      </c>
      <c r="P6575" s="1605">
        <v>476.76</v>
      </c>
      <c r="Q6575" s="1605">
        <v>20.76</v>
      </c>
      <c r="R6575" s="1605">
        <v>497.52</v>
      </c>
      <c r="S6575" s="1608"/>
    </row>
    <row r="6576" spans="2:19" s="1609" customFormat="1" ht="11.25" customHeight="1" outlineLevel="1">
      <c r="B6576" s="1602">
        <v>26792</v>
      </c>
      <c r="C6576" s="1603" t="s">
        <v>4321</v>
      </c>
      <c r="D6576" s="1603" t="s">
        <v>4353</v>
      </c>
      <c r="E6576" s="1603"/>
      <c r="F6576" s="1603"/>
      <c r="G6576" s="1603" t="s">
        <v>4352</v>
      </c>
      <c r="H6576" s="1604">
        <v>2</v>
      </c>
      <c r="I6576" s="1603"/>
      <c r="J6576" s="1603"/>
      <c r="K6576" s="1605">
        <v>31</v>
      </c>
      <c r="L6576" s="1606">
        <v>1451</v>
      </c>
      <c r="M6576" s="1607"/>
      <c r="N6576" s="1606">
        <v>1451</v>
      </c>
      <c r="O6576" s="1605">
        <v>587.16</v>
      </c>
      <c r="P6576" s="1605">
        <v>827.48</v>
      </c>
      <c r="Q6576" s="1605">
        <v>36.36</v>
      </c>
      <c r="R6576" s="1605">
        <v>863.84</v>
      </c>
      <c r="S6576" s="1608"/>
    </row>
    <row r="6577" spans="2:19" s="1609" customFormat="1" ht="11.25" customHeight="1" outlineLevel="1">
      <c r="B6577" s="1602">
        <v>26793</v>
      </c>
      <c r="C6577" s="1603" t="s">
        <v>4321</v>
      </c>
      <c r="D6577" s="1603" t="s">
        <v>4351</v>
      </c>
      <c r="E6577" s="1603"/>
      <c r="F6577" s="1603"/>
      <c r="G6577" s="1603" t="s">
        <v>4350</v>
      </c>
      <c r="H6577" s="1604">
        <v>2</v>
      </c>
      <c r="I6577" s="1603"/>
      <c r="J6577" s="1603"/>
      <c r="K6577" s="1605">
        <v>31</v>
      </c>
      <c r="L6577" s="1606">
        <v>2193</v>
      </c>
      <c r="M6577" s="1607"/>
      <c r="N6577" s="1606">
        <v>2193</v>
      </c>
      <c r="O6577" s="1605">
        <v>885.98</v>
      </c>
      <c r="P6577" s="1606">
        <v>1252.18</v>
      </c>
      <c r="Q6577" s="1605">
        <v>54.84</v>
      </c>
      <c r="R6577" s="1606">
        <v>1307.02</v>
      </c>
      <c r="S6577" s="1608"/>
    </row>
    <row r="6578" spans="2:19" s="1609" customFormat="1" ht="11.25" customHeight="1" outlineLevel="1">
      <c r="B6578" s="1602">
        <v>26794</v>
      </c>
      <c r="C6578" s="1603" t="s">
        <v>4321</v>
      </c>
      <c r="D6578" s="1603" t="s">
        <v>4349</v>
      </c>
      <c r="E6578" s="1603"/>
      <c r="F6578" s="1603"/>
      <c r="G6578" s="1603" t="s">
        <v>4348</v>
      </c>
      <c r="H6578" s="1604">
        <v>2</v>
      </c>
      <c r="I6578" s="1603"/>
      <c r="J6578" s="1603"/>
      <c r="K6578" s="1605">
        <v>29</v>
      </c>
      <c r="L6578" s="1606">
        <v>1231</v>
      </c>
      <c r="M6578" s="1607"/>
      <c r="N6578" s="1606">
        <v>1231</v>
      </c>
      <c r="O6578" s="1605">
        <v>498.72</v>
      </c>
      <c r="P6578" s="1605">
        <v>701.44</v>
      </c>
      <c r="Q6578" s="1605">
        <v>30.84</v>
      </c>
      <c r="R6578" s="1605">
        <v>732.28</v>
      </c>
      <c r="S6578" s="1608"/>
    </row>
    <row r="6579" spans="2:19" s="1609" customFormat="1" ht="11.25" customHeight="1" outlineLevel="1">
      <c r="B6579" s="1602">
        <v>26795</v>
      </c>
      <c r="C6579" s="1603" t="s">
        <v>4321</v>
      </c>
      <c r="D6579" s="1603" t="s">
        <v>4347</v>
      </c>
      <c r="E6579" s="1603"/>
      <c r="F6579" s="1603"/>
      <c r="G6579" s="1603" t="s">
        <v>4346</v>
      </c>
      <c r="H6579" s="1604">
        <v>2</v>
      </c>
      <c r="I6579" s="1603"/>
      <c r="J6579" s="1603"/>
      <c r="K6579" s="1605">
        <v>31</v>
      </c>
      <c r="L6579" s="1606">
        <v>1142</v>
      </c>
      <c r="M6579" s="1607"/>
      <c r="N6579" s="1606">
        <v>1142</v>
      </c>
      <c r="O6579" s="1605">
        <v>461.32</v>
      </c>
      <c r="P6579" s="1605">
        <v>652.12</v>
      </c>
      <c r="Q6579" s="1605">
        <v>28.56</v>
      </c>
      <c r="R6579" s="1605">
        <v>680.68</v>
      </c>
      <c r="S6579" s="1608"/>
    </row>
    <row r="6580" spans="2:19" s="1609" customFormat="1" ht="11.25" customHeight="1" outlineLevel="1">
      <c r="B6580" s="1602">
        <v>26796</v>
      </c>
      <c r="C6580" s="1603" t="s">
        <v>4321</v>
      </c>
      <c r="D6580" s="1603" t="s">
        <v>4345</v>
      </c>
      <c r="E6580" s="1603"/>
      <c r="F6580" s="1603"/>
      <c r="G6580" s="1603" t="s">
        <v>4344</v>
      </c>
      <c r="H6580" s="1604">
        <v>2</v>
      </c>
      <c r="I6580" s="1603"/>
      <c r="J6580" s="1603"/>
      <c r="K6580" s="1605">
        <v>31</v>
      </c>
      <c r="L6580" s="1606">
        <v>1173</v>
      </c>
      <c r="M6580" s="1607"/>
      <c r="N6580" s="1606">
        <v>1173</v>
      </c>
      <c r="O6580" s="1605">
        <v>475.04</v>
      </c>
      <c r="P6580" s="1605">
        <v>668.56</v>
      </c>
      <c r="Q6580" s="1605">
        <v>29.4</v>
      </c>
      <c r="R6580" s="1605">
        <v>697.96</v>
      </c>
      <c r="S6580" s="1608"/>
    </row>
    <row r="6581" spans="2:19" s="1609" customFormat="1" ht="11.25" customHeight="1" outlineLevel="1">
      <c r="B6581" s="1602">
        <v>26797</v>
      </c>
      <c r="C6581" s="1603" t="s">
        <v>4321</v>
      </c>
      <c r="D6581" s="1603" t="s">
        <v>4343</v>
      </c>
      <c r="E6581" s="1603"/>
      <c r="F6581" s="1603"/>
      <c r="G6581" s="1603" t="s">
        <v>4342</v>
      </c>
      <c r="H6581" s="1604">
        <v>2</v>
      </c>
      <c r="I6581" s="1603"/>
      <c r="J6581" s="1603"/>
      <c r="K6581" s="1605">
        <v>31</v>
      </c>
      <c r="L6581" s="1606">
        <v>1112</v>
      </c>
      <c r="M6581" s="1607"/>
      <c r="N6581" s="1606">
        <v>1112</v>
      </c>
      <c r="O6581" s="1605">
        <v>448.6</v>
      </c>
      <c r="P6581" s="1605">
        <v>635.67999999999995</v>
      </c>
      <c r="Q6581" s="1605">
        <v>27.72</v>
      </c>
      <c r="R6581" s="1605">
        <v>663.4</v>
      </c>
      <c r="S6581" s="1608"/>
    </row>
    <row r="6582" spans="2:19" s="1609" customFormat="1" ht="11.25" customHeight="1" outlineLevel="1">
      <c r="B6582" s="1602">
        <v>26798</v>
      </c>
      <c r="C6582" s="1603" t="s">
        <v>4321</v>
      </c>
      <c r="D6582" s="1603" t="s">
        <v>4341</v>
      </c>
      <c r="E6582" s="1603"/>
      <c r="F6582" s="1603"/>
      <c r="G6582" s="1603" t="s">
        <v>4340</v>
      </c>
      <c r="H6582" s="1604">
        <v>2</v>
      </c>
      <c r="I6582" s="1603"/>
      <c r="J6582" s="1603"/>
      <c r="K6582" s="1605">
        <v>31</v>
      </c>
      <c r="L6582" s="1605">
        <v>803</v>
      </c>
      <c r="M6582" s="1607"/>
      <c r="N6582" s="1605">
        <v>803</v>
      </c>
      <c r="O6582" s="1605">
        <v>325.26</v>
      </c>
      <c r="P6582" s="1605">
        <v>457.58</v>
      </c>
      <c r="Q6582" s="1605">
        <v>20.16</v>
      </c>
      <c r="R6582" s="1605">
        <v>477.74</v>
      </c>
      <c r="S6582" s="1608"/>
    </row>
    <row r="6583" spans="2:19" s="1609" customFormat="1" ht="11.25" customHeight="1" outlineLevel="1">
      <c r="B6583" s="1602">
        <v>26799</v>
      </c>
      <c r="C6583" s="1603" t="s">
        <v>4321</v>
      </c>
      <c r="D6583" s="1603" t="s">
        <v>4339</v>
      </c>
      <c r="E6583" s="1603"/>
      <c r="F6583" s="1603"/>
      <c r="G6583" s="1603" t="s">
        <v>4338</v>
      </c>
      <c r="H6583" s="1604">
        <v>2</v>
      </c>
      <c r="I6583" s="1603"/>
      <c r="J6583" s="1603"/>
      <c r="K6583" s="1605">
        <v>31</v>
      </c>
      <c r="L6583" s="1606">
        <v>1019</v>
      </c>
      <c r="M6583" s="1607"/>
      <c r="N6583" s="1606">
        <v>1019</v>
      </c>
      <c r="O6583" s="1605">
        <v>412.56</v>
      </c>
      <c r="P6583" s="1605">
        <v>580.88</v>
      </c>
      <c r="Q6583" s="1605">
        <v>25.56</v>
      </c>
      <c r="R6583" s="1605">
        <v>606.44000000000005</v>
      </c>
      <c r="S6583" s="1608"/>
    </row>
    <row r="6584" spans="2:19" s="1609" customFormat="1" ht="11.25" customHeight="1" outlineLevel="1">
      <c r="B6584" s="1602">
        <v>26800</v>
      </c>
      <c r="C6584" s="1603" t="s">
        <v>4321</v>
      </c>
      <c r="D6584" s="1603" t="s">
        <v>4337</v>
      </c>
      <c r="E6584" s="1603"/>
      <c r="F6584" s="1603"/>
      <c r="G6584" s="1603" t="s">
        <v>4336</v>
      </c>
      <c r="H6584" s="1604">
        <v>2</v>
      </c>
      <c r="I6584" s="1603"/>
      <c r="J6584" s="1603"/>
      <c r="K6584" s="1605">
        <v>31</v>
      </c>
      <c r="L6584" s="1606">
        <v>1112</v>
      </c>
      <c r="M6584" s="1607"/>
      <c r="N6584" s="1606">
        <v>1112</v>
      </c>
      <c r="O6584" s="1605">
        <v>448.6</v>
      </c>
      <c r="P6584" s="1605">
        <v>635.67999999999995</v>
      </c>
      <c r="Q6584" s="1605">
        <v>27.72</v>
      </c>
      <c r="R6584" s="1605">
        <v>663.4</v>
      </c>
      <c r="S6584" s="1608"/>
    </row>
    <row r="6585" spans="2:19" s="1609" customFormat="1" ht="11.25" customHeight="1" outlineLevel="1">
      <c r="B6585" s="1602">
        <v>26801</v>
      </c>
      <c r="C6585" s="1603" t="s">
        <v>4321</v>
      </c>
      <c r="D6585" s="1603" t="s">
        <v>4335</v>
      </c>
      <c r="E6585" s="1603"/>
      <c r="F6585" s="1603"/>
      <c r="G6585" s="1603" t="s">
        <v>4334</v>
      </c>
      <c r="H6585" s="1604">
        <v>2</v>
      </c>
      <c r="I6585" s="1603"/>
      <c r="J6585" s="1603"/>
      <c r="K6585" s="1605">
        <v>31</v>
      </c>
      <c r="L6585" s="1606">
        <v>1173</v>
      </c>
      <c r="M6585" s="1607"/>
      <c r="N6585" s="1606">
        <v>1173</v>
      </c>
      <c r="O6585" s="1605">
        <v>475.04</v>
      </c>
      <c r="P6585" s="1605">
        <v>668.56</v>
      </c>
      <c r="Q6585" s="1605">
        <v>29.4</v>
      </c>
      <c r="R6585" s="1605">
        <v>697.96</v>
      </c>
      <c r="S6585" s="1608"/>
    </row>
    <row r="6586" spans="2:19" s="1609" customFormat="1" ht="11.25" customHeight="1" outlineLevel="1">
      <c r="B6586" s="1602">
        <v>26802</v>
      </c>
      <c r="C6586" s="1603" t="s">
        <v>4321</v>
      </c>
      <c r="D6586" s="1603" t="s">
        <v>4333</v>
      </c>
      <c r="E6586" s="1603"/>
      <c r="F6586" s="1603"/>
      <c r="G6586" s="1603" t="s">
        <v>4332</v>
      </c>
      <c r="H6586" s="1604">
        <v>2</v>
      </c>
      <c r="I6586" s="1603"/>
      <c r="J6586" s="1603"/>
      <c r="K6586" s="1605">
        <v>31</v>
      </c>
      <c r="L6586" s="1606">
        <v>1019</v>
      </c>
      <c r="M6586" s="1607"/>
      <c r="N6586" s="1606">
        <v>1019</v>
      </c>
      <c r="O6586" s="1605">
        <v>412.56</v>
      </c>
      <c r="P6586" s="1605">
        <v>580.88</v>
      </c>
      <c r="Q6586" s="1605">
        <v>25.56</v>
      </c>
      <c r="R6586" s="1605">
        <v>606.44000000000005</v>
      </c>
      <c r="S6586" s="1608"/>
    </row>
    <row r="6587" spans="2:19" s="1609" customFormat="1" ht="11.25" customHeight="1" outlineLevel="1">
      <c r="B6587" s="1602">
        <v>26803</v>
      </c>
      <c r="C6587" s="1603" t="s">
        <v>4321</v>
      </c>
      <c r="D6587" s="1603" t="s">
        <v>4331</v>
      </c>
      <c r="E6587" s="1603"/>
      <c r="F6587" s="1603"/>
      <c r="G6587" s="1603" t="s">
        <v>4330</v>
      </c>
      <c r="H6587" s="1604">
        <v>2</v>
      </c>
      <c r="I6587" s="1603"/>
      <c r="J6587" s="1603"/>
      <c r="K6587" s="1605">
        <v>31</v>
      </c>
      <c r="L6587" s="1606">
        <v>1037</v>
      </c>
      <c r="M6587" s="1607"/>
      <c r="N6587" s="1606">
        <v>1037</v>
      </c>
      <c r="O6587" s="1605">
        <v>419.24</v>
      </c>
      <c r="P6587" s="1605">
        <v>591.84</v>
      </c>
      <c r="Q6587" s="1605">
        <v>25.92</v>
      </c>
      <c r="R6587" s="1605">
        <v>617.76</v>
      </c>
      <c r="S6587" s="1608"/>
    </row>
    <row r="6588" spans="2:19" s="1609" customFormat="1" ht="11.25" customHeight="1" outlineLevel="1">
      <c r="B6588" s="1602">
        <v>26809</v>
      </c>
      <c r="C6588" s="1603" t="s">
        <v>4321</v>
      </c>
      <c r="D6588" s="1603" t="s">
        <v>4329</v>
      </c>
      <c r="E6588" s="1603"/>
      <c r="F6588" s="1603"/>
      <c r="G6588" s="1603" t="s">
        <v>4328</v>
      </c>
      <c r="H6588" s="1604">
        <v>2</v>
      </c>
      <c r="I6588" s="1603"/>
      <c r="J6588" s="1603"/>
      <c r="K6588" s="1605">
        <v>43</v>
      </c>
      <c r="L6588" s="1606">
        <v>9636</v>
      </c>
      <c r="M6588" s="1607"/>
      <c r="N6588" s="1606">
        <v>9636</v>
      </c>
      <c r="O6588" s="1606">
        <v>3893.24</v>
      </c>
      <c r="P6588" s="1606">
        <v>5501.92</v>
      </c>
      <c r="Q6588" s="1605">
        <v>240.84</v>
      </c>
      <c r="R6588" s="1606">
        <v>5742.76</v>
      </c>
      <c r="S6588" s="1608"/>
    </row>
    <row r="6589" spans="2:19" s="1609" customFormat="1" ht="11.25" customHeight="1" outlineLevel="1">
      <c r="B6589" s="1602">
        <v>26810</v>
      </c>
      <c r="C6589" s="1603" t="s">
        <v>4321</v>
      </c>
      <c r="D6589" s="1603" t="s">
        <v>4327</v>
      </c>
      <c r="E6589" s="1603"/>
      <c r="F6589" s="1603"/>
      <c r="G6589" s="1603" t="s">
        <v>4326</v>
      </c>
      <c r="H6589" s="1604">
        <v>2</v>
      </c>
      <c r="I6589" s="1603"/>
      <c r="J6589" s="1603"/>
      <c r="K6589" s="1605">
        <v>43</v>
      </c>
      <c r="L6589" s="1606">
        <v>2554</v>
      </c>
      <c r="M6589" s="1607"/>
      <c r="N6589" s="1606">
        <v>2554</v>
      </c>
      <c r="O6589" s="1606">
        <v>1032.48</v>
      </c>
      <c r="P6589" s="1606">
        <v>1457.68</v>
      </c>
      <c r="Q6589" s="1605">
        <v>63.84</v>
      </c>
      <c r="R6589" s="1606">
        <v>1521.52</v>
      </c>
      <c r="S6589" s="1608"/>
    </row>
    <row r="6590" spans="2:19" s="1609" customFormat="1" ht="11.25" customHeight="1" outlineLevel="1">
      <c r="B6590" s="1602">
        <v>26811</v>
      </c>
      <c r="C6590" s="1603" t="s">
        <v>4321</v>
      </c>
      <c r="D6590" s="1603" t="s">
        <v>4325</v>
      </c>
      <c r="E6590" s="1603"/>
      <c r="F6590" s="1603"/>
      <c r="G6590" s="1603" t="s">
        <v>4324</v>
      </c>
      <c r="H6590" s="1604">
        <v>2</v>
      </c>
      <c r="I6590" s="1603"/>
      <c r="J6590" s="1603"/>
      <c r="K6590" s="1605">
        <v>42</v>
      </c>
      <c r="L6590" s="1606">
        <v>4956</v>
      </c>
      <c r="M6590" s="1607"/>
      <c r="N6590" s="1606">
        <v>4956</v>
      </c>
      <c r="O6590" s="1606">
        <v>2001.74</v>
      </c>
      <c r="P6590" s="1606">
        <v>2830.42</v>
      </c>
      <c r="Q6590" s="1605">
        <v>123.84</v>
      </c>
      <c r="R6590" s="1606">
        <v>2954.26</v>
      </c>
      <c r="S6590" s="1608"/>
    </row>
    <row r="6591" spans="2:19" s="1609" customFormat="1" ht="21.75" customHeight="1" outlineLevel="1">
      <c r="B6591" s="1602">
        <v>26813</v>
      </c>
      <c r="C6591" s="1603" t="s">
        <v>4321</v>
      </c>
      <c r="D6591" s="1603" t="s">
        <v>4323</v>
      </c>
      <c r="E6591" s="1603"/>
      <c r="F6591" s="1603"/>
      <c r="G6591" s="1603" t="s">
        <v>4322</v>
      </c>
      <c r="H6591" s="1604">
        <v>2</v>
      </c>
      <c r="I6591" s="1603"/>
      <c r="J6591" s="1603"/>
      <c r="K6591" s="1605">
        <v>475</v>
      </c>
      <c r="L6591" s="1606">
        <v>104595</v>
      </c>
      <c r="M6591" s="1607"/>
      <c r="N6591" s="1606">
        <v>104595</v>
      </c>
      <c r="O6591" s="1606">
        <v>42272.86</v>
      </c>
      <c r="P6591" s="1606">
        <v>59707.34</v>
      </c>
      <c r="Q6591" s="1606">
        <v>2614.8000000000002</v>
      </c>
      <c r="R6591" s="1606">
        <v>62322.14</v>
      </c>
      <c r="S6591" s="1608"/>
    </row>
    <row r="6592" spans="2:19" s="1609" customFormat="1" ht="11.25" customHeight="1" outlineLevel="1">
      <c r="B6592" s="1602">
        <v>26814</v>
      </c>
      <c r="C6592" s="1603" t="s">
        <v>4321</v>
      </c>
      <c r="D6592" s="1603" t="s">
        <v>4320</v>
      </c>
      <c r="E6592" s="1603"/>
      <c r="F6592" s="1603"/>
      <c r="G6592" s="1603" t="s">
        <v>4319</v>
      </c>
      <c r="H6592" s="1604">
        <v>2</v>
      </c>
      <c r="I6592" s="1603"/>
      <c r="J6592" s="1603"/>
      <c r="K6592" s="1605">
        <v>476</v>
      </c>
      <c r="L6592" s="1606">
        <v>31335</v>
      </c>
      <c r="M6592" s="1607"/>
      <c r="N6592" s="1606">
        <v>31335</v>
      </c>
      <c r="O6592" s="1606">
        <v>18642.2</v>
      </c>
      <c r="P6592" s="1606">
        <v>12160.12</v>
      </c>
      <c r="Q6592" s="1605">
        <v>532.67999999999995</v>
      </c>
      <c r="R6592" s="1606">
        <v>12692.8</v>
      </c>
      <c r="S6592" s="1608"/>
    </row>
    <row r="6593" spans="2:19" s="1609" customFormat="1" ht="11.25" customHeight="1" outlineLevel="1">
      <c r="B6593" s="1602">
        <v>26842</v>
      </c>
      <c r="C6593" s="1603" t="s">
        <v>4314</v>
      </c>
      <c r="D6593" s="1603" t="s">
        <v>4318</v>
      </c>
      <c r="E6593" s="1603"/>
      <c r="F6593" s="1603"/>
      <c r="G6593" s="1603" t="s">
        <v>4317</v>
      </c>
      <c r="H6593" s="1604">
        <v>2</v>
      </c>
      <c r="I6593" s="1603"/>
      <c r="J6593" s="1603"/>
      <c r="K6593" s="1605">
        <v>263</v>
      </c>
      <c r="L6593" s="1606">
        <v>4320</v>
      </c>
      <c r="M6593" s="1607"/>
      <c r="N6593" s="1606">
        <v>4320</v>
      </c>
      <c r="O6593" s="1606">
        <v>2268</v>
      </c>
      <c r="P6593" s="1606">
        <v>1965.6</v>
      </c>
      <c r="Q6593" s="1605">
        <v>86.4</v>
      </c>
      <c r="R6593" s="1606">
        <v>2052</v>
      </c>
      <c r="S6593" s="1608"/>
    </row>
    <row r="6594" spans="2:19" s="1609" customFormat="1" ht="11.25" customHeight="1" outlineLevel="1">
      <c r="B6594" s="1602">
        <v>26844</v>
      </c>
      <c r="C6594" s="1603" t="s">
        <v>4314</v>
      </c>
      <c r="D6594" s="1603" t="s">
        <v>4316</v>
      </c>
      <c r="E6594" s="1603"/>
      <c r="F6594" s="1603"/>
      <c r="G6594" s="1603" t="s">
        <v>4315</v>
      </c>
      <c r="H6594" s="1604">
        <v>2</v>
      </c>
      <c r="I6594" s="1603"/>
      <c r="J6594" s="1603"/>
      <c r="K6594" s="1605">
        <v>16</v>
      </c>
      <c r="L6594" s="1605">
        <v>949</v>
      </c>
      <c r="M6594" s="1607"/>
      <c r="N6594" s="1605">
        <v>949</v>
      </c>
      <c r="O6594" s="1605">
        <v>498.7</v>
      </c>
      <c r="P6594" s="1605">
        <v>431.34</v>
      </c>
      <c r="Q6594" s="1605">
        <v>18.96</v>
      </c>
      <c r="R6594" s="1605">
        <v>450.3</v>
      </c>
      <c r="S6594" s="1608"/>
    </row>
    <row r="6595" spans="2:19" s="1609" customFormat="1" ht="11.25" customHeight="1" outlineLevel="1">
      <c r="B6595" s="1602">
        <v>26846</v>
      </c>
      <c r="C6595" s="1603" t="s">
        <v>4314</v>
      </c>
      <c r="D6595" s="1603" t="s">
        <v>4313</v>
      </c>
      <c r="E6595" s="1603"/>
      <c r="F6595" s="1603"/>
      <c r="G6595" s="1603" t="s">
        <v>4312</v>
      </c>
      <c r="H6595" s="1604">
        <v>2</v>
      </c>
      <c r="I6595" s="1603"/>
      <c r="J6595" s="1603"/>
      <c r="K6595" s="1605">
        <v>45</v>
      </c>
      <c r="L6595" s="1606">
        <v>7163</v>
      </c>
      <c r="M6595" s="1607"/>
      <c r="N6595" s="1606">
        <v>7163</v>
      </c>
      <c r="O6595" s="1606">
        <v>2910.68</v>
      </c>
      <c r="P6595" s="1606">
        <v>4073.16</v>
      </c>
      <c r="Q6595" s="1605">
        <v>179.16</v>
      </c>
      <c r="R6595" s="1606">
        <v>4252.32</v>
      </c>
      <c r="S6595" s="1608"/>
    </row>
    <row r="6596" spans="2:19" s="1609" customFormat="1" ht="11.25" customHeight="1" outlineLevel="1">
      <c r="B6596" s="1602">
        <v>26904</v>
      </c>
      <c r="C6596" s="1603" t="s">
        <v>4246</v>
      </c>
      <c r="D6596" s="1603" t="s">
        <v>4311</v>
      </c>
      <c r="E6596" s="1603"/>
      <c r="F6596" s="1603"/>
      <c r="G6596" s="1603" t="s">
        <v>4310</v>
      </c>
      <c r="H6596" s="1604">
        <v>2</v>
      </c>
      <c r="I6596" s="1603"/>
      <c r="J6596" s="1603"/>
      <c r="K6596" s="1605">
        <v>157</v>
      </c>
      <c r="L6596" s="1606">
        <v>18035</v>
      </c>
      <c r="M6596" s="1607"/>
      <c r="N6596" s="1606">
        <v>18035</v>
      </c>
      <c r="O6596" s="1606">
        <v>7365</v>
      </c>
      <c r="P6596" s="1606">
        <v>10219.040000000001</v>
      </c>
      <c r="Q6596" s="1605">
        <v>450.96</v>
      </c>
      <c r="R6596" s="1606">
        <v>10670</v>
      </c>
      <c r="S6596" s="1608"/>
    </row>
    <row r="6597" spans="2:19" s="1609" customFormat="1" ht="11.25" customHeight="1" outlineLevel="1">
      <c r="B6597" s="1602">
        <v>26905</v>
      </c>
      <c r="C6597" s="1603" t="s">
        <v>4246</v>
      </c>
      <c r="D6597" s="1603" t="s">
        <v>4309</v>
      </c>
      <c r="E6597" s="1603"/>
      <c r="F6597" s="1603"/>
      <c r="G6597" s="1603" t="s">
        <v>4308</v>
      </c>
      <c r="H6597" s="1604">
        <v>2</v>
      </c>
      <c r="I6597" s="1603"/>
      <c r="J6597" s="1603"/>
      <c r="K6597" s="1605">
        <v>157</v>
      </c>
      <c r="L6597" s="1606">
        <v>34470</v>
      </c>
      <c r="M6597" s="1607"/>
      <c r="N6597" s="1606">
        <v>34470</v>
      </c>
      <c r="O6597" s="1606">
        <v>14075.84</v>
      </c>
      <c r="P6597" s="1606">
        <v>19532.32</v>
      </c>
      <c r="Q6597" s="1605">
        <v>861.84</v>
      </c>
      <c r="R6597" s="1606">
        <v>20394.16</v>
      </c>
      <c r="S6597" s="1608"/>
    </row>
    <row r="6598" spans="2:19" s="1609" customFormat="1" ht="11.25" customHeight="1" outlineLevel="1">
      <c r="B6598" s="1602">
        <v>26906</v>
      </c>
      <c r="C6598" s="1603" t="s">
        <v>4246</v>
      </c>
      <c r="D6598" s="1603" t="s">
        <v>4307</v>
      </c>
      <c r="E6598" s="1603"/>
      <c r="F6598" s="1603"/>
      <c r="G6598" s="1603" t="s">
        <v>4306</v>
      </c>
      <c r="H6598" s="1604">
        <v>2</v>
      </c>
      <c r="I6598" s="1603"/>
      <c r="J6598" s="1603"/>
      <c r="K6598" s="1605">
        <v>157</v>
      </c>
      <c r="L6598" s="1606">
        <v>8437</v>
      </c>
      <c r="M6598" s="1607"/>
      <c r="N6598" s="1606">
        <v>8437</v>
      </c>
      <c r="O6598" s="1606">
        <v>3444.4</v>
      </c>
      <c r="P6598" s="1606">
        <v>4781.76</v>
      </c>
      <c r="Q6598" s="1605">
        <v>210.84</v>
      </c>
      <c r="R6598" s="1606">
        <v>4992.6000000000004</v>
      </c>
      <c r="S6598" s="1608"/>
    </row>
    <row r="6599" spans="2:19" s="1609" customFormat="1" ht="11.25" customHeight="1" outlineLevel="1">
      <c r="B6599" s="1602">
        <v>26907</v>
      </c>
      <c r="C6599" s="1603" t="s">
        <v>4246</v>
      </c>
      <c r="D6599" s="1603" t="s">
        <v>4305</v>
      </c>
      <c r="E6599" s="1603"/>
      <c r="F6599" s="1603"/>
      <c r="G6599" s="1603" t="s">
        <v>4304</v>
      </c>
      <c r="H6599" s="1604">
        <v>2</v>
      </c>
      <c r="I6599" s="1603"/>
      <c r="J6599" s="1603"/>
      <c r="K6599" s="1605">
        <v>157</v>
      </c>
      <c r="L6599" s="1606">
        <v>10476</v>
      </c>
      <c r="M6599" s="1607"/>
      <c r="N6599" s="1606">
        <v>10476</v>
      </c>
      <c r="O6599" s="1606">
        <v>4276.3999999999996</v>
      </c>
      <c r="P6599" s="1606">
        <v>5937.76</v>
      </c>
      <c r="Q6599" s="1605">
        <v>261.83999999999997</v>
      </c>
      <c r="R6599" s="1606">
        <v>6199.6</v>
      </c>
      <c r="S6599" s="1608"/>
    </row>
    <row r="6600" spans="2:19" s="1609" customFormat="1" ht="11.25" customHeight="1" outlineLevel="1">
      <c r="B6600" s="1602">
        <v>26908</v>
      </c>
      <c r="C6600" s="1603" t="s">
        <v>4246</v>
      </c>
      <c r="D6600" s="1603" t="s">
        <v>4303</v>
      </c>
      <c r="E6600" s="1603"/>
      <c r="F6600" s="1603"/>
      <c r="G6600" s="1603" t="s">
        <v>4302</v>
      </c>
      <c r="H6600" s="1604">
        <v>2</v>
      </c>
      <c r="I6600" s="1603"/>
      <c r="J6600" s="1603"/>
      <c r="K6600" s="1605">
        <v>157</v>
      </c>
      <c r="L6600" s="1606">
        <v>8563</v>
      </c>
      <c r="M6600" s="1607"/>
      <c r="N6600" s="1606">
        <v>8563</v>
      </c>
      <c r="O6600" s="1606">
        <v>3496.44</v>
      </c>
      <c r="P6600" s="1606">
        <v>4852.4799999999996</v>
      </c>
      <c r="Q6600" s="1605">
        <v>214.08</v>
      </c>
      <c r="R6600" s="1606">
        <v>5066.5600000000004</v>
      </c>
      <c r="S6600" s="1608"/>
    </row>
    <row r="6601" spans="2:19" s="1609" customFormat="1" ht="11.25" customHeight="1" outlineLevel="1">
      <c r="B6601" s="1602">
        <v>26909</v>
      </c>
      <c r="C6601" s="1603" t="s">
        <v>4246</v>
      </c>
      <c r="D6601" s="1603" t="s">
        <v>4301</v>
      </c>
      <c r="E6601" s="1603"/>
      <c r="F6601" s="1603"/>
      <c r="G6601" s="1603" t="s">
        <v>4300</v>
      </c>
      <c r="H6601" s="1604">
        <v>2</v>
      </c>
      <c r="I6601" s="1603"/>
      <c r="J6601" s="1603"/>
      <c r="K6601" s="1605">
        <v>157</v>
      </c>
      <c r="L6601" s="1606">
        <v>8155</v>
      </c>
      <c r="M6601" s="1607"/>
      <c r="N6601" s="1606">
        <v>8155</v>
      </c>
      <c r="O6601" s="1606">
        <v>3329.84</v>
      </c>
      <c r="P6601" s="1606">
        <v>4621.28</v>
      </c>
      <c r="Q6601" s="1605">
        <v>203.88</v>
      </c>
      <c r="R6601" s="1606">
        <v>4825.16</v>
      </c>
      <c r="S6601" s="1608"/>
    </row>
    <row r="6602" spans="2:19" s="1609" customFormat="1" ht="11.25" customHeight="1" outlineLevel="1">
      <c r="B6602" s="1602">
        <v>26919</v>
      </c>
      <c r="C6602" s="1603" t="s">
        <v>4246</v>
      </c>
      <c r="D6602" s="1603" t="s">
        <v>4299</v>
      </c>
      <c r="E6602" s="1603"/>
      <c r="F6602" s="1603"/>
      <c r="G6602" s="1603" t="s">
        <v>4298</v>
      </c>
      <c r="H6602" s="1604">
        <v>2</v>
      </c>
      <c r="I6602" s="1603"/>
      <c r="J6602" s="1603"/>
      <c r="K6602" s="1605">
        <v>301</v>
      </c>
      <c r="L6602" s="1606">
        <v>14737</v>
      </c>
      <c r="M6602" s="1607"/>
      <c r="N6602" s="1606">
        <v>14737</v>
      </c>
      <c r="O6602" s="1606">
        <v>6018.18</v>
      </c>
      <c r="P6602" s="1606">
        <v>8350.4</v>
      </c>
      <c r="Q6602" s="1605">
        <v>368.42</v>
      </c>
      <c r="R6602" s="1606">
        <v>8718.82</v>
      </c>
      <c r="S6602" s="1608"/>
    </row>
    <row r="6603" spans="2:19" s="1609" customFormat="1" ht="11.25" customHeight="1" outlineLevel="1">
      <c r="B6603" s="1602">
        <v>26920</v>
      </c>
      <c r="C6603" s="1603" t="s">
        <v>4246</v>
      </c>
      <c r="D6603" s="1603" t="s">
        <v>4297</v>
      </c>
      <c r="E6603" s="1603"/>
      <c r="F6603" s="1603"/>
      <c r="G6603" s="1603" t="s">
        <v>4296</v>
      </c>
      <c r="H6603" s="1604">
        <v>2</v>
      </c>
      <c r="I6603" s="1603"/>
      <c r="J6603" s="1603"/>
      <c r="K6603" s="1605">
        <v>409</v>
      </c>
      <c r="L6603" s="1606">
        <v>45409</v>
      </c>
      <c r="M6603" s="1607"/>
      <c r="N6603" s="1606">
        <v>45409</v>
      </c>
      <c r="O6603" s="1606">
        <v>18542.580000000002</v>
      </c>
      <c r="P6603" s="1606">
        <v>25731.200000000001</v>
      </c>
      <c r="Q6603" s="1606">
        <v>1135.22</v>
      </c>
      <c r="R6603" s="1606">
        <v>26866.42</v>
      </c>
      <c r="S6603" s="1608"/>
    </row>
    <row r="6604" spans="2:19" s="1609" customFormat="1" ht="11.25" customHeight="1" outlineLevel="1">
      <c r="B6604" s="1602">
        <v>26921</v>
      </c>
      <c r="C6604" s="1603" t="s">
        <v>4246</v>
      </c>
      <c r="D6604" s="1603" t="s">
        <v>4295</v>
      </c>
      <c r="E6604" s="1603"/>
      <c r="F6604" s="1603"/>
      <c r="G6604" s="1603" t="s">
        <v>4294</v>
      </c>
      <c r="H6604" s="1604">
        <v>2</v>
      </c>
      <c r="I6604" s="1603"/>
      <c r="J6604" s="1603"/>
      <c r="K6604" s="1605">
        <v>412</v>
      </c>
      <c r="L6604" s="1606">
        <v>27670</v>
      </c>
      <c r="M6604" s="1607"/>
      <c r="N6604" s="1606">
        <v>27670</v>
      </c>
      <c r="O6604" s="1606">
        <v>11297.52</v>
      </c>
      <c r="P6604" s="1606">
        <v>15680.8</v>
      </c>
      <c r="Q6604" s="1605">
        <v>691.68</v>
      </c>
      <c r="R6604" s="1606">
        <v>16372.48</v>
      </c>
      <c r="S6604" s="1608"/>
    </row>
    <row r="6605" spans="2:19" s="1609" customFormat="1" ht="11.25" customHeight="1" outlineLevel="1">
      <c r="B6605" s="1602">
        <v>26922</v>
      </c>
      <c r="C6605" s="1603" t="s">
        <v>4246</v>
      </c>
      <c r="D6605" s="1603" t="s">
        <v>4293</v>
      </c>
      <c r="E6605" s="1603"/>
      <c r="F6605" s="1603"/>
      <c r="G6605" s="1603" t="s">
        <v>4292</v>
      </c>
      <c r="H6605" s="1604">
        <v>2</v>
      </c>
      <c r="I6605" s="1603"/>
      <c r="J6605" s="1603"/>
      <c r="K6605" s="1605">
        <v>409</v>
      </c>
      <c r="L6605" s="1606">
        <v>25750</v>
      </c>
      <c r="M6605" s="1607"/>
      <c r="N6605" s="1606">
        <v>25750</v>
      </c>
      <c r="O6605" s="1606">
        <v>10513.52</v>
      </c>
      <c r="P6605" s="1606">
        <v>14592.8</v>
      </c>
      <c r="Q6605" s="1605">
        <v>643.67999999999995</v>
      </c>
      <c r="R6605" s="1606">
        <v>15236.48</v>
      </c>
      <c r="S6605" s="1608"/>
    </row>
    <row r="6606" spans="2:19" s="1609" customFormat="1" ht="11.25" customHeight="1" outlineLevel="1">
      <c r="B6606" s="1602">
        <v>26924</v>
      </c>
      <c r="C6606" s="1603" t="s">
        <v>4246</v>
      </c>
      <c r="D6606" s="1603" t="s">
        <v>4291</v>
      </c>
      <c r="E6606" s="1603"/>
      <c r="F6606" s="1603"/>
      <c r="G6606" s="1603" t="s">
        <v>4290</v>
      </c>
      <c r="H6606" s="1604">
        <v>2</v>
      </c>
      <c r="I6606" s="1603"/>
      <c r="J6606" s="1603"/>
      <c r="K6606" s="1605">
        <v>301</v>
      </c>
      <c r="L6606" s="1606">
        <v>14135</v>
      </c>
      <c r="M6606" s="1607"/>
      <c r="N6606" s="1606">
        <v>14135</v>
      </c>
      <c r="O6606" s="1606">
        <v>5771.22</v>
      </c>
      <c r="P6606" s="1606">
        <v>8010.4</v>
      </c>
      <c r="Q6606" s="1605">
        <v>353.38</v>
      </c>
      <c r="R6606" s="1606">
        <v>8363.7800000000007</v>
      </c>
      <c r="S6606" s="1608"/>
    </row>
    <row r="6607" spans="2:19" s="1609" customFormat="1" ht="11.25" customHeight="1" outlineLevel="1">
      <c r="B6607" s="1602">
        <v>26925</v>
      </c>
      <c r="C6607" s="1603" t="s">
        <v>4246</v>
      </c>
      <c r="D6607" s="1603" t="s">
        <v>4289</v>
      </c>
      <c r="E6607" s="1603"/>
      <c r="F6607" s="1603"/>
      <c r="G6607" s="1603" t="s">
        <v>4288</v>
      </c>
      <c r="H6607" s="1604">
        <v>2</v>
      </c>
      <c r="I6607" s="1603"/>
      <c r="J6607" s="1603"/>
      <c r="K6607" s="1605">
        <v>409</v>
      </c>
      <c r="L6607" s="1606">
        <v>30695</v>
      </c>
      <c r="M6607" s="1607"/>
      <c r="N6607" s="1606">
        <v>30695</v>
      </c>
      <c r="O6607" s="1606">
        <v>12533.22</v>
      </c>
      <c r="P6607" s="1606">
        <v>17394.400000000001</v>
      </c>
      <c r="Q6607" s="1605">
        <v>767.38</v>
      </c>
      <c r="R6607" s="1606">
        <v>18161.78</v>
      </c>
      <c r="S6607" s="1608"/>
    </row>
    <row r="6608" spans="2:19" s="1609" customFormat="1" ht="11.25" customHeight="1" outlineLevel="1">
      <c r="B6608" s="1602">
        <v>26926</v>
      </c>
      <c r="C6608" s="1603" t="s">
        <v>4246</v>
      </c>
      <c r="D6608" s="1603" t="s">
        <v>4287</v>
      </c>
      <c r="E6608" s="1603"/>
      <c r="F6608" s="1603"/>
      <c r="G6608" s="1603" t="s">
        <v>4286</v>
      </c>
      <c r="H6608" s="1604">
        <v>2</v>
      </c>
      <c r="I6608" s="1603"/>
      <c r="J6608" s="1603"/>
      <c r="K6608" s="1605">
        <v>409</v>
      </c>
      <c r="L6608" s="1606">
        <v>8379</v>
      </c>
      <c r="M6608" s="1607"/>
      <c r="N6608" s="1606">
        <v>8379</v>
      </c>
      <c r="O6608" s="1606">
        <v>3420.48</v>
      </c>
      <c r="P6608" s="1606">
        <v>4749.12</v>
      </c>
      <c r="Q6608" s="1605">
        <v>209.4</v>
      </c>
      <c r="R6608" s="1606">
        <v>4958.5200000000004</v>
      </c>
      <c r="S6608" s="1608"/>
    </row>
    <row r="6609" spans="2:19" s="1609" customFormat="1" ht="11.25" customHeight="1" outlineLevel="1">
      <c r="B6609" s="1602">
        <v>26927</v>
      </c>
      <c r="C6609" s="1603" t="s">
        <v>4246</v>
      </c>
      <c r="D6609" s="1603" t="s">
        <v>4285</v>
      </c>
      <c r="E6609" s="1603"/>
      <c r="F6609" s="1603"/>
      <c r="G6609" s="1603" t="s">
        <v>4284</v>
      </c>
      <c r="H6609" s="1604">
        <v>2</v>
      </c>
      <c r="I6609" s="1603"/>
      <c r="J6609" s="1603"/>
      <c r="K6609" s="1605">
        <v>489</v>
      </c>
      <c r="L6609" s="1606">
        <v>45030</v>
      </c>
      <c r="M6609" s="1607"/>
      <c r="N6609" s="1606">
        <v>45030</v>
      </c>
      <c r="O6609" s="1606">
        <v>18387.84</v>
      </c>
      <c r="P6609" s="1606">
        <v>25516.32</v>
      </c>
      <c r="Q6609" s="1606">
        <v>1125.8399999999999</v>
      </c>
      <c r="R6609" s="1606">
        <v>26642.16</v>
      </c>
      <c r="S6609" s="1608"/>
    </row>
    <row r="6610" spans="2:19" s="1609" customFormat="1" ht="11.25" customHeight="1" outlineLevel="1">
      <c r="B6610" s="1602">
        <v>26928</v>
      </c>
      <c r="C6610" s="1603" t="s">
        <v>4246</v>
      </c>
      <c r="D6610" s="1603" t="s">
        <v>4283</v>
      </c>
      <c r="E6610" s="1603"/>
      <c r="F6610" s="1603"/>
      <c r="G6610" s="1603" t="s">
        <v>4282</v>
      </c>
      <c r="H6610" s="1604">
        <v>2</v>
      </c>
      <c r="I6610" s="1603"/>
      <c r="J6610" s="1603"/>
      <c r="K6610" s="1605">
        <v>926</v>
      </c>
      <c r="L6610" s="1606">
        <v>9726</v>
      </c>
      <c r="M6610" s="1607"/>
      <c r="N6610" s="1606">
        <v>9726</v>
      </c>
      <c r="O6610" s="1606">
        <v>5122.3599999999997</v>
      </c>
      <c r="P6610" s="1606">
        <v>4409.12</v>
      </c>
      <c r="Q6610" s="1605">
        <v>194.52</v>
      </c>
      <c r="R6610" s="1606">
        <v>4603.6400000000003</v>
      </c>
      <c r="S6610" s="1608"/>
    </row>
    <row r="6611" spans="2:19" s="1609" customFormat="1" ht="11.25" customHeight="1" outlineLevel="1">
      <c r="B6611" s="1602">
        <v>26932</v>
      </c>
      <c r="C6611" s="1603" t="s">
        <v>4246</v>
      </c>
      <c r="D6611" s="1603" t="s">
        <v>4281</v>
      </c>
      <c r="E6611" s="1603"/>
      <c r="F6611" s="1603"/>
      <c r="G6611" s="1603" t="s">
        <v>4278</v>
      </c>
      <c r="H6611" s="1604">
        <v>2</v>
      </c>
      <c r="I6611" s="1603"/>
      <c r="J6611" s="1603"/>
      <c r="K6611" s="1606">
        <v>1104</v>
      </c>
      <c r="L6611" s="1606">
        <v>281029</v>
      </c>
      <c r="M6611" s="1607"/>
      <c r="N6611" s="1606">
        <v>281029</v>
      </c>
      <c r="O6611" s="1606">
        <v>114752.8</v>
      </c>
      <c r="P6611" s="1606">
        <v>159250.56</v>
      </c>
      <c r="Q6611" s="1606">
        <v>7025.64</v>
      </c>
      <c r="R6611" s="1606">
        <v>166276.20000000001</v>
      </c>
      <c r="S6611" s="1608"/>
    </row>
    <row r="6612" spans="2:19" s="1609" customFormat="1" ht="11.25" customHeight="1" outlineLevel="1">
      <c r="B6612" s="1602">
        <v>26933</v>
      </c>
      <c r="C6612" s="1603" t="s">
        <v>4246</v>
      </c>
      <c r="D6612" s="1603" t="s">
        <v>4280</v>
      </c>
      <c r="E6612" s="1603"/>
      <c r="F6612" s="1603"/>
      <c r="G6612" s="1603" t="s">
        <v>4278</v>
      </c>
      <c r="H6612" s="1604">
        <v>2</v>
      </c>
      <c r="I6612" s="1603"/>
      <c r="J6612" s="1603"/>
      <c r="K6612" s="1606">
        <v>1404</v>
      </c>
      <c r="L6612" s="1606">
        <v>188168</v>
      </c>
      <c r="M6612" s="1607"/>
      <c r="N6612" s="1606">
        <v>188168</v>
      </c>
      <c r="O6612" s="1606">
        <v>76834.44</v>
      </c>
      <c r="P6612" s="1606">
        <v>106629.44</v>
      </c>
      <c r="Q6612" s="1606">
        <v>4704.12</v>
      </c>
      <c r="R6612" s="1606">
        <v>111333.56</v>
      </c>
      <c r="S6612" s="1608"/>
    </row>
    <row r="6613" spans="2:19" s="1609" customFormat="1" ht="11.25" customHeight="1" outlineLevel="1">
      <c r="B6613" s="1602">
        <v>26934</v>
      </c>
      <c r="C6613" s="1603" t="s">
        <v>4246</v>
      </c>
      <c r="D6613" s="1603" t="s">
        <v>4279</v>
      </c>
      <c r="E6613" s="1603"/>
      <c r="F6613" s="1603"/>
      <c r="G6613" s="1603" t="s">
        <v>4278</v>
      </c>
      <c r="H6613" s="1604">
        <v>2</v>
      </c>
      <c r="I6613" s="1603"/>
      <c r="J6613" s="1603"/>
      <c r="K6613" s="1605">
        <v>713</v>
      </c>
      <c r="L6613" s="1606">
        <v>140197</v>
      </c>
      <c r="M6613" s="1607"/>
      <c r="N6613" s="1606">
        <v>140197</v>
      </c>
      <c r="O6613" s="1606">
        <v>57246.400000000001</v>
      </c>
      <c r="P6613" s="1606">
        <v>79445.759999999995</v>
      </c>
      <c r="Q6613" s="1606">
        <v>3504.84</v>
      </c>
      <c r="R6613" s="1606">
        <v>82950.600000000006</v>
      </c>
      <c r="S6613" s="1608"/>
    </row>
    <row r="6614" spans="2:19" s="1609" customFormat="1" ht="11.25" customHeight="1" outlineLevel="1">
      <c r="B6614" s="1602">
        <v>26948</v>
      </c>
      <c r="C6614" s="1603" t="s">
        <v>4246</v>
      </c>
      <c r="D6614" s="1603" t="s">
        <v>4277</v>
      </c>
      <c r="E6614" s="1603"/>
      <c r="F6614" s="1603"/>
      <c r="G6614" s="1603" t="s">
        <v>4276</v>
      </c>
      <c r="H6614" s="1604">
        <v>2</v>
      </c>
      <c r="I6614" s="1603"/>
      <c r="J6614" s="1603"/>
      <c r="K6614" s="1606">
        <v>1337</v>
      </c>
      <c r="L6614" s="1606">
        <v>151074</v>
      </c>
      <c r="M6614" s="1607"/>
      <c r="N6614" s="1606">
        <v>151074</v>
      </c>
      <c r="O6614" s="1606">
        <v>79565.64</v>
      </c>
      <c r="P6614" s="1606">
        <v>68486.880000000005</v>
      </c>
      <c r="Q6614" s="1606">
        <v>3021.48</v>
      </c>
      <c r="R6614" s="1606">
        <v>71508.36</v>
      </c>
      <c r="S6614" s="1608"/>
    </row>
    <row r="6615" spans="2:19" s="1609" customFormat="1" ht="11.25" customHeight="1" outlineLevel="1">
      <c r="B6615" s="1602">
        <v>26949</v>
      </c>
      <c r="C6615" s="1603" t="s">
        <v>4246</v>
      </c>
      <c r="D6615" s="1603" t="s">
        <v>4275</v>
      </c>
      <c r="E6615" s="1603"/>
      <c r="F6615" s="1603"/>
      <c r="G6615" s="1603" t="s">
        <v>4274</v>
      </c>
      <c r="H6615" s="1604">
        <v>2</v>
      </c>
      <c r="I6615" s="1603"/>
      <c r="J6615" s="1603"/>
      <c r="K6615" s="1606">
        <v>1337</v>
      </c>
      <c r="L6615" s="1606">
        <v>22059</v>
      </c>
      <c r="M6615" s="1607"/>
      <c r="N6615" s="1606">
        <v>22059</v>
      </c>
      <c r="O6615" s="1606">
        <v>11616.44</v>
      </c>
      <c r="P6615" s="1606">
        <v>10001.44</v>
      </c>
      <c r="Q6615" s="1605">
        <v>441.12</v>
      </c>
      <c r="R6615" s="1606">
        <v>10442.56</v>
      </c>
      <c r="S6615" s="1608"/>
    </row>
    <row r="6616" spans="2:19" s="1609" customFormat="1" ht="11.25" customHeight="1" outlineLevel="1">
      <c r="B6616" s="1602">
        <v>26950</v>
      </c>
      <c r="C6616" s="1603" t="s">
        <v>4246</v>
      </c>
      <c r="D6616" s="1603" t="s">
        <v>4273</v>
      </c>
      <c r="E6616" s="1603"/>
      <c r="F6616" s="1603"/>
      <c r="G6616" s="1603" t="s">
        <v>4271</v>
      </c>
      <c r="H6616" s="1604">
        <v>2</v>
      </c>
      <c r="I6616" s="1603"/>
      <c r="J6616" s="1603"/>
      <c r="K6616" s="1605">
        <v>713</v>
      </c>
      <c r="L6616" s="1606">
        <v>35673</v>
      </c>
      <c r="M6616" s="1607"/>
      <c r="N6616" s="1606">
        <v>35673</v>
      </c>
      <c r="O6616" s="1606">
        <v>14566.12</v>
      </c>
      <c r="P6616" s="1606">
        <v>20215.04</v>
      </c>
      <c r="Q6616" s="1605">
        <v>891.84</v>
      </c>
      <c r="R6616" s="1606">
        <v>21106.880000000001</v>
      </c>
      <c r="S6616" s="1608"/>
    </row>
    <row r="6617" spans="2:19" s="1609" customFormat="1" ht="11.25" customHeight="1" outlineLevel="1">
      <c r="B6617" s="1602">
        <v>26951</v>
      </c>
      <c r="C6617" s="1603" t="s">
        <v>4246</v>
      </c>
      <c r="D6617" s="1603" t="s">
        <v>4272</v>
      </c>
      <c r="E6617" s="1603"/>
      <c r="F6617" s="1603"/>
      <c r="G6617" s="1603" t="s">
        <v>4271</v>
      </c>
      <c r="H6617" s="1604">
        <v>2</v>
      </c>
      <c r="I6617" s="1603"/>
      <c r="J6617" s="1603"/>
      <c r="K6617" s="1605">
        <v>889</v>
      </c>
      <c r="L6617" s="1606">
        <v>33328</v>
      </c>
      <c r="M6617" s="1607"/>
      <c r="N6617" s="1606">
        <v>33328</v>
      </c>
      <c r="O6617" s="1606">
        <v>7324.96</v>
      </c>
      <c r="P6617" s="1606">
        <v>24904.32</v>
      </c>
      <c r="Q6617" s="1606">
        <v>1098.72</v>
      </c>
      <c r="R6617" s="1606">
        <v>26003.040000000001</v>
      </c>
      <c r="S6617" s="1608"/>
    </row>
    <row r="6618" spans="2:19" s="1609" customFormat="1" ht="11.25" customHeight="1" outlineLevel="1">
      <c r="B6618" s="1602">
        <v>26952</v>
      </c>
      <c r="C6618" s="1603" t="s">
        <v>4246</v>
      </c>
      <c r="D6618" s="1603" t="s">
        <v>4270</v>
      </c>
      <c r="E6618" s="1603"/>
      <c r="F6618" s="1603"/>
      <c r="G6618" s="1603" t="s">
        <v>4269</v>
      </c>
      <c r="H6618" s="1604">
        <v>2</v>
      </c>
      <c r="I6618" s="1603"/>
      <c r="J6618" s="1603"/>
      <c r="K6618" s="1606">
        <v>1329</v>
      </c>
      <c r="L6618" s="1606">
        <v>116313</v>
      </c>
      <c r="M6618" s="1607"/>
      <c r="N6618" s="1606">
        <v>116313</v>
      </c>
      <c r="O6618" s="1606">
        <v>61256.88</v>
      </c>
      <c r="P6618" s="1606">
        <v>52729.919999999998</v>
      </c>
      <c r="Q6618" s="1606">
        <v>2326.1999999999998</v>
      </c>
      <c r="R6618" s="1606">
        <v>55056.12</v>
      </c>
      <c r="S6618" s="1608"/>
    </row>
    <row r="6619" spans="2:19" s="1609" customFormat="1" ht="11.25" customHeight="1" outlineLevel="1">
      <c r="B6619" s="1602">
        <v>26953</v>
      </c>
      <c r="C6619" s="1603" t="s">
        <v>4246</v>
      </c>
      <c r="D6619" s="1603" t="s">
        <v>4268</v>
      </c>
      <c r="E6619" s="1603"/>
      <c r="F6619" s="1603"/>
      <c r="G6619" s="1603" t="s">
        <v>4267</v>
      </c>
      <c r="H6619" s="1604">
        <v>2</v>
      </c>
      <c r="I6619" s="1603"/>
      <c r="J6619" s="1603"/>
      <c r="K6619" s="1606">
        <v>1337</v>
      </c>
      <c r="L6619" s="1606">
        <v>80216</v>
      </c>
      <c r="M6619" s="1607"/>
      <c r="N6619" s="1606">
        <v>80216</v>
      </c>
      <c r="O6619" s="1606">
        <v>42247.92</v>
      </c>
      <c r="P6619" s="1606">
        <v>36363.68</v>
      </c>
      <c r="Q6619" s="1606">
        <v>1604.4</v>
      </c>
      <c r="R6619" s="1606">
        <v>37968.080000000002</v>
      </c>
      <c r="S6619" s="1608"/>
    </row>
    <row r="6620" spans="2:19" s="1609" customFormat="1" ht="11.25" customHeight="1" outlineLevel="1">
      <c r="B6620" s="1602">
        <v>26954</v>
      </c>
      <c r="C6620" s="1603" t="s">
        <v>4246</v>
      </c>
      <c r="D6620" s="1603" t="s">
        <v>4266</v>
      </c>
      <c r="E6620" s="1603"/>
      <c r="F6620" s="1603"/>
      <c r="G6620" s="1603" t="s">
        <v>4265</v>
      </c>
      <c r="H6620" s="1604">
        <v>2</v>
      </c>
      <c r="I6620" s="1603"/>
      <c r="J6620" s="1603"/>
      <c r="K6620" s="1605">
        <v>426</v>
      </c>
      <c r="L6620" s="1606">
        <v>25987</v>
      </c>
      <c r="M6620" s="1607"/>
      <c r="N6620" s="1606">
        <v>25987</v>
      </c>
      <c r="O6620" s="1606">
        <v>5712.12</v>
      </c>
      <c r="P6620" s="1606">
        <v>19418.080000000002</v>
      </c>
      <c r="Q6620" s="1605">
        <v>856.8</v>
      </c>
      <c r="R6620" s="1606">
        <v>20274.88</v>
      </c>
      <c r="S6620" s="1608"/>
    </row>
    <row r="6621" spans="2:19" s="1609" customFormat="1" ht="11.25" customHeight="1" outlineLevel="1">
      <c r="B6621" s="1602">
        <v>26955</v>
      </c>
      <c r="C6621" s="1603" t="s">
        <v>4246</v>
      </c>
      <c r="D6621" s="1603" t="s">
        <v>4264</v>
      </c>
      <c r="E6621" s="1603"/>
      <c r="F6621" s="1603"/>
      <c r="G6621" s="1603" t="s">
        <v>4263</v>
      </c>
      <c r="H6621" s="1604">
        <v>2</v>
      </c>
      <c r="I6621" s="1603"/>
      <c r="J6621" s="1603"/>
      <c r="K6621" s="1605">
        <v>511</v>
      </c>
      <c r="L6621" s="1606">
        <v>92020</v>
      </c>
      <c r="M6621" s="1607"/>
      <c r="N6621" s="1606">
        <v>92020</v>
      </c>
      <c r="O6621" s="1606">
        <v>37574.36</v>
      </c>
      <c r="P6621" s="1606">
        <v>52145.120000000003</v>
      </c>
      <c r="Q6621" s="1606">
        <v>2300.52</v>
      </c>
      <c r="R6621" s="1606">
        <v>54445.64</v>
      </c>
      <c r="S6621" s="1608"/>
    </row>
    <row r="6622" spans="2:19" s="1609" customFormat="1" ht="11.25" customHeight="1" outlineLevel="1">
      <c r="B6622" s="1602">
        <v>26956</v>
      </c>
      <c r="C6622" s="1603" t="s">
        <v>4246</v>
      </c>
      <c r="D6622" s="1603" t="s">
        <v>4262</v>
      </c>
      <c r="E6622" s="1603"/>
      <c r="F6622" s="1603"/>
      <c r="G6622" s="1603" t="s">
        <v>4261</v>
      </c>
      <c r="H6622" s="1604">
        <v>2</v>
      </c>
      <c r="I6622" s="1603"/>
      <c r="J6622" s="1603"/>
      <c r="K6622" s="1605">
        <v>511</v>
      </c>
      <c r="L6622" s="1606">
        <v>39620</v>
      </c>
      <c r="M6622" s="1607"/>
      <c r="N6622" s="1606">
        <v>39620</v>
      </c>
      <c r="O6622" s="1606">
        <v>16178.64</v>
      </c>
      <c r="P6622" s="1606">
        <v>22450.880000000001</v>
      </c>
      <c r="Q6622" s="1605">
        <v>990.48</v>
      </c>
      <c r="R6622" s="1606">
        <v>23441.360000000001</v>
      </c>
      <c r="S6622" s="1608"/>
    </row>
    <row r="6623" spans="2:19" s="1609" customFormat="1" ht="11.25" customHeight="1" outlineLevel="1">
      <c r="B6623" s="1602">
        <v>26957</v>
      </c>
      <c r="C6623" s="1603" t="s">
        <v>4246</v>
      </c>
      <c r="D6623" s="1603" t="s">
        <v>4260</v>
      </c>
      <c r="E6623" s="1603"/>
      <c r="F6623" s="1603"/>
      <c r="G6623" s="1603" t="s">
        <v>4259</v>
      </c>
      <c r="H6623" s="1604">
        <v>2</v>
      </c>
      <c r="I6623" s="1603"/>
      <c r="J6623" s="1603"/>
      <c r="K6623" s="1605">
        <v>511</v>
      </c>
      <c r="L6623" s="1606">
        <v>12781</v>
      </c>
      <c r="M6623" s="1607"/>
      <c r="N6623" s="1606">
        <v>12781</v>
      </c>
      <c r="O6623" s="1606">
        <v>5218.2</v>
      </c>
      <c r="P6623" s="1606">
        <v>7243.36</v>
      </c>
      <c r="Q6623" s="1605">
        <v>319.44</v>
      </c>
      <c r="R6623" s="1606">
        <v>7562.8</v>
      </c>
      <c r="S6623" s="1608"/>
    </row>
    <row r="6624" spans="2:19" s="1609" customFormat="1" ht="11.25" customHeight="1" outlineLevel="1">
      <c r="B6624" s="1602">
        <v>26958</v>
      </c>
      <c r="C6624" s="1603" t="s">
        <v>4246</v>
      </c>
      <c r="D6624" s="1603" t="s">
        <v>4258</v>
      </c>
      <c r="E6624" s="1603"/>
      <c r="F6624" s="1603"/>
      <c r="G6624" s="1603" t="s">
        <v>4257</v>
      </c>
      <c r="H6624" s="1604">
        <v>2</v>
      </c>
      <c r="I6624" s="1603"/>
      <c r="J6624" s="1603"/>
      <c r="K6624" s="1605">
        <v>511</v>
      </c>
      <c r="L6624" s="1606">
        <v>66459</v>
      </c>
      <c r="M6624" s="1607"/>
      <c r="N6624" s="1606">
        <v>66459</v>
      </c>
      <c r="O6624" s="1606">
        <v>27136.48</v>
      </c>
      <c r="P6624" s="1606">
        <v>37661.120000000003</v>
      </c>
      <c r="Q6624" s="1606">
        <v>1661.4</v>
      </c>
      <c r="R6624" s="1606">
        <v>39322.519999999997</v>
      </c>
      <c r="S6624" s="1608"/>
    </row>
    <row r="6625" spans="2:19" s="1609" customFormat="1" ht="11.25" customHeight="1" outlineLevel="1">
      <c r="B6625" s="1602">
        <v>26964</v>
      </c>
      <c r="C6625" s="1603" t="s">
        <v>4246</v>
      </c>
      <c r="D6625" s="1603" t="s">
        <v>4256</v>
      </c>
      <c r="E6625" s="1603"/>
      <c r="F6625" s="1603"/>
      <c r="G6625" s="1603" t="s">
        <v>4255</v>
      </c>
      <c r="H6625" s="1604">
        <v>2</v>
      </c>
      <c r="I6625" s="1603"/>
      <c r="J6625" s="1603"/>
      <c r="K6625" s="1605">
        <v>435</v>
      </c>
      <c r="L6625" s="1606">
        <v>55586</v>
      </c>
      <c r="M6625" s="1607"/>
      <c r="N6625" s="1606">
        <v>55586</v>
      </c>
      <c r="O6625" s="1606">
        <v>22698.68</v>
      </c>
      <c r="P6625" s="1606">
        <v>31497.599999999999</v>
      </c>
      <c r="Q6625" s="1606">
        <v>1389.72</v>
      </c>
      <c r="R6625" s="1606">
        <v>32887.32</v>
      </c>
      <c r="S6625" s="1608"/>
    </row>
    <row r="6626" spans="2:19" s="1609" customFormat="1" ht="11.25" customHeight="1" outlineLevel="1">
      <c r="B6626" s="1602">
        <v>26965</v>
      </c>
      <c r="C6626" s="1603" t="s">
        <v>4246</v>
      </c>
      <c r="D6626" s="1603" t="s">
        <v>4254</v>
      </c>
      <c r="E6626" s="1603"/>
      <c r="F6626" s="1603"/>
      <c r="G6626" s="1603" t="s">
        <v>4253</v>
      </c>
      <c r="H6626" s="1604">
        <v>2</v>
      </c>
      <c r="I6626" s="1603"/>
      <c r="J6626" s="1603"/>
      <c r="K6626" s="1605">
        <v>407</v>
      </c>
      <c r="L6626" s="1606">
        <v>50927</v>
      </c>
      <c r="M6626" s="1607"/>
      <c r="N6626" s="1606">
        <v>50927</v>
      </c>
      <c r="O6626" s="1606">
        <v>20794.62</v>
      </c>
      <c r="P6626" s="1606">
        <v>28859.200000000001</v>
      </c>
      <c r="Q6626" s="1606">
        <v>1273.18</v>
      </c>
      <c r="R6626" s="1606">
        <v>30132.38</v>
      </c>
      <c r="S6626" s="1608"/>
    </row>
    <row r="6627" spans="2:19" s="1609" customFormat="1" ht="11.25" customHeight="1" outlineLevel="1">
      <c r="B6627" s="1602">
        <v>26966</v>
      </c>
      <c r="C6627" s="1603" t="s">
        <v>4246</v>
      </c>
      <c r="D6627" s="1603" t="s">
        <v>4252</v>
      </c>
      <c r="E6627" s="1603"/>
      <c r="F6627" s="1603"/>
      <c r="G6627" s="1603" t="s">
        <v>4251</v>
      </c>
      <c r="H6627" s="1604">
        <v>2</v>
      </c>
      <c r="I6627" s="1603"/>
      <c r="J6627" s="1603"/>
      <c r="K6627" s="1605">
        <v>337</v>
      </c>
      <c r="L6627" s="1606">
        <v>33684</v>
      </c>
      <c r="M6627" s="1607"/>
      <c r="N6627" s="1606">
        <v>33684</v>
      </c>
      <c r="O6627" s="1606">
        <v>13753</v>
      </c>
      <c r="P6627" s="1606">
        <v>19088.96</v>
      </c>
      <c r="Q6627" s="1605">
        <v>842.04</v>
      </c>
      <c r="R6627" s="1606">
        <v>19931</v>
      </c>
      <c r="S6627" s="1608"/>
    </row>
    <row r="6628" spans="2:19" s="1609" customFormat="1" ht="11.25" customHeight="1" outlineLevel="1">
      <c r="B6628" s="1602">
        <v>26973</v>
      </c>
      <c r="C6628" s="1603" t="s">
        <v>4246</v>
      </c>
      <c r="D6628" s="1603" t="s">
        <v>4250</v>
      </c>
      <c r="E6628" s="1603"/>
      <c r="F6628" s="1603"/>
      <c r="G6628" s="1603" t="s">
        <v>4249</v>
      </c>
      <c r="H6628" s="1604">
        <v>2</v>
      </c>
      <c r="I6628" s="1603"/>
      <c r="J6628" s="1603"/>
      <c r="K6628" s="1605">
        <v>157</v>
      </c>
      <c r="L6628" s="1606">
        <v>4077</v>
      </c>
      <c r="M6628" s="1607"/>
      <c r="N6628" s="1606">
        <v>4077</v>
      </c>
      <c r="O6628" s="1606">
        <v>1665.72</v>
      </c>
      <c r="P6628" s="1606">
        <v>2309.2800000000002</v>
      </c>
      <c r="Q6628" s="1605">
        <v>102</v>
      </c>
      <c r="R6628" s="1606">
        <v>2411.2800000000002</v>
      </c>
      <c r="S6628" s="1608"/>
    </row>
    <row r="6629" spans="2:19" s="1609" customFormat="1" ht="11.25" customHeight="1" outlineLevel="1">
      <c r="B6629" s="1602">
        <v>26974</v>
      </c>
      <c r="C6629" s="1603" t="s">
        <v>4246</v>
      </c>
      <c r="D6629" s="1603" t="s">
        <v>4248</v>
      </c>
      <c r="E6629" s="1603"/>
      <c r="F6629" s="1603"/>
      <c r="G6629" s="1603" t="s">
        <v>4247</v>
      </c>
      <c r="H6629" s="1604">
        <v>2</v>
      </c>
      <c r="I6629" s="1603"/>
      <c r="J6629" s="1603"/>
      <c r="K6629" s="1605">
        <v>157</v>
      </c>
      <c r="L6629" s="1606">
        <v>14397</v>
      </c>
      <c r="M6629" s="1607"/>
      <c r="N6629" s="1606">
        <v>14397</v>
      </c>
      <c r="O6629" s="1606">
        <v>5879.72</v>
      </c>
      <c r="P6629" s="1606">
        <v>8157.28</v>
      </c>
      <c r="Q6629" s="1605">
        <v>360</v>
      </c>
      <c r="R6629" s="1606">
        <v>8517.2800000000007</v>
      </c>
      <c r="S6629" s="1608"/>
    </row>
    <row r="6630" spans="2:19" s="1609" customFormat="1" ht="11.25" customHeight="1" outlineLevel="1">
      <c r="B6630" s="1602">
        <v>26975</v>
      </c>
      <c r="C6630" s="1603" t="s">
        <v>4246</v>
      </c>
      <c r="D6630" s="1603" t="s">
        <v>4245</v>
      </c>
      <c r="E6630" s="1603"/>
      <c r="F6630" s="1603"/>
      <c r="G6630" s="1603" t="s">
        <v>4244</v>
      </c>
      <c r="H6630" s="1604">
        <v>2</v>
      </c>
      <c r="I6630" s="1603"/>
      <c r="J6630" s="1603"/>
      <c r="K6630" s="1605">
        <v>157</v>
      </c>
      <c r="L6630" s="1606">
        <v>3136</v>
      </c>
      <c r="M6630" s="1607"/>
      <c r="N6630" s="1606">
        <v>3136</v>
      </c>
      <c r="O6630" s="1606">
        <v>1281.3599999999999</v>
      </c>
      <c r="P6630" s="1606">
        <v>1776.16</v>
      </c>
      <c r="Q6630" s="1605">
        <v>78.48</v>
      </c>
      <c r="R6630" s="1606">
        <v>1854.64</v>
      </c>
      <c r="S6630" s="1608"/>
    </row>
    <row r="6631" spans="2:19" s="1609" customFormat="1" ht="11.25" customHeight="1" outlineLevel="1">
      <c r="B6631" s="1602">
        <v>26994</v>
      </c>
      <c r="C6631" s="1603" t="s">
        <v>4241</v>
      </c>
      <c r="D6631" s="1603" t="s">
        <v>4243</v>
      </c>
      <c r="E6631" s="1603"/>
      <c r="F6631" s="1603"/>
      <c r="G6631" s="1603" t="s">
        <v>4242</v>
      </c>
      <c r="H6631" s="1604">
        <v>2</v>
      </c>
      <c r="I6631" s="1603"/>
      <c r="J6631" s="1603"/>
      <c r="K6631" s="1605">
        <v>20</v>
      </c>
      <c r="L6631" s="1606">
        <v>9341</v>
      </c>
      <c r="M6631" s="1607"/>
      <c r="N6631" s="1606">
        <v>9341</v>
      </c>
      <c r="O6631" s="1606">
        <v>3833.82</v>
      </c>
      <c r="P6631" s="1606">
        <v>5273.66</v>
      </c>
      <c r="Q6631" s="1605">
        <v>233.52</v>
      </c>
      <c r="R6631" s="1606">
        <v>5507.18</v>
      </c>
      <c r="S6631" s="1608"/>
    </row>
    <row r="6632" spans="2:19" s="1609" customFormat="1" ht="11.25" customHeight="1" outlineLevel="1">
      <c r="B6632" s="1602">
        <v>26996</v>
      </c>
      <c r="C6632" s="1603" t="s">
        <v>4241</v>
      </c>
      <c r="D6632" s="1603" t="s">
        <v>4240</v>
      </c>
      <c r="E6632" s="1603"/>
      <c r="F6632" s="1603"/>
      <c r="G6632" s="1603" t="s">
        <v>4239</v>
      </c>
      <c r="H6632" s="1604">
        <v>2</v>
      </c>
      <c r="I6632" s="1603"/>
      <c r="J6632" s="1603"/>
      <c r="K6632" s="1605">
        <v>685</v>
      </c>
      <c r="L6632" s="1606">
        <v>36223</v>
      </c>
      <c r="M6632" s="1607"/>
      <c r="N6632" s="1606">
        <v>36223</v>
      </c>
      <c r="O6632" s="1606">
        <v>8061.52</v>
      </c>
      <c r="P6632" s="1606">
        <v>26967.21</v>
      </c>
      <c r="Q6632" s="1606">
        <v>1194.27</v>
      </c>
      <c r="R6632" s="1606">
        <v>28161.48</v>
      </c>
      <c r="S6632" s="1608"/>
    </row>
    <row r="6633" spans="2:19" s="1609" customFormat="1" ht="11.25" customHeight="1" outlineLevel="1">
      <c r="B6633" s="1602">
        <v>27024</v>
      </c>
      <c r="C6633" s="1603" t="s">
        <v>4234</v>
      </c>
      <c r="D6633" s="1603" t="s">
        <v>4238</v>
      </c>
      <c r="E6633" s="1603"/>
      <c r="F6633" s="1603"/>
      <c r="G6633" s="1603" t="s">
        <v>4237</v>
      </c>
      <c r="H6633" s="1604">
        <v>2</v>
      </c>
      <c r="I6633" s="1603"/>
      <c r="J6633" s="1603"/>
      <c r="K6633" s="1605">
        <v>261</v>
      </c>
      <c r="L6633" s="1606">
        <v>20097</v>
      </c>
      <c r="M6633" s="1607"/>
      <c r="N6633" s="1606">
        <v>20097</v>
      </c>
      <c r="O6633" s="1606">
        <v>4527.66</v>
      </c>
      <c r="P6633" s="1606">
        <v>14906.7</v>
      </c>
      <c r="Q6633" s="1605">
        <v>662.64</v>
      </c>
      <c r="R6633" s="1606">
        <v>15569.34</v>
      </c>
      <c r="S6633" s="1608"/>
    </row>
    <row r="6634" spans="2:19" s="1609" customFormat="1" ht="11.25" customHeight="1" outlineLevel="1">
      <c r="B6634" s="1602">
        <v>27025</v>
      </c>
      <c r="C6634" s="1603" t="s">
        <v>4234</v>
      </c>
      <c r="D6634" s="1603" t="s">
        <v>4236</v>
      </c>
      <c r="E6634" s="1603"/>
      <c r="F6634" s="1603"/>
      <c r="G6634" s="1603" t="s">
        <v>4235</v>
      </c>
      <c r="H6634" s="1604">
        <v>2</v>
      </c>
      <c r="I6634" s="1603"/>
      <c r="J6634" s="1603"/>
      <c r="K6634" s="1605">
        <v>264</v>
      </c>
      <c r="L6634" s="1606">
        <v>3703</v>
      </c>
      <c r="M6634" s="1607"/>
      <c r="N6634" s="1606">
        <v>3703</v>
      </c>
      <c r="O6634" s="1606">
        <v>1963.06</v>
      </c>
      <c r="P6634" s="1606">
        <v>1665.9</v>
      </c>
      <c r="Q6634" s="1605">
        <v>74.040000000000006</v>
      </c>
      <c r="R6634" s="1606">
        <v>1739.94</v>
      </c>
      <c r="S6634" s="1608"/>
    </row>
    <row r="6635" spans="2:19" s="1609" customFormat="1" ht="11.25" customHeight="1" outlineLevel="1">
      <c r="B6635" s="1602">
        <v>27026</v>
      </c>
      <c r="C6635" s="1603" t="s">
        <v>4234</v>
      </c>
      <c r="D6635" s="1603" t="s">
        <v>4233</v>
      </c>
      <c r="E6635" s="1603"/>
      <c r="F6635" s="1603"/>
      <c r="G6635" s="1603" t="s">
        <v>4232</v>
      </c>
      <c r="H6635" s="1604">
        <v>2</v>
      </c>
      <c r="I6635" s="1603"/>
      <c r="J6635" s="1603"/>
      <c r="K6635" s="1605">
        <v>6</v>
      </c>
      <c r="L6635" s="1606">
        <v>3100</v>
      </c>
      <c r="M6635" s="1607"/>
      <c r="N6635" s="1606">
        <v>3100</v>
      </c>
      <c r="O6635" s="1606">
        <v>1642.18</v>
      </c>
      <c r="P6635" s="1606">
        <v>1395.9</v>
      </c>
      <c r="Q6635" s="1605">
        <v>61.92</v>
      </c>
      <c r="R6635" s="1606">
        <v>1457.82</v>
      </c>
      <c r="S6635" s="1608"/>
    </row>
    <row r="6636" spans="2:19" s="1609" customFormat="1" ht="11.25" customHeight="1" outlineLevel="1">
      <c r="B6636" s="1602">
        <v>27074</v>
      </c>
      <c r="C6636" s="1603" t="s">
        <v>4227</v>
      </c>
      <c r="D6636" s="1603" t="s">
        <v>4231</v>
      </c>
      <c r="E6636" s="1603"/>
      <c r="F6636" s="1603"/>
      <c r="G6636" s="1603" t="s">
        <v>4230</v>
      </c>
      <c r="H6636" s="1604">
        <v>2</v>
      </c>
      <c r="I6636" s="1603"/>
      <c r="J6636" s="1603"/>
      <c r="K6636" s="1605">
        <v>392</v>
      </c>
      <c r="L6636" s="1606">
        <v>7456</v>
      </c>
      <c r="M6636" s="1607"/>
      <c r="N6636" s="1606">
        <v>7456</v>
      </c>
      <c r="O6636" s="1606">
        <v>3963.29</v>
      </c>
      <c r="P6636" s="1606">
        <v>3343.67</v>
      </c>
      <c r="Q6636" s="1605">
        <v>149.04</v>
      </c>
      <c r="R6636" s="1606">
        <v>3492.71</v>
      </c>
      <c r="S6636" s="1608"/>
    </row>
    <row r="6637" spans="2:19" s="1609" customFormat="1" ht="11.25" customHeight="1" outlineLevel="1">
      <c r="B6637" s="1602">
        <v>27076</v>
      </c>
      <c r="C6637" s="1603" t="s">
        <v>4227</v>
      </c>
      <c r="D6637" s="1603" t="s">
        <v>4229</v>
      </c>
      <c r="E6637" s="1603"/>
      <c r="F6637" s="1603"/>
      <c r="G6637" s="1603" t="s">
        <v>4225</v>
      </c>
      <c r="H6637" s="1604">
        <v>2</v>
      </c>
      <c r="I6637" s="1603"/>
      <c r="J6637" s="1603"/>
      <c r="K6637" s="1605">
        <v>423</v>
      </c>
      <c r="L6637" s="1606">
        <v>10373</v>
      </c>
      <c r="M6637" s="1607"/>
      <c r="N6637" s="1606">
        <v>10373</v>
      </c>
      <c r="O6637" s="1606">
        <v>5514.51</v>
      </c>
      <c r="P6637" s="1606">
        <v>4651.01</v>
      </c>
      <c r="Q6637" s="1605">
        <v>207.48</v>
      </c>
      <c r="R6637" s="1606">
        <v>4858.49</v>
      </c>
      <c r="S6637" s="1608"/>
    </row>
    <row r="6638" spans="2:19" s="1609" customFormat="1" ht="11.25" customHeight="1" outlineLevel="1">
      <c r="B6638" s="1602">
        <v>27077</v>
      </c>
      <c r="C6638" s="1603" t="s">
        <v>4227</v>
      </c>
      <c r="D6638" s="1603" t="s">
        <v>4228</v>
      </c>
      <c r="E6638" s="1603"/>
      <c r="F6638" s="1603"/>
      <c r="G6638" s="1603" t="s">
        <v>4225</v>
      </c>
      <c r="H6638" s="1604">
        <v>2</v>
      </c>
      <c r="I6638" s="1603"/>
      <c r="J6638" s="1603"/>
      <c r="K6638" s="1605">
        <v>423</v>
      </c>
      <c r="L6638" s="1606">
        <v>2371</v>
      </c>
      <c r="M6638" s="1607"/>
      <c r="N6638" s="1606">
        <v>2371</v>
      </c>
      <c r="O6638" s="1605">
        <v>541.57000000000005</v>
      </c>
      <c r="P6638" s="1606">
        <v>1751.19</v>
      </c>
      <c r="Q6638" s="1605">
        <v>78.239999999999995</v>
      </c>
      <c r="R6638" s="1606">
        <v>1829.43</v>
      </c>
      <c r="S6638" s="1608"/>
    </row>
    <row r="6639" spans="2:19" s="1609" customFormat="1" ht="11.25" customHeight="1" outlineLevel="1">
      <c r="B6639" s="1602">
        <v>27078</v>
      </c>
      <c r="C6639" s="1603" t="s">
        <v>4227</v>
      </c>
      <c r="D6639" s="1603" t="s">
        <v>4226</v>
      </c>
      <c r="E6639" s="1603"/>
      <c r="F6639" s="1603"/>
      <c r="G6639" s="1603" t="s">
        <v>4225</v>
      </c>
      <c r="H6639" s="1604">
        <v>2</v>
      </c>
      <c r="I6639" s="1603"/>
      <c r="J6639" s="1603"/>
      <c r="K6639" s="1605">
        <v>423</v>
      </c>
      <c r="L6639" s="1606">
        <v>71088</v>
      </c>
      <c r="M6639" s="1607"/>
      <c r="N6639" s="1606">
        <v>71088</v>
      </c>
      <c r="O6639" s="1606">
        <v>16208.82</v>
      </c>
      <c r="P6639" s="1606">
        <v>52535.7</v>
      </c>
      <c r="Q6639" s="1606">
        <v>2343.48</v>
      </c>
      <c r="R6639" s="1606">
        <v>54879.18</v>
      </c>
      <c r="S6639" s="1608"/>
    </row>
    <row r="6640" spans="2:19" s="1609" customFormat="1" ht="11.25" customHeight="1" outlineLevel="1">
      <c r="B6640" s="1602">
        <v>27169</v>
      </c>
      <c r="C6640" s="1603" t="s">
        <v>4164</v>
      </c>
      <c r="D6640" s="1603" t="s">
        <v>4224</v>
      </c>
      <c r="E6640" s="1603"/>
      <c r="F6640" s="1603"/>
      <c r="G6640" s="1603" t="s">
        <v>4222</v>
      </c>
      <c r="H6640" s="1604">
        <v>2</v>
      </c>
      <c r="I6640" s="1603"/>
      <c r="J6640" s="1603"/>
      <c r="K6640" s="1605">
        <v>210</v>
      </c>
      <c r="L6640" s="1606">
        <v>15960</v>
      </c>
      <c r="M6640" s="1607"/>
      <c r="N6640" s="1606">
        <v>15960</v>
      </c>
      <c r="O6640" s="1606">
        <v>6650</v>
      </c>
      <c r="P6640" s="1606">
        <v>8911</v>
      </c>
      <c r="Q6640" s="1605">
        <v>399</v>
      </c>
      <c r="R6640" s="1606">
        <v>9310</v>
      </c>
      <c r="S6640" s="1608"/>
    </row>
    <row r="6641" spans="2:19" s="1609" customFormat="1" ht="11.25" customHeight="1" outlineLevel="1">
      <c r="B6641" s="1602">
        <v>27170</v>
      </c>
      <c r="C6641" s="1603" t="s">
        <v>4164</v>
      </c>
      <c r="D6641" s="1603" t="s">
        <v>4223</v>
      </c>
      <c r="E6641" s="1603"/>
      <c r="F6641" s="1603"/>
      <c r="G6641" s="1603" t="s">
        <v>4222</v>
      </c>
      <c r="H6641" s="1604">
        <v>2</v>
      </c>
      <c r="I6641" s="1603"/>
      <c r="J6641" s="1603"/>
      <c r="K6641" s="1605">
        <v>210</v>
      </c>
      <c r="L6641" s="1606">
        <v>20202</v>
      </c>
      <c r="M6641" s="1607"/>
      <c r="N6641" s="1606">
        <v>20202</v>
      </c>
      <c r="O6641" s="1606">
        <v>8416.92</v>
      </c>
      <c r="P6641" s="1606">
        <v>11280.12</v>
      </c>
      <c r="Q6641" s="1605">
        <v>504.96</v>
      </c>
      <c r="R6641" s="1606">
        <v>11785.08</v>
      </c>
      <c r="S6641" s="1608"/>
    </row>
    <row r="6642" spans="2:19" s="1609" customFormat="1" ht="11.25" customHeight="1" outlineLevel="1">
      <c r="B6642" s="1602">
        <v>27173</v>
      </c>
      <c r="C6642" s="1603" t="s">
        <v>4164</v>
      </c>
      <c r="D6642" s="1603" t="s">
        <v>4221</v>
      </c>
      <c r="E6642" s="1603"/>
      <c r="F6642" s="1603"/>
      <c r="G6642" s="1603" t="s">
        <v>4219</v>
      </c>
      <c r="H6642" s="1604">
        <v>2</v>
      </c>
      <c r="I6642" s="1603"/>
      <c r="J6642" s="1603"/>
      <c r="K6642" s="1605">
        <v>210</v>
      </c>
      <c r="L6642" s="1606">
        <v>98983</v>
      </c>
      <c r="M6642" s="1607"/>
      <c r="N6642" s="1606">
        <v>98983</v>
      </c>
      <c r="O6642" s="1606">
        <v>41244.080000000002</v>
      </c>
      <c r="P6642" s="1606">
        <v>55264.28</v>
      </c>
      <c r="Q6642" s="1606">
        <v>2474.64</v>
      </c>
      <c r="R6642" s="1606">
        <v>57738.92</v>
      </c>
      <c r="S6642" s="1608"/>
    </row>
    <row r="6643" spans="2:19" s="1609" customFormat="1" ht="11.25" customHeight="1" outlineLevel="1">
      <c r="B6643" s="1602">
        <v>27174</v>
      </c>
      <c r="C6643" s="1603" t="s">
        <v>4164</v>
      </c>
      <c r="D6643" s="1603" t="s">
        <v>4220</v>
      </c>
      <c r="E6643" s="1603"/>
      <c r="F6643" s="1603"/>
      <c r="G6643" s="1603" t="s">
        <v>4219</v>
      </c>
      <c r="H6643" s="1604">
        <v>2</v>
      </c>
      <c r="I6643" s="1603"/>
      <c r="J6643" s="1603"/>
      <c r="K6643" s="1605">
        <v>210</v>
      </c>
      <c r="L6643" s="1606">
        <v>14994</v>
      </c>
      <c r="M6643" s="1607"/>
      <c r="N6643" s="1606">
        <v>14994</v>
      </c>
      <c r="O6643" s="1606">
        <v>6246.92</v>
      </c>
      <c r="P6643" s="1606">
        <v>8372.32</v>
      </c>
      <c r="Q6643" s="1605">
        <v>374.76</v>
      </c>
      <c r="R6643" s="1606">
        <v>8747.08</v>
      </c>
      <c r="S6643" s="1608"/>
    </row>
    <row r="6644" spans="2:19" s="1609" customFormat="1" ht="11.25" customHeight="1" outlineLevel="1">
      <c r="B6644" s="1602">
        <v>27175</v>
      </c>
      <c r="C6644" s="1603" t="s">
        <v>4164</v>
      </c>
      <c r="D6644" s="1603" t="s">
        <v>4218</v>
      </c>
      <c r="E6644" s="1603"/>
      <c r="F6644" s="1603"/>
      <c r="G6644" s="1603" t="s">
        <v>4216</v>
      </c>
      <c r="H6644" s="1604">
        <v>2</v>
      </c>
      <c r="I6644" s="1603"/>
      <c r="J6644" s="1603"/>
      <c r="K6644" s="1605">
        <v>210</v>
      </c>
      <c r="L6644" s="1606">
        <v>19173</v>
      </c>
      <c r="M6644" s="1607"/>
      <c r="N6644" s="1606">
        <v>19173</v>
      </c>
      <c r="O6644" s="1606">
        <v>7989.68</v>
      </c>
      <c r="P6644" s="1606">
        <v>10703.92</v>
      </c>
      <c r="Q6644" s="1605">
        <v>479.4</v>
      </c>
      <c r="R6644" s="1606">
        <v>11183.32</v>
      </c>
      <c r="S6644" s="1608"/>
    </row>
    <row r="6645" spans="2:19" s="1609" customFormat="1" ht="11.25" customHeight="1" outlineLevel="1">
      <c r="B6645" s="1602">
        <v>27176</v>
      </c>
      <c r="C6645" s="1603" t="s">
        <v>4164</v>
      </c>
      <c r="D6645" s="1603" t="s">
        <v>4217</v>
      </c>
      <c r="E6645" s="1603"/>
      <c r="F6645" s="1603"/>
      <c r="G6645" s="1603" t="s">
        <v>4216</v>
      </c>
      <c r="H6645" s="1604">
        <v>2</v>
      </c>
      <c r="I6645" s="1603"/>
      <c r="J6645" s="1603"/>
      <c r="K6645" s="1605">
        <v>228</v>
      </c>
      <c r="L6645" s="1606">
        <v>11183</v>
      </c>
      <c r="M6645" s="1607"/>
      <c r="N6645" s="1606">
        <v>11183</v>
      </c>
      <c r="O6645" s="1606">
        <v>4659</v>
      </c>
      <c r="P6645" s="1606">
        <v>6244.4</v>
      </c>
      <c r="Q6645" s="1605">
        <v>279.60000000000002</v>
      </c>
      <c r="R6645" s="1606">
        <v>6524</v>
      </c>
      <c r="S6645" s="1608"/>
    </row>
    <row r="6646" spans="2:19" s="1609" customFormat="1" ht="11.25" customHeight="1" outlineLevel="1">
      <c r="B6646" s="1602">
        <v>27179</v>
      </c>
      <c r="C6646" s="1603" t="s">
        <v>4164</v>
      </c>
      <c r="D6646" s="1603" t="s">
        <v>4215</v>
      </c>
      <c r="E6646" s="1603"/>
      <c r="F6646" s="1603"/>
      <c r="G6646" s="1603" t="s">
        <v>4213</v>
      </c>
      <c r="H6646" s="1604">
        <v>2</v>
      </c>
      <c r="I6646" s="1603"/>
      <c r="J6646" s="1603"/>
      <c r="K6646" s="1605">
        <v>210</v>
      </c>
      <c r="L6646" s="1606">
        <v>37359</v>
      </c>
      <c r="M6646" s="1607"/>
      <c r="N6646" s="1606">
        <v>37359</v>
      </c>
      <c r="O6646" s="1606">
        <v>15566.6</v>
      </c>
      <c r="P6646" s="1606">
        <v>20858.439999999999</v>
      </c>
      <c r="Q6646" s="1605">
        <v>933.96</v>
      </c>
      <c r="R6646" s="1606">
        <v>21792.400000000001</v>
      </c>
      <c r="S6646" s="1608"/>
    </row>
    <row r="6647" spans="2:19" s="1609" customFormat="1" ht="11.25" customHeight="1" outlineLevel="1">
      <c r="B6647" s="1602">
        <v>27180</v>
      </c>
      <c r="C6647" s="1603" t="s">
        <v>4164</v>
      </c>
      <c r="D6647" s="1603" t="s">
        <v>4214</v>
      </c>
      <c r="E6647" s="1603"/>
      <c r="F6647" s="1603"/>
      <c r="G6647" s="1603" t="s">
        <v>4213</v>
      </c>
      <c r="H6647" s="1604">
        <v>2</v>
      </c>
      <c r="I6647" s="1603"/>
      <c r="J6647" s="1603"/>
      <c r="K6647" s="1605">
        <v>210</v>
      </c>
      <c r="L6647" s="1606">
        <v>4662</v>
      </c>
      <c r="M6647" s="1607"/>
      <c r="N6647" s="1606">
        <v>4662</v>
      </c>
      <c r="O6647" s="1606">
        <v>1943.08</v>
      </c>
      <c r="P6647" s="1606">
        <v>2602.2800000000002</v>
      </c>
      <c r="Q6647" s="1605">
        <v>116.64</v>
      </c>
      <c r="R6647" s="1606">
        <v>2718.92</v>
      </c>
      <c r="S6647" s="1608"/>
    </row>
    <row r="6648" spans="2:19" s="1609" customFormat="1" ht="11.25" customHeight="1" outlineLevel="1">
      <c r="B6648" s="1602">
        <v>27182</v>
      </c>
      <c r="C6648" s="1603" t="s">
        <v>4164</v>
      </c>
      <c r="D6648" s="1603" t="s">
        <v>4212</v>
      </c>
      <c r="E6648" s="1603"/>
      <c r="F6648" s="1603"/>
      <c r="G6648" s="1603" t="s">
        <v>4211</v>
      </c>
      <c r="H6648" s="1604">
        <v>2</v>
      </c>
      <c r="I6648" s="1603"/>
      <c r="J6648" s="1603"/>
      <c r="K6648" s="1605">
        <v>210</v>
      </c>
      <c r="L6648" s="1606">
        <v>3297</v>
      </c>
      <c r="M6648" s="1607"/>
      <c r="N6648" s="1606">
        <v>3297</v>
      </c>
      <c r="O6648" s="1606">
        <v>1373.4</v>
      </c>
      <c r="P6648" s="1606">
        <v>1841.16</v>
      </c>
      <c r="Q6648" s="1605">
        <v>82.44</v>
      </c>
      <c r="R6648" s="1606">
        <v>1923.6</v>
      </c>
      <c r="S6648" s="1608"/>
    </row>
    <row r="6649" spans="2:19" s="1609" customFormat="1" ht="11.25" customHeight="1" outlineLevel="1">
      <c r="B6649" s="1602">
        <v>27184</v>
      </c>
      <c r="C6649" s="1603" t="s">
        <v>4164</v>
      </c>
      <c r="D6649" s="1603" t="s">
        <v>4210</v>
      </c>
      <c r="E6649" s="1603"/>
      <c r="F6649" s="1603"/>
      <c r="G6649" s="1603" t="s">
        <v>4209</v>
      </c>
      <c r="H6649" s="1604">
        <v>2</v>
      </c>
      <c r="I6649" s="1603"/>
      <c r="J6649" s="1603"/>
      <c r="K6649" s="1605">
        <v>210</v>
      </c>
      <c r="L6649" s="1606">
        <v>3654</v>
      </c>
      <c r="M6649" s="1607"/>
      <c r="N6649" s="1606">
        <v>3654</v>
      </c>
      <c r="O6649" s="1606">
        <v>1523.08</v>
      </c>
      <c r="P6649" s="1606">
        <v>2039.48</v>
      </c>
      <c r="Q6649" s="1605">
        <v>91.44</v>
      </c>
      <c r="R6649" s="1606">
        <v>2130.92</v>
      </c>
      <c r="S6649" s="1608"/>
    </row>
    <row r="6650" spans="2:19" s="1609" customFormat="1" ht="11.25" customHeight="1" outlineLevel="1">
      <c r="B6650" s="1602">
        <v>27186</v>
      </c>
      <c r="C6650" s="1603" t="s">
        <v>4164</v>
      </c>
      <c r="D6650" s="1603" t="s">
        <v>4208</v>
      </c>
      <c r="E6650" s="1603"/>
      <c r="F6650" s="1603"/>
      <c r="G6650" s="1603" t="s">
        <v>4207</v>
      </c>
      <c r="H6650" s="1604">
        <v>2</v>
      </c>
      <c r="I6650" s="1603"/>
      <c r="J6650" s="1603"/>
      <c r="K6650" s="1605">
        <v>210</v>
      </c>
      <c r="L6650" s="1606">
        <v>3570</v>
      </c>
      <c r="M6650" s="1607"/>
      <c r="N6650" s="1606">
        <v>3570</v>
      </c>
      <c r="O6650" s="1606">
        <v>1486.92</v>
      </c>
      <c r="P6650" s="1606">
        <v>1993.92</v>
      </c>
      <c r="Q6650" s="1605">
        <v>89.16</v>
      </c>
      <c r="R6650" s="1606">
        <v>2083.08</v>
      </c>
      <c r="S6650" s="1608"/>
    </row>
    <row r="6651" spans="2:19" s="1609" customFormat="1" ht="11.25" customHeight="1" outlineLevel="1">
      <c r="B6651" s="1602">
        <v>27188</v>
      </c>
      <c r="C6651" s="1603" t="s">
        <v>4164</v>
      </c>
      <c r="D6651" s="1603" t="s">
        <v>4206</v>
      </c>
      <c r="E6651" s="1603"/>
      <c r="F6651" s="1603"/>
      <c r="G6651" s="1603" t="s">
        <v>4205</v>
      </c>
      <c r="H6651" s="1604">
        <v>2</v>
      </c>
      <c r="I6651" s="1603"/>
      <c r="J6651" s="1603"/>
      <c r="K6651" s="1605">
        <v>540</v>
      </c>
      <c r="L6651" s="1606">
        <v>14040</v>
      </c>
      <c r="M6651" s="1607"/>
      <c r="N6651" s="1606">
        <v>14040</v>
      </c>
      <c r="O6651" s="1606">
        <v>7488</v>
      </c>
      <c r="P6651" s="1606">
        <v>6271.2</v>
      </c>
      <c r="Q6651" s="1605">
        <v>280.8</v>
      </c>
      <c r="R6651" s="1606">
        <v>6552</v>
      </c>
      <c r="S6651" s="1608"/>
    </row>
    <row r="6652" spans="2:19" s="1609" customFormat="1" ht="11.25" customHeight="1" outlineLevel="1">
      <c r="B6652" s="1602">
        <v>27190</v>
      </c>
      <c r="C6652" s="1603" t="s">
        <v>4164</v>
      </c>
      <c r="D6652" s="1603" t="s">
        <v>4204</v>
      </c>
      <c r="E6652" s="1603"/>
      <c r="F6652" s="1603"/>
      <c r="G6652" s="1603" t="s">
        <v>4203</v>
      </c>
      <c r="H6652" s="1604">
        <v>2</v>
      </c>
      <c r="I6652" s="1603"/>
      <c r="J6652" s="1603"/>
      <c r="K6652" s="1605">
        <v>210</v>
      </c>
      <c r="L6652" s="1606">
        <v>9303</v>
      </c>
      <c r="M6652" s="1607"/>
      <c r="N6652" s="1606">
        <v>9303</v>
      </c>
      <c r="O6652" s="1606">
        <v>3876.6</v>
      </c>
      <c r="P6652" s="1606">
        <v>5193.84</v>
      </c>
      <c r="Q6652" s="1605">
        <v>232.56</v>
      </c>
      <c r="R6652" s="1606">
        <v>5426.4</v>
      </c>
      <c r="S6652" s="1608"/>
    </row>
    <row r="6653" spans="2:19" s="1609" customFormat="1" ht="11.25" customHeight="1" outlineLevel="1">
      <c r="B6653" s="1602">
        <v>27191</v>
      </c>
      <c r="C6653" s="1603" t="s">
        <v>4164</v>
      </c>
      <c r="D6653" s="1603" t="s">
        <v>4202</v>
      </c>
      <c r="E6653" s="1603"/>
      <c r="F6653" s="1603"/>
      <c r="G6653" s="1603" t="s">
        <v>4201</v>
      </c>
      <c r="H6653" s="1604">
        <v>2</v>
      </c>
      <c r="I6653" s="1603"/>
      <c r="J6653" s="1603"/>
      <c r="K6653" s="1605">
        <v>892</v>
      </c>
      <c r="L6653" s="1606">
        <v>4104</v>
      </c>
      <c r="M6653" s="1607"/>
      <c r="N6653" s="1606">
        <v>4104</v>
      </c>
      <c r="O6653" s="1606">
        <v>2188.8000000000002</v>
      </c>
      <c r="P6653" s="1606">
        <v>1833.12</v>
      </c>
      <c r="Q6653" s="1605">
        <v>82.08</v>
      </c>
      <c r="R6653" s="1606">
        <v>1915.2</v>
      </c>
      <c r="S6653" s="1608"/>
    </row>
    <row r="6654" spans="2:19" s="1609" customFormat="1" ht="11.25" customHeight="1" outlineLevel="1">
      <c r="B6654" s="1602">
        <v>27193</v>
      </c>
      <c r="C6654" s="1603" t="s">
        <v>4164</v>
      </c>
      <c r="D6654" s="1603" t="s">
        <v>4200</v>
      </c>
      <c r="E6654" s="1603"/>
      <c r="F6654" s="1603"/>
      <c r="G6654" s="1603" t="s">
        <v>4199</v>
      </c>
      <c r="H6654" s="1604">
        <v>2</v>
      </c>
      <c r="I6654" s="1603"/>
      <c r="J6654" s="1603"/>
      <c r="K6654" s="1605">
        <v>210</v>
      </c>
      <c r="L6654" s="1606">
        <v>16605</v>
      </c>
      <c r="M6654" s="1607"/>
      <c r="N6654" s="1606">
        <v>16605</v>
      </c>
      <c r="O6654" s="1606">
        <v>6919.68</v>
      </c>
      <c r="P6654" s="1606">
        <v>9270.1200000000008</v>
      </c>
      <c r="Q6654" s="1605">
        <v>415.2</v>
      </c>
      <c r="R6654" s="1606">
        <v>9685.32</v>
      </c>
      <c r="S6654" s="1608"/>
    </row>
    <row r="6655" spans="2:19" s="1609" customFormat="1" ht="11.25" customHeight="1" outlineLevel="1">
      <c r="B6655" s="1602">
        <v>27195</v>
      </c>
      <c r="C6655" s="1603" t="s">
        <v>4164</v>
      </c>
      <c r="D6655" s="1603" t="s">
        <v>4198</v>
      </c>
      <c r="E6655" s="1603"/>
      <c r="F6655" s="1603"/>
      <c r="G6655" s="1603" t="s">
        <v>4197</v>
      </c>
      <c r="H6655" s="1604">
        <v>2</v>
      </c>
      <c r="I6655" s="1603"/>
      <c r="J6655" s="1603"/>
      <c r="K6655" s="1605">
        <v>210</v>
      </c>
      <c r="L6655" s="1606">
        <v>13797</v>
      </c>
      <c r="M6655" s="1607"/>
      <c r="N6655" s="1606">
        <v>13797</v>
      </c>
      <c r="O6655" s="1606">
        <v>5749.68</v>
      </c>
      <c r="P6655" s="1606">
        <v>7702.32</v>
      </c>
      <c r="Q6655" s="1605">
        <v>345</v>
      </c>
      <c r="R6655" s="1606">
        <v>8047.32</v>
      </c>
      <c r="S6655" s="1608"/>
    </row>
    <row r="6656" spans="2:19" s="1609" customFormat="1" ht="11.25" customHeight="1" outlineLevel="1">
      <c r="B6656" s="1602">
        <v>27197</v>
      </c>
      <c r="C6656" s="1603" t="s">
        <v>4164</v>
      </c>
      <c r="D6656" s="1603" t="s">
        <v>4196</v>
      </c>
      <c r="E6656" s="1603"/>
      <c r="F6656" s="1603"/>
      <c r="G6656" s="1603" t="s">
        <v>4195</v>
      </c>
      <c r="H6656" s="1604">
        <v>2</v>
      </c>
      <c r="I6656" s="1603"/>
      <c r="J6656" s="1603"/>
      <c r="K6656" s="1605">
        <v>210</v>
      </c>
      <c r="L6656" s="1606">
        <v>25977</v>
      </c>
      <c r="M6656" s="1607"/>
      <c r="N6656" s="1606">
        <v>25977</v>
      </c>
      <c r="O6656" s="1606">
        <v>10823.4</v>
      </c>
      <c r="P6656" s="1606">
        <v>14504.16</v>
      </c>
      <c r="Q6656" s="1605">
        <v>649.44000000000005</v>
      </c>
      <c r="R6656" s="1606">
        <v>15153.6</v>
      </c>
      <c r="S6656" s="1608"/>
    </row>
    <row r="6657" spans="2:19" s="1609" customFormat="1" ht="11.25" customHeight="1" outlineLevel="1">
      <c r="B6657" s="1602">
        <v>27199</v>
      </c>
      <c r="C6657" s="1603" t="s">
        <v>4164</v>
      </c>
      <c r="D6657" s="1603" t="s">
        <v>4194</v>
      </c>
      <c r="E6657" s="1603"/>
      <c r="F6657" s="1603"/>
      <c r="G6657" s="1603" t="s">
        <v>4193</v>
      </c>
      <c r="H6657" s="1604">
        <v>2</v>
      </c>
      <c r="I6657" s="1603"/>
      <c r="J6657" s="1603"/>
      <c r="K6657" s="1605">
        <v>540</v>
      </c>
      <c r="L6657" s="1606">
        <v>60210</v>
      </c>
      <c r="M6657" s="1607"/>
      <c r="N6657" s="1606">
        <v>60210</v>
      </c>
      <c r="O6657" s="1606">
        <v>32112</v>
      </c>
      <c r="P6657" s="1606">
        <v>26893.8</v>
      </c>
      <c r="Q6657" s="1606">
        <v>1204.2</v>
      </c>
      <c r="R6657" s="1606">
        <v>28098</v>
      </c>
      <c r="S6657" s="1608"/>
    </row>
    <row r="6658" spans="2:19" s="1609" customFormat="1" ht="11.25" customHeight="1" outlineLevel="1">
      <c r="B6658" s="1602">
        <v>27201</v>
      </c>
      <c r="C6658" s="1603" t="s">
        <v>4164</v>
      </c>
      <c r="D6658" s="1603" t="s">
        <v>4192</v>
      </c>
      <c r="E6658" s="1603"/>
      <c r="F6658" s="1603"/>
      <c r="G6658" s="1603" t="s">
        <v>4191</v>
      </c>
      <c r="H6658" s="1604">
        <v>2</v>
      </c>
      <c r="I6658" s="1603"/>
      <c r="J6658" s="1603"/>
      <c r="K6658" s="1605">
        <v>210</v>
      </c>
      <c r="L6658" s="1606">
        <v>7602</v>
      </c>
      <c r="M6658" s="1607"/>
      <c r="N6658" s="1606">
        <v>7602</v>
      </c>
      <c r="O6658" s="1606">
        <v>3166.92</v>
      </c>
      <c r="P6658" s="1606">
        <v>4245.12</v>
      </c>
      <c r="Q6658" s="1605">
        <v>189.96</v>
      </c>
      <c r="R6658" s="1606">
        <v>4435.08</v>
      </c>
      <c r="S6658" s="1608"/>
    </row>
    <row r="6659" spans="2:19" s="1609" customFormat="1" ht="11.25" customHeight="1" outlineLevel="1">
      <c r="B6659" s="1602">
        <v>27203</v>
      </c>
      <c r="C6659" s="1603" t="s">
        <v>4164</v>
      </c>
      <c r="D6659" s="1603" t="s">
        <v>4190</v>
      </c>
      <c r="E6659" s="1603"/>
      <c r="F6659" s="1603"/>
      <c r="G6659" s="1603" t="s">
        <v>4189</v>
      </c>
      <c r="H6659" s="1604">
        <v>2</v>
      </c>
      <c r="I6659" s="1603"/>
      <c r="J6659" s="1603"/>
      <c r="K6659" s="1605">
        <v>210</v>
      </c>
      <c r="L6659" s="1606">
        <v>12253</v>
      </c>
      <c r="M6659" s="1607"/>
      <c r="N6659" s="1606">
        <v>12253</v>
      </c>
      <c r="O6659" s="1606">
        <v>5104.72</v>
      </c>
      <c r="P6659" s="1606">
        <v>6842.04</v>
      </c>
      <c r="Q6659" s="1605">
        <v>306.24</v>
      </c>
      <c r="R6659" s="1606">
        <v>7148.28</v>
      </c>
      <c r="S6659" s="1608"/>
    </row>
    <row r="6660" spans="2:19" s="1609" customFormat="1" ht="11.25" customHeight="1" outlineLevel="1">
      <c r="B6660" s="1602">
        <v>27205</v>
      </c>
      <c r="C6660" s="1603" t="s">
        <v>4164</v>
      </c>
      <c r="D6660" s="1603" t="s">
        <v>4188</v>
      </c>
      <c r="E6660" s="1603"/>
      <c r="F6660" s="1603"/>
      <c r="G6660" s="1603" t="s">
        <v>4187</v>
      </c>
      <c r="H6660" s="1604">
        <v>2</v>
      </c>
      <c r="I6660" s="1603"/>
      <c r="J6660" s="1603"/>
      <c r="K6660" s="1605">
        <v>210</v>
      </c>
      <c r="L6660" s="1606">
        <v>23457</v>
      </c>
      <c r="M6660" s="1607"/>
      <c r="N6660" s="1606">
        <v>23457</v>
      </c>
      <c r="O6660" s="1606">
        <v>9773.4</v>
      </c>
      <c r="P6660" s="1606">
        <v>13097.16</v>
      </c>
      <c r="Q6660" s="1605">
        <v>586.44000000000005</v>
      </c>
      <c r="R6660" s="1606">
        <v>13683.6</v>
      </c>
      <c r="S6660" s="1608"/>
    </row>
    <row r="6661" spans="2:19" s="1609" customFormat="1" ht="11.25" customHeight="1" outlineLevel="1">
      <c r="B6661" s="1602">
        <v>27208</v>
      </c>
      <c r="C6661" s="1603" t="s">
        <v>4164</v>
      </c>
      <c r="D6661" s="1603" t="s">
        <v>4186</v>
      </c>
      <c r="E6661" s="1603"/>
      <c r="F6661" s="1603"/>
      <c r="G6661" s="1603" t="s">
        <v>4185</v>
      </c>
      <c r="H6661" s="1604">
        <v>2</v>
      </c>
      <c r="I6661" s="1603"/>
      <c r="J6661" s="1603"/>
      <c r="K6661" s="1605">
        <v>210</v>
      </c>
      <c r="L6661" s="1606">
        <v>17619</v>
      </c>
      <c r="M6661" s="1607"/>
      <c r="N6661" s="1606">
        <v>17619</v>
      </c>
      <c r="O6661" s="1606">
        <v>7340.32</v>
      </c>
      <c r="P6661" s="1606">
        <v>9838.2800000000007</v>
      </c>
      <c r="Q6661" s="1605">
        <v>440.4</v>
      </c>
      <c r="R6661" s="1606">
        <v>10278.68</v>
      </c>
      <c r="S6661" s="1608"/>
    </row>
    <row r="6662" spans="2:19" s="1609" customFormat="1" ht="11.25" customHeight="1" outlineLevel="1">
      <c r="B6662" s="1602">
        <v>27210</v>
      </c>
      <c r="C6662" s="1603" t="s">
        <v>4164</v>
      </c>
      <c r="D6662" s="1603" t="s">
        <v>4184</v>
      </c>
      <c r="E6662" s="1603"/>
      <c r="F6662" s="1603"/>
      <c r="G6662" s="1603" t="s">
        <v>4183</v>
      </c>
      <c r="H6662" s="1604">
        <v>2</v>
      </c>
      <c r="I6662" s="1603"/>
      <c r="J6662" s="1603"/>
      <c r="K6662" s="1605">
        <v>210</v>
      </c>
      <c r="L6662" s="1606">
        <v>6090</v>
      </c>
      <c r="M6662" s="1607"/>
      <c r="N6662" s="1606">
        <v>6090</v>
      </c>
      <c r="O6662" s="1606">
        <v>2536.92</v>
      </c>
      <c r="P6662" s="1606">
        <v>3400.92</v>
      </c>
      <c r="Q6662" s="1605">
        <v>152.16</v>
      </c>
      <c r="R6662" s="1606">
        <v>3553.08</v>
      </c>
      <c r="S6662" s="1608"/>
    </row>
    <row r="6663" spans="2:19" s="1609" customFormat="1" ht="11.25" customHeight="1" outlineLevel="1">
      <c r="B6663" s="1602">
        <v>27214</v>
      </c>
      <c r="C6663" s="1603" t="s">
        <v>4164</v>
      </c>
      <c r="D6663" s="1603" t="s">
        <v>4182</v>
      </c>
      <c r="E6663" s="1603"/>
      <c r="F6663" s="1603"/>
      <c r="G6663" s="1603" t="s">
        <v>4181</v>
      </c>
      <c r="H6663" s="1604">
        <v>2</v>
      </c>
      <c r="I6663" s="1603"/>
      <c r="J6663" s="1603"/>
      <c r="K6663" s="1605">
        <v>210</v>
      </c>
      <c r="L6663" s="1606">
        <v>2898</v>
      </c>
      <c r="M6663" s="1607"/>
      <c r="N6663" s="1606">
        <v>2898</v>
      </c>
      <c r="O6663" s="1606">
        <v>1206.92</v>
      </c>
      <c r="P6663" s="1606">
        <v>1618.72</v>
      </c>
      <c r="Q6663" s="1605">
        <v>72.36</v>
      </c>
      <c r="R6663" s="1606">
        <v>1691.08</v>
      </c>
      <c r="S6663" s="1608"/>
    </row>
    <row r="6664" spans="2:19" s="1609" customFormat="1" ht="11.25" customHeight="1" outlineLevel="1">
      <c r="B6664" s="1602">
        <v>27216</v>
      </c>
      <c r="C6664" s="1603" t="s">
        <v>4164</v>
      </c>
      <c r="D6664" s="1603" t="s">
        <v>4180</v>
      </c>
      <c r="E6664" s="1603"/>
      <c r="F6664" s="1603"/>
      <c r="G6664" s="1603" t="s">
        <v>4179</v>
      </c>
      <c r="H6664" s="1604">
        <v>2</v>
      </c>
      <c r="I6664" s="1603"/>
      <c r="J6664" s="1603"/>
      <c r="K6664" s="1605">
        <v>210</v>
      </c>
      <c r="L6664" s="1606">
        <v>4200</v>
      </c>
      <c r="M6664" s="1607"/>
      <c r="N6664" s="1606">
        <v>4200</v>
      </c>
      <c r="O6664" s="1606">
        <v>1750</v>
      </c>
      <c r="P6664" s="1606">
        <v>2345</v>
      </c>
      <c r="Q6664" s="1605">
        <v>105</v>
      </c>
      <c r="R6664" s="1606">
        <v>2450</v>
      </c>
      <c r="S6664" s="1608"/>
    </row>
    <row r="6665" spans="2:19" s="1609" customFormat="1" ht="11.25" customHeight="1" outlineLevel="1">
      <c r="B6665" s="1602">
        <v>27218</v>
      </c>
      <c r="C6665" s="1603" t="s">
        <v>4164</v>
      </c>
      <c r="D6665" s="1603" t="s">
        <v>4178</v>
      </c>
      <c r="E6665" s="1603"/>
      <c r="F6665" s="1603"/>
      <c r="G6665" s="1603" t="s">
        <v>4177</v>
      </c>
      <c r="H6665" s="1604">
        <v>2</v>
      </c>
      <c r="I6665" s="1603"/>
      <c r="J6665" s="1603"/>
      <c r="K6665" s="1605">
        <v>540</v>
      </c>
      <c r="L6665" s="1606">
        <v>53730</v>
      </c>
      <c r="M6665" s="1607"/>
      <c r="N6665" s="1606">
        <v>53730</v>
      </c>
      <c r="O6665" s="1606">
        <v>28656</v>
      </c>
      <c r="P6665" s="1606">
        <v>23999.4</v>
      </c>
      <c r="Q6665" s="1606">
        <v>1074.5999999999999</v>
      </c>
      <c r="R6665" s="1606">
        <v>25074</v>
      </c>
      <c r="S6665" s="1608"/>
    </row>
    <row r="6666" spans="2:19" s="1609" customFormat="1" ht="11.25" customHeight="1" outlineLevel="1">
      <c r="B6666" s="1602">
        <v>27220</v>
      </c>
      <c r="C6666" s="1603" t="s">
        <v>4164</v>
      </c>
      <c r="D6666" s="1603" t="s">
        <v>4176</v>
      </c>
      <c r="E6666" s="1603"/>
      <c r="F6666" s="1603"/>
      <c r="G6666" s="1603" t="s">
        <v>4175</v>
      </c>
      <c r="H6666" s="1604">
        <v>2</v>
      </c>
      <c r="I6666" s="1603"/>
      <c r="J6666" s="1603"/>
      <c r="K6666" s="1605">
        <v>540</v>
      </c>
      <c r="L6666" s="1606">
        <v>24948</v>
      </c>
      <c r="M6666" s="1607"/>
      <c r="N6666" s="1606">
        <v>24948</v>
      </c>
      <c r="O6666" s="1606">
        <v>13305.6</v>
      </c>
      <c r="P6666" s="1606">
        <v>11143.44</v>
      </c>
      <c r="Q6666" s="1605">
        <v>498.96</v>
      </c>
      <c r="R6666" s="1606">
        <v>11642.4</v>
      </c>
      <c r="S6666" s="1608"/>
    </row>
    <row r="6667" spans="2:19" s="1609" customFormat="1" ht="11.25" customHeight="1" outlineLevel="1">
      <c r="B6667" s="1602">
        <v>27222</v>
      </c>
      <c r="C6667" s="1603" t="s">
        <v>4164</v>
      </c>
      <c r="D6667" s="1603" t="s">
        <v>4174</v>
      </c>
      <c r="E6667" s="1603"/>
      <c r="F6667" s="1603"/>
      <c r="G6667" s="1603" t="s">
        <v>4173</v>
      </c>
      <c r="H6667" s="1604">
        <v>2</v>
      </c>
      <c r="I6667" s="1603"/>
      <c r="J6667" s="1603"/>
      <c r="K6667" s="1605">
        <v>540</v>
      </c>
      <c r="L6667" s="1606">
        <v>6804</v>
      </c>
      <c r="M6667" s="1607"/>
      <c r="N6667" s="1606">
        <v>6804</v>
      </c>
      <c r="O6667" s="1606">
        <v>3628.8</v>
      </c>
      <c r="P6667" s="1606">
        <v>3039.12</v>
      </c>
      <c r="Q6667" s="1605">
        <v>136.08000000000001</v>
      </c>
      <c r="R6667" s="1606">
        <v>3175.2</v>
      </c>
      <c r="S6667" s="1608"/>
    </row>
    <row r="6668" spans="2:19" s="1609" customFormat="1" ht="11.25" customHeight="1" outlineLevel="1">
      <c r="B6668" s="1602">
        <v>27224</v>
      </c>
      <c r="C6668" s="1603" t="s">
        <v>4164</v>
      </c>
      <c r="D6668" s="1603" t="s">
        <v>4172</v>
      </c>
      <c r="E6668" s="1603"/>
      <c r="F6668" s="1603"/>
      <c r="G6668" s="1603" t="s">
        <v>4171</v>
      </c>
      <c r="H6668" s="1604">
        <v>2</v>
      </c>
      <c r="I6668" s="1603"/>
      <c r="J6668" s="1603"/>
      <c r="K6668" s="1605">
        <v>540</v>
      </c>
      <c r="L6668" s="1606">
        <v>42390</v>
      </c>
      <c r="M6668" s="1607"/>
      <c r="N6668" s="1606">
        <v>42390</v>
      </c>
      <c r="O6668" s="1606">
        <v>22608</v>
      </c>
      <c r="P6668" s="1606">
        <v>18934.2</v>
      </c>
      <c r="Q6668" s="1605">
        <v>847.8</v>
      </c>
      <c r="R6668" s="1606">
        <v>19782</v>
      </c>
      <c r="S6668" s="1608"/>
    </row>
    <row r="6669" spans="2:19" s="1609" customFormat="1" ht="11.25" customHeight="1" outlineLevel="1">
      <c r="B6669" s="1602">
        <v>27226</v>
      </c>
      <c r="C6669" s="1603" t="s">
        <v>4164</v>
      </c>
      <c r="D6669" s="1603" t="s">
        <v>4170</v>
      </c>
      <c r="E6669" s="1603"/>
      <c r="F6669" s="1603"/>
      <c r="G6669" s="1603" t="s">
        <v>4169</v>
      </c>
      <c r="H6669" s="1604">
        <v>2</v>
      </c>
      <c r="I6669" s="1603"/>
      <c r="J6669" s="1603"/>
      <c r="K6669" s="1605">
        <v>540</v>
      </c>
      <c r="L6669" s="1606">
        <v>16254</v>
      </c>
      <c r="M6669" s="1607"/>
      <c r="N6669" s="1606">
        <v>16254</v>
      </c>
      <c r="O6669" s="1606">
        <v>6773.08</v>
      </c>
      <c r="P6669" s="1606">
        <v>9074.48</v>
      </c>
      <c r="Q6669" s="1605">
        <v>406.44</v>
      </c>
      <c r="R6669" s="1606">
        <v>9480.92</v>
      </c>
      <c r="S6669" s="1608"/>
    </row>
    <row r="6670" spans="2:19" s="1609" customFormat="1" ht="11.25" customHeight="1" outlineLevel="1">
      <c r="B6670" s="1602">
        <v>27229</v>
      </c>
      <c r="C6670" s="1603" t="s">
        <v>4164</v>
      </c>
      <c r="D6670" s="1603" t="s">
        <v>4168</v>
      </c>
      <c r="E6670" s="1603"/>
      <c r="F6670" s="1603"/>
      <c r="G6670" s="1603" t="s">
        <v>4167</v>
      </c>
      <c r="H6670" s="1604">
        <v>2</v>
      </c>
      <c r="I6670" s="1603"/>
      <c r="J6670" s="1603"/>
      <c r="K6670" s="1605">
        <v>540</v>
      </c>
      <c r="L6670" s="1606">
        <v>41202</v>
      </c>
      <c r="M6670" s="1607"/>
      <c r="N6670" s="1606">
        <v>41202</v>
      </c>
      <c r="O6670" s="1606">
        <v>24861.200000000001</v>
      </c>
      <c r="P6670" s="1606">
        <v>15640.48</v>
      </c>
      <c r="Q6670" s="1605">
        <v>700.32</v>
      </c>
      <c r="R6670" s="1606">
        <v>16340.8</v>
      </c>
      <c r="S6670" s="1608"/>
    </row>
    <row r="6671" spans="2:19" s="1609" customFormat="1" ht="11.25" customHeight="1" outlineLevel="1">
      <c r="B6671" s="1602">
        <v>27230</v>
      </c>
      <c r="C6671" s="1603" t="s">
        <v>4164</v>
      </c>
      <c r="D6671" s="1603" t="s">
        <v>4166</v>
      </c>
      <c r="E6671" s="1603"/>
      <c r="F6671" s="1603"/>
      <c r="G6671" s="1603" t="s">
        <v>4165</v>
      </c>
      <c r="H6671" s="1604">
        <v>2</v>
      </c>
      <c r="I6671" s="1603"/>
      <c r="J6671" s="1603"/>
      <c r="K6671" s="1605">
        <v>210</v>
      </c>
      <c r="L6671" s="1606">
        <v>15540</v>
      </c>
      <c r="M6671" s="1607"/>
      <c r="N6671" s="1606">
        <v>15540</v>
      </c>
      <c r="O6671" s="1606">
        <v>6473.72</v>
      </c>
      <c r="P6671" s="1606">
        <v>8677.84</v>
      </c>
      <c r="Q6671" s="1605">
        <v>388.44</v>
      </c>
      <c r="R6671" s="1606">
        <v>9066.2800000000007</v>
      </c>
      <c r="S6671" s="1608"/>
    </row>
    <row r="6672" spans="2:19" s="1609" customFormat="1" ht="11.25" customHeight="1" outlineLevel="1">
      <c r="B6672" s="1602">
        <v>27233</v>
      </c>
      <c r="C6672" s="1603" t="s">
        <v>4164</v>
      </c>
      <c r="D6672" s="1603" t="s">
        <v>4163</v>
      </c>
      <c r="E6672" s="1603"/>
      <c r="F6672" s="1603"/>
      <c r="G6672" s="1603" t="s">
        <v>3643</v>
      </c>
      <c r="H6672" s="1604">
        <v>2</v>
      </c>
      <c r="I6672" s="1603"/>
      <c r="J6672" s="1603"/>
      <c r="K6672" s="1605">
        <v>210</v>
      </c>
      <c r="L6672" s="1606">
        <v>48867</v>
      </c>
      <c r="M6672" s="1607"/>
      <c r="N6672" s="1606">
        <v>48867</v>
      </c>
      <c r="O6672" s="1606">
        <v>20360.32</v>
      </c>
      <c r="P6672" s="1606">
        <v>27285.08</v>
      </c>
      <c r="Q6672" s="1606">
        <v>1221.5999999999999</v>
      </c>
      <c r="R6672" s="1606">
        <v>28506.68</v>
      </c>
      <c r="S6672" s="1608"/>
    </row>
    <row r="6673" spans="2:19" s="1609" customFormat="1" ht="11.25" customHeight="1" outlineLevel="1">
      <c r="B6673" s="1602">
        <v>27255</v>
      </c>
      <c r="C6673" s="1603" t="s">
        <v>4142</v>
      </c>
      <c r="D6673" s="1603" t="s">
        <v>4162</v>
      </c>
      <c r="E6673" s="1603"/>
      <c r="F6673" s="1603"/>
      <c r="G6673" s="1603" t="s">
        <v>4161</v>
      </c>
      <c r="H6673" s="1604">
        <v>2</v>
      </c>
      <c r="I6673" s="1603"/>
      <c r="J6673" s="1603"/>
      <c r="K6673" s="1605">
        <v>63</v>
      </c>
      <c r="L6673" s="1606">
        <v>2315</v>
      </c>
      <c r="M6673" s="1607"/>
      <c r="N6673" s="1606">
        <v>2315</v>
      </c>
      <c r="O6673" s="1605">
        <v>970.1</v>
      </c>
      <c r="P6673" s="1606">
        <v>1286.94</v>
      </c>
      <c r="Q6673" s="1605">
        <v>57.96</v>
      </c>
      <c r="R6673" s="1606">
        <v>1344.9</v>
      </c>
      <c r="S6673" s="1608"/>
    </row>
    <row r="6674" spans="2:19" s="1609" customFormat="1" ht="11.25" customHeight="1" outlineLevel="1">
      <c r="B6674" s="1602">
        <v>27256</v>
      </c>
      <c r="C6674" s="1603" t="s">
        <v>4142</v>
      </c>
      <c r="D6674" s="1603" t="s">
        <v>4160</v>
      </c>
      <c r="E6674" s="1603"/>
      <c r="F6674" s="1603"/>
      <c r="G6674" s="1603" t="s">
        <v>4159</v>
      </c>
      <c r="H6674" s="1604">
        <v>2</v>
      </c>
      <c r="I6674" s="1603"/>
      <c r="J6674" s="1603"/>
      <c r="K6674" s="1605">
        <v>65</v>
      </c>
      <c r="L6674" s="1606">
        <v>4975</v>
      </c>
      <c r="M6674" s="1607"/>
      <c r="N6674" s="1606">
        <v>4975</v>
      </c>
      <c r="O6674" s="1606">
        <v>2084.44</v>
      </c>
      <c r="P6674" s="1606">
        <v>2766.12</v>
      </c>
      <c r="Q6674" s="1605">
        <v>124.44</v>
      </c>
      <c r="R6674" s="1606">
        <v>2890.56</v>
      </c>
      <c r="S6674" s="1608"/>
    </row>
    <row r="6675" spans="2:19" s="1609" customFormat="1" ht="11.25" customHeight="1" outlineLevel="1">
      <c r="B6675" s="1602">
        <v>27257</v>
      </c>
      <c r="C6675" s="1603" t="s">
        <v>4142</v>
      </c>
      <c r="D6675" s="1603" t="s">
        <v>4158</v>
      </c>
      <c r="E6675" s="1603"/>
      <c r="F6675" s="1603"/>
      <c r="G6675" s="1603" t="s">
        <v>4157</v>
      </c>
      <c r="H6675" s="1604">
        <v>2</v>
      </c>
      <c r="I6675" s="1603"/>
      <c r="J6675" s="1603"/>
      <c r="K6675" s="1605">
        <v>67</v>
      </c>
      <c r="L6675" s="1606">
        <v>9719</v>
      </c>
      <c r="M6675" s="1607"/>
      <c r="N6675" s="1606">
        <v>9719</v>
      </c>
      <c r="O6675" s="1606">
        <v>4069.25</v>
      </c>
      <c r="P6675" s="1606">
        <v>5406.75</v>
      </c>
      <c r="Q6675" s="1605">
        <v>243</v>
      </c>
      <c r="R6675" s="1606">
        <v>5649.75</v>
      </c>
      <c r="S6675" s="1608"/>
    </row>
    <row r="6676" spans="2:19" s="1609" customFormat="1" ht="11.25" customHeight="1" outlineLevel="1">
      <c r="B6676" s="1602">
        <v>27258</v>
      </c>
      <c r="C6676" s="1603" t="s">
        <v>4142</v>
      </c>
      <c r="D6676" s="1603" t="s">
        <v>4156</v>
      </c>
      <c r="E6676" s="1603"/>
      <c r="F6676" s="1603"/>
      <c r="G6676" s="1603" t="s">
        <v>4155</v>
      </c>
      <c r="H6676" s="1604">
        <v>2</v>
      </c>
      <c r="I6676" s="1603"/>
      <c r="J6676" s="1603"/>
      <c r="K6676" s="1605">
        <v>75</v>
      </c>
      <c r="L6676" s="1606">
        <v>1801</v>
      </c>
      <c r="M6676" s="1607"/>
      <c r="N6676" s="1606">
        <v>1801</v>
      </c>
      <c r="O6676" s="1605">
        <v>754.75</v>
      </c>
      <c r="P6676" s="1606">
        <v>1001.25</v>
      </c>
      <c r="Q6676" s="1605">
        <v>45</v>
      </c>
      <c r="R6676" s="1606">
        <v>1046.25</v>
      </c>
      <c r="S6676" s="1608"/>
    </row>
    <row r="6677" spans="2:19" s="1609" customFormat="1" ht="11.25" customHeight="1" outlineLevel="1">
      <c r="B6677" s="1602">
        <v>27259</v>
      </c>
      <c r="C6677" s="1603" t="s">
        <v>4142</v>
      </c>
      <c r="D6677" s="1603" t="s">
        <v>4154</v>
      </c>
      <c r="E6677" s="1603"/>
      <c r="F6677" s="1603"/>
      <c r="G6677" s="1603" t="s">
        <v>4153</v>
      </c>
      <c r="H6677" s="1604">
        <v>2</v>
      </c>
      <c r="I6677" s="1603"/>
      <c r="J6677" s="1603"/>
      <c r="K6677" s="1605">
        <v>84</v>
      </c>
      <c r="L6677" s="1606">
        <v>1298</v>
      </c>
      <c r="M6677" s="1607"/>
      <c r="N6677" s="1606">
        <v>1298</v>
      </c>
      <c r="O6677" s="1605">
        <v>544.58000000000004</v>
      </c>
      <c r="P6677" s="1605">
        <v>720.9</v>
      </c>
      <c r="Q6677" s="1605">
        <v>32.520000000000003</v>
      </c>
      <c r="R6677" s="1605">
        <v>753.42</v>
      </c>
      <c r="S6677" s="1608"/>
    </row>
    <row r="6678" spans="2:19" s="1609" customFormat="1" ht="11.25" customHeight="1" outlineLevel="1">
      <c r="B6678" s="1602">
        <v>27260</v>
      </c>
      <c r="C6678" s="1603" t="s">
        <v>4142</v>
      </c>
      <c r="D6678" s="1603" t="s">
        <v>4152</v>
      </c>
      <c r="E6678" s="1603"/>
      <c r="F6678" s="1603"/>
      <c r="G6678" s="1603" t="s">
        <v>4151</v>
      </c>
      <c r="H6678" s="1604">
        <v>2</v>
      </c>
      <c r="I6678" s="1603"/>
      <c r="J6678" s="1603"/>
      <c r="K6678" s="1605">
        <v>41</v>
      </c>
      <c r="L6678" s="1606">
        <v>1916</v>
      </c>
      <c r="M6678" s="1607"/>
      <c r="N6678" s="1606">
        <v>1916</v>
      </c>
      <c r="O6678" s="1605">
        <v>802.79</v>
      </c>
      <c r="P6678" s="1606">
        <v>1065.33</v>
      </c>
      <c r="Q6678" s="1605">
        <v>47.88</v>
      </c>
      <c r="R6678" s="1606">
        <v>1113.21</v>
      </c>
      <c r="S6678" s="1608"/>
    </row>
    <row r="6679" spans="2:19" s="1609" customFormat="1" ht="11.25" customHeight="1" outlineLevel="1">
      <c r="B6679" s="1602">
        <v>27261</v>
      </c>
      <c r="C6679" s="1603" t="s">
        <v>4142</v>
      </c>
      <c r="D6679" s="1603" t="s">
        <v>4150</v>
      </c>
      <c r="E6679" s="1603"/>
      <c r="F6679" s="1603"/>
      <c r="G6679" s="1603" t="s">
        <v>4149</v>
      </c>
      <c r="H6679" s="1604">
        <v>2</v>
      </c>
      <c r="I6679" s="1603"/>
      <c r="J6679" s="1603"/>
      <c r="K6679" s="1605">
        <v>55</v>
      </c>
      <c r="L6679" s="1606">
        <v>4101</v>
      </c>
      <c r="M6679" s="1607"/>
      <c r="N6679" s="1606">
        <v>4101</v>
      </c>
      <c r="O6679" s="1606">
        <v>1718.22</v>
      </c>
      <c r="P6679" s="1606">
        <v>2280.1799999999998</v>
      </c>
      <c r="Q6679" s="1605">
        <v>102.6</v>
      </c>
      <c r="R6679" s="1606">
        <v>2382.7800000000002</v>
      </c>
      <c r="S6679" s="1608"/>
    </row>
    <row r="6680" spans="2:19" s="1609" customFormat="1" ht="11.25" customHeight="1" outlineLevel="1">
      <c r="B6680" s="1602">
        <v>27262</v>
      </c>
      <c r="C6680" s="1603" t="s">
        <v>4142</v>
      </c>
      <c r="D6680" s="1603" t="s">
        <v>4148</v>
      </c>
      <c r="E6680" s="1603"/>
      <c r="F6680" s="1603"/>
      <c r="G6680" s="1603" t="s">
        <v>4147</v>
      </c>
      <c r="H6680" s="1604">
        <v>2</v>
      </c>
      <c r="I6680" s="1603"/>
      <c r="J6680" s="1603"/>
      <c r="K6680" s="1605">
        <v>52</v>
      </c>
      <c r="L6680" s="1606">
        <v>3812</v>
      </c>
      <c r="M6680" s="1607"/>
      <c r="N6680" s="1606">
        <v>3812</v>
      </c>
      <c r="O6680" s="1606">
        <v>1596.74</v>
      </c>
      <c r="P6680" s="1606">
        <v>2119.98</v>
      </c>
      <c r="Q6680" s="1605">
        <v>95.28</v>
      </c>
      <c r="R6680" s="1606">
        <v>2215.2600000000002</v>
      </c>
      <c r="S6680" s="1608"/>
    </row>
    <row r="6681" spans="2:19" s="1609" customFormat="1" ht="11.25" customHeight="1" outlineLevel="1">
      <c r="B6681" s="1602">
        <v>27267</v>
      </c>
      <c r="C6681" s="1603" t="s">
        <v>4142</v>
      </c>
      <c r="D6681" s="1603" t="s">
        <v>4146</v>
      </c>
      <c r="E6681" s="1603"/>
      <c r="F6681" s="1603"/>
      <c r="G6681" s="1603" t="s">
        <v>4145</v>
      </c>
      <c r="H6681" s="1604">
        <v>2</v>
      </c>
      <c r="I6681" s="1603"/>
      <c r="J6681" s="1603"/>
      <c r="K6681" s="1605">
        <v>48</v>
      </c>
      <c r="L6681" s="1606">
        <v>6354</v>
      </c>
      <c r="M6681" s="1607"/>
      <c r="N6681" s="1606">
        <v>6354</v>
      </c>
      <c r="O6681" s="1606">
        <v>2660.16</v>
      </c>
      <c r="P6681" s="1606">
        <v>3535.08</v>
      </c>
      <c r="Q6681" s="1605">
        <v>158.76</v>
      </c>
      <c r="R6681" s="1606">
        <v>3693.84</v>
      </c>
      <c r="S6681" s="1608"/>
    </row>
    <row r="6682" spans="2:19" s="1609" customFormat="1" ht="11.25" customHeight="1" outlineLevel="1">
      <c r="B6682" s="1602">
        <v>27268</v>
      </c>
      <c r="C6682" s="1603" t="s">
        <v>4142</v>
      </c>
      <c r="D6682" s="1603" t="s">
        <v>4144</v>
      </c>
      <c r="E6682" s="1603"/>
      <c r="F6682" s="1603"/>
      <c r="G6682" s="1603" t="s">
        <v>4143</v>
      </c>
      <c r="H6682" s="1604">
        <v>2</v>
      </c>
      <c r="I6682" s="1603"/>
      <c r="J6682" s="1603"/>
      <c r="K6682" s="1605">
        <v>70</v>
      </c>
      <c r="L6682" s="1606">
        <v>1081</v>
      </c>
      <c r="M6682" s="1607"/>
      <c r="N6682" s="1606">
        <v>1081</v>
      </c>
      <c r="O6682" s="1605">
        <v>578.79999999999995</v>
      </c>
      <c r="P6682" s="1605">
        <v>480.6</v>
      </c>
      <c r="Q6682" s="1605">
        <v>21.6</v>
      </c>
      <c r="R6682" s="1605">
        <v>502.2</v>
      </c>
      <c r="S6682" s="1608"/>
    </row>
    <row r="6683" spans="2:19" s="1609" customFormat="1" ht="11.25" customHeight="1" outlineLevel="1">
      <c r="B6683" s="1602">
        <v>27269</v>
      </c>
      <c r="C6683" s="1603" t="s">
        <v>4142</v>
      </c>
      <c r="D6683" s="1603" t="s">
        <v>4141</v>
      </c>
      <c r="E6683" s="1603"/>
      <c r="F6683" s="1603"/>
      <c r="G6683" s="1603" t="s">
        <v>4140</v>
      </c>
      <c r="H6683" s="1604">
        <v>2</v>
      </c>
      <c r="I6683" s="1603"/>
      <c r="J6683" s="1603"/>
      <c r="K6683" s="1605">
        <v>75</v>
      </c>
      <c r="L6683" s="1606">
        <v>4593</v>
      </c>
      <c r="M6683" s="1607"/>
      <c r="N6683" s="1606">
        <v>4593</v>
      </c>
      <c r="O6683" s="1606">
        <v>1922.97</v>
      </c>
      <c r="P6683" s="1606">
        <v>2555.19</v>
      </c>
      <c r="Q6683" s="1605">
        <v>114.84</v>
      </c>
      <c r="R6683" s="1606">
        <v>2670.03</v>
      </c>
      <c r="S6683" s="1608"/>
    </row>
    <row r="6684" spans="2:19" s="1609" customFormat="1" ht="11.25" customHeight="1" outlineLevel="1">
      <c r="B6684" s="1602">
        <v>27287</v>
      </c>
      <c r="C6684" s="1603" t="s">
        <v>4128</v>
      </c>
      <c r="D6684" s="1603" t="s">
        <v>4139</v>
      </c>
      <c r="E6684" s="1603"/>
      <c r="F6684" s="1603"/>
      <c r="G6684" s="1603" t="s">
        <v>4137</v>
      </c>
      <c r="H6684" s="1604">
        <v>2</v>
      </c>
      <c r="I6684" s="1603"/>
      <c r="J6684" s="1603"/>
      <c r="K6684" s="1605">
        <v>56</v>
      </c>
      <c r="L6684" s="1606">
        <v>3326</v>
      </c>
      <c r="M6684" s="1607"/>
      <c r="N6684" s="1606">
        <v>3326</v>
      </c>
      <c r="O6684" s="1606">
        <v>1785.76</v>
      </c>
      <c r="P6684" s="1606">
        <v>1473.64</v>
      </c>
      <c r="Q6684" s="1605">
        <v>66.599999999999994</v>
      </c>
      <c r="R6684" s="1606">
        <v>1540.24</v>
      </c>
      <c r="S6684" s="1608"/>
    </row>
    <row r="6685" spans="2:19" s="1609" customFormat="1" ht="11.25" customHeight="1" outlineLevel="1">
      <c r="B6685" s="1602">
        <v>27288</v>
      </c>
      <c r="C6685" s="1603" t="s">
        <v>4128</v>
      </c>
      <c r="D6685" s="1603" t="s">
        <v>4138</v>
      </c>
      <c r="E6685" s="1603"/>
      <c r="F6685" s="1603"/>
      <c r="G6685" s="1603" t="s">
        <v>4137</v>
      </c>
      <c r="H6685" s="1604">
        <v>2</v>
      </c>
      <c r="I6685" s="1603"/>
      <c r="J6685" s="1603"/>
      <c r="K6685" s="1605">
        <v>56</v>
      </c>
      <c r="L6685" s="1606">
        <v>3530</v>
      </c>
      <c r="M6685" s="1607"/>
      <c r="N6685" s="1606">
        <v>3530</v>
      </c>
      <c r="O6685" s="1606">
        <v>1486.58</v>
      </c>
      <c r="P6685" s="1606">
        <v>1955.1</v>
      </c>
      <c r="Q6685" s="1605">
        <v>88.32</v>
      </c>
      <c r="R6685" s="1606">
        <v>2043.42</v>
      </c>
      <c r="S6685" s="1608"/>
    </row>
    <row r="6686" spans="2:19" s="1609" customFormat="1" ht="11.25" customHeight="1" outlineLevel="1">
      <c r="B6686" s="1602">
        <v>27289</v>
      </c>
      <c r="C6686" s="1603" t="s">
        <v>4128</v>
      </c>
      <c r="D6686" s="1603" t="s">
        <v>4136</v>
      </c>
      <c r="E6686" s="1603"/>
      <c r="F6686" s="1603"/>
      <c r="G6686" s="1603" t="s">
        <v>4135</v>
      </c>
      <c r="H6686" s="1604">
        <v>2</v>
      </c>
      <c r="I6686" s="1603"/>
      <c r="J6686" s="1603"/>
      <c r="K6686" s="1605">
        <v>70</v>
      </c>
      <c r="L6686" s="1606">
        <v>9954</v>
      </c>
      <c r="M6686" s="1607"/>
      <c r="N6686" s="1606">
        <v>9954</v>
      </c>
      <c r="O6686" s="1606">
        <v>5341.98</v>
      </c>
      <c r="P6686" s="1606">
        <v>4412.9399999999996</v>
      </c>
      <c r="Q6686" s="1605">
        <v>199.08</v>
      </c>
      <c r="R6686" s="1606">
        <v>4612.0200000000004</v>
      </c>
      <c r="S6686" s="1608"/>
    </row>
    <row r="6687" spans="2:19" s="1609" customFormat="1" ht="11.25" customHeight="1" outlineLevel="1">
      <c r="B6687" s="1602">
        <v>27290</v>
      </c>
      <c r="C6687" s="1603" t="s">
        <v>4128</v>
      </c>
      <c r="D6687" s="1603" t="s">
        <v>4134</v>
      </c>
      <c r="E6687" s="1603"/>
      <c r="F6687" s="1603"/>
      <c r="G6687" s="1603" t="s">
        <v>4132</v>
      </c>
      <c r="H6687" s="1604">
        <v>2</v>
      </c>
      <c r="I6687" s="1603"/>
      <c r="J6687" s="1603"/>
      <c r="K6687" s="1605">
        <v>68</v>
      </c>
      <c r="L6687" s="1606">
        <v>3577</v>
      </c>
      <c r="M6687" s="1607"/>
      <c r="N6687" s="1606">
        <v>3577</v>
      </c>
      <c r="O6687" s="1606">
        <v>1505.9</v>
      </c>
      <c r="P6687" s="1606">
        <v>1981.7</v>
      </c>
      <c r="Q6687" s="1605">
        <v>89.4</v>
      </c>
      <c r="R6687" s="1606">
        <v>2071.1</v>
      </c>
      <c r="S6687" s="1608"/>
    </row>
    <row r="6688" spans="2:19" s="1609" customFormat="1" ht="11.25" customHeight="1" outlineLevel="1">
      <c r="B6688" s="1602">
        <v>27291</v>
      </c>
      <c r="C6688" s="1603" t="s">
        <v>4128</v>
      </c>
      <c r="D6688" s="1603" t="s">
        <v>4133</v>
      </c>
      <c r="E6688" s="1603"/>
      <c r="F6688" s="1603"/>
      <c r="G6688" s="1603" t="s">
        <v>4132</v>
      </c>
      <c r="H6688" s="1604">
        <v>2</v>
      </c>
      <c r="I6688" s="1603"/>
      <c r="J6688" s="1603"/>
      <c r="K6688" s="1605">
        <v>68</v>
      </c>
      <c r="L6688" s="1606">
        <v>1360</v>
      </c>
      <c r="M6688" s="1607"/>
      <c r="N6688" s="1606">
        <v>1360</v>
      </c>
      <c r="O6688" s="1605">
        <v>729.06</v>
      </c>
      <c r="P6688" s="1605">
        <v>603.82000000000005</v>
      </c>
      <c r="Q6688" s="1605">
        <v>27.12</v>
      </c>
      <c r="R6688" s="1605">
        <v>630.94000000000005</v>
      </c>
      <c r="S6688" s="1608"/>
    </row>
    <row r="6689" spans="2:19" s="1609" customFormat="1" ht="11.25" customHeight="1" outlineLevel="1">
      <c r="B6689" s="1602">
        <v>27293</v>
      </c>
      <c r="C6689" s="1603" t="s">
        <v>4128</v>
      </c>
      <c r="D6689" s="1603" t="s">
        <v>4131</v>
      </c>
      <c r="E6689" s="1603"/>
      <c r="F6689" s="1603"/>
      <c r="G6689" s="1603" t="s">
        <v>4130</v>
      </c>
      <c r="H6689" s="1604">
        <v>2</v>
      </c>
      <c r="I6689" s="1603"/>
      <c r="J6689" s="1603"/>
      <c r="K6689" s="1605">
        <v>182</v>
      </c>
      <c r="L6689" s="1606">
        <v>6914</v>
      </c>
      <c r="M6689" s="1607"/>
      <c r="N6689" s="1606">
        <v>6914</v>
      </c>
      <c r="O6689" s="1606">
        <v>3711.32</v>
      </c>
      <c r="P6689" s="1606">
        <v>3064.32</v>
      </c>
      <c r="Q6689" s="1605">
        <v>138.36000000000001</v>
      </c>
      <c r="R6689" s="1606">
        <v>3202.68</v>
      </c>
      <c r="S6689" s="1608"/>
    </row>
    <row r="6690" spans="2:19" s="1609" customFormat="1" ht="11.25" customHeight="1" outlineLevel="1">
      <c r="B6690" s="1602">
        <v>27295</v>
      </c>
      <c r="C6690" s="1603" t="s">
        <v>4128</v>
      </c>
      <c r="D6690" s="1603" t="s">
        <v>4129</v>
      </c>
      <c r="E6690" s="1603"/>
      <c r="F6690" s="1603"/>
      <c r="G6690" s="1603" t="s">
        <v>4126</v>
      </c>
      <c r="H6690" s="1604">
        <v>2</v>
      </c>
      <c r="I6690" s="1603"/>
      <c r="J6690" s="1603"/>
      <c r="K6690" s="1605">
        <v>525</v>
      </c>
      <c r="L6690" s="1606">
        <v>65418</v>
      </c>
      <c r="M6690" s="1607"/>
      <c r="N6690" s="1606">
        <v>65418</v>
      </c>
      <c r="O6690" s="1606">
        <v>35107.660000000003</v>
      </c>
      <c r="P6690" s="1606">
        <v>29001.98</v>
      </c>
      <c r="Q6690" s="1606">
        <v>1308.3599999999999</v>
      </c>
      <c r="R6690" s="1606">
        <v>30310.34</v>
      </c>
      <c r="S6690" s="1608"/>
    </row>
    <row r="6691" spans="2:19" s="1609" customFormat="1" ht="11.25" customHeight="1" outlineLevel="1">
      <c r="B6691" s="1602">
        <v>27296</v>
      </c>
      <c r="C6691" s="1603" t="s">
        <v>4128</v>
      </c>
      <c r="D6691" s="1603" t="s">
        <v>4127</v>
      </c>
      <c r="E6691" s="1603"/>
      <c r="F6691" s="1603"/>
      <c r="G6691" s="1603" t="s">
        <v>4126</v>
      </c>
      <c r="H6691" s="1604">
        <v>2</v>
      </c>
      <c r="I6691" s="1603"/>
      <c r="J6691" s="1603"/>
      <c r="K6691" s="1605">
        <v>525</v>
      </c>
      <c r="L6691" s="1606">
        <v>23722</v>
      </c>
      <c r="M6691" s="1607"/>
      <c r="N6691" s="1606">
        <v>23722</v>
      </c>
      <c r="O6691" s="1606">
        <v>12730</v>
      </c>
      <c r="P6691" s="1606">
        <v>10517.64</v>
      </c>
      <c r="Q6691" s="1605">
        <v>474.36</v>
      </c>
      <c r="R6691" s="1606">
        <v>10992</v>
      </c>
      <c r="S6691" s="1608"/>
    </row>
    <row r="6692" spans="2:19" s="1609" customFormat="1" ht="11.25" customHeight="1" outlineLevel="1">
      <c r="B6692" s="1602">
        <v>27387</v>
      </c>
      <c r="C6692" s="1603" t="s">
        <v>4117</v>
      </c>
      <c r="D6692" s="1603" t="s">
        <v>4125</v>
      </c>
      <c r="E6692" s="1603"/>
      <c r="F6692" s="1603"/>
      <c r="G6692" s="1603" t="s">
        <v>4124</v>
      </c>
      <c r="H6692" s="1604">
        <v>2</v>
      </c>
      <c r="I6692" s="1603"/>
      <c r="J6692" s="1603"/>
      <c r="K6692" s="1605">
        <v>190</v>
      </c>
      <c r="L6692" s="1606">
        <v>23389</v>
      </c>
      <c r="M6692" s="1607"/>
      <c r="N6692" s="1606">
        <v>23389</v>
      </c>
      <c r="O6692" s="1606">
        <v>9939.64</v>
      </c>
      <c r="P6692" s="1606">
        <v>12864.72</v>
      </c>
      <c r="Q6692" s="1605">
        <v>584.64</v>
      </c>
      <c r="R6692" s="1606">
        <v>13449.36</v>
      </c>
      <c r="S6692" s="1608"/>
    </row>
    <row r="6693" spans="2:19" s="1609" customFormat="1" ht="11.25" customHeight="1" outlineLevel="1">
      <c r="B6693" s="1602">
        <v>27391</v>
      </c>
      <c r="C6693" s="1603" t="s">
        <v>4117</v>
      </c>
      <c r="D6693" s="1603" t="s">
        <v>4123</v>
      </c>
      <c r="E6693" s="1603"/>
      <c r="F6693" s="1603"/>
      <c r="G6693" s="1603" t="s">
        <v>4122</v>
      </c>
      <c r="H6693" s="1604">
        <v>2</v>
      </c>
      <c r="I6693" s="1603"/>
      <c r="J6693" s="1603"/>
      <c r="K6693" s="1606">
        <v>2630</v>
      </c>
      <c r="L6693" s="1606">
        <v>26392</v>
      </c>
      <c r="M6693" s="1607"/>
      <c r="N6693" s="1606">
        <v>26392</v>
      </c>
      <c r="O6693" s="1606">
        <v>14250.88</v>
      </c>
      <c r="P6693" s="1606">
        <v>11613.36</v>
      </c>
      <c r="Q6693" s="1605">
        <v>527.76</v>
      </c>
      <c r="R6693" s="1606">
        <v>12141.12</v>
      </c>
      <c r="S6693" s="1608"/>
    </row>
    <row r="6694" spans="2:19" s="1609" customFormat="1" ht="11.25" customHeight="1" outlineLevel="1">
      <c r="B6694" s="1602">
        <v>27392</v>
      </c>
      <c r="C6694" s="1603" t="s">
        <v>4117</v>
      </c>
      <c r="D6694" s="1603" t="s">
        <v>4121</v>
      </c>
      <c r="E6694" s="1603"/>
      <c r="F6694" s="1603"/>
      <c r="G6694" s="1603" t="s">
        <v>4120</v>
      </c>
      <c r="H6694" s="1604">
        <v>2</v>
      </c>
      <c r="I6694" s="1603"/>
      <c r="J6694" s="1603"/>
      <c r="K6694" s="1605">
        <v>448</v>
      </c>
      <c r="L6694" s="1606">
        <v>4120</v>
      </c>
      <c r="M6694" s="1607"/>
      <c r="N6694" s="1606">
        <v>4120</v>
      </c>
      <c r="O6694" s="1606">
        <v>2224</v>
      </c>
      <c r="P6694" s="1606">
        <v>1813.68</v>
      </c>
      <c r="Q6694" s="1605">
        <v>82.32</v>
      </c>
      <c r="R6694" s="1606">
        <v>1896</v>
      </c>
      <c r="S6694" s="1608"/>
    </row>
    <row r="6695" spans="2:19" s="1609" customFormat="1" ht="11.25" customHeight="1" outlineLevel="1">
      <c r="B6695" s="1602">
        <v>27544</v>
      </c>
      <c r="C6695" s="1603" t="s">
        <v>4117</v>
      </c>
      <c r="D6695" s="1603" t="s">
        <v>4119</v>
      </c>
      <c r="E6695" s="1603"/>
      <c r="F6695" s="1603"/>
      <c r="G6695" s="1603" t="s">
        <v>4118</v>
      </c>
      <c r="H6695" s="1604">
        <v>2</v>
      </c>
      <c r="I6695" s="1603"/>
      <c r="J6695" s="1603"/>
      <c r="K6695" s="1605">
        <v>84</v>
      </c>
      <c r="L6695" s="1606">
        <v>7982</v>
      </c>
      <c r="M6695" s="1607"/>
      <c r="N6695" s="1606">
        <v>7982</v>
      </c>
      <c r="O6695" s="1606">
        <v>4311.08</v>
      </c>
      <c r="P6695" s="1606">
        <v>3511.2</v>
      </c>
      <c r="Q6695" s="1605">
        <v>159.72</v>
      </c>
      <c r="R6695" s="1606">
        <v>3670.92</v>
      </c>
      <c r="S6695" s="1608"/>
    </row>
    <row r="6696" spans="2:19" s="1609" customFormat="1" ht="11.25" customHeight="1" outlineLevel="1">
      <c r="B6696" s="1602">
        <v>27560</v>
      </c>
      <c r="C6696" s="1603" t="s">
        <v>4117</v>
      </c>
      <c r="D6696" s="1603" t="s">
        <v>4116</v>
      </c>
      <c r="E6696" s="1603"/>
      <c r="F6696" s="1603"/>
      <c r="G6696" s="1603" t="s">
        <v>3734</v>
      </c>
      <c r="H6696" s="1604">
        <v>2</v>
      </c>
      <c r="I6696" s="1603"/>
      <c r="J6696" s="1603"/>
      <c r="K6696" s="1606">
        <v>3162</v>
      </c>
      <c r="L6696" s="1606">
        <v>25297</v>
      </c>
      <c r="M6696" s="1607"/>
      <c r="N6696" s="1606">
        <v>25297</v>
      </c>
      <c r="O6696" s="1606">
        <v>10751.8</v>
      </c>
      <c r="P6696" s="1606">
        <v>13912.8</v>
      </c>
      <c r="Q6696" s="1605">
        <v>632.4</v>
      </c>
      <c r="R6696" s="1606">
        <v>14545.2</v>
      </c>
      <c r="S6696" s="1608"/>
    </row>
    <row r="6697" spans="2:19" s="1609" customFormat="1" ht="11.25" customHeight="1" outlineLevel="1">
      <c r="B6697" s="1602">
        <v>27572</v>
      </c>
      <c r="C6697" s="1603" t="s">
        <v>4115</v>
      </c>
      <c r="D6697" s="1603" t="s">
        <v>4114</v>
      </c>
      <c r="E6697" s="1603"/>
      <c r="F6697" s="1603"/>
      <c r="G6697" s="1603" t="s">
        <v>4113</v>
      </c>
      <c r="H6697" s="1604">
        <v>2</v>
      </c>
      <c r="I6697" s="1603"/>
      <c r="J6697" s="1603"/>
      <c r="K6697" s="1605">
        <v>331</v>
      </c>
      <c r="L6697" s="1606">
        <v>30915</v>
      </c>
      <c r="M6697" s="1607"/>
      <c r="N6697" s="1606">
        <v>30915</v>
      </c>
      <c r="O6697" s="1606">
        <v>7559.21</v>
      </c>
      <c r="P6697" s="1606">
        <v>22336.59</v>
      </c>
      <c r="Q6697" s="1606">
        <v>1019.2</v>
      </c>
      <c r="R6697" s="1606">
        <v>23355.79</v>
      </c>
      <c r="S6697" s="1608"/>
    </row>
    <row r="6698" spans="2:19" s="1609" customFormat="1" ht="11.25" customHeight="1" outlineLevel="1">
      <c r="B6698" s="1602">
        <v>27661</v>
      </c>
      <c r="C6698" s="1603" t="s">
        <v>4112</v>
      </c>
      <c r="D6698" s="1603" t="s">
        <v>4111</v>
      </c>
      <c r="E6698" s="1603"/>
      <c r="F6698" s="1603"/>
      <c r="G6698" s="1603" t="s">
        <v>4110</v>
      </c>
      <c r="H6698" s="1604">
        <v>2</v>
      </c>
      <c r="I6698" s="1603"/>
      <c r="J6698" s="1603"/>
      <c r="K6698" s="1606">
        <v>1064</v>
      </c>
      <c r="L6698" s="1606">
        <v>27242</v>
      </c>
      <c r="M6698" s="1607"/>
      <c r="N6698" s="1606">
        <v>27242</v>
      </c>
      <c r="O6698" s="1606">
        <v>14893.08</v>
      </c>
      <c r="P6698" s="1606">
        <v>11804</v>
      </c>
      <c r="Q6698" s="1605">
        <v>544.91999999999996</v>
      </c>
      <c r="R6698" s="1606">
        <v>12348.92</v>
      </c>
      <c r="S6698" s="1608"/>
    </row>
    <row r="6699" spans="2:19" s="1609" customFormat="1" ht="11.25" customHeight="1" outlineLevel="1">
      <c r="B6699" s="1602">
        <v>27672</v>
      </c>
      <c r="C6699" s="1603" t="s">
        <v>4108</v>
      </c>
      <c r="D6699" s="1603" t="s">
        <v>4109</v>
      </c>
      <c r="E6699" s="1603"/>
      <c r="F6699" s="1603"/>
      <c r="G6699" s="1603" t="s">
        <v>3734</v>
      </c>
      <c r="H6699" s="1604">
        <v>2</v>
      </c>
      <c r="I6699" s="1603"/>
      <c r="J6699" s="1603"/>
      <c r="K6699" s="1605">
        <v>164</v>
      </c>
      <c r="L6699" s="1606">
        <v>19669</v>
      </c>
      <c r="M6699" s="1607"/>
      <c r="N6699" s="1606">
        <v>19669</v>
      </c>
      <c r="O6699" s="1606">
        <v>5024.32</v>
      </c>
      <c r="P6699" s="1606">
        <v>13996.36</v>
      </c>
      <c r="Q6699" s="1605">
        <v>648.32000000000005</v>
      </c>
      <c r="R6699" s="1606">
        <v>14644.68</v>
      </c>
      <c r="S6699" s="1608"/>
    </row>
    <row r="6700" spans="2:19" s="1609" customFormat="1" ht="11.25" customHeight="1" outlineLevel="1">
      <c r="B6700" s="1602">
        <v>27673</v>
      </c>
      <c r="C6700" s="1603" t="s">
        <v>4108</v>
      </c>
      <c r="D6700" s="1603" t="s">
        <v>4107</v>
      </c>
      <c r="E6700" s="1603"/>
      <c r="F6700" s="1603"/>
      <c r="G6700" s="1603" t="s">
        <v>4106</v>
      </c>
      <c r="H6700" s="1604">
        <v>2</v>
      </c>
      <c r="I6700" s="1603"/>
      <c r="J6700" s="1603"/>
      <c r="K6700" s="1605">
        <v>200</v>
      </c>
      <c r="L6700" s="1606">
        <v>13572</v>
      </c>
      <c r="M6700" s="1607"/>
      <c r="N6700" s="1606">
        <v>13572</v>
      </c>
      <c r="O6700" s="1606">
        <v>7441.98</v>
      </c>
      <c r="P6700" s="1606">
        <v>5858.58</v>
      </c>
      <c r="Q6700" s="1605">
        <v>271.44</v>
      </c>
      <c r="R6700" s="1606">
        <v>6130.02</v>
      </c>
      <c r="S6700" s="1608"/>
    </row>
    <row r="6701" spans="2:19" s="1609" customFormat="1" ht="11.25" customHeight="1" outlineLevel="1">
      <c r="B6701" s="1602">
        <v>27772</v>
      </c>
      <c r="C6701" s="1603" t="s">
        <v>4101</v>
      </c>
      <c r="D6701" s="1603" t="s">
        <v>4105</v>
      </c>
      <c r="E6701" s="1603"/>
      <c r="F6701" s="1603"/>
      <c r="G6701" s="1603" t="s">
        <v>3734</v>
      </c>
      <c r="H6701" s="1604">
        <v>2</v>
      </c>
      <c r="I6701" s="1603"/>
      <c r="J6701" s="1603"/>
      <c r="K6701" s="1605">
        <v>447</v>
      </c>
      <c r="L6701" s="1606">
        <v>46143</v>
      </c>
      <c r="M6701" s="1607"/>
      <c r="N6701" s="1606">
        <v>46143</v>
      </c>
      <c r="O6701" s="1606">
        <v>12041.99</v>
      </c>
      <c r="P6701" s="1606">
        <v>32579.89</v>
      </c>
      <c r="Q6701" s="1606">
        <v>1521.12</v>
      </c>
      <c r="R6701" s="1606">
        <v>34101.01</v>
      </c>
      <c r="S6701" s="1608"/>
    </row>
    <row r="6702" spans="2:19" s="1609" customFormat="1" ht="11.25" customHeight="1" outlineLevel="1">
      <c r="B6702" s="1602">
        <v>27773</v>
      </c>
      <c r="C6702" s="1603" t="s">
        <v>4101</v>
      </c>
      <c r="D6702" s="1603" t="s">
        <v>4104</v>
      </c>
      <c r="E6702" s="1603"/>
      <c r="F6702" s="1603"/>
      <c r="G6702" s="1603" t="s">
        <v>3734</v>
      </c>
      <c r="H6702" s="1604">
        <v>2</v>
      </c>
      <c r="I6702" s="1603"/>
      <c r="J6702" s="1603"/>
      <c r="K6702" s="1605">
        <v>601</v>
      </c>
      <c r="L6702" s="1606">
        <v>12499</v>
      </c>
      <c r="M6702" s="1607"/>
      <c r="N6702" s="1606">
        <v>12499</v>
      </c>
      <c r="O6702" s="1606">
        <v>1292.22</v>
      </c>
      <c r="P6702" s="1606">
        <v>10706.62</v>
      </c>
      <c r="Q6702" s="1605">
        <v>500.16</v>
      </c>
      <c r="R6702" s="1606">
        <v>11206.78</v>
      </c>
      <c r="S6702" s="1608"/>
    </row>
    <row r="6703" spans="2:19" s="1609" customFormat="1" ht="11.25" customHeight="1" outlineLevel="1">
      <c r="B6703" s="1602">
        <v>27774</v>
      </c>
      <c r="C6703" s="1603" t="s">
        <v>4101</v>
      </c>
      <c r="D6703" s="1603" t="s">
        <v>4103</v>
      </c>
      <c r="E6703" s="1603"/>
      <c r="F6703" s="1603"/>
      <c r="G6703" s="1603" t="s">
        <v>3734</v>
      </c>
      <c r="H6703" s="1604">
        <v>2</v>
      </c>
      <c r="I6703" s="1603"/>
      <c r="J6703" s="1603"/>
      <c r="K6703" s="1605">
        <v>684</v>
      </c>
      <c r="L6703" s="1606">
        <v>15256</v>
      </c>
      <c r="M6703" s="1607"/>
      <c r="N6703" s="1606">
        <v>15256</v>
      </c>
      <c r="O6703" s="1606">
        <v>8415.4500000000007</v>
      </c>
      <c r="P6703" s="1606">
        <v>6535.51</v>
      </c>
      <c r="Q6703" s="1605">
        <v>305.04000000000002</v>
      </c>
      <c r="R6703" s="1606">
        <v>6840.55</v>
      </c>
      <c r="S6703" s="1608"/>
    </row>
    <row r="6704" spans="2:19" s="1609" customFormat="1" ht="11.25" customHeight="1" outlineLevel="1">
      <c r="B6704" s="1602">
        <v>27778</v>
      </c>
      <c r="C6704" s="1603" t="s">
        <v>4101</v>
      </c>
      <c r="D6704" s="1603" t="s">
        <v>4102</v>
      </c>
      <c r="E6704" s="1603"/>
      <c r="F6704" s="1603"/>
      <c r="G6704" s="1603" t="s">
        <v>3734</v>
      </c>
      <c r="H6704" s="1604">
        <v>2</v>
      </c>
      <c r="I6704" s="1603"/>
      <c r="J6704" s="1603"/>
      <c r="K6704" s="1605">
        <v>310</v>
      </c>
      <c r="L6704" s="1606">
        <v>4526</v>
      </c>
      <c r="M6704" s="1607"/>
      <c r="N6704" s="1606">
        <v>4526</v>
      </c>
      <c r="O6704" s="1606">
        <v>1182.21</v>
      </c>
      <c r="P6704" s="1606">
        <v>3194.51</v>
      </c>
      <c r="Q6704" s="1605">
        <v>149.28</v>
      </c>
      <c r="R6704" s="1606">
        <v>3343.79</v>
      </c>
      <c r="S6704" s="1608"/>
    </row>
    <row r="6705" spans="2:19" s="1609" customFormat="1" ht="21.75" customHeight="1" outlineLevel="1">
      <c r="B6705" s="1602">
        <v>27781</v>
      </c>
      <c r="C6705" s="1603" t="s">
        <v>4101</v>
      </c>
      <c r="D6705" s="1603" t="s">
        <v>4100</v>
      </c>
      <c r="E6705" s="1603"/>
      <c r="F6705" s="1603"/>
      <c r="G6705" s="1603" t="s">
        <v>4099</v>
      </c>
      <c r="H6705" s="1604">
        <v>1</v>
      </c>
      <c r="I6705" s="1603"/>
      <c r="J6705" s="1603"/>
      <c r="K6705" s="1605">
        <v>660</v>
      </c>
      <c r="L6705" s="1606">
        <v>9242</v>
      </c>
      <c r="M6705" s="1607"/>
      <c r="N6705" s="1606">
        <v>9242</v>
      </c>
      <c r="O6705" s="1606">
        <v>2430.92</v>
      </c>
      <c r="P6705" s="1606">
        <v>6507.24</v>
      </c>
      <c r="Q6705" s="1605">
        <v>303.83999999999997</v>
      </c>
      <c r="R6705" s="1606">
        <v>6811.08</v>
      </c>
      <c r="S6705" s="1608"/>
    </row>
    <row r="6706" spans="2:19" s="1609" customFormat="1" ht="11.25" customHeight="1" outlineLevel="1">
      <c r="B6706" s="1602">
        <v>27918</v>
      </c>
      <c r="C6706" s="1603" t="s">
        <v>4097</v>
      </c>
      <c r="D6706" s="1603" t="s">
        <v>4098</v>
      </c>
      <c r="E6706" s="1603"/>
      <c r="F6706" s="1603"/>
      <c r="G6706" s="1603" t="s">
        <v>4095</v>
      </c>
      <c r="H6706" s="1604">
        <v>2</v>
      </c>
      <c r="I6706" s="1603"/>
      <c r="J6706" s="1603"/>
      <c r="K6706" s="1606">
        <v>1142</v>
      </c>
      <c r="L6706" s="1606">
        <v>21689</v>
      </c>
      <c r="M6706" s="1607"/>
      <c r="N6706" s="1606">
        <v>21689</v>
      </c>
      <c r="O6706" s="1606">
        <v>12000.8</v>
      </c>
      <c r="P6706" s="1606">
        <v>9254.4</v>
      </c>
      <c r="Q6706" s="1605">
        <v>433.8</v>
      </c>
      <c r="R6706" s="1606">
        <v>9688.2000000000007</v>
      </c>
      <c r="S6706" s="1608"/>
    </row>
    <row r="6707" spans="2:19" s="1609" customFormat="1" ht="11.25" customHeight="1" outlineLevel="1">
      <c r="B6707" s="1602">
        <v>27919</v>
      </c>
      <c r="C6707" s="1603" t="s">
        <v>4097</v>
      </c>
      <c r="D6707" s="1603" t="s">
        <v>4096</v>
      </c>
      <c r="E6707" s="1603"/>
      <c r="F6707" s="1603"/>
      <c r="G6707" s="1603" t="s">
        <v>4095</v>
      </c>
      <c r="H6707" s="1604">
        <v>2</v>
      </c>
      <c r="I6707" s="1603"/>
      <c r="J6707" s="1603"/>
      <c r="K6707" s="1605">
        <v>287</v>
      </c>
      <c r="L6707" s="1606">
        <v>7624</v>
      </c>
      <c r="M6707" s="1607"/>
      <c r="N6707" s="1606">
        <v>7624</v>
      </c>
      <c r="O6707" s="1606">
        <v>2009.64</v>
      </c>
      <c r="P6707" s="1606">
        <v>5363.2</v>
      </c>
      <c r="Q6707" s="1605">
        <v>251.16</v>
      </c>
      <c r="R6707" s="1606">
        <v>5614.36</v>
      </c>
      <c r="S6707" s="1608"/>
    </row>
    <row r="6708" spans="2:19" s="1609" customFormat="1" ht="11.25" customHeight="1" outlineLevel="1">
      <c r="B6708" s="1602">
        <v>28001</v>
      </c>
      <c r="C6708" s="1603" t="s">
        <v>4070</v>
      </c>
      <c r="D6708" s="1603" t="s">
        <v>4094</v>
      </c>
      <c r="E6708" s="1603"/>
      <c r="F6708" s="1603"/>
      <c r="G6708" s="1603" t="s">
        <v>4093</v>
      </c>
      <c r="H6708" s="1604">
        <v>2</v>
      </c>
      <c r="I6708" s="1603"/>
      <c r="J6708" s="1603"/>
      <c r="K6708" s="1605">
        <v>392</v>
      </c>
      <c r="L6708" s="1606">
        <v>11278</v>
      </c>
      <c r="M6708" s="1607"/>
      <c r="N6708" s="1606">
        <v>11278</v>
      </c>
      <c r="O6708" s="1606">
        <v>3037.2</v>
      </c>
      <c r="P6708" s="1606">
        <v>7868.92</v>
      </c>
      <c r="Q6708" s="1605">
        <v>371.88</v>
      </c>
      <c r="R6708" s="1606">
        <v>8240.7999999999993</v>
      </c>
      <c r="S6708" s="1608"/>
    </row>
    <row r="6709" spans="2:19" s="1609" customFormat="1" ht="11.25" customHeight="1" outlineLevel="1">
      <c r="B6709" s="1602">
        <v>28013</v>
      </c>
      <c r="C6709" s="1603" t="s">
        <v>4070</v>
      </c>
      <c r="D6709" s="1603" t="s">
        <v>4092</v>
      </c>
      <c r="E6709" s="1603"/>
      <c r="F6709" s="1603"/>
      <c r="G6709" s="1603" t="s">
        <v>4091</v>
      </c>
      <c r="H6709" s="1604">
        <v>2</v>
      </c>
      <c r="I6709" s="1603"/>
      <c r="J6709" s="1603"/>
      <c r="K6709" s="1605">
        <v>406</v>
      </c>
      <c r="L6709" s="1606">
        <v>7830</v>
      </c>
      <c r="M6709" s="1607"/>
      <c r="N6709" s="1606">
        <v>7830</v>
      </c>
      <c r="O6709" s="1606">
        <v>3491.42</v>
      </c>
      <c r="P6709" s="1606">
        <v>4142.74</v>
      </c>
      <c r="Q6709" s="1605">
        <v>195.84</v>
      </c>
      <c r="R6709" s="1606">
        <v>4338.58</v>
      </c>
      <c r="S6709" s="1608"/>
    </row>
    <row r="6710" spans="2:19" s="1609" customFormat="1" ht="11.25" customHeight="1" outlineLevel="1">
      <c r="B6710" s="1602">
        <v>28014</v>
      </c>
      <c r="C6710" s="1603" t="s">
        <v>4070</v>
      </c>
      <c r="D6710" s="1603" t="s">
        <v>4090</v>
      </c>
      <c r="E6710" s="1603"/>
      <c r="F6710" s="1603"/>
      <c r="G6710" s="1603" t="s">
        <v>4088</v>
      </c>
      <c r="H6710" s="1604">
        <v>2</v>
      </c>
      <c r="I6710" s="1603"/>
      <c r="J6710" s="1603"/>
      <c r="K6710" s="1605">
        <v>323</v>
      </c>
      <c r="L6710" s="1606">
        <v>24073</v>
      </c>
      <c r="M6710" s="1607"/>
      <c r="N6710" s="1606">
        <v>24073</v>
      </c>
      <c r="O6710" s="1606">
        <v>13401.08</v>
      </c>
      <c r="P6710" s="1606">
        <v>10190.48</v>
      </c>
      <c r="Q6710" s="1605">
        <v>481.44</v>
      </c>
      <c r="R6710" s="1606">
        <v>10671.92</v>
      </c>
      <c r="S6710" s="1608"/>
    </row>
    <row r="6711" spans="2:19" s="1609" customFormat="1" ht="11.25" customHeight="1" outlineLevel="1">
      <c r="B6711" s="1602">
        <v>28015</v>
      </c>
      <c r="C6711" s="1603" t="s">
        <v>4070</v>
      </c>
      <c r="D6711" s="1603" t="s">
        <v>4089</v>
      </c>
      <c r="E6711" s="1603"/>
      <c r="F6711" s="1603"/>
      <c r="G6711" s="1603" t="s">
        <v>4088</v>
      </c>
      <c r="H6711" s="1604">
        <v>2</v>
      </c>
      <c r="I6711" s="1603"/>
      <c r="J6711" s="1603"/>
      <c r="K6711" s="1605">
        <v>367</v>
      </c>
      <c r="L6711" s="1606">
        <v>10648</v>
      </c>
      <c r="M6711" s="1607"/>
      <c r="N6711" s="1606">
        <v>10648</v>
      </c>
      <c r="O6711" s="1606">
        <v>4748</v>
      </c>
      <c r="P6711" s="1606">
        <v>5633.72</v>
      </c>
      <c r="Q6711" s="1605">
        <v>266.27999999999997</v>
      </c>
      <c r="R6711" s="1606">
        <v>5900</v>
      </c>
      <c r="S6711" s="1608"/>
    </row>
    <row r="6712" spans="2:19" s="1609" customFormat="1" ht="11.25" customHeight="1" outlineLevel="1">
      <c r="B6712" s="1602">
        <v>28016</v>
      </c>
      <c r="C6712" s="1603" t="s">
        <v>4070</v>
      </c>
      <c r="D6712" s="1603" t="s">
        <v>4087</v>
      </c>
      <c r="E6712" s="1603"/>
      <c r="F6712" s="1603"/>
      <c r="G6712" s="1603" t="s">
        <v>4086</v>
      </c>
      <c r="H6712" s="1604">
        <v>2</v>
      </c>
      <c r="I6712" s="1603"/>
      <c r="J6712" s="1603"/>
      <c r="K6712" s="1605">
        <v>137</v>
      </c>
      <c r="L6712" s="1606">
        <v>6500</v>
      </c>
      <c r="M6712" s="1607"/>
      <c r="N6712" s="1606">
        <v>6500</v>
      </c>
      <c r="O6712" s="1606">
        <v>2898.36</v>
      </c>
      <c r="P6712" s="1606">
        <v>3439.16</v>
      </c>
      <c r="Q6712" s="1605">
        <v>162.47999999999999</v>
      </c>
      <c r="R6712" s="1606">
        <v>3601.64</v>
      </c>
      <c r="S6712" s="1608"/>
    </row>
    <row r="6713" spans="2:19" s="1609" customFormat="1" ht="11.25" customHeight="1" outlineLevel="1">
      <c r="B6713" s="1602">
        <v>28017</v>
      </c>
      <c r="C6713" s="1603" t="s">
        <v>4070</v>
      </c>
      <c r="D6713" s="1603" t="s">
        <v>4085</v>
      </c>
      <c r="E6713" s="1603"/>
      <c r="F6713" s="1603"/>
      <c r="G6713" s="1603" t="s">
        <v>4084</v>
      </c>
      <c r="H6713" s="1604">
        <v>2</v>
      </c>
      <c r="I6713" s="1603"/>
      <c r="J6713" s="1603"/>
      <c r="K6713" s="1605">
        <v>296</v>
      </c>
      <c r="L6713" s="1606">
        <v>20940</v>
      </c>
      <c r="M6713" s="1607"/>
      <c r="N6713" s="1606">
        <v>20940</v>
      </c>
      <c r="O6713" s="1606">
        <v>9334.5400000000009</v>
      </c>
      <c r="P6713" s="1606">
        <v>11082.02</v>
      </c>
      <c r="Q6713" s="1605">
        <v>523.44000000000005</v>
      </c>
      <c r="R6713" s="1606">
        <v>11605.46</v>
      </c>
      <c r="S6713" s="1608"/>
    </row>
    <row r="6714" spans="2:19" s="1609" customFormat="1" ht="11.25" customHeight="1" outlineLevel="1">
      <c r="B6714" s="1602">
        <v>28018</v>
      </c>
      <c r="C6714" s="1603" t="s">
        <v>4070</v>
      </c>
      <c r="D6714" s="1603" t="s">
        <v>4083</v>
      </c>
      <c r="E6714" s="1603"/>
      <c r="F6714" s="1603"/>
      <c r="G6714" s="1603" t="s">
        <v>4082</v>
      </c>
      <c r="H6714" s="1604">
        <v>2</v>
      </c>
      <c r="I6714" s="1603"/>
      <c r="J6714" s="1603"/>
      <c r="K6714" s="1605">
        <v>262</v>
      </c>
      <c r="L6714" s="1606">
        <v>6130</v>
      </c>
      <c r="M6714" s="1607"/>
      <c r="N6714" s="1606">
        <v>6130</v>
      </c>
      <c r="O6714" s="1606">
        <v>2733.18</v>
      </c>
      <c r="P6714" s="1606">
        <v>3243.58</v>
      </c>
      <c r="Q6714" s="1605">
        <v>153.24</v>
      </c>
      <c r="R6714" s="1606">
        <v>3396.82</v>
      </c>
      <c r="S6714" s="1608"/>
    </row>
    <row r="6715" spans="2:19" s="1609" customFormat="1" ht="11.25" customHeight="1" outlineLevel="1">
      <c r="B6715" s="1602">
        <v>28019</v>
      </c>
      <c r="C6715" s="1603" t="s">
        <v>4070</v>
      </c>
      <c r="D6715" s="1603" t="s">
        <v>4081</v>
      </c>
      <c r="E6715" s="1603"/>
      <c r="F6715" s="1603"/>
      <c r="G6715" s="1603" t="s">
        <v>4080</v>
      </c>
      <c r="H6715" s="1604">
        <v>2</v>
      </c>
      <c r="I6715" s="1603"/>
      <c r="J6715" s="1603"/>
      <c r="K6715" s="1605">
        <v>444</v>
      </c>
      <c r="L6715" s="1606">
        <v>24300</v>
      </c>
      <c r="M6715" s="1607"/>
      <c r="N6715" s="1606">
        <v>24300</v>
      </c>
      <c r="O6715" s="1606">
        <v>13527</v>
      </c>
      <c r="P6715" s="1606">
        <v>10287</v>
      </c>
      <c r="Q6715" s="1605">
        <v>486</v>
      </c>
      <c r="R6715" s="1606">
        <v>10773</v>
      </c>
      <c r="S6715" s="1608"/>
    </row>
    <row r="6716" spans="2:19" s="1609" customFormat="1" ht="11.25" customHeight="1" outlineLevel="1">
      <c r="B6716" s="1602">
        <v>28020</v>
      </c>
      <c r="C6716" s="1603" t="s">
        <v>4070</v>
      </c>
      <c r="D6716" s="1603" t="s">
        <v>4079</v>
      </c>
      <c r="E6716" s="1603"/>
      <c r="F6716" s="1603"/>
      <c r="G6716" s="1603" t="s">
        <v>4078</v>
      </c>
      <c r="H6716" s="1604">
        <v>2</v>
      </c>
      <c r="I6716" s="1603"/>
      <c r="J6716" s="1603"/>
      <c r="K6716" s="1605">
        <v>527</v>
      </c>
      <c r="L6716" s="1606">
        <v>39600</v>
      </c>
      <c r="M6716" s="1607"/>
      <c r="N6716" s="1606">
        <v>39600</v>
      </c>
      <c r="O6716" s="1606">
        <v>22044</v>
      </c>
      <c r="P6716" s="1606">
        <v>16764</v>
      </c>
      <c r="Q6716" s="1605">
        <v>792</v>
      </c>
      <c r="R6716" s="1606">
        <v>17556</v>
      </c>
      <c r="S6716" s="1608"/>
    </row>
    <row r="6717" spans="2:19" s="1609" customFormat="1" ht="11.25" customHeight="1" outlineLevel="1">
      <c r="B6717" s="1602">
        <v>28021</v>
      </c>
      <c r="C6717" s="1603" t="s">
        <v>4070</v>
      </c>
      <c r="D6717" s="1603" t="s">
        <v>4077</v>
      </c>
      <c r="E6717" s="1603"/>
      <c r="F6717" s="1603"/>
      <c r="G6717" s="1603" t="s">
        <v>4075</v>
      </c>
      <c r="H6717" s="1604">
        <v>2</v>
      </c>
      <c r="I6717" s="1603"/>
      <c r="J6717" s="1603"/>
      <c r="K6717" s="1605">
        <v>285</v>
      </c>
      <c r="L6717" s="1606">
        <v>16900</v>
      </c>
      <c r="M6717" s="1607"/>
      <c r="N6717" s="1606">
        <v>16900</v>
      </c>
      <c r="O6717" s="1606">
        <v>7534.14</v>
      </c>
      <c r="P6717" s="1606">
        <v>8943.34</v>
      </c>
      <c r="Q6717" s="1605">
        <v>422.52</v>
      </c>
      <c r="R6717" s="1606">
        <v>9365.86</v>
      </c>
      <c r="S6717" s="1608"/>
    </row>
    <row r="6718" spans="2:19" s="1609" customFormat="1" ht="11.25" customHeight="1" outlineLevel="1">
      <c r="B6718" s="1602">
        <v>28022</v>
      </c>
      <c r="C6718" s="1603" t="s">
        <v>4070</v>
      </c>
      <c r="D6718" s="1603" t="s">
        <v>4076</v>
      </c>
      <c r="E6718" s="1603"/>
      <c r="F6718" s="1603"/>
      <c r="G6718" s="1603" t="s">
        <v>4075</v>
      </c>
      <c r="H6718" s="1604">
        <v>2</v>
      </c>
      <c r="I6718" s="1603"/>
      <c r="J6718" s="1603"/>
      <c r="K6718" s="1605">
        <v>418</v>
      </c>
      <c r="L6718" s="1606">
        <v>16100</v>
      </c>
      <c r="M6718" s="1607"/>
      <c r="N6718" s="1606">
        <v>16100</v>
      </c>
      <c r="O6718" s="1606">
        <v>7178.36</v>
      </c>
      <c r="P6718" s="1606">
        <v>8519.16</v>
      </c>
      <c r="Q6718" s="1605">
        <v>402.48</v>
      </c>
      <c r="R6718" s="1606">
        <v>8921.64</v>
      </c>
      <c r="S6718" s="1608"/>
    </row>
    <row r="6719" spans="2:19" s="1609" customFormat="1" ht="11.25" customHeight="1" outlineLevel="1">
      <c r="B6719" s="1602">
        <v>28023</v>
      </c>
      <c r="C6719" s="1603" t="s">
        <v>4070</v>
      </c>
      <c r="D6719" s="1603" t="s">
        <v>4074</v>
      </c>
      <c r="E6719" s="1603"/>
      <c r="F6719" s="1603"/>
      <c r="G6719" s="1603" t="s">
        <v>4073</v>
      </c>
      <c r="H6719" s="1604">
        <v>2</v>
      </c>
      <c r="I6719" s="1603"/>
      <c r="J6719" s="1603"/>
      <c r="K6719" s="1605">
        <v>444</v>
      </c>
      <c r="L6719" s="1606">
        <v>50100</v>
      </c>
      <c r="M6719" s="1607"/>
      <c r="N6719" s="1606">
        <v>50100</v>
      </c>
      <c r="O6719" s="1606">
        <v>27889</v>
      </c>
      <c r="P6719" s="1606">
        <v>21209</v>
      </c>
      <c r="Q6719" s="1606">
        <v>1002</v>
      </c>
      <c r="R6719" s="1606">
        <v>22211</v>
      </c>
      <c r="S6719" s="1608"/>
    </row>
    <row r="6720" spans="2:19" s="1609" customFormat="1" ht="11.25" customHeight="1" outlineLevel="1">
      <c r="B6720" s="1602">
        <v>28024</v>
      </c>
      <c r="C6720" s="1603" t="s">
        <v>4070</v>
      </c>
      <c r="D6720" s="1603" t="s">
        <v>4072</v>
      </c>
      <c r="E6720" s="1603"/>
      <c r="F6720" s="1603"/>
      <c r="G6720" s="1603" t="s">
        <v>4068</v>
      </c>
      <c r="H6720" s="1604">
        <v>2</v>
      </c>
      <c r="I6720" s="1603"/>
      <c r="J6720" s="1603"/>
      <c r="K6720" s="1605">
        <v>447</v>
      </c>
      <c r="L6720" s="1606">
        <v>32600</v>
      </c>
      <c r="M6720" s="1607"/>
      <c r="N6720" s="1606">
        <v>32600</v>
      </c>
      <c r="O6720" s="1606">
        <v>18148.099999999999</v>
      </c>
      <c r="P6720" s="1606">
        <v>13799.82</v>
      </c>
      <c r="Q6720" s="1605">
        <v>652.08000000000004</v>
      </c>
      <c r="R6720" s="1606">
        <v>14451.9</v>
      </c>
      <c r="S6720" s="1608"/>
    </row>
    <row r="6721" spans="2:19" s="1609" customFormat="1" ht="11.25" customHeight="1" outlineLevel="1">
      <c r="B6721" s="1602">
        <v>28025</v>
      </c>
      <c r="C6721" s="1603" t="s">
        <v>4070</v>
      </c>
      <c r="D6721" s="1603" t="s">
        <v>4071</v>
      </c>
      <c r="E6721" s="1603"/>
      <c r="F6721" s="1603"/>
      <c r="G6721" s="1603" t="s">
        <v>4068</v>
      </c>
      <c r="H6721" s="1604">
        <v>2</v>
      </c>
      <c r="I6721" s="1603"/>
      <c r="J6721" s="1603"/>
      <c r="K6721" s="1605">
        <v>544</v>
      </c>
      <c r="L6721" s="1606">
        <v>16600</v>
      </c>
      <c r="M6721" s="1607"/>
      <c r="N6721" s="1606">
        <v>16600</v>
      </c>
      <c r="O6721" s="1606">
        <v>9239.9</v>
      </c>
      <c r="P6721" s="1606">
        <v>7028.18</v>
      </c>
      <c r="Q6721" s="1605">
        <v>331.92</v>
      </c>
      <c r="R6721" s="1606">
        <v>7360.1</v>
      </c>
      <c r="S6721" s="1608"/>
    </row>
    <row r="6722" spans="2:19" s="1609" customFormat="1" ht="11.25" customHeight="1" outlineLevel="1">
      <c r="B6722" s="1602">
        <v>28026</v>
      </c>
      <c r="C6722" s="1603" t="s">
        <v>4070</v>
      </c>
      <c r="D6722" s="1603" t="s">
        <v>4069</v>
      </c>
      <c r="E6722" s="1603"/>
      <c r="F6722" s="1603"/>
      <c r="G6722" s="1603" t="s">
        <v>4068</v>
      </c>
      <c r="H6722" s="1604">
        <v>2</v>
      </c>
      <c r="I6722" s="1603"/>
      <c r="J6722" s="1603"/>
      <c r="K6722" s="1605">
        <v>335</v>
      </c>
      <c r="L6722" s="1606">
        <v>17900</v>
      </c>
      <c r="M6722" s="1607"/>
      <c r="N6722" s="1606">
        <v>17900</v>
      </c>
      <c r="O6722" s="1606">
        <v>7980.86</v>
      </c>
      <c r="P6722" s="1606">
        <v>9471.66</v>
      </c>
      <c r="Q6722" s="1605">
        <v>447.48</v>
      </c>
      <c r="R6722" s="1606">
        <v>9919.14</v>
      </c>
      <c r="S6722" s="1608"/>
    </row>
    <row r="6723" spans="2:19" s="1717" customFormat="1" ht="11.25" customHeight="1" outlineLevel="1">
      <c r="B6723" s="1711">
        <v>28144</v>
      </c>
      <c r="C6723" s="1712" t="s">
        <v>4063</v>
      </c>
      <c r="D6723" s="1712" t="s">
        <v>4067</v>
      </c>
      <c r="E6723" s="1712"/>
      <c r="F6723" s="1712"/>
      <c r="G6723" s="1712" t="s">
        <v>4066</v>
      </c>
      <c r="H6723" s="1713">
        <v>2</v>
      </c>
      <c r="I6723" s="1712"/>
      <c r="J6723" s="1712"/>
      <c r="K6723" s="1714">
        <v>1129</v>
      </c>
      <c r="L6723" s="1714">
        <v>6845401</v>
      </c>
      <c r="M6723" s="1715"/>
      <c r="N6723" s="1714">
        <v>6845401</v>
      </c>
      <c r="O6723" s="1714">
        <v>798630.76</v>
      </c>
      <c r="P6723" s="1714">
        <v>5772954</v>
      </c>
      <c r="Q6723" s="1714">
        <v>273816.24</v>
      </c>
      <c r="R6723" s="1714">
        <v>6046770.2400000002</v>
      </c>
      <c r="S6723" s="1716" t="str">
        <f>Мероприятия_и_источники!B417</f>
        <v xml:space="preserve">Реконструкция существующего самотечного канализационного коллектора Д=600 мм. (сталь) по ул. Прончищева,  протяженностью  130 п.м.,  на эстакаде высотой до 2 м. с заменой на стальной трубопровод диаметром 820х16мм.
Реконструкция существующего самотечного канализационного коллектора Д=800 мм. (ж/б) в районе мкр. Дубрава,   протяженностью  374 п.м.,  с заменой на трубопровод Корсис Про DN/OD 1000мм. 
Реконструкция 12 ж/б колодцев, диаметром 1,5м, глубина залегания до 3м
</v>
      </c>
    </row>
    <row r="6724" spans="2:19" s="1609" customFormat="1" ht="11.25" customHeight="1" outlineLevel="1">
      <c r="B6724" s="1602">
        <v>28145</v>
      </c>
      <c r="C6724" s="1603" t="s">
        <v>4063</v>
      </c>
      <c r="D6724" s="1603" t="s">
        <v>4065</v>
      </c>
      <c r="E6724" s="1603"/>
      <c r="F6724" s="1603"/>
      <c r="G6724" s="1603" t="s">
        <v>4064</v>
      </c>
      <c r="H6724" s="1604">
        <v>2</v>
      </c>
      <c r="I6724" s="1603"/>
      <c r="J6724" s="1603"/>
      <c r="K6724" s="1606">
        <v>1454</v>
      </c>
      <c r="L6724" s="1606">
        <v>10596393</v>
      </c>
      <c r="M6724" s="1607"/>
      <c r="N6724" s="1606">
        <v>10596393</v>
      </c>
      <c r="O6724" s="1606">
        <v>5916318.2199999997</v>
      </c>
      <c r="P6724" s="1606">
        <v>4468146.9800000004</v>
      </c>
      <c r="Q6724" s="1606">
        <v>211927.8</v>
      </c>
      <c r="R6724" s="1606">
        <v>4680074.78</v>
      </c>
      <c r="S6724" s="1608"/>
    </row>
    <row r="6725" spans="2:19" s="1609" customFormat="1" ht="11.25" customHeight="1" outlineLevel="1">
      <c r="B6725" s="1602">
        <v>28173</v>
      </c>
      <c r="C6725" s="1603" t="s">
        <v>4063</v>
      </c>
      <c r="D6725" s="1603" t="s">
        <v>4062</v>
      </c>
      <c r="E6725" s="1603"/>
      <c r="F6725" s="1603"/>
      <c r="G6725" s="1603" t="s">
        <v>3724</v>
      </c>
      <c r="H6725" s="1604">
        <v>2</v>
      </c>
      <c r="I6725" s="1603"/>
      <c r="J6725" s="1603"/>
      <c r="K6725" s="1606">
        <v>1998</v>
      </c>
      <c r="L6725" s="1606">
        <v>56274</v>
      </c>
      <c r="M6725" s="1607"/>
      <c r="N6725" s="1606">
        <v>56274</v>
      </c>
      <c r="O6725" s="1606">
        <v>15305</v>
      </c>
      <c r="P6725" s="1606">
        <v>39113.800000000003</v>
      </c>
      <c r="Q6725" s="1606">
        <v>1855.2</v>
      </c>
      <c r="R6725" s="1606">
        <v>40969</v>
      </c>
      <c r="S6725" s="1608"/>
    </row>
    <row r="6726" spans="2:19" s="1609" customFormat="1" ht="11.25" customHeight="1" outlineLevel="1">
      <c r="B6726" s="1602">
        <v>28175</v>
      </c>
      <c r="C6726" s="1603" t="s">
        <v>4043</v>
      </c>
      <c r="D6726" s="1603" t="s">
        <v>4061</v>
      </c>
      <c r="E6726" s="1603"/>
      <c r="F6726" s="1603"/>
      <c r="G6726" s="1603" t="s">
        <v>4060</v>
      </c>
      <c r="H6726" s="1604">
        <v>2</v>
      </c>
      <c r="I6726" s="1603"/>
      <c r="J6726" s="1603"/>
      <c r="K6726" s="1605">
        <v>156</v>
      </c>
      <c r="L6726" s="1606">
        <v>25547</v>
      </c>
      <c r="M6726" s="1607"/>
      <c r="N6726" s="1606">
        <v>25547</v>
      </c>
      <c r="O6726" s="1606">
        <v>14305.88</v>
      </c>
      <c r="P6726" s="1606">
        <v>10730.16</v>
      </c>
      <c r="Q6726" s="1605">
        <v>510.96</v>
      </c>
      <c r="R6726" s="1606">
        <v>11241.12</v>
      </c>
      <c r="S6726" s="1608"/>
    </row>
    <row r="6727" spans="2:19" s="1609" customFormat="1" ht="11.25" customHeight="1" outlineLevel="1">
      <c r="B6727" s="1602">
        <v>28180</v>
      </c>
      <c r="C6727" s="1603" t="s">
        <v>4043</v>
      </c>
      <c r="D6727" s="1603" t="s">
        <v>4059</v>
      </c>
      <c r="E6727" s="1603"/>
      <c r="F6727" s="1603"/>
      <c r="G6727" s="1603" t="s">
        <v>4055</v>
      </c>
      <c r="H6727" s="1604">
        <v>2</v>
      </c>
      <c r="I6727" s="1603"/>
      <c r="J6727" s="1603"/>
      <c r="K6727" s="1605">
        <v>121</v>
      </c>
      <c r="L6727" s="1606">
        <v>967079.74</v>
      </c>
      <c r="M6727" s="1607"/>
      <c r="N6727" s="1606">
        <v>967079.74</v>
      </c>
      <c r="O6727" s="1606">
        <v>395806.26</v>
      </c>
      <c r="P6727" s="1606">
        <v>557137.6</v>
      </c>
      <c r="Q6727" s="1606">
        <v>14135.88</v>
      </c>
      <c r="R6727" s="1606">
        <v>571273.48</v>
      </c>
      <c r="S6727" s="1608"/>
    </row>
    <row r="6728" spans="2:19" s="1609" customFormat="1" ht="11.25" customHeight="1" outlineLevel="1">
      <c r="B6728" s="1602">
        <v>28181</v>
      </c>
      <c r="C6728" s="1603" t="s">
        <v>4043</v>
      </c>
      <c r="D6728" s="1603" t="s">
        <v>4058</v>
      </c>
      <c r="E6728" s="1603"/>
      <c r="F6728" s="1603"/>
      <c r="G6728" s="1603" t="s">
        <v>4055</v>
      </c>
      <c r="H6728" s="1604">
        <v>2</v>
      </c>
      <c r="I6728" s="1603"/>
      <c r="J6728" s="1603"/>
      <c r="K6728" s="1605">
        <v>478</v>
      </c>
      <c r="L6728" s="1606">
        <v>132600</v>
      </c>
      <c r="M6728" s="1607"/>
      <c r="N6728" s="1606">
        <v>132600</v>
      </c>
      <c r="O6728" s="1606">
        <v>59670</v>
      </c>
      <c r="P6728" s="1606">
        <v>69615</v>
      </c>
      <c r="Q6728" s="1606">
        <v>3315</v>
      </c>
      <c r="R6728" s="1606">
        <v>72930</v>
      </c>
      <c r="S6728" s="1608"/>
    </row>
    <row r="6729" spans="2:19" s="1609" customFormat="1" ht="11.25" customHeight="1" outlineLevel="1">
      <c r="B6729" s="1602">
        <v>28182</v>
      </c>
      <c r="C6729" s="1603" t="s">
        <v>4043</v>
      </c>
      <c r="D6729" s="1603" t="s">
        <v>4057</v>
      </c>
      <c r="E6729" s="1603"/>
      <c r="F6729" s="1603"/>
      <c r="G6729" s="1603" t="s">
        <v>4041</v>
      </c>
      <c r="H6729" s="1604">
        <v>2</v>
      </c>
      <c r="I6729" s="1603"/>
      <c r="J6729" s="1603"/>
      <c r="K6729" s="1605">
        <v>672</v>
      </c>
      <c r="L6729" s="1605">
        <v>672.28</v>
      </c>
      <c r="M6729" s="1607"/>
      <c r="N6729" s="1605">
        <v>672.28</v>
      </c>
      <c r="O6729" s="1605">
        <v>4.87</v>
      </c>
      <c r="P6729" s="1605">
        <v>642.6</v>
      </c>
      <c r="Q6729" s="1605">
        <v>24.81</v>
      </c>
      <c r="R6729" s="1605">
        <v>667.41</v>
      </c>
      <c r="S6729" s="1608"/>
    </row>
    <row r="6730" spans="2:19" s="1609" customFormat="1" ht="11.25" customHeight="1" outlineLevel="1">
      <c r="B6730" s="1602">
        <v>28183</v>
      </c>
      <c r="C6730" s="1603" t="s">
        <v>4043</v>
      </c>
      <c r="D6730" s="1603" t="s">
        <v>4056</v>
      </c>
      <c r="E6730" s="1603"/>
      <c r="F6730" s="1603"/>
      <c r="G6730" s="1603" t="s">
        <v>4055</v>
      </c>
      <c r="H6730" s="1604">
        <v>2</v>
      </c>
      <c r="I6730" s="1603"/>
      <c r="J6730" s="1603"/>
      <c r="K6730" s="1605">
        <v>609</v>
      </c>
      <c r="L6730" s="1606">
        <v>75347</v>
      </c>
      <c r="M6730" s="1607"/>
      <c r="N6730" s="1606">
        <v>75347</v>
      </c>
      <c r="O6730" s="1606">
        <v>33906.800000000003</v>
      </c>
      <c r="P6730" s="1606">
        <v>39556.44</v>
      </c>
      <c r="Q6730" s="1606">
        <v>1883.76</v>
      </c>
      <c r="R6730" s="1606">
        <v>41440.199999999997</v>
      </c>
      <c r="S6730" s="1608"/>
    </row>
    <row r="6731" spans="2:19" s="1609" customFormat="1" ht="11.25" customHeight="1" outlineLevel="1">
      <c r="B6731" s="1602">
        <v>33343</v>
      </c>
      <c r="C6731" s="1603" t="s">
        <v>4043</v>
      </c>
      <c r="D6731" s="1603" t="s">
        <v>4054</v>
      </c>
      <c r="E6731" s="1603"/>
      <c r="F6731" s="1603"/>
      <c r="G6731" s="1603" t="s">
        <v>4041</v>
      </c>
      <c r="H6731" s="1604">
        <v>2</v>
      </c>
      <c r="I6731" s="1603"/>
      <c r="J6731" s="1603"/>
      <c r="K6731" s="1605">
        <v>672</v>
      </c>
      <c r="L6731" s="1605">
        <v>672.31</v>
      </c>
      <c r="M6731" s="1607"/>
      <c r="N6731" s="1605">
        <v>672.31</v>
      </c>
      <c r="O6731" s="1605">
        <v>144.31</v>
      </c>
      <c r="P6731" s="1605">
        <v>504</v>
      </c>
      <c r="Q6731" s="1605">
        <v>24</v>
      </c>
      <c r="R6731" s="1605">
        <v>528</v>
      </c>
      <c r="S6731" s="1608"/>
    </row>
    <row r="6732" spans="2:19" s="1609" customFormat="1" ht="11.25" customHeight="1" outlineLevel="1">
      <c r="B6732" s="1602">
        <v>33344</v>
      </c>
      <c r="C6732" s="1603" t="s">
        <v>4043</v>
      </c>
      <c r="D6732" s="1603" t="s">
        <v>4053</v>
      </c>
      <c r="E6732" s="1603"/>
      <c r="F6732" s="1603"/>
      <c r="G6732" s="1603" t="s">
        <v>4041</v>
      </c>
      <c r="H6732" s="1604">
        <v>2</v>
      </c>
      <c r="I6732" s="1603"/>
      <c r="J6732" s="1603"/>
      <c r="K6732" s="1605">
        <v>672</v>
      </c>
      <c r="L6732" s="1605">
        <v>672.31</v>
      </c>
      <c r="M6732" s="1607"/>
      <c r="N6732" s="1605">
        <v>672.31</v>
      </c>
      <c r="O6732" s="1605">
        <v>144.31</v>
      </c>
      <c r="P6732" s="1605">
        <v>504</v>
      </c>
      <c r="Q6732" s="1605">
        <v>24</v>
      </c>
      <c r="R6732" s="1605">
        <v>528</v>
      </c>
      <c r="S6732" s="1608"/>
    </row>
    <row r="6733" spans="2:19" s="1609" customFormat="1" ht="11.25" customHeight="1" outlineLevel="1">
      <c r="B6733" s="1602">
        <v>33345</v>
      </c>
      <c r="C6733" s="1603" t="s">
        <v>4043</v>
      </c>
      <c r="D6733" s="1603" t="s">
        <v>4052</v>
      </c>
      <c r="E6733" s="1603"/>
      <c r="F6733" s="1603"/>
      <c r="G6733" s="1603" t="s">
        <v>4041</v>
      </c>
      <c r="H6733" s="1604">
        <v>2</v>
      </c>
      <c r="I6733" s="1603"/>
      <c r="J6733" s="1603"/>
      <c r="K6733" s="1605">
        <v>672</v>
      </c>
      <c r="L6733" s="1605">
        <v>672.31</v>
      </c>
      <c r="M6733" s="1607"/>
      <c r="N6733" s="1605">
        <v>672.31</v>
      </c>
      <c r="O6733" s="1605">
        <v>144.31</v>
      </c>
      <c r="P6733" s="1605">
        <v>504</v>
      </c>
      <c r="Q6733" s="1605">
        <v>24</v>
      </c>
      <c r="R6733" s="1605">
        <v>528</v>
      </c>
      <c r="S6733" s="1608"/>
    </row>
    <row r="6734" spans="2:19" s="1609" customFormat="1" ht="11.25" customHeight="1" outlineLevel="1">
      <c r="B6734" s="1602">
        <v>33346</v>
      </c>
      <c r="C6734" s="1603" t="s">
        <v>4043</v>
      </c>
      <c r="D6734" s="1603" t="s">
        <v>4051</v>
      </c>
      <c r="E6734" s="1603"/>
      <c r="F6734" s="1603"/>
      <c r="G6734" s="1603" t="s">
        <v>4041</v>
      </c>
      <c r="H6734" s="1604">
        <v>2</v>
      </c>
      <c r="I6734" s="1603"/>
      <c r="J6734" s="1603"/>
      <c r="K6734" s="1605">
        <v>672</v>
      </c>
      <c r="L6734" s="1605">
        <v>672.31</v>
      </c>
      <c r="M6734" s="1607"/>
      <c r="N6734" s="1605">
        <v>672.31</v>
      </c>
      <c r="O6734" s="1605">
        <v>144.31</v>
      </c>
      <c r="P6734" s="1605">
        <v>504</v>
      </c>
      <c r="Q6734" s="1605">
        <v>24</v>
      </c>
      <c r="R6734" s="1605">
        <v>528</v>
      </c>
      <c r="S6734" s="1608"/>
    </row>
    <row r="6735" spans="2:19" s="1609" customFormat="1" ht="11.25" customHeight="1" outlineLevel="1">
      <c r="B6735" s="1602">
        <v>33347</v>
      </c>
      <c r="C6735" s="1603" t="s">
        <v>4043</v>
      </c>
      <c r="D6735" s="1603" t="s">
        <v>4050</v>
      </c>
      <c r="E6735" s="1603"/>
      <c r="F6735" s="1603"/>
      <c r="G6735" s="1603" t="s">
        <v>4041</v>
      </c>
      <c r="H6735" s="1604">
        <v>2</v>
      </c>
      <c r="I6735" s="1603"/>
      <c r="J6735" s="1603"/>
      <c r="K6735" s="1605">
        <v>672</v>
      </c>
      <c r="L6735" s="1605">
        <v>672.31</v>
      </c>
      <c r="M6735" s="1607"/>
      <c r="N6735" s="1605">
        <v>672.31</v>
      </c>
      <c r="O6735" s="1605">
        <v>144.31</v>
      </c>
      <c r="P6735" s="1605">
        <v>504</v>
      </c>
      <c r="Q6735" s="1605">
        <v>24</v>
      </c>
      <c r="R6735" s="1605">
        <v>528</v>
      </c>
      <c r="S6735" s="1608"/>
    </row>
    <row r="6736" spans="2:19" s="1609" customFormat="1" ht="11.25" customHeight="1" outlineLevel="1">
      <c r="B6736" s="1602">
        <v>33348</v>
      </c>
      <c r="C6736" s="1603" t="s">
        <v>4043</v>
      </c>
      <c r="D6736" s="1603" t="s">
        <v>4049</v>
      </c>
      <c r="E6736" s="1603"/>
      <c r="F6736" s="1603"/>
      <c r="G6736" s="1603" t="s">
        <v>4041</v>
      </c>
      <c r="H6736" s="1604">
        <v>2</v>
      </c>
      <c r="I6736" s="1603"/>
      <c r="J6736" s="1603"/>
      <c r="K6736" s="1605">
        <v>672</v>
      </c>
      <c r="L6736" s="1605">
        <v>672.31</v>
      </c>
      <c r="M6736" s="1607"/>
      <c r="N6736" s="1605">
        <v>672.31</v>
      </c>
      <c r="O6736" s="1605">
        <v>144.31</v>
      </c>
      <c r="P6736" s="1605">
        <v>504</v>
      </c>
      <c r="Q6736" s="1605">
        <v>24</v>
      </c>
      <c r="R6736" s="1605">
        <v>528</v>
      </c>
      <c r="S6736" s="1608"/>
    </row>
    <row r="6737" spans="2:19" s="1609" customFormat="1" ht="11.25" customHeight="1" outlineLevel="1">
      <c r="B6737" s="1602">
        <v>33349</v>
      </c>
      <c r="C6737" s="1603" t="s">
        <v>4043</v>
      </c>
      <c r="D6737" s="1603" t="s">
        <v>4048</v>
      </c>
      <c r="E6737" s="1603"/>
      <c r="F6737" s="1603"/>
      <c r="G6737" s="1603" t="s">
        <v>4041</v>
      </c>
      <c r="H6737" s="1604">
        <v>2</v>
      </c>
      <c r="I6737" s="1603"/>
      <c r="J6737" s="1603"/>
      <c r="K6737" s="1605">
        <v>672</v>
      </c>
      <c r="L6737" s="1605">
        <v>672.31</v>
      </c>
      <c r="M6737" s="1607"/>
      <c r="N6737" s="1605">
        <v>672.31</v>
      </c>
      <c r="O6737" s="1605">
        <v>144.31</v>
      </c>
      <c r="P6737" s="1605">
        <v>504</v>
      </c>
      <c r="Q6737" s="1605">
        <v>24</v>
      </c>
      <c r="R6737" s="1605">
        <v>528</v>
      </c>
      <c r="S6737" s="1608"/>
    </row>
    <row r="6738" spans="2:19" s="1609" customFormat="1" ht="11.25" customHeight="1" outlineLevel="1">
      <c r="B6738" s="1602">
        <v>33350</v>
      </c>
      <c r="C6738" s="1603" t="s">
        <v>4043</v>
      </c>
      <c r="D6738" s="1603" t="s">
        <v>4047</v>
      </c>
      <c r="E6738" s="1603"/>
      <c r="F6738" s="1603"/>
      <c r="G6738" s="1603" t="s">
        <v>4041</v>
      </c>
      <c r="H6738" s="1604">
        <v>2</v>
      </c>
      <c r="I6738" s="1603"/>
      <c r="J6738" s="1603"/>
      <c r="K6738" s="1605">
        <v>672</v>
      </c>
      <c r="L6738" s="1605">
        <v>672.31</v>
      </c>
      <c r="M6738" s="1607"/>
      <c r="N6738" s="1605">
        <v>672.31</v>
      </c>
      <c r="O6738" s="1605">
        <v>144.31</v>
      </c>
      <c r="P6738" s="1605">
        <v>504</v>
      </c>
      <c r="Q6738" s="1605">
        <v>24</v>
      </c>
      <c r="R6738" s="1605">
        <v>528</v>
      </c>
      <c r="S6738" s="1608"/>
    </row>
    <row r="6739" spans="2:19" s="1609" customFormat="1" ht="11.25" customHeight="1" outlineLevel="1">
      <c r="B6739" s="1602">
        <v>33351</v>
      </c>
      <c r="C6739" s="1603" t="s">
        <v>4043</v>
      </c>
      <c r="D6739" s="1603" t="s">
        <v>4046</v>
      </c>
      <c r="E6739" s="1603"/>
      <c r="F6739" s="1603"/>
      <c r="G6739" s="1603" t="s">
        <v>4041</v>
      </c>
      <c r="H6739" s="1604">
        <v>2</v>
      </c>
      <c r="I6739" s="1603"/>
      <c r="J6739" s="1603"/>
      <c r="K6739" s="1605">
        <v>672</v>
      </c>
      <c r="L6739" s="1605">
        <v>672.31</v>
      </c>
      <c r="M6739" s="1607"/>
      <c r="N6739" s="1605">
        <v>672.31</v>
      </c>
      <c r="O6739" s="1605">
        <v>144.31</v>
      </c>
      <c r="P6739" s="1605">
        <v>504</v>
      </c>
      <c r="Q6739" s="1605">
        <v>24</v>
      </c>
      <c r="R6739" s="1605">
        <v>528</v>
      </c>
      <c r="S6739" s="1608"/>
    </row>
    <row r="6740" spans="2:19" s="1609" customFormat="1" ht="11.25" customHeight="1" outlineLevel="1">
      <c r="B6740" s="1602">
        <v>33352</v>
      </c>
      <c r="C6740" s="1603" t="s">
        <v>4043</v>
      </c>
      <c r="D6740" s="1603" t="s">
        <v>4045</v>
      </c>
      <c r="E6740" s="1603"/>
      <c r="F6740" s="1603"/>
      <c r="G6740" s="1603" t="s">
        <v>4041</v>
      </c>
      <c r="H6740" s="1604">
        <v>2</v>
      </c>
      <c r="I6740" s="1603"/>
      <c r="J6740" s="1603"/>
      <c r="K6740" s="1605">
        <v>672</v>
      </c>
      <c r="L6740" s="1605">
        <v>672.31</v>
      </c>
      <c r="M6740" s="1607"/>
      <c r="N6740" s="1605">
        <v>672.31</v>
      </c>
      <c r="O6740" s="1605">
        <v>144.31</v>
      </c>
      <c r="P6740" s="1605">
        <v>504</v>
      </c>
      <c r="Q6740" s="1605">
        <v>24</v>
      </c>
      <c r="R6740" s="1605">
        <v>528</v>
      </c>
      <c r="S6740" s="1608"/>
    </row>
    <row r="6741" spans="2:19" s="1609" customFormat="1" ht="11.25" customHeight="1" outlineLevel="1">
      <c r="B6741" s="1602">
        <v>33353</v>
      </c>
      <c r="C6741" s="1603" t="s">
        <v>4043</v>
      </c>
      <c r="D6741" s="1603" t="s">
        <v>4044</v>
      </c>
      <c r="E6741" s="1603"/>
      <c r="F6741" s="1603"/>
      <c r="G6741" s="1603" t="s">
        <v>4041</v>
      </c>
      <c r="H6741" s="1604">
        <v>2</v>
      </c>
      <c r="I6741" s="1603"/>
      <c r="J6741" s="1603"/>
      <c r="K6741" s="1605">
        <v>672</v>
      </c>
      <c r="L6741" s="1605">
        <v>672.31</v>
      </c>
      <c r="M6741" s="1607"/>
      <c r="N6741" s="1605">
        <v>672.31</v>
      </c>
      <c r="O6741" s="1605">
        <v>144.31</v>
      </c>
      <c r="P6741" s="1605">
        <v>504</v>
      </c>
      <c r="Q6741" s="1605">
        <v>24</v>
      </c>
      <c r="R6741" s="1605">
        <v>528</v>
      </c>
      <c r="S6741" s="1608"/>
    </row>
    <row r="6742" spans="2:19" s="1609" customFormat="1" ht="11.25" customHeight="1" outlineLevel="1">
      <c r="B6742" s="1602">
        <v>33354</v>
      </c>
      <c r="C6742" s="1603" t="s">
        <v>4043</v>
      </c>
      <c r="D6742" s="1603" t="s">
        <v>4042</v>
      </c>
      <c r="E6742" s="1603"/>
      <c r="F6742" s="1603"/>
      <c r="G6742" s="1603" t="s">
        <v>4041</v>
      </c>
      <c r="H6742" s="1604">
        <v>2</v>
      </c>
      <c r="I6742" s="1603"/>
      <c r="J6742" s="1603"/>
      <c r="K6742" s="1605">
        <v>672</v>
      </c>
      <c r="L6742" s="1605">
        <v>672.31</v>
      </c>
      <c r="M6742" s="1607"/>
      <c r="N6742" s="1605">
        <v>672.31</v>
      </c>
      <c r="O6742" s="1605">
        <v>144.31</v>
      </c>
      <c r="P6742" s="1605">
        <v>504</v>
      </c>
      <c r="Q6742" s="1605">
        <v>24</v>
      </c>
      <c r="R6742" s="1605">
        <v>528</v>
      </c>
      <c r="S6742" s="1608"/>
    </row>
    <row r="6743" spans="2:19" s="1609" customFormat="1" ht="11.25" customHeight="1" outlineLevel="1">
      <c r="B6743" s="1602">
        <v>28916</v>
      </c>
      <c r="C6743" s="1603" t="s">
        <v>4040</v>
      </c>
      <c r="D6743" s="1603" t="s">
        <v>4039</v>
      </c>
      <c r="E6743" s="1603"/>
      <c r="F6743" s="1603"/>
      <c r="G6743" s="1603" t="s">
        <v>4038</v>
      </c>
      <c r="H6743" s="1604">
        <v>2</v>
      </c>
      <c r="I6743" s="1603"/>
      <c r="J6743" s="1603"/>
      <c r="K6743" s="1605">
        <v>904</v>
      </c>
      <c r="L6743" s="1606">
        <v>144841</v>
      </c>
      <c r="M6743" s="1607"/>
      <c r="N6743" s="1606">
        <v>144841</v>
      </c>
      <c r="O6743" s="1606">
        <v>81594.2</v>
      </c>
      <c r="P6743" s="1606">
        <v>60350</v>
      </c>
      <c r="Q6743" s="1606">
        <v>2896.8</v>
      </c>
      <c r="R6743" s="1606">
        <v>63246.8</v>
      </c>
      <c r="S6743" s="1608"/>
    </row>
    <row r="6744" spans="2:19" s="1609" customFormat="1" ht="11.25" customHeight="1" outlineLevel="1">
      <c r="B6744" s="1602">
        <v>28327</v>
      </c>
      <c r="C6744" s="1603" t="s">
        <v>4032</v>
      </c>
      <c r="D6744" s="1603" t="s">
        <v>4037</v>
      </c>
      <c r="E6744" s="1603"/>
      <c r="F6744" s="1603"/>
      <c r="G6744" s="1603" t="s">
        <v>4035</v>
      </c>
      <c r="H6744" s="1604">
        <v>2</v>
      </c>
      <c r="I6744" s="1603"/>
      <c r="J6744" s="1603"/>
      <c r="K6744" s="1605">
        <v>483</v>
      </c>
      <c r="L6744" s="1606">
        <v>36310</v>
      </c>
      <c r="M6744" s="1607"/>
      <c r="N6744" s="1606">
        <v>36310</v>
      </c>
      <c r="O6744" s="1606">
        <v>16565.47</v>
      </c>
      <c r="P6744" s="1606">
        <v>18836.849999999999</v>
      </c>
      <c r="Q6744" s="1605">
        <v>907.68</v>
      </c>
      <c r="R6744" s="1606">
        <v>19744.53</v>
      </c>
      <c r="S6744" s="1608"/>
    </row>
    <row r="6745" spans="2:19" s="1609" customFormat="1" ht="11.25" customHeight="1" outlineLevel="1">
      <c r="B6745" s="1602">
        <v>28328</v>
      </c>
      <c r="C6745" s="1603" t="s">
        <v>4032</v>
      </c>
      <c r="D6745" s="1603" t="s">
        <v>4036</v>
      </c>
      <c r="E6745" s="1603"/>
      <c r="F6745" s="1603"/>
      <c r="G6745" s="1603" t="s">
        <v>4035</v>
      </c>
      <c r="H6745" s="1604">
        <v>2</v>
      </c>
      <c r="I6745" s="1603"/>
      <c r="J6745" s="1603"/>
      <c r="K6745" s="1606">
        <v>3128</v>
      </c>
      <c r="L6745" s="1606">
        <v>3128</v>
      </c>
      <c r="M6745" s="1607"/>
      <c r="N6745" s="1606">
        <v>3128</v>
      </c>
      <c r="O6745" s="1605">
        <v>23.77</v>
      </c>
      <c r="P6745" s="1606">
        <v>2983.02</v>
      </c>
      <c r="Q6745" s="1605">
        <v>121.21</v>
      </c>
      <c r="R6745" s="1606">
        <v>3104.23</v>
      </c>
      <c r="S6745" s="1608"/>
    </row>
    <row r="6746" spans="2:19" s="1609" customFormat="1" ht="11.25" customHeight="1" outlineLevel="1">
      <c r="B6746" s="1602">
        <v>34830</v>
      </c>
      <c r="C6746" s="1603" t="s">
        <v>4032</v>
      </c>
      <c r="D6746" s="1603" t="s">
        <v>4034</v>
      </c>
      <c r="E6746" s="1603"/>
      <c r="F6746" s="1603"/>
      <c r="G6746" s="1603" t="s">
        <v>4030</v>
      </c>
      <c r="H6746" s="1604">
        <v>2</v>
      </c>
      <c r="I6746" s="1603"/>
      <c r="J6746" s="1603"/>
      <c r="K6746" s="1606">
        <v>3128</v>
      </c>
      <c r="L6746" s="1606">
        <v>3128</v>
      </c>
      <c r="M6746" s="1607"/>
      <c r="N6746" s="1606">
        <v>3128</v>
      </c>
      <c r="O6746" s="1605">
        <v>23.77</v>
      </c>
      <c r="P6746" s="1606">
        <v>2983.02</v>
      </c>
      <c r="Q6746" s="1605">
        <v>121.21</v>
      </c>
      <c r="R6746" s="1606">
        <v>3104.23</v>
      </c>
      <c r="S6746" s="1608"/>
    </row>
    <row r="6747" spans="2:19" s="1609" customFormat="1" ht="11.25" customHeight="1" outlineLevel="1">
      <c r="B6747" s="1602">
        <v>34831</v>
      </c>
      <c r="C6747" s="1603" t="s">
        <v>4032</v>
      </c>
      <c r="D6747" s="1603" t="s">
        <v>4033</v>
      </c>
      <c r="E6747" s="1603"/>
      <c r="F6747" s="1603"/>
      <c r="G6747" s="1603" t="s">
        <v>4030</v>
      </c>
      <c r="H6747" s="1604">
        <v>2</v>
      </c>
      <c r="I6747" s="1603"/>
      <c r="J6747" s="1603"/>
      <c r="K6747" s="1606">
        <v>3128</v>
      </c>
      <c r="L6747" s="1606">
        <v>3128</v>
      </c>
      <c r="M6747" s="1607"/>
      <c r="N6747" s="1606">
        <v>3128</v>
      </c>
      <c r="O6747" s="1605">
        <v>841.52</v>
      </c>
      <c r="P6747" s="1606">
        <v>2181.2399999999998</v>
      </c>
      <c r="Q6747" s="1605">
        <v>105.24</v>
      </c>
      <c r="R6747" s="1606">
        <v>2286.48</v>
      </c>
      <c r="S6747" s="1608"/>
    </row>
    <row r="6748" spans="2:19" s="1609" customFormat="1" ht="11.25" customHeight="1" outlineLevel="1">
      <c r="B6748" s="1602">
        <v>34832</v>
      </c>
      <c r="C6748" s="1603" t="s">
        <v>4032</v>
      </c>
      <c r="D6748" s="1603" t="s">
        <v>4031</v>
      </c>
      <c r="E6748" s="1603"/>
      <c r="F6748" s="1603"/>
      <c r="G6748" s="1603" t="s">
        <v>4030</v>
      </c>
      <c r="H6748" s="1604">
        <v>2</v>
      </c>
      <c r="I6748" s="1603"/>
      <c r="J6748" s="1603"/>
      <c r="K6748" s="1606">
        <v>3128</v>
      </c>
      <c r="L6748" s="1606">
        <v>3128</v>
      </c>
      <c r="M6748" s="1607"/>
      <c r="N6748" s="1606">
        <v>3128</v>
      </c>
      <c r="O6748" s="1605">
        <v>841.52</v>
      </c>
      <c r="P6748" s="1606">
        <v>2181.2399999999998</v>
      </c>
      <c r="Q6748" s="1605">
        <v>105.24</v>
      </c>
      <c r="R6748" s="1606">
        <v>2286.48</v>
      </c>
      <c r="S6748" s="1608"/>
    </row>
    <row r="6749" spans="2:19" s="1609" customFormat="1" ht="11.25" customHeight="1" outlineLevel="1">
      <c r="B6749" s="1602">
        <v>28409</v>
      </c>
      <c r="C6749" s="1603" t="s">
        <v>4026</v>
      </c>
      <c r="D6749" s="1603" t="s">
        <v>4029</v>
      </c>
      <c r="E6749" s="1603"/>
      <c r="F6749" s="1603"/>
      <c r="G6749" s="1603"/>
      <c r="H6749" s="1604">
        <v>2</v>
      </c>
      <c r="I6749" s="1603"/>
      <c r="J6749" s="1603"/>
      <c r="K6749" s="1605">
        <v>373</v>
      </c>
      <c r="L6749" s="1606">
        <v>38158</v>
      </c>
      <c r="M6749" s="1607"/>
      <c r="N6749" s="1606">
        <v>38158</v>
      </c>
      <c r="O6749" s="1606">
        <v>21685.72</v>
      </c>
      <c r="P6749" s="1606">
        <v>15709.2</v>
      </c>
      <c r="Q6749" s="1605">
        <v>763.08</v>
      </c>
      <c r="R6749" s="1606">
        <v>16472.28</v>
      </c>
      <c r="S6749" s="1608"/>
    </row>
    <row r="6750" spans="2:19" s="1609" customFormat="1" ht="11.25" customHeight="1" outlineLevel="1">
      <c r="B6750" s="1602">
        <v>28410</v>
      </c>
      <c r="C6750" s="1603" t="s">
        <v>4026</v>
      </c>
      <c r="D6750" s="1603" t="s">
        <v>4028</v>
      </c>
      <c r="E6750" s="1603"/>
      <c r="F6750" s="1603"/>
      <c r="G6750" s="1603"/>
      <c r="H6750" s="1604">
        <v>2</v>
      </c>
      <c r="I6750" s="1603"/>
      <c r="J6750" s="1603"/>
      <c r="K6750" s="1605">
        <v>373</v>
      </c>
      <c r="L6750" s="1606">
        <v>40134</v>
      </c>
      <c r="M6750" s="1607"/>
      <c r="N6750" s="1606">
        <v>40134</v>
      </c>
      <c r="O6750" s="1606">
        <v>18478.91</v>
      </c>
      <c r="P6750" s="1606">
        <v>20651.669999999998</v>
      </c>
      <c r="Q6750" s="1606">
        <v>1003.42</v>
      </c>
      <c r="R6750" s="1606">
        <v>21655.09</v>
      </c>
      <c r="S6750" s="1608"/>
    </row>
    <row r="6751" spans="2:19" s="1609" customFormat="1" ht="11.25" customHeight="1" outlineLevel="1">
      <c r="B6751" s="1602">
        <v>28411</v>
      </c>
      <c r="C6751" s="1603" t="s">
        <v>4026</v>
      </c>
      <c r="D6751" s="1603" t="s">
        <v>4027</v>
      </c>
      <c r="E6751" s="1603"/>
      <c r="F6751" s="1603"/>
      <c r="G6751" s="1603"/>
      <c r="H6751" s="1604">
        <v>2</v>
      </c>
      <c r="I6751" s="1603"/>
      <c r="J6751" s="1603"/>
      <c r="K6751" s="1605">
        <v>371</v>
      </c>
      <c r="L6751" s="1606">
        <v>66078</v>
      </c>
      <c r="M6751" s="1607"/>
      <c r="N6751" s="1606">
        <v>66078</v>
      </c>
      <c r="O6751" s="1606">
        <v>19061.61</v>
      </c>
      <c r="P6751" s="1606">
        <v>44837.91</v>
      </c>
      <c r="Q6751" s="1606">
        <v>2178.48</v>
      </c>
      <c r="R6751" s="1606">
        <v>47016.39</v>
      </c>
      <c r="S6751" s="1608"/>
    </row>
    <row r="6752" spans="2:19" s="1609" customFormat="1" ht="11.25" customHeight="1" outlineLevel="1">
      <c r="B6752" s="1602">
        <v>28412</v>
      </c>
      <c r="C6752" s="1603" t="s">
        <v>4026</v>
      </c>
      <c r="D6752" s="1603" t="s">
        <v>4025</v>
      </c>
      <c r="E6752" s="1603"/>
      <c r="F6752" s="1603"/>
      <c r="G6752" s="1603" t="s">
        <v>4024</v>
      </c>
      <c r="H6752" s="1604">
        <v>2</v>
      </c>
      <c r="I6752" s="1603"/>
      <c r="J6752" s="1603"/>
      <c r="K6752" s="1605">
        <v>275</v>
      </c>
      <c r="L6752" s="1606">
        <v>21370</v>
      </c>
      <c r="M6752" s="1607"/>
      <c r="N6752" s="1606">
        <v>21370</v>
      </c>
      <c r="O6752" s="1606">
        <v>12144.54</v>
      </c>
      <c r="P6752" s="1606">
        <v>8798.14</v>
      </c>
      <c r="Q6752" s="1605">
        <v>427.32</v>
      </c>
      <c r="R6752" s="1606">
        <v>9225.4599999999991</v>
      </c>
      <c r="S6752" s="1608"/>
    </row>
    <row r="6753" spans="2:19" s="1609" customFormat="1" ht="11.25" customHeight="1" outlineLevel="1">
      <c r="B6753" s="1602">
        <v>28841</v>
      </c>
      <c r="C6753" s="1603" t="s">
        <v>4023</v>
      </c>
      <c r="D6753" s="1603" t="s">
        <v>4022</v>
      </c>
      <c r="E6753" s="1603"/>
      <c r="F6753" s="1603"/>
      <c r="G6753" s="1603" t="s">
        <v>4021</v>
      </c>
      <c r="H6753" s="1604">
        <v>2</v>
      </c>
      <c r="I6753" s="1603"/>
      <c r="J6753" s="1603"/>
      <c r="K6753" s="1605">
        <v>535</v>
      </c>
      <c r="L6753" s="1606">
        <v>77009</v>
      </c>
      <c r="M6753" s="1607"/>
      <c r="N6753" s="1606">
        <v>77009</v>
      </c>
      <c r="O6753" s="1606">
        <v>44536.45</v>
      </c>
      <c r="P6753" s="1606">
        <v>30932.35</v>
      </c>
      <c r="Q6753" s="1606">
        <v>1540.2</v>
      </c>
      <c r="R6753" s="1606">
        <v>32472.55</v>
      </c>
      <c r="S6753" s="1608"/>
    </row>
    <row r="6754" spans="2:19" s="1609" customFormat="1" ht="11.25" customHeight="1" outlineLevel="1">
      <c r="B6754" s="1602">
        <v>28910</v>
      </c>
      <c r="C6754" s="1603" t="s">
        <v>4016</v>
      </c>
      <c r="D6754" s="1603" t="s">
        <v>4020</v>
      </c>
      <c r="E6754" s="1603"/>
      <c r="F6754" s="1603"/>
      <c r="G6754" s="1603" t="s">
        <v>4019</v>
      </c>
      <c r="H6754" s="1604">
        <v>2</v>
      </c>
      <c r="I6754" s="1603"/>
      <c r="J6754" s="1603"/>
      <c r="K6754" s="1605">
        <v>257</v>
      </c>
      <c r="L6754" s="1606">
        <v>7602</v>
      </c>
      <c r="M6754" s="1607"/>
      <c r="N6754" s="1606">
        <v>7602</v>
      </c>
      <c r="O6754" s="1606">
        <v>3610.38</v>
      </c>
      <c r="P6754" s="1606">
        <v>3801.6</v>
      </c>
      <c r="Q6754" s="1605">
        <v>190.02</v>
      </c>
      <c r="R6754" s="1606">
        <v>3991.62</v>
      </c>
      <c r="S6754" s="1608"/>
    </row>
    <row r="6755" spans="2:19" s="1609" customFormat="1" ht="11.25" customHeight="1" outlineLevel="1">
      <c r="B6755" s="1602">
        <v>28912</v>
      </c>
      <c r="C6755" s="1603" t="s">
        <v>4016</v>
      </c>
      <c r="D6755" s="1603" t="s">
        <v>4018</v>
      </c>
      <c r="E6755" s="1603"/>
      <c r="F6755" s="1603"/>
      <c r="G6755" s="1603" t="s">
        <v>4017</v>
      </c>
      <c r="H6755" s="1604">
        <v>2</v>
      </c>
      <c r="I6755" s="1603"/>
      <c r="J6755" s="1603"/>
      <c r="K6755" s="1605">
        <v>625</v>
      </c>
      <c r="L6755" s="1606">
        <v>10314</v>
      </c>
      <c r="M6755" s="1607"/>
      <c r="N6755" s="1606">
        <v>10314</v>
      </c>
      <c r="O6755" s="1606">
        <v>3172.44</v>
      </c>
      <c r="P6755" s="1606">
        <v>6801.6</v>
      </c>
      <c r="Q6755" s="1605">
        <v>339.96</v>
      </c>
      <c r="R6755" s="1606">
        <v>7141.56</v>
      </c>
      <c r="S6755" s="1608"/>
    </row>
    <row r="6756" spans="2:19" s="1609" customFormat="1" ht="11.25" customHeight="1" outlineLevel="1">
      <c r="B6756" s="1602">
        <v>28914</v>
      </c>
      <c r="C6756" s="1603" t="s">
        <v>4016</v>
      </c>
      <c r="D6756" s="1603" t="s">
        <v>4015</v>
      </c>
      <c r="E6756" s="1603"/>
      <c r="F6756" s="1603"/>
      <c r="G6756" s="1603" t="s">
        <v>4014</v>
      </c>
      <c r="H6756" s="1604">
        <v>2</v>
      </c>
      <c r="I6756" s="1603"/>
      <c r="J6756" s="1603"/>
      <c r="K6756" s="1605">
        <v>580</v>
      </c>
      <c r="L6756" s="1606">
        <v>38397</v>
      </c>
      <c r="M6756" s="1607"/>
      <c r="N6756" s="1606">
        <v>38397</v>
      </c>
      <c r="O6756" s="1606">
        <v>11813.64</v>
      </c>
      <c r="P6756" s="1606">
        <v>25317.599999999999</v>
      </c>
      <c r="Q6756" s="1606">
        <v>1265.76</v>
      </c>
      <c r="R6756" s="1606">
        <v>26583.360000000001</v>
      </c>
      <c r="S6756" s="1608"/>
    </row>
    <row r="6757" spans="2:19" s="1609" customFormat="1" ht="11.25" customHeight="1" outlineLevel="1">
      <c r="B6757" s="1602">
        <v>25917</v>
      </c>
      <c r="C6757" s="1603" t="s">
        <v>3771</v>
      </c>
      <c r="D6757" s="1603" t="s">
        <v>4013</v>
      </c>
      <c r="E6757" s="1603"/>
      <c r="F6757" s="1603"/>
      <c r="G6757" s="1603" t="s">
        <v>4012</v>
      </c>
      <c r="H6757" s="1604">
        <v>2</v>
      </c>
      <c r="I6757" s="1603"/>
      <c r="J6757" s="1603"/>
      <c r="K6757" s="1605">
        <v>160</v>
      </c>
      <c r="L6757" s="1606">
        <v>9074</v>
      </c>
      <c r="M6757" s="1607"/>
      <c r="N6757" s="1606">
        <v>9074</v>
      </c>
      <c r="O6757" s="1606">
        <v>4311.08</v>
      </c>
      <c r="P6757" s="1606">
        <v>4536</v>
      </c>
      <c r="Q6757" s="1605">
        <v>226.92</v>
      </c>
      <c r="R6757" s="1606">
        <v>4762.92</v>
      </c>
      <c r="S6757" s="1608"/>
    </row>
    <row r="6758" spans="2:19" s="1609" customFormat="1" ht="11.25" customHeight="1" outlineLevel="1">
      <c r="B6758" s="1602">
        <v>27212</v>
      </c>
      <c r="C6758" s="1603" t="s">
        <v>3771</v>
      </c>
      <c r="D6758" s="1603" t="s">
        <v>4011</v>
      </c>
      <c r="E6758" s="1603"/>
      <c r="F6758" s="1603"/>
      <c r="G6758" s="1603" t="s">
        <v>4010</v>
      </c>
      <c r="H6758" s="1604">
        <v>2</v>
      </c>
      <c r="I6758" s="1603"/>
      <c r="J6758" s="1603"/>
      <c r="K6758" s="1605">
        <v>210</v>
      </c>
      <c r="L6758" s="1606">
        <v>4683</v>
      </c>
      <c r="M6758" s="1607"/>
      <c r="N6758" s="1606">
        <v>4683</v>
      </c>
      <c r="O6758" s="1606">
        <v>2223.6</v>
      </c>
      <c r="P6758" s="1606">
        <v>2342.4</v>
      </c>
      <c r="Q6758" s="1605">
        <v>117</v>
      </c>
      <c r="R6758" s="1606">
        <v>2459.4</v>
      </c>
      <c r="S6758" s="1608"/>
    </row>
    <row r="6759" spans="2:19" s="1609" customFormat="1" ht="11.25" customHeight="1" outlineLevel="1">
      <c r="B6759" s="1602">
        <v>27676</v>
      </c>
      <c r="C6759" s="1603" t="s">
        <v>3771</v>
      </c>
      <c r="D6759" s="1603" t="s">
        <v>4009</v>
      </c>
      <c r="E6759" s="1603"/>
      <c r="F6759" s="1603"/>
      <c r="G6759" s="1603" t="s">
        <v>4008</v>
      </c>
      <c r="H6759" s="1604">
        <v>2</v>
      </c>
      <c r="I6759" s="1603"/>
      <c r="J6759" s="1603"/>
      <c r="K6759" s="1605">
        <v>403</v>
      </c>
      <c r="L6759" s="1606">
        <v>14518</v>
      </c>
      <c r="M6759" s="1607"/>
      <c r="N6759" s="1606">
        <v>14518</v>
      </c>
      <c r="O6759" s="1606">
        <v>2323.48</v>
      </c>
      <c r="P6759" s="1606">
        <v>11613.6</v>
      </c>
      <c r="Q6759" s="1605">
        <v>580.91999999999996</v>
      </c>
      <c r="R6759" s="1606">
        <v>12194.52</v>
      </c>
      <c r="S6759" s="1608"/>
    </row>
    <row r="6760" spans="2:19" s="1609" customFormat="1" ht="11.25" customHeight="1" outlineLevel="1">
      <c r="B6760" s="1602">
        <v>27785</v>
      </c>
      <c r="C6760" s="1603" t="s">
        <v>3771</v>
      </c>
      <c r="D6760" s="1603" t="s">
        <v>4007</v>
      </c>
      <c r="E6760" s="1603"/>
      <c r="F6760" s="1603"/>
      <c r="G6760" s="1603" t="s">
        <v>4006</v>
      </c>
      <c r="H6760" s="1604">
        <v>2</v>
      </c>
      <c r="I6760" s="1603"/>
      <c r="J6760" s="1603"/>
      <c r="K6760" s="1605">
        <v>474</v>
      </c>
      <c r="L6760" s="1606">
        <v>62341</v>
      </c>
      <c r="M6760" s="1607"/>
      <c r="N6760" s="1606">
        <v>62341</v>
      </c>
      <c r="O6760" s="1606">
        <v>29611.360000000001</v>
      </c>
      <c r="P6760" s="1606">
        <v>31171.200000000001</v>
      </c>
      <c r="Q6760" s="1606">
        <v>1558.44</v>
      </c>
      <c r="R6760" s="1606">
        <v>32729.64</v>
      </c>
      <c r="S6760" s="1608"/>
    </row>
    <row r="6761" spans="2:19" s="1717" customFormat="1" ht="11.25" customHeight="1" outlineLevel="1">
      <c r="B6761" s="1711">
        <v>27786</v>
      </c>
      <c r="C6761" s="1712" t="s">
        <v>3771</v>
      </c>
      <c r="D6761" s="1712" t="s">
        <v>4005</v>
      </c>
      <c r="E6761" s="1712"/>
      <c r="F6761" s="1712"/>
      <c r="G6761" s="1712" t="s">
        <v>3664</v>
      </c>
      <c r="H6761" s="1713">
        <v>2</v>
      </c>
      <c r="I6761" s="1712"/>
      <c r="J6761" s="1712"/>
      <c r="K6761" s="1727">
        <v>726</v>
      </c>
      <c r="L6761" s="1714">
        <v>187752</v>
      </c>
      <c r="M6761" s="1715"/>
      <c r="N6761" s="1714">
        <v>187752</v>
      </c>
      <c r="O6761" s="1714">
        <v>108896.16</v>
      </c>
      <c r="P6761" s="1714">
        <v>75100.800000000003</v>
      </c>
      <c r="Q6761" s="1714">
        <v>3755.04</v>
      </c>
      <c r="R6761" s="1714">
        <v>78855.839999999997</v>
      </c>
      <c r="S6761" s="1716"/>
    </row>
    <row r="6762" spans="2:19" s="1609" customFormat="1" ht="11.25" customHeight="1" outlineLevel="1">
      <c r="B6762" s="1602">
        <v>27787</v>
      </c>
      <c r="C6762" s="1603" t="s">
        <v>3771</v>
      </c>
      <c r="D6762" s="1603" t="s">
        <v>4004</v>
      </c>
      <c r="E6762" s="1603"/>
      <c r="F6762" s="1603"/>
      <c r="G6762" s="1603" t="s">
        <v>3734</v>
      </c>
      <c r="H6762" s="1604">
        <v>2</v>
      </c>
      <c r="I6762" s="1603"/>
      <c r="J6762" s="1603"/>
      <c r="K6762" s="1605">
        <v>565</v>
      </c>
      <c r="L6762" s="1606">
        <v>160092</v>
      </c>
      <c r="M6762" s="1607"/>
      <c r="N6762" s="1606">
        <v>160092</v>
      </c>
      <c r="O6762" s="1606">
        <v>49259.76</v>
      </c>
      <c r="P6762" s="1606">
        <v>105554.4</v>
      </c>
      <c r="Q6762" s="1606">
        <v>5277.84</v>
      </c>
      <c r="R6762" s="1606">
        <v>110832.24</v>
      </c>
      <c r="S6762" s="1608"/>
    </row>
    <row r="6763" spans="2:19" s="1609" customFormat="1" ht="11.25" customHeight="1" outlineLevel="1">
      <c r="B6763" s="1602">
        <v>27789</v>
      </c>
      <c r="C6763" s="1603" t="s">
        <v>3771</v>
      </c>
      <c r="D6763" s="1603" t="s">
        <v>4003</v>
      </c>
      <c r="E6763" s="1603"/>
      <c r="F6763" s="1603"/>
      <c r="G6763" s="1603" t="s">
        <v>3734</v>
      </c>
      <c r="H6763" s="1604">
        <v>2</v>
      </c>
      <c r="I6763" s="1603"/>
      <c r="J6763" s="1603"/>
      <c r="K6763" s="1605">
        <v>815</v>
      </c>
      <c r="L6763" s="1606">
        <v>23729</v>
      </c>
      <c r="M6763" s="1607"/>
      <c r="N6763" s="1606">
        <v>23729</v>
      </c>
      <c r="O6763" s="1606">
        <v>13762.4</v>
      </c>
      <c r="P6763" s="1606">
        <v>9492</v>
      </c>
      <c r="Q6763" s="1605">
        <v>474.6</v>
      </c>
      <c r="R6763" s="1606">
        <v>9966.6</v>
      </c>
      <c r="S6763" s="1608"/>
    </row>
    <row r="6764" spans="2:19" s="1609" customFormat="1" ht="11.25" customHeight="1" outlineLevel="1">
      <c r="B6764" s="1602">
        <v>27790</v>
      </c>
      <c r="C6764" s="1603" t="s">
        <v>3771</v>
      </c>
      <c r="D6764" s="1603" t="s">
        <v>4002</v>
      </c>
      <c r="E6764" s="1603"/>
      <c r="F6764" s="1603"/>
      <c r="G6764" s="1603" t="s">
        <v>3734</v>
      </c>
      <c r="H6764" s="1604">
        <v>2</v>
      </c>
      <c r="I6764" s="1603"/>
      <c r="J6764" s="1603"/>
      <c r="K6764" s="1605">
        <v>753</v>
      </c>
      <c r="L6764" s="1606">
        <v>27797</v>
      </c>
      <c r="M6764" s="1607"/>
      <c r="N6764" s="1606">
        <v>27797</v>
      </c>
      <c r="O6764" s="1606">
        <v>16121.84</v>
      </c>
      <c r="P6764" s="1606">
        <v>11119.2</v>
      </c>
      <c r="Q6764" s="1605">
        <v>555.96</v>
      </c>
      <c r="R6764" s="1606">
        <v>11675.16</v>
      </c>
      <c r="S6764" s="1608"/>
    </row>
    <row r="6765" spans="2:19" s="1609" customFormat="1" ht="11.25" customHeight="1" outlineLevel="1">
      <c r="B6765" s="1602">
        <v>27791</v>
      </c>
      <c r="C6765" s="1603" t="s">
        <v>3771</v>
      </c>
      <c r="D6765" s="1603" t="s">
        <v>4001</v>
      </c>
      <c r="E6765" s="1603"/>
      <c r="F6765" s="1603"/>
      <c r="G6765" s="1603" t="s">
        <v>3734</v>
      </c>
      <c r="H6765" s="1604">
        <v>2</v>
      </c>
      <c r="I6765" s="1603"/>
      <c r="J6765" s="1603"/>
      <c r="K6765" s="1606">
        <v>1507</v>
      </c>
      <c r="L6765" s="1606">
        <v>265616</v>
      </c>
      <c r="M6765" s="1607"/>
      <c r="N6765" s="1606">
        <v>265616</v>
      </c>
      <c r="O6765" s="1606">
        <v>154058</v>
      </c>
      <c r="P6765" s="1606">
        <v>106245.6</v>
      </c>
      <c r="Q6765" s="1606">
        <v>5312.4</v>
      </c>
      <c r="R6765" s="1606">
        <v>111558</v>
      </c>
      <c r="S6765" s="1608"/>
    </row>
    <row r="6766" spans="2:19" s="1609" customFormat="1" ht="11.25" customHeight="1" outlineLevel="1">
      <c r="B6766" s="1602">
        <v>27792</v>
      </c>
      <c r="C6766" s="1603" t="s">
        <v>3771</v>
      </c>
      <c r="D6766" s="1603" t="s">
        <v>4000</v>
      </c>
      <c r="E6766" s="1603"/>
      <c r="F6766" s="1603"/>
      <c r="G6766" s="1603" t="s">
        <v>3734</v>
      </c>
      <c r="H6766" s="1604">
        <v>2</v>
      </c>
      <c r="I6766" s="1603"/>
      <c r="J6766" s="1603"/>
      <c r="K6766" s="1605">
        <v>753</v>
      </c>
      <c r="L6766" s="1606">
        <v>50562</v>
      </c>
      <c r="M6766" s="1607"/>
      <c r="N6766" s="1606">
        <v>50562</v>
      </c>
      <c r="O6766" s="1606">
        <v>15556.8</v>
      </c>
      <c r="P6766" s="1606">
        <v>33338.400000000001</v>
      </c>
      <c r="Q6766" s="1606">
        <v>1666.8</v>
      </c>
      <c r="R6766" s="1606">
        <v>35005.199999999997</v>
      </c>
      <c r="S6766" s="1608"/>
    </row>
    <row r="6767" spans="2:19" s="1609" customFormat="1" ht="11.25" customHeight="1" outlineLevel="1">
      <c r="B6767" s="1602">
        <v>27793</v>
      </c>
      <c r="C6767" s="1603" t="s">
        <v>3771</v>
      </c>
      <c r="D6767" s="1603" t="s">
        <v>3999</v>
      </c>
      <c r="E6767" s="1603"/>
      <c r="F6767" s="1603"/>
      <c r="G6767" s="1603" t="s">
        <v>3734</v>
      </c>
      <c r="H6767" s="1604">
        <v>2</v>
      </c>
      <c r="I6767" s="1603"/>
      <c r="J6767" s="1603"/>
      <c r="K6767" s="1605">
        <v>540</v>
      </c>
      <c r="L6767" s="1606">
        <v>7446</v>
      </c>
      <c r="M6767" s="1607"/>
      <c r="N6767" s="1606">
        <v>7446</v>
      </c>
      <c r="O6767" s="1606">
        <v>2290.1999999999998</v>
      </c>
      <c r="P6767" s="1606">
        <v>4910.3999999999996</v>
      </c>
      <c r="Q6767" s="1605">
        <v>245.4</v>
      </c>
      <c r="R6767" s="1606">
        <v>5155.8</v>
      </c>
      <c r="S6767" s="1608"/>
    </row>
    <row r="6768" spans="2:19" s="1609" customFormat="1" ht="11.25" customHeight="1" outlineLevel="1">
      <c r="B6768" s="1602">
        <v>27794</v>
      </c>
      <c r="C6768" s="1603" t="s">
        <v>3771</v>
      </c>
      <c r="D6768" s="1603" t="s">
        <v>3998</v>
      </c>
      <c r="E6768" s="1603"/>
      <c r="F6768" s="1603"/>
      <c r="G6768" s="1603" t="s">
        <v>3734</v>
      </c>
      <c r="H6768" s="1604">
        <v>2</v>
      </c>
      <c r="I6768" s="1603"/>
      <c r="J6768" s="1603"/>
      <c r="K6768" s="1605">
        <v>753</v>
      </c>
      <c r="L6768" s="1606">
        <v>53635</v>
      </c>
      <c r="M6768" s="1607"/>
      <c r="N6768" s="1606">
        <v>53635</v>
      </c>
      <c r="O6768" s="1606">
        <v>31108.720000000001</v>
      </c>
      <c r="P6768" s="1606">
        <v>21453.599999999999</v>
      </c>
      <c r="Q6768" s="1606">
        <v>1072.68</v>
      </c>
      <c r="R6768" s="1606">
        <v>22526.28</v>
      </c>
      <c r="S6768" s="1608"/>
    </row>
    <row r="6769" spans="2:19" s="1609" customFormat="1" ht="11.25" customHeight="1" outlineLevel="1">
      <c r="B6769" s="1602">
        <v>27795</v>
      </c>
      <c r="C6769" s="1603" t="s">
        <v>3771</v>
      </c>
      <c r="D6769" s="1603" t="s">
        <v>3997</v>
      </c>
      <c r="E6769" s="1603"/>
      <c r="F6769" s="1603"/>
      <c r="G6769" s="1603" t="s">
        <v>3734</v>
      </c>
      <c r="H6769" s="1604">
        <v>2</v>
      </c>
      <c r="I6769" s="1603"/>
      <c r="J6769" s="1603"/>
      <c r="K6769" s="1605">
        <v>753</v>
      </c>
      <c r="L6769" s="1606">
        <v>316879</v>
      </c>
      <c r="M6769" s="1607"/>
      <c r="N6769" s="1606">
        <v>316879</v>
      </c>
      <c r="O6769" s="1606">
        <v>97500.52</v>
      </c>
      <c r="P6769" s="1606">
        <v>208932</v>
      </c>
      <c r="Q6769" s="1606">
        <v>10446.48</v>
      </c>
      <c r="R6769" s="1606">
        <v>219378.48</v>
      </c>
      <c r="S6769" s="1608"/>
    </row>
    <row r="6770" spans="2:19" s="1609" customFormat="1" ht="11.25" customHeight="1" outlineLevel="1">
      <c r="B6770" s="1602">
        <v>27796</v>
      </c>
      <c r="C6770" s="1603" t="s">
        <v>3771</v>
      </c>
      <c r="D6770" s="1603" t="s">
        <v>3996</v>
      </c>
      <c r="E6770" s="1603"/>
      <c r="F6770" s="1603"/>
      <c r="G6770" s="1603" t="s">
        <v>3664</v>
      </c>
      <c r="H6770" s="1604">
        <v>2</v>
      </c>
      <c r="I6770" s="1603"/>
      <c r="J6770" s="1603"/>
      <c r="K6770" s="1605">
        <v>565</v>
      </c>
      <c r="L6770" s="1606">
        <v>98194</v>
      </c>
      <c r="M6770" s="1607"/>
      <c r="N6770" s="1606">
        <v>98194</v>
      </c>
      <c r="O6770" s="1606">
        <v>30214.36</v>
      </c>
      <c r="P6770" s="1606">
        <v>64742.400000000001</v>
      </c>
      <c r="Q6770" s="1606">
        <v>3237.24</v>
      </c>
      <c r="R6770" s="1606">
        <v>67979.64</v>
      </c>
      <c r="S6770" s="1608"/>
    </row>
    <row r="6771" spans="2:19" s="1609" customFormat="1" ht="11.25" customHeight="1" outlineLevel="1">
      <c r="B6771" s="1602">
        <v>27797</v>
      </c>
      <c r="C6771" s="1603" t="s">
        <v>3771</v>
      </c>
      <c r="D6771" s="1603" t="s">
        <v>3995</v>
      </c>
      <c r="E6771" s="1603"/>
      <c r="F6771" s="1603"/>
      <c r="G6771" s="1603" t="s">
        <v>3734</v>
      </c>
      <c r="H6771" s="1604">
        <v>2</v>
      </c>
      <c r="I6771" s="1603"/>
      <c r="J6771" s="1603"/>
      <c r="K6771" s="1605">
        <v>942</v>
      </c>
      <c r="L6771" s="1606">
        <v>37383</v>
      </c>
      <c r="M6771" s="1607"/>
      <c r="N6771" s="1606">
        <v>37383</v>
      </c>
      <c r="O6771" s="1606">
        <v>11502.6</v>
      </c>
      <c r="P6771" s="1606">
        <v>24648</v>
      </c>
      <c r="Q6771" s="1606">
        <v>1232.4000000000001</v>
      </c>
      <c r="R6771" s="1606">
        <v>25880.400000000001</v>
      </c>
      <c r="S6771" s="1608"/>
    </row>
    <row r="6772" spans="2:19" s="1609" customFormat="1" ht="11.25" customHeight="1" outlineLevel="1">
      <c r="B6772" s="1602">
        <v>27798</v>
      </c>
      <c r="C6772" s="1603" t="s">
        <v>3771</v>
      </c>
      <c r="D6772" s="1603" t="s">
        <v>3994</v>
      </c>
      <c r="E6772" s="1603"/>
      <c r="F6772" s="1603"/>
      <c r="G6772" s="1603" t="s">
        <v>3734</v>
      </c>
      <c r="H6772" s="1604">
        <v>2</v>
      </c>
      <c r="I6772" s="1603"/>
      <c r="J6772" s="1603"/>
      <c r="K6772" s="1605">
        <v>692</v>
      </c>
      <c r="L6772" s="1606">
        <v>164221</v>
      </c>
      <c r="M6772" s="1607"/>
      <c r="N6772" s="1606">
        <v>164221</v>
      </c>
      <c r="O6772" s="1606">
        <v>95248.6</v>
      </c>
      <c r="P6772" s="1606">
        <v>65688</v>
      </c>
      <c r="Q6772" s="1606">
        <v>3284.4</v>
      </c>
      <c r="R6772" s="1606">
        <v>68972.399999999994</v>
      </c>
      <c r="S6772" s="1608"/>
    </row>
    <row r="6773" spans="2:19" s="1609" customFormat="1" ht="11.25" customHeight="1" outlineLevel="1">
      <c r="B6773" s="1602">
        <v>27799</v>
      </c>
      <c r="C6773" s="1603" t="s">
        <v>3771</v>
      </c>
      <c r="D6773" s="1603" t="s">
        <v>3993</v>
      </c>
      <c r="E6773" s="1603"/>
      <c r="F6773" s="1603"/>
      <c r="G6773" s="1603" t="s">
        <v>3734</v>
      </c>
      <c r="H6773" s="1604">
        <v>2</v>
      </c>
      <c r="I6773" s="1603"/>
      <c r="J6773" s="1603"/>
      <c r="K6773" s="1605">
        <v>564</v>
      </c>
      <c r="L6773" s="1606">
        <v>87431</v>
      </c>
      <c r="M6773" s="1607"/>
      <c r="N6773" s="1606">
        <v>87431</v>
      </c>
      <c r="O6773" s="1606">
        <v>26900.720000000001</v>
      </c>
      <c r="P6773" s="1606">
        <v>57648</v>
      </c>
      <c r="Q6773" s="1606">
        <v>2882.28</v>
      </c>
      <c r="R6773" s="1606">
        <v>60530.28</v>
      </c>
      <c r="S6773" s="1608"/>
    </row>
    <row r="6774" spans="2:19" s="1609" customFormat="1" ht="11.25" customHeight="1" outlineLevel="1">
      <c r="B6774" s="1602">
        <v>27800</v>
      </c>
      <c r="C6774" s="1603" t="s">
        <v>3771</v>
      </c>
      <c r="D6774" s="1603" t="s">
        <v>3992</v>
      </c>
      <c r="E6774" s="1603"/>
      <c r="F6774" s="1603"/>
      <c r="G6774" s="1603" t="s">
        <v>3734</v>
      </c>
      <c r="H6774" s="1604">
        <v>2</v>
      </c>
      <c r="I6774" s="1603"/>
      <c r="J6774" s="1603"/>
      <c r="K6774" s="1605">
        <v>565</v>
      </c>
      <c r="L6774" s="1606">
        <v>71244</v>
      </c>
      <c r="M6774" s="1607"/>
      <c r="N6774" s="1606">
        <v>71244</v>
      </c>
      <c r="O6774" s="1606">
        <v>21920.16</v>
      </c>
      <c r="P6774" s="1606">
        <v>46975.199999999997</v>
      </c>
      <c r="Q6774" s="1606">
        <v>2348.64</v>
      </c>
      <c r="R6774" s="1606">
        <v>49323.839999999997</v>
      </c>
      <c r="S6774" s="1608"/>
    </row>
    <row r="6775" spans="2:19" s="1609" customFormat="1" ht="11.25" customHeight="1" outlineLevel="1">
      <c r="B6775" s="1602">
        <v>27801</v>
      </c>
      <c r="C6775" s="1603" t="s">
        <v>3771</v>
      </c>
      <c r="D6775" s="1603" t="s">
        <v>3991</v>
      </c>
      <c r="E6775" s="1603"/>
      <c r="F6775" s="1603"/>
      <c r="G6775" s="1603" t="s">
        <v>3734</v>
      </c>
      <c r="H6775" s="1604">
        <v>2</v>
      </c>
      <c r="I6775" s="1603"/>
      <c r="J6775" s="1603"/>
      <c r="K6775" s="1605">
        <v>753</v>
      </c>
      <c r="L6775" s="1606">
        <v>99625</v>
      </c>
      <c r="M6775" s="1607"/>
      <c r="N6775" s="1606">
        <v>99625</v>
      </c>
      <c r="O6775" s="1606">
        <v>30652.720000000001</v>
      </c>
      <c r="P6775" s="1606">
        <v>65688</v>
      </c>
      <c r="Q6775" s="1606">
        <v>3284.28</v>
      </c>
      <c r="R6775" s="1606">
        <v>68972.28</v>
      </c>
      <c r="S6775" s="1608"/>
    </row>
    <row r="6776" spans="2:19" s="1609" customFormat="1" ht="11.25" customHeight="1" outlineLevel="1">
      <c r="B6776" s="1602">
        <v>27802</v>
      </c>
      <c r="C6776" s="1603" t="s">
        <v>3771</v>
      </c>
      <c r="D6776" s="1603" t="s">
        <v>3990</v>
      </c>
      <c r="E6776" s="1603"/>
      <c r="F6776" s="1603"/>
      <c r="G6776" s="1603" t="s">
        <v>3734</v>
      </c>
      <c r="H6776" s="1604">
        <v>2</v>
      </c>
      <c r="I6776" s="1603"/>
      <c r="J6776" s="1603"/>
      <c r="K6776" s="1605">
        <v>565</v>
      </c>
      <c r="L6776" s="1606">
        <v>26272</v>
      </c>
      <c r="M6776" s="1607"/>
      <c r="N6776" s="1606">
        <v>26272</v>
      </c>
      <c r="O6776" s="1606">
        <v>8082.76</v>
      </c>
      <c r="P6776" s="1606">
        <v>17323.2</v>
      </c>
      <c r="Q6776" s="1605">
        <v>866.04</v>
      </c>
      <c r="R6776" s="1606">
        <v>18189.240000000002</v>
      </c>
      <c r="S6776" s="1608"/>
    </row>
    <row r="6777" spans="2:19" s="1609" customFormat="1" ht="11.25" customHeight="1" outlineLevel="1">
      <c r="B6777" s="1602">
        <v>27803</v>
      </c>
      <c r="C6777" s="1603" t="s">
        <v>3771</v>
      </c>
      <c r="D6777" s="1603" t="s">
        <v>3989</v>
      </c>
      <c r="E6777" s="1603"/>
      <c r="F6777" s="1603"/>
      <c r="G6777" s="1603" t="s">
        <v>3734</v>
      </c>
      <c r="H6777" s="1604">
        <v>2</v>
      </c>
      <c r="I6777" s="1603"/>
      <c r="J6777" s="1603"/>
      <c r="K6777" s="1605">
        <v>380</v>
      </c>
      <c r="L6777" s="1606">
        <v>20226</v>
      </c>
      <c r="M6777" s="1607"/>
      <c r="N6777" s="1606">
        <v>20226</v>
      </c>
      <c r="O6777" s="1606">
        <v>6222.48</v>
      </c>
      <c r="P6777" s="1606">
        <v>13336.8</v>
      </c>
      <c r="Q6777" s="1605">
        <v>666.72</v>
      </c>
      <c r="R6777" s="1606">
        <v>14003.52</v>
      </c>
      <c r="S6777" s="1608"/>
    </row>
    <row r="6778" spans="2:19" s="1609" customFormat="1" ht="11.25" customHeight="1" outlineLevel="1">
      <c r="B6778" s="1602">
        <v>27804</v>
      </c>
      <c r="C6778" s="1603" t="s">
        <v>3771</v>
      </c>
      <c r="D6778" s="1603" t="s">
        <v>3988</v>
      </c>
      <c r="E6778" s="1603"/>
      <c r="F6778" s="1603"/>
      <c r="G6778" s="1603" t="s">
        <v>3734</v>
      </c>
      <c r="H6778" s="1604">
        <v>2</v>
      </c>
      <c r="I6778" s="1603"/>
      <c r="J6778" s="1603"/>
      <c r="K6778" s="1605">
        <v>377</v>
      </c>
      <c r="L6778" s="1606">
        <v>17183</v>
      </c>
      <c r="M6778" s="1607"/>
      <c r="N6778" s="1606">
        <v>17183</v>
      </c>
      <c r="O6778" s="1606">
        <v>5286.2</v>
      </c>
      <c r="P6778" s="1606">
        <v>11330.4</v>
      </c>
      <c r="Q6778" s="1605">
        <v>566.4</v>
      </c>
      <c r="R6778" s="1606">
        <v>11896.8</v>
      </c>
      <c r="S6778" s="1608"/>
    </row>
    <row r="6779" spans="2:19" s="1609" customFormat="1" ht="11.25" customHeight="1" outlineLevel="1">
      <c r="B6779" s="1602">
        <v>27805</v>
      </c>
      <c r="C6779" s="1603" t="s">
        <v>3771</v>
      </c>
      <c r="D6779" s="1603" t="s">
        <v>3987</v>
      </c>
      <c r="E6779" s="1603"/>
      <c r="F6779" s="1603"/>
      <c r="G6779" s="1603" t="s">
        <v>3734</v>
      </c>
      <c r="H6779" s="1604">
        <v>2</v>
      </c>
      <c r="I6779" s="1603"/>
      <c r="J6779" s="1603"/>
      <c r="K6779" s="1605">
        <v>377</v>
      </c>
      <c r="L6779" s="1606">
        <v>3164</v>
      </c>
      <c r="M6779" s="1607"/>
      <c r="N6779" s="1606">
        <v>3164</v>
      </c>
      <c r="O6779" s="1606">
        <v>1835.84</v>
      </c>
      <c r="P6779" s="1606">
        <v>1264.8</v>
      </c>
      <c r="Q6779" s="1605">
        <v>63.36</v>
      </c>
      <c r="R6779" s="1606">
        <v>1328.16</v>
      </c>
      <c r="S6779" s="1608"/>
    </row>
    <row r="6780" spans="2:19" s="1609" customFormat="1" ht="11.25" customHeight="1" outlineLevel="1">
      <c r="B6780" s="1602">
        <v>27806</v>
      </c>
      <c r="C6780" s="1603" t="s">
        <v>3771</v>
      </c>
      <c r="D6780" s="1603" t="s">
        <v>3986</v>
      </c>
      <c r="E6780" s="1603"/>
      <c r="F6780" s="1603"/>
      <c r="G6780" s="1603" t="s">
        <v>3734</v>
      </c>
      <c r="H6780" s="1604">
        <v>2</v>
      </c>
      <c r="I6780" s="1603"/>
      <c r="J6780" s="1603"/>
      <c r="K6780" s="1605">
        <v>661</v>
      </c>
      <c r="L6780" s="1606">
        <v>189381</v>
      </c>
      <c r="M6780" s="1607"/>
      <c r="N6780" s="1606">
        <v>189381</v>
      </c>
      <c r="O6780" s="1606">
        <v>58270.559999999998</v>
      </c>
      <c r="P6780" s="1606">
        <v>124867.2</v>
      </c>
      <c r="Q6780" s="1606">
        <v>6243.24</v>
      </c>
      <c r="R6780" s="1606">
        <v>131110.44</v>
      </c>
      <c r="S6780" s="1608"/>
    </row>
    <row r="6781" spans="2:19" s="1609" customFormat="1" ht="11.25" customHeight="1" outlineLevel="1">
      <c r="B6781" s="1602">
        <v>27807</v>
      </c>
      <c r="C6781" s="1603" t="s">
        <v>3771</v>
      </c>
      <c r="D6781" s="1603" t="s">
        <v>3985</v>
      </c>
      <c r="E6781" s="1603"/>
      <c r="F6781" s="1603"/>
      <c r="G6781" s="1603" t="s">
        <v>3734</v>
      </c>
      <c r="H6781" s="1604">
        <v>2</v>
      </c>
      <c r="I6781" s="1603"/>
      <c r="J6781" s="1603"/>
      <c r="K6781" s="1605">
        <v>463</v>
      </c>
      <c r="L6781" s="1606">
        <v>84370</v>
      </c>
      <c r="M6781" s="1607"/>
      <c r="N6781" s="1606">
        <v>84370</v>
      </c>
      <c r="O6781" s="1606">
        <v>25959.040000000001</v>
      </c>
      <c r="P6781" s="1606">
        <v>55629.599999999999</v>
      </c>
      <c r="Q6781" s="1606">
        <v>2781.36</v>
      </c>
      <c r="R6781" s="1606">
        <v>58410.96</v>
      </c>
      <c r="S6781" s="1608"/>
    </row>
    <row r="6782" spans="2:19" s="1609" customFormat="1" ht="11.25" customHeight="1" outlineLevel="1">
      <c r="B6782" s="1602">
        <v>27808</v>
      </c>
      <c r="C6782" s="1603" t="s">
        <v>3771</v>
      </c>
      <c r="D6782" s="1603" t="s">
        <v>3984</v>
      </c>
      <c r="E6782" s="1603"/>
      <c r="F6782" s="1603"/>
      <c r="G6782" s="1603" t="s">
        <v>3734</v>
      </c>
      <c r="H6782" s="1604">
        <v>2</v>
      </c>
      <c r="I6782" s="1603"/>
      <c r="J6782" s="1603"/>
      <c r="K6782" s="1605">
        <v>565</v>
      </c>
      <c r="L6782" s="1606">
        <v>23362</v>
      </c>
      <c r="M6782" s="1607"/>
      <c r="N6782" s="1606">
        <v>23362</v>
      </c>
      <c r="O6782" s="1606">
        <v>7188.64</v>
      </c>
      <c r="P6782" s="1606">
        <v>15403.2</v>
      </c>
      <c r="Q6782" s="1605">
        <v>770.16</v>
      </c>
      <c r="R6782" s="1606">
        <v>16173.36</v>
      </c>
      <c r="S6782" s="1608"/>
    </row>
    <row r="6783" spans="2:19" s="1609" customFormat="1" ht="11.25" customHeight="1" outlineLevel="1">
      <c r="B6783" s="1602">
        <v>27809</v>
      </c>
      <c r="C6783" s="1603" t="s">
        <v>3771</v>
      </c>
      <c r="D6783" s="1603" t="s">
        <v>3983</v>
      </c>
      <c r="E6783" s="1603"/>
      <c r="F6783" s="1603"/>
      <c r="G6783" s="1603" t="s">
        <v>3734</v>
      </c>
      <c r="H6783" s="1604">
        <v>2</v>
      </c>
      <c r="I6783" s="1603"/>
      <c r="J6783" s="1603"/>
      <c r="K6783" s="1605">
        <v>942</v>
      </c>
      <c r="L6783" s="1606">
        <v>99813</v>
      </c>
      <c r="M6783" s="1607"/>
      <c r="N6783" s="1606">
        <v>99813</v>
      </c>
      <c r="O6783" s="1606">
        <v>30712.080000000002</v>
      </c>
      <c r="P6783" s="1606">
        <v>65810.399999999994</v>
      </c>
      <c r="Q6783" s="1606">
        <v>3290.52</v>
      </c>
      <c r="R6783" s="1606">
        <v>69100.92</v>
      </c>
      <c r="S6783" s="1608"/>
    </row>
    <row r="6784" spans="2:19" s="1609" customFormat="1" ht="11.25" customHeight="1" outlineLevel="1">
      <c r="B6784" s="1602">
        <v>27810</v>
      </c>
      <c r="C6784" s="1603" t="s">
        <v>3771</v>
      </c>
      <c r="D6784" s="1603" t="s">
        <v>3982</v>
      </c>
      <c r="E6784" s="1603"/>
      <c r="F6784" s="1603"/>
      <c r="G6784" s="1603" t="s">
        <v>3734</v>
      </c>
      <c r="H6784" s="1604">
        <v>2</v>
      </c>
      <c r="I6784" s="1603"/>
      <c r="J6784" s="1603"/>
      <c r="K6784" s="1605">
        <v>753</v>
      </c>
      <c r="L6784" s="1606">
        <v>75557</v>
      </c>
      <c r="M6784" s="1607"/>
      <c r="N6784" s="1606">
        <v>75557</v>
      </c>
      <c r="O6784" s="1606">
        <v>23249.24</v>
      </c>
      <c r="P6784" s="1606">
        <v>49816.800000000003</v>
      </c>
      <c r="Q6784" s="1606">
        <v>2490.96</v>
      </c>
      <c r="R6784" s="1606">
        <v>52307.76</v>
      </c>
      <c r="S6784" s="1608"/>
    </row>
    <row r="6785" spans="2:19" s="1609" customFormat="1" ht="11.25" customHeight="1" outlineLevel="1">
      <c r="B6785" s="1602">
        <v>27811</v>
      </c>
      <c r="C6785" s="1603" t="s">
        <v>3771</v>
      </c>
      <c r="D6785" s="1603" t="s">
        <v>3981</v>
      </c>
      <c r="E6785" s="1603"/>
      <c r="F6785" s="1603"/>
      <c r="G6785" s="1603" t="s">
        <v>3734</v>
      </c>
      <c r="H6785" s="1604">
        <v>2</v>
      </c>
      <c r="I6785" s="1603"/>
      <c r="J6785" s="1603"/>
      <c r="K6785" s="1605">
        <v>377</v>
      </c>
      <c r="L6785" s="1606">
        <v>3842</v>
      </c>
      <c r="M6785" s="1607"/>
      <c r="N6785" s="1606">
        <v>3842</v>
      </c>
      <c r="O6785" s="1606">
        <v>1183.28</v>
      </c>
      <c r="P6785" s="1606">
        <v>2532</v>
      </c>
      <c r="Q6785" s="1605">
        <v>126.72</v>
      </c>
      <c r="R6785" s="1606">
        <v>2658.72</v>
      </c>
      <c r="S6785" s="1608"/>
    </row>
    <row r="6786" spans="2:19" s="1609" customFormat="1" ht="11.25" customHeight="1" outlineLevel="1">
      <c r="B6786" s="1602">
        <v>27812</v>
      </c>
      <c r="C6786" s="1603" t="s">
        <v>3771</v>
      </c>
      <c r="D6786" s="1603" t="s">
        <v>3980</v>
      </c>
      <c r="E6786" s="1603"/>
      <c r="F6786" s="1603"/>
      <c r="G6786" s="1603" t="s">
        <v>3734</v>
      </c>
      <c r="H6786" s="1604">
        <v>2</v>
      </c>
      <c r="I6786" s="1603"/>
      <c r="J6786" s="1603"/>
      <c r="K6786" s="1605">
        <v>377</v>
      </c>
      <c r="L6786" s="1606">
        <v>1657</v>
      </c>
      <c r="M6786" s="1607"/>
      <c r="N6786" s="1606">
        <v>1657</v>
      </c>
      <c r="O6786" s="1605">
        <v>510.28</v>
      </c>
      <c r="P6786" s="1606">
        <v>1092</v>
      </c>
      <c r="Q6786" s="1605">
        <v>54.72</v>
      </c>
      <c r="R6786" s="1606">
        <v>1146.72</v>
      </c>
      <c r="S6786" s="1608"/>
    </row>
    <row r="6787" spans="2:19" s="1609" customFormat="1" ht="11.25" customHeight="1" outlineLevel="1">
      <c r="B6787" s="1602">
        <v>27813</v>
      </c>
      <c r="C6787" s="1603" t="s">
        <v>3771</v>
      </c>
      <c r="D6787" s="1603" t="s">
        <v>3979</v>
      </c>
      <c r="E6787" s="1603"/>
      <c r="F6787" s="1603"/>
      <c r="G6787" s="1603" t="s">
        <v>3734</v>
      </c>
      <c r="H6787" s="1604">
        <v>2</v>
      </c>
      <c r="I6787" s="1603"/>
      <c r="J6787" s="1603"/>
      <c r="K6787" s="1605">
        <v>377</v>
      </c>
      <c r="L6787" s="1606">
        <v>3202</v>
      </c>
      <c r="M6787" s="1607"/>
      <c r="N6787" s="1606">
        <v>3202</v>
      </c>
      <c r="O6787" s="1605">
        <v>984.52</v>
      </c>
      <c r="P6787" s="1606">
        <v>2112</v>
      </c>
      <c r="Q6787" s="1605">
        <v>105.48</v>
      </c>
      <c r="R6787" s="1606">
        <v>2217.48</v>
      </c>
      <c r="S6787" s="1608"/>
    </row>
    <row r="6788" spans="2:19" s="1609" customFormat="1" ht="11.25" customHeight="1" outlineLevel="1">
      <c r="B6788" s="1602">
        <v>27814</v>
      </c>
      <c r="C6788" s="1603" t="s">
        <v>3771</v>
      </c>
      <c r="D6788" s="1603" t="s">
        <v>3978</v>
      </c>
      <c r="E6788" s="1603"/>
      <c r="F6788" s="1603"/>
      <c r="G6788" s="1603" t="s">
        <v>3734</v>
      </c>
      <c r="H6788" s="1604">
        <v>2</v>
      </c>
      <c r="I6788" s="1603"/>
      <c r="J6788" s="1603"/>
      <c r="K6788" s="1605">
        <v>753</v>
      </c>
      <c r="L6788" s="1606">
        <v>122488</v>
      </c>
      <c r="M6788" s="1607"/>
      <c r="N6788" s="1606">
        <v>122488</v>
      </c>
      <c r="O6788" s="1606">
        <v>37687.599999999999</v>
      </c>
      <c r="P6788" s="1606">
        <v>80762.399999999994</v>
      </c>
      <c r="Q6788" s="1606">
        <v>4038</v>
      </c>
      <c r="R6788" s="1606">
        <v>84800.4</v>
      </c>
      <c r="S6788" s="1608"/>
    </row>
    <row r="6789" spans="2:19" s="1609" customFormat="1" ht="11.25" customHeight="1" outlineLevel="1">
      <c r="B6789" s="1602">
        <v>27815</v>
      </c>
      <c r="C6789" s="1603" t="s">
        <v>3771</v>
      </c>
      <c r="D6789" s="1603" t="s">
        <v>3977</v>
      </c>
      <c r="E6789" s="1603"/>
      <c r="F6789" s="1603"/>
      <c r="G6789" s="1603" t="s">
        <v>3734</v>
      </c>
      <c r="H6789" s="1604">
        <v>2</v>
      </c>
      <c r="I6789" s="1603"/>
      <c r="J6789" s="1603"/>
      <c r="K6789" s="1605">
        <v>753</v>
      </c>
      <c r="L6789" s="1606">
        <v>5951</v>
      </c>
      <c r="M6789" s="1607"/>
      <c r="N6789" s="1606">
        <v>5951</v>
      </c>
      <c r="O6789" s="1606">
        <v>1830.8</v>
      </c>
      <c r="P6789" s="1606">
        <v>3924</v>
      </c>
      <c r="Q6789" s="1605">
        <v>196.2</v>
      </c>
      <c r="R6789" s="1606">
        <v>4120.2</v>
      </c>
      <c r="S6789" s="1608"/>
    </row>
    <row r="6790" spans="2:19" s="1609" customFormat="1" ht="11.25" customHeight="1" outlineLevel="1">
      <c r="B6790" s="1602">
        <v>27816</v>
      </c>
      <c r="C6790" s="1603" t="s">
        <v>3771</v>
      </c>
      <c r="D6790" s="1603" t="s">
        <v>3976</v>
      </c>
      <c r="E6790" s="1603"/>
      <c r="F6790" s="1603"/>
      <c r="G6790" s="1603" t="s">
        <v>3734</v>
      </c>
      <c r="H6790" s="1604">
        <v>2</v>
      </c>
      <c r="I6790" s="1603"/>
      <c r="J6790" s="1603"/>
      <c r="K6790" s="1605">
        <v>565</v>
      </c>
      <c r="L6790" s="1606">
        <v>13079</v>
      </c>
      <c r="M6790" s="1607"/>
      <c r="N6790" s="1606">
        <v>13079</v>
      </c>
      <c r="O6790" s="1606">
        <v>4024.64</v>
      </c>
      <c r="P6790" s="1606">
        <v>8623.2000000000007</v>
      </c>
      <c r="Q6790" s="1605">
        <v>431.16</v>
      </c>
      <c r="R6790" s="1606">
        <v>9054.36</v>
      </c>
      <c r="S6790" s="1608"/>
    </row>
    <row r="6791" spans="2:19" s="1609" customFormat="1" ht="11.25" customHeight="1" outlineLevel="1">
      <c r="B6791" s="1602">
        <v>27817</v>
      </c>
      <c r="C6791" s="1603" t="s">
        <v>3771</v>
      </c>
      <c r="D6791" s="1603" t="s">
        <v>3975</v>
      </c>
      <c r="E6791" s="1603"/>
      <c r="F6791" s="1603"/>
      <c r="G6791" s="1603" t="s">
        <v>3734</v>
      </c>
      <c r="H6791" s="1604">
        <v>2</v>
      </c>
      <c r="I6791" s="1603"/>
      <c r="J6791" s="1603"/>
      <c r="K6791" s="1605">
        <v>753</v>
      </c>
      <c r="L6791" s="1606">
        <v>156085</v>
      </c>
      <c r="M6791" s="1607"/>
      <c r="N6791" s="1606">
        <v>156085</v>
      </c>
      <c r="O6791" s="1606">
        <v>48027.28</v>
      </c>
      <c r="P6791" s="1606">
        <v>102912</v>
      </c>
      <c r="Q6791" s="1606">
        <v>5145.72</v>
      </c>
      <c r="R6791" s="1606">
        <v>108057.72</v>
      </c>
      <c r="S6791" s="1608"/>
    </row>
    <row r="6792" spans="2:19" s="1609" customFormat="1" ht="11.25" customHeight="1" outlineLevel="1">
      <c r="B6792" s="1602">
        <v>27818</v>
      </c>
      <c r="C6792" s="1603" t="s">
        <v>3771</v>
      </c>
      <c r="D6792" s="1603" t="s">
        <v>3974</v>
      </c>
      <c r="E6792" s="1603"/>
      <c r="F6792" s="1603"/>
      <c r="G6792" s="1603" t="s">
        <v>3734</v>
      </c>
      <c r="H6792" s="1604">
        <v>2</v>
      </c>
      <c r="I6792" s="1603"/>
      <c r="J6792" s="1603"/>
      <c r="K6792" s="1605">
        <v>565</v>
      </c>
      <c r="L6792" s="1606">
        <v>23616</v>
      </c>
      <c r="M6792" s="1607"/>
      <c r="N6792" s="1606">
        <v>23616</v>
      </c>
      <c r="O6792" s="1606">
        <v>7266.24</v>
      </c>
      <c r="P6792" s="1606">
        <v>15571.2</v>
      </c>
      <c r="Q6792" s="1605">
        <v>778.56</v>
      </c>
      <c r="R6792" s="1606">
        <v>16349.76</v>
      </c>
      <c r="S6792" s="1608"/>
    </row>
    <row r="6793" spans="2:19" s="1609" customFormat="1" ht="11.25" customHeight="1" outlineLevel="1">
      <c r="B6793" s="1602">
        <v>27819</v>
      </c>
      <c r="C6793" s="1603" t="s">
        <v>3771</v>
      </c>
      <c r="D6793" s="1603" t="s">
        <v>3973</v>
      </c>
      <c r="E6793" s="1603"/>
      <c r="F6793" s="1603"/>
      <c r="G6793" s="1603" t="s">
        <v>3734</v>
      </c>
      <c r="H6793" s="1604">
        <v>2</v>
      </c>
      <c r="I6793" s="1603"/>
      <c r="J6793" s="1603"/>
      <c r="K6793" s="1606">
        <v>1130</v>
      </c>
      <c r="L6793" s="1606">
        <v>223506</v>
      </c>
      <c r="M6793" s="1607"/>
      <c r="N6793" s="1606">
        <v>223506</v>
      </c>
      <c r="O6793" s="1606">
        <v>68770.559999999998</v>
      </c>
      <c r="P6793" s="1606">
        <v>147367.20000000001</v>
      </c>
      <c r="Q6793" s="1606">
        <v>7368.24</v>
      </c>
      <c r="R6793" s="1606">
        <v>154735.44</v>
      </c>
      <c r="S6793" s="1608"/>
    </row>
    <row r="6794" spans="2:19" s="1609" customFormat="1" ht="11.25" customHeight="1" outlineLevel="1">
      <c r="B6794" s="1602">
        <v>27820</v>
      </c>
      <c r="C6794" s="1603" t="s">
        <v>3771</v>
      </c>
      <c r="D6794" s="1603" t="s">
        <v>3972</v>
      </c>
      <c r="E6794" s="1603"/>
      <c r="F6794" s="1603"/>
      <c r="G6794" s="1603" t="s">
        <v>3734</v>
      </c>
      <c r="H6794" s="1604">
        <v>2</v>
      </c>
      <c r="I6794" s="1603"/>
      <c r="J6794" s="1603"/>
      <c r="K6794" s="1605">
        <v>753</v>
      </c>
      <c r="L6794" s="1606">
        <v>110246</v>
      </c>
      <c r="M6794" s="1607"/>
      <c r="N6794" s="1606">
        <v>110246</v>
      </c>
      <c r="O6794" s="1606">
        <v>33922.639999999999</v>
      </c>
      <c r="P6794" s="1606">
        <v>72688.800000000003</v>
      </c>
      <c r="Q6794" s="1606">
        <v>3634.56</v>
      </c>
      <c r="R6794" s="1606">
        <v>76323.360000000001</v>
      </c>
      <c r="S6794" s="1608"/>
    </row>
    <row r="6795" spans="2:19" s="1609" customFormat="1" ht="11.25" customHeight="1" outlineLevel="1">
      <c r="B6795" s="1602">
        <v>27821</v>
      </c>
      <c r="C6795" s="1603" t="s">
        <v>3771</v>
      </c>
      <c r="D6795" s="1603" t="s">
        <v>3971</v>
      </c>
      <c r="E6795" s="1603"/>
      <c r="F6795" s="1603"/>
      <c r="G6795" s="1603" t="s">
        <v>3734</v>
      </c>
      <c r="H6795" s="1604">
        <v>2</v>
      </c>
      <c r="I6795" s="1603"/>
      <c r="J6795" s="1603"/>
      <c r="K6795" s="1605">
        <v>753</v>
      </c>
      <c r="L6795" s="1606">
        <v>45914</v>
      </c>
      <c r="M6795" s="1607"/>
      <c r="N6795" s="1606">
        <v>45914</v>
      </c>
      <c r="O6795" s="1606">
        <v>14126.84</v>
      </c>
      <c r="P6795" s="1606">
        <v>30273.599999999999</v>
      </c>
      <c r="Q6795" s="1606">
        <v>1513.56</v>
      </c>
      <c r="R6795" s="1606">
        <v>31787.16</v>
      </c>
      <c r="S6795" s="1608"/>
    </row>
    <row r="6796" spans="2:19" s="1609" customFormat="1" ht="11.25" customHeight="1" outlineLevel="1">
      <c r="B6796" s="1602">
        <v>27822</v>
      </c>
      <c r="C6796" s="1603" t="s">
        <v>3771</v>
      </c>
      <c r="D6796" s="1603" t="s">
        <v>3970</v>
      </c>
      <c r="E6796" s="1603"/>
      <c r="F6796" s="1603"/>
      <c r="G6796" s="1603" t="s">
        <v>3734</v>
      </c>
      <c r="H6796" s="1604">
        <v>2</v>
      </c>
      <c r="I6796" s="1603"/>
      <c r="J6796" s="1603"/>
      <c r="K6796" s="1605">
        <v>565</v>
      </c>
      <c r="L6796" s="1606">
        <v>47684</v>
      </c>
      <c r="M6796" s="1607"/>
      <c r="N6796" s="1606">
        <v>47684</v>
      </c>
      <c r="O6796" s="1606">
        <v>14672</v>
      </c>
      <c r="P6796" s="1606">
        <v>31440</v>
      </c>
      <c r="Q6796" s="1606">
        <v>1572</v>
      </c>
      <c r="R6796" s="1606">
        <v>33012</v>
      </c>
      <c r="S6796" s="1608"/>
    </row>
    <row r="6797" spans="2:19" s="1609" customFormat="1" ht="11.25" customHeight="1" outlineLevel="1">
      <c r="B6797" s="1602">
        <v>27823</v>
      </c>
      <c r="C6797" s="1603" t="s">
        <v>3771</v>
      </c>
      <c r="D6797" s="1603" t="s">
        <v>3969</v>
      </c>
      <c r="E6797" s="1603"/>
      <c r="F6797" s="1603"/>
      <c r="G6797" s="1603" t="s">
        <v>3664</v>
      </c>
      <c r="H6797" s="1604">
        <v>2</v>
      </c>
      <c r="I6797" s="1603"/>
      <c r="J6797" s="1603"/>
      <c r="K6797" s="1605">
        <v>565</v>
      </c>
      <c r="L6797" s="1606">
        <v>32825</v>
      </c>
      <c r="M6797" s="1607"/>
      <c r="N6797" s="1606">
        <v>32825</v>
      </c>
      <c r="O6797" s="1606">
        <v>10099.64</v>
      </c>
      <c r="P6797" s="1606">
        <v>21643.200000000001</v>
      </c>
      <c r="Q6797" s="1606">
        <v>1082.1600000000001</v>
      </c>
      <c r="R6797" s="1606">
        <v>22725.360000000001</v>
      </c>
      <c r="S6797" s="1608"/>
    </row>
    <row r="6798" spans="2:19" s="1609" customFormat="1" ht="11.25" customHeight="1" outlineLevel="1">
      <c r="B6798" s="1602">
        <v>27824</v>
      </c>
      <c r="C6798" s="1603" t="s">
        <v>3771</v>
      </c>
      <c r="D6798" s="1603" t="s">
        <v>3968</v>
      </c>
      <c r="E6798" s="1603"/>
      <c r="F6798" s="1603"/>
      <c r="G6798" s="1603" t="s">
        <v>3734</v>
      </c>
      <c r="H6798" s="1604">
        <v>2</v>
      </c>
      <c r="I6798" s="1603"/>
      <c r="J6798" s="1603"/>
      <c r="K6798" s="1606">
        <v>1507</v>
      </c>
      <c r="L6798" s="1606">
        <v>854250</v>
      </c>
      <c r="M6798" s="1607"/>
      <c r="N6798" s="1606">
        <v>854250</v>
      </c>
      <c r="O6798" s="1606">
        <v>262846.32</v>
      </c>
      <c r="P6798" s="1606">
        <v>563241.6</v>
      </c>
      <c r="Q6798" s="1606">
        <v>28162.080000000002</v>
      </c>
      <c r="R6798" s="1606">
        <v>591403.68000000005</v>
      </c>
      <c r="S6798" s="1608"/>
    </row>
    <row r="6799" spans="2:19" s="1609" customFormat="1" ht="11.25" customHeight="1" outlineLevel="1">
      <c r="B6799" s="1602">
        <v>27825</v>
      </c>
      <c r="C6799" s="1603" t="s">
        <v>3771</v>
      </c>
      <c r="D6799" s="1603" t="s">
        <v>3967</v>
      </c>
      <c r="E6799" s="1603"/>
      <c r="F6799" s="1603"/>
      <c r="G6799" s="1603" t="s">
        <v>3734</v>
      </c>
      <c r="H6799" s="1604">
        <v>2</v>
      </c>
      <c r="I6799" s="1603"/>
      <c r="J6799" s="1603"/>
      <c r="K6799" s="1606">
        <v>3013</v>
      </c>
      <c r="L6799" s="1606">
        <v>2344292</v>
      </c>
      <c r="M6799" s="1607"/>
      <c r="N6799" s="1606">
        <v>2344292</v>
      </c>
      <c r="O6799" s="1606">
        <v>646701.56000000006</v>
      </c>
      <c r="P6799" s="1606">
        <v>1616752.8</v>
      </c>
      <c r="Q6799" s="1606">
        <v>80837.64</v>
      </c>
      <c r="R6799" s="1606">
        <v>1697590.44</v>
      </c>
      <c r="S6799" s="1608" t="str">
        <f>Мероприятия_и_источники!B417</f>
        <v xml:space="preserve">Реконструкция существующего самотечного канализационного коллектора Д=600 мм. (сталь) по ул. Прончищева,  протяженностью  130 п.м.,  на эстакаде высотой до 2 м. с заменой на стальной трубопровод диаметром 820х16мм.
Реконструкция существующего самотечного канализационного коллектора Д=800 мм. (ж/б) в районе мкр. Дубрава,   протяженностью  374 п.м.,  с заменой на трубопровод Корсис Про DN/OD 1000мм. 
Реконструкция 12 ж/б колодцев, диаметром 1,5м, глубина залегания до 3м
</v>
      </c>
    </row>
    <row r="6800" spans="2:19" s="1609" customFormat="1" ht="11.25" customHeight="1" outlineLevel="1">
      <c r="B6800" s="1602">
        <v>27826</v>
      </c>
      <c r="C6800" s="1603" t="s">
        <v>3771</v>
      </c>
      <c r="D6800" s="1603" t="s">
        <v>3966</v>
      </c>
      <c r="E6800" s="1603"/>
      <c r="F6800" s="1603"/>
      <c r="G6800" s="1603" t="s">
        <v>3734</v>
      </c>
      <c r="H6800" s="1604">
        <v>2</v>
      </c>
      <c r="I6800" s="1603"/>
      <c r="J6800" s="1603"/>
      <c r="K6800" s="1606">
        <v>2637</v>
      </c>
      <c r="L6800" s="1606">
        <v>73824</v>
      </c>
      <c r="M6800" s="1607"/>
      <c r="N6800" s="1606">
        <v>73824</v>
      </c>
      <c r="O6800" s="1606">
        <v>42817.919999999998</v>
      </c>
      <c r="P6800" s="1606">
        <v>29529.599999999999</v>
      </c>
      <c r="Q6800" s="1606">
        <v>1476.48</v>
      </c>
      <c r="R6800" s="1606">
        <v>31006.080000000002</v>
      </c>
      <c r="S6800" s="1608"/>
    </row>
    <row r="6801" spans="2:19" s="1609" customFormat="1" ht="11.25" customHeight="1" outlineLevel="1">
      <c r="B6801" s="1602">
        <v>27827</v>
      </c>
      <c r="C6801" s="1603" t="s">
        <v>3771</v>
      </c>
      <c r="D6801" s="1603" t="s">
        <v>3965</v>
      </c>
      <c r="E6801" s="1603"/>
      <c r="F6801" s="1603"/>
      <c r="G6801" s="1603" t="s">
        <v>3734</v>
      </c>
      <c r="H6801" s="1604">
        <v>2</v>
      </c>
      <c r="I6801" s="1603"/>
      <c r="J6801" s="1603"/>
      <c r="K6801" s="1606">
        <v>1507</v>
      </c>
      <c r="L6801" s="1606">
        <v>948414</v>
      </c>
      <c r="M6801" s="1607"/>
      <c r="N6801" s="1606">
        <v>948414</v>
      </c>
      <c r="O6801" s="1606">
        <v>261630.96</v>
      </c>
      <c r="P6801" s="1606">
        <v>654079.19999999995</v>
      </c>
      <c r="Q6801" s="1606">
        <v>32703.84</v>
      </c>
      <c r="R6801" s="1606">
        <v>686783.04</v>
      </c>
      <c r="S6801" s="1608"/>
    </row>
    <row r="6802" spans="2:19" s="1609" customFormat="1" ht="11.25" customHeight="1" outlineLevel="1">
      <c r="B6802" s="1602">
        <v>27828</v>
      </c>
      <c r="C6802" s="1603" t="s">
        <v>3771</v>
      </c>
      <c r="D6802" s="1603" t="s">
        <v>3964</v>
      </c>
      <c r="E6802" s="1603"/>
      <c r="F6802" s="1603"/>
      <c r="G6802" s="1603" t="s">
        <v>3734</v>
      </c>
      <c r="H6802" s="1604">
        <v>2</v>
      </c>
      <c r="I6802" s="1603"/>
      <c r="J6802" s="1603"/>
      <c r="K6802" s="1605">
        <v>753</v>
      </c>
      <c r="L6802" s="1606">
        <v>56649</v>
      </c>
      <c r="M6802" s="1607"/>
      <c r="N6802" s="1606">
        <v>56649</v>
      </c>
      <c r="O6802" s="1606">
        <v>17430.240000000002</v>
      </c>
      <c r="P6802" s="1606">
        <v>37351.199999999997</v>
      </c>
      <c r="Q6802" s="1606">
        <v>1867.56</v>
      </c>
      <c r="R6802" s="1606">
        <v>39218.76</v>
      </c>
      <c r="S6802" s="1608"/>
    </row>
    <row r="6803" spans="2:19" s="1609" customFormat="1" ht="11.25" customHeight="1" outlineLevel="1">
      <c r="B6803" s="1602">
        <v>27829</v>
      </c>
      <c r="C6803" s="1603" t="s">
        <v>3771</v>
      </c>
      <c r="D6803" s="1603" t="s">
        <v>3963</v>
      </c>
      <c r="E6803" s="1603"/>
      <c r="F6803" s="1603"/>
      <c r="G6803" s="1603" t="s">
        <v>3734</v>
      </c>
      <c r="H6803" s="1604">
        <v>2</v>
      </c>
      <c r="I6803" s="1603"/>
      <c r="J6803" s="1603"/>
      <c r="K6803" s="1605">
        <v>753</v>
      </c>
      <c r="L6803" s="1606">
        <v>130096</v>
      </c>
      <c r="M6803" s="1607"/>
      <c r="N6803" s="1606">
        <v>130096</v>
      </c>
      <c r="O6803" s="1606">
        <v>40028.800000000003</v>
      </c>
      <c r="P6803" s="1606">
        <v>85778.4</v>
      </c>
      <c r="Q6803" s="1606">
        <v>4288.8</v>
      </c>
      <c r="R6803" s="1606">
        <v>90067.199999999997</v>
      </c>
      <c r="S6803" s="1608"/>
    </row>
    <row r="6804" spans="2:19" s="1609" customFormat="1" ht="11.25" customHeight="1" outlineLevel="1">
      <c r="B6804" s="1602">
        <v>27830</v>
      </c>
      <c r="C6804" s="1603" t="s">
        <v>3771</v>
      </c>
      <c r="D6804" s="1603" t="s">
        <v>3962</v>
      </c>
      <c r="E6804" s="1603"/>
      <c r="F6804" s="1603"/>
      <c r="G6804" s="1603" t="s">
        <v>3734</v>
      </c>
      <c r="H6804" s="1604">
        <v>2</v>
      </c>
      <c r="I6804" s="1603"/>
      <c r="J6804" s="1603"/>
      <c r="K6804" s="1605">
        <v>753</v>
      </c>
      <c r="L6804" s="1606">
        <v>200003</v>
      </c>
      <c r="M6804" s="1607"/>
      <c r="N6804" s="1606">
        <v>200003</v>
      </c>
      <c r="O6804" s="1606">
        <v>61539.08</v>
      </c>
      <c r="P6804" s="1606">
        <v>131870.39999999999</v>
      </c>
      <c r="Q6804" s="1606">
        <v>6593.52</v>
      </c>
      <c r="R6804" s="1606">
        <v>138463.92000000001</v>
      </c>
      <c r="S6804" s="1608"/>
    </row>
    <row r="6805" spans="2:19" s="1609" customFormat="1" ht="11.25" customHeight="1" outlineLevel="1">
      <c r="B6805" s="1602">
        <v>27831</v>
      </c>
      <c r="C6805" s="1603" t="s">
        <v>3771</v>
      </c>
      <c r="D6805" s="1603" t="s">
        <v>3961</v>
      </c>
      <c r="E6805" s="1603"/>
      <c r="F6805" s="1603"/>
      <c r="G6805" s="1603" t="s">
        <v>3734</v>
      </c>
      <c r="H6805" s="1604">
        <v>2</v>
      </c>
      <c r="I6805" s="1603"/>
      <c r="J6805" s="1603"/>
      <c r="K6805" s="1605">
        <v>753</v>
      </c>
      <c r="L6805" s="1606">
        <v>104710</v>
      </c>
      <c r="M6805" s="1607"/>
      <c r="N6805" s="1606">
        <v>104710</v>
      </c>
      <c r="O6805" s="1606">
        <v>60731.08</v>
      </c>
      <c r="P6805" s="1606">
        <v>41884.800000000003</v>
      </c>
      <c r="Q6805" s="1606">
        <v>2094.12</v>
      </c>
      <c r="R6805" s="1606">
        <v>43978.92</v>
      </c>
      <c r="S6805" s="1608"/>
    </row>
    <row r="6806" spans="2:19" s="1609" customFormat="1" ht="11.25" customHeight="1" outlineLevel="1">
      <c r="B6806" s="1602">
        <v>27924</v>
      </c>
      <c r="C6806" s="1603" t="s">
        <v>3771</v>
      </c>
      <c r="D6806" s="1603" t="s">
        <v>3960</v>
      </c>
      <c r="E6806" s="1603"/>
      <c r="F6806" s="1603"/>
      <c r="G6806" s="1603" t="s">
        <v>3959</v>
      </c>
      <c r="H6806" s="1604">
        <v>2</v>
      </c>
      <c r="I6806" s="1603"/>
      <c r="J6806" s="1603"/>
      <c r="K6806" s="1605">
        <v>35</v>
      </c>
      <c r="L6806" s="1606">
        <v>2668</v>
      </c>
      <c r="M6806" s="1607"/>
      <c r="N6806" s="1606">
        <v>2668</v>
      </c>
      <c r="O6806" s="1606">
        <v>1266.8800000000001</v>
      </c>
      <c r="P6806" s="1606">
        <v>1334.4</v>
      </c>
      <c r="Q6806" s="1605">
        <v>66.72</v>
      </c>
      <c r="R6806" s="1606">
        <v>1401.12</v>
      </c>
      <c r="S6806" s="1608"/>
    </row>
    <row r="6807" spans="2:19" s="1609" customFormat="1" ht="11.25" customHeight="1" outlineLevel="1">
      <c r="B6807" s="1602">
        <v>27925</v>
      </c>
      <c r="C6807" s="1603" t="s">
        <v>3771</v>
      </c>
      <c r="D6807" s="1603" t="s">
        <v>3958</v>
      </c>
      <c r="E6807" s="1603"/>
      <c r="F6807" s="1603"/>
      <c r="G6807" s="1603" t="s">
        <v>3957</v>
      </c>
      <c r="H6807" s="1604">
        <v>2</v>
      </c>
      <c r="I6807" s="1603"/>
      <c r="J6807" s="1603"/>
      <c r="K6807" s="1605">
        <v>881</v>
      </c>
      <c r="L6807" s="1606">
        <v>74448</v>
      </c>
      <c r="M6807" s="1607"/>
      <c r="N6807" s="1606">
        <v>74448</v>
      </c>
      <c r="O6807" s="1606">
        <v>35362.800000000003</v>
      </c>
      <c r="P6807" s="1606">
        <v>37224</v>
      </c>
      <c r="Q6807" s="1606">
        <v>1861.2</v>
      </c>
      <c r="R6807" s="1606">
        <v>39085.199999999997</v>
      </c>
      <c r="S6807" s="1608"/>
    </row>
    <row r="6808" spans="2:19" s="1609" customFormat="1" ht="11.25" customHeight="1" outlineLevel="1">
      <c r="B6808" s="1602">
        <v>27926</v>
      </c>
      <c r="C6808" s="1603" t="s">
        <v>3771</v>
      </c>
      <c r="D6808" s="1603" t="s">
        <v>3956</v>
      </c>
      <c r="E6808" s="1603"/>
      <c r="F6808" s="1603"/>
      <c r="G6808" s="1603" t="s">
        <v>3955</v>
      </c>
      <c r="H6808" s="1604">
        <v>2</v>
      </c>
      <c r="I6808" s="1603"/>
      <c r="J6808" s="1603"/>
      <c r="K6808" s="1605">
        <v>446</v>
      </c>
      <c r="L6808" s="1606">
        <v>21079</v>
      </c>
      <c r="M6808" s="1607"/>
      <c r="N6808" s="1606">
        <v>21079</v>
      </c>
      <c r="O6808" s="1606">
        <v>10013.56</v>
      </c>
      <c r="P6808" s="1606">
        <v>10538.4</v>
      </c>
      <c r="Q6808" s="1605">
        <v>527.04</v>
      </c>
      <c r="R6808" s="1606">
        <v>11065.44</v>
      </c>
      <c r="S6808" s="1608"/>
    </row>
    <row r="6809" spans="2:19" s="1609" customFormat="1" ht="11.25" customHeight="1" outlineLevel="1">
      <c r="B6809" s="1602">
        <v>27927</v>
      </c>
      <c r="C6809" s="1603" t="s">
        <v>3771</v>
      </c>
      <c r="D6809" s="1603" t="s">
        <v>3954</v>
      </c>
      <c r="E6809" s="1603"/>
      <c r="F6809" s="1603"/>
      <c r="G6809" s="1603" t="s">
        <v>3953</v>
      </c>
      <c r="H6809" s="1604">
        <v>2</v>
      </c>
      <c r="I6809" s="1603"/>
      <c r="J6809" s="1603"/>
      <c r="K6809" s="1605">
        <v>398</v>
      </c>
      <c r="L6809" s="1606">
        <v>68553</v>
      </c>
      <c r="M6809" s="1607"/>
      <c r="N6809" s="1606">
        <v>68553</v>
      </c>
      <c r="O6809" s="1606">
        <v>32562.36</v>
      </c>
      <c r="P6809" s="1606">
        <v>34276.800000000003</v>
      </c>
      <c r="Q6809" s="1606">
        <v>1713.84</v>
      </c>
      <c r="R6809" s="1606">
        <v>35990.639999999999</v>
      </c>
      <c r="S6809" s="1608"/>
    </row>
    <row r="6810" spans="2:19" s="1609" customFormat="1" ht="11.25" customHeight="1" outlineLevel="1">
      <c r="B6810" s="1602">
        <v>28056</v>
      </c>
      <c r="C6810" s="1603" t="s">
        <v>3771</v>
      </c>
      <c r="D6810" s="1603" t="s">
        <v>3952</v>
      </c>
      <c r="E6810" s="1603"/>
      <c r="F6810" s="1603"/>
      <c r="G6810" s="1603" t="s">
        <v>3724</v>
      </c>
      <c r="H6810" s="1604">
        <v>2</v>
      </c>
      <c r="I6810" s="1603"/>
      <c r="J6810" s="1603"/>
      <c r="K6810" s="1605">
        <v>150</v>
      </c>
      <c r="L6810" s="1606">
        <v>4359556.6100000003</v>
      </c>
      <c r="M6810" s="1607"/>
      <c r="N6810" s="1606">
        <v>4359556.6100000003</v>
      </c>
      <c r="O6810" s="1606">
        <v>3117854.05</v>
      </c>
      <c r="P6810" s="1606">
        <v>1004903.56</v>
      </c>
      <c r="Q6810" s="1606">
        <v>236799</v>
      </c>
      <c r="R6810" s="1606">
        <v>1241702.56</v>
      </c>
      <c r="S6810" s="1608"/>
    </row>
    <row r="6811" spans="2:19" s="1609" customFormat="1" ht="11.25" customHeight="1" outlineLevel="1">
      <c r="B6811" s="1602">
        <v>28057</v>
      </c>
      <c r="C6811" s="1603" t="s">
        <v>3771</v>
      </c>
      <c r="D6811" s="1603" t="s">
        <v>3951</v>
      </c>
      <c r="E6811" s="1603"/>
      <c r="F6811" s="1603"/>
      <c r="G6811" s="1603" t="s">
        <v>3724</v>
      </c>
      <c r="H6811" s="1604">
        <v>2</v>
      </c>
      <c r="I6811" s="1603"/>
      <c r="J6811" s="1603"/>
      <c r="K6811" s="1605">
        <v>55</v>
      </c>
      <c r="L6811" s="1606">
        <v>27253</v>
      </c>
      <c r="M6811" s="1607"/>
      <c r="N6811" s="1606">
        <v>27253</v>
      </c>
      <c r="O6811" s="1606">
        <v>4361.08</v>
      </c>
      <c r="P6811" s="1606">
        <v>21801.599999999999</v>
      </c>
      <c r="Q6811" s="1606">
        <v>1090.32</v>
      </c>
      <c r="R6811" s="1606">
        <v>22891.919999999998</v>
      </c>
      <c r="S6811" s="1608"/>
    </row>
    <row r="6812" spans="2:19" s="1609" customFormat="1" ht="11.25" customHeight="1" outlineLevel="1">
      <c r="B6812" s="1602">
        <v>28058</v>
      </c>
      <c r="C6812" s="1603" t="s">
        <v>3771</v>
      </c>
      <c r="D6812" s="1603" t="s">
        <v>3950</v>
      </c>
      <c r="E6812" s="1603"/>
      <c r="F6812" s="1603"/>
      <c r="G6812" s="1603" t="s">
        <v>3724</v>
      </c>
      <c r="H6812" s="1604">
        <v>2</v>
      </c>
      <c r="I6812" s="1603"/>
      <c r="J6812" s="1603"/>
      <c r="K6812" s="1605">
        <v>132</v>
      </c>
      <c r="L6812" s="1606">
        <v>70839</v>
      </c>
      <c r="M6812" s="1607"/>
      <c r="N6812" s="1606">
        <v>70839</v>
      </c>
      <c r="O6812" s="1606">
        <v>33648.839999999997</v>
      </c>
      <c r="P6812" s="1606">
        <v>35419.199999999997</v>
      </c>
      <c r="Q6812" s="1606">
        <v>1770.96</v>
      </c>
      <c r="R6812" s="1606">
        <v>37190.160000000003</v>
      </c>
      <c r="S6812" s="1608"/>
    </row>
    <row r="6813" spans="2:19" s="1609" customFormat="1" ht="11.25" customHeight="1" outlineLevel="1">
      <c r="B6813" s="1602">
        <v>28059</v>
      </c>
      <c r="C6813" s="1603" t="s">
        <v>3771</v>
      </c>
      <c r="D6813" s="1603" t="s">
        <v>3949</v>
      </c>
      <c r="E6813" s="1603"/>
      <c r="F6813" s="1603"/>
      <c r="G6813" s="1603" t="s">
        <v>3724</v>
      </c>
      <c r="H6813" s="1604">
        <v>2</v>
      </c>
      <c r="I6813" s="1603"/>
      <c r="J6813" s="1603"/>
      <c r="K6813" s="1605">
        <v>150</v>
      </c>
      <c r="L6813" s="1606">
        <v>2994</v>
      </c>
      <c r="M6813" s="1607"/>
      <c r="N6813" s="1606">
        <v>2994</v>
      </c>
      <c r="O6813" s="1606">
        <v>1736.52</v>
      </c>
      <c r="P6813" s="1606">
        <v>1197.5999999999999</v>
      </c>
      <c r="Q6813" s="1605">
        <v>59.88</v>
      </c>
      <c r="R6813" s="1606">
        <v>1257.48</v>
      </c>
      <c r="S6813" s="1608"/>
    </row>
    <row r="6814" spans="2:19" s="1609" customFormat="1" ht="11.25" customHeight="1" outlineLevel="1">
      <c r="B6814" s="1602">
        <v>28060</v>
      </c>
      <c r="C6814" s="1603" t="s">
        <v>3771</v>
      </c>
      <c r="D6814" s="1603" t="s">
        <v>3948</v>
      </c>
      <c r="E6814" s="1603"/>
      <c r="F6814" s="1603"/>
      <c r="G6814" s="1603" t="s">
        <v>3724</v>
      </c>
      <c r="H6814" s="1604">
        <v>2</v>
      </c>
      <c r="I6814" s="1603"/>
      <c r="J6814" s="1603"/>
      <c r="K6814" s="1605">
        <v>49</v>
      </c>
      <c r="L6814" s="1606">
        <v>13392</v>
      </c>
      <c r="M6814" s="1607"/>
      <c r="N6814" s="1606">
        <v>13392</v>
      </c>
      <c r="O6814" s="1606">
        <v>6361.2</v>
      </c>
      <c r="P6814" s="1606">
        <v>6696</v>
      </c>
      <c r="Q6814" s="1605">
        <v>334.8</v>
      </c>
      <c r="R6814" s="1606">
        <v>7030.8</v>
      </c>
      <c r="S6814" s="1608"/>
    </row>
    <row r="6815" spans="2:19" s="1609" customFormat="1" ht="11.25" customHeight="1" outlineLevel="1">
      <c r="B6815" s="1602">
        <v>28061</v>
      </c>
      <c r="C6815" s="1603" t="s">
        <v>3771</v>
      </c>
      <c r="D6815" s="1603" t="s">
        <v>3947</v>
      </c>
      <c r="E6815" s="1603"/>
      <c r="F6815" s="1603"/>
      <c r="G6815" s="1603" t="s">
        <v>3724</v>
      </c>
      <c r="H6815" s="1604">
        <v>2</v>
      </c>
      <c r="I6815" s="1603"/>
      <c r="J6815" s="1603"/>
      <c r="K6815" s="1605">
        <v>49</v>
      </c>
      <c r="L6815" s="1606">
        <v>8652</v>
      </c>
      <c r="M6815" s="1607"/>
      <c r="N6815" s="1606">
        <v>8652</v>
      </c>
      <c r="O6815" s="1606">
        <v>4108.5600000000004</v>
      </c>
      <c r="P6815" s="1606">
        <v>4327.2</v>
      </c>
      <c r="Q6815" s="1605">
        <v>216.24</v>
      </c>
      <c r="R6815" s="1606">
        <v>4543.4399999999996</v>
      </c>
      <c r="S6815" s="1608"/>
    </row>
    <row r="6816" spans="2:19" s="1609" customFormat="1" ht="11.25" customHeight="1" outlineLevel="1">
      <c r="B6816" s="1602">
        <v>28062</v>
      </c>
      <c r="C6816" s="1603" t="s">
        <v>3771</v>
      </c>
      <c r="D6816" s="1603" t="s">
        <v>3946</v>
      </c>
      <c r="E6816" s="1603"/>
      <c r="F6816" s="1603"/>
      <c r="G6816" s="1603" t="s">
        <v>3724</v>
      </c>
      <c r="H6816" s="1604">
        <v>2</v>
      </c>
      <c r="I6816" s="1603"/>
      <c r="J6816" s="1603"/>
      <c r="K6816" s="1605">
        <v>49</v>
      </c>
      <c r="L6816" s="1606">
        <v>2159</v>
      </c>
      <c r="M6816" s="1607"/>
      <c r="N6816" s="1606">
        <v>2159</v>
      </c>
      <c r="O6816" s="1606">
        <v>1025</v>
      </c>
      <c r="P6816" s="1606">
        <v>1080</v>
      </c>
      <c r="Q6816" s="1605">
        <v>54</v>
      </c>
      <c r="R6816" s="1606">
        <v>1134</v>
      </c>
      <c r="S6816" s="1608"/>
    </row>
    <row r="6817" spans="2:19" s="1609" customFormat="1" ht="11.25" customHeight="1" outlineLevel="1">
      <c r="B6817" s="1602">
        <v>28063</v>
      </c>
      <c r="C6817" s="1603" t="s">
        <v>3771</v>
      </c>
      <c r="D6817" s="1603" t="s">
        <v>3945</v>
      </c>
      <c r="E6817" s="1603"/>
      <c r="F6817" s="1603"/>
      <c r="G6817" s="1603" t="s">
        <v>3724</v>
      </c>
      <c r="H6817" s="1604">
        <v>2</v>
      </c>
      <c r="I6817" s="1603"/>
      <c r="J6817" s="1603"/>
      <c r="K6817" s="1605">
        <v>49</v>
      </c>
      <c r="L6817" s="1606">
        <v>2200</v>
      </c>
      <c r="M6817" s="1607"/>
      <c r="N6817" s="1606">
        <v>2200</v>
      </c>
      <c r="O6817" s="1606">
        <v>1275.28</v>
      </c>
      <c r="P6817" s="1605">
        <v>880.8</v>
      </c>
      <c r="Q6817" s="1605">
        <v>43.92</v>
      </c>
      <c r="R6817" s="1605">
        <v>924.72</v>
      </c>
      <c r="S6817" s="1608"/>
    </row>
    <row r="6818" spans="2:19" s="1609" customFormat="1" ht="11.25" customHeight="1" outlineLevel="1">
      <c r="B6818" s="1602">
        <v>28064</v>
      </c>
      <c r="C6818" s="1603" t="s">
        <v>3771</v>
      </c>
      <c r="D6818" s="1603" t="s">
        <v>3944</v>
      </c>
      <c r="E6818" s="1603"/>
      <c r="F6818" s="1603"/>
      <c r="G6818" s="1603" t="s">
        <v>3724</v>
      </c>
      <c r="H6818" s="1604">
        <v>2</v>
      </c>
      <c r="I6818" s="1603"/>
      <c r="J6818" s="1603"/>
      <c r="K6818" s="1605">
        <v>49</v>
      </c>
      <c r="L6818" s="1606">
        <v>5866</v>
      </c>
      <c r="M6818" s="1607"/>
      <c r="N6818" s="1606">
        <v>5866</v>
      </c>
      <c r="O6818" s="1606">
        <v>2786.56</v>
      </c>
      <c r="P6818" s="1606">
        <v>2932.8</v>
      </c>
      <c r="Q6818" s="1605">
        <v>146.63999999999999</v>
      </c>
      <c r="R6818" s="1606">
        <v>3079.44</v>
      </c>
      <c r="S6818" s="1608"/>
    </row>
    <row r="6819" spans="2:19" s="1609" customFormat="1" ht="11.25" customHeight="1" outlineLevel="1">
      <c r="B6819" s="1602">
        <v>28065</v>
      </c>
      <c r="C6819" s="1603" t="s">
        <v>3771</v>
      </c>
      <c r="D6819" s="1603" t="s">
        <v>3943</v>
      </c>
      <c r="E6819" s="1603"/>
      <c r="F6819" s="1603"/>
      <c r="G6819" s="1603" t="s">
        <v>3724</v>
      </c>
      <c r="H6819" s="1604">
        <v>2</v>
      </c>
      <c r="I6819" s="1603"/>
      <c r="J6819" s="1603"/>
      <c r="K6819" s="1605">
        <v>49</v>
      </c>
      <c r="L6819" s="1605">
        <v>684</v>
      </c>
      <c r="M6819" s="1607"/>
      <c r="N6819" s="1605">
        <v>684</v>
      </c>
      <c r="O6819" s="1605">
        <v>323.76</v>
      </c>
      <c r="P6819" s="1605">
        <v>343.2</v>
      </c>
      <c r="Q6819" s="1605">
        <v>17.04</v>
      </c>
      <c r="R6819" s="1605">
        <v>360.24</v>
      </c>
      <c r="S6819" s="1608"/>
    </row>
    <row r="6820" spans="2:19" s="1609" customFormat="1" ht="11.25" customHeight="1" outlineLevel="1">
      <c r="B6820" s="1602">
        <v>28066</v>
      </c>
      <c r="C6820" s="1603" t="s">
        <v>3771</v>
      </c>
      <c r="D6820" s="1603" t="s">
        <v>3942</v>
      </c>
      <c r="E6820" s="1603"/>
      <c r="F6820" s="1603"/>
      <c r="G6820" s="1603" t="s">
        <v>3724</v>
      </c>
      <c r="H6820" s="1604">
        <v>2</v>
      </c>
      <c r="I6820" s="1603"/>
      <c r="J6820" s="1603"/>
      <c r="K6820" s="1605">
        <v>49</v>
      </c>
      <c r="L6820" s="1606">
        <v>1906</v>
      </c>
      <c r="M6820" s="1607"/>
      <c r="N6820" s="1606">
        <v>1906</v>
      </c>
      <c r="O6820" s="1605">
        <v>905.56</v>
      </c>
      <c r="P6820" s="1605">
        <v>952.8</v>
      </c>
      <c r="Q6820" s="1605">
        <v>47.64</v>
      </c>
      <c r="R6820" s="1606">
        <v>1000.44</v>
      </c>
      <c r="S6820" s="1608"/>
    </row>
    <row r="6821" spans="2:19" s="1609" customFormat="1" ht="11.25" customHeight="1" outlineLevel="1">
      <c r="B6821" s="1602">
        <v>28067</v>
      </c>
      <c r="C6821" s="1603" t="s">
        <v>3771</v>
      </c>
      <c r="D6821" s="1603" t="s">
        <v>3941</v>
      </c>
      <c r="E6821" s="1603"/>
      <c r="F6821" s="1603"/>
      <c r="G6821" s="1603" t="s">
        <v>3724</v>
      </c>
      <c r="H6821" s="1604">
        <v>2</v>
      </c>
      <c r="I6821" s="1603"/>
      <c r="J6821" s="1603"/>
      <c r="K6821" s="1605">
        <v>49</v>
      </c>
      <c r="L6821" s="1606">
        <v>7136</v>
      </c>
      <c r="M6821" s="1607"/>
      <c r="N6821" s="1606">
        <v>7136</v>
      </c>
      <c r="O6821" s="1606">
        <v>3388.88</v>
      </c>
      <c r="P6821" s="1606">
        <v>3568.8</v>
      </c>
      <c r="Q6821" s="1605">
        <v>178.32</v>
      </c>
      <c r="R6821" s="1606">
        <v>3747.12</v>
      </c>
      <c r="S6821" s="1608"/>
    </row>
    <row r="6822" spans="2:19" s="1609" customFormat="1" ht="11.25" customHeight="1" outlineLevel="1">
      <c r="B6822" s="1602">
        <v>28068</v>
      </c>
      <c r="C6822" s="1603" t="s">
        <v>3771</v>
      </c>
      <c r="D6822" s="1603" t="s">
        <v>3940</v>
      </c>
      <c r="E6822" s="1603"/>
      <c r="F6822" s="1603"/>
      <c r="G6822" s="1603" t="s">
        <v>3724</v>
      </c>
      <c r="H6822" s="1604">
        <v>2</v>
      </c>
      <c r="I6822" s="1603"/>
      <c r="J6822" s="1603"/>
      <c r="K6822" s="1605">
        <v>49</v>
      </c>
      <c r="L6822" s="1606">
        <v>5523</v>
      </c>
      <c r="M6822" s="1607"/>
      <c r="N6822" s="1606">
        <v>5523</v>
      </c>
      <c r="O6822" s="1606">
        <v>2622.6</v>
      </c>
      <c r="P6822" s="1606">
        <v>2762.4</v>
      </c>
      <c r="Q6822" s="1605">
        <v>138</v>
      </c>
      <c r="R6822" s="1606">
        <v>2900.4</v>
      </c>
      <c r="S6822" s="1608"/>
    </row>
    <row r="6823" spans="2:19" s="1609" customFormat="1" ht="11.25" customHeight="1" outlineLevel="1">
      <c r="B6823" s="1602">
        <v>28069</v>
      </c>
      <c r="C6823" s="1603" t="s">
        <v>3771</v>
      </c>
      <c r="D6823" s="1603" t="s">
        <v>3939</v>
      </c>
      <c r="E6823" s="1603"/>
      <c r="F6823" s="1603"/>
      <c r="G6823" s="1603" t="s">
        <v>3929</v>
      </c>
      <c r="H6823" s="1604">
        <v>2</v>
      </c>
      <c r="I6823" s="1603"/>
      <c r="J6823" s="1603"/>
      <c r="K6823" s="1605">
        <v>49</v>
      </c>
      <c r="L6823" s="1606">
        <v>4497</v>
      </c>
      <c r="M6823" s="1607"/>
      <c r="N6823" s="1606">
        <v>4497</v>
      </c>
      <c r="O6823" s="1606">
        <v>2135.7600000000002</v>
      </c>
      <c r="P6823" s="1606">
        <v>2248.8000000000002</v>
      </c>
      <c r="Q6823" s="1605">
        <v>112.44</v>
      </c>
      <c r="R6823" s="1606">
        <v>2361.2399999999998</v>
      </c>
      <c r="S6823" s="1608"/>
    </row>
    <row r="6824" spans="2:19" s="1609" customFormat="1" ht="11.25" customHeight="1" outlineLevel="1">
      <c r="B6824" s="1602">
        <v>28070</v>
      </c>
      <c r="C6824" s="1603" t="s">
        <v>3771</v>
      </c>
      <c r="D6824" s="1603" t="s">
        <v>3938</v>
      </c>
      <c r="E6824" s="1603"/>
      <c r="F6824" s="1603"/>
      <c r="G6824" s="1603" t="s">
        <v>3724</v>
      </c>
      <c r="H6824" s="1604">
        <v>2</v>
      </c>
      <c r="I6824" s="1603"/>
      <c r="J6824" s="1603"/>
      <c r="K6824" s="1605">
        <v>49</v>
      </c>
      <c r="L6824" s="1606">
        <v>14224</v>
      </c>
      <c r="M6824" s="1607"/>
      <c r="N6824" s="1606">
        <v>14224</v>
      </c>
      <c r="O6824" s="1606">
        <v>6757.12</v>
      </c>
      <c r="P6824" s="1606">
        <v>7111.2</v>
      </c>
      <c r="Q6824" s="1605">
        <v>355.68</v>
      </c>
      <c r="R6824" s="1606">
        <v>7466.88</v>
      </c>
      <c r="S6824" s="1608"/>
    </row>
    <row r="6825" spans="2:19" s="1609" customFormat="1" ht="11.25" customHeight="1" outlineLevel="1">
      <c r="B6825" s="1602">
        <v>28071</v>
      </c>
      <c r="C6825" s="1603" t="s">
        <v>3771</v>
      </c>
      <c r="D6825" s="1603" t="s">
        <v>3937</v>
      </c>
      <c r="E6825" s="1603"/>
      <c r="F6825" s="1603"/>
      <c r="G6825" s="1603" t="s">
        <v>3724</v>
      </c>
      <c r="H6825" s="1604">
        <v>2</v>
      </c>
      <c r="I6825" s="1603"/>
      <c r="J6825" s="1603"/>
      <c r="K6825" s="1605">
        <v>49</v>
      </c>
      <c r="L6825" s="1606">
        <v>4986</v>
      </c>
      <c r="M6825" s="1607"/>
      <c r="N6825" s="1606">
        <v>4986</v>
      </c>
      <c r="O6825" s="1606">
        <v>2367.7800000000002</v>
      </c>
      <c r="P6825" s="1606">
        <v>2493.6</v>
      </c>
      <c r="Q6825" s="1605">
        <v>124.62</v>
      </c>
      <c r="R6825" s="1606">
        <v>2618.2199999999998</v>
      </c>
      <c r="S6825" s="1608"/>
    </row>
    <row r="6826" spans="2:19" s="1609" customFormat="1" ht="11.25" customHeight="1" outlineLevel="1">
      <c r="B6826" s="1602">
        <v>28072</v>
      </c>
      <c r="C6826" s="1603" t="s">
        <v>3771</v>
      </c>
      <c r="D6826" s="1603" t="s">
        <v>3936</v>
      </c>
      <c r="E6826" s="1603"/>
      <c r="F6826" s="1603"/>
      <c r="G6826" s="1603" t="s">
        <v>3724</v>
      </c>
      <c r="H6826" s="1604">
        <v>2</v>
      </c>
      <c r="I6826" s="1603"/>
      <c r="J6826" s="1603"/>
      <c r="K6826" s="1605">
        <v>49</v>
      </c>
      <c r="L6826" s="1606">
        <v>1466</v>
      </c>
      <c r="M6826" s="1607"/>
      <c r="N6826" s="1606">
        <v>1466</v>
      </c>
      <c r="O6826" s="1605">
        <v>697.28</v>
      </c>
      <c r="P6826" s="1605">
        <v>732</v>
      </c>
      <c r="Q6826" s="1605">
        <v>36.72</v>
      </c>
      <c r="R6826" s="1605">
        <v>768.72</v>
      </c>
      <c r="S6826" s="1608"/>
    </row>
    <row r="6827" spans="2:19" s="1609" customFormat="1" ht="11.25" customHeight="1" outlineLevel="1">
      <c r="B6827" s="1602">
        <v>28073</v>
      </c>
      <c r="C6827" s="1603" t="s">
        <v>3771</v>
      </c>
      <c r="D6827" s="1603" t="s">
        <v>3935</v>
      </c>
      <c r="E6827" s="1603"/>
      <c r="F6827" s="1603"/>
      <c r="G6827" s="1603" t="s">
        <v>3724</v>
      </c>
      <c r="H6827" s="1604">
        <v>2</v>
      </c>
      <c r="I6827" s="1603"/>
      <c r="J6827" s="1603"/>
      <c r="K6827" s="1605">
        <v>464</v>
      </c>
      <c r="L6827" s="1606">
        <v>61734</v>
      </c>
      <c r="M6827" s="1607"/>
      <c r="N6827" s="1606">
        <v>61734</v>
      </c>
      <c r="O6827" s="1606">
        <v>29324.22</v>
      </c>
      <c r="P6827" s="1606">
        <v>30866.400000000001</v>
      </c>
      <c r="Q6827" s="1606">
        <v>1543.38</v>
      </c>
      <c r="R6827" s="1606">
        <v>32409.78</v>
      </c>
      <c r="S6827" s="1608"/>
    </row>
    <row r="6828" spans="2:19" s="1609" customFormat="1" ht="11.25" customHeight="1" outlineLevel="1">
      <c r="B6828" s="1602">
        <v>28074</v>
      </c>
      <c r="C6828" s="1603" t="s">
        <v>3771</v>
      </c>
      <c r="D6828" s="1603" t="s">
        <v>3934</v>
      </c>
      <c r="E6828" s="1603"/>
      <c r="F6828" s="1603"/>
      <c r="G6828" s="1603" t="s">
        <v>3724</v>
      </c>
      <c r="H6828" s="1604">
        <v>2</v>
      </c>
      <c r="I6828" s="1603"/>
      <c r="J6828" s="1603"/>
      <c r="K6828" s="1605">
        <v>165</v>
      </c>
      <c r="L6828" s="1606">
        <v>6105</v>
      </c>
      <c r="M6828" s="1607"/>
      <c r="N6828" s="1606">
        <v>6105</v>
      </c>
      <c r="O6828" s="1606">
        <v>1878.84</v>
      </c>
      <c r="P6828" s="1606">
        <v>4024.8</v>
      </c>
      <c r="Q6828" s="1605">
        <v>201.36</v>
      </c>
      <c r="R6828" s="1606">
        <v>4226.16</v>
      </c>
      <c r="S6828" s="1608"/>
    </row>
    <row r="6829" spans="2:19" s="1609" customFormat="1" ht="11.25" customHeight="1" outlineLevel="1">
      <c r="B6829" s="1602">
        <v>28075</v>
      </c>
      <c r="C6829" s="1603" t="s">
        <v>3771</v>
      </c>
      <c r="D6829" s="1603" t="s">
        <v>3933</v>
      </c>
      <c r="E6829" s="1603"/>
      <c r="F6829" s="1603"/>
      <c r="G6829" s="1603" t="s">
        <v>3724</v>
      </c>
      <c r="H6829" s="1604">
        <v>2</v>
      </c>
      <c r="I6829" s="1603"/>
      <c r="J6829" s="1603"/>
      <c r="K6829" s="1605">
        <v>173</v>
      </c>
      <c r="L6829" s="1606">
        <v>13455</v>
      </c>
      <c r="M6829" s="1607"/>
      <c r="N6829" s="1606">
        <v>13455</v>
      </c>
      <c r="O6829" s="1606">
        <v>4140.96</v>
      </c>
      <c r="P6829" s="1606">
        <v>8870.4</v>
      </c>
      <c r="Q6829" s="1605">
        <v>443.64</v>
      </c>
      <c r="R6829" s="1606">
        <v>9314.0400000000009</v>
      </c>
      <c r="S6829" s="1608"/>
    </row>
    <row r="6830" spans="2:19" s="1609" customFormat="1" ht="11.25" customHeight="1" outlineLevel="1">
      <c r="B6830" s="1602">
        <v>28076</v>
      </c>
      <c r="C6830" s="1603" t="s">
        <v>3771</v>
      </c>
      <c r="D6830" s="1603" t="s">
        <v>3932</v>
      </c>
      <c r="E6830" s="1603"/>
      <c r="F6830" s="1603"/>
      <c r="G6830" s="1603" t="s">
        <v>3724</v>
      </c>
      <c r="H6830" s="1604">
        <v>2</v>
      </c>
      <c r="I6830" s="1603"/>
      <c r="J6830" s="1603"/>
      <c r="K6830" s="1605">
        <v>429</v>
      </c>
      <c r="L6830" s="1606">
        <v>40371</v>
      </c>
      <c r="M6830" s="1607"/>
      <c r="N6830" s="1606">
        <v>40371</v>
      </c>
      <c r="O6830" s="1606">
        <v>23414.04</v>
      </c>
      <c r="P6830" s="1606">
        <v>16149.6</v>
      </c>
      <c r="Q6830" s="1605">
        <v>807.36</v>
      </c>
      <c r="R6830" s="1606">
        <v>16956.96</v>
      </c>
      <c r="S6830" s="1608"/>
    </row>
    <row r="6831" spans="2:19" s="1609" customFormat="1" ht="11.25" customHeight="1" outlineLevel="1">
      <c r="B6831" s="1602">
        <v>28077</v>
      </c>
      <c r="C6831" s="1603" t="s">
        <v>3771</v>
      </c>
      <c r="D6831" s="1603" t="s">
        <v>3931</v>
      </c>
      <c r="E6831" s="1603"/>
      <c r="F6831" s="1603"/>
      <c r="G6831" s="1603" t="s">
        <v>3724</v>
      </c>
      <c r="H6831" s="1604">
        <v>2</v>
      </c>
      <c r="I6831" s="1603"/>
      <c r="J6831" s="1603"/>
      <c r="K6831" s="1605">
        <v>172</v>
      </c>
      <c r="L6831" s="1606">
        <v>3018</v>
      </c>
      <c r="M6831" s="1607"/>
      <c r="N6831" s="1606">
        <v>3018</v>
      </c>
      <c r="O6831" s="1605">
        <v>928.92</v>
      </c>
      <c r="P6831" s="1606">
        <v>1989.6</v>
      </c>
      <c r="Q6831" s="1605">
        <v>99.48</v>
      </c>
      <c r="R6831" s="1606">
        <v>2089.08</v>
      </c>
      <c r="S6831" s="1608"/>
    </row>
    <row r="6832" spans="2:19" s="1609" customFormat="1" ht="11.25" customHeight="1" outlineLevel="1">
      <c r="B6832" s="1602">
        <v>28078</v>
      </c>
      <c r="C6832" s="1603" t="s">
        <v>3771</v>
      </c>
      <c r="D6832" s="1603" t="s">
        <v>3930</v>
      </c>
      <c r="E6832" s="1603"/>
      <c r="F6832" s="1603"/>
      <c r="G6832" s="1603" t="s">
        <v>3929</v>
      </c>
      <c r="H6832" s="1604">
        <v>2</v>
      </c>
      <c r="I6832" s="1603"/>
      <c r="J6832" s="1603"/>
      <c r="K6832" s="1605">
        <v>83</v>
      </c>
      <c r="L6832" s="1605">
        <v>825</v>
      </c>
      <c r="M6832" s="1607"/>
      <c r="N6832" s="1605">
        <v>825</v>
      </c>
      <c r="O6832" s="1605">
        <v>132</v>
      </c>
      <c r="P6832" s="1605">
        <v>660</v>
      </c>
      <c r="Q6832" s="1605">
        <v>33</v>
      </c>
      <c r="R6832" s="1605">
        <v>693</v>
      </c>
      <c r="S6832" s="1608"/>
    </row>
    <row r="6833" spans="2:19" s="1609" customFormat="1" ht="11.25" customHeight="1" outlineLevel="1">
      <c r="B6833" s="1602">
        <v>28079</v>
      </c>
      <c r="C6833" s="1603" t="s">
        <v>3771</v>
      </c>
      <c r="D6833" s="1603" t="s">
        <v>3928</v>
      </c>
      <c r="E6833" s="1603"/>
      <c r="F6833" s="1603"/>
      <c r="G6833" s="1603" t="s">
        <v>3724</v>
      </c>
      <c r="H6833" s="1604">
        <v>2</v>
      </c>
      <c r="I6833" s="1603"/>
      <c r="J6833" s="1603"/>
      <c r="K6833" s="1605">
        <v>99</v>
      </c>
      <c r="L6833" s="1606">
        <v>18810</v>
      </c>
      <c r="M6833" s="1607"/>
      <c r="N6833" s="1606">
        <v>18810</v>
      </c>
      <c r="O6833" s="1606">
        <v>8934.18</v>
      </c>
      <c r="P6833" s="1606">
        <v>9405.6</v>
      </c>
      <c r="Q6833" s="1605">
        <v>470.22</v>
      </c>
      <c r="R6833" s="1606">
        <v>9875.82</v>
      </c>
      <c r="S6833" s="1608"/>
    </row>
    <row r="6834" spans="2:19" s="1609" customFormat="1" ht="11.25" customHeight="1" outlineLevel="1">
      <c r="B6834" s="1602">
        <v>28080</v>
      </c>
      <c r="C6834" s="1603" t="s">
        <v>3771</v>
      </c>
      <c r="D6834" s="1603" t="s">
        <v>3927</v>
      </c>
      <c r="E6834" s="1603"/>
      <c r="F6834" s="1603"/>
      <c r="G6834" s="1603" t="s">
        <v>3724</v>
      </c>
      <c r="H6834" s="1604">
        <v>2</v>
      </c>
      <c r="I6834" s="1603"/>
      <c r="J6834" s="1603"/>
      <c r="K6834" s="1605">
        <v>235</v>
      </c>
      <c r="L6834" s="1606">
        <v>53561</v>
      </c>
      <c r="M6834" s="1607"/>
      <c r="N6834" s="1606">
        <v>53561</v>
      </c>
      <c r="O6834" s="1606">
        <v>25440.44</v>
      </c>
      <c r="P6834" s="1606">
        <v>26781.599999999999</v>
      </c>
      <c r="Q6834" s="1606">
        <v>1338.96</v>
      </c>
      <c r="R6834" s="1606">
        <v>28120.560000000001</v>
      </c>
      <c r="S6834" s="1608"/>
    </row>
    <row r="6835" spans="2:19" s="1609" customFormat="1" ht="11.25" customHeight="1" outlineLevel="1">
      <c r="B6835" s="1602">
        <v>28701</v>
      </c>
      <c r="C6835" s="1603" t="s">
        <v>3771</v>
      </c>
      <c r="D6835" s="1603" t="s">
        <v>3926</v>
      </c>
      <c r="E6835" s="1603"/>
      <c r="F6835" s="1603"/>
      <c r="G6835" s="1603" t="s">
        <v>3925</v>
      </c>
      <c r="H6835" s="1604">
        <v>2</v>
      </c>
      <c r="I6835" s="1603"/>
      <c r="J6835" s="1603"/>
      <c r="K6835" s="1606">
        <v>2968</v>
      </c>
      <c r="L6835" s="1606">
        <v>70035</v>
      </c>
      <c r="M6835" s="1607"/>
      <c r="N6835" s="1606">
        <v>70035</v>
      </c>
      <c r="O6835" s="1606">
        <v>40619.160000000003</v>
      </c>
      <c r="P6835" s="1606">
        <v>28015.200000000001</v>
      </c>
      <c r="Q6835" s="1606">
        <v>1400.64</v>
      </c>
      <c r="R6835" s="1606">
        <v>29415.84</v>
      </c>
      <c r="S6835" s="1608"/>
    </row>
    <row r="6836" spans="2:19" s="1609" customFormat="1" ht="11.25" customHeight="1" outlineLevel="1">
      <c r="B6836" s="1602">
        <v>28702</v>
      </c>
      <c r="C6836" s="1603" t="s">
        <v>3771</v>
      </c>
      <c r="D6836" s="1603" t="s">
        <v>3924</v>
      </c>
      <c r="E6836" s="1603"/>
      <c r="F6836" s="1603"/>
      <c r="G6836" s="1603" t="s">
        <v>3923</v>
      </c>
      <c r="H6836" s="1604">
        <v>2</v>
      </c>
      <c r="I6836" s="1603"/>
      <c r="J6836" s="1603"/>
      <c r="K6836" s="1606">
        <v>2887</v>
      </c>
      <c r="L6836" s="1606">
        <v>89510</v>
      </c>
      <c r="M6836" s="1607"/>
      <c r="N6836" s="1606">
        <v>89510</v>
      </c>
      <c r="O6836" s="1606">
        <v>42517.04</v>
      </c>
      <c r="P6836" s="1606">
        <v>44755.199999999997</v>
      </c>
      <c r="Q6836" s="1606">
        <v>2237.7600000000002</v>
      </c>
      <c r="R6836" s="1606">
        <v>46992.959999999999</v>
      </c>
      <c r="S6836" s="1608"/>
    </row>
    <row r="6837" spans="2:19" s="1609" customFormat="1" ht="11.25" customHeight="1" outlineLevel="1">
      <c r="B6837" s="1602">
        <v>28703</v>
      </c>
      <c r="C6837" s="1603" t="s">
        <v>3771</v>
      </c>
      <c r="D6837" s="1603" t="s">
        <v>3922</v>
      </c>
      <c r="E6837" s="1603"/>
      <c r="F6837" s="1603"/>
      <c r="G6837" s="1603" t="s">
        <v>3920</v>
      </c>
      <c r="H6837" s="1604">
        <v>2</v>
      </c>
      <c r="I6837" s="1603"/>
      <c r="J6837" s="1603"/>
      <c r="K6837" s="1606">
        <v>2364</v>
      </c>
      <c r="L6837" s="1606">
        <v>244888</v>
      </c>
      <c r="M6837" s="1607"/>
      <c r="N6837" s="1606">
        <v>244888</v>
      </c>
      <c r="O6837" s="1606">
        <v>116322.52</v>
      </c>
      <c r="P6837" s="1606">
        <v>122443.2</v>
      </c>
      <c r="Q6837" s="1606">
        <v>6122.28</v>
      </c>
      <c r="R6837" s="1606">
        <v>128565.48</v>
      </c>
      <c r="S6837" s="1608"/>
    </row>
    <row r="6838" spans="2:19" s="1609" customFormat="1" ht="11.25" customHeight="1" outlineLevel="1">
      <c r="B6838" s="1602">
        <v>28704</v>
      </c>
      <c r="C6838" s="1603" t="s">
        <v>3771</v>
      </c>
      <c r="D6838" s="1603" t="s">
        <v>3921</v>
      </c>
      <c r="E6838" s="1603"/>
      <c r="F6838" s="1603"/>
      <c r="G6838" s="1603" t="s">
        <v>3920</v>
      </c>
      <c r="H6838" s="1604">
        <v>2</v>
      </c>
      <c r="I6838" s="1603"/>
      <c r="J6838" s="1603"/>
      <c r="K6838" s="1606">
        <v>3938</v>
      </c>
      <c r="L6838" s="1606">
        <v>252826</v>
      </c>
      <c r="M6838" s="1607"/>
      <c r="N6838" s="1606">
        <v>252826</v>
      </c>
      <c r="O6838" s="1606">
        <v>120092.56</v>
      </c>
      <c r="P6838" s="1606">
        <v>126412.8</v>
      </c>
      <c r="Q6838" s="1606">
        <v>6320.64</v>
      </c>
      <c r="R6838" s="1606">
        <v>132733.44</v>
      </c>
      <c r="S6838" s="1608"/>
    </row>
    <row r="6839" spans="2:19" s="1609" customFormat="1" ht="11.25" customHeight="1" outlineLevel="1">
      <c r="B6839" s="1602">
        <v>28705</v>
      </c>
      <c r="C6839" s="1603" t="s">
        <v>3771</v>
      </c>
      <c r="D6839" s="1603" t="s">
        <v>3919</v>
      </c>
      <c r="E6839" s="1603"/>
      <c r="F6839" s="1603"/>
      <c r="G6839" s="1603" t="s">
        <v>3918</v>
      </c>
      <c r="H6839" s="1604">
        <v>2</v>
      </c>
      <c r="I6839" s="1603"/>
      <c r="J6839" s="1603"/>
      <c r="K6839" s="1606">
        <v>1571</v>
      </c>
      <c r="L6839" s="1606">
        <v>48690</v>
      </c>
      <c r="M6839" s="1607"/>
      <c r="N6839" s="1606">
        <v>48690</v>
      </c>
      <c r="O6839" s="1606">
        <v>23127.18</v>
      </c>
      <c r="P6839" s="1606">
        <v>24345.599999999999</v>
      </c>
      <c r="Q6839" s="1606">
        <v>1217.22</v>
      </c>
      <c r="R6839" s="1606">
        <v>25562.82</v>
      </c>
      <c r="S6839" s="1608"/>
    </row>
    <row r="6840" spans="2:19" s="1609" customFormat="1" ht="11.25" customHeight="1" outlineLevel="1">
      <c r="B6840" s="1602">
        <v>28739</v>
      </c>
      <c r="C6840" s="1603" t="s">
        <v>3771</v>
      </c>
      <c r="D6840" s="1603" t="s">
        <v>3917</v>
      </c>
      <c r="E6840" s="1603"/>
      <c r="F6840" s="1603"/>
      <c r="G6840" s="1603" t="s">
        <v>3915</v>
      </c>
      <c r="H6840" s="1604">
        <v>2</v>
      </c>
      <c r="I6840" s="1603"/>
      <c r="J6840" s="1603"/>
      <c r="K6840" s="1605">
        <v>671</v>
      </c>
      <c r="L6840" s="1606">
        <v>16099</v>
      </c>
      <c r="M6840" s="1607"/>
      <c r="N6840" s="1606">
        <v>16099</v>
      </c>
      <c r="O6840" s="1606">
        <v>9337.84</v>
      </c>
      <c r="P6840" s="1606">
        <v>6439.2</v>
      </c>
      <c r="Q6840" s="1605">
        <v>321.95999999999998</v>
      </c>
      <c r="R6840" s="1606">
        <v>6761.16</v>
      </c>
      <c r="S6840" s="1608"/>
    </row>
    <row r="6841" spans="2:19" s="1609" customFormat="1" ht="11.25" customHeight="1" outlineLevel="1">
      <c r="B6841" s="1602">
        <v>28740</v>
      </c>
      <c r="C6841" s="1603" t="s">
        <v>3771</v>
      </c>
      <c r="D6841" s="1603" t="s">
        <v>3916</v>
      </c>
      <c r="E6841" s="1603"/>
      <c r="F6841" s="1603"/>
      <c r="G6841" s="1603" t="s">
        <v>3915</v>
      </c>
      <c r="H6841" s="1604">
        <v>2</v>
      </c>
      <c r="I6841" s="1603"/>
      <c r="J6841" s="1603"/>
      <c r="K6841" s="1605">
        <v>608</v>
      </c>
      <c r="L6841" s="1606">
        <v>63958</v>
      </c>
      <c r="M6841" s="1607"/>
      <c r="N6841" s="1606">
        <v>63958</v>
      </c>
      <c r="O6841" s="1606">
        <v>30379.119999999999</v>
      </c>
      <c r="P6841" s="1606">
        <v>31980</v>
      </c>
      <c r="Q6841" s="1606">
        <v>1598.88</v>
      </c>
      <c r="R6841" s="1606">
        <v>33578.879999999997</v>
      </c>
      <c r="S6841" s="1608"/>
    </row>
    <row r="6842" spans="2:19" s="1609" customFormat="1" ht="11.25" customHeight="1" outlineLevel="1">
      <c r="B6842" s="1602">
        <v>28741</v>
      </c>
      <c r="C6842" s="1603" t="s">
        <v>3771</v>
      </c>
      <c r="D6842" s="1603" t="s">
        <v>3914</v>
      </c>
      <c r="E6842" s="1603"/>
      <c r="F6842" s="1603"/>
      <c r="G6842" s="1603" t="s">
        <v>3913</v>
      </c>
      <c r="H6842" s="1604">
        <v>2</v>
      </c>
      <c r="I6842" s="1603"/>
      <c r="J6842" s="1603"/>
      <c r="K6842" s="1605">
        <v>416</v>
      </c>
      <c r="L6842" s="1606">
        <v>15059</v>
      </c>
      <c r="M6842" s="1607"/>
      <c r="N6842" s="1606">
        <v>15059</v>
      </c>
      <c r="O6842" s="1606">
        <v>7153.64</v>
      </c>
      <c r="P6842" s="1606">
        <v>7528.8</v>
      </c>
      <c r="Q6842" s="1605">
        <v>376.56</v>
      </c>
      <c r="R6842" s="1606">
        <v>7905.36</v>
      </c>
      <c r="S6842" s="1608"/>
    </row>
    <row r="6843" spans="2:19" s="1609" customFormat="1" ht="11.25" customHeight="1" outlineLevel="1">
      <c r="B6843" s="1602">
        <v>28742</v>
      </c>
      <c r="C6843" s="1603" t="s">
        <v>3771</v>
      </c>
      <c r="D6843" s="1603" t="s">
        <v>3912</v>
      </c>
      <c r="E6843" s="1603"/>
      <c r="F6843" s="1603"/>
      <c r="G6843" s="1603" t="s">
        <v>3911</v>
      </c>
      <c r="H6843" s="1604">
        <v>2</v>
      </c>
      <c r="I6843" s="1603"/>
      <c r="J6843" s="1603"/>
      <c r="K6843" s="1605">
        <v>378</v>
      </c>
      <c r="L6843" s="1606">
        <v>26555</v>
      </c>
      <c r="M6843" s="1607"/>
      <c r="N6843" s="1606">
        <v>26555</v>
      </c>
      <c r="O6843" s="1606">
        <v>12614.24</v>
      </c>
      <c r="P6843" s="1606">
        <v>13276.8</v>
      </c>
      <c r="Q6843" s="1605">
        <v>663.96</v>
      </c>
      <c r="R6843" s="1606">
        <v>13940.76</v>
      </c>
      <c r="S6843" s="1608"/>
    </row>
    <row r="6844" spans="2:19" s="1609" customFormat="1" ht="11.25" customHeight="1" outlineLevel="1">
      <c r="B6844" s="1602">
        <v>28743</v>
      </c>
      <c r="C6844" s="1603" t="s">
        <v>3771</v>
      </c>
      <c r="D6844" s="1603" t="s">
        <v>3910</v>
      </c>
      <c r="E6844" s="1603"/>
      <c r="F6844" s="1603"/>
      <c r="G6844" s="1603" t="s">
        <v>3909</v>
      </c>
      <c r="H6844" s="1604">
        <v>2</v>
      </c>
      <c r="I6844" s="1603"/>
      <c r="J6844" s="1603"/>
      <c r="K6844" s="1605">
        <v>583</v>
      </c>
      <c r="L6844" s="1606">
        <v>27113</v>
      </c>
      <c r="M6844" s="1607"/>
      <c r="N6844" s="1606">
        <v>27113</v>
      </c>
      <c r="O6844" s="1606">
        <v>12877.64</v>
      </c>
      <c r="P6844" s="1606">
        <v>13557.6</v>
      </c>
      <c r="Q6844" s="1605">
        <v>677.76</v>
      </c>
      <c r="R6844" s="1606">
        <v>14235.36</v>
      </c>
      <c r="S6844" s="1608"/>
    </row>
    <row r="6845" spans="2:19" s="1609" customFormat="1" ht="11.25" customHeight="1" outlineLevel="1">
      <c r="B6845" s="1602">
        <v>28744</v>
      </c>
      <c r="C6845" s="1603" t="s">
        <v>3771</v>
      </c>
      <c r="D6845" s="1603" t="s">
        <v>3908</v>
      </c>
      <c r="E6845" s="1603"/>
      <c r="F6845" s="1603"/>
      <c r="G6845" s="1603" t="s">
        <v>3907</v>
      </c>
      <c r="H6845" s="1604">
        <v>2</v>
      </c>
      <c r="I6845" s="1603"/>
      <c r="J6845" s="1603"/>
      <c r="K6845" s="1605">
        <v>416</v>
      </c>
      <c r="L6845" s="1606">
        <v>21923</v>
      </c>
      <c r="M6845" s="1607"/>
      <c r="N6845" s="1606">
        <v>21923</v>
      </c>
      <c r="O6845" s="1606">
        <v>10414.040000000001</v>
      </c>
      <c r="P6845" s="1606">
        <v>10960.8</v>
      </c>
      <c r="Q6845" s="1605">
        <v>548.16</v>
      </c>
      <c r="R6845" s="1606">
        <v>11508.96</v>
      </c>
      <c r="S6845" s="1608"/>
    </row>
    <row r="6846" spans="2:19" s="1609" customFormat="1" ht="11.25" customHeight="1" outlineLevel="1">
      <c r="B6846" s="1602">
        <v>28745</v>
      </c>
      <c r="C6846" s="1603" t="s">
        <v>3771</v>
      </c>
      <c r="D6846" s="1603" t="s">
        <v>3906</v>
      </c>
      <c r="E6846" s="1603"/>
      <c r="F6846" s="1603"/>
      <c r="G6846" s="1603" t="s">
        <v>3905</v>
      </c>
      <c r="H6846" s="1604">
        <v>2</v>
      </c>
      <c r="I6846" s="1603"/>
      <c r="J6846" s="1603"/>
      <c r="K6846" s="1605">
        <v>305</v>
      </c>
      <c r="L6846" s="1606">
        <v>21534</v>
      </c>
      <c r="M6846" s="1607"/>
      <c r="N6846" s="1606">
        <v>21534</v>
      </c>
      <c r="O6846" s="1606">
        <v>10229.219999999999</v>
      </c>
      <c r="P6846" s="1606">
        <v>10766.4</v>
      </c>
      <c r="Q6846" s="1605">
        <v>538.38</v>
      </c>
      <c r="R6846" s="1606">
        <v>11304.78</v>
      </c>
      <c r="S6846" s="1608"/>
    </row>
    <row r="6847" spans="2:19" s="1609" customFormat="1" ht="11.25" customHeight="1" outlineLevel="1">
      <c r="B6847" s="1602">
        <v>28746</v>
      </c>
      <c r="C6847" s="1603" t="s">
        <v>3771</v>
      </c>
      <c r="D6847" s="1603" t="s">
        <v>3904</v>
      </c>
      <c r="E6847" s="1603"/>
      <c r="F6847" s="1603"/>
      <c r="G6847" s="1603" t="s">
        <v>3903</v>
      </c>
      <c r="H6847" s="1604">
        <v>2</v>
      </c>
      <c r="I6847" s="1603"/>
      <c r="J6847" s="1603"/>
      <c r="K6847" s="1605">
        <v>533</v>
      </c>
      <c r="L6847" s="1606">
        <v>22082</v>
      </c>
      <c r="M6847" s="1607"/>
      <c r="N6847" s="1606">
        <v>22082</v>
      </c>
      <c r="O6847" s="1606">
        <v>12808.28</v>
      </c>
      <c r="P6847" s="1606">
        <v>8832</v>
      </c>
      <c r="Q6847" s="1605">
        <v>441.72</v>
      </c>
      <c r="R6847" s="1606">
        <v>9273.7199999999993</v>
      </c>
      <c r="S6847" s="1608"/>
    </row>
    <row r="6848" spans="2:19" s="1609" customFormat="1" ht="11.25" customHeight="1" outlineLevel="1">
      <c r="B6848" s="1602">
        <v>28747</v>
      </c>
      <c r="C6848" s="1603" t="s">
        <v>3771</v>
      </c>
      <c r="D6848" s="1603" t="s">
        <v>3902</v>
      </c>
      <c r="E6848" s="1603"/>
      <c r="F6848" s="1603"/>
      <c r="G6848" s="1603" t="s">
        <v>3901</v>
      </c>
      <c r="H6848" s="1604">
        <v>2</v>
      </c>
      <c r="I6848" s="1603"/>
      <c r="J6848" s="1603"/>
      <c r="K6848" s="1605">
        <v>456</v>
      </c>
      <c r="L6848" s="1606">
        <v>42555</v>
      </c>
      <c r="M6848" s="1607"/>
      <c r="N6848" s="1606">
        <v>42555</v>
      </c>
      <c r="O6848" s="1606">
        <v>24680.76</v>
      </c>
      <c r="P6848" s="1606">
        <v>17023.2</v>
      </c>
      <c r="Q6848" s="1605">
        <v>851.04</v>
      </c>
      <c r="R6848" s="1606">
        <v>17874.240000000002</v>
      </c>
      <c r="S6848" s="1608"/>
    </row>
    <row r="6849" spans="2:19" s="1609" customFormat="1" ht="11.25" customHeight="1" outlineLevel="1">
      <c r="B6849" s="1602">
        <v>28748</v>
      </c>
      <c r="C6849" s="1603" t="s">
        <v>3771</v>
      </c>
      <c r="D6849" s="1603" t="s">
        <v>3900</v>
      </c>
      <c r="E6849" s="1603"/>
      <c r="F6849" s="1603"/>
      <c r="G6849" s="1603" t="s">
        <v>3899</v>
      </c>
      <c r="H6849" s="1604">
        <v>2</v>
      </c>
      <c r="I6849" s="1603"/>
      <c r="J6849" s="1603"/>
      <c r="K6849" s="1605">
        <v>361</v>
      </c>
      <c r="L6849" s="1606">
        <v>19309</v>
      </c>
      <c r="M6849" s="1607"/>
      <c r="N6849" s="1606">
        <v>19309</v>
      </c>
      <c r="O6849" s="1606">
        <v>9171.16</v>
      </c>
      <c r="P6849" s="1606">
        <v>9655.2000000000007</v>
      </c>
      <c r="Q6849" s="1605">
        <v>482.64</v>
      </c>
      <c r="R6849" s="1606">
        <v>10137.84</v>
      </c>
      <c r="S6849" s="1608"/>
    </row>
    <row r="6850" spans="2:19" s="1609" customFormat="1" ht="11.25" customHeight="1" outlineLevel="1">
      <c r="B6850" s="1602">
        <v>28749</v>
      </c>
      <c r="C6850" s="1603" t="s">
        <v>3771</v>
      </c>
      <c r="D6850" s="1603" t="s">
        <v>3898</v>
      </c>
      <c r="E6850" s="1603"/>
      <c r="F6850" s="1603"/>
      <c r="G6850" s="1603" t="s">
        <v>3897</v>
      </c>
      <c r="H6850" s="1604">
        <v>2</v>
      </c>
      <c r="I6850" s="1603"/>
      <c r="J6850" s="1603"/>
      <c r="K6850" s="1605">
        <v>416</v>
      </c>
      <c r="L6850" s="1606">
        <v>11398</v>
      </c>
      <c r="M6850" s="1607"/>
      <c r="N6850" s="1606">
        <v>11398</v>
      </c>
      <c r="O6850" s="1606">
        <v>5413.12</v>
      </c>
      <c r="P6850" s="1606">
        <v>5700</v>
      </c>
      <c r="Q6850" s="1605">
        <v>284.88</v>
      </c>
      <c r="R6850" s="1606">
        <v>5984.88</v>
      </c>
      <c r="S6850" s="1608"/>
    </row>
    <row r="6851" spans="2:19" s="1609" customFormat="1" ht="11.25" customHeight="1" outlineLevel="1">
      <c r="B6851" s="1602">
        <v>28750</v>
      </c>
      <c r="C6851" s="1603" t="s">
        <v>3771</v>
      </c>
      <c r="D6851" s="1603" t="s">
        <v>3896</v>
      </c>
      <c r="E6851" s="1603"/>
      <c r="F6851" s="1603"/>
      <c r="G6851" s="1603" t="s">
        <v>3895</v>
      </c>
      <c r="H6851" s="1604">
        <v>2</v>
      </c>
      <c r="I6851" s="1603"/>
      <c r="J6851" s="1603"/>
      <c r="K6851" s="1605">
        <v>338</v>
      </c>
      <c r="L6851" s="1606">
        <v>41323</v>
      </c>
      <c r="M6851" s="1607"/>
      <c r="N6851" s="1606">
        <v>41323</v>
      </c>
      <c r="O6851" s="1606">
        <v>19628.32</v>
      </c>
      <c r="P6851" s="1606">
        <v>20661.599999999999</v>
      </c>
      <c r="Q6851" s="1606">
        <v>1033.08</v>
      </c>
      <c r="R6851" s="1606">
        <v>21694.68</v>
      </c>
      <c r="S6851" s="1608"/>
    </row>
    <row r="6852" spans="2:19" s="1609" customFormat="1" ht="11.25" customHeight="1" outlineLevel="1">
      <c r="B6852" s="1602">
        <v>28751</v>
      </c>
      <c r="C6852" s="1603" t="s">
        <v>3771</v>
      </c>
      <c r="D6852" s="1603" t="s">
        <v>3894</v>
      </c>
      <c r="E6852" s="1603"/>
      <c r="F6852" s="1603"/>
      <c r="G6852" s="1603" t="s">
        <v>3849</v>
      </c>
      <c r="H6852" s="1604">
        <v>2</v>
      </c>
      <c r="I6852" s="1603"/>
      <c r="J6852" s="1603"/>
      <c r="K6852" s="1605">
        <v>415</v>
      </c>
      <c r="L6852" s="1606">
        <v>32489</v>
      </c>
      <c r="M6852" s="1607"/>
      <c r="N6852" s="1606">
        <v>32489</v>
      </c>
      <c r="O6852" s="1606">
        <v>15431.24</v>
      </c>
      <c r="P6852" s="1606">
        <v>16245.6</v>
      </c>
      <c r="Q6852" s="1605">
        <v>812.16</v>
      </c>
      <c r="R6852" s="1606">
        <v>17057.759999999998</v>
      </c>
      <c r="S6852" s="1608"/>
    </row>
    <row r="6853" spans="2:19" s="1609" customFormat="1" ht="11.25" customHeight="1" outlineLevel="1">
      <c r="B6853" s="1602">
        <v>28752</v>
      </c>
      <c r="C6853" s="1603" t="s">
        <v>3771</v>
      </c>
      <c r="D6853" s="1603" t="s">
        <v>3893</v>
      </c>
      <c r="E6853" s="1603"/>
      <c r="F6853" s="1603"/>
      <c r="G6853" s="1603" t="s">
        <v>3892</v>
      </c>
      <c r="H6853" s="1604">
        <v>2</v>
      </c>
      <c r="I6853" s="1603"/>
      <c r="J6853" s="1603"/>
      <c r="K6853" s="1605">
        <v>469</v>
      </c>
      <c r="L6853" s="1606">
        <v>4687</v>
      </c>
      <c r="M6853" s="1607"/>
      <c r="N6853" s="1606">
        <v>4687</v>
      </c>
      <c r="O6853" s="1606">
        <v>2718.88</v>
      </c>
      <c r="P6853" s="1606">
        <v>1874.4</v>
      </c>
      <c r="Q6853" s="1605">
        <v>93.72</v>
      </c>
      <c r="R6853" s="1606">
        <v>1968.12</v>
      </c>
      <c r="S6853" s="1608"/>
    </row>
    <row r="6854" spans="2:19" s="1609" customFormat="1" ht="11.25" customHeight="1" outlineLevel="1">
      <c r="B6854" s="1602">
        <v>28753</v>
      </c>
      <c r="C6854" s="1603" t="s">
        <v>3771</v>
      </c>
      <c r="D6854" s="1603" t="s">
        <v>3891</v>
      </c>
      <c r="E6854" s="1603"/>
      <c r="F6854" s="1603"/>
      <c r="G6854" s="1603" t="s">
        <v>3890</v>
      </c>
      <c r="H6854" s="1604">
        <v>2</v>
      </c>
      <c r="I6854" s="1603"/>
      <c r="J6854" s="1603"/>
      <c r="K6854" s="1605">
        <v>77</v>
      </c>
      <c r="L6854" s="1606">
        <v>1808</v>
      </c>
      <c r="M6854" s="1607"/>
      <c r="N6854" s="1606">
        <v>1808</v>
      </c>
      <c r="O6854" s="1605">
        <v>858.08</v>
      </c>
      <c r="P6854" s="1605">
        <v>904.8</v>
      </c>
      <c r="Q6854" s="1605">
        <v>45.12</v>
      </c>
      <c r="R6854" s="1605">
        <v>949.92</v>
      </c>
      <c r="S6854" s="1608"/>
    </row>
    <row r="6855" spans="2:19" s="1609" customFormat="1" ht="11.25" customHeight="1" outlineLevel="1">
      <c r="B6855" s="1602">
        <v>28754</v>
      </c>
      <c r="C6855" s="1603" t="s">
        <v>3771</v>
      </c>
      <c r="D6855" s="1603" t="s">
        <v>3889</v>
      </c>
      <c r="E6855" s="1603"/>
      <c r="F6855" s="1603"/>
      <c r="G6855" s="1603" t="s">
        <v>3888</v>
      </c>
      <c r="H6855" s="1604">
        <v>2</v>
      </c>
      <c r="I6855" s="1603"/>
      <c r="J6855" s="1603"/>
      <c r="K6855" s="1605">
        <v>338</v>
      </c>
      <c r="L6855" s="1606">
        <v>12227</v>
      </c>
      <c r="M6855" s="1607"/>
      <c r="N6855" s="1606">
        <v>12227</v>
      </c>
      <c r="O6855" s="1606">
        <v>5808.44</v>
      </c>
      <c r="P6855" s="1606">
        <v>6112.8</v>
      </c>
      <c r="Q6855" s="1605">
        <v>305.76</v>
      </c>
      <c r="R6855" s="1606">
        <v>6418.56</v>
      </c>
      <c r="S6855" s="1608"/>
    </row>
    <row r="6856" spans="2:19" s="1609" customFormat="1" ht="11.25" customHeight="1" outlineLevel="1">
      <c r="B6856" s="1602">
        <v>28755</v>
      </c>
      <c r="C6856" s="1603" t="s">
        <v>3771</v>
      </c>
      <c r="D6856" s="1603" t="s">
        <v>3887</v>
      </c>
      <c r="E6856" s="1603"/>
      <c r="F6856" s="1603"/>
      <c r="G6856" s="1603" t="s">
        <v>3886</v>
      </c>
      <c r="H6856" s="1604">
        <v>2</v>
      </c>
      <c r="I6856" s="1603"/>
      <c r="J6856" s="1603"/>
      <c r="K6856" s="1605">
        <v>338</v>
      </c>
      <c r="L6856" s="1606">
        <v>15039</v>
      </c>
      <c r="M6856" s="1607"/>
      <c r="N6856" s="1606">
        <v>15039</v>
      </c>
      <c r="O6856" s="1606">
        <v>7143.84</v>
      </c>
      <c r="P6856" s="1606">
        <v>7519.2</v>
      </c>
      <c r="Q6856" s="1605">
        <v>375.96</v>
      </c>
      <c r="R6856" s="1606">
        <v>7895.16</v>
      </c>
      <c r="S6856" s="1608"/>
    </row>
    <row r="6857" spans="2:19" s="1609" customFormat="1" ht="11.25" customHeight="1" outlineLevel="1">
      <c r="B6857" s="1602">
        <v>28756</v>
      </c>
      <c r="C6857" s="1603" t="s">
        <v>3771</v>
      </c>
      <c r="D6857" s="1603" t="s">
        <v>3885</v>
      </c>
      <c r="E6857" s="1603"/>
      <c r="F6857" s="1603"/>
      <c r="G6857" s="1603" t="s">
        <v>3884</v>
      </c>
      <c r="H6857" s="1604">
        <v>2</v>
      </c>
      <c r="I6857" s="1603"/>
      <c r="J6857" s="1603"/>
      <c r="K6857" s="1605">
        <v>339</v>
      </c>
      <c r="L6857" s="1606">
        <v>15648</v>
      </c>
      <c r="M6857" s="1607"/>
      <c r="N6857" s="1606">
        <v>15648</v>
      </c>
      <c r="O6857" s="1606">
        <v>7432.8</v>
      </c>
      <c r="P6857" s="1606">
        <v>7824</v>
      </c>
      <c r="Q6857" s="1605">
        <v>391.2</v>
      </c>
      <c r="R6857" s="1606">
        <v>8215.2000000000007</v>
      </c>
      <c r="S6857" s="1608"/>
    </row>
    <row r="6858" spans="2:19" s="1609" customFormat="1" ht="11.25" customHeight="1" outlineLevel="1">
      <c r="B6858" s="1602">
        <v>28757</v>
      </c>
      <c r="C6858" s="1603" t="s">
        <v>3771</v>
      </c>
      <c r="D6858" s="1603" t="s">
        <v>3883</v>
      </c>
      <c r="E6858" s="1603"/>
      <c r="F6858" s="1603"/>
      <c r="G6858" s="1603" t="s">
        <v>3882</v>
      </c>
      <c r="H6858" s="1604">
        <v>2</v>
      </c>
      <c r="I6858" s="1603"/>
      <c r="J6858" s="1603"/>
      <c r="K6858" s="1605">
        <v>339</v>
      </c>
      <c r="L6858" s="1606">
        <v>14869</v>
      </c>
      <c r="M6858" s="1607"/>
      <c r="N6858" s="1606">
        <v>14869</v>
      </c>
      <c r="O6858" s="1606">
        <v>7062.16</v>
      </c>
      <c r="P6858" s="1606">
        <v>7435.2</v>
      </c>
      <c r="Q6858" s="1605">
        <v>371.64</v>
      </c>
      <c r="R6858" s="1606">
        <v>7806.84</v>
      </c>
      <c r="S6858" s="1608"/>
    </row>
    <row r="6859" spans="2:19" s="1609" customFormat="1" ht="11.25" customHeight="1" outlineLevel="1">
      <c r="B6859" s="1602">
        <v>28758</v>
      </c>
      <c r="C6859" s="1603" t="s">
        <v>3771</v>
      </c>
      <c r="D6859" s="1603" t="s">
        <v>3881</v>
      </c>
      <c r="E6859" s="1603"/>
      <c r="F6859" s="1603"/>
      <c r="G6859" s="1603" t="s">
        <v>3880</v>
      </c>
      <c r="H6859" s="1604">
        <v>2</v>
      </c>
      <c r="I6859" s="1603"/>
      <c r="J6859" s="1603"/>
      <c r="K6859" s="1605">
        <v>339</v>
      </c>
      <c r="L6859" s="1606">
        <v>14361</v>
      </c>
      <c r="M6859" s="1607"/>
      <c r="N6859" s="1606">
        <v>14361</v>
      </c>
      <c r="O6859" s="1606">
        <v>6821.16</v>
      </c>
      <c r="P6859" s="1606">
        <v>7180.8</v>
      </c>
      <c r="Q6859" s="1605">
        <v>359.04</v>
      </c>
      <c r="R6859" s="1606">
        <v>7539.84</v>
      </c>
      <c r="S6859" s="1608"/>
    </row>
    <row r="6860" spans="2:19" s="1609" customFormat="1" ht="11.25" customHeight="1" outlineLevel="1">
      <c r="B6860" s="1602">
        <v>28759</v>
      </c>
      <c r="C6860" s="1603" t="s">
        <v>3771</v>
      </c>
      <c r="D6860" s="1603" t="s">
        <v>3879</v>
      </c>
      <c r="E6860" s="1603"/>
      <c r="F6860" s="1603"/>
      <c r="G6860" s="1603" t="s">
        <v>3878</v>
      </c>
      <c r="H6860" s="1604">
        <v>2</v>
      </c>
      <c r="I6860" s="1603"/>
      <c r="J6860" s="1603"/>
      <c r="K6860" s="1605">
        <v>378</v>
      </c>
      <c r="L6860" s="1606">
        <v>10024</v>
      </c>
      <c r="M6860" s="1607"/>
      <c r="N6860" s="1606">
        <v>10024</v>
      </c>
      <c r="O6860" s="1606">
        <v>4762.12</v>
      </c>
      <c r="P6860" s="1606">
        <v>5011.2</v>
      </c>
      <c r="Q6860" s="1605">
        <v>250.68</v>
      </c>
      <c r="R6860" s="1606">
        <v>5261.88</v>
      </c>
      <c r="S6860" s="1608"/>
    </row>
    <row r="6861" spans="2:19" s="1609" customFormat="1" ht="11.25" customHeight="1" outlineLevel="1">
      <c r="B6861" s="1602">
        <v>28760</v>
      </c>
      <c r="C6861" s="1603" t="s">
        <v>3771</v>
      </c>
      <c r="D6861" s="1603" t="s">
        <v>3877</v>
      </c>
      <c r="E6861" s="1603"/>
      <c r="F6861" s="1603"/>
      <c r="G6861" s="1603" t="s">
        <v>3876</v>
      </c>
      <c r="H6861" s="1604">
        <v>2</v>
      </c>
      <c r="I6861" s="1603"/>
      <c r="J6861" s="1603"/>
      <c r="K6861" s="1605">
        <v>459</v>
      </c>
      <c r="L6861" s="1606">
        <v>26668</v>
      </c>
      <c r="M6861" s="1607"/>
      <c r="N6861" s="1606">
        <v>26668</v>
      </c>
      <c r="O6861" s="1606">
        <v>12666.88</v>
      </c>
      <c r="P6861" s="1606">
        <v>13334.4</v>
      </c>
      <c r="Q6861" s="1605">
        <v>666.72</v>
      </c>
      <c r="R6861" s="1606">
        <v>14001.12</v>
      </c>
      <c r="S6861" s="1608"/>
    </row>
    <row r="6862" spans="2:19" s="1609" customFormat="1" ht="11.25" customHeight="1" outlineLevel="1">
      <c r="B6862" s="1602">
        <v>28761</v>
      </c>
      <c r="C6862" s="1603" t="s">
        <v>3771</v>
      </c>
      <c r="D6862" s="1603" t="s">
        <v>3875</v>
      </c>
      <c r="E6862" s="1603"/>
      <c r="F6862" s="1603"/>
      <c r="G6862" s="1603" t="s">
        <v>3874</v>
      </c>
      <c r="H6862" s="1604">
        <v>2</v>
      </c>
      <c r="I6862" s="1603"/>
      <c r="J6862" s="1603"/>
      <c r="K6862" s="1605">
        <v>339</v>
      </c>
      <c r="L6862" s="1606">
        <v>18731</v>
      </c>
      <c r="M6862" s="1607"/>
      <c r="N6862" s="1606">
        <v>18731</v>
      </c>
      <c r="O6862" s="1606">
        <v>8897.84</v>
      </c>
      <c r="P6862" s="1606">
        <v>9364.7999999999993</v>
      </c>
      <c r="Q6862" s="1605">
        <v>468.36</v>
      </c>
      <c r="R6862" s="1606">
        <v>9833.16</v>
      </c>
      <c r="S6862" s="1608"/>
    </row>
    <row r="6863" spans="2:19" s="1609" customFormat="1" ht="11.25" customHeight="1" outlineLevel="1">
      <c r="B6863" s="1602">
        <v>28762</v>
      </c>
      <c r="C6863" s="1603" t="s">
        <v>3771</v>
      </c>
      <c r="D6863" s="1603" t="s">
        <v>3873</v>
      </c>
      <c r="E6863" s="1603"/>
      <c r="F6863" s="1603"/>
      <c r="G6863" s="1603" t="s">
        <v>3872</v>
      </c>
      <c r="H6863" s="1604">
        <v>2</v>
      </c>
      <c r="I6863" s="1603"/>
      <c r="J6863" s="1603"/>
      <c r="K6863" s="1605">
        <v>378</v>
      </c>
      <c r="L6863" s="1606">
        <v>6204</v>
      </c>
      <c r="M6863" s="1607"/>
      <c r="N6863" s="1606">
        <v>6204</v>
      </c>
      <c r="O6863" s="1606">
        <v>2945.76</v>
      </c>
      <c r="P6863" s="1606">
        <v>3103.2</v>
      </c>
      <c r="Q6863" s="1605">
        <v>155.04</v>
      </c>
      <c r="R6863" s="1606">
        <v>3258.24</v>
      </c>
      <c r="S6863" s="1608"/>
    </row>
    <row r="6864" spans="2:19" s="1609" customFormat="1" ht="11.25" customHeight="1" outlineLevel="1">
      <c r="B6864" s="1602">
        <v>28763</v>
      </c>
      <c r="C6864" s="1603" t="s">
        <v>3771</v>
      </c>
      <c r="D6864" s="1603" t="s">
        <v>3871</v>
      </c>
      <c r="E6864" s="1603"/>
      <c r="F6864" s="1603"/>
      <c r="G6864" s="1603" t="s">
        <v>3870</v>
      </c>
      <c r="H6864" s="1604">
        <v>2</v>
      </c>
      <c r="I6864" s="1603"/>
      <c r="J6864" s="1603"/>
      <c r="K6864" s="1605">
        <v>430</v>
      </c>
      <c r="L6864" s="1606">
        <v>13417</v>
      </c>
      <c r="M6864" s="1607"/>
      <c r="N6864" s="1606">
        <v>13417</v>
      </c>
      <c r="O6864" s="1606">
        <v>6373.6</v>
      </c>
      <c r="P6864" s="1606">
        <v>6708</v>
      </c>
      <c r="Q6864" s="1605">
        <v>335.4</v>
      </c>
      <c r="R6864" s="1606">
        <v>7043.4</v>
      </c>
      <c r="S6864" s="1608"/>
    </row>
    <row r="6865" spans="2:19" s="1609" customFormat="1" ht="11.25" customHeight="1" outlineLevel="1">
      <c r="B6865" s="1602">
        <v>28764</v>
      </c>
      <c r="C6865" s="1603" t="s">
        <v>3771</v>
      </c>
      <c r="D6865" s="1603" t="s">
        <v>3869</v>
      </c>
      <c r="E6865" s="1603"/>
      <c r="F6865" s="1603"/>
      <c r="G6865" s="1603" t="s">
        <v>3868</v>
      </c>
      <c r="H6865" s="1604">
        <v>2</v>
      </c>
      <c r="I6865" s="1603"/>
      <c r="J6865" s="1603"/>
      <c r="K6865" s="1605">
        <v>460</v>
      </c>
      <c r="L6865" s="1606">
        <v>24461</v>
      </c>
      <c r="M6865" s="1607"/>
      <c r="N6865" s="1606">
        <v>24461</v>
      </c>
      <c r="O6865" s="1606">
        <v>11619.08</v>
      </c>
      <c r="P6865" s="1606">
        <v>12230.4</v>
      </c>
      <c r="Q6865" s="1605">
        <v>611.52</v>
      </c>
      <c r="R6865" s="1606">
        <v>12841.92</v>
      </c>
      <c r="S6865" s="1608"/>
    </row>
    <row r="6866" spans="2:19" s="1609" customFormat="1" ht="11.25" customHeight="1" outlineLevel="1">
      <c r="B6866" s="1602">
        <v>28765</v>
      </c>
      <c r="C6866" s="1603" t="s">
        <v>3771</v>
      </c>
      <c r="D6866" s="1603" t="s">
        <v>3867</v>
      </c>
      <c r="E6866" s="1603"/>
      <c r="F6866" s="1603"/>
      <c r="G6866" s="1603" t="s">
        <v>3865</v>
      </c>
      <c r="H6866" s="1604">
        <v>2</v>
      </c>
      <c r="I6866" s="1603"/>
      <c r="J6866" s="1603"/>
      <c r="K6866" s="1605">
        <v>335</v>
      </c>
      <c r="L6866" s="1606">
        <v>2042</v>
      </c>
      <c r="M6866" s="1607"/>
      <c r="N6866" s="1606">
        <v>2042</v>
      </c>
      <c r="O6866" s="1605">
        <v>970.88</v>
      </c>
      <c r="P6866" s="1606">
        <v>1020</v>
      </c>
      <c r="Q6866" s="1605">
        <v>51.12</v>
      </c>
      <c r="R6866" s="1606">
        <v>1071.1199999999999</v>
      </c>
      <c r="S6866" s="1608"/>
    </row>
    <row r="6867" spans="2:19" s="1609" customFormat="1" ht="11.25" customHeight="1" outlineLevel="1">
      <c r="B6867" s="1602">
        <v>28766</v>
      </c>
      <c r="C6867" s="1603" t="s">
        <v>3771</v>
      </c>
      <c r="D6867" s="1603" t="s">
        <v>3866</v>
      </c>
      <c r="E6867" s="1603"/>
      <c r="F6867" s="1603"/>
      <c r="G6867" s="1603" t="s">
        <v>3865</v>
      </c>
      <c r="H6867" s="1604">
        <v>2</v>
      </c>
      <c r="I6867" s="1603"/>
      <c r="J6867" s="1603"/>
      <c r="K6867" s="1605">
        <v>378</v>
      </c>
      <c r="L6867" s="1606">
        <v>9268</v>
      </c>
      <c r="M6867" s="1607"/>
      <c r="N6867" s="1606">
        <v>9268</v>
      </c>
      <c r="O6867" s="1606">
        <v>4401.88</v>
      </c>
      <c r="P6867" s="1606">
        <v>4634.3999999999996</v>
      </c>
      <c r="Q6867" s="1605">
        <v>231.72</v>
      </c>
      <c r="R6867" s="1606">
        <v>4866.12</v>
      </c>
      <c r="S6867" s="1608"/>
    </row>
    <row r="6868" spans="2:19" s="1609" customFormat="1" ht="11.25" customHeight="1" outlineLevel="1">
      <c r="B6868" s="1602">
        <v>28767</v>
      </c>
      <c r="C6868" s="1603" t="s">
        <v>3771</v>
      </c>
      <c r="D6868" s="1603" t="s">
        <v>3864</v>
      </c>
      <c r="E6868" s="1603"/>
      <c r="F6868" s="1603"/>
      <c r="G6868" s="1603" t="s">
        <v>3863</v>
      </c>
      <c r="H6868" s="1604">
        <v>2</v>
      </c>
      <c r="I6868" s="1603"/>
      <c r="J6868" s="1603"/>
      <c r="K6868" s="1605">
        <v>346</v>
      </c>
      <c r="L6868" s="1606">
        <v>19420</v>
      </c>
      <c r="M6868" s="1607"/>
      <c r="N6868" s="1606">
        <v>19420</v>
      </c>
      <c r="O6868" s="1606">
        <v>9224.08</v>
      </c>
      <c r="P6868" s="1606">
        <v>9710.4</v>
      </c>
      <c r="Q6868" s="1605">
        <v>485.52</v>
      </c>
      <c r="R6868" s="1606">
        <v>10195.92</v>
      </c>
      <c r="S6868" s="1608"/>
    </row>
    <row r="6869" spans="2:19" s="1609" customFormat="1" ht="11.25" customHeight="1" outlineLevel="1">
      <c r="B6869" s="1602">
        <v>28768</v>
      </c>
      <c r="C6869" s="1603" t="s">
        <v>3771</v>
      </c>
      <c r="D6869" s="1603" t="s">
        <v>3862</v>
      </c>
      <c r="E6869" s="1603"/>
      <c r="F6869" s="1603"/>
      <c r="G6869" s="1603" t="s">
        <v>3861</v>
      </c>
      <c r="H6869" s="1604">
        <v>2</v>
      </c>
      <c r="I6869" s="1603"/>
      <c r="J6869" s="1603"/>
      <c r="K6869" s="1605">
        <v>341</v>
      </c>
      <c r="L6869" s="1606">
        <v>11907</v>
      </c>
      <c r="M6869" s="1607"/>
      <c r="N6869" s="1606">
        <v>11907</v>
      </c>
      <c r="O6869" s="1606">
        <v>5655</v>
      </c>
      <c r="P6869" s="1606">
        <v>5954.4</v>
      </c>
      <c r="Q6869" s="1605">
        <v>297.60000000000002</v>
      </c>
      <c r="R6869" s="1606">
        <v>6252</v>
      </c>
      <c r="S6869" s="1608"/>
    </row>
    <row r="6870" spans="2:19" s="1609" customFormat="1" ht="11.25" customHeight="1" outlineLevel="1">
      <c r="B6870" s="1602">
        <v>28769</v>
      </c>
      <c r="C6870" s="1603" t="s">
        <v>3771</v>
      </c>
      <c r="D6870" s="1603" t="s">
        <v>3860</v>
      </c>
      <c r="E6870" s="1603"/>
      <c r="F6870" s="1603"/>
      <c r="G6870" s="1603" t="s">
        <v>3859</v>
      </c>
      <c r="H6870" s="1604">
        <v>2</v>
      </c>
      <c r="I6870" s="1603"/>
      <c r="J6870" s="1603"/>
      <c r="K6870" s="1605">
        <v>459</v>
      </c>
      <c r="L6870" s="1606">
        <v>21978</v>
      </c>
      <c r="M6870" s="1607"/>
      <c r="N6870" s="1606">
        <v>21978</v>
      </c>
      <c r="O6870" s="1606">
        <v>10438.98</v>
      </c>
      <c r="P6870" s="1606">
        <v>10989.6</v>
      </c>
      <c r="Q6870" s="1605">
        <v>549.41999999999996</v>
      </c>
      <c r="R6870" s="1606">
        <v>11539.02</v>
      </c>
      <c r="S6870" s="1608"/>
    </row>
    <row r="6871" spans="2:19" s="1609" customFormat="1" ht="11.25" customHeight="1" outlineLevel="1">
      <c r="B6871" s="1602">
        <v>28770</v>
      </c>
      <c r="C6871" s="1603" t="s">
        <v>3771</v>
      </c>
      <c r="D6871" s="1603" t="s">
        <v>3858</v>
      </c>
      <c r="E6871" s="1603"/>
      <c r="F6871" s="1603"/>
      <c r="G6871" s="1603" t="s">
        <v>3857</v>
      </c>
      <c r="H6871" s="1604">
        <v>2</v>
      </c>
      <c r="I6871" s="1603"/>
      <c r="J6871" s="1603"/>
      <c r="K6871" s="1605">
        <v>498</v>
      </c>
      <c r="L6871" s="1606">
        <v>10510</v>
      </c>
      <c r="M6871" s="1607"/>
      <c r="N6871" s="1606">
        <v>10510</v>
      </c>
      <c r="O6871" s="1606">
        <v>4991.32</v>
      </c>
      <c r="P6871" s="1606">
        <v>5256</v>
      </c>
      <c r="Q6871" s="1605">
        <v>262.68</v>
      </c>
      <c r="R6871" s="1606">
        <v>5518.68</v>
      </c>
      <c r="S6871" s="1608"/>
    </row>
    <row r="6872" spans="2:19" s="1609" customFormat="1" ht="11.25" customHeight="1" outlineLevel="1">
      <c r="B6872" s="1602">
        <v>28771</v>
      </c>
      <c r="C6872" s="1603" t="s">
        <v>3771</v>
      </c>
      <c r="D6872" s="1603" t="s">
        <v>3856</v>
      </c>
      <c r="E6872" s="1603"/>
      <c r="F6872" s="1603"/>
      <c r="G6872" s="1603" t="s">
        <v>3855</v>
      </c>
      <c r="H6872" s="1604">
        <v>2</v>
      </c>
      <c r="I6872" s="1603"/>
      <c r="J6872" s="1603"/>
      <c r="K6872" s="1605">
        <v>361</v>
      </c>
      <c r="L6872" s="1606">
        <v>13547</v>
      </c>
      <c r="M6872" s="1607"/>
      <c r="N6872" s="1606">
        <v>13547</v>
      </c>
      <c r="O6872" s="1606">
        <v>6435.44</v>
      </c>
      <c r="P6872" s="1606">
        <v>6772.8</v>
      </c>
      <c r="Q6872" s="1605">
        <v>338.76</v>
      </c>
      <c r="R6872" s="1606">
        <v>7111.56</v>
      </c>
      <c r="S6872" s="1608"/>
    </row>
    <row r="6873" spans="2:19" s="1609" customFormat="1" ht="11.25" customHeight="1" outlineLevel="1">
      <c r="B6873" s="1602">
        <v>28772</v>
      </c>
      <c r="C6873" s="1603" t="s">
        <v>3771</v>
      </c>
      <c r="D6873" s="1603" t="s">
        <v>3854</v>
      </c>
      <c r="E6873" s="1603"/>
      <c r="F6873" s="1603"/>
      <c r="G6873" s="1603" t="s">
        <v>3853</v>
      </c>
      <c r="H6873" s="1604">
        <v>2</v>
      </c>
      <c r="I6873" s="1603"/>
      <c r="J6873" s="1603"/>
      <c r="K6873" s="1605">
        <v>305</v>
      </c>
      <c r="L6873" s="1606">
        <v>11867</v>
      </c>
      <c r="M6873" s="1607"/>
      <c r="N6873" s="1606">
        <v>11867</v>
      </c>
      <c r="O6873" s="1606">
        <v>5637.44</v>
      </c>
      <c r="P6873" s="1606">
        <v>5932.8</v>
      </c>
      <c r="Q6873" s="1605">
        <v>296.76</v>
      </c>
      <c r="R6873" s="1606">
        <v>6229.56</v>
      </c>
      <c r="S6873" s="1608"/>
    </row>
    <row r="6874" spans="2:19" s="1609" customFormat="1" ht="11.25" customHeight="1" outlineLevel="1">
      <c r="B6874" s="1602">
        <v>28773</v>
      </c>
      <c r="C6874" s="1603" t="s">
        <v>3771</v>
      </c>
      <c r="D6874" s="1603" t="s">
        <v>3852</v>
      </c>
      <c r="E6874" s="1603"/>
      <c r="F6874" s="1603"/>
      <c r="G6874" s="1603" t="s">
        <v>3851</v>
      </c>
      <c r="H6874" s="1604">
        <v>2</v>
      </c>
      <c r="I6874" s="1603"/>
      <c r="J6874" s="1603"/>
      <c r="K6874" s="1605">
        <v>341</v>
      </c>
      <c r="L6874" s="1606">
        <v>14956</v>
      </c>
      <c r="M6874" s="1607"/>
      <c r="N6874" s="1606">
        <v>14956</v>
      </c>
      <c r="O6874" s="1606">
        <v>7103.68</v>
      </c>
      <c r="P6874" s="1606">
        <v>7478.4</v>
      </c>
      <c r="Q6874" s="1605">
        <v>373.92</v>
      </c>
      <c r="R6874" s="1606">
        <v>7852.32</v>
      </c>
      <c r="S6874" s="1608"/>
    </row>
    <row r="6875" spans="2:19" s="1609" customFormat="1" ht="11.25" customHeight="1" outlineLevel="1">
      <c r="B6875" s="1602">
        <v>28774</v>
      </c>
      <c r="C6875" s="1603" t="s">
        <v>3771</v>
      </c>
      <c r="D6875" s="1603" t="s">
        <v>3850</v>
      </c>
      <c r="E6875" s="1603"/>
      <c r="F6875" s="1603"/>
      <c r="G6875" s="1603" t="s">
        <v>3849</v>
      </c>
      <c r="H6875" s="1604">
        <v>2</v>
      </c>
      <c r="I6875" s="1603"/>
      <c r="J6875" s="1603"/>
      <c r="K6875" s="1605">
        <v>722</v>
      </c>
      <c r="L6875" s="1606">
        <v>26521</v>
      </c>
      <c r="M6875" s="1607"/>
      <c r="N6875" s="1606">
        <v>26521</v>
      </c>
      <c r="O6875" s="1606">
        <v>15382.6</v>
      </c>
      <c r="P6875" s="1606">
        <v>10608</v>
      </c>
      <c r="Q6875" s="1605">
        <v>530.4</v>
      </c>
      <c r="R6875" s="1606">
        <v>11138.4</v>
      </c>
      <c r="S6875" s="1608"/>
    </row>
    <row r="6876" spans="2:19" s="1609" customFormat="1" ht="11.25" customHeight="1" outlineLevel="1">
      <c r="B6876" s="1602">
        <v>28775</v>
      </c>
      <c r="C6876" s="1603" t="s">
        <v>3771</v>
      </c>
      <c r="D6876" s="1603" t="s">
        <v>3848</v>
      </c>
      <c r="E6876" s="1603"/>
      <c r="F6876" s="1603"/>
      <c r="G6876" s="1603" t="s">
        <v>3847</v>
      </c>
      <c r="H6876" s="1604">
        <v>2</v>
      </c>
      <c r="I6876" s="1603"/>
      <c r="J6876" s="1603"/>
      <c r="K6876" s="1605">
        <v>341</v>
      </c>
      <c r="L6876" s="1606">
        <v>9880</v>
      </c>
      <c r="M6876" s="1607"/>
      <c r="N6876" s="1606">
        <v>9880</v>
      </c>
      <c r="O6876" s="1606">
        <v>4693.72</v>
      </c>
      <c r="P6876" s="1606">
        <v>4939.2</v>
      </c>
      <c r="Q6876" s="1605">
        <v>247.08</v>
      </c>
      <c r="R6876" s="1606">
        <v>5186.28</v>
      </c>
      <c r="S6876" s="1608"/>
    </row>
    <row r="6877" spans="2:19" s="1609" customFormat="1" ht="11.25" customHeight="1" outlineLevel="1">
      <c r="B6877" s="1602">
        <v>28776</v>
      </c>
      <c r="C6877" s="1603" t="s">
        <v>3771</v>
      </c>
      <c r="D6877" s="1603" t="s">
        <v>3846</v>
      </c>
      <c r="E6877" s="1603"/>
      <c r="F6877" s="1603"/>
      <c r="G6877" s="1603" t="s">
        <v>3845</v>
      </c>
      <c r="H6877" s="1604">
        <v>2</v>
      </c>
      <c r="I6877" s="1603"/>
      <c r="J6877" s="1603"/>
      <c r="K6877" s="1605">
        <v>123</v>
      </c>
      <c r="L6877" s="1606">
        <v>6529</v>
      </c>
      <c r="M6877" s="1607"/>
      <c r="N6877" s="1606">
        <v>6529</v>
      </c>
      <c r="O6877" s="1606">
        <v>3101.8</v>
      </c>
      <c r="P6877" s="1606">
        <v>3264</v>
      </c>
      <c r="Q6877" s="1605">
        <v>163.19999999999999</v>
      </c>
      <c r="R6877" s="1606">
        <v>3427.2</v>
      </c>
      <c r="S6877" s="1608"/>
    </row>
    <row r="6878" spans="2:19" s="1609" customFormat="1" ht="11.25" customHeight="1" outlineLevel="1">
      <c r="B6878" s="1602">
        <v>28817</v>
      </c>
      <c r="C6878" s="1603" t="s">
        <v>3771</v>
      </c>
      <c r="D6878" s="1603" t="s">
        <v>3844</v>
      </c>
      <c r="E6878" s="1603"/>
      <c r="F6878" s="1603"/>
      <c r="G6878" s="1603" t="s">
        <v>3843</v>
      </c>
      <c r="H6878" s="1604">
        <v>2</v>
      </c>
      <c r="I6878" s="1603"/>
      <c r="J6878" s="1603"/>
      <c r="K6878" s="1605">
        <v>339</v>
      </c>
      <c r="L6878" s="1606">
        <v>18968</v>
      </c>
      <c r="M6878" s="1607"/>
      <c r="N6878" s="1606">
        <v>18968</v>
      </c>
      <c r="O6878" s="1606">
        <v>9009.08</v>
      </c>
      <c r="P6878" s="1606">
        <v>9484.7999999999993</v>
      </c>
      <c r="Q6878" s="1605">
        <v>474.12</v>
      </c>
      <c r="R6878" s="1606">
        <v>9958.92</v>
      </c>
      <c r="S6878" s="1608"/>
    </row>
    <row r="6879" spans="2:19" s="1609" customFormat="1" ht="11.25" customHeight="1" outlineLevel="1">
      <c r="B6879" s="1602">
        <v>28818</v>
      </c>
      <c r="C6879" s="1603" t="s">
        <v>3771</v>
      </c>
      <c r="D6879" s="1603" t="s">
        <v>3842</v>
      </c>
      <c r="E6879" s="1603"/>
      <c r="F6879" s="1603"/>
      <c r="G6879" s="1603" t="s">
        <v>3841</v>
      </c>
      <c r="H6879" s="1604">
        <v>2</v>
      </c>
      <c r="I6879" s="1603"/>
      <c r="J6879" s="1603"/>
      <c r="K6879" s="1605">
        <v>223</v>
      </c>
      <c r="L6879" s="1606">
        <v>8985</v>
      </c>
      <c r="M6879" s="1607"/>
      <c r="N6879" s="1606">
        <v>8985</v>
      </c>
      <c r="O6879" s="1606">
        <v>4267.5600000000004</v>
      </c>
      <c r="P6879" s="1606">
        <v>4492.8</v>
      </c>
      <c r="Q6879" s="1605">
        <v>224.64</v>
      </c>
      <c r="R6879" s="1606">
        <v>4717.4399999999996</v>
      </c>
      <c r="S6879" s="1608"/>
    </row>
    <row r="6880" spans="2:19" s="1609" customFormat="1" ht="11.25" customHeight="1" outlineLevel="1">
      <c r="B6880" s="1602">
        <v>28819</v>
      </c>
      <c r="C6880" s="1603" t="s">
        <v>3771</v>
      </c>
      <c r="D6880" s="1603" t="s">
        <v>3840</v>
      </c>
      <c r="E6880" s="1603"/>
      <c r="F6880" s="1603"/>
      <c r="G6880" s="1603" t="s">
        <v>3839</v>
      </c>
      <c r="H6880" s="1604">
        <v>2</v>
      </c>
      <c r="I6880" s="1603"/>
      <c r="J6880" s="1603"/>
      <c r="K6880" s="1605">
        <v>548</v>
      </c>
      <c r="L6880" s="1606">
        <v>43150</v>
      </c>
      <c r="M6880" s="1607"/>
      <c r="N6880" s="1606">
        <v>43150</v>
      </c>
      <c r="O6880" s="1606">
        <v>20495.32</v>
      </c>
      <c r="P6880" s="1606">
        <v>21576</v>
      </c>
      <c r="Q6880" s="1606">
        <v>1078.68</v>
      </c>
      <c r="R6880" s="1606">
        <v>22654.68</v>
      </c>
      <c r="S6880" s="1608"/>
    </row>
    <row r="6881" spans="2:19" s="1609" customFormat="1" ht="11.25" customHeight="1" outlineLevel="1">
      <c r="B6881" s="1602">
        <v>28820</v>
      </c>
      <c r="C6881" s="1603" t="s">
        <v>3771</v>
      </c>
      <c r="D6881" s="1603" t="s">
        <v>3838</v>
      </c>
      <c r="E6881" s="1603"/>
      <c r="F6881" s="1603"/>
      <c r="G6881" s="1603" t="s">
        <v>3837</v>
      </c>
      <c r="H6881" s="1604">
        <v>2</v>
      </c>
      <c r="I6881" s="1603"/>
      <c r="J6881" s="1603"/>
      <c r="K6881" s="1605">
        <v>339</v>
      </c>
      <c r="L6881" s="1606">
        <v>20323</v>
      </c>
      <c r="M6881" s="1607"/>
      <c r="N6881" s="1606">
        <v>20323</v>
      </c>
      <c r="O6881" s="1606">
        <v>9653.32</v>
      </c>
      <c r="P6881" s="1606">
        <v>10161.6</v>
      </c>
      <c r="Q6881" s="1605">
        <v>508.08</v>
      </c>
      <c r="R6881" s="1606">
        <v>10669.68</v>
      </c>
      <c r="S6881" s="1608"/>
    </row>
    <row r="6882" spans="2:19" s="1609" customFormat="1" ht="11.25" customHeight="1" outlineLevel="1">
      <c r="B6882" s="1602">
        <v>28821</v>
      </c>
      <c r="C6882" s="1603" t="s">
        <v>3771</v>
      </c>
      <c r="D6882" s="1603" t="s">
        <v>3836</v>
      </c>
      <c r="E6882" s="1603"/>
      <c r="F6882" s="1603"/>
      <c r="G6882" s="1603" t="s">
        <v>3835</v>
      </c>
      <c r="H6882" s="1604">
        <v>2</v>
      </c>
      <c r="I6882" s="1603"/>
      <c r="J6882" s="1603"/>
      <c r="K6882" s="1605">
        <v>354</v>
      </c>
      <c r="L6882" s="1606">
        <v>28920</v>
      </c>
      <c r="M6882" s="1607"/>
      <c r="N6882" s="1606">
        <v>28920</v>
      </c>
      <c r="O6882" s="1606">
        <v>13737</v>
      </c>
      <c r="P6882" s="1606">
        <v>14460</v>
      </c>
      <c r="Q6882" s="1605">
        <v>723</v>
      </c>
      <c r="R6882" s="1606">
        <v>15183</v>
      </c>
      <c r="S6882" s="1608"/>
    </row>
    <row r="6883" spans="2:19" s="1609" customFormat="1" ht="11.25" customHeight="1" outlineLevel="1">
      <c r="B6883" s="1602">
        <v>28822</v>
      </c>
      <c r="C6883" s="1603" t="s">
        <v>3771</v>
      </c>
      <c r="D6883" s="1603" t="s">
        <v>3834</v>
      </c>
      <c r="E6883" s="1603"/>
      <c r="F6883" s="1603"/>
      <c r="G6883" s="1603" t="s">
        <v>3833</v>
      </c>
      <c r="H6883" s="1604">
        <v>2</v>
      </c>
      <c r="I6883" s="1603"/>
      <c r="J6883" s="1603"/>
      <c r="K6883" s="1605">
        <v>416</v>
      </c>
      <c r="L6883" s="1606">
        <v>23920</v>
      </c>
      <c r="M6883" s="1607"/>
      <c r="N6883" s="1606">
        <v>23920</v>
      </c>
      <c r="O6883" s="1606">
        <v>11362.72</v>
      </c>
      <c r="P6883" s="1606">
        <v>11959.2</v>
      </c>
      <c r="Q6883" s="1605">
        <v>598.08000000000004</v>
      </c>
      <c r="R6883" s="1606">
        <v>12557.28</v>
      </c>
      <c r="S6883" s="1608"/>
    </row>
    <row r="6884" spans="2:19" s="1609" customFormat="1" ht="11.25" customHeight="1" outlineLevel="1">
      <c r="B6884" s="1602">
        <v>28823</v>
      </c>
      <c r="C6884" s="1603" t="s">
        <v>3771</v>
      </c>
      <c r="D6884" s="1603" t="s">
        <v>3832</v>
      </c>
      <c r="E6884" s="1603"/>
      <c r="F6884" s="1603"/>
      <c r="G6884" s="1603" t="s">
        <v>3831</v>
      </c>
      <c r="H6884" s="1604">
        <v>2</v>
      </c>
      <c r="I6884" s="1603"/>
      <c r="J6884" s="1603"/>
      <c r="K6884" s="1605">
        <v>339</v>
      </c>
      <c r="L6884" s="1606">
        <v>8433</v>
      </c>
      <c r="M6884" s="1607"/>
      <c r="N6884" s="1606">
        <v>8433</v>
      </c>
      <c r="O6884" s="1606">
        <v>4005.36</v>
      </c>
      <c r="P6884" s="1606">
        <v>4216.8</v>
      </c>
      <c r="Q6884" s="1605">
        <v>210.84</v>
      </c>
      <c r="R6884" s="1606">
        <v>4427.6400000000003</v>
      </c>
      <c r="S6884" s="1608"/>
    </row>
    <row r="6885" spans="2:19" s="1609" customFormat="1" ht="11.25" customHeight="1" outlineLevel="1">
      <c r="B6885" s="1602">
        <v>28824</v>
      </c>
      <c r="C6885" s="1603" t="s">
        <v>3771</v>
      </c>
      <c r="D6885" s="1603" t="s">
        <v>3830</v>
      </c>
      <c r="E6885" s="1603"/>
      <c r="F6885" s="1603"/>
      <c r="G6885" s="1603" t="s">
        <v>3829</v>
      </c>
      <c r="H6885" s="1604">
        <v>2</v>
      </c>
      <c r="I6885" s="1603"/>
      <c r="J6885" s="1603"/>
      <c r="K6885" s="1605">
        <v>384</v>
      </c>
      <c r="L6885" s="1606">
        <v>12300</v>
      </c>
      <c r="M6885" s="1607"/>
      <c r="N6885" s="1606">
        <v>12300</v>
      </c>
      <c r="O6885" s="1606">
        <v>5841.36</v>
      </c>
      <c r="P6885" s="1606">
        <v>6151.2</v>
      </c>
      <c r="Q6885" s="1605">
        <v>307.44</v>
      </c>
      <c r="R6885" s="1606">
        <v>6458.64</v>
      </c>
      <c r="S6885" s="1608"/>
    </row>
    <row r="6886" spans="2:19" s="1609" customFormat="1" ht="11.25" customHeight="1" outlineLevel="1">
      <c r="B6886" s="1602">
        <v>28825</v>
      </c>
      <c r="C6886" s="1603" t="s">
        <v>3771</v>
      </c>
      <c r="D6886" s="1603" t="s">
        <v>3828</v>
      </c>
      <c r="E6886" s="1603"/>
      <c r="F6886" s="1603"/>
      <c r="G6886" s="1603" t="s">
        <v>3827</v>
      </c>
      <c r="H6886" s="1604">
        <v>2</v>
      </c>
      <c r="I6886" s="1603"/>
      <c r="J6886" s="1603"/>
      <c r="K6886" s="1605">
        <v>431</v>
      </c>
      <c r="L6886" s="1606">
        <v>5648</v>
      </c>
      <c r="M6886" s="1607"/>
      <c r="N6886" s="1606">
        <v>5648</v>
      </c>
      <c r="O6886" s="1606">
        <v>2682.08</v>
      </c>
      <c r="P6886" s="1606">
        <v>2824.8</v>
      </c>
      <c r="Q6886" s="1605">
        <v>141.12</v>
      </c>
      <c r="R6886" s="1606">
        <v>2965.92</v>
      </c>
      <c r="S6886" s="1608"/>
    </row>
    <row r="6887" spans="2:19" s="1609" customFormat="1" ht="11.25" customHeight="1" outlineLevel="1">
      <c r="B6887" s="1602">
        <v>28826</v>
      </c>
      <c r="C6887" s="1603" t="s">
        <v>3771</v>
      </c>
      <c r="D6887" s="1603" t="s">
        <v>3826</v>
      </c>
      <c r="E6887" s="1603"/>
      <c r="F6887" s="1603"/>
      <c r="G6887" s="1603" t="s">
        <v>3825</v>
      </c>
      <c r="H6887" s="1604">
        <v>2</v>
      </c>
      <c r="I6887" s="1603"/>
      <c r="J6887" s="1603"/>
      <c r="K6887" s="1605">
        <v>274</v>
      </c>
      <c r="L6887" s="1606">
        <v>9065</v>
      </c>
      <c r="M6887" s="1607"/>
      <c r="N6887" s="1606">
        <v>9065</v>
      </c>
      <c r="O6887" s="1606">
        <v>4304.84</v>
      </c>
      <c r="P6887" s="1606">
        <v>4533.6000000000004</v>
      </c>
      <c r="Q6887" s="1605">
        <v>226.56</v>
      </c>
      <c r="R6887" s="1606">
        <v>4760.16</v>
      </c>
      <c r="S6887" s="1608"/>
    </row>
    <row r="6888" spans="2:19" s="1609" customFormat="1" ht="11.25" customHeight="1" outlineLevel="1">
      <c r="B6888" s="1602">
        <v>28827</v>
      </c>
      <c r="C6888" s="1603" t="s">
        <v>3771</v>
      </c>
      <c r="D6888" s="1603" t="s">
        <v>3824</v>
      </c>
      <c r="E6888" s="1603"/>
      <c r="F6888" s="1603"/>
      <c r="G6888" s="1603" t="s">
        <v>3823</v>
      </c>
      <c r="H6888" s="1604">
        <v>2</v>
      </c>
      <c r="I6888" s="1603"/>
      <c r="J6888" s="1603"/>
      <c r="K6888" s="1605">
        <v>454</v>
      </c>
      <c r="L6888" s="1606">
        <v>20731</v>
      </c>
      <c r="M6888" s="1607"/>
      <c r="N6888" s="1606">
        <v>20731</v>
      </c>
      <c r="O6888" s="1606">
        <v>9847.1200000000008</v>
      </c>
      <c r="P6888" s="1606">
        <v>10365.6</v>
      </c>
      <c r="Q6888" s="1605">
        <v>518.28</v>
      </c>
      <c r="R6888" s="1606">
        <v>10883.88</v>
      </c>
      <c r="S6888" s="1608"/>
    </row>
    <row r="6889" spans="2:19" s="1609" customFormat="1" ht="11.25" customHeight="1" outlineLevel="1">
      <c r="B6889" s="1602">
        <v>28828</v>
      </c>
      <c r="C6889" s="1603" t="s">
        <v>3771</v>
      </c>
      <c r="D6889" s="1603" t="s">
        <v>3822</v>
      </c>
      <c r="E6889" s="1603"/>
      <c r="F6889" s="1603"/>
      <c r="G6889" s="1603" t="s">
        <v>3821</v>
      </c>
      <c r="H6889" s="1604">
        <v>2</v>
      </c>
      <c r="I6889" s="1603"/>
      <c r="J6889" s="1603"/>
      <c r="K6889" s="1605">
        <v>416</v>
      </c>
      <c r="L6889" s="1606">
        <v>17887</v>
      </c>
      <c r="M6889" s="1607"/>
      <c r="N6889" s="1606">
        <v>17887</v>
      </c>
      <c r="O6889" s="1606">
        <v>8497.36</v>
      </c>
      <c r="P6889" s="1606">
        <v>8942.4</v>
      </c>
      <c r="Q6889" s="1605">
        <v>447.24</v>
      </c>
      <c r="R6889" s="1606">
        <v>9389.64</v>
      </c>
      <c r="S6889" s="1608"/>
    </row>
    <row r="6890" spans="2:19" s="1609" customFormat="1" ht="11.25" customHeight="1" outlineLevel="1">
      <c r="B6890" s="1602">
        <v>28829</v>
      </c>
      <c r="C6890" s="1603" t="s">
        <v>3771</v>
      </c>
      <c r="D6890" s="1603" t="s">
        <v>3820</v>
      </c>
      <c r="E6890" s="1603"/>
      <c r="F6890" s="1603"/>
      <c r="G6890" s="1603" t="s">
        <v>3819</v>
      </c>
      <c r="H6890" s="1604">
        <v>2</v>
      </c>
      <c r="I6890" s="1603"/>
      <c r="J6890" s="1603"/>
      <c r="K6890" s="1605">
        <v>351</v>
      </c>
      <c r="L6890" s="1606">
        <v>24782</v>
      </c>
      <c r="M6890" s="1607"/>
      <c r="N6890" s="1606">
        <v>24782</v>
      </c>
      <c r="O6890" s="1606">
        <v>11771.24</v>
      </c>
      <c r="P6890" s="1606">
        <v>12391.2</v>
      </c>
      <c r="Q6890" s="1605">
        <v>619.55999999999995</v>
      </c>
      <c r="R6890" s="1606">
        <v>13010.76</v>
      </c>
      <c r="S6890" s="1608"/>
    </row>
    <row r="6891" spans="2:19" s="1609" customFormat="1" ht="11.25" customHeight="1" outlineLevel="1">
      <c r="B6891" s="1602">
        <v>28830</v>
      </c>
      <c r="C6891" s="1603" t="s">
        <v>3771</v>
      </c>
      <c r="D6891" s="1603" t="s">
        <v>3818</v>
      </c>
      <c r="E6891" s="1603"/>
      <c r="F6891" s="1603"/>
      <c r="G6891" s="1603" t="s">
        <v>3816</v>
      </c>
      <c r="H6891" s="1604">
        <v>2</v>
      </c>
      <c r="I6891" s="1603"/>
      <c r="J6891" s="1603"/>
      <c r="K6891" s="1605">
        <v>431</v>
      </c>
      <c r="L6891" s="1606">
        <v>22633</v>
      </c>
      <c r="M6891" s="1607"/>
      <c r="N6891" s="1606">
        <v>22633</v>
      </c>
      <c r="O6891" s="1606">
        <v>10751.2</v>
      </c>
      <c r="P6891" s="1606">
        <v>11316</v>
      </c>
      <c r="Q6891" s="1605">
        <v>565.79999999999995</v>
      </c>
      <c r="R6891" s="1606">
        <v>11881.8</v>
      </c>
      <c r="S6891" s="1608"/>
    </row>
    <row r="6892" spans="2:19" s="1609" customFormat="1" ht="11.25" customHeight="1" outlineLevel="1">
      <c r="B6892" s="1602">
        <v>28831</v>
      </c>
      <c r="C6892" s="1603" t="s">
        <v>3771</v>
      </c>
      <c r="D6892" s="1603" t="s">
        <v>3817</v>
      </c>
      <c r="E6892" s="1603"/>
      <c r="F6892" s="1603"/>
      <c r="G6892" s="1603" t="s">
        <v>3816</v>
      </c>
      <c r="H6892" s="1604">
        <v>2</v>
      </c>
      <c r="I6892" s="1603"/>
      <c r="J6892" s="1603"/>
      <c r="K6892" s="1605">
        <v>494</v>
      </c>
      <c r="L6892" s="1606">
        <v>94349</v>
      </c>
      <c r="M6892" s="1607"/>
      <c r="N6892" s="1606">
        <v>94349</v>
      </c>
      <c r="O6892" s="1606">
        <v>44815.88</v>
      </c>
      <c r="P6892" s="1606">
        <v>47174.400000000001</v>
      </c>
      <c r="Q6892" s="1606">
        <v>2358.7199999999998</v>
      </c>
      <c r="R6892" s="1606">
        <v>49533.120000000003</v>
      </c>
      <c r="S6892" s="1608"/>
    </row>
    <row r="6893" spans="2:19" s="1609" customFormat="1" ht="11.25" customHeight="1" outlineLevel="1">
      <c r="B6893" s="1602">
        <v>28832</v>
      </c>
      <c r="C6893" s="1603" t="s">
        <v>3771</v>
      </c>
      <c r="D6893" s="1603" t="s">
        <v>3815</v>
      </c>
      <c r="E6893" s="1603"/>
      <c r="F6893" s="1603"/>
      <c r="G6893" s="1603" t="s">
        <v>3814</v>
      </c>
      <c r="H6893" s="1604">
        <v>2</v>
      </c>
      <c r="I6893" s="1603"/>
      <c r="J6893" s="1603"/>
      <c r="K6893" s="1605">
        <v>473</v>
      </c>
      <c r="L6893" s="1606">
        <v>49442</v>
      </c>
      <c r="M6893" s="1607"/>
      <c r="N6893" s="1606">
        <v>49442</v>
      </c>
      <c r="O6893" s="1606">
        <v>28677.08</v>
      </c>
      <c r="P6893" s="1606">
        <v>19776</v>
      </c>
      <c r="Q6893" s="1605">
        <v>988.92</v>
      </c>
      <c r="R6893" s="1606">
        <v>20764.919999999998</v>
      </c>
      <c r="S6893" s="1608"/>
    </row>
    <row r="6894" spans="2:19" s="1609" customFormat="1" ht="11.25" customHeight="1" outlineLevel="1">
      <c r="B6894" s="1602">
        <v>28833</v>
      </c>
      <c r="C6894" s="1603" t="s">
        <v>3771</v>
      </c>
      <c r="D6894" s="1603" t="s">
        <v>3813</v>
      </c>
      <c r="E6894" s="1603"/>
      <c r="F6894" s="1603"/>
      <c r="G6894" s="1603" t="s">
        <v>3812</v>
      </c>
      <c r="H6894" s="1604">
        <v>2</v>
      </c>
      <c r="I6894" s="1603"/>
      <c r="J6894" s="1603"/>
      <c r="K6894" s="1605">
        <v>351</v>
      </c>
      <c r="L6894" s="1606">
        <v>185513</v>
      </c>
      <c r="M6894" s="1607"/>
      <c r="N6894" s="1606">
        <v>185513</v>
      </c>
      <c r="O6894" s="1606">
        <v>88117.64</v>
      </c>
      <c r="P6894" s="1606">
        <v>92757.6</v>
      </c>
      <c r="Q6894" s="1606">
        <v>4637.76</v>
      </c>
      <c r="R6894" s="1606">
        <v>97395.36</v>
      </c>
      <c r="S6894" s="1608"/>
    </row>
    <row r="6895" spans="2:19" s="1609" customFormat="1" ht="11.25" customHeight="1" outlineLevel="1">
      <c r="B6895" s="1602">
        <v>28834</v>
      </c>
      <c r="C6895" s="1603" t="s">
        <v>3771</v>
      </c>
      <c r="D6895" s="1603" t="s">
        <v>3811</v>
      </c>
      <c r="E6895" s="1603"/>
      <c r="F6895" s="1603"/>
      <c r="G6895" s="1603" t="s">
        <v>3810</v>
      </c>
      <c r="H6895" s="1604">
        <v>2</v>
      </c>
      <c r="I6895" s="1603"/>
      <c r="J6895" s="1603"/>
      <c r="K6895" s="1605">
        <v>812</v>
      </c>
      <c r="L6895" s="1606">
        <v>114124</v>
      </c>
      <c r="M6895" s="1607"/>
      <c r="N6895" s="1606">
        <v>114124</v>
      </c>
      <c r="O6895" s="1606">
        <v>66191.199999999997</v>
      </c>
      <c r="P6895" s="1606">
        <v>45650.400000000001</v>
      </c>
      <c r="Q6895" s="1606">
        <v>2282.4</v>
      </c>
      <c r="R6895" s="1606">
        <v>47932.800000000003</v>
      </c>
      <c r="S6895" s="1608"/>
    </row>
    <row r="6896" spans="2:19" s="1609" customFormat="1" ht="11.25" customHeight="1" outlineLevel="1">
      <c r="B6896" s="1602">
        <v>28835</v>
      </c>
      <c r="C6896" s="1603" t="s">
        <v>3771</v>
      </c>
      <c r="D6896" s="1603" t="s">
        <v>3809</v>
      </c>
      <c r="E6896" s="1603"/>
      <c r="F6896" s="1603"/>
      <c r="G6896" s="1603" t="s">
        <v>3808</v>
      </c>
      <c r="H6896" s="1604">
        <v>2</v>
      </c>
      <c r="I6896" s="1603"/>
      <c r="J6896" s="1603"/>
      <c r="K6896" s="1605">
        <v>651</v>
      </c>
      <c r="L6896" s="1606">
        <v>114257</v>
      </c>
      <c r="M6896" s="1607"/>
      <c r="N6896" s="1606">
        <v>114257</v>
      </c>
      <c r="O6896" s="1606">
        <v>66268.639999999999</v>
      </c>
      <c r="P6896" s="1606">
        <v>45703.199999999997</v>
      </c>
      <c r="Q6896" s="1606">
        <v>2285.16</v>
      </c>
      <c r="R6896" s="1606">
        <v>47988.36</v>
      </c>
      <c r="S6896" s="1608"/>
    </row>
    <row r="6897" spans="2:19" s="1609" customFormat="1" ht="11.25" customHeight="1" outlineLevel="1">
      <c r="B6897" s="1602">
        <v>28836</v>
      </c>
      <c r="C6897" s="1603" t="s">
        <v>3771</v>
      </c>
      <c r="D6897" s="1603" t="s">
        <v>3807</v>
      </c>
      <c r="E6897" s="1603"/>
      <c r="F6897" s="1603"/>
      <c r="G6897" s="1603" t="s">
        <v>3806</v>
      </c>
      <c r="H6897" s="1604">
        <v>2</v>
      </c>
      <c r="I6897" s="1603"/>
      <c r="J6897" s="1603"/>
      <c r="K6897" s="1605">
        <v>598</v>
      </c>
      <c r="L6897" s="1606">
        <v>52022</v>
      </c>
      <c r="M6897" s="1607"/>
      <c r="N6897" s="1606">
        <v>52022</v>
      </c>
      <c r="O6897" s="1606">
        <v>30173.48</v>
      </c>
      <c r="P6897" s="1606">
        <v>20808</v>
      </c>
      <c r="Q6897" s="1606">
        <v>1040.52</v>
      </c>
      <c r="R6897" s="1606">
        <v>21848.52</v>
      </c>
      <c r="S6897" s="1608"/>
    </row>
    <row r="6898" spans="2:19" s="1609" customFormat="1" ht="11.25" customHeight="1" outlineLevel="1">
      <c r="B6898" s="1602">
        <v>28837</v>
      </c>
      <c r="C6898" s="1603" t="s">
        <v>3771</v>
      </c>
      <c r="D6898" s="1603" t="s">
        <v>3805</v>
      </c>
      <c r="E6898" s="1603"/>
      <c r="F6898" s="1603"/>
      <c r="G6898" s="1603" t="s">
        <v>3804</v>
      </c>
      <c r="H6898" s="1604">
        <v>2</v>
      </c>
      <c r="I6898" s="1603"/>
      <c r="J6898" s="1603"/>
      <c r="K6898" s="1605">
        <v>341</v>
      </c>
      <c r="L6898" s="1606">
        <v>22963</v>
      </c>
      <c r="M6898" s="1607"/>
      <c r="N6898" s="1606">
        <v>22963</v>
      </c>
      <c r="O6898" s="1606">
        <v>10907.32</v>
      </c>
      <c r="P6898" s="1606">
        <v>11481.6</v>
      </c>
      <c r="Q6898" s="1605">
        <v>574.08000000000004</v>
      </c>
      <c r="R6898" s="1606">
        <v>12055.68</v>
      </c>
      <c r="S6898" s="1608"/>
    </row>
    <row r="6899" spans="2:19" s="1609" customFormat="1" ht="11.25" customHeight="1" outlineLevel="1">
      <c r="B6899" s="1602">
        <v>28838</v>
      </c>
      <c r="C6899" s="1603" t="s">
        <v>3771</v>
      </c>
      <c r="D6899" s="1603" t="s">
        <v>3803</v>
      </c>
      <c r="E6899" s="1603"/>
      <c r="F6899" s="1603"/>
      <c r="G6899" s="1603" t="s">
        <v>3802</v>
      </c>
      <c r="H6899" s="1604">
        <v>2</v>
      </c>
      <c r="I6899" s="1603"/>
      <c r="J6899" s="1603"/>
      <c r="K6899" s="1605">
        <v>323</v>
      </c>
      <c r="L6899" s="1606">
        <v>56103</v>
      </c>
      <c r="M6899" s="1607"/>
      <c r="N6899" s="1606">
        <v>56103</v>
      </c>
      <c r="O6899" s="1606">
        <v>32538.6</v>
      </c>
      <c r="P6899" s="1606">
        <v>22442.400000000001</v>
      </c>
      <c r="Q6899" s="1606">
        <v>1122</v>
      </c>
      <c r="R6899" s="1606">
        <v>23564.400000000001</v>
      </c>
      <c r="S6899" s="1608"/>
    </row>
    <row r="6900" spans="2:19" s="1609" customFormat="1" ht="11.25" customHeight="1" outlineLevel="1">
      <c r="B6900" s="1602">
        <v>28839</v>
      </c>
      <c r="C6900" s="1603" t="s">
        <v>3771</v>
      </c>
      <c r="D6900" s="1603" t="s">
        <v>3801</v>
      </c>
      <c r="E6900" s="1603"/>
      <c r="F6900" s="1603"/>
      <c r="G6900" s="1603" t="s">
        <v>3800</v>
      </c>
      <c r="H6900" s="1604">
        <v>2</v>
      </c>
      <c r="I6900" s="1603"/>
      <c r="J6900" s="1603"/>
      <c r="K6900" s="1605">
        <v>577</v>
      </c>
      <c r="L6900" s="1606">
        <v>92670</v>
      </c>
      <c r="M6900" s="1607"/>
      <c r="N6900" s="1606">
        <v>92670</v>
      </c>
      <c r="O6900" s="1606">
        <v>53748.6</v>
      </c>
      <c r="P6900" s="1606">
        <v>37068</v>
      </c>
      <c r="Q6900" s="1606">
        <v>1853.4</v>
      </c>
      <c r="R6900" s="1606">
        <v>38921.4</v>
      </c>
      <c r="S6900" s="1608"/>
    </row>
    <row r="6901" spans="2:19" s="1609" customFormat="1" ht="11.25" customHeight="1" outlineLevel="1">
      <c r="B6901" s="1602">
        <v>28840</v>
      </c>
      <c r="C6901" s="1603" t="s">
        <v>3771</v>
      </c>
      <c r="D6901" s="1603" t="s">
        <v>3799</v>
      </c>
      <c r="E6901" s="1603"/>
      <c r="F6901" s="1603"/>
      <c r="G6901" s="1603" t="s">
        <v>3798</v>
      </c>
      <c r="H6901" s="1604">
        <v>2</v>
      </c>
      <c r="I6901" s="1603"/>
      <c r="J6901" s="1603"/>
      <c r="K6901" s="1605">
        <v>494</v>
      </c>
      <c r="L6901" s="1606">
        <v>39536</v>
      </c>
      <c r="M6901" s="1607"/>
      <c r="N6901" s="1606">
        <v>39536</v>
      </c>
      <c r="O6901" s="1606">
        <v>22931.599999999999</v>
      </c>
      <c r="P6901" s="1606">
        <v>15813.6</v>
      </c>
      <c r="Q6901" s="1605">
        <v>790.8</v>
      </c>
      <c r="R6901" s="1606">
        <v>16604.400000000001</v>
      </c>
      <c r="S6901" s="1608"/>
    </row>
    <row r="6902" spans="2:19" s="1609" customFormat="1" ht="11.25" customHeight="1" outlineLevel="1">
      <c r="B6902" s="1602">
        <v>28842</v>
      </c>
      <c r="C6902" s="1603" t="s">
        <v>3771</v>
      </c>
      <c r="D6902" s="1603" t="s">
        <v>3797</v>
      </c>
      <c r="E6902" s="1603"/>
      <c r="F6902" s="1603"/>
      <c r="G6902" s="1603" t="s">
        <v>3796</v>
      </c>
      <c r="H6902" s="1604">
        <v>2</v>
      </c>
      <c r="I6902" s="1603"/>
      <c r="J6902" s="1603"/>
      <c r="K6902" s="1605">
        <v>539</v>
      </c>
      <c r="L6902" s="1606">
        <v>43353</v>
      </c>
      <c r="M6902" s="1607"/>
      <c r="N6902" s="1606">
        <v>43353</v>
      </c>
      <c r="O6902" s="1606">
        <v>25143.599999999999</v>
      </c>
      <c r="P6902" s="1606">
        <v>17342.400000000001</v>
      </c>
      <c r="Q6902" s="1605">
        <v>867</v>
      </c>
      <c r="R6902" s="1606">
        <v>18209.400000000001</v>
      </c>
      <c r="S6902" s="1608"/>
    </row>
    <row r="6903" spans="2:19" s="1609" customFormat="1" ht="11.25" customHeight="1" outlineLevel="1">
      <c r="B6903" s="1602">
        <v>28843</v>
      </c>
      <c r="C6903" s="1603" t="s">
        <v>3771</v>
      </c>
      <c r="D6903" s="1603" t="s">
        <v>3795</v>
      </c>
      <c r="E6903" s="1603"/>
      <c r="F6903" s="1603"/>
      <c r="G6903" s="1603" t="s">
        <v>3794</v>
      </c>
      <c r="H6903" s="1604">
        <v>2</v>
      </c>
      <c r="I6903" s="1603"/>
      <c r="J6903" s="1603"/>
      <c r="K6903" s="1605">
        <v>384</v>
      </c>
      <c r="L6903" s="1606">
        <v>31002</v>
      </c>
      <c r="M6903" s="1607"/>
      <c r="N6903" s="1606">
        <v>31002</v>
      </c>
      <c r="O6903" s="1606">
        <v>17981.16</v>
      </c>
      <c r="P6903" s="1606">
        <v>12400.8</v>
      </c>
      <c r="Q6903" s="1605">
        <v>620.04</v>
      </c>
      <c r="R6903" s="1606">
        <v>13020.84</v>
      </c>
      <c r="S6903" s="1608"/>
    </row>
    <row r="6904" spans="2:19" s="1609" customFormat="1" ht="11.25" customHeight="1" outlineLevel="1">
      <c r="B6904" s="1602">
        <v>28844</v>
      </c>
      <c r="C6904" s="1603" t="s">
        <v>3771</v>
      </c>
      <c r="D6904" s="1603" t="s">
        <v>3793</v>
      </c>
      <c r="E6904" s="1603"/>
      <c r="F6904" s="1603"/>
      <c r="G6904" s="1603" t="s">
        <v>3792</v>
      </c>
      <c r="H6904" s="1604">
        <v>2</v>
      </c>
      <c r="I6904" s="1603"/>
      <c r="J6904" s="1603"/>
      <c r="K6904" s="1605">
        <v>416</v>
      </c>
      <c r="L6904" s="1606">
        <v>10067</v>
      </c>
      <c r="M6904" s="1607"/>
      <c r="N6904" s="1606">
        <v>10067</v>
      </c>
      <c r="O6904" s="1606">
        <v>4782.4399999999996</v>
      </c>
      <c r="P6904" s="1606">
        <v>5032.8</v>
      </c>
      <c r="Q6904" s="1605">
        <v>251.76</v>
      </c>
      <c r="R6904" s="1606">
        <v>5284.56</v>
      </c>
      <c r="S6904" s="1608"/>
    </row>
    <row r="6905" spans="2:19" s="1609" customFormat="1" ht="11.25" customHeight="1" outlineLevel="1">
      <c r="B6905" s="1602">
        <v>28845</v>
      </c>
      <c r="C6905" s="1603" t="s">
        <v>3771</v>
      </c>
      <c r="D6905" s="1603" t="s">
        <v>3791</v>
      </c>
      <c r="E6905" s="1603"/>
      <c r="F6905" s="1603"/>
      <c r="G6905" s="1603" t="s">
        <v>3790</v>
      </c>
      <c r="H6905" s="1604">
        <v>2</v>
      </c>
      <c r="I6905" s="1603"/>
      <c r="J6905" s="1603"/>
      <c r="K6905" s="1605">
        <v>536</v>
      </c>
      <c r="L6905" s="1606">
        <v>75535</v>
      </c>
      <c r="M6905" s="1607"/>
      <c r="N6905" s="1606">
        <v>75535</v>
      </c>
      <c r="O6905" s="1606">
        <v>43810.720000000001</v>
      </c>
      <c r="P6905" s="1606">
        <v>30213.599999999999</v>
      </c>
      <c r="Q6905" s="1606">
        <v>1510.68</v>
      </c>
      <c r="R6905" s="1606">
        <v>31724.28</v>
      </c>
      <c r="S6905" s="1608"/>
    </row>
    <row r="6906" spans="2:19" s="1609" customFormat="1" ht="11.25" customHeight="1" outlineLevel="1">
      <c r="B6906" s="1602">
        <v>28846</v>
      </c>
      <c r="C6906" s="1603" t="s">
        <v>3771</v>
      </c>
      <c r="D6906" s="1603" t="s">
        <v>3789</v>
      </c>
      <c r="E6906" s="1603"/>
      <c r="F6906" s="1603"/>
      <c r="G6906" s="1603" t="s">
        <v>3788</v>
      </c>
      <c r="H6906" s="1604">
        <v>2</v>
      </c>
      <c r="I6906" s="1603"/>
      <c r="J6906" s="1603"/>
      <c r="K6906" s="1605">
        <v>435</v>
      </c>
      <c r="L6906" s="1606">
        <v>62685</v>
      </c>
      <c r="M6906" s="1607"/>
      <c r="N6906" s="1606">
        <v>62685</v>
      </c>
      <c r="O6906" s="1606">
        <v>29776.2</v>
      </c>
      <c r="P6906" s="1606">
        <v>31341.599999999999</v>
      </c>
      <c r="Q6906" s="1606">
        <v>1567.2</v>
      </c>
      <c r="R6906" s="1606">
        <v>32908.800000000003</v>
      </c>
      <c r="S6906" s="1608"/>
    </row>
    <row r="6907" spans="2:19" s="1609" customFormat="1" ht="11.25" customHeight="1" outlineLevel="1">
      <c r="B6907" s="1602">
        <v>28847</v>
      </c>
      <c r="C6907" s="1603" t="s">
        <v>3771</v>
      </c>
      <c r="D6907" s="1603" t="s">
        <v>3787</v>
      </c>
      <c r="E6907" s="1603"/>
      <c r="F6907" s="1603"/>
      <c r="G6907" s="1603" t="s">
        <v>3786</v>
      </c>
      <c r="H6907" s="1604">
        <v>2</v>
      </c>
      <c r="I6907" s="1603"/>
      <c r="J6907" s="1603"/>
      <c r="K6907" s="1605">
        <v>484</v>
      </c>
      <c r="L6907" s="1606">
        <v>88623</v>
      </c>
      <c r="M6907" s="1607"/>
      <c r="N6907" s="1606">
        <v>88623</v>
      </c>
      <c r="O6907" s="1606">
        <v>42096.24</v>
      </c>
      <c r="P6907" s="1606">
        <v>44311.199999999997</v>
      </c>
      <c r="Q6907" s="1606">
        <v>2215.56</v>
      </c>
      <c r="R6907" s="1606">
        <v>46526.76</v>
      </c>
      <c r="S6907" s="1608"/>
    </row>
    <row r="6908" spans="2:19" s="1609" customFormat="1" ht="11.25" customHeight="1" outlineLevel="1">
      <c r="B6908" s="1602">
        <v>28848</v>
      </c>
      <c r="C6908" s="1603" t="s">
        <v>3771</v>
      </c>
      <c r="D6908" s="1603" t="s">
        <v>3785</v>
      </c>
      <c r="E6908" s="1603"/>
      <c r="F6908" s="1603"/>
      <c r="G6908" s="1603" t="s">
        <v>3784</v>
      </c>
      <c r="H6908" s="1604">
        <v>2</v>
      </c>
      <c r="I6908" s="1603"/>
      <c r="J6908" s="1603"/>
      <c r="K6908" s="1605">
        <v>339</v>
      </c>
      <c r="L6908" s="1606">
        <v>3861</v>
      </c>
      <c r="M6908" s="1607"/>
      <c r="N6908" s="1606">
        <v>3861</v>
      </c>
      <c r="O6908" s="1606">
        <v>1834.8</v>
      </c>
      <c r="P6908" s="1606">
        <v>1929.6</v>
      </c>
      <c r="Q6908" s="1605">
        <v>96.6</v>
      </c>
      <c r="R6908" s="1606">
        <v>2026.2</v>
      </c>
      <c r="S6908" s="1608"/>
    </row>
    <row r="6909" spans="2:19" s="1609" customFormat="1" ht="11.25" customHeight="1" outlineLevel="1">
      <c r="B6909" s="1602">
        <v>28849</v>
      </c>
      <c r="C6909" s="1603" t="s">
        <v>3771</v>
      </c>
      <c r="D6909" s="1603" t="s">
        <v>3783</v>
      </c>
      <c r="E6909" s="1603"/>
      <c r="F6909" s="1603"/>
      <c r="G6909" s="1603" t="s">
        <v>3782</v>
      </c>
      <c r="H6909" s="1604">
        <v>2</v>
      </c>
      <c r="I6909" s="1603"/>
      <c r="J6909" s="1603"/>
      <c r="K6909" s="1605">
        <v>358</v>
      </c>
      <c r="L6909" s="1606">
        <v>21810</v>
      </c>
      <c r="M6909" s="1607"/>
      <c r="N6909" s="1606">
        <v>21810</v>
      </c>
      <c r="O6909" s="1606">
        <v>10359.18</v>
      </c>
      <c r="P6909" s="1606">
        <v>10905.6</v>
      </c>
      <c r="Q6909" s="1605">
        <v>545.22</v>
      </c>
      <c r="R6909" s="1606">
        <v>11450.82</v>
      </c>
      <c r="S6909" s="1608"/>
    </row>
    <row r="6910" spans="2:19" s="1609" customFormat="1" ht="11.25" customHeight="1" outlineLevel="1">
      <c r="B6910" s="1602">
        <v>28850</v>
      </c>
      <c r="C6910" s="1603" t="s">
        <v>3771</v>
      </c>
      <c r="D6910" s="1603" t="s">
        <v>3781</v>
      </c>
      <c r="E6910" s="1603"/>
      <c r="F6910" s="1603"/>
      <c r="G6910" s="1603" t="s">
        <v>3780</v>
      </c>
      <c r="H6910" s="1604">
        <v>2</v>
      </c>
      <c r="I6910" s="1603"/>
      <c r="J6910" s="1603"/>
      <c r="K6910" s="1605">
        <v>339</v>
      </c>
      <c r="L6910" s="1606">
        <v>18629</v>
      </c>
      <c r="M6910" s="1607"/>
      <c r="N6910" s="1606">
        <v>18629</v>
      </c>
      <c r="O6910" s="1606">
        <v>8848.8799999999992</v>
      </c>
      <c r="P6910" s="1606">
        <v>9314.4</v>
      </c>
      <c r="Q6910" s="1605">
        <v>465.72</v>
      </c>
      <c r="R6910" s="1606">
        <v>9780.1200000000008</v>
      </c>
      <c r="S6910" s="1608"/>
    </row>
    <row r="6911" spans="2:19" s="1609" customFormat="1" ht="11.25" customHeight="1" outlineLevel="1">
      <c r="B6911" s="1602">
        <v>28851</v>
      </c>
      <c r="C6911" s="1603" t="s">
        <v>3771</v>
      </c>
      <c r="D6911" s="1603" t="s">
        <v>3779</v>
      </c>
      <c r="E6911" s="1603"/>
      <c r="F6911" s="1603"/>
      <c r="G6911" s="1603" t="s">
        <v>3778</v>
      </c>
      <c r="H6911" s="1604">
        <v>2</v>
      </c>
      <c r="I6911" s="1603"/>
      <c r="J6911" s="1603"/>
      <c r="K6911" s="1605">
        <v>292</v>
      </c>
      <c r="L6911" s="1606">
        <v>31764</v>
      </c>
      <c r="M6911" s="1607"/>
      <c r="N6911" s="1606">
        <v>31764</v>
      </c>
      <c r="O6911" s="1606">
        <v>15086.76</v>
      </c>
      <c r="P6911" s="1606">
        <v>15883.2</v>
      </c>
      <c r="Q6911" s="1605">
        <v>794.04</v>
      </c>
      <c r="R6911" s="1606">
        <v>16677.240000000002</v>
      </c>
      <c r="S6911" s="1608"/>
    </row>
    <row r="6912" spans="2:19" s="1609" customFormat="1" ht="11.25" customHeight="1" outlineLevel="1">
      <c r="B6912" s="1602">
        <v>28852</v>
      </c>
      <c r="C6912" s="1603" t="s">
        <v>3771</v>
      </c>
      <c r="D6912" s="1603" t="s">
        <v>3777</v>
      </c>
      <c r="E6912" s="1603"/>
      <c r="F6912" s="1603"/>
      <c r="G6912" s="1603" t="s">
        <v>3776</v>
      </c>
      <c r="H6912" s="1604">
        <v>2</v>
      </c>
      <c r="I6912" s="1603"/>
      <c r="J6912" s="1603"/>
      <c r="K6912" s="1605">
        <v>128</v>
      </c>
      <c r="L6912" s="1606">
        <v>20661</v>
      </c>
      <c r="M6912" s="1607"/>
      <c r="N6912" s="1606">
        <v>20661</v>
      </c>
      <c r="O6912" s="1606">
        <v>9814.7999999999993</v>
      </c>
      <c r="P6912" s="1606">
        <v>10329.6</v>
      </c>
      <c r="Q6912" s="1605">
        <v>516.6</v>
      </c>
      <c r="R6912" s="1606">
        <v>10846.2</v>
      </c>
      <c r="S6912" s="1608"/>
    </row>
    <row r="6913" spans="2:19" s="1609" customFormat="1" ht="11.25" customHeight="1" outlineLevel="1">
      <c r="B6913" s="1602">
        <v>28853</v>
      </c>
      <c r="C6913" s="1603" t="s">
        <v>3771</v>
      </c>
      <c r="D6913" s="1603" t="s">
        <v>3775</v>
      </c>
      <c r="E6913" s="1603"/>
      <c r="F6913" s="1603"/>
      <c r="G6913" s="1603" t="s">
        <v>3774</v>
      </c>
      <c r="H6913" s="1604">
        <v>2</v>
      </c>
      <c r="I6913" s="1603"/>
      <c r="J6913" s="1603"/>
      <c r="K6913" s="1605">
        <v>335</v>
      </c>
      <c r="L6913" s="1606">
        <v>44479</v>
      </c>
      <c r="M6913" s="1607"/>
      <c r="N6913" s="1606">
        <v>44479</v>
      </c>
      <c r="O6913" s="1606">
        <v>13684.72</v>
      </c>
      <c r="P6913" s="1606">
        <v>29328</v>
      </c>
      <c r="Q6913" s="1606">
        <v>1466.28</v>
      </c>
      <c r="R6913" s="1606">
        <v>30794.28</v>
      </c>
      <c r="S6913" s="1608"/>
    </row>
    <row r="6914" spans="2:19" s="1609" customFormat="1" ht="11.25" customHeight="1" outlineLevel="1">
      <c r="B6914" s="1602">
        <v>28854</v>
      </c>
      <c r="C6914" s="1603" t="s">
        <v>3771</v>
      </c>
      <c r="D6914" s="1603" t="s">
        <v>3773</v>
      </c>
      <c r="E6914" s="1603"/>
      <c r="F6914" s="1603"/>
      <c r="G6914" s="1603" t="s">
        <v>3772</v>
      </c>
      <c r="H6914" s="1604">
        <v>2</v>
      </c>
      <c r="I6914" s="1603"/>
      <c r="J6914" s="1603"/>
      <c r="K6914" s="1605">
        <v>351</v>
      </c>
      <c r="L6914" s="1606">
        <v>7020</v>
      </c>
      <c r="M6914" s="1607"/>
      <c r="N6914" s="1606">
        <v>7020</v>
      </c>
      <c r="O6914" s="1606">
        <v>3333.36</v>
      </c>
      <c r="P6914" s="1606">
        <v>3511.2</v>
      </c>
      <c r="Q6914" s="1605">
        <v>175.44</v>
      </c>
      <c r="R6914" s="1606">
        <v>3686.64</v>
      </c>
      <c r="S6914" s="1608"/>
    </row>
    <row r="6915" spans="2:19" s="1609" customFormat="1" ht="11.25" customHeight="1" outlineLevel="1">
      <c r="B6915" s="1602">
        <v>28855</v>
      </c>
      <c r="C6915" s="1603" t="s">
        <v>3771</v>
      </c>
      <c r="D6915" s="1603" t="s">
        <v>3770</v>
      </c>
      <c r="E6915" s="1603"/>
      <c r="F6915" s="1603"/>
      <c r="G6915" s="1603" t="s">
        <v>3769</v>
      </c>
      <c r="H6915" s="1604">
        <v>2</v>
      </c>
      <c r="I6915" s="1603"/>
      <c r="J6915" s="1603"/>
      <c r="K6915" s="1605">
        <v>568</v>
      </c>
      <c r="L6915" s="1606">
        <v>57332</v>
      </c>
      <c r="M6915" s="1607"/>
      <c r="N6915" s="1606">
        <v>57332</v>
      </c>
      <c r="O6915" s="1606">
        <v>27233.119999999999</v>
      </c>
      <c r="P6915" s="1606">
        <v>28665.599999999999</v>
      </c>
      <c r="Q6915" s="1606">
        <v>1433.28</v>
      </c>
      <c r="R6915" s="1606">
        <v>30098.880000000001</v>
      </c>
      <c r="S6915" s="1608"/>
    </row>
    <row r="6916" spans="2:19" s="1609" customFormat="1" ht="11.25" customHeight="1" outlineLevel="1">
      <c r="B6916" s="1602">
        <v>29025</v>
      </c>
      <c r="C6916" s="1603" t="s">
        <v>3768</v>
      </c>
      <c r="D6916" s="1603" t="s">
        <v>3767</v>
      </c>
      <c r="E6916" s="1603"/>
      <c r="F6916" s="1603"/>
      <c r="G6916" s="1603"/>
      <c r="H6916" s="1604">
        <v>1</v>
      </c>
      <c r="I6916" s="1603"/>
      <c r="J6916" s="1603"/>
      <c r="K6916" s="1606">
        <v>10675</v>
      </c>
      <c r="L6916" s="1606">
        <v>10675</v>
      </c>
      <c r="M6916" s="1606">
        <v>-10675</v>
      </c>
      <c r="N6916" s="1607"/>
      <c r="O6916" s="1607"/>
      <c r="P6916" s="1606">
        <v>10675</v>
      </c>
      <c r="Q6916" s="1606">
        <v>-10675</v>
      </c>
      <c r="R6916" s="1607"/>
      <c r="S6916" s="1608"/>
    </row>
    <row r="6917" spans="2:19" s="1609" customFormat="1" ht="11.25" customHeight="1" outlineLevel="1">
      <c r="B6917" s="1602">
        <v>29077</v>
      </c>
      <c r="C6917" s="1603" t="s">
        <v>3765</v>
      </c>
      <c r="D6917" s="1603" t="s">
        <v>3766</v>
      </c>
      <c r="E6917" s="1603"/>
      <c r="F6917" s="1603"/>
      <c r="G6917" s="1603" t="s">
        <v>3763</v>
      </c>
      <c r="H6917" s="1604">
        <v>2</v>
      </c>
      <c r="I6917" s="1603"/>
      <c r="J6917" s="1603"/>
      <c r="K6917" s="1605">
        <v>447</v>
      </c>
      <c r="L6917" s="1606">
        <v>64970</v>
      </c>
      <c r="M6917" s="1607"/>
      <c r="N6917" s="1606">
        <v>64970</v>
      </c>
      <c r="O6917" s="1606">
        <v>38116.44</v>
      </c>
      <c r="P6917" s="1606">
        <v>25554.080000000002</v>
      </c>
      <c r="Q6917" s="1606">
        <v>1299.48</v>
      </c>
      <c r="R6917" s="1606">
        <v>26853.56</v>
      </c>
      <c r="S6917" s="1608"/>
    </row>
    <row r="6918" spans="2:19" s="1609" customFormat="1" ht="11.25" customHeight="1" outlineLevel="1">
      <c r="B6918" s="1602">
        <v>29080</v>
      </c>
      <c r="C6918" s="1603" t="s">
        <v>3765</v>
      </c>
      <c r="D6918" s="1603" t="s">
        <v>3764</v>
      </c>
      <c r="E6918" s="1603"/>
      <c r="F6918" s="1603"/>
      <c r="G6918" s="1603" t="s">
        <v>3763</v>
      </c>
      <c r="H6918" s="1604">
        <v>2</v>
      </c>
      <c r="I6918" s="1603"/>
      <c r="J6918" s="1603"/>
      <c r="K6918" s="1605">
        <v>264</v>
      </c>
      <c r="L6918" s="1606">
        <v>2957</v>
      </c>
      <c r="M6918" s="1607"/>
      <c r="N6918" s="1606">
        <v>2957</v>
      </c>
      <c r="O6918" s="1606">
        <v>1734.36</v>
      </c>
      <c r="P6918" s="1606">
        <v>1163.48</v>
      </c>
      <c r="Q6918" s="1605">
        <v>59.16</v>
      </c>
      <c r="R6918" s="1606">
        <v>1222.6400000000001</v>
      </c>
      <c r="S6918" s="1608"/>
    </row>
    <row r="6919" spans="2:19" s="1609" customFormat="1" ht="11.25" customHeight="1" outlineLevel="1">
      <c r="B6919" s="1602">
        <v>29140</v>
      </c>
      <c r="C6919" s="1603" t="s">
        <v>3760</v>
      </c>
      <c r="D6919" s="1603" t="s">
        <v>3762</v>
      </c>
      <c r="E6919" s="1603"/>
      <c r="F6919" s="1603"/>
      <c r="G6919" s="1603" t="s">
        <v>3761</v>
      </c>
      <c r="H6919" s="1604">
        <v>2</v>
      </c>
      <c r="I6919" s="1603"/>
      <c r="J6919" s="1603"/>
      <c r="K6919" s="1605">
        <v>396</v>
      </c>
      <c r="L6919" s="1606">
        <v>339111</v>
      </c>
      <c r="M6919" s="1607"/>
      <c r="N6919" s="1606">
        <v>339111</v>
      </c>
      <c r="O6919" s="1606">
        <v>164610.44</v>
      </c>
      <c r="P6919" s="1606">
        <v>166022.79999999999</v>
      </c>
      <c r="Q6919" s="1606">
        <v>8477.76</v>
      </c>
      <c r="R6919" s="1606">
        <v>174500.56</v>
      </c>
      <c r="S6919" s="1608"/>
    </row>
    <row r="6920" spans="2:19" s="1609" customFormat="1" ht="11.25" customHeight="1" outlineLevel="1">
      <c r="B6920" s="1602">
        <v>29143</v>
      </c>
      <c r="C6920" s="1603" t="s">
        <v>3760</v>
      </c>
      <c r="D6920" s="1603" t="s">
        <v>3759</v>
      </c>
      <c r="E6920" s="1603"/>
      <c r="F6920" s="1603"/>
      <c r="G6920" s="1603" t="s">
        <v>3758</v>
      </c>
      <c r="H6920" s="1604">
        <v>2</v>
      </c>
      <c r="I6920" s="1603"/>
      <c r="J6920" s="1603"/>
      <c r="K6920" s="1605">
        <v>316</v>
      </c>
      <c r="L6920" s="1606">
        <v>77964</v>
      </c>
      <c r="M6920" s="1607"/>
      <c r="N6920" s="1606">
        <v>77964</v>
      </c>
      <c r="O6920" s="1606">
        <v>25059.19</v>
      </c>
      <c r="P6920" s="1606">
        <v>50334.65</v>
      </c>
      <c r="Q6920" s="1606">
        <v>2570.16</v>
      </c>
      <c r="R6920" s="1606">
        <v>52904.81</v>
      </c>
      <c r="S6920" s="1608"/>
    </row>
    <row r="6921" spans="2:19" s="1609" customFormat="1" ht="11.25" customHeight="1" outlineLevel="1">
      <c r="B6921" s="1602">
        <v>29162</v>
      </c>
      <c r="C6921" s="1603" t="s">
        <v>3751</v>
      </c>
      <c r="D6921" s="1603" t="s">
        <v>3757</v>
      </c>
      <c r="E6921" s="1603"/>
      <c r="F6921" s="1603"/>
      <c r="G6921" s="1603" t="s">
        <v>3756</v>
      </c>
      <c r="H6921" s="1604">
        <v>2</v>
      </c>
      <c r="I6921" s="1603"/>
      <c r="J6921" s="1603"/>
      <c r="K6921" s="1605">
        <v>708</v>
      </c>
      <c r="L6921" s="1606">
        <v>57369</v>
      </c>
      <c r="M6921" s="1607"/>
      <c r="N6921" s="1606">
        <v>57369</v>
      </c>
      <c r="O6921" s="1606">
        <v>33846.6</v>
      </c>
      <c r="P6921" s="1606">
        <v>22375.08</v>
      </c>
      <c r="Q6921" s="1606">
        <v>1147.32</v>
      </c>
      <c r="R6921" s="1606">
        <v>23522.400000000001</v>
      </c>
      <c r="S6921" s="1608"/>
    </row>
    <row r="6922" spans="2:19" s="1609" customFormat="1" ht="11.25" customHeight="1" outlineLevel="1">
      <c r="B6922" s="1602">
        <v>29163</v>
      </c>
      <c r="C6922" s="1603" t="s">
        <v>3751</v>
      </c>
      <c r="D6922" s="1603" t="s">
        <v>3755</v>
      </c>
      <c r="E6922" s="1603"/>
      <c r="F6922" s="1603"/>
      <c r="G6922" s="1603" t="s">
        <v>3754</v>
      </c>
      <c r="H6922" s="1604">
        <v>2</v>
      </c>
      <c r="I6922" s="1603"/>
      <c r="J6922" s="1603"/>
      <c r="K6922" s="1605">
        <v>586</v>
      </c>
      <c r="L6922" s="1606">
        <v>40639</v>
      </c>
      <c r="M6922" s="1607"/>
      <c r="N6922" s="1606">
        <v>40639</v>
      </c>
      <c r="O6922" s="1606">
        <v>19812.52</v>
      </c>
      <c r="P6922" s="1606">
        <v>19810.439999999999</v>
      </c>
      <c r="Q6922" s="1606">
        <v>1016.04</v>
      </c>
      <c r="R6922" s="1606">
        <v>20826.48</v>
      </c>
      <c r="S6922" s="1608"/>
    </row>
    <row r="6923" spans="2:19" s="1609" customFormat="1" ht="11.25" customHeight="1" outlineLevel="1">
      <c r="B6923" s="1602">
        <v>29165</v>
      </c>
      <c r="C6923" s="1603" t="s">
        <v>3751</v>
      </c>
      <c r="D6923" s="1603" t="s">
        <v>3753</v>
      </c>
      <c r="E6923" s="1603" t="s">
        <v>2219</v>
      </c>
      <c r="F6923" s="1603"/>
      <c r="G6923" s="1603" t="s">
        <v>3752</v>
      </c>
      <c r="H6923" s="1604">
        <v>2</v>
      </c>
      <c r="I6923" s="1611">
        <v>59.6</v>
      </c>
      <c r="J6923" s="1603"/>
      <c r="K6923" s="1605">
        <v>957</v>
      </c>
      <c r="L6923" s="1606">
        <v>57055</v>
      </c>
      <c r="M6923" s="1607"/>
      <c r="N6923" s="1606">
        <v>57055</v>
      </c>
      <c r="O6923" s="1606">
        <v>33662.86</v>
      </c>
      <c r="P6923" s="1606">
        <v>22251.06</v>
      </c>
      <c r="Q6923" s="1606">
        <v>1141.08</v>
      </c>
      <c r="R6923" s="1606">
        <v>23392.14</v>
      </c>
      <c r="S6923" s="1608"/>
    </row>
    <row r="6924" spans="2:19" s="1609" customFormat="1" ht="11.25" customHeight="1" outlineLevel="1">
      <c r="B6924" s="1602">
        <v>29168</v>
      </c>
      <c r="C6924" s="1603" t="s">
        <v>3751</v>
      </c>
      <c r="D6924" s="1603" t="s">
        <v>3750</v>
      </c>
      <c r="E6924" s="1603"/>
      <c r="F6924" s="1603"/>
      <c r="G6924" s="1603" t="s">
        <v>3749</v>
      </c>
      <c r="H6924" s="1604">
        <v>2</v>
      </c>
      <c r="I6924" s="1611">
        <v>44.5</v>
      </c>
      <c r="J6924" s="1603"/>
      <c r="K6924" s="1605">
        <v>957</v>
      </c>
      <c r="L6924" s="1606">
        <v>42600</v>
      </c>
      <c r="M6924" s="1607"/>
      <c r="N6924" s="1606">
        <v>42600</v>
      </c>
      <c r="O6924" s="1606">
        <v>25134</v>
      </c>
      <c r="P6924" s="1606">
        <v>16614</v>
      </c>
      <c r="Q6924" s="1605">
        <v>852</v>
      </c>
      <c r="R6924" s="1606">
        <v>17466</v>
      </c>
      <c r="S6924" s="1608"/>
    </row>
    <row r="6925" spans="2:19" s="1609" customFormat="1" ht="11.25" customHeight="1" outlineLevel="1">
      <c r="B6925" s="1602">
        <v>29259</v>
      </c>
      <c r="C6925" s="1603" t="s">
        <v>3748</v>
      </c>
      <c r="D6925" s="1603" t="s">
        <v>3747</v>
      </c>
      <c r="E6925" s="1603"/>
      <c r="F6925" s="1603"/>
      <c r="G6925" s="1603" t="s">
        <v>3746</v>
      </c>
      <c r="H6925" s="1604">
        <v>2</v>
      </c>
      <c r="I6925" s="1603"/>
      <c r="J6925" s="1603"/>
      <c r="K6925" s="1605">
        <v>409</v>
      </c>
      <c r="L6925" s="1606">
        <v>59479</v>
      </c>
      <c r="M6925" s="1607"/>
      <c r="N6925" s="1606">
        <v>59479</v>
      </c>
      <c r="O6925" s="1606">
        <v>29120.93</v>
      </c>
      <c r="P6925" s="1606">
        <v>28871.03</v>
      </c>
      <c r="Q6925" s="1606">
        <v>1487.04</v>
      </c>
      <c r="R6925" s="1606">
        <v>30358.07</v>
      </c>
      <c r="S6925" s="1608"/>
    </row>
    <row r="6926" spans="2:19" s="1609" customFormat="1" ht="11.25" customHeight="1" outlineLevel="1">
      <c r="B6926" s="1602">
        <v>29365</v>
      </c>
      <c r="C6926" s="1603" t="s">
        <v>3745</v>
      </c>
      <c r="D6926" s="1603" t="s">
        <v>3744</v>
      </c>
      <c r="E6926" s="1603"/>
      <c r="F6926" s="1603"/>
      <c r="G6926" s="1603" t="s">
        <v>3743</v>
      </c>
      <c r="H6926" s="1604">
        <v>2</v>
      </c>
      <c r="I6926" s="1603"/>
      <c r="J6926" s="1603"/>
      <c r="K6926" s="1605">
        <v>783</v>
      </c>
      <c r="L6926" s="1606">
        <v>72213</v>
      </c>
      <c r="M6926" s="1607"/>
      <c r="N6926" s="1606">
        <v>72213</v>
      </c>
      <c r="O6926" s="1606">
        <v>24202.74</v>
      </c>
      <c r="P6926" s="1606">
        <v>45629.7</v>
      </c>
      <c r="Q6926" s="1606">
        <v>2380.56</v>
      </c>
      <c r="R6926" s="1606">
        <v>48010.26</v>
      </c>
      <c r="S6926" s="1608"/>
    </row>
    <row r="6927" spans="2:19" s="1609" customFormat="1" ht="11.25" customHeight="1" outlineLevel="1">
      <c r="B6927" s="1602">
        <v>29461</v>
      </c>
      <c r="C6927" s="1603" t="s">
        <v>3740</v>
      </c>
      <c r="D6927" s="1603" t="s">
        <v>3742</v>
      </c>
      <c r="E6927" s="1603"/>
      <c r="F6927" s="1603"/>
      <c r="G6927" s="1603" t="s">
        <v>3738</v>
      </c>
      <c r="H6927" s="1604">
        <v>2</v>
      </c>
      <c r="I6927" s="1603"/>
      <c r="J6927" s="1603"/>
      <c r="K6927" s="1605">
        <v>406</v>
      </c>
      <c r="L6927" s="1606">
        <v>425317</v>
      </c>
      <c r="M6927" s="1607"/>
      <c r="N6927" s="1606">
        <v>425317</v>
      </c>
      <c r="O6927" s="1606">
        <v>212657.92000000001</v>
      </c>
      <c r="P6927" s="1606">
        <v>202026.23999999999</v>
      </c>
      <c r="Q6927" s="1606">
        <v>10632.84</v>
      </c>
      <c r="R6927" s="1606">
        <v>212659.08</v>
      </c>
      <c r="S6927" s="1608"/>
    </row>
    <row r="6928" spans="2:19" s="1609" customFormat="1" ht="11.25" customHeight="1" outlineLevel="1">
      <c r="B6928" s="1602">
        <v>29462</v>
      </c>
      <c r="C6928" s="1603" t="s">
        <v>3740</v>
      </c>
      <c r="D6928" s="1603" t="s">
        <v>3741</v>
      </c>
      <c r="E6928" s="1603"/>
      <c r="F6928" s="1603"/>
      <c r="G6928" s="1603" t="s">
        <v>3738</v>
      </c>
      <c r="H6928" s="1604">
        <v>2</v>
      </c>
      <c r="I6928" s="1603"/>
      <c r="J6928" s="1603"/>
      <c r="K6928" s="1605">
        <v>406</v>
      </c>
      <c r="L6928" s="1606">
        <v>1287882</v>
      </c>
      <c r="M6928" s="1607"/>
      <c r="N6928" s="1606">
        <v>1287882</v>
      </c>
      <c r="O6928" s="1606">
        <v>772729.2</v>
      </c>
      <c r="P6928" s="1606">
        <v>489395.16</v>
      </c>
      <c r="Q6928" s="1606">
        <v>25757.64</v>
      </c>
      <c r="R6928" s="1606">
        <v>515152.8</v>
      </c>
      <c r="S6928" s="1608"/>
    </row>
    <row r="6929" spans="2:19" s="1609" customFormat="1" ht="11.25" customHeight="1" outlineLevel="1">
      <c r="B6929" s="1602">
        <v>29463</v>
      </c>
      <c r="C6929" s="1603" t="s">
        <v>3740</v>
      </c>
      <c r="D6929" s="1603" t="s">
        <v>3739</v>
      </c>
      <c r="E6929" s="1603"/>
      <c r="F6929" s="1603"/>
      <c r="G6929" s="1603" t="s">
        <v>3738</v>
      </c>
      <c r="H6929" s="1604">
        <v>2</v>
      </c>
      <c r="I6929" s="1603"/>
      <c r="J6929" s="1603"/>
      <c r="K6929" s="1605">
        <v>406</v>
      </c>
      <c r="L6929" s="1606">
        <v>409854</v>
      </c>
      <c r="M6929" s="1607"/>
      <c r="N6929" s="1606">
        <v>409854</v>
      </c>
      <c r="O6929" s="1606">
        <v>81970.8</v>
      </c>
      <c r="P6929" s="1606">
        <v>311489.03999999998</v>
      </c>
      <c r="Q6929" s="1606">
        <v>16394.16</v>
      </c>
      <c r="R6929" s="1606">
        <v>327883.2</v>
      </c>
      <c r="S6929" s="1608"/>
    </row>
    <row r="6930" spans="2:19" s="1609" customFormat="1" ht="11.25" customHeight="1" outlineLevel="1">
      <c r="B6930" s="1602">
        <v>31011</v>
      </c>
      <c r="C6930" s="1603" t="s">
        <v>3737</v>
      </c>
      <c r="D6930" s="1603" t="s">
        <v>3736</v>
      </c>
      <c r="E6930" s="1603"/>
      <c r="F6930" s="1603"/>
      <c r="G6930" s="1603" t="s">
        <v>3734</v>
      </c>
      <c r="H6930" s="1604">
        <v>2</v>
      </c>
      <c r="I6930" s="1603"/>
      <c r="J6930" s="1603"/>
      <c r="K6930" s="1606">
        <v>92768</v>
      </c>
      <c r="L6930" s="1606">
        <v>92768</v>
      </c>
      <c r="M6930" s="1607"/>
      <c r="N6930" s="1606">
        <v>92768</v>
      </c>
      <c r="O6930" s="1606">
        <v>21954.45</v>
      </c>
      <c r="P6930" s="1606">
        <v>67102.91</v>
      </c>
      <c r="Q6930" s="1606">
        <v>3710.64</v>
      </c>
      <c r="R6930" s="1606">
        <v>70813.55</v>
      </c>
      <c r="S6930" s="1608"/>
    </row>
    <row r="6931" spans="2:19" s="1609" customFormat="1" ht="11.25" customHeight="1" outlineLevel="1">
      <c r="B6931" s="1602">
        <v>31132</v>
      </c>
      <c r="C6931" s="1603" t="s">
        <v>3721</v>
      </c>
      <c r="D6931" s="1603" t="s">
        <v>3735</v>
      </c>
      <c r="E6931" s="1603"/>
      <c r="F6931" s="1603"/>
      <c r="G6931" s="1603" t="s">
        <v>3734</v>
      </c>
      <c r="H6931" s="1604">
        <v>2</v>
      </c>
      <c r="I6931" s="1603"/>
      <c r="J6931" s="1603"/>
      <c r="K6931" s="1606">
        <v>46835</v>
      </c>
      <c r="L6931" s="1606">
        <v>46835</v>
      </c>
      <c r="M6931" s="1607"/>
      <c r="N6931" s="1606">
        <v>46835</v>
      </c>
      <c r="O6931" s="1606">
        <v>29037.32</v>
      </c>
      <c r="P6931" s="1606">
        <v>16860.96</v>
      </c>
      <c r="Q6931" s="1605">
        <v>936.72</v>
      </c>
      <c r="R6931" s="1606">
        <v>17797.68</v>
      </c>
      <c r="S6931" s="1608"/>
    </row>
    <row r="6932" spans="2:19" s="1609" customFormat="1" ht="21.75" customHeight="1" outlineLevel="1">
      <c r="B6932" s="1602">
        <v>31147</v>
      </c>
      <c r="C6932" s="1603" t="s">
        <v>3721</v>
      </c>
      <c r="D6932" s="1603" t="s">
        <v>3733</v>
      </c>
      <c r="E6932" s="1603" t="s">
        <v>3732</v>
      </c>
      <c r="F6932" s="1603"/>
      <c r="G6932" s="1603" t="s">
        <v>3731</v>
      </c>
      <c r="H6932" s="1604">
        <v>2</v>
      </c>
      <c r="I6932" s="1603"/>
      <c r="J6932" s="1603"/>
      <c r="K6932" s="1606">
        <v>1251924</v>
      </c>
      <c r="L6932" s="1606">
        <v>8409065.2300000004</v>
      </c>
      <c r="M6932" s="1607"/>
      <c r="N6932" s="1606">
        <v>8409065.2300000004</v>
      </c>
      <c r="O6932" s="1606">
        <v>3981281.35</v>
      </c>
      <c r="P6932" s="1606">
        <v>3764237.04</v>
      </c>
      <c r="Q6932" s="1606">
        <v>663546.84</v>
      </c>
      <c r="R6932" s="1606">
        <v>4427783.88</v>
      </c>
      <c r="S6932" s="1608"/>
    </row>
    <row r="6933" spans="2:19" s="1609" customFormat="1" ht="11.25" customHeight="1" outlineLevel="1">
      <c r="B6933" s="1602">
        <v>31148</v>
      </c>
      <c r="C6933" s="1603" t="s">
        <v>3721</v>
      </c>
      <c r="D6933" s="1603" t="s">
        <v>3730</v>
      </c>
      <c r="E6933" s="1603"/>
      <c r="F6933" s="1603"/>
      <c r="G6933" s="1603" t="s">
        <v>3729</v>
      </c>
      <c r="H6933" s="1604">
        <v>2</v>
      </c>
      <c r="I6933" s="1603"/>
      <c r="J6933" s="1603"/>
      <c r="K6933" s="1606">
        <v>436470</v>
      </c>
      <c r="L6933" s="1606">
        <v>436470</v>
      </c>
      <c r="M6933" s="1607"/>
      <c r="N6933" s="1606">
        <v>436470</v>
      </c>
      <c r="O6933" s="1606">
        <v>21822.959999999999</v>
      </c>
      <c r="P6933" s="1606">
        <v>392824.08</v>
      </c>
      <c r="Q6933" s="1606">
        <v>21822.959999999999</v>
      </c>
      <c r="R6933" s="1606">
        <v>414647.03999999998</v>
      </c>
      <c r="S6933" s="1608"/>
    </row>
    <row r="6934" spans="2:19" s="1609" customFormat="1" ht="11.25" customHeight="1" outlineLevel="1">
      <c r="B6934" s="1602">
        <v>31152</v>
      </c>
      <c r="C6934" s="1603" t="s">
        <v>3721</v>
      </c>
      <c r="D6934" s="1603" t="s">
        <v>3728</v>
      </c>
      <c r="E6934" s="1603"/>
      <c r="F6934" s="1603"/>
      <c r="G6934" s="1603" t="s">
        <v>3727</v>
      </c>
      <c r="H6934" s="1604">
        <v>2</v>
      </c>
      <c r="I6934" s="1603"/>
      <c r="J6934" s="1603"/>
      <c r="K6934" s="1606">
        <v>748771</v>
      </c>
      <c r="L6934" s="1606">
        <v>2640192.9700000002</v>
      </c>
      <c r="M6934" s="1607"/>
      <c r="N6934" s="1606">
        <v>2640192.9700000002</v>
      </c>
      <c r="O6934" s="1606">
        <v>1858048.47</v>
      </c>
      <c r="P6934" s="1606">
        <v>641026.9</v>
      </c>
      <c r="Q6934" s="1606">
        <v>141117.6</v>
      </c>
      <c r="R6934" s="1606">
        <v>782144.5</v>
      </c>
      <c r="S6934" s="1608"/>
    </row>
    <row r="6935" spans="2:19" s="1609" customFormat="1" ht="11.25" customHeight="1" outlineLevel="1">
      <c r="B6935" s="1602">
        <v>31159</v>
      </c>
      <c r="C6935" s="1603" t="s">
        <v>3721</v>
      </c>
      <c r="D6935" s="1603" t="s">
        <v>3726</v>
      </c>
      <c r="E6935" s="1603"/>
      <c r="F6935" s="1603"/>
      <c r="G6935" s="1603" t="s">
        <v>3724</v>
      </c>
      <c r="H6935" s="1604">
        <v>2</v>
      </c>
      <c r="I6935" s="1603"/>
      <c r="J6935" s="1603"/>
      <c r="K6935" s="1606">
        <v>49319</v>
      </c>
      <c r="L6935" s="1606">
        <v>49319</v>
      </c>
      <c r="M6935" s="1607"/>
      <c r="N6935" s="1606">
        <v>49319</v>
      </c>
      <c r="O6935" s="1606">
        <v>11835.92</v>
      </c>
      <c r="P6935" s="1606">
        <v>35510.400000000001</v>
      </c>
      <c r="Q6935" s="1606">
        <v>1972.68</v>
      </c>
      <c r="R6935" s="1606">
        <v>37483.08</v>
      </c>
      <c r="S6935" s="1608"/>
    </row>
    <row r="6936" spans="2:19" s="1609" customFormat="1" ht="11.25" customHeight="1" outlineLevel="1">
      <c r="B6936" s="1602">
        <v>31173</v>
      </c>
      <c r="C6936" s="1603" t="s">
        <v>3721</v>
      </c>
      <c r="D6936" s="1603" t="s">
        <v>3725</v>
      </c>
      <c r="E6936" s="1603"/>
      <c r="F6936" s="1603"/>
      <c r="G6936" s="1603" t="s">
        <v>3724</v>
      </c>
      <c r="H6936" s="1604">
        <v>2</v>
      </c>
      <c r="I6936" s="1603"/>
      <c r="J6936" s="1603"/>
      <c r="K6936" s="1606">
        <v>10207</v>
      </c>
      <c r="L6936" s="1606">
        <v>10207</v>
      </c>
      <c r="M6936" s="1607"/>
      <c r="N6936" s="1606">
        <v>10207</v>
      </c>
      <c r="O6936" s="1606">
        <v>2450.3200000000002</v>
      </c>
      <c r="P6936" s="1606">
        <v>7348.32</v>
      </c>
      <c r="Q6936" s="1605">
        <v>408.36</v>
      </c>
      <c r="R6936" s="1606">
        <v>7756.68</v>
      </c>
      <c r="S6936" s="1608"/>
    </row>
    <row r="6937" spans="2:19" s="1609" customFormat="1" ht="11.25" customHeight="1" outlineLevel="1">
      <c r="B6937" s="1602">
        <v>31186</v>
      </c>
      <c r="C6937" s="1603" t="s">
        <v>3721</v>
      </c>
      <c r="D6937" s="1603" t="s">
        <v>3723</v>
      </c>
      <c r="E6937" s="1603"/>
      <c r="F6937" s="1603"/>
      <c r="G6937" s="1603" t="s">
        <v>3722</v>
      </c>
      <c r="H6937" s="1604">
        <v>2</v>
      </c>
      <c r="I6937" s="1603"/>
      <c r="J6937" s="1603"/>
      <c r="K6937" s="1606">
        <v>63911</v>
      </c>
      <c r="L6937" s="1606">
        <v>63911</v>
      </c>
      <c r="M6937" s="1607"/>
      <c r="N6937" s="1606">
        <v>63911</v>
      </c>
      <c r="O6937" s="1606">
        <v>3195.08</v>
      </c>
      <c r="P6937" s="1606">
        <v>57520.800000000003</v>
      </c>
      <c r="Q6937" s="1606">
        <v>3195.12</v>
      </c>
      <c r="R6937" s="1606">
        <v>60715.92</v>
      </c>
      <c r="S6937" s="1608"/>
    </row>
    <row r="6938" spans="2:19" s="1609" customFormat="1" ht="11.25" customHeight="1" outlineLevel="1">
      <c r="B6938" s="1602">
        <v>31195</v>
      </c>
      <c r="C6938" s="1603" t="s">
        <v>3721</v>
      </c>
      <c r="D6938" s="1603" t="s">
        <v>3720</v>
      </c>
      <c r="E6938" s="1603"/>
      <c r="F6938" s="1603"/>
      <c r="G6938" s="1603" t="s">
        <v>3719</v>
      </c>
      <c r="H6938" s="1604">
        <v>2</v>
      </c>
      <c r="I6938" s="1603"/>
      <c r="J6938" s="1603"/>
      <c r="K6938" s="1606">
        <v>71506</v>
      </c>
      <c r="L6938" s="1606">
        <v>71506</v>
      </c>
      <c r="M6938" s="1607"/>
      <c r="N6938" s="1606">
        <v>71506</v>
      </c>
      <c r="O6938" s="1606">
        <v>17162.080000000002</v>
      </c>
      <c r="P6938" s="1606">
        <v>51483.6</v>
      </c>
      <c r="Q6938" s="1606">
        <v>2860.32</v>
      </c>
      <c r="R6938" s="1606">
        <v>54343.92</v>
      </c>
      <c r="S6938" s="1608"/>
    </row>
    <row r="6939" spans="2:19" s="1609" customFormat="1" ht="11.25" customHeight="1" outlineLevel="1">
      <c r="B6939" s="1602">
        <v>31239</v>
      </c>
      <c r="C6939" s="1603" t="s">
        <v>3716</v>
      </c>
      <c r="D6939" s="1603" t="s">
        <v>3718</v>
      </c>
      <c r="E6939" s="1603"/>
      <c r="F6939" s="1603"/>
      <c r="G6939" s="1603" t="s">
        <v>3717</v>
      </c>
      <c r="H6939" s="1604">
        <v>2</v>
      </c>
      <c r="I6939" s="1603"/>
      <c r="J6939" s="1603"/>
      <c r="K6939" s="1606">
        <v>487777</v>
      </c>
      <c r="L6939" s="1606">
        <v>48777</v>
      </c>
      <c r="M6939" s="1607"/>
      <c r="N6939" s="1606">
        <v>48777</v>
      </c>
      <c r="O6939" s="1606">
        <v>18275</v>
      </c>
      <c r="P6939" s="1606">
        <v>28889.55</v>
      </c>
      <c r="Q6939" s="1606">
        <v>1612.45</v>
      </c>
      <c r="R6939" s="1606">
        <v>30502</v>
      </c>
      <c r="S6939" s="1608"/>
    </row>
    <row r="6940" spans="2:19" s="1609" customFormat="1" ht="11.25" customHeight="1" outlineLevel="1">
      <c r="B6940" s="1602">
        <v>31240</v>
      </c>
      <c r="C6940" s="1603" t="s">
        <v>3716</v>
      </c>
      <c r="D6940" s="1603" t="s">
        <v>3715</v>
      </c>
      <c r="E6940" s="1603"/>
      <c r="F6940" s="1603"/>
      <c r="G6940" s="1603" t="s">
        <v>3714</v>
      </c>
      <c r="H6940" s="1604">
        <v>2</v>
      </c>
      <c r="I6940" s="1603"/>
      <c r="J6940" s="1603"/>
      <c r="K6940" s="1605">
        <v>424</v>
      </c>
      <c r="L6940" s="1606">
        <v>9336</v>
      </c>
      <c r="M6940" s="1607"/>
      <c r="N6940" s="1606">
        <v>9336</v>
      </c>
      <c r="O6940" s="1606">
        <v>5803.88</v>
      </c>
      <c r="P6940" s="1606">
        <v>3345.4</v>
      </c>
      <c r="Q6940" s="1605">
        <v>186.72</v>
      </c>
      <c r="R6940" s="1606">
        <v>3532.12</v>
      </c>
      <c r="S6940" s="1608"/>
    </row>
    <row r="6941" spans="2:19" s="1609" customFormat="1" ht="11.25" customHeight="1" outlineLevel="1">
      <c r="B6941" s="1602">
        <v>28974</v>
      </c>
      <c r="C6941" s="1603" t="s">
        <v>3713</v>
      </c>
      <c r="D6941" s="1603" t="s">
        <v>3712</v>
      </c>
      <c r="E6941" s="1603"/>
      <c r="F6941" s="1603"/>
      <c r="G6941" s="1603"/>
      <c r="H6941" s="1604">
        <v>1</v>
      </c>
      <c r="I6941" s="1603"/>
      <c r="J6941" s="1603"/>
      <c r="K6941" s="1606">
        <v>10675</v>
      </c>
      <c r="L6941" s="1606">
        <v>10675</v>
      </c>
      <c r="M6941" s="1606">
        <v>-10675</v>
      </c>
      <c r="N6941" s="1607"/>
      <c r="O6941" s="1607"/>
      <c r="P6941" s="1606">
        <v>10675</v>
      </c>
      <c r="Q6941" s="1606">
        <v>-10675</v>
      </c>
      <c r="R6941" s="1607"/>
      <c r="S6941" s="1608"/>
    </row>
    <row r="6942" spans="2:19" s="1609" customFormat="1" ht="11.25" customHeight="1" outlineLevel="1">
      <c r="B6942" s="1602">
        <v>31379</v>
      </c>
      <c r="C6942" s="1603" t="s">
        <v>3711</v>
      </c>
      <c r="D6942" s="1603" t="s">
        <v>3710</v>
      </c>
      <c r="E6942" s="1603"/>
      <c r="F6942" s="1603"/>
      <c r="G6942" s="1603" t="s">
        <v>3709</v>
      </c>
      <c r="H6942" s="1604">
        <v>2</v>
      </c>
      <c r="I6942" s="1603"/>
      <c r="J6942" s="1603"/>
      <c r="K6942" s="1606">
        <v>13568</v>
      </c>
      <c r="L6942" s="1606">
        <v>13568</v>
      </c>
      <c r="M6942" s="1607"/>
      <c r="N6942" s="1606">
        <v>13568</v>
      </c>
      <c r="O6942" s="1606">
        <v>4057.37</v>
      </c>
      <c r="P6942" s="1606">
        <v>9003.51</v>
      </c>
      <c r="Q6942" s="1605">
        <v>507.12</v>
      </c>
      <c r="R6942" s="1606">
        <v>9510.6299999999992</v>
      </c>
      <c r="S6942" s="1608"/>
    </row>
    <row r="6943" spans="2:19" s="1609" customFormat="1" ht="11.25" customHeight="1" outlineLevel="1">
      <c r="B6943" s="1602">
        <v>31526</v>
      </c>
      <c r="C6943" s="1603" t="s">
        <v>3708</v>
      </c>
      <c r="D6943" s="1603" t="s">
        <v>3707</v>
      </c>
      <c r="E6943" s="1603"/>
      <c r="F6943" s="1603"/>
      <c r="G6943" s="1603" t="s">
        <v>3706</v>
      </c>
      <c r="H6943" s="1604">
        <v>2</v>
      </c>
      <c r="I6943" s="1603"/>
      <c r="J6943" s="1603"/>
      <c r="K6943" s="1606">
        <v>4999.8999999999996</v>
      </c>
      <c r="L6943" s="1606">
        <v>4999.8999999999996</v>
      </c>
      <c r="M6943" s="1607"/>
      <c r="N6943" s="1606">
        <v>4999.8999999999996</v>
      </c>
      <c r="O6943" s="1606">
        <v>3142.29</v>
      </c>
      <c r="P6943" s="1606">
        <v>1757.63</v>
      </c>
      <c r="Q6943" s="1605">
        <v>99.98</v>
      </c>
      <c r="R6943" s="1606">
        <v>1857.61</v>
      </c>
      <c r="S6943" s="1608"/>
    </row>
    <row r="6944" spans="2:19" s="1609" customFormat="1" ht="11.25" customHeight="1" outlineLevel="1">
      <c r="B6944" s="1602">
        <v>31645</v>
      </c>
      <c r="C6944" s="1603" t="s">
        <v>3705</v>
      </c>
      <c r="D6944" s="1603" t="s">
        <v>3704</v>
      </c>
      <c r="E6944" s="1603"/>
      <c r="F6944" s="1603"/>
      <c r="G6944" s="1603" t="s">
        <v>3664</v>
      </c>
      <c r="H6944" s="1604">
        <v>2</v>
      </c>
      <c r="I6944" s="1603"/>
      <c r="J6944" s="1603"/>
      <c r="K6944" s="1606">
        <v>41605</v>
      </c>
      <c r="L6944" s="1606">
        <v>41605</v>
      </c>
      <c r="M6944" s="1607"/>
      <c r="N6944" s="1606">
        <v>41605</v>
      </c>
      <c r="O6944" s="1606">
        <v>26211.52</v>
      </c>
      <c r="P6944" s="1606">
        <v>14561.4</v>
      </c>
      <c r="Q6944" s="1605">
        <v>832.08</v>
      </c>
      <c r="R6944" s="1606">
        <v>15393.48</v>
      </c>
      <c r="S6944" s="1608"/>
    </row>
    <row r="6945" spans="2:19" s="1609" customFormat="1" ht="11.25" customHeight="1" outlineLevel="1">
      <c r="B6945" s="1602">
        <v>31620</v>
      </c>
      <c r="C6945" s="1603" t="s">
        <v>3663</v>
      </c>
      <c r="D6945" s="1603" t="s">
        <v>3703</v>
      </c>
      <c r="E6945" s="1603"/>
      <c r="F6945" s="1603"/>
      <c r="G6945" s="1603" t="s">
        <v>3702</v>
      </c>
      <c r="H6945" s="1604">
        <v>2</v>
      </c>
      <c r="I6945" s="1603"/>
      <c r="J6945" s="1603"/>
      <c r="K6945" s="1606">
        <v>36361</v>
      </c>
      <c r="L6945" s="1606">
        <v>36361</v>
      </c>
      <c r="M6945" s="1607"/>
      <c r="N6945" s="1606">
        <v>36361</v>
      </c>
      <c r="O6945" s="1606">
        <v>22907.8</v>
      </c>
      <c r="P6945" s="1606">
        <v>12726</v>
      </c>
      <c r="Q6945" s="1605">
        <v>727.2</v>
      </c>
      <c r="R6945" s="1606">
        <v>13453.2</v>
      </c>
      <c r="S6945" s="1608"/>
    </row>
    <row r="6946" spans="2:19" s="1609" customFormat="1" ht="11.25" customHeight="1" outlineLevel="1">
      <c r="B6946" s="1602">
        <v>31621</v>
      </c>
      <c r="C6946" s="1603" t="s">
        <v>3663</v>
      </c>
      <c r="D6946" s="1603" t="s">
        <v>3701</v>
      </c>
      <c r="E6946" s="1603"/>
      <c r="F6946" s="1603"/>
      <c r="G6946" s="1603" t="s">
        <v>3700</v>
      </c>
      <c r="H6946" s="1604">
        <v>2</v>
      </c>
      <c r="I6946" s="1603"/>
      <c r="J6946" s="1603"/>
      <c r="K6946" s="1606">
        <v>18356</v>
      </c>
      <c r="L6946" s="1606">
        <v>18356</v>
      </c>
      <c r="M6946" s="1607"/>
      <c r="N6946" s="1606">
        <v>18356</v>
      </c>
      <c r="O6946" s="1606">
        <v>11564.91</v>
      </c>
      <c r="P6946" s="1606">
        <v>6423.9</v>
      </c>
      <c r="Q6946" s="1605">
        <v>367.19</v>
      </c>
      <c r="R6946" s="1606">
        <v>6791.09</v>
      </c>
      <c r="S6946" s="1608"/>
    </row>
    <row r="6947" spans="2:19" s="1609" customFormat="1" ht="11.25" customHeight="1" outlineLevel="1">
      <c r="B6947" s="1602">
        <v>31622</v>
      </c>
      <c r="C6947" s="1603" t="s">
        <v>3663</v>
      </c>
      <c r="D6947" s="1603" t="s">
        <v>3699</v>
      </c>
      <c r="E6947" s="1603"/>
      <c r="F6947" s="1603"/>
      <c r="G6947" s="1603" t="s">
        <v>3698</v>
      </c>
      <c r="H6947" s="1604">
        <v>2</v>
      </c>
      <c r="I6947" s="1603"/>
      <c r="J6947" s="1603"/>
      <c r="K6947" s="1606">
        <v>29208</v>
      </c>
      <c r="L6947" s="1606">
        <v>29208</v>
      </c>
      <c r="M6947" s="1607"/>
      <c r="N6947" s="1606">
        <v>29208</v>
      </c>
      <c r="O6947" s="1606">
        <v>18401.04</v>
      </c>
      <c r="P6947" s="1606">
        <v>10222.799999999999</v>
      </c>
      <c r="Q6947" s="1605">
        <v>584.16</v>
      </c>
      <c r="R6947" s="1606">
        <v>10806.96</v>
      </c>
      <c r="S6947" s="1608"/>
    </row>
    <row r="6948" spans="2:19" s="1609" customFormat="1" ht="11.25" customHeight="1" outlineLevel="1">
      <c r="B6948" s="1602">
        <v>31623</v>
      </c>
      <c r="C6948" s="1603" t="s">
        <v>3663</v>
      </c>
      <c r="D6948" s="1603" t="s">
        <v>3697</v>
      </c>
      <c r="E6948" s="1603"/>
      <c r="F6948" s="1603"/>
      <c r="G6948" s="1603" t="s">
        <v>3696</v>
      </c>
      <c r="H6948" s="1604">
        <v>2</v>
      </c>
      <c r="I6948" s="1603"/>
      <c r="J6948" s="1603"/>
      <c r="K6948" s="1606">
        <v>15927</v>
      </c>
      <c r="L6948" s="1606">
        <v>29208</v>
      </c>
      <c r="M6948" s="1607"/>
      <c r="N6948" s="1606">
        <v>29208</v>
      </c>
      <c r="O6948" s="1606">
        <v>18401.04</v>
      </c>
      <c r="P6948" s="1606">
        <v>10222.799999999999</v>
      </c>
      <c r="Q6948" s="1605">
        <v>584.16</v>
      </c>
      <c r="R6948" s="1606">
        <v>10806.96</v>
      </c>
      <c r="S6948" s="1608"/>
    </row>
    <row r="6949" spans="2:19" s="1609" customFormat="1" ht="11.25" customHeight="1" outlineLevel="1">
      <c r="B6949" s="1602">
        <v>31624</v>
      </c>
      <c r="C6949" s="1603" t="s">
        <v>3663</v>
      </c>
      <c r="D6949" s="1603" t="s">
        <v>3695</v>
      </c>
      <c r="E6949" s="1603"/>
      <c r="F6949" s="1603"/>
      <c r="G6949" s="1603" t="s">
        <v>3694</v>
      </c>
      <c r="H6949" s="1604">
        <v>2</v>
      </c>
      <c r="I6949" s="1603"/>
      <c r="J6949" s="1603"/>
      <c r="K6949" s="1606">
        <v>51393</v>
      </c>
      <c r="L6949" s="1606">
        <v>51393</v>
      </c>
      <c r="M6949" s="1607"/>
      <c r="N6949" s="1606">
        <v>51393</v>
      </c>
      <c r="O6949" s="1606">
        <v>32376.6</v>
      </c>
      <c r="P6949" s="1606">
        <v>17988.599999999999</v>
      </c>
      <c r="Q6949" s="1606">
        <v>1027.8</v>
      </c>
      <c r="R6949" s="1606">
        <v>19016.400000000001</v>
      </c>
      <c r="S6949" s="1608"/>
    </row>
    <row r="6950" spans="2:19" s="1609" customFormat="1" ht="11.25" customHeight="1" outlineLevel="1">
      <c r="B6950" s="1602">
        <v>31625</v>
      </c>
      <c r="C6950" s="1603" t="s">
        <v>3663</v>
      </c>
      <c r="D6950" s="1603" t="s">
        <v>3693</v>
      </c>
      <c r="E6950" s="1603"/>
      <c r="F6950" s="1603"/>
      <c r="G6950" s="1603" t="s">
        <v>3692</v>
      </c>
      <c r="H6950" s="1604">
        <v>2</v>
      </c>
      <c r="I6950" s="1603"/>
      <c r="J6950" s="1603"/>
      <c r="K6950" s="1606">
        <v>66878</v>
      </c>
      <c r="L6950" s="1606">
        <v>66878</v>
      </c>
      <c r="M6950" s="1607"/>
      <c r="N6950" s="1606">
        <v>66878</v>
      </c>
      <c r="O6950" s="1606">
        <v>42133.77</v>
      </c>
      <c r="P6950" s="1606">
        <v>23406.6</v>
      </c>
      <c r="Q6950" s="1606">
        <v>1337.63</v>
      </c>
      <c r="R6950" s="1606">
        <v>24744.23</v>
      </c>
      <c r="S6950" s="1608"/>
    </row>
    <row r="6951" spans="2:19" s="1609" customFormat="1" ht="11.25" customHeight="1" outlineLevel="1">
      <c r="B6951" s="1602">
        <v>31626</v>
      </c>
      <c r="C6951" s="1603" t="s">
        <v>3663</v>
      </c>
      <c r="D6951" s="1603" t="s">
        <v>3691</v>
      </c>
      <c r="E6951" s="1603"/>
      <c r="F6951" s="1603"/>
      <c r="G6951" s="1603" t="s">
        <v>3690</v>
      </c>
      <c r="H6951" s="1604">
        <v>2</v>
      </c>
      <c r="I6951" s="1603"/>
      <c r="J6951" s="1603"/>
      <c r="K6951" s="1606">
        <v>9095</v>
      </c>
      <c r="L6951" s="1606">
        <v>9095</v>
      </c>
      <c r="M6951" s="1607"/>
      <c r="N6951" s="1606">
        <v>9095</v>
      </c>
      <c r="O6951" s="1606">
        <v>2745.8</v>
      </c>
      <c r="P6951" s="1606">
        <v>6006</v>
      </c>
      <c r="Q6951" s="1605">
        <v>343.2</v>
      </c>
      <c r="R6951" s="1606">
        <v>6349.2</v>
      </c>
      <c r="S6951" s="1608"/>
    </row>
    <row r="6952" spans="2:19" s="1609" customFormat="1" ht="11.25" customHeight="1" outlineLevel="1">
      <c r="B6952" s="1602">
        <v>31627</v>
      </c>
      <c r="C6952" s="1603" t="s">
        <v>3663</v>
      </c>
      <c r="D6952" s="1603" t="s">
        <v>3689</v>
      </c>
      <c r="E6952" s="1603"/>
      <c r="F6952" s="1603"/>
      <c r="G6952" s="1603" t="s">
        <v>3688</v>
      </c>
      <c r="H6952" s="1604">
        <v>2</v>
      </c>
      <c r="I6952" s="1603"/>
      <c r="J6952" s="1603"/>
      <c r="K6952" s="1606">
        <v>31343</v>
      </c>
      <c r="L6952" s="1606">
        <v>31343</v>
      </c>
      <c r="M6952" s="1607"/>
      <c r="N6952" s="1606">
        <v>31343</v>
      </c>
      <c r="O6952" s="1606">
        <v>19745.72</v>
      </c>
      <c r="P6952" s="1606">
        <v>10970.4</v>
      </c>
      <c r="Q6952" s="1605">
        <v>626.88</v>
      </c>
      <c r="R6952" s="1606">
        <v>11597.28</v>
      </c>
      <c r="S6952" s="1608"/>
    </row>
    <row r="6953" spans="2:19" s="1609" customFormat="1" ht="11.25" customHeight="1" outlineLevel="1">
      <c r="B6953" s="1602">
        <v>31628</v>
      </c>
      <c r="C6953" s="1603" t="s">
        <v>3663</v>
      </c>
      <c r="D6953" s="1603" t="s">
        <v>3687</v>
      </c>
      <c r="E6953" s="1603"/>
      <c r="F6953" s="1603"/>
      <c r="G6953" s="1603" t="s">
        <v>3686</v>
      </c>
      <c r="H6953" s="1604">
        <v>2</v>
      </c>
      <c r="I6953" s="1603"/>
      <c r="J6953" s="1603"/>
      <c r="K6953" s="1606">
        <v>81656</v>
      </c>
      <c r="L6953" s="1606">
        <v>81656</v>
      </c>
      <c r="M6953" s="1607"/>
      <c r="N6953" s="1606">
        <v>81656</v>
      </c>
      <c r="O6953" s="1606">
        <v>51443.91</v>
      </c>
      <c r="P6953" s="1606">
        <v>28578.9</v>
      </c>
      <c r="Q6953" s="1606">
        <v>1633.19</v>
      </c>
      <c r="R6953" s="1606">
        <v>30212.09</v>
      </c>
      <c r="S6953" s="1608"/>
    </row>
    <row r="6954" spans="2:19" s="1609" customFormat="1" ht="11.25" customHeight="1" outlineLevel="1">
      <c r="B6954" s="1602">
        <v>31629</v>
      </c>
      <c r="C6954" s="1603" t="s">
        <v>3663</v>
      </c>
      <c r="D6954" s="1603" t="s">
        <v>3685</v>
      </c>
      <c r="E6954" s="1603"/>
      <c r="F6954" s="1603"/>
      <c r="G6954" s="1603" t="s">
        <v>3684</v>
      </c>
      <c r="H6954" s="1604">
        <v>2</v>
      </c>
      <c r="I6954" s="1603"/>
      <c r="J6954" s="1603"/>
      <c r="K6954" s="1606">
        <v>35024</v>
      </c>
      <c r="L6954" s="1606">
        <v>35024</v>
      </c>
      <c r="M6954" s="1607"/>
      <c r="N6954" s="1606">
        <v>35024</v>
      </c>
      <c r="O6954" s="1606">
        <v>22065.75</v>
      </c>
      <c r="P6954" s="1606">
        <v>12257.7</v>
      </c>
      <c r="Q6954" s="1605">
        <v>700.55</v>
      </c>
      <c r="R6954" s="1606">
        <v>12958.25</v>
      </c>
      <c r="S6954" s="1608"/>
    </row>
    <row r="6955" spans="2:19" s="1609" customFormat="1" ht="11.25" customHeight="1" outlineLevel="1">
      <c r="B6955" s="1602">
        <v>31630</v>
      </c>
      <c r="C6955" s="1603" t="s">
        <v>3663</v>
      </c>
      <c r="D6955" s="1603" t="s">
        <v>3683</v>
      </c>
      <c r="E6955" s="1603"/>
      <c r="F6955" s="1603"/>
      <c r="G6955" s="1603" t="s">
        <v>3682</v>
      </c>
      <c r="H6955" s="1604">
        <v>2</v>
      </c>
      <c r="I6955" s="1603"/>
      <c r="J6955" s="1603"/>
      <c r="K6955" s="1606">
        <v>22668</v>
      </c>
      <c r="L6955" s="1606">
        <v>22668</v>
      </c>
      <c r="M6955" s="1607"/>
      <c r="N6955" s="1606">
        <v>22668</v>
      </c>
      <c r="O6955" s="1606">
        <v>14280.84</v>
      </c>
      <c r="P6955" s="1606">
        <v>7933.8</v>
      </c>
      <c r="Q6955" s="1605">
        <v>453.36</v>
      </c>
      <c r="R6955" s="1606">
        <v>8387.16</v>
      </c>
      <c r="S6955" s="1608"/>
    </row>
    <row r="6956" spans="2:19" s="1609" customFormat="1" ht="11.25" customHeight="1" outlineLevel="1">
      <c r="B6956" s="1602">
        <v>31631</v>
      </c>
      <c r="C6956" s="1603" t="s">
        <v>3663</v>
      </c>
      <c r="D6956" s="1603" t="s">
        <v>3681</v>
      </c>
      <c r="E6956" s="1603"/>
      <c r="F6956" s="1603"/>
      <c r="G6956" s="1603" t="s">
        <v>3680</v>
      </c>
      <c r="H6956" s="1604">
        <v>2</v>
      </c>
      <c r="I6956" s="1603"/>
      <c r="J6956" s="1603"/>
      <c r="K6956" s="1606">
        <v>74867</v>
      </c>
      <c r="L6956" s="1606">
        <v>74867</v>
      </c>
      <c r="M6956" s="1607"/>
      <c r="N6956" s="1606">
        <v>74867</v>
      </c>
      <c r="O6956" s="1606">
        <v>47165.84</v>
      </c>
      <c r="P6956" s="1606">
        <v>26203.8</v>
      </c>
      <c r="Q6956" s="1606">
        <v>1497.36</v>
      </c>
      <c r="R6956" s="1606">
        <v>27701.16</v>
      </c>
      <c r="S6956" s="1608"/>
    </row>
    <row r="6957" spans="2:19" s="1609" customFormat="1" ht="11.25" customHeight="1" outlineLevel="1">
      <c r="B6957" s="1602">
        <v>31632</v>
      </c>
      <c r="C6957" s="1603" t="s">
        <v>3663</v>
      </c>
      <c r="D6957" s="1603" t="s">
        <v>3679</v>
      </c>
      <c r="E6957" s="1603"/>
      <c r="F6957" s="1603"/>
      <c r="G6957" s="1603" t="s">
        <v>3677</v>
      </c>
      <c r="H6957" s="1604">
        <v>2</v>
      </c>
      <c r="I6957" s="1603"/>
      <c r="J6957" s="1603"/>
      <c r="K6957" s="1606">
        <v>7557</v>
      </c>
      <c r="L6957" s="1606">
        <v>7557</v>
      </c>
      <c r="M6957" s="1607"/>
      <c r="N6957" s="1606">
        <v>7557</v>
      </c>
      <c r="O6957" s="1606">
        <v>2282.16</v>
      </c>
      <c r="P6957" s="1606">
        <v>4989.6000000000004</v>
      </c>
      <c r="Q6957" s="1605">
        <v>285.24</v>
      </c>
      <c r="R6957" s="1606">
        <v>5274.84</v>
      </c>
      <c r="S6957" s="1608"/>
    </row>
    <row r="6958" spans="2:19" s="1609" customFormat="1" ht="11.25" customHeight="1" outlineLevel="1">
      <c r="B6958" s="1602">
        <v>31633</v>
      </c>
      <c r="C6958" s="1603" t="s">
        <v>3663</v>
      </c>
      <c r="D6958" s="1603" t="s">
        <v>3678</v>
      </c>
      <c r="E6958" s="1603"/>
      <c r="F6958" s="1603"/>
      <c r="G6958" s="1603" t="s">
        <v>3677</v>
      </c>
      <c r="H6958" s="1604">
        <v>2</v>
      </c>
      <c r="I6958" s="1603"/>
      <c r="J6958" s="1603"/>
      <c r="K6958" s="1606">
        <v>8720</v>
      </c>
      <c r="L6958" s="1606">
        <v>8720</v>
      </c>
      <c r="M6958" s="1607"/>
      <c r="N6958" s="1606">
        <v>8720</v>
      </c>
      <c r="O6958" s="1606">
        <v>2632.76</v>
      </c>
      <c r="P6958" s="1606">
        <v>5758.2</v>
      </c>
      <c r="Q6958" s="1605">
        <v>329.04</v>
      </c>
      <c r="R6958" s="1606">
        <v>6087.24</v>
      </c>
      <c r="S6958" s="1608"/>
    </row>
    <row r="6959" spans="2:19" s="1609" customFormat="1" ht="11.25" customHeight="1" outlineLevel="1">
      <c r="B6959" s="1602">
        <v>31634</v>
      </c>
      <c r="C6959" s="1603" t="s">
        <v>3663</v>
      </c>
      <c r="D6959" s="1603" t="s">
        <v>3676</v>
      </c>
      <c r="E6959" s="1603"/>
      <c r="F6959" s="1603"/>
      <c r="G6959" s="1603" t="s">
        <v>3675</v>
      </c>
      <c r="H6959" s="1604">
        <v>2</v>
      </c>
      <c r="I6959" s="1603"/>
      <c r="J6959" s="1603"/>
      <c r="K6959" s="1606">
        <v>109939</v>
      </c>
      <c r="L6959" s="1606">
        <v>109939</v>
      </c>
      <c r="M6959" s="1607"/>
      <c r="N6959" s="1606">
        <v>109939</v>
      </c>
      <c r="O6959" s="1606">
        <v>69261.94</v>
      </c>
      <c r="P6959" s="1606">
        <v>38478.300000000003</v>
      </c>
      <c r="Q6959" s="1606">
        <v>2198.7600000000002</v>
      </c>
      <c r="R6959" s="1606">
        <v>40677.06</v>
      </c>
      <c r="S6959" s="1608"/>
    </row>
    <row r="6960" spans="2:19" s="1609" customFormat="1" ht="11.25" customHeight="1" outlineLevel="1">
      <c r="B6960" s="1602">
        <v>31635</v>
      </c>
      <c r="C6960" s="1603" t="s">
        <v>3663</v>
      </c>
      <c r="D6960" s="1603" t="s">
        <v>3674</v>
      </c>
      <c r="E6960" s="1603"/>
      <c r="F6960" s="1603"/>
      <c r="G6960" s="1603" t="s">
        <v>3673</v>
      </c>
      <c r="H6960" s="1604">
        <v>2</v>
      </c>
      <c r="I6960" s="1603"/>
      <c r="J6960" s="1603"/>
      <c r="K6960" s="1606">
        <v>79290</v>
      </c>
      <c r="L6960" s="1606">
        <v>79290</v>
      </c>
      <c r="M6960" s="1607"/>
      <c r="N6960" s="1606">
        <v>79290</v>
      </c>
      <c r="O6960" s="1606">
        <v>49952.7</v>
      </c>
      <c r="P6960" s="1606">
        <v>27751.5</v>
      </c>
      <c r="Q6960" s="1606">
        <v>1585.8</v>
      </c>
      <c r="R6960" s="1606">
        <v>29337.3</v>
      </c>
      <c r="S6960" s="1608"/>
    </row>
    <row r="6961" spans="2:19" s="1609" customFormat="1" ht="11.25" customHeight="1" outlineLevel="1">
      <c r="B6961" s="1602">
        <v>31636</v>
      </c>
      <c r="C6961" s="1603" t="s">
        <v>3663</v>
      </c>
      <c r="D6961" s="1603" t="s">
        <v>3672</v>
      </c>
      <c r="E6961" s="1603"/>
      <c r="F6961" s="1603"/>
      <c r="G6961" s="1603" t="s">
        <v>3671</v>
      </c>
      <c r="H6961" s="1604">
        <v>2</v>
      </c>
      <c r="I6961" s="1603"/>
      <c r="J6961" s="1603"/>
      <c r="K6961" s="1606">
        <v>181700</v>
      </c>
      <c r="L6961" s="1606">
        <v>181700</v>
      </c>
      <c r="M6961" s="1607"/>
      <c r="N6961" s="1606">
        <v>181700</v>
      </c>
      <c r="O6961" s="1606">
        <v>114471.63</v>
      </c>
      <c r="P6961" s="1606">
        <v>63594.3</v>
      </c>
      <c r="Q6961" s="1606">
        <v>3634.07</v>
      </c>
      <c r="R6961" s="1606">
        <v>67228.37</v>
      </c>
      <c r="S6961" s="1608"/>
    </row>
    <row r="6962" spans="2:19" s="1609" customFormat="1" ht="11.25" customHeight="1" outlineLevel="1">
      <c r="B6962" s="1602">
        <v>31637</v>
      </c>
      <c r="C6962" s="1603" t="s">
        <v>3663</v>
      </c>
      <c r="D6962" s="1603" t="s">
        <v>3670</v>
      </c>
      <c r="E6962" s="1603"/>
      <c r="F6962" s="1603"/>
      <c r="G6962" s="1603" t="s">
        <v>3668</v>
      </c>
      <c r="H6962" s="1604">
        <v>2</v>
      </c>
      <c r="I6962" s="1603"/>
      <c r="J6962" s="1603"/>
      <c r="K6962" s="1606">
        <v>10324</v>
      </c>
      <c r="L6962" s="1606">
        <v>10324</v>
      </c>
      <c r="M6962" s="1607"/>
      <c r="N6962" s="1606">
        <v>10324</v>
      </c>
      <c r="O6962" s="1606">
        <v>6503.49</v>
      </c>
      <c r="P6962" s="1606">
        <v>3614.1</v>
      </c>
      <c r="Q6962" s="1605">
        <v>206.41</v>
      </c>
      <c r="R6962" s="1606">
        <v>3820.51</v>
      </c>
      <c r="S6962" s="1608"/>
    </row>
    <row r="6963" spans="2:19" s="1609" customFormat="1" ht="11.25" customHeight="1" outlineLevel="1">
      <c r="B6963" s="1602">
        <v>31638</v>
      </c>
      <c r="C6963" s="1603" t="s">
        <v>3663</v>
      </c>
      <c r="D6963" s="1603" t="s">
        <v>3669</v>
      </c>
      <c r="E6963" s="1603"/>
      <c r="F6963" s="1603"/>
      <c r="G6963" s="1603" t="s">
        <v>3668</v>
      </c>
      <c r="H6963" s="1604">
        <v>2</v>
      </c>
      <c r="I6963" s="1603"/>
      <c r="J6963" s="1603"/>
      <c r="K6963" s="1606">
        <v>15791</v>
      </c>
      <c r="L6963" s="1606">
        <v>15791</v>
      </c>
      <c r="M6963" s="1607"/>
      <c r="N6963" s="1606">
        <v>15791</v>
      </c>
      <c r="O6963" s="1606">
        <v>9947.9599999999991</v>
      </c>
      <c r="P6963" s="1606">
        <v>5527.2</v>
      </c>
      <c r="Q6963" s="1605">
        <v>315.83999999999997</v>
      </c>
      <c r="R6963" s="1606">
        <v>5843.04</v>
      </c>
      <c r="S6963" s="1608"/>
    </row>
    <row r="6964" spans="2:19" s="1609" customFormat="1" ht="11.25" customHeight="1" outlineLevel="1">
      <c r="B6964" s="1602">
        <v>31639</v>
      </c>
      <c r="C6964" s="1603" t="s">
        <v>3663</v>
      </c>
      <c r="D6964" s="1603" t="s">
        <v>3667</v>
      </c>
      <c r="E6964" s="1603"/>
      <c r="F6964" s="1603"/>
      <c r="G6964" s="1603" t="s">
        <v>3666</v>
      </c>
      <c r="H6964" s="1604">
        <v>2</v>
      </c>
      <c r="I6964" s="1603"/>
      <c r="J6964" s="1603"/>
      <c r="K6964" s="1606">
        <v>124813</v>
      </c>
      <c r="L6964" s="1606">
        <v>124813</v>
      </c>
      <c r="M6964" s="1607"/>
      <c r="N6964" s="1606">
        <v>124813</v>
      </c>
      <c r="O6964" s="1606">
        <v>78632.56</v>
      </c>
      <c r="P6964" s="1606">
        <v>43684.2</v>
      </c>
      <c r="Q6964" s="1606">
        <v>2496.2399999999998</v>
      </c>
      <c r="R6964" s="1606">
        <v>46180.44</v>
      </c>
      <c r="S6964" s="1608"/>
    </row>
    <row r="6965" spans="2:19" s="1609" customFormat="1" ht="11.25" customHeight="1" outlineLevel="1">
      <c r="B6965" s="1602">
        <v>31640</v>
      </c>
      <c r="C6965" s="1603" t="s">
        <v>3663</v>
      </c>
      <c r="D6965" s="1603" t="s">
        <v>3665</v>
      </c>
      <c r="E6965" s="1603"/>
      <c r="F6965" s="1603"/>
      <c r="G6965" s="1603" t="s">
        <v>3664</v>
      </c>
      <c r="H6965" s="1604">
        <v>2</v>
      </c>
      <c r="I6965" s="1603"/>
      <c r="J6965" s="1603"/>
      <c r="K6965" s="1606">
        <v>1109997</v>
      </c>
      <c r="L6965" s="1606">
        <v>1109997</v>
      </c>
      <c r="M6965" s="1607"/>
      <c r="N6965" s="1606">
        <v>1109997</v>
      </c>
      <c r="O6965" s="1606">
        <v>699297.12</v>
      </c>
      <c r="P6965" s="1606">
        <v>388500</v>
      </c>
      <c r="Q6965" s="1606">
        <v>22199.88</v>
      </c>
      <c r="R6965" s="1606">
        <v>410699.88</v>
      </c>
      <c r="S6965" s="1608"/>
    </row>
    <row r="6966" spans="2:19" s="1609" customFormat="1" ht="11.25" customHeight="1" outlineLevel="1">
      <c r="B6966" s="1602">
        <v>31641</v>
      </c>
      <c r="C6966" s="1603" t="s">
        <v>3663</v>
      </c>
      <c r="D6966" s="1603" t="s">
        <v>3662</v>
      </c>
      <c r="E6966" s="1603"/>
      <c r="F6966" s="1603"/>
      <c r="G6966" s="1603" t="s">
        <v>3661</v>
      </c>
      <c r="H6966" s="1604">
        <v>2</v>
      </c>
      <c r="I6966" s="1603"/>
      <c r="J6966" s="1603"/>
      <c r="K6966" s="1606">
        <v>361870</v>
      </c>
      <c r="L6966" s="1606">
        <v>402077</v>
      </c>
      <c r="M6966" s="1607"/>
      <c r="N6966" s="1606">
        <v>402077</v>
      </c>
      <c r="O6966" s="1606">
        <v>216116.48000000001</v>
      </c>
      <c r="P6966" s="1606">
        <v>175908.6</v>
      </c>
      <c r="Q6966" s="1606">
        <v>10051.92</v>
      </c>
      <c r="R6966" s="1606">
        <v>185960.52</v>
      </c>
      <c r="S6966" s="1608"/>
    </row>
    <row r="6967" spans="2:19" s="1609" customFormat="1" ht="11.25" customHeight="1" outlineLevel="1">
      <c r="B6967" s="1602">
        <v>36960</v>
      </c>
      <c r="C6967" s="1603" t="s">
        <v>3660</v>
      </c>
      <c r="D6967" s="1603" t="s">
        <v>3659</v>
      </c>
      <c r="E6967" s="1603"/>
      <c r="F6967" s="1603"/>
      <c r="G6967" s="1603"/>
      <c r="H6967" s="1604">
        <v>1</v>
      </c>
      <c r="I6967" s="1603"/>
      <c r="J6967" s="1603"/>
      <c r="K6967" s="1605">
        <v>434.13</v>
      </c>
      <c r="L6967" s="1605">
        <v>434.13</v>
      </c>
      <c r="M6967" s="1605">
        <v>-434.13</v>
      </c>
      <c r="N6967" s="1607"/>
      <c r="O6967" s="1607"/>
      <c r="P6967" s="1605">
        <v>434.13</v>
      </c>
      <c r="Q6967" s="1605">
        <v>-434.13</v>
      </c>
      <c r="R6967" s="1607"/>
      <c r="S6967" s="1608"/>
    </row>
    <row r="6968" spans="2:19" s="1609" customFormat="1" ht="11.25" customHeight="1" outlineLevel="1">
      <c r="B6968" s="1602">
        <v>37681</v>
      </c>
      <c r="C6968" s="1603" t="s">
        <v>3658</v>
      </c>
      <c r="D6968" s="1603" t="s">
        <v>3657</v>
      </c>
      <c r="E6968" s="1603"/>
      <c r="F6968" s="1603"/>
      <c r="G6968" s="1603" t="s">
        <v>3656</v>
      </c>
      <c r="H6968" s="1604">
        <v>2</v>
      </c>
      <c r="I6968" s="1603"/>
      <c r="J6968" s="1603"/>
      <c r="K6968" s="1606">
        <v>150257</v>
      </c>
      <c r="L6968" s="1606">
        <v>150257</v>
      </c>
      <c r="M6968" s="1607"/>
      <c r="N6968" s="1606">
        <v>150257</v>
      </c>
      <c r="O6968" s="1606">
        <v>83892.64</v>
      </c>
      <c r="P6968" s="1606">
        <v>62608</v>
      </c>
      <c r="Q6968" s="1606">
        <v>3756.36</v>
      </c>
      <c r="R6968" s="1606">
        <v>66364.36</v>
      </c>
      <c r="S6968" s="1608"/>
    </row>
    <row r="6969" spans="2:19" s="1609" customFormat="1" ht="11.25" customHeight="1" outlineLevel="1">
      <c r="B6969" s="1602">
        <v>38126</v>
      </c>
      <c r="C6969" s="1603" t="s">
        <v>3655</v>
      </c>
      <c r="D6969" s="1603" t="s">
        <v>3654</v>
      </c>
      <c r="E6969" s="1603"/>
      <c r="F6969" s="1603"/>
      <c r="G6969" s="1603" t="s">
        <v>3653</v>
      </c>
      <c r="H6969" s="1604">
        <v>2</v>
      </c>
      <c r="I6969" s="1603"/>
      <c r="J6969" s="1603"/>
      <c r="K6969" s="1606">
        <v>633029</v>
      </c>
      <c r="L6969" s="1606">
        <v>633029</v>
      </c>
      <c r="M6969" s="1607"/>
      <c r="N6969" s="1606">
        <v>633029</v>
      </c>
      <c r="O6969" s="1606">
        <v>199792.58</v>
      </c>
      <c r="P6969" s="1606">
        <v>407999.46</v>
      </c>
      <c r="Q6969" s="1606">
        <v>25236.959999999999</v>
      </c>
      <c r="R6969" s="1606">
        <v>433236.42</v>
      </c>
      <c r="S6969" s="1608"/>
    </row>
    <row r="6970" spans="2:19" s="1609" customFormat="1" ht="11.25" customHeight="1" outlineLevel="1">
      <c r="B6970" s="1602">
        <v>38202</v>
      </c>
      <c r="C6970" s="1603" t="s">
        <v>3648</v>
      </c>
      <c r="D6970" s="1603" t="s">
        <v>3652</v>
      </c>
      <c r="E6970" s="1603"/>
      <c r="F6970" s="1603"/>
      <c r="G6970" s="1603" t="s">
        <v>3651</v>
      </c>
      <c r="H6970" s="1604">
        <v>2</v>
      </c>
      <c r="I6970" s="1603"/>
      <c r="J6970" s="1603"/>
      <c r="K6970" s="1606">
        <v>140404</v>
      </c>
      <c r="L6970" s="1606">
        <v>140404</v>
      </c>
      <c r="M6970" s="1607"/>
      <c r="N6970" s="1606">
        <v>140404</v>
      </c>
      <c r="O6970" s="1606">
        <v>20475.14</v>
      </c>
      <c r="P6970" s="1606">
        <v>112908.86</v>
      </c>
      <c r="Q6970" s="1606">
        <v>7020</v>
      </c>
      <c r="R6970" s="1606">
        <v>119928.86</v>
      </c>
      <c r="S6970" s="1608"/>
    </row>
    <row r="6971" spans="2:19" s="1609" customFormat="1" ht="24" customHeight="1" outlineLevel="1">
      <c r="B6971" s="1602">
        <v>38203</v>
      </c>
      <c r="C6971" s="1603" t="s">
        <v>3648</v>
      </c>
      <c r="D6971" s="1603" t="s">
        <v>3650</v>
      </c>
      <c r="E6971" s="1603"/>
      <c r="F6971" s="1603"/>
      <c r="G6971" s="1603" t="s">
        <v>3649</v>
      </c>
      <c r="H6971" s="1604">
        <v>2</v>
      </c>
      <c r="I6971" s="1603"/>
      <c r="J6971" s="1603"/>
      <c r="K6971" s="1606">
        <v>82752</v>
      </c>
      <c r="L6971" s="1606">
        <v>82752</v>
      </c>
      <c r="M6971" s="1607"/>
      <c r="N6971" s="1606">
        <v>82752</v>
      </c>
      <c r="O6971" s="1606">
        <v>12068</v>
      </c>
      <c r="P6971" s="1606">
        <v>66546.399999999994</v>
      </c>
      <c r="Q6971" s="1606">
        <v>4137.6000000000004</v>
      </c>
      <c r="R6971" s="1606">
        <v>70684</v>
      </c>
      <c r="S6971" s="1608"/>
    </row>
    <row r="6972" spans="2:19" s="1609" customFormat="1" ht="11.25" customHeight="1" outlineLevel="1">
      <c r="B6972" s="1602">
        <v>38204</v>
      </c>
      <c r="C6972" s="1603" t="s">
        <v>3648</v>
      </c>
      <c r="D6972" s="1603" t="s">
        <v>3647</v>
      </c>
      <c r="E6972" s="1603"/>
      <c r="F6972" s="1603"/>
      <c r="G6972" s="1603" t="s">
        <v>3646</v>
      </c>
      <c r="H6972" s="1604">
        <v>2</v>
      </c>
      <c r="I6972" s="1603"/>
      <c r="J6972" s="1603"/>
      <c r="K6972" s="1606">
        <v>321398</v>
      </c>
      <c r="L6972" s="1606">
        <v>321398</v>
      </c>
      <c r="M6972" s="1607"/>
      <c r="N6972" s="1606">
        <v>321398</v>
      </c>
      <c r="O6972" s="1606">
        <v>46870.32</v>
      </c>
      <c r="P6972" s="1606">
        <v>258457.88</v>
      </c>
      <c r="Q6972" s="1606">
        <v>16069.8</v>
      </c>
      <c r="R6972" s="1606">
        <v>274527.68</v>
      </c>
      <c r="S6972" s="1608"/>
    </row>
    <row r="6973" spans="2:19" s="1609" customFormat="1" ht="11.25" customHeight="1" outlineLevel="1">
      <c r="B6973" s="1602">
        <v>38372</v>
      </c>
      <c r="C6973" s="1603" t="s">
        <v>3645</v>
      </c>
      <c r="D6973" s="1603" t="s">
        <v>3644</v>
      </c>
      <c r="E6973" s="1603"/>
      <c r="F6973" s="1603"/>
      <c r="G6973" s="1603" t="s">
        <v>3643</v>
      </c>
      <c r="H6973" s="1604">
        <v>2</v>
      </c>
      <c r="I6973" s="1603"/>
      <c r="J6973" s="1603"/>
      <c r="K6973" s="1606">
        <v>4144299.16</v>
      </c>
      <c r="L6973" s="1606">
        <v>4144299.16</v>
      </c>
      <c r="M6973" s="1607"/>
      <c r="N6973" s="1606">
        <v>4144299.16</v>
      </c>
      <c r="O6973" s="1606">
        <v>2880287.17</v>
      </c>
      <c r="P6973" s="1606">
        <v>1181126.07</v>
      </c>
      <c r="Q6973" s="1606">
        <v>82885.919999999998</v>
      </c>
      <c r="R6973" s="1606">
        <v>1264011.99</v>
      </c>
      <c r="S6973" s="1608"/>
    </row>
    <row r="6974" spans="2:19" s="1609" customFormat="1" ht="11.25" customHeight="1" outlineLevel="1">
      <c r="B6974" s="1602">
        <v>38394</v>
      </c>
      <c r="C6974" s="1603" t="s">
        <v>3642</v>
      </c>
      <c r="D6974" s="1603" t="s">
        <v>3641</v>
      </c>
      <c r="E6974" s="1603"/>
      <c r="F6974" s="1603"/>
      <c r="G6974" s="1603" t="s">
        <v>3640</v>
      </c>
      <c r="H6974" s="1604">
        <v>2</v>
      </c>
      <c r="I6974" s="1603"/>
      <c r="J6974" s="1603"/>
      <c r="K6974" s="1606">
        <v>617009</v>
      </c>
      <c r="L6974" s="1606">
        <v>617009</v>
      </c>
      <c r="M6974" s="1607"/>
      <c r="N6974" s="1606">
        <v>617009</v>
      </c>
      <c r="O6974" s="1606">
        <v>6817.77</v>
      </c>
      <c r="P6974" s="1606">
        <v>569284.63</v>
      </c>
      <c r="Q6974" s="1606">
        <v>40906.6</v>
      </c>
      <c r="R6974" s="1606">
        <v>610191.23</v>
      </c>
      <c r="S6974" s="1608"/>
    </row>
    <row r="6975" spans="2:19" s="1609" customFormat="1" ht="11.25" customHeight="1" outlineLevel="1">
      <c r="B6975" s="1602">
        <v>39001</v>
      </c>
      <c r="C6975" s="1603" t="s">
        <v>3630</v>
      </c>
      <c r="D6975" s="1603" t="s">
        <v>3639</v>
      </c>
      <c r="E6975" s="1603"/>
      <c r="F6975" s="1603"/>
      <c r="G6975" s="1603" t="s">
        <v>3638</v>
      </c>
      <c r="H6975" s="1604">
        <v>2</v>
      </c>
      <c r="I6975" s="1603"/>
      <c r="J6975" s="1603"/>
      <c r="K6975" s="1606">
        <v>3373100</v>
      </c>
      <c r="L6975" s="1606">
        <v>3373100</v>
      </c>
      <c r="M6975" s="1607"/>
      <c r="N6975" s="1606">
        <v>3373100</v>
      </c>
      <c r="O6975" s="1606">
        <v>1501646.21</v>
      </c>
      <c r="P6975" s="1606">
        <v>1736978.05</v>
      </c>
      <c r="Q6975" s="1606">
        <v>134475.74</v>
      </c>
      <c r="R6975" s="1606">
        <v>1871453.79</v>
      </c>
      <c r="S6975" s="1608"/>
    </row>
    <row r="6976" spans="2:19" s="1609" customFormat="1" ht="11.25" customHeight="1" outlineLevel="1">
      <c r="B6976" s="1602">
        <v>39003</v>
      </c>
      <c r="C6976" s="1603" t="s">
        <v>3630</v>
      </c>
      <c r="D6976" s="1603" t="s">
        <v>3637</v>
      </c>
      <c r="E6976" s="1603"/>
      <c r="F6976" s="1603"/>
      <c r="G6976" s="1603" t="s">
        <v>3636</v>
      </c>
      <c r="H6976" s="1604">
        <v>2</v>
      </c>
      <c r="I6976" s="1603"/>
      <c r="J6976" s="1603"/>
      <c r="K6976" s="1606">
        <v>168900</v>
      </c>
      <c r="L6976" s="1606">
        <v>168900</v>
      </c>
      <c r="M6976" s="1607"/>
      <c r="N6976" s="1606">
        <v>168900</v>
      </c>
      <c r="O6976" s="1606">
        <v>75191.289999999994</v>
      </c>
      <c r="P6976" s="1606">
        <v>86975.15</v>
      </c>
      <c r="Q6976" s="1606">
        <v>6733.56</v>
      </c>
      <c r="R6976" s="1606">
        <v>93708.71</v>
      </c>
      <c r="S6976" s="1608"/>
    </row>
    <row r="6977" spans="2:19" s="1609" customFormat="1" ht="11.25" customHeight="1" outlineLevel="1">
      <c r="B6977" s="1602">
        <v>39007</v>
      </c>
      <c r="C6977" s="1603" t="s">
        <v>3630</v>
      </c>
      <c r="D6977" s="1603" t="s">
        <v>3635</v>
      </c>
      <c r="E6977" s="1603" t="s">
        <v>2219</v>
      </c>
      <c r="F6977" s="1603" t="s">
        <v>3632</v>
      </c>
      <c r="G6977" s="1603" t="s">
        <v>3634</v>
      </c>
      <c r="H6977" s="1604">
        <v>2</v>
      </c>
      <c r="I6977" s="1603"/>
      <c r="J6977" s="1603"/>
      <c r="K6977" s="1606">
        <v>8594600</v>
      </c>
      <c r="L6977" s="1606">
        <v>8594600</v>
      </c>
      <c r="M6977" s="1607"/>
      <c r="N6977" s="1606">
        <v>8594600</v>
      </c>
      <c r="O6977" s="1606">
        <v>2639005.92</v>
      </c>
      <c r="P6977" s="1606">
        <v>5527647.2000000002</v>
      </c>
      <c r="Q6977" s="1606">
        <v>427946.88</v>
      </c>
      <c r="R6977" s="1606">
        <v>5955594.0800000001</v>
      </c>
      <c r="S6977" s="1608"/>
    </row>
    <row r="6978" spans="2:19" s="1609" customFormat="1" ht="11.25" customHeight="1" outlineLevel="1">
      <c r="B6978" s="1602">
        <v>39009</v>
      </c>
      <c r="C6978" s="1603" t="s">
        <v>3630</v>
      </c>
      <c r="D6978" s="1603" t="s">
        <v>3633</v>
      </c>
      <c r="E6978" s="1603"/>
      <c r="F6978" s="1603" t="s">
        <v>3632</v>
      </c>
      <c r="G6978" s="1603" t="s">
        <v>3631</v>
      </c>
      <c r="H6978" s="1604">
        <v>2</v>
      </c>
      <c r="I6978" s="1603"/>
      <c r="J6978" s="1603"/>
      <c r="K6978" s="1606">
        <v>695500</v>
      </c>
      <c r="L6978" s="1606">
        <v>695500</v>
      </c>
      <c r="M6978" s="1607"/>
      <c r="N6978" s="1606">
        <v>695500</v>
      </c>
      <c r="O6978" s="1606">
        <v>309624.78999999998</v>
      </c>
      <c r="P6978" s="1606">
        <v>358147.65</v>
      </c>
      <c r="Q6978" s="1606">
        <v>27727.56</v>
      </c>
      <c r="R6978" s="1606">
        <v>385875.21</v>
      </c>
      <c r="S6978" s="1608"/>
    </row>
    <row r="6979" spans="2:19" s="1609" customFormat="1" ht="11.25" customHeight="1" outlineLevel="1">
      <c r="B6979" s="1602">
        <v>39035</v>
      </c>
      <c r="C6979" s="1603" t="s">
        <v>3630</v>
      </c>
      <c r="D6979" s="1603" t="s">
        <v>3629</v>
      </c>
      <c r="E6979" s="1603"/>
      <c r="F6979" s="1603"/>
      <c r="G6979" s="1603" t="s">
        <v>3628</v>
      </c>
      <c r="H6979" s="1604">
        <v>2</v>
      </c>
      <c r="I6979" s="1603"/>
      <c r="J6979" s="1603"/>
      <c r="K6979" s="1606">
        <v>207914</v>
      </c>
      <c r="L6979" s="1606">
        <v>207914</v>
      </c>
      <c r="M6979" s="1607"/>
      <c r="N6979" s="1606">
        <v>207914</v>
      </c>
      <c r="O6979" s="1606">
        <v>92560.3</v>
      </c>
      <c r="P6979" s="1606">
        <v>107064.7</v>
      </c>
      <c r="Q6979" s="1606">
        <v>8289</v>
      </c>
      <c r="R6979" s="1606">
        <v>115353.7</v>
      </c>
      <c r="S6979" s="1608"/>
    </row>
    <row r="6980" spans="2:19" s="1609" customFormat="1" ht="11.25" customHeight="1" outlineLevel="1">
      <c r="B6980" s="1602">
        <v>39067</v>
      </c>
      <c r="C6980" s="1603" t="s">
        <v>3625</v>
      </c>
      <c r="D6980" s="1603" t="s">
        <v>3627</v>
      </c>
      <c r="E6980" s="1603"/>
      <c r="F6980" s="1603"/>
      <c r="G6980" s="1603" t="s">
        <v>3626</v>
      </c>
      <c r="H6980" s="1604">
        <v>2</v>
      </c>
      <c r="I6980" s="1603"/>
      <c r="J6980" s="1603"/>
      <c r="K6980" s="1606">
        <v>93965</v>
      </c>
      <c r="L6980" s="1606">
        <v>93965</v>
      </c>
      <c r="M6980" s="1607"/>
      <c r="N6980" s="1606">
        <v>93965</v>
      </c>
      <c r="O6980" s="1606">
        <v>41831.06</v>
      </c>
      <c r="P6980" s="1606">
        <v>48387.9</v>
      </c>
      <c r="Q6980" s="1606">
        <v>3746.04</v>
      </c>
      <c r="R6980" s="1606">
        <v>52133.94</v>
      </c>
      <c r="S6980" s="1608"/>
    </row>
    <row r="6981" spans="2:19" s="1609" customFormat="1" ht="11.25" customHeight="1" outlineLevel="1">
      <c r="B6981" s="1602">
        <v>39069</v>
      </c>
      <c r="C6981" s="1603" t="s">
        <v>3625</v>
      </c>
      <c r="D6981" s="1603" t="s">
        <v>3624</v>
      </c>
      <c r="E6981" s="1603"/>
      <c r="F6981" s="1603"/>
      <c r="G6981" s="1603" t="s">
        <v>3623</v>
      </c>
      <c r="H6981" s="1604">
        <v>2</v>
      </c>
      <c r="I6981" s="1603" t="s">
        <v>3622</v>
      </c>
      <c r="J6981" s="1603"/>
      <c r="K6981" s="1606">
        <v>15011</v>
      </c>
      <c r="L6981" s="1606">
        <v>15011</v>
      </c>
      <c r="M6981" s="1607"/>
      <c r="N6981" s="1606">
        <v>15011</v>
      </c>
      <c r="O6981" s="1606">
        <v>6682.71</v>
      </c>
      <c r="P6981" s="1606">
        <v>7729.85</v>
      </c>
      <c r="Q6981" s="1605">
        <v>598.44000000000005</v>
      </c>
      <c r="R6981" s="1606">
        <v>8328.2900000000009</v>
      </c>
      <c r="S6981" s="1608"/>
    </row>
    <row r="6982" spans="2:19" s="1609" customFormat="1" ht="11.25" customHeight="1" outlineLevel="1">
      <c r="B6982" s="1602">
        <v>39070</v>
      </c>
      <c r="C6982" s="1603" t="s">
        <v>3621</v>
      </c>
      <c r="D6982" s="1603" t="s">
        <v>3620</v>
      </c>
      <c r="E6982" s="1603"/>
      <c r="F6982" s="1603"/>
      <c r="G6982" s="1603" t="s">
        <v>3619</v>
      </c>
      <c r="H6982" s="1604">
        <v>2</v>
      </c>
      <c r="I6982" s="1603"/>
      <c r="J6982" s="1603"/>
      <c r="K6982" s="1606">
        <v>152775</v>
      </c>
      <c r="L6982" s="1606">
        <v>152775</v>
      </c>
      <c r="M6982" s="1607"/>
      <c r="N6982" s="1606">
        <v>152775</v>
      </c>
      <c r="O6982" s="1606">
        <v>68520.039999999994</v>
      </c>
      <c r="P6982" s="1606">
        <v>78164.240000000005</v>
      </c>
      <c r="Q6982" s="1606">
        <v>6090.72</v>
      </c>
      <c r="R6982" s="1606">
        <v>84254.96</v>
      </c>
      <c r="S6982" s="1608"/>
    </row>
    <row r="6983" spans="2:19" s="1609" customFormat="1" ht="24.75" customHeight="1" outlineLevel="1">
      <c r="B6983" s="1602">
        <v>39073</v>
      </c>
      <c r="C6983" s="1603" t="s">
        <v>3618</v>
      </c>
      <c r="D6983" s="1603" t="s">
        <v>3617</v>
      </c>
      <c r="E6983" s="1603"/>
      <c r="F6983" s="1603"/>
      <c r="G6983" s="1603" t="s">
        <v>3616</v>
      </c>
      <c r="H6983" s="1604">
        <v>2</v>
      </c>
      <c r="I6983" s="1603"/>
      <c r="J6983" s="1603"/>
      <c r="K6983" s="1606">
        <v>1065236.3</v>
      </c>
      <c r="L6983" s="1606">
        <v>1065236.3</v>
      </c>
      <c r="M6983" s="1607"/>
      <c r="N6983" s="1606">
        <v>1065236.3</v>
      </c>
      <c r="O6983" s="1606">
        <v>335924.87</v>
      </c>
      <c r="P6983" s="1606">
        <v>676270.71</v>
      </c>
      <c r="Q6983" s="1606">
        <v>53040.72</v>
      </c>
      <c r="R6983" s="1606">
        <v>729311.43</v>
      </c>
      <c r="S6983" s="1608"/>
    </row>
    <row r="6984" spans="2:19" s="1609" customFormat="1" ht="11.25" customHeight="1" outlineLevel="1">
      <c r="B6984" s="1602">
        <v>39076</v>
      </c>
      <c r="C6984" s="1603" t="s">
        <v>3614</v>
      </c>
      <c r="D6984" s="1603" t="s">
        <v>3615</v>
      </c>
      <c r="E6984" s="1603"/>
      <c r="F6984" s="1603"/>
      <c r="G6984" s="1603" t="s">
        <v>3612</v>
      </c>
      <c r="H6984" s="1604">
        <v>2</v>
      </c>
      <c r="I6984" s="1603"/>
      <c r="J6984" s="1603"/>
      <c r="K6984" s="1606">
        <v>9043.7000000000007</v>
      </c>
      <c r="L6984" s="1606">
        <v>9043.7000000000007</v>
      </c>
      <c r="M6984" s="1607"/>
      <c r="N6984" s="1606">
        <v>9043.7000000000007</v>
      </c>
      <c r="O6984" s="1606">
        <v>4085.57</v>
      </c>
      <c r="P6984" s="1606">
        <v>4597.6499999999996</v>
      </c>
      <c r="Q6984" s="1605">
        <v>360.48</v>
      </c>
      <c r="R6984" s="1606">
        <v>4958.13</v>
      </c>
      <c r="S6984" s="1608"/>
    </row>
    <row r="6985" spans="2:19" s="1609" customFormat="1" ht="11.25" customHeight="1" outlineLevel="1">
      <c r="B6985" s="1602">
        <v>39078</v>
      </c>
      <c r="C6985" s="1603" t="s">
        <v>3614</v>
      </c>
      <c r="D6985" s="1603" t="s">
        <v>3613</v>
      </c>
      <c r="E6985" s="1603"/>
      <c r="F6985" s="1603"/>
      <c r="G6985" s="1603" t="s">
        <v>3612</v>
      </c>
      <c r="H6985" s="1604">
        <v>2</v>
      </c>
      <c r="I6985" s="1603"/>
      <c r="J6985" s="1603"/>
      <c r="K6985" s="1606">
        <v>953325.17</v>
      </c>
      <c r="L6985" s="1606">
        <v>953325.17</v>
      </c>
      <c r="M6985" s="1607"/>
      <c r="N6985" s="1606">
        <v>953325.17</v>
      </c>
      <c r="O6985" s="1606">
        <v>430738.7</v>
      </c>
      <c r="P6985" s="1606">
        <v>484580.07</v>
      </c>
      <c r="Q6985" s="1606">
        <v>38006.400000000001</v>
      </c>
      <c r="R6985" s="1606">
        <v>522586.47</v>
      </c>
      <c r="S6985" s="1608"/>
    </row>
    <row r="6986" spans="2:19" s="1609" customFormat="1" ht="11.25" customHeight="1" outlineLevel="1">
      <c r="B6986" s="1602">
        <v>39454</v>
      </c>
      <c r="C6986" s="1603" t="s">
        <v>3611</v>
      </c>
      <c r="D6986" s="1603" t="s">
        <v>3610</v>
      </c>
      <c r="E6986" s="1603" t="s">
        <v>2219</v>
      </c>
      <c r="F6986" s="1603" t="s">
        <v>3609</v>
      </c>
      <c r="G6986" s="1603" t="s">
        <v>3608</v>
      </c>
      <c r="H6986" s="1604">
        <v>2</v>
      </c>
      <c r="I6986" s="1611">
        <v>198.9</v>
      </c>
      <c r="J6986" s="1603"/>
      <c r="K6986" s="1606">
        <v>28719.48</v>
      </c>
      <c r="L6986" s="1606">
        <v>28719.48</v>
      </c>
      <c r="M6986" s="1607"/>
      <c r="N6986" s="1606">
        <v>28719.48</v>
      </c>
      <c r="O6986" s="1606">
        <v>15075.73</v>
      </c>
      <c r="P6986" s="1606">
        <v>12498.71</v>
      </c>
      <c r="Q6986" s="1606">
        <v>1145.04</v>
      </c>
      <c r="R6986" s="1606">
        <v>13643.75</v>
      </c>
      <c r="S6986" s="1608"/>
    </row>
    <row r="6987" spans="2:19" s="1609" customFormat="1" ht="11.25" customHeight="1" outlineLevel="1">
      <c r="B6987" s="1602">
        <v>39532</v>
      </c>
      <c r="C6987" s="1603" t="s">
        <v>3607</v>
      </c>
      <c r="D6987" s="1603" t="s">
        <v>3606</v>
      </c>
      <c r="E6987" s="1603"/>
      <c r="F6987" s="1603"/>
      <c r="G6987" s="1603"/>
      <c r="H6987" s="1604">
        <v>2</v>
      </c>
      <c r="I6987" s="1603"/>
      <c r="J6987" s="1603"/>
      <c r="K6987" s="1606">
        <v>65254.239999999998</v>
      </c>
      <c r="L6987" s="1606">
        <v>65254.239999999998</v>
      </c>
      <c r="M6987" s="1606">
        <v>-65254.239999999998</v>
      </c>
      <c r="N6987" s="1607"/>
      <c r="O6987" s="1607"/>
      <c r="P6987" s="1606">
        <v>43865.4</v>
      </c>
      <c r="Q6987" s="1606">
        <v>-43865.4</v>
      </c>
      <c r="R6987" s="1607"/>
      <c r="S6987" s="1608"/>
    </row>
    <row r="6988" spans="2:19" s="1609" customFormat="1" ht="11.25" customHeight="1" outlineLevel="1">
      <c r="B6988" s="1602">
        <v>39551</v>
      </c>
      <c r="C6988" s="1603" t="s">
        <v>3605</v>
      </c>
      <c r="D6988" s="1603" t="s">
        <v>3604</v>
      </c>
      <c r="E6988" s="1603"/>
      <c r="F6988" s="1603"/>
      <c r="G6988" s="1603"/>
      <c r="H6988" s="1604">
        <v>2</v>
      </c>
      <c r="I6988" s="1603"/>
      <c r="J6988" s="1603"/>
      <c r="K6988" s="1606">
        <v>41483.050000000003</v>
      </c>
      <c r="L6988" s="1606">
        <v>41483.050000000003</v>
      </c>
      <c r="M6988" s="1606">
        <v>-41483.050000000003</v>
      </c>
      <c r="N6988" s="1607"/>
      <c r="O6988" s="1607"/>
      <c r="P6988" s="1606">
        <v>41483.050000000003</v>
      </c>
      <c r="Q6988" s="1606">
        <v>-41483.050000000003</v>
      </c>
      <c r="R6988" s="1607"/>
      <c r="S6988" s="1608"/>
    </row>
    <row r="6989" spans="2:19" s="1609" customFormat="1" ht="21.75" customHeight="1" outlineLevel="1">
      <c r="B6989" s="1612" t="s">
        <v>3603</v>
      </c>
      <c r="C6989" s="1603" t="s">
        <v>3598</v>
      </c>
      <c r="D6989" s="1603" t="s">
        <v>3602</v>
      </c>
      <c r="E6989" s="1603"/>
      <c r="F6989" s="1603"/>
      <c r="G6989" s="1603"/>
      <c r="H6989" s="1604">
        <v>3</v>
      </c>
      <c r="I6989" s="1603"/>
      <c r="J6989" s="1603"/>
      <c r="K6989" s="1606">
        <v>84400</v>
      </c>
      <c r="L6989" s="1606">
        <v>84400</v>
      </c>
      <c r="M6989" s="1606">
        <v>-84400</v>
      </c>
      <c r="N6989" s="1607"/>
      <c r="O6989" s="1607"/>
      <c r="P6989" s="1606">
        <v>84400</v>
      </c>
      <c r="Q6989" s="1606">
        <v>-84400</v>
      </c>
      <c r="R6989" s="1607"/>
      <c r="S6989" s="1608"/>
    </row>
    <row r="6990" spans="2:19" s="1609" customFormat="1" ht="11.25" customHeight="1" outlineLevel="1">
      <c r="B6990" s="1612" t="s">
        <v>3601</v>
      </c>
      <c r="C6990" s="1603" t="s">
        <v>3598</v>
      </c>
      <c r="D6990" s="1603" t="s">
        <v>3600</v>
      </c>
      <c r="E6990" s="1603"/>
      <c r="F6990" s="1603"/>
      <c r="G6990" s="1603" t="s">
        <v>3596</v>
      </c>
      <c r="H6990" s="1604">
        <v>2</v>
      </c>
      <c r="I6990" s="1603"/>
      <c r="J6990" s="1603"/>
      <c r="K6990" s="1606">
        <v>383293.21</v>
      </c>
      <c r="L6990" s="1606">
        <v>383293.21</v>
      </c>
      <c r="M6990" s="1607"/>
      <c r="N6990" s="1606">
        <v>383293.21</v>
      </c>
      <c r="O6990" s="1606">
        <v>64781.83</v>
      </c>
      <c r="P6990" s="1606">
        <v>286120.5</v>
      </c>
      <c r="Q6990" s="1606">
        <v>32390.880000000001</v>
      </c>
      <c r="R6990" s="1606">
        <v>318511.38</v>
      </c>
      <c r="S6990" s="1608"/>
    </row>
    <row r="6991" spans="2:19" s="1609" customFormat="1" ht="11.25" customHeight="1" outlineLevel="1">
      <c r="B6991" s="1612" t="s">
        <v>3599</v>
      </c>
      <c r="C6991" s="1603" t="s">
        <v>3598</v>
      </c>
      <c r="D6991" s="1603" t="s">
        <v>3597</v>
      </c>
      <c r="E6991" s="1603"/>
      <c r="F6991" s="1603"/>
      <c r="G6991" s="1603" t="s">
        <v>3596</v>
      </c>
      <c r="H6991" s="1604">
        <v>2</v>
      </c>
      <c r="I6991" s="1603"/>
      <c r="J6991" s="1603"/>
      <c r="K6991" s="1606">
        <v>383293.21</v>
      </c>
      <c r="L6991" s="1606">
        <v>383293.21</v>
      </c>
      <c r="M6991" s="1607"/>
      <c r="N6991" s="1606">
        <v>383293.21</v>
      </c>
      <c r="O6991" s="1606">
        <v>64781.83</v>
      </c>
      <c r="P6991" s="1606">
        <v>286120.5</v>
      </c>
      <c r="Q6991" s="1606">
        <v>32390.880000000001</v>
      </c>
      <c r="R6991" s="1606">
        <v>318511.38</v>
      </c>
      <c r="S6991" s="1608"/>
    </row>
    <row r="6992" spans="2:19" s="1609" customFormat="1" ht="11.25" customHeight="1" outlineLevel="1">
      <c r="B6992" s="1612" t="s">
        <v>3595</v>
      </c>
      <c r="C6992" s="1603" t="s">
        <v>3592</v>
      </c>
      <c r="D6992" s="1603" t="s">
        <v>3594</v>
      </c>
      <c r="E6992" s="1603"/>
      <c r="F6992" s="1603"/>
      <c r="G6992" s="1603"/>
      <c r="H6992" s="1604">
        <v>2</v>
      </c>
      <c r="I6992" s="1603"/>
      <c r="J6992" s="1603"/>
      <c r="K6992" s="1606">
        <v>85211.47</v>
      </c>
      <c r="L6992" s="1606">
        <v>85211.47</v>
      </c>
      <c r="M6992" s="1606">
        <v>-85211.47</v>
      </c>
      <c r="N6992" s="1607"/>
      <c r="O6992" s="1607"/>
      <c r="P6992" s="1606">
        <v>85211.47</v>
      </c>
      <c r="Q6992" s="1606">
        <v>-85211.47</v>
      </c>
      <c r="R6992" s="1607"/>
      <c r="S6992" s="1608"/>
    </row>
    <row r="6993" spans="2:19" s="1609" customFormat="1" ht="11.25" customHeight="1" outlineLevel="1">
      <c r="B6993" s="1612" t="s">
        <v>3593</v>
      </c>
      <c r="C6993" s="1603" t="s">
        <v>3592</v>
      </c>
      <c r="D6993" s="1603" t="s">
        <v>3591</v>
      </c>
      <c r="E6993" s="1603"/>
      <c r="F6993" s="1603"/>
      <c r="G6993" s="1603"/>
      <c r="H6993" s="1604">
        <v>2</v>
      </c>
      <c r="I6993" s="1603"/>
      <c r="J6993" s="1603"/>
      <c r="K6993" s="1606">
        <v>80635.199999999997</v>
      </c>
      <c r="L6993" s="1606">
        <v>80635.199999999997</v>
      </c>
      <c r="M6993" s="1606">
        <v>-80635.199999999997</v>
      </c>
      <c r="N6993" s="1607"/>
      <c r="O6993" s="1607"/>
      <c r="P6993" s="1606">
        <v>80635.199999999997</v>
      </c>
      <c r="Q6993" s="1606">
        <v>-80635.199999999997</v>
      </c>
      <c r="R6993" s="1607"/>
      <c r="S6993" s="1608"/>
    </row>
    <row r="6994" spans="2:19" s="1609" customFormat="1" ht="11.25" customHeight="1" outlineLevel="1">
      <c r="B6994" s="1612" t="s">
        <v>3590</v>
      </c>
      <c r="C6994" s="1603" t="s">
        <v>3589</v>
      </c>
      <c r="D6994" s="1603" t="s">
        <v>3588</v>
      </c>
      <c r="E6994" s="1603"/>
      <c r="F6994" s="1603"/>
      <c r="G6994" s="1603"/>
      <c r="H6994" s="1604">
        <v>2</v>
      </c>
      <c r="I6994" s="1603"/>
      <c r="J6994" s="1603"/>
      <c r="K6994" s="1606">
        <v>56779.66</v>
      </c>
      <c r="L6994" s="1606">
        <v>56779.66</v>
      </c>
      <c r="M6994" s="1606">
        <v>-56779.66</v>
      </c>
      <c r="N6994" s="1607"/>
      <c r="O6994" s="1607"/>
      <c r="P6994" s="1606">
        <v>56779.66</v>
      </c>
      <c r="Q6994" s="1606">
        <v>-56779.66</v>
      </c>
      <c r="R6994" s="1607"/>
      <c r="S6994" s="1608"/>
    </row>
    <row r="6995" spans="2:19" s="1609" customFormat="1" ht="21.75" customHeight="1" outlineLevel="1">
      <c r="B6995" s="1612" t="s">
        <v>3587</v>
      </c>
      <c r="C6995" s="1603" t="s">
        <v>3584</v>
      </c>
      <c r="D6995" s="1603" t="s">
        <v>3586</v>
      </c>
      <c r="E6995" s="1603"/>
      <c r="F6995" s="1603"/>
      <c r="G6995" s="1603"/>
      <c r="H6995" s="1604">
        <v>2</v>
      </c>
      <c r="I6995" s="1603"/>
      <c r="J6995" s="1603"/>
      <c r="K6995" s="1606">
        <v>48500</v>
      </c>
      <c r="L6995" s="1606">
        <v>48500</v>
      </c>
      <c r="M6995" s="1606">
        <v>-48500</v>
      </c>
      <c r="N6995" s="1607"/>
      <c r="O6995" s="1607"/>
      <c r="P6995" s="1606">
        <v>48500</v>
      </c>
      <c r="Q6995" s="1606">
        <v>-48500</v>
      </c>
      <c r="R6995" s="1607"/>
      <c r="S6995" s="1608"/>
    </row>
    <row r="6996" spans="2:19" s="1609" customFormat="1" ht="21.75" customHeight="1" outlineLevel="1">
      <c r="B6996" s="1612" t="s">
        <v>3585</v>
      </c>
      <c r="C6996" s="1603" t="s">
        <v>3584</v>
      </c>
      <c r="D6996" s="1603" t="s">
        <v>3583</v>
      </c>
      <c r="E6996" s="1603"/>
      <c r="F6996" s="1603"/>
      <c r="G6996" s="1603"/>
      <c r="H6996" s="1604">
        <v>1</v>
      </c>
      <c r="I6996" s="1603"/>
      <c r="J6996" s="1603"/>
      <c r="K6996" s="1606">
        <v>49500</v>
      </c>
      <c r="L6996" s="1606">
        <v>49500</v>
      </c>
      <c r="M6996" s="1606">
        <v>-49500</v>
      </c>
      <c r="N6996" s="1607"/>
      <c r="O6996" s="1607"/>
      <c r="P6996" s="1606">
        <v>49500</v>
      </c>
      <c r="Q6996" s="1606">
        <v>-49500</v>
      </c>
      <c r="R6996" s="1607"/>
      <c r="S6996" s="1608"/>
    </row>
    <row r="6997" spans="2:19" s="1609" customFormat="1" ht="13.5" customHeight="1" outlineLevel="1">
      <c r="B6997" s="1612" t="s">
        <v>3582</v>
      </c>
      <c r="C6997" s="1603" t="s">
        <v>3551</v>
      </c>
      <c r="D6997" s="1603" t="s">
        <v>3581</v>
      </c>
      <c r="E6997" s="1603"/>
      <c r="F6997" s="1603"/>
      <c r="G6997" s="1603" t="s">
        <v>3580</v>
      </c>
      <c r="H6997" s="1604">
        <v>2</v>
      </c>
      <c r="I6997" s="1603"/>
      <c r="J6997" s="1603"/>
      <c r="K6997" s="1606">
        <v>166762.68</v>
      </c>
      <c r="L6997" s="1606">
        <v>166762.68</v>
      </c>
      <c r="M6997" s="1607"/>
      <c r="N6997" s="1606">
        <v>166762.68</v>
      </c>
      <c r="O6997" s="1606">
        <v>60192.6</v>
      </c>
      <c r="P6997" s="1606">
        <v>94728.960000000006</v>
      </c>
      <c r="Q6997" s="1606">
        <v>11841.12</v>
      </c>
      <c r="R6997" s="1606">
        <v>106570.08</v>
      </c>
      <c r="S6997" s="1608"/>
    </row>
    <row r="6998" spans="2:19" s="1609" customFormat="1" ht="11.25" customHeight="1" outlineLevel="1">
      <c r="B6998" s="1612" t="s">
        <v>3579</v>
      </c>
      <c r="C6998" s="1603" t="s">
        <v>3551</v>
      </c>
      <c r="D6998" s="1603" t="s">
        <v>3578</v>
      </c>
      <c r="E6998" s="1603"/>
      <c r="F6998" s="1603"/>
      <c r="G6998" s="1603" t="s">
        <v>3577</v>
      </c>
      <c r="H6998" s="1604">
        <v>2</v>
      </c>
      <c r="I6998" s="1603"/>
      <c r="J6998" s="1603"/>
      <c r="K6998" s="1606">
        <v>80331.039999999994</v>
      </c>
      <c r="L6998" s="1606">
        <v>80331.039999999994</v>
      </c>
      <c r="M6998" s="1607"/>
      <c r="N6998" s="1606">
        <v>80331.039999999994</v>
      </c>
      <c r="O6998" s="1606">
        <v>29296.84</v>
      </c>
      <c r="P6998" s="1606">
        <v>45363.839999999997</v>
      </c>
      <c r="Q6998" s="1606">
        <v>5670.36</v>
      </c>
      <c r="R6998" s="1606">
        <v>51034.2</v>
      </c>
      <c r="S6998" s="1608"/>
    </row>
    <row r="6999" spans="2:19" s="1609" customFormat="1" ht="21.75" customHeight="1" outlineLevel="1">
      <c r="B6999" s="1612" t="s">
        <v>3576</v>
      </c>
      <c r="C6999" s="1603" t="s">
        <v>3551</v>
      </c>
      <c r="D6999" s="1603" t="s">
        <v>3575</v>
      </c>
      <c r="E6999" s="1603"/>
      <c r="F6999" s="1603"/>
      <c r="G6999" s="1603" t="s">
        <v>3574</v>
      </c>
      <c r="H6999" s="1604">
        <v>2</v>
      </c>
      <c r="I6999" s="1603"/>
      <c r="J6999" s="1603"/>
      <c r="K6999" s="1606">
        <v>987666.55</v>
      </c>
      <c r="L6999" s="1606">
        <v>987666.55</v>
      </c>
      <c r="M6999" s="1607"/>
      <c r="N6999" s="1606">
        <v>987666.55</v>
      </c>
      <c r="O6999" s="1606">
        <v>348936.19</v>
      </c>
      <c r="P6999" s="1606">
        <v>567760.31999999995</v>
      </c>
      <c r="Q6999" s="1606">
        <v>70970.039999999994</v>
      </c>
      <c r="R6999" s="1606">
        <v>638730.36</v>
      </c>
      <c r="S6999" s="1608"/>
    </row>
    <row r="7000" spans="2:19" s="1609" customFormat="1" ht="21.75" customHeight="1" outlineLevel="1">
      <c r="B7000" s="1612" t="s">
        <v>3573</v>
      </c>
      <c r="C7000" s="1603" t="s">
        <v>3551</v>
      </c>
      <c r="D7000" s="1603" t="s">
        <v>3572</v>
      </c>
      <c r="E7000" s="1603"/>
      <c r="F7000" s="1603"/>
      <c r="G7000" s="1603" t="s">
        <v>3571</v>
      </c>
      <c r="H7000" s="1604">
        <v>2</v>
      </c>
      <c r="I7000" s="1603"/>
      <c r="J7000" s="1603"/>
      <c r="K7000" s="1606">
        <v>495908.06</v>
      </c>
      <c r="L7000" s="1606">
        <v>495908.06</v>
      </c>
      <c r="M7000" s="1607"/>
      <c r="N7000" s="1606">
        <v>495908.06</v>
      </c>
      <c r="O7000" s="1606">
        <v>182702.78</v>
      </c>
      <c r="P7000" s="1606">
        <v>278404.8</v>
      </c>
      <c r="Q7000" s="1606">
        <v>34800.480000000003</v>
      </c>
      <c r="R7000" s="1606">
        <v>313205.28000000003</v>
      </c>
      <c r="S7000" s="1608"/>
    </row>
    <row r="7001" spans="2:19" s="1609" customFormat="1" ht="21.75" customHeight="1" outlineLevel="1">
      <c r="B7001" s="1612" t="s">
        <v>3570</v>
      </c>
      <c r="C7001" s="1603" t="s">
        <v>3551</v>
      </c>
      <c r="D7001" s="1603" t="s">
        <v>3569</v>
      </c>
      <c r="E7001" s="1603"/>
      <c r="F7001" s="1603"/>
      <c r="G7001" s="1603" t="s">
        <v>3568</v>
      </c>
      <c r="H7001" s="1604">
        <v>2</v>
      </c>
      <c r="I7001" s="1603"/>
      <c r="J7001" s="1603"/>
      <c r="K7001" s="1606">
        <v>68277.350000000006</v>
      </c>
      <c r="L7001" s="1606">
        <v>68277.350000000006</v>
      </c>
      <c r="M7001" s="1607"/>
      <c r="N7001" s="1606">
        <v>68277.350000000006</v>
      </c>
      <c r="O7001" s="1606">
        <v>25154.99</v>
      </c>
      <c r="P7001" s="1606">
        <v>38330.879999999997</v>
      </c>
      <c r="Q7001" s="1606">
        <v>4791.4799999999996</v>
      </c>
      <c r="R7001" s="1606">
        <v>43122.36</v>
      </c>
      <c r="S7001" s="1608"/>
    </row>
    <row r="7002" spans="2:19" s="1609" customFormat="1" ht="11.25" customHeight="1" outlineLevel="1">
      <c r="B7002" s="1612" t="s">
        <v>3567</v>
      </c>
      <c r="C7002" s="1603" t="s">
        <v>3551</v>
      </c>
      <c r="D7002" s="1603" t="s">
        <v>3566</v>
      </c>
      <c r="E7002" s="1603"/>
      <c r="F7002" s="1603"/>
      <c r="G7002" s="1603" t="s">
        <v>3565</v>
      </c>
      <c r="H7002" s="1604">
        <v>2</v>
      </c>
      <c r="I7002" s="1603"/>
      <c r="J7002" s="1603"/>
      <c r="K7002" s="1606">
        <v>18306.66</v>
      </c>
      <c r="L7002" s="1606">
        <v>18306.66</v>
      </c>
      <c r="M7002" s="1607"/>
      <c r="N7002" s="1606">
        <v>18306.66</v>
      </c>
      <c r="O7002" s="1606">
        <v>6744.3</v>
      </c>
      <c r="P7002" s="1606">
        <v>10277.76</v>
      </c>
      <c r="Q7002" s="1606">
        <v>1284.5999999999999</v>
      </c>
      <c r="R7002" s="1606">
        <v>11562.36</v>
      </c>
      <c r="S7002" s="1608"/>
    </row>
    <row r="7003" spans="2:19" s="1609" customFormat="1" ht="21.75" customHeight="1" outlineLevel="1">
      <c r="B7003" s="1612" t="s">
        <v>3564</v>
      </c>
      <c r="C7003" s="1603" t="s">
        <v>3551</v>
      </c>
      <c r="D7003" s="1603" t="s">
        <v>3563</v>
      </c>
      <c r="E7003" s="1603"/>
      <c r="F7003" s="1603"/>
      <c r="G7003" s="1603" t="s">
        <v>3562</v>
      </c>
      <c r="H7003" s="1604">
        <v>2</v>
      </c>
      <c r="I7003" s="1603"/>
      <c r="J7003" s="1603"/>
      <c r="K7003" s="1606">
        <v>28474.28</v>
      </c>
      <c r="L7003" s="1606">
        <v>28474.28</v>
      </c>
      <c r="M7003" s="1607"/>
      <c r="N7003" s="1606">
        <v>28474.28</v>
      </c>
      <c r="O7003" s="1606">
        <v>10277.48</v>
      </c>
      <c r="P7003" s="1606">
        <v>16175.04</v>
      </c>
      <c r="Q7003" s="1606">
        <v>2021.76</v>
      </c>
      <c r="R7003" s="1606">
        <v>18196.8</v>
      </c>
      <c r="S7003" s="1608"/>
    </row>
    <row r="7004" spans="2:19" s="1609" customFormat="1" ht="21.75" customHeight="1" outlineLevel="1">
      <c r="B7004" s="1612" t="s">
        <v>3561</v>
      </c>
      <c r="C7004" s="1603" t="s">
        <v>3551</v>
      </c>
      <c r="D7004" s="1603" t="s">
        <v>3560</v>
      </c>
      <c r="E7004" s="1603"/>
      <c r="F7004" s="1603"/>
      <c r="G7004" s="1603" t="s">
        <v>3559</v>
      </c>
      <c r="H7004" s="1604">
        <v>2</v>
      </c>
      <c r="I7004" s="1603"/>
      <c r="J7004" s="1603"/>
      <c r="K7004" s="1606">
        <v>138705.29999999999</v>
      </c>
      <c r="L7004" s="1606">
        <v>138705.29999999999</v>
      </c>
      <c r="M7004" s="1607"/>
      <c r="N7004" s="1606">
        <v>138705.29999999999</v>
      </c>
      <c r="O7004" s="1606">
        <v>51102.13</v>
      </c>
      <c r="P7004" s="1606">
        <v>77869.440000000002</v>
      </c>
      <c r="Q7004" s="1606">
        <v>9733.73</v>
      </c>
      <c r="R7004" s="1606">
        <v>87603.17</v>
      </c>
      <c r="S7004" s="1608"/>
    </row>
    <row r="7005" spans="2:19" s="1609" customFormat="1" ht="21.75" customHeight="1" outlineLevel="1">
      <c r="B7005" s="1612" t="s">
        <v>3558</v>
      </c>
      <c r="C7005" s="1603" t="s">
        <v>3551</v>
      </c>
      <c r="D7005" s="1603" t="s">
        <v>3557</v>
      </c>
      <c r="E7005" s="1603"/>
      <c r="F7005" s="1603"/>
      <c r="G7005" s="1603" t="s">
        <v>3556</v>
      </c>
      <c r="H7005" s="1604">
        <v>2</v>
      </c>
      <c r="I7005" s="1603"/>
      <c r="J7005" s="1603"/>
      <c r="K7005" s="1606">
        <v>201130.83</v>
      </c>
      <c r="L7005" s="1606">
        <v>201130.83</v>
      </c>
      <c r="M7005" s="1607"/>
      <c r="N7005" s="1606">
        <v>201130.83</v>
      </c>
      <c r="O7005" s="1606">
        <v>74838.990000000005</v>
      </c>
      <c r="P7005" s="1606">
        <v>112259.52</v>
      </c>
      <c r="Q7005" s="1606">
        <v>14032.32</v>
      </c>
      <c r="R7005" s="1606">
        <v>126291.84</v>
      </c>
      <c r="S7005" s="1608"/>
    </row>
    <row r="7006" spans="2:19" s="1609" customFormat="1" ht="21.75" customHeight="1" outlineLevel="1">
      <c r="B7006" s="1612" t="s">
        <v>3555</v>
      </c>
      <c r="C7006" s="1603" t="s">
        <v>3551</v>
      </c>
      <c r="D7006" s="1603" t="s">
        <v>3554</v>
      </c>
      <c r="E7006" s="1603"/>
      <c r="F7006" s="1603"/>
      <c r="G7006" s="1603" t="s">
        <v>3553</v>
      </c>
      <c r="H7006" s="1604">
        <v>2</v>
      </c>
      <c r="I7006" s="1603"/>
      <c r="J7006" s="1603"/>
      <c r="K7006" s="1606">
        <v>12259.17</v>
      </c>
      <c r="L7006" s="1606">
        <v>12259.17</v>
      </c>
      <c r="M7006" s="1607"/>
      <c r="N7006" s="1606">
        <v>12259.17</v>
      </c>
      <c r="O7006" s="1606">
        <v>4516.6499999999996</v>
      </c>
      <c r="P7006" s="1606">
        <v>6882.24</v>
      </c>
      <c r="Q7006" s="1605">
        <v>860.28</v>
      </c>
      <c r="R7006" s="1606">
        <v>7742.52</v>
      </c>
      <c r="S7006" s="1608"/>
    </row>
    <row r="7007" spans="2:19" s="1609" customFormat="1" ht="11.25" customHeight="1" outlineLevel="1">
      <c r="B7007" s="1612" t="s">
        <v>3552</v>
      </c>
      <c r="C7007" s="1603" t="s">
        <v>3551</v>
      </c>
      <c r="D7007" s="1603" t="s">
        <v>3550</v>
      </c>
      <c r="E7007" s="1603"/>
      <c r="F7007" s="1603"/>
      <c r="G7007" s="1603" t="s">
        <v>3549</v>
      </c>
      <c r="H7007" s="1604">
        <v>2</v>
      </c>
      <c r="I7007" s="1603"/>
      <c r="J7007" s="1603"/>
      <c r="K7007" s="1606">
        <v>55107.76</v>
      </c>
      <c r="L7007" s="1606">
        <v>55107.76</v>
      </c>
      <c r="M7007" s="1607"/>
      <c r="N7007" s="1606">
        <v>55107.76</v>
      </c>
      <c r="O7007" s="1606">
        <v>20705.419999999998</v>
      </c>
      <c r="P7007" s="1606">
        <v>30579.84</v>
      </c>
      <c r="Q7007" s="1606">
        <v>3822.5</v>
      </c>
      <c r="R7007" s="1606">
        <v>34402.339999999997</v>
      </c>
      <c r="S7007" s="1608"/>
    </row>
    <row r="7008" spans="2:19" s="1609" customFormat="1" ht="11.25" customHeight="1" outlineLevel="1">
      <c r="B7008" s="1612" t="s">
        <v>3548</v>
      </c>
      <c r="C7008" s="1603" t="s">
        <v>3545</v>
      </c>
      <c r="D7008" s="1603" t="s">
        <v>3547</v>
      </c>
      <c r="E7008" s="1603"/>
      <c r="F7008" s="1603"/>
      <c r="G7008" s="1603"/>
      <c r="H7008" s="1604">
        <v>3</v>
      </c>
      <c r="I7008" s="1603"/>
      <c r="J7008" s="1603"/>
      <c r="K7008" s="1606">
        <v>249491.53</v>
      </c>
      <c r="L7008" s="1606">
        <v>249491.53</v>
      </c>
      <c r="M7008" s="1607"/>
      <c r="N7008" s="1606">
        <v>249491.53</v>
      </c>
      <c r="O7008" s="1606">
        <v>46059.72</v>
      </c>
      <c r="P7008" s="1606">
        <v>180401.98</v>
      </c>
      <c r="Q7008" s="1606">
        <v>23029.83</v>
      </c>
      <c r="R7008" s="1606">
        <v>203431.81</v>
      </c>
      <c r="S7008" s="1608"/>
    </row>
    <row r="7009" spans="2:19" s="1609" customFormat="1" ht="21.75" customHeight="1" outlineLevel="1">
      <c r="B7009" s="1612" t="s">
        <v>3546</v>
      </c>
      <c r="C7009" s="1603" t="s">
        <v>3545</v>
      </c>
      <c r="D7009" s="1603" t="s">
        <v>3544</v>
      </c>
      <c r="E7009" s="1603"/>
      <c r="F7009" s="1603"/>
      <c r="G7009" s="1603"/>
      <c r="H7009" s="1604">
        <v>3</v>
      </c>
      <c r="I7009" s="1603"/>
      <c r="J7009" s="1603"/>
      <c r="K7009" s="1606">
        <v>81271.179999999993</v>
      </c>
      <c r="L7009" s="1606">
        <v>81271.179999999993</v>
      </c>
      <c r="M7009" s="1606">
        <v>-81271.179999999993</v>
      </c>
      <c r="N7009" s="1607"/>
      <c r="O7009" s="1607"/>
      <c r="P7009" s="1606">
        <v>81271.179999999993</v>
      </c>
      <c r="Q7009" s="1606">
        <v>-81271.179999999993</v>
      </c>
      <c r="R7009" s="1607"/>
      <c r="S7009" s="1608"/>
    </row>
    <row r="7010" spans="2:19" s="1609" customFormat="1" ht="11.25" customHeight="1" outlineLevel="1">
      <c r="B7010" s="1612" t="s">
        <v>3543</v>
      </c>
      <c r="C7010" s="1603" t="s">
        <v>3540</v>
      </c>
      <c r="D7010" s="1603" t="s">
        <v>3542</v>
      </c>
      <c r="E7010" s="1603"/>
      <c r="F7010" s="1603"/>
      <c r="G7010" s="1603"/>
      <c r="H7010" s="1604">
        <v>2</v>
      </c>
      <c r="I7010" s="1603"/>
      <c r="J7010" s="1603"/>
      <c r="K7010" s="1606">
        <v>53135.59</v>
      </c>
      <c r="L7010" s="1606">
        <v>53135.59</v>
      </c>
      <c r="M7010" s="1606">
        <v>-53135.59</v>
      </c>
      <c r="N7010" s="1607"/>
      <c r="O7010" s="1607"/>
      <c r="P7010" s="1606">
        <v>53135.59</v>
      </c>
      <c r="Q7010" s="1606">
        <v>-53135.59</v>
      </c>
      <c r="R7010" s="1607"/>
      <c r="S7010" s="1608"/>
    </row>
    <row r="7011" spans="2:19" s="1609" customFormat="1" ht="11.25" customHeight="1" outlineLevel="1">
      <c r="B7011" s="1612" t="s">
        <v>3541</v>
      </c>
      <c r="C7011" s="1603" t="s">
        <v>3540</v>
      </c>
      <c r="D7011" s="1603" t="s">
        <v>3539</v>
      </c>
      <c r="E7011" s="1603"/>
      <c r="F7011" s="1603"/>
      <c r="G7011" s="1603"/>
      <c r="H7011" s="1604">
        <v>3</v>
      </c>
      <c r="I7011" s="1603"/>
      <c r="J7011" s="1603"/>
      <c r="K7011" s="1606">
        <v>98440.68</v>
      </c>
      <c r="L7011" s="1606">
        <v>98440.68</v>
      </c>
      <c r="M7011" s="1606">
        <v>-98440.68</v>
      </c>
      <c r="N7011" s="1607"/>
      <c r="O7011" s="1607"/>
      <c r="P7011" s="1606">
        <v>98440.68</v>
      </c>
      <c r="Q7011" s="1606">
        <v>-98440.68</v>
      </c>
      <c r="R7011" s="1607"/>
      <c r="S7011" s="1608"/>
    </row>
    <row r="7012" spans="2:19" s="1609" customFormat="1" ht="11.25" customHeight="1" outlineLevel="1">
      <c r="B7012" s="1612" t="s">
        <v>3538</v>
      </c>
      <c r="C7012" s="1603" t="s">
        <v>3512</v>
      </c>
      <c r="D7012" s="1603" t="s">
        <v>3537</v>
      </c>
      <c r="E7012" s="1603" t="s">
        <v>2219</v>
      </c>
      <c r="F7012" s="1603"/>
      <c r="G7012" s="1603" t="s">
        <v>3536</v>
      </c>
      <c r="H7012" s="1604">
        <v>2</v>
      </c>
      <c r="I7012" s="1610">
        <v>65</v>
      </c>
      <c r="J7012" s="1603"/>
      <c r="K7012" s="1606">
        <v>75014.8</v>
      </c>
      <c r="L7012" s="1606">
        <v>75014.8</v>
      </c>
      <c r="M7012" s="1607"/>
      <c r="N7012" s="1606">
        <v>75014.8</v>
      </c>
      <c r="O7012" s="1606">
        <v>44416.87</v>
      </c>
      <c r="P7012" s="1606">
        <v>26649.81</v>
      </c>
      <c r="Q7012" s="1606">
        <v>3948.12</v>
      </c>
      <c r="R7012" s="1606">
        <v>30597.93</v>
      </c>
      <c r="S7012" s="1608"/>
    </row>
    <row r="7013" spans="2:19" s="1609" customFormat="1" ht="11.25" customHeight="1" outlineLevel="1">
      <c r="B7013" s="1612" t="s">
        <v>3535</v>
      </c>
      <c r="C7013" s="1603" t="s">
        <v>3512</v>
      </c>
      <c r="D7013" s="1603" t="s">
        <v>3534</v>
      </c>
      <c r="E7013" s="1603"/>
      <c r="F7013" s="1603"/>
      <c r="G7013" s="1603" t="s">
        <v>3533</v>
      </c>
      <c r="H7013" s="1604">
        <v>2</v>
      </c>
      <c r="I7013" s="1610">
        <v>211</v>
      </c>
      <c r="J7013" s="1603"/>
      <c r="K7013" s="1606">
        <v>120520.03</v>
      </c>
      <c r="L7013" s="1606">
        <v>120520.03</v>
      </c>
      <c r="M7013" s="1607"/>
      <c r="N7013" s="1606">
        <v>120520.03</v>
      </c>
      <c r="O7013" s="1606">
        <v>70925.8</v>
      </c>
      <c r="P7013" s="1606">
        <v>43194.87</v>
      </c>
      <c r="Q7013" s="1606">
        <v>6399.36</v>
      </c>
      <c r="R7013" s="1606">
        <v>49594.23</v>
      </c>
      <c r="S7013" s="1608"/>
    </row>
    <row r="7014" spans="2:19" s="1609" customFormat="1" ht="11.25" customHeight="1" outlineLevel="1">
      <c r="B7014" s="1612" t="s">
        <v>3532</v>
      </c>
      <c r="C7014" s="1603" t="s">
        <v>3512</v>
      </c>
      <c r="D7014" s="1603" t="s">
        <v>3531</v>
      </c>
      <c r="E7014" s="1603" t="s">
        <v>2219</v>
      </c>
      <c r="F7014" s="1603" t="s">
        <v>3530</v>
      </c>
      <c r="G7014" s="1603" t="s">
        <v>3529</v>
      </c>
      <c r="H7014" s="1604">
        <v>2</v>
      </c>
      <c r="I7014" s="1610">
        <v>30</v>
      </c>
      <c r="J7014" s="1603"/>
      <c r="K7014" s="1606">
        <v>25966.58</v>
      </c>
      <c r="L7014" s="1606">
        <v>25966.58</v>
      </c>
      <c r="M7014" s="1607"/>
      <c r="N7014" s="1606">
        <v>25966.58</v>
      </c>
      <c r="O7014" s="1606">
        <v>15374.81</v>
      </c>
      <c r="P7014" s="1606">
        <v>9225.09</v>
      </c>
      <c r="Q7014" s="1606">
        <v>1366.68</v>
      </c>
      <c r="R7014" s="1606">
        <v>10591.77</v>
      </c>
      <c r="S7014" s="1608"/>
    </row>
    <row r="7015" spans="2:19" s="1609" customFormat="1" ht="21" customHeight="1" outlineLevel="1">
      <c r="B7015" s="1612" t="s">
        <v>3528</v>
      </c>
      <c r="C7015" s="1603" t="s">
        <v>3512</v>
      </c>
      <c r="D7015" s="1603" t="s">
        <v>3527</v>
      </c>
      <c r="E7015" s="1603" t="s">
        <v>2219</v>
      </c>
      <c r="F7015" s="1603"/>
      <c r="G7015" s="1603" t="s">
        <v>3526</v>
      </c>
      <c r="H7015" s="1604">
        <v>2</v>
      </c>
      <c r="I7015" s="1611">
        <v>34.799999999999997</v>
      </c>
      <c r="J7015" s="1603"/>
      <c r="K7015" s="1606">
        <v>37324.660000000003</v>
      </c>
      <c r="L7015" s="1606">
        <v>37324.660000000003</v>
      </c>
      <c r="M7015" s="1607"/>
      <c r="N7015" s="1606">
        <v>37324.660000000003</v>
      </c>
      <c r="O7015" s="1606">
        <v>22490.23</v>
      </c>
      <c r="P7015" s="1606">
        <v>12920.31</v>
      </c>
      <c r="Q7015" s="1606">
        <v>1914.12</v>
      </c>
      <c r="R7015" s="1606">
        <v>14834.43</v>
      </c>
      <c r="S7015" s="1608"/>
    </row>
    <row r="7016" spans="2:19" s="1609" customFormat="1" ht="11.25" customHeight="1" outlineLevel="1">
      <c r="B7016" s="1612" t="s">
        <v>3525</v>
      </c>
      <c r="C7016" s="1603" t="s">
        <v>3512</v>
      </c>
      <c r="D7016" s="1603" t="s">
        <v>3524</v>
      </c>
      <c r="E7016" s="1603" t="s">
        <v>2219</v>
      </c>
      <c r="F7016" s="1603"/>
      <c r="G7016" s="1603" t="s">
        <v>3523</v>
      </c>
      <c r="H7016" s="1604">
        <v>2</v>
      </c>
      <c r="I7016" s="1610">
        <v>85</v>
      </c>
      <c r="J7016" s="1603"/>
      <c r="K7016" s="1606">
        <v>57411.8</v>
      </c>
      <c r="L7016" s="1606">
        <v>57411.8</v>
      </c>
      <c r="M7016" s="1607"/>
      <c r="N7016" s="1606">
        <v>57411.8</v>
      </c>
      <c r="O7016" s="1606">
        <v>34297.699999999997</v>
      </c>
      <c r="P7016" s="1606">
        <v>20131.740000000002</v>
      </c>
      <c r="Q7016" s="1606">
        <v>2982.36</v>
      </c>
      <c r="R7016" s="1606">
        <v>23114.1</v>
      </c>
      <c r="S7016" s="1608"/>
    </row>
    <row r="7017" spans="2:19" s="1609" customFormat="1" ht="11.25" customHeight="1" outlineLevel="1">
      <c r="B7017" s="1612" t="s">
        <v>3522</v>
      </c>
      <c r="C7017" s="1603" t="s">
        <v>3512</v>
      </c>
      <c r="D7017" s="1603" t="s">
        <v>3521</v>
      </c>
      <c r="E7017" s="1603"/>
      <c r="F7017" s="1603"/>
      <c r="G7017" s="1603" t="s">
        <v>3520</v>
      </c>
      <c r="H7017" s="1604">
        <v>2</v>
      </c>
      <c r="I7017" s="1610">
        <v>23</v>
      </c>
      <c r="J7017" s="1603"/>
      <c r="K7017" s="1606">
        <v>17268.150000000001</v>
      </c>
      <c r="L7017" s="1606">
        <v>17268.150000000001</v>
      </c>
      <c r="M7017" s="1607"/>
      <c r="N7017" s="1606">
        <v>17268.150000000001</v>
      </c>
      <c r="O7017" s="1606">
        <v>10255.08</v>
      </c>
      <c r="P7017" s="1606">
        <v>6108.21</v>
      </c>
      <c r="Q7017" s="1605">
        <v>904.86</v>
      </c>
      <c r="R7017" s="1606">
        <v>7013.07</v>
      </c>
      <c r="S7017" s="1608"/>
    </row>
    <row r="7018" spans="2:19" s="1609" customFormat="1" ht="11.25" customHeight="1" outlineLevel="1">
      <c r="B7018" s="1612" t="s">
        <v>3519</v>
      </c>
      <c r="C7018" s="1603" t="s">
        <v>3512</v>
      </c>
      <c r="D7018" s="1603" t="s">
        <v>3518</v>
      </c>
      <c r="E7018" s="1603" t="s">
        <v>2219</v>
      </c>
      <c r="F7018" s="1603"/>
      <c r="G7018" s="1603" t="s">
        <v>3517</v>
      </c>
      <c r="H7018" s="1604">
        <v>2</v>
      </c>
      <c r="I7018" s="1610">
        <v>169</v>
      </c>
      <c r="J7018" s="1603"/>
      <c r="K7018" s="1606">
        <v>205941.04</v>
      </c>
      <c r="L7018" s="1606">
        <v>205941.04</v>
      </c>
      <c r="M7018" s="1607"/>
      <c r="N7018" s="1606">
        <v>205941.04</v>
      </c>
      <c r="O7018" s="1606">
        <v>121938.79</v>
      </c>
      <c r="P7018" s="1606">
        <v>73163.25</v>
      </c>
      <c r="Q7018" s="1606">
        <v>10839</v>
      </c>
      <c r="R7018" s="1606">
        <v>84002.25</v>
      </c>
      <c r="S7018" s="1608"/>
    </row>
    <row r="7019" spans="2:19" s="1609" customFormat="1" ht="11.25" customHeight="1" outlineLevel="1">
      <c r="B7019" s="1612" t="s">
        <v>3516</v>
      </c>
      <c r="C7019" s="1603" t="s">
        <v>3512</v>
      </c>
      <c r="D7019" s="1603" t="s">
        <v>3515</v>
      </c>
      <c r="E7019" s="1603" t="s">
        <v>2219</v>
      </c>
      <c r="F7019" s="1603"/>
      <c r="G7019" s="1603" t="s">
        <v>3514</v>
      </c>
      <c r="H7019" s="1604">
        <v>2</v>
      </c>
      <c r="I7019" s="1610">
        <v>99</v>
      </c>
      <c r="J7019" s="1603"/>
      <c r="K7019" s="1606">
        <v>82567.5</v>
      </c>
      <c r="L7019" s="1606">
        <v>82567.5</v>
      </c>
      <c r="M7019" s="1607"/>
      <c r="N7019" s="1606">
        <v>82567.5</v>
      </c>
      <c r="O7019" s="1606">
        <v>48888.480000000003</v>
      </c>
      <c r="P7019" s="1606">
        <v>29333.34</v>
      </c>
      <c r="Q7019" s="1606">
        <v>4345.68</v>
      </c>
      <c r="R7019" s="1606">
        <v>33679.019999999997</v>
      </c>
      <c r="S7019" s="1608"/>
    </row>
    <row r="7020" spans="2:19" s="1609" customFormat="1" ht="11.25" customHeight="1" outlineLevel="1">
      <c r="B7020" s="1612" t="s">
        <v>3513</v>
      </c>
      <c r="C7020" s="1603" t="s">
        <v>3512</v>
      </c>
      <c r="D7020" s="1603" t="s">
        <v>3511</v>
      </c>
      <c r="E7020" s="1603" t="s">
        <v>2219</v>
      </c>
      <c r="F7020" s="1603"/>
      <c r="G7020" s="1603" t="s">
        <v>3510</v>
      </c>
      <c r="H7020" s="1604">
        <v>2</v>
      </c>
      <c r="I7020" s="1610">
        <v>46</v>
      </c>
      <c r="J7020" s="1603"/>
      <c r="K7020" s="1606">
        <v>23317.13</v>
      </c>
      <c r="L7020" s="1606">
        <v>23317.13</v>
      </c>
      <c r="M7020" s="1607"/>
      <c r="N7020" s="1606">
        <v>23317.13</v>
      </c>
      <c r="O7020" s="1606">
        <v>13847.87</v>
      </c>
      <c r="P7020" s="1606">
        <v>8247.42</v>
      </c>
      <c r="Q7020" s="1606">
        <v>1221.8399999999999</v>
      </c>
      <c r="R7020" s="1606">
        <v>9469.26</v>
      </c>
      <c r="S7020" s="1608"/>
    </row>
    <row r="7021" spans="2:19" s="1609" customFormat="1" ht="21.75" customHeight="1" outlineLevel="1">
      <c r="B7021" s="1612" t="s">
        <v>3509</v>
      </c>
      <c r="C7021" s="1603" t="s">
        <v>3460</v>
      </c>
      <c r="D7021" s="1603" t="s">
        <v>3508</v>
      </c>
      <c r="E7021" s="1603" t="s">
        <v>2219</v>
      </c>
      <c r="F7021" s="1603" t="s">
        <v>3507</v>
      </c>
      <c r="G7021" s="1603" t="s">
        <v>3506</v>
      </c>
      <c r="H7021" s="1604">
        <v>2</v>
      </c>
      <c r="I7021" s="1603"/>
      <c r="J7021" s="1603"/>
      <c r="K7021" s="1606">
        <v>536695.09</v>
      </c>
      <c r="L7021" s="1606">
        <v>536695.09</v>
      </c>
      <c r="M7021" s="1607"/>
      <c r="N7021" s="1606">
        <v>536695.09</v>
      </c>
      <c r="O7021" s="1606">
        <v>412733.89</v>
      </c>
      <c r="P7021" s="1606">
        <v>107057.4</v>
      </c>
      <c r="Q7021" s="1606">
        <v>16903.8</v>
      </c>
      <c r="R7021" s="1606">
        <v>123961.2</v>
      </c>
      <c r="S7021" s="1608"/>
    </row>
    <row r="7022" spans="2:19" s="1609" customFormat="1" ht="21.75" customHeight="1" outlineLevel="1">
      <c r="B7022" s="1612" t="s">
        <v>3505</v>
      </c>
      <c r="C7022" s="1603" t="s">
        <v>3460</v>
      </c>
      <c r="D7022" s="1603" t="s">
        <v>3504</v>
      </c>
      <c r="E7022" s="1603" t="s">
        <v>2219</v>
      </c>
      <c r="F7022" s="1603"/>
      <c r="G7022" s="1603" t="s">
        <v>3498</v>
      </c>
      <c r="H7022" s="1604">
        <v>2</v>
      </c>
      <c r="I7022" s="1603"/>
      <c r="J7022" s="1603"/>
      <c r="K7022" s="1606">
        <v>169395.39</v>
      </c>
      <c r="L7022" s="1606">
        <v>169395.39</v>
      </c>
      <c r="M7022" s="1607"/>
      <c r="N7022" s="1606">
        <v>169395.39</v>
      </c>
      <c r="O7022" s="1606">
        <v>143379.95000000001</v>
      </c>
      <c r="P7022" s="1606">
        <v>22467.88</v>
      </c>
      <c r="Q7022" s="1606">
        <v>3547.56</v>
      </c>
      <c r="R7022" s="1606">
        <v>26015.439999999999</v>
      </c>
      <c r="S7022" s="1608"/>
    </row>
    <row r="7023" spans="2:19" s="1609" customFormat="1" ht="21.75" customHeight="1" outlineLevel="1">
      <c r="B7023" s="1612" t="s">
        <v>3503</v>
      </c>
      <c r="C7023" s="1603" t="s">
        <v>3460</v>
      </c>
      <c r="D7023" s="1603" t="s">
        <v>3502</v>
      </c>
      <c r="E7023" s="1603" t="s">
        <v>2219</v>
      </c>
      <c r="F7023" s="1603"/>
      <c r="G7023" s="1603" t="s">
        <v>3501</v>
      </c>
      <c r="H7023" s="1604">
        <v>2</v>
      </c>
      <c r="I7023" s="1603"/>
      <c r="J7023" s="1603"/>
      <c r="K7023" s="1606">
        <v>134456.64000000001</v>
      </c>
      <c r="L7023" s="1606">
        <v>134456.64000000001</v>
      </c>
      <c r="M7023" s="1607"/>
      <c r="N7023" s="1606">
        <v>134456.64000000001</v>
      </c>
      <c r="O7023" s="1606">
        <v>85155.64</v>
      </c>
      <c r="P7023" s="1606">
        <v>42578.239999999998</v>
      </c>
      <c r="Q7023" s="1606">
        <v>6722.76</v>
      </c>
      <c r="R7023" s="1606">
        <v>49301</v>
      </c>
      <c r="S7023" s="1608"/>
    </row>
    <row r="7024" spans="2:19" s="1609" customFormat="1" ht="21.75" customHeight="1" outlineLevel="1">
      <c r="B7024" s="1612" t="s">
        <v>3500</v>
      </c>
      <c r="C7024" s="1603" t="s">
        <v>3460</v>
      </c>
      <c r="D7024" s="1603" t="s">
        <v>3499</v>
      </c>
      <c r="E7024" s="1603" t="s">
        <v>2219</v>
      </c>
      <c r="F7024" s="1603"/>
      <c r="G7024" s="1603" t="s">
        <v>3498</v>
      </c>
      <c r="H7024" s="1604">
        <v>2</v>
      </c>
      <c r="I7024" s="1603"/>
      <c r="J7024" s="1603"/>
      <c r="K7024" s="1606">
        <v>1342471.15</v>
      </c>
      <c r="L7024" s="1606">
        <v>1342471.15</v>
      </c>
      <c r="M7024" s="1607"/>
      <c r="N7024" s="1606">
        <v>1342471.15</v>
      </c>
      <c r="O7024" s="1606">
        <v>1136297.71</v>
      </c>
      <c r="P7024" s="1606">
        <v>178058.88</v>
      </c>
      <c r="Q7024" s="1606">
        <v>28114.560000000001</v>
      </c>
      <c r="R7024" s="1606">
        <v>206173.44</v>
      </c>
      <c r="S7024" s="1608"/>
    </row>
    <row r="7025" spans="2:19" s="1609" customFormat="1" ht="11.25" customHeight="1" outlineLevel="1">
      <c r="B7025" s="1612" t="s">
        <v>3497</v>
      </c>
      <c r="C7025" s="1603" t="s">
        <v>3460</v>
      </c>
      <c r="D7025" s="1603" t="s">
        <v>3496</v>
      </c>
      <c r="E7025" s="1603"/>
      <c r="F7025" s="1603"/>
      <c r="G7025" s="1603" t="s">
        <v>3495</v>
      </c>
      <c r="H7025" s="1604">
        <v>2</v>
      </c>
      <c r="I7025" s="1603"/>
      <c r="J7025" s="1603"/>
      <c r="K7025" s="1606">
        <v>4459948.9800000004</v>
      </c>
      <c r="L7025" s="1606">
        <v>4459948.9800000004</v>
      </c>
      <c r="M7025" s="1607"/>
      <c r="N7025" s="1606">
        <v>4459948.9800000004</v>
      </c>
      <c r="O7025" s="1606">
        <v>2436879.14</v>
      </c>
      <c r="P7025" s="1606">
        <v>1747196.68</v>
      </c>
      <c r="Q7025" s="1606">
        <v>275873.15999999997</v>
      </c>
      <c r="R7025" s="1606">
        <v>2023069.84</v>
      </c>
      <c r="S7025" s="1608"/>
    </row>
    <row r="7026" spans="2:19" s="1609" customFormat="1" ht="11.25" customHeight="1" outlineLevel="1">
      <c r="B7026" s="1612" t="s">
        <v>3494</v>
      </c>
      <c r="C7026" s="1603" t="s">
        <v>3460</v>
      </c>
      <c r="D7026" s="1603" t="s">
        <v>3493</v>
      </c>
      <c r="E7026" s="1603" t="s">
        <v>2219</v>
      </c>
      <c r="F7026" s="1603"/>
      <c r="G7026" s="1603" t="s">
        <v>3492</v>
      </c>
      <c r="H7026" s="1604">
        <v>2</v>
      </c>
      <c r="I7026" s="1603"/>
      <c r="J7026" s="1603"/>
      <c r="K7026" s="1606">
        <v>44210.1</v>
      </c>
      <c r="L7026" s="1606">
        <v>44210.1</v>
      </c>
      <c r="M7026" s="1607"/>
      <c r="N7026" s="1606">
        <v>44210.1</v>
      </c>
      <c r="O7026" s="1606">
        <v>27999.62</v>
      </c>
      <c r="P7026" s="1606">
        <v>13999.96</v>
      </c>
      <c r="Q7026" s="1606">
        <v>2210.52</v>
      </c>
      <c r="R7026" s="1606">
        <v>16210.48</v>
      </c>
      <c r="S7026" s="1608"/>
    </row>
    <row r="7027" spans="2:19" s="1609" customFormat="1" ht="11.25" customHeight="1" outlineLevel="1">
      <c r="B7027" s="1612" t="s">
        <v>3491</v>
      </c>
      <c r="C7027" s="1603" t="s">
        <v>3460</v>
      </c>
      <c r="D7027" s="1603" t="s">
        <v>3490</v>
      </c>
      <c r="E7027" s="1603" t="s">
        <v>2219</v>
      </c>
      <c r="F7027" s="1603"/>
      <c r="G7027" s="1603" t="s">
        <v>3489</v>
      </c>
      <c r="H7027" s="1604">
        <v>2</v>
      </c>
      <c r="I7027" s="1603"/>
      <c r="J7027" s="1603"/>
      <c r="K7027" s="1606">
        <v>37808.800000000003</v>
      </c>
      <c r="L7027" s="1606">
        <v>37808.800000000003</v>
      </c>
      <c r="M7027" s="1607"/>
      <c r="N7027" s="1606">
        <v>37808.800000000003</v>
      </c>
      <c r="O7027" s="1606">
        <v>23945.32</v>
      </c>
      <c r="P7027" s="1606">
        <v>11973.04</v>
      </c>
      <c r="Q7027" s="1606">
        <v>1890.44</v>
      </c>
      <c r="R7027" s="1606">
        <v>13863.48</v>
      </c>
      <c r="S7027" s="1608"/>
    </row>
    <row r="7028" spans="2:19" s="1609" customFormat="1" ht="21.75" customHeight="1" outlineLevel="1">
      <c r="B7028" s="1612" t="s">
        <v>3488</v>
      </c>
      <c r="C7028" s="1603" t="s">
        <v>3460</v>
      </c>
      <c r="D7028" s="1603" t="s">
        <v>3487</v>
      </c>
      <c r="E7028" s="1603" t="s">
        <v>2219</v>
      </c>
      <c r="F7028" s="1603"/>
      <c r="G7028" s="1603" t="s">
        <v>3486</v>
      </c>
      <c r="H7028" s="1604">
        <v>2</v>
      </c>
      <c r="I7028" s="1603"/>
      <c r="J7028" s="1603"/>
      <c r="K7028" s="1606">
        <v>2048771.2</v>
      </c>
      <c r="L7028" s="1606">
        <v>2048771.2</v>
      </c>
      <c r="M7028" s="1607"/>
      <c r="N7028" s="1606">
        <v>2048771.2</v>
      </c>
      <c r="O7028" s="1606">
        <v>1243896.8</v>
      </c>
      <c r="P7028" s="1606">
        <v>695118.8</v>
      </c>
      <c r="Q7028" s="1606">
        <v>109755.6</v>
      </c>
      <c r="R7028" s="1606">
        <v>804874.4</v>
      </c>
      <c r="S7028" s="1608"/>
    </row>
    <row r="7029" spans="2:19" s="1609" customFormat="1" ht="21.75" customHeight="1" outlineLevel="1">
      <c r="B7029" s="1612" t="s">
        <v>3485</v>
      </c>
      <c r="C7029" s="1603" t="s">
        <v>3460</v>
      </c>
      <c r="D7029" s="1603" t="s">
        <v>3484</v>
      </c>
      <c r="E7029" s="1603"/>
      <c r="F7029" s="1603"/>
      <c r="G7029" s="1603" t="s">
        <v>3483</v>
      </c>
      <c r="H7029" s="1604">
        <v>2</v>
      </c>
      <c r="I7029" s="1610">
        <v>81</v>
      </c>
      <c r="J7029" s="1603"/>
      <c r="K7029" s="1606">
        <v>46386.239999999998</v>
      </c>
      <c r="L7029" s="1606">
        <v>46386.239999999998</v>
      </c>
      <c r="M7029" s="1607"/>
      <c r="N7029" s="1606">
        <v>46386.239999999998</v>
      </c>
      <c r="O7029" s="1606">
        <v>29377.72</v>
      </c>
      <c r="P7029" s="1606">
        <v>14689.28</v>
      </c>
      <c r="Q7029" s="1606">
        <v>2319.2399999999998</v>
      </c>
      <c r="R7029" s="1606">
        <v>17008.52</v>
      </c>
      <c r="S7029" s="1608"/>
    </row>
    <row r="7030" spans="2:19" s="1609" customFormat="1" ht="11.25" customHeight="1" outlineLevel="1">
      <c r="B7030" s="1612" t="s">
        <v>3482</v>
      </c>
      <c r="C7030" s="1603" t="s">
        <v>3460</v>
      </c>
      <c r="D7030" s="1603" t="s">
        <v>3481</v>
      </c>
      <c r="E7030" s="1603" t="s">
        <v>2219</v>
      </c>
      <c r="F7030" s="1603"/>
      <c r="G7030" s="1603" t="s">
        <v>3480</v>
      </c>
      <c r="H7030" s="1604">
        <v>2</v>
      </c>
      <c r="I7030" s="1603"/>
      <c r="J7030" s="1603"/>
      <c r="K7030" s="1606">
        <v>8051</v>
      </c>
      <c r="L7030" s="1606">
        <v>8051</v>
      </c>
      <c r="M7030" s="1607"/>
      <c r="N7030" s="1606">
        <v>8051</v>
      </c>
      <c r="O7030" s="1606">
        <v>4970.88</v>
      </c>
      <c r="P7030" s="1606">
        <v>2660</v>
      </c>
      <c r="Q7030" s="1605">
        <v>420.12</v>
      </c>
      <c r="R7030" s="1606">
        <v>3080.12</v>
      </c>
      <c r="S7030" s="1608"/>
    </row>
    <row r="7031" spans="2:19" s="1609" customFormat="1" ht="11.25" customHeight="1" outlineLevel="1">
      <c r="B7031" s="1612" t="s">
        <v>3479</v>
      </c>
      <c r="C7031" s="1603" t="s">
        <v>3460</v>
      </c>
      <c r="D7031" s="1603" t="s">
        <v>3478</v>
      </c>
      <c r="E7031" s="1603" t="s">
        <v>2219</v>
      </c>
      <c r="F7031" s="1603"/>
      <c r="G7031" s="1603" t="s">
        <v>3477</v>
      </c>
      <c r="H7031" s="1604">
        <v>2</v>
      </c>
      <c r="I7031" s="1603"/>
      <c r="J7031" s="1603"/>
      <c r="K7031" s="1606">
        <v>390752.87</v>
      </c>
      <c r="L7031" s="1606">
        <v>390752.87</v>
      </c>
      <c r="M7031" s="1607"/>
      <c r="N7031" s="1606">
        <v>390752.87</v>
      </c>
      <c r="O7031" s="1606">
        <v>241894.71</v>
      </c>
      <c r="P7031" s="1606">
        <v>128559.32</v>
      </c>
      <c r="Q7031" s="1606">
        <v>20298.84</v>
      </c>
      <c r="R7031" s="1606">
        <v>148858.16</v>
      </c>
      <c r="S7031" s="1608"/>
    </row>
    <row r="7032" spans="2:19" s="1609" customFormat="1" ht="11.25" customHeight="1" outlineLevel="1">
      <c r="B7032" s="1612" t="s">
        <v>3476</v>
      </c>
      <c r="C7032" s="1603" t="s">
        <v>3460</v>
      </c>
      <c r="D7032" s="1603" t="s">
        <v>3475</v>
      </c>
      <c r="E7032" s="1603" t="s">
        <v>2219</v>
      </c>
      <c r="F7032" s="1603"/>
      <c r="G7032" s="1603" t="s">
        <v>3474</v>
      </c>
      <c r="H7032" s="1604">
        <v>2</v>
      </c>
      <c r="I7032" s="1603"/>
      <c r="J7032" s="1603"/>
      <c r="K7032" s="1606">
        <v>22012.639999999999</v>
      </c>
      <c r="L7032" s="1606">
        <v>22012.639999999999</v>
      </c>
      <c r="M7032" s="1607"/>
      <c r="N7032" s="1606">
        <v>22012.639999999999</v>
      </c>
      <c r="O7032" s="1606">
        <v>13286.68</v>
      </c>
      <c r="P7032" s="1606">
        <v>7536.16</v>
      </c>
      <c r="Q7032" s="1606">
        <v>1189.8</v>
      </c>
      <c r="R7032" s="1606">
        <v>8725.9599999999991</v>
      </c>
      <c r="S7032" s="1608"/>
    </row>
    <row r="7033" spans="2:19" s="1609" customFormat="1" ht="11.25" customHeight="1" outlineLevel="1">
      <c r="B7033" s="1612" t="s">
        <v>3473</v>
      </c>
      <c r="C7033" s="1603" t="s">
        <v>3460</v>
      </c>
      <c r="D7033" s="1603" t="s">
        <v>3472</v>
      </c>
      <c r="E7033" s="1603" t="s">
        <v>2219</v>
      </c>
      <c r="F7033" s="1603"/>
      <c r="G7033" s="1603" t="s">
        <v>3471</v>
      </c>
      <c r="H7033" s="1604">
        <v>2</v>
      </c>
      <c r="I7033" s="1603"/>
      <c r="J7033" s="1603"/>
      <c r="K7033" s="1606">
        <v>33312.58</v>
      </c>
      <c r="L7033" s="1606">
        <v>33312.58</v>
      </c>
      <c r="M7033" s="1607"/>
      <c r="N7033" s="1606">
        <v>33312.58</v>
      </c>
      <c r="O7033" s="1606">
        <v>19613.740000000002</v>
      </c>
      <c r="P7033" s="1606">
        <v>11830.92</v>
      </c>
      <c r="Q7033" s="1606">
        <v>1867.92</v>
      </c>
      <c r="R7033" s="1606">
        <v>13698.84</v>
      </c>
      <c r="S7033" s="1608"/>
    </row>
    <row r="7034" spans="2:19" s="1609" customFormat="1" ht="11.25" customHeight="1" outlineLevel="1">
      <c r="B7034" s="1612" t="s">
        <v>3470</v>
      </c>
      <c r="C7034" s="1603" t="s">
        <v>3460</v>
      </c>
      <c r="D7034" s="1603" t="s">
        <v>3469</v>
      </c>
      <c r="E7034" s="1603" t="s">
        <v>2219</v>
      </c>
      <c r="F7034" s="1603"/>
      <c r="G7034" s="1603" t="s">
        <v>3468</v>
      </c>
      <c r="H7034" s="1604">
        <v>2</v>
      </c>
      <c r="I7034" s="1603"/>
      <c r="J7034" s="1603"/>
      <c r="K7034" s="1606">
        <v>13946.72</v>
      </c>
      <c r="L7034" s="1606">
        <v>13946.72</v>
      </c>
      <c r="M7034" s="1607"/>
      <c r="N7034" s="1606">
        <v>13946.72</v>
      </c>
      <c r="O7034" s="1606">
        <v>8157.32</v>
      </c>
      <c r="P7034" s="1606">
        <v>5000.04</v>
      </c>
      <c r="Q7034" s="1605">
        <v>789.36</v>
      </c>
      <c r="R7034" s="1606">
        <v>5789.4</v>
      </c>
      <c r="S7034" s="1608"/>
    </row>
    <row r="7035" spans="2:19" s="1609" customFormat="1" ht="11.25" customHeight="1" outlineLevel="1">
      <c r="B7035" s="1612" t="s">
        <v>3467</v>
      </c>
      <c r="C7035" s="1603" t="s">
        <v>3460</v>
      </c>
      <c r="D7035" s="1603" t="s">
        <v>3466</v>
      </c>
      <c r="E7035" s="1603" t="s">
        <v>2219</v>
      </c>
      <c r="F7035" s="1603"/>
      <c r="G7035" s="1603" t="s">
        <v>3465</v>
      </c>
      <c r="H7035" s="1604">
        <v>2</v>
      </c>
      <c r="I7035" s="1603"/>
      <c r="J7035" s="1603"/>
      <c r="K7035" s="1606">
        <v>304286.33</v>
      </c>
      <c r="L7035" s="1606">
        <v>304286.33</v>
      </c>
      <c r="M7035" s="1607"/>
      <c r="N7035" s="1606">
        <v>304286.33</v>
      </c>
      <c r="O7035" s="1606">
        <v>184209.45</v>
      </c>
      <c r="P7035" s="1606">
        <v>103702.76</v>
      </c>
      <c r="Q7035" s="1606">
        <v>16374.12</v>
      </c>
      <c r="R7035" s="1606">
        <v>120076.88</v>
      </c>
      <c r="S7035" s="1608"/>
    </row>
    <row r="7036" spans="2:19" s="1609" customFormat="1" ht="21.75" customHeight="1" outlineLevel="1">
      <c r="B7036" s="1612" t="s">
        <v>3464</v>
      </c>
      <c r="C7036" s="1603" t="s">
        <v>3460</v>
      </c>
      <c r="D7036" s="1603" t="s">
        <v>3463</v>
      </c>
      <c r="E7036" s="1603" t="s">
        <v>2219</v>
      </c>
      <c r="F7036" s="1603"/>
      <c r="G7036" s="1603" t="s">
        <v>3462</v>
      </c>
      <c r="H7036" s="1604">
        <v>2</v>
      </c>
      <c r="I7036" s="1603"/>
      <c r="J7036" s="1603"/>
      <c r="K7036" s="1606">
        <v>4996.58</v>
      </c>
      <c r="L7036" s="1606">
        <v>4996.58</v>
      </c>
      <c r="M7036" s="1607"/>
      <c r="N7036" s="1606">
        <v>4996.58</v>
      </c>
      <c r="O7036" s="1606">
        <v>2932.1</v>
      </c>
      <c r="P7036" s="1606">
        <v>1782.96</v>
      </c>
      <c r="Q7036" s="1605">
        <v>281.52</v>
      </c>
      <c r="R7036" s="1606">
        <v>2064.48</v>
      </c>
      <c r="S7036" s="1608"/>
    </row>
    <row r="7037" spans="2:19" s="1609" customFormat="1" ht="11.25" customHeight="1" outlineLevel="1">
      <c r="B7037" s="1612" t="s">
        <v>3461</v>
      </c>
      <c r="C7037" s="1603" t="s">
        <v>3460</v>
      </c>
      <c r="D7037" s="1603" t="s">
        <v>3459</v>
      </c>
      <c r="E7037" s="1603" t="s">
        <v>2219</v>
      </c>
      <c r="F7037" s="1603"/>
      <c r="G7037" s="1603" t="s">
        <v>3458</v>
      </c>
      <c r="H7037" s="1604">
        <v>2</v>
      </c>
      <c r="I7037" s="1603"/>
      <c r="J7037" s="1603"/>
      <c r="K7037" s="1606">
        <v>8126.76</v>
      </c>
      <c r="L7037" s="1606">
        <v>8126.76</v>
      </c>
      <c r="M7037" s="1607"/>
      <c r="N7037" s="1606">
        <v>8126.76</v>
      </c>
      <c r="O7037" s="1606">
        <v>4753.6000000000004</v>
      </c>
      <c r="P7037" s="1606">
        <v>2913.08</v>
      </c>
      <c r="Q7037" s="1605">
        <v>460.08</v>
      </c>
      <c r="R7037" s="1606">
        <v>3373.16</v>
      </c>
      <c r="S7037" s="1608"/>
    </row>
    <row r="7038" spans="2:19" s="1609" customFormat="1" ht="11.25" customHeight="1" outlineLevel="1">
      <c r="B7038" s="1612" t="s">
        <v>3457</v>
      </c>
      <c r="C7038" s="1603" t="s">
        <v>3456</v>
      </c>
      <c r="D7038" s="1603" t="s">
        <v>3455</v>
      </c>
      <c r="E7038" s="1603" t="s">
        <v>2219</v>
      </c>
      <c r="F7038" s="1603"/>
      <c r="G7038" s="1603" t="s">
        <v>3454</v>
      </c>
      <c r="H7038" s="1604">
        <v>2</v>
      </c>
      <c r="I7038" s="1610">
        <v>35</v>
      </c>
      <c r="J7038" s="1603"/>
      <c r="K7038" s="1606">
        <v>17731.8</v>
      </c>
      <c r="L7038" s="1606">
        <v>17731.8</v>
      </c>
      <c r="M7038" s="1607"/>
      <c r="N7038" s="1606">
        <v>17731.8</v>
      </c>
      <c r="O7038" s="1606">
        <v>10554.4</v>
      </c>
      <c r="P7038" s="1606">
        <v>6164.12</v>
      </c>
      <c r="Q7038" s="1606">
        <v>1013.28</v>
      </c>
      <c r="R7038" s="1606">
        <v>7177.4</v>
      </c>
      <c r="S7038" s="1608"/>
    </row>
    <row r="7039" spans="2:19" s="1609" customFormat="1" ht="21.75" customHeight="1" outlineLevel="1">
      <c r="B7039" s="1612" t="s">
        <v>3453</v>
      </c>
      <c r="C7039" s="1603" t="s">
        <v>3452</v>
      </c>
      <c r="D7039" s="1603" t="s">
        <v>3451</v>
      </c>
      <c r="E7039" s="1603" t="s">
        <v>2219</v>
      </c>
      <c r="F7039" s="1603"/>
      <c r="G7039" s="1603" t="s">
        <v>3450</v>
      </c>
      <c r="H7039" s="1604">
        <v>2</v>
      </c>
      <c r="I7039" s="1610">
        <v>1761</v>
      </c>
      <c r="J7039" s="1603"/>
      <c r="K7039" s="1606">
        <v>9814269.1300000008</v>
      </c>
      <c r="L7039" s="1606">
        <v>9814269.1300000008</v>
      </c>
      <c r="M7039" s="1607"/>
      <c r="N7039" s="1606">
        <v>9814269.1300000008</v>
      </c>
      <c r="O7039" s="1606">
        <v>5205358.33</v>
      </c>
      <c r="P7039" s="1606">
        <v>3958241.04</v>
      </c>
      <c r="Q7039" s="1606">
        <v>650669.76</v>
      </c>
      <c r="R7039" s="1606">
        <v>4608910.8</v>
      </c>
      <c r="S7039" s="1608"/>
    </row>
    <row r="7040" spans="2:19" s="1609" customFormat="1" ht="21.75" customHeight="1" outlineLevel="1">
      <c r="B7040" s="1612" t="s">
        <v>3449</v>
      </c>
      <c r="C7040" s="1603" t="s">
        <v>3446</v>
      </c>
      <c r="D7040" s="1603" t="s">
        <v>3448</v>
      </c>
      <c r="E7040" s="1603"/>
      <c r="F7040" s="1603"/>
      <c r="G7040" s="1603"/>
      <c r="H7040" s="1604">
        <v>2</v>
      </c>
      <c r="I7040" s="1603"/>
      <c r="J7040" s="1603"/>
      <c r="K7040" s="1606">
        <v>23271929.899999999</v>
      </c>
      <c r="L7040" s="1606">
        <v>23271929.899999999</v>
      </c>
      <c r="M7040" s="1607"/>
      <c r="N7040" s="1606">
        <v>23271929.899999999</v>
      </c>
      <c r="O7040" s="1606">
        <v>12471697.1</v>
      </c>
      <c r="P7040" s="1606">
        <v>9257342.4000000004</v>
      </c>
      <c r="Q7040" s="1606">
        <v>1542890.4</v>
      </c>
      <c r="R7040" s="1606">
        <v>10800232.800000001</v>
      </c>
      <c r="S7040" s="1608"/>
    </row>
    <row r="7041" spans="2:19" s="1609" customFormat="1" ht="11.25" customHeight="1" outlineLevel="1">
      <c r="B7041" s="1612" t="s">
        <v>3447</v>
      </c>
      <c r="C7041" s="1603" t="s">
        <v>3446</v>
      </c>
      <c r="D7041" s="1603" t="s">
        <v>3445</v>
      </c>
      <c r="E7041" s="1603"/>
      <c r="F7041" s="1603"/>
      <c r="G7041" s="1603"/>
      <c r="H7041" s="1604">
        <v>2</v>
      </c>
      <c r="I7041" s="1603"/>
      <c r="J7041" s="1603"/>
      <c r="K7041" s="1606">
        <v>14742249.66</v>
      </c>
      <c r="L7041" s="1606">
        <v>14742249.66</v>
      </c>
      <c r="M7041" s="1607"/>
      <c r="N7041" s="1606">
        <v>14742249.66</v>
      </c>
      <c r="O7041" s="1606">
        <v>7900542.8099999996</v>
      </c>
      <c r="P7041" s="1606">
        <v>5864320.0800000001</v>
      </c>
      <c r="Q7041" s="1606">
        <v>977386.77</v>
      </c>
      <c r="R7041" s="1606">
        <v>6841706.8499999996</v>
      </c>
      <c r="S7041" s="1608"/>
    </row>
    <row r="7042" spans="2:19" s="1609" customFormat="1" ht="11.25" customHeight="1" outlineLevel="1">
      <c r="B7042" s="1612" t="s">
        <v>3444</v>
      </c>
      <c r="C7042" s="1603" t="s">
        <v>3443</v>
      </c>
      <c r="D7042" s="1603" t="s">
        <v>3442</v>
      </c>
      <c r="E7042" s="1603"/>
      <c r="F7042" s="1603"/>
      <c r="G7042" s="1603"/>
      <c r="H7042" s="1604">
        <v>2</v>
      </c>
      <c r="I7042" s="1603"/>
      <c r="J7042" s="1603"/>
      <c r="K7042" s="1606">
        <v>94750.61</v>
      </c>
      <c r="L7042" s="1606">
        <v>94750.61</v>
      </c>
      <c r="M7042" s="1606">
        <v>-94750.61</v>
      </c>
      <c r="N7042" s="1607"/>
      <c r="O7042" s="1607"/>
      <c r="P7042" s="1606">
        <v>94750.61</v>
      </c>
      <c r="Q7042" s="1606">
        <v>-94750.61</v>
      </c>
      <c r="R7042" s="1607"/>
      <c r="S7042" s="1608"/>
    </row>
    <row r="7043" spans="2:19" s="1609" customFormat="1" ht="11.25" customHeight="1" outlineLevel="1">
      <c r="B7043" s="1612" t="s">
        <v>3441</v>
      </c>
      <c r="C7043" s="1603" t="s">
        <v>3440</v>
      </c>
      <c r="D7043" s="1603" t="s">
        <v>3439</v>
      </c>
      <c r="E7043" s="1603"/>
      <c r="F7043" s="1603"/>
      <c r="G7043" s="1603"/>
      <c r="H7043" s="1604">
        <v>2</v>
      </c>
      <c r="I7043" s="1603"/>
      <c r="J7043" s="1603"/>
      <c r="K7043" s="1606">
        <v>525550.07999999996</v>
      </c>
      <c r="L7043" s="1606">
        <v>525550.07999999996</v>
      </c>
      <c r="M7043" s="1607"/>
      <c r="N7043" s="1606">
        <v>525550.07999999996</v>
      </c>
      <c r="O7043" s="1606">
        <v>299070.06</v>
      </c>
      <c r="P7043" s="1606">
        <v>191636.94</v>
      </c>
      <c r="Q7043" s="1606">
        <v>34843.08</v>
      </c>
      <c r="R7043" s="1606">
        <v>226480.02</v>
      </c>
      <c r="S7043" s="1608"/>
    </row>
    <row r="7044" spans="2:19" s="1609" customFormat="1" ht="21.75" customHeight="1" outlineLevel="1">
      <c r="B7044" s="1612" t="s">
        <v>3438</v>
      </c>
      <c r="C7044" s="1603" t="s">
        <v>3437</v>
      </c>
      <c r="D7044" s="1603" t="s">
        <v>3436</v>
      </c>
      <c r="E7044" s="1603" t="s">
        <v>2219</v>
      </c>
      <c r="F7044" s="1603"/>
      <c r="G7044" s="1603" t="s">
        <v>3435</v>
      </c>
      <c r="H7044" s="1604">
        <v>2</v>
      </c>
      <c r="I7044" s="1610">
        <v>372</v>
      </c>
      <c r="J7044" s="1603" t="s">
        <v>3434</v>
      </c>
      <c r="K7044" s="1606">
        <v>118881.06</v>
      </c>
      <c r="L7044" s="1606">
        <v>118881.06</v>
      </c>
      <c r="M7044" s="1607"/>
      <c r="N7044" s="1606">
        <v>118881.06</v>
      </c>
      <c r="O7044" s="1606">
        <v>55312.85</v>
      </c>
      <c r="P7044" s="1606">
        <v>53661.4</v>
      </c>
      <c r="Q7044" s="1606">
        <v>9906.81</v>
      </c>
      <c r="R7044" s="1606">
        <v>63568.21</v>
      </c>
      <c r="S7044" s="1608"/>
    </row>
    <row r="7045" spans="2:19" s="1609" customFormat="1" ht="11.25" customHeight="1" outlineLevel="1">
      <c r="B7045" s="1612" t="s">
        <v>3433</v>
      </c>
      <c r="C7045" s="1603" t="s">
        <v>3432</v>
      </c>
      <c r="D7045" s="1603" t="s">
        <v>3431</v>
      </c>
      <c r="E7045" s="1603"/>
      <c r="F7045" s="1603"/>
      <c r="G7045" s="1603"/>
      <c r="H7045" s="1604">
        <v>2</v>
      </c>
      <c r="I7045" s="1603"/>
      <c r="J7045" s="1603"/>
      <c r="K7045" s="1606">
        <v>118477.29</v>
      </c>
      <c r="L7045" s="1606">
        <v>118477.29</v>
      </c>
      <c r="M7045" s="1607"/>
      <c r="N7045" s="1606">
        <v>118477.29</v>
      </c>
      <c r="O7045" s="1606">
        <v>69384.539999999994</v>
      </c>
      <c r="P7045" s="1606">
        <v>41237.910000000003</v>
      </c>
      <c r="Q7045" s="1606">
        <v>7854.84</v>
      </c>
      <c r="R7045" s="1606">
        <v>49092.75</v>
      </c>
      <c r="S7045" s="1608"/>
    </row>
    <row r="7046" spans="2:19" s="1609" customFormat="1" ht="11.25" customHeight="1" outlineLevel="1">
      <c r="B7046" s="1612" t="s">
        <v>3430</v>
      </c>
      <c r="C7046" s="1603" t="s">
        <v>3421</v>
      </c>
      <c r="D7046" s="1603" t="s">
        <v>3429</v>
      </c>
      <c r="E7046" s="1603"/>
      <c r="F7046" s="1603"/>
      <c r="G7046" s="1603"/>
      <c r="H7046" s="1604">
        <v>2</v>
      </c>
      <c r="I7046" s="1603"/>
      <c r="J7046" s="1603"/>
      <c r="K7046" s="1606">
        <v>52857.73</v>
      </c>
      <c r="L7046" s="1606">
        <v>52857.73</v>
      </c>
      <c r="M7046" s="1607"/>
      <c r="N7046" s="1606">
        <v>52857.73</v>
      </c>
      <c r="O7046" s="1606">
        <v>31831.57</v>
      </c>
      <c r="P7046" s="1606">
        <v>17521.8</v>
      </c>
      <c r="Q7046" s="1606">
        <v>3504.36</v>
      </c>
      <c r="R7046" s="1606">
        <v>21026.16</v>
      </c>
      <c r="S7046" s="1608"/>
    </row>
    <row r="7047" spans="2:19" s="1609" customFormat="1" ht="11.25" customHeight="1" outlineLevel="1">
      <c r="B7047" s="1612" t="s">
        <v>3428</v>
      </c>
      <c r="C7047" s="1603" t="s">
        <v>3421</v>
      </c>
      <c r="D7047" s="1603" t="s">
        <v>3427</v>
      </c>
      <c r="E7047" s="1603"/>
      <c r="F7047" s="1603"/>
      <c r="G7047" s="1603"/>
      <c r="H7047" s="1604">
        <v>2</v>
      </c>
      <c r="I7047" s="1603"/>
      <c r="J7047" s="1603"/>
      <c r="K7047" s="1606">
        <v>499621.67</v>
      </c>
      <c r="L7047" s="1606">
        <v>499621.67</v>
      </c>
      <c r="M7047" s="1607"/>
      <c r="N7047" s="1606">
        <v>499621.67</v>
      </c>
      <c r="O7047" s="1606">
        <v>300877.19</v>
      </c>
      <c r="P7047" s="1606">
        <v>165620.4</v>
      </c>
      <c r="Q7047" s="1606">
        <v>33124.080000000002</v>
      </c>
      <c r="R7047" s="1606">
        <v>198744.48</v>
      </c>
      <c r="S7047" s="1608"/>
    </row>
    <row r="7048" spans="2:19" s="1609" customFormat="1" ht="21.75" customHeight="1" outlineLevel="1">
      <c r="B7048" s="1612" t="s">
        <v>3426</v>
      </c>
      <c r="C7048" s="1603" t="s">
        <v>3421</v>
      </c>
      <c r="D7048" s="1603" t="s">
        <v>3425</v>
      </c>
      <c r="E7048" s="1603"/>
      <c r="F7048" s="1603"/>
      <c r="G7048" s="1603"/>
      <c r="H7048" s="1604">
        <v>2</v>
      </c>
      <c r="I7048" s="1603"/>
      <c r="J7048" s="1603"/>
      <c r="K7048" s="1606">
        <v>94700.58</v>
      </c>
      <c r="L7048" s="1606">
        <v>94700.58</v>
      </c>
      <c r="M7048" s="1607"/>
      <c r="N7048" s="1606">
        <v>94700.58</v>
      </c>
      <c r="O7048" s="1606">
        <v>57029.46</v>
      </c>
      <c r="P7048" s="1606">
        <v>31392.6</v>
      </c>
      <c r="Q7048" s="1606">
        <v>6278.52</v>
      </c>
      <c r="R7048" s="1606">
        <v>37671.120000000003</v>
      </c>
      <c r="S7048" s="1608"/>
    </row>
    <row r="7049" spans="2:19" s="1609" customFormat="1" ht="11.25" customHeight="1" outlineLevel="1">
      <c r="B7049" s="1612" t="s">
        <v>3424</v>
      </c>
      <c r="C7049" s="1603" t="s">
        <v>3421</v>
      </c>
      <c r="D7049" s="1603" t="s">
        <v>3423</v>
      </c>
      <c r="E7049" s="1603"/>
      <c r="F7049" s="1603"/>
      <c r="G7049" s="1603"/>
      <c r="H7049" s="1604">
        <v>2</v>
      </c>
      <c r="I7049" s="1603"/>
      <c r="J7049" s="1603"/>
      <c r="K7049" s="1606">
        <v>13025.36</v>
      </c>
      <c r="L7049" s="1606">
        <v>13025.36</v>
      </c>
      <c r="M7049" s="1607"/>
      <c r="N7049" s="1606">
        <v>13025.36</v>
      </c>
      <c r="O7049" s="1606">
        <v>7844.18</v>
      </c>
      <c r="P7049" s="1606">
        <v>4317.6000000000004</v>
      </c>
      <c r="Q7049" s="1605">
        <v>863.58</v>
      </c>
      <c r="R7049" s="1606">
        <v>5181.18</v>
      </c>
      <c r="S7049" s="1608"/>
    </row>
    <row r="7050" spans="2:19" s="1609" customFormat="1" ht="21.75" customHeight="1" outlineLevel="1">
      <c r="B7050" s="1612" t="s">
        <v>3422</v>
      </c>
      <c r="C7050" s="1603" t="s">
        <v>3421</v>
      </c>
      <c r="D7050" s="1603" t="s">
        <v>3420</v>
      </c>
      <c r="E7050" s="1603"/>
      <c r="F7050" s="1603"/>
      <c r="G7050" s="1603"/>
      <c r="H7050" s="1604">
        <v>2</v>
      </c>
      <c r="I7050" s="1603"/>
      <c r="J7050" s="1603"/>
      <c r="K7050" s="1606">
        <v>161810.66</v>
      </c>
      <c r="L7050" s="1606">
        <v>161810.66</v>
      </c>
      <c r="M7050" s="1607"/>
      <c r="N7050" s="1606">
        <v>161810.66</v>
      </c>
      <c r="O7050" s="1606">
        <v>97444.1</v>
      </c>
      <c r="P7050" s="1606">
        <v>53638.8</v>
      </c>
      <c r="Q7050" s="1606">
        <v>10727.76</v>
      </c>
      <c r="R7050" s="1606">
        <v>64366.559999999998</v>
      </c>
      <c r="S7050" s="1608"/>
    </row>
    <row r="7051" spans="2:19" s="1609" customFormat="1" ht="21.75" customHeight="1" outlineLevel="1">
      <c r="B7051" s="1612" t="s">
        <v>3419</v>
      </c>
      <c r="C7051" s="1603" t="s">
        <v>3418</v>
      </c>
      <c r="D7051" s="1603" t="s">
        <v>3417</v>
      </c>
      <c r="E7051" s="1603" t="s">
        <v>2219</v>
      </c>
      <c r="F7051" s="1603" t="s">
        <v>3416</v>
      </c>
      <c r="G7051" s="1603" t="s">
        <v>3415</v>
      </c>
      <c r="H7051" s="1604">
        <v>2</v>
      </c>
      <c r="I7051" s="1603"/>
      <c r="J7051" s="1603"/>
      <c r="K7051" s="1606">
        <v>2152188</v>
      </c>
      <c r="L7051" s="1606">
        <v>2152188</v>
      </c>
      <c r="M7051" s="1607"/>
      <c r="N7051" s="1606">
        <v>2152188</v>
      </c>
      <c r="O7051" s="1606">
        <v>1367412.36</v>
      </c>
      <c r="P7051" s="1606">
        <v>642089.16</v>
      </c>
      <c r="Q7051" s="1606">
        <v>142686.48000000001</v>
      </c>
      <c r="R7051" s="1606">
        <v>784775.64</v>
      </c>
      <c r="S7051" s="1608"/>
    </row>
    <row r="7052" spans="2:19" s="1609" customFormat="1" ht="11.25" customHeight="1" outlineLevel="1">
      <c r="B7052" s="1612" t="s">
        <v>3414</v>
      </c>
      <c r="C7052" s="1603" t="s">
        <v>3413</v>
      </c>
      <c r="D7052" s="1603" t="s">
        <v>3412</v>
      </c>
      <c r="E7052" s="1603" t="s">
        <v>2208</v>
      </c>
      <c r="F7052" s="1603"/>
      <c r="G7052" s="1603"/>
      <c r="H7052" s="1604">
        <v>2</v>
      </c>
      <c r="I7052" s="1603"/>
      <c r="J7052" s="1603"/>
      <c r="K7052" s="1606">
        <v>97500.68</v>
      </c>
      <c r="L7052" s="1606">
        <v>97500.68</v>
      </c>
      <c r="M7052" s="1607"/>
      <c r="N7052" s="1606">
        <v>97500.68</v>
      </c>
      <c r="O7052" s="1606">
        <v>61947.8</v>
      </c>
      <c r="P7052" s="1606">
        <v>29088.720000000001</v>
      </c>
      <c r="Q7052" s="1606">
        <v>6464.16</v>
      </c>
      <c r="R7052" s="1606">
        <v>35552.879999999997</v>
      </c>
      <c r="S7052" s="1608"/>
    </row>
    <row r="7053" spans="2:19" s="1609" customFormat="1" ht="11.25" customHeight="1" outlineLevel="1">
      <c r="B7053" s="1612" t="s">
        <v>3411</v>
      </c>
      <c r="C7053" s="1603" t="s">
        <v>3405</v>
      </c>
      <c r="D7053" s="1603" t="s">
        <v>3410</v>
      </c>
      <c r="E7053" s="1603" t="s">
        <v>2266</v>
      </c>
      <c r="F7053" s="1603" t="s">
        <v>3409</v>
      </c>
      <c r="G7053" s="1603"/>
      <c r="H7053" s="1604">
        <v>2</v>
      </c>
      <c r="I7053" s="1603"/>
      <c r="J7053" s="1603"/>
      <c r="K7053" s="1606">
        <v>906224.34</v>
      </c>
      <c r="L7053" s="1606">
        <v>906224.34</v>
      </c>
      <c r="M7053" s="1607"/>
      <c r="N7053" s="1606">
        <v>906224.34</v>
      </c>
      <c r="O7053" s="1606">
        <v>575778.06000000006</v>
      </c>
      <c r="P7053" s="1606">
        <v>270365.03999999998</v>
      </c>
      <c r="Q7053" s="1606">
        <v>60081.24</v>
      </c>
      <c r="R7053" s="1606">
        <v>330446.28000000003</v>
      </c>
      <c r="S7053" s="1608"/>
    </row>
    <row r="7054" spans="2:19" s="1609" customFormat="1" ht="11.25" customHeight="1" outlineLevel="1">
      <c r="B7054" s="1612" t="s">
        <v>3408</v>
      </c>
      <c r="C7054" s="1603" t="s">
        <v>3405</v>
      </c>
      <c r="D7054" s="1603" t="s">
        <v>3407</v>
      </c>
      <c r="E7054" s="1603" t="s">
        <v>2266</v>
      </c>
      <c r="F7054" s="1603"/>
      <c r="G7054" s="1603"/>
      <c r="H7054" s="1604">
        <v>2</v>
      </c>
      <c r="I7054" s="1603"/>
      <c r="J7054" s="1603"/>
      <c r="K7054" s="1606">
        <v>1985782.95</v>
      </c>
      <c r="L7054" s="1606">
        <v>1985782.95</v>
      </c>
      <c r="M7054" s="1607"/>
      <c r="N7054" s="1606">
        <v>1985782.95</v>
      </c>
      <c r="O7054" s="1606">
        <v>1261685.1200000001</v>
      </c>
      <c r="P7054" s="1606">
        <v>592443.72</v>
      </c>
      <c r="Q7054" s="1606">
        <v>131654.10999999999</v>
      </c>
      <c r="R7054" s="1606">
        <v>724097.83</v>
      </c>
      <c r="S7054" s="1608"/>
    </row>
    <row r="7055" spans="2:19" s="1609" customFormat="1" ht="21.75" customHeight="1" outlineLevel="1">
      <c r="B7055" s="1612" t="s">
        <v>3406</v>
      </c>
      <c r="C7055" s="1603" t="s">
        <v>3405</v>
      </c>
      <c r="D7055" s="1603" t="s">
        <v>3404</v>
      </c>
      <c r="E7055" s="1603" t="s">
        <v>2266</v>
      </c>
      <c r="F7055" s="1603"/>
      <c r="G7055" s="1603"/>
      <c r="H7055" s="1604">
        <v>2</v>
      </c>
      <c r="I7055" s="1603"/>
      <c r="J7055" s="1603"/>
      <c r="K7055" s="1606">
        <v>1658931.79</v>
      </c>
      <c r="L7055" s="1606">
        <v>1658931.79</v>
      </c>
      <c r="M7055" s="1607"/>
      <c r="N7055" s="1606">
        <v>1658931.79</v>
      </c>
      <c r="O7055" s="1606">
        <v>754059.91</v>
      </c>
      <c r="P7055" s="1606">
        <v>740349.72</v>
      </c>
      <c r="Q7055" s="1606">
        <v>164522.16</v>
      </c>
      <c r="R7055" s="1606">
        <v>904871.88</v>
      </c>
      <c r="S7055" s="1608"/>
    </row>
    <row r="7056" spans="2:19" s="1609" customFormat="1" ht="11.25" customHeight="1" outlineLevel="1">
      <c r="B7056" s="1612" t="s">
        <v>3403</v>
      </c>
      <c r="C7056" s="1603" t="s">
        <v>3402</v>
      </c>
      <c r="D7056" s="1603" t="s">
        <v>3401</v>
      </c>
      <c r="E7056" s="1603" t="s">
        <v>2219</v>
      </c>
      <c r="F7056" s="1603" t="s">
        <v>3400</v>
      </c>
      <c r="G7056" s="1603" t="s">
        <v>3399</v>
      </c>
      <c r="H7056" s="1604">
        <v>2</v>
      </c>
      <c r="I7056" s="1610">
        <v>532</v>
      </c>
      <c r="J7056" s="1603"/>
      <c r="K7056" s="1606">
        <v>948634</v>
      </c>
      <c r="L7056" s="1606">
        <v>948634</v>
      </c>
      <c r="M7056" s="1607"/>
      <c r="N7056" s="1606">
        <v>948634</v>
      </c>
      <c r="O7056" s="1606">
        <v>607964.44999999995</v>
      </c>
      <c r="P7056" s="1606">
        <v>277776.71000000002</v>
      </c>
      <c r="Q7056" s="1606">
        <v>62892.84</v>
      </c>
      <c r="R7056" s="1606">
        <v>340669.55</v>
      </c>
      <c r="S7056" s="1608"/>
    </row>
    <row r="7057" spans="2:19" s="1609" customFormat="1" ht="21.75" customHeight="1" outlineLevel="1">
      <c r="B7057" s="1612" t="s">
        <v>3398</v>
      </c>
      <c r="C7057" s="1603" t="s">
        <v>3394</v>
      </c>
      <c r="D7057" s="1603" t="s">
        <v>3397</v>
      </c>
      <c r="E7057" s="1603" t="s">
        <v>2208</v>
      </c>
      <c r="F7057" s="1603"/>
      <c r="G7057" s="1603"/>
      <c r="H7057" s="1604">
        <v>2</v>
      </c>
      <c r="I7057" s="1603" t="s">
        <v>3396</v>
      </c>
      <c r="J7057" s="1603"/>
      <c r="K7057" s="1606">
        <v>84931.21</v>
      </c>
      <c r="L7057" s="1606">
        <v>84931.21</v>
      </c>
      <c r="M7057" s="1607"/>
      <c r="N7057" s="1606">
        <v>84931.21</v>
      </c>
      <c r="O7057" s="1606">
        <v>55838.95</v>
      </c>
      <c r="P7057" s="1606">
        <v>23461.5</v>
      </c>
      <c r="Q7057" s="1606">
        <v>5630.76</v>
      </c>
      <c r="R7057" s="1606">
        <v>29092.26</v>
      </c>
      <c r="S7057" s="1608"/>
    </row>
    <row r="7058" spans="2:19" s="1609" customFormat="1" ht="21.75" customHeight="1" outlineLevel="1">
      <c r="B7058" s="1612" t="s">
        <v>3395</v>
      </c>
      <c r="C7058" s="1603" t="s">
        <v>3394</v>
      </c>
      <c r="D7058" s="1603" t="s">
        <v>3393</v>
      </c>
      <c r="E7058" s="1603" t="s">
        <v>2208</v>
      </c>
      <c r="F7058" s="1603"/>
      <c r="G7058" s="1603"/>
      <c r="H7058" s="1604">
        <v>2</v>
      </c>
      <c r="I7058" s="1610">
        <v>22</v>
      </c>
      <c r="J7058" s="1603"/>
      <c r="K7058" s="1606">
        <v>94150.69</v>
      </c>
      <c r="L7058" s="1606">
        <v>94150.69</v>
      </c>
      <c r="M7058" s="1607"/>
      <c r="N7058" s="1606">
        <v>94150.69</v>
      </c>
      <c r="O7058" s="1606">
        <v>61900.15</v>
      </c>
      <c r="P7058" s="1606">
        <v>26008.5</v>
      </c>
      <c r="Q7058" s="1606">
        <v>6242.04</v>
      </c>
      <c r="R7058" s="1606">
        <v>32250.54</v>
      </c>
      <c r="S7058" s="1608"/>
    </row>
    <row r="7059" spans="2:19" s="1609" customFormat="1" ht="21.75" customHeight="1" outlineLevel="1">
      <c r="B7059" s="1612" t="s">
        <v>3392</v>
      </c>
      <c r="C7059" s="1603" t="s">
        <v>3388</v>
      </c>
      <c r="D7059" s="1603" t="s">
        <v>3391</v>
      </c>
      <c r="E7059" s="1603" t="s">
        <v>2219</v>
      </c>
      <c r="F7059" s="1603" t="s">
        <v>2912</v>
      </c>
      <c r="G7059" s="1603" t="s">
        <v>3390</v>
      </c>
      <c r="H7059" s="1604">
        <v>2</v>
      </c>
      <c r="I7059" s="1610">
        <v>35</v>
      </c>
      <c r="J7059" s="1603"/>
      <c r="K7059" s="1606">
        <v>39867.599999999999</v>
      </c>
      <c r="L7059" s="1606">
        <v>39867.599999999999</v>
      </c>
      <c r="M7059" s="1607"/>
      <c r="N7059" s="1606">
        <v>39867.599999999999</v>
      </c>
      <c r="O7059" s="1606">
        <v>26431.74</v>
      </c>
      <c r="P7059" s="1606">
        <v>10792.74</v>
      </c>
      <c r="Q7059" s="1606">
        <v>2643.12</v>
      </c>
      <c r="R7059" s="1606">
        <v>13435.86</v>
      </c>
      <c r="S7059" s="1608"/>
    </row>
    <row r="7060" spans="2:19" s="1609" customFormat="1" ht="11.25" customHeight="1" outlineLevel="1">
      <c r="B7060" s="1612" t="s">
        <v>3389</v>
      </c>
      <c r="C7060" s="1603" t="s">
        <v>3388</v>
      </c>
      <c r="D7060" s="1603" t="s">
        <v>3387</v>
      </c>
      <c r="E7060" s="1603" t="s">
        <v>2219</v>
      </c>
      <c r="F7060" s="1603" t="s">
        <v>2912</v>
      </c>
      <c r="G7060" s="1603" t="s">
        <v>3386</v>
      </c>
      <c r="H7060" s="1604">
        <v>2</v>
      </c>
      <c r="I7060" s="1610">
        <v>170</v>
      </c>
      <c r="J7060" s="1603"/>
      <c r="K7060" s="1606">
        <v>307554.36</v>
      </c>
      <c r="L7060" s="1606">
        <v>307554.36</v>
      </c>
      <c r="M7060" s="1607"/>
      <c r="N7060" s="1606">
        <v>307554.36</v>
      </c>
      <c r="O7060" s="1606">
        <v>203903.28</v>
      </c>
      <c r="P7060" s="1606">
        <v>83260.800000000003</v>
      </c>
      <c r="Q7060" s="1606">
        <v>20390.28</v>
      </c>
      <c r="R7060" s="1606">
        <v>103651.08</v>
      </c>
      <c r="S7060" s="1608"/>
    </row>
    <row r="7061" spans="2:19" s="1609" customFormat="1" ht="21.75" customHeight="1" outlineLevel="1">
      <c r="B7061" s="1612" t="s">
        <v>3385</v>
      </c>
      <c r="C7061" s="1603" t="s">
        <v>3382</v>
      </c>
      <c r="D7061" s="1603" t="s">
        <v>3384</v>
      </c>
      <c r="E7061" s="1603" t="s">
        <v>2208</v>
      </c>
      <c r="F7061" s="1603"/>
      <c r="G7061" s="1603"/>
      <c r="H7061" s="1604">
        <v>2</v>
      </c>
      <c r="I7061" s="1610">
        <v>60</v>
      </c>
      <c r="J7061" s="1603"/>
      <c r="K7061" s="1606">
        <v>420473.3</v>
      </c>
      <c r="L7061" s="1606">
        <v>420473.3</v>
      </c>
      <c r="M7061" s="1607"/>
      <c r="N7061" s="1606">
        <v>420473.3</v>
      </c>
      <c r="O7061" s="1606">
        <v>281089.7</v>
      </c>
      <c r="P7061" s="1606">
        <v>111506.88</v>
      </c>
      <c r="Q7061" s="1606">
        <v>27876.720000000001</v>
      </c>
      <c r="R7061" s="1606">
        <v>139383.6</v>
      </c>
      <c r="S7061" s="1608"/>
    </row>
    <row r="7062" spans="2:19" s="1609" customFormat="1" ht="21.75" customHeight="1" outlineLevel="1">
      <c r="B7062" s="1612" t="s">
        <v>3383</v>
      </c>
      <c r="C7062" s="1603" t="s">
        <v>3382</v>
      </c>
      <c r="D7062" s="1603" t="s">
        <v>3381</v>
      </c>
      <c r="E7062" s="1603" t="s">
        <v>2208</v>
      </c>
      <c r="F7062" s="1603"/>
      <c r="G7062" s="1603"/>
      <c r="H7062" s="1604">
        <v>2</v>
      </c>
      <c r="I7062" s="1610">
        <v>8</v>
      </c>
      <c r="J7062" s="1603"/>
      <c r="K7062" s="1606">
        <v>242703.61</v>
      </c>
      <c r="L7062" s="1606">
        <v>242703.61</v>
      </c>
      <c r="M7062" s="1607"/>
      <c r="N7062" s="1606">
        <v>242703.61</v>
      </c>
      <c r="O7062" s="1606">
        <v>162249.5</v>
      </c>
      <c r="P7062" s="1606">
        <v>64363.199999999997</v>
      </c>
      <c r="Q7062" s="1606">
        <v>16090.91</v>
      </c>
      <c r="R7062" s="1606">
        <v>80454.11</v>
      </c>
      <c r="S7062" s="1608"/>
    </row>
    <row r="7063" spans="2:19" s="1609" customFormat="1" ht="11.25" customHeight="1" outlineLevel="1">
      <c r="B7063" s="1612" t="s">
        <v>3380</v>
      </c>
      <c r="C7063" s="1603" t="s">
        <v>3377</v>
      </c>
      <c r="D7063" s="1603" t="s">
        <v>3379</v>
      </c>
      <c r="E7063" s="1603" t="s">
        <v>2208</v>
      </c>
      <c r="F7063" s="1603"/>
      <c r="G7063" s="1603"/>
      <c r="H7063" s="1603"/>
      <c r="I7063" s="1611">
        <v>33.5</v>
      </c>
      <c r="J7063" s="1603"/>
      <c r="K7063" s="1606">
        <v>316414.09999999998</v>
      </c>
      <c r="L7063" s="1606">
        <v>316414.09999999998</v>
      </c>
      <c r="M7063" s="1607"/>
      <c r="N7063" s="1606">
        <v>316414.09999999998</v>
      </c>
      <c r="O7063" s="1606">
        <v>213273.72</v>
      </c>
      <c r="P7063" s="1606">
        <v>82162.58</v>
      </c>
      <c r="Q7063" s="1606">
        <v>20977.8</v>
      </c>
      <c r="R7063" s="1606">
        <v>103140.38</v>
      </c>
      <c r="S7063" s="1608"/>
    </row>
    <row r="7064" spans="2:19" s="1609" customFormat="1" ht="11.25" customHeight="1" outlineLevel="1">
      <c r="B7064" s="1612" t="s">
        <v>3378</v>
      </c>
      <c r="C7064" s="1603" t="s">
        <v>3377</v>
      </c>
      <c r="D7064" s="1603" t="s">
        <v>3376</v>
      </c>
      <c r="E7064" s="1603" t="s">
        <v>2208</v>
      </c>
      <c r="F7064" s="1603"/>
      <c r="G7064" s="1603"/>
      <c r="H7064" s="1604">
        <v>2</v>
      </c>
      <c r="I7064" s="1611">
        <v>7.5</v>
      </c>
      <c r="J7064" s="1603"/>
      <c r="K7064" s="1606">
        <v>46905.4</v>
      </c>
      <c r="L7064" s="1606">
        <v>46905.4</v>
      </c>
      <c r="M7064" s="1607"/>
      <c r="N7064" s="1606">
        <v>46905.4</v>
      </c>
      <c r="O7064" s="1606">
        <v>31615.67</v>
      </c>
      <c r="P7064" s="1606">
        <v>12180.05</v>
      </c>
      <c r="Q7064" s="1606">
        <v>3109.68</v>
      </c>
      <c r="R7064" s="1606">
        <v>15289.73</v>
      </c>
      <c r="S7064" s="1608"/>
    </row>
    <row r="7065" spans="2:19" s="1609" customFormat="1" ht="21.75" customHeight="1" outlineLevel="1">
      <c r="B7065" s="1612" t="s">
        <v>3375</v>
      </c>
      <c r="C7065" s="1603" t="s">
        <v>3374</v>
      </c>
      <c r="D7065" s="1603" t="s">
        <v>3373</v>
      </c>
      <c r="E7065" s="1603" t="s">
        <v>2266</v>
      </c>
      <c r="F7065" s="1603"/>
      <c r="G7065" s="1603"/>
      <c r="H7065" s="1603"/>
      <c r="I7065" s="1603"/>
      <c r="J7065" s="1603"/>
      <c r="K7065" s="1606">
        <v>32924213.300000001</v>
      </c>
      <c r="L7065" s="1606">
        <v>32924213.300000001</v>
      </c>
      <c r="M7065" s="1607"/>
      <c r="N7065" s="1606">
        <v>32924213.300000001</v>
      </c>
      <c r="O7065" s="1606">
        <v>22373912.960000001</v>
      </c>
      <c r="P7065" s="1606">
        <v>8367479.5800000001</v>
      </c>
      <c r="Q7065" s="1606">
        <v>2182820.7599999998</v>
      </c>
      <c r="R7065" s="1606">
        <v>10550300.34</v>
      </c>
      <c r="S7065" s="1608"/>
    </row>
    <row r="7066" spans="2:19" s="1609" customFormat="1" ht="11.25" customHeight="1" outlineLevel="1">
      <c r="B7066" s="1612" t="s">
        <v>3372</v>
      </c>
      <c r="C7066" s="1603" t="s">
        <v>3371</v>
      </c>
      <c r="D7066" s="1603" t="s">
        <v>3370</v>
      </c>
      <c r="E7066" s="1603"/>
      <c r="F7066" s="1603" t="s">
        <v>3369</v>
      </c>
      <c r="G7066" s="1603"/>
      <c r="H7066" s="1603"/>
      <c r="I7066" s="1603"/>
      <c r="J7066" s="1603"/>
      <c r="K7066" s="1606">
        <v>85400</v>
      </c>
      <c r="L7066" s="1606">
        <v>85400</v>
      </c>
      <c r="M7066" s="1606">
        <v>-85400</v>
      </c>
      <c r="N7066" s="1607"/>
      <c r="O7066" s="1607"/>
      <c r="P7066" s="1606">
        <v>45211.95</v>
      </c>
      <c r="Q7066" s="1606">
        <v>-45211.95</v>
      </c>
      <c r="R7066" s="1607"/>
      <c r="S7066" s="1608"/>
    </row>
    <row r="7067" spans="2:19" s="1609" customFormat="1" ht="21.75" customHeight="1" outlineLevel="1">
      <c r="B7067" s="1612" t="s">
        <v>3368</v>
      </c>
      <c r="C7067" s="1603" t="s">
        <v>3367</v>
      </c>
      <c r="D7067" s="1603" t="s">
        <v>3366</v>
      </c>
      <c r="E7067" s="1603" t="s">
        <v>2266</v>
      </c>
      <c r="F7067" s="1603"/>
      <c r="G7067" s="1603" t="s">
        <v>3365</v>
      </c>
      <c r="H7067" s="1603"/>
      <c r="I7067" s="1610">
        <v>4</v>
      </c>
      <c r="J7067" s="1603"/>
      <c r="K7067" s="1606">
        <v>16216.88</v>
      </c>
      <c r="L7067" s="1606">
        <v>16216.88</v>
      </c>
      <c r="M7067" s="1607"/>
      <c r="N7067" s="1606">
        <v>16216.88</v>
      </c>
      <c r="O7067" s="1606">
        <v>11109.78</v>
      </c>
      <c r="P7067" s="1606">
        <v>4032</v>
      </c>
      <c r="Q7067" s="1606">
        <v>1075.0999999999999</v>
      </c>
      <c r="R7067" s="1606">
        <v>5107.1000000000004</v>
      </c>
      <c r="S7067" s="1608"/>
    </row>
    <row r="7068" spans="2:19" s="1609" customFormat="1" ht="21.75" customHeight="1" outlineLevel="1">
      <c r="B7068" s="1612" t="s">
        <v>3364</v>
      </c>
      <c r="C7068" s="1603" t="s">
        <v>3363</v>
      </c>
      <c r="D7068" s="1603" t="s">
        <v>3362</v>
      </c>
      <c r="E7068" s="1603" t="s">
        <v>2208</v>
      </c>
      <c r="F7068" s="1603"/>
      <c r="G7068" s="1603"/>
      <c r="H7068" s="1604">
        <v>2</v>
      </c>
      <c r="I7068" s="1610">
        <v>14</v>
      </c>
      <c r="J7068" s="1603"/>
      <c r="K7068" s="1606">
        <v>22841.57</v>
      </c>
      <c r="L7068" s="1606">
        <v>22841.57</v>
      </c>
      <c r="M7068" s="1607"/>
      <c r="N7068" s="1606">
        <v>22841.57</v>
      </c>
      <c r="O7068" s="1606">
        <v>15774.37</v>
      </c>
      <c r="P7068" s="1606">
        <v>5552.8</v>
      </c>
      <c r="Q7068" s="1606">
        <v>1514.4</v>
      </c>
      <c r="R7068" s="1606">
        <v>7067.2</v>
      </c>
      <c r="S7068" s="1608"/>
    </row>
    <row r="7069" spans="2:19" s="1609" customFormat="1" ht="21.75" customHeight="1" outlineLevel="1">
      <c r="B7069" s="1612" t="s">
        <v>3361</v>
      </c>
      <c r="C7069" s="1603" t="s">
        <v>3360</v>
      </c>
      <c r="D7069" s="1603" t="s">
        <v>3359</v>
      </c>
      <c r="E7069" s="1603" t="s">
        <v>2208</v>
      </c>
      <c r="F7069" s="1603"/>
      <c r="G7069" s="1603"/>
      <c r="H7069" s="1604">
        <v>2</v>
      </c>
      <c r="I7069" s="1610">
        <v>1300</v>
      </c>
      <c r="J7069" s="1603"/>
      <c r="K7069" s="1606">
        <v>6777216.6399999997</v>
      </c>
      <c r="L7069" s="1606">
        <v>6777216.6399999997</v>
      </c>
      <c r="M7069" s="1607"/>
      <c r="N7069" s="1606">
        <v>6777216.6399999997</v>
      </c>
      <c r="O7069" s="1606">
        <v>4755284.49</v>
      </c>
      <c r="P7069" s="1606">
        <v>1572613.98</v>
      </c>
      <c r="Q7069" s="1606">
        <v>449318.17</v>
      </c>
      <c r="R7069" s="1606">
        <v>2021932.15</v>
      </c>
      <c r="S7069" s="1608"/>
    </row>
    <row r="7070" spans="2:19" s="1609" customFormat="1" ht="21.75" customHeight="1" outlineLevel="1">
      <c r="B7070" s="1612" t="s">
        <v>3358</v>
      </c>
      <c r="C7070" s="1603" t="s">
        <v>3355</v>
      </c>
      <c r="D7070" s="1603" t="s">
        <v>3357</v>
      </c>
      <c r="E7070" s="1603"/>
      <c r="F7070" s="1603"/>
      <c r="G7070" s="1603"/>
      <c r="H7070" s="1603"/>
      <c r="I7070" s="1603"/>
      <c r="J7070" s="1603"/>
      <c r="K7070" s="1606">
        <v>2742797.48</v>
      </c>
      <c r="L7070" s="1606">
        <v>2742797.48</v>
      </c>
      <c r="M7070" s="1607"/>
      <c r="N7070" s="1606">
        <v>2742797.48</v>
      </c>
      <c r="O7070" s="1606">
        <v>1924504.16</v>
      </c>
      <c r="P7070" s="1606">
        <v>636450.36</v>
      </c>
      <c r="Q7070" s="1606">
        <v>181842.96</v>
      </c>
      <c r="R7070" s="1606">
        <v>818293.32</v>
      </c>
      <c r="S7070" s="1608"/>
    </row>
    <row r="7071" spans="2:19" s="1609" customFormat="1" ht="21.75" customHeight="1" outlineLevel="1">
      <c r="B7071" s="1612" t="s">
        <v>3356</v>
      </c>
      <c r="C7071" s="1603" t="s">
        <v>3355</v>
      </c>
      <c r="D7071" s="1603" t="s">
        <v>3354</v>
      </c>
      <c r="E7071" s="1603"/>
      <c r="F7071" s="1603"/>
      <c r="G7071" s="1603"/>
      <c r="H7071" s="1603"/>
      <c r="I7071" s="1603"/>
      <c r="J7071" s="1603"/>
      <c r="K7071" s="1606">
        <v>5842871.5300000003</v>
      </c>
      <c r="L7071" s="1606">
        <v>5842871.5300000003</v>
      </c>
      <c r="M7071" s="1607"/>
      <c r="N7071" s="1606">
        <v>5842871.5300000003</v>
      </c>
      <c r="O7071" s="1606">
        <v>4099694.29</v>
      </c>
      <c r="P7071" s="1606">
        <v>1355804.52</v>
      </c>
      <c r="Q7071" s="1606">
        <v>387372.72</v>
      </c>
      <c r="R7071" s="1606">
        <v>1743177.24</v>
      </c>
      <c r="S7071" s="1608"/>
    </row>
    <row r="7072" spans="2:19" s="1609" customFormat="1" ht="21.75" customHeight="1" outlineLevel="1">
      <c r="B7072" s="1612" t="s">
        <v>3353</v>
      </c>
      <c r="C7072" s="1603" t="s">
        <v>3346</v>
      </c>
      <c r="D7072" s="1603" t="s">
        <v>3352</v>
      </c>
      <c r="E7072" s="1603"/>
      <c r="F7072" s="1603"/>
      <c r="G7072" s="1603"/>
      <c r="H7072" s="1603"/>
      <c r="I7072" s="1610">
        <v>316</v>
      </c>
      <c r="J7072" s="1603"/>
      <c r="K7072" s="1606">
        <v>4046024.23</v>
      </c>
      <c r="L7072" s="1606">
        <v>4046024.23</v>
      </c>
      <c r="M7072" s="1607"/>
      <c r="N7072" s="1606">
        <v>4046024.23</v>
      </c>
      <c r="O7072" s="1606">
        <v>2838922.93</v>
      </c>
      <c r="P7072" s="1606">
        <v>938856.66</v>
      </c>
      <c r="Q7072" s="1606">
        <v>268244.64</v>
      </c>
      <c r="R7072" s="1606">
        <v>1207101.3</v>
      </c>
      <c r="S7072" s="1608"/>
    </row>
    <row r="7073" spans="2:19" s="1609" customFormat="1" ht="21.75" customHeight="1" outlineLevel="1">
      <c r="B7073" s="1612" t="s">
        <v>3351</v>
      </c>
      <c r="C7073" s="1603" t="s">
        <v>3346</v>
      </c>
      <c r="D7073" s="1603" t="s">
        <v>3350</v>
      </c>
      <c r="E7073" s="1603"/>
      <c r="F7073" s="1603"/>
      <c r="G7073" s="1603"/>
      <c r="H7073" s="1603"/>
      <c r="I7073" s="1603"/>
      <c r="J7073" s="1603"/>
      <c r="K7073" s="1606">
        <v>1761125.18</v>
      </c>
      <c r="L7073" s="1606">
        <v>1761125.18</v>
      </c>
      <c r="M7073" s="1607"/>
      <c r="N7073" s="1606">
        <v>1761125.18</v>
      </c>
      <c r="O7073" s="1606">
        <v>1235706.8</v>
      </c>
      <c r="P7073" s="1606">
        <v>408658.74</v>
      </c>
      <c r="Q7073" s="1606">
        <v>116759.64</v>
      </c>
      <c r="R7073" s="1606">
        <v>525418.38</v>
      </c>
      <c r="S7073" s="1608"/>
    </row>
    <row r="7074" spans="2:19" s="1609" customFormat="1" ht="21.75" customHeight="1" outlineLevel="1">
      <c r="B7074" s="1612" t="s">
        <v>3349</v>
      </c>
      <c r="C7074" s="1603" t="s">
        <v>3346</v>
      </c>
      <c r="D7074" s="1603" t="s">
        <v>3348</v>
      </c>
      <c r="E7074" s="1603"/>
      <c r="F7074" s="1603"/>
      <c r="G7074" s="1603"/>
      <c r="H7074" s="1603"/>
      <c r="I7074" s="1603"/>
      <c r="J7074" s="1603"/>
      <c r="K7074" s="1606">
        <v>1289367.28</v>
      </c>
      <c r="L7074" s="1606">
        <v>1289367.28</v>
      </c>
      <c r="M7074" s="1607"/>
      <c r="N7074" s="1606">
        <v>1289367.28</v>
      </c>
      <c r="O7074" s="1606">
        <v>904694.02</v>
      </c>
      <c r="P7074" s="1606">
        <v>299190.36</v>
      </c>
      <c r="Q7074" s="1606">
        <v>85482.9</v>
      </c>
      <c r="R7074" s="1606">
        <v>384673.26</v>
      </c>
      <c r="S7074" s="1608"/>
    </row>
    <row r="7075" spans="2:19" s="1609" customFormat="1" ht="21.75" customHeight="1" outlineLevel="1">
      <c r="B7075" s="1612" t="s">
        <v>3347</v>
      </c>
      <c r="C7075" s="1603" t="s">
        <v>3346</v>
      </c>
      <c r="D7075" s="1603" t="s">
        <v>3345</v>
      </c>
      <c r="E7075" s="1603"/>
      <c r="F7075" s="1603"/>
      <c r="G7075" s="1603"/>
      <c r="H7075" s="1603"/>
      <c r="I7075" s="1603"/>
      <c r="J7075" s="1603"/>
      <c r="K7075" s="1606">
        <v>185577.97</v>
      </c>
      <c r="L7075" s="1606">
        <v>185577.97</v>
      </c>
      <c r="M7075" s="1607"/>
      <c r="N7075" s="1606">
        <v>185577.97</v>
      </c>
      <c r="O7075" s="1606">
        <v>130212.31</v>
      </c>
      <c r="P7075" s="1606">
        <v>43062.18</v>
      </c>
      <c r="Q7075" s="1606">
        <v>12303.48</v>
      </c>
      <c r="R7075" s="1606">
        <v>55365.66</v>
      </c>
      <c r="S7075" s="1608"/>
    </row>
    <row r="7076" spans="2:19" s="1609" customFormat="1" ht="21.75" customHeight="1" outlineLevel="1">
      <c r="B7076" s="1612" t="s">
        <v>3344</v>
      </c>
      <c r="C7076" s="1603" t="s">
        <v>3343</v>
      </c>
      <c r="D7076" s="1603" t="s">
        <v>3342</v>
      </c>
      <c r="E7076" s="1603" t="s">
        <v>2288</v>
      </c>
      <c r="F7076" s="1603" t="s">
        <v>3341</v>
      </c>
      <c r="G7076" s="1603"/>
      <c r="H7076" s="1604">
        <v>2</v>
      </c>
      <c r="I7076" s="1603"/>
      <c r="J7076" s="1603"/>
      <c r="K7076" s="1606">
        <v>93220</v>
      </c>
      <c r="L7076" s="1606">
        <v>93220</v>
      </c>
      <c r="M7076" s="1606">
        <v>-93220</v>
      </c>
      <c r="N7076" s="1607"/>
      <c r="O7076" s="1607"/>
      <c r="P7076" s="1606">
        <v>62656.2</v>
      </c>
      <c r="Q7076" s="1606">
        <v>-62656.2</v>
      </c>
      <c r="R7076" s="1607"/>
      <c r="S7076" s="1608"/>
    </row>
    <row r="7077" spans="2:19" s="1609" customFormat="1" ht="21.75" customHeight="1" outlineLevel="1">
      <c r="B7077" s="1612" t="s">
        <v>3340</v>
      </c>
      <c r="C7077" s="1603" t="s">
        <v>3339</v>
      </c>
      <c r="D7077" s="1603" t="s">
        <v>3338</v>
      </c>
      <c r="E7077" s="1603" t="s">
        <v>2208</v>
      </c>
      <c r="F7077" s="1603"/>
      <c r="G7077" s="1603"/>
      <c r="H7077" s="1604">
        <v>2</v>
      </c>
      <c r="I7077" s="1611">
        <v>14.5</v>
      </c>
      <c r="J7077" s="1603"/>
      <c r="K7077" s="1606">
        <v>225439.5</v>
      </c>
      <c r="L7077" s="1606">
        <v>225439.5</v>
      </c>
      <c r="M7077" s="1607"/>
      <c r="N7077" s="1606">
        <v>225439.5</v>
      </c>
      <c r="O7077" s="1606">
        <v>160672.46</v>
      </c>
      <c r="P7077" s="1606">
        <v>49820.800000000003</v>
      </c>
      <c r="Q7077" s="1606">
        <v>14946.24</v>
      </c>
      <c r="R7077" s="1606">
        <v>64767.040000000001</v>
      </c>
      <c r="S7077" s="1608"/>
    </row>
    <row r="7078" spans="2:19" s="1609" customFormat="1" ht="21.75" customHeight="1" outlineLevel="1">
      <c r="B7078" s="1612" t="s">
        <v>3337</v>
      </c>
      <c r="C7078" s="1603" t="s">
        <v>3334</v>
      </c>
      <c r="D7078" s="1603" t="s">
        <v>3336</v>
      </c>
      <c r="E7078" s="1603" t="s">
        <v>2219</v>
      </c>
      <c r="F7078" s="1603" t="s">
        <v>3332</v>
      </c>
      <c r="G7078" s="1603"/>
      <c r="H7078" s="1604">
        <v>2</v>
      </c>
      <c r="I7078" s="1610">
        <v>269</v>
      </c>
      <c r="J7078" s="1603"/>
      <c r="K7078" s="1606">
        <v>4322881.2699999996</v>
      </c>
      <c r="L7078" s="1606">
        <v>4322881.2699999996</v>
      </c>
      <c r="M7078" s="1607"/>
      <c r="N7078" s="1606">
        <v>4322881.2699999996</v>
      </c>
      <c r="O7078" s="1606">
        <v>3104831.95</v>
      </c>
      <c r="P7078" s="1606">
        <v>931449.48</v>
      </c>
      <c r="Q7078" s="1606">
        <v>286599.84000000003</v>
      </c>
      <c r="R7078" s="1606">
        <v>1218049.32</v>
      </c>
      <c r="S7078" s="1608"/>
    </row>
    <row r="7079" spans="2:19" s="1609" customFormat="1" ht="21.75" customHeight="1" outlineLevel="1">
      <c r="B7079" s="1612" t="s">
        <v>3335</v>
      </c>
      <c r="C7079" s="1603" t="s">
        <v>3334</v>
      </c>
      <c r="D7079" s="1603" t="s">
        <v>3333</v>
      </c>
      <c r="E7079" s="1603" t="s">
        <v>2219</v>
      </c>
      <c r="F7079" s="1603" t="s">
        <v>3332</v>
      </c>
      <c r="G7079" s="1603"/>
      <c r="H7079" s="1604">
        <v>2</v>
      </c>
      <c r="I7079" s="1610">
        <v>206</v>
      </c>
      <c r="J7079" s="1603"/>
      <c r="K7079" s="1606">
        <v>2608756.5099999998</v>
      </c>
      <c r="L7079" s="1606">
        <v>2608756.5099999998</v>
      </c>
      <c r="M7079" s="1607"/>
      <c r="N7079" s="1606">
        <v>2608756.5099999998</v>
      </c>
      <c r="O7079" s="1606">
        <v>1873692.49</v>
      </c>
      <c r="P7079" s="1606">
        <v>562107.78</v>
      </c>
      <c r="Q7079" s="1606">
        <v>172956.24</v>
      </c>
      <c r="R7079" s="1606">
        <v>735064.02</v>
      </c>
      <c r="S7079" s="1608"/>
    </row>
    <row r="7080" spans="2:19" s="1609" customFormat="1" ht="21.75" customHeight="1" outlineLevel="1">
      <c r="B7080" s="1612" t="s">
        <v>3331</v>
      </c>
      <c r="C7080" s="1603" t="s">
        <v>3330</v>
      </c>
      <c r="D7080" s="1603" t="s">
        <v>3329</v>
      </c>
      <c r="E7080" s="1603" t="s">
        <v>2219</v>
      </c>
      <c r="F7080" s="1603" t="s">
        <v>3328</v>
      </c>
      <c r="G7080" s="1603"/>
      <c r="H7080" s="1604">
        <v>2</v>
      </c>
      <c r="I7080" s="1610">
        <v>410</v>
      </c>
      <c r="J7080" s="1603"/>
      <c r="K7080" s="1606">
        <v>5836341.1799999997</v>
      </c>
      <c r="L7080" s="1606">
        <v>5836341.1799999997</v>
      </c>
      <c r="M7080" s="1607"/>
      <c r="N7080" s="1606">
        <v>5836341.1799999997</v>
      </c>
      <c r="O7080" s="1606">
        <v>4224092.18</v>
      </c>
      <c r="P7080" s="1606">
        <v>1225309.24</v>
      </c>
      <c r="Q7080" s="1606">
        <v>386939.76</v>
      </c>
      <c r="R7080" s="1606">
        <v>1612249</v>
      </c>
      <c r="S7080" s="1608"/>
    </row>
    <row r="7081" spans="2:19" s="1609" customFormat="1" ht="21.75" customHeight="1" outlineLevel="1">
      <c r="B7081" s="1612" t="s">
        <v>3327</v>
      </c>
      <c r="C7081" s="1603" t="s">
        <v>3326</v>
      </c>
      <c r="D7081" s="1603" t="s">
        <v>3325</v>
      </c>
      <c r="E7081" s="1603" t="s">
        <v>2219</v>
      </c>
      <c r="F7081" s="1603" t="s">
        <v>2881</v>
      </c>
      <c r="G7081" s="1603"/>
      <c r="H7081" s="1604">
        <v>2</v>
      </c>
      <c r="I7081" s="1610">
        <v>61</v>
      </c>
      <c r="J7081" s="1603"/>
      <c r="K7081" s="1606">
        <v>110541.98</v>
      </c>
      <c r="L7081" s="1606">
        <v>110541.98</v>
      </c>
      <c r="M7081" s="1607"/>
      <c r="N7081" s="1606">
        <v>110541.98</v>
      </c>
      <c r="O7081" s="1606">
        <v>80005.48</v>
      </c>
      <c r="P7081" s="1606">
        <v>23207.74</v>
      </c>
      <c r="Q7081" s="1606">
        <v>7328.76</v>
      </c>
      <c r="R7081" s="1606">
        <v>30536.5</v>
      </c>
      <c r="S7081" s="1608"/>
    </row>
    <row r="7082" spans="2:19" s="1609" customFormat="1" ht="21.75" customHeight="1" outlineLevel="1">
      <c r="B7082" s="1612" t="s">
        <v>3324</v>
      </c>
      <c r="C7082" s="1603" t="s">
        <v>3323</v>
      </c>
      <c r="D7082" s="1603" t="s">
        <v>3322</v>
      </c>
      <c r="E7082" s="1603" t="s">
        <v>2208</v>
      </c>
      <c r="F7082" s="1603"/>
      <c r="G7082" s="1603"/>
      <c r="H7082" s="1604">
        <v>2</v>
      </c>
      <c r="I7082" s="1611">
        <v>5.5</v>
      </c>
      <c r="J7082" s="1603"/>
      <c r="K7082" s="1606">
        <v>76581.2</v>
      </c>
      <c r="L7082" s="1606">
        <v>76581.2</v>
      </c>
      <c r="M7082" s="1607"/>
      <c r="N7082" s="1606">
        <v>76581.2</v>
      </c>
      <c r="O7082" s="1606">
        <v>55426.2</v>
      </c>
      <c r="P7082" s="1606">
        <v>16077.8</v>
      </c>
      <c r="Q7082" s="1606">
        <v>5077.2</v>
      </c>
      <c r="R7082" s="1606">
        <v>21155</v>
      </c>
      <c r="S7082" s="1608"/>
    </row>
    <row r="7083" spans="2:19" s="1609" customFormat="1" ht="21.75" customHeight="1" outlineLevel="1">
      <c r="B7083" s="1612" t="s">
        <v>3321</v>
      </c>
      <c r="C7083" s="1603" t="s">
        <v>3320</v>
      </c>
      <c r="D7083" s="1603" t="s">
        <v>3319</v>
      </c>
      <c r="E7083" s="1603" t="s">
        <v>2219</v>
      </c>
      <c r="F7083" s="1603" t="s">
        <v>3318</v>
      </c>
      <c r="G7083" s="1603"/>
      <c r="H7083" s="1604">
        <v>2</v>
      </c>
      <c r="I7083" s="1610">
        <v>946</v>
      </c>
      <c r="J7083" s="1603"/>
      <c r="K7083" s="1606">
        <v>7651230</v>
      </c>
      <c r="L7083" s="1606">
        <v>7651230</v>
      </c>
      <c r="M7083" s="1607"/>
      <c r="N7083" s="1606">
        <v>7651230</v>
      </c>
      <c r="O7083" s="1606">
        <v>5579902.4900000002</v>
      </c>
      <c r="P7083" s="1606">
        <v>1564063.63</v>
      </c>
      <c r="Q7083" s="1606">
        <v>507263.88</v>
      </c>
      <c r="R7083" s="1606">
        <v>2071327.51</v>
      </c>
      <c r="S7083" s="1608"/>
    </row>
    <row r="7084" spans="2:19" s="1609" customFormat="1" ht="21.75" customHeight="1" outlineLevel="1">
      <c r="B7084" s="1612" t="s">
        <v>3317</v>
      </c>
      <c r="C7084" s="1603" t="s">
        <v>3314</v>
      </c>
      <c r="D7084" s="1603" t="s">
        <v>3316</v>
      </c>
      <c r="E7084" s="1603"/>
      <c r="F7084" s="1603"/>
      <c r="G7084" s="1603"/>
      <c r="H7084" s="1603"/>
      <c r="I7084" s="1603"/>
      <c r="J7084" s="1603"/>
      <c r="K7084" s="1606">
        <v>1433540.51</v>
      </c>
      <c r="L7084" s="1606">
        <v>1433540.51</v>
      </c>
      <c r="M7084" s="1607"/>
      <c r="N7084" s="1606">
        <v>1433540.51</v>
      </c>
      <c r="O7084" s="1606">
        <v>1045455.12</v>
      </c>
      <c r="P7084" s="1606">
        <v>293044.07</v>
      </c>
      <c r="Q7084" s="1606">
        <v>95041.32</v>
      </c>
      <c r="R7084" s="1606">
        <v>388085.39</v>
      </c>
      <c r="S7084" s="1608"/>
    </row>
    <row r="7085" spans="2:19" s="1609" customFormat="1" ht="21.75" customHeight="1" outlineLevel="1">
      <c r="B7085" s="1612" t="s">
        <v>3315</v>
      </c>
      <c r="C7085" s="1603" t="s">
        <v>3314</v>
      </c>
      <c r="D7085" s="1603" t="s">
        <v>3313</v>
      </c>
      <c r="E7085" s="1603"/>
      <c r="F7085" s="1603"/>
      <c r="G7085" s="1603"/>
      <c r="H7085" s="1603"/>
      <c r="I7085" s="1603"/>
      <c r="J7085" s="1603"/>
      <c r="K7085" s="1606">
        <v>33393.4</v>
      </c>
      <c r="L7085" s="1606">
        <v>33393.4</v>
      </c>
      <c r="M7085" s="1607"/>
      <c r="N7085" s="1606">
        <v>33393.4</v>
      </c>
      <c r="O7085" s="1606">
        <v>24353.34</v>
      </c>
      <c r="P7085" s="1606">
        <v>6826.13</v>
      </c>
      <c r="Q7085" s="1606">
        <v>2213.9299999999998</v>
      </c>
      <c r="R7085" s="1606">
        <v>9040.06</v>
      </c>
      <c r="S7085" s="1608"/>
    </row>
    <row r="7086" spans="2:19" s="1609" customFormat="1" ht="21.75" customHeight="1" outlineLevel="1">
      <c r="B7086" s="1612" t="s">
        <v>3312</v>
      </c>
      <c r="C7086" s="1603" t="s">
        <v>3311</v>
      </c>
      <c r="D7086" s="1603" t="s">
        <v>3310</v>
      </c>
      <c r="E7086" s="1603" t="s">
        <v>2288</v>
      </c>
      <c r="F7086" s="1603" t="s">
        <v>3309</v>
      </c>
      <c r="G7086" s="1603"/>
      <c r="H7086" s="1604">
        <v>2</v>
      </c>
      <c r="I7086" s="1603"/>
      <c r="J7086" s="1603"/>
      <c r="K7086" s="1606">
        <v>696554.4</v>
      </c>
      <c r="L7086" s="1606">
        <v>696554.4</v>
      </c>
      <c r="M7086" s="1607"/>
      <c r="N7086" s="1606">
        <v>696554.4</v>
      </c>
      <c r="O7086" s="1606">
        <v>557821.43999999994</v>
      </c>
      <c r="P7086" s="1606">
        <v>104049.72</v>
      </c>
      <c r="Q7086" s="1606">
        <v>34683.24</v>
      </c>
      <c r="R7086" s="1606">
        <v>138732.96</v>
      </c>
      <c r="S7086" s="1608"/>
    </row>
    <row r="7087" spans="2:19" s="1609" customFormat="1" ht="21.75" customHeight="1" outlineLevel="1">
      <c r="B7087" s="1612" t="s">
        <v>3308</v>
      </c>
      <c r="C7087" s="1603" t="s">
        <v>3295</v>
      </c>
      <c r="D7087" s="1603" t="s">
        <v>3307</v>
      </c>
      <c r="E7087" s="1603" t="s">
        <v>2208</v>
      </c>
      <c r="F7087" s="1603"/>
      <c r="G7087" s="1603"/>
      <c r="H7087" s="1604">
        <v>2</v>
      </c>
      <c r="I7087" s="1610">
        <v>4</v>
      </c>
      <c r="J7087" s="1603"/>
      <c r="K7087" s="1606">
        <v>79100.86</v>
      </c>
      <c r="L7087" s="1606">
        <v>79100.86</v>
      </c>
      <c r="M7087" s="1607"/>
      <c r="N7087" s="1606">
        <v>79100.86</v>
      </c>
      <c r="O7087" s="1606">
        <v>58123.9</v>
      </c>
      <c r="P7087" s="1606">
        <v>15732.72</v>
      </c>
      <c r="Q7087" s="1606">
        <v>5244.24</v>
      </c>
      <c r="R7087" s="1606">
        <v>20976.959999999999</v>
      </c>
      <c r="S7087" s="1608"/>
    </row>
    <row r="7088" spans="2:19" s="1609" customFormat="1" ht="21.75" customHeight="1" outlineLevel="1">
      <c r="B7088" s="1612" t="s">
        <v>3306</v>
      </c>
      <c r="C7088" s="1603" t="s">
        <v>3295</v>
      </c>
      <c r="D7088" s="1603" t="s">
        <v>3305</v>
      </c>
      <c r="E7088" s="1603" t="s">
        <v>2219</v>
      </c>
      <c r="F7088" s="1603"/>
      <c r="G7088" s="1603"/>
      <c r="H7088" s="1604">
        <v>2</v>
      </c>
      <c r="I7088" s="1611">
        <v>1745.8</v>
      </c>
      <c r="J7088" s="1603"/>
      <c r="K7088" s="1606">
        <v>18322809.960000001</v>
      </c>
      <c r="L7088" s="1606">
        <v>18322809.960000001</v>
      </c>
      <c r="M7088" s="1607"/>
      <c r="N7088" s="1606">
        <v>18322809.960000001</v>
      </c>
      <c r="O7088" s="1606">
        <v>13463722.33</v>
      </c>
      <c r="P7088" s="1606">
        <v>3644315.64</v>
      </c>
      <c r="Q7088" s="1606">
        <v>1214771.99</v>
      </c>
      <c r="R7088" s="1606">
        <v>4859087.63</v>
      </c>
      <c r="S7088" s="1608"/>
    </row>
    <row r="7089" spans="2:19" s="1609" customFormat="1" ht="21.75" customHeight="1" outlineLevel="1">
      <c r="B7089" s="1612" t="s">
        <v>3304</v>
      </c>
      <c r="C7089" s="1603" t="s">
        <v>3295</v>
      </c>
      <c r="D7089" s="1603" t="s">
        <v>3303</v>
      </c>
      <c r="E7089" s="1603" t="s">
        <v>2208</v>
      </c>
      <c r="F7089" s="1603"/>
      <c r="G7089" s="1603"/>
      <c r="H7089" s="1604">
        <v>2</v>
      </c>
      <c r="I7089" s="1613">
        <v>192.42</v>
      </c>
      <c r="J7089" s="1603"/>
      <c r="K7089" s="1606">
        <v>953638.46</v>
      </c>
      <c r="L7089" s="1606">
        <v>953638.46</v>
      </c>
      <c r="M7089" s="1607"/>
      <c r="N7089" s="1606">
        <v>953638.46</v>
      </c>
      <c r="O7089" s="1606">
        <v>700739.9</v>
      </c>
      <c r="P7089" s="1606">
        <v>189673.92</v>
      </c>
      <c r="Q7089" s="1606">
        <v>63224.639999999999</v>
      </c>
      <c r="R7089" s="1606">
        <v>252898.56</v>
      </c>
      <c r="S7089" s="1608"/>
    </row>
    <row r="7090" spans="2:19" s="1609" customFormat="1" ht="21.75" customHeight="1" outlineLevel="1">
      <c r="B7090" s="1612" t="s">
        <v>3302</v>
      </c>
      <c r="C7090" s="1603" t="s">
        <v>3295</v>
      </c>
      <c r="D7090" s="1603" t="s">
        <v>3301</v>
      </c>
      <c r="E7090" s="1603" t="s">
        <v>2208</v>
      </c>
      <c r="F7090" s="1603"/>
      <c r="G7090" s="1603"/>
      <c r="H7090" s="1604">
        <v>2</v>
      </c>
      <c r="I7090" s="1611">
        <v>9.5</v>
      </c>
      <c r="J7090" s="1603"/>
      <c r="K7090" s="1606">
        <v>58895.76</v>
      </c>
      <c r="L7090" s="1606">
        <v>58895.76</v>
      </c>
      <c r="M7090" s="1607"/>
      <c r="N7090" s="1606">
        <v>58895.76</v>
      </c>
      <c r="O7090" s="1606">
        <v>43277.04</v>
      </c>
      <c r="P7090" s="1606">
        <v>11714.04</v>
      </c>
      <c r="Q7090" s="1606">
        <v>3904.68</v>
      </c>
      <c r="R7090" s="1606">
        <v>15618.72</v>
      </c>
      <c r="S7090" s="1608"/>
    </row>
    <row r="7091" spans="2:19" s="1609" customFormat="1" ht="21.75" customHeight="1" outlineLevel="1">
      <c r="B7091" s="1612" t="s">
        <v>3300</v>
      </c>
      <c r="C7091" s="1603" t="s">
        <v>3295</v>
      </c>
      <c r="D7091" s="1603" t="s">
        <v>3299</v>
      </c>
      <c r="E7091" s="1603" t="s">
        <v>2208</v>
      </c>
      <c r="F7091" s="1603"/>
      <c r="G7091" s="1603"/>
      <c r="H7091" s="1604">
        <v>1</v>
      </c>
      <c r="I7091" s="1610">
        <v>54</v>
      </c>
      <c r="J7091" s="1603"/>
      <c r="K7091" s="1606">
        <v>537724.86</v>
      </c>
      <c r="L7091" s="1606">
        <v>537724.86</v>
      </c>
      <c r="M7091" s="1607"/>
      <c r="N7091" s="1606">
        <v>537724.86</v>
      </c>
      <c r="O7091" s="1606">
        <v>395123.7</v>
      </c>
      <c r="P7091" s="1606">
        <v>106950.96</v>
      </c>
      <c r="Q7091" s="1606">
        <v>35650.199999999997</v>
      </c>
      <c r="R7091" s="1606">
        <v>142601.16</v>
      </c>
      <c r="S7091" s="1608"/>
    </row>
    <row r="7092" spans="2:19" s="1609" customFormat="1" ht="21.75" customHeight="1" outlineLevel="1">
      <c r="B7092" s="1612" t="s">
        <v>3298</v>
      </c>
      <c r="C7092" s="1603" t="s">
        <v>3295</v>
      </c>
      <c r="D7092" s="1603" t="s">
        <v>3297</v>
      </c>
      <c r="E7092" s="1603" t="s">
        <v>2266</v>
      </c>
      <c r="F7092" s="1603"/>
      <c r="G7092" s="1603"/>
      <c r="H7092" s="1604">
        <v>2</v>
      </c>
      <c r="I7092" s="1610">
        <v>70</v>
      </c>
      <c r="J7092" s="1603"/>
      <c r="K7092" s="1606">
        <v>1058682.8600000001</v>
      </c>
      <c r="L7092" s="1606">
        <v>1058682.8600000001</v>
      </c>
      <c r="M7092" s="1607"/>
      <c r="N7092" s="1606">
        <v>1058682.8600000001</v>
      </c>
      <c r="O7092" s="1606">
        <v>777927.02</v>
      </c>
      <c r="P7092" s="1606">
        <v>210566.88</v>
      </c>
      <c r="Q7092" s="1606">
        <v>70188.960000000006</v>
      </c>
      <c r="R7092" s="1606">
        <v>280755.84000000003</v>
      </c>
      <c r="S7092" s="1608"/>
    </row>
    <row r="7093" spans="2:19" s="1609" customFormat="1" ht="21.75" customHeight="1" outlineLevel="1">
      <c r="B7093" s="1612" t="s">
        <v>3296</v>
      </c>
      <c r="C7093" s="1603" t="s">
        <v>3295</v>
      </c>
      <c r="D7093" s="1603" t="s">
        <v>3294</v>
      </c>
      <c r="E7093" s="1603" t="s">
        <v>2208</v>
      </c>
      <c r="F7093" s="1603"/>
      <c r="G7093" s="1603"/>
      <c r="H7093" s="1604">
        <v>2</v>
      </c>
      <c r="I7093" s="1611">
        <v>8.1999999999999993</v>
      </c>
      <c r="J7093" s="1603"/>
      <c r="K7093" s="1606">
        <v>47140.77</v>
      </c>
      <c r="L7093" s="1606">
        <v>47140.77</v>
      </c>
      <c r="M7093" s="1607"/>
      <c r="N7093" s="1606">
        <v>47140.77</v>
      </c>
      <c r="O7093" s="1606">
        <v>34639.18</v>
      </c>
      <c r="P7093" s="1606">
        <v>9376.2000000000007</v>
      </c>
      <c r="Q7093" s="1606">
        <v>3125.39</v>
      </c>
      <c r="R7093" s="1606">
        <v>12501.59</v>
      </c>
      <c r="S7093" s="1608"/>
    </row>
    <row r="7094" spans="2:19" s="1609" customFormat="1" ht="11.25" customHeight="1" outlineLevel="1">
      <c r="B7094" s="1612" t="s">
        <v>3293</v>
      </c>
      <c r="C7094" s="1603" t="s">
        <v>3290</v>
      </c>
      <c r="D7094" s="1603" t="s">
        <v>3292</v>
      </c>
      <c r="E7094" s="1603"/>
      <c r="F7094" s="1603"/>
      <c r="G7094" s="1603"/>
      <c r="H7094" s="1603"/>
      <c r="I7094" s="1603"/>
      <c r="J7094" s="1603"/>
      <c r="K7094" s="1606">
        <v>617789.19999999995</v>
      </c>
      <c r="L7094" s="1606">
        <v>617789.19999999995</v>
      </c>
      <c r="M7094" s="1607"/>
      <c r="N7094" s="1606">
        <v>617789.19999999995</v>
      </c>
      <c r="O7094" s="1606">
        <v>453955.6</v>
      </c>
      <c r="P7094" s="1606">
        <v>122875.2</v>
      </c>
      <c r="Q7094" s="1606">
        <v>40958.400000000001</v>
      </c>
      <c r="R7094" s="1606">
        <v>163833.60000000001</v>
      </c>
      <c r="S7094" s="1608"/>
    </row>
    <row r="7095" spans="2:19" s="1609" customFormat="1" ht="21.75" customHeight="1" outlineLevel="1">
      <c r="B7095" s="1612" t="s">
        <v>3291</v>
      </c>
      <c r="C7095" s="1603" t="s">
        <v>3290</v>
      </c>
      <c r="D7095" s="1603" t="s">
        <v>3289</v>
      </c>
      <c r="E7095" s="1603"/>
      <c r="F7095" s="1603"/>
      <c r="G7095" s="1603"/>
      <c r="H7095" s="1603"/>
      <c r="I7095" s="1603"/>
      <c r="J7095" s="1603"/>
      <c r="K7095" s="1606">
        <v>782391.18</v>
      </c>
      <c r="L7095" s="1606">
        <v>782391.18</v>
      </c>
      <c r="M7095" s="1607"/>
      <c r="N7095" s="1606">
        <v>782391.18</v>
      </c>
      <c r="O7095" s="1606">
        <v>574906.38</v>
      </c>
      <c r="P7095" s="1606">
        <v>155613.6</v>
      </c>
      <c r="Q7095" s="1606">
        <v>51871.199999999997</v>
      </c>
      <c r="R7095" s="1606">
        <v>207484.79999999999</v>
      </c>
      <c r="S7095" s="1608"/>
    </row>
    <row r="7096" spans="2:19" s="1609" customFormat="1" ht="21.75" customHeight="1" outlineLevel="1">
      <c r="B7096" s="1612" t="s">
        <v>3288</v>
      </c>
      <c r="C7096" s="1603" t="s">
        <v>3287</v>
      </c>
      <c r="D7096" s="1603" t="s">
        <v>3286</v>
      </c>
      <c r="E7096" s="1603" t="s">
        <v>2266</v>
      </c>
      <c r="F7096" s="1603"/>
      <c r="G7096" s="1603"/>
      <c r="H7096" s="1604">
        <v>1</v>
      </c>
      <c r="I7096" s="1603"/>
      <c r="J7096" s="1603"/>
      <c r="K7096" s="1606">
        <v>7756226.3399999999</v>
      </c>
      <c r="L7096" s="1606">
        <v>7756226.3399999999</v>
      </c>
      <c r="M7096" s="1607"/>
      <c r="N7096" s="1606">
        <v>7756226.3399999999</v>
      </c>
      <c r="O7096" s="1606">
        <v>5742178.5800000001</v>
      </c>
      <c r="P7096" s="1606">
        <v>1499822.8</v>
      </c>
      <c r="Q7096" s="1606">
        <v>514224.96</v>
      </c>
      <c r="R7096" s="1606">
        <v>2014047.76</v>
      </c>
      <c r="S7096" s="1608"/>
    </row>
    <row r="7097" spans="2:19" s="1609" customFormat="1" ht="11.25" customHeight="1" outlineLevel="1">
      <c r="B7097" s="1612" t="s">
        <v>3285</v>
      </c>
      <c r="C7097" s="1603" t="s">
        <v>3284</v>
      </c>
      <c r="D7097" s="1603" t="s">
        <v>3283</v>
      </c>
      <c r="E7097" s="1603" t="s">
        <v>2219</v>
      </c>
      <c r="F7097" s="1603" t="s">
        <v>3282</v>
      </c>
      <c r="G7097" s="1603"/>
      <c r="H7097" s="1604">
        <v>2</v>
      </c>
      <c r="I7097" s="1610">
        <v>95</v>
      </c>
      <c r="J7097" s="1603"/>
      <c r="K7097" s="1606">
        <v>20600</v>
      </c>
      <c r="L7097" s="1606">
        <v>20600</v>
      </c>
      <c r="M7097" s="1607"/>
      <c r="N7097" s="1606">
        <v>20600</v>
      </c>
      <c r="O7097" s="1606">
        <v>14025.5</v>
      </c>
      <c r="P7097" s="1606">
        <v>4821.3</v>
      </c>
      <c r="Q7097" s="1606">
        <v>1753.2</v>
      </c>
      <c r="R7097" s="1606">
        <v>6574.5</v>
      </c>
      <c r="S7097" s="1608"/>
    </row>
    <row r="7098" spans="2:19" s="1609" customFormat="1" ht="21.75" customHeight="1" outlineLevel="1">
      <c r="B7098" s="1612" t="s">
        <v>3281</v>
      </c>
      <c r="C7098" s="1603" t="s">
        <v>3278</v>
      </c>
      <c r="D7098" s="1603" t="s">
        <v>3280</v>
      </c>
      <c r="E7098" s="1603" t="s">
        <v>2266</v>
      </c>
      <c r="F7098" s="1603"/>
      <c r="G7098" s="1603"/>
      <c r="H7098" s="1604">
        <v>2</v>
      </c>
      <c r="I7098" s="1613">
        <v>11.53</v>
      </c>
      <c r="J7098" s="1603"/>
      <c r="K7098" s="1606">
        <v>71869</v>
      </c>
      <c r="L7098" s="1606">
        <v>71869</v>
      </c>
      <c r="M7098" s="1607"/>
      <c r="N7098" s="1606">
        <v>71869</v>
      </c>
      <c r="O7098" s="1606">
        <v>54794.99</v>
      </c>
      <c r="P7098" s="1606">
        <v>12309.17</v>
      </c>
      <c r="Q7098" s="1606">
        <v>4764.84</v>
      </c>
      <c r="R7098" s="1606">
        <v>17074.009999999998</v>
      </c>
      <c r="S7098" s="1608"/>
    </row>
    <row r="7099" spans="2:19" s="1609" customFormat="1" ht="21.75" customHeight="1" outlineLevel="1">
      <c r="B7099" s="1612" t="s">
        <v>3279</v>
      </c>
      <c r="C7099" s="1603" t="s">
        <v>3278</v>
      </c>
      <c r="D7099" s="1603" t="s">
        <v>3277</v>
      </c>
      <c r="E7099" s="1603" t="s">
        <v>2208</v>
      </c>
      <c r="F7099" s="1603"/>
      <c r="G7099" s="1603"/>
      <c r="H7099" s="1604">
        <v>2</v>
      </c>
      <c r="I7099" s="1610">
        <v>7</v>
      </c>
      <c r="J7099" s="1603"/>
      <c r="K7099" s="1606">
        <v>69711.78</v>
      </c>
      <c r="L7099" s="1606">
        <v>69711.78</v>
      </c>
      <c r="M7099" s="1607"/>
      <c r="N7099" s="1606">
        <v>69711.78</v>
      </c>
      <c r="O7099" s="1606">
        <v>53150.33</v>
      </c>
      <c r="P7099" s="1606">
        <v>11939.65</v>
      </c>
      <c r="Q7099" s="1606">
        <v>4621.8</v>
      </c>
      <c r="R7099" s="1606">
        <v>16561.45</v>
      </c>
      <c r="S7099" s="1608"/>
    </row>
    <row r="7100" spans="2:19" s="1609" customFormat="1" ht="21.75" customHeight="1" outlineLevel="1">
      <c r="B7100" s="1612" t="s">
        <v>3276</v>
      </c>
      <c r="C7100" s="1603" t="s">
        <v>3275</v>
      </c>
      <c r="D7100" s="1603" t="s">
        <v>3274</v>
      </c>
      <c r="E7100" s="1603" t="s">
        <v>2208</v>
      </c>
      <c r="F7100" s="1603"/>
      <c r="G7100" s="1603"/>
      <c r="H7100" s="1604">
        <v>2</v>
      </c>
      <c r="I7100" s="1611">
        <v>12.5</v>
      </c>
      <c r="J7100" s="1603"/>
      <c r="K7100" s="1606">
        <v>16179.91</v>
      </c>
      <c r="L7100" s="1606">
        <v>16179.91</v>
      </c>
      <c r="M7100" s="1607"/>
      <c r="N7100" s="1606">
        <v>16179.91</v>
      </c>
      <c r="O7100" s="1606">
        <v>12425.53</v>
      </c>
      <c r="P7100" s="1606">
        <v>2681.7</v>
      </c>
      <c r="Q7100" s="1606">
        <v>1072.68</v>
      </c>
      <c r="R7100" s="1606">
        <v>3754.38</v>
      </c>
      <c r="S7100" s="1608"/>
    </row>
    <row r="7101" spans="2:19" s="1609" customFormat="1" ht="11.25" customHeight="1" outlineLevel="1">
      <c r="B7101" s="1612" t="s">
        <v>3273</v>
      </c>
      <c r="C7101" s="1603" t="s">
        <v>3270</v>
      </c>
      <c r="D7101" s="1603" t="s">
        <v>3272</v>
      </c>
      <c r="E7101" s="1603" t="s">
        <v>2288</v>
      </c>
      <c r="F7101" s="1603" t="s">
        <v>3268</v>
      </c>
      <c r="G7101" s="1603"/>
      <c r="H7101" s="1604">
        <v>3</v>
      </c>
      <c r="I7101" s="1603"/>
      <c r="J7101" s="1603"/>
      <c r="K7101" s="1606">
        <v>93233.33</v>
      </c>
      <c r="L7101" s="1606">
        <v>93233.33</v>
      </c>
      <c r="M7101" s="1606">
        <v>-93233.33</v>
      </c>
      <c r="N7101" s="1607"/>
      <c r="O7101" s="1607"/>
      <c r="P7101" s="1606">
        <v>93233.33</v>
      </c>
      <c r="Q7101" s="1606">
        <v>-93233.33</v>
      </c>
      <c r="R7101" s="1607"/>
      <c r="S7101" s="1608"/>
    </row>
    <row r="7102" spans="2:19" s="1609" customFormat="1" ht="11.25" customHeight="1" outlineLevel="1">
      <c r="B7102" s="1612" t="s">
        <v>3271</v>
      </c>
      <c r="C7102" s="1603" t="s">
        <v>3270</v>
      </c>
      <c r="D7102" s="1603" t="s">
        <v>3269</v>
      </c>
      <c r="E7102" s="1603" t="s">
        <v>2288</v>
      </c>
      <c r="F7102" s="1603" t="s">
        <v>3268</v>
      </c>
      <c r="G7102" s="1603"/>
      <c r="H7102" s="1604">
        <v>3</v>
      </c>
      <c r="I7102" s="1603"/>
      <c r="J7102" s="1603"/>
      <c r="K7102" s="1606">
        <v>93233.33</v>
      </c>
      <c r="L7102" s="1606">
        <v>93233.33</v>
      </c>
      <c r="M7102" s="1606">
        <v>-93233.33</v>
      </c>
      <c r="N7102" s="1607"/>
      <c r="O7102" s="1607"/>
      <c r="P7102" s="1606">
        <v>93233.33</v>
      </c>
      <c r="Q7102" s="1606">
        <v>-93233.33</v>
      </c>
      <c r="R7102" s="1607"/>
      <c r="S7102" s="1608"/>
    </row>
    <row r="7103" spans="2:19" s="1609" customFormat="1" ht="21.75" customHeight="1" outlineLevel="1">
      <c r="B7103" s="1612" t="s">
        <v>3267</v>
      </c>
      <c r="C7103" s="1603" t="s">
        <v>3266</v>
      </c>
      <c r="D7103" s="1603" t="s">
        <v>3265</v>
      </c>
      <c r="E7103" s="1603" t="s">
        <v>2219</v>
      </c>
      <c r="F7103" s="1603" t="s">
        <v>3264</v>
      </c>
      <c r="G7103" s="1603"/>
      <c r="H7103" s="1604">
        <v>2</v>
      </c>
      <c r="I7103" s="1610">
        <v>2864</v>
      </c>
      <c r="J7103" s="1603"/>
      <c r="K7103" s="1606">
        <v>12506398.470000001</v>
      </c>
      <c r="L7103" s="1606">
        <v>12506398.470000001</v>
      </c>
      <c r="M7103" s="1607"/>
      <c r="N7103" s="1606">
        <v>12506398.470000001</v>
      </c>
      <c r="O7103" s="1606">
        <v>10844418.470000001</v>
      </c>
      <c r="P7103" s="1606">
        <v>1163386</v>
      </c>
      <c r="Q7103" s="1606">
        <v>498594</v>
      </c>
      <c r="R7103" s="1606">
        <v>1661980</v>
      </c>
      <c r="S7103" s="1608"/>
    </row>
    <row r="7104" spans="2:19" s="1609" customFormat="1" ht="21.75" customHeight="1" outlineLevel="1">
      <c r="B7104" s="1612" t="s">
        <v>3263</v>
      </c>
      <c r="C7104" s="1603" t="s">
        <v>3262</v>
      </c>
      <c r="D7104" s="1603" t="s">
        <v>3261</v>
      </c>
      <c r="E7104" s="1603" t="s">
        <v>2208</v>
      </c>
      <c r="F7104" s="1603"/>
      <c r="G7104" s="1603"/>
      <c r="H7104" s="1604">
        <v>2</v>
      </c>
      <c r="I7104" s="1603"/>
      <c r="J7104" s="1603"/>
      <c r="K7104" s="1606">
        <v>15207.62</v>
      </c>
      <c r="L7104" s="1606">
        <v>15207.62</v>
      </c>
      <c r="M7104" s="1607"/>
      <c r="N7104" s="1606">
        <v>15207.62</v>
      </c>
      <c r="O7104" s="1606">
        <v>11930.84</v>
      </c>
      <c r="P7104" s="1606">
        <v>2268.54</v>
      </c>
      <c r="Q7104" s="1606">
        <v>1008.24</v>
      </c>
      <c r="R7104" s="1606">
        <v>3276.78</v>
      </c>
      <c r="S7104" s="1608"/>
    </row>
    <row r="7105" spans="2:19" s="1609" customFormat="1" ht="11.25" customHeight="1" outlineLevel="1">
      <c r="B7105" s="1612" t="s">
        <v>3260</v>
      </c>
      <c r="C7105" s="1603" t="s">
        <v>3257</v>
      </c>
      <c r="D7105" s="1603" t="s">
        <v>3259</v>
      </c>
      <c r="E7105" s="1603" t="s">
        <v>2266</v>
      </c>
      <c r="F7105" s="1603"/>
      <c r="G7105" s="1603"/>
      <c r="H7105" s="1604">
        <v>2</v>
      </c>
      <c r="I7105" s="1610">
        <v>15</v>
      </c>
      <c r="J7105" s="1603"/>
      <c r="K7105" s="1606">
        <v>187745.16</v>
      </c>
      <c r="L7105" s="1606">
        <v>187745.16</v>
      </c>
      <c r="M7105" s="1607"/>
      <c r="N7105" s="1606">
        <v>187745.16</v>
      </c>
      <c r="O7105" s="1606">
        <v>164043.04</v>
      </c>
      <c r="P7105" s="1606">
        <v>16217.24</v>
      </c>
      <c r="Q7105" s="1606">
        <v>7484.88</v>
      </c>
      <c r="R7105" s="1606">
        <v>23702.12</v>
      </c>
      <c r="S7105" s="1608"/>
    </row>
    <row r="7106" spans="2:19" s="1609" customFormat="1" ht="11.25" customHeight="1" outlineLevel="1">
      <c r="B7106" s="1612" t="s">
        <v>3258</v>
      </c>
      <c r="C7106" s="1603" t="s">
        <v>3257</v>
      </c>
      <c r="D7106" s="1603" t="s">
        <v>3256</v>
      </c>
      <c r="E7106" s="1603" t="s">
        <v>2208</v>
      </c>
      <c r="F7106" s="1603"/>
      <c r="G7106" s="1603"/>
      <c r="H7106" s="1604">
        <v>2</v>
      </c>
      <c r="I7106" s="1610">
        <v>3</v>
      </c>
      <c r="J7106" s="1603"/>
      <c r="K7106" s="1606">
        <v>14760.13</v>
      </c>
      <c r="L7106" s="1606">
        <v>14760.13</v>
      </c>
      <c r="M7106" s="1607"/>
      <c r="N7106" s="1606">
        <v>14760.13</v>
      </c>
      <c r="O7106" s="1606">
        <v>12896.61</v>
      </c>
      <c r="P7106" s="1606">
        <v>1275.04</v>
      </c>
      <c r="Q7106" s="1605">
        <v>588.48</v>
      </c>
      <c r="R7106" s="1606">
        <v>1863.52</v>
      </c>
      <c r="S7106" s="1608"/>
    </row>
    <row r="7107" spans="2:19" s="1609" customFormat="1" ht="11.25" customHeight="1" outlineLevel="1">
      <c r="B7107" s="1612" t="s">
        <v>3255</v>
      </c>
      <c r="C7107" s="1603" t="s">
        <v>3254</v>
      </c>
      <c r="D7107" s="1603" t="s">
        <v>3253</v>
      </c>
      <c r="E7107" s="1603" t="s">
        <v>2208</v>
      </c>
      <c r="F7107" s="1603"/>
      <c r="G7107" s="1603"/>
      <c r="H7107" s="1604">
        <v>2</v>
      </c>
      <c r="I7107" s="1603"/>
      <c r="J7107" s="1603"/>
      <c r="K7107" s="1606">
        <v>60800</v>
      </c>
      <c r="L7107" s="1606">
        <v>60800</v>
      </c>
      <c r="M7107" s="1607"/>
      <c r="N7107" s="1606">
        <v>60800</v>
      </c>
      <c r="O7107" s="1606">
        <v>53326.37</v>
      </c>
      <c r="P7107" s="1606">
        <v>5049.75</v>
      </c>
      <c r="Q7107" s="1606">
        <v>2423.88</v>
      </c>
      <c r="R7107" s="1606">
        <v>7473.63</v>
      </c>
      <c r="S7107" s="1608"/>
    </row>
    <row r="7108" spans="2:19" s="1609" customFormat="1" ht="21.75" customHeight="1" outlineLevel="1">
      <c r="B7108" s="1612" t="s">
        <v>3252</v>
      </c>
      <c r="C7108" s="1603" t="s">
        <v>3248</v>
      </c>
      <c r="D7108" s="1603" t="s">
        <v>3251</v>
      </c>
      <c r="E7108" s="1603" t="s">
        <v>2208</v>
      </c>
      <c r="F7108" s="1603"/>
      <c r="G7108" s="1603"/>
      <c r="H7108" s="1604">
        <v>2</v>
      </c>
      <c r="I7108" s="1603" t="s">
        <v>3250</v>
      </c>
      <c r="J7108" s="1603"/>
      <c r="K7108" s="1606">
        <v>39866.050000000003</v>
      </c>
      <c r="L7108" s="1606">
        <v>39866.050000000003</v>
      </c>
      <c r="M7108" s="1607"/>
      <c r="N7108" s="1606">
        <v>39866.050000000003</v>
      </c>
      <c r="O7108" s="1606">
        <v>34965.480000000003</v>
      </c>
      <c r="P7108" s="1606">
        <v>3311.25</v>
      </c>
      <c r="Q7108" s="1606">
        <v>1589.32</v>
      </c>
      <c r="R7108" s="1606">
        <v>4900.57</v>
      </c>
      <c r="S7108" s="1608"/>
    </row>
    <row r="7109" spans="2:19" s="1609" customFormat="1" ht="21.75" customHeight="1" outlineLevel="1">
      <c r="B7109" s="1612" t="s">
        <v>3249</v>
      </c>
      <c r="C7109" s="1603" t="s">
        <v>3248</v>
      </c>
      <c r="D7109" s="1603" t="s">
        <v>3247</v>
      </c>
      <c r="E7109" s="1603" t="s">
        <v>2208</v>
      </c>
      <c r="F7109" s="1603"/>
      <c r="G7109" s="1603"/>
      <c r="H7109" s="1604">
        <v>2</v>
      </c>
      <c r="I7109" s="1603"/>
      <c r="J7109" s="1603"/>
      <c r="K7109" s="1606">
        <v>35527.089999999997</v>
      </c>
      <c r="L7109" s="1606">
        <v>35527.089999999997</v>
      </c>
      <c r="M7109" s="1607"/>
      <c r="N7109" s="1606">
        <v>35527.089999999997</v>
      </c>
      <c r="O7109" s="1606">
        <v>31159.98</v>
      </c>
      <c r="P7109" s="1606">
        <v>2950.75</v>
      </c>
      <c r="Q7109" s="1606">
        <v>1416.36</v>
      </c>
      <c r="R7109" s="1606">
        <v>4367.1099999999997</v>
      </c>
      <c r="S7109" s="1608"/>
    </row>
    <row r="7110" spans="2:19" s="1609" customFormat="1" ht="21.75" customHeight="1" outlineLevel="1">
      <c r="B7110" s="1612" t="s">
        <v>3246</v>
      </c>
      <c r="C7110" s="1603" t="s">
        <v>3239</v>
      </c>
      <c r="D7110" s="1603" t="s">
        <v>3245</v>
      </c>
      <c r="E7110" s="1603" t="s">
        <v>2208</v>
      </c>
      <c r="F7110" s="1603"/>
      <c r="G7110" s="1603"/>
      <c r="H7110" s="1604">
        <v>2</v>
      </c>
      <c r="I7110" s="1610">
        <v>15</v>
      </c>
      <c r="J7110" s="1603"/>
      <c r="K7110" s="1606">
        <v>74790.84</v>
      </c>
      <c r="L7110" s="1606">
        <v>74790.84</v>
      </c>
      <c r="M7110" s="1607"/>
      <c r="N7110" s="1606">
        <v>74790.84</v>
      </c>
      <c r="O7110" s="1606">
        <v>59915.28</v>
      </c>
      <c r="P7110" s="1606">
        <v>9917.0400000000009</v>
      </c>
      <c r="Q7110" s="1606">
        <v>4958.5200000000004</v>
      </c>
      <c r="R7110" s="1606">
        <v>14875.56</v>
      </c>
      <c r="S7110" s="1608"/>
    </row>
    <row r="7111" spans="2:19" s="1609" customFormat="1" ht="21.75" customHeight="1" outlineLevel="1">
      <c r="B7111" s="1612" t="s">
        <v>3244</v>
      </c>
      <c r="C7111" s="1603" t="s">
        <v>3239</v>
      </c>
      <c r="D7111" s="1603" t="s">
        <v>3243</v>
      </c>
      <c r="E7111" s="1603" t="s">
        <v>2208</v>
      </c>
      <c r="F7111" s="1603"/>
      <c r="G7111" s="1603"/>
      <c r="H7111" s="1604">
        <v>2</v>
      </c>
      <c r="I7111" s="1610">
        <v>24</v>
      </c>
      <c r="J7111" s="1603"/>
      <c r="K7111" s="1606">
        <v>137481.43</v>
      </c>
      <c r="L7111" s="1606">
        <v>137481.43</v>
      </c>
      <c r="M7111" s="1607"/>
      <c r="N7111" s="1606">
        <v>137481.43</v>
      </c>
      <c r="O7111" s="1606">
        <v>110136.92</v>
      </c>
      <c r="P7111" s="1606">
        <v>18229.68</v>
      </c>
      <c r="Q7111" s="1606">
        <v>9114.83</v>
      </c>
      <c r="R7111" s="1606">
        <v>27344.51</v>
      </c>
      <c r="S7111" s="1608"/>
    </row>
    <row r="7112" spans="2:19" s="1609" customFormat="1" ht="21.75" customHeight="1" outlineLevel="1">
      <c r="B7112" s="1612" t="s">
        <v>3242</v>
      </c>
      <c r="C7112" s="1603" t="s">
        <v>3239</v>
      </c>
      <c r="D7112" s="1603" t="s">
        <v>3241</v>
      </c>
      <c r="E7112" s="1603" t="s">
        <v>2208</v>
      </c>
      <c r="F7112" s="1603"/>
      <c r="G7112" s="1603"/>
      <c r="H7112" s="1604">
        <v>2</v>
      </c>
      <c r="I7112" s="1610">
        <v>310</v>
      </c>
      <c r="J7112" s="1603"/>
      <c r="K7112" s="1606">
        <v>1523691.73</v>
      </c>
      <c r="L7112" s="1606">
        <v>1523691.73</v>
      </c>
      <c r="M7112" s="1607"/>
      <c r="N7112" s="1606">
        <v>1523691.73</v>
      </c>
      <c r="O7112" s="1606">
        <v>1341456.1299999999</v>
      </c>
      <c r="P7112" s="1606">
        <v>121490.4</v>
      </c>
      <c r="Q7112" s="1606">
        <v>60745.2</v>
      </c>
      <c r="R7112" s="1606">
        <v>182235.6</v>
      </c>
      <c r="S7112" s="1608"/>
    </row>
    <row r="7113" spans="2:19" s="1609" customFormat="1" ht="11.25" customHeight="1" outlineLevel="1">
      <c r="B7113" s="1612" t="s">
        <v>3240</v>
      </c>
      <c r="C7113" s="1603" t="s">
        <v>3239</v>
      </c>
      <c r="D7113" s="1603" t="s">
        <v>3238</v>
      </c>
      <c r="E7113" s="1603" t="s">
        <v>2266</v>
      </c>
      <c r="F7113" s="1603"/>
      <c r="G7113" s="1603"/>
      <c r="H7113" s="1604">
        <v>2</v>
      </c>
      <c r="I7113" s="1610">
        <v>222</v>
      </c>
      <c r="J7113" s="1603"/>
      <c r="K7113" s="1606">
        <v>913350.71</v>
      </c>
      <c r="L7113" s="1606">
        <v>913350.71</v>
      </c>
      <c r="M7113" s="1607"/>
      <c r="N7113" s="1606">
        <v>913350.71</v>
      </c>
      <c r="O7113" s="1606">
        <v>804112.67</v>
      </c>
      <c r="P7113" s="1606">
        <v>72825.36</v>
      </c>
      <c r="Q7113" s="1606">
        <v>36412.68</v>
      </c>
      <c r="R7113" s="1606">
        <v>109238.04</v>
      </c>
      <c r="S7113" s="1608"/>
    </row>
    <row r="7114" spans="2:19" s="1609" customFormat="1" ht="21.75" customHeight="1" outlineLevel="1">
      <c r="B7114" s="1612" t="s">
        <v>3237</v>
      </c>
      <c r="C7114" s="1603" t="s">
        <v>3232</v>
      </c>
      <c r="D7114" s="1603" t="s">
        <v>3236</v>
      </c>
      <c r="E7114" s="1603" t="s">
        <v>2208</v>
      </c>
      <c r="F7114" s="1603"/>
      <c r="G7114" s="1603"/>
      <c r="H7114" s="1604">
        <v>2</v>
      </c>
      <c r="I7114" s="1610">
        <v>119</v>
      </c>
      <c r="J7114" s="1603"/>
      <c r="K7114" s="1606">
        <v>534121.94999999995</v>
      </c>
      <c r="L7114" s="1606">
        <v>534121.94999999995</v>
      </c>
      <c r="M7114" s="1607"/>
      <c r="N7114" s="1606">
        <v>534121.94999999995</v>
      </c>
      <c r="O7114" s="1606">
        <v>472014.8</v>
      </c>
      <c r="P7114" s="1606">
        <v>40813.269999999997</v>
      </c>
      <c r="Q7114" s="1606">
        <v>21293.88</v>
      </c>
      <c r="R7114" s="1606">
        <v>62107.15</v>
      </c>
      <c r="S7114" s="1608"/>
    </row>
    <row r="7115" spans="2:19" s="1609" customFormat="1" ht="21.75" customHeight="1" outlineLevel="1">
      <c r="B7115" s="1612" t="s">
        <v>3235</v>
      </c>
      <c r="C7115" s="1603" t="s">
        <v>3232</v>
      </c>
      <c r="D7115" s="1603" t="s">
        <v>3234</v>
      </c>
      <c r="E7115" s="1603" t="s">
        <v>2208</v>
      </c>
      <c r="F7115" s="1603"/>
      <c r="G7115" s="1603"/>
      <c r="H7115" s="1604">
        <v>2</v>
      </c>
      <c r="I7115" s="1610">
        <v>7</v>
      </c>
      <c r="J7115" s="1603"/>
      <c r="K7115" s="1606">
        <v>60747.24</v>
      </c>
      <c r="L7115" s="1606">
        <v>60747.24</v>
      </c>
      <c r="M7115" s="1607"/>
      <c r="N7115" s="1606">
        <v>60747.24</v>
      </c>
      <c r="O7115" s="1606">
        <v>53683.54</v>
      </c>
      <c r="P7115" s="1606">
        <v>4641.8599999999997</v>
      </c>
      <c r="Q7115" s="1606">
        <v>2421.84</v>
      </c>
      <c r="R7115" s="1606">
        <v>7063.7</v>
      </c>
      <c r="S7115" s="1608"/>
    </row>
    <row r="7116" spans="2:19" s="1609" customFormat="1" ht="21.75" customHeight="1" outlineLevel="1">
      <c r="B7116" s="1612" t="s">
        <v>3233</v>
      </c>
      <c r="C7116" s="1603" t="s">
        <v>3232</v>
      </c>
      <c r="D7116" s="1603" t="s">
        <v>3231</v>
      </c>
      <c r="E7116" s="1603" t="s">
        <v>2208</v>
      </c>
      <c r="F7116" s="1603"/>
      <c r="G7116" s="1603"/>
      <c r="H7116" s="1604">
        <v>2</v>
      </c>
      <c r="I7116" s="1610">
        <v>5</v>
      </c>
      <c r="J7116" s="1603"/>
      <c r="K7116" s="1606">
        <v>121076.71</v>
      </c>
      <c r="L7116" s="1606">
        <v>121076.71</v>
      </c>
      <c r="M7116" s="1607"/>
      <c r="N7116" s="1606">
        <v>121076.71</v>
      </c>
      <c r="O7116" s="1606">
        <v>106997.96</v>
      </c>
      <c r="P7116" s="1606">
        <v>9251.75</v>
      </c>
      <c r="Q7116" s="1606">
        <v>4827</v>
      </c>
      <c r="R7116" s="1606">
        <v>14078.75</v>
      </c>
      <c r="S7116" s="1608"/>
    </row>
    <row r="7117" spans="2:19" s="1609" customFormat="1" ht="21.75" customHeight="1" outlineLevel="1">
      <c r="B7117" s="1612" t="s">
        <v>3230</v>
      </c>
      <c r="C7117" s="1603" t="s">
        <v>3229</v>
      </c>
      <c r="D7117" s="1603" t="s">
        <v>3228</v>
      </c>
      <c r="E7117" s="1603" t="s">
        <v>2288</v>
      </c>
      <c r="F7117" s="1603" t="s">
        <v>3227</v>
      </c>
      <c r="G7117" s="1603"/>
      <c r="H7117" s="1604">
        <v>3</v>
      </c>
      <c r="I7117" s="1603"/>
      <c r="J7117" s="1603"/>
      <c r="K7117" s="1606">
        <v>55217.5</v>
      </c>
      <c r="L7117" s="1606">
        <v>55217.5</v>
      </c>
      <c r="M7117" s="1606">
        <v>-55217.5</v>
      </c>
      <c r="N7117" s="1607"/>
      <c r="O7117" s="1607"/>
      <c r="P7117" s="1606">
        <v>19009.2</v>
      </c>
      <c r="Q7117" s="1606">
        <v>-19009.2</v>
      </c>
      <c r="R7117" s="1607"/>
      <c r="S7117" s="1608"/>
    </row>
    <row r="7118" spans="2:19" s="1609" customFormat="1" ht="21.75" customHeight="1" outlineLevel="1">
      <c r="B7118" s="1612" t="s">
        <v>3226</v>
      </c>
      <c r="C7118" s="1603" t="s">
        <v>3225</v>
      </c>
      <c r="D7118" s="1603" t="s">
        <v>3224</v>
      </c>
      <c r="E7118" s="1603" t="s">
        <v>2219</v>
      </c>
      <c r="F7118" s="1603" t="s">
        <v>3223</v>
      </c>
      <c r="G7118" s="1603"/>
      <c r="H7118" s="1604">
        <v>2</v>
      </c>
      <c r="I7118" s="1610">
        <v>48</v>
      </c>
      <c r="J7118" s="1603"/>
      <c r="K7118" s="1606">
        <v>398203.78</v>
      </c>
      <c r="L7118" s="1606">
        <v>398203.78</v>
      </c>
      <c r="M7118" s="1607"/>
      <c r="N7118" s="1606">
        <v>398203.78</v>
      </c>
      <c r="O7118" s="1606">
        <v>358515.58</v>
      </c>
      <c r="P7118" s="1606">
        <v>23812.92</v>
      </c>
      <c r="Q7118" s="1606">
        <v>15875.28</v>
      </c>
      <c r="R7118" s="1606">
        <v>39688.199999999997</v>
      </c>
      <c r="S7118" s="1608"/>
    </row>
    <row r="7119" spans="2:19" s="1609" customFormat="1" ht="11.25" customHeight="1" outlineLevel="1">
      <c r="B7119" s="1612" t="s">
        <v>3222</v>
      </c>
      <c r="C7119" s="1603" t="s">
        <v>3221</v>
      </c>
      <c r="D7119" s="1603" t="s">
        <v>3220</v>
      </c>
      <c r="E7119" s="1603" t="s">
        <v>2219</v>
      </c>
      <c r="F7119" s="1603" t="s">
        <v>2674</v>
      </c>
      <c r="G7119" s="1603"/>
      <c r="H7119" s="1604">
        <v>2</v>
      </c>
      <c r="I7119" s="1610">
        <v>89</v>
      </c>
      <c r="J7119" s="1603" t="s">
        <v>3219</v>
      </c>
      <c r="K7119" s="1606">
        <v>141126.82999999999</v>
      </c>
      <c r="L7119" s="1606">
        <v>141126.82999999999</v>
      </c>
      <c r="M7119" s="1607"/>
      <c r="N7119" s="1606">
        <v>141126.82999999999</v>
      </c>
      <c r="O7119" s="1606">
        <v>117735.53</v>
      </c>
      <c r="P7119" s="1606">
        <v>14034.78</v>
      </c>
      <c r="Q7119" s="1606">
        <v>9356.52</v>
      </c>
      <c r="R7119" s="1606">
        <v>23391.3</v>
      </c>
      <c r="S7119" s="1608"/>
    </row>
    <row r="7120" spans="2:19" s="1609" customFormat="1" ht="21.75" customHeight="1" outlineLevel="1">
      <c r="B7120" s="1612" t="s">
        <v>3218</v>
      </c>
      <c r="C7120" s="1603" t="s">
        <v>3217</v>
      </c>
      <c r="D7120" s="1603" t="s">
        <v>3216</v>
      </c>
      <c r="E7120" s="1603" t="s">
        <v>2219</v>
      </c>
      <c r="F7120" s="1603"/>
      <c r="G7120" s="1603"/>
      <c r="H7120" s="1604">
        <v>2</v>
      </c>
      <c r="I7120" s="1610">
        <v>13</v>
      </c>
      <c r="J7120" s="1603"/>
      <c r="K7120" s="1606">
        <v>58589.71</v>
      </c>
      <c r="L7120" s="1606">
        <v>58589.71</v>
      </c>
      <c r="M7120" s="1607"/>
      <c r="N7120" s="1606">
        <v>58589.71</v>
      </c>
      <c r="O7120" s="1606">
        <v>52750.21</v>
      </c>
      <c r="P7120" s="1606">
        <v>3503.7</v>
      </c>
      <c r="Q7120" s="1606">
        <v>2335.8000000000002</v>
      </c>
      <c r="R7120" s="1606">
        <v>5839.5</v>
      </c>
      <c r="S7120" s="1608"/>
    </row>
    <row r="7121" spans="2:19" s="1609" customFormat="1" ht="21.75" customHeight="1" outlineLevel="1">
      <c r="B7121" s="1612" t="s">
        <v>3215</v>
      </c>
      <c r="C7121" s="1603" t="s">
        <v>3212</v>
      </c>
      <c r="D7121" s="1603" t="s">
        <v>3214</v>
      </c>
      <c r="E7121" s="1603" t="s">
        <v>2208</v>
      </c>
      <c r="F7121" s="1603"/>
      <c r="G7121" s="1603"/>
      <c r="H7121" s="1604">
        <v>2</v>
      </c>
      <c r="I7121" s="1611">
        <v>69.5</v>
      </c>
      <c r="J7121" s="1603"/>
      <c r="K7121" s="1606">
        <v>298344.92</v>
      </c>
      <c r="L7121" s="1606">
        <v>298344.92</v>
      </c>
      <c r="M7121" s="1607"/>
      <c r="N7121" s="1606">
        <v>298344.92</v>
      </c>
      <c r="O7121" s="1606">
        <v>269600.7</v>
      </c>
      <c r="P7121" s="1606">
        <v>16850.060000000001</v>
      </c>
      <c r="Q7121" s="1606">
        <v>11894.16</v>
      </c>
      <c r="R7121" s="1606">
        <v>28744.22</v>
      </c>
      <c r="S7121" s="1608"/>
    </row>
    <row r="7122" spans="2:19" s="1609" customFormat="1" ht="21.75" customHeight="1" outlineLevel="1">
      <c r="B7122" s="1612" t="s">
        <v>3213</v>
      </c>
      <c r="C7122" s="1603" t="s">
        <v>3212</v>
      </c>
      <c r="D7122" s="1603" t="s">
        <v>3211</v>
      </c>
      <c r="E7122" s="1603" t="s">
        <v>2266</v>
      </c>
      <c r="F7122" s="1603" t="s">
        <v>3210</v>
      </c>
      <c r="G7122" s="1603"/>
      <c r="H7122" s="1604">
        <v>2</v>
      </c>
      <c r="I7122" s="1603"/>
      <c r="J7122" s="1603"/>
      <c r="K7122" s="1606">
        <v>71810.080000000002</v>
      </c>
      <c r="L7122" s="1606">
        <v>71810.080000000002</v>
      </c>
      <c r="M7122" s="1607"/>
      <c r="N7122" s="1606">
        <v>71810.080000000002</v>
      </c>
      <c r="O7122" s="1606">
        <v>64891.55</v>
      </c>
      <c r="P7122" s="1606">
        <v>4055.69</v>
      </c>
      <c r="Q7122" s="1606">
        <v>2862.84</v>
      </c>
      <c r="R7122" s="1606">
        <v>6918.53</v>
      </c>
      <c r="S7122" s="1608"/>
    </row>
    <row r="7123" spans="2:19" s="1609" customFormat="1" ht="21.75" customHeight="1" outlineLevel="1">
      <c r="B7123" s="1612" t="s">
        <v>3209</v>
      </c>
      <c r="C7123" s="1603" t="s">
        <v>3208</v>
      </c>
      <c r="D7123" s="1603" t="s">
        <v>3207</v>
      </c>
      <c r="E7123" s="1603" t="s">
        <v>2208</v>
      </c>
      <c r="F7123" s="1603"/>
      <c r="G7123" s="1603"/>
      <c r="H7123" s="1604">
        <v>2</v>
      </c>
      <c r="I7123" s="1611">
        <v>2.5</v>
      </c>
      <c r="J7123" s="1603"/>
      <c r="K7123" s="1606">
        <v>31231.29</v>
      </c>
      <c r="L7123" s="1606">
        <v>31231.29</v>
      </c>
      <c r="M7123" s="1607"/>
      <c r="N7123" s="1606">
        <v>31231.29</v>
      </c>
      <c r="O7123" s="1606">
        <v>28326.01</v>
      </c>
      <c r="P7123" s="1606">
        <v>1660.16</v>
      </c>
      <c r="Q7123" s="1606">
        <v>1245.1199999999999</v>
      </c>
      <c r="R7123" s="1606">
        <v>2905.28</v>
      </c>
      <c r="S7123" s="1608"/>
    </row>
    <row r="7124" spans="2:19" s="1609" customFormat="1" ht="21.75" customHeight="1" outlineLevel="1">
      <c r="B7124" s="1612" t="s">
        <v>3206</v>
      </c>
      <c r="C7124" s="1603" t="s">
        <v>3201</v>
      </c>
      <c r="D7124" s="1603" t="s">
        <v>3205</v>
      </c>
      <c r="E7124" s="1603" t="s">
        <v>2219</v>
      </c>
      <c r="F7124" s="1603" t="s">
        <v>3199</v>
      </c>
      <c r="G7124" s="1603" t="s">
        <v>3204</v>
      </c>
      <c r="H7124" s="1604">
        <v>2</v>
      </c>
      <c r="I7124" s="1610">
        <v>96</v>
      </c>
      <c r="J7124" s="1603" t="s">
        <v>3203</v>
      </c>
      <c r="K7124" s="1606">
        <v>741116.78</v>
      </c>
      <c r="L7124" s="1606">
        <v>741116.78</v>
      </c>
      <c r="M7124" s="1607"/>
      <c r="N7124" s="1606">
        <v>741116.78</v>
      </c>
      <c r="O7124" s="1606">
        <v>630563.39</v>
      </c>
      <c r="P7124" s="1606">
        <v>61418.55</v>
      </c>
      <c r="Q7124" s="1606">
        <v>49134.84</v>
      </c>
      <c r="R7124" s="1606">
        <v>110553.39</v>
      </c>
      <c r="S7124" s="1608"/>
    </row>
    <row r="7125" spans="2:19" s="1609" customFormat="1" ht="21.75" customHeight="1" outlineLevel="1">
      <c r="B7125" s="1612" t="s">
        <v>3202</v>
      </c>
      <c r="C7125" s="1603" t="s">
        <v>3201</v>
      </c>
      <c r="D7125" s="1603" t="s">
        <v>3200</v>
      </c>
      <c r="E7125" s="1603" t="s">
        <v>2219</v>
      </c>
      <c r="F7125" s="1603" t="s">
        <v>3199</v>
      </c>
      <c r="G7125" s="1603" t="s">
        <v>3198</v>
      </c>
      <c r="H7125" s="1604">
        <v>2</v>
      </c>
      <c r="I7125" s="1610">
        <v>184</v>
      </c>
      <c r="J7125" s="1603"/>
      <c r="K7125" s="1606">
        <v>2332687.5299999998</v>
      </c>
      <c r="L7125" s="1606">
        <v>2332687.5299999998</v>
      </c>
      <c r="M7125" s="1607"/>
      <c r="N7125" s="1606">
        <v>2332687.5299999998</v>
      </c>
      <c r="O7125" s="1606">
        <v>1984717.47</v>
      </c>
      <c r="P7125" s="1606">
        <v>193316.7</v>
      </c>
      <c r="Q7125" s="1606">
        <v>154653.35999999999</v>
      </c>
      <c r="R7125" s="1606">
        <v>347970.06</v>
      </c>
      <c r="S7125" s="1608"/>
    </row>
    <row r="7126" spans="2:19" s="1609" customFormat="1" ht="11.25" customHeight="1" outlineLevel="1">
      <c r="B7126" s="1612" t="s">
        <v>3197</v>
      </c>
      <c r="C7126" s="1603" t="s">
        <v>3196</v>
      </c>
      <c r="D7126" s="1603" t="s">
        <v>3195</v>
      </c>
      <c r="E7126" s="1603" t="s">
        <v>2219</v>
      </c>
      <c r="F7126" s="1603" t="s">
        <v>2642</v>
      </c>
      <c r="G7126" s="1603" t="s">
        <v>2641</v>
      </c>
      <c r="H7126" s="1604">
        <v>2</v>
      </c>
      <c r="I7126" s="1603"/>
      <c r="J7126" s="1603"/>
      <c r="K7126" s="1606">
        <v>2482.8000000000002</v>
      </c>
      <c r="L7126" s="1606">
        <v>2482.8000000000002</v>
      </c>
      <c r="M7126" s="1607"/>
      <c r="N7126" s="1606">
        <v>2482.8000000000002</v>
      </c>
      <c r="O7126" s="1606">
        <v>1589.04</v>
      </c>
      <c r="P7126" s="1605">
        <v>496.5</v>
      </c>
      <c r="Q7126" s="1605">
        <v>397.26</v>
      </c>
      <c r="R7126" s="1605">
        <v>893.76</v>
      </c>
      <c r="S7126" s="1608"/>
    </row>
    <row r="7127" spans="2:19" s="1609" customFormat="1" ht="21.75" customHeight="1" outlineLevel="1">
      <c r="B7127" s="1612" t="s">
        <v>3194</v>
      </c>
      <c r="C7127" s="1603" t="s">
        <v>3191</v>
      </c>
      <c r="D7127" s="1603" t="s">
        <v>3193</v>
      </c>
      <c r="E7127" s="1603" t="s">
        <v>2208</v>
      </c>
      <c r="F7127" s="1603"/>
      <c r="G7127" s="1603"/>
      <c r="H7127" s="1604">
        <v>2</v>
      </c>
      <c r="I7127" s="1610">
        <v>24</v>
      </c>
      <c r="J7127" s="1603"/>
      <c r="K7127" s="1606">
        <v>94008.16</v>
      </c>
      <c r="L7127" s="1606">
        <v>94008.16</v>
      </c>
      <c r="M7127" s="1607"/>
      <c r="N7127" s="1606">
        <v>94008.16</v>
      </c>
      <c r="O7127" s="1606">
        <v>85575.52</v>
      </c>
      <c r="P7127" s="1606">
        <v>4684.8</v>
      </c>
      <c r="Q7127" s="1606">
        <v>3747.84</v>
      </c>
      <c r="R7127" s="1606">
        <v>8432.64</v>
      </c>
      <c r="S7127" s="1608"/>
    </row>
    <row r="7128" spans="2:19" s="1609" customFormat="1" ht="21.75" customHeight="1" outlineLevel="1">
      <c r="B7128" s="1612" t="s">
        <v>3192</v>
      </c>
      <c r="C7128" s="1603" t="s">
        <v>3191</v>
      </c>
      <c r="D7128" s="1603" t="s">
        <v>3190</v>
      </c>
      <c r="E7128" s="1603" t="s">
        <v>2208</v>
      </c>
      <c r="F7128" s="1603"/>
      <c r="G7128" s="1603"/>
      <c r="H7128" s="1604">
        <v>2</v>
      </c>
      <c r="I7128" s="1613">
        <v>25.09</v>
      </c>
      <c r="J7128" s="1603"/>
      <c r="K7128" s="1606">
        <v>75188.44</v>
      </c>
      <c r="L7128" s="1606">
        <v>75188.44</v>
      </c>
      <c r="M7128" s="1607"/>
      <c r="N7128" s="1606">
        <v>75188.44</v>
      </c>
      <c r="O7128" s="1606">
        <v>68443.839999999997</v>
      </c>
      <c r="P7128" s="1606">
        <v>3747</v>
      </c>
      <c r="Q7128" s="1606">
        <v>2997.6</v>
      </c>
      <c r="R7128" s="1606">
        <v>6744.6</v>
      </c>
      <c r="S7128" s="1608"/>
    </row>
    <row r="7129" spans="2:19" s="1609" customFormat="1" ht="11.25" customHeight="1" outlineLevel="1">
      <c r="B7129" s="1612" t="s">
        <v>3189</v>
      </c>
      <c r="C7129" s="1603" t="s">
        <v>3188</v>
      </c>
      <c r="D7129" s="1603" t="s">
        <v>3187</v>
      </c>
      <c r="E7129" s="1603" t="s">
        <v>2288</v>
      </c>
      <c r="F7129" s="1603" t="s">
        <v>3186</v>
      </c>
      <c r="G7129" s="1603"/>
      <c r="H7129" s="1604">
        <v>2</v>
      </c>
      <c r="I7129" s="1603"/>
      <c r="J7129" s="1603"/>
      <c r="K7129" s="1606">
        <v>1350000</v>
      </c>
      <c r="L7129" s="1606">
        <v>1350000</v>
      </c>
      <c r="M7129" s="1607"/>
      <c r="N7129" s="1606">
        <v>1350000</v>
      </c>
      <c r="O7129" s="1606">
        <v>796721.25</v>
      </c>
      <c r="P7129" s="1606">
        <v>287704.95</v>
      </c>
      <c r="Q7129" s="1606">
        <v>265573.8</v>
      </c>
      <c r="R7129" s="1606">
        <v>553278.75</v>
      </c>
      <c r="S7129" s="1608"/>
    </row>
    <row r="7130" spans="2:19" s="1609" customFormat="1" ht="21.75" customHeight="1" outlineLevel="1">
      <c r="B7130" s="1612" t="s">
        <v>3185</v>
      </c>
      <c r="C7130" s="1603" t="s">
        <v>3178</v>
      </c>
      <c r="D7130" s="1603" t="s">
        <v>3184</v>
      </c>
      <c r="E7130" s="1603" t="s">
        <v>2208</v>
      </c>
      <c r="F7130" s="1603"/>
      <c r="G7130" s="1603"/>
      <c r="H7130" s="1604">
        <v>2</v>
      </c>
      <c r="I7130" s="1610">
        <v>1124</v>
      </c>
      <c r="J7130" s="1603"/>
      <c r="K7130" s="1606">
        <v>14024743.48</v>
      </c>
      <c r="L7130" s="1606">
        <v>14024743.48</v>
      </c>
      <c r="M7130" s="1607"/>
      <c r="N7130" s="1606">
        <v>14024743.48</v>
      </c>
      <c r="O7130" s="1606">
        <v>12906491.560000001</v>
      </c>
      <c r="P7130" s="1606">
        <v>559125.96</v>
      </c>
      <c r="Q7130" s="1606">
        <v>559125.96</v>
      </c>
      <c r="R7130" s="1606">
        <v>1118251.92</v>
      </c>
      <c r="S7130" s="1608"/>
    </row>
    <row r="7131" spans="2:19" s="1609" customFormat="1" ht="21.75" customHeight="1" outlineLevel="1">
      <c r="B7131" s="1612" t="s">
        <v>3183</v>
      </c>
      <c r="C7131" s="1603" t="s">
        <v>3178</v>
      </c>
      <c r="D7131" s="1603" t="s">
        <v>3182</v>
      </c>
      <c r="E7131" s="1603" t="s">
        <v>2208</v>
      </c>
      <c r="F7131" s="1603"/>
      <c r="G7131" s="1603"/>
      <c r="H7131" s="1604">
        <v>2</v>
      </c>
      <c r="I7131" s="1610">
        <v>171</v>
      </c>
      <c r="J7131" s="1603"/>
      <c r="K7131" s="1606">
        <v>496160.89</v>
      </c>
      <c r="L7131" s="1606">
        <v>496160.89</v>
      </c>
      <c r="M7131" s="1607"/>
      <c r="N7131" s="1606">
        <v>496160.89</v>
      </c>
      <c r="O7131" s="1606">
        <v>456599.87</v>
      </c>
      <c r="P7131" s="1606">
        <v>19780.560000000001</v>
      </c>
      <c r="Q7131" s="1606">
        <v>19780.46</v>
      </c>
      <c r="R7131" s="1606">
        <v>39561.019999999997</v>
      </c>
      <c r="S7131" s="1608"/>
    </row>
    <row r="7132" spans="2:19" s="1609" customFormat="1" ht="21.75" customHeight="1" outlineLevel="1">
      <c r="B7132" s="1612" t="s">
        <v>3181</v>
      </c>
      <c r="C7132" s="1603" t="s">
        <v>3178</v>
      </c>
      <c r="D7132" s="1603" t="s">
        <v>3180</v>
      </c>
      <c r="E7132" s="1603" t="s">
        <v>2208</v>
      </c>
      <c r="F7132" s="1603"/>
      <c r="G7132" s="1603"/>
      <c r="H7132" s="1604">
        <v>2</v>
      </c>
      <c r="I7132" s="1610">
        <v>9</v>
      </c>
      <c r="J7132" s="1603"/>
      <c r="K7132" s="1606">
        <v>163994.41</v>
      </c>
      <c r="L7132" s="1606">
        <v>163994.41</v>
      </c>
      <c r="M7132" s="1607"/>
      <c r="N7132" s="1606">
        <v>163994.41</v>
      </c>
      <c r="O7132" s="1606">
        <v>150918.49</v>
      </c>
      <c r="P7132" s="1606">
        <v>6537.96</v>
      </c>
      <c r="Q7132" s="1606">
        <v>6537.96</v>
      </c>
      <c r="R7132" s="1606">
        <v>13075.92</v>
      </c>
      <c r="S7132" s="1608"/>
    </row>
    <row r="7133" spans="2:19" s="1609" customFormat="1" ht="21.75" customHeight="1" outlineLevel="1">
      <c r="B7133" s="1612" t="s">
        <v>3179</v>
      </c>
      <c r="C7133" s="1603" t="s">
        <v>3178</v>
      </c>
      <c r="D7133" s="1603" t="s">
        <v>3177</v>
      </c>
      <c r="E7133" s="1603" t="s">
        <v>2266</v>
      </c>
      <c r="F7133" s="1603"/>
      <c r="G7133" s="1603"/>
      <c r="H7133" s="1604">
        <v>2</v>
      </c>
      <c r="I7133" s="1613">
        <v>384.9</v>
      </c>
      <c r="J7133" s="1603"/>
      <c r="K7133" s="1606">
        <v>4161652</v>
      </c>
      <c r="L7133" s="1606">
        <v>4161652</v>
      </c>
      <c r="M7133" s="1607"/>
      <c r="N7133" s="1606">
        <v>4161652</v>
      </c>
      <c r="O7133" s="1606">
        <v>3829825.84</v>
      </c>
      <c r="P7133" s="1606">
        <v>165913.07999999999</v>
      </c>
      <c r="Q7133" s="1606">
        <v>165913.07999999999</v>
      </c>
      <c r="R7133" s="1606">
        <v>331826.15999999997</v>
      </c>
      <c r="S7133" s="1608"/>
    </row>
    <row r="7134" spans="2:19" s="1609" customFormat="1" ht="21.75" customHeight="1" outlineLevel="1">
      <c r="B7134" s="1612" t="s">
        <v>3176</v>
      </c>
      <c r="C7134" s="1603" t="s">
        <v>3173</v>
      </c>
      <c r="D7134" s="1603" t="s">
        <v>3175</v>
      </c>
      <c r="E7134" s="1603" t="s">
        <v>2208</v>
      </c>
      <c r="F7134" s="1603"/>
      <c r="G7134" s="1603"/>
      <c r="H7134" s="1604">
        <v>2</v>
      </c>
      <c r="I7134" s="1611">
        <v>12.5</v>
      </c>
      <c r="J7134" s="1603"/>
      <c r="K7134" s="1606">
        <v>119718.28</v>
      </c>
      <c r="L7134" s="1606">
        <v>119718.28</v>
      </c>
      <c r="M7134" s="1607"/>
      <c r="N7134" s="1606">
        <v>119718.28</v>
      </c>
      <c r="O7134" s="1606">
        <v>110570.33</v>
      </c>
      <c r="P7134" s="1606">
        <v>4375.1400000000003</v>
      </c>
      <c r="Q7134" s="1606">
        <v>4772.8100000000004</v>
      </c>
      <c r="R7134" s="1606">
        <v>9147.9500000000007</v>
      </c>
      <c r="S7134" s="1608"/>
    </row>
    <row r="7135" spans="2:19" s="1609" customFormat="1" ht="11.25" customHeight="1" outlineLevel="1">
      <c r="B7135" s="1612" t="s">
        <v>3174</v>
      </c>
      <c r="C7135" s="1603" t="s">
        <v>3173</v>
      </c>
      <c r="D7135" s="1603" t="s">
        <v>3172</v>
      </c>
      <c r="E7135" s="1603" t="s">
        <v>2208</v>
      </c>
      <c r="F7135" s="1603"/>
      <c r="G7135" s="1603"/>
      <c r="H7135" s="1604">
        <v>2</v>
      </c>
      <c r="I7135" s="1610">
        <v>11</v>
      </c>
      <c r="J7135" s="1603"/>
      <c r="K7135" s="1606">
        <v>80809.19</v>
      </c>
      <c r="L7135" s="1606">
        <v>80809.19</v>
      </c>
      <c r="M7135" s="1607"/>
      <c r="N7135" s="1606">
        <v>80809.19</v>
      </c>
      <c r="O7135" s="1606">
        <v>74634.38</v>
      </c>
      <c r="P7135" s="1606">
        <v>2953.17</v>
      </c>
      <c r="Q7135" s="1606">
        <v>3221.64</v>
      </c>
      <c r="R7135" s="1606">
        <v>6174.81</v>
      </c>
      <c r="S7135" s="1608"/>
    </row>
    <row r="7136" spans="2:19" s="1609" customFormat="1" ht="21.75" customHeight="1" outlineLevel="1">
      <c r="B7136" s="1612" t="s">
        <v>3171</v>
      </c>
      <c r="C7136" s="1603" t="s">
        <v>3170</v>
      </c>
      <c r="D7136" s="1603" t="s">
        <v>3169</v>
      </c>
      <c r="E7136" s="1603" t="s">
        <v>2219</v>
      </c>
      <c r="F7136" s="1603" t="s">
        <v>3168</v>
      </c>
      <c r="G7136" s="1603" t="s">
        <v>3167</v>
      </c>
      <c r="H7136" s="1604">
        <v>2</v>
      </c>
      <c r="I7136" s="1610">
        <v>9281</v>
      </c>
      <c r="J7136" s="1603"/>
      <c r="K7136" s="1606">
        <v>5016901.12</v>
      </c>
      <c r="L7136" s="1606">
        <v>5016901.12</v>
      </c>
      <c r="M7136" s="1607"/>
      <c r="N7136" s="1606">
        <v>5016901.12</v>
      </c>
      <c r="O7136" s="1606">
        <v>4407111.9400000004</v>
      </c>
      <c r="P7136" s="1606">
        <v>277176.90000000002</v>
      </c>
      <c r="Q7136" s="1606">
        <v>332612.28000000003</v>
      </c>
      <c r="R7136" s="1606">
        <v>609789.18000000005</v>
      </c>
      <c r="S7136" s="1608"/>
    </row>
    <row r="7137" spans="2:19" s="1609" customFormat="1" ht="21.75" customHeight="1" outlineLevel="1">
      <c r="B7137" s="1612" t="s">
        <v>3166</v>
      </c>
      <c r="C7137" s="1603" t="s">
        <v>3165</v>
      </c>
      <c r="D7137" s="1603" t="s">
        <v>3164</v>
      </c>
      <c r="E7137" s="1603" t="s">
        <v>2208</v>
      </c>
      <c r="F7137" s="1603"/>
      <c r="G7137" s="1603"/>
      <c r="H7137" s="1604">
        <v>2</v>
      </c>
      <c r="I7137" s="1610">
        <v>2</v>
      </c>
      <c r="J7137" s="1603"/>
      <c r="K7137" s="1606">
        <v>50850.86</v>
      </c>
      <c r="L7137" s="1606">
        <v>50850.86</v>
      </c>
      <c r="M7137" s="1607"/>
      <c r="N7137" s="1606">
        <v>50850.86</v>
      </c>
      <c r="O7137" s="1606">
        <v>47472.06</v>
      </c>
      <c r="P7137" s="1606">
        <v>1351.52</v>
      </c>
      <c r="Q7137" s="1606">
        <v>2027.28</v>
      </c>
      <c r="R7137" s="1606">
        <v>3378.8</v>
      </c>
      <c r="S7137" s="1608"/>
    </row>
    <row r="7138" spans="2:19" s="1609" customFormat="1" ht="21.75" customHeight="1" outlineLevel="1">
      <c r="B7138" s="1612" t="s">
        <v>3163</v>
      </c>
      <c r="C7138" s="1603" t="s">
        <v>3162</v>
      </c>
      <c r="D7138" s="1603" t="s">
        <v>3161</v>
      </c>
      <c r="E7138" s="1603" t="s">
        <v>2208</v>
      </c>
      <c r="F7138" s="1603"/>
      <c r="G7138" s="1603"/>
      <c r="H7138" s="1604">
        <v>2</v>
      </c>
      <c r="I7138" s="1610">
        <v>6</v>
      </c>
      <c r="J7138" s="1603"/>
      <c r="K7138" s="1606">
        <v>87644.76</v>
      </c>
      <c r="L7138" s="1606">
        <v>87644.76</v>
      </c>
      <c r="M7138" s="1607"/>
      <c r="N7138" s="1606">
        <v>87644.76</v>
      </c>
      <c r="O7138" s="1606">
        <v>81821.16</v>
      </c>
      <c r="P7138" s="1606">
        <v>2329.44</v>
      </c>
      <c r="Q7138" s="1606">
        <v>3494.16</v>
      </c>
      <c r="R7138" s="1606">
        <v>5823.6</v>
      </c>
      <c r="S7138" s="1608"/>
    </row>
    <row r="7139" spans="2:19" s="1609" customFormat="1" ht="11.25" customHeight="1" outlineLevel="1">
      <c r="B7139" s="1612" t="s">
        <v>3160</v>
      </c>
      <c r="C7139" s="1603" t="s">
        <v>3157</v>
      </c>
      <c r="D7139" s="1603" t="s">
        <v>3159</v>
      </c>
      <c r="E7139" s="1603" t="s">
        <v>2208</v>
      </c>
      <c r="F7139" s="1603"/>
      <c r="G7139" s="1603"/>
      <c r="H7139" s="1604">
        <v>2</v>
      </c>
      <c r="I7139" s="1610">
        <v>18</v>
      </c>
      <c r="J7139" s="1603"/>
      <c r="K7139" s="1606">
        <v>96112.81</v>
      </c>
      <c r="L7139" s="1606">
        <v>96112.81</v>
      </c>
      <c r="M7139" s="1607"/>
      <c r="N7139" s="1606">
        <v>96112.81</v>
      </c>
      <c r="O7139" s="1606">
        <v>90045.92</v>
      </c>
      <c r="P7139" s="1606">
        <v>2235.17</v>
      </c>
      <c r="Q7139" s="1606">
        <v>3831.72</v>
      </c>
      <c r="R7139" s="1606">
        <v>6066.89</v>
      </c>
      <c r="S7139" s="1608"/>
    </row>
    <row r="7140" spans="2:19" s="1609" customFormat="1" ht="21.75" customHeight="1" outlineLevel="1">
      <c r="B7140" s="1612" t="s">
        <v>3158</v>
      </c>
      <c r="C7140" s="1603" t="s">
        <v>3157</v>
      </c>
      <c r="D7140" s="1603" t="s">
        <v>3156</v>
      </c>
      <c r="E7140" s="1603" t="s">
        <v>2208</v>
      </c>
      <c r="F7140" s="1603"/>
      <c r="G7140" s="1603"/>
      <c r="H7140" s="1604">
        <v>2</v>
      </c>
      <c r="I7140" s="1610">
        <v>11</v>
      </c>
      <c r="J7140" s="1603"/>
      <c r="K7140" s="1606">
        <v>80938.559999999998</v>
      </c>
      <c r="L7140" s="1606">
        <v>80938.559999999998</v>
      </c>
      <c r="M7140" s="1607"/>
      <c r="N7140" s="1606">
        <v>80938.559999999998</v>
      </c>
      <c r="O7140" s="1606">
        <v>75829.460000000006</v>
      </c>
      <c r="P7140" s="1606">
        <v>1882.3</v>
      </c>
      <c r="Q7140" s="1606">
        <v>3226.8</v>
      </c>
      <c r="R7140" s="1606">
        <v>5109.1000000000004</v>
      </c>
      <c r="S7140" s="1608"/>
    </row>
    <row r="7141" spans="2:19" s="1609" customFormat="1" ht="21.75" customHeight="1" outlineLevel="1">
      <c r="B7141" s="1612" t="s">
        <v>3155</v>
      </c>
      <c r="C7141" s="1603" t="s">
        <v>3152</v>
      </c>
      <c r="D7141" s="1603" t="s">
        <v>3154</v>
      </c>
      <c r="E7141" s="1603" t="s">
        <v>2208</v>
      </c>
      <c r="F7141" s="1603"/>
      <c r="G7141" s="1603"/>
      <c r="H7141" s="1604">
        <v>2</v>
      </c>
      <c r="I7141" s="1613">
        <v>60.65</v>
      </c>
      <c r="J7141" s="1603"/>
      <c r="K7141" s="1606">
        <v>366818.31</v>
      </c>
      <c r="L7141" s="1606">
        <v>366818.31</v>
      </c>
      <c r="M7141" s="1607"/>
      <c r="N7141" s="1606">
        <v>366818.31</v>
      </c>
      <c r="O7141" s="1606">
        <v>344882.25</v>
      </c>
      <c r="P7141" s="1606">
        <v>7312.02</v>
      </c>
      <c r="Q7141" s="1606">
        <v>14624.04</v>
      </c>
      <c r="R7141" s="1606">
        <v>21936.06</v>
      </c>
      <c r="S7141" s="1608"/>
    </row>
    <row r="7142" spans="2:19" s="1609" customFormat="1" ht="21.75" customHeight="1" outlineLevel="1">
      <c r="B7142" s="1612" t="s">
        <v>3153</v>
      </c>
      <c r="C7142" s="1603" t="s">
        <v>3152</v>
      </c>
      <c r="D7142" s="1603" t="s">
        <v>3151</v>
      </c>
      <c r="E7142" s="1603" t="s">
        <v>2266</v>
      </c>
      <c r="F7142" s="1603"/>
      <c r="G7142" s="1603"/>
      <c r="H7142" s="1604">
        <v>2</v>
      </c>
      <c r="I7142" s="1603"/>
      <c r="J7142" s="1603"/>
      <c r="K7142" s="1606">
        <v>2153641.9</v>
      </c>
      <c r="L7142" s="1606">
        <v>2153641.9</v>
      </c>
      <c r="M7142" s="1607"/>
      <c r="N7142" s="1606">
        <v>2153641.9</v>
      </c>
      <c r="O7142" s="1606">
        <v>2024852.62</v>
      </c>
      <c r="P7142" s="1606">
        <v>42929.760000000002</v>
      </c>
      <c r="Q7142" s="1606">
        <v>85859.520000000004</v>
      </c>
      <c r="R7142" s="1606">
        <v>128789.28</v>
      </c>
      <c r="S7142" s="1608"/>
    </row>
    <row r="7143" spans="2:19" s="1609" customFormat="1" ht="21.75" customHeight="1" outlineLevel="1">
      <c r="B7143" s="1612" t="s">
        <v>3150</v>
      </c>
      <c r="C7143" s="1603" t="s">
        <v>3149</v>
      </c>
      <c r="D7143" s="1603" t="s">
        <v>3148</v>
      </c>
      <c r="E7143" s="1603" t="s">
        <v>2288</v>
      </c>
      <c r="F7143" s="1603" t="s">
        <v>3147</v>
      </c>
      <c r="G7143" s="1603"/>
      <c r="H7143" s="1604">
        <v>3</v>
      </c>
      <c r="I7143" s="1603"/>
      <c r="J7143" s="1603"/>
      <c r="K7143" s="1606">
        <v>69000</v>
      </c>
      <c r="L7143" s="1606">
        <v>69000</v>
      </c>
      <c r="M7143" s="1606">
        <v>-69000</v>
      </c>
      <c r="N7143" s="1607"/>
      <c r="O7143" s="1607"/>
      <c r="P7143" s="1606">
        <v>5655.75</v>
      </c>
      <c r="Q7143" s="1606">
        <v>-5655.75</v>
      </c>
      <c r="R7143" s="1607"/>
      <c r="S7143" s="1608"/>
    </row>
    <row r="7144" spans="2:19" s="1609" customFormat="1" ht="21.75" customHeight="1" outlineLevel="1">
      <c r="B7144" s="1612" t="s">
        <v>3146</v>
      </c>
      <c r="C7144" s="1603" t="s">
        <v>3141</v>
      </c>
      <c r="D7144" s="1603" t="s">
        <v>3145</v>
      </c>
      <c r="E7144" s="1603" t="s">
        <v>2208</v>
      </c>
      <c r="F7144" s="1603"/>
      <c r="G7144" s="1603"/>
      <c r="H7144" s="1604">
        <v>2</v>
      </c>
      <c r="I7144" s="1610">
        <v>6</v>
      </c>
      <c r="J7144" s="1603"/>
      <c r="K7144" s="1606">
        <v>32620.82</v>
      </c>
      <c r="L7144" s="1606">
        <v>32620.82</v>
      </c>
      <c r="M7144" s="1607"/>
      <c r="N7144" s="1606">
        <v>32620.82</v>
      </c>
      <c r="O7144" s="1606">
        <v>30778.5</v>
      </c>
      <c r="P7144" s="1605">
        <v>541.85</v>
      </c>
      <c r="Q7144" s="1606">
        <v>1300.47</v>
      </c>
      <c r="R7144" s="1606">
        <v>1842.32</v>
      </c>
      <c r="S7144" s="1608"/>
    </row>
    <row r="7145" spans="2:19" s="1609" customFormat="1" ht="21.75" customHeight="1" outlineLevel="1">
      <c r="B7145" s="1612" t="s">
        <v>3144</v>
      </c>
      <c r="C7145" s="1603" t="s">
        <v>3141</v>
      </c>
      <c r="D7145" s="1603" t="s">
        <v>3143</v>
      </c>
      <c r="E7145" s="1603" t="s">
        <v>2208</v>
      </c>
      <c r="F7145" s="1603"/>
      <c r="G7145" s="1603"/>
      <c r="H7145" s="1604">
        <v>2</v>
      </c>
      <c r="I7145" s="1611">
        <v>15.5</v>
      </c>
      <c r="J7145" s="1603"/>
      <c r="K7145" s="1606">
        <v>239284.13</v>
      </c>
      <c r="L7145" s="1606">
        <v>239284.13</v>
      </c>
      <c r="M7145" s="1607"/>
      <c r="N7145" s="1606">
        <v>239284.13</v>
      </c>
      <c r="O7145" s="1606">
        <v>225769.81</v>
      </c>
      <c r="P7145" s="1606">
        <v>3974.8</v>
      </c>
      <c r="Q7145" s="1606">
        <v>9539.52</v>
      </c>
      <c r="R7145" s="1606">
        <v>13514.32</v>
      </c>
      <c r="S7145" s="1608"/>
    </row>
    <row r="7146" spans="2:19" s="1609" customFormat="1" ht="21.75" customHeight="1" outlineLevel="1">
      <c r="B7146" s="1612" t="s">
        <v>3142</v>
      </c>
      <c r="C7146" s="1603" t="s">
        <v>3141</v>
      </c>
      <c r="D7146" s="1603" t="s">
        <v>3140</v>
      </c>
      <c r="E7146" s="1603" t="s">
        <v>2208</v>
      </c>
      <c r="F7146" s="1603"/>
      <c r="G7146" s="1603"/>
      <c r="H7146" s="1604">
        <v>2</v>
      </c>
      <c r="I7146" s="1610">
        <v>150</v>
      </c>
      <c r="J7146" s="1603"/>
      <c r="K7146" s="1606">
        <v>447167.93</v>
      </c>
      <c r="L7146" s="1606">
        <v>447167.93</v>
      </c>
      <c r="M7146" s="1607"/>
      <c r="N7146" s="1606">
        <v>447167.93</v>
      </c>
      <c r="O7146" s="1606">
        <v>421912.56</v>
      </c>
      <c r="P7146" s="1606">
        <v>7428.05</v>
      </c>
      <c r="Q7146" s="1606">
        <v>17827.32</v>
      </c>
      <c r="R7146" s="1606">
        <v>25255.37</v>
      </c>
      <c r="S7146" s="1608"/>
    </row>
    <row r="7147" spans="2:19" s="1609" customFormat="1" ht="21.75" customHeight="1" outlineLevel="1">
      <c r="B7147" s="1612" t="s">
        <v>3139</v>
      </c>
      <c r="C7147" s="1603" t="s">
        <v>3134</v>
      </c>
      <c r="D7147" s="1603" t="s">
        <v>3138</v>
      </c>
      <c r="E7147" s="1603" t="s">
        <v>2208</v>
      </c>
      <c r="F7147" s="1603"/>
      <c r="G7147" s="1603"/>
      <c r="H7147" s="1604">
        <v>2</v>
      </c>
      <c r="I7147" s="1610">
        <v>235</v>
      </c>
      <c r="J7147" s="1603"/>
      <c r="K7147" s="1606">
        <v>589123.24</v>
      </c>
      <c r="L7147" s="1606">
        <v>589123.24</v>
      </c>
      <c r="M7147" s="1607"/>
      <c r="N7147" s="1606">
        <v>589123.24</v>
      </c>
      <c r="O7147" s="1606">
        <v>557807.72</v>
      </c>
      <c r="P7147" s="1606">
        <v>7828.88</v>
      </c>
      <c r="Q7147" s="1606">
        <v>23486.639999999999</v>
      </c>
      <c r="R7147" s="1606">
        <v>31315.52</v>
      </c>
      <c r="S7147" s="1608"/>
    </row>
    <row r="7148" spans="2:19" s="1609" customFormat="1" ht="21.75" customHeight="1" outlineLevel="1">
      <c r="B7148" s="1612" t="s">
        <v>3137</v>
      </c>
      <c r="C7148" s="1603" t="s">
        <v>3134</v>
      </c>
      <c r="D7148" s="1603" t="s">
        <v>3136</v>
      </c>
      <c r="E7148" s="1603" t="s">
        <v>2208</v>
      </c>
      <c r="F7148" s="1603"/>
      <c r="G7148" s="1603"/>
      <c r="H7148" s="1604">
        <v>2</v>
      </c>
      <c r="I7148" s="1610">
        <v>28</v>
      </c>
      <c r="J7148" s="1603"/>
      <c r="K7148" s="1606">
        <v>482246.87</v>
      </c>
      <c r="L7148" s="1606">
        <v>482246.87</v>
      </c>
      <c r="M7148" s="1607"/>
      <c r="N7148" s="1606">
        <v>482246.87</v>
      </c>
      <c r="O7148" s="1606">
        <v>456612.47</v>
      </c>
      <c r="P7148" s="1606">
        <v>6408.6</v>
      </c>
      <c r="Q7148" s="1606">
        <v>19225.8</v>
      </c>
      <c r="R7148" s="1606">
        <v>25634.400000000001</v>
      </c>
      <c r="S7148" s="1608"/>
    </row>
    <row r="7149" spans="2:19" s="1609" customFormat="1" ht="21.75" customHeight="1" outlineLevel="1">
      <c r="B7149" s="1612" t="s">
        <v>3135</v>
      </c>
      <c r="C7149" s="1603" t="s">
        <v>3134</v>
      </c>
      <c r="D7149" s="1603" t="s">
        <v>3133</v>
      </c>
      <c r="E7149" s="1603" t="s">
        <v>2208</v>
      </c>
      <c r="F7149" s="1603"/>
      <c r="G7149" s="1603"/>
      <c r="H7149" s="1604">
        <v>2</v>
      </c>
      <c r="I7149" s="1610">
        <v>8</v>
      </c>
      <c r="J7149" s="1603"/>
      <c r="K7149" s="1606">
        <v>69499.12</v>
      </c>
      <c r="L7149" s="1606">
        <v>69499.12</v>
      </c>
      <c r="M7149" s="1607"/>
      <c r="N7149" s="1606">
        <v>69499.12</v>
      </c>
      <c r="O7149" s="1606">
        <v>65804.88</v>
      </c>
      <c r="P7149" s="1605">
        <v>923.56</v>
      </c>
      <c r="Q7149" s="1606">
        <v>2770.68</v>
      </c>
      <c r="R7149" s="1606">
        <v>3694.24</v>
      </c>
      <c r="S7149" s="1608"/>
    </row>
    <row r="7150" spans="2:19" s="1609" customFormat="1" ht="21.75" customHeight="1" outlineLevel="1">
      <c r="B7150" s="1612" t="s">
        <v>3132</v>
      </c>
      <c r="C7150" s="1603" t="s">
        <v>3131</v>
      </c>
      <c r="D7150" s="1603" t="s">
        <v>3130</v>
      </c>
      <c r="E7150" s="1603" t="s">
        <v>2208</v>
      </c>
      <c r="F7150" s="1603"/>
      <c r="G7150" s="1603"/>
      <c r="H7150" s="1604">
        <v>2</v>
      </c>
      <c r="I7150" s="1610">
        <v>15</v>
      </c>
      <c r="J7150" s="1603"/>
      <c r="K7150" s="1606">
        <v>170714.73</v>
      </c>
      <c r="L7150" s="1606">
        <v>170714.73</v>
      </c>
      <c r="M7150" s="1607"/>
      <c r="N7150" s="1606">
        <v>170714.73</v>
      </c>
      <c r="O7150" s="1606">
        <v>162207.32999999999</v>
      </c>
      <c r="P7150" s="1606">
        <v>1701.48</v>
      </c>
      <c r="Q7150" s="1606">
        <v>6805.92</v>
      </c>
      <c r="R7150" s="1606">
        <v>8507.4</v>
      </c>
      <c r="S7150" s="1608"/>
    </row>
    <row r="7151" spans="2:19" s="1609" customFormat="1" ht="11.25" customHeight="1" outlineLevel="1">
      <c r="B7151" s="1612" t="s">
        <v>3129</v>
      </c>
      <c r="C7151" s="1603" t="s">
        <v>3128</v>
      </c>
      <c r="D7151" s="1603" t="s">
        <v>3127</v>
      </c>
      <c r="E7151" s="1603" t="s">
        <v>2288</v>
      </c>
      <c r="F7151" s="1603" t="s">
        <v>3126</v>
      </c>
      <c r="G7151" s="1603"/>
      <c r="H7151" s="1604">
        <v>2</v>
      </c>
      <c r="I7151" s="1603"/>
      <c r="J7151" s="1603"/>
      <c r="K7151" s="1606">
        <v>129193.47</v>
      </c>
      <c r="L7151" s="1606">
        <v>129193.47</v>
      </c>
      <c r="M7151" s="1607"/>
      <c r="N7151" s="1606">
        <v>129193.47</v>
      </c>
      <c r="O7151" s="1606">
        <v>67180.59</v>
      </c>
      <c r="P7151" s="1607"/>
      <c r="Q7151" s="1606">
        <v>62012.88</v>
      </c>
      <c r="R7151" s="1606">
        <v>62012.88</v>
      </c>
      <c r="S7151" s="1608"/>
    </row>
    <row r="7152" spans="2:19" s="1609" customFormat="1" ht="21.75" customHeight="1" outlineLevel="1">
      <c r="B7152" s="1612" t="s">
        <v>3125</v>
      </c>
      <c r="C7152" s="1603" t="s">
        <v>2414</v>
      </c>
      <c r="D7152" s="1603" t="s">
        <v>3124</v>
      </c>
      <c r="E7152" s="1603"/>
      <c r="F7152" s="1603"/>
      <c r="G7152" s="1603"/>
      <c r="H7152" s="1603"/>
      <c r="I7152" s="1603"/>
      <c r="J7152" s="1603"/>
      <c r="K7152" s="1606">
        <v>5246157.92</v>
      </c>
      <c r="L7152" s="1606">
        <v>5246157.92</v>
      </c>
      <c r="M7152" s="1607"/>
      <c r="N7152" s="1606">
        <v>5246157.92</v>
      </c>
      <c r="O7152" s="1606">
        <v>4689043.76</v>
      </c>
      <c r="P7152" s="1607"/>
      <c r="Q7152" s="1606">
        <v>557114.16</v>
      </c>
      <c r="R7152" s="1606">
        <v>557114.16</v>
      </c>
      <c r="S7152" s="1608"/>
    </row>
    <row r="7153" spans="2:19" s="1609" customFormat="1" ht="11.25" customHeight="1" outlineLevel="1">
      <c r="B7153" s="1612" t="s">
        <v>3123</v>
      </c>
      <c r="C7153" s="1603" t="s">
        <v>2414</v>
      </c>
      <c r="D7153" s="1603" t="s">
        <v>3122</v>
      </c>
      <c r="E7153" s="1603"/>
      <c r="F7153" s="1603"/>
      <c r="G7153" s="1603" t="s">
        <v>3121</v>
      </c>
      <c r="H7153" s="1604">
        <v>2</v>
      </c>
      <c r="I7153" s="1603"/>
      <c r="J7153" s="1603"/>
      <c r="K7153" s="1606">
        <v>27362.6</v>
      </c>
      <c r="L7153" s="1606">
        <v>27362.6</v>
      </c>
      <c r="M7153" s="1607"/>
      <c r="N7153" s="1606">
        <v>27362.6</v>
      </c>
      <c r="O7153" s="1606">
        <v>25284.44</v>
      </c>
      <c r="P7153" s="1607"/>
      <c r="Q7153" s="1606">
        <v>2078.16</v>
      </c>
      <c r="R7153" s="1606">
        <v>2078.16</v>
      </c>
      <c r="S7153" s="1608"/>
    </row>
    <row r="7154" spans="2:19" s="1609" customFormat="1" ht="11.25" customHeight="1" outlineLevel="1">
      <c r="B7154" s="1612" t="s">
        <v>3120</v>
      </c>
      <c r="C7154" s="1603" t="s">
        <v>2414</v>
      </c>
      <c r="D7154" s="1603" t="s">
        <v>3119</v>
      </c>
      <c r="E7154" s="1603"/>
      <c r="F7154" s="1603"/>
      <c r="G7154" s="1603" t="s">
        <v>3118</v>
      </c>
      <c r="H7154" s="1604">
        <v>2</v>
      </c>
      <c r="I7154" s="1603"/>
      <c r="J7154" s="1603"/>
      <c r="K7154" s="1606">
        <v>8124.76</v>
      </c>
      <c r="L7154" s="1606">
        <v>8124.76</v>
      </c>
      <c r="M7154" s="1607"/>
      <c r="N7154" s="1606">
        <v>8124.76</v>
      </c>
      <c r="O7154" s="1606">
        <v>7507.72</v>
      </c>
      <c r="P7154" s="1607"/>
      <c r="Q7154" s="1605">
        <v>617.04</v>
      </c>
      <c r="R7154" s="1605">
        <v>617.04</v>
      </c>
      <c r="S7154" s="1608"/>
    </row>
    <row r="7155" spans="2:19" s="1609" customFormat="1" ht="11.25" customHeight="1" outlineLevel="1">
      <c r="B7155" s="1612" t="s">
        <v>3117</v>
      </c>
      <c r="C7155" s="1603" t="s">
        <v>2414</v>
      </c>
      <c r="D7155" s="1603" t="s">
        <v>3116</v>
      </c>
      <c r="E7155" s="1603"/>
      <c r="F7155" s="1603"/>
      <c r="G7155" s="1603" t="s">
        <v>3115</v>
      </c>
      <c r="H7155" s="1604">
        <v>2</v>
      </c>
      <c r="I7155" s="1603"/>
      <c r="J7155" s="1603"/>
      <c r="K7155" s="1606">
        <v>32346.080000000002</v>
      </c>
      <c r="L7155" s="1606">
        <v>32346.080000000002</v>
      </c>
      <c r="M7155" s="1607"/>
      <c r="N7155" s="1606">
        <v>32346.080000000002</v>
      </c>
      <c r="O7155" s="1606">
        <v>29889.439999999999</v>
      </c>
      <c r="P7155" s="1607"/>
      <c r="Q7155" s="1606">
        <v>2456.64</v>
      </c>
      <c r="R7155" s="1606">
        <v>2456.64</v>
      </c>
      <c r="S7155" s="1608"/>
    </row>
    <row r="7156" spans="2:19" s="1609" customFormat="1" ht="11.25" customHeight="1" outlineLevel="1">
      <c r="B7156" s="1612" t="s">
        <v>3114</v>
      </c>
      <c r="C7156" s="1603" t="s">
        <v>2414</v>
      </c>
      <c r="D7156" s="1603" t="s">
        <v>3113</v>
      </c>
      <c r="E7156" s="1603"/>
      <c r="F7156" s="1603"/>
      <c r="G7156" s="1603" t="s">
        <v>3112</v>
      </c>
      <c r="H7156" s="1604">
        <v>2</v>
      </c>
      <c r="I7156" s="1603"/>
      <c r="J7156" s="1603"/>
      <c r="K7156" s="1606">
        <v>2699.26</v>
      </c>
      <c r="L7156" s="1606">
        <v>2699.26</v>
      </c>
      <c r="M7156" s="1607"/>
      <c r="N7156" s="1606">
        <v>2699.26</v>
      </c>
      <c r="O7156" s="1606">
        <v>2494.3000000000002</v>
      </c>
      <c r="P7156" s="1607"/>
      <c r="Q7156" s="1605">
        <v>204.96</v>
      </c>
      <c r="R7156" s="1605">
        <v>204.96</v>
      </c>
      <c r="S7156" s="1608"/>
    </row>
    <row r="7157" spans="2:19" s="1609" customFormat="1" ht="11.25" customHeight="1" outlineLevel="1">
      <c r="B7157" s="1612" t="s">
        <v>3111</v>
      </c>
      <c r="C7157" s="1603" t="s">
        <v>2414</v>
      </c>
      <c r="D7157" s="1603" t="s">
        <v>3110</v>
      </c>
      <c r="E7157" s="1603"/>
      <c r="F7157" s="1603"/>
      <c r="G7157" s="1603" t="s">
        <v>3109</v>
      </c>
      <c r="H7157" s="1604">
        <v>2</v>
      </c>
      <c r="I7157" s="1603"/>
      <c r="J7157" s="1603"/>
      <c r="K7157" s="1606">
        <v>15430.74</v>
      </c>
      <c r="L7157" s="1606">
        <v>15430.74</v>
      </c>
      <c r="M7157" s="1607"/>
      <c r="N7157" s="1606">
        <v>15430.74</v>
      </c>
      <c r="O7157" s="1606">
        <v>14258.82</v>
      </c>
      <c r="P7157" s="1607"/>
      <c r="Q7157" s="1606">
        <v>1171.92</v>
      </c>
      <c r="R7157" s="1606">
        <v>1171.92</v>
      </c>
      <c r="S7157" s="1608"/>
    </row>
    <row r="7158" spans="2:19" s="1609" customFormat="1" ht="11.25" customHeight="1" outlineLevel="1">
      <c r="B7158" s="1612" t="s">
        <v>3108</v>
      </c>
      <c r="C7158" s="1603" t="s">
        <v>2414</v>
      </c>
      <c r="D7158" s="1603" t="s">
        <v>3107</v>
      </c>
      <c r="E7158" s="1603"/>
      <c r="F7158" s="1603"/>
      <c r="G7158" s="1603" t="s">
        <v>3106</v>
      </c>
      <c r="H7158" s="1604">
        <v>2</v>
      </c>
      <c r="I7158" s="1603"/>
      <c r="J7158" s="1603"/>
      <c r="K7158" s="1606">
        <v>8722.98</v>
      </c>
      <c r="L7158" s="1606">
        <v>8722.98</v>
      </c>
      <c r="M7158" s="1607"/>
      <c r="N7158" s="1606">
        <v>8722.98</v>
      </c>
      <c r="O7158" s="1606">
        <v>8060.46</v>
      </c>
      <c r="P7158" s="1607"/>
      <c r="Q7158" s="1605">
        <v>662.52</v>
      </c>
      <c r="R7158" s="1605">
        <v>662.52</v>
      </c>
      <c r="S7158" s="1608"/>
    </row>
    <row r="7159" spans="2:19" s="1609" customFormat="1" ht="11.25" customHeight="1" outlineLevel="1">
      <c r="B7159" s="1612" t="s">
        <v>3105</v>
      </c>
      <c r="C7159" s="1603" t="s">
        <v>2414</v>
      </c>
      <c r="D7159" s="1603" t="s">
        <v>3104</v>
      </c>
      <c r="E7159" s="1603"/>
      <c r="F7159" s="1603"/>
      <c r="G7159" s="1603" t="s">
        <v>3103</v>
      </c>
      <c r="H7159" s="1604">
        <v>2</v>
      </c>
      <c r="I7159" s="1603"/>
      <c r="J7159" s="1603"/>
      <c r="K7159" s="1606">
        <v>7355.47</v>
      </c>
      <c r="L7159" s="1606">
        <v>7355.47</v>
      </c>
      <c r="M7159" s="1607"/>
      <c r="N7159" s="1606">
        <v>7355.47</v>
      </c>
      <c r="O7159" s="1606">
        <v>6796.87</v>
      </c>
      <c r="P7159" s="1607"/>
      <c r="Q7159" s="1605">
        <v>558.6</v>
      </c>
      <c r="R7159" s="1605">
        <v>558.6</v>
      </c>
      <c r="S7159" s="1608"/>
    </row>
    <row r="7160" spans="2:19" s="1609" customFormat="1" ht="11.25" customHeight="1" outlineLevel="1">
      <c r="B7160" s="1612" t="s">
        <v>3102</v>
      </c>
      <c r="C7160" s="1603" t="s">
        <v>2414</v>
      </c>
      <c r="D7160" s="1603" t="s">
        <v>3101</v>
      </c>
      <c r="E7160" s="1603"/>
      <c r="F7160" s="1603"/>
      <c r="G7160" s="1603" t="s">
        <v>3100</v>
      </c>
      <c r="H7160" s="1604">
        <v>2</v>
      </c>
      <c r="I7160" s="1603"/>
      <c r="J7160" s="1603"/>
      <c r="K7160" s="1606">
        <v>7070.2</v>
      </c>
      <c r="L7160" s="1606">
        <v>7070.2</v>
      </c>
      <c r="M7160" s="1607"/>
      <c r="N7160" s="1606">
        <v>7070.2</v>
      </c>
      <c r="O7160" s="1606">
        <v>6533.2</v>
      </c>
      <c r="P7160" s="1607"/>
      <c r="Q7160" s="1605">
        <v>537</v>
      </c>
      <c r="R7160" s="1605">
        <v>537</v>
      </c>
      <c r="S7160" s="1608"/>
    </row>
    <row r="7161" spans="2:19" s="1609" customFormat="1" ht="11.25" customHeight="1" outlineLevel="1">
      <c r="B7161" s="1612" t="s">
        <v>3099</v>
      </c>
      <c r="C7161" s="1603" t="s">
        <v>2414</v>
      </c>
      <c r="D7161" s="1603" t="s">
        <v>3098</v>
      </c>
      <c r="E7161" s="1603"/>
      <c r="F7161" s="1603"/>
      <c r="G7161" s="1603" t="s">
        <v>3097</v>
      </c>
      <c r="H7161" s="1604">
        <v>2</v>
      </c>
      <c r="I7161" s="1603"/>
      <c r="J7161" s="1603"/>
      <c r="K7161" s="1606">
        <v>14126.1</v>
      </c>
      <c r="L7161" s="1606">
        <v>14126.1</v>
      </c>
      <c r="M7161" s="1607"/>
      <c r="N7161" s="1606">
        <v>14126.1</v>
      </c>
      <c r="O7161" s="1606">
        <v>13053.18</v>
      </c>
      <c r="P7161" s="1607"/>
      <c r="Q7161" s="1606">
        <v>1072.92</v>
      </c>
      <c r="R7161" s="1606">
        <v>1072.92</v>
      </c>
      <c r="S7161" s="1608"/>
    </row>
    <row r="7162" spans="2:19" s="1609" customFormat="1" ht="11.25" customHeight="1" outlineLevel="1">
      <c r="B7162" s="1612" t="s">
        <v>3096</v>
      </c>
      <c r="C7162" s="1603" t="s">
        <v>2414</v>
      </c>
      <c r="D7162" s="1603" t="s">
        <v>3095</v>
      </c>
      <c r="E7162" s="1603"/>
      <c r="F7162" s="1603"/>
      <c r="G7162" s="1603" t="s">
        <v>3094</v>
      </c>
      <c r="H7162" s="1604">
        <v>2</v>
      </c>
      <c r="I7162" s="1603"/>
      <c r="J7162" s="1603"/>
      <c r="K7162" s="1606">
        <v>15297.35</v>
      </c>
      <c r="L7162" s="1606">
        <v>15297.35</v>
      </c>
      <c r="M7162" s="1607"/>
      <c r="N7162" s="1606">
        <v>15297.35</v>
      </c>
      <c r="O7162" s="1606">
        <v>14135.51</v>
      </c>
      <c r="P7162" s="1607"/>
      <c r="Q7162" s="1606">
        <v>1161.8399999999999</v>
      </c>
      <c r="R7162" s="1606">
        <v>1161.8399999999999</v>
      </c>
      <c r="S7162" s="1608"/>
    </row>
    <row r="7163" spans="2:19" s="1609" customFormat="1" ht="11.25" customHeight="1" outlineLevel="1">
      <c r="B7163" s="1612" t="s">
        <v>3093</v>
      </c>
      <c r="C7163" s="1603" t="s">
        <v>2414</v>
      </c>
      <c r="D7163" s="1603" t="s">
        <v>3092</v>
      </c>
      <c r="E7163" s="1603"/>
      <c r="F7163" s="1603"/>
      <c r="G7163" s="1603" t="s">
        <v>3091</v>
      </c>
      <c r="H7163" s="1604">
        <v>2</v>
      </c>
      <c r="I7163" s="1603"/>
      <c r="J7163" s="1603"/>
      <c r="K7163" s="1606">
        <v>13550.84</v>
      </c>
      <c r="L7163" s="1606">
        <v>13550.84</v>
      </c>
      <c r="M7163" s="1607"/>
      <c r="N7163" s="1606">
        <v>13550.84</v>
      </c>
      <c r="O7163" s="1606">
        <v>12521.69</v>
      </c>
      <c r="P7163" s="1607"/>
      <c r="Q7163" s="1606">
        <v>1029.1500000000001</v>
      </c>
      <c r="R7163" s="1606">
        <v>1029.1500000000001</v>
      </c>
      <c r="S7163" s="1608"/>
    </row>
    <row r="7164" spans="2:19" s="1609" customFormat="1" ht="11.25" customHeight="1" outlineLevel="1">
      <c r="B7164" s="1612" t="s">
        <v>3090</v>
      </c>
      <c r="C7164" s="1603" t="s">
        <v>2414</v>
      </c>
      <c r="D7164" s="1603" t="s">
        <v>3089</v>
      </c>
      <c r="E7164" s="1603"/>
      <c r="F7164" s="1603"/>
      <c r="G7164" s="1603" t="s">
        <v>3088</v>
      </c>
      <c r="H7164" s="1604">
        <v>2</v>
      </c>
      <c r="I7164" s="1603"/>
      <c r="J7164" s="1603"/>
      <c r="K7164" s="1606">
        <v>18841.63</v>
      </c>
      <c r="L7164" s="1606">
        <v>18841.63</v>
      </c>
      <c r="M7164" s="1607"/>
      <c r="N7164" s="1606">
        <v>18841.63</v>
      </c>
      <c r="O7164" s="1606">
        <v>17410.63</v>
      </c>
      <c r="P7164" s="1607"/>
      <c r="Q7164" s="1606">
        <v>1431</v>
      </c>
      <c r="R7164" s="1606">
        <v>1431</v>
      </c>
      <c r="S7164" s="1608"/>
    </row>
    <row r="7165" spans="2:19" s="1609" customFormat="1" ht="11.25" customHeight="1" outlineLevel="1">
      <c r="B7165" s="1612" t="s">
        <v>3087</v>
      </c>
      <c r="C7165" s="1603" t="s">
        <v>2414</v>
      </c>
      <c r="D7165" s="1603" t="s">
        <v>3086</v>
      </c>
      <c r="E7165" s="1603"/>
      <c r="F7165" s="1603"/>
      <c r="G7165" s="1603" t="s">
        <v>3085</v>
      </c>
      <c r="H7165" s="1604">
        <v>2</v>
      </c>
      <c r="I7165" s="1603"/>
      <c r="J7165" s="1603"/>
      <c r="K7165" s="1606">
        <v>5814.65</v>
      </c>
      <c r="L7165" s="1606">
        <v>5814.65</v>
      </c>
      <c r="M7165" s="1607"/>
      <c r="N7165" s="1606">
        <v>5814.65</v>
      </c>
      <c r="O7165" s="1606">
        <v>5373.05</v>
      </c>
      <c r="P7165" s="1607"/>
      <c r="Q7165" s="1605">
        <v>441.6</v>
      </c>
      <c r="R7165" s="1605">
        <v>441.6</v>
      </c>
      <c r="S7165" s="1608"/>
    </row>
    <row r="7166" spans="2:19" s="1609" customFormat="1" ht="11.25" customHeight="1" outlineLevel="1">
      <c r="B7166" s="1612" t="s">
        <v>3084</v>
      </c>
      <c r="C7166" s="1603" t="s">
        <v>2414</v>
      </c>
      <c r="D7166" s="1603" t="s">
        <v>3083</v>
      </c>
      <c r="E7166" s="1603"/>
      <c r="F7166" s="1603" t="s">
        <v>3082</v>
      </c>
      <c r="G7166" s="1603" t="s">
        <v>3081</v>
      </c>
      <c r="H7166" s="1604">
        <v>2</v>
      </c>
      <c r="I7166" s="1603"/>
      <c r="J7166" s="1603"/>
      <c r="K7166" s="1606">
        <v>6748.14</v>
      </c>
      <c r="L7166" s="1606">
        <v>6748.14</v>
      </c>
      <c r="M7166" s="1607"/>
      <c r="N7166" s="1606">
        <v>6748.14</v>
      </c>
      <c r="O7166" s="1606">
        <v>6235.62</v>
      </c>
      <c r="P7166" s="1607"/>
      <c r="Q7166" s="1605">
        <v>512.52</v>
      </c>
      <c r="R7166" s="1605">
        <v>512.52</v>
      </c>
      <c r="S7166" s="1608"/>
    </row>
    <row r="7167" spans="2:19" s="1609" customFormat="1" ht="11.25" customHeight="1" outlineLevel="1">
      <c r="B7167" s="1612" t="s">
        <v>3080</v>
      </c>
      <c r="C7167" s="1603" t="s">
        <v>2414</v>
      </c>
      <c r="D7167" s="1603" t="s">
        <v>3079</v>
      </c>
      <c r="E7167" s="1603"/>
      <c r="F7167" s="1603"/>
      <c r="G7167" s="1603" t="s">
        <v>3078</v>
      </c>
      <c r="H7167" s="1604">
        <v>2</v>
      </c>
      <c r="I7167" s="1603"/>
      <c r="J7167" s="1603"/>
      <c r="K7167" s="1606">
        <v>4802.43</v>
      </c>
      <c r="L7167" s="1606">
        <v>4802.43</v>
      </c>
      <c r="M7167" s="1607"/>
      <c r="N7167" s="1606">
        <v>4802.43</v>
      </c>
      <c r="O7167" s="1606">
        <v>4437.67</v>
      </c>
      <c r="P7167" s="1607"/>
      <c r="Q7167" s="1605">
        <v>364.76</v>
      </c>
      <c r="R7167" s="1605">
        <v>364.76</v>
      </c>
      <c r="S7167" s="1608"/>
    </row>
    <row r="7168" spans="2:19" s="1609" customFormat="1" ht="11.25" customHeight="1" outlineLevel="1">
      <c r="B7168" s="1612" t="s">
        <v>3077</v>
      </c>
      <c r="C7168" s="1603" t="s">
        <v>2414</v>
      </c>
      <c r="D7168" s="1603" t="s">
        <v>3076</v>
      </c>
      <c r="E7168" s="1603"/>
      <c r="F7168" s="1603"/>
      <c r="G7168" s="1603" t="s">
        <v>3075</v>
      </c>
      <c r="H7168" s="1604">
        <v>2</v>
      </c>
      <c r="I7168" s="1603"/>
      <c r="J7168" s="1603"/>
      <c r="K7168" s="1606">
        <v>80325.350000000006</v>
      </c>
      <c r="L7168" s="1606">
        <v>80325.350000000006</v>
      </c>
      <c r="M7168" s="1607"/>
      <c r="N7168" s="1606">
        <v>80325.350000000006</v>
      </c>
      <c r="O7168" s="1606">
        <v>74224.67</v>
      </c>
      <c r="P7168" s="1607"/>
      <c r="Q7168" s="1606">
        <v>6100.68</v>
      </c>
      <c r="R7168" s="1606">
        <v>6100.68</v>
      </c>
      <c r="S7168" s="1608"/>
    </row>
    <row r="7169" spans="2:19" s="1609" customFormat="1" ht="11.25" customHeight="1" outlineLevel="1">
      <c r="B7169" s="1612" t="s">
        <v>3074</v>
      </c>
      <c r="C7169" s="1603" t="s">
        <v>2414</v>
      </c>
      <c r="D7169" s="1603" t="s">
        <v>3073</v>
      </c>
      <c r="E7169" s="1603"/>
      <c r="F7169" s="1603"/>
      <c r="G7169" s="1603" t="s">
        <v>3072</v>
      </c>
      <c r="H7169" s="1604">
        <v>2</v>
      </c>
      <c r="I7169" s="1603"/>
      <c r="J7169" s="1603"/>
      <c r="K7169" s="1606">
        <v>49306.400000000001</v>
      </c>
      <c r="L7169" s="1606">
        <v>49306.400000000001</v>
      </c>
      <c r="M7169" s="1607"/>
      <c r="N7169" s="1606">
        <v>49306.400000000001</v>
      </c>
      <c r="O7169" s="1606">
        <v>45561.56</v>
      </c>
      <c r="P7169" s="1607"/>
      <c r="Q7169" s="1606">
        <v>3744.84</v>
      </c>
      <c r="R7169" s="1606">
        <v>3744.84</v>
      </c>
      <c r="S7169" s="1608"/>
    </row>
    <row r="7170" spans="2:19" s="1609" customFormat="1" ht="11.25" customHeight="1" outlineLevel="1">
      <c r="B7170" s="1612" t="s">
        <v>3071</v>
      </c>
      <c r="C7170" s="1603" t="s">
        <v>2414</v>
      </c>
      <c r="D7170" s="1603" t="s">
        <v>3070</v>
      </c>
      <c r="E7170" s="1603"/>
      <c r="F7170" s="1603"/>
      <c r="G7170" s="1603" t="s">
        <v>3069</v>
      </c>
      <c r="H7170" s="1604">
        <v>2</v>
      </c>
      <c r="I7170" s="1603"/>
      <c r="J7170" s="1603"/>
      <c r="K7170" s="1606">
        <v>25665.42</v>
      </c>
      <c r="L7170" s="1606">
        <v>25665.42</v>
      </c>
      <c r="M7170" s="1607"/>
      <c r="N7170" s="1606">
        <v>25665.42</v>
      </c>
      <c r="O7170" s="1606">
        <v>23716.14</v>
      </c>
      <c r="P7170" s="1607"/>
      <c r="Q7170" s="1606">
        <v>1949.28</v>
      </c>
      <c r="R7170" s="1606">
        <v>1949.28</v>
      </c>
      <c r="S7170" s="1608"/>
    </row>
    <row r="7171" spans="2:19" s="1609" customFormat="1" ht="11.25" customHeight="1" outlineLevel="1">
      <c r="B7171" s="1612" t="s">
        <v>3068</v>
      </c>
      <c r="C7171" s="1603" t="s">
        <v>2414</v>
      </c>
      <c r="D7171" s="1603" t="s">
        <v>3067</v>
      </c>
      <c r="E7171" s="1603"/>
      <c r="F7171" s="1603"/>
      <c r="G7171" s="1603" t="s">
        <v>3066</v>
      </c>
      <c r="H7171" s="1604">
        <v>2</v>
      </c>
      <c r="I7171" s="1603"/>
      <c r="J7171" s="1603"/>
      <c r="K7171" s="1606">
        <v>15334.07</v>
      </c>
      <c r="L7171" s="1606">
        <v>15334.07</v>
      </c>
      <c r="M7171" s="1607"/>
      <c r="N7171" s="1606">
        <v>15334.07</v>
      </c>
      <c r="O7171" s="1606">
        <v>14169.47</v>
      </c>
      <c r="P7171" s="1607"/>
      <c r="Q7171" s="1606">
        <v>1164.5999999999999</v>
      </c>
      <c r="R7171" s="1606">
        <v>1164.5999999999999</v>
      </c>
      <c r="S7171" s="1608"/>
    </row>
    <row r="7172" spans="2:19" s="1609" customFormat="1" ht="11.25" customHeight="1" outlineLevel="1">
      <c r="B7172" s="1612" t="s">
        <v>3065</v>
      </c>
      <c r="C7172" s="1603" t="s">
        <v>2414</v>
      </c>
      <c r="D7172" s="1603" t="s">
        <v>3064</v>
      </c>
      <c r="E7172" s="1603"/>
      <c r="F7172" s="1603"/>
      <c r="G7172" s="1603" t="s">
        <v>3063</v>
      </c>
      <c r="H7172" s="1604">
        <v>2</v>
      </c>
      <c r="I7172" s="1603"/>
      <c r="J7172" s="1603"/>
      <c r="K7172" s="1606">
        <v>18584.37</v>
      </c>
      <c r="L7172" s="1606">
        <v>18584.37</v>
      </c>
      <c r="M7172" s="1607"/>
      <c r="N7172" s="1606">
        <v>18584.37</v>
      </c>
      <c r="O7172" s="1606">
        <v>17172.93</v>
      </c>
      <c r="P7172" s="1607"/>
      <c r="Q7172" s="1606">
        <v>1411.44</v>
      </c>
      <c r="R7172" s="1606">
        <v>1411.44</v>
      </c>
      <c r="S7172" s="1608"/>
    </row>
    <row r="7173" spans="2:19" s="1609" customFormat="1" ht="11.25" customHeight="1" outlineLevel="1">
      <c r="B7173" s="1612" t="s">
        <v>3062</v>
      </c>
      <c r="C7173" s="1603" t="s">
        <v>2414</v>
      </c>
      <c r="D7173" s="1603" t="s">
        <v>3061</v>
      </c>
      <c r="E7173" s="1603"/>
      <c r="F7173" s="1603"/>
      <c r="G7173" s="1603" t="s">
        <v>3060</v>
      </c>
      <c r="H7173" s="1604">
        <v>2</v>
      </c>
      <c r="I7173" s="1603"/>
      <c r="J7173" s="1603"/>
      <c r="K7173" s="1606">
        <v>15970.6</v>
      </c>
      <c r="L7173" s="1606">
        <v>15970.6</v>
      </c>
      <c r="M7173" s="1607"/>
      <c r="N7173" s="1606">
        <v>15970.6</v>
      </c>
      <c r="O7173" s="1606">
        <v>14757.64</v>
      </c>
      <c r="P7173" s="1607"/>
      <c r="Q7173" s="1606">
        <v>1212.96</v>
      </c>
      <c r="R7173" s="1606">
        <v>1212.96</v>
      </c>
      <c r="S7173" s="1608"/>
    </row>
    <row r="7174" spans="2:19" s="1609" customFormat="1" ht="11.25" customHeight="1" outlineLevel="1">
      <c r="B7174" s="1612" t="s">
        <v>3059</v>
      </c>
      <c r="C7174" s="1603" t="s">
        <v>2414</v>
      </c>
      <c r="D7174" s="1603" t="s">
        <v>3058</v>
      </c>
      <c r="E7174" s="1603"/>
      <c r="F7174" s="1603"/>
      <c r="G7174" s="1603" t="s">
        <v>3057</v>
      </c>
      <c r="H7174" s="1604">
        <v>2</v>
      </c>
      <c r="I7174" s="1603"/>
      <c r="J7174" s="1603"/>
      <c r="K7174" s="1606">
        <v>23933.4</v>
      </c>
      <c r="L7174" s="1606">
        <v>23933.4</v>
      </c>
      <c r="M7174" s="1607"/>
      <c r="N7174" s="1606">
        <v>23933.4</v>
      </c>
      <c r="O7174" s="1606">
        <v>22115.64</v>
      </c>
      <c r="P7174" s="1607"/>
      <c r="Q7174" s="1606">
        <v>1817.76</v>
      </c>
      <c r="R7174" s="1606">
        <v>1817.76</v>
      </c>
      <c r="S7174" s="1608"/>
    </row>
    <row r="7175" spans="2:19" s="1609" customFormat="1" ht="11.25" customHeight="1" outlineLevel="1">
      <c r="B7175" s="1612" t="s">
        <v>3056</v>
      </c>
      <c r="C7175" s="1603" t="s">
        <v>2414</v>
      </c>
      <c r="D7175" s="1603" t="s">
        <v>3055</v>
      </c>
      <c r="E7175" s="1603"/>
      <c r="F7175" s="1603"/>
      <c r="G7175" s="1603" t="s">
        <v>3054</v>
      </c>
      <c r="H7175" s="1604">
        <v>2</v>
      </c>
      <c r="I7175" s="1603"/>
      <c r="J7175" s="1603"/>
      <c r="K7175" s="1606">
        <v>55717.13</v>
      </c>
      <c r="L7175" s="1606">
        <v>55717.13</v>
      </c>
      <c r="M7175" s="1607"/>
      <c r="N7175" s="1606">
        <v>55717.13</v>
      </c>
      <c r="O7175" s="1606">
        <v>51485.45</v>
      </c>
      <c r="P7175" s="1607"/>
      <c r="Q7175" s="1606">
        <v>4231.68</v>
      </c>
      <c r="R7175" s="1606">
        <v>4231.68</v>
      </c>
      <c r="S7175" s="1608"/>
    </row>
    <row r="7176" spans="2:19" s="1609" customFormat="1" ht="11.25" customHeight="1" outlineLevel="1">
      <c r="B7176" s="1612" t="s">
        <v>3053</v>
      </c>
      <c r="C7176" s="1603" t="s">
        <v>2414</v>
      </c>
      <c r="D7176" s="1603" t="s">
        <v>3052</v>
      </c>
      <c r="E7176" s="1603"/>
      <c r="F7176" s="1603"/>
      <c r="G7176" s="1603" t="s">
        <v>3051</v>
      </c>
      <c r="H7176" s="1604">
        <v>2</v>
      </c>
      <c r="I7176" s="1603"/>
      <c r="J7176" s="1603"/>
      <c r="K7176" s="1606">
        <v>3495.54</v>
      </c>
      <c r="L7176" s="1606">
        <v>3495.54</v>
      </c>
      <c r="M7176" s="1607"/>
      <c r="N7176" s="1606">
        <v>3495.54</v>
      </c>
      <c r="O7176" s="1606">
        <v>3230.1</v>
      </c>
      <c r="P7176" s="1607"/>
      <c r="Q7176" s="1605">
        <v>265.44</v>
      </c>
      <c r="R7176" s="1605">
        <v>265.44</v>
      </c>
      <c r="S7176" s="1608"/>
    </row>
    <row r="7177" spans="2:19" s="1609" customFormat="1" ht="11.25" customHeight="1" outlineLevel="1">
      <c r="B7177" s="1612" t="s">
        <v>3050</v>
      </c>
      <c r="C7177" s="1603" t="s">
        <v>2414</v>
      </c>
      <c r="D7177" s="1603" t="s">
        <v>3049</v>
      </c>
      <c r="E7177" s="1603"/>
      <c r="F7177" s="1603"/>
      <c r="G7177" s="1603" t="s">
        <v>3048</v>
      </c>
      <c r="H7177" s="1604">
        <v>2</v>
      </c>
      <c r="I7177" s="1603"/>
      <c r="J7177" s="1603"/>
      <c r="K7177" s="1606">
        <v>3054.66</v>
      </c>
      <c r="L7177" s="1606">
        <v>3054.66</v>
      </c>
      <c r="M7177" s="1607"/>
      <c r="N7177" s="1606">
        <v>3054.66</v>
      </c>
      <c r="O7177" s="1606">
        <v>2822.7</v>
      </c>
      <c r="P7177" s="1607"/>
      <c r="Q7177" s="1605">
        <v>231.96</v>
      </c>
      <c r="R7177" s="1605">
        <v>231.96</v>
      </c>
      <c r="S7177" s="1608"/>
    </row>
    <row r="7178" spans="2:19" s="1609" customFormat="1" ht="11.25" customHeight="1" outlineLevel="1">
      <c r="B7178" s="1612" t="s">
        <v>3047</v>
      </c>
      <c r="C7178" s="1603" t="s">
        <v>2414</v>
      </c>
      <c r="D7178" s="1603" t="s">
        <v>3046</v>
      </c>
      <c r="E7178" s="1603"/>
      <c r="F7178" s="1603"/>
      <c r="G7178" s="1603" t="s">
        <v>3045</v>
      </c>
      <c r="H7178" s="1604">
        <v>2</v>
      </c>
      <c r="I7178" s="1603"/>
      <c r="J7178" s="1603"/>
      <c r="K7178" s="1606">
        <v>4858.66</v>
      </c>
      <c r="L7178" s="1606">
        <v>4858.66</v>
      </c>
      <c r="M7178" s="1607"/>
      <c r="N7178" s="1606">
        <v>4858.66</v>
      </c>
      <c r="O7178" s="1606">
        <v>4489.66</v>
      </c>
      <c r="P7178" s="1607"/>
      <c r="Q7178" s="1605">
        <v>369</v>
      </c>
      <c r="R7178" s="1605">
        <v>369</v>
      </c>
      <c r="S7178" s="1608"/>
    </row>
    <row r="7179" spans="2:19" s="1609" customFormat="1" ht="11.25" customHeight="1" outlineLevel="1">
      <c r="B7179" s="1612" t="s">
        <v>3044</v>
      </c>
      <c r="C7179" s="1603" t="s">
        <v>2414</v>
      </c>
      <c r="D7179" s="1603" t="s">
        <v>3043</v>
      </c>
      <c r="E7179" s="1603"/>
      <c r="F7179" s="1603"/>
      <c r="G7179" s="1603" t="s">
        <v>3042</v>
      </c>
      <c r="H7179" s="1604">
        <v>2</v>
      </c>
      <c r="I7179" s="1603"/>
      <c r="J7179" s="1603"/>
      <c r="K7179" s="1606">
        <v>44222.8</v>
      </c>
      <c r="L7179" s="1606">
        <v>44222.8</v>
      </c>
      <c r="M7179" s="1607"/>
      <c r="N7179" s="1606">
        <v>44222.8</v>
      </c>
      <c r="O7179" s="1606">
        <v>40864.120000000003</v>
      </c>
      <c r="P7179" s="1607"/>
      <c r="Q7179" s="1606">
        <v>3358.68</v>
      </c>
      <c r="R7179" s="1606">
        <v>3358.68</v>
      </c>
      <c r="S7179" s="1608"/>
    </row>
    <row r="7180" spans="2:19" s="1609" customFormat="1" ht="11.25" customHeight="1" outlineLevel="1">
      <c r="B7180" s="1612" t="s">
        <v>3041</v>
      </c>
      <c r="C7180" s="1603" t="s">
        <v>2414</v>
      </c>
      <c r="D7180" s="1603" t="s">
        <v>3040</v>
      </c>
      <c r="E7180" s="1603"/>
      <c r="F7180" s="1603"/>
      <c r="G7180" s="1603" t="s">
        <v>3039</v>
      </c>
      <c r="H7180" s="1604">
        <v>2</v>
      </c>
      <c r="I7180" s="1603"/>
      <c r="J7180" s="1603"/>
      <c r="K7180" s="1606">
        <v>25328.01</v>
      </c>
      <c r="L7180" s="1606">
        <v>25328.01</v>
      </c>
      <c r="M7180" s="1607"/>
      <c r="N7180" s="1606">
        <v>25328.01</v>
      </c>
      <c r="O7180" s="1606">
        <v>23404.41</v>
      </c>
      <c r="P7180" s="1607"/>
      <c r="Q7180" s="1606">
        <v>1923.6</v>
      </c>
      <c r="R7180" s="1606">
        <v>1923.6</v>
      </c>
      <c r="S7180" s="1608"/>
    </row>
    <row r="7181" spans="2:19" s="1609" customFormat="1" ht="11.25" customHeight="1" outlineLevel="1">
      <c r="B7181" s="1612" t="s">
        <v>3038</v>
      </c>
      <c r="C7181" s="1603" t="s">
        <v>2414</v>
      </c>
      <c r="D7181" s="1603" t="s">
        <v>3037</v>
      </c>
      <c r="E7181" s="1603"/>
      <c r="F7181" s="1603"/>
      <c r="G7181" s="1603" t="s">
        <v>3036</v>
      </c>
      <c r="H7181" s="1604">
        <v>2</v>
      </c>
      <c r="I7181" s="1603"/>
      <c r="J7181" s="1603"/>
      <c r="K7181" s="1606">
        <v>69033.460000000006</v>
      </c>
      <c r="L7181" s="1606">
        <v>69033.460000000006</v>
      </c>
      <c r="M7181" s="1607"/>
      <c r="N7181" s="1606">
        <v>69033.460000000006</v>
      </c>
      <c r="O7181" s="1606">
        <v>63790.42</v>
      </c>
      <c r="P7181" s="1607"/>
      <c r="Q7181" s="1606">
        <v>5243.04</v>
      </c>
      <c r="R7181" s="1606">
        <v>5243.04</v>
      </c>
      <c r="S7181" s="1608"/>
    </row>
    <row r="7182" spans="2:19" s="1609" customFormat="1" ht="11.25" customHeight="1" outlineLevel="1">
      <c r="B7182" s="1612" t="s">
        <v>3035</v>
      </c>
      <c r="C7182" s="1603" t="s">
        <v>2414</v>
      </c>
      <c r="D7182" s="1603" t="s">
        <v>3034</v>
      </c>
      <c r="E7182" s="1603"/>
      <c r="F7182" s="1603"/>
      <c r="G7182" s="1603" t="s">
        <v>3033</v>
      </c>
      <c r="H7182" s="1604">
        <v>2</v>
      </c>
      <c r="I7182" s="1603"/>
      <c r="J7182" s="1603"/>
      <c r="K7182" s="1606">
        <v>65855.399999999994</v>
      </c>
      <c r="L7182" s="1606">
        <v>65855.399999999994</v>
      </c>
      <c r="M7182" s="1607"/>
      <c r="N7182" s="1606">
        <v>65855.399999999994</v>
      </c>
      <c r="O7182" s="1606">
        <v>60853.68</v>
      </c>
      <c r="P7182" s="1607"/>
      <c r="Q7182" s="1606">
        <v>5001.72</v>
      </c>
      <c r="R7182" s="1606">
        <v>5001.72</v>
      </c>
      <c r="S7182" s="1608"/>
    </row>
    <row r="7183" spans="2:19" s="1609" customFormat="1" ht="11.25" customHeight="1" outlineLevel="1">
      <c r="B7183" s="1612" t="s">
        <v>3032</v>
      </c>
      <c r="C7183" s="1603" t="s">
        <v>2414</v>
      </c>
      <c r="D7183" s="1603" t="s">
        <v>3031</v>
      </c>
      <c r="E7183" s="1603"/>
      <c r="F7183" s="1603"/>
      <c r="G7183" s="1603" t="s">
        <v>3030</v>
      </c>
      <c r="H7183" s="1604">
        <v>2</v>
      </c>
      <c r="I7183" s="1603"/>
      <c r="J7183" s="1603"/>
      <c r="K7183" s="1606">
        <v>4269.32</v>
      </c>
      <c r="L7183" s="1606">
        <v>4269.32</v>
      </c>
      <c r="M7183" s="1607"/>
      <c r="N7183" s="1606">
        <v>4269.32</v>
      </c>
      <c r="O7183" s="1606">
        <v>3945.08</v>
      </c>
      <c r="P7183" s="1607"/>
      <c r="Q7183" s="1605">
        <v>324.24</v>
      </c>
      <c r="R7183" s="1605">
        <v>324.24</v>
      </c>
      <c r="S7183" s="1608"/>
    </row>
    <row r="7184" spans="2:19" s="1609" customFormat="1" ht="11.25" customHeight="1" outlineLevel="1">
      <c r="B7184" s="1612" t="s">
        <v>3029</v>
      </c>
      <c r="C7184" s="1603" t="s">
        <v>2414</v>
      </c>
      <c r="D7184" s="1603" t="s">
        <v>3028</v>
      </c>
      <c r="E7184" s="1603"/>
      <c r="F7184" s="1603"/>
      <c r="G7184" s="1603" t="s">
        <v>3027</v>
      </c>
      <c r="H7184" s="1604">
        <v>2</v>
      </c>
      <c r="I7184" s="1603"/>
      <c r="J7184" s="1603"/>
      <c r="K7184" s="1606">
        <v>5601.07</v>
      </c>
      <c r="L7184" s="1606">
        <v>5601.07</v>
      </c>
      <c r="M7184" s="1607"/>
      <c r="N7184" s="1606">
        <v>5601.07</v>
      </c>
      <c r="O7184" s="1606">
        <v>5175.67</v>
      </c>
      <c r="P7184" s="1607"/>
      <c r="Q7184" s="1605">
        <v>425.4</v>
      </c>
      <c r="R7184" s="1605">
        <v>425.4</v>
      </c>
      <c r="S7184" s="1608"/>
    </row>
    <row r="7185" spans="2:19" s="1609" customFormat="1" ht="11.25" customHeight="1" outlineLevel="1">
      <c r="B7185" s="1612" t="s">
        <v>3026</v>
      </c>
      <c r="C7185" s="1603" t="s">
        <v>2414</v>
      </c>
      <c r="D7185" s="1603" t="s">
        <v>3025</v>
      </c>
      <c r="E7185" s="1603"/>
      <c r="F7185" s="1603"/>
      <c r="G7185" s="1603" t="s">
        <v>3024</v>
      </c>
      <c r="H7185" s="1604">
        <v>2</v>
      </c>
      <c r="I7185" s="1603"/>
      <c r="J7185" s="1603"/>
      <c r="K7185" s="1606">
        <v>1113.44</v>
      </c>
      <c r="L7185" s="1606">
        <v>1113.44</v>
      </c>
      <c r="M7185" s="1607"/>
      <c r="N7185" s="1606">
        <v>1113.44</v>
      </c>
      <c r="O7185" s="1606">
        <v>1028.8399999999999</v>
      </c>
      <c r="P7185" s="1607"/>
      <c r="Q7185" s="1605">
        <v>84.6</v>
      </c>
      <c r="R7185" s="1605">
        <v>84.6</v>
      </c>
      <c r="S7185" s="1608"/>
    </row>
    <row r="7186" spans="2:19" s="1609" customFormat="1" ht="11.25" customHeight="1" outlineLevel="1">
      <c r="B7186" s="1612" t="s">
        <v>3023</v>
      </c>
      <c r="C7186" s="1603" t="s">
        <v>2414</v>
      </c>
      <c r="D7186" s="1603" t="s">
        <v>3022</v>
      </c>
      <c r="E7186" s="1603"/>
      <c r="F7186" s="1603"/>
      <c r="G7186" s="1603" t="s">
        <v>3021</v>
      </c>
      <c r="H7186" s="1604">
        <v>2</v>
      </c>
      <c r="I7186" s="1603"/>
      <c r="J7186" s="1603"/>
      <c r="K7186" s="1606">
        <v>13635.39</v>
      </c>
      <c r="L7186" s="1606">
        <v>13635.39</v>
      </c>
      <c r="M7186" s="1607"/>
      <c r="N7186" s="1606">
        <v>13635.39</v>
      </c>
      <c r="O7186" s="1606">
        <v>12599.79</v>
      </c>
      <c r="P7186" s="1607"/>
      <c r="Q7186" s="1606">
        <v>1035.5999999999999</v>
      </c>
      <c r="R7186" s="1606">
        <v>1035.5999999999999</v>
      </c>
      <c r="S7186" s="1608"/>
    </row>
    <row r="7187" spans="2:19" s="1609" customFormat="1" ht="11.25" customHeight="1" outlineLevel="1">
      <c r="B7187" s="1612" t="s">
        <v>3020</v>
      </c>
      <c r="C7187" s="1603" t="s">
        <v>2414</v>
      </c>
      <c r="D7187" s="1603" t="s">
        <v>3019</v>
      </c>
      <c r="E7187" s="1603"/>
      <c r="F7187" s="1603"/>
      <c r="G7187" s="1603" t="s">
        <v>3018</v>
      </c>
      <c r="H7187" s="1604">
        <v>2</v>
      </c>
      <c r="I7187" s="1603"/>
      <c r="J7187" s="1603"/>
      <c r="K7187" s="1606">
        <v>1248.76</v>
      </c>
      <c r="L7187" s="1606">
        <v>1248.76</v>
      </c>
      <c r="M7187" s="1607"/>
      <c r="N7187" s="1606">
        <v>1248.76</v>
      </c>
      <c r="O7187" s="1606">
        <v>1153.96</v>
      </c>
      <c r="P7187" s="1607"/>
      <c r="Q7187" s="1605">
        <v>94.8</v>
      </c>
      <c r="R7187" s="1605">
        <v>94.8</v>
      </c>
      <c r="S7187" s="1608"/>
    </row>
    <row r="7188" spans="2:19" s="1609" customFormat="1" ht="11.25" customHeight="1" outlineLevel="1">
      <c r="B7188" s="1612" t="s">
        <v>3017</v>
      </c>
      <c r="C7188" s="1603" t="s">
        <v>2414</v>
      </c>
      <c r="D7188" s="1603" t="s">
        <v>3016</v>
      </c>
      <c r="E7188" s="1603"/>
      <c r="F7188" s="1603"/>
      <c r="G7188" s="1603" t="s">
        <v>3015</v>
      </c>
      <c r="H7188" s="1604">
        <v>2</v>
      </c>
      <c r="I7188" s="1603"/>
      <c r="J7188" s="1603"/>
      <c r="K7188" s="1606">
        <v>1232.6600000000001</v>
      </c>
      <c r="L7188" s="1606">
        <v>1232.6600000000001</v>
      </c>
      <c r="M7188" s="1607"/>
      <c r="N7188" s="1606">
        <v>1232.6600000000001</v>
      </c>
      <c r="O7188" s="1606">
        <v>1139.06</v>
      </c>
      <c r="P7188" s="1607"/>
      <c r="Q7188" s="1605">
        <v>93.6</v>
      </c>
      <c r="R7188" s="1605">
        <v>93.6</v>
      </c>
      <c r="S7188" s="1608"/>
    </row>
    <row r="7189" spans="2:19" s="1609" customFormat="1" ht="11.25" customHeight="1" outlineLevel="1">
      <c r="B7189" s="1612" t="s">
        <v>3014</v>
      </c>
      <c r="C7189" s="1603" t="s">
        <v>2414</v>
      </c>
      <c r="D7189" s="1603" t="s">
        <v>3013</v>
      </c>
      <c r="E7189" s="1603"/>
      <c r="F7189" s="1603"/>
      <c r="G7189" s="1603" t="s">
        <v>3012</v>
      </c>
      <c r="H7189" s="1604">
        <v>2</v>
      </c>
      <c r="I7189" s="1603"/>
      <c r="J7189" s="1603"/>
      <c r="K7189" s="1606">
        <v>16771.37</v>
      </c>
      <c r="L7189" s="1606">
        <v>16771.37</v>
      </c>
      <c r="M7189" s="1607"/>
      <c r="N7189" s="1606">
        <v>16771.37</v>
      </c>
      <c r="O7189" s="1606">
        <v>14907.89</v>
      </c>
      <c r="P7189" s="1607"/>
      <c r="Q7189" s="1606">
        <v>1863.48</v>
      </c>
      <c r="R7189" s="1606">
        <v>1863.48</v>
      </c>
      <c r="S7189" s="1608"/>
    </row>
    <row r="7190" spans="2:19" s="1609" customFormat="1" ht="11.25" customHeight="1" outlineLevel="1">
      <c r="B7190" s="1612" t="s">
        <v>3011</v>
      </c>
      <c r="C7190" s="1603" t="s">
        <v>2414</v>
      </c>
      <c r="D7190" s="1603" t="s">
        <v>3010</v>
      </c>
      <c r="E7190" s="1603"/>
      <c r="F7190" s="1603"/>
      <c r="G7190" s="1603" t="s">
        <v>3009</v>
      </c>
      <c r="H7190" s="1604">
        <v>2</v>
      </c>
      <c r="I7190" s="1603"/>
      <c r="J7190" s="1603"/>
      <c r="K7190" s="1606">
        <v>4980.13</v>
      </c>
      <c r="L7190" s="1606">
        <v>4980.13</v>
      </c>
      <c r="M7190" s="1607"/>
      <c r="N7190" s="1606">
        <v>4980.13</v>
      </c>
      <c r="O7190" s="1606">
        <v>4601.8900000000003</v>
      </c>
      <c r="P7190" s="1607"/>
      <c r="Q7190" s="1605">
        <v>378.24</v>
      </c>
      <c r="R7190" s="1605">
        <v>378.24</v>
      </c>
      <c r="S7190" s="1608"/>
    </row>
    <row r="7191" spans="2:19" s="1609" customFormat="1" ht="11.25" customHeight="1" outlineLevel="1">
      <c r="B7191" s="1612" t="s">
        <v>3008</v>
      </c>
      <c r="C7191" s="1603" t="s">
        <v>2414</v>
      </c>
      <c r="D7191" s="1603" t="s">
        <v>3007</v>
      </c>
      <c r="E7191" s="1603"/>
      <c r="F7191" s="1603"/>
      <c r="G7191" s="1603" t="s">
        <v>3006</v>
      </c>
      <c r="H7191" s="1604">
        <v>2</v>
      </c>
      <c r="I7191" s="1603"/>
      <c r="J7191" s="1603"/>
      <c r="K7191" s="1606">
        <v>46759.74</v>
      </c>
      <c r="L7191" s="1606">
        <v>46759.74</v>
      </c>
      <c r="M7191" s="1607"/>
      <c r="N7191" s="1606">
        <v>46759.74</v>
      </c>
      <c r="O7191" s="1606">
        <v>43208.34</v>
      </c>
      <c r="P7191" s="1607"/>
      <c r="Q7191" s="1606">
        <v>3551.4</v>
      </c>
      <c r="R7191" s="1606">
        <v>3551.4</v>
      </c>
      <c r="S7191" s="1608"/>
    </row>
    <row r="7192" spans="2:19" s="1609" customFormat="1" ht="11.25" customHeight="1" outlineLevel="1">
      <c r="B7192" s="1612" t="s">
        <v>3005</v>
      </c>
      <c r="C7192" s="1603" t="s">
        <v>2414</v>
      </c>
      <c r="D7192" s="1603" t="s">
        <v>3004</v>
      </c>
      <c r="E7192" s="1603"/>
      <c r="F7192" s="1603"/>
      <c r="G7192" s="1603" t="s">
        <v>3003</v>
      </c>
      <c r="H7192" s="1604">
        <v>2</v>
      </c>
      <c r="I7192" s="1603"/>
      <c r="J7192" s="1603"/>
      <c r="K7192" s="1606">
        <v>20935.14</v>
      </c>
      <c r="L7192" s="1606">
        <v>20935.14</v>
      </c>
      <c r="M7192" s="1607"/>
      <c r="N7192" s="1606">
        <v>20935.14</v>
      </c>
      <c r="O7192" s="1606">
        <v>19345.14</v>
      </c>
      <c r="P7192" s="1607"/>
      <c r="Q7192" s="1606">
        <v>1590</v>
      </c>
      <c r="R7192" s="1606">
        <v>1590</v>
      </c>
      <c r="S7192" s="1608"/>
    </row>
    <row r="7193" spans="2:19" s="1609" customFormat="1" ht="11.25" customHeight="1" outlineLevel="1">
      <c r="B7193" s="1612" t="s">
        <v>3002</v>
      </c>
      <c r="C7193" s="1603" t="s">
        <v>2414</v>
      </c>
      <c r="D7193" s="1603" t="s">
        <v>3001</v>
      </c>
      <c r="E7193" s="1603"/>
      <c r="F7193" s="1603"/>
      <c r="G7193" s="1603" t="s">
        <v>3000</v>
      </c>
      <c r="H7193" s="1604">
        <v>2</v>
      </c>
      <c r="I7193" s="1613">
        <v>248.17</v>
      </c>
      <c r="J7193" s="1603"/>
      <c r="K7193" s="1606">
        <v>22787.17</v>
      </c>
      <c r="L7193" s="1606">
        <v>22787.17</v>
      </c>
      <c r="M7193" s="1607"/>
      <c r="N7193" s="1606">
        <v>22787.17</v>
      </c>
      <c r="O7193" s="1606">
        <v>21056.53</v>
      </c>
      <c r="P7193" s="1607"/>
      <c r="Q7193" s="1606">
        <v>1730.64</v>
      </c>
      <c r="R7193" s="1606">
        <v>1730.64</v>
      </c>
      <c r="S7193" s="1608"/>
    </row>
    <row r="7194" spans="2:19" s="1609" customFormat="1" ht="11.25" customHeight="1" outlineLevel="1">
      <c r="B7194" s="1612" t="s">
        <v>2999</v>
      </c>
      <c r="C7194" s="1603" t="s">
        <v>2414</v>
      </c>
      <c r="D7194" s="1603" t="s">
        <v>2998</v>
      </c>
      <c r="E7194" s="1603"/>
      <c r="F7194" s="1603"/>
      <c r="G7194" s="1603" t="s">
        <v>2997</v>
      </c>
      <c r="H7194" s="1604">
        <v>2</v>
      </c>
      <c r="I7194" s="1603"/>
      <c r="J7194" s="1603"/>
      <c r="K7194" s="1606">
        <v>6142.81</v>
      </c>
      <c r="L7194" s="1606">
        <v>6142.81</v>
      </c>
      <c r="M7194" s="1607"/>
      <c r="N7194" s="1606">
        <v>6142.81</v>
      </c>
      <c r="O7194" s="1606">
        <v>5676.25</v>
      </c>
      <c r="P7194" s="1607"/>
      <c r="Q7194" s="1605">
        <v>466.56</v>
      </c>
      <c r="R7194" s="1605">
        <v>466.56</v>
      </c>
      <c r="S7194" s="1608"/>
    </row>
    <row r="7195" spans="2:19" s="1609" customFormat="1" ht="11.25" customHeight="1" outlineLevel="1">
      <c r="B7195" s="1612" t="s">
        <v>2996</v>
      </c>
      <c r="C7195" s="1603" t="s">
        <v>2414</v>
      </c>
      <c r="D7195" s="1603" t="s">
        <v>2995</v>
      </c>
      <c r="E7195" s="1603"/>
      <c r="F7195" s="1603"/>
      <c r="G7195" s="1603" t="s">
        <v>2994</v>
      </c>
      <c r="H7195" s="1604">
        <v>2</v>
      </c>
      <c r="I7195" s="1603"/>
      <c r="J7195" s="1603"/>
      <c r="K7195" s="1606">
        <v>58076.66</v>
      </c>
      <c r="L7195" s="1606">
        <v>58076.66</v>
      </c>
      <c r="M7195" s="1607"/>
      <c r="N7195" s="1606">
        <v>58076.66</v>
      </c>
      <c r="O7195" s="1606">
        <v>53665.82</v>
      </c>
      <c r="P7195" s="1607"/>
      <c r="Q7195" s="1606">
        <v>4410.84</v>
      </c>
      <c r="R7195" s="1606">
        <v>4410.84</v>
      </c>
      <c r="S7195" s="1608"/>
    </row>
    <row r="7196" spans="2:19" s="1609" customFormat="1" ht="11.25" customHeight="1" outlineLevel="1">
      <c r="B7196" s="1612" t="s">
        <v>2993</v>
      </c>
      <c r="C7196" s="1603" t="s">
        <v>2414</v>
      </c>
      <c r="D7196" s="1603" t="s">
        <v>2992</v>
      </c>
      <c r="E7196" s="1603"/>
      <c r="F7196" s="1603"/>
      <c r="G7196" s="1603" t="s">
        <v>2991</v>
      </c>
      <c r="H7196" s="1604">
        <v>2</v>
      </c>
      <c r="I7196" s="1603"/>
      <c r="J7196" s="1603"/>
      <c r="K7196" s="1606">
        <v>21045.33</v>
      </c>
      <c r="L7196" s="1606">
        <v>21045.33</v>
      </c>
      <c r="M7196" s="1607"/>
      <c r="N7196" s="1606">
        <v>21045.33</v>
      </c>
      <c r="O7196" s="1606">
        <v>19446.93</v>
      </c>
      <c r="P7196" s="1607"/>
      <c r="Q7196" s="1606">
        <v>1598.4</v>
      </c>
      <c r="R7196" s="1606">
        <v>1598.4</v>
      </c>
      <c r="S7196" s="1608"/>
    </row>
    <row r="7197" spans="2:19" s="1609" customFormat="1" ht="11.25" customHeight="1" outlineLevel="1">
      <c r="B7197" s="1612" t="s">
        <v>2990</v>
      </c>
      <c r="C7197" s="1603" t="s">
        <v>2414</v>
      </c>
      <c r="D7197" s="1603" t="s">
        <v>2989</v>
      </c>
      <c r="E7197" s="1603"/>
      <c r="F7197" s="1603"/>
      <c r="G7197" s="1603" t="s">
        <v>2988</v>
      </c>
      <c r="H7197" s="1604">
        <v>2</v>
      </c>
      <c r="I7197" s="1603"/>
      <c r="J7197" s="1603"/>
      <c r="K7197" s="1606">
        <v>8456.7000000000007</v>
      </c>
      <c r="L7197" s="1606">
        <v>8456.7000000000007</v>
      </c>
      <c r="M7197" s="1607"/>
      <c r="N7197" s="1606">
        <v>8456.7000000000007</v>
      </c>
      <c r="O7197" s="1606">
        <v>7814.46</v>
      </c>
      <c r="P7197" s="1607"/>
      <c r="Q7197" s="1605">
        <v>642.24</v>
      </c>
      <c r="R7197" s="1605">
        <v>642.24</v>
      </c>
      <c r="S7197" s="1608"/>
    </row>
    <row r="7198" spans="2:19" s="1609" customFormat="1" ht="11.25" customHeight="1" outlineLevel="1">
      <c r="B7198" s="1612" t="s">
        <v>2987</v>
      </c>
      <c r="C7198" s="1603" t="s">
        <v>2414</v>
      </c>
      <c r="D7198" s="1603" t="s">
        <v>2986</v>
      </c>
      <c r="E7198" s="1603"/>
      <c r="F7198" s="1603"/>
      <c r="G7198" s="1603" t="s">
        <v>2985</v>
      </c>
      <c r="H7198" s="1604">
        <v>2</v>
      </c>
      <c r="I7198" s="1603"/>
      <c r="J7198" s="1603"/>
      <c r="K7198" s="1606">
        <v>122580.77</v>
      </c>
      <c r="L7198" s="1606">
        <v>122580.77</v>
      </c>
      <c r="M7198" s="1607"/>
      <c r="N7198" s="1606">
        <v>122580.77</v>
      </c>
      <c r="O7198" s="1606">
        <v>113270.81</v>
      </c>
      <c r="P7198" s="1607"/>
      <c r="Q7198" s="1606">
        <v>9309.9599999999991</v>
      </c>
      <c r="R7198" s="1606">
        <v>9309.9599999999991</v>
      </c>
      <c r="S7198" s="1608"/>
    </row>
    <row r="7199" spans="2:19" s="1609" customFormat="1" ht="11.25" customHeight="1" outlineLevel="1">
      <c r="B7199" s="1612" t="s">
        <v>2984</v>
      </c>
      <c r="C7199" s="1603" t="s">
        <v>2414</v>
      </c>
      <c r="D7199" s="1603" t="s">
        <v>2983</v>
      </c>
      <c r="E7199" s="1603"/>
      <c r="F7199" s="1603"/>
      <c r="G7199" s="1603" t="s">
        <v>2982</v>
      </c>
      <c r="H7199" s="1604">
        <v>2</v>
      </c>
      <c r="I7199" s="1603"/>
      <c r="J7199" s="1603"/>
      <c r="K7199" s="1606">
        <v>1652.77</v>
      </c>
      <c r="L7199" s="1606">
        <v>1652.77</v>
      </c>
      <c r="M7199" s="1607"/>
      <c r="N7199" s="1606">
        <v>1652.77</v>
      </c>
      <c r="O7199" s="1606">
        <v>1527.25</v>
      </c>
      <c r="P7199" s="1607"/>
      <c r="Q7199" s="1605">
        <v>125.52</v>
      </c>
      <c r="R7199" s="1605">
        <v>125.52</v>
      </c>
      <c r="S7199" s="1608"/>
    </row>
    <row r="7200" spans="2:19" s="1609" customFormat="1" ht="11.25" customHeight="1" outlineLevel="1">
      <c r="B7200" s="1612" t="s">
        <v>2981</v>
      </c>
      <c r="C7200" s="1603" t="s">
        <v>2414</v>
      </c>
      <c r="D7200" s="1603" t="s">
        <v>2980</v>
      </c>
      <c r="E7200" s="1603"/>
      <c r="F7200" s="1603"/>
      <c r="G7200" s="1603" t="s">
        <v>2979</v>
      </c>
      <c r="H7200" s="1604">
        <v>2</v>
      </c>
      <c r="I7200" s="1603"/>
      <c r="J7200" s="1603"/>
      <c r="K7200" s="1606">
        <v>4278.8500000000004</v>
      </c>
      <c r="L7200" s="1606">
        <v>4278.8500000000004</v>
      </c>
      <c r="M7200" s="1607"/>
      <c r="N7200" s="1606">
        <v>4278.8500000000004</v>
      </c>
      <c r="O7200" s="1606">
        <v>3953.89</v>
      </c>
      <c r="P7200" s="1607"/>
      <c r="Q7200" s="1605">
        <v>324.95999999999998</v>
      </c>
      <c r="R7200" s="1605">
        <v>324.95999999999998</v>
      </c>
      <c r="S7200" s="1608"/>
    </row>
    <row r="7201" spans="2:19" s="1609" customFormat="1" ht="11.25" customHeight="1" outlineLevel="1">
      <c r="B7201" s="1612" t="s">
        <v>2978</v>
      </c>
      <c r="C7201" s="1603" t="s">
        <v>2414</v>
      </c>
      <c r="D7201" s="1603" t="s">
        <v>2977</v>
      </c>
      <c r="E7201" s="1603"/>
      <c r="F7201" s="1603"/>
      <c r="G7201" s="1603" t="s">
        <v>2976</v>
      </c>
      <c r="H7201" s="1604">
        <v>2</v>
      </c>
      <c r="I7201" s="1603"/>
      <c r="J7201" s="1603"/>
      <c r="K7201" s="1606">
        <v>30530.42</v>
      </c>
      <c r="L7201" s="1606">
        <v>30530.42</v>
      </c>
      <c r="M7201" s="1607"/>
      <c r="N7201" s="1606">
        <v>30530.42</v>
      </c>
      <c r="O7201" s="1606">
        <v>28211.66</v>
      </c>
      <c r="P7201" s="1607"/>
      <c r="Q7201" s="1606">
        <v>2318.7600000000002</v>
      </c>
      <c r="R7201" s="1606">
        <v>2318.7600000000002</v>
      </c>
      <c r="S7201" s="1608"/>
    </row>
    <row r="7202" spans="2:19" s="1609" customFormat="1" ht="11.25" customHeight="1" outlineLevel="1">
      <c r="B7202" s="1612" t="s">
        <v>2975</v>
      </c>
      <c r="C7202" s="1603" t="s">
        <v>2414</v>
      </c>
      <c r="D7202" s="1603" t="s">
        <v>2974</v>
      </c>
      <c r="E7202" s="1603"/>
      <c r="F7202" s="1603"/>
      <c r="G7202" s="1603" t="s">
        <v>2973</v>
      </c>
      <c r="H7202" s="1604">
        <v>2</v>
      </c>
      <c r="I7202" s="1603"/>
      <c r="J7202" s="1603"/>
      <c r="K7202" s="1606">
        <v>19649.650000000001</v>
      </c>
      <c r="L7202" s="1606">
        <v>19649.650000000001</v>
      </c>
      <c r="M7202" s="1607"/>
      <c r="N7202" s="1606">
        <v>19649.650000000001</v>
      </c>
      <c r="O7202" s="1606">
        <v>18157.29</v>
      </c>
      <c r="P7202" s="1607"/>
      <c r="Q7202" s="1606">
        <v>1492.36</v>
      </c>
      <c r="R7202" s="1606">
        <v>1492.36</v>
      </c>
      <c r="S7202" s="1608"/>
    </row>
    <row r="7203" spans="2:19" s="1609" customFormat="1" ht="11.25" customHeight="1" outlineLevel="1">
      <c r="B7203" s="1612" t="s">
        <v>2972</v>
      </c>
      <c r="C7203" s="1603" t="s">
        <v>2414</v>
      </c>
      <c r="D7203" s="1603" t="s">
        <v>2971</v>
      </c>
      <c r="E7203" s="1603"/>
      <c r="F7203" s="1603"/>
      <c r="G7203" s="1603" t="s">
        <v>2970</v>
      </c>
      <c r="H7203" s="1604">
        <v>2</v>
      </c>
      <c r="I7203" s="1603"/>
      <c r="J7203" s="1603"/>
      <c r="K7203" s="1606">
        <v>43500.1</v>
      </c>
      <c r="L7203" s="1606">
        <v>43500.1</v>
      </c>
      <c r="M7203" s="1607"/>
      <c r="N7203" s="1606">
        <v>43500.1</v>
      </c>
      <c r="O7203" s="1606">
        <v>40196.26</v>
      </c>
      <c r="P7203" s="1607"/>
      <c r="Q7203" s="1606">
        <v>3303.84</v>
      </c>
      <c r="R7203" s="1606">
        <v>3303.84</v>
      </c>
      <c r="S7203" s="1608"/>
    </row>
    <row r="7204" spans="2:19" s="1609" customFormat="1" ht="11.25" customHeight="1" outlineLevel="1">
      <c r="B7204" s="1612" t="s">
        <v>2969</v>
      </c>
      <c r="C7204" s="1603" t="s">
        <v>2414</v>
      </c>
      <c r="D7204" s="1603" t="s">
        <v>2968</v>
      </c>
      <c r="E7204" s="1603"/>
      <c r="F7204" s="1603"/>
      <c r="G7204" s="1603" t="s">
        <v>2967</v>
      </c>
      <c r="H7204" s="1604">
        <v>2</v>
      </c>
      <c r="I7204" s="1603"/>
      <c r="J7204" s="1603"/>
      <c r="K7204" s="1606">
        <v>33881.879999999997</v>
      </c>
      <c r="L7204" s="1606">
        <v>33881.879999999997</v>
      </c>
      <c r="M7204" s="1607"/>
      <c r="N7204" s="1606">
        <v>33881.879999999997</v>
      </c>
      <c r="O7204" s="1606">
        <v>31308.6</v>
      </c>
      <c r="P7204" s="1607"/>
      <c r="Q7204" s="1606">
        <v>2573.2800000000002</v>
      </c>
      <c r="R7204" s="1606">
        <v>2573.2800000000002</v>
      </c>
      <c r="S7204" s="1608"/>
    </row>
    <row r="7205" spans="2:19" s="1609" customFormat="1" ht="11.25" customHeight="1" outlineLevel="1">
      <c r="B7205" s="1612" t="s">
        <v>2966</v>
      </c>
      <c r="C7205" s="1603" t="s">
        <v>2414</v>
      </c>
      <c r="D7205" s="1603" t="s">
        <v>2965</v>
      </c>
      <c r="E7205" s="1603"/>
      <c r="F7205" s="1603"/>
      <c r="G7205" s="1603" t="s">
        <v>2964</v>
      </c>
      <c r="H7205" s="1604">
        <v>2</v>
      </c>
      <c r="I7205" s="1603"/>
      <c r="J7205" s="1603"/>
      <c r="K7205" s="1606">
        <v>20154.439999999999</v>
      </c>
      <c r="L7205" s="1606">
        <v>20154.439999999999</v>
      </c>
      <c r="M7205" s="1607"/>
      <c r="N7205" s="1606">
        <v>20154.439999999999</v>
      </c>
      <c r="O7205" s="1606">
        <v>18623.72</v>
      </c>
      <c r="P7205" s="1607"/>
      <c r="Q7205" s="1606">
        <v>1530.72</v>
      </c>
      <c r="R7205" s="1606">
        <v>1530.72</v>
      </c>
      <c r="S7205" s="1608"/>
    </row>
    <row r="7206" spans="2:19" s="1609" customFormat="1" ht="11.25" customHeight="1" outlineLevel="1">
      <c r="B7206" s="1612" t="s">
        <v>2963</v>
      </c>
      <c r="C7206" s="1603" t="s">
        <v>2414</v>
      </c>
      <c r="D7206" s="1603" t="s">
        <v>2962</v>
      </c>
      <c r="E7206" s="1603"/>
      <c r="F7206" s="1603"/>
      <c r="G7206" s="1603" t="s">
        <v>2961</v>
      </c>
      <c r="H7206" s="1604">
        <v>2</v>
      </c>
      <c r="I7206" s="1603"/>
      <c r="J7206" s="1603"/>
      <c r="K7206" s="1606">
        <v>3023.17</v>
      </c>
      <c r="L7206" s="1606">
        <v>3023.17</v>
      </c>
      <c r="M7206" s="1607"/>
      <c r="N7206" s="1606">
        <v>3023.17</v>
      </c>
      <c r="O7206" s="1606">
        <v>2793.61</v>
      </c>
      <c r="P7206" s="1607"/>
      <c r="Q7206" s="1605">
        <v>229.56</v>
      </c>
      <c r="R7206" s="1605">
        <v>229.56</v>
      </c>
      <c r="S7206" s="1608"/>
    </row>
    <row r="7207" spans="2:19" s="1609" customFormat="1" ht="11.25" customHeight="1" outlineLevel="1">
      <c r="B7207" s="1612" t="s">
        <v>2960</v>
      </c>
      <c r="C7207" s="1603" t="s">
        <v>2414</v>
      </c>
      <c r="D7207" s="1603" t="s">
        <v>2959</v>
      </c>
      <c r="E7207" s="1603"/>
      <c r="F7207" s="1603"/>
      <c r="G7207" s="1603" t="s">
        <v>2958</v>
      </c>
      <c r="H7207" s="1604">
        <v>2</v>
      </c>
      <c r="I7207" s="1603"/>
      <c r="J7207" s="1603"/>
      <c r="K7207" s="1606">
        <v>19488.96</v>
      </c>
      <c r="L7207" s="1606">
        <v>19488.96</v>
      </c>
      <c r="M7207" s="1607"/>
      <c r="N7207" s="1606">
        <v>19488.96</v>
      </c>
      <c r="O7207" s="1606">
        <v>18008.759999999998</v>
      </c>
      <c r="P7207" s="1607"/>
      <c r="Q7207" s="1606">
        <v>1480.2</v>
      </c>
      <c r="R7207" s="1606">
        <v>1480.2</v>
      </c>
      <c r="S7207" s="1608"/>
    </row>
    <row r="7208" spans="2:19" s="1609" customFormat="1" ht="11.25" customHeight="1" outlineLevel="1">
      <c r="B7208" s="1612" t="s">
        <v>2957</v>
      </c>
      <c r="C7208" s="1603" t="s">
        <v>2414</v>
      </c>
      <c r="D7208" s="1603" t="s">
        <v>2956</v>
      </c>
      <c r="E7208" s="1603"/>
      <c r="F7208" s="1603"/>
      <c r="G7208" s="1603" t="s">
        <v>2955</v>
      </c>
      <c r="H7208" s="1604">
        <v>2</v>
      </c>
      <c r="I7208" s="1603"/>
      <c r="J7208" s="1603"/>
      <c r="K7208" s="1606">
        <v>22741.23</v>
      </c>
      <c r="L7208" s="1606">
        <v>22741.23</v>
      </c>
      <c r="M7208" s="1607"/>
      <c r="N7208" s="1606">
        <v>22741.23</v>
      </c>
      <c r="O7208" s="1606">
        <v>21014.07</v>
      </c>
      <c r="P7208" s="1607"/>
      <c r="Q7208" s="1606">
        <v>1727.16</v>
      </c>
      <c r="R7208" s="1606">
        <v>1727.16</v>
      </c>
      <c r="S7208" s="1608"/>
    </row>
    <row r="7209" spans="2:19" s="1609" customFormat="1" ht="11.25" customHeight="1" outlineLevel="1">
      <c r="B7209" s="1612" t="s">
        <v>2954</v>
      </c>
      <c r="C7209" s="1603" t="s">
        <v>2414</v>
      </c>
      <c r="D7209" s="1603" t="s">
        <v>2953</v>
      </c>
      <c r="E7209" s="1603"/>
      <c r="F7209" s="1603"/>
      <c r="G7209" s="1603" t="s">
        <v>2952</v>
      </c>
      <c r="H7209" s="1604">
        <v>2</v>
      </c>
      <c r="I7209" s="1603"/>
      <c r="J7209" s="1603"/>
      <c r="K7209" s="1606">
        <v>2337.11</v>
      </c>
      <c r="L7209" s="1606">
        <v>2337.11</v>
      </c>
      <c r="M7209" s="1607"/>
      <c r="N7209" s="1606">
        <v>2337.11</v>
      </c>
      <c r="O7209" s="1606">
        <v>2159.63</v>
      </c>
      <c r="P7209" s="1607"/>
      <c r="Q7209" s="1605">
        <v>177.48</v>
      </c>
      <c r="R7209" s="1605">
        <v>177.48</v>
      </c>
      <c r="S7209" s="1608"/>
    </row>
    <row r="7210" spans="2:19" s="1609" customFormat="1" ht="11.25" customHeight="1" outlineLevel="1">
      <c r="B7210" s="1612" t="s">
        <v>2951</v>
      </c>
      <c r="C7210" s="1603" t="s">
        <v>2414</v>
      </c>
      <c r="D7210" s="1603" t="s">
        <v>2950</v>
      </c>
      <c r="E7210" s="1603"/>
      <c r="F7210" s="1603"/>
      <c r="G7210" s="1603" t="s">
        <v>2949</v>
      </c>
      <c r="H7210" s="1604">
        <v>2</v>
      </c>
      <c r="I7210" s="1603"/>
      <c r="J7210" s="1603"/>
      <c r="K7210" s="1606">
        <v>31108.92</v>
      </c>
      <c r="L7210" s="1606">
        <v>31108.92</v>
      </c>
      <c r="M7210" s="1607"/>
      <c r="N7210" s="1606">
        <v>31108.92</v>
      </c>
      <c r="O7210" s="1606">
        <v>28746.240000000002</v>
      </c>
      <c r="P7210" s="1607"/>
      <c r="Q7210" s="1606">
        <v>2362.6799999999998</v>
      </c>
      <c r="R7210" s="1606">
        <v>2362.6799999999998</v>
      </c>
      <c r="S7210" s="1608"/>
    </row>
    <row r="7211" spans="2:19" s="1609" customFormat="1" ht="11.25" customHeight="1" outlineLevel="1">
      <c r="B7211" s="1612" t="s">
        <v>2948</v>
      </c>
      <c r="C7211" s="1603" t="s">
        <v>2414</v>
      </c>
      <c r="D7211" s="1603" t="s">
        <v>2947</v>
      </c>
      <c r="E7211" s="1603"/>
      <c r="F7211" s="1603"/>
      <c r="G7211" s="1603" t="s">
        <v>2946</v>
      </c>
      <c r="H7211" s="1604">
        <v>2</v>
      </c>
      <c r="I7211" s="1603"/>
      <c r="J7211" s="1603"/>
      <c r="K7211" s="1606">
        <v>16465.46</v>
      </c>
      <c r="L7211" s="1606">
        <v>16465.46</v>
      </c>
      <c r="M7211" s="1607"/>
      <c r="N7211" s="1606">
        <v>16465.46</v>
      </c>
      <c r="O7211" s="1606">
        <v>15214.94</v>
      </c>
      <c r="P7211" s="1607"/>
      <c r="Q7211" s="1606">
        <v>1250.52</v>
      </c>
      <c r="R7211" s="1606">
        <v>1250.52</v>
      </c>
      <c r="S7211" s="1608"/>
    </row>
    <row r="7212" spans="2:19" s="1609" customFormat="1" ht="11.25" customHeight="1" outlineLevel="1">
      <c r="B7212" s="1612" t="s">
        <v>2945</v>
      </c>
      <c r="C7212" s="1603" t="s">
        <v>2414</v>
      </c>
      <c r="D7212" s="1603" t="s">
        <v>2944</v>
      </c>
      <c r="E7212" s="1603"/>
      <c r="F7212" s="1603"/>
      <c r="G7212" s="1603" t="s">
        <v>2943</v>
      </c>
      <c r="H7212" s="1604">
        <v>2</v>
      </c>
      <c r="I7212" s="1603"/>
      <c r="J7212" s="1603"/>
      <c r="K7212" s="1606">
        <v>25397.63</v>
      </c>
      <c r="L7212" s="1606">
        <v>25397.63</v>
      </c>
      <c r="M7212" s="1607"/>
      <c r="N7212" s="1606">
        <v>25397.63</v>
      </c>
      <c r="O7212" s="1606">
        <v>23468.75</v>
      </c>
      <c r="P7212" s="1607"/>
      <c r="Q7212" s="1606">
        <v>1928.88</v>
      </c>
      <c r="R7212" s="1606">
        <v>1928.88</v>
      </c>
      <c r="S7212" s="1608"/>
    </row>
    <row r="7213" spans="2:19" s="1609" customFormat="1" ht="11.25" customHeight="1" outlineLevel="1">
      <c r="B7213" s="1612" t="s">
        <v>2942</v>
      </c>
      <c r="C7213" s="1603" t="s">
        <v>2414</v>
      </c>
      <c r="D7213" s="1603" t="s">
        <v>2941</v>
      </c>
      <c r="E7213" s="1603"/>
      <c r="F7213" s="1603"/>
      <c r="G7213" s="1603" t="s">
        <v>2940</v>
      </c>
      <c r="H7213" s="1604">
        <v>2</v>
      </c>
      <c r="I7213" s="1603"/>
      <c r="J7213" s="1603"/>
      <c r="K7213" s="1606">
        <v>2159.4</v>
      </c>
      <c r="L7213" s="1606">
        <v>2159.4</v>
      </c>
      <c r="M7213" s="1607"/>
      <c r="N7213" s="1606">
        <v>2159.4</v>
      </c>
      <c r="O7213" s="1606">
        <v>1995.36</v>
      </c>
      <c r="P7213" s="1607"/>
      <c r="Q7213" s="1605">
        <v>164.04</v>
      </c>
      <c r="R7213" s="1605">
        <v>164.04</v>
      </c>
      <c r="S7213" s="1608"/>
    </row>
    <row r="7214" spans="2:19" s="1609" customFormat="1" ht="11.25" customHeight="1" outlineLevel="1">
      <c r="B7214" s="1612" t="s">
        <v>2939</v>
      </c>
      <c r="C7214" s="1603" t="s">
        <v>2414</v>
      </c>
      <c r="D7214" s="1603" t="s">
        <v>2938</v>
      </c>
      <c r="E7214" s="1603"/>
      <c r="F7214" s="1603"/>
      <c r="G7214" s="1603" t="s">
        <v>2937</v>
      </c>
      <c r="H7214" s="1604">
        <v>2</v>
      </c>
      <c r="I7214" s="1603"/>
      <c r="J7214" s="1603"/>
      <c r="K7214" s="1606">
        <v>12487.63</v>
      </c>
      <c r="L7214" s="1606">
        <v>12487.63</v>
      </c>
      <c r="M7214" s="1607"/>
      <c r="N7214" s="1606">
        <v>12487.63</v>
      </c>
      <c r="O7214" s="1606">
        <v>11539.15</v>
      </c>
      <c r="P7214" s="1607"/>
      <c r="Q7214" s="1605">
        <v>948.48</v>
      </c>
      <c r="R7214" s="1605">
        <v>948.48</v>
      </c>
      <c r="S7214" s="1608"/>
    </row>
    <row r="7215" spans="2:19" s="1609" customFormat="1" ht="11.25" customHeight="1" outlineLevel="1">
      <c r="B7215" s="1612" t="s">
        <v>2936</v>
      </c>
      <c r="C7215" s="1603" t="s">
        <v>2414</v>
      </c>
      <c r="D7215" s="1603" t="s">
        <v>2935</v>
      </c>
      <c r="E7215" s="1603"/>
      <c r="F7215" s="1603"/>
      <c r="G7215" s="1603" t="s">
        <v>2934</v>
      </c>
      <c r="H7215" s="1604">
        <v>2</v>
      </c>
      <c r="I7215" s="1603"/>
      <c r="J7215" s="1603"/>
      <c r="K7215" s="1606">
        <v>4273.82</v>
      </c>
      <c r="L7215" s="1606">
        <v>4273.82</v>
      </c>
      <c r="M7215" s="1607"/>
      <c r="N7215" s="1606">
        <v>4273.82</v>
      </c>
      <c r="O7215" s="1606">
        <v>3949.22</v>
      </c>
      <c r="P7215" s="1607"/>
      <c r="Q7215" s="1605">
        <v>324.60000000000002</v>
      </c>
      <c r="R7215" s="1605">
        <v>324.60000000000002</v>
      </c>
      <c r="S7215" s="1608"/>
    </row>
    <row r="7216" spans="2:19" s="1609" customFormat="1" ht="11.25" customHeight="1" outlineLevel="1">
      <c r="B7216" s="1612" t="s">
        <v>2933</v>
      </c>
      <c r="C7216" s="1603" t="s">
        <v>2414</v>
      </c>
      <c r="D7216" s="1603" t="s">
        <v>2932</v>
      </c>
      <c r="E7216" s="1603"/>
      <c r="F7216" s="1603"/>
      <c r="G7216" s="1603" t="s">
        <v>2931</v>
      </c>
      <c r="H7216" s="1604">
        <v>2</v>
      </c>
      <c r="I7216" s="1604">
        <v>43</v>
      </c>
      <c r="J7216" s="1603"/>
      <c r="K7216" s="1606">
        <v>4836.17</v>
      </c>
      <c r="L7216" s="1606">
        <v>4836.17</v>
      </c>
      <c r="M7216" s="1607"/>
      <c r="N7216" s="1606">
        <v>4836.17</v>
      </c>
      <c r="O7216" s="1606">
        <v>4298.8100000000004</v>
      </c>
      <c r="P7216" s="1607"/>
      <c r="Q7216" s="1605">
        <v>537.36</v>
      </c>
      <c r="R7216" s="1605">
        <v>537.36</v>
      </c>
      <c r="S7216" s="1608"/>
    </row>
    <row r="7217" spans="2:19" s="1609" customFormat="1" ht="21.75" customHeight="1" outlineLevel="1">
      <c r="B7217" s="1612" t="s">
        <v>2930</v>
      </c>
      <c r="C7217" s="1603" t="s">
        <v>2414</v>
      </c>
      <c r="D7217" s="1603" t="s">
        <v>2929</v>
      </c>
      <c r="E7217" s="1603" t="s">
        <v>2219</v>
      </c>
      <c r="F7217" s="1603" t="s">
        <v>2928</v>
      </c>
      <c r="G7217" s="1603" t="s">
        <v>2927</v>
      </c>
      <c r="H7217" s="1604">
        <v>2</v>
      </c>
      <c r="I7217" s="1603"/>
      <c r="J7217" s="1603"/>
      <c r="K7217" s="1606">
        <v>109321.42</v>
      </c>
      <c r="L7217" s="1606">
        <v>109321.42</v>
      </c>
      <c r="M7217" s="1607"/>
      <c r="N7217" s="1606">
        <v>109321.42</v>
      </c>
      <c r="O7217" s="1606">
        <v>97174.56</v>
      </c>
      <c r="P7217" s="1607"/>
      <c r="Q7217" s="1606">
        <v>12146.86</v>
      </c>
      <c r="R7217" s="1606">
        <v>12146.86</v>
      </c>
      <c r="S7217" s="1608"/>
    </row>
    <row r="7218" spans="2:19" s="1609" customFormat="1" ht="21.75" customHeight="1" outlineLevel="1">
      <c r="B7218" s="1612" t="s">
        <v>2926</v>
      </c>
      <c r="C7218" s="1603" t="s">
        <v>2414</v>
      </c>
      <c r="D7218" s="1603" t="s">
        <v>2925</v>
      </c>
      <c r="E7218" s="1603" t="s">
        <v>2219</v>
      </c>
      <c r="F7218" s="1603" t="s">
        <v>2924</v>
      </c>
      <c r="G7218" s="1603"/>
      <c r="H7218" s="1604">
        <v>2</v>
      </c>
      <c r="I7218" s="1610">
        <v>446</v>
      </c>
      <c r="J7218" s="1603"/>
      <c r="K7218" s="1606">
        <v>714786.36</v>
      </c>
      <c r="L7218" s="1606">
        <v>714786.36</v>
      </c>
      <c r="M7218" s="1607"/>
      <c r="N7218" s="1606">
        <v>714786.36</v>
      </c>
      <c r="O7218" s="1606">
        <v>635365.68000000005</v>
      </c>
      <c r="P7218" s="1607"/>
      <c r="Q7218" s="1606">
        <v>79420.679999999993</v>
      </c>
      <c r="R7218" s="1606">
        <v>79420.679999999993</v>
      </c>
      <c r="S7218" s="1608"/>
    </row>
    <row r="7219" spans="2:19" s="1609" customFormat="1" ht="21.75" customHeight="1" outlineLevel="1">
      <c r="B7219" s="1612" t="s">
        <v>2923</v>
      </c>
      <c r="C7219" s="1603" t="s">
        <v>2414</v>
      </c>
      <c r="D7219" s="1603" t="s">
        <v>2922</v>
      </c>
      <c r="E7219" s="1603" t="s">
        <v>2219</v>
      </c>
      <c r="F7219" s="1603" t="s">
        <v>2921</v>
      </c>
      <c r="G7219" s="1603"/>
      <c r="H7219" s="1604">
        <v>2</v>
      </c>
      <c r="I7219" s="1603"/>
      <c r="J7219" s="1603"/>
      <c r="K7219" s="1606">
        <v>336558.6</v>
      </c>
      <c r="L7219" s="1606">
        <v>336558.6</v>
      </c>
      <c r="M7219" s="1607"/>
      <c r="N7219" s="1606">
        <v>336558.6</v>
      </c>
      <c r="O7219" s="1606">
        <v>299163.24</v>
      </c>
      <c r="P7219" s="1607"/>
      <c r="Q7219" s="1606">
        <v>37395.360000000001</v>
      </c>
      <c r="R7219" s="1606">
        <v>37395.360000000001</v>
      </c>
      <c r="S7219" s="1608"/>
    </row>
    <row r="7220" spans="2:19" s="1609" customFormat="1" ht="21.75" customHeight="1" outlineLevel="1">
      <c r="B7220" s="1612" t="s">
        <v>2920</v>
      </c>
      <c r="C7220" s="1603" t="s">
        <v>2414</v>
      </c>
      <c r="D7220" s="1603" t="s">
        <v>2919</v>
      </c>
      <c r="E7220" s="1603" t="s">
        <v>2219</v>
      </c>
      <c r="F7220" s="1603" t="s">
        <v>2912</v>
      </c>
      <c r="G7220" s="1603" t="s">
        <v>2918</v>
      </c>
      <c r="H7220" s="1604">
        <v>2</v>
      </c>
      <c r="I7220" s="1603"/>
      <c r="J7220" s="1603"/>
      <c r="K7220" s="1606">
        <v>17201.88</v>
      </c>
      <c r="L7220" s="1606">
        <v>17201.88</v>
      </c>
      <c r="M7220" s="1607"/>
      <c r="N7220" s="1606">
        <v>17201.88</v>
      </c>
      <c r="O7220" s="1606">
        <v>15638.04</v>
      </c>
      <c r="P7220" s="1607"/>
      <c r="Q7220" s="1606">
        <v>1563.84</v>
      </c>
      <c r="R7220" s="1606">
        <v>1563.84</v>
      </c>
      <c r="S7220" s="1608"/>
    </row>
    <row r="7221" spans="2:19" s="1609" customFormat="1" ht="21.75" customHeight="1" outlineLevel="1">
      <c r="B7221" s="1612" t="s">
        <v>2917</v>
      </c>
      <c r="C7221" s="1603" t="s">
        <v>2414</v>
      </c>
      <c r="D7221" s="1603" t="s">
        <v>2916</v>
      </c>
      <c r="E7221" s="1603" t="s">
        <v>2219</v>
      </c>
      <c r="F7221" s="1603" t="s">
        <v>2912</v>
      </c>
      <c r="G7221" s="1603" t="s">
        <v>2915</v>
      </c>
      <c r="H7221" s="1604">
        <v>2</v>
      </c>
      <c r="I7221" s="1610">
        <v>46</v>
      </c>
      <c r="J7221" s="1603"/>
      <c r="K7221" s="1606">
        <v>10347.15</v>
      </c>
      <c r="L7221" s="1606">
        <v>10347.15</v>
      </c>
      <c r="M7221" s="1607"/>
      <c r="N7221" s="1606">
        <v>10347.15</v>
      </c>
      <c r="O7221" s="1606">
        <v>9406.4699999999993</v>
      </c>
      <c r="P7221" s="1607"/>
      <c r="Q7221" s="1605">
        <v>940.68</v>
      </c>
      <c r="R7221" s="1605">
        <v>940.68</v>
      </c>
      <c r="S7221" s="1608"/>
    </row>
    <row r="7222" spans="2:19" s="1609" customFormat="1" ht="21.75" customHeight="1" outlineLevel="1">
      <c r="B7222" s="1612" t="s">
        <v>2914</v>
      </c>
      <c r="C7222" s="1603" t="s">
        <v>2414</v>
      </c>
      <c r="D7222" s="1603" t="s">
        <v>2913</v>
      </c>
      <c r="E7222" s="1603" t="s">
        <v>2219</v>
      </c>
      <c r="F7222" s="1603" t="s">
        <v>2912</v>
      </c>
      <c r="G7222" s="1603" t="s">
        <v>2911</v>
      </c>
      <c r="H7222" s="1604">
        <v>2</v>
      </c>
      <c r="I7222" s="1610">
        <v>36</v>
      </c>
      <c r="J7222" s="1603"/>
      <c r="K7222" s="1606">
        <v>8097.77</v>
      </c>
      <c r="L7222" s="1606">
        <v>8097.77</v>
      </c>
      <c r="M7222" s="1607"/>
      <c r="N7222" s="1606">
        <v>8097.77</v>
      </c>
      <c r="O7222" s="1606">
        <v>7361.57</v>
      </c>
      <c r="P7222" s="1607"/>
      <c r="Q7222" s="1605">
        <v>736.2</v>
      </c>
      <c r="R7222" s="1605">
        <v>736.2</v>
      </c>
      <c r="S7222" s="1608"/>
    </row>
    <row r="7223" spans="2:19" s="1609" customFormat="1" ht="11.25" customHeight="1" outlineLevel="1">
      <c r="B7223" s="1612" t="s">
        <v>2910</v>
      </c>
      <c r="C7223" s="1603" t="s">
        <v>2414</v>
      </c>
      <c r="D7223" s="1603" t="s">
        <v>2909</v>
      </c>
      <c r="E7223" s="1603" t="s">
        <v>2219</v>
      </c>
      <c r="F7223" s="1603" t="s">
        <v>2908</v>
      </c>
      <c r="G7223" s="1603" t="s">
        <v>2907</v>
      </c>
      <c r="H7223" s="1604">
        <v>2</v>
      </c>
      <c r="I7223" s="1610">
        <v>12</v>
      </c>
      <c r="J7223" s="1603" t="s">
        <v>2906</v>
      </c>
      <c r="K7223" s="1606">
        <v>1349.63</v>
      </c>
      <c r="L7223" s="1606">
        <v>1349.63</v>
      </c>
      <c r="M7223" s="1607"/>
      <c r="N7223" s="1606">
        <v>1349.63</v>
      </c>
      <c r="O7223" s="1606">
        <v>1199.6300000000001</v>
      </c>
      <c r="P7223" s="1607"/>
      <c r="Q7223" s="1605">
        <v>150</v>
      </c>
      <c r="R7223" s="1605">
        <v>150</v>
      </c>
      <c r="S7223" s="1608"/>
    </row>
    <row r="7224" spans="2:19" s="1609" customFormat="1" ht="11.25" customHeight="1" outlineLevel="1">
      <c r="B7224" s="1612" t="s">
        <v>2905</v>
      </c>
      <c r="C7224" s="1603" t="s">
        <v>2414</v>
      </c>
      <c r="D7224" s="1603" t="s">
        <v>2904</v>
      </c>
      <c r="E7224" s="1603" t="s">
        <v>2219</v>
      </c>
      <c r="F7224" s="1603" t="s">
        <v>2899</v>
      </c>
      <c r="G7224" s="1603"/>
      <c r="H7224" s="1604">
        <v>2</v>
      </c>
      <c r="I7224" s="1610">
        <v>14</v>
      </c>
      <c r="J7224" s="1603"/>
      <c r="K7224" s="1606">
        <v>1574.57</v>
      </c>
      <c r="L7224" s="1606">
        <v>1574.57</v>
      </c>
      <c r="M7224" s="1607"/>
      <c r="N7224" s="1606">
        <v>1574.57</v>
      </c>
      <c r="O7224" s="1606">
        <v>1399.61</v>
      </c>
      <c r="P7224" s="1607"/>
      <c r="Q7224" s="1605">
        <v>174.96</v>
      </c>
      <c r="R7224" s="1605">
        <v>174.96</v>
      </c>
      <c r="S7224" s="1608"/>
    </row>
    <row r="7225" spans="2:19" s="1609" customFormat="1" ht="11.25" customHeight="1" outlineLevel="1">
      <c r="B7225" s="1612" t="s">
        <v>2903</v>
      </c>
      <c r="C7225" s="1603" t="s">
        <v>2414</v>
      </c>
      <c r="D7225" s="1603" t="s">
        <v>2902</v>
      </c>
      <c r="E7225" s="1603" t="s">
        <v>2219</v>
      </c>
      <c r="F7225" s="1603" t="s">
        <v>2899</v>
      </c>
      <c r="G7225" s="1603"/>
      <c r="H7225" s="1604">
        <v>2</v>
      </c>
      <c r="I7225" s="1610">
        <v>23</v>
      </c>
      <c r="J7225" s="1603"/>
      <c r="K7225" s="1606">
        <v>2586.79</v>
      </c>
      <c r="L7225" s="1606">
        <v>2586.79</v>
      </c>
      <c r="M7225" s="1607"/>
      <c r="N7225" s="1606">
        <v>2586.79</v>
      </c>
      <c r="O7225" s="1606">
        <v>2299.39</v>
      </c>
      <c r="P7225" s="1607"/>
      <c r="Q7225" s="1605">
        <v>287.39999999999998</v>
      </c>
      <c r="R7225" s="1605">
        <v>287.39999999999998</v>
      </c>
      <c r="S7225" s="1608"/>
    </row>
    <row r="7226" spans="2:19" s="1609" customFormat="1" ht="11.25" customHeight="1" outlineLevel="1">
      <c r="B7226" s="1612" t="s">
        <v>2901</v>
      </c>
      <c r="C7226" s="1603" t="s">
        <v>2414</v>
      </c>
      <c r="D7226" s="1603" t="s">
        <v>2900</v>
      </c>
      <c r="E7226" s="1603" t="s">
        <v>2219</v>
      </c>
      <c r="F7226" s="1603" t="s">
        <v>2899</v>
      </c>
      <c r="G7226" s="1603"/>
      <c r="H7226" s="1604">
        <v>2</v>
      </c>
      <c r="I7226" s="1610">
        <v>41</v>
      </c>
      <c r="J7226" s="1603"/>
      <c r="K7226" s="1606">
        <v>4611.2299999999996</v>
      </c>
      <c r="L7226" s="1606">
        <v>4611.2299999999996</v>
      </c>
      <c r="M7226" s="1607"/>
      <c r="N7226" s="1606">
        <v>4611.2299999999996</v>
      </c>
      <c r="O7226" s="1606">
        <v>4098.83</v>
      </c>
      <c r="P7226" s="1607"/>
      <c r="Q7226" s="1605">
        <v>512.4</v>
      </c>
      <c r="R7226" s="1605">
        <v>512.4</v>
      </c>
      <c r="S7226" s="1608"/>
    </row>
    <row r="7227" spans="2:19" s="1609" customFormat="1" ht="21.75" customHeight="1" outlineLevel="1">
      <c r="B7227" s="1612" t="s">
        <v>2898</v>
      </c>
      <c r="C7227" s="1603" t="s">
        <v>2414</v>
      </c>
      <c r="D7227" s="1603" t="s">
        <v>2897</v>
      </c>
      <c r="E7227" s="1603" t="s">
        <v>2219</v>
      </c>
      <c r="F7227" s="1603" t="s">
        <v>2892</v>
      </c>
      <c r="G7227" s="1603"/>
      <c r="H7227" s="1604">
        <v>2</v>
      </c>
      <c r="I7227" s="1610">
        <v>14</v>
      </c>
      <c r="J7227" s="1603"/>
      <c r="K7227" s="1606">
        <v>4772.1000000000004</v>
      </c>
      <c r="L7227" s="1606">
        <v>4772.1000000000004</v>
      </c>
      <c r="M7227" s="1607"/>
      <c r="N7227" s="1606">
        <v>4772.1000000000004</v>
      </c>
      <c r="O7227" s="1606">
        <v>4241.82</v>
      </c>
      <c r="P7227" s="1607"/>
      <c r="Q7227" s="1605">
        <v>530.28</v>
      </c>
      <c r="R7227" s="1605">
        <v>530.28</v>
      </c>
      <c r="S7227" s="1608"/>
    </row>
    <row r="7228" spans="2:19" s="1609" customFormat="1" ht="21.75" customHeight="1" outlineLevel="1">
      <c r="B7228" s="1612" t="s">
        <v>2896</v>
      </c>
      <c r="C7228" s="1603" t="s">
        <v>2414</v>
      </c>
      <c r="D7228" s="1603" t="s">
        <v>2895</v>
      </c>
      <c r="E7228" s="1603" t="s">
        <v>2219</v>
      </c>
      <c r="F7228" s="1603" t="s">
        <v>2892</v>
      </c>
      <c r="G7228" s="1603"/>
      <c r="H7228" s="1604">
        <v>2</v>
      </c>
      <c r="I7228" s="1610">
        <v>39</v>
      </c>
      <c r="J7228" s="1603"/>
      <c r="K7228" s="1606">
        <v>9071.9</v>
      </c>
      <c r="L7228" s="1606">
        <v>9071.9</v>
      </c>
      <c r="M7228" s="1607"/>
      <c r="N7228" s="1606">
        <v>9071.9</v>
      </c>
      <c r="O7228" s="1606">
        <v>8063.9</v>
      </c>
      <c r="P7228" s="1607"/>
      <c r="Q7228" s="1606">
        <v>1008</v>
      </c>
      <c r="R7228" s="1606">
        <v>1008</v>
      </c>
      <c r="S7228" s="1608"/>
    </row>
    <row r="7229" spans="2:19" s="1609" customFormat="1" ht="21.75" customHeight="1" outlineLevel="1">
      <c r="B7229" s="1612" t="s">
        <v>2894</v>
      </c>
      <c r="C7229" s="1603" t="s">
        <v>2414</v>
      </c>
      <c r="D7229" s="1603" t="s">
        <v>2893</v>
      </c>
      <c r="E7229" s="1603" t="s">
        <v>2219</v>
      </c>
      <c r="F7229" s="1603" t="s">
        <v>2892</v>
      </c>
      <c r="G7229" s="1603"/>
      <c r="H7229" s="1604">
        <v>2</v>
      </c>
      <c r="I7229" s="1610">
        <v>63</v>
      </c>
      <c r="J7229" s="1603"/>
      <c r="K7229" s="1606">
        <v>14654.61</v>
      </c>
      <c r="L7229" s="1606">
        <v>14654.61</v>
      </c>
      <c r="M7229" s="1607"/>
      <c r="N7229" s="1606">
        <v>14654.61</v>
      </c>
      <c r="O7229" s="1606">
        <v>13026.33</v>
      </c>
      <c r="P7229" s="1607"/>
      <c r="Q7229" s="1606">
        <v>1628.28</v>
      </c>
      <c r="R7229" s="1606">
        <v>1628.28</v>
      </c>
      <c r="S7229" s="1608"/>
    </row>
    <row r="7230" spans="2:19" s="1609" customFormat="1" ht="11.25" customHeight="1" outlineLevel="1">
      <c r="B7230" s="1612" t="s">
        <v>2891</v>
      </c>
      <c r="C7230" s="1603" t="s">
        <v>2414</v>
      </c>
      <c r="D7230" s="1603" t="s">
        <v>2890</v>
      </c>
      <c r="E7230" s="1603" t="s">
        <v>2219</v>
      </c>
      <c r="F7230" s="1603" t="s">
        <v>2881</v>
      </c>
      <c r="G7230" s="1603"/>
      <c r="H7230" s="1604">
        <v>2</v>
      </c>
      <c r="I7230" s="1610">
        <v>11</v>
      </c>
      <c r="J7230" s="1603"/>
      <c r="K7230" s="1606">
        <v>2474.3200000000002</v>
      </c>
      <c r="L7230" s="1606">
        <v>2474.3200000000002</v>
      </c>
      <c r="M7230" s="1607"/>
      <c r="N7230" s="1606">
        <v>2474.3200000000002</v>
      </c>
      <c r="O7230" s="1606">
        <v>2199.4</v>
      </c>
      <c r="P7230" s="1607"/>
      <c r="Q7230" s="1605">
        <v>274.92</v>
      </c>
      <c r="R7230" s="1605">
        <v>274.92</v>
      </c>
      <c r="S7230" s="1608"/>
    </row>
    <row r="7231" spans="2:19" s="1609" customFormat="1" ht="21.75" customHeight="1" outlineLevel="1">
      <c r="B7231" s="1612" t="s">
        <v>2889</v>
      </c>
      <c r="C7231" s="1603" t="s">
        <v>2414</v>
      </c>
      <c r="D7231" s="1603" t="s">
        <v>2888</v>
      </c>
      <c r="E7231" s="1603" t="s">
        <v>2219</v>
      </c>
      <c r="F7231" s="1603" t="s">
        <v>2881</v>
      </c>
      <c r="G7231" s="1603"/>
      <c r="H7231" s="1604">
        <v>2</v>
      </c>
      <c r="I7231" s="1610">
        <v>14</v>
      </c>
      <c r="J7231" s="1603"/>
      <c r="K7231" s="1606">
        <v>1574.57</v>
      </c>
      <c r="L7231" s="1606">
        <v>1574.57</v>
      </c>
      <c r="M7231" s="1607"/>
      <c r="N7231" s="1606">
        <v>1574.57</v>
      </c>
      <c r="O7231" s="1606">
        <v>1399.61</v>
      </c>
      <c r="P7231" s="1607"/>
      <c r="Q7231" s="1605">
        <v>174.96</v>
      </c>
      <c r="R7231" s="1605">
        <v>174.96</v>
      </c>
      <c r="S7231" s="1608"/>
    </row>
    <row r="7232" spans="2:19" s="1609" customFormat="1" ht="21.75" customHeight="1" outlineLevel="1">
      <c r="B7232" s="1612" t="s">
        <v>2887</v>
      </c>
      <c r="C7232" s="1603" t="s">
        <v>2414</v>
      </c>
      <c r="D7232" s="1603" t="s">
        <v>2886</v>
      </c>
      <c r="E7232" s="1603" t="s">
        <v>2219</v>
      </c>
      <c r="F7232" s="1603" t="s">
        <v>2881</v>
      </c>
      <c r="G7232" s="1603"/>
      <c r="H7232" s="1604">
        <v>2</v>
      </c>
      <c r="I7232" s="1610">
        <v>67</v>
      </c>
      <c r="J7232" s="1603"/>
      <c r="K7232" s="1606">
        <v>7535.42</v>
      </c>
      <c r="L7232" s="1606">
        <v>7535.42</v>
      </c>
      <c r="M7232" s="1607"/>
      <c r="N7232" s="1606">
        <v>7535.42</v>
      </c>
      <c r="O7232" s="1606">
        <v>6698.18</v>
      </c>
      <c r="P7232" s="1607"/>
      <c r="Q7232" s="1605">
        <v>837.24</v>
      </c>
      <c r="R7232" s="1605">
        <v>837.24</v>
      </c>
      <c r="S7232" s="1608"/>
    </row>
    <row r="7233" spans="2:19" s="1609" customFormat="1" ht="21.75" customHeight="1" outlineLevel="1">
      <c r="B7233" s="1612" t="s">
        <v>2885</v>
      </c>
      <c r="C7233" s="1603" t="s">
        <v>2414</v>
      </c>
      <c r="D7233" s="1603" t="s">
        <v>2884</v>
      </c>
      <c r="E7233" s="1603" t="s">
        <v>2219</v>
      </c>
      <c r="F7233" s="1603" t="s">
        <v>2881</v>
      </c>
      <c r="G7233" s="1603"/>
      <c r="H7233" s="1604">
        <v>2</v>
      </c>
      <c r="I7233" s="1610">
        <v>32</v>
      </c>
      <c r="J7233" s="1603"/>
      <c r="K7233" s="1606">
        <v>7198.01</v>
      </c>
      <c r="L7233" s="1606">
        <v>7198.01</v>
      </c>
      <c r="M7233" s="1607"/>
      <c r="N7233" s="1606">
        <v>7198.01</v>
      </c>
      <c r="O7233" s="1606">
        <v>6398.21</v>
      </c>
      <c r="P7233" s="1607"/>
      <c r="Q7233" s="1605">
        <v>799.8</v>
      </c>
      <c r="R7233" s="1605">
        <v>799.8</v>
      </c>
      <c r="S7233" s="1608"/>
    </row>
    <row r="7234" spans="2:19" s="1609" customFormat="1" ht="21.75" customHeight="1" outlineLevel="1">
      <c r="B7234" s="1612" t="s">
        <v>2883</v>
      </c>
      <c r="C7234" s="1603" t="s">
        <v>2414</v>
      </c>
      <c r="D7234" s="1603" t="s">
        <v>2882</v>
      </c>
      <c r="E7234" s="1603" t="s">
        <v>2219</v>
      </c>
      <c r="F7234" s="1603" t="s">
        <v>2881</v>
      </c>
      <c r="G7234" s="1603"/>
      <c r="H7234" s="1604">
        <v>2</v>
      </c>
      <c r="I7234" s="1610">
        <v>50</v>
      </c>
      <c r="J7234" s="1603"/>
      <c r="K7234" s="1606">
        <v>11246.9</v>
      </c>
      <c r="L7234" s="1606">
        <v>11246.9</v>
      </c>
      <c r="M7234" s="1607"/>
      <c r="N7234" s="1606">
        <v>11246.9</v>
      </c>
      <c r="O7234" s="1606">
        <v>9997.2199999999993</v>
      </c>
      <c r="P7234" s="1607"/>
      <c r="Q7234" s="1606">
        <v>1249.68</v>
      </c>
      <c r="R7234" s="1606">
        <v>1249.68</v>
      </c>
      <c r="S7234" s="1608"/>
    </row>
    <row r="7235" spans="2:19" s="1609" customFormat="1" ht="21.75" customHeight="1" outlineLevel="1">
      <c r="B7235" s="1612" t="s">
        <v>2880</v>
      </c>
      <c r="C7235" s="1603" t="s">
        <v>2414</v>
      </c>
      <c r="D7235" s="1603" t="s">
        <v>2879</v>
      </c>
      <c r="E7235" s="1603" t="s">
        <v>2219</v>
      </c>
      <c r="F7235" s="1603" t="s">
        <v>2860</v>
      </c>
      <c r="G7235" s="1603"/>
      <c r="H7235" s="1604">
        <v>2</v>
      </c>
      <c r="I7235" s="1610">
        <v>141</v>
      </c>
      <c r="J7235" s="1603"/>
      <c r="K7235" s="1606">
        <v>31716.25</v>
      </c>
      <c r="L7235" s="1606">
        <v>31716.25</v>
      </c>
      <c r="M7235" s="1607"/>
      <c r="N7235" s="1606">
        <v>31716.25</v>
      </c>
      <c r="O7235" s="1606">
        <v>28192.21</v>
      </c>
      <c r="P7235" s="1607"/>
      <c r="Q7235" s="1606">
        <v>3524.04</v>
      </c>
      <c r="R7235" s="1606">
        <v>3524.04</v>
      </c>
      <c r="S7235" s="1608"/>
    </row>
    <row r="7236" spans="2:19" s="1609" customFormat="1" ht="21.75" customHeight="1" outlineLevel="1">
      <c r="B7236" s="1612" t="s">
        <v>2878</v>
      </c>
      <c r="C7236" s="1603" t="s">
        <v>2414</v>
      </c>
      <c r="D7236" s="1603" t="s">
        <v>2877</v>
      </c>
      <c r="E7236" s="1603" t="s">
        <v>2219</v>
      </c>
      <c r="F7236" s="1603" t="s">
        <v>2860</v>
      </c>
      <c r="G7236" s="1603"/>
      <c r="H7236" s="1604">
        <v>2</v>
      </c>
      <c r="I7236" s="1610">
        <v>67</v>
      </c>
      <c r="J7236" s="1603"/>
      <c r="K7236" s="1606">
        <v>30141.69</v>
      </c>
      <c r="L7236" s="1606">
        <v>30141.69</v>
      </c>
      <c r="M7236" s="1607"/>
      <c r="N7236" s="1606">
        <v>30141.69</v>
      </c>
      <c r="O7236" s="1606">
        <v>26792.61</v>
      </c>
      <c r="P7236" s="1607"/>
      <c r="Q7236" s="1606">
        <v>3349.08</v>
      </c>
      <c r="R7236" s="1606">
        <v>3349.08</v>
      </c>
      <c r="S7236" s="1608"/>
    </row>
    <row r="7237" spans="2:19" s="1609" customFormat="1" ht="21.75" customHeight="1" outlineLevel="1">
      <c r="B7237" s="1612" t="s">
        <v>2876</v>
      </c>
      <c r="C7237" s="1603" t="s">
        <v>2414</v>
      </c>
      <c r="D7237" s="1603" t="s">
        <v>2875</v>
      </c>
      <c r="E7237" s="1603" t="s">
        <v>2219</v>
      </c>
      <c r="F7237" s="1603" t="s">
        <v>2860</v>
      </c>
      <c r="G7237" s="1603"/>
      <c r="H7237" s="1604">
        <v>2</v>
      </c>
      <c r="I7237" s="1610">
        <v>337</v>
      </c>
      <c r="J7237" s="1603"/>
      <c r="K7237" s="1606">
        <v>78390.539999999994</v>
      </c>
      <c r="L7237" s="1606">
        <v>78390.539999999994</v>
      </c>
      <c r="M7237" s="1607"/>
      <c r="N7237" s="1606">
        <v>78390.539999999994</v>
      </c>
      <c r="O7237" s="1606">
        <v>69680.460000000006</v>
      </c>
      <c r="P7237" s="1607"/>
      <c r="Q7237" s="1606">
        <v>8710.08</v>
      </c>
      <c r="R7237" s="1606">
        <v>8710.08</v>
      </c>
      <c r="S7237" s="1608"/>
    </row>
    <row r="7238" spans="2:19" s="1609" customFormat="1" ht="11.25" customHeight="1" outlineLevel="1">
      <c r="B7238" s="1612" t="s">
        <v>2874</v>
      </c>
      <c r="C7238" s="1603" t="s">
        <v>2414</v>
      </c>
      <c r="D7238" s="1603" t="s">
        <v>2873</v>
      </c>
      <c r="E7238" s="1603" t="s">
        <v>2219</v>
      </c>
      <c r="F7238" s="1603" t="s">
        <v>2860</v>
      </c>
      <c r="G7238" s="1603"/>
      <c r="H7238" s="1604">
        <v>2</v>
      </c>
      <c r="I7238" s="1610">
        <v>20</v>
      </c>
      <c r="J7238" s="1603"/>
      <c r="K7238" s="1606">
        <v>4498.76</v>
      </c>
      <c r="L7238" s="1606">
        <v>4498.76</v>
      </c>
      <c r="M7238" s="1607"/>
      <c r="N7238" s="1606">
        <v>4498.76</v>
      </c>
      <c r="O7238" s="1606">
        <v>3998.88</v>
      </c>
      <c r="P7238" s="1607"/>
      <c r="Q7238" s="1605">
        <v>499.88</v>
      </c>
      <c r="R7238" s="1605">
        <v>499.88</v>
      </c>
      <c r="S7238" s="1608"/>
    </row>
    <row r="7239" spans="2:19" s="1609" customFormat="1" ht="11.25" customHeight="1" outlineLevel="1">
      <c r="B7239" s="1612" t="s">
        <v>2872</v>
      </c>
      <c r="C7239" s="1603" t="s">
        <v>2414</v>
      </c>
      <c r="D7239" s="1603" t="s">
        <v>2871</v>
      </c>
      <c r="E7239" s="1603" t="s">
        <v>2219</v>
      </c>
      <c r="F7239" s="1603" t="s">
        <v>2860</v>
      </c>
      <c r="G7239" s="1603"/>
      <c r="H7239" s="1604">
        <v>2</v>
      </c>
      <c r="I7239" s="1610">
        <v>76</v>
      </c>
      <c r="J7239" s="1603"/>
      <c r="K7239" s="1606">
        <v>17095.29</v>
      </c>
      <c r="L7239" s="1606">
        <v>17095.29</v>
      </c>
      <c r="M7239" s="1607"/>
      <c r="N7239" s="1606">
        <v>17095.29</v>
      </c>
      <c r="O7239" s="1606">
        <v>15195.81</v>
      </c>
      <c r="P7239" s="1607"/>
      <c r="Q7239" s="1606">
        <v>1899.48</v>
      </c>
      <c r="R7239" s="1606">
        <v>1899.48</v>
      </c>
      <c r="S7239" s="1608"/>
    </row>
    <row r="7240" spans="2:19" s="1609" customFormat="1" ht="11.25" customHeight="1" outlineLevel="1">
      <c r="B7240" s="1612" t="s">
        <v>2870</v>
      </c>
      <c r="C7240" s="1603" t="s">
        <v>2414</v>
      </c>
      <c r="D7240" s="1603" t="s">
        <v>2869</v>
      </c>
      <c r="E7240" s="1603" t="s">
        <v>2219</v>
      </c>
      <c r="F7240" s="1603" t="s">
        <v>2860</v>
      </c>
      <c r="G7240" s="1603"/>
      <c r="H7240" s="1604">
        <v>2</v>
      </c>
      <c r="I7240" s="1610">
        <v>18</v>
      </c>
      <c r="J7240" s="1603"/>
      <c r="K7240" s="1606">
        <v>3056.58</v>
      </c>
      <c r="L7240" s="1606">
        <v>3056.58</v>
      </c>
      <c r="M7240" s="1607"/>
      <c r="N7240" s="1606">
        <v>3056.58</v>
      </c>
      <c r="O7240" s="1606">
        <v>2716.98</v>
      </c>
      <c r="P7240" s="1607"/>
      <c r="Q7240" s="1605">
        <v>339.6</v>
      </c>
      <c r="R7240" s="1605">
        <v>339.6</v>
      </c>
      <c r="S7240" s="1608"/>
    </row>
    <row r="7241" spans="2:19" s="1609" customFormat="1" ht="11.25" customHeight="1" outlineLevel="1">
      <c r="B7241" s="1612" t="s">
        <v>2868</v>
      </c>
      <c r="C7241" s="1603" t="s">
        <v>2414</v>
      </c>
      <c r="D7241" s="1603" t="s">
        <v>2867</v>
      </c>
      <c r="E7241" s="1603" t="s">
        <v>2219</v>
      </c>
      <c r="F7241" s="1603" t="s">
        <v>2860</v>
      </c>
      <c r="G7241" s="1603"/>
      <c r="H7241" s="1604">
        <v>2</v>
      </c>
      <c r="I7241" s="1610">
        <v>30</v>
      </c>
      <c r="J7241" s="1603"/>
      <c r="K7241" s="1606">
        <v>13773.12</v>
      </c>
      <c r="L7241" s="1606">
        <v>13773.12</v>
      </c>
      <c r="M7241" s="1607"/>
      <c r="N7241" s="1606">
        <v>13773.12</v>
      </c>
      <c r="O7241" s="1606">
        <v>12242.76</v>
      </c>
      <c r="P7241" s="1607"/>
      <c r="Q7241" s="1606">
        <v>1530.36</v>
      </c>
      <c r="R7241" s="1606">
        <v>1530.36</v>
      </c>
      <c r="S7241" s="1608"/>
    </row>
    <row r="7242" spans="2:19" s="1609" customFormat="1" ht="11.25" customHeight="1" outlineLevel="1">
      <c r="B7242" s="1612" t="s">
        <v>2866</v>
      </c>
      <c r="C7242" s="1603" t="s">
        <v>2414</v>
      </c>
      <c r="D7242" s="1603" t="s">
        <v>2865</v>
      </c>
      <c r="E7242" s="1603" t="s">
        <v>2219</v>
      </c>
      <c r="F7242" s="1603" t="s">
        <v>2860</v>
      </c>
      <c r="G7242" s="1603"/>
      <c r="H7242" s="1604">
        <v>2</v>
      </c>
      <c r="I7242" s="1610">
        <v>30</v>
      </c>
      <c r="J7242" s="1603"/>
      <c r="K7242" s="1606">
        <v>6748.14</v>
      </c>
      <c r="L7242" s="1606">
        <v>6748.14</v>
      </c>
      <c r="M7242" s="1607"/>
      <c r="N7242" s="1606">
        <v>6748.14</v>
      </c>
      <c r="O7242" s="1606">
        <v>5998.38</v>
      </c>
      <c r="P7242" s="1607"/>
      <c r="Q7242" s="1605">
        <v>749.76</v>
      </c>
      <c r="R7242" s="1605">
        <v>749.76</v>
      </c>
      <c r="S7242" s="1608"/>
    </row>
    <row r="7243" spans="2:19" s="1609" customFormat="1" ht="21.75" customHeight="1" outlineLevel="1">
      <c r="B7243" s="1612" t="s">
        <v>2864</v>
      </c>
      <c r="C7243" s="1603" t="s">
        <v>2414</v>
      </c>
      <c r="D7243" s="1603" t="s">
        <v>2863</v>
      </c>
      <c r="E7243" s="1603" t="s">
        <v>2219</v>
      </c>
      <c r="F7243" s="1603" t="s">
        <v>2860</v>
      </c>
      <c r="G7243" s="1603"/>
      <c r="H7243" s="1604">
        <v>2</v>
      </c>
      <c r="I7243" s="1610">
        <v>265</v>
      </c>
      <c r="J7243" s="1603"/>
      <c r="K7243" s="1606">
        <v>59608.56</v>
      </c>
      <c r="L7243" s="1606">
        <v>59608.56</v>
      </c>
      <c r="M7243" s="1607"/>
      <c r="N7243" s="1606">
        <v>59608.56</v>
      </c>
      <c r="O7243" s="1606">
        <v>52985.4</v>
      </c>
      <c r="P7243" s="1607"/>
      <c r="Q7243" s="1606">
        <v>6623.16</v>
      </c>
      <c r="R7243" s="1606">
        <v>6623.16</v>
      </c>
      <c r="S7243" s="1608"/>
    </row>
    <row r="7244" spans="2:19" s="1609" customFormat="1" ht="21.75" customHeight="1" outlineLevel="1">
      <c r="B7244" s="1612" t="s">
        <v>2862</v>
      </c>
      <c r="C7244" s="1603" t="s">
        <v>2414</v>
      </c>
      <c r="D7244" s="1603" t="s">
        <v>2861</v>
      </c>
      <c r="E7244" s="1603" t="s">
        <v>2219</v>
      </c>
      <c r="F7244" s="1603" t="s">
        <v>2860</v>
      </c>
      <c r="G7244" s="1603"/>
      <c r="H7244" s="1604">
        <v>2</v>
      </c>
      <c r="I7244" s="1610">
        <v>13</v>
      </c>
      <c r="J7244" s="1603"/>
      <c r="K7244" s="1606">
        <v>2924.19</v>
      </c>
      <c r="L7244" s="1606">
        <v>2924.19</v>
      </c>
      <c r="M7244" s="1607"/>
      <c r="N7244" s="1606">
        <v>2924.19</v>
      </c>
      <c r="O7244" s="1606">
        <v>2599.23</v>
      </c>
      <c r="P7244" s="1607"/>
      <c r="Q7244" s="1605">
        <v>324.95999999999998</v>
      </c>
      <c r="R7244" s="1605">
        <v>324.95999999999998</v>
      </c>
      <c r="S7244" s="1608"/>
    </row>
    <row r="7245" spans="2:19" s="1609" customFormat="1" ht="21.75" customHeight="1" outlineLevel="1">
      <c r="B7245" s="1612" t="s">
        <v>2859</v>
      </c>
      <c r="C7245" s="1603" t="s">
        <v>2414</v>
      </c>
      <c r="D7245" s="1603" t="s">
        <v>2858</v>
      </c>
      <c r="E7245" s="1603" t="s">
        <v>2219</v>
      </c>
      <c r="F7245" s="1603" t="s">
        <v>2833</v>
      </c>
      <c r="G7245" s="1603"/>
      <c r="H7245" s="1604">
        <v>2</v>
      </c>
      <c r="I7245" s="1610">
        <v>268</v>
      </c>
      <c r="J7245" s="1603"/>
      <c r="K7245" s="1606">
        <v>95048.11</v>
      </c>
      <c r="L7245" s="1606">
        <v>95048.11</v>
      </c>
      <c r="M7245" s="1607"/>
      <c r="N7245" s="1606">
        <v>95048.11</v>
      </c>
      <c r="O7245" s="1606">
        <v>84487.2</v>
      </c>
      <c r="P7245" s="1607"/>
      <c r="Q7245" s="1606">
        <v>10560.91</v>
      </c>
      <c r="R7245" s="1606">
        <v>10560.91</v>
      </c>
      <c r="S7245" s="1608"/>
    </row>
    <row r="7246" spans="2:19" s="1609" customFormat="1" ht="11.25" customHeight="1" outlineLevel="1">
      <c r="B7246" s="1612" t="s">
        <v>2857</v>
      </c>
      <c r="C7246" s="1603" t="s">
        <v>2414</v>
      </c>
      <c r="D7246" s="1603" t="s">
        <v>2856</v>
      </c>
      <c r="E7246" s="1603" t="s">
        <v>2219</v>
      </c>
      <c r="F7246" s="1603" t="s">
        <v>2833</v>
      </c>
      <c r="G7246" s="1603"/>
      <c r="H7246" s="1604">
        <v>2</v>
      </c>
      <c r="I7246" s="1610">
        <v>26</v>
      </c>
      <c r="J7246" s="1603"/>
      <c r="K7246" s="1606">
        <v>5848.39</v>
      </c>
      <c r="L7246" s="1606">
        <v>5848.39</v>
      </c>
      <c r="M7246" s="1607"/>
      <c r="N7246" s="1606">
        <v>5848.39</v>
      </c>
      <c r="O7246" s="1606">
        <v>5198.59</v>
      </c>
      <c r="P7246" s="1607"/>
      <c r="Q7246" s="1605">
        <v>649.79999999999995</v>
      </c>
      <c r="R7246" s="1605">
        <v>649.79999999999995</v>
      </c>
      <c r="S7246" s="1608"/>
    </row>
    <row r="7247" spans="2:19" s="1609" customFormat="1" ht="21.75" customHeight="1" outlineLevel="1">
      <c r="B7247" s="1612" t="s">
        <v>2855</v>
      </c>
      <c r="C7247" s="1603" t="s">
        <v>2414</v>
      </c>
      <c r="D7247" s="1603" t="s">
        <v>2854</v>
      </c>
      <c r="E7247" s="1603" t="s">
        <v>2219</v>
      </c>
      <c r="F7247" s="1603" t="s">
        <v>2833</v>
      </c>
      <c r="G7247" s="1603"/>
      <c r="H7247" s="1604">
        <v>2</v>
      </c>
      <c r="I7247" s="1610">
        <v>154</v>
      </c>
      <c r="J7247" s="1603"/>
      <c r="K7247" s="1606">
        <v>34640.449999999997</v>
      </c>
      <c r="L7247" s="1606">
        <v>34640.449999999997</v>
      </c>
      <c r="M7247" s="1607"/>
      <c r="N7247" s="1606">
        <v>34640.449999999997</v>
      </c>
      <c r="O7247" s="1606">
        <v>30791.52</v>
      </c>
      <c r="P7247" s="1607"/>
      <c r="Q7247" s="1606">
        <v>3848.93</v>
      </c>
      <c r="R7247" s="1606">
        <v>3848.93</v>
      </c>
      <c r="S7247" s="1608"/>
    </row>
    <row r="7248" spans="2:19" s="1609" customFormat="1" ht="21.75" customHeight="1" outlineLevel="1">
      <c r="B7248" s="1612" t="s">
        <v>2853</v>
      </c>
      <c r="C7248" s="1603" t="s">
        <v>2414</v>
      </c>
      <c r="D7248" s="1603" t="s">
        <v>2852</v>
      </c>
      <c r="E7248" s="1603" t="s">
        <v>2219</v>
      </c>
      <c r="F7248" s="1603" t="s">
        <v>2851</v>
      </c>
      <c r="G7248" s="1603"/>
      <c r="H7248" s="1604">
        <v>2</v>
      </c>
      <c r="I7248" s="1610">
        <v>37</v>
      </c>
      <c r="J7248" s="1603"/>
      <c r="K7248" s="1606">
        <v>8322.7000000000007</v>
      </c>
      <c r="L7248" s="1606">
        <v>8322.7000000000007</v>
      </c>
      <c r="M7248" s="1607"/>
      <c r="N7248" s="1606">
        <v>8322.7000000000007</v>
      </c>
      <c r="O7248" s="1606">
        <v>7397.98</v>
      </c>
      <c r="P7248" s="1607"/>
      <c r="Q7248" s="1605">
        <v>924.72</v>
      </c>
      <c r="R7248" s="1605">
        <v>924.72</v>
      </c>
      <c r="S7248" s="1608"/>
    </row>
    <row r="7249" spans="2:19" s="1609" customFormat="1" ht="21.75" customHeight="1" outlineLevel="1">
      <c r="B7249" s="1612" t="s">
        <v>2850</v>
      </c>
      <c r="C7249" s="1603" t="s">
        <v>2414</v>
      </c>
      <c r="D7249" s="1603" t="s">
        <v>2849</v>
      </c>
      <c r="E7249" s="1603" t="s">
        <v>2219</v>
      </c>
      <c r="F7249" s="1603" t="s">
        <v>2848</v>
      </c>
      <c r="G7249" s="1603"/>
      <c r="H7249" s="1604">
        <v>2</v>
      </c>
      <c r="I7249" s="1610">
        <v>13</v>
      </c>
      <c r="J7249" s="1603"/>
      <c r="K7249" s="1606">
        <v>2924.19</v>
      </c>
      <c r="L7249" s="1606">
        <v>2924.19</v>
      </c>
      <c r="M7249" s="1607"/>
      <c r="N7249" s="1606">
        <v>2924.19</v>
      </c>
      <c r="O7249" s="1606">
        <v>2599.23</v>
      </c>
      <c r="P7249" s="1607"/>
      <c r="Q7249" s="1605">
        <v>324.95999999999998</v>
      </c>
      <c r="R7249" s="1605">
        <v>324.95999999999998</v>
      </c>
      <c r="S7249" s="1608"/>
    </row>
    <row r="7250" spans="2:19" s="1609" customFormat="1" ht="11.25" customHeight="1" outlineLevel="1">
      <c r="B7250" s="1612" t="s">
        <v>2847</v>
      </c>
      <c r="C7250" s="1603" t="s">
        <v>2414</v>
      </c>
      <c r="D7250" s="1603" t="s">
        <v>2846</v>
      </c>
      <c r="E7250" s="1603" t="s">
        <v>2219</v>
      </c>
      <c r="F7250" s="1603" t="s">
        <v>2833</v>
      </c>
      <c r="G7250" s="1603"/>
      <c r="H7250" s="1604">
        <v>2</v>
      </c>
      <c r="I7250" s="1610">
        <v>47</v>
      </c>
      <c r="J7250" s="1603"/>
      <c r="K7250" s="1606">
        <v>10572.08</v>
      </c>
      <c r="L7250" s="1606">
        <v>10572.08</v>
      </c>
      <c r="M7250" s="1607"/>
      <c r="N7250" s="1606">
        <v>10572.08</v>
      </c>
      <c r="O7250" s="1606">
        <v>9397.4</v>
      </c>
      <c r="P7250" s="1607"/>
      <c r="Q7250" s="1606">
        <v>1174.68</v>
      </c>
      <c r="R7250" s="1606">
        <v>1174.68</v>
      </c>
      <c r="S7250" s="1608"/>
    </row>
    <row r="7251" spans="2:19" s="1609" customFormat="1" ht="21.75" customHeight="1" outlineLevel="1">
      <c r="B7251" s="1612" t="s">
        <v>2845</v>
      </c>
      <c r="C7251" s="1603" t="s">
        <v>2414</v>
      </c>
      <c r="D7251" s="1603" t="s">
        <v>2844</v>
      </c>
      <c r="E7251" s="1603" t="s">
        <v>2219</v>
      </c>
      <c r="F7251" s="1603" t="s">
        <v>2833</v>
      </c>
      <c r="G7251" s="1603"/>
      <c r="H7251" s="1604">
        <v>2</v>
      </c>
      <c r="I7251" s="1610">
        <v>45</v>
      </c>
      <c r="J7251" s="1603"/>
      <c r="K7251" s="1606">
        <v>10122.209999999999</v>
      </c>
      <c r="L7251" s="1606">
        <v>10122.209999999999</v>
      </c>
      <c r="M7251" s="1607"/>
      <c r="N7251" s="1606">
        <v>10122.209999999999</v>
      </c>
      <c r="O7251" s="1606">
        <v>8997.57</v>
      </c>
      <c r="P7251" s="1607"/>
      <c r="Q7251" s="1606">
        <v>1124.6400000000001</v>
      </c>
      <c r="R7251" s="1606">
        <v>1124.6400000000001</v>
      </c>
      <c r="S7251" s="1608"/>
    </row>
    <row r="7252" spans="2:19" s="1609" customFormat="1" ht="11.25" customHeight="1" outlineLevel="1">
      <c r="B7252" s="1612" t="s">
        <v>2843</v>
      </c>
      <c r="C7252" s="1603" t="s">
        <v>2414</v>
      </c>
      <c r="D7252" s="1603" t="s">
        <v>2842</v>
      </c>
      <c r="E7252" s="1603" t="s">
        <v>2219</v>
      </c>
      <c r="F7252" s="1603" t="s">
        <v>2833</v>
      </c>
      <c r="G7252" s="1603"/>
      <c r="H7252" s="1604">
        <v>2</v>
      </c>
      <c r="I7252" s="1610">
        <v>61</v>
      </c>
      <c r="J7252" s="1603"/>
      <c r="K7252" s="1606">
        <v>13721.22</v>
      </c>
      <c r="L7252" s="1606">
        <v>13721.22</v>
      </c>
      <c r="M7252" s="1607"/>
      <c r="N7252" s="1606">
        <v>13721.22</v>
      </c>
      <c r="O7252" s="1606">
        <v>12196.62</v>
      </c>
      <c r="P7252" s="1607"/>
      <c r="Q7252" s="1606">
        <v>1524.6</v>
      </c>
      <c r="R7252" s="1606">
        <v>1524.6</v>
      </c>
      <c r="S7252" s="1608"/>
    </row>
    <row r="7253" spans="2:19" s="1609" customFormat="1" ht="11.25" customHeight="1" outlineLevel="1">
      <c r="B7253" s="1612" t="s">
        <v>2841</v>
      </c>
      <c r="C7253" s="1603" t="s">
        <v>2414</v>
      </c>
      <c r="D7253" s="1603" t="s">
        <v>2840</v>
      </c>
      <c r="E7253" s="1603" t="s">
        <v>2219</v>
      </c>
      <c r="F7253" s="1603" t="s">
        <v>2833</v>
      </c>
      <c r="G7253" s="1603"/>
      <c r="H7253" s="1604">
        <v>2</v>
      </c>
      <c r="I7253" s="1610">
        <v>18</v>
      </c>
      <c r="J7253" s="1603"/>
      <c r="K7253" s="1606">
        <v>4187.03</v>
      </c>
      <c r="L7253" s="1606">
        <v>4187.03</v>
      </c>
      <c r="M7253" s="1607"/>
      <c r="N7253" s="1606">
        <v>4187.03</v>
      </c>
      <c r="O7253" s="1606">
        <v>3721.79</v>
      </c>
      <c r="P7253" s="1607"/>
      <c r="Q7253" s="1605">
        <v>465.24</v>
      </c>
      <c r="R7253" s="1605">
        <v>465.24</v>
      </c>
      <c r="S7253" s="1608"/>
    </row>
    <row r="7254" spans="2:19" s="1609" customFormat="1" ht="11.25" customHeight="1" outlineLevel="1">
      <c r="B7254" s="1612" t="s">
        <v>2839</v>
      </c>
      <c r="C7254" s="1603" t="s">
        <v>2414</v>
      </c>
      <c r="D7254" s="1603" t="s">
        <v>2838</v>
      </c>
      <c r="E7254" s="1603" t="s">
        <v>2219</v>
      </c>
      <c r="F7254" s="1603" t="s">
        <v>2833</v>
      </c>
      <c r="G7254" s="1603"/>
      <c r="H7254" s="1604">
        <v>2</v>
      </c>
      <c r="I7254" s="1610">
        <v>26</v>
      </c>
      <c r="J7254" s="1603"/>
      <c r="K7254" s="1606">
        <v>5848.39</v>
      </c>
      <c r="L7254" s="1606">
        <v>5848.39</v>
      </c>
      <c r="M7254" s="1607"/>
      <c r="N7254" s="1606">
        <v>5848.39</v>
      </c>
      <c r="O7254" s="1606">
        <v>5198.59</v>
      </c>
      <c r="P7254" s="1607"/>
      <c r="Q7254" s="1605">
        <v>649.79999999999995</v>
      </c>
      <c r="R7254" s="1605">
        <v>649.79999999999995</v>
      </c>
      <c r="S7254" s="1608"/>
    </row>
    <row r="7255" spans="2:19" s="1609" customFormat="1" ht="21.75" customHeight="1" outlineLevel="1">
      <c r="B7255" s="1612" t="s">
        <v>2837</v>
      </c>
      <c r="C7255" s="1603" t="s">
        <v>2414</v>
      </c>
      <c r="D7255" s="1603" t="s">
        <v>2836</v>
      </c>
      <c r="E7255" s="1603" t="s">
        <v>2219</v>
      </c>
      <c r="F7255" s="1603" t="s">
        <v>2833</v>
      </c>
      <c r="G7255" s="1603"/>
      <c r="H7255" s="1604">
        <v>2</v>
      </c>
      <c r="I7255" s="1610">
        <v>18</v>
      </c>
      <c r="J7255" s="1603"/>
      <c r="K7255" s="1606">
        <v>8263.8700000000008</v>
      </c>
      <c r="L7255" s="1606">
        <v>8263.8700000000008</v>
      </c>
      <c r="M7255" s="1607"/>
      <c r="N7255" s="1606">
        <v>8263.8700000000008</v>
      </c>
      <c r="O7255" s="1606">
        <v>7345.63</v>
      </c>
      <c r="P7255" s="1607"/>
      <c r="Q7255" s="1605">
        <v>918.24</v>
      </c>
      <c r="R7255" s="1605">
        <v>918.24</v>
      </c>
      <c r="S7255" s="1608"/>
    </row>
    <row r="7256" spans="2:19" s="1609" customFormat="1" ht="21.75" customHeight="1" outlineLevel="1">
      <c r="B7256" s="1612" t="s">
        <v>2835</v>
      </c>
      <c r="C7256" s="1603" t="s">
        <v>2414</v>
      </c>
      <c r="D7256" s="1603" t="s">
        <v>2834</v>
      </c>
      <c r="E7256" s="1603" t="s">
        <v>2219</v>
      </c>
      <c r="F7256" s="1603" t="s">
        <v>2833</v>
      </c>
      <c r="G7256" s="1603"/>
      <c r="H7256" s="1604">
        <v>2</v>
      </c>
      <c r="I7256" s="1610">
        <v>98</v>
      </c>
      <c r="J7256" s="1603"/>
      <c r="K7256" s="1606">
        <v>22043.919999999998</v>
      </c>
      <c r="L7256" s="1606">
        <v>22043.919999999998</v>
      </c>
      <c r="M7256" s="1607"/>
      <c r="N7256" s="1606">
        <v>22043.919999999998</v>
      </c>
      <c r="O7256" s="1606">
        <v>19594.599999999999</v>
      </c>
      <c r="P7256" s="1607"/>
      <c r="Q7256" s="1606">
        <v>2449.3200000000002</v>
      </c>
      <c r="R7256" s="1606">
        <v>2449.3200000000002</v>
      </c>
      <c r="S7256" s="1608"/>
    </row>
    <row r="7257" spans="2:19" s="1609" customFormat="1" ht="21.75" customHeight="1" outlineLevel="1">
      <c r="B7257" s="1612" t="s">
        <v>2832</v>
      </c>
      <c r="C7257" s="1603" t="s">
        <v>2414</v>
      </c>
      <c r="D7257" s="1603" t="s">
        <v>2831</v>
      </c>
      <c r="E7257" s="1603" t="s">
        <v>2219</v>
      </c>
      <c r="F7257" s="1603" t="s">
        <v>2830</v>
      </c>
      <c r="G7257" s="1603"/>
      <c r="H7257" s="1604">
        <v>2</v>
      </c>
      <c r="I7257" s="1610">
        <v>59</v>
      </c>
      <c r="J7257" s="1603"/>
      <c r="K7257" s="1606">
        <v>13724.16</v>
      </c>
      <c r="L7257" s="1606">
        <v>13724.16</v>
      </c>
      <c r="M7257" s="1607"/>
      <c r="N7257" s="1606">
        <v>13724.16</v>
      </c>
      <c r="O7257" s="1606">
        <v>12199.2</v>
      </c>
      <c r="P7257" s="1607"/>
      <c r="Q7257" s="1606">
        <v>1524.96</v>
      </c>
      <c r="R7257" s="1606">
        <v>1524.96</v>
      </c>
      <c r="S7257" s="1608"/>
    </row>
    <row r="7258" spans="2:19" s="1609" customFormat="1" ht="21.75" customHeight="1" outlineLevel="1">
      <c r="B7258" s="1612" t="s">
        <v>2829</v>
      </c>
      <c r="C7258" s="1603" t="s">
        <v>2414</v>
      </c>
      <c r="D7258" s="1603" t="s">
        <v>2828</v>
      </c>
      <c r="E7258" s="1603" t="s">
        <v>2219</v>
      </c>
      <c r="F7258" s="1603" t="s">
        <v>2827</v>
      </c>
      <c r="G7258" s="1603"/>
      <c r="H7258" s="1604">
        <v>1</v>
      </c>
      <c r="I7258" s="1610">
        <v>168</v>
      </c>
      <c r="J7258" s="1603"/>
      <c r="K7258" s="1606">
        <v>37789.58</v>
      </c>
      <c r="L7258" s="1606">
        <v>37789.58</v>
      </c>
      <c r="M7258" s="1607"/>
      <c r="N7258" s="1606">
        <v>37789.58</v>
      </c>
      <c r="O7258" s="1606">
        <v>33590.78</v>
      </c>
      <c r="P7258" s="1607"/>
      <c r="Q7258" s="1606">
        <v>4198.8</v>
      </c>
      <c r="R7258" s="1606">
        <v>4198.8</v>
      </c>
      <c r="S7258" s="1608"/>
    </row>
    <row r="7259" spans="2:19" s="1609" customFormat="1" ht="21.75" customHeight="1" outlineLevel="1">
      <c r="B7259" s="1612" t="s">
        <v>2826</v>
      </c>
      <c r="C7259" s="1603" t="s">
        <v>2414</v>
      </c>
      <c r="D7259" s="1603" t="s">
        <v>2825</v>
      </c>
      <c r="E7259" s="1603" t="s">
        <v>2219</v>
      </c>
      <c r="F7259" s="1603" t="s">
        <v>2818</v>
      </c>
      <c r="G7259" s="1603" t="s">
        <v>2824</v>
      </c>
      <c r="H7259" s="1604">
        <v>2</v>
      </c>
      <c r="I7259" s="1610">
        <v>19</v>
      </c>
      <c r="J7259" s="1603"/>
      <c r="K7259" s="1606">
        <v>4273.82</v>
      </c>
      <c r="L7259" s="1606">
        <v>4273.82</v>
      </c>
      <c r="M7259" s="1607"/>
      <c r="N7259" s="1606">
        <v>4273.82</v>
      </c>
      <c r="O7259" s="1606">
        <v>3798.98</v>
      </c>
      <c r="P7259" s="1607"/>
      <c r="Q7259" s="1605">
        <v>474.84</v>
      </c>
      <c r="R7259" s="1605">
        <v>474.84</v>
      </c>
      <c r="S7259" s="1608"/>
    </row>
    <row r="7260" spans="2:19" s="1609" customFormat="1" ht="11.25" customHeight="1" outlineLevel="1">
      <c r="B7260" s="1612" t="s">
        <v>2823</v>
      </c>
      <c r="C7260" s="1603" t="s">
        <v>2414</v>
      </c>
      <c r="D7260" s="1603" t="s">
        <v>2822</v>
      </c>
      <c r="E7260" s="1603" t="s">
        <v>2219</v>
      </c>
      <c r="F7260" s="1603" t="s">
        <v>2818</v>
      </c>
      <c r="G7260" s="1603" t="s">
        <v>2821</v>
      </c>
      <c r="H7260" s="1604">
        <v>2</v>
      </c>
      <c r="I7260" s="1610">
        <v>38</v>
      </c>
      <c r="J7260" s="1603"/>
      <c r="K7260" s="1606">
        <v>13476.97</v>
      </c>
      <c r="L7260" s="1606">
        <v>13476.97</v>
      </c>
      <c r="M7260" s="1607"/>
      <c r="N7260" s="1606">
        <v>13476.97</v>
      </c>
      <c r="O7260" s="1606">
        <v>11979.49</v>
      </c>
      <c r="P7260" s="1607"/>
      <c r="Q7260" s="1606">
        <v>1497.48</v>
      </c>
      <c r="R7260" s="1606">
        <v>1497.48</v>
      </c>
      <c r="S7260" s="1608"/>
    </row>
    <row r="7261" spans="2:19" s="1609" customFormat="1" ht="11.25" customHeight="1" outlineLevel="1">
      <c r="B7261" s="1612" t="s">
        <v>2820</v>
      </c>
      <c r="C7261" s="1603" t="s">
        <v>2414</v>
      </c>
      <c r="D7261" s="1603" t="s">
        <v>2819</v>
      </c>
      <c r="E7261" s="1603" t="s">
        <v>2219</v>
      </c>
      <c r="F7261" s="1603" t="s">
        <v>2818</v>
      </c>
      <c r="G7261" s="1603" t="s">
        <v>2817</v>
      </c>
      <c r="H7261" s="1604">
        <v>2</v>
      </c>
      <c r="I7261" s="1610">
        <v>63</v>
      </c>
      <c r="J7261" s="1603"/>
      <c r="K7261" s="1606">
        <v>14171.09</v>
      </c>
      <c r="L7261" s="1606">
        <v>14171.09</v>
      </c>
      <c r="M7261" s="1607"/>
      <c r="N7261" s="1606">
        <v>14171.09</v>
      </c>
      <c r="O7261" s="1606">
        <v>12596.57</v>
      </c>
      <c r="P7261" s="1607"/>
      <c r="Q7261" s="1606">
        <v>1574.52</v>
      </c>
      <c r="R7261" s="1606">
        <v>1574.52</v>
      </c>
      <c r="S7261" s="1608"/>
    </row>
    <row r="7262" spans="2:19" s="1609" customFormat="1" ht="21.75" customHeight="1" outlineLevel="1">
      <c r="B7262" s="1612" t="s">
        <v>2816</v>
      </c>
      <c r="C7262" s="1603" t="s">
        <v>2414</v>
      </c>
      <c r="D7262" s="1603" t="s">
        <v>2815</v>
      </c>
      <c r="E7262" s="1603" t="s">
        <v>2219</v>
      </c>
      <c r="F7262" s="1603" t="s">
        <v>2814</v>
      </c>
      <c r="G7262" s="1603"/>
      <c r="H7262" s="1604">
        <v>2</v>
      </c>
      <c r="I7262" s="1610">
        <v>108</v>
      </c>
      <c r="J7262" s="1603"/>
      <c r="K7262" s="1606">
        <v>24293.3</v>
      </c>
      <c r="L7262" s="1606">
        <v>24293.3</v>
      </c>
      <c r="M7262" s="1607"/>
      <c r="N7262" s="1606">
        <v>24293.3</v>
      </c>
      <c r="O7262" s="1606">
        <v>21594.02</v>
      </c>
      <c r="P7262" s="1607"/>
      <c r="Q7262" s="1606">
        <v>2699.28</v>
      </c>
      <c r="R7262" s="1606">
        <v>2699.28</v>
      </c>
      <c r="S7262" s="1608"/>
    </row>
    <row r="7263" spans="2:19" s="1609" customFormat="1" ht="21.75" customHeight="1" outlineLevel="1">
      <c r="B7263" s="1612" t="s">
        <v>2813</v>
      </c>
      <c r="C7263" s="1603" t="s">
        <v>2414</v>
      </c>
      <c r="D7263" s="1603" t="s">
        <v>2812</v>
      </c>
      <c r="E7263" s="1603" t="s">
        <v>2219</v>
      </c>
      <c r="F7263" s="1603" t="s">
        <v>2809</v>
      </c>
      <c r="G7263" s="1603"/>
      <c r="H7263" s="1604">
        <v>2</v>
      </c>
      <c r="I7263" s="1610">
        <v>11</v>
      </c>
      <c r="J7263" s="1603"/>
      <c r="K7263" s="1606">
        <v>2474.3200000000002</v>
      </c>
      <c r="L7263" s="1606">
        <v>2474.3200000000002</v>
      </c>
      <c r="M7263" s="1607"/>
      <c r="N7263" s="1606">
        <v>2474.3200000000002</v>
      </c>
      <c r="O7263" s="1606">
        <v>2199.4</v>
      </c>
      <c r="P7263" s="1607"/>
      <c r="Q7263" s="1605">
        <v>274.92</v>
      </c>
      <c r="R7263" s="1605">
        <v>274.92</v>
      </c>
      <c r="S7263" s="1608"/>
    </row>
    <row r="7264" spans="2:19" s="1609" customFormat="1" ht="21.75" customHeight="1" outlineLevel="1">
      <c r="B7264" s="1612" t="s">
        <v>2811</v>
      </c>
      <c r="C7264" s="1603" t="s">
        <v>2414</v>
      </c>
      <c r="D7264" s="1603" t="s">
        <v>2810</v>
      </c>
      <c r="E7264" s="1603" t="s">
        <v>2219</v>
      </c>
      <c r="F7264" s="1603" t="s">
        <v>2809</v>
      </c>
      <c r="G7264" s="1603"/>
      <c r="H7264" s="1604">
        <v>2</v>
      </c>
      <c r="I7264" s="1610">
        <v>32</v>
      </c>
      <c r="J7264" s="1603"/>
      <c r="K7264" s="1606">
        <v>7198.01</v>
      </c>
      <c r="L7264" s="1606">
        <v>7198.01</v>
      </c>
      <c r="M7264" s="1607"/>
      <c r="N7264" s="1606">
        <v>7198.01</v>
      </c>
      <c r="O7264" s="1606">
        <v>6398.21</v>
      </c>
      <c r="P7264" s="1607"/>
      <c r="Q7264" s="1605">
        <v>799.8</v>
      </c>
      <c r="R7264" s="1605">
        <v>799.8</v>
      </c>
      <c r="S7264" s="1608"/>
    </row>
    <row r="7265" spans="2:19" s="1609" customFormat="1" ht="21.75" customHeight="1" outlineLevel="1">
      <c r="B7265" s="1612" t="s">
        <v>2808</v>
      </c>
      <c r="C7265" s="1603" t="s">
        <v>2414</v>
      </c>
      <c r="D7265" s="1603" t="s">
        <v>2807</v>
      </c>
      <c r="E7265" s="1603" t="s">
        <v>2219</v>
      </c>
      <c r="F7265" s="1603" t="s">
        <v>2796</v>
      </c>
      <c r="G7265" s="1603"/>
      <c r="H7265" s="1604">
        <v>2</v>
      </c>
      <c r="I7265" s="1610">
        <v>13</v>
      </c>
      <c r="J7265" s="1603"/>
      <c r="K7265" s="1606">
        <v>2924.19</v>
      </c>
      <c r="L7265" s="1606">
        <v>2924.19</v>
      </c>
      <c r="M7265" s="1607"/>
      <c r="N7265" s="1606">
        <v>2924.19</v>
      </c>
      <c r="O7265" s="1606">
        <v>2599.23</v>
      </c>
      <c r="P7265" s="1607"/>
      <c r="Q7265" s="1605">
        <v>324.95999999999998</v>
      </c>
      <c r="R7265" s="1605">
        <v>324.95999999999998</v>
      </c>
      <c r="S7265" s="1608"/>
    </row>
    <row r="7266" spans="2:19" s="1609" customFormat="1" ht="21.75" customHeight="1" outlineLevel="1">
      <c r="B7266" s="1612" t="s">
        <v>2806</v>
      </c>
      <c r="C7266" s="1603" t="s">
        <v>2414</v>
      </c>
      <c r="D7266" s="1603" t="s">
        <v>2805</v>
      </c>
      <c r="E7266" s="1603" t="s">
        <v>2219</v>
      </c>
      <c r="F7266" s="1603" t="s">
        <v>2796</v>
      </c>
      <c r="G7266" s="1603"/>
      <c r="H7266" s="1604">
        <v>2</v>
      </c>
      <c r="I7266" s="1610">
        <v>10</v>
      </c>
      <c r="J7266" s="1603"/>
      <c r="K7266" s="1606">
        <v>2249.38</v>
      </c>
      <c r="L7266" s="1606">
        <v>2249.38</v>
      </c>
      <c r="M7266" s="1607"/>
      <c r="N7266" s="1606">
        <v>2249.38</v>
      </c>
      <c r="O7266" s="1606">
        <v>1999.42</v>
      </c>
      <c r="P7266" s="1607"/>
      <c r="Q7266" s="1605">
        <v>249.96</v>
      </c>
      <c r="R7266" s="1605">
        <v>249.96</v>
      </c>
      <c r="S7266" s="1608"/>
    </row>
    <row r="7267" spans="2:19" s="1609" customFormat="1" ht="21.75" customHeight="1" outlineLevel="1">
      <c r="B7267" s="1612" t="s">
        <v>2804</v>
      </c>
      <c r="C7267" s="1603" t="s">
        <v>2414</v>
      </c>
      <c r="D7267" s="1603" t="s">
        <v>2803</v>
      </c>
      <c r="E7267" s="1603" t="s">
        <v>2219</v>
      </c>
      <c r="F7267" s="1603" t="s">
        <v>2796</v>
      </c>
      <c r="G7267" s="1603"/>
      <c r="H7267" s="1604">
        <v>2</v>
      </c>
      <c r="I7267" s="1610">
        <v>42</v>
      </c>
      <c r="J7267" s="1603"/>
      <c r="K7267" s="1606">
        <v>9447.39</v>
      </c>
      <c r="L7267" s="1606">
        <v>9447.39</v>
      </c>
      <c r="M7267" s="1607"/>
      <c r="N7267" s="1606">
        <v>9447.39</v>
      </c>
      <c r="O7267" s="1606">
        <v>8397.6299999999992</v>
      </c>
      <c r="P7267" s="1607"/>
      <c r="Q7267" s="1606">
        <v>1049.76</v>
      </c>
      <c r="R7267" s="1606">
        <v>1049.76</v>
      </c>
      <c r="S7267" s="1608"/>
    </row>
    <row r="7268" spans="2:19" s="1609" customFormat="1" ht="21.75" customHeight="1" outlineLevel="1">
      <c r="B7268" s="1612" t="s">
        <v>2802</v>
      </c>
      <c r="C7268" s="1603" t="s">
        <v>2414</v>
      </c>
      <c r="D7268" s="1603" t="s">
        <v>2801</v>
      </c>
      <c r="E7268" s="1603" t="s">
        <v>2219</v>
      </c>
      <c r="F7268" s="1603" t="s">
        <v>2796</v>
      </c>
      <c r="G7268" s="1603"/>
      <c r="H7268" s="1604">
        <v>2</v>
      </c>
      <c r="I7268" s="1610">
        <v>43</v>
      </c>
      <c r="J7268" s="1603"/>
      <c r="K7268" s="1606">
        <v>9672.33</v>
      </c>
      <c r="L7268" s="1606">
        <v>9672.33</v>
      </c>
      <c r="M7268" s="1607"/>
      <c r="N7268" s="1606">
        <v>9672.33</v>
      </c>
      <c r="O7268" s="1606">
        <v>8597.61</v>
      </c>
      <c r="P7268" s="1607"/>
      <c r="Q7268" s="1606">
        <v>1074.72</v>
      </c>
      <c r="R7268" s="1606">
        <v>1074.72</v>
      </c>
      <c r="S7268" s="1608"/>
    </row>
    <row r="7269" spans="2:19" s="1609" customFormat="1" ht="21.75" customHeight="1" outlineLevel="1">
      <c r="B7269" s="1612" t="s">
        <v>2800</v>
      </c>
      <c r="C7269" s="1603" t="s">
        <v>2414</v>
      </c>
      <c r="D7269" s="1603" t="s">
        <v>2799</v>
      </c>
      <c r="E7269" s="1603" t="s">
        <v>2219</v>
      </c>
      <c r="F7269" s="1603" t="s">
        <v>2796</v>
      </c>
      <c r="G7269" s="1603"/>
      <c r="H7269" s="1604">
        <v>2</v>
      </c>
      <c r="I7269" s="1610">
        <v>77</v>
      </c>
      <c r="J7269" s="1603"/>
      <c r="K7269" s="1606">
        <v>17320.22</v>
      </c>
      <c r="L7269" s="1606">
        <v>17320.22</v>
      </c>
      <c r="M7269" s="1607"/>
      <c r="N7269" s="1606">
        <v>17320.22</v>
      </c>
      <c r="O7269" s="1606">
        <v>15395.78</v>
      </c>
      <c r="P7269" s="1607"/>
      <c r="Q7269" s="1606">
        <v>1924.44</v>
      </c>
      <c r="R7269" s="1606">
        <v>1924.44</v>
      </c>
      <c r="S7269" s="1608"/>
    </row>
    <row r="7270" spans="2:19" s="1609" customFormat="1" ht="21.75" customHeight="1" outlineLevel="1">
      <c r="B7270" s="1612" t="s">
        <v>2798</v>
      </c>
      <c r="C7270" s="1603" t="s">
        <v>2414</v>
      </c>
      <c r="D7270" s="1603" t="s">
        <v>2797</v>
      </c>
      <c r="E7270" s="1603" t="s">
        <v>2219</v>
      </c>
      <c r="F7270" s="1603" t="s">
        <v>2796</v>
      </c>
      <c r="G7270" s="1603"/>
      <c r="H7270" s="1604">
        <v>2</v>
      </c>
      <c r="I7270" s="1610">
        <v>207</v>
      </c>
      <c r="J7270" s="1603"/>
      <c r="K7270" s="1606">
        <v>93124.32</v>
      </c>
      <c r="L7270" s="1606">
        <v>93124.32</v>
      </c>
      <c r="M7270" s="1607"/>
      <c r="N7270" s="1606">
        <v>93124.32</v>
      </c>
      <c r="O7270" s="1606">
        <v>82777.2</v>
      </c>
      <c r="P7270" s="1607"/>
      <c r="Q7270" s="1606">
        <v>10347.120000000001</v>
      </c>
      <c r="R7270" s="1606">
        <v>10347.120000000001</v>
      </c>
      <c r="S7270" s="1608"/>
    </row>
    <row r="7271" spans="2:19" s="1609" customFormat="1" ht="21.75" customHeight="1" outlineLevel="1">
      <c r="B7271" s="1612" t="s">
        <v>2795</v>
      </c>
      <c r="C7271" s="1603" t="s">
        <v>2414</v>
      </c>
      <c r="D7271" s="1603" t="s">
        <v>2794</v>
      </c>
      <c r="E7271" s="1603" t="s">
        <v>2219</v>
      </c>
      <c r="F7271" s="1603" t="s">
        <v>2781</v>
      </c>
      <c r="G7271" s="1603"/>
      <c r="H7271" s="1604">
        <v>2</v>
      </c>
      <c r="I7271" s="1603"/>
      <c r="J7271" s="1603"/>
      <c r="K7271" s="1606">
        <v>12561.1</v>
      </c>
      <c r="L7271" s="1606">
        <v>12561.1</v>
      </c>
      <c r="M7271" s="1607"/>
      <c r="N7271" s="1606">
        <v>12561.1</v>
      </c>
      <c r="O7271" s="1606">
        <v>11165.38</v>
      </c>
      <c r="P7271" s="1607"/>
      <c r="Q7271" s="1606">
        <v>1395.72</v>
      </c>
      <c r="R7271" s="1606">
        <v>1395.72</v>
      </c>
      <c r="S7271" s="1608"/>
    </row>
    <row r="7272" spans="2:19" s="1609" customFormat="1" ht="21.75" customHeight="1" outlineLevel="1">
      <c r="B7272" s="1612" t="s">
        <v>2793</v>
      </c>
      <c r="C7272" s="1603" t="s">
        <v>2414</v>
      </c>
      <c r="D7272" s="1603" t="s">
        <v>2792</v>
      </c>
      <c r="E7272" s="1603" t="s">
        <v>2219</v>
      </c>
      <c r="F7272" s="1603" t="s">
        <v>2781</v>
      </c>
      <c r="G7272" s="1603"/>
      <c r="H7272" s="1604">
        <v>2</v>
      </c>
      <c r="I7272" s="1603"/>
      <c r="J7272" s="1603"/>
      <c r="K7272" s="1606">
        <v>11021.96</v>
      </c>
      <c r="L7272" s="1606">
        <v>11021.96</v>
      </c>
      <c r="M7272" s="1607"/>
      <c r="N7272" s="1606">
        <v>11021.96</v>
      </c>
      <c r="O7272" s="1606">
        <v>9797.2800000000007</v>
      </c>
      <c r="P7272" s="1607"/>
      <c r="Q7272" s="1606">
        <v>1224.68</v>
      </c>
      <c r="R7272" s="1606">
        <v>1224.68</v>
      </c>
      <c r="S7272" s="1608"/>
    </row>
    <row r="7273" spans="2:19" s="1609" customFormat="1" ht="21.75" customHeight="1" outlineLevel="1">
      <c r="B7273" s="1612" t="s">
        <v>2791</v>
      </c>
      <c r="C7273" s="1603" t="s">
        <v>2414</v>
      </c>
      <c r="D7273" s="1603" t="s">
        <v>2790</v>
      </c>
      <c r="E7273" s="1603" t="s">
        <v>2219</v>
      </c>
      <c r="F7273" s="1603" t="s">
        <v>2781</v>
      </c>
      <c r="G7273" s="1603"/>
      <c r="H7273" s="1604">
        <v>2</v>
      </c>
      <c r="I7273" s="1603"/>
      <c r="J7273" s="1603"/>
      <c r="K7273" s="1606">
        <v>110036.93</v>
      </c>
      <c r="L7273" s="1606">
        <v>110036.93</v>
      </c>
      <c r="M7273" s="1607"/>
      <c r="N7273" s="1606">
        <v>110036.93</v>
      </c>
      <c r="O7273" s="1606">
        <v>97810.61</v>
      </c>
      <c r="P7273" s="1607"/>
      <c r="Q7273" s="1606">
        <v>12226.32</v>
      </c>
      <c r="R7273" s="1606">
        <v>12226.32</v>
      </c>
      <c r="S7273" s="1608"/>
    </row>
    <row r="7274" spans="2:19" s="1609" customFormat="1" ht="21.75" customHeight="1" outlineLevel="1">
      <c r="B7274" s="1612" t="s">
        <v>2789</v>
      </c>
      <c r="C7274" s="1603" t="s">
        <v>2414</v>
      </c>
      <c r="D7274" s="1603" t="s">
        <v>2788</v>
      </c>
      <c r="E7274" s="1603" t="s">
        <v>2219</v>
      </c>
      <c r="F7274" s="1603" t="s">
        <v>2781</v>
      </c>
      <c r="G7274" s="1603"/>
      <c r="H7274" s="1604">
        <v>2</v>
      </c>
      <c r="I7274" s="1603"/>
      <c r="J7274" s="1603"/>
      <c r="K7274" s="1606">
        <v>1628.29</v>
      </c>
      <c r="L7274" s="1606">
        <v>1628.29</v>
      </c>
      <c r="M7274" s="1607"/>
      <c r="N7274" s="1606">
        <v>1628.29</v>
      </c>
      <c r="O7274" s="1606">
        <v>1447.33</v>
      </c>
      <c r="P7274" s="1607"/>
      <c r="Q7274" s="1605">
        <v>180.96</v>
      </c>
      <c r="R7274" s="1605">
        <v>180.96</v>
      </c>
      <c r="S7274" s="1608"/>
    </row>
    <row r="7275" spans="2:19" s="1609" customFormat="1" ht="21.75" customHeight="1" outlineLevel="1">
      <c r="B7275" s="1612" t="s">
        <v>2787</v>
      </c>
      <c r="C7275" s="1603" t="s">
        <v>2414</v>
      </c>
      <c r="D7275" s="1603" t="s">
        <v>2786</v>
      </c>
      <c r="E7275" s="1603" t="s">
        <v>2219</v>
      </c>
      <c r="F7275" s="1603" t="s">
        <v>2781</v>
      </c>
      <c r="G7275" s="1603"/>
      <c r="H7275" s="1604">
        <v>2</v>
      </c>
      <c r="I7275" s="1603"/>
      <c r="J7275" s="1603"/>
      <c r="K7275" s="1606">
        <v>36889.83</v>
      </c>
      <c r="L7275" s="1606">
        <v>36889.83</v>
      </c>
      <c r="M7275" s="1607"/>
      <c r="N7275" s="1606">
        <v>36889.83</v>
      </c>
      <c r="O7275" s="1606">
        <v>32790.99</v>
      </c>
      <c r="P7275" s="1607"/>
      <c r="Q7275" s="1606">
        <v>4098.84</v>
      </c>
      <c r="R7275" s="1606">
        <v>4098.84</v>
      </c>
      <c r="S7275" s="1608"/>
    </row>
    <row r="7276" spans="2:19" s="1609" customFormat="1" ht="21.75" customHeight="1" outlineLevel="1">
      <c r="B7276" s="1612" t="s">
        <v>2785</v>
      </c>
      <c r="C7276" s="1603" t="s">
        <v>2414</v>
      </c>
      <c r="D7276" s="1603" t="s">
        <v>2784</v>
      </c>
      <c r="E7276" s="1603" t="s">
        <v>2219</v>
      </c>
      <c r="F7276" s="1603" t="s">
        <v>2781</v>
      </c>
      <c r="G7276" s="1603"/>
      <c r="H7276" s="1604">
        <v>2</v>
      </c>
      <c r="I7276" s="1603"/>
      <c r="J7276" s="1603"/>
      <c r="K7276" s="1606">
        <v>14396.03</v>
      </c>
      <c r="L7276" s="1606">
        <v>14396.03</v>
      </c>
      <c r="M7276" s="1607"/>
      <c r="N7276" s="1606">
        <v>14396.03</v>
      </c>
      <c r="O7276" s="1606">
        <v>12796.43</v>
      </c>
      <c r="P7276" s="1607"/>
      <c r="Q7276" s="1606">
        <v>1599.6</v>
      </c>
      <c r="R7276" s="1606">
        <v>1599.6</v>
      </c>
      <c r="S7276" s="1608"/>
    </row>
    <row r="7277" spans="2:19" s="1609" customFormat="1" ht="21.75" customHeight="1" outlineLevel="1">
      <c r="B7277" s="1612" t="s">
        <v>2783</v>
      </c>
      <c r="C7277" s="1603" t="s">
        <v>2414</v>
      </c>
      <c r="D7277" s="1603" t="s">
        <v>2782</v>
      </c>
      <c r="E7277" s="1603" t="s">
        <v>2219</v>
      </c>
      <c r="F7277" s="1603" t="s">
        <v>2781</v>
      </c>
      <c r="G7277" s="1603"/>
      <c r="H7277" s="1604">
        <v>2</v>
      </c>
      <c r="I7277" s="1603"/>
      <c r="J7277" s="1603"/>
      <c r="K7277" s="1606">
        <v>14396.03</v>
      </c>
      <c r="L7277" s="1606">
        <v>14396.03</v>
      </c>
      <c r="M7277" s="1607"/>
      <c r="N7277" s="1606">
        <v>14396.03</v>
      </c>
      <c r="O7277" s="1606">
        <v>12796.43</v>
      </c>
      <c r="P7277" s="1607"/>
      <c r="Q7277" s="1606">
        <v>1599.6</v>
      </c>
      <c r="R7277" s="1606">
        <v>1599.6</v>
      </c>
      <c r="S7277" s="1608"/>
    </row>
    <row r="7278" spans="2:19" s="1609" customFormat="1" ht="21.75" customHeight="1" outlineLevel="1">
      <c r="B7278" s="1612" t="s">
        <v>2780</v>
      </c>
      <c r="C7278" s="1603" t="s">
        <v>2414</v>
      </c>
      <c r="D7278" s="1603" t="s">
        <v>2779</v>
      </c>
      <c r="E7278" s="1603" t="s">
        <v>2219</v>
      </c>
      <c r="F7278" s="1603" t="s">
        <v>2764</v>
      </c>
      <c r="G7278" s="1603"/>
      <c r="H7278" s="1604">
        <v>2</v>
      </c>
      <c r="I7278" s="1610">
        <v>25</v>
      </c>
      <c r="J7278" s="1603"/>
      <c r="K7278" s="1606">
        <v>5623.45</v>
      </c>
      <c r="L7278" s="1606">
        <v>5623.45</v>
      </c>
      <c r="M7278" s="1607"/>
      <c r="N7278" s="1606">
        <v>5623.45</v>
      </c>
      <c r="O7278" s="1606">
        <v>4998.6099999999997</v>
      </c>
      <c r="P7278" s="1607"/>
      <c r="Q7278" s="1605">
        <v>624.84</v>
      </c>
      <c r="R7278" s="1605">
        <v>624.84</v>
      </c>
      <c r="S7278" s="1608"/>
    </row>
    <row r="7279" spans="2:19" s="1609" customFormat="1" ht="21.75" customHeight="1" outlineLevel="1">
      <c r="B7279" s="1612" t="s">
        <v>2778</v>
      </c>
      <c r="C7279" s="1603" t="s">
        <v>2414</v>
      </c>
      <c r="D7279" s="1603" t="s">
        <v>2777</v>
      </c>
      <c r="E7279" s="1603" t="s">
        <v>2219</v>
      </c>
      <c r="F7279" s="1603" t="s">
        <v>2764</v>
      </c>
      <c r="G7279" s="1603"/>
      <c r="H7279" s="1604">
        <v>2</v>
      </c>
      <c r="I7279" s="1610">
        <v>41</v>
      </c>
      <c r="J7279" s="1603"/>
      <c r="K7279" s="1606">
        <v>4611.2299999999996</v>
      </c>
      <c r="L7279" s="1606">
        <v>4611.2299999999996</v>
      </c>
      <c r="M7279" s="1607"/>
      <c r="N7279" s="1606">
        <v>4611.2299999999996</v>
      </c>
      <c r="O7279" s="1606">
        <v>4098.83</v>
      </c>
      <c r="P7279" s="1607"/>
      <c r="Q7279" s="1605">
        <v>512.4</v>
      </c>
      <c r="R7279" s="1605">
        <v>512.4</v>
      </c>
      <c r="S7279" s="1608"/>
    </row>
    <row r="7280" spans="2:19" s="1609" customFormat="1" ht="21.75" customHeight="1" outlineLevel="1">
      <c r="B7280" s="1612" t="s">
        <v>2776</v>
      </c>
      <c r="C7280" s="1603" t="s">
        <v>2414</v>
      </c>
      <c r="D7280" s="1603" t="s">
        <v>2775</v>
      </c>
      <c r="E7280" s="1603" t="s">
        <v>2219</v>
      </c>
      <c r="F7280" s="1603" t="s">
        <v>2764</v>
      </c>
      <c r="G7280" s="1603"/>
      <c r="H7280" s="1604">
        <v>2</v>
      </c>
      <c r="I7280" s="1610">
        <v>7</v>
      </c>
      <c r="J7280" s="1603"/>
      <c r="K7280" s="1605">
        <v>787.28</v>
      </c>
      <c r="L7280" s="1605">
        <v>787.28</v>
      </c>
      <c r="M7280" s="1607"/>
      <c r="N7280" s="1605">
        <v>787.28</v>
      </c>
      <c r="O7280" s="1605">
        <v>699.8</v>
      </c>
      <c r="P7280" s="1607"/>
      <c r="Q7280" s="1605">
        <v>87.48</v>
      </c>
      <c r="R7280" s="1605">
        <v>87.48</v>
      </c>
      <c r="S7280" s="1608"/>
    </row>
    <row r="7281" spans="2:19" s="1609" customFormat="1" ht="21.75" customHeight="1" outlineLevel="1">
      <c r="B7281" s="1612" t="s">
        <v>2774</v>
      </c>
      <c r="C7281" s="1603" t="s">
        <v>2414</v>
      </c>
      <c r="D7281" s="1603" t="s">
        <v>2773</v>
      </c>
      <c r="E7281" s="1603" t="s">
        <v>2219</v>
      </c>
      <c r="F7281" s="1603" t="s">
        <v>2764</v>
      </c>
      <c r="G7281" s="1603"/>
      <c r="H7281" s="1604">
        <v>2</v>
      </c>
      <c r="I7281" s="1610">
        <v>49</v>
      </c>
      <c r="J7281" s="1603"/>
      <c r="K7281" s="1606">
        <v>11398.03</v>
      </c>
      <c r="L7281" s="1606">
        <v>11398.03</v>
      </c>
      <c r="M7281" s="1607"/>
      <c r="N7281" s="1606">
        <v>11398.03</v>
      </c>
      <c r="O7281" s="1606">
        <v>10131.549999999999</v>
      </c>
      <c r="P7281" s="1607"/>
      <c r="Q7281" s="1606">
        <v>1266.48</v>
      </c>
      <c r="R7281" s="1606">
        <v>1266.48</v>
      </c>
      <c r="S7281" s="1608"/>
    </row>
    <row r="7282" spans="2:19" s="1609" customFormat="1" ht="21.75" customHeight="1" outlineLevel="1">
      <c r="B7282" s="1612" t="s">
        <v>2772</v>
      </c>
      <c r="C7282" s="1603" t="s">
        <v>2414</v>
      </c>
      <c r="D7282" s="1603" t="s">
        <v>2771</v>
      </c>
      <c r="E7282" s="1603" t="s">
        <v>2219</v>
      </c>
      <c r="F7282" s="1603" t="s">
        <v>2764</v>
      </c>
      <c r="G7282" s="1603"/>
      <c r="H7282" s="1604">
        <v>2</v>
      </c>
      <c r="I7282" s="1610">
        <v>242</v>
      </c>
      <c r="J7282" s="1603"/>
      <c r="K7282" s="1606">
        <v>54434.99</v>
      </c>
      <c r="L7282" s="1606">
        <v>54434.99</v>
      </c>
      <c r="M7282" s="1607"/>
      <c r="N7282" s="1606">
        <v>54434.99</v>
      </c>
      <c r="O7282" s="1606">
        <v>48386.63</v>
      </c>
      <c r="P7282" s="1607"/>
      <c r="Q7282" s="1606">
        <v>6048.36</v>
      </c>
      <c r="R7282" s="1606">
        <v>6048.36</v>
      </c>
      <c r="S7282" s="1608"/>
    </row>
    <row r="7283" spans="2:19" s="1609" customFormat="1" ht="21.75" customHeight="1" outlineLevel="1">
      <c r="B7283" s="1612" t="s">
        <v>2770</v>
      </c>
      <c r="C7283" s="1603" t="s">
        <v>2414</v>
      </c>
      <c r="D7283" s="1603" t="s">
        <v>2769</v>
      </c>
      <c r="E7283" s="1603" t="s">
        <v>2219</v>
      </c>
      <c r="F7283" s="1603" t="s">
        <v>2764</v>
      </c>
      <c r="G7283" s="1603"/>
      <c r="H7283" s="1604">
        <v>2</v>
      </c>
      <c r="I7283" s="1610">
        <v>288</v>
      </c>
      <c r="J7283" s="1603"/>
      <c r="K7283" s="1606">
        <v>346174.56</v>
      </c>
      <c r="L7283" s="1606">
        <v>346174.56</v>
      </c>
      <c r="M7283" s="1607"/>
      <c r="N7283" s="1606">
        <v>346174.56</v>
      </c>
      <c r="O7283" s="1606">
        <v>307710.71999999997</v>
      </c>
      <c r="P7283" s="1607"/>
      <c r="Q7283" s="1606">
        <v>38463.839999999997</v>
      </c>
      <c r="R7283" s="1606">
        <v>38463.839999999997</v>
      </c>
      <c r="S7283" s="1608"/>
    </row>
    <row r="7284" spans="2:19" s="1609" customFormat="1" ht="21.75" customHeight="1" outlineLevel="1">
      <c r="B7284" s="1612" t="s">
        <v>2768</v>
      </c>
      <c r="C7284" s="1603" t="s">
        <v>2414</v>
      </c>
      <c r="D7284" s="1603" t="s">
        <v>2767</v>
      </c>
      <c r="E7284" s="1603" t="s">
        <v>2219</v>
      </c>
      <c r="F7284" s="1603" t="s">
        <v>2764</v>
      </c>
      <c r="G7284" s="1603"/>
      <c r="H7284" s="1604">
        <v>2</v>
      </c>
      <c r="I7284" s="1610">
        <v>33</v>
      </c>
      <c r="J7284" s="1603"/>
      <c r="K7284" s="1606">
        <v>7422.95</v>
      </c>
      <c r="L7284" s="1606">
        <v>7422.95</v>
      </c>
      <c r="M7284" s="1607"/>
      <c r="N7284" s="1606">
        <v>7422.95</v>
      </c>
      <c r="O7284" s="1606">
        <v>6598.19</v>
      </c>
      <c r="P7284" s="1607"/>
      <c r="Q7284" s="1605">
        <v>824.76</v>
      </c>
      <c r="R7284" s="1605">
        <v>824.76</v>
      </c>
      <c r="S7284" s="1608"/>
    </row>
    <row r="7285" spans="2:19" s="1609" customFormat="1" ht="21.75" customHeight="1" outlineLevel="1">
      <c r="B7285" s="1612" t="s">
        <v>2766</v>
      </c>
      <c r="C7285" s="1603" t="s">
        <v>2414</v>
      </c>
      <c r="D7285" s="1603" t="s">
        <v>2765</v>
      </c>
      <c r="E7285" s="1603" t="s">
        <v>2219</v>
      </c>
      <c r="F7285" s="1603" t="s">
        <v>2764</v>
      </c>
      <c r="G7285" s="1603"/>
      <c r="H7285" s="1604">
        <v>2</v>
      </c>
      <c r="I7285" s="1610">
        <v>42</v>
      </c>
      <c r="J7285" s="1603"/>
      <c r="K7285" s="1606">
        <v>14264.05</v>
      </c>
      <c r="L7285" s="1606">
        <v>14264.05</v>
      </c>
      <c r="M7285" s="1607"/>
      <c r="N7285" s="1606">
        <v>14264.05</v>
      </c>
      <c r="O7285" s="1606">
        <v>12679.2</v>
      </c>
      <c r="P7285" s="1607"/>
      <c r="Q7285" s="1606">
        <v>1584.85</v>
      </c>
      <c r="R7285" s="1606">
        <v>1584.85</v>
      </c>
      <c r="S7285" s="1608"/>
    </row>
    <row r="7286" spans="2:19" s="1609" customFormat="1" ht="21.75" customHeight="1" outlineLevel="1">
      <c r="B7286" s="1612" t="s">
        <v>2763</v>
      </c>
      <c r="C7286" s="1603" t="s">
        <v>2414</v>
      </c>
      <c r="D7286" s="1603" t="s">
        <v>2762</v>
      </c>
      <c r="E7286" s="1603" t="s">
        <v>2219</v>
      </c>
      <c r="F7286" s="1603" t="s">
        <v>2755</v>
      </c>
      <c r="G7286" s="1603"/>
      <c r="H7286" s="1604">
        <v>2</v>
      </c>
      <c r="I7286" s="1610">
        <v>187</v>
      </c>
      <c r="J7286" s="1603"/>
      <c r="K7286" s="1606">
        <v>149848.71</v>
      </c>
      <c r="L7286" s="1606">
        <v>149848.71</v>
      </c>
      <c r="M7286" s="1607"/>
      <c r="N7286" s="1606">
        <v>149848.71</v>
      </c>
      <c r="O7286" s="1606">
        <v>133198.82999999999</v>
      </c>
      <c r="P7286" s="1607"/>
      <c r="Q7286" s="1606">
        <v>16649.88</v>
      </c>
      <c r="R7286" s="1606">
        <v>16649.88</v>
      </c>
      <c r="S7286" s="1608"/>
    </row>
    <row r="7287" spans="2:19" s="1609" customFormat="1" ht="21.75" customHeight="1" outlineLevel="1">
      <c r="B7287" s="1612" t="s">
        <v>2761</v>
      </c>
      <c r="C7287" s="1603" t="s">
        <v>2414</v>
      </c>
      <c r="D7287" s="1603" t="s">
        <v>2760</v>
      </c>
      <c r="E7287" s="1603" t="s">
        <v>2219</v>
      </c>
      <c r="F7287" s="1603" t="s">
        <v>2755</v>
      </c>
      <c r="G7287" s="1603"/>
      <c r="H7287" s="1604">
        <v>2</v>
      </c>
      <c r="I7287" s="1610">
        <v>338</v>
      </c>
      <c r="J7287" s="1603"/>
      <c r="K7287" s="1606">
        <v>76029.03</v>
      </c>
      <c r="L7287" s="1606">
        <v>76029.03</v>
      </c>
      <c r="M7287" s="1607"/>
      <c r="N7287" s="1606">
        <v>76029.03</v>
      </c>
      <c r="O7287" s="1606">
        <v>67581.39</v>
      </c>
      <c r="P7287" s="1607"/>
      <c r="Q7287" s="1606">
        <v>8447.64</v>
      </c>
      <c r="R7287" s="1606">
        <v>8447.64</v>
      </c>
      <c r="S7287" s="1608"/>
    </row>
    <row r="7288" spans="2:19" s="1609" customFormat="1" ht="21.75" customHeight="1" outlineLevel="1">
      <c r="B7288" s="1612" t="s">
        <v>2759</v>
      </c>
      <c r="C7288" s="1603" t="s">
        <v>2414</v>
      </c>
      <c r="D7288" s="1603" t="s">
        <v>2758</v>
      </c>
      <c r="E7288" s="1603" t="s">
        <v>2219</v>
      </c>
      <c r="F7288" s="1603" t="s">
        <v>2755</v>
      </c>
      <c r="G7288" s="1603"/>
      <c r="H7288" s="1604">
        <v>2</v>
      </c>
      <c r="I7288" s="1610">
        <v>55</v>
      </c>
      <c r="J7288" s="1603"/>
      <c r="K7288" s="1606">
        <v>12371.59</v>
      </c>
      <c r="L7288" s="1606">
        <v>12371.59</v>
      </c>
      <c r="M7288" s="1607"/>
      <c r="N7288" s="1606">
        <v>12371.59</v>
      </c>
      <c r="O7288" s="1606">
        <v>10996.99</v>
      </c>
      <c r="P7288" s="1607"/>
      <c r="Q7288" s="1606">
        <v>1374.6</v>
      </c>
      <c r="R7288" s="1606">
        <v>1374.6</v>
      </c>
      <c r="S7288" s="1608"/>
    </row>
    <row r="7289" spans="2:19" s="1609" customFormat="1" ht="21.75" customHeight="1" outlineLevel="1">
      <c r="B7289" s="1612" t="s">
        <v>2757</v>
      </c>
      <c r="C7289" s="1603" t="s">
        <v>2414</v>
      </c>
      <c r="D7289" s="1603" t="s">
        <v>2756</v>
      </c>
      <c r="E7289" s="1603" t="s">
        <v>2219</v>
      </c>
      <c r="F7289" s="1603" t="s">
        <v>2755</v>
      </c>
      <c r="G7289" s="1603"/>
      <c r="H7289" s="1604">
        <v>2</v>
      </c>
      <c r="I7289" s="1610">
        <v>392</v>
      </c>
      <c r="J7289" s="1603"/>
      <c r="K7289" s="1606">
        <v>314121.36</v>
      </c>
      <c r="L7289" s="1606">
        <v>314121.36</v>
      </c>
      <c r="M7289" s="1607"/>
      <c r="N7289" s="1606">
        <v>314121.36</v>
      </c>
      <c r="O7289" s="1606">
        <v>279219</v>
      </c>
      <c r="P7289" s="1607"/>
      <c r="Q7289" s="1606">
        <v>34902.36</v>
      </c>
      <c r="R7289" s="1606">
        <v>34902.36</v>
      </c>
      <c r="S7289" s="1608"/>
    </row>
    <row r="7290" spans="2:19" s="1609" customFormat="1" ht="21.75" customHeight="1" outlineLevel="1">
      <c r="B7290" s="1612" t="s">
        <v>2754</v>
      </c>
      <c r="C7290" s="1603" t="s">
        <v>2414</v>
      </c>
      <c r="D7290" s="1603" t="s">
        <v>2753</v>
      </c>
      <c r="E7290" s="1603" t="s">
        <v>2219</v>
      </c>
      <c r="F7290" s="1603" t="s">
        <v>2729</v>
      </c>
      <c r="G7290" s="1603"/>
      <c r="H7290" s="1604">
        <v>2</v>
      </c>
      <c r="I7290" s="1610">
        <v>139</v>
      </c>
      <c r="J7290" s="1603"/>
      <c r="K7290" s="1606">
        <v>32333.19</v>
      </c>
      <c r="L7290" s="1606">
        <v>32333.19</v>
      </c>
      <c r="M7290" s="1607"/>
      <c r="N7290" s="1606">
        <v>32333.19</v>
      </c>
      <c r="O7290" s="1606">
        <v>28740.63</v>
      </c>
      <c r="P7290" s="1607"/>
      <c r="Q7290" s="1606">
        <v>3592.56</v>
      </c>
      <c r="R7290" s="1606">
        <v>3592.56</v>
      </c>
      <c r="S7290" s="1608"/>
    </row>
    <row r="7291" spans="2:19" s="1609" customFormat="1" ht="21.75" customHeight="1" outlineLevel="1">
      <c r="B7291" s="1612" t="s">
        <v>2752</v>
      </c>
      <c r="C7291" s="1603" t="s">
        <v>2414</v>
      </c>
      <c r="D7291" s="1603" t="s">
        <v>2751</v>
      </c>
      <c r="E7291" s="1603" t="s">
        <v>2219</v>
      </c>
      <c r="F7291" s="1603" t="s">
        <v>2729</v>
      </c>
      <c r="G7291" s="1603"/>
      <c r="H7291" s="1604">
        <v>2</v>
      </c>
      <c r="I7291" s="1610">
        <v>151</v>
      </c>
      <c r="J7291" s="1603"/>
      <c r="K7291" s="1606">
        <v>13586.25</v>
      </c>
      <c r="L7291" s="1606">
        <v>13586.25</v>
      </c>
      <c r="M7291" s="1607"/>
      <c r="N7291" s="1606">
        <v>13586.25</v>
      </c>
      <c r="O7291" s="1606">
        <v>12076.65</v>
      </c>
      <c r="P7291" s="1607"/>
      <c r="Q7291" s="1606">
        <v>1509.6</v>
      </c>
      <c r="R7291" s="1606">
        <v>1509.6</v>
      </c>
      <c r="S7291" s="1608"/>
    </row>
    <row r="7292" spans="2:19" s="1609" customFormat="1" ht="21.75" customHeight="1" outlineLevel="1">
      <c r="B7292" s="1612" t="s">
        <v>2750</v>
      </c>
      <c r="C7292" s="1603" t="s">
        <v>2414</v>
      </c>
      <c r="D7292" s="1603" t="s">
        <v>2749</v>
      </c>
      <c r="E7292" s="1603" t="s">
        <v>2219</v>
      </c>
      <c r="F7292" s="1603" t="s">
        <v>2729</v>
      </c>
      <c r="G7292" s="1603"/>
      <c r="H7292" s="1604">
        <v>2</v>
      </c>
      <c r="I7292" s="1610">
        <v>156</v>
      </c>
      <c r="J7292" s="1603"/>
      <c r="K7292" s="1606">
        <v>125007.48</v>
      </c>
      <c r="L7292" s="1606">
        <v>125007.48</v>
      </c>
      <c r="M7292" s="1607"/>
      <c r="N7292" s="1606">
        <v>125007.48</v>
      </c>
      <c r="O7292" s="1606">
        <v>111117.72</v>
      </c>
      <c r="P7292" s="1607"/>
      <c r="Q7292" s="1606">
        <v>13889.76</v>
      </c>
      <c r="R7292" s="1606">
        <v>13889.76</v>
      </c>
      <c r="S7292" s="1608"/>
    </row>
    <row r="7293" spans="2:19" s="1609" customFormat="1" ht="11.25" customHeight="1" outlineLevel="1">
      <c r="B7293" s="1612" t="s">
        <v>2748</v>
      </c>
      <c r="C7293" s="1603" t="s">
        <v>2414</v>
      </c>
      <c r="D7293" s="1603" t="s">
        <v>2747</v>
      </c>
      <c r="E7293" s="1603" t="s">
        <v>2219</v>
      </c>
      <c r="F7293" s="1603" t="s">
        <v>2729</v>
      </c>
      <c r="G7293" s="1603"/>
      <c r="H7293" s="1604">
        <v>2</v>
      </c>
      <c r="I7293" s="1610">
        <v>164</v>
      </c>
      <c r="J7293" s="1603"/>
      <c r="K7293" s="1606">
        <v>118044.12</v>
      </c>
      <c r="L7293" s="1606">
        <v>118044.12</v>
      </c>
      <c r="M7293" s="1607"/>
      <c r="N7293" s="1606">
        <v>118044.12</v>
      </c>
      <c r="O7293" s="1606">
        <v>104928.12</v>
      </c>
      <c r="P7293" s="1607"/>
      <c r="Q7293" s="1606">
        <v>13116</v>
      </c>
      <c r="R7293" s="1606">
        <v>13116</v>
      </c>
      <c r="S7293" s="1608"/>
    </row>
    <row r="7294" spans="2:19" s="1609" customFormat="1" ht="21.75" customHeight="1" outlineLevel="1">
      <c r="B7294" s="1612" t="s">
        <v>2746</v>
      </c>
      <c r="C7294" s="1603" t="s">
        <v>2414</v>
      </c>
      <c r="D7294" s="1603" t="s">
        <v>2745</v>
      </c>
      <c r="E7294" s="1603" t="s">
        <v>2219</v>
      </c>
      <c r="F7294" s="1603" t="s">
        <v>2744</v>
      </c>
      <c r="G7294" s="1603"/>
      <c r="H7294" s="1604">
        <v>2</v>
      </c>
      <c r="I7294" s="1610">
        <v>263</v>
      </c>
      <c r="J7294" s="1603"/>
      <c r="K7294" s="1606">
        <v>89320.1</v>
      </c>
      <c r="L7294" s="1606">
        <v>89320.1</v>
      </c>
      <c r="M7294" s="1607"/>
      <c r="N7294" s="1606">
        <v>89320.1</v>
      </c>
      <c r="O7294" s="1606">
        <v>79395.62</v>
      </c>
      <c r="P7294" s="1607"/>
      <c r="Q7294" s="1606">
        <v>9924.48</v>
      </c>
      <c r="R7294" s="1606">
        <v>9924.48</v>
      </c>
      <c r="S7294" s="1608"/>
    </row>
    <row r="7295" spans="2:19" s="1609" customFormat="1" ht="21.75" customHeight="1" outlineLevel="1">
      <c r="B7295" s="1612" t="s">
        <v>2743</v>
      </c>
      <c r="C7295" s="1603" t="s">
        <v>2414</v>
      </c>
      <c r="D7295" s="1603" t="s">
        <v>2742</v>
      </c>
      <c r="E7295" s="1603" t="s">
        <v>2219</v>
      </c>
      <c r="F7295" s="1603" t="s">
        <v>2729</v>
      </c>
      <c r="G7295" s="1603"/>
      <c r="H7295" s="1604">
        <v>2</v>
      </c>
      <c r="I7295" s="1610">
        <v>280</v>
      </c>
      <c r="J7295" s="1603"/>
      <c r="K7295" s="1606">
        <v>224372.4</v>
      </c>
      <c r="L7295" s="1606">
        <v>224372.4</v>
      </c>
      <c r="M7295" s="1607"/>
      <c r="N7295" s="1606">
        <v>224372.4</v>
      </c>
      <c r="O7295" s="1606">
        <v>199442.16</v>
      </c>
      <c r="P7295" s="1607"/>
      <c r="Q7295" s="1606">
        <v>24930.240000000002</v>
      </c>
      <c r="R7295" s="1606">
        <v>24930.240000000002</v>
      </c>
      <c r="S7295" s="1608"/>
    </row>
    <row r="7296" spans="2:19" s="1609" customFormat="1" ht="21.75" customHeight="1" outlineLevel="1">
      <c r="B7296" s="1612" t="s">
        <v>2741</v>
      </c>
      <c r="C7296" s="1603" t="s">
        <v>2414</v>
      </c>
      <c r="D7296" s="1603" t="s">
        <v>2740</v>
      </c>
      <c r="E7296" s="1603" t="s">
        <v>2219</v>
      </c>
      <c r="F7296" s="1603" t="s">
        <v>2729</v>
      </c>
      <c r="G7296" s="1603"/>
      <c r="H7296" s="1604">
        <v>2</v>
      </c>
      <c r="I7296" s="1610">
        <v>324</v>
      </c>
      <c r="J7296" s="1603"/>
      <c r="K7296" s="1606">
        <v>72879.899999999994</v>
      </c>
      <c r="L7296" s="1606">
        <v>72879.899999999994</v>
      </c>
      <c r="M7296" s="1607"/>
      <c r="N7296" s="1606">
        <v>72879.899999999994</v>
      </c>
      <c r="O7296" s="1606">
        <v>64782.18</v>
      </c>
      <c r="P7296" s="1607"/>
      <c r="Q7296" s="1606">
        <v>8097.72</v>
      </c>
      <c r="R7296" s="1606">
        <v>8097.72</v>
      </c>
      <c r="S7296" s="1608"/>
    </row>
    <row r="7297" spans="2:19" s="1609" customFormat="1" ht="21.75" customHeight="1" outlineLevel="1">
      <c r="B7297" s="1612" t="s">
        <v>2739</v>
      </c>
      <c r="C7297" s="1603" t="s">
        <v>2414</v>
      </c>
      <c r="D7297" s="1603" t="s">
        <v>2738</v>
      </c>
      <c r="E7297" s="1603" t="s">
        <v>2219</v>
      </c>
      <c r="F7297" s="1603" t="s">
        <v>2729</v>
      </c>
      <c r="G7297" s="1603"/>
      <c r="H7297" s="1604">
        <v>2</v>
      </c>
      <c r="I7297" s="1610">
        <v>41</v>
      </c>
      <c r="J7297" s="1603"/>
      <c r="K7297" s="1606">
        <v>9537.1299999999992</v>
      </c>
      <c r="L7297" s="1606">
        <v>9537.1299999999992</v>
      </c>
      <c r="M7297" s="1607"/>
      <c r="N7297" s="1606">
        <v>9537.1299999999992</v>
      </c>
      <c r="O7297" s="1606">
        <v>8477.41</v>
      </c>
      <c r="P7297" s="1607"/>
      <c r="Q7297" s="1606">
        <v>1059.72</v>
      </c>
      <c r="R7297" s="1606">
        <v>1059.72</v>
      </c>
      <c r="S7297" s="1608"/>
    </row>
    <row r="7298" spans="2:19" s="1609" customFormat="1" ht="21.75" customHeight="1" outlineLevel="1">
      <c r="B7298" s="1612" t="s">
        <v>2737</v>
      </c>
      <c r="C7298" s="1603" t="s">
        <v>2414</v>
      </c>
      <c r="D7298" s="1603" t="s">
        <v>2736</v>
      </c>
      <c r="E7298" s="1603" t="s">
        <v>2219</v>
      </c>
      <c r="F7298" s="1603" t="s">
        <v>2729</v>
      </c>
      <c r="G7298" s="1603"/>
      <c r="H7298" s="1604">
        <v>2</v>
      </c>
      <c r="I7298" s="1610">
        <v>45</v>
      </c>
      <c r="J7298" s="1603"/>
      <c r="K7298" s="1606">
        <v>10122.209999999999</v>
      </c>
      <c r="L7298" s="1606">
        <v>10122.209999999999</v>
      </c>
      <c r="M7298" s="1607"/>
      <c r="N7298" s="1606">
        <v>10122.209999999999</v>
      </c>
      <c r="O7298" s="1606">
        <v>8997.57</v>
      </c>
      <c r="P7298" s="1607"/>
      <c r="Q7298" s="1606">
        <v>1124.6400000000001</v>
      </c>
      <c r="R7298" s="1606">
        <v>1124.6400000000001</v>
      </c>
      <c r="S7298" s="1608"/>
    </row>
    <row r="7299" spans="2:19" s="1609" customFormat="1" ht="21.75" customHeight="1" outlineLevel="1">
      <c r="B7299" s="1612" t="s">
        <v>2735</v>
      </c>
      <c r="C7299" s="1603" t="s">
        <v>2414</v>
      </c>
      <c r="D7299" s="1603" t="s">
        <v>2734</v>
      </c>
      <c r="E7299" s="1603" t="s">
        <v>2219</v>
      </c>
      <c r="F7299" s="1603" t="s">
        <v>2729</v>
      </c>
      <c r="G7299" s="1603"/>
      <c r="H7299" s="1604">
        <v>2</v>
      </c>
      <c r="I7299" s="1610">
        <v>51</v>
      </c>
      <c r="J7299" s="1603"/>
      <c r="K7299" s="1606">
        <v>11471.84</v>
      </c>
      <c r="L7299" s="1606">
        <v>11471.84</v>
      </c>
      <c r="M7299" s="1607"/>
      <c r="N7299" s="1606">
        <v>11471.84</v>
      </c>
      <c r="O7299" s="1606">
        <v>10197.200000000001</v>
      </c>
      <c r="P7299" s="1607"/>
      <c r="Q7299" s="1606">
        <v>1274.6400000000001</v>
      </c>
      <c r="R7299" s="1606">
        <v>1274.6400000000001</v>
      </c>
      <c r="S7299" s="1608"/>
    </row>
    <row r="7300" spans="2:19" s="1609" customFormat="1" ht="21.75" customHeight="1" outlineLevel="1">
      <c r="B7300" s="1612" t="s">
        <v>2733</v>
      </c>
      <c r="C7300" s="1603" t="s">
        <v>2414</v>
      </c>
      <c r="D7300" s="1603" t="s">
        <v>2732</v>
      </c>
      <c r="E7300" s="1603" t="s">
        <v>2219</v>
      </c>
      <c r="F7300" s="1603" t="s">
        <v>2729</v>
      </c>
      <c r="G7300" s="1603"/>
      <c r="H7300" s="1604">
        <v>2</v>
      </c>
      <c r="I7300" s="1610">
        <v>67</v>
      </c>
      <c r="J7300" s="1603"/>
      <c r="K7300" s="1606">
        <v>30759.97</v>
      </c>
      <c r="L7300" s="1606">
        <v>30759.97</v>
      </c>
      <c r="M7300" s="1607"/>
      <c r="N7300" s="1606">
        <v>30759.97</v>
      </c>
      <c r="O7300" s="1606">
        <v>27342.240000000002</v>
      </c>
      <c r="P7300" s="1607"/>
      <c r="Q7300" s="1606">
        <v>3417.73</v>
      </c>
      <c r="R7300" s="1606">
        <v>3417.73</v>
      </c>
      <c r="S7300" s="1608"/>
    </row>
    <row r="7301" spans="2:19" s="1609" customFormat="1" ht="21.75" customHeight="1" outlineLevel="1">
      <c r="B7301" s="1612" t="s">
        <v>2731</v>
      </c>
      <c r="C7301" s="1603" t="s">
        <v>2414</v>
      </c>
      <c r="D7301" s="1603" t="s">
        <v>2730</v>
      </c>
      <c r="E7301" s="1603" t="s">
        <v>2219</v>
      </c>
      <c r="F7301" s="1603" t="s">
        <v>2729</v>
      </c>
      <c r="G7301" s="1603"/>
      <c r="H7301" s="1604">
        <v>2</v>
      </c>
      <c r="I7301" s="1610">
        <v>861</v>
      </c>
      <c r="J7301" s="1603"/>
      <c r="K7301" s="1606">
        <v>193671.58</v>
      </c>
      <c r="L7301" s="1606">
        <v>193671.58</v>
      </c>
      <c r="M7301" s="1607"/>
      <c r="N7301" s="1606">
        <v>193671.58</v>
      </c>
      <c r="O7301" s="1606">
        <v>172152.48</v>
      </c>
      <c r="P7301" s="1607"/>
      <c r="Q7301" s="1606">
        <v>21519.1</v>
      </c>
      <c r="R7301" s="1606">
        <v>21519.1</v>
      </c>
      <c r="S7301" s="1608"/>
    </row>
    <row r="7302" spans="2:19" s="1609" customFormat="1" ht="21.75" customHeight="1" outlineLevel="1">
      <c r="B7302" s="1612" t="s">
        <v>2728</v>
      </c>
      <c r="C7302" s="1603" t="s">
        <v>2414</v>
      </c>
      <c r="D7302" s="1603" t="s">
        <v>2727</v>
      </c>
      <c r="E7302" s="1603" t="s">
        <v>2219</v>
      </c>
      <c r="F7302" s="1603" t="s">
        <v>2716</v>
      </c>
      <c r="G7302" s="1603"/>
      <c r="H7302" s="1604">
        <v>2</v>
      </c>
      <c r="I7302" s="1610">
        <v>188</v>
      </c>
      <c r="J7302" s="1603"/>
      <c r="K7302" s="1606">
        <v>42288.34</v>
      </c>
      <c r="L7302" s="1606">
        <v>42288.34</v>
      </c>
      <c r="M7302" s="1607"/>
      <c r="N7302" s="1606">
        <v>42288.34</v>
      </c>
      <c r="O7302" s="1606">
        <v>37589.620000000003</v>
      </c>
      <c r="P7302" s="1607"/>
      <c r="Q7302" s="1606">
        <v>4698.72</v>
      </c>
      <c r="R7302" s="1606">
        <v>4698.72</v>
      </c>
      <c r="S7302" s="1608"/>
    </row>
    <row r="7303" spans="2:19" s="1609" customFormat="1" ht="11.25" customHeight="1" outlineLevel="1">
      <c r="B7303" s="1612" t="s">
        <v>2726</v>
      </c>
      <c r="C7303" s="1603" t="s">
        <v>2414</v>
      </c>
      <c r="D7303" s="1603" t="s">
        <v>2725</v>
      </c>
      <c r="E7303" s="1603" t="s">
        <v>2219</v>
      </c>
      <c r="F7303" s="1603" t="s">
        <v>2716</v>
      </c>
      <c r="G7303" s="1603"/>
      <c r="H7303" s="1604">
        <v>2</v>
      </c>
      <c r="I7303" s="1610">
        <v>205</v>
      </c>
      <c r="J7303" s="1603"/>
      <c r="K7303" s="1606">
        <v>145409.42000000001</v>
      </c>
      <c r="L7303" s="1606">
        <v>145409.42000000001</v>
      </c>
      <c r="M7303" s="1607"/>
      <c r="N7303" s="1606">
        <v>145409.42000000001</v>
      </c>
      <c r="O7303" s="1606">
        <v>129252.86</v>
      </c>
      <c r="P7303" s="1607"/>
      <c r="Q7303" s="1606">
        <v>16156.56</v>
      </c>
      <c r="R7303" s="1606">
        <v>16156.56</v>
      </c>
      <c r="S7303" s="1608"/>
    </row>
    <row r="7304" spans="2:19" s="1609" customFormat="1" ht="11.25" customHeight="1" outlineLevel="1">
      <c r="B7304" s="1612" t="s">
        <v>2724</v>
      </c>
      <c r="C7304" s="1603" t="s">
        <v>2414</v>
      </c>
      <c r="D7304" s="1603" t="s">
        <v>2723</v>
      </c>
      <c r="E7304" s="1603" t="s">
        <v>2219</v>
      </c>
      <c r="F7304" s="1603" t="s">
        <v>2716</v>
      </c>
      <c r="G7304" s="1603"/>
      <c r="H7304" s="1604">
        <v>2</v>
      </c>
      <c r="I7304" s="1610">
        <v>271</v>
      </c>
      <c r="J7304" s="1603"/>
      <c r="K7304" s="1606">
        <v>121916.37</v>
      </c>
      <c r="L7304" s="1606">
        <v>121916.37</v>
      </c>
      <c r="M7304" s="1607"/>
      <c r="N7304" s="1606">
        <v>121916.37</v>
      </c>
      <c r="O7304" s="1606">
        <v>108370.08</v>
      </c>
      <c r="P7304" s="1607"/>
      <c r="Q7304" s="1606">
        <v>13546.29</v>
      </c>
      <c r="R7304" s="1606">
        <v>13546.29</v>
      </c>
      <c r="S7304" s="1608"/>
    </row>
    <row r="7305" spans="2:19" s="1609" customFormat="1" ht="11.25" customHeight="1" outlineLevel="1">
      <c r="B7305" s="1612" t="s">
        <v>2722</v>
      </c>
      <c r="C7305" s="1603" t="s">
        <v>2414</v>
      </c>
      <c r="D7305" s="1603" t="s">
        <v>2721</v>
      </c>
      <c r="E7305" s="1603" t="s">
        <v>2219</v>
      </c>
      <c r="F7305" s="1603" t="s">
        <v>2716</v>
      </c>
      <c r="G7305" s="1603"/>
      <c r="H7305" s="1604">
        <v>2</v>
      </c>
      <c r="I7305" s="1610">
        <v>288</v>
      </c>
      <c r="J7305" s="1603"/>
      <c r="K7305" s="1606">
        <v>129564.27</v>
      </c>
      <c r="L7305" s="1606">
        <v>129564.27</v>
      </c>
      <c r="M7305" s="1607"/>
      <c r="N7305" s="1606">
        <v>129564.27</v>
      </c>
      <c r="O7305" s="1606">
        <v>115168.23</v>
      </c>
      <c r="P7305" s="1607"/>
      <c r="Q7305" s="1606">
        <v>14396.04</v>
      </c>
      <c r="R7305" s="1606">
        <v>14396.04</v>
      </c>
      <c r="S7305" s="1608"/>
    </row>
    <row r="7306" spans="2:19" s="1609" customFormat="1" ht="11.25" customHeight="1" outlineLevel="1">
      <c r="B7306" s="1612" t="s">
        <v>2720</v>
      </c>
      <c r="C7306" s="1603" t="s">
        <v>2414</v>
      </c>
      <c r="D7306" s="1603" t="s">
        <v>2719</v>
      </c>
      <c r="E7306" s="1603" t="s">
        <v>2219</v>
      </c>
      <c r="F7306" s="1603" t="s">
        <v>2716</v>
      </c>
      <c r="G7306" s="1603"/>
      <c r="H7306" s="1604">
        <v>2</v>
      </c>
      <c r="I7306" s="1610">
        <v>36</v>
      </c>
      <c r="J7306" s="1603"/>
      <c r="K7306" s="1606">
        <v>8097.77</v>
      </c>
      <c r="L7306" s="1606">
        <v>8097.77</v>
      </c>
      <c r="M7306" s="1607"/>
      <c r="N7306" s="1606">
        <v>8097.77</v>
      </c>
      <c r="O7306" s="1606">
        <v>7198.01</v>
      </c>
      <c r="P7306" s="1607"/>
      <c r="Q7306" s="1605">
        <v>899.76</v>
      </c>
      <c r="R7306" s="1605">
        <v>899.76</v>
      </c>
      <c r="S7306" s="1608"/>
    </row>
    <row r="7307" spans="2:19" s="1609" customFormat="1" ht="21.75" customHeight="1" outlineLevel="1">
      <c r="B7307" s="1612" t="s">
        <v>2718</v>
      </c>
      <c r="C7307" s="1603" t="s">
        <v>2414</v>
      </c>
      <c r="D7307" s="1603" t="s">
        <v>2717</v>
      </c>
      <c r="E7307" s="1603" t="s">
        <v>2219</v>
      </c>
      <c r="F7307" s="1603" t="s">
        <v>2716</v>
      </c>
      <c r="G7307" s="1603"/>
      <c r="H7307" s="1604">
        <v>2</v>
      </c>
      <c r="I7307" s="1610">
        <v>860</v>
      </c>
      <c r="J7307" s="1603"/>
      <c r="K7307" s="1606">
        <v>193446.65</v>
      </c>
      <c r="L7307" s="1606">
        <v>193446.65</v>
      </c>
      <c r="M7307" s="1607"/>
      <c r="N7307" s="1606">
        <v>193446.65</v>
      </c>
      <c r="O7307" s="1606">
        <v>171952.61</v>
      </c>
      <c r="P7307" s="1607"/>
      <c r="Q7307" s="1606">
        <v>21494.04</v>
      </c>
      <c r="R7307" s="1606">
        <v>21494.04</v>
      </c>
      <c r="S7307" s="1608"/>
    </row>
    <row r="7308" spans="2:19" s="1609" customFormat="1" ht="21.75" customHeight="1" outlineLevel="1">
      <c r="B7308" s="1612" t="s">
        <v>2715</v>
      </c>
      <c r="C7308" s="1603" t="s">
        <v>2414</v>
      </c>
      <c r="D7308" s="1603" t="s">
        <v>2714</v>
      </c>
      <c r="E7308" s="1603" t="s">
        <v>2219</v>
      </c>
      <c r="F7308" s="1603" t="s">
        <v>2707</v>
      </c>
      <c r="G7308" s="1603" t="s">
        <v>2713</v>
      </c>
      <c r="H7308" s="1604">
        <v>2</v>
      </c>
      <c r="I7308" s="1610">
        <v>61</v>
      </c>
      <c r="J7308" s="1603"/>
      <c r="K7308" s="1606">
        <v>13721.22</v>
      </c>
      <c r="L7308" s="1606">
        <v>13721.22</v>
      </c>
      <c r="M7308" s="1607"/>
      <c r="N7308" s="1606">
        <v>13721.22</v>
      </c>
      <c r="O7308" s="1606">
        <v>12196.62</v>
      </c>
      <c r="P7308" s="1607"/>
      <c r="Q7308" s="1606">
        <v>1524.6</v>
      </c>
      <c r="R7308" s="1606">
        <v>1524.6</v>
      </c>
      <c r="S7308" s="1608"/>
    </row>
    <row r="7309" spans="2:19" s="1609" customFormat="1" ht="21.75" customHeight="1" outlineLevel="1">
      <c r="B7309" s="1612" t="s">
        <v>2712</v>
      </c>
      <c r="C7309" s="1603" t="s">
        <v>2414</v>
      </c>
      <c r="D7309" s="1603" t="s">
        <v>2711</v>
      </c>
      <c r="E7309" s="1603" t="s">
        <v>2219</v>
      </c>
      <c r="F7309" s="1603" t="s">
        <v>2707</v>
      </c>
      <c r="G7309" s="1603" t="s">
        <v>2710</v>
      </c>
      <c r="H7309" s="1604">
        <v>2</v>
      </c>
      <c r="I7309" s="1610">
        <v>578</v>
      </c>
      <c r="J7309" s="1603"/>
      <c r="K7309" s="1606">
        <v>65007.07</v>
      </c>
      <c r="L7309" s="1606">
        <v>65007.07</v>
      </c>
      <c r="M7309" s="1607"/>
      <c r="N7309" s="1606">
        <v>65007.07</v>
      </c>
      <c r="O7309" s="1606">
        <v>57784.03</v>
      </c>
      <c r="P7309" s="1607"/>
      <c r="Q7309" s="1606">
        <v>7223.04</v>
      </c>
      <c r="R7309" s="1606">
        <v>7223.04</v>
      </c>
      <c r="S7309" s="1608"/>
    </row>
    <row r="7310" spans="2:19" s="1609" customFormat="1" ht="21.75" customHeight="1" outlineLevel="1">
      <c r="B7310" s="1612" t="s">
        <v>2709</v>
      </c>
      <c r="C7310" s="1603" t="s">
        <v>2414</v>
      </c>
      <c r="D7310" s="1603" t="s">
        <v>2708</v>
      </c>
      <c r="E7310" s="1603" t="s">
        <v>2219</v>
      </c>
      <c r="F7310" s="1603" t="s">
        <v>2707</v>
      </c>
      <c r="G7310" s="1603" t="s">
        <v>2706</v>
      </c>
      <c r="H7310" s="1604">
        <v>2</v>
      </c>
      <c r="I7310" s="1610">
        <v>85</v>
      </c>
      <c r="J7310" s="1603"/>
      <c r="K7310" s="1606">
        <v>19119.73</v>
      </c>
      <c r="L7310" s="1606">
        <v>19119.73</v>
      </c>
      <c r="M7310" s="1607"/>
      <c r="N7310" s="1606">
        <v>19119.73</v>
      </c>
      <c r="O7310" s="1606">
        <v>16995.36</v>
      </c>
      <c r="P7310" s="1607"/>
      <c r="Q7310" s="1606">
        <v>2124.37</v>
      </c>
      <c r="R7310" s="1606">
        <v>2124.37</v>
      </c>
      <c r="S7310" s="1608"/>
    </row>
    <row r="7311" spans="2:19" s="1609" customFormat="1" ht="11.25" customHeight="1" outlineLevel="1">
      <c r="B7311" s="1612" t="s">
        <v>2705</v>
      </c>
      <c r="C7311" s="1603" t="s">
        <v>2414</v>
      </c>
      <c r="D7311" s="1603" t="s">
        <v>2704</v>
      </c>
      <c r="E7311" s="1603" t="s">
        <v>2219</v>
      </c>
      <c r="F7311" s="1603" t="s">
        <v>2691</v>
      </c>
      <c r="G7311" s="1603" t="s">
        <v>2703</v>
      </c>
      <c r="H7311" s="1604">
        <v>2</v>
      </c>
      <c r="I7311" s="1610">
        <v>31</v>
      </c>
      <c r="J7311" s="1603"/>
      <c r="K7311" s="1606">
        <v>52994.62</v>
      </c>
      <c r="L7311" s="1606">
        <v>52994.62</v>
      </c>
      <c r="M7311" s="1607"/>
      <c r="N7311" s="1606">
        <v>52994.62</v>
      </c>
      <c r="O7311" s="1606">
        <v>47106.34</v>
      </c>
      <c r="P7311" s="1607"/>
      <c r="Q7311" s="1606">
        <v>5888.28</v>
      </c>
      <c r="R7311" s="1606">
        <v>5888.28</v>
      </c>
      <c r="S7311" s="1608"/>
    </row>
    <row r="7312" spans="2:19" s="1609" customFormat="1" ht="11.25" customHeight="1" outlineLevel="1">
      <c r="B7312" s="1612" t="s">
        <v>2702</v>
      </c>
      <c r="C7312" s="1603" t="s">
        <v>2414</v>
      </c>
      <c r="D7312" s="1603" t="s">
        <v>2701</v>
      </c>
      <c r="E7312" s="1603" t="s">
        <v>2219</v>
      </c>
      <c r="F7312" s="1603" t="s">
        <v>2691</v>
      </c>
      <c r="G7312" s="1603" t="s">
        <v>2700</v>
      </c>
      <c r="H7312" s="1604">
        <v>2</v>
      </c>
      <c r="I7312" s="1610">
        <v>94</v>
      </c>
      <c r="J7312" s="1603"/>
      <c r="K7312" s="1606">
        <v>150473.97</v>
      </c>
      <c r="L7312" s="1606">
        <v>150473.97</v>
      </c>
      <c r="M7312" s="1607"/>
      <c r="N7312" s="1606">
        <v>150473.97</v>
      </c>
      <c r="O7312" s="1606">
        <v>133754.60999999999</v>
      </c>
      <c r="P7312" s="1607"/>
      <c r="Q7312" s="1606">
        <v>16719.36</v>
      </c>
      <c r="R7312" s="1606">
        <v>16719.36</v>
      </c>
      <c r="S7312" s="1608"/>
    </row>
    <row r="7313" spans="2:19" s="1609" customFormat="1" ht="21.75" customHeight="1" outlineLevel="1">
      <c r="B7313" s="1612" t="s">
        <v>2699</v>
      </c>
      <c r="C7313" s="1603" t="s">
        <v>2414</v>
      </c>
      <c r="D7313" s="1603" t="s">
        <v>2698</v>
      </c>
      <c r="E7313" s="1603" t="s">
        <v>2219</v>
      </c>
      <c r="F7313" s="1603" t="s">
        <v>2691</v>
      </c>
      <c r="G7313" s="1603" t="s">
        <v>2697</v>
      </c>
      <c r="H7313" s="1604">
        <v>2</v>
      </c>
      <c r="I7313" s="1610">
        <v>105</v>
      </c>
      <c r="J7313" s="1603"/>
      <c r="K7313" s="1606">
        <v>168082.62</v>
      </c>
      <c r="L7313" s="1606">
        <v>168082.62</v>
      </c>
      <c r="M7313" s="1607"/>
      <c r="N7313" s="1606">
        <v>168082.62</v>
      </c>
      <c r="O7313" s="1606">
        <v>149406.78</v>
      </c>
      <c r="P7313" s="1607"/>
      <c r="Q7313" s="1606">
        <v>18675.84</v>
      </c>
      <c r="R7313" s="1606">
        <v>18675.84</v>
      </c>
      <c r="S7313" s="1608"/>
    </row>
    <row r="7314" spans="2:19" s="1609" customFormat="1" ht="11.25" customHeight="1" outlineLevel="1">
      <c r="B7314" s="1612" t="s">
        <v>2696</v>
      </c>
      <c r="C7314" s="1603" t="s">
        <v>2414</v>
      </c>
      <c r="D7314" s="1603" t="s">
        <v>2695</v>
      </c>
      <c r="E7314" s="1603" t="s">
        <v>2219</v>
      </c>
      <c r="F7314" s="1603" t="s">
        <v>2691</v>
      </c>
      <c r="G7314" s="1603" t="s">
        <v>2694</v>
      </c>
      <c r="H7314" s="1604">
        <v>2</v>
      </c>
      <c r="I7314" s="1610">
        <v>180</v>
      </c>
      <c r="J7314" s="1603"/>
      <c r="K7314" s="1606">
        <v>288141.64</v>
      </c>
      <c r="L7314" s="1606">
        <v>288141.64</v>
      </c>
      <c r="M7314" s="1607"/>
      <c r="N7314" s="1606">
        <v>288141.64</v>
      </c>
      <c r="O7314" s="1606">
        <v>256125.88</v>
      </c>
      <c r="P7314" s="1607"/>
      <c r="Q7314" s="1606">
        <v>32015.759999999998</v>
      </c>
      <c r="R7314" s="1606">
        <v>32015.759999999998</v>
      </c>
      <c r="S7314" s="1608"/>
    </row>
    <row r="7315" spans="2:19" s="1609" customFormat="1" ht="21.75" customHeight="1" outlineLevel="1">
      <c r="B7315" s="1612" t="s">
        <v>2693</v>
      </c>
      <c r="C7315" s="1603" t="s">
        <v>2414</v>
      </c>
      <c r="D7315" s="1603" t="s">
        <v>2692</v>
      </c>
      <c r="E7315" s="1603" t="s">
        <v>2219</v>
      </c>
      <c r="F7315" s="1603" t="s">
        <v>2691</v>
      </c>
      <c r="G7315" s="1603" t="s">
        <v>2690</v>
      </c>
      <c r="H7315" s="1604">
        <v>2</v>
      </c>
      <c r="I7315" s="1610">
        <v>260</v>
      </c>
      <c r="J7315" s="1603"/>
      <c r="K7315" s="1606">
        <v>416204.59</v>
      </c>
      <c r="L7315" s="1606">
        <v>416204.59</v>
      </c>
      <c r="M7315" s="1607"/>
      <c r="N7315" s="1606">
        <v>416204.59</v>
      </c>
      <c r="O7315" s="1606">
        <v>369959.59</v>
      </c>
      <c r="P7315" s="1607"/>
      <c r="Q7315" s="1606">
        <v>46245</v>
      </c>
      <c r="R7315" s="1606">
        <v>46245</v>
      </c>
      <c r="S7315" s="1608"/>
    </row>
    <row r="7316" spans="2:19" s="1609" customFormat="1" ht="11.25" customHeight="1" outlineLevel="1">
      <c r="B7316" s="1612" t="s">
        <v>2689</v>
      </c>
      <c r="C7316" s="1603" t="s">
        <v>2414</v>
      </c>
      <c r="D7316" s="1603" t="s">
        <v>2688</v>
      </c>
      <c r="E7316" s="1603" t="s">
        <v>2219</v>
      </c>
      <c r="F7316" s="1603" t="s">
        <v>2678</v>
      </c>
      <c r="G7316" s="1603" t="s">
        <v>2687</v>
      </c>
      <c r="H7316" s="1604">
        <v>2</v>
      </c>
      <c r="I7316" s="1610">
        <v>27</v>
      </c>
      <c r="J7316" s="1603"/>
      <c r="K7316" s="1606">
        <v>6073.32</v>
      </c>
      <c r="L7316" s="1606">
        <v>6073.32</v>
      </c>
      <c r="M7316" s="1607"/>
      <c r="N7316" s="1606">
        <v>6073.32</v>
      </c>
      <c r="O7316" s="1606">
        <v>5398.56</v>
      </c>
      <c r="P7316" s="1607"/>
      <c r="Q7316" s="1605">
        <v>674.76</v>
      </c>
      <c r="R7316" s="1605">
        <v>674.76</v>
      </c>
      <c r="S7316" s="1608"/>
    </row>
    <row r="7317" spans="2:19" s="1609" customFormat="1" ht="11.25" customHeight="1" outlineLevel="1">
      <c r="B7317" s="1612" t="s">
        <v>2686</v>
      </c>
      <c r="C7317" s="1603" t="s">
        <v>2414</v>
      </c>
      <c r="D7317" s="1603" t="s">
        <v>2685</v>
      </c>
      <c r="E7317" s="1603" t="s">
        <v>2219</v>
      </c>
      <c r="F7317" s="1603" t="s">
        <v>2678</v>
      </c>
      <c r="G7317" s="1603" t="s">
        <v>2684</v>
      </c>
      <c r="H7317" s="1604">
        <v>2</v>
      </c>
      <c r="I7317" s="1610">
        <v>146</v>
      </c>
      <c r="J7317" s="1603"/>
      <c r="K7317" s="1606">
        <v>33961.480000000003</v>
      </c>
      <c r="L7317" s="1606">
        <v>33961.480000000003</v>
      </c>
      <c r="M7317" s="1607"/>
      <c r="N7317" s="1606">
        <v>33961.480000000003</v>
      </c>
      <c r="O7317" s="1606">
        <v>30187.96</v>
      </c>
      <c r="P7317" s="1607"/>
      <c r="Q7317" s="1606">
        <v>3773.52</v>
      </c>
      <c r="R7317" s="1606">
        <v>3773.52</v>
      </c>
      <c r="S7317" s="1608"/>
    </row>
    <row r="7318" spans="2:19" s="1609" customFormat="1" ht="11.25" customHeight="1" outlineLevel="1">
      <c r="B7318" s="1612" t="s">
        <v>2683</v>
      </c>
      <c r="C7318" s="1603" t="s">
        <v>2414</v>
      </c>
      <c r="D7318" s="1603" t="s">
        <v>2682</v>
      </c>
      <c r="E7318" s="1603" t="s">
        <v>2219</v>
      </c>
      <c r="F7318" s="1603" t="s">
        <v>2678</v>
      </c>
      <c r="G7318" s="1603" t="s">
        <v>2681</v>
      </c>
      <c r="H7318" s="1604">
        <v>2</v>
      </c>
      <c r="I7318" s="1610">
        <v>13</v>
      </c>
      <c r="J7318" s="1603"/>
      <c r="K7318" s="1606">
        <v>2924.19</v>
      </c>
      <c r="L7318" s="1606">
        <v>2924.19</v>
      </c>
      <c r="M7318" s="1607"/>
      <c r="N7318" s="1606">
        <v>2924.19</v>
      </c>
      <c r="O7318" s="1606">
        <v>2599.23</v>
      </c>
      <c r="P7318" s="1607"/>
      <c r="Q7318" s="1605">
        <v>324.95999999999998</v>
      </c>
      <c r="R7318" s="1605">
        <v>324.95999999999998</v>
      </c>
      <c r="S7318" s="1608"/>
    </row>
    <row r="7319" spans="2:19" s="1609" customFormat="1" ht="21.75" customHeight="1" outlineLevel="1">
      <c r="B7319" s="1612" t="s">
        <v>2680</v>
      </c>
      <c r="C7319" s="1603" t="s">
        <v>2414</v>
      </c>
      <c r="D7319" s="1603" t="s">
        <v>2679</v>
      </c>
      <c r="E7319" s="1603" t="s">
        <v>2219</v>
      </c>
      <c r="F7319" s="1603" t="s">
        <v>2678</v>
      </c>
      <c r="G7319" s="1603" t="s">
        <v>2677</v>
      </c>
      <c r="H7319" s="1604">
        <v>2</v>
      </c>
      <c r="I7319" s="1610">
        <v>123</v>
      </c>
      <c r="J7319" s="1603"/>
      <c r="K7319" s="1606">
        <v>27667.37</v>
      </c>
      <c r="L7319" s="1606">
        <v>27667.37</v>
      </c>
      <c r="M7319" s="1607"/>
      <c r="N7319" s="1606">
        <v>27667.37</v>
      </c>
      <c r="O7319" s="1606">
        <v>24593.21</v>
      </c>
      <c r="P7319" s="1607"/>
      <c r="Q7319" s="1606">
        <v>3074.16</v>
      </c>
      <c r="R7319" s="1606">
        <v>3074.16</v>
      </c>
      <c r="S7319" s="1608"/>
    </row>
    <row r="7320" spans="2:19" s="1609" customFormat="1" ht="11.25" customHeight="1" outlineLevel="1">
      <c r="B7320" s="1612" t="s">
        <v>2676</v>
      </c>
      <c r="C7320" s="1603" t="s">
        <v>2414</v>
      </c>
      <c r="D7320" s="1603" t="s">
        <v>2675</v>
      </c>
      <c r="E7320" s="1603" t="s">
        <v>2219</v>
      </c>
      <c r="F7320" s="1603" t="s">
        <v>2674</v>
      </c>
      <c r="G7320" s="1603"/>
      <c r="H7320" s="1604">
        <v>2</v>
      </c>
      <c r="I7320" s="1610">
        <v>53</v>
      </c>
      <c r="J7320" s="1603" t="s">
        <v>2673</v>
      </c>
      <c r="K7320" s="1606">
        <v>11921.71</v>
      </c>
      <c r="L7320" s="1606">
        <v>11921.71</v>
      </c>
      <c r="M7320" s="1607"/>
      <c r="N7320" s="1606">
        <v>11921.71</v>
      </c>
      <c r="O7320" s="1606">
        <v>10597.03</v>
      </c>
      <c r="P7320" s="1607"/>
      <c r="Q7320" s="1606">
        <v>1324.68</v>
      </c>
      <c r="R7320" s="1606">
        <v>1324.68</v>
      </c>
      <c r="S7320" s="1608"/>
    </row>
    <row r="7321" spans="2:19" s="1609" customFormat="1" ht="11.25" customHeight="1" outlineLevel="1">
      <c r="B7321" s="1612" t="s">
        <v>2672</v>
      </c>
      <c r="C7321" s="1603" t="s">
        <v>2414</v>
      </c>
      <c r="D7321" s="1603" t="s">
        <v>2671</v>
      </c>
      <c r="E7321" s="1603" t="s">
        <v>2219</v>
      </c>
      <c r="F7321" s="1603" t="s">
        <v>2657</v>
      </c>
      <c r="G7321" s="1603"/>
      <c r="H7321" s="1604">
        <v>2</v>
      </c>
      <c r="I7321" s="1610">
        <v>102</v>
      </c>
      <c r="J7321" s="1603"/>
      <c r="K7321" s="1606">
        <v>11471.84</v>
      </c>
      <c r="L7321" s="1606">
        <v>11471.84</v>
      </c>
      <c r="M7321" s="1607"/>
      <c r="N7321" s="1606">
        <v>11471.84</v>
      </c>
      <c r="O7321" s="1606">
        <v>10197.200000000001</v>
      </c>
      <c r="P7321" s="1607"/>
      <c r="Q7321" s="1606">
        <v>1274.6400000000001</v>
      </c>
      <c r="R7321" s="1606">
        <v>1274.6400000000001</v>
      </c>
      <c r="S7321" s="1608"/>
    </row>
    <row r="7322" spans="2:19" s="1609" customFormat="1" ht="11.25" customHeight="1" outlineLevel="1">
      <c r="B7322" s="1612" t="s">
        <v>2670</v>
      </c>
      <c r="C7322" s="1603" t="s">
        <v>2414</v>
      </c>
      <c r="D7322" s="1603" t="s">
        <v>2669</v>
      </c>
      <c r="E7322" s="1603" t="s">
        <v>2219</v>
      </c>
      <c r="F7322" s="1603" t="s">
        <v>2657</v>
      </c>
      <c r="G7322" s="1603"/>
      <c r="H7322" s="1604">
        <v>2</v>
      </c>
      <c r="I7322" s="1610">
        <v>51</v>
      </c>
      <c r="J7322" s="1603"/>
      <c r="K7322" s="1606">
        <v>5931.63</v>
      </c>
      <c r="L7322" s="1606">
        <v>5931.63</v>
      </c>
      <c r="M7322" s="1607"/>
      <c r="N7322" s="1606">
        <v>5931.63</v>
      </c>
      <c r="O7322" s="1606">
        <v>5272.59</v>
      </c>
      <c r="P7322" s="1607"/>
      <c r="Q7322" s="1605">
        <v>659.04</v>
      </c>
      <c r="R7322" s="1605">
        <v>659.04</v>
      </c>
      <c r="S7322" s="1608"/>
    </row>
    <row r="7323" spans="2:19" s="1609" customFormat="1" ht="21.75" customHeight="1" outlineLevel="1">
      <c r="B7323" s="1612" t="s">
        <v>2668</v>
      </c>
      <c r="C7323" s="1603" t="s">
        <v>2414</v>
      </c>
      <c r="D7323" s="1603" t="s">
        <v>2667</v>
      </c>
      <c r="E7323" s="1603" t="s">
        <v>2219</v>
      </c>
      <c r="F7323" s="1603" t="s">
        <v>2657</v>
      </c>
      <c r="G7323" s="1603"/>
      <c r="H7323" s="1604">
        <v>2</v>
      </c>
      <c r="I7323" s="1610">
        <v>141</v>
      </c>
      <c r="J7323" s="1603"/>
      <c r="K7323" s="1606">
        <v>31716.25</v>
      </c>
      <c r="L7323" s="1606">
        <v>31716.25</v>
      </c>
      <c r="M7323" s="1607"/>
      <c r="N7323" s="1606">
        <v>31716.25</v>
      </c>
      <c r="O7323" s="1606">
        <v>28192.21</v>
      </c>
      <c r="P7323" s="1607"/>
      <c r="Q7323" s="1606">
        <v>3524.04</v>
      </c>
      <c r="R7323" s="1606">
        <v>3524.04</v>
      </c>
      <c r="S7323" s="1608"/>
    </row>
    <row r="7324" spans="2:19" s="1609" customFormat="1" ht="11.25" customHeight="1" outlineLevel="1">
      <c r="B7324" s="1612" t="s">
        <v>2666</v>
      </c>
      <c r="C7324" s="1603" t="s">
        <v>2414</v>
      </c>
      <c r="D7324" s="1603" t="s">
        <v>2665</v>
      </c>
      <c r="E7324" s="1603" t="s">
        <v>2219</v>
      </c>
      <c r="F7324" s="1603" t="s">
        <v>2664</v>
      </c>
      <c r="G7324" s="1603"/>
      <c r="H7324" s="1604">
        <v>2</v>
      </c>
      <c r="I7324" s="1610">
        <v>136</v>
      </c>
      <c r="J7324" s="1603"/>
      <c r="K7324" s="1606">
        <v>31635.35</v>
      </c>
      <c r="L7324" s="1606">
        <v>31635.35</v>
      </c>
      <c r="M7324" s="1607"/>
      <c r="N7324" s="1606">
        <v>31635.35</v>
      </c>
      <c r="O7324" s="1606">
        <v>28120.31</v>
      </c>
      <c r="P7324" s="1607"/>
      <c r="Q7324" s="1606">
        <v>3515.04</v>
      </c>
      <c r="R7324" s="1606">
        <v>3515.04</v>
      </c>
      <c r="S7324" s="1608"/>
    </row>
    <row r="7325" spans="2:19" s="1609" customFormat="1" ht="11.25" customHeight="1" outlineLevel="1">
      <c r="B7325" s="1612" t="s">
        <v>2663</v>
      </c>
      <c r="C7325" s="1603" t="s">
        <v>2414</v>
      </c>
      <c r="D7325" s="1603" t="s">
        <v>2662</v>
      </c>
      <c r="E7325" s="1603" t="s">
        <v>2219</v>
      </c>
      <c r="F7325" s="1603" t="s">
        <v>2657</v>
      </c>
      <c r="G7325" s="1603"/>
      <c r="H7325" s="1604">
        <v>2</v>
      </c>
      <c r="I7325" s="1610">
        <v>12</v>
      </c>
      <c r="J7325" s="1603"/>
      <c r="K7325" s="1606">
        <v>1349.63</v>
      </c>
      <c r="L7325" s="1606">
        <v>1349.63</v>
      </c>
      <c r="M7325" s="1607"/>
      <c r="N7325" s="1606">
        <v>1349.63</v>
      </c>
      <c r="O7325" s="1606">
        <v>1199.6300000000001</v>
      </c>
      <c r="P7325" s="1607"/>
      <c r="Q7325" s="1605">
        <v>150</v>
      </c>
      <c r="R7325" s="1605">
        <v>150</v>
      </c>
      <c r="S7325" s="1608"/>
    </row>
    <row r="7326" spans="2:19" s="1609" customFormat="1" ht="21.75" customHeight="1" outlineLevel="1">
      <c r="B7326" s="1612" t="s">
        <v>2661</v>
      </c>
      <c r="C7326" s="1603" t="s">
        <v>2414</v>
      </c>
      <c r="D7326" s="1603" t="s">
        <v>2660</v>
      </c>
      <c r="E7326" s="1603" t="s">
        <v>2219</v>
      </c>
      <c r="F7326" s="1603" t="s">
        <v>2657</v>
      </c>
      <c r="G7326" s="1603"/>
      <c r="H7326" s="1604">
        <v>2</v>
      </c>
      <c r="I7326" s="1610">
        <v>138</v>
      </c>
      <c r="J7326" s="1603"/>
      <c r="K7326" s="1606">
        <v>45716.23</v>
      </c>
      <c r="L7326" s="1606">
        <v>45716.23</v>
      </c>
      <c r="M7326" s="1607"/>
      <c r="N7326" s="1606">
        <v>45716.23</v>
      </c>
      <c r="O7326" s="1606">
        <v>40636.629999999997</v>
      </c>
      <c r="P7326" s="1607"/>
      <c r="Q7326" s="1606">
        <v>5079.6000000000004</v>
      </c>
      <c r="R7326" s="1606">
        <v>5079.6000000000004</v>
      </c>
      <c r="S7326" s="1608"/>
    </row>
    <row r="7327" spans="2:19" s="1609" customFormat="1" ht="21.75" customHeight="1" outlineLevel="1">
      <c r="B7327" s="1612" t="s">
        <v>2659</v>
      </c>
      <c r="C7327" s="1603" t="s">
        <v>2414</v>
      </c>
      <c r="D7327" s="1603" t="s">
        <v>2658</v>
      </c>
      <c r="E7327" s="1603" t="s">
        <v>2219</v>
      </c>
      <c r="F7327" s="1603" t="s">
        <v>2657</v>
      </c>
      <c r="G7327" s="1603"/>
      <c r="H7327" s="1604">
        <v>2</v>
      </c>
      <c r="I7327" s="1610">
        <v>191</v>
      </c>
      <c r="J7327" s="1603"/>
      <c r="K7327" s="1606">
        <v>21481.58</v>
      </c>
      <c r="L7327" s="1606">
        <v>21481.58</v>
      </c>
      <c r="M7327" s="1607"/>
      <c r="N7327" s="1606">
        <v>21481.58</v>
      </c>
      <c r="O7327" s="1606">
        <v>19094.78</v>
      </c>
      <c r="P7327" s="1607"/>
      <c r="Q7327" s="1606">
        <v>2386.8000000000002</v>
      </c>
      <c r="R7327" s="1606">
        <v>2386.8000000000002</v>
      </c>
      <c r="S7327" s="1608"/>
    </row>
    <row r="7328" spans="2:19" s="1609" customFormat="1" ht="11.25" customHeight="1" outlineLevel="1">
      <c r="B7328" s="1612" t="s">
        <v>2656</v>
      </c>
      <c r="C7328" s="1603" t="s">
        <v>2414</v>
      </c>
      <c r="D7328" s="1603" t="s">
        <v>2655</v>
      </c>
      <c r="E7328" s="1603" t="s">
        <v>2219</v>
      </c>
      <c r="F7328" s="1603" t="s">
        <v>2654</v>
      </c>
      <c r="G7328" s="1603"/>
      <c r="H7328" s="1603"/>
      <c r="I7328" s="1610">
        <v>80</v>
      </c>
      <c r="J7328" s="1603"/>
      <c r="K7328" s="1606">
        <v>37218.06</v>
      </c>
      <c r="L7328" s="1606">
        <v>37218.06</v>
      </c>
      <c r="M7328" s="1607"/>
      <c r="N7328" s="1606">
        <v>37218.06</v>
      </c>
      <c r="O7328" s="1606">
        <v>33082.74</v>
      </c>
      <c r="P7328" s="1607"/>
      <c r="Q7328" s="1606">
        <v>4135.32</v>
      </c>
      <c r="R7328" s="1606">
        <v>4135.32</v>
      </c>
      <c r="S7328" s="1608"/>
    </row>
    <row r="7329" spans="2:19" s="1609" customFormat="1" ht="21.75" customHeight="1" outlineLevel="1">
      <c r="B7329" s="1612" t="s">
        <v>2653</v>
      </c>
      <c r="C7329" s="1603" t="s">
        <v>2414</v>
      </c>
      <c r="D7329" s="1603" t="s">
        <v>2652</v>
      </c>
      <c r="E7329" s="1603" t="s">
        <v>2219</v>
      </c>
      <c r="F7329" s="1603" t="s">
        <v>2607</v>
      </c>
      <c r="G7329" s="1603" t="s">
        <v>2651</v>
      </c>
      <c r="H7329" s="1604">
        <v>2</v>
      </c>
      <c r="I7329" s="1610">
        <v>158</v>
      </c>
      <c r="J7329" s="1603"/>
      <c r="K7329" s="1606">
        <v>71080.399999999994</v>
      </c>
      <c r="L7329" s="1606">
        <v>71080.399999999994</v>
      </c>
      <c r="M7329" s="1607"/>
      <c r="N7329" s="1606">
        <v>71080.399999999994</v>
      </c>
      <c r="O7329" s="1606">
        <v>63182.6</v>
      </c>
      <c r="P7329" s="1607"/>
      <c r="Q7329" s="1606">
        <v>7897.8</v>
      </c>
      <c r="R7329" s="1606">
        <v>7897.8</v>
      </c>
      <c r="S7329" s="1608"/>
    </row>
    <row r="7330" spans="2:19" s="1609" customFormat="1" ht="11.25" customHeight="1" outlineLevel="1">
      <c r="B7330" s="1612" t="s">
        <v>2650</v>
      </c>
      <c r="C7330" s="1603" t="s">
        <v>2414</v>
      </c>
      <c r="D7330" s="1603" t="s">
        <v>2649</v>
      </c>
      <c r="E7330" s="1603" t="s">
        <v>2219</v>
      </c>
      <c r="F7330" s="1603" t="s">
        <v>2607</v>
      </c>
      <c r="G7330" s="1603" t="s">
        <v>2648</v>
      </c>
      <c r="H7330" s="1604">
        <v>2</v>
      </c>
      <c r="I7330" s="1610">
        <v>101</v>
      </c>
      <c r="J7330" s="1603"/>
      <c r="K7330" s="1606">
        <v>22718.73</v>
      </c>
      <c r="L7330" s="1606">
        <v>22718.73</v>
      </c>
      <c r="M7330" s="1607"/>
      <c r="N7330" s="1606">
        <v>22718.73</v>
      </c>
      <c r="O7330" s="1606">
        <v>20194.41</v>
      </c>
      <c r="P7330" s="1607"/>
      <c r="Q7330" s="1606">
        <v>2524.3200000000002</v>
      </c>
      <c r="R7330" s="1606">
        <v>2524.3200000000002</v>
      </c>
      <c r="S7330" s="1608"/>
    </row>
    <row r="7331" spans="2:19" s="1609" customFormat="1" ht="11.25" customHeight="1" outlineLevel="1">
      <c r="B7331" s="1612" t="s">
        <v>2647</v>
      </c>
      <c r="C7331" s="1603" t="s">
        <v>2414</v>
      </c>
      <c r="D7331" s="1603" t="s">
        <v>2646</v>
      </c>
      <c r="E7331" s="1603" t="s">
        <v>2219</v>
      </c>
      <c r="F7331" s="1603" t="s">
        <v>2607</v>
      </c>
      <c r="G7331" s="1603" t="s">
        <v>2645</v>
      </c>
      <c r="H7331" s="1604">
        <v>2</v>
      </c>
      <c r="I7331" s="1610">
        <v>69</v>
      </c>
      <c r="J7331" s="1603"/>
      <c r="K7331" s="1606">
        <v>15520.72</v>
      </c>
      <c r="L7331" s="1606">
        <v>15520.72</v>
      </c>
      <c r="M7331" s="1607"/>
      <c r="N7331" s="1606">
        <v>15520.72</v>
      </c>
      <c r="O7331" s="1606">
        <v>13796.2</v>
      </c>
      <c r="P7331" s="1607"/>
      <c r="Q7331" s="1606">
        <v>1724.52</v>
      </c>
      <c r="R7331" s="1606">
        <v>1724.52</v>
      </c>
      <c r="S7331" s="1608"/>
    </row>
    <row r="7332" spans="2:19" s="1609" customFormat="1" ht="21.75" customHeight="1" outlineLevel="1">
      <c r="B7332" s="1612" t="s">
        <v>2644</v>
      </c>
      <c r="C7332" s="1603" t="s">
        <v>2414</v>
      </c>
      <c r="D7332" s="1603" t="s">
        <v>2643</v>
      </c>
      <c r="E7332" s="1603" t="s">
        <v>2219</v>
      </c>
      <c r="F7332" s="1603" t="s">
        <v>2642</v>
      </c>
      <c r="G7332" s="1603" t="s">
        <v>2641</v>
      </c>
      <c r="H7332" s="1604">
        <v>2</v>
      </c>
      <c r="I7332" s="1610">
        <v>1175</v>
      </c>
      <c r="J7332" s="1603"/>
      <c r="K7332" s="1606">
        <v>132151.04999999999</v>
      </c>
      <c r="L7332" s="1606">
        <v>132151.04999999999</v>
      </c>
      <c r="M7332" s="1607"/>
      <c r="N7332" s="1606">
        <v>132151.04999999999</v>
      </c>
      <c r="O7332" s="1606">
        <v>117467.61</v>
      </c>
      <c r="P7332" s="1607"/>
      <c r="Q7332" s="1606">
        <v>14683.44</v>
      </c>
      <c r="R7332" s="1606">
        <v>14683.44</v>
      </c>
      <c r="S7332" s="1608"/>
    </row>
    <row r="7333" spans="2:19" s="1609" customFormat="1" ht="11.25" customHeight="1" outlineLevel="1">
      <c r="B7333" s="1612" t="s">
        <v>2640</v>
      </c>
      <c r="C7333" s="1603" t="s">
        <v>2414</v>
      </c>
      <c r="D7333" s="1603" t="s">
        <v>2639</v>
      </c>
      <c r="E7333" s="1603" t="s">
        <v>2219</v>
      </c>
      <c r="F7333" s="1603" t="s">
        <v>2607</v>
      </c>
      <c r="G7333" s="1603" t="s">
        <v>2638</v>
      </c>
      <c r="H7333" s="1604">
        <v>2</v>
      </c>
      <c r="I7333" s="1610">
        <v>47</v>
      </c>
      <c r="J7333" s="1603"/>
      <c r="K7333" s="1606">
        <v>15962.15</v>
      </c>
      <c r="L7333" s="1606">
        <v>15962.15</v>
      </c>
      <c r="M7333" s="1607"/>
      <c r="N7333" s="1606">
        <v>15962.15</v>
      </c>
      <c r="O7333" s="1606">
        <v>14188.55</v>
      </c>
      <c r="P7333" s="1607"/>
      <c r="Q7333" s="1606">
        <v>1773.6</v>
      </c>
      <c r="R7333" s="1606">
        <v>1773.6</v>
      </c>
      <c r="S7333" s="1608"/>
    </row>
    <row r="7334" spans="2:19" s="1609" customFormat="1" ht="21.75" customHeight="1" outlineLevel="1">
      <c r="B7334" s="1612" t="s">
        <v>2637</v>
      </c>
      <c r="C7334" s="1603" t="s">
        <v>2414</v>
      </c>
      <c r="D7334" s="1603" t="s">
        <v>2636</v>
      </c>
      <c r="E7334" s="1603" t="s">
        <v>2219</v>
      </c>
      <c r="F7334" s="1603" t="s">
        <v>2635</v>
      </c>
      <c r="G7334" s="1603" t="s">
        <v>2634</v>
      </c>
      <c r="H7334" s="1604">
        <v>2</v>
      </c>
      <c r="I7334" s="1610">
        <v>1153</v>
      </c>
      <c r="J7334" s="1603"/>
      <c r="K7334" s="1606">
        <v>615955.66</v>
      </c>
      <c r="L7334" s="1606">
        <v>615955.66</v>
      </c>
      <c r="M7334" s="1607"/>
      <c r="N7334" s="1606">
        <v>615955.66</v>
      </c>
      <c r="O7334" s="1606">
        <v>547516.18000000005</v>
      </c>
      <c r="P7334" s="1607"/>
      <c r="Q7334" s="1606">
        <v>68439.48</v>
      </c>
      <c r="R7334" s="1606">
        <v>68439.48</v>
      </c>
      <c r="S7334" s="1608"/>
    </row>
    <row r="7335" spans="2:19" s="1609" customFormat="1" ht="11.25" customHeight="1" outlineLevel="1">
      <c r="B7335" s="1612" t="s">
        <v>2633</v>
      </c>
      <c r="C7335" s="1603" t="s">
        <v>2414</v>
      </c>
      <c r="D7335" s="1603" t="s">
        <v>2632</v>
      </c>
      <c r="E7335" s="1603" t="s">
        <v>2219</v>
      </c>
      <c r="F7335" s="1603" t="s">
        <v>2607</v>
      </c>
      <c r="G7335" s="1603" t="s">
        <v>2631</v>
      </c>
      <c r="H7335" s="1604">
        <v>2</v>
      </c>
      <c r="I7335" s="1610">
        <v>136</v>
      </c>
      <c r="J7335" s="1603"/>
      <c r="K7335" s="1606">
        <v>30591.56</v>
      </c>
      <c r="L7335" s="1606">
        <v>30591.56</v>
      </c>
      <c r="M7335" s="1607"/>
      <c r="N7335" s="1606">
        <v>30591.56</v>
      </c>
      <c r="O7335" s="1606">
        <v>27192.48</v>
      </c>
      <c r="P7335" s="1607"/>
      <c r="Q7335" s="1606">
        <v>3399.08</v>
      </c>
      <c r="R7335" s="1606">
        <v>3399.08</v>
      </c>
      <c r="S7335" s="1608"/>
    </row>
    <row r="7336" spans="2:19" s="1609" customFormat="1" ht="21.75" customHeight="1" outlineLevel="1">
      <c r="B7336" s="1612" t="s">
        <v>2630</v>
      </c>
      <c r="C7336" s="1603" t="s">
        <v>2414</v>
      </c>
      <c r="D7336" s="1603" t="s">
        <v>2629</v>
      </c>
      <c r="E7336" s="1603" t="s">
        <v>2219</v>
      </c>
      <c r="F7336" s="1603" t="s">
        <v>2607</v>
      </c>
      <c r="G7336" s="1603" t="s">
        <v>2628</v>
      </c>
      <c r="H7336" s="1604">
        <v>2</v>
      </c>
      <c r="I7336" s="1610">
        <v>1460</v>
      </c>
      <c r="J7336" s="1603"/>
      <c r="K7336" s="1606">
        <v>670291.84</v>
      </c>
      <c r="L7336" s="1606">
        <v>670291.84</v>
      </c>
      <c r="M7336" s="1607"/>
      <c r="N7336" s="1606">
        <v>670291.84</v>
      </c>
      <c r="O7336" s="1606">
        <v>595814.92000000004</v>
      </c>
      <c r="P7336" s="1607"/>
      <c r="Q7336" s="1606">
        <v>74476.92</v>
      </c>
      <c r="R7336" s="1606">
        <v>74476.92</v>
      </c>
      <c r="S7336" s="1608"/>
    </row>
    <row r="7337" spans="2:19" s="1609" customFormat="1" ht="11.25" customHeight="1" outlineLevel="1">
      <c r="B7337" s="1612" t="s">
        <v>2627</v>
      </c>
      <c r="C7337" s="1603" t="s">
        <v>2414</v>
      </c>
      <c r="D7337" s="1603" t="s">
        <v>2626</v>
      </c>
      <c r="E7337" s="1603" t="s">
        <v>2219</v>
      </c>
      <c r="F7337" s="1603" t="s">
        <v>2607</v>
      </c>
      <c r="G7337" s="1603" t="s">
        <v>2625</v>
      </c>
      <c r="H7337" s="1604">
        <v>2</v>
      </c>
      <c r="I7337" s="1610">
        <v>43</v>
      </c>
      <c r="J7337" s="1603"/>
      <c r="K7337" s="1606">
        <v>9672.33</v>
      </c>
      <c r="L7337" s="1606">
        <v>9672.33</v>
      </c>
      <c r="M7337" s="1607"/>
      <c r="N7337" s="1606">
        <v>9672.33</v>
      </c>
      <c r="O7337" s="1606">
        <v>8597.61</v>
      </c>
      <c r="P7337" s="1607"/>
      <c r="Q7337" s="1606">
        <v>1074.72</v>
      </c>
      <c r="R7337" s="1606">
        <v>1074.72</v>
      </c>
      <c r="S7337" s="1608"/>
    </row>
    <row r="7338" spans="2:19" s="1609" customFormat="1" ht="11.25" customHeight="1" outlineLevel="1">
      <c r="B7338" s="1612" t="s">
        <v>2624</v>
      </c>
      <c r="C7338" s="1603" t="s">
        <v>2414</v>
      </c>
      <c r="D7338" s="1603" t="s">
        <v>2623</v>
      </c>
      <c r="E7338" s="1603" t="s">
        <v>2219</v>
      </c>
      <c r="F7338" s="1603" t="s">
        <v>2607</v>
      </c>
      <c r="G7338" s="1603" t="s">
        <v>2622</v>
      </c>
      <c r="H7338" s="1604">
        <v>2</v>
      </c>
      <c r="I7338" s="1610">
        <v>127</v>
      </c>
      <c r="J7338" s="1603"/>
      <c r="K7338" s="1606">
        <v>28567.119999999999</v>
      </c>
      <c r="L7338" s="1606">
        <v>28567.119999999999</v>
      </c>
      <c r="M7338" s="1607"/>
      <c r="N7338" s="1606">
        <v>28567.119999999999</v>
      </c>
      <c r="O7338" s="1606">
        <v>25393</v>
      </c>
      <c r="P7338" s="1607"/>
      <c r="Q7338" s="1606">
        <v>3174.12</v>
      </c>
      <c r="R7338" s="1606">
        <v>3174.12</v>
      </c>
      <c r="S7338" s="1608"/>
    </row>
    <row r="7339" spans="2:19" s="1609" customFormat="1" ht="11.25" customHeight="1" outlineLevel="1">
      <c r="B7339" s="1612" t="s">
        <v>2621</v>
      </c>
      <c r="C7339" s="1603" t="s">
        <v>2414</v>
      </c>
      <c r="D7339" s="1603" t="s">
        <v>2620</v>
      </c>
      <c r="E7339" s="1603" t="s">
        <v>2219</v>
      </c>
      <c r="F7339" s="1603" t="s">
        <v>2607</v>
      </c>
      <c r="G7339" s="1603" t="s">
        <v>2619</v>
      </c>
      <c r="H7339" s="1604">
        <v>2</v>
      </c>
      <c r="I7339" s="1610">
        <v>104</v>
      </c>
      <c r="J7339" s="1603"/>
      <c r="K7339" s="1606">
        <v>17660.25</v>
      </c>
      <c r="L7339" s="1606">
        <v>17660.25</v>
      </c>
      <c r="M7339" s="1607"/>
      <c r="N7339" s="1606">
        <v>17660.25</v>
      </c>
      <c r="O7339" s="1606">
        <v>15698.01</v>
      </c>
      <c r="P7339" s="1607"/>
      <c r="Q7339" s="1606">
        <v>1962.24</v>
      </c>
      <c r="R7339" s="1606">
        <v>1962.24</v>
      </c>
      <c r="S7339" s="1608"/>
    </row>
    <row r="7340" spans="2:19" s="1609" customFormat="1" ht="11.25" customHeight="1" outlineLevel="1">
      <c r="B7340" s="1612" t="s">
        <v>2618</v>
      </c>
      <c r="C7340" s="1603" t="s">
        <v>2414</v>
      </c>
      <c r="D7340" s="1603" t="s">
        <v>2617</v>
      </c>
      <c r="E7340" s="1603" t="s">
        <v>2219</v>
      </c>
      <c r="F7340" s="1603" t="s">
        <v>2607</v>
      </c>
      <c r="G7340" s="1603" t="s">
        <v>2616</v>
      </c>
      <c r="H7340" s="1604">
        <v>2</v>
      </c>
      <c r="I7340" s="1610">
        <v>33</v>
      </c>
      <c r="J7340" s="1603"/>
      <c r="K7340" s="1606">
        <v>7676.23</v>
      </c>
      <c r="L7340" s="1606">
        <v>7676.23</v>
      </c>
      <c r="M7340" s="1607"/>
      <c r="N7340" s="1606">
        <v>7676.23</v>
      </c>
      <c r="O7340" s="1606">
        <v>6823.27</v>
      </c>
      <c r="P7340" s="1607"/>
      <c r="Q7340" s="1605">
        <v>852.96</v>
      </c>
      <c r="R7340" s="1605">
        <v>852.96</v>
      </c>
      <c r="S7340" s="1608"/>
    </row>
    <row r="7341" spans="2:19" s="1609" customFormat="1" ht="21" customHeight="1" outlineLevel="1">
      <c r="B7341" s="1612" t="s">
        <v>2615</v>
      </c>
      <c r="C7341" s="1603" t="s">
        <v>2414</v>
      </c>
      <c r="D7341" s="1603" t="s">
        <v>2614</v>
      </c>
      <c r="E7341" s="1603" t="s">
        <v>2219</v>
      </c>
      <c r="F7341" s="1603" t="s">
        <v>2607</v>
      </c>
      <c r="G7341" s="1603" t="s">
        <v>2613</v>
      </c>
      <c r="H7341" s="1604">
        <v>2</v>
      </c>
      <c r="I7341" s="1610">
        <v>107</v>
      </c>
      <c r="J7341" s="1603"/>
      <c r="K7341" s="1606">
        <v>6770.63</v>
      </c>
      <c r="L7341" s="1606">
        <v>6770.63</v>
      </c>
      <c r="M7341" s="1607"/>
      <c r="N7341" s="1606">
        <v>6770.63</v>
      </c>
      <c r="O7341" s="1606">
        <v>6018.35</v>
      </c>
      <c r="P7341" s="1607"/>
      <c r="Q7341" s="1605">
        <v>752.28</v>
      </c>
      <c r="R7341" s="1605">
        <v>752.28</v>
      </c>
      <c r="S7341" s="1608"/>
    </row>
    <row r="7342" spans="2:19" s="1609" customFormat="1" ht="11.25" customHeight="1" outlineLevel="1">
      <c r="B7342" s="1612" t="s">
        <v>2612</v>
      </c>
      <c r="C7342" s="1603" t="s">
        <v>2414</v>
      </c>
      <c r="D7342" s="1603" t="s">
        <v>2611</v>
      </c>
      <c r="E7342" s="1603" t="s">
        <v>2219</v>
      </c>
      <c r="F7342" s="1603" t="s">
        <v>2607</v>
      </c>
      <c r="G7342" s="1603" t="s">
        <v>2610</v>
      </c>
      <c r="H7342" s="1604">
        <v>2</v>
      </c>
      <c r="I7342" s="1610">
        <v>269</v>
      </c>
      <c r="J7342" s="1603"/>
      <c r="K7342" s="1606">
        <v>60508.31</v>
      </c>
      <c r="L7342" s="1606">
        <v>60508.31</v>
      </c>
      <c r="M7342" s="1607"/>
      <c r="N7342" s="1606">
        <v>60508.31</v>
      </c>
      <c r="O7342" s="1606">
        <v>53785.19</v>
      </c>
      <c r="P7342" s="1607"/>
      <c r="Q7342" s="1606">
        <v>6723.12</v>
      </c>
      <c r="R7342" s="1606">
        <v>6723.12</v>
      </c>
      <c r="S7342" s="1608"/>
    </row>
    <row r="7343" spans="2:19" s="1609" customFormat="1" ht="11.25" customHeight="1" outlineLevel="1">
      <c r="B7343" s="1612" t="s">
        <v>2609</v>
      </c>
      <c r="C7343" s="1603" t="s">
        <v>2414</v>
      </c>
      <c r="D7343" s="1603" t="s">
        <v>2608</v>
      </c>
      <c r="E7343" s="1603" t="s">
        <v>2219</v>
      </c>
      <c r="F7343" s="1603" t="s">
        <v>2607</v>
      </c>
      <c r="G7343" s="1603" t="s">
        <v>2606</v>
      </c>
      <c r="H7343" s="1604">
        <v>2</v>
      </c>
      <c r="I7343" s="1610">
        <v>10</v>
      </c>
      <c r="J7343" s="1603"/>
      <c r="K7343" s="1606">
        <v>2249.38</v>
      </c>
      <c r="L7343" s="1606">
        <v>2249.38</v>
      </c>
      <c r="M7343" s="1607"/>
      <c r="N7343" s="1606">
        <v>2249.38</v>
      </c>
      <c r="O7343" s="1606">
        <v>1999.42</v>
      </c>
      <c r="P7343" s="1607"/>
      <c r="Q7343" s="1605">
        <v>249.96</v>
      </c>
      <c r="R7343" s="1605">
        <v>249.96</v>
      </c>
      <c r="S7343" s="1608"/>
    </row>
    <row r="7344" spans="2:19" s="1609" customFormat="1" ht="21.75" customHeight="1" outlineLevel="1">
      <c r="B7344" s="1612" t="s">
        <v>2605</v>
      </c>
      <c r="C7344" s="1603" t="s">
        <v>2414</v>
      </c>
      <c r="D7344" s="1603" t="s">
        <v>2604</v>
      </c>
      <c r="E7344" s="1603" t="s">
        <v>2219</v>
      </c>
      <c r="F7344" s="1603" t="s">
        <v>2587</v>
      </c>
      <c r="G7344" s="1603" t="s">
        <v>2603</v>
      </c>
      <c r="H7344" s="1604">
        <v>2</v>
      </c>
      <c r="I7344" s="1610">
        <v>680</v>
      </c>
      <c r="J7344" s="1603"/>
      <c r="K7344" s="1606">
        <v>230941.71</v>
      </c>
      <c r="L7344" s="1606">
        <v>230941.71</v>
      </c>
      <c r="M7344" s="1607"/>
      <c r="N7344" s="1606">
        <v>230941.71</v>
      </c>
      <c r="O7344" s="1606">
        <v>205281.51</v>
      </c>
      <c r="P7344" s="1607"/>
      <c r="Q7344" s="1606">
        <v>25660.2</v>
      </c>
      <c r="R7344" s="1606">
        <v>25660.2</v>
      </c>
      <c r="S7344" s="1608"/>
    </row>
    <row r="7345" spans="2:19" s="1609" customFormat="1" ht="11.25" customHeight="1" outlineLevel="1">
      <c r="B7345" s="1612" t="s">
        <v>2602</v>
      </c>
      <c r="C7345" s="1603" t="s">
        <v>2414</v>
      </c>
      <c r="D7345" s="1603" t="s">
        <v>2601</v>
      </c>
      <c r="E7345" s="1603" t="s">
        <v>2219</v>
      </c>
      <c r="F7345" s="1603" t="s">
        <v>2587</v>
      </c>
      <c r="G7345" s="1603" t="s">
        <v>2600</v>
      </c>
      <c r="H7345" s="1604">
        <v>2</v>
      </c>
      <c r="I7345" s="1610">
        <v>103</v>
      </c>
      <c r="J7345" s="1603"/>
      <c r="K7345" s="1606">
        <v>23959.13</v>
      </c>
      <c r="L7345" s="1606">
        <v>23959.13</v>
      </c>
      <c r="M7345" s="1607"/>
      <c r="N7345" s="1606">
        <v>23959.13</v>
      </c>
      <c r="O7345" s="1606">
        <v>21297.05</v>
      </c>
      <c r="P7345" s="1607"/>
      <c r="Q7345" s="1606">
        <v>2662.08</v>
      </c>
      <c r="R7345" s="1606">
        <v>2662.08</v>
      </c>
      <c r="S7345" s="1608"/>
    </row>
    <row r="7346" spans="2:19" s="1609" customFormat="1" ht="11.25" customHeight="1" outlineLevel="1">
      <c r="B7346" s="1612" t="s">
        <v>2599</v>
      </c>
      <c r="C7346" s="1603" t="s">
        <v>2414</v>
      </c>
      <c r="D7346" s="1603" t="s">
        <v>2598</v>
      </c>
      <c r="E7346" s="1603" t="s">
        <v>2219</v>
      </c>
      <c r="F7346" s="1603" t="s">
        <v>2587</v>
      </c>
      <c r="G7346" s="1603" t="s">
        <v>2597</v>
      </c>
      <c r="H7346" s="1604">
        <v>2</v>
      </c>
      <c r="I7346" s="1610">
        <v>50</v>
      </c>
      <c r="J7346" s="1603"/>
      <c r="K7346" s="1606">
        <v>11630.64</v>
      </c>
      <c r="L7346" s="1606">
        <v>11630.64</v>
      </c>
      <c r="M7346" s="1607"/>
      <c r="N7346" s="1606">
        <v>11630.64</v>
      </c>
      <c r="O7346" s="1606">
        <v>10338.36</v>
      </c>
      <c r="P7346" s="1607"/>
      <c r="Q7346" s="1606">
        <v>1292.28</v>
      </c>
      <c r="R7346" s="1606">
        <v>1292.28</v>
      </c>
      <c r="S7346" s="1608"/>
    </row>
    <row r="7347" spans="2:19" s="1609" customFormat="1" ht="21.75" customHeight="1" outlineLevel="1">
      <c r="B7347" s="1612" t="s">
        <v>2596</v>
      </c>
      <c r="C7347" s="1603" t="s">
        <v>2414</v>
      </c>
      <c r="D7347" s="1603" t="s">
        <v>2595</v>
      </c>
      <c r="E7347" s="1603" t="s">
        <v>2219</v>
      </c>
      <c r="F7347" s="1603" t="s">
        <v>2594</v>
      </c>
      <c r="G7347" s="1603" t="s">
        <v>2593</v>
      </c>
      <c r="H7347" s="1604">
        <v>2</v>
      </c>
      <c r="I7347" s="1610">
        <v>134</v>
      </c>
      <c r="J7347" s="1603"/>
      <c r="K7347" s="1606">
        <v>30141.69</v>
      </c>
      <c r="L7347" s="1606">
        <v>30141.69</v>
      </c>
      <c r="M7347" s="1607"/>
      <c r="N7347" s="1606">
        <v>30141.69</v>
      </c>
      <c r="O7347" s="1606">
        <v>26792.61</v>
      </c>
      <c r="P7347" s="1607"/>
      <c r="Q7347" s="1606">
        <v>3349.08</v>
      </c>
      <c r="R7347" s="1606">
        <v>3349.08</v>
      </c>
      <c r="S7347" s="1608"/>
    </row>
    <row r="7348" spans="2:19" s="1609" customFormat="1" ht="21.75" customHeight="1" outlineLevel="1">
      <c r="B7348" s="1612" t="s">
        <v>2592</v>
      </c>
      <c r="C7348" s="1603" t="s">
        <v>2414</v>
      </c>
      <c r="D7348" s="1603" t="s">
        <v>2591</v>
      </c>
      <c r="E7348" s="1603" t="s">
        <v>2219</v>
      </c>
      <c r="F7348" s="1603" t="s">
        <v>2587</v>
      </c>
      <c r="G7348" s="1603" t="s">
        <v>2590</v>
      </c>
      <c r="H7348" s="1604">
        <v>2</v>
      </c>
      <c r="I7348" s="1610">
        <v>103</v>
      </c>
      <c r="J7348" s="1603"/>
      <c r="K7348" s="1606">
        <v>82536.990000000005</v>
      </c>
      <c r="L7348" s="1606">
        <v>82536.990000000005</v>
      </c>
      <c r="M7348" s="1607"/>
      <c r="N7348" s="1606">
        <v>82536.990000000005</v>
      </c>
      <c r="O7348" s="1606">
        <v>73366.23</v>
      </c>
      <c r="P7348" s="1607"/>
      <c r="Q7348" s="1606">
        <v>9170.76</v>
      </c>
      <c r="R7348" s="1606">
        <v>9170.76</v>
      </c>
      <c r="S7348" s="1608"/>
    </row>
    <row r="7349" spans="2:19" s="1609" customFormat="1" ht="11.25" customHeight="1" outlineLevel="1">
      <c r="B7349" s="1612" t="s">
        <v>2589</v>
      </c>
      <c r="C7349" s="1603" t="s">
        <v>2414</v>
      </c>
      <c r="D7349" s="1603" t="s">
        <v>2588</v>
      </c>
      <c r="E7349" s="1603" t="s">
        <v>2219</v>
      </c>
      <c r="F7349" s="1603" t="s">
        <v>2587</v>
      </c>
      <c r="G7349" s="1603" t="s">
        <v>2586</v>
      </c>
      <c r="H7349" s="1604">
        <v>2</v>
      </c>
      <c r="I7349" s="1610">
        <v>79</v>
      </c>
      <c r="J7349" s="1603"/>
      <c r="K7349" s="1606">
        <v>17770.099999999999</v>
      </c>
      <c r="L7349" s="1606">
        <v>17770.099999999999</v>
      </c>
      <c r="M7349" s="1607"/>
      <c r="N7349" s="1606">
        <v>17770.099999999999</v>
      </c>
      <c r="O7349" s="1606">
        <v>15795.62</v>
      </c>
      <c r="P7349" s="1607"/>
      <c r="Q7349" s="1606">
        <v>1974.48</v>
      </c>
      <c r="R7349" s="1606">
        <v>1974.48</v>
      </c>
      <c r="S7349" s="1608"/>
    </row>
    <row r="7350" spans="2:19" s="1609" customFormat="1" ht="11.25" customHeight="1" outlineLevel="1">
      <c r="B7350" s="1612" t="s">
        <v>2585</v>
      </c>
      <c r="C7350" s="1603" t="s">
        <v>2414</v>
      </c>
      <c r="D7350" s="1603" t="s">
        <v>2584</v>
      </c>
      <c r="E7350" s="1603" t="s">
        <v>2219</v>
      </c>
      <c r="F7350" s="1603" t="s">
        <v>2580</v>
      </c>
      <c r="G7350" s="1603" t="s">
        <v>2583</v>
      </c>
      <c r="H7350" s="1604">
        <v>1</v>
      </c>
      <c r="I7350" s="1610">
        <v>74</v>
      </c>
      <c r="J7350" s="1603"/>
      <c r="K7350" s="1606">
        <v>16645.41</v>
      </c>
      <c r="L7350" s="1606">
        <v>16645.41</v>
      </c>
      <c r="M7350" s="1607"/>
      <c r="N7350" s="1606">
        <v>16645.41</v>
      </c>
      <c r="O7350" s="1606">
        <v>14795.97</v>
      </c>
      <c r="P7350" s="1607"/>
      <c r="Q7350" s="1606">
        <v>1849.44</v>
      </c>
      <c r="R7350" s="1606">
        <v>1849.44</v>
      </c>
      <c r="S7350" s="1608"/>
    </row>
    <row r="7351" spans="2:19" s="1609" customFormat="1" ht="11.25" customHeight="1" outlineLevel="1">
      <c r="B7351" s="1612" t="s">
        <v>2582</v>
      </c>
      <c r="C7351" s="1603" t="s">
        <v>2414</v>
      </c>
      <c r="D7351" s="1603" t="s">
        <v>2581</v>
      </c>
      <c r="E7351" s="1603" t="s">
        <v>2219</v>
      </c>
      <c r="F7351" s="1603" t="s">
        <v>2580</v>
      </c>
      <c r="G7351" s="1603" t="s">
        <v>2579</v>
      </c>
      <c r="H7351" s="1604">
        <v>1</v>
      </c>
      <c r="I7351" s="1610">
        <v>75</v>
      </c>
      <c r="J7351" s="1603"/>
      <c r="K7351" s="1606">
        <v>33740.69</v>
      </c>
      <c r="L7351" s="1606">
        <v>33740.69</v>
      </c>
      <c r="M7351" s="1607"/>
      <c r="N7351" s="1606">
        <v>33740.69</v>
      </c>
      <c r="O7351" s="1606">
        <v>29991.77</v>
      </c>
      <c r="P7351" s="1607"/>
      <c r="Q7351" s="1606">
        <v>3748.92</v>
      </c>
      <c r="R7351" s="1606">
        <v>3748.92</v>
      </c>
      <c r="S7351" s="1608"/>
    </row>
    <row r="7352" spans="2:19" s="1609" customFormat="1" ht="11.25" customHeight="1" outlineLevel="1">
      <c r="B7352" s="1612" t="s">
        <v>2578</v>
      </c>
      <c r="C7352" s="1603" t="s">
        <v>2414</v>
      </c>
      <c r="D7352" s="1603" t="s">
        <v>2577</v>
      </c>
      <c r="E7352" s="1603" t="s">
        <v>2219</v>
      </c>
      <c r="F7352" s="1603" t="s">
        <v>2576</v>
      </c>
      <c r="G7352" s="1603" t="s">
        <v>2575</v>
      </c>
      <c r="H7352" s="1604">
        <v>2</v>
      </c>
      <c r="I7352" s="1610">
        <v>51</v>
      </c>
      <c r="J7352" s="1603"/>
      <c r="K7352" s="1606">
        <v>46828.61</v>
      </c>
      <c r="L7352" s="1606">
        <v>46828.61</v>
      </c>
      <c r="M7352" s="1607"/>
      <c r="N7352" s="1606">
        <v>46828.61</v>
      </c>
      <c r="O7352" s="1606">
        <v>41625.410000000003</v>
      </c>
      <c r="P7352" s="1607"/>
      <c r="Q7352" s="1606">
        <v>5203.2</v>
      </c>
      <c r="R7352" s="1606">
        <v>5203.2</v>
      </c>
      <c r="S7352" s="1608"/>
    </row>
    <row r="7353" spans="2:19" s="1609" customFormat="1" ht="11.25" customHeight="1" outlineLevel="1">
      <c r="B7353" s="1612" t="s">
        <v>2574</v>
      </c>
      <c r="C7353" s="1603" t="s">
        <v>2414</v>
      </c>
      <c r="D7353" s="1603" t="s">
        <v>2573</v>
      </c>
      <c r="E7353" s="1603" t="s">
        <v>2219</v>
      </c>
      <c r="F7353" s="1603" t="s">
        <v>2563</v>
      </c>
      <c r="G7353" s="1603" t="s">
        <v>2572</v>
      </c>
      <c r="H7353" s="1604">
        <v>2</v>
      </c>
      <c r="I7353" s="1610">
        <v>46</v>
      </c>
      <c r="J7353" s="1603"/>
      <c r="K7353" s="1606">
        <v>10347.15</v>
      </c>
      <c r="L7353" s="1606">
        <v>10347.15</v>
      </c>
      <c r="M7353" s="1607"/>
      <c r="N7353" s="1606">
        <v>10347.15</v>
      </c>
      <c r="O7353" s="1606">
        <v>9197.43</v>
      </c>
      <c r="P7353" s="1607"/>
      <c r="Q7353" s="1606">
        <v>1149.72</v>
      </c>
      <c r="R7353" s="1606">
        <v>1149.72</v>
      </c>
      <c r="S7353" s="1608"/>
    </row>
    <row r="7354" spans="2:19" s="1609" customFormat="1" ht="11.25" customHeight="1" outlineLevel="1">
      <c r="B7354" s="1612" t="s">
        <v>2571</v>
      </c>
      <c r="C7354" s="1603" t="s">
        <v>2414</v>
      </c>
      <c r="D7354" s="1603" t="s">
        <v>2570</v>
      </c>
      <c r="E7354" s="1603" t="s">
        <v>2219</v>
      </c>
      <c r="F7354" s="1603" t="s">
        <v>2563</v>
      </c>
      <c r="G7354" s="1603" t="s">
        <v>2569</v>
      </c>
      <c r="H7354" s="1604">
        <v>2</v>
      </c>
      <c r="I7354" s="1610">
        <v>158</v>
      </c>
      <c r="J7354" s="1603"/>
      <c r="K7354" s="1606">
        <v>145076.85999999999</v>
      </c>
      <c r="L7354" s="1606">
        <v>145076.85999999999</v>
      </c>
      <c r="M7354" s="1607"/>
      <c r="N7354" s="1606">
        <v>145076.85999999999</v>
      </c>
      <c r="O7354" s="1606">
        <v>128957.26</v>
      </c>
      <c r="P7354" s="1607"/>
      <c r="Q7354" s="1606">
        <v>16119.6</v>
      </c>
      <c r="R7354" s="1606">
        <v>16119.6</v>
      </c>
      <c r="S7354" s="1608"/>
    </row>
    <row r="7355" spans="2:19" s="1609" customFormat="1" ht="11.25" customHeight="1" outlineLevel="1">
      <c r="B7355" s="1612" t="s">
        <v>2568</v>
      </c>
      <c r="C7355" s="1603" t="s">
        <v>2414</v>
      </c>
      <c r="D7355" s="1603" t="s">
        <v>2567</v>
      </c>
      <c r="E7355" s="1603" t="s">
        <v>2219</v>
      </c>
      <c r="F7355" s="1603" t="s">
        <v>2563</v>
      </c>
      <c r="G7355" s="1603" t="s">
        <v>2566</v>
      </c>
      <c r="H7355" s="1604">
        <v>2</v>
      </c>
      <c r="I7355" s="1610">
        <v>102</v>
      </c>
      <c r="J7355" s="1603"/>
      <c r="K7355" s="1606">
        <v>23726.51</v>
      </c>
      <c r="L7355" s="1606">
        <v>23726.51</v>
      </c>
      <c r="M7355" s="1607"/>
      <c r="N7355" s="1606">
        <v>23726.51</v>
      </c>
      <c r="O7355" s="1606">
        <v>21090.23</v>
      </c>
      <c r="P7355" s="1607"/>
      <c r="Q7355" s="1606">
        <v>2636.28</v>
      </c>
      <c r="R7355" s="1606">
        <v>2636.28</v>
      </c>
      <c r="S7355" s="1608"/>
    </row>
    <row r="7356" spans="2:19" s="1609" customFormat="1" ht="11.25" customHeight="1" outlineLevel="1">
      <c r="B7356" s="1612" t="s">
        <v>2565</v>
      </c>
      <c r="C7356" s="1603" t="s">
        <v>2414</v>
      </c>
      <c r="D7356" s="1603" t="s">
        <v>2564</v>
      </c>
      <c r="E7356" s="1603" t="s">
        <v>2219</v>
      </c>
      <c r="F7356" s="1603" t="s">
        <v>2563</v>
      </c>
      <c r="G7356" s="1603" t="s">
        <v>2562</v>
      </c>
      <c r="H7356" s="1604">
        <v>2</v>
      </c>
      <c r="I7356" s="1610">
        <v>130</v>
      </c>
      <c r="J7356" s="1603"/>
      <c r="K7356" s="1606">
        <v>44150.62</v>
      </c>
      <c r="L7356" s="1606">
        <v>44150.62</v>
      </c>
      <c r="M7356" s="1607"/>
      <c r="N7356" s="1606">
        <v>44150.62</v>
      </c>
      <c r="O7356" s="1606">
        <v>39245.019999999997</v>
      </c>
      <c r="P7356" s="1607"/>
      <c r="Q7356" s="1606">
        <v>4905.6000000000004</v>
      </c>
      <c r="R7356" s="1606">
        <v>4905.6000000000004</v>
      </c>
      <c r="S7356" s="1608"/>
    </row>
    <row r="7357" spans="2:19" s="1609" customFormat="1" ht="11.25" customHeight="1" outlineLevel="1">
      <c r="B7357" s="1612" t="s">
        <v>2561</v>
      </c>
      <c r="C7357" s="1603" t="s">
        <v>2414</v>
      </c>
      <c r="D7357" s="1603" t="s">
        <v>2560</v>
      </c>
      <c r="E7357" s="1603" t="s">
        <v>2219</v>
      </c>
      <c r="F7357" s="1603" t="s">
        <v>2538</v>
      </c>
      <c r="G7357" s="1603" t="s">
        <v>2559</v>
      </c>
      <c r="H7357" s="1604">
        <v>2</v>
      </c>
      <c r="I7357" s="1610">
        <v>62</v>
      </c>
      <c r="J7357" s="1603"/>
      <c r="K7357" s="1606">
        <v>13946.15</v>
      </c>
      <c r="L7357" s="1606">
        <v>13946.15</v>
      </c>
      <c r="M7357" s="1607"/>
      <c r="N7357" s="1606">
        <v>13946.15</v>
      </c>
      <c r="O7357" s="1606">
        <v>12396.59</v>
      </c>
      <c r="P7357" s="1607"/>
      <c r="Q7357" s="1606">
        <v>1549.56</v>
      </c>
      <c r="R7357" s="1606">
        <v>1549.56</v>
      </c>
      <c r="S7357" s="1608"/>
    </row>
    <row r="7358" spans="2:19" s="1609" customFormat="1" ht="11.25" customHeight="1" outlineLevel="1">
      <c r="B7358" s="1612" t="s">
        <v>2558</v>
      </c>
      <c r="C7358" s="1603" t="s">
        <v>2414</v>
      </c>
      <c r="D7358" s="1603" t="s">
        <v>2557</v>
      </c>
      <c r="E7358" s="1603" t="s">
        <v>2219</v>
      </c>
      <c r="F7358" s="1603" t="s">
        <v>2538</v>
      </c>
      <c r="G7358" s="1603" t="s">
        <v>2556</v>
      </c>
      <c r="H7358" s="1604">
        <v>2</v>
      </c>
      <c r="I7358" s="1610">
        <v>104</v>
      </c>
      <c r="J7358" s="1603"/>
      <c r="K7358" s="1606">
        <v>23393.55</v>
      </c>
      <c r="L7358" s="1606">
        <v>23393.55</v>
      </c>
      <c r="M7358" s="1607"/>
      <c r="N7358" s="1606">
        <v>23393.55</v>
      </c>
      <c r="O7358" s="1606">
        <v>20794.23</v>
      </c>
      <c r="P7358" s="1607"/>
      <c r="Q7358" s="1606">
        <v>2599.3200000000002</v>
      </c>
      <c r="R7358" s="1606">
        <v>2599.3200000000002</v>
      </c>
      <c r="S7358" s="1608"/>
    </row>
    <row r="7359" spans="2:19" s="1609" customFormat="1" ht="21.75" customHeight="1" outlineLevel="1">
      <c r="B7359" s="1612" t="s">
        <v>2555</v>
      </c>
      <c r="C7359" s="1603" t="s">
        <v>2414</v>
      </c>
      <c r="D7359" s="1603" t="s">
        <v>2554</v>
      </c>
      <c r="E7359" s="1603" t="s">
        <v>2219</v>
      </c>
      <c r="F7359" s="1603" t="s">
        <v>2538</v>
      </c>
      <c r="G7359" s="1603" t="s">
        <v>2553</v>
      </c>
      <c r="H7359" s="1604">
        <v>2</v>
      </c>
      <c r="I7359" s="1610">
        <v>68</v>
      </c>
      <c r="J7359" s="1603"/>
      <c r="K7359" s="1606">
        <v>15295.78</v>
      </c>
      <c r="L7359" s="1606">
        <v>15295.78</v>
      </c>
      <c r="M7359" s="1607"/>
      <c r="N7359" s="1606">
        <v>15295.78</v>
      </c>
      <c r="O7359" s="1606">
        <v>13596.22</v>
      </c>
      <c r="P7359" s="1607"/>
      <c r="Q7359" s="1606">
        <v>1699.56</v>
      </c>
      <c r="R7359" s="1606">
        <v>1699.56</v>
      </c>
      <c r="S7359" s="1608"/>
    </row>
    <row r="7360" spans="2:19" s="1609" customFormat="1" ht="21.75" customHeight="1" outlineLevel="1">
      <c r="B7360" s="1612" t="s">
        <v>2552</v>
      </c>
      <c r="C7360" s="1603" t="s">
        <v>2414</v>
      </c>
      <c r="D7360" s="1603" t="s">
        <v>2551</v>
      </c>
      <c r="E7360" s="1603" t="s">
        <v>2219</v>
      </c>
      <c r="F7360" s="1603" t="s">
        <v>2538</v>
      </c>
      <c r="G7360" s="1603" t="s">
        <v>2550</v>
      </c>
      <c r="H7360" s="1604">
        <v>2</v>
      </c>
      <c r="I7360" s="1610">
        <v>194</v>
      </c>
      <c r="J7360" s="1603"/>
      <c r="K7360" s="1606">
        <v>87275.93</v>
      </c>
      <c r="L7360" s="1606">
        <v>87275.93</v>
      </c>
      <c r="M7360" s="1607"/>
      <c r="N7360" s="1606">
        <v>87275.93</v>
      </c>
      <c r="O7360" s="1606">
        <v>77578.61</v>
      </c>
      <c r="P7360" s="1607"/>
      <c r="Q7360" s="1606">
        <v>9697.32</v>
      </c>
      <c r="R7360" s="1606">
        <v>9697.32</v>
      </c>
      <c r="S7360" s="1608"/>
    </row>
    <row r="7361" spans="2:19" s="1609" customFormat="1" ht="11.25" customHeight="1" outlineLevel="1">
      <c r="B7361" s="1612" t="s">
        <v>2549</v>
      </c>
      <c r="C7361" s="1603" t="s">
        <v>2414</v>
      </c>
      <c r="D7361" s="1603" t="s">
        <v>2548</v>
      </c>
      <c r="E7361" s="1603" t="s">
        <v>2219</v>
      </c>
      <c r="F7361" s="1603" t="s">
        <v>2538</v>
      </c>
      <c r="G7361" s="1603" t="s">
        <v>2547</v>
      </c>
      <c r="H7361" s="1604">
        <v>2</v>
      </c>
      <c r="I7361" s="1610">
        <v>40</v>
      </c>
      <c r="J7361" s="1603"/>
      <c r="K7361" s="1606">
        <v>8997.52</v>
      </c>
      <c r="L7361" s="1606">
        <v>8997.52</v>
      </c>
      <c r="M7361" s="1607"/>
      <c r="N7361" s="1606">
        <v>8997.52</v>
      </c>
      <c r="O7361" s="1606">
        <v>7997.8</v>
      </c>
      <c r="P7361" s="1607"/>
      <c r="Q7361" s="1605">
        <v>999.72</v>
      </c>
      <c r="R7361" s="1605">
        <v>999.72</v>
      </c>
      <c r="S7361" s="1608"/>
    </row>
    <row r="7362" spans="2:19" s="1609" customFormat="1" ht="21.75" customHeight="1" outlineLevel="1">
      <c r="B7362" s="1612" t="s">
        <v>2546</v>
      </c>
      <c r="C7362" s="1603" t="s">
        <v>2414</v>
      </c>
      <c r="D7362" s="1603" t="s">
        <v>2545</v>
      </c>
      <c r="E7362" s="1603" t="s">
        <v>2219</v>
      </c>
      <c r="F7362" s="1603" t="s">
        <v>2538</v>
      </c>
      <c r="G7362" s="1603" t="s">
        <v>2544</v>
      </c>
      <c r="H7362" s="1604">
        <v>2</v>
      </c>
      <c r="I7362" s="1610">
        <v>204</v>
      </c>
      <c r="J7362" s="1603"/>
      <c r="K7362" s="1606">
        <v>138565.03</v>
      </c>
      <c r="L7362" s="1606">
        <v>138565.03</v>
      </c>
      <c r="M7362" s="1607"/>
      <c r="N7362" s="1606">
        <v>138565.03</v>
      </c>
      <c r="O7362" s="1606">
        <v>123168.91</v>
      </c>
      <c r="P7362" s="1607"/>
      <c r="Q7362" s="1606">
        <v>15396.12</v>
      </c>
      <c r="R7362" s="1606">
        <v>15396.12</v>
      </c>
      <c r="S7362" s="1608"/>
    </row>
    <row r="7363" spans="2:19" s="1609" customFormat="1" ht="11.25" customHeight="1" outlineLevel="1">
      <c r="B7363" s="1612" t="s">
        <v>2543</v>
      </c>
      <c r="C7363" s="1603" t="s">
        <v>2414</v>
      </c>
      <c r="D7363" s="1603" t="s">
        <v>2542</v>
      </c>
      <c r="E7363" s="1603" t="s">
        <v>2219</v>
      </c>
      <c r="F7363" s="1603" t="s">
        <v>2538</v>
      </c>
      <c r="G7363" s="1603" t="s">
        <v>2541</v>
      </c>
      <c r="H7363" s="1604">
        <v>2</v>
      </c>
      <c r="I7363" s="1610">
        <v>87</v>
      </c>
      <c r="J7363" s="1603"/>
      <c r="K7363" s="1606">
        <v>59093.91</v>
      </c>
      <c r="L7363" s="1606">
        <v>59093.91</v>
      </c>
      <c r="M7363" s="1607"/>
      <c r="N7363" s="1606">
        <v>59093.91</v>
      </c>
      <c r="O7363" s="1606">
        <v>52527.87</v>
      </c>
      <c r="P7363" s="1607"/>
      <c r="Q7363" s="1606">
        <v>6566.04</v>
      </c>
      <c r="R7363" s="1606">
        <v>6566.04</v>
      </c>
      <c r="S7363" s="1608"/>
    </row>
    <row r="7364" spans="2:19" s="1609" customFormat="1" ht="11.25" customHeight="1" outlineLevel="1">
      <c r="B7364" s="1612" t="s">
        <v>2540</v>
      </c>
      <c r="C7364" s="1603" t="s">
        <v>2414</v>
      </c>
      <c r="D7364" s="1603" t="s">
        <v>2539</v>
      </c>
      <c r="E7364" s="1603" t="s">
        <v>2219</v>
      </c>
      <c r="F7364" s="1603" t="s">
        <v>2538</v>
      </c>
      <c r="G7364" s="1603" t="s">
        <v>2537</v>
      </c>
      <c r="H7364" s="1604">
        <v>2</v>
      </c>
      <c r="I7364" s="1610">
        <v>17</v>
      </c>
      <c r="J7364" s="1603"/>
      <c r="K7364" s="1606">
        <v>3823.95</v>
      </c>
      <c r="L7364" s="1606">
        <v>3823.95</v>
      </c>
      <c r="M7364" s="1607"/>
      <c r="N7364" s="1606">
        <v>3823.95</v>
      </c>
      <c r="O7364" s="1606">
        <v>3399.03</v>
      </c>
      <c r="P7364" s="1607"/>
      <c r="Q7364" s="1605">
        <v>424.92</v>
      </c>
      <c r="R7364" s="1605">
        <v>424.92</v>
      </c>
      <c r="S7364" s="1608"/>
    </row>
    <row r="7365" spans="2:19" s="1609" customFormat="1" ht="21.75" customHeight="1" outlineLevel="1">
      <c r="B7365" s="1612" t="s">
        <v>2536</v>
      </c>
      <c r="C7365" s="1603" t="s">
        <v>2414</v>
      </c>
      <c r="D7365" s="1603" t="s">
        <v>2535</v>
      </c>
      <c r="E7365" s="1603" t="s">
        <v>2219</v>
      </c>
      <c r="F7365" s="1603" t="s">
        <v>2534</v>
      </c>
      <c r="G7365" s="1603"/>
      <c r="H7365" s="1604">
        <v>2</v>
      </c>
      <c r="I7365" s="1610">
        <v>406</v>
      </c>
      <c r="J7365" s="1603"/>
      <c r="K7365" s="1606">
        <v>182649.62</v>
      </c>
      <c r="L7365" s="1606">
        <v>182649.62</v>
      </c>
      <c r="M7365" s="1607"/>
      <c r="N7365" s="1606">
        <v>182649.62</v>
      </c>
      <c r="O7365" s="1606">
        <v>162355.22</v>
      </c>
      <c r="P7365" s="1607"/>
      <c r="Q7365" s="1606">
        <v>20294.400000000001</v>
      </c>
      <c r="R7365" s="1606">
        <v>20294.400000000001</v>
      </c>
      <c r="S7365" s="1608"/>
    </row>
    <row r="7366" spans="2:19" s="1609" customFormat="1" ht="21.75" customHeight="1" outlineLevel="1">
      <c r="B7366" s="1612" t="s">
        <v>2533</v>
      </c>
      <c r="C7366" s="1603" t="s">
        <v>2414</v>
      </c>
      <c r="D7366" s="1603" t="s">
        <v>2532</v>
      </c>
      <c r="E7366" s="1603" t="s">
        <v>2219</v>
      </c>
      <c r="F7366" s="1603" t="s">
        <v>2531</v>
      </c>
      <c r="G7366" s="1603"/>
      <c r="H7366" s="1604">
        <v>2</v>
      </c>
      <c r="I7366" s="1610">
        <v>33</v>
      </c>
      <c r="J7366" s="1603"/>
      <c r="K7366" s="1606">
        <v>14845.91</v>
      </c>
      <c r="L7366" s="1606">
        <v>14845.91</v>
      </c>
      <c r="M7366" s="1607"/>
      <c r="N7366" s="1606">
        <v>14845.91</v>
      </c>
      <c r="O7366" s="1606">
        <v>13196.39</v>
      </c>
      <c r="P7366" s="1607"/>
      <c r="Q7366" s="1606">
        <v>1649.52</v>
      </c>
      <c r="R7366" s="1606">
        <v>1649.52</v>
      </c>
      <c r="S7366" s="1608"/>
    </row>
    <row r="7367" spans="2:19" s="1609" customFormat="1" ht="21.75" customHeight="1" outlineLevel="1">
      <c r="B7367" s="1612" t="s">
        <v>2530</v>
      </c>
      <c r="C7367" s="1603" t="s">
        <v>2414</v>
      </c>
      <c r="D7367" s="1603" t="s">
        <v>2529</v>
      </c>
      <c r="E7367" s="1603" t="s">
        <v>2219</v>
      </c>
      <c r="F7367" s="1603" t="s">
        <v>2510</v>
      </c>
      <c r="G7367" s="1603" t="s">
        <v>2528</v>
      </c>
      <c r="H7367" s="1604">
        <v>2</v>
      </c>
      <c r="I7367" s="1610">
        <v>335</v>
      </c>
      <c r="J7367" s="1603"/>
      <c r="K7367" s="1606">
        <v>75354.22</v>
      </c>
      <c r="L7367" s="1606">
        <v>75354.22</v>
      </c>
      <c r="M7367" s="1607"/>
      <c r="N7367" s="1606">
        <v>75354.22</v>
      </c>
      <c r="O7367" s="1606">
        <v>52747.94</v>
      </c>
      <c r="P7367" s="1607"/>
      <c r="Q7367" s="1606">
        <v>22606.28</v>
      </c>
      <c r="R7367" s="1606">
        <v>22606.28</v>
      </c>
      <c r="S7367" s="1608"/>
    </row>
    <row r="7368" spans="2:19" s="1609" customFormat="1" ht="21.75" customHeight="1" outlineLevel="1">
      <c r="B7368" s="1612" t="s">
        <v>2527</v>
      </c>
      <c r="C7368" s="1603" t="s">
        <v>2414</v>
      </c>
      <c r="D7368" s="1603" t="s">
        <v>2526</v>
      </c>
      <c r="E7368" s="1603" t="s">
        <v>2219</v>
      </c>
      <c r="F7368" s="1603" t="s">
        <v>2510</v>
      </c>
      <c r="G7368" s="1603" t="s">
        <v>2525</v>
      </c>
      <c r="H7368" s="1604">
        <v>2</v>
      </c>
      <c r="I7368" s="1610">
        <v>64</v>
      </c>
      <c r="J7368" s="1603"/>
      <c r="K7368" s="1606">
        <v>28792.06</v>
      </c>
      <c r="L7368" s="1606">
        <v>28792.06</v>
      </c>
      <c r="M7368" s="1607"/>
      <c r="N7368" s="1606">
        <v>28792.06</v>
      </c>
      <c r="O7368" s="1606">
        <v>22147.78</v>
      </c>
      <c r="P7368" s="1607"/>
      <c r="Q7368" s="1606">
        <v>6644.28</v>
      </c>
      <c r="R7368" s="1606">
        <v>6644.28</v>
      </c>
      <c r="S7368" s="1608"/>
    </row>
    <row r="7369" spans="2:19" s="1609" customFormat="1" ht="21.75" customHeight="1" outlineLevel="1">
      <c r="B7369" s="1612" t="s">
        <v>2524</v>
      </c>
      <c r="C7369" s="1603" t="s">
        <v>2414</v>
      </c>
      <c r="D7369" s="1603" t="s">
        <v>2523</v>
      </c>
      <c r="E7369" s="1603" t="s">
        <v>2219</v>
      </c>
      <c r="F7369" s="1603" t="s">
        <v>2510</v>
      </c>
      <c r="G7369" s="1603" t="s">
        <v>2522</v>
      </c>
      <c r="H7369" s="1604">
        <v>2</v>
      </c>
      <c r="I7369" s="1610">
        <v>94</v>
      </c>
      <c r="J7369" s="1603"/>
      <c r="K7369" s="1606">
        <v>42288.34</v>
      </c>
      <c r="L7369" s="1606">
        <v>42288.34</v>
      </c>
      <c r="M7369" s="1607"/>
      <c r="N7369" s="1606">
        <v>42288.34</v>
      </c>
      <c r="O7369" s="1606">
        <v>32529.46</v>
      </c>
      <c r="P7369" s="1607"/>
      <c r="Q7369" s="1606">
        <v>9758.8799999999992</v>
      </c>
      <c r="R7369" s="1606">
        <v>9758.8799999999992</v>
      </c>
      <c r="S7369" s="1608"/>
    </row>
    <row r="7370" spans="2:19" s="1609" customFormat="1" ht="21.75" customHeight="1" outlineLevel="1">
      <c r="B7370" s="1612" t="s">
        <v>2521</v>
      </c>
      <c r="C7370" s="1603" t="s">
        <v>2414</v>
      </c>
      <c r="D7370" s="1603" t="s">
        <v>2520</v>
      </c>
      <c r="E7370" s="1603" t="s">
        <v>2219</v>
      </c>
      <c r="F7370" s="1603" t="s">
        <v>2510</v>
      </c>
      <c r="G7370" s="1603" t="s">
        <v>2519</v>
      </c>
      <c r="H7370" s="1604">
        <v>2</v>
      </c>
      <c r="I7370" s="1610">
        <v>108</v>
      </c>
      <c r="J7370" s="1603"/>
      <c r="K7370" s="1606">
        <v>48586.6</v>
      </c>
      <c r="L7370" s="1606">
        <v>48586.6</v>
      </c>
      <c r="M7370" s="1607"/>
      <c r="N7370" s="1606">
        <v>48586.6</v>
      </c>
      <c r="O7370" s="1606">
        <v>37374.28</v>
      </c>
      <c r="P7370" s="1607"/>
      <c r="Q7370" s="1606">
        <v>11212.32</v>
      </c>
      <c r="R7370" s="1606">
        <v>11212.32</v>
      </c>
      <c r="S7370" s="1608"/>
    </row>
    <row r="7371" spans="2:19" s="1609" customFormat="1" ht="11.25" customHeight="1" outlineLevel="1">
      <c r="B7371" s="1612" t="s">
        <v>2518</v>
      </c>
      <c r="C7371" s="1603" t="s">
        <v>2414</v>
      </c>
      <c r="D7371" s="1603" t="s">
        <v>2517</v>
      </c>
      <c r="E7371" s="1603" t="s">
        <v>2219</v>
      </c>
      <c r="F7371" s="1603" t="s">
        <v>2510</v>
      </c>
      <c r="G7371" s="1603" t="s">
        <v>2516</v>
      </c>
      <c r="H7371" s="1604">
        <v>2</v>
      </c>
      <c r="I7371" s="1610">
        <v>86</v>
      </c>
      <c r="J7371" s="1603"/>
      <c r="K7371" s="1606">
        <v>38689.33</v>
      </c>
      <c r="L7371" s="1606">
        <v>38689.33</v>
      </c>
      <c r="M7371" s="1607"/>
      <c r="N7371" s="1606">
        <v>38689.33</v>
      </c>
      <c r="O7371" s="1606">
        <v>29761</v>
      </c>
      <c r="P7371" s="1607"/>
      <c r="Q7371" s="1606">
        <v>8928.33</v>
      </c>
      <c r="R7371" s="1606">
        <v>8928.33</v>
      </c>
      <c r="S7371" s="1608"/>
    </row>
    <row r="7372" spans="2:19" s="1609" customFormat="1" ht="21.75" customHeight="1" outlineLevel="1">
      <c r="B7372" s="1612" t="s">
        <v>2515</v>
      </c>
      <c r="C7372" s="1603" t="s">
        <v>2414</v>
      </c>
      <c r="D7372" s="1603" t="s">
        <v>2514</v>
      </c>
      <c r="E7372" s="1603" t="s">
        <v>2219</v>
      </c>
      <c r="F7372" s="1603" t="s">
        <v>2510</v>
      </c>
      <c r="G7372" s="1603" t="s">
        <v>2513</v>
      </c>
      <c r="H7372" s="1604">
        <v>2</v>
      </c>
      <c r="I7372" s="1610">
        <v>272</v>
      </c>
      <c r="J7372" s="1603"/>
      <c r="K7372" s="1606">
        <v>61183.13</v>
      </c>
      <c r="L7372" s="1606">
        <v>61183.13</v>
      </c>
      <c r="M7372" s="1607"/>
      <c r="N7372" s="1606">
        <v>61183.13</v>
      </c>
      <c r="O7372" s="1606">
        <v>42828.17</v>
      </c>
      <c r="P7372" s="1607"/>
      <c r="Q7372" s="1606">
        <v>18354.96</v>
      </c>
      <c r="R7372" s="1606">
        <v>18354.96</v>
      </c>
      <c r="S7372" s="1608"/>
    </row>
    <row r="7373" spans="2:19" s="1609" customFormat="1" ht="21.75" customHeight="1" outlineLevel="1">
      <c r="B7373" s="1612" t="s">
        <v>2512</v>
      </c>
      <c r="C7373" s="1603" t="s">
        <v>2414</v>
      </c>
      <c r="D7373" s="1603" t="s">
        <v>2511</v>
      </c>
      <c r="E7373" s="1603" t="s">
        <v>2219</v>
      </c>
      <c r="F7373" s="1603" t="s">
        <v>2510</v>
      </c>
      <c r="G7373" s="1603" t="s">
        <v>2509</v>
      </c>
      <c r="H7373" s="1604">
        <v>2</v>
      </c>
      <c r="I7373" s="1610">
        <v>507</v>
      </c>
      <c r="J7373" s="1603"/>
      <c r="K7373" s="1606">
        <v>117934.73</v>
      </c>
      <c r="L7373" s="1606">
        <v>117934.73</v>
      </c>
      <c r="M7373" s="1607"/>
      <c r="N7373" s="1606">
        <v>117934.73</v>
      </c>
      <c r="O7373" s="1606">
        <v>98278.97</v>
      </c>
      <c r="P7373" s="1607"/>
      <c r="Q7373" s="1606">
        <v>19655.759999999998</v>
      </c>
      <c r="R7373" s="1606">
        <v>19655.759999999998</v>
      </c>
      <c r="S7373" s="1608"/>
    </row>
    <row r="7374" spans="2:19" s="1609" customFormat="1" ht="21.75" customHeight="1" outlineLevel="1">
      <c r="B7374" s="1612" t="s">
        <v>2508</v>
      </c>
      <c r="C7374" s="1603" t="s">
        <v>2414</v>
      </c>
      <c r="D7374" s="1603" t="s">
        <v>2507</v>
      </c>
      <c r="E7374" s="1603" t="s">
        <v>2219</v>
      </c>
      <c r="F7374" s="1603" t="s">
        <v>2498</v>
      </c>
      <c r="G7374" s="1603"/>
      <c r="H7374" s="1603"/>
      <c r="I7374" s="1603"/>
      <c r="J7374" s="1603"/>
      <c r="K7374" s="1606">
        <v>8097.77</v>
      </c>
      <c r="L7374" s="1606">
        <v>8097.77</v>
      </c>
      <c r="M7374" s="1607"/>
      <c r="N7374" s="1606">
        <v>8097.77</v>
      </c>
      <c r="O7374" s="1606">
        <v>6625.49</v>
      </c>
      <c r="P7374" s="1607"/>
      <c r="Q7374" s="1606">
        <v>1472.28</v>
      </c>
      <c r="R7374" s="1606">
        <v>1472.28</v>
      </c>
      <c r="S7374" s="1608"/>
    </row>
    <row r="7375" spans="2:19" s="1609" customFormat="1" ht="21.75" customHeight="1" outlineLevel="1">
      <c r="B7375" s="1612" t="s">
        <v>2506</v>
      </c>
      <c r="C7375" s="1603" t="s">
        <v>2414</v>
      </c>
      <c r="D7375" s="1603" t="s">
        <v>2505</v>
      </c>
      <c r="E7375" s="1603" t="s">
        <v>2219</v>
      </c>
      <c r="F7375" s="1603" t="s">
        <v>2498</v>
      </c>
      <c r="G7375" s="1603"/>
      <c r="H7375" s="1603"/>
      <c r="I7375" s="1603"/>
      <c r="J7375" s="1603"/>
      <c r="K7375" s="1606">
        <v>9897.27</v>
      </c>
      <c r="L7375" s="1606">
        <v>9897.27</v>
      </c>
      <c r="M7375" s="1607"/>
      <c r="N7375" s="1606">
        <v>9897.27</v>
      </c>
      <c r="O7375" s="1606">
        <v>8097.75</v>
      </c>
      <c r="P7375" s="1607"/>
      <c r="Q7375" s="1606">
        <v>1799.52</v>
      </c>
      <c r="R7375" s="1606">
        <v>1799.52</v>
      </c>
      <c r="S7375" s="1608"/>
    </row>
    <row r="7376" spans="2:19" s="1609" customFormat="1" ht="21.75" customHeight="1" outlineLevel="1">
      <c r="B7376" s="1612" t="s">
        <v>2504</v>
      </c>
      <c r="C7376" s="1603" t="s">
        <v>2414</v>
      </c>
      <c r="D7376" s="1603" t="s">
        <v>2503</v>
      </c>
      <c r="E7376" s="1603" t="s">
        <v>2219</v>
      </c>
      <c r="F7376" s="1603" t="s">
        <v>2498</v>
      </c>
      <c r="G7376" s="1603"/>
      <c r="H7376" s="1603"/>
      <c r="I7376" s="1603"/>
      <c r="J7376" s="1603"/>
      <c r="K7376" s="1606">
        <v>113818.61</v>
      </c>
      <c r="L7376" s="1606">
        <v>113818.61</v>
      </c>
      <c r="M7376" s="1607"/>
      <c r="N7376" s="1606">
        <v>113818.61</v>
      </c>
      <c r="O7376" s="1606">
        <v>107981.81</v>
      </c>
      <c r="P7376" s="1607"/>
      <c r="Q7376" s="1606">
        <v>5836.8</v>
      </c>
      <c r="R7376" s="1606">
        <v>5836.8</v>
      </c>
      <c r="S7376" s="1608"/>
    </row>
    <row r="7377" spans="2:19" s="1609" customFormat="1" ht="21.75" customHeight="1" outlineLevel="1">
      <c r="B7377" s="1612" t="s">
        <v>2502</v>
      </c>
      <c r="C7377" s="1603" t="s">
        <v>2414</v>
      </c>
      <c r="D7377" s="1603" t="s">
        <v>2501</v>
      </c>
      <c r="E7377" s="1603" t="s">
        <v>2219</v>
      </c>
      <c r="F7377" s="1603" t="s">
        <v>2498</v>
      </c>
      <c r="G7377" s="1603"/>
      <c r="H7377" s="1603"/>
      <c r="I7377" s="1603"/>
      <c r="J7377" s="1603"/>
      <c r="K7377" s="1606">
        <v>17545.16</v>
      </c>
      <c r="L7377" s="1606">
        <v>17545.16</v>
      </c>
      <c r="M7377" s="1607"/>
      <c r="N7377" s="1606">
        <v>17545.16</v>
      </c>
      <c r="O7377" s="1606">
        <v>16645.400000000001</v>
      </c>
      <c r="P7377" s="1607"/>
      <c r="Q7377" s="1605">
        <v>899.76</v>
      </c>
      <c r="R7377" s="1605">
        <v>899.76</v>
      </c>
      <c r="S7377" s="1608"/>
    </row>
    <row r="7378" spans="2:19" s="1609" customFormat="1" ht="21.75" customHeight="1" outlineLevel="1">
      <c r="B7378" s="1612" t="s">
        <v>2500</v>
      </c>
      <c r="C7378" s="1603" t="s">
        <v>2414</v>
      </c>
      <c r="D7378" s="1603" t="s">
        <v>2499</v>
      </c>
      <c r="E7378" s="1603" t="s">
        <v>2219</v>
      </c>
      <c r="F7378" s="1603" t="s">
        <v>2498</v>
      </c>
      <c r="G7378" s="1603"/>
      <c r="H7378" s="1603"/>
      <c r="I7378" s="1603"/>
      <c r="J7378" s="1603"/>
      <c r="K7378" s="1606">
        <v>20019.48</v>
      </c>
      <c r="L7378" s="1606">
        <v>20019.48</v>
      </c>
      <c r="M7378" s="1607"/>
      <c r="N7378" s="1606">
        <v>20019.48</v>
      </c>
      <c r="O7378" s="1606">
        <v>16379.55</v>
      </c>
      <c r="P7378" s="1607"/>
      <c r="Q7378" s="1606">
        <v>3639.93</v>
      </c>
      <c r="R7378" s="1606">
        <v>3639.93</v>
      </c>
      <c r="S7378" s="1608"/>
    </row>
    <row r="7379" spans="2:19" s="1609" customFormat="1" ht="21.75" customHeight="1" outlineLevel="1">
      <c r="B7379" s="1612" t="s">
        <v>2497</v>
      </c>
      <c r="C7379" s="1603" t="s">
        <v>2414</v>
      </c>
      <c r="D7379" s="1603" t="s">
        <v>2496</v>
      </c>
      <c r="E7379" s="1603" t="s">
        <v>2219</v>
      </c>
      <c r="F7379" s="1603" t="s">
        <v>2495</v>
      </c>
      <c r="G7379" s="1603"/>
      <c r="H7379" s="1604">
        <v>2</v>
      </c>
      <c r="I7379" s="1610">
        <v>14</v>
      </c>
      <c r="J7379" s="1603"/>
      <c r="K7379" s="1606">
        <v>6513.16</v>
      </c>
      <c r="L7379" s="1606">
        <v>6513.16</v>
      </c>
      <c r="M7379" s="1607"/>
      <c r="N7379" s="1606">
        <v>6513.16</v>
      </c>
      <c r="O7379" s="1606">
        <v>5789.44</v>
      </c>
      <c r="P7379" s="1607"/>
      <c r="Q7379" s="1605">
        <v>723.72</v>
      </c>
      <c r="R7379" s="1605">
        <v>723.72</v>
      </c>
      <c r="S7379" s="1608"/>
    </row>
    <row r="7380" spans="2:19" s="1609" customFormat="1" ht="21.75" customHeight="1" outlineLevel="1">
      <c r="B7380" s="1612" t="s">
        <v>2494</v>
      </c>
      <c r="C7380" s="1603" t="s">
        <v>2414</v>
      </c>
      <c r="D7380" s="1603" t="s">
        <v>2493</v>
      </c>
      <c r="E7380" s="1603" t="s">
        <v>2219</v>
      </c>
      <c r="F7380" s="1603" t="s">
        <v>2488</v>
      </c>
      <c r="G7380" s="1603"/>
      <c r="H7380" s="1604">
        <v>2</v>
      </c>
      <c r="I7380" s="1610">
        <v>32</v>
      </c>
      <c r="J7380" s="1603"/>
      <c r="K7380" s="1606">
        <v>7198.01</v>
      </c>
      <c r="L7380" s="1606">
        <v>7198.01</v>
      </c>
      <c r="M7380" s="1607"/>
      <c r="N7380" s="1606">
        <v>7198.01</v>
      </c>
      <c r="O7380" s="1606">
        <v>6398.21</v>
      </c>
      <c r="P7380" s="1607"/>
      <c r="Q7380" s="1605">
        <v>799.8</v>
      </c>
      <c r="R7380" s="1605">
        <v>799.8</v>
      </c>
      <c r="S7380" s="1608"/>
    </row>
    <row r="7381" spans="2:19" s="1609" customFormat="1" ht="11.25" customHeight="1" outlineLevel="1">
      <c r="B7381" s="1612" t="s">
        <v>2492</v>
      </c>
      <c r="C7381" s="1603" t="s">
        <v>2414</v>
      </c>
      <c r="D7381" s="1603" t="s">
        <v>2491</v>
      </c>
      <c r="E7381" s="1603" t="s">
        <v>2219</v>
      </c>
      <c r="F7381" s="1603" t="s">
        <v>2488</v>
      </c>
      <c r="G7381" s="1603"/>
      <c r="H7381" s="1604">
        <v>2</v>
      </c>
      <c r="I7381" s="1610">
        <v>32</v>
      </c>
      <c r="J7381" s="1603"/>
      <c r="K7381" s="1606">
        <v>21735.69</v>
      </c>
      <c r="L7381" s="1606">
        <v>21735.69</v>
      </c>
      <c r="M7381" s="1607"/>
      <c r="N7381" s="1606">
        <v>21735.69</v>
      </c>
      <c r="O7381" s="1606">
        <v>19320.57</v>
      </c>
      <c r="P7381" s="1607"/>
      <c r="Q7381" s="1606">
        <v>2415.12</v>
      </c>
      <c r="R7381" s="1606">
        <v>2415.12</v>
      </c>
      <c r="S7381" s="1608"/>
    </row>
    <row r="7382" spans="2:19" s="1609" customFormat="1" ht="21.75" customHeight="1" outlineLevel="1">
      <c r="B7382" s="1612" t="s">
        <v>2490</v>
      </c>
      <c r="C7382" s="1603" t="s">
        <v>2414</v>
      </c>
      <c r="D7382" s="1603" t="s">
        <v>2489</v>
      </c>
      <c r="E7382" s="1603" t="s">
        <v>2219</v>
      </c>
      <c r="F7382" s="1603" t="s">
        <v>2488</v>
      </c>
      <c r="G7382" s="1603"/>
      <c r="H7382" s="1604">
        <v>2</v>
      </c>
      <c r="I7382" s="1610">
        <v>130</v>
      </c>
      <c r="J7382" s="1603"/>
      <c r="K7382" s="1606">
        <v>58483.87</v>
      </c>
      <c r="L7382" s="1606">
        <v>58483.87</v>
      </c>
      <c r="M7382" s="1607"/>
      <c r="N7382" s="1606">
        <v>58483.87</v>
      </c>
      <c r="O7382" s="1606">
        <v>51985.63</v>
      </c>
      <c r="P7382" s="1607"/>
      <c r="Q7382" s="1606">
        <v>6498.24</v>
      </c>
      <c r="R7382" s="1606">
        <v>6498.24</v>
      </c>
      <c r="S7382" s="1608"/>
    </row>
    <row r="7383" spans="2:19" s="1609" customFormat="1" ht="21.75" customHeight="1" outlineLevel="1">
      <c r="B7383" s="1612" t="s">
        <v>2487</v>
      </c>
      <c r="C7383" s="1603" t="s">
        <v>2414</v>
      </c>
      <c r="D7383" s="1603" t="s">
        <v>2486</v>
      </c>
      <c r="E7383" s="1603" t="s">
        <v>2219</v>
      </c>
      <c r="F7383" s="1603" t="s">
        <v>2483</v>
      </c>
      <c r="G7383" s="1603"/>
      <c r="H7383" s="1604">
        <v>2</v>
      </c>
      <c r="I7383" s="1610">
        <v>905</v>
      </c>
      <c r="J7383" s="1603"/>
      <c r="K7383" s="1606">
        <v>1685965.86</v>
      </c>
      <c r="L7383" s="1606">
        <v>1685965.86</v>
      </c>
      <c r="M7383" s="1607"/>
      <c r="N7383" s="1606">
        <v>1685965.86</v>
      </c>
      <c r="O7383" s="1606">
        <v>1498636.32</v>
      </c>
      <c r="P7383" s="1607"/>
      <c r="Q7383" s="1606">
        <v>187329.54</v>
      </c>
      <c r="R7383" s="1606">
        <v>187329.54</v>
      </c>
      <c r="S7383" s="1608"/>
    </row>
    <row r="7384" spans="2:19" s="1609" customFormat="1" ht="11.25" customHeight="1" outlineLevel="1">
      <c r="B7384" s="1612" t="s">
        <v>2485</v>
      </c>
      <c r="C7384" s="1603" t="s">
        <v>2414</v>
      </c>
      <c r="D7384" s="1603" t="s">
        <v>2484</v>
      </c>
      <c r="E7384" s="1603" t="s">
        <v>2219</v>
      </c>
      <c r="F7384" s="1603" t="s">
        <v>2483</v>
      </c>
      <c r="G7384" s="1603"/>
      <c r="H7384" s="1604">
        <v>2</v>
      </c>
      <c r="I7384" s="1610">
        <v>113</v>
      </c>
      <c r="J7384" s="1603"/>
      <c r="K7384" s="1606">
        <v>150917.15</v>
      </c>
      <c r="L7384" s="1606">
        <v>150917.15</v>
      </c>
      <c r="M7384" s="1607"/>
      <c r="N7384" s="1606">
        <v>150917.15</v>
      </c>
      <c r="O7384" s="1606">
        <v>134148.59</v>
      </c>
      <c r="P7384" s="1607"/>
      <c r="Q7384" s="1606">
        <v>16768.560000000001</v>
      </c>
      <c r="R7384" s="1606">
        <v>16768.560000000001</v>
      </c>
      <c r="S7384" s="1608"/>
    </row>
    <row r="7385" spans="2:19" s="1609" customFormat="1" ht="21.75" customHeight="1" outlineLevel="1">
      <c r="B7385" s="1612" t="s">
        <v>2482</v>
      </c>
      <c r="C7385" s="1603" t="s">
        <v>2414</v>
      </c>
      <c r="D7385" s="1603" t="s">
        <v>2481</v>
      </c>
      <c r="E7385" s="1603" t="s">
        <v>2219</v>
      </c>
      <c r="F7385" s="1603" t="s">
        <v>2480</v>
      </c>
      <c r="G7385" s="1603"/>
      <c r="H7385" s="1604">
        <v>2</v>
      </c>
      <c r="I7385" s="1610">
        <v>110</v>
      </c>
      <c r="J7385" s="1603"/>
      <c r="K7385" s="1606">
        <v>50501.440000000002</v>
      </c>
      <c r="L7385" s="1606">
        <v>50501.440000000002</v>
      </c>
      <c r="M7385" s="1607"/>
      <c r="N7385" s="1606">
        <v>50501.440000000002</v>
      </c>
      <c r="O7385" s="1606">
        <v>44890.12</v>
      </c>
      <c r="P7385" s="1607"/>
      <c r="Q7385" s="1606">
        <v>5611.32</v>
      </c>
      <c r="R7385" s="1606">
        <v>5611.32</v>
      </c>
      <c r="S7385" s="1608"/>
    </row>
    <row r="7386" spans="2:19" s="1609" customFormat="1" ht="21.75" customHeight="1" outlineLevel="1">
      <c r="B7386" s="1612" t="s">
        <v>2479</v>
      </c>
      <c r="C7386" s="1603" t="s">
        <v>2414</v>
      </c>
      <c r="D7386" s="1603" t="s">
        <v>2478</v>
      </c>
      <c r="E7386" s="1603" t="s">
        <v>2219</v>
      </c>
      <c r="F7386" s="1603" t="s">
        <v>2469</v>
      </c>
      <c r="G7386" s="1603"/>
      <c r="H7386" s="1604">
        <v>2</v>
      </c>
      <c r="I7386" s="1610">
        <v>26</v>
      </c>
      <c r="J7386" s="1603"/>
      <c r="K7386" s="1606">
        <v>5848.39</v>
      </c>
      <c r="L7386" s="1606">
        <v>5848.39</v>
      </c>
      <c r="M7386" s="1607"/>
      <c r="N7386" s="1606">
        <v>5848.39</v>
      </c>
      <c r="O7386" s="1606">
        <v>5198.59</v>
      </c>
      <c r="P7386" s="1607"/>
      <c r="Q7386" s="1605">
        <v>649.79999999999995</v>
      </c>
      <c r="R7386" s="1605">
        <v>649.79999999999995</v>
      </c>
      <c r="S7386" s="1608"/>
    </row>
    <row r="7387" spans="2:19" s="1609" customFormat="1" ht="11.25" customHeight="1" outlineLevel="1">
      <c r="B7387" s="1612" t="s">
        <v>2477</v>
      </c>
      <c r="C7387" s="1603" t="s">
        <v>2414</v>
      </c>
      <c r="D7387" s="1603" t="s">
        <v>2476</v>
      </c>
      <c r="E7387" s="1603" t="s">
        <v>2219</v>
      </c>
      <c r="F7387" s="1603" t="s">
        <v>2469</v>
      </c>
      <c r="G7387" s="1603"/>
      <c r="H7387" s="1604">
        <v>2</v>
      </c>
      <c r="I7387" s="1610">
        <v>19</v>
      </c>
      <c r="J7387" s="1603"/>
      <c r="K7387" s="1606">
        <v>4273.82</v>
      </c>
      <c r="L7387" s="1606">
        <v>4273.82</v>
      </c>
      <c r="M7387" s="1607"/>
      <c r="N7387" s="1606">
        <v>4273.82</v>
      </c>
      <c r="O7387" s="1606">
        <v>3798.98</v>
      </c>
      <c r="P7387" s="1607"/>
      <c r="Q7387" s="1605">
        <v>474.84</v>
      </c>
      <c r="R7387" s="1605">
        <v>474.84</v>
      </c>
      <c r="S7387" s="1608"/>
    </row>
    <row r="7388" spans="2:19" s="1609" customFormat="1" ht="21.75" customHeight="1" outlineLevel="1">
      <c r="B7388" s="1612" t="s">
        <v>2475</v>
      </c>
      <c r="C7388" s="1603" t="s">
        <v>2414</v>
      </c>
      <c r="D7388" s="1603" t="s">
        <v>2474</v>
      </c>
      <c r="E7388" s="1603" t="s">
        <v>2219</v>
      </c>
      <c r="F7388" s="1603" t="s">
        <v>2469</v>
      </c>
      <c r="G7388" s="1603"/>
      <c r="H7388" s="1604">
        <v>2</v>
      </c>
      <c r="I7388" s="1610">
        <v>8</v>
      </c>
      <c r="J7388" s="1603"/>
      <c r="K7388" s="1606">
        <v>1860.9</v>
      </c>
      <c r="L7388" s="1606">
        <v>1860.9</v>
      </c>
      <c r="M7388" s="1607"/>
      <c r="N7388" s="1606">
        <v>1860.9</v>
      </c>
      <c r="O7388" s="1606">
        <v>1654.14</v>
      </c>
      <c r="P7388" s="1607"/>
      <c r="Q7388" s="1605">
        <v>206.76</v>
      </c>
      <c r="R7388" s="1605">
        <v>206.76</v>
      </c>
      <c r="S7388" s="1608"/>
    </row>
    <row r="7389" spans="2:19" s="1609" customFormat="1" ht="21.75" customHeight="1" outlineLevel="1">
      <c r="B7389" s="1612" t="s">
        <v>2473</v>
      </c>
      <c r="C7389" s="1603" t="s">
        <v>2414</v>
      </c>
      <c r="D7389" s="1603" t="s">
        <v>2472</v>
      </c>
      <c r="E7389" s="1603" t="s">
        <v>2219</v>
      </c>
      <c r="F7389" s="1603" t="s">
        <v>2469</v>
      </c>
      <c r="G7389" s="1603"/>
      <c r="H7389" s="1604">
        <v>2</v>
      </c>
      <c r="I7389" s="1610">
        <v>39</v>
      </c>
      <c r="J7389" s="1603"/>
      <c r="K7389" s="1606">
        <v>8772.58</v>
      </c>
      <c r="L7389" s="1606">
        <v>8772.58</v>
      </c>
      <c r="M7389" s="1607"/>
      <c r="N7389" s="1606">
        <v>8772.58</v>
      </c>
      <c r="O7389" s="1606">
        <v>7797.82</v>
      </c>
      <c r="P7389" s="1607"/>
      <c r="Q7389" s="1605">
        <v>974.76</v>
      </c>
      <c r="R7389" s="1605">
        <v>974.76</v>
      </c>
      <c r="S7389" s="1608"/>
    </row>
    <row r="7390" spans="2:19" s="1609" customFormat="1" ht="21.75" customHeight="1" outlineLevel="1">
      <c r="B7390" s="1612" t="s">
        <v>2471</v>
      </c>
      <c r="C7390" s="1603" t="s">
        <v>2414</v>
      </c>
      <c r="D7390" s="1603" t="s">
        <v>2470</v>
      </c>
      <c r="E7390" s="1603" t="s">
        <v>2219</v>
      </c>
      <c r="F7390" s="1603" t="s">
        <v>2469</v>
      </c>
      <c r="G7390" s="1603"/>
      <c r="H7390" s="1604">
        <v>2</v>
      </c>
      <c r="I7390" s="1610">
        <v>70</v>
      </c>
      <c r="J7390" s="1603"/>
      <c r="K7390" s="1606">
        <v>15745.66</v>
      </c>
      <c r="L7390" s="1606">
        <v>15745.66</v>
      </c>
      <c r="M7390" s="1607"/>
      <c r="N7390" s="1606">
        <v>15745.66</v>
      </c>
      <c r="O7390" s="1606">
        <v>13996.18</v>
      </c>
      <c r="P7390" s="1607"/>
      <c r="Q7390" s="1606">
        <v>1749.48</v>
      </c>
      <c r="R7390" s="1606">
        <v>1749.48</v>
      </c>
      <c r="S7390" s="1608"/>
    </row>
    <row r="7391" spans="2:19" s="1609" customFormat="1" ht="21.75" customHeight="1" outlineLevel="1">
      <c r="B7391" s="1612" t="s">
        <v>2468</v>
      </c>
      <c r="C7391" s="1603" t="s">
        <v>2414</v>
      </c>
      <c r="D7391" s="1603" t="s">
        <v>2467</v>
      </c>
      <c r="E7391" s="1603" t="s">
        <v>2219</v>
      </c>
      <c r="F7391" s="1603" t="s">
        <v>2466</v>
      </c>
      <c r="G7391" s="1603" t="s">
        <v>2465</v>
      </c>
      <c r="H7391" s="1604">
        <v>2</v>
      </c>
      <c r="I7391" s="1610">
        <v>41</v>
      </c>
      <c r="J7391" s="1603"/>
      <c r="K7391" s="1606">
        <v>9537.1299999999992</v>
      </c>
      <c r="L7391" s="1606">
        <v>9537.1299999999992</v>
      </c>
      <c r="M7391" s="1607"/>
      <c r="N7391" s="1606">
        <v>9537.1299999999992</v>
      </c>
      <c r="O7391" s="1606">
        <v>8477.41</v>
      </c>
      <c r="P7391" s="1607"/>
      <c r="Q7391" s="1606">
        <v>1059.72</v>
      </c>
      <c r="R7391" s="1606">
        <v>1059.72</v>
      </c>
      <c r="S7391" s="1608"/>
    </row>
    <row r="7392" spans="2:19" s="1609" customFormat="1" ht="11.25" customHeight="1" outlineLevel="1">
      <c r="B7392" s="1612" t="s">
        <v>2464</v>
      </c>
      <c r="C7392" s="1603" t="s">
        <v>2414</v>
      </c>
      <c r="D7392" s="1603" t="s">
        <v>2463</v>
      </c>
      <c r="E7392" s="1603" t="s">
        <v>2219</v>
      </c>
      <c r="F7392" s="1603" t="s">
        <v>2458</v>
      </c>
      <c r="G7392" s="1603"/>
      <c r="H7392" s="1604">
        <v>2</v>
      </c>
      <c r="I7392" s="1610">
        <v>203</v>
      </c>
      <c r="J7392" s="1603"/>
      <c r="K7392" s="1606">
        <v>249427.32</v>
      </c>
      <c r="L7392" s="1606">
        <v>249427.32</v>
      </c>
      <c r="M7392" s="1607"/>
      <c r="N7392" s="1606">
        <v>249427.32</v>
      </c>
      <c r="O7392" s="1606">
        <v>221713.2</v>
      </c>
      <c r="P7392" s="1607"/>
      <c r="Q7392" s="1606">
        <v>27714.12</v>
      </c>
      <c r="R7392" s="1606">
        <v>27714.12</v>
      </c>
      <c r="S7392" s="1608"/>
    </row>
    <row r="7393" spans="2:19" s="1609" customFormat="1" ht="21.75" customHeight="1" outlineLevel="1">
      <c r="B7393" s="1612" t="s">
        <v>2462</v>
      </c>
      <c r="C7393" s="1603" t="s">
        <v>2414</v>
      </c>
      <c r="D7393" s="1603" t="s">
        <v>2461</v>
      </c>
      <c r="E7393" s="1603" t="s">
        <v>2219</v>
      </c>
      <c r="F7393" s="1603" t="s">
        <v>2458</v>
      </c>
      <c r="G7393" s="1603"/>
      <c r="H7393" s="1604">
        <v>2</v>
      </c>
      <c r="I7393" s="1610">
        <v>278</v>
      </c>
      <c r="J7393" s="1603"/>
      <c r="K7393" s="1606">
        <v>445539.48</v>
      </c>
      <c r="L7393" s="1606">
        <v>445539.48</v>
      </c>
      <c r="M7393" s="1607"/>
      <c r="N7393" s="1606">
        <v>445539.48</v>
      </c>
      <c r="O7393" s="1606">
        <v>396035.04</v>
      </c>
      <c r="P7393" s="1607"/>
      <c r="Q7393" s="1606">
        <v>49504.44</v>
      </c>
      <c r="R7393" s="1606">
        <v>49504.44</v>
      </c>
      <c r="S7393" s="1608"/>
    </row>
    <row r="7394" spans="2:19" s="1609" customFormat="1" ht="21.75" customHeight="1" outlineLevel="1">
      <c r="B7394" s="1612" t="s">
        <v>2460</v>
      </c>
      <c r="C7394" s="1603" t="s">
        <v>2414</v>
      </c>
      <c r="D7394" s="1603" t="s">
        <v>2459</v>
      </c>
      <c r="E7394" s="1603" t="s">
        <v>2219</v>
      </c>
      <c r="F7394" s="1603" t="s">
        <v>2458</v>
      </c>
      <c r="G7394" s="1603"/>
      <c r="H7394" s="1604">
        <v>2</v>
      </c>
      <c r="I7394" s="1610">
        <v>307</v>
      </c>
      <c r="J7394" s="1603"/>
      <c r="K7394" s="1606">
        <v>124300.72</v>
      </c>
      <c r="L7394" s="1606">
        <v>124300.72</v>
      </c>
      <c r="M7394" s="1607"/>
      <c r="N7394" s="1606">
        <v>124300.72</v>
      </c>
      <c r="O7394" s="1606">
        <v>110489.56</v>
      </c>
      <c r="P7394" s="1607"/>
      <c r="Q7394" s="1606">
        <v>13811.16</v>
      </c>
      <c r="R7394" s="1606">
        <v>13811.16</v>
      </c>
      <c r="S7394" s="1608"/>
    </row>
    <row r="7395" spans="2:19" s="1609" customFormat="1" ht="21.75" customHeight="1" outlineLevel="1">
      <c r="B7395" s="1612" t="s">
        <v>2457</v>
      </c>
      <c r="C7395" s="1603" t="s">
        <v>2414</v>
      </c>
      <c r="D7395" s="1603" t="s">
        <v>2456</v>
      </c>
      <c r="E7395" s="1603"/>
      <c r="F7395" s="1603"/>
      <c r="G7395" s="1603"/>
      <c r="H7395" s="1603"/>
      <c r="I7395" s="1603"/>
      <c r="J7395" s="1603"/>
      <c r="K7395" s="1606">
        <v>17095.29</v>
      </c>
      <c r="L7395" s="1606">
        <v>17095.29</v>
      </c>
      <c r="M7395" s="1607"/>
      <c r="N7395" s="1606">
        <v>17095.29</v>
      </c>
      <c r="O7395" s="1606">
        <v>16021.29</v>
      </c>
      <c r="P7395" s="1607"/>
      <c r="Q7395" s="1606">
        <v>1074</v>
      </c>
      <c r="R7395" s="1606">
        <v>1074</v>
      </c>
      <c r="S7395" s="1608"/>
    </row>
    <row r="7396" spans="2:19" s="1609" customFormat="1" ht="11.25" customHeight="1" outlineLevel="1">
      <c r="B7396" s="1612" t="s">
        <v>2455</v>
      </c>
      <c r="C7396" s="1603" t="s">
        <v>2414</v>
      </c>
      <c r="D7396" s="1603" t="s">
        <v>2454</v>
      </c>
      <c r="E7396" s="1603"/>
      <c r="F7396" s="1603"/>
      <c r="G7396" s="1603"/>
      <c r="H7396" s="1603"/>
      <c r="I7396" s="1603"/>
      <c r="J7396" s="1603"/>
      <c r="K7396" s="1606">
        <v>2249.38</v>
      </c>
      <c r="L7396" s="1606">
        <v>2249.38</v>
      </c>
      <c r="M7396" s="1607"/>
      <c r="N7396" s="1606">
        <v>2249.38</v>
      </c>
      <c r="O7396" s="1606">
        <v>2108.02</v>
      </c>
      <c r="P7396" s="1607"/>
      <c r="Q7396" s="1605">
        <v>141.36000000000001</v>
      </c>
      <c r="R7396" s="1605">
        <v>141.36000000000001</v>
      </c>
      <c r="S7396" s="1608"/>
    </row>
    <row r="7397" spans="2:19" s="1609" customFormat="1" ht="21.75" customHeight="1" outlineLevel="1">
      <c r="B7397" s="1612" t="s">
        <v>2453</v>
      </c>
      <c r="C7397" s="1603" t="s">
        <v>2414</v>
      </c>
      <c r="D7397" s="1603" t="s">
        <v>2452</v>
      </c>
      <c r="E7397" s="1603"/>
      <c r="F7397" s="1603"/>
      <c r="G7397" s="1603"/>
      <c r="H7397" s="1603"/>
      <c r="I7397" s="1603"/>
      <c r="J7397" s="1603"/>
      <c r="K7397" s="1606">
        <v>64107.32</v>
      </c>
      <c r="L7397" s="1606">
        <v>64107.32</v>
      </c>
      <c r="M7397" s="1607"/>
      <c r="N7397" s="1606">
        <v>64107.32</v>
      </c>
      <c r="O7397" s="1606">
        <v>59500.76</v>
      </c>
      <c r="P7397" s="1607"/>
      <c r="Q7397" s="1606">
        <v>4606.5600000000004</v>
      </c>
      <c r="R7397" s="1606">
        <v>4606.5600000000004</v>
      </c>
      <c r="S7397" s="1608"/>
    </row>
    <row r="7398" spans="2:19" s="1609" customFormat="1" ht="21.75" customHeight="1" outlineLevel="1">
      <c r="B7398" s="1612" t="s">
        <v>2451</v>
      </c>
      <c r="C7398" s="1603" t="s">
        <v>2414</v>
      </c>
      <c r="D7398" s="1603" t="s">
        <v>2450</v>
      </c>
      <c r="E7398" s="1603"/>
      <c r="F7398" s="1603"/>
      <c r="G7398" s="1603"/>
      <c r="H7398" s="1603"/>
      <c r="I7398" s="1603"/>
      <c r="J7398" s="1603"/>
      <c r="K7398" s="1606">
        <v>58483.87</v>
      </c>
      <c r="L7398" s="1606">
        <v>58483.87</v>
      </c>
      <c r="M7398" s="1607"/>
      <c r="N7398" s="1606">
        <v>58483.87</v>
      </c>
      <c r="O7398" s="1606">
        <v>54809.47</v>
      </c>
      <c r="P7398" s="1607"/>
      <c r="Q7398" s="1606">
        <v>3674.4</v>
      </c>
      <c r="R7398" s="1606">
        <v>3674.4</v>
      </c>
      <c r="S7398" s="1608"/>
    </row>
    <row r="7399" spans="2:19" s="1609" customFormat="1" ht="21.75" customHeight="1" outlineLevel="1">
      <c r="B7399" s="1612" t="s">
        <v>2449</v>
      </c>
      <c r="C7399" s="1603" t="s">
        <v>2414</v>
      </c>
      <c r="D7399" s="1603" t="s">
        <v>2448</v>
      </c>
      <c r="E7399" s="1603"/>
      <c r="F7399" s="1603"/>
      <c r="G7399" s="1603"/>
      <c r="H7399" s="1603"/>
      <c r="I7399" s="1603"/>
      <c r="J7399" s="1603"/>
      <c r="K7399" s="1606">
        <v>107815.77</v>
      </c>
      <c r="L7399" s="1606">
        <v>107815.77</v>
      </c>
      <c r="M7399" s="1607"/>
      <c r="N7399" s="1606">
        <v>107815.77</v>
      </c>
      <c r="O7399" s="1606">
        <v>101042.01</v>
      </c>
      <c r="P7399" s="1607"/>
      <c r="Q7399" s="1606">
        <v>6773.76</v>
      </c>
      <c r="R7399" s="1606">
        <v>6773.76</v>
      </c>
      <c r="S7399" s="1608"/>
    </row>
    <row r="7400" spans="2:19" s="1609" customFormat="1" ht="21.75" customHeight="1" outlineLevel="1">
      <c r="B7400" s="1612" t="s">
        <v>2447</v>
      </c>
      <c r="C7400" s="1603" t="s">
        <v>2414</v>
      </c>
      <c r="D7400" s="1603" t="s">
        <v>2446</v>
      </c>
      <c r="E7400" s="1603"/>
      <c r="F7400" s="1603"/>
      <c r="G7400" s="1603"/>
      <c r="H7400" s="1603"/>
      <c r="I7400" s="1603"/>
      <c r="J7400" s="1603"/>
      <c r="K7400" s="1606">
        <v>23393.55</v>
      </c>
      <c r="L7400" s="1606">
        <v>23393.55</v>
      </c>
      <c r="M7400" s="1607"/>
      <c r="N7400" s="1606">
        <v>23393.55</v>
      </c>
      <c r="O7400" s="1606">
        <v>21430.47</v>
      </c>
      <c r="P7400" s="1607"/>
      <c r="Q7400" s="1606">
        <v>1963.08</v>
      </c>
      <c r="R7400" s="1606">
        <v>1963.08</v>
      </c>
      <c r="S7400" s="1608"/>
    </row>
    <row r="7401" spans="2:19" s="1609" customFormat="1" ht="21.75" customHeight="1" outlineLevel="1">
      <c r="B7401" s="1612" t="s">
        <v>2445</v>
      </c>
      <c r="C7401" s="1603" t="s">
        <v>2414</v>
      </c>
      <c r="D7401" s="1603" t="s">
        <v>2444</v>
      </c>
      <c r="E7401" s="1603"/>
      <c r="F7401" s="1603"/>
      <c r="G7401" s="1603"/>
      <c r="H7401" s="1603"/>
      <c r="I7401" s="1603"/>
      <c r="J7401" s="1603"/>
      <c r="K7401" s="1606">
        <v>483469.1</v>
      </c>
      <c r="L7401" s="1606">
        <v>483469.1</v>
      </c>
      <c r="M7401" s="1607"/>
      <c r="N7401" s="1606">
        <v>483469.1</v>
      </c>
      <c r="O7401" s="1606">
        <v>467308.58</v>
      </c>
      <c r="P7401" s="1607"/>
      <c r="Q7401" s="1606">
        <v>16160.52</v>
      </c>
      <c r="R7401" s="1606">
        <v>16160.52</v>
      </c>
      <c r="S7401" s="1608"/>
    </row>
    <row r="7402" spans="2:19" s="1609" customFormat="1" ht="21.75" customHeight="1" outlineLevel="1">
      <c r="B7402" s="1612" t="s">
        <v>2443</v>
      </c>
      <c r="C7402" s="1603" t="s">
        <v>2414</v>
      </c>
      <c r="D7402" s="1603" t="s">
        <v>2442</v>
      </c>
      <c r="E7402" s="1603"/>
      <c r="F7402" s="1603"/>
      <c r="G7402" s="1603"/>
      <c r="H7402" s="1603"/>
      <c r="I7402" s="1603"/>
      <c r="J7402" s="1603"/>
      <c r="K7402" s="1606">
        <v>96723.32</v>
      </c>
      <c r="L7402" s="1606">
        <v>96723.32</v>
      </c>
      <c r="M7402" s="1607"/>
      <c r="N7402" s="1606">
        <v>96723.32</v>
      </c>
      <c r="O7402" s="1606">
        <v>89773.16</v>
      </c>
      <c r="P7402" s="1607"/>
      <c r="Q7402" s="1606">
        <v>6950.16</v>
      </c>
      <c r="R7402" s="1606">
        <v>6950.16</v>
      </c>
      <c r="S7402" s="1608"/>
    </row>
    <row r="7403" spans="2:19" s="1609" customFormat="1" ht="21.75" customHeight="1" outlineLevel="1">
      <c r="B7403" s="1612" t="s">
        <v>2441</v>
      </c>
      <c r="C7403" s="1603" t="s">
        <v>2414</v>
      </c>
      <c r="D7403" s="1603" t="s">
        <v>2440</v>
      </c>
      <c r="E7403" s="1603"/>
      <c r="F7403" s="1603"/>
      <c r="G7403" s="1603"/>
      <c r="H7403" s="1603"/>
      <c r="I7403" s="1603"/>
      <c r="J7403" s="1603"/>
      <c r="K7403" s="1606">
        <v>53985.11</v>
      </c>
      <c r="L7403" s="1606">
        <v>53985.11</v>
      </c>
      <c r="M7403" s="1607"/>
      <c r="N7403" s="1606">
        <v>53985.11</v>
      </c>
      <c r="O7403" s="1606">
        <v>50105.99</v>
      </c>
      <c r="P7403" s="1607"/>
      <c r="Q7403" s="1606">
        <v>3879.12</v>
      </c>
      <c r="R7403" s="1606">
        <v>3879.12</v>
      </c>
      <c r="S7403" s="1608"/>
    </row>
    <row r="7404" spans="2:19" s="1609" customFormat="1" ht="21.75" customHeight="1" outlineLevel="1">
      <c r="B7404" s="1612" t="s">
        <v>2439</v>
      </c>
      <c r="C7404" s="1603" t="s">
        <v>2414</v>
      </c>
      <c r="D7404" s="1603" t="s">
        <v>2438</v>
      </c>
      <c r="E7404" s="1603" t="s">
        <v>2219</v>
      </c>
      <c r="F7404" s="1603" t="s">
        <v>2437</v>
      </c>
      <c r="G7404" s="1603"/>
      <c r="H7404" s="1604">
        <v>2</v>
      </c>
      <c r="I7404" s="1610">
        <v>26</v>
      </c>
      <c r="J7404" s="1603"/>
      <c r="K7404" s="1606">
        <v>11696.77</v>
      </c>
      <c r="L7404" s="1606">
        <v>11696.77</v>
      </c>
      <c r="M7404" s="1607"/>
      <c r="N7404" s="1606">
        <v>11696.77</v>
      </c>
      <c r="O7404" s="1606">
        <v>10715.17</v>
      </c>
      <c r="P7404" s="1607"/>
      <c r="Q7404" s="1605">
        <v>981.6</v>
      </c>
      <c r="R7404" s="1605">
        <v>981.6</v>
      </c>
      <c r="S7404" s="1608"/>
    </row>
    <row r="7405" spans="2:19" s="1609" customFormat="1" ht="21.75" customHeight="1" outlineLevel="1">
      <c r="B7405" s="1612" t="s">
        <v>2436</v>
      </c>
      <c r="C7405" s="1603" t="s">
        <v>2414</v>
      </c>
      <c r="D7405" s="1603" t="s">
        <v>2435</v>
      </c>
      <c r="E7405" s="1603"/>
      <c r="F7405" s="1603"/>
      <c r="G7405" s="1603"/>
      <c r="H7405" s="1603"/>
      <c r="I7405" s="1603"/>
      <c r="J7405" s="1603"/>
      <c r="K7405" s="1606">
        <v>48665.02</v>
      </c>
      <c r="L7405" s="1606">
        <v>48665.02</v>
      </c>
      <c r="M7405" s="1607"/>
      <c r="N7405" s="1606">
        <v>48665.02</v>
      </c>
      <c r="O7405" s="1606">
        <v>45607.54</v>
      </c>
      <c r="P7405" s="1607"/>
      <c r="Q7405" s="1606">
        <v>3057.48</v>
      </c>
      <c r="R7405" s="1606">
        <v>3057.48</v>
      </c>
      <c r="S7405" s="1608"/>
    </row>
    <row r="7406" spans="2:19" s="1609" customFormat="1" ht="21.75" customHeight="1" outlineLevel="1">
      <c r="B7406" s="1612" t="s">
        <v>2434</v>
      </c>
      <c r="C7406" s="1603" t="s">
        <v>2414</v>
      </c>
      <c r="D7406" s="1603" t="s">
        <v>2433</v>
      </c>
      <c r="E7406" s="1603"/>
      <c r="F7406" s="1603"/>
      <c r="G7406" s="1603"/>
      <c r="H7406" s="1603"/>
      <c r="I7406" s="1603"/>
      <c r="J7406" s="1603"/>
      <c r="K7406" s="1606">
        <v>55334.74</v>
      </c>
      <c r="L7406" s="1606">
        <v>55334.74</v>
      </c>
      <c r="M7406" s="1607"/>
      <c r="N7406" s="1606">
        <v>55334.74</v>
      </c>
      <c r="O7406" s="1606">
        <v>50691.22</v>
      </c>
      <c r="P7406" s="1607"/>
      <c r="Q7406" s="1606">
        <v>4643.5200000000004</v>
      </c>
      <c r="R7406" s="1606">
        <v>4643.5200000000004</v>
      </c>
      <c r="S7406" s="1608"/>
    </row>
    <row r="7407" spans="2:19" s="1609" customFormat="1" ht="11.25" customHeight="1" outlineLevel="1">
      <c r="B7407" s="1612" t="s">
        <v>2432</v>
      </c>
      <c r="C7407" s="1603" t="s">
        <v>2414</v>
      </c>
      <c r="D7407" s="1603" t="s">
        <v>2431</v>
      </c>
      <c r="E7407" s="1603"/>
      <c r="F7407" s="1603"/>
      <c r="G7407" s="1603"/>
      <c r="H7407" s="1603"/>
      <c r="I7407" s="1603"/>
      <c r="J7407" s="1603"/>
      <c r="K7407" s="1606">
        <v>27892.31</v>
      </c>
      <c r="L7407" s="1606">
        <v>27892.31</v>
      </c>
      <c r="M7407" s="1607"/>
      <c r="N7407" s="1606">
        <v>27892.31</v>
      </c>
      <c r="O7407" s="1606">
        <v>25551.71</v>
      </c>
      <c r="P7407" s="1607"/>
      <c r="Q7407" s="1606">
        <v>2340.6</v>
      </c>
      <c r="R7407" s="1606">
        <v>2340.6</v>
      </c>
      <c r="S7407" s="1608"/>
    </row>
    <row r="7408" spans="2:19" s="1609" customFormat="1" ht="21.75" customHeight="1" outlineLevel="1">
      <c r="B7408" s="1612" t="s">
        <v>2430</v>
      </c>
      <c r="C7408" s="1603" t="s">
        <v>2414</v>
      </c>
      <c r="D7408" s="1603" t="s">
        <v>2429</v>
      </c>
      <c r="E7408" s="1603"/>
      <c r="F7408" s="1603"/>
      <c r="G7408" s="1603"/>
      <c r="H7408" s="1603"/>
      <c r="I7408" s="1603"/>
      <c r="J7408" s="1603"/>
      <c r="K7408" s="1606">
        <v>57584.12</v>
      </c>
      <c r="L7408" s="1606">
        <v>57584.12</v>
      </c>
      <c r="M7408" s="1607"/>
      <c r="N7408" s="1606">
        <v>57584.12</v>
      </c>
      <c r="O7408" s="1606">
        <v>52751.839999999997</v>
      </c>
      <c r="P7408" s="1607"/>
      <c r="Q7408" s="1606">
        <v>4832.28</v>
      </c>
      <c r="R7408" s="1606">
        <v>4832.28</v>
      </c>
      <c r="S7408" s="1608"/>
    </row>
    <row r="7409" spans="2:19" s="1609" customFormat="1" ht="11.25" customHeight="1" outlineLevel="1">
      <c r="B7409" s="1612" t="s">
        <v>2428</v>
      </c>
      <c r="C7409" s="1603" t="s">
        <v>2414</v>
      </c>
      <c r="D7409" s="1603" t="s">
        <v>2427</v>
      </c>
      <c r="E7409" s="1603"/>
      <c r="F7409" s="1603"/>
      <c r="G7409" s="1603"/>
      <c r="H7409" s="1603"/>
      <c r="I7409" s="1603"/>
      <c r="J7409" s="1603"/>
      <c r="K7409" s="1606">
        <v>7198.01</v>
      </c>
      <c r="L7409" s="1606">
        <v>7198.01</v>
      </c>
      <c r="M7409" s="1607"/>
      <c r="N7409" s="1606">
        <v>7198.01</v>
      </c>
      <c r="O7409" s="1606">
        <v>5981.45</v>
      </c>
      <c r="P7409" s="1607"/>
      <c r="Q7409" s="1606">
        <v>1216.56</v>
      </c>
      <c r="R7409" s="1606">
        <v>1216.56</v>
      </c>
      <c r="S7409" s="1608"/>
    </row>
    <row r="7410" spans="2:19" s="1609" customFormat="1" ht="21.75" customHeight="1" outlineLevel="1">
      <c r="B7410" s="1612" t="s">
        <v>2426</v>
      </c>
      <c r="C7410" s="1603" t="s">
        <v>2414</v>
      </c>
      <c r="D7410" s="1603" t="s">
        <v>2425</v>
      </c>
      <c r="E7410" s="1603"/>
      <c r="F7410" s="1603"/>
      <c r="G7410" s="1603"/>
      <c r="H7410" s="1603"/>
      <c r="I7410" s="1603"/>
      <c r="J7410" s="1603"/>
      <c r="K7410" s="1606">
        <v>22330.84</v>
      </c>
      <c r="L7410" s="1606">
        <v>22330.84</v>
      </c>
      <c r="M7410" s="1607"/>
      <c r="N7410" s="1606">
        <v>22330.84</v>
      </c>
      <c r="O7410" s="1606">
        <v>20456.919999999998</v>
      </c>
      <c r="P7410" s="1607"/>
      <c r="Q7410" s="1606">
        <v>1873.92</v>
      </c>
      <c r="R7410" s="1606">
        <v>1873.92</v>
      </c>
      <c r="S7410" s="1608"/>
    </row>
    <row r="7411" spans="2:19" s="1609" customFormat="1" ht="11.25" customHeight="1" outlineLevel="1">
      <c r="B7411" s="1612" t="s">
        <v>2424</v>
      </c>
      <c r="C7411" s="1603" t="s">
        <v>2414</v>
      </c>
      <c r="D7411" s="1603" t="s">
        <v>2423</v>
      </c>
      <c r="E7411" s="1603"/>
      <c r="F7411" s="1603"/>
      <c r="G7411" s="1603"/>
      <c r="H7411" s="1603"/>
      <c r="I7411" s="1603"/>
      <c r="J7411" s="1603"/>
      <c r="K7411" s="1606">
        <v>40488.83</v>
      </c>
      <c r="L7411" s="1606">
        <v>40488.83</v>
      </c>
      <c r="M7411" s="1607"/>
      <c r="N7411" s="1606">
        <v>40488.83</v>
      </c>
      <c r="O7411" s="1606">
        <v>37579.43</v>
      </c>
      <c r="P7411" s="1607"/>
      <c r="Q7411" s="1606">
        <v>2909.4</v>
      </c>
      <c r="R7411" s="1606">
        <v>2909.4</v>
      </c>
      <c r="S7411" s="1608"/>
    </row>
    <row r="7412" spans="2:19" s="1609" customFormat="1" ht="11.25" customHeight="1" outlineLevel="1">
      <c r="B7412" s="1612" t="s">
        <v>2422</v>
      </c>
      <c r="C7412" s="1603" t="s">
        <v>2414</v>
      </c>
      <c r="D7412" s="1603" t="s">
        <v>2421</v>
      </c>
      <c r="E7412" s="1603" t="s">
        <v>2219</v>
      </c>
      <c r="F7412" s="1603" t="s">
        <v>2420</v>
      </c>
      <c r="G7412" s="1603"/>
      <c r="H7412" s="1604">
        <v>2</v>
      </c>
      <c r="I7412" s="1610">
        <v>24</v>
      </c>
      <c r="J7412" s="1603"/>
      <c r="K7412" s="1606">
        <v>8150.88</v>
      </c>
      <c r="L7412" s="1606">
        <v>8150.88</v>
      </c>
      <c r="M7412" s="1607"/>
      <c r="N7412" s="1606">
        <v>8150.88</v>
      </c>
      <c r="O7412" s="1606">
        <v>6986.52</v>
      </c>
      <c r="P7412" s="1607"/>
      <c r="Q7412" s="1606">
        <v>1164.3599999999999</v>
      </c>
      <c r="R7412" s="1606">
        <v>1164.3599999999999</v>
      </c>
      <c r="S7412" s="1608"/>
    </row>
    <row r="7413" spans="2:19" s="1609" customFormat="1" ht="21.75" customHeight="1" outlineLevel="1">
      <c r="B7413" s="1612" t="s">
        <v>2419</v>
      </c>
      <c r="C7413" s="1603" t="s">
        <v>2414</v>
      </c>
      <c r="D7413" s="1603" t="s">
        <v>2418</v>
      </c>
      <c r="E7413" s="1603" t="s">
        <v>2208</v>
      </c>
      <c r="F7413" s="1603"/>
      <c r="G7413" s="1603"/>
      <c r="H7413" s="1604">
        <v>2</v>
      </c>
      <c r="I7413" s="1610">
        <v>5</v>
      </c>
      <c r="J7413" s="1603"/>
      <c r="K7413" s="1606">
        <v>56608.25</v>
      </c>
      <c r="L7413" s="1606">
        <v>56608.25</v>
      </c>
      <c r="M7413" s="1607"/>
      <c r="N7413" s="1606">
        <v>56608.25</v>
      </c>
      <c r="O7413" s="1606">
        <v>54351.41</v>
      </c>
      <c r="P7413" s="1607"/>
      <c r="Q7413" s="1606">
        <v>2256.84</v>
      </c>
      <c r="R7413" s="1606">
        <v>2256.84</v>
      </c>
      <c r="S7413" s="1608"/>
    </row>
    <row r="7414" spans="2:19" s="1609" customFormat="1" ht="21.75" customHeight="1" outlineLevel="1">
      <c r="B7414" s="1612" t="s">
        <v>2417</v>
      </c>
      <c r="C7414" s="1603" t="s">
        <v>2414</v>
      </c>
      <c r="D7414" s="1603" t="s">
        <v>2416</v>
      </c>
      <c r="E7414" s="1603" t="s">
        <v>2208</v>
      </c>
      <c r="F7414" s="1603"/>
      <c r="G7414" s="1603"/>
      <c r="H7414" s="1604">
        <v>2</v>
      </c>
      <c r="I7414" s="1610">
        <v>17</v>
      </c>
      <c r="J7414" s="1603"/>
      <c r="K7414" s="1606">
        <v>287939.03999999998</v>
      </c>
      <c r="L7414" s="1606">
        <v>287939.03999999998</v>
      </c>
      <c r="M7414" s="1607"/>
      <c r="N7414" s="1606">
        <v>287939.03999999998</v>
      </c>
      <c r="O7414" s="1606">
        <v>276459.71999999997</v>
      </c>
      <c r="P7414" s="1607"/>
      <c r="Q7414" s="1606">
        <v>11479.32</v>
      </c>
      <c r="R7414" s="1606">
        <v>11479.32</v>
      </c>
      <c r="S7414" s="1608"/>
    </row>
    <row r="7415" spans="2:19" s="1609" customFormat="1" ht="21.75" customHeight="1" outlineLevel="1">
      <c r="B7415" s="1612" t="s">
        <v>2415</v>
      </c>
      <c r="C7415" s="1603" t="s">
        <v>2414</v>
      </c>
      <c r="D7415" s="1603" t="s">
        <v>2413</v>
      </c>
      <c r="E7415" s="1603" t="s">
        <v>2208</v>
      </c>
      <c r="F7415" s="1603"/>
      <c r="G7415" s="1603"/>
      <c r="H7415" s="1604">
        <v>2</v>
      </c>
      <c r="I7415" s="1610">
        <v>17</v>
      </c>
      <c r="J7415" s="1603"/>
      <c r="K7415" s="1606">
        <v>79607.179999999993</v>
      </c>
      <c r="L7415" s="1606">
        <v>79607.179999999993</v>
      </c>
      <c r="M7415" s="1607"/>
      <c r="N7415" s="1606">
        <v>79607.179999999993</v>
      </c>
      <c r="O7415" s="1606">
        <v>76433.42</v>
      </c>
      <c r="P7415" s="1607"/>
      <c r="Q7415" s="1606">
        <v>3173.76</v>
      </c>
      <c r="R7415" s="1606">
        <v>3173.76</v>
      </c>
      <c r="S7415" s="1608"/>
    </row>
    <row r="7416" spans="2:19" s="1609" customFormat="1" ht="21.75" customHeight="1" outlineLevel="1">
      <c r="B7416" s="1612" t="s">
        <v>2412</v>
      </c>
      <c r="C7416" s="1603" t="s">
        <v>2411</v>
      </c>
      <c r="D7416" s="1603" t="s">
        <v>2410</v>
      </c>
      <c r="E7416" s="1603" t="s">
        <v>2219</v>
      </c>
      <c r="F7416" s="1603" t="s">
        <v>2409</v>
      </c>
      <c r="G7416" s="1603" t="s">
        <v>2408</v>
      </c>
      <c r="H7416" s="1604">
        <v>2</v>
      </c>
      <c r="I7416" s="1610">
        <v>6</v>
      </c>
      <c r="J7416" s="1603"/>
      <c r="K7416" s="1606">
        <v>10769</v>
      </c>
      <c r="L7416" s="1607"/>
      <c r="M7416" s="1606">
        <v>10769</v>
      </c>
      <c r="N7416" s="1606">
        <v>10769</v>
      </c>
      <c r="O7416" s="1606">
        <v>9781.86</v>
      </c>
      <c r="P7416" s="1607"/>
      <c r="Q7416" s="1605">
        <v>987.14</v>
      </c>
      <c r="R7416" s="1605">
        <v>987.14</v>
      </c>
      <c r="S7416" s="1608"/>
    </row>
    <row r="7417" spans="2:19" s="1609" customFormat="1" ht="21.75" customHeight="1" outlineLevel="1">
      <c r="B7417" s="1612" t="s">
        <v>2407</v>
      </c>
      <c r="C7417" s="1603" t="s">
        <v>2406</v>
      </c>
      <c r="D7417" s="1603" t="s">
        <v>2405</v>
      </c>
      <c r="E7417" s="1603" t="s">
        <v>2208</v>
      </c>
      <c r="F7417" s="1603"/>
      <c r="G7417" s="1603"/>
      <c r="H7417" s="1604">
        <v>2</v>
      </c>
      <c r="I7417" s="1603" t="s">
        <v>2404</v>
      </c>
      <c r="J7417" s="1603"/>
      <c r="K7417" s="1606">
        <v>48473.27</v>
      </c>
      <c r="L7417" s="1607"/>
      <c r="M7417" s="1606">
        <v>48473.27</v>
      </c>
      <c r="N7417" s="1606">
        <v>48473.27</v>
      </c>
      <c r="O7417" s="1606">
        <v>46992.12</v>
      </c>
      <c r="P7417" s="1607"/>
      <c r="Q7417" s="1606">
        <v>1481.15</v>
      </c>
      <c r="R7417" s="1606">
        <v>1481.15</v>
      </c>
      <c r="S7417" s="1608"/>
    </row>
    <row r="7418" spans="2:19" s="1609" customFormat="1" ht="21.75" customHeight="1" outlineLevel="1">
      <c r="B7418" s="1612" t="s">
        <v>2403</v>
      </c>
      <c r="C7418" s="1603" t="s">
        <v>2400</v>
      </c>
      <c r="D7418" s="1603" t="s">
        <v>2402</v>
      </c>
      <c r="E7418" s="1603" t="s">
        <v>2208</v>
      </c>
      <c r="F7418" s="1603"/>
      <c r="G7418" s="1603"/>
      <c r="H7418" s="1604">
        <v>2</v>
      </c>
      <c r="I7418" s="1613">
        <v>8.11</v>
      </c>
      <c r="J7418" s="1603"/>
      <c r="K7418" s="1606">
        <v>539316.96</v>
      </c>
      <c r="L7418" s="1607"/>
      <c r="M7418" s="1606">
        <v>539316.96</v>
      </c>
      <c r="N7418" s="1606">
        <v>539316.96</v>
      </c>
      <c r="O7418" s="1606">
        <v>524335.96</v>
      </c>
      <c r="P7418" s="1607"/>
      <c r="Q7418" s="1606">
        <v>14981</v>
      </c>
      <c r="R7418" s="1606">
        <v>14981</v>
      </c>
      <c r="S7418" s="1608"/>
    </row>
    <row r="7419" spans="2:19" s="1609" customFormat="1" ht="21.75" customHeight="1" outlineLevel="1">
      <c r="B7419" s="1612" t="s">
        <v>2401</v>
      </c>
      <c r="C7419" s="1603" t="s">
        <v>2400</v>
      </c>
      <c r="D7419" s="1603" t="s">
        <v>2399</v>
      </c>
      <c r="E7419" s="1603" t="s">
        <v>2208</v>
      </c>
      <c r="F7419" s="1603"/>
      <c r="G7419" s="1603"/>
      <c r="H7419" s="1604">
        <v>2</v>
      </c>
      <c r="I7419" s="1613">
        <v>16.670000000000002</v>
      </c>
      <c r="J7419" s="1603"/>
      <c r="K7419" s="1606">
        <v>73025.070000000007</v>
      </c>
      <c r="L7419" s="1607"/>
      <c r="M7419" s="1606">
        <v>73025.070000000007</v>
      </c>
      <c r="N7419" s="1606">
        <v>73025.070000000007</v>
      </c>
      <c r="O7419" s="1606">
        <v>70996.570000000007</v>
      </c>
      <c r="P7419" s="1607"/>
      <c r="Q7419" s="1606">
        <v>2028.5</v>
      </c>
      <c r="R7419" s="1606">
        <v>2028.5</v>
      </c>
      <c r="S7419" s="1608"/>
    </row>
    <row r="7420" spans="2:19" s="1609" customFormat="1" ht="21.75" customHeight="1" outlineLevel="1">
      <c r="B7420" s="1612" t="s">
        <v>2398</v>
      </c>
      <c r="C7420" s="1603" t="s">
        <v>2386</v>
      </c>
      <c r="D7420" s="1603" t="s">
        <v>2397</v>
      </c>
      <c r="E7420" s="1603" t="s">
        <v>2219</v>
      </c>
      <c r="F7420" s="1603" t="s">
        <v>2388</v>
      </c>
      <c r="G7420" s="1603"/>
      <c r="H7420" s="1604">
        <v>2</v>
      </c>
      <c r="I7420" s="1610">
        <v>29</v>
      </c>
      <c r="J7420" s="1603"/>
      <c r="K7420" s="1606">
        <v>99854.34</v>
      </c>
      <c r="L7420" s="1607"/>
      <c r="M7420" s="1606">
        <v>99854.34</v>
      </c>
      <c r="N7420" s="1606">
        <v>99854.34</v>
      </c>
      <c r="O7420" s="1606">
        <v>94528.74</v>
      </c>
      <c r="P7420" s="1607"/>
      <c r="Q7420" s="1606">
        <v>5325.6</v>
      </c>
      <c r="R7420" s="1606">
        <v>5325.6</v>
      </c>
      <c r="S7420" s="1608"/>
    </row>
    <row r="7421" spans="2:19" s="1609" customFormat="1" ht="11.25" customHeight="1" outlineLevel="1">
      <c r="B7421" s="1612" t="s">
        <v>2396</v>
      </c>
      <c r="C7421" s="1603" t="s">
        <v>2386</v>
      </c>
      <c r="D7421" s="1603" t="s">
        <v>2395</v>
      </c>
      <c r="E7421" s="1603" t="s">
        <v>2219</v>
      </c>
      <c r="F7421" s="1603" t="s">
        <v>2388</v>
      </c>
      <c r="G7421" s="1603"/>
      <c r="H7421" s="1604">
        <v>2</v>
      </c>
      <c r="I7421" s="1610">
        <v>96</v>
      </c>
      <c r="J7421" s="1603"/>
      <c r="K7421" s="1606">
        <v>130160.34</v>
      </c>
      <c r="L7421" s="1607"/>
      <c r="M7421" s="1606">
        <v>130160.34</v>
      </c>
      <c r="N7421" s="1606">
        <v>130160.34</v>
      </c>
      <c r="O7421" s="1606">
        <v>119313.62</v>
      </c>
      <c r="P7421" s="1607"/>
      <c r="Q7421" s="1606">
        <v>10846.72</v>
      </c>
      <c r="R7421" s="1606">
        <v>10846.72</v>
      </c>
      <c r="S7421" s="1608"/>
    </row>
    <row r="7422" spans="2:19" s="1609" customFormat="1" ht="11.25" customHeight="1" outlineLevel="1">
      <c r="B7422" s="1612" t="s">
        <v>2394</v>
      </c>
      <c r="C7422" s="1603" t="s">
        <v>2386</v>
      </c>
      <c r="D7422" s="1603" t="s">
        <v>2393</v>
      </c>
      <c r="E7422" s="1603" t="s">
        <v>2219</v>
      </c>
      <c r="F7422" s="1603" t="s">
        <v>2388</v>
      </c>
      <c r="G7422" s="1603"/>
      <c r="H7422" s="1604">
        <v>2</v>
      </c>
      <c r="I7422" s="1610">
        <v>26</v>
      </c>
      <c r="J7422" s="1603"/>
      <c r="K7422" s="1606">
        <v>115327.3</v>
      </c>
      <c r="L7422" s="1607"/>
      <c r="M7422" s="1606">
        <v>115327.3</v>
      </c>
      <c r="N7422" s="1606">
        <v>115327.3</v>
      </c>
      <c r="O7422" s="1606">
        <v>105076.02</v>
      </c>
      <c r="P7422" s="1607"/>
      <c r="Q7422" s="1606">
        <v>10251.280000000001</v>
      </c>
      <c r="R7422" s="1606">
        <v>10251.280000000001</v>
      </c>
      <c r="S7422" s="1608"/>
    </row>
    <row r="7423" spans="2:19" s="1609" customFormat="1" ht="11.25" customHeight="1" outlineLevel="1">
      <c r="B7423" s="1612" t="s">
        <v>2392</v>
      </c>
      <c r="C7423" s="1603" t="s">
        <v>2386</v>
      </c>
      <c r="D7423" s="1603" t="s">
        <v>2391</v>
      </c>
      <c r="E7423" s="1603" t="s">
        <v>2219</v>
      </c>
      <c r="F7423" s="1603" t="s">
        <v>2388</v>
      </c>
      <c r="G7423" s="1603"/>
      <c r="H7423" s="1604">
        <v>2</v>
      </c>
      <c r="I7423" s="1610">
        <v>136</v>
      </c>
      <c r="J7423" s="1603"/>
      <c r="K7423" s="1606">
        <v>577002.30000000005</v>
      </c>
      <c r="L7423" s="1607"/>
      <c r="M7423" s="1606">
        <v>577002.30000000005</v>
      </c>
      <c r="N7423" s="1606">
        <v>577002.30000000005</v>
      </c>
      <c r="O7423" s="1606">
        <v>512890.94</v>
      </c>
      <c r="P7423" s="1607"/>
      <c r="Q7423" s="1606">
        <v>64111.360000000001</v>
      </c>
      <c r="R7423" s="1606">
        <v>64111.360000000001</v>
      </c>
      <c r="S7423" s="1608"/>
    </row>
    <row r="7424" spans="2:19" s="1609" customFormat="1" ht="21.75" customHeight="1" outlineLevel="1">
      <c r="B7424" s="1612" t="s">
        <v>2390</v>
      </c>
      <c r="C7424" s="1603" t="s">
        <v>2386</v>
      </c>
      <c r="D7424" s="1603" t="s">
        <v>2389</v>
      </c>
      <c r="E7424" s="1603" t="s">
        <v>2219</v>
      </c>
      <c r="F7424" s="1603" t="s">
        <v>2388</v>
      </c>
      <c r="G7424" s="1603"/>
      <c r="H7424" s="1604">
        <v>2</v>
      </c>
      <c r="I7424" s="1610">
        <v>21</v>
      </c>
      <c r="J7424" s="1603"/>
      <c r="K7424" s="1606">
        <v>57056.19</v>
      </c>
      <c r="L7424" s="1607"/>
      <c r="M7424" s="1606">
        <v>57056.19</v>
      </c>
      <c r="N7424" s="1606">
        <v>57056.19</v>
      </c>
      <c r="O7424" s="1606">
        <v>52301.48</v>
      </c>
      <c r="P7424" s="1607"/>
      <c r="Q7424" s="1606">
        <v>4754.71</v>
      </c>
      <c r="R7424" s="1606">
        <v>4754.71</v>
      </c>
      <c r="S7424" s="1608"/>
    </row>
    <row r="7425" spans="2:19" s="1609" customFormat="1" ht="21.75" customHeight="1" outlineLevel="1">
      <c r="B7425" s="1612" t="s">
        <v>2387</v>
      </c>
      <c r="C7425" s="1603" t="s">
        <v>2386</v>
      </c>
      <c r="D7425" s="1603" t="s">
        <v>2385</v>
      </c>
      <c r="E7425" s="1603" t="s">
        <v>2208</v>
      </c>
      <c r="F7425" s="1603"/>
      <c r="G7425" s="1603"/>
      <c r="H7425" s="1604">
        <v>2</v>
      </c>
      <c r="I7425" s="1613">
        <v>32.71</v>
      </c>
      <c r="J7425" s="1603"/>
      <c r="K7425" s="1606">
        <v>498140.79</v>
      </c>
      <c r="L7425" s="1607"/>
      <c r="M7425" s="1606">
        <v>498140.79</v>
      </c>
      <c r="N7425" s="1606">
        <v>498140.79</v>
      </c>
      <c r="O7425" s="1606">
        <v>487071.03</v>
      </c>
      <c r="P7425" s="1607"/>
      <c r="Q7425" s="1606">
        <v>11069.76</v>
      </c>
      <c r="R7425" s="1606">
        <v>11069.76</v>
      </c>
      <c r="S7425" s="1608"/>
    </row>
    <row r="7426" spans="2:19" s="1609" customFormat="1" ht="21.75" customHeight="1" outlineLevel="1">
      <c r="B7426" s="1612" t="s">
        <v>2384</v>
      </c>
      <c r="C7426" s="1603" t="s">
        <v>2383</v>
      </c>
      <c r="D7426" s="1603" t="s">
        <v>2382</v>
      </c>
      <c r="E7426" s="1603" t="s">
        <v>2208</v>
      </c>
      <c r="F7426" s="1603"/>
      <c r="G7426" s="1603"/>
      <c r="H7426" s="1604">
        <v>2</v>
      </c>
      <c r="I7426" s="1610">
        <v>20</v>
      </c>
      <c r="J7426" s="1603"/>
      <c r="K7426" s="1606">
        <v>29880.98</v>
      </c>
      <c r="L7426" s="1607"/>
      <c r="M7426" s="1606">
        <v>29880.98</v>
      </c>
      <c r="N7426" s="1606">
        <v>29880.98</v>
      </c>
      <c r="O7426" s="1606">
        <v>29299.98</v>
      </c>
      <c r="P7426" s="1607"/>
      <c r="Q7426" s="1605">
        <v>581</v>
      </c>
      <c r="R7426" s="1605">
        <v>581</v>
      </c>
      <c r="S7426" s="1608"/>
    </row>
    <row r="7427" spans="2:19" s="1609" customFormat="1" ht="21.75" customHeight="1" outlineLevel="1">
      <c r="B7427" s="1612" t="s">
        <v>2381</v>
      </c>
      <c r="C7427" s="1603" t="s">
        <v>2380</v>
      </c>
      <c r="D7427" s="1603" t="s">
        <v>2379</v>
      </c>
      <c r="E7427" s="1603"/>
      <c r="F7427" s="1603"/>
      <c r="G7427" s="1603"/>
      <c r="H7427" s="1603"/>
      <c r="I7427" s="1603"/>
      <c r="J7427" s="1603"/>
      <c r="K7427" s="1606">
        <v>23994.91</v>
      </c>
      <c r="L7427" s="1607"/>
      <c r="M7427" s="1606">
        <v>23994.91</v>
      </c>
      <c r="N7427" s="1606">
        <v>23994.91</v>
      </c>
      <c r="O7427" s="1606">
        <v>23595.01</v>
      </c>
      <c r="P7427" s="1607"/>
      <c r="Q7427" s="1605">
        <v>399.9</v>
      </c>
      <c r="R7427" s="1605">
        <v>399.9</v>
      </c>
      <c r="S7427" s="1608"/>
    </row>
    <row r="7428" spans="2:19" s="1609" customFormat="1" ht="21.75" customHeight="1" outlineLevel="1">
      <c r="B7428" s="1612" t="s">
        <v>2378</v>
      </c>
      <c r="C7428" s="1603" t="s">
        <v>2359</v>
      </c>
      <c r="D7428" s="1603" t="s">
        <v>2377</v>
      </c>
      <c r="E7428" s="1603"/>
      <c r="F7428" s="1603"/>
      <c r="G7428" s="1603"/>
      <c r="H7428" s="1604">
        <v>2</v>
      </c>
      <c r="I7428" s="1603"/>
      <c r="J7428" s="1603"/>
      <c r="K7428" s="1606">
        <v>14845.91</v>
      </c>
      <c r="L7428" s="1607"/>
      <c r="M7428" s="1606">
        <v>14845.91</v>
      </c>
      <c r="N7428" s="1606">
        <v>14845.91</v>
      </c>
      <c r="O7428" s="1606">
        <v>13608.77</v>
      </c>
      <c r="P7428" s="1607"/>
      <c r="Q7428" s="1606">
        <v>1237.1400000000001</v>
      </c>
      <c r="R7428" s="1606">
        <v>1237.1400000000001</v>
      </c>
      <c r="S7428" s="1608"/>
    </row>
    <row r="7429" spans="2:19" s="1609" customFormat="1" ht="11.25" customHeight="1" outlineLevel="1">
      <c r="B7429" s="1612" t="s">
        <v>2376</v>
      </c>
      <c r="C7429" s="1603" t="s">
        <v>2359</v>
      </c>
      <c r="D7429" s="1603" t="s">
        <v>2375</v>
      </c>
      <c r="E7429" s="1603"/>
      <c r="F7429" s="1603"/>
      <c r="G7429" s="1603"/>
      <c r="H7429" s="1604">
        <v>2</v>
      </c>
      <c r="I7429" s="1603"/>
      <c r="J7429" s="1603"/>
      <c r="K7429" s="1606">
        <v>18219.97</v>
      </c>
      <c r="L7429" s="1607"/>
      <c r="M7429" s="1606">
        <v>18219.97</v>
      </c>
      <c r="N7429" s="1606">
        <v>18219.97</v>
      </c>
      <c r="O7429" s="1606">
        <v>16701.63</v>
      </c>
      <c r="P7429" s="1607"/>
      <c r="Q7429" s="1606">
        <v>1518.34</v>
      </c>
      <c r="R7429" s="1606">
        <v>1518.34</v>
      </c>
      <c r="S7429" s="1608"/>
    </row>
    <row r="7430" spans="2:19" s="1609" customFormat="1" ht="11.25" customHeight="1" outlineLevel="1">
      <c r="B7430" s="1612" t="s">
        <v>2374</v>
      </c>
      <c r="C7430" s="1603" t="s">
        <v>2359</v>
      </c>
      <c r="D7430" s="1603" t="s">
        <v>2373</v>
      </c>
      <c r="E7430" s="1603"/>
      <c r="F7430" s="1603"/>
      <c r="G7430" s="1603"/>
      <c r="H7430" s="1604">
        <v>2</v>
      </c>
      <c r="I7430" s="1603"/>
      <c r="J7430" s="1603"/>
      <c r="K7430" s="1606">
        <v>71591.929999999993</v>
      </c>
      <c r="L7430" s="1607"/>
      <c r="M7430" s="1606">
        <v>71591.929999999993</v>
      </c>
      <c r="N7430" s="1606">
        <v>71591.929999999993</v>
      </c>
      <c r="O7430" s="1606">
        <v>68907.23</v>
      </c>
      <c r="P7430" s="1607"/>
      <c r="Q7430" s="1606">
        <v>2684.7</v>
      </c>
      <c r="R7430" s="1606">
        <v>2684.7</v>
      </c>
      <c r="S7430" s="1608"/>
    </row>
    <row r="7431" spans="2:19" s="1609" customFormat="1" ht="21.75" customHeight="1" outlineLevel="1">
      <c r="B7431" s="1612" t="s">
        <v>2372</v>
      </c>
      <c r="C7431" s="1603" t="s">
        <v>2359</v>
      </c>
      <c r="D7431" s="1603" t="s">
        <v>2371</v>
      </c>
      <c r="E7431" s="1603"/>
      <c r="F7431" s="1603"/>
      <c r="G7431" s="1603"/>
      <c r="H7431" s="1604">
        <v>2</v>
      </c>
      <c r="I7431" s="1603"/>
      <c r="J7431" s="1603"/>
      <c r="K7431" s="1606">
        <v>26536.21</v>
      </c>
      <c r="L7431" s="1607"/>
      <c r="M7431" s="1606">
        <v>26536.21</v>
      </c>
      <c r="N7431" s="1606">
        <v>26536.21</v>
      </c>
      <c r="O7431" s="1606">
        <v>25541.11</v>
      </c>
      <c r="P7431" s="1607"/>
      <c r="Q7431" s="1605">
        <v>995.1</v>
      </c>
      <c r="R7431" s="1605">
        <v>995.1</v>
      </c>
      <c r="S7431" s="1608"/>
    </row>
    <row r="7432" spans="2:19" s="1609" customFormat="1" ht="21.75" customHeight="1" outlineLevel="1">
      <c r="B7432" s="1612" t="s">
        <v>2370</v>
      </c>
      <c r="C7432" s="1603" t="s">
        <v>2359</v>
      </c>
      <c r="D7432" s="1603" t="s">
        <v>2369</v>
      </c>
      <c r="E7432" s="1603"/>
      <c r="F7432" s="1603"/>
      <c r="G7432" s="1603"/>
      <c r="H7432" s="1604">
        <v>2</v>
      </c>
      <c r="I7432" s="1603"/>
      <c r="J7432" s="1603"/>
      <c r="K7432" s="1606">
        <v>167113.85999999999</v>
      </c>
      <c r="L7432" s="1607"/>
      <c r="M7432" s="1606">
        <v>167113.85999999999</v>
      </c>
      <c r="N7432" s="1606">
        <v>167113.85999999999</v>
      </c>
      <c r="O7432" s="1606">
        <v>161891.57999999999</v>
      </c>
      <c r="P7432" s="1607"/>
      <c r="Q7432" s="1606">
        <v>5222.28</v>
      </c>
      <c r="R7432" s="1606">
        <v>5222.28</v>
      </c>
      <c r="S7432" s="1608"/>
    </row>
    <row r="7433" spans="2:19" s="1609" customFormat="1" ht="21.75" customHeight="1" outlineLevel="1">
      <c r="B7433" s="1612" t="s">
        <v>2368</v>
      </c>
      <c r="C7433" s="1603" t="s">
        <v>2359</v>
      </c>
      <c r="D7433" s="1603" t="s">
        <v>2367</v>
      </c>
      <c r="E7433" s="1603"/>
      <c r="F7433" s="1603"/>
      <c r="G7433" s="1603"/>
      <c r="H7433" s="1604">
        <v>2</v>
      </c>
      <c r="I7433" s="1603"/>
      <c r="J7433" s="1603"/>
      <c r="K7433" s="1606">
        <v>59081.49</v>
      </c>
      <c r="L7433" s="1607"/>
      <c r="M7433" s="1606">
        <v>59081.49</v>
      </c>
      <c r="N7433" s="1606">
        <v>59081.49</v>
      </c>
      <c r="O7433" s="1606">
        <v>54158.01</v>
      </c>
      <c r="P7433" s="1607"/>
      <c r="Q7433" s="1606">
        <v>4923.4799999999996</v>
      </c>
      <c r="R7433" s="1606">
        <v>4923.4799999999996</v>
      </c>
      <c r="S7433" s="1608"/>
    </row>
    <row r="7434" spans="2:19" s="1609" customFormat="1" ht="21.75" customHeight="1" outlineLevel="1">
      <c r="B7434" s="1612" t="s">
        <v>2366</v>
      </c>
      <c r="C7434" s="1603" t="s">
        <v>2359</v>
      </c>
      <c r="D7434" s="1603" t="s">
        <v>2365</v>
      </c>
      <c r="E7434" s="1603"/>
      <c r="F7434" s="1603"/>
      <c r="G7434" s="1603"/>
      <c r="H7434" s="1604">
        <v>2</v>
      </c>
      <c r="I7434" s="1603"/>
      <c r="J7434" s="1603"/>
      <c r="K7434" s="1606">
        <v>800566.61</v>
      </c>
      <c r="L7434" s="1607"/>
      <c r="M7434" s="1606">
        <v>800566.61</v>
      </c>
      <c r="N7434" s="1606">
        <v>800566.61</v>
      </c>
      <c r="O7434" s="1606">
        <v>780552.47</v>
      </c>
      <c r="P7434" s="1607"/>
      <c r="Q7434" s="1606">
        <v>20014.14</v>
      </c>
      <c r="R7434" s="1606">
        <v>20014.14</v>
      </c>
      <c r="S7434" s="1608"/>
    </row>
    <row r="7435" spans="2:19" s="1609" customFormat="1" ht="11.25" customHeight="1" outlineLevel="1">
      <c r="B7435" s="1612" t="s">
        <v>2364</v>
      </c>
      <c r="C7435" s="1603" t="s">
        <v>2359</v>
      </c>
      <c r="D7435" s="1603" t="s">
        <v>2363</v>
      </c>
      <c r="E7435" s="1603" t="s">
        <v>2219</v>
      </c>
      <c r="F7435" s="1603" t="s">
        <v>2362</v>
      </c>
      <c r="G7435" s="1603" t="s">
        <v>2361</v>
      </c>
      <c r="H7435" s="1604">
        <v>2</v>
      </c>
      <c r="I7435" s="1610">
        <v>31</v>
      </c>
      <c r="J7435" s="1603"/>
      <c r="K7435" s="1606">
        <v>31434.76</v>
      </c>
      <c r="L7435" s="1607"/>
      <c r="M7435" s="1606">
        <v>31434.76</v>
      </c>
      <c r="N7435" s="1606">
        <v>31434.76</v>
      </c>
      <c r="O7435" s="1606">
        <v>30452.44</v>
      </c>
      <c r="P7435" s="1607"/>
      <c r="Q7435" s="1605">
        <v>982.32</v>
      </c>
      <c r="R7435" s="1605">
        <v>982.32</v>
      </c>
      <c r="S7435" s="1608"/>
    </row>
    <row r="7436" spans="2:19" s="1609" customFormat="1" ht="21.75" customHeight="1" outlineLevel="1">
      <c r="B7436" s="1612" t="s">
        <v>2360</v>
      </c>
      <c r="C7436" s="1603" t="s">
        <v>2359</v>
      </c>
      <c r="D7436" s="1603" t="s">
        <v>2358</v>
      </c>
      <c r="E7436" s="1603" t="s">
        <v>2219</v>
      </c>
      <c r="F7436" s="1603" t="s">
        <v>2357</v>
      </c>
      <c r="G7436" s="1603" t="s">
        <v>2356</v>
      </c>
      <c r="H7436" s="1604">
        <v>2</v>
      </c>
      <c r="I7436" s="1610">
        <v>225</v>
      </c>
      <c r="J7436" s="1603"/>
      <c r="K7436" s="1606">
        <v>293168.96999999997</v>
      </c>
      <c r="L7436" s="1607"/>
      <c r="M7436" s="1606">
        <v>293168.96999999997</v>
      </c>
      <c r="N7436" s="1606">
        <v>293168.96999999997</v>
      </c>
      <c r="O7436" s="1606">
        <v>289650.93</v>
      </c>
      <c r="P7436" s="1607"/>
      <c r="Q7436" s="1606">
        <v>3518.04</v>
      </c>
      <c r="R7436" s="1606">
        <v>3518.04</v>
      </c>
      <c r="S7436" s="1608"/>
    </row>
    <row r="7437" spans="2:19" s="1609" customFormat="1" ht="21.75" customHeight="1" outlineLevel="1">
      <c r="B7437" s="1612" t="s">
        <v>2355</v>
      </c>
      <c r="C7437" s="1603" t="s">
        <v>2354</v>
      </c>
      <c r="D7437" s="1603" t="s">
        <v>2353</v>
      </c>
      <c r="E7437" s="1603" t="s">
        <v>2208</v>
      </c>
      <c r="F7437" s="1603"/>
      <c r="G7437" s="1603"/>
      <c r="H7437" s="1604">
        <v>2</v>
      </c>
      <c r="I7437" s="1613">
        <v>10.07</v>
      </c>
      <c r="J7437" s="1603"/>
      <c r="K7437" s="1606">
        <v>59425.89</v>
      </c>
      <c r="L7437" s="1607"/>
      <c r="M7437" s="1606">
        <v>59425.89</v>
      </c>
      <c r="N7437" s="1606">
        <v>59425.89</v>
      </c>
      <c r="O7437" s="1606">
        <v>58435.47</v>
      </c>
      <c r="P7437" s="1607"/>
      <c r="Q7437" s="1605">
        <v>990.42</v>
      </c>
      <c r="R7437" s="1605">
        <v>990.42</v>
      </c>
      <c r="S7437" s="1608"/>
    </row>
    <row r="7438" spans="2:19" s="1609" customFormat="1" ht="21.75" customHeight="1" outlineLevel="1">
      <c r="B7438" s="1612" t="s">
        <v>2352</v>
      </c>
      <c r="C7438" s="1603" t="s">
        <v>2351</v>
      </c>
      <c r="D7438" s="1603" t="s">
        <v>2350</v>
      </c>
      <c r="E7438" s="1603" t="s">
        <v>2219</v>
      </c>
      <c r="F7438" s="1603" t="s">
        <v>2349</v>
      </c>
      <c r="G7438" s="1603" t="s">
        <v>2348</v>
      </c>
      <c r="H7438" s="1604">
        <v>2</v>
      </c>
      <c r="I7438" s="1610">
        <v>107</v>
      </c>
      <c r="J7438" s="1603"/>
      <c r="K7438" s="1606">
        <v>1139414.6100000001</v>
      </c>
      <c r="L7438" s="1607"/>
      <c r="M7438" s="1606">
        <v>1139414.6100000001</v>
      </c>
      <c r="N7438" s="1606">
        <v>1139414.6100000001</v>
      </c>
      <c r="O7438" s="1606">
        <v>1129725.71</v>
      </c>
      <c r="P7438" s="1607"/>
      <c r="Q7438" s="1606">
        <v>9688.9</v>
      </c>
      <c r="R7438" s="1606">
        <v>9688.9</v>
      </c>
      <c r="S7438" s="1608"/>
    </row>
    <row r="7439" spans="2:19" s="1609" customFormat="1" ht="21.75" customHeight="1" outlineLevel="1">
      <c r="B7439" s="1612" t="s">
        <v>2347</v>
      </c>
      <c r="C7439" s="1603" t="s">
        <v>2343</v>
      </c>
      <c r="D7439" s="1603" t="s">
        <v>2346</v>
      </c>
      <c r="E7439" s="1603" t="s">
        <v>2219</v>
      </c>
      <c r="F7439" s="1603" t="s">
        <v>2341</v>
      </c>
      <c r="G7439" s="1603" t="s">
        <v>2345</v>
      </c>
      <c r="H7439" s="1604">
        <v>2</v>
      </c>
      <c r="I7439" s="1610">
        <v>110</v>
      </c>
      <c r="J7439" s="1603"/>
      <c r="K7439" s="1606">
        <v>253627.1</v>
      </c>
      <c r="L7439" s="1607"/>
      <c r="M7439" s="1606">
        <v>253627.1</v>
      </c>
      <c r="N7439" s="1606">
        <v>253627.1</v>
      </c>
      <c r="O7439" s="1606">
        <v>251329.75</v>
      </c>
      <c r="P7439" s="1607"/>
      <c r="Q7439" s="1606">
        <v>2297.35</v>
      </c>
      <c r="R7439" s="1606">
        <v>2297.35</v>
      </c>
      <c r="S7439" s="1608"/>
    </row>
    <row r="7440" spans="2:19" s="1609" customFormat="1" ht="21.75" customHeight="1" outlineLevel="1">
      <c r="B7440" s="1612" t="s">
        <v>2344</v>
      </c>
      <c r="C7440" s="1603" t="s">
        <v>2343</v>
      </c>
      <c r="D7440" s="1603" t="s">
        <v>2342</v>
      </c>
      <c r="E7440" s="1603" t="s">
        <v>2219</v>
      </c>
      <c r="F7440" s="1603" t="s">
        <v>2341</v>
      </c>
      <c r="G7440" s="1603" t="s">
        <v>2340</v>
      </c>
      <c r="H7440" s="1604">
        <v>2</v>
      </c>
      <c r="I7440" s="1610">
        <v>90</v>
      </c>
      <c r="J7440" s="1603"/>
      <c r="K7440" s="1606">
        <v>201703.44</v>
      </c>
      <c r="L7440" s="1607"/>
      <c r="M7440" s="1606">
        <v>201703.44</v>
      </c>
      <c r="N7440" s="1606">
        <v>201703.44</v>
      </c>
      <c r="O7440" s="1606">
        <v>199876.44</v>
      </c>
      <c r="P7440" s="1607"/>
      <c r="Q7440" s="1606">
        <v>1827</v>
      </c>
      <c r="R7440" s="1606">
        <v>1827</v>
      </c>
      <c r="S7440" s="1608"/>
    </row>
    <row r="7441" spans="2:19" s="1609" customFormat="1" ht="21.75" customHeight="1" outlineLevel="1">
      <c r="B7441" s="1612" t="s">
        <v>2339</v>
      </c>
      <c r="C7441" s="1603" t="s">
        <v>2338</v>
      </c>
      <c r="D7441" s="1603" t="s">
        <v>2337</v>
      </c>
      <c r="E7441" s="1603" t="s">
        <v>2208</v>
      </c>
      <c r="F7441" s="1603"/>
      <c r="G7441" s="1603"/>
      <c r="H7441" s="1604">
        <v>2</v>
      </c>
      <c r="I7441" s="1610">
        <v>36</v>
      </c>
      <c r="J7441" s="1603"/>
      <c r="K7441" s="1606">
        <v>278937.53000000003</v>
      </c>
      <c r="L7441" s="1607"/>
      <c r="M7441" s="1606">
        <v>278937.53000000003</v>
      </c>
      <c r="N7441" s="1606">
        <v>278937.53000000003</v>
      </c>
      <c r="O7441" s="1606">
        <v>274304.03000000003</v>
      </c>
      <c r="P7441" s="1607"/>
      <c r="Q7441" s="1606">
        <v>4633.5</v>
      </c>
      <c r="R7441" s="1606">
        <v>4633.5</v>
      </c>
      <c r="S7441" s="1608"/>
    </row>
    <row r="7442" spans="2:19" s="1609" customFormat="1" ht="21.75" customHeight="1" outlineLevel="1">
      <c r="B7442" s="1612" t="s">
        <v>2336</v>
      </c>
      <c r="C7442" s="1603" t="s">
        <v>2331</v>
      </c>
      <c r="D7442" s="1603" t="s">
        <v>2335</v>
      </c>
      <c r="E7442" s="1603" t="s">
        <v>2208</v>
      </c>
      <c r="F7442" s="1603"/>
      <c r="G7442" s="1603"/>
      <c r="H7442" s="1604">
        <v>2</v>
      </c>
      <c r="I7442" s="1610">
        <v>1693</v>
      </c>
      <c r="J7442" s="1603"/>
      <c r="K7442" s="1606">
        <v>35314270.979999997</v>
      </c>
      <c r="L7442" s="1607"/>
      <c r="M7442" s="1606">
        <v>35314270.979999997</v>
      </c>
      <c r="N7442" s="1606">
        <v>35314270.979999997</v>
      </c>
      <c r="O7442" s="1606">
        <v>34921890.18</v>
      </c>
      <c r="P7442" s="1607"/>
      <c r="Q7442" s="1606">
        <v>392380.8</v>
      </c>
      <c r="R7442" s="1606">
        <v>392380.8</v>
      </c>
      <c r="S7442" s="1608"/>
    </row>
    <row r="7443" spans="2:19" s="1609" customFormat="1" ht="21.75" customHeight="1" outlineLevel="1">
      <c r="B7443" s="1612" t="s">
        <v>2334</v>
      </c>
      <c r="C7443" s="1603" t="s">
        <v>2331</v>
      </c>
      <c r="D7443" s="1603" t="s">
        <v>2333</v>
      </c>
      <c r="E7443" s="1603" t="s">
        <v>2208</v>
      </c>
      <c r="F7443" s="1603"/>
      <c r="G7443" s="1603"/>
      <c r="H7443" s="1604">
        <v>2</v>
      </c>
      <c r="I7443" s="1611">
        <v>616.5</v>
      </c>
      <c r="J7443" s="1603"/>
      <c r="K7443" s="1606">
        <v>28059294.98</v>
      </c>
      <c r="L7443" s="1607"/>
      <c r="M7443" s="1606">
        <v>28059294.98</v>
      </c>
      <c r="N7443" s="1606">
        <v>28059294.98</v>
      </c>
      <c r="O7443" s="1606">
        <v>27747525.02</v>
      </c>
      <c r="P7443" s="1607"/>
      <c r="Q7443" s="1606">
        <v>311769.96000000002</v>
      </c>
      <c r="R7443" s="1606">
        <v>311769.96000000002</v>
      </c>
      <c r="S7443" s="1608"/>
    </row>
    <row r="7444" spans="2:19" s="1609" customFormat="1" ht="21.75" customHeight="1" outlineLevel="1">
      <c r="B7444" s="1612" t="s">
        <v>2332</v>
      </c>
      <c r="C7444" s="1603" t="s">
        <v>2331</v>
      </c>
      <c r="D7444" s="1603" t="s">
        <v>2330</v>
      </c>
      <c r="E7444" s="1603" t="s">
        <v>2208</v>
      </c>
      <c r="F7444" s="1603"/>
      <c r="G7444" s="1603"/>
      <c r="H7444" s="1604">
        <v>2</v>
      </c>
      <c r="I7444" s="1610">
        <v>9</v>
      </c>
      <c r="J7444" s="1603"/>
      <c r="K7444" s="1606">
        <v>73292.800000000003</v>
      </c>
      <c r="L7444" s="1607"/>
      <c r="M7444" s="1606">
        <v>73292.800000000003</v>
      </c>
      <c r="N7444" s="1606">
        <v>73292.800000000003</v>
      </c>
      <c r="O7444" s="1606">
        <v>72478.44</v>
      </c>
      <c r="P7444" s="1607"/>
      <c r="Q7444" s="1605">
        <v>814.36</v>
      </c>
      <c r="R7444" s="1605">
        <v>814.36</v>
      </c>
      <c r="S7444" s="1608"/>
    </row>
    <row r="7445" spans="2:19" s="1609" customFormat="1" ht="21.75" customHeight="1" outlineLevel="1">
      <c r="B7445" s="1612" t="s">
        <v>2329</v>
      </c>
      <c r="C7445" s="1603" t="s">
        <v>2306</v>
      </c>
      <c r="D7445" s="1603" t="s">
        <v>2328</v>
      </c>
      <c r="E7445" s="1603" t="s">
        <v>2219</v>
      </c>
      <c r="F7445" s="1603" t="s">
        <v>2327</v>
      </c>
      <c r="G7445" s="1603" t="s">
        <v>2326</v>
      </c>
      <c r="H7445" s="1604">
        <v>2</v>
      </c>
      <c r="I7445" s="1610">
        <v>66</v>
      </c>
      <c r="J7445" s="1603"/>
      <c r="K7445" s="1606">
        <v>1134131.96</v>
      </c>
      <c r="L7445" s="1607"/>
      <c r="M7445" s="1606">
        <v>1134131.96</v>
      </c>
      <c r="N7445" s="1606">
        <v>1134131.96</v>
      </c>
      <c r="O7445" s="1606">
        <v>1128225.02</v>
      </c>
      <c r="P7445" s="1607"/>
      <c r="Q7445" s="1606">
        <v>5906.94</v>
      </c>
      <c r="R7445" s="1606">
        <v>5906.94</v>
      </c>
      <c r="S7445" s="1608"/>
    </row>
    <row r="7446" spans="2:19" s="1609" customFormat="1" ht="21.75" customHeight="1" outlineLevel="1">
      <c r="B7446" s="1612" t="s">
        <v>2325</v>
      </c>
      <c r="C7446" s="1603" t="s">
        <v>2306</v>
      </c>
      <c r="D7446" s="1603" t="s">
        <v>2324</v>
      </c>
      <c r="E7446" s="1603" t="s">
        <v>2219</v>
      </c>
      <c r="F7446" s="1603" t="s">
        <v>2304</v>
      </c>
      <c r="G7446" s="1603" t="s">
        <v>2323</v>
      </c>
      <c r="H7446" s="1604">
        <v>2</v>
      </c>
      <c r="I7446" s="1610">
        <v>63</v>
      </c>
      <c r="J7446" s="1603"/>
      <c r="K7446" s="1606">
        <v>14171.09</v>
      </c>
      <c r="L7446" s="1607"/>
      <c r="M7446" s="1606">
        <v>14171.09</v>
      </c>
      <c r="N7446" s="1606">
        <v>14171.09</v>
      </c>
      <c r="O7446" s="1606">
        <v>13285.4</v>
      </c>
      <c r="P7446" s="1607"/>
      <c r="Q7446" s="1605">
        <v>885.69</v>
      </c>
      <c r="R7446" s="1605">
        <v>885.69</v>
      </c>
      <c r="S7446" s="1608"/>
    </row>
    <row r="7447" spans="2:19" s="1609" customFormat="1" ht="11.25" customHeight="1" outlineLevel="1">
      <c r="B7447" s="1612" t="s">
        <v>2322</v>
      </c>
      <c r="C7447" s="1603" t="s">
        <v>2306</v>
      </c>
      <c r="D7447" s="1603" t="s">
        <v>2321</v>
      </c>
      <c r="E7447" s="1603" t="s">
        <v>2219</v>
      </c>
      <c r="F7447" s="1603" t="s">
        <v>2304</v>
      </c>
      <c r="G7447" s="1603" t="s">
        <v>2320</v>
      </c>
      <c r="H7447" s="1604">
        <v>2</v>
      </c>
      <c r="I7447" s="1610">
        <v>8</v>
      </c>
      <c r="J7447" s="1603"/>
      <c r="K7447" s="1606">
        <v>13206.49</v>
      </c>
      <c r="L7447" s="1607"/>
      <c r="M7447" s="1606">
        <v>13206.49</v>
      </c>
      <c r="N7447" s="1606">
        <v>13206.49</v>
      </c>
      <c r="O7447" s="1606">
        <v>13079.5</v>
      </c>
      <c r="P7447" s="1607"/>
      <c r="Q7447" s="1605">
        <v>126.99</v>
      </c>
      <c r="R7447" s="1605">
        <v>126.99</v>
      </c>
      <c r="S7447" s="1608"/>
    </row>
    <row r="7448" spans="2:19" s="1609" customFormat="1" ht="11.25" customHeight="1" outlineLevel="1">
      <c r="B7448" s="1612" t="s">
        <v>2319</v>
      </c>
      <c r="C7448" s="1603" t="s">
        <v>2306</v>
      </c>
      <c r="D7448" s="1603" t="s">
        <v>2318</v>
      </c>
      <c r="E7448" s="1603" t="s">
        <v>2219</v>
      </c>
      <c r="F7448" s="1603" t="s">
        <v>2304</v>
      </c>
      <c r="G7448" s="1603" t="s">
        <v>2317</v>
      </c>
      <c r="H7448" s="1604">
        <v>2</v>
      </c>
      <c r="I7448" s="1610">
        <v>65</v>
      </c>
      <c r="J7448" s="1603"/>
      <c r="K7448" s="1606">
        <v>43862.9</v>
      </c>
      <c r="L7448" s="1607"/>
      <c r="M7448" s="1606">
        <v>43862.9</v>
      </c>
      <c r="N7448" s="1606">
        <v>43862.9</v>
      </c>
      <c r="O7448" s="1606">
        <v>42949.1</v>
      </c>
      <c r="P7448" s="1607"/>
      <c r="Q7448" s="1605">
        <v>913.8</v>
      </c>
      <c r="R7448" s="1605">
        <v>913.8</v>
      </c>
      <c r="S7448" s="1608"/>
    </row>
    <row r="7449" spans="2:19" s="1609" customFormat="1" ht="11.25" customHeight="1" outlineLevel="1">
      <c r="B7449" s="1612" t="s">
        <v>2316</v>
      </c>
      <c r="C7449" s="1603" t="s">
        <v>2306</v>
      </c>
      <c r="D7449" s="1603" t="s">
        <v>2315</v>
      </c>
      <c r="E7449" s="1603" t="s">
        <v>2219</v>
      </c>
      <c r="F7449" s="1603" t="s">
        <v>2304</v>
      </c>
      <c r="G7449" s="1603" t="s">
        <v>2314</v>
      </c>
      <c r="H7449" s="1604">
        <v>2</v>
      </c>
      <c r="I7449" s="1610">
        <v>9</v>
      </c>
      <c r="J7449" s="1603"/>
      <c r="K7449" s="1606">
        <v>4048.88</v>
      </c>
      <c r="L7449" s="1607"/>
      <c r="M7449" s="1606">
        <v>4048.88</v>
      </c>
      <c r="N7449" s="1606">
        <v>4048.88</v>
      </c>
      <c r="O7449" s="1606">
        <v>3922.34</v>
      </c>
      <c r="P7449" s="1607"/>
      <c r="Q7449" s="1605">
        <v>126.54</v>
      </c>
      <c r="R7449" s="1605">
        <v>126.54</v>
      </c>
      <c r="S7449" s="1608"/>
    </row>
    <row r="7450" spans="2:19" s="1609" customFormat="1" ht="11.25" customHeight="1" outlineLevel="1">
      <c r="B7450" s="1612" t="s">
        <v>2313</v>
      </c>
      <c r="C7450" s="1603" t="s">
        <v>2306</v>
      </c>
      <c r="D7450" s="1603" t="s">
        <v>2312</v>
      </c>
      <c r="E7450" s="1603" t="s">
        <v>2219</v>
      </c>
      <c r="F7450" s="1603" t="s">
        <v>2304</v>
      </c>
      <c r="G7450" s="1603" t="s">
        <v>2311</v>
      </c>
      <c r="H7450" s="1604">
        <v>2</v>
      </c>
      <c r="I7450" s="1610">
        <v>88</v>
      </c>
      <c r="J7450" s="1603"/>
      <c r="K7450" s="1606">
        <v>59383.62</v>
      </c>
      <c r="L7450" s="1607"/>
      <c r="M7450" s="1606">
        <v>59383.62</v>
      </c>
      <c r="N7450" s="1606">
        <v>59383.62</v>
      </c>
      <c r="O7450" s="1606">
        <v>58146.45</v>
      </c>
      <c r="P7450" s="1607"/>
      <c r="Q7450" s="1606">
        <v>1237.17</v>
      </c>
      <c r="R7450" s="1606">
        <v>1237.17</v>
      </c>
      <c r="S7450" s="1608"/>
    </row>
    <row r="7451" spans="2:19" s="1609" customFormat="1" ht="21.75" customHeight="1" outlineLevel="1">
      <c r="B7451" s="1612" t="s">
        <v>2310</v>
      </c>
      <c r="C7451" s="1603" t="s">
        <v>2306</v>
      </c>
      <c r="D7451" s="1603" t="s">
        <v>2309</v>
      </c>
      <c r="E7451" s="1603" t="s">
        <v>2219</v>
      </c>
      <c r="F7451" s="1603" t="s">
        <v>2304</v>
      </c>
      <c r="G7451" s="1603" t="s">
        <v>2308</v>
      </c>
      <c r="H7451" s="1604">
        <v>2</v>
      </c>
      <c r="I7451" s="1610">
        <v>57</v>
      </c>
      <c r="J7451" s="1603"/>
      <c r="K7451" s="1606">
        <v>38464.39</v>
      </c>
      <c r="L7451" s="1607"/>
      <c r="M7451" s="1606">
        <v>38464.39</v>
      </c>
      <c r="N7451" s="1606">
        <v>38464.39</v>
      </c>
      <c r="O7451" s="1606">
        <v>37663.06</v>
      </c>
      <c r="P7451" s="1607"/>
      <c r="Q7451" s="1605">
        <v>801.33</v>
      </c>
      <c r="R7451" s="1605">
        <v>801.33</v>
      </c>
      <c r="S7451" s="1608"/>
    </row>
    <row r="7452" spans="2:19" s="1609" customFormat="1" ht="21.75" customHeight="1" outlineLevel="1">
      <c r="B7452" s="1612" t="s">
        <v>2307</v>
      </c>
      <c r="C7452" s="1603" t="s">
        <v>2306</v>
      </c>
      <c r="D7452" s="1603" t="s">
        <v>2305</v>
      </c>
      <c r="E7452" s="1603" t="s">
        <v>2219</v>
      </c>
      <c r="F7452" s="1603" t="s">
        <v>2304</v>
      </c>
      <c r="G7452" s="1603" t="s">
        <v>2303</v>
      </c>
      <c r="H7452" s="1604">
        <v>2</v>
      </c>
      <c r="I7452" s="1610">
        <v>103</v>
      </c>
      <c r="J7452" s="1603"/>
      <c r="K7452" s="1606">
        <v>76669.210000000006</v>
      </c>
      <c r="L7452" s="1607"/>
      <c r="M7452" s="1606">
        <v>76669.210000000006</v>
      </c>
      <c r="N7452" s="1606">
        <v>76669.210000000006</v>
      </c>
      <c r="O7452" s="1606">
        <v>75135.820000000007</v>
      </c>
      <c r="P7452" s="1607"/>
      <c r="Q7452" s="1606">
        <v>1533.39</v>
      </c>
      <c r="R7452" s="1606">
        <v>1533.39</v>
      </c>
      <c r="S7452" s="1608"/>
    </row>
    <row r="7453" spans="2:19" s="1609" customFormat="1" ht="21.75" customHeight="1" outlineLevel="1">
      <c r="B7453" s="1612" t="s">
        <v>2302</v>
      </c>
      <c r="C7453" s="1603" t="s">
        <v>2297</v>
      </c>
      <c r="D7453" s="1603" t="s">
        <v>2301</v>
      </c>
      <c r="E7453" s="1603" t="s">
        <v>2219</v>
      </c>
      <c r="F7453" s="1603" t="s">
        <v>2300</v>
      </c>
      <c r="G7453" s="1603" t="s">
        <v>2299</v>
      </c>
      <c r="H7453" s="1604">
        <v>2</v>
      </c>
      <c r="I7453" s="1610">
        <v>215</v>
      </c>
      <c r="J7453" s="1603"/>
      <c r="K7453" s="1606">
        <v>3225564.84</v>
      </c>
      <c r="L7453" s="1607"/>
      <c r="M7453" s="1606">
        <v>3225564.84</v>
      </c>
      <c r="N7453" s="1606">
        <v>3225564.84</v>
      </c>
      <c r="O7453" s="1606">
        <v>3209107.89</v>
      </c>
      <c r="P7453" s="1607"/>
      <c r="Q7453" s="1606">
        <v>16456.95</v>
      </c>
      <c r="R7453" s="1606">
        <v>16456.95</v>
      </c>
      <c r="S7453" s="1608"/>
    </row>
    <row r="7454" spans="2:19" s="1609" customFormat="1" ht="21.75" customHeight="1" outlineLevel="1">
      <c r="B7454" s="1612" t="s">
        <v>2298</v>
      </c>
      <c r="C7454" s="1603" t="s">
        <v>2297</v>
      </c>
      <c r="D7454" s="1603" t="s">
        <v>2296</v>
      </c>
      <c r="E7454" s="1603" t="s">
        <v>2219</v>
      </c>
      <c r="F7454" s="1603" t="s">
        <v>2295</v>
      </c>
      <c r="G7454" s="1603" t="s">
        <v>2294</v>
      </c>
      <c r="H7454" s="1604">
        <v>2</v>
      </c>
      <c r="I7454" s="1610">
        <v>112</v>
      </c>
      <c r="J7454" s="1603"/>
      <c r="K7454" s="1606">
        <v>1504962.13</v>
      </c>
      <c r="L7454" s="1607"/>
      <c r="M7454" s="1606">
        <v>1504962.13</v>
      </c>
      <c r="N7454" s="1606">
        <v>1504962.13</v>
      </c>
      <c r="O7454" s="1606">
        <v>1497123.79</v>
      </c>
      <c r="P7454" s="1607"/>
      <c r="Q7454" s="1606">
        <v>7838.34</v>
      </c>
      <c r="R7454" s="1606">
        <v>7838.34</v>
      </c>
      <c r="S7454" s="1608"/>
    </row>
    <row r="7455" spans="2:19" s="1609" customFormat="1" ht="11.25" customHeight="1" outlineLevel="1">
      <c r="B7455" s="1612" t="s">
        <v>2293</v>
      </c>
      <c r="C7455" s="1603" t="s">
        <v>2290</v>
      </c>
      <c r="D7455" s="1603" t="s">
        <v>2292</v>
      </c>
      <c r="E7455" s="1603" t="s">
        <v>2288</v>
      </c>
      <c r="F7455" s="1603" t="s">
        <v>2287</v>
      </c>
      <c r="G7455" s="1603"/>
      <c r="H7455" s="1604">
        <v>2</v>
      </c>
      <c r="I7455" s="1603"/>
      <c r="J7455" s="1603"/>
      <c r="K7455" s="1606">
        <v>13416.66</v>
      </c>
      <c r="L7455" s="1607"/>
      <c r="M7455" s="1606">
        <v>13416.66</v>
      </c>
      <c r="N7455" s="1606">
        <v>13416.66</v>
      </c>
      <c r="O7455" s="1606">
        <v>12745.83</v>
      </c>
      <c r="P7455" s="1607"/>
      <c r="Q7455" s="1605">
        <v>670.83</v>
      </c>
      <c r="R7455" s="1605">
        <v>670.83</v>
      </c>
      <c r="S7455" s="1608"/>
    </row>
    <row r="7456" spans="2:19" s="1609" customFormat="1" ht="11.25" customHeight="1" outlineLevel="1">
      <c r="B7456" s="1612" t="s">
        <v>2291</v>
      </c>
      <c r="C7456" s="1603" t="s">
        <v>2290</v>
      </c>
      <c r="D7456" s="1603" t="s">
        <v>2289</v>
      </c>
      <c r="E7456" s="1603" t="s">
        <v>2288</v>
      </c>
      <c r="F7456" s="1603" t="s">
        <v>2287</v>
      </c>
      <c r="G7456" s="1603"/>
      <c r="H7456" s="1604">
        <v>2</v>
      </c>
      <c r="I7456" s="1603"/>
      <c r="J7456" s="1603"/>
      <c r="K7456" s="1606">
        <v>13416.67</v>
      </c>
      <c r="L7456" s="1607"/>
      <c r="M7456" s="1606">
        <v>13416.67</v>
      </c>
      <c r="N7456" s="1606">
        <v>13416.67</v>
      </c>
      <c r="O7456" s="1606">
        <v>12745.84</v>
      </c>
      <c r="P7456" s="1607"/>
      <c r="Q7456" s="1605">
        <v>670.83</v>
      </c>
      <c r="R7456" s="1605">
        <v>670.83</v>
      </c>
      <c r="S7456" s="1608"/>
    </row>
    <row r="7457" spans="2:19" s="1609" customFormat="1" ht="11.25" customHeight="1" outlineLevel="1">
      <c r="B7457" s="1612" t="s">
        <v>2286</v>
      </c>
      <c r="C7457" s="1603" t="s">
        <v>2278</v>
      </c>
      <c r="D7457" s="1603" t="s">
        <v>2285</v>
      </c>
      <c r="E7457" s="1603" t="s">
        <v>2266</v>
      </c>
      <c r="F7457" s="1603" t="s">
        <v>2284</v>
      </c>
      <c r="G7457" s="1603"/>
      <c r="H7457" s="1604">
        <v>2</v>
      </c>
      <c r="I7457" s="1610">
        <v>20</v>
      </c>
      <c r="J7457" s="1603"/>
      <c r="K7457" s="1606">
        <v>70309.570000000007</v>
      </c>
      <c r="L7457" s="1607"/>
      <c r="M7457" s="1606">
        <v>70309.570000000007</v>
      </c>
      <c r="N7457" s="1606">
        <v>70309.570000000007</v>
      </c>
      <c r="O7457" s="1606">
        <v>69918.97</v>
      </c>
      <c r="P7457" s="1607"/>
      <c r="Q7457" s="1605">
        <v>390.6</v>
      </c>
      <c r="R7457" s="1605">
        <v>390.6</v>
      </c>
      <c r="S7457" s="1608"/>
    </row>
    <row r="7458" spans="2:19" s="1609" customFormat="1" ht="21.75" customHeight="1" outlineLevel="1">
      <c r="B7458" s="1612" t="s">
        <v>2283</v>
      </c>
      <c r="C7458" s="1603" t="s">
        <v>2278</v>
      </c>
      <c r="D7458" s="1603" t="s">
        <v>2282</v>
      </c>
      <c r="E7458" s="1603" t="s">
        <v>2208</v>
      </c>
      <c r="F7458" s="1603"/>
      <c r="G7458" s="1603"/>
      <c r="H7458" s="1604">
        <v>2</v>
      </c>
      <c r="I7458" s="1613">
        <v>6.89</v>
      </c>
      <c r="J7458" s="1603"/>
      <c r="K7458" s="1606">
        <v>39156.410000000003</v>
      </c>
      <c r="L7458" s="1607"/>
      <c r="M7458" s="1606">
        <v>39156.410000000003</v>
      </c>
      <c r="N7458" s="1606">
        <v>39156.410000000003</v>
      </c>
      <c r="O7458" s="1606">
        <v>38938.870000000003</v>
      </c>
      <c r="P7458" s="1607"/>
      <c r="Q7458" s="1605">
        <v>217.54</v>
      </c>
      <c r="R7458" s="1605">
        <v>217.54</v>
      </c>
      <c r="S7458" s="1608"/>
    </row>
    <row r="7459" spans="2:19" s="1609" customFormat="1" ht="21.75" customHeight="1" outlineLevel="1">
      <c r="B7459" s="1612" t="s">
        <v>2281</v>
      </c>
      <c r="C7459" s="1603" t="s">
        <v>2278</v>
      </c>
      <c r="D7459" s="1603" t="s">
        <v>2280</v>
      </c>
      <c r="E7459" s="1603" t="s">
        <v>2208</v>
      </c>
      <c r="F7459" s="1603"/>
      <c r="G7459" s="1603"/>
      <c r="H7459" s="1604">
        <v>2</v>
      </c>
      <c r="I7459" s="1613">
        <v>50.51</v>
      </c>
      <c r="J7459" s="1603"/>
      <c r="K7459" s="1606">
        <v>502986.01</v>
      </c>
      <c r="L7459" s="1607"/>
      <c r="M7459" s="1606">
        <v>502986.01</v>
      </c>
      <c r="N7459" s="1606">
        <v>502986.01</v>
      </c>
      <c r="O7459" s="1606">
        <v>500191.65</v>
      </c>
      <c r="P7459" s="1607"/>
      <c r="Q7459" s="1606">
        <v>2794.36</v>
      </c>
      <c r="R7459" s="1606">
        <v>2794.36</v>
      </c>
      <c r="S7459" s="1608"/>
    </row>
    <row r="7460" spans="2:19" s="1609" customFormat="1" ht="21.75" customHeight="1" outlineLevel="1">
      <c r="B7460" s="1612" t="s">
        <v>2279</v>
      </c>
      <c r="C7460" s="1603" t="s">
        <v>2278</v>
      </c>
      <c r="D7460" s="1603" t="s">
        <v>2277</v>
      </c>
      <c r="E7460" s="1603" t="s">
        <v>2208</v>
      </c>
      <c r="F7460" s="1603"/>
      <c r="G7460" s="1603" t="s">
        <v>2276</v>
      </c>
      <c r="H7460" s="1604">
        <v>2</v>
      </c>
      <c r="I7460" s="1610">
        <v>27</v>
      </c>
      <c r="J7460" s="1603"/>
      <c r="K7460" s="1606">
        <v>185380.74</v>
      </c>
      <c r="L7460" s="1607"/>
      <c r="M7460" s="1606">
        <v>185380.74</v>
      </c>
      <c r="N7460" s="1606">
        <v>185380.74</v>
      </c>
      <c r="O7460" s="1606">
        <v>184350.84</v>
      </c>
      <c r="P7460" s="1607"/>
      <c r="Q7460" s="1606">
        <v>1029.9000000000001</v>
      </c>
      <c r="R7460" s="1606">
        <v>1029.9000000000001</v>
      </c>
      <c r="S7460" s="1608"/>
    </row>
    <row r="7461" spans="2:19" s="1609" customFormat="1" ht="11.25" customHeight="1" outlineLevel="1">
      <c r="B7461" s="1612" t="s">
        <v>2275</v>
      </c>
      <c r="C7461" s="1603" t="s">
        <v>2268</v>
      </c>
      <c r="D7461" s="1603" t="s">
        <v>2274</v>
      </c>
      <c r="E7461" s="1603" t="s">
        <v>2219</v>
      </c>
      <c r="F7461" s="1603" t="s">
        <v>2271</v>
      </c>
      <c r="G7461" s="1603" t="s">
        <v>2270</v>
      </c>
      <c r="H7461" s="1604">
        <v>2</v>
      </c>
      <c r="I7461" s="1610">
        <v>922</v>
      </c>
      <c r="J7461" s="1603"/>
      <c r="K7461" s="1606">
        <v>6106067.1500000004</v>
      </c>
      <c r="L7461" s="1607"/>
      <c r="M7461" s="1606">
        <v>6106067.1500000004</v>
      </c>
      <c r="N7461" s="1606">
        <v>6106067.1500000004</v>
      </c>
      <c r="O7461" s="1606">
        <v>6094233.6900000004</v>
      </c>
      <c r="P7461" s="1607"/>
      <c r="Q7461" s="1606">
        <v>11833.46</v>
      </c>
      <c r="R7461" s="1606">
        <v>11833.46</v>
      </c>
      <c r="S7461" s="1608"/>
    </row>
    <row r="7462" spans="2:19" s="1609" customFormat="1" ht="21.75" customHeight="1" outlineLevel="1">
      <c r="B7462" s="1612" t="s">
        <v>2273</v>
      </c>
      <c r="C7462" s="1603" t="s">
        <v>2268</v>
      </c>
      <c r="D7462" s="1603" t="s">
        <v>2272</v>
      </c>
      <c r="E7462" s="1603" t="s">
        <v>2219</v>
      </c>
      <c r="F7462" s="1603" t="s">
        <v>2271</v>
      </c>
      <c r="G7462" s="1603" t="s">
        <v>2270</v>
      </c>
      <c r="H7462" s="1604">
        <v>2</v>
      </c>
      <c r="I7462" s="1610">
        <v>1571</v>
      </c>
      <c r="J7462" s="1603"/>
      <c r="K7462" s="1606">
        <v>10404155.630000001</v>
      </c>
      <c r="L7462" s="1607"/>
      <c r="M7462" s="1606">
        <v>10404155.630000001</v>
      </c>
      <c r="N7462" s="1606">
        <v>10404155.630000001</v>
      </c>
      <c r="O7462" s="1606">
        <v>10383512.460000001</v>
      </c>
      <c r="P7462" s="1607"/>
      <c r="Q7462" s="1606">
        <v>20643.169999999998</v>
      </c>
      <c r="R7462" s="1606">
        <v>20643.169999999998</v>
      </c>
      <c r="S7462" s="1608"/>
    </row>
    <row r="7463" spans="2:19" s="1609" customFormat="1" ht="21.75" customHeight="1" outlineLevel="1">
      <c r="B7463" s="1612" t="s">
        <v>2269</v>
      </c>
      <c r="C7463" s="1603" t="s">
        <v>2268</v>
      </c>
      <c r="D7463" s="1603" t="s">
        <v>2267</v>
      </c>
      <c r="E7463" s="1603" t="s">
        <v>2266</v>
      </c>
      <c r="F7463" s="1603" t="s">
        <v>2265</v>
      </c>
      <c r="G7463" s="1603"/>
      <c r="H7463" s="1604">
        <v>2</v>
      </c>
      <c r="I7463" s="1610">
        <v>408</v>
      </c>
      <c r="J7463" s="1603"/>
      <c r="K7463" s="1606">
        <v>996979.27</v>
      </c>
      <c r="L7463" s="1607"/>
      <c r="M7463" s="1606">
        <v>996979.27</v>
      </c>
      <c r="N7463" s="1606">
        <v>996979.27</v>
      </c>
      <c r="O7463" s="1606">
        <v>994209.88</v>
      </c>
      <c r="P7463" s="1607"/>
      <c r="Q7463" s="1606">
        <v>2769.39</v>
      </c>
      <c r="R7463" s="1606">
        <v>2769.39</v>
      </c>
      <c r="S7463" s="1608"/>
    </row>
    <row r="7464" spans="2:19" s="1609" customFormat="1" ht="11.25" customHeight="1" outlineLevel="1">
      <c r="B7464" s="1612" t="s">
        <v>2264</v>
      </c>
      <c r="C7464" s="1603" t="s">
        <v>2226</v>
      </c>
      <c r="D7464" s="1603" t="s">
        <v>2263</v>
      </c>
      <c r="E7464" s="1603" t="s">
        <v>2219</v>
      </c>
      <c r="F7464" s="1603" t="s">
        <v>2241</v>
      </c>
      <c r="G7464" s="1603" t="s">
        <v>2262</v>
      </c>
      <c r="H7464" s="1604">
        <v>2</v>
      </c>
      <c r="I7464" s="1610">
        <v>10</v>
      </c>
      <c r="J7464" s="1603"/>
      <c r="K7464" s="1605">
        <v>449.88</v>
      </c>
      <c r="L7464" s="1607"/>
      <c r="M7464" s="1605">
        <v>449.88</v>
      </c>
      <c r="N7464" s="1605">
        <v>449.88</v>
      </c>
      <c r="O7464" s="1605">
        <v>440.51</v>
      </c>
      <c r="P7464" s="1607"/>
      <c r="Q7464" s="1605">
        <v>9.3699999999999992</v>
      </c>
      <c r="R7464" s="1605">
        <v>9.3699999999999992</v>
      </c>
      <c r="S7464" s="1608"/>
    </row>
    <row r="7465" spans="2:19" s="1609" customFormat="1" ht="11.25" customHeight="1" outlineLevel="1">
      <c r="B7465" s="1612" t="s">
        <v>2261</v>
      </c>
      <c r="C7465" s="1603" t="s">
        <v>2226</v>
      </c>
      <c r="D7465" s="1603" t="s">
        <v>2260</v>
      </c>
      <c r="E7465" s="1603" t="s">
        <v>2219</v>
      </c>
      <c r="F7465" s="1603" t="s">
        <v>2241</v>
      </c>
      <c r="G7465" s="1603" t="s">
        <v>2259</v>
      </c>
      <c r="H7465" s="1604">
        <v>2</v>
      </c>
      <c r="I7465" s="1610">
        <v>26</v>
      </c>
      <c r="J7465" s="1603"/>
      <c r="K7465" s="1606">
        <v>2339.35</v>
      </c>
      <c r="L7465" s="1607"/>
      <c r="M7465" s="1606">
        <v>2339.35</v>
      </c>
      <c r="N7465" s="1606">
        <v>2339.35</v>
      </c>
      <c r="O7465" s="1606">
        <v>2290.61</v>
      </c>
      <c r="P7465" s="1607"/>
      <c r="Q7465" s="1605">
        <v>48.74</v>
      </c>
      <c r="R7465" s="1605">
        <v>48.74</v>
      </c>
      <c r="S7465" s="1608"/>
    </row>
    <row r="7466" spans="2:19" s="1609" customFormat="1" ht="11.25" customHeight="1" outlineLevel="1">
      <c r="B7466" s="1612" t="s">
        <v>2258</v>
      </c>
      <c r="C7466" s="1603" t="s">
        <v>2226</v>
      </c>
      <c r="D7466" s="1603" t="s">
        <v>2257</v>
      </c>
      <c r="E7466" s="1603" t="s">
        <v>2219</v>
      </c>
      <c r="F7466" s="1603" t="s">
        <v>2241</v>
      </c>
      <c r="G7466" s="1603" t="s">
        <v>2256</v>
      </c>
      <c r="H7466" s="1604">
        <v>2</v>
      </c>
      <c r="I7466" s="1610">
        <v>68</v>
      </c>
      <c r="J7466" s="1603"/>
      <c r="K7466" s="1606">
        <v>15295.78</v>
      </c>
      <c r="L7466" s="1607"/>
      <c r="M7466" s="1606">
        <v>15295.78</v>
      </c>
      <c r="N7466" s="1606">
        <v>15295.78</v>
      </c>
      <c r="O7466" s="1606">
        <v>15136.45</v>
      </c>
      <c r="P7466" s="1607"/>
      <c r="Q7466" s="1605">
        <v>159.33000000000001</v>
      </c>
      <c r="R7466" s="1605">
        <v>159.33000000000001</v>
      </c>
      <c r="S7466" s="1608"/>
    </row>
    <row r="7467" spans="2:19" s="1609" customFormat="1" ht="11.25" customHeight="1" outlineLevel="1">
      <c r="B7467" s="1612" t="s">
        <v>2255</v>
      </c>
      <c r="C7467" s="1603" t="s">
        <v>2226</v>
      </c>
      <c r="D7467" s="1603" t="s">
        <v>2254</v>
      </c>
      <c r="E7467" s="1603" t="s">
        <v>2219</v>
      </c>
      <c r="F7467" s="1603" t="s">
        <v>2241</v>
      </c>
      <c r="G7467" s="1603" t="s">
        <v>2253</v>
      </c>
      <c r="H7467" s="1604">
        <v>2</v>
      </c>
      <c r="I7467" s="1610">
        <v>63</v>
      </c>
      <c r="J7467" s="1603"/>
      <c r="K7467" s="1606">
        <v>2834.22</v>
      </c>
      <c r="L7467" s="1607"/>
      <c r="M7467" s="1606">
        <v>2834.22</v>
      </c>
      <c r="N7467" s="1606">
        <v>2834.22</v>
      </c>
      <c r="O7467" s="1606">
        <v>2775.17</v>
      </c>
      <c r="P7467" s="1607"/>
      <c r="Q7467" s="1605">
        <v>59.05</v>
      </c>
      <c r="R7467" s="1605">
        <v>59.05</v>
      </c>
      <c r="S7467" s="1608"/>
    </row>
    <row r="7468" spans="2:19" s="1609" customFormat="1" ht="11.25" customHeight="1" outlineLevel="1">
      <c r="B7468" s="1612" t="s">
        <v>2252</v>
      </c>
      <c r="C7468" s="1603" t="s">
        <v>2226</v>
      </c>
      <c r="D7468" s="1603" t="s">
        <v>2251</v>
      </c>
      <c r="E7468" s="1603" t="s">
        <v>2219</v>
      </c>
      <c r="F7468" s="1603" t="s">
        <v>2241</v>
      </c>
      <c r="G7468" s="1603" t="s">
        <v>2250</v>
      </c>
      <c r="H7468" s="1604">
        <v>2</v>
      </c>
      <c r="I7468" s="1610">
        <v>11</v>
      </c>
      <c r="J7468" s="1603"/>
      <c r="K7468" s="1605">
        <v>989.73</v>
      </c>
      <c r="L7468" s="1607"/>
      <c r="M7468" s="1605">
        <v>989.73</v>
      </c>
      <c r="N7468" s="1605">
        <v>989.73</v>
      </c>
      <c r="O7468" s="1605">
        <v>969.11</v>
      </c>
      <c r="P7468" s="1607"/>
      <c r="Q7468" s="1605">
        <v>20.62</v>
      </c>
      <c r="R7468" s="1605">
        <v>20.62</v>
      </c>
      <c r="S7468" s="1608"/>
    </row>
    <row r="7469" spans="2:19" s="1609" customFormat="1" ht="11.25" customHeight="1" outlineLevel="1">
      <c r="B7469" s="1612" t="s">
        <v>2249</v>
      </c>
      <c r="C7469" s="1603" t="s">
        <v>2226</v>
      </c>
      <c r="D7469" s="1603" t="s">
        <v>2248</v>
      </c>
      <c r="E7469" s="1603" t="s">
        <v>2219</v>
      </c>
      <c r="F7469" s="1603" t="s">
        <v>2241</v>
      </c>
      <c r="G7469" s="1603" t="s">
        <v>2247</v>
      </c>
      <c r="H7469" s="1604">
        <v>2</v>
      </c>
      <c r="I7469" s="1610">
        <v>26</v>
      </c>
      <c r="J7469" s="1603"/>
      <c r="K7469" s="1606">
        <v>1169.68</v>
      </c>
      <c r="L7469" s="1607"/>
      <c r="M7469" s="1606">
        <v>1169.68</v>
      </c>
      <c r="N7469" s="1606">
        <v>1169.68</v>
      </c>
      <c r="O7469" s="1606">
        <v>1145.31</v>
      </c>
      <c r="P7469" s="1607"/>
      <c r="Q7469" s="1605">
        <v>24.37</v>
      </c>
      <c r="R7469" s="1605">
        <v>24.37</v>
      </c>
      <c r="S7469" s="1608"/>
    </row>
    <row r="7470" spans="2:19" s="1609" customFormat="1" ht="21.75" customHeight="1" outlineLevel="1">
      <c r="B7470" s="1612" t="s">
        <v>2246</v>
      </c>
      <c r="C7470" s="1603" t="s">
        <v>2226</v>
      </c>
      <c r="D7470" s="1603" t="s">
        <v>2245</v>
      </c>
      <c r="E7470" s="1603" t="s">
        <v>2219</v>
      </c>
      <c r="F7470" s="1603" t="s">
        <v>2241</v>
      </c>
      <c r="G7470" s="1603" t="s">
        <v>2244</v>
      </c>
      <c r="H7470" s="1604">
        <v>2</v>
      </c>
      <c r="I7470" s="1610">
        <v>182</v>
      </c>
      <c r="J7470" s="1603"/>
      <c r="K7470" s="1606">
        <v>18168.580000000002</v>
      </c>
      <c r="L7470" s="1607"/>
      <c r="M7470" s="1606">
        <v>18168.580000000002</v>
      </c>
      <c r="N7470" s="1606">
        <v>18168.580000000002</v>
      </c>
      <c r="O7470" s="1606">
        <v>17790.07</v>
      </c>
      <c r="P7470" s="1607"/>
      <c r="Q7470" s="1605">
        <v>378.51</v>
      </c>
      <c r="R7470" s="1605">
        <v>378.51</v>
      </c>
      <c r="S7470" s="1608"/>
    </row>
    <row r="7471" spans="2:19" s="1609" customFormat="1" ht="11.25" customHeight="1" outlineLevel="1">
      <c r="B7471" s="1612" t="s">
        <v>2243</v>
      </c>
      <c r="C7471" s="1603" t="s">
        <v>2226</v>
      </c>
      <c r="D7471" s="1603" t="s">
        <v>2242</v>
      </c>
      <c r="E7471" s="1603" t="s">
        <v>2219</v>
      </c>
      <c r="F7471" s="1603" t="s">
        <v>2241</v>
      </c>
      <c r="G7471" s="1603" t="s">
        <v>2240</v>
      </c>
      <c r="H7471" s="1604">
        <v>2</v>
      </c>
      <c r="I7471" s="1610">
        <v>105</v>
      </c>
      <c r="J7471" s="1603"/>
      <c r="K7471" s="1606">
        <v>9447.39</v>
      </c>
      <c r="L7471" s="1607"/>
      <c r="M7471" s="1606">
        <v>9447.39</v>
      </c>
      <c r="N7471" s="1606">
        <v>9447.39</v>
      </c>
      <c r="O7471" s="1606">
        <v>9250.57</v>
      </c>
      <c r="P7471" s="1607"/>
      <c r="Q7471" s="1605">
        <v>196.82</v>
      </c>
      <c r="R7471" s="1605">
        <v>196.82</v>
      </c>
      <c r="S7471" s="1608"/>
    </row>
    <row r="7472" spans="2:19" s="1609" customFormat="1" ht="11.25" customHeight="1" outlineLevel="1">
      <c r="B7472" s="1612" t="s">
        <v>2239</v>
      </c>
      <c r="C7472" s="1603" t="s">
        <v>2226</v>
      </c>
      <c r="D7472" s="1603" t="s">
        <v>2238</v>
      </c>
      <c r="E7472" s="1603" t="s">
        <v>2219</v>
      </c>
      <c r="F7472" s="1603" t="s">
        <v>2224</v>
      </c>
      <c r="G7472" s="1603" t="s">
        <v>2237</v>
      </c>
      <c r="H7472" s="1604">
        <v>2</v>
      </c>
      <c r="I7472" s="1610">
        <v>110</v>
      </c>
      <c r="J7472" s="1603"/>
      <c r="K7472" s="1606">
        <v>14249.04</v>
      </c>
      <c r="L7472" s="1607"/>
      <c r="M7472" s="1606">
        <v>14249.04</v>
      </c>
      <c r="N7472" s="1606">
        <v>14249.04</v>
      </c>
      <c r="O7472" s="1606">
        <v>13952.18</v>
      </c>
      <c r="P7472" s="1607"/>
      <c r="Q7472" s="1605">
        <v>296.86</v>
      </c>
      <c r="R7472" s="1605">
        <v>296.86</v>
      </c>
      <c r="S7472" s="1608"/>
    </row>
    <row r="7473" spans="2:19" s="1609" customFormat="1" ht="11.25" customHeight="1" outlineLevel="1">
      <c r="B7473" s="1612" t="s">
        <v>2236</v>
      </c>
      <c r="C7473" s="1603" t="s">
        <v>2226</v>
      </c>
      <c r="D7473" s="1603" t="s">
        <v>2235</v>
      </c>
      <c r="E7473" s="1603" t="s">
        <v>2219</v>
      </c>
      <c r="F7473" s="1603" t="s">
        <v>2224</v>
      </c>
      <c r="G7473" s="1603" t="s">
        <v>2234</v>
      </c>
      <c r="H7473" s="1604">
        <v>2</v>
      </c>
      <c r="I7473" s="1610">
        <v>90</v>
      </c>
      <c r="J7473" s="1603"/>
      <c r="K7473" s="1606">
        <v>12226.33</v>
      </c>
      <c r="L7473" s="1607"/>
      <c r="M7473" s="1606">
        <v>12226.33</v>
      </c>
      <c r="N7473" s="1606">
        <v>12226.33</v>
      </c>
      <c r="O7473" s="1606">
        <v>11971.61</v>
      </c>
      <c r="P7473" s="1607"/>
      <c r="Q7473" s="1605">
        <v>254.72</v>
      </c>
      <c r="R7473" s="1605">
        <v>254.72</v>
      </c>
      <c r="S7473" s="1608"/>
    </row>
    <row r="7474" spans="2:19" s="1609" customFormat="1" ht="11.25" customHeight="1" outlineLevel="1">
      <c r="B7474" s="1612" t="s">
        <v>2233</v>
      </c>
      <c r="C7474" s="1603" t="s">
        <v>2226</v>
      </c>
      <c r="D7474" s="1603" t="s">
        <v>2232</v>
      </c>
      <c r="E7474" s="1603" t="s">
        <v>2219</v>
      </c>
      <c r="F7474" s="1603" t="s">
        <v>2224</v>
      </c>
      <c r="G7474" s="1603" t="s">
        <v>2231</v>
      </c>
      <c r="H7474" s="1604">
        <v>2</v>
      </c>
      <c r="I7474" s="1610">
        <v>69</v>
      </c>
      <c r="J7474" s="1603"/>
      <c r="K7474" s="1606">
        <v>6208.29</v>
      </c>
      <c r="L7474" s="1607"/>
      <c r="M7474" s="1606">
        <v>6208.29</v>
      </c>
      <c r="N7474" s="1606">
        <v>6208.29</v>
      </c>
      <c r="O7474" s="1606">
        <v>6078.95</v>
      </c>
      <c r="P7474" s="1607"/>
      <c r="Q7474" s="1605">
        <v>129.34</v>
      </c>
      <c r="R7474" s="1605">
        <v>129.34</v>
      </c>
      <c r="S7474" s="1608"/>
    </row>
    <row r="7475" spans="2:19" s="1609" customFormat="1" ht="11.25" customHeight="1" outlineLevel="1">
      <c r="B7475" s="1612" t="s">
        <v>2230</v>
      </c>
      <c r="C7475" s="1603" t="s">
        <v>2226</v>
      </c>
      <c r="D7475" s="1603" t="s">
        <v>2229</v>
      </c>
      <c r="E7475" s="1603" t="s">
        <v>2219</v>
      </c>
      <c r="F7475" s="1603" t="s">
        <v>2224</v>
      </c>
      <c r="G7475" s="1603" t="s">
        <v>2228</v>
      </c>
      <c r="H7475" s="1604">
        <v>2</v>
      </c>
      <c r="I7475" s="1610">
        <v>167</v>
      </c>
      <c r="J7475" s="1603"/>
      <c r="K7475" s="1606">
        <v>30518.95</v>
      </c>
      <c r="L7475" s="1607"/>
      <c r="M7475" s="1606">
        <v>30518.95</v>
      </c>
      <c r="N7475" s="1606">
        <v>30518.95</v>
      </c>
      <c r="O7475" s="1606">
        <v>30010.3</v>
      </c>
      <c r="P7475" s="1607"/>
      <c r="Q7475" s="1605">
        <v>508.65</v>
      </c>
      <c r="R7475" s="1605">
        <v>508.65</v>
      </c>
      <c r="S7475" s="1608"/>
    </row>
    <row r="7476" spans="2:19" s="1609" customFormat="1" ht="11.25" customHeight="1" outlineLevel="1">
      <c r="B7476" s="1612" t="s">
        <v>2227</v>
      </c>
      <c r="C7476" s="1603" t="s">
        <v>2226</v>
      </c>
      <c r="D7476" s="1603" t="s">
        <v>2225</v>
      </c>
      <c r="E7476" s="1603" t="s">
        <v>2219</v>
      </c>
      <c r="F7476" s="1603" t="s">
        <v>2224</v>
      </c>
      <c r="G7476" s="1603" t="s">
        <v>2223</v>
      </c>
      <c r="H7476" s="1604">
        <v>2</v>
      </c>
      <c r="I7476" s="1610">
        <v>68</v>
      </c>
      <c r="J7476" s="1603"/>
      <c r="K7476" s="1606">
        <v>8060.69</v>
      </c>
      <c r="L7476" s="1607"/>
      <c r="M7476" s="1606">
        <v>8060.69</v>
      </c>
      <c r="N7476" s="1606">
        <v>8060.69</v>
      </c>
      <c r="O7476" s="1606">
        <v>7892.76</v>
      </c>
      <c r="P7476" s="1607"/>
      <c r="Q7476" s="1605">
        <v>167.93</v>
      </c>
      <c r="R7476" s="1605">
        <v>167.93</v>
      </c>
      <c r="S7476" s="1608"/>
    </row>
    <row r="7477" spans="2:19" s="1609" customFormat="1" ht="21.75" customHeight="1" outlineLevel="1">
      <c r="B7477" s="1612" t="s">
        <v>2222</v>
      </c>
      <c r="C7477" s="1603" t="s">
        <v>2221</v>
      </c>
      <c r="D7477" s="1603" t="s">
        <v>2220</v>
      </c>
      <c r="E7477" s="1603" t="s">
        <v>2219</v>
      </c>
      <c r="F7477" s="1603" t="s">
        <v>2218</v>
      </c>
      <c r="G7477" s="1603" t="s">
        <v>2217</v>
      </c>
      <c r="H7477" s="1604">
        <v>2</v>
      </c>
      <c r="I7477" s="1610">
        <v>2864</v>
      </c>
      <c r="J7477" s="1603"/>
      <c r="K7477" s="1606">
        <v>548800.52</v>
      </c>
      <c r="L7477" s="1607"/>
      <c r="M7477" s="1606">
        <v>548800.52</v>
      </c>
      <c r="N7477" s="1606">
        <v>548800.52</v>
      </c>
      <c r="O7477" s="1606">
        <v>548800.52</v>
      </c>
      <c r="P7477" s="1607"/>
      <c r="Q7477" s="1607"/>
      <c r="R7477" s="1607"/>
      <c r="S7477" s="1608"/>
    </row>
    <row r="7478" spans="2:19" s="1609" customFormat="1" ht="21.75" customHeight="1" outlineLevel="1">
      <c r="B7478" s="1612" t="s">
        <v>2216</v>
      </c>
      <c r="C7478" s="1603" t="s">
        <v>2210</v>
      </c>
      <c r="D7478" s="1603" t="s">
        <v>2215</v>
      </c>
      <c r="E7478" s="1603" t="s">
        <v>2214</v>
      </c>
      <c r="F7478" s="1603"/>
      <c r="G7478" s="1603"/>
      <c r="H7478" s="1604">
        <v>2</v>
      </c>
      <c r="I7478" s="1611">
        <v>16.5</v>
      </c>
      <c r="J7478" s="1603"/>
      <c r="K7478" s="1606">
        <v>37798.199999999997</v>
      </c>
      <c r="L7478" s="1607"/>
      <c r="M7478" s="1606">
        <v>37798.199999999997</v>
      </c>
      <c r="N7478" s="1606">
        <v>37798.199999999997</v>
      </c>
      <c r="O7478" s="1606">
        <v>37798.199999999997</v>
      </c>
      <c r="P7478" s="1607"/>
      <c r="Q7478" s="1607"/>
      <c r="R7478" s="1607"/>
      <c r="S7478" s="1608"/>
    </row>
    <row r="7479" spans="2:19" s="1609" customFormat="1" ht="21.75" customHeight="1" outlineLevel="1">
      <c r="B7479" s="1612" t="s">
        <v>2213</v>
      </c>
      <c r="C7479" s="1603" t="s">
        <v>2210</v>
      </c>
      <c r="D7479" s="1603" t="s">
        <v>2212</v>
      </c>
      <c r="E7479" s="1603" t="s">
        <v>2208</v>
      </c>
      <c r="F7479" s="1603"/>
      <c r="G7479" s="1603"/>
      <c r="H7479" s="1604">
        <v>2</v>
      </c>
      <c r="I7479" s="1613">
        <v>9.44</v>
      </c>
      <c r="J7479" s="1603"/>
      <c r="K7479" s="1606">
        <v>159421.76000000001</v>
      </c>
      <c r="L7479" s="1607"/>
      <c r="M7479" s="1606">
        <v>159421.76000000001</v>
      </c>
      <c r="N7479" s="1606">
        <v>159421.76000000001</v>
      </c>
      <c r="O7479" s="1606">
        <v>159421.76000000001</v>
      </c>
      <c r="P7479" s="1607"/>
      <c r="Q7479" s="1607"/>
      <c r="R7479" s="1607"/>
      <c r="S7479" s="1608"/>
    </row>
    <row r="7480" spans="2:19" s="1609" customFormat="1" ht="21.75" customHeight="1" outlineLevel="1">
      <c r="B7480" s="1612" t="s">
        <v>2211</v>
      </c>
      <c r="C7480" s="1603" t="s">
        <v>2210</v>
      </c>
      <c r="D7480" s="1603" t="s">
        <v>2209</v>
      </c>
      <c r="E7480" s="1603" t="s">
        <v>2208</v>
      </c>
      <c r="F7480" s="1603"/>
      <c r="G7480" s="1603"/>
      <c r="H7480" s="1604">
        <v>2</v>
      </c>
      <c r="I7480" s="1613">
        <v>220.94</v>
      </c>
      <c r="J7480" s="1603"/>
      <c r="K7480" s="1606">
        <v>389082.13</v>
      </c>
      <c r="L7480" s="1607"/>
      <c r="M7480" s="1606">
        <v>389082.13</v>
      </c>
      <c r="N7480" s="1606">
        <v>389082.13</v>
      </c>
      <c r="O7480" s="1606">
        <v>389082.13</v>
      </c>
      <c r="P7480" s="1607"/>
      <c r="Q7480" s="1607"/>
      <c r="R7480" s="1607"/>
      <c r="S7480" s="1608"/>
    </row>
    <row r="7481" spans="2:19" ht="22.5">
      <c r="B7481" s="1706" t="s">
        <v>14865</v>
      </c>
      <c r="C7481" s="1706" t="s">
        <v>14866</v>
      </c>
      <c r="D7481" s="1706" t="s">
        <v>14867</v>
      </c>
      <c r="E7481" s="1706" t="s">
        <v>2219</v>
      </c>
      <c r="F7481" s="1706"/>
      <c r="G7481" s="1706" t="s">
        <v>14868</v>
      </c>
      <c r="H7481" s="1707">
        <v>1</v>
      </c>
      <c r="I7481" s="1708">
        <v>2275</v>
      </c>
      <c r="J7481" s="1706"/>
      <c r="K7481" s="1709">
        <v>265017.58</v>
      </c>
      <c r="L7481" s="1709">
        <v>265017.58</v>
      </c>
      <c r="M7481" s="1710"/>
      <c r="N7481" s="1709">
        <v>265017.58</v>
      </c>
      <c r="O7481" s="1709">
        <v>194294.2</v>
      </c>
      <c r="P7481" s="1709">
        <v>61397.22</v>
      </c>
      <c r="Q7481" s="1709">
        <v>9326.16</v>
      </c>
      <c r="R7481" s="1709">
        <v>70723.38</v>
      </c>
      <c r="S7481" s="1562"/>
    </row>
    <row r="7482" spans="2:19">
      <c r="B7482" s="1708">
        <v>39063</v>
      </c>
      <c r="C7482" s="1706" t="s">
        <v>3630</v>
      </c>
      <c r="D7482" s="1706" t="s">
        <v>14869</v>
      </c>
      <c r="E7482" s="1706"/>
      <c r="F7482" s="1706"/>
      <c r="G7482" s="1706" t="s">
        <v>14870</v>
      </c>
      <c r="H7482" s="1707">
        <v>1</v>
      </c>
      <c r="I7482" s="1706"/>
      <c r="J7482" s="1706"/>
      <c r="K7482" s="1709">
        <v>336311</v>
      </c>
      <c r="L7482" s="1709">
        <v>336311</v>
      </c>
      <c r="M7482" s="1710"/>
      <c r="N7482" s="1709">
        <v>336311</v>
      </c>
      <c r="O7482" s="1709">
        <v>149720.21</v>
      </c>
      <c r="P7482" s="1709">
        <v>173183.05</v>
      </c>
      <c r="Q7482" s="1709">
        <v>13407.74</v>
      </c>
      <c r="R7482" s="1709">
        <v>186590.79</v>
      </c>
      <c r="S7482" s="1562"/>
    </row>
    <row r="7483" spans="2:19" ht="11.25" customHeight="1">
      <c r="B7483" s="3428" t="s">
        <v>2207</v>
      </c>
      <c r="C7483" s="3428"/>
      <c r="D7483" s="3428"/>
      <c r="E7483" s="3428"/>
      <c r="F7483" s="3428"/>
      <c r="G7483" s="3428"/>
      <c r="H7483" s="3428"/>
      <c r="I7483" s="3428"/>
      <c r="J7483" s="3428"/>
      <c r="K7483" s="1563">
        <f>K12+K30+K154+K174+K222+K228+K754+K842+K946+K1013+K1520+K1565+K1933+K2256+K2528+K2962+K5935+K7481+K7482</f>
        <v>2282795641.7800002</v>
      </c>
      <c r="L7483" s="1563">
        <f t="shared" ref="L7483:R7483" si="0">L12+L30+L154+L174+L222+L228+L754+L842+L946+L1013+L1520+L1565+L1933+L2256+L2528+L2962+L5935+L7481+L7482</f>
        <v>2370579625.21</v>
      </c>
      <c r="M7483" s="1563">
        <f t="shared" si="0"/>
        <v>474538674.53999996</v>
      </c>
      <c r="N7483" s="1563">
        <f t="shared" si="0"/>
        <v>2845118299.75</v>
      </c>
      <c r="O7483" s="1563">
        <f t="shared" si="0"/>
        <v>1941376735.97</v>
      </c>
      <c r="P7483" s="1563">
        <f t="shared" si="0"/>
        <v>781790450.43999994</v>
      </c>
      <c r="Q7483" s="1563">
        <f t="shared" si="0"/>
        <v>121951113.33999999</v>
      </c>
      <c r="R7483" s="1563">
        <f t="shared" si="0"/>
        <v>903741563.77999985</v>
      </c>
      <c r="S7483" s="1562"/>
    </row>
    <row r="7484" spans="2:19">
      <c r="S7484" s="1562"/>
    </row>
    <row r="7485" spans="2:19">
      <c r="S7485" s="1562"/>
    </row>
    <row r="7486" spans="2:19" s="1662" customFormat="1">
      <c r="G7486" s="1913" t="s">
        <v>22</v>
      </c>
      <c r="H7486" s="1913">
        <v>1</v>
      </c>
      <c r="I7486" s="1913"/>
      <c r="J7486" s="1913"/>
      <c r="K7486" s="1916">
        <f>K12+K30+K154+K222+K228+K754+K842+K946+K1520+K1933+K2256+K2528+K2962+K7481+K7482</f>
        <v>1482672145.96</v>
      </c>
      <c r="L7486" s="1916">
        <f t="shared" ref="L7486:R7486" si="1">L12+L30+L154+L222+L228+L754+L842+L946+L1520+L1933+L2256+L2528+L2962+L7481+L7482</f>
        <v>1456950468.49</v>
      </c>
      <c r="M7486" s="1916">
        <f t="shared" si="1"/>
        <v>333569152.85999995</v>
      </c>
      <c r="N7486" s="1916">
        <f t="shared" si="1"/>
        <v>1790519621.3499999</v>
      </c>
      <c r="O7486" s="1916">
        <f t="shared" si="1"/>
        <v>1319726328.98</v>
      </c>
      <c r="P7486" s="1916">
        <f t="shared" si="1"/>
        <v>421518527.99000007</v>
      </c>
      <c r="Q7486" s="1916">
        <f t="shared" si="1"/>
        <v>49274764.380000003</v>
      </c>
      <c r="R7486" s="1916">
        <f t="shared" si="1"/>
        <v>470793292.37</v>
      </c>
      <c r="S7486" s="1915">
        <f>R7486/N7486</f>
        <v>0.26293668427662104</v>
      </c>
    </row>
    <row r="7487" spans="2:19" s="1917" customFormat="1">
      <c r="G7487" s="1918" t="s">
        <v>23</v>
      </c>
      <c r="H7487" s="1918">
        <v>2</v>
      </c>
      <c r="I7487" s="1918"/>
      <c r="J7487" s="1918"/>
      <c r="K7487" s="1919">
        <f>K174+K1013+K1565+K5935</f>
        <v>800123495.81999993</v>
      </c>
      <c r="L7487" s="1919">
        <f t="shared" ref="L7487:R7487" si="2">L174+L1013+L1565+L5935</f>
        <v>913629156.72000003</v>
      </c>
      <c r="M7487" s="1919">
        <f t="shared" si="2"/>
        <v>140969521.68000001</v>
      </c>
      <c r="N7487" s="1919">
        <f>N174+N1013+N1565+N5935</f>
        <v>1054598678.4000001</v>
      </c>
      <c r="O7487" s="1919">
        <f t="shared" si="2"/>
        <v>621650406.99000001</v>
      </c>
      <c r="P7487" s="1919">
        <f t="shared" si="2"/>
        <v>360271922.44999999</v>
      </c>
      <c r="Q7487" s="1919">
        <f t="shared" si="2"/>
        <v>72676348.960000008</v>
      </c>
      <c r="R7487" s="1919">
        <f t="shared" si="2"/>
        <v>432948271.41000003</v>
      </c>
      <c r="S7487" s="1920">
        <f>R7487/N7487</f>
        <v>0.41053367529992912</v>
      </c>
    </row>
    <row r="7489" spans="2:19">
      <c r="B7489" s="1557">
        <v>0</v>
      </c>
      <c r="D7489" s="1560" t="s">
        <v>2206</v>
      </c>
      <c r="E7489" s="1560"/>
      <c r="F7489" s="1560"/>
      <c r="G7489" s="1560"/>
      <c r="H7489" s="1560"/>
      <c r="I7489" s="1560"/>
      <c r="J7489" s="1560"/>
      <c r="K7489" s="1561">
        <f t="shared" ref="K7489:R7489" si="3">K12+K154+K174+K946</f>
        <v>7255066.4700000007</v>
      </c>
      <c r="L7489" s="1561">
        <f t="shared" si="3"/>
        <v>6959264.9700000007</v>
      </c>
      <c r="M7489" s="1561">
        <f t="shared" si="3"/>
        <v>-2186239.87</v>
      </c>
      <c r="N7489" s="1561">
        <f t="shared" si="3"/>
        <v>4773025.0999999996</v>
      </c>
      <c r="O7489" s="1561">
        <f t="shared" si="3"/>
        <v>1581391.2000000002</v>
      </c>
      <c r="P7489" s="1561">
        <f t="shared" si="3"/>
        <v>4215256.5</v>
      </c>
      <c r="Q7489" s="1561">
        <f t="shared" si="3"/>
        <v>-1023622.6000000001</v>
      </c>
      <c r="R7489" s="1561">
        <f t="shared" si="3"/>
        <v>3191633.9</v>
      </c>
      <c r="S7489" s="1558">
        <f t="shared" ref="S7489:S7495" si="4">R7489/N7489</f>
        <v>0.66868156632991516</v>
      </c>
    </row>
    <row r="7490" spans="2:19">
      <c r="D7490" s="1560" t="s">
        <v>2205</v>
      </c>
      <c r="E7490" s="1560"/>
      <c r="F7490" s="1560"/>
      <c r="G7490" s="1560"/>
      <c r="H7490" s="1560"/>
      <c r="I7490" s="1560"/>
      <c r="J7490" s="1560"/>
      <c r="K7490" s="1561">
        <f t="shared" ref="K7490:R7490" si="5">K2256</f>
        <v>36656525.170000002</v>
      </c>
      <c r="L7490" s="1561">
        <f t="shared" si="5"/>
        <v>9571791.6699999999</v>
      </c>
      <c r="M7490" s="1561">
        <f t="shared" si="5"/>
        <v>26950066.829999998</v>
      </c>
      <c r="N7490" s="1561">
        <f t="shared" si="5"/>
        <v>36521858.5</v>
      </c>
      <c r="O7490" s="1561">
        <f t="shared" si="5"/>
        <v>31489013.309999999</v>
      </c>
      <c r="P7490" s="1561">
        <f t="shared" si="5"/>
        <v>1147939.55</v>
      </c>
      <c r="Q7490" s="1561">
        <f t="shared" si="5"/>
        <v>3884905.64</v>
      </c>
      <c r="R7490" s="1561">
        <f t="shared" si="5"/>
        <v>5032845.1900000004</v>
      </c>
      <c r="S7490" s="1558">
        <f t="shared" si="4"/>
        <v>0.13780364408344664</v>
      </c>
    </row>
    <row r="7491" spans="2:19" s="1662" customFormat="1">
      <c r="B7491" s="1662">
        <v>1</v>
      </c>
      <c r="D7491" s="1913" t="s">
        <v>2204</v>
      </c>
      <c r="E7491" s="1913"/>
      <c r="F7491" s="1913"/>
      <c r="G7491" s="1913"/>
      <c r="H7491" s="1913"/>
      <c r="I7491" s="1913"/>
      <c r="J7491" s="1913"/>
      <c r="K7491" s="1916">
        <f t="shared" ref="K7491:R7491" si="6">K30+K222+K228+K754+K842+K1520+K1933+K2528</f>
        <v>786079287.28999996</v>
      </c>
      <c r="L7491" s="1916">
        <f t="shared" si="6"/>
        <v>514807547.99000001</v>
      </c>
      <c r="M7491" s="1916">
        <f>M30+M222+M228+M754+M842+M1520+M1933+M2528</f>
        <v>202692404.81999999</v>
      </c>
      <c r="N7491" s="1916">
        <f t="shared" si="6"/>
        <v>717499952.81000006</v>
      </c>
      <c r="O7491" s="1916">
        <f t="shared" si="6"/>
        <v>499053606.94</v>
      </c>
      <c r="P7491" s="1916">
        <f t="shared" si="6"/>
        <v>208162149.81999999</v>
      </c>
      <c r="Q7491" s="1916">
        <f t="shared" si="6"/>
        <v>10284196.050000001</v>
      </c>
      <c r="R7491" s="1916">
        <f t="shared" si="6"/>
        <v>218446345.87</v>
      </c>
      <c r="S7491" s="1915">
        <f>R7491/N7491</f>
        <v>0.30445485747348394</v>
      </c>
    </row>
    <row r="7492" spans="2:19" s="1662" customFormat="1">
      <c r="B7492" s="1662">
        <v>2</v>
      </c>
      <c r="D7492" s="1913" t="s">
        <v>2203</v>
      </c>
      <c r="E7492" s="1913"/>
      <c r="F7492" s="1913"/>
      <c r="G7492" s="1913"/>
      <c r="H7492" s="1913"/>
      <c r="I7492" s="1913"/>
      <c r="J7492" s="1913"/>
      <c r="K7492" s="1914">
        <f>K2962+K7481+K7482</f>
        <v>654232320.83000004</v>
      </c>
      <c r="L7492" s="1914">
        <f t="shared" ref="L7492:R7492" si="7">L2962+L7481+L7482</f>
        <v>927162577.16000009</v>
      </c>
      <c r="M7492" s="1914">
        <f>M2962+M7481+M7482</f>
        <v>105322447.56999999</v>
      </c>
      <c r="N7492" s="1914">
        <f t="shared" si="7"/>
        <v>1032485024.73</v>
      </c>
      <c r="O7492" s="1914">
        <f t="shared" si="7"/>
        <v>787801560.79000008</v>
      </c>
      <c r="P7492" s="1914">
        <f t="shared" si="7"/>
        <v>208869840.69</v>
      </c>
      <c r="Q7492" s="1914">
        <f t="shared" si="7"/>
        <v>35813623.25</v>
      </c>
      <c r="R7492" s="1914">
        <f t="shared" si="7"/>
        <v>244683463.94</v>
      </c>
      <c r="S7492" s="1915">
        <f>R7492/N7492</f>
        <v>0.23698500034321171</v>
      </c>
    </row>
    <row r="7493" spans="2:19" s="1917" customFormat="1">
      <c r="B7493" s="1917">
        <v>3</v>
      </c>
      <c r="D7493" s="1918" t="s">
        <v>2202</v>
      </c>
      <c r="E7493" s="1918"/>
      <c r="F7493" s="1918"/>
      <c r="G7493" s="1918"/>
      <c r="H7493" s="1918"/>
      <c r="I7493" s="1918"/>
      <c r="J7493" s="1918"/>
      <c r="K7493" s="1919">
        <f t="shared" ref="K7493:R7493" si="8">K1013+K1565</f>
        <v>386589460.19</v>
      </c>
      <c r="L7493" s="1919">
        <f t="shared" si="8"/>
        <v>376410623.62</v>
      </c>
      <c r="M7493" s="1919">
        <f t="shared" si="8"/>
        <v>48377522.530000001</v>
      </c>
      <c r="N7493" s="1919">
        <f t="shared" si="8"/>
        <v>424788146.14999998</v>
      </c>
      <c r="O7493" s="1919">
        <f t="shared" si="8"/>
        <v>194546543.50999999</v>
      </c>
      <c r="P7493" s="1919">
        <f t="shared" si="8"/>
        <v>187196124.74000001</v>
      </c>
      <c r="Q7493" s="1919">
        <f t="shared" si="8"/>
        <v>43045477.899999999</v>
      </c>
      <c r="R7493" s="1919">
        <f t="shared" si="8"/>
        <v>230241602.63999999</v>
      </c>
      <c r="S7493" s="1920">
        <f t="shared" si="4"/>
        <v>0.54201513089938658</v>
      </c>
    </row>
    <row r="7494" spans="2:19" s="1917" customFormat="1">
      <c r="B7494" s="1917">
        <v>4</v>
      </c>
      <c r="D7494" s="1918" t="s">
        <v>2201</v>
      </c>
      <c r="E7494" s="1918"/>
      <c r="F7494" s="1918"/>
      <c r="G7494" s="1918"/>
      <c r="H7494" s="1918"/>
      <c r="I7494" s="1918"/>
      <c r="J7494" s="1918"/>
      <c r="K7494" s="1921">
        <f t="shared" ref="K7494:R7494" si="9">K5935</f>
        <v>411982981.82999998</v>
      </c>
      <c r="L7494" s="1921">
        <f t="shared" si="9"/>
        <v>535667819.80000001</v>
      </c>
      <c r="M7494" s="1921">
        <f t="shared" si="9"/>
        <v>93382472.659999996</v>
      </c>
      <c r="N7494" s="1921">
        <f t="shared" si="9"/>
        <v>629050292.46000004</v>
      </c>
      <c r="O7494" s="1921">
        <f t="shared" si="9"/>
        <v>426904620.22000003</v>
      </c>
      <c r="P7494" s="1921">
        <f t="shared" si="9"/>
        <v>172199139.13999999</v>
      </c>
      <c r="Q7494" s="1921">
        <f t="shared" si="9"/>
        <v>29946533.100000001</v>
      </c>
      <c r="R7494" s="1921">
        <f t="shared" si="9"/>
        <v>202145672.24000001</v>
      </c>
      <c r="S7494" s="1920">
        <f t="shared" si="4"/>
        <v>0.32135057349624241</v>
      </c>
    </row>
    <row r="7495" spans="2:19">
      <c r="D7495" s="1560"/>
      <c r="E7495" s="1560"/>
      <c r="F7495" s="1560"/>
      <c r="G7495" s="1560"/>
      <c r="H7495" s="1560"/>
      <c r="I7495" s="1560"/>
      <c r="J7495" s="1560"/>
      <c r="K7495" s="1559">
        <f>K7491+K7492+K7493+K7494+K7489+K7490</f>
        <v>2282795641.7799997</v>
      </c>
      <c r="L7495" s="1559">
        <f t="shared" ref="L7495:R7495" si="10">L7491+L7492+L7493+L7494+L7489+L7490</f>
        <v>2370579625.21</v>
      </c>
      <c r="M7495" s="1559">
        <f t="shared" si="10"/>
        <v>474538674.5399999</v>
      </c>
      <c r="N7495" s="1559">
        <f t="shared" si="10"/>
        <v>2845118299.75</v>
      </c>
      <c r="O7495" s="1559">
        <f t="shared" si="10"/>
        <v>1941376735.97</v>
      </c>
      <c r="P7495" s="1559">
        <f t="shared" si="10"/>
        <v>781790450.43999994</v>
      </c>
      <c r="Q7495" s="1559">
        <f t="shared" si="10"/>
        <v>121951113.33999999</v>
      </c>
      <c r="R7495" s="1559">
        <f t="shared" si="10"/>
        <v>903741563.78000009</v>
      </c>
      <c r="S7495" s="1558">
        <f t="shared" si="4"/>
        <v>0.31764639236948838</v>
      </c>
    </row>
    <row r="7497" spans="2:19">
      <c r="B7497" s="1609"/>
      <c r="C7497" s="1609"/>
      <c r="D7497" s="1609"/>
    </row>
    <row r="7498" spans="2:19">
      <c r="B7498" s="1609"/>
      <c r="C7498" s="1948"/>
      <c r="D7498" s="1949"/>
      <c r="E7498" s="1620"/>
      <c r="F7498" s="1633"/>
    </row>
    <row r="7499" spans="2:19">
      <c r="B7499" s="1609"/>
      <c r="C7499" s="1948"/>
      <c r="D7499" s="1949"/>
      <c r="E7499" s="1620"/>
      <c r="F7499" s="1633"/>
    </row>
    <row r="7500" spans="2:19">
      <c r="B7500" s="1609"/>
      <c r="C7500" s="1948"/>
      <c r="D7500" s="1949"/>
      <c r="E7500" s="1620"/>
      <c r="F7500" s="1633"/>
    </row>
    <row r="7501" spans="2:19">
      <c r="B7501" s="1609"/>
      <c r="C7501" s="1948"/>
      <c r="D7501" s="1949"/>
      <c r="E7501" s="1620"/>
      <c r="F7501" s="1633"/>
      <c r="G7501" s="1620"/>
    </row>
    <row r="7502" spans="2:19">
      <c r="B7502" s="1609"/>
      <c r="C7502" s="1948"/>
      <c r="D7502" s="1949"/>
      <c r="E7502" s="1620"/>
      <c r="F7502" s="1633"/>
    </row>
    <row r="7503" spans="2:19">
      <c r="B7503" s="1609"/>
      <c r="C7503" s="1948"/>
      <c r="D7503" s="1949"/>
      <c r="E7503" s="1620"/>
      <c r="F7503" s="1633"/>
    </row>
    <row r="7504" spans="2:19">
      <c r="B7504" s="1609"/>
      <c r="C7504" s="1948"/>
      <c r="D7504" s="1949"/>
      <c r="E7504" s="1620"/>
      <c r="F7504" s="1633"/>
      <c r="O7504" s="1620"/>
    </row>
    <row r="7505" spans="2:16">
      <c r="B7505" s="1609"/>
      <c r="C7505" s="1948"/>
      <c r="D7505" s="1609"/>
      <c r="E7505" s="1620"/>
      <c r="F7505" s="1633"/>
      <c r="P7505" s="1620"/>
    </row>
    <row r="7506" spans="2:16">
      <c r="B7506" s="1609"/>
      <c r="C7506" s="1609"/>
      <c r="D7506" s="1609"/>
      <c r="F7506" s="1633"/>
    </row>
    <row r="7507" spans="2:16">
      <c r="B7507" s="1609"/>
      <c r="C7507" s="1948"/>
      <c r="D7507" s="1948"/>
      <c r="E7507" s="1620"/>
      <c r="F7507" s="1633"/>
    </row>
    <row r="7508" spans="2:16">
      <c r="B7508" s="1609"/>
      <c r="C7508" s="1948"/>
      <c r="D7508" s="1948"/>
      <c r="E7508" s="1620"/>
      <c r="F7508" s="1633"/>
    </row>
    <row r="7509" spans="2:16">
      <c r="B7509" s="1609"/>
      <c r="C7509" s="1948"/>
      <c r="D7509" s="1948"/>
      <c r="E7509" s="1620"/>
      <c r="F7509" s="1633"/>
    </row>
    <row r="7510" spans="2:16">
      <c r="B7510" s="1609"/>
      <c r="C7510" s="1948"/>
      <c r="D7510" s="1948"/>
      <c r="E7510" s="1620"/>
      <c r="F7510" s="1633"/>
    </row>
    <row r="7511" spans="2:16">
      <c r="B7511" s="1609"/>
      <c r="C7511" s="1948"/>
      <c r="D7511" s="1948"/>
      <c r="E7511" s="1620"/>
      <c r="F7511" s="1633"/>
    </row>
    <row r="7512" spans="2:16">
      <c r="B7512" s="1609"/>
      <c r="C7512" s="1948"/>
      <c r="D7512" s="1948"/>
      <c r="E7512" s="1620"/>
      <c r="F7512" s="1633"/>
    </row>
    <row r="7513" spans="2:16">
      <c r="B7513" s="1609"/>
      <c r="C7513" s="1948"/>
      <c r="D7513" s="1948"/>
      <c r="E7513" s="1620"/>
      <c r="F7513" s="1633"/>
    </row>
    <row r="7514" spans="2:16">
      <c r="B7514" s="1609"/>
      <c r="C7514" s="1948"/>
      <c r="D7514" s="1609"/>
    </row>
    <row r="7515" spans="2:16">
      <c r="C7515" s="1620"/>
      <c r="D7515" s="1620"/>
      <c r="E7515" s="1620"/>
    </row>
    <row r="7516" spans="2:16">
      <c r="C7516" s="1620"/>
      <c r="D7516" s="1620"/>
    </row>
    <row r="7520" spans="2:16">
      <c r="C7520" s="1620"/>
    </row>
  </sheetData>
  <autoFilter ref="D1:D7520"/>
  <mergeCells count="5">
    <mergeCell ref="B5:D5"/>
    <mergeCell ref="B6:E6"/>
    <mergeCell ref="K9:O9"/>
    <mergeCell ref="P9:R9"/>
    <mergeCell ref="B7483:J748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53</vt:i4>
      </vt:variant>
    </vt:vector>
  </HeadingPairs>
  <TitlesOfParts>
    <vt:vector size="96" baseType="lpstr">
      <vt:lpstr>2024 Калуга+область транспортир</vt:lpstr>
      <vt:lpstr>2024 Калуга+область перекачка</vt:lpstr>
      <vt:lpstr>2024 Калуга+область очистка</vt:lpstr>
      <vt:lpstr>к Пояснительной</vt:lpstr>
      <vt:lpstr>объемы Калуга ГРАБЦЕВО</vt:lpstr>
      <vt:lpstr>Населенные пункты_тариф_last</vt:lpstr>
      <vt:lpstr>Населенные пункты_тариф</vt:lpstr>
      <vt:lpstr>Амортизация</vt:lpstr>
      <vt:lpstr>Износ</vt:lpstr>
      <vt:lpstr>Мероприятия_и_источники</vt:lpstr>
      <vt:lpstr>Ист-ки_в_текст</vt:lpstr>
      <vt:lpstr>расчет_тарифа_В_</vt:lpstr>
      <vt:lpstr>расчет_тарифа_К_</vt:lpstr>
      <vt:lpstr>НВВ_очистка+трансп-ка_</vt:lpstr>
      <vt:lpstr>НВВ_очистка_</vt:lpstr>
      <vt:lpstr>Прил.1 Перечень по подключению</vt:lpstr>
      <vt:lpstr>Пр.3 Мероп по строительству</vt:lpstr>
      <vt:lpstr>Реконструкция ВОДА</vt:lpstr>
      <vt:lpstr>Реконструкция КАНАЛ</vt:lpstr>
      <vt:lpstr>Строительство</vt:lpstr>
      <vt:lpstr>Пр.4 Мероприятия по ГО и ЧС</vt:lpstr>
      <vt:lpstr>Пр 5.Мер-я по кап.влож.в ОС </vt:lpstr>
      <vt:lpstr>Заявители до 40 куб.Калуга</vt:lpstr>
      <vt:lpstr>Старт</vt:lpstr>
      <vt:lpstr>Водоприбор</vt:lpstr>
      <vt:lpstr>Минскстрой_Малиновка-2</vt:lpstr>
      <vt:lpstr>Белорус.дом</vt:lpstr>
      <vt:lpstr>УКС_Онкоцентр</vt:lpstr>
      <vt:lpstr>ЗАО СК Правый берег, квартал №5</vt:lpstr>
      <vt:lpstr>АО_ЦентрСпецСтрой</vt:lpstr>
      <vt:lpstr>ИП_Грабцево_К</vt:lpstr>
      <vt:lpstr>ИП Грабцево_В</vt:lpstr>
      <vt:lpstr>КалугаЭлитДевелопмент</vt:lpstr>
      <vt:lpstr>ООО «Минскстройэкспорт»Драйвер</vt:lpstr>
      <vt:lpstr>КОШЕЛЕВ</vt:lpstr>
      <vt:lpstr>Комета</vt:lpstr>
      <vt:lpstr>УКС_ПОЛИКЛИНИКА</vt:lpstr>
      <vt:lpstr>Прошкола</vt:lpstr>
      <vt:lpstr>Калугагазстрой ул. Ермоловская</vt:lpstr>
      <vt:lpstr>Азимут</vt:lpstr>
      <vt:lpstr>КОШЕЛЕВ_НОВОЕ</vt:lpstr>
      <vt:lpstr>Лидер_Бетон</vt:lpstr>
      <vt:lpstr>Уайт Групп</vt:lpstr>
      <vt:lpstr>Мероприятия_и_источники!OLE_LINK1</vt:lpstr>
      <vt:lpstr>'2024 Калуга+область очистка'!Заголовки_для_печати</vt:lpstr>
      <vt:lpstr>'2024 Калуга+область перекачка'!Заголовки_для_печати</vt:lpstr>
      <vt:lpstr>'2024 Калуга+область транспортир'!Заголовки_для_печати</vt:lpstr>
      <vt:lpstr>Мероприятия_и_источники!Заголовки_для_печати</vt:lpstr>
      <vt:lpstr>'Населенные пункты_тариф'!Заголовки_для_печати</vt:lpstr>
      <vt:lpstr>'Населенные пункты_тариф_last'!Заголовки_для_печати</vt:lpstr>
      <vt:lpstr>НВВ_очистка_!Заголовки_для_печати</vt:lpstr>
      <vt:lpstr>'НВВ_очистка+трансп-ка_'!Заголовки_для_печати</vt:lpstr>
      <vt:lpstr>'Пр.3 Мероп по строительству'!Заголовки_для_печати</vt:lpstr>
      <vt:lpstr>расчет_тарифа_В_!Заголовки_для_печати</vt:lpstr>
      <vt:lpstr>расчет_тарифа_К_!Заголовки_для_печати</vt:lpstr>
      <vt:lpstr>'2024 Калуга+область очистка'!Область_печати</vt:lpstr>
      <vt:lpstr>'2024 Калуга+область перекачка'!Область_печати</vt:lpstr>
      <vt:lpstr>'2024 Калуга+область транспортир'!Область_печати</vt:lpstr>
      <vt:lpstr>Азимут!Область_печати</vt:lpstr>
      <vt:lpstr>Амортизация!Область_печати</vt:lpstr>
      <vt:lpstr>АО_ЦентрСпецСтрой!Область_печати</vt:lpstr>
      <vt:lpstr>Белорус.дом!Область_печати</vt:lpstr>
      <vt:lpstr>Водоприбор!Область_печати</vt:lpstr>
      <vt:lpstr>'ЗАО СК Правый берег, квартал №5'!Область_печати</vt:lpstr>
      <vt:lpstr>'ИП Грабцево_В'!Область_печати</vt:lpstr>
      <vt:lpstr>ИП_Грабцево_К!Область_печати</vt:lpstr>
      <vt:lpstr>'Ист-ки_в_текст'!Область_печати</vt:lpstr>
      <vt:lpstr>'к Пояснительной'!Область_печати</vt:lpstr>
      <vt:lpstr>'Калугагазстрой ул. Ермоловская'!Область_печати</vt:lpstr>
      <vt:lpstr>КалугаЭлитДевелопмент!Область_печати</vt:lpstr>
      <vt:lpstr>Комета!Область_печати</vt:lpstr>
      <vt:lpstr>КОШЕЛЕВ!Область_печати</vt:lpstr>
      <vt:lpstr>КОШЕЛЕВ_НОВОЕ!Область_печати</vt:lpstr>
      <vt:lpstr>Лидер_Бетон!Область_печати</vt:lpstr>
      <vt:lpstr>Мероприятия_и_источники!Область_печати</vt:lpstr>
      <vt:lpstr>'Минскстрой_Малиновка-2'!Область_печати</vt:lpstr>
      <vt:lpstr>'Населенные пункты_тариф'!Область_печати</vt:lpstr>
      <vt:lpstr>'Населенные пункты_тариф_last'!Область_печати</vt:lpstr>
      <vt:lpstr>НВВ_очистка_!Область_печати</vt:lpstr>
      <vt:lpstr>'НВВ_очистка+трансп-ка_'!Область_печати</vt:lpstr>
      <vt:lpstr>'объемы Калуга ГРАБЦЕВО'!Область_печати</vt:lpstr>
      <vt:lpstr>'ООО «Минскстройэкспорт»Драйвер'!Область_печати</vt:lpstr>
      <vt:lpstr>'Пр 5.Мер-я по кап.влож.в ОС '!Область_печати</vt:lpstr>
      <vt:lpstr>'Пр.3 Мероп по строительству'!Область_печати</vt:lpstr>
      <vt:lpstr>'Пр.4 Мероприятия по ГО и ЧС'!Область_печати</vt:lpstr>
      <vt:lpstr>'Прил.1 Перечень по подключению'!Область_печати</vt:lpstr>
      <vt:lpstr>Прошкола!Область_печати</vt:lpstr>
      <vt:lpstr>расчет_тарифа_В_!Область_печати</vt:lpstr>
      <vt:lpstr>расчет_тарифа_К_!Область_печати</vt:lpstr>
      <vt:lpstr>'Реконструкция ВОДА'!Область_печати</vt:lpstr>
      <vt:lpstr>'Реконструкция КАНАЛ'!Область_печати</vt:lpstr>
      <vt:lpstr>Старт!Область_печати</vt:lpstr>
      <vt:lpstr>Строительство!Область_печати</vt:lpstr>
      <vt:lpstr>'Уайт Групп'!Область_печати</vt:lpstr>
      <vt:lpstr>УКС_Онкоцентр!Область_печати</vt:lpstr>
      <vt:lpstr>УКС_ПОЛИКЛИНИКА!Область_печати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t.grishechkina</dc:creator>
  <cp:lastModifiedBy>n.smirnova</cp:lastModifiedBy>
  <cp:lastPrinted>2023-10-20T08:44:08Z</cp:lastPrinted>
  <dcterms:created xsi:type="dcterms:W3CDTF">2015-07-09T07:41:39Z</dcterms:created>
  <dcterms:modified xsi:type="dcterms:W3CDTF">2024-01-10T06:19:00Z</dcterms:modified>
</cp:coreProperties>
</file>